
<file path=[Content_Types].xml><?xml version="1.0" encoding="utf-8"?>
<Types xmlns="http://schemas.openxmlformats.org/package/2006/content-types">
  <Default Extension="bin" ContentType="application/vnd.openxmlformats-officedocument.spreadsheetml.customProperty"/>
  <Override PartName="/xl/printerSettings/printerSettings1.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rinterSettings/printerSettings2.bin" ContentType="application/vnd.openxmlformats-officedocument.spreadsheetml.printerSettings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 codeName="{B7FE6334-C1A2-E50D-BD3D-5F4D41BBC2E3}"/>
  <workbookPr codeName="ThisWorkbook" hidePivotFieldList="1" defaultThemeVersion="124226"/>
  <bookViews>
    <workbookView xWindow="480" yWindow="312" windowWidth="16608" windowHeight="9432" tabRatio="512" firstSheet="1" activeTab="1"/>
  </bookViews>
  <sheets>
    <sheet name="DV-IDENTITY-0" sheetId="5" state="veryHidden" r:id="rId1"/>
    <sheet name="Race" sheetId="15" r:id="rId2"/>
    <sheet name="PolarList" sheetId="16" r:id="rId3"/>
    <sheet name="YellowBrick" sheetId="20" r:id="rId4"/>
    <sheet name="Setup" sheetId="19" r:id="rId5"/>
    <sheet name="ColorConverter" sheetId="14" state="hidden" r:id="rId6"/>
  </sheets>
  <definedNames>
    <definedName name="_xlnm._FilterDatabase" localSheetId="1" hidden="1">Race!$A$5:$J$85</definedName>
    <definedName name="_xlnm._FilterDatabase" hidden="1">#REF!</definedName>
    <definedName name="_xlfn.IFERROR" hidden="1" function="1" xlm="1">#NAME?</definedName>
    <definedName name="Adrena_race_file">YellowBrick!$B$10</definedName>
    <definedName name="Anchor">Race!$A$5</definedName>
    <definedName name="Classes">Race!$B$2:$M$2</definedName>
    <definedName name="Colors">ColorConverter!$H$16:$H$23</definedName>
    <definedName name="ColorsTable">ColorConverter!$H$16:$I$23</definedName>
    <definedName name="DateArrivee">#REF!</definedName>
    <definedName name="DatePosition">#REF!</definedName>
    <definedName name="Default_Boat_Color">YellowBrick!$B$2</definedName>
    <definedName name="DistanceToFinish">#REF!</definedName>
    <definedName name="FileName">Setup!$B$2</definedName>
    <definedName name="Latitude">#REF!</definedName>
    <definedName name="Longitude">#REF!</definedName>
    <definedName name="NumeroInscription">#REF!</definedName>
    <definedName name="Polars">PolarList!$A$2:$A$497</definedName>
    <definedName name="RaceFilePath">Setup!$B$1</definedName>
    <definedName name="YB_Race_Id">YellowBrick!$B$1</definedName>
  </definedNames>
  <calcPr calcId="125725"/>
</workbook>
</file>

<file path=xl/calcChain.xml><?xml version="1.0" encoding="utf-8"?>
<calcChain xmlns="http://schemas.openxmlformats.org/spreadsheetml/2006/main">
  <c r="C21" i="14"/>
  <c r="D21"/>
  <c r="E21"/>
  <c r="L505" i="15"/>
  <c r="L504"/>
  <c r="L503"/>
  <c r="L502"/>
  <c r="L501"/>
  <c r="L500"/>
  <c r="L499"/>
  <c r="L498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J505"/>
  <c r="J504"/>
  <c r="J503"/>
  <c r="J502"/>
  <c r="J501"/>
  <c r="J500"/>
  <c r="J499"/>
  <c r="J498"/>
  <c r="J497"/>
  <c r="J496"/>
  <c r="J495"/>
  <c r="J494"/>
  <c r="J493"/>
  <c r="J492"/>
  <c r="J491"/>
  <c r="J490"/>
  <c r="J489"/>
  <c r="J488"/>
  <c r="J487"/>
  <c r="J486"/>
  <c r="J485"/>
  <c r="J484"/>
  <c r="J483"/>
  <c r="J482"/>
  <c r="J481"/>
  <c r="J480"/>
  <c r="J479"/>
  <c r="J478"/>
  <c r="J477"/>
  <c r="J476"/>
  <c r="J475"/>
  <c r="J474"/>
  <c r="J473"/>
  <c r="J472"/>
  <c r="J471"/>
  <c r="J470"/>
  <c r="J469"/>
  <c r="J468"/>
  <c r="J467"/>
  <c r="J466"/>
  <c r="J465"/>
  <c r="J464"/>
  <c r="J463"/>
  <c r="J462"/>
  <c r="J461"/>
  <c r="J460"/>
  <c r="J459"/>
  <c r="J458"/>
  <c r="J457"/>
  <c r="J456"/>
  <c r="J455"/>
  <c r="J454"/>
  <c r="J453"/>
  <c r="J452"/>
  <c r="J451"/>
  <c r="J450"/>
  <c r="J449"/>
  <c r="J448"/>
  <c r="J447"/>
  <c r="J446"/>
  <c r="J445"/>
  <c r="J444"/>
  <c r="J443"/>
  <c r="J442"/>
  <c r="J441"/>
  <c r="J440"/>
  <c r="J439"/>
  <c r="J438"/>
  <c r="J437"/>
  <c r="J436"/>
  <c r="J435"/>
  <c r="J434"/>
  <c r="J433"/>
  <c r="J432"/>
  <c r="J431"/>
  <c r="J430"/>
  <c r="J429"/>
  <c r="J428"/>
  <c r="J427"/>
  <c r="J426"/>
  <c r="J425"/>
  <c r="J424"/>
  <c r="J423"/>
  <c r="J422"/>
  <c r="J421"/>
  <c r="J420"/>
  <c r="J419"/>
  <c r="J418"/>
  <c r="J417"/>
  <c r="J416"/>
  <c r="J415"/>
  <c r="J414"/>
  <c r="J413"/>
  <c r="J412"/>
  <c r="J411"/>
  <c r="J410"/>
  <c r="J409"/>
  <c r="J408"/>
  <c r="J407"/>
  <c r="J406"/>
  <c r="J405"/>
  <c r="J404"/>
  <c r="J403"/>
  <c r="J402"/>
  <c r="J401"/>
  <c r="J400"/>
  <c r="J399"/>
  <c r="J398"/>
  <c r="J397"/>
  <c r="J396"/>
  <c r="J395"/>
  <c r="J394"/>
  <c r="J393"/>
  <c r="J392"/>
  <c r="J391"/>
  <c r="J390"/>
  <c r="J389"/>
  <c r="J388"/>
  <c r="J387"/>
  <c r="J386"/>
  <c r="J385"/>
  <c r="J384"/>
  <c r="J383"/>
  <c r="J382"/>
  <c r="J381"/>
  <c r="J380"/>
  <c r="J379"/>
  <c r="J378"/>
  <c r="J377"/>
  <c r="J376"/>
  <c r="J375"/>
  <c r="J374"/>
  <c r="J373"/>
  <c r="J372"/>
  <c r="J371"/>
  <c r="J370"/>
  <c r="J369"/>
  <c r="J368"/>
  <c r="J367"/>
  <c r="J366"/>
  <c r="J365"/>
  <c r="J364"/>
  <c r="J363"/>
  <c r="J362"/>
  <c r="J361"/>
  <c r="J360"/>
  <c r="J359"/>
  <c r="J358"/>
  <c r="J357"/>
  <c r="J356"/>
  <c r="J355"/>
  <c r="J354"/>
  <c r="J353"/>
  <c r="J352"/>
  <c r="J351"/>
  <c r="J350"/>
  <c r="J349"/>
  <c r="J348"/>
  <c r="J347"/>
  <c r="J346"/>
  <c r="J345"/>
  <c r="J344"/>
  <c r="J343"/>
  <c r="J342"/>
  <c r="J341"/>
  <c r="J340"/>
  <c r="J339"/>
  <c r="J338"/>
  <c r="J337"/>
  <c r="J336"/>
  <c r="J335"/>
  <c r="J334"/>
  <c r="J333"/>
  <c r="J332"/>
  <c r="J331"/>
  <c r="J330"/>
  <c r="J329"/>
  <c r="J328"/>
  <c r="J327"/>
  <c r="J326"/>
  <c r="J325"/>
  <c r="J324"/>
  <c r="J323"/>
  <c r="J322"/>
  <c r="J321"/>
  <c r="J320"/>
  <c r="J319"/>
  <c r="J318"/>
  <c r="J317"/>
  <c r="J316"/>
  <c r="J315"/>
  <c r="J314"/>
  <c r="J313"/>
  <c r="J312"/>
  <c r="J311"/>
  <c r="J310"/>
  <c r="J309"/>
  <c r="J308"/>
  <c r="J307"/>
  <c r="J306"/>
  <c r="J305"/>
  <c r="J304"/>
  <c r="J303"/>
  <c r="J302"/>
  <c r="J301"/>
  <c r="J300"/>
  <c r="J299"/>
  <c r="J298"/>
  <c r="J297"/>
  <c r="J296"/>
  <c r="J295"/>
  <c r="J294"/>
  <c r="J293"/>
  <c r="J292"/>
  <c r="J291"/>
  <c r="J290"/>
  <c r="J289"/>
  <c r="J288"/>
  <c r="J287"/>
  <c r="J286"/>
  <c r="J285"/>
  <c r="J284"/>
  <c r="J283"/>
  <c r="J282"/>
  <c r="J281"/>
  <c r="J280"/>
  <c r="J279"/>
  <c r="J278"/>
  <c r="J277"/>
  <c r="J276"/>
  <c r="J275"/>
  <c r="J274"/>
  <c r="J273"/>
  <c r="J272"/>
  <c r="J271"/>
  <c r="J270"/>
  <c r="J269"/>
  <c r="J268"/>
  <c r="J267"/>
  <c r="J266"/>
  <c r="J265"/>
  <c r="J264"/>
  <c r="J263"/>
  <c r="J262"/>
  <c r="J261"/>
  <c r="J260"/>
  <c r="J259"/>
  <c r="J258"/>
  <c r="J257"/>
  <c r="J256"/>
  <c r="J255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B22" i="20" l="1"/>
  <c r="B21"/>
  <c r="B15"/>
  <c r="B12"/>
  <c r="B10"/>
  <c r="B9"/>
  <c r="B2" i="19"/>
  <c r="J5" i="15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86"/>
  <c r="J85" l="1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I17" i="14" l="1"/>
  <c r="I18"/>
  <c r="I19"/>
  <c r="I20"/>
  <c r="I21"/>
  <c r="L6" i="15" s="1"/>
  <c r="J6" s="1"/>
  <c r="I22" i="14"/>
  <c r="I23"/>
  <c r="I16"/>
  <c r="F21"/>
  <c r="C22"/>
  <c r="D22"/>
  <c r="F22" s="1"/>
  <c r="E22"/>
  <c r="E23"/>
  <c r="D23"/>
  <c r="C23"/>
  <c r="F23" s="1"/>
  <c r="E20"/>
  <c r="D20"/>
  <c r="C20"/>
  <c r="E19"/>
  <c r="F19" s="1"/>
  <c r="D19"/>
  <c r="C19"/>
  <c r="E18"/>
  <c r="D18"/>
  <c r="C18"/>
  <c r="E16"/>
  <c r="D16"/>
  <c r="C16"/>
  <c r="B15"/>
  <c r="B14"/>
  <c r="B13"/>
  <c r="B12"/>
  <c r="B11"/>
  <c r="B10"/>
  <c r="B9"/>
  <c r="B8"/>
  <c r="F11"/>
  <c r="F12"/>
  <c r="F13"/>
  <c r="F14"/>
  <c r="F9"/>
  <c r="F10"/>
  <c r="F15"/>
  <c r="F8"/>
  <c r="C3"/>
  <c r="D3"/>
  <c r="E3"/>
  <c r="C4"/>
  <c r="D4"/>
  <c r="E4"/>
  <c r="C5"/>
  <c r="D5"/>
  <c r="E5"/>
  <c r="C6"/>
  <c r="D6"/>
  <c r="E6"/>
  <c r="C7"/>
  <c r="D7"/>
  <c r="E7"/>
  <c r="E2"/>
  <c r="D2"/>
  <c r="C2"/>
  <c r="A1" i="5"/>
  <c r="B1"/>
  <c r="C1"/>
  <c r="D1"/>
  <c r="E1"/>
  <c r="F1"/>
  <c r="G1"/>
  <c r="H1"/>
  <c r="I1"/>
  <c r="J1"/>
  <c r="K1"/>
  <c r="L1"/>
  <c r="M1"/>
  <c r="N1"/>
  <c r="O1"/>
  <c r="P1"/>
  <c r="Q1"/>
  <c r="R1"/>
  <c r="S1"/>
  <c r="T1"/>
  <c r="U1"/>
  <c r="V1"/>
  <c r="W1"/>
  <c r="X1"/>
  <c r="Y1"/>
  <c r="Z1"/>
  <c r="AA1"/>
  <c r="AB1"/>
  <c r="AC1"/>
  <c r="AD1"/>
  <c r="AE1"/>
  <c r="AF1"/>
  <c r="AG1"/>
  <c r="AH1"/>
  <c r="AI1"/>
  <c r="AJ1"/>
  <c r="AK1"/>
  <c r="AL1"/>
  <c r="AM1"/>
  <c r="AN1"/>
  <c r="AO1"/>
  <c r="AP1"/>
  <c r="AQ1"/>
  <c r="AR1"/>
  <c r="AS1"/>
  <c r="AT1"/>
  <c r="AU1"/>
  <c r="AV1"/>
  <c r="AW1"/>
  <c r="AX1"/>
  <c r="AY1"/>
  <c r="AZ1"/>
  <c r="BA1"/>
  <c r="BB1"/>
  <c r="BC1"/>
  <c r="BD1"/>
  <c r="BE1"/>
  <c r="BF1"/>
  <c r="BG1"/>
  <c r="BH1"/>
  <c r="BI1"/>
  <c r="BJ1"/>
  <c r="BK1"/>
  <c r="BL1"/>
  <c r="BM1"/>
  <c r="BN1"/>
  <c r="BO1"/>
  <c r="BP1"/>
  <c r="BQ1"/>
  <c r="BR1"/>
  <c r="BS1"/>
  <c r="BT1"/>
  <c r="BU1"/>
  <c r="BV1"/>
  <c r="BW1"/>
  <c r="BX1"/>
  <c r="BY1"/>
  <c r="BZ1"/>
  <c r="CA1"/>
  <c r="CB1"/>
  <c r="CC1"/>
  <c r="CD1"/>
  <c r="CE1"/>
  <c r="CF1"/>
  <c r="CG1"/>
  <c r="CH1"/>
  <c r="CI1"/>
  <c r="CJ1"/>
  <c r="CK1"/>
  <c r="CL1"/>
  <c r="CM1"/>
  <c r="CN1"/>
  <c r="CO1"/>
  <c r="CP1"/>
  <c r="CQ1"/>
  <c r="CR1"/>
  <c r="CS1"/>
  <c r="CT1"/>
  <c r="CU1"/>
  <c r="CV1"/>
  <c r="CW1"/>
  <c r="CX1"/>
  <c r="CY1"/>
  <c r="CZ1"/>
  <c r="DA1"/>
  <c r="DB1"/>
  <c r="DC1"/>
  <c r="DD1"/>
  <c r="DE1"/>
  <c r="DF1"/>
  <c r="DG1"/>
  <c r="DH1"/>
  <c r="DI1"/>
  <c r="DJ1"/>
  <c r="DK1"/>
  <c r="DL1"/>
  <c r="DM1"/>
  <c r="DN1"/>
  <c r="DO1"/>
  <c r="DP1"/>
  <c r="DQ1"/>
  <c r="DR1"/>
  <c r="DS1"/>
  <c r="DT1"/>
  <c r="DU1"/>
  <c r="DV1"/>
  <c r="DW1"/>
  <c r="DX1"/>
  <c r="DY1"/>
  <c r="DZ1"/>
  <c r="EA1"/>
  <c r="EB1"/>
  <c r="EC1"/>
  <c r="ED1"/>
  <c r="EE1"/>
  <c r="EF1"/>
  <c r="EG1"/>
  <c r="EH1"/>
  <c r="EI1"/>
  <c r="EJ1"/>
  <c r="EK1"/>
  <c r="EL1"/>
  <c r="EM1"/>
  <c r="EN1"/>
  <c r="EO1"/>
  <c r="EP1"/>
  <c r="EQ1"/>
  <c r="ER1"/>
  <c r="ES1"/>
  <c r="ET1"/>
  <c r="EU1"/>
  <c r="EV1"/>
  <c r="EW1"/>
  <c r="EX1"/>
  <c r="EY1"/>
  <c r="EZ1"/>
  <c r="FA1"/>
  <c r="FB1"/>
  <c r="FC1"/>
  <c r="FD1"/>
  <c r="FE1"/>
  <c r="FF1"/>
  <c r="FG1"/>
  <c r="FH1"/>
  <c r="FI1"/>
  <c r="FJ1"/>
  <c r="FK1"/>
  <c r="FL1"/>
  <c r="FM1"/>
  <c r="FN1"/>
  <c r="FO1"/>
  <c r="FP1"/>
  <c r="FQ1"/>
  <c r="FR1"/>
  <c r="FS1"/>
  <c r="FT1"/>
  <c r="FU1"/>
  <c r="FV1"/>
  <c r="FW1"/>
  <c r="FX1"/>
  <c r="FY1"/>
  <c r="FZ1"/>
  <c r="GA1"/>
  <c r="GB1"/>
  <c r="GC1"/>
  <c r="GD1"/>
  <c r="GE1"/>
  <c r="GF1"/>
  <c r="GG1"/>
  <c r="GH1"/>
  <c r="GI1"/>
  <c r="GJ1"/>
  <c r="GK1"/>
  <c r="GL1"/>
  <c r="GM1"/>
  <c r="GN1"/>
  <c r="GO1"/>
  <c r="GP1"/>
  <c r="GQ1"/>
  <c r="GR1"/>
  <c r="GS1"/>
  <c r="GT1"/>
  <c r="GU1"/>
  <c r="GV1"/>
  <c r="GW1"/>
  <c r="GX1"/>
  <c r="GY1"/>
  <c r="GZ1"/>
  <c r="HA1"/>
  <c r="HB1"/>
  <c r="HC1"/>
  <c r="HD1"/>
  <c r="HE1"/>
  <c r="HF1"/>
  <c r="HG1"/>
  <c r="HH1"/>
  <c r="HI1"/>
  <c r="HJ1"/>
  <c r="HK1"/>
  <c r="HL1"/>
  <c r="HM1"/>
  <c r="HN1"/>
  <c r="HO1"/>
  <c r="HP1"/>
  <c r="HQ1"/>
  <c r="HR1"/>
  <c r="HS1"/>
  <c r="HT1"/>
  <c r="HU1"/>
  <c r="HV1"/>
  <c r="HW1"/>
  <c r="HX1"/>
  <c r="HY1"/>
  <c r="HZ1"/>
  <c r="IA1"/>
  <c r="IB1"/>
  <c r="IC1"/>
  <c r="ID1"/>
  <c r="IE1"/>
  <c r="IF1"/>
  <c r="IG1"/>
  <c r="IH1"/>
  <c r="II1"/>
  <c r="IJ1"/>
  <c r="IK1"/>
  <c r="IL1"/>
  <c r="IM1"/>
  <c r="IN1"/>
  <c r="IO1"/>
  <c r="IP1"/>
  <c r="IQ1"/>
  <c r="IR1"/>
  <c r="IS1"/>
  <c r="IT1"/>
  <c r="IU1"/>
  <c r="IV1"/>
  <c r="A2"/>
  <c r="B2"/>
  <c r="C2"/>
  <c r="D2"/>
  <c r="E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AO2"/>
  <c r="AP2"/>
  <c r="AQ2"/>
  <c r="AR2"/>
  <c r="AS2"/>
  <c r="AT2"/>
  <c r="AU2"/>
  <c r="AV2"/>
  <c r="AW2"/>
  <c r="AX2"/>
  <c r="AY2"/>
  <c r="AZ2"/>
  <c r="BA2"/>
  <c r="BB2"/>
  <c r="BC2"/>
  <c r="BD2"/>
  <c r="BE2"/>
  <c r="BF2"/>
  <c r="BG2"/>
  <c r="BH2"/>
  <c r="BI2"/>
  <c r="BJ2"/>
  <c r="BK2"/>
  <c r="BL2"/>
  <c r="BM2"/>
  <c r="BN2"/>
  <c r="BO2"/>
  <c r="BP2"/>
  <c r="BQ2"/>
  <c r="BR2"/>
  <c r="BS2"/>
  <c r="BT2"/>
  <c r="BU2"/>
  <c r="BV2"/>
  <c r="BW2"/>
  <c r="BX2"/>
  <c r="BY2"/>
  <c r="BZ2"/>
  <c r="CA2"/>
  <c r="CB2"/>
  <c r="CC2"/>
  <c r="CD2"/>
  <c r="CE2"/>
  <c r="CF2"/>
  <c r="CG2"/>
  <c r="CH2"/>
  <c r="CI2"/>
  <c r="CJ2"/>
  <c r="CK2"/>
  <c r="CL2"/>
  <c r="CM2"/>
  <c r="CN2"/>
  <c r="CO2"/>
  <c r="CP2"/>
  <c r="CQ2"/>
  <c r="CR2"/>
  <c r="CS2"/>
  <c r="CT2"/>
  <c r="CU2"/>
  <c r="CV2"/>
  <c r="CW2"/>
  <c r="CX2"/>
  <c r="CY2"/>
  <c r="CZ2"/>
  <c r="DA2"/>
  <c r="DB2"/>
  <c r="DC2"/>
  <c r="DD2"/>
  <c r="DE2"/>
  <c r="DF2"/>
  <c r="DG2"/>
  <c r="DH2"/>
  <c r="DI2"/>
  <c r="DJ2"/>
  <c r="DK2"/>
  <c r="DL2"/>
  <c r="DM2"/>
  <c r="DN2"/>
  <c r="DO2"/>
  <c r="DP2"/>
  <c r="DQ2"/>
  <c r="DR2"/>
  <c r="DS2"/>
  <c r="DT2"/>
  <c r="DU2"/>
  <c r="DV2"/>
  <c r="DW2"/>
  <c r="DX2"/>
  <c r="DY2"/>
  <c r="DZ2"/>
  <c r="EA2"/>
  <c r="EB2"/>
  <c r="EC2"/>
  <c r="ED2"/>
  <c r="EE2"/>
  <c r="EF2"/>
  <c r="EG2"/>
  <c r="EH2"/>
  <c r="EI2"/>
  <c r="EJ2"/>
  <c r="EK2"/>
  <c r="EL2"/>
  <c r="EM2"/>
  <c r="EN2"/>
  <c r="EO2"/>
  <c r="EP2"/>
  <c r="EQ2"/>
  <c r="ER2"/>
  <c r="ES2"/>
  <c r="ET2"/>
  <c r="EU2"/>
  <c r="EV2"/>
  <c r="EW2"/>
  <c r="EX2"/>
  <c r="EY2"/>
  <c r="EZ2"/>
  <c r="FA2"/>
  <c r="FB2"/>
  <c r="FC2"/>
  <c r="FD2"/>
  <c r="FE2"/>
  <c r="FF2"/>
  <c r="FG2"/>
  <c r="FH2"/>
  <c r="FI2"/>
  <c r="FJ2"/>
  <c r="FK2"/>
  <c r="FL2"/>
  <c r="FM2"/>
  <c r="FN2"/>
  <c r="FO2"/>
  <c r="FP2"/>
  <c r="FQ2"/>
  <c r="FR2"/>
  <c r="FS2"/>
  <c r="FT2"/>
  <c r="FU2"/>
  <c r="FV2"/>
  <c r="FW2"/>
  <c r="FX2"/>
  <c r="FY2"/>
  <c r="FZ2"/>
  <c r="GA2"/>
  <c r="GB2"/>
  <c r="GC2"/>
  <c r="GD2"/>
  <c r="GE2"/>
  <c r="GF2"/>
  <c r="GG2"/>
  <c r="GH2"/>
  <c r="GI2"/>
  <c r="GJ2"/>
  <c r="GK2"/>
  <c r="GL2"/>
  <c r="GM2"/>
  <c r="GN2"/>
  <c r="GO2"/>
  <c r="GP2"/>
  <c r="GQ2"/>
  <c r="GR2"/>
  <c r="GS2"/>
  <c r="GT2"/>
  <c r="GU2"/>
  <c r="GV2"/>
  <c r="GW2"/>
  <c r="GX2"/>
  <c r="GY2"/>
  <c r="GZ2"/>
  <c r="HA2"/>
  <c r="HB2"/>
  <c r="HC2"/>
  <c r="HD2"/>
  <c r="HE2"/>
  <c r="HF2"/>
  <c r="HG2"/>
  <c r="HH2"/>
  <c r="HI2"/>
  <c r="HJ2"/>
  <c r="HK2"/>
  <c r="HL2"/>
  <c r="HM2"/>
  <c r="HN2"/>
  <c r="HO2"/>
  <c r="HP2"/>
  <c r="HQ2"/>
  <c r="HR2"/>
  <c r="HS2"/>
  <c r="HT2"/>
  <c r="HU2"/>
  <c r="HV2"/>
  <c r="HW2"/>
  <c r="HX2"/>
  <c r="HY2"/>
  <c r="HZ2"/>
  <c r="IA2"/>
  <c r="IB2"/>
  <c r="IC2"/>
  <c r="ID2"/>
  <c r="IE2"/>
  <c r="IF2"/>
  <c r="IG2"/>
  <c r="IH2"/>
  <c r="II2"/>
  <c r="IJ2"/>
  <c r="IK2"/>
  <c r="IL2"/>
  <c r="IM2"/>
  <c r="IN2"/>
  <c r="IO2"/>
  <c r="IP2"/>
  <c r="IQ2"/>
  <c r="IR2"/>
  <c r="IS2"/>
  <c r="IT2"/>
  <c r="IU2"/>
  <c r="IV2"/>
  <c r="A3"/>
  <c r="B3"/>
  <c r="C3"/>
  <c r="D3"/>
  <c r="E3"/>
  <c r="F3"/>
  <c r="G3"/>
  <c r="H3"/>
  <c r="I3"/>
  <c r="J3"/>
  <c r="K3"/>
  <c r="L3"/>
  <c r="M3"/>
  <c r="N3"/>
  <c r="O3"/>
  <c r="P3"/>
  <c r="Q3"/>
  <c r="R3"/>
  <c r="S3"/>
  <c r="T3"/>
  <c r="U3"/>
  <c r="W3"/>
  <c r="X3"/>
  <c r="Y3"/>
  <c r="Z3"/>
  <c r="AA3"/>
  <c r="AB3"/>
  <c r="AC3"/>
  <c r="AD3"/>
  <c r="AE3"/>
  <c r="AF3"/>
  <c r="AG3"/>
  <c r="AH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BV3"/>
  <c r="BW3"/>
  <c r="BX3"/>
  <c r="BY3"/>
  <c r="BZ3"/>
  <c r="CA3"/>
  <c r="CB3"/>
  <c r="CC3"/>
  <c r="CD3"/>
  <c r="CE3"/>
  <c r="CF3"/>
  <c r="CG3"/>
  <c r="CH3"/>
  <c r="CI3"/>
  <c r="CJ3"/>
  <c r="CK3"/>
  <c r="CL3"/>
  <c r="CM3"/>
  <c r="CN3"/>
  <c r="CO3"/>
  <c r="CP3"/>
  <c r="CQ3"/>
  <c r="CR3"/>
  <c r="CS3"/>
  <c r="CT3"/>
  <c r="CU3"/>
  <c r="CV3"/>
  <c r="CW3"/>
  <c r="CX3"/>
  <c r="CY3"/>
  <c r="CZ3"/>
  <c r="DA3"/>
  <c r="DB3"/>
  <c r="DC3"/>
  <c r="DD3"/>
  <c r="DE3"/>
  <c r="DF3"/>
  <c r="DG3"/>
  <c r="DH3"/>
  <c r="DI3"/>
  <c r="DJ3"/>
  <c r="DK3"/>
  <c r="DL3"/>
  <c r="DM3"/>
  <c r="DN3"/>
  <c r="DO3"/>
  <c r="DP3"/>
  <c r="DQ3"/>
  <c r="DR3"/>
  <c r="DS3"/>
  <c r="DT3"/>
  <c r="DU3"/>
  <c r="DV3"/>
  <c r="DW3"/>
  <c r="DX3"/>
  <c r="DY3"/>
  <c r="DZ3"/>
  <c r="EA3"/>
  <c r="EB3"/>
  <c r="EC3"/>
  <c r="ED3"/>
  <c r="EE3"/>
  <c r="EF3"/>
  <c r="EG3"/>
  <c r="EH3"/>
  <c r="EI3"/>
  <c r="EJ3"/>
  <c r="EK3"/>
  <c r="EL3"/>
  <c r="EM3"/>
  <c r="EN3"/>
  <c r="EO3"/>
  <c r="EP3"/>
  <c r="EQ3"/>
  <c r="ER3"/>
  <c r="ES3"/>
  <c r="ET3"/>
  <c r="EU3"/>
  <c r="EV3"/>
  <c r="EW3"/>
  <c r="EX3"/>
  <c r="EY3"/>
  <c r="EZ3"/>
  <c r="FA3"/>
  <c r="FB3"/>
  <c r="FC3"/>
  <c r="FD3"/>
  <c r="FE3"/>
  <c r="FF3"/>
  <c r="FG3"/>
  <c r="FH3"/>
  <c r="FI3"/>
  <c r="FJ3"/>
  <c r="FK3"/>
  <c r="FL3"/>
  <c r="FM3"/>
  <c r="FN3"/>
  <c r="FO3"/>
  <c r="FP3"/>
  <c r="FQ3"/>
  <c r="FR3"/>
  <c r="FS3"/>
  <c r="FT3"/>
  <c r="FU3"/>
  <c r="FV3"/>
  <c r="FW3"/>
  <c r="FX3"/>
  <c r="FY3"/>
  <c r="FZ3"/>
  <c r="GA3"/>
  <c r="GB3"/>
  <c r="GC3"/>
  <c r="GD3"/>
  <c r="GE3"/>
  <c r="GF3"/>
  <c r="GG3"/>
  <c r="GH3"/>
  <c r="GI3"/>
  <c r="GJ3"/>
  <c r="GK3"/>
  <c r="GL3"/>
  <c r="GM3"/>
  <c r="GN3"/>
  <c r="GO3"/>
  <c r="GP3"/>
  <c r="GQ3"/>
  <c r="GR3"/>
  <c r="GS3"/>
  <c r="GT3"/>
  <c r="GU3"/>
  <c r="GV3"/>
  <c r="GW3"/>
  <c r="GX3"/>
  <c r="GY3"/>
  <c r="GZ3"/>
  <c r="HA3"/>
  <c r="HB3"/>
  <c r="HC3"/>
  <c r="HD3"/>
  <c r="HE3"/>
  <c r="HF3"/>
  <c r="HG3"/>
  <c r="HH3"/>
  <c r="HI3"/>
  <c r="HJ3"/>
  <c r="HK3"/>
  <c r="HL3"/>
  <c r="HM3"/>
  <c r="HN3"/>
  <c r="HO3"/>
  <c r="HP3"/>
  <c r="HQ3"/>
  <c r="HR3"/>
  <c r="HS3"/>
  <c r="HT3"/>
  <c r="HU3"/>
  <c r="HV3"/>
  <c r="HW3"/>
  <c r="HX3"/>
  <c r="HY3"/>
  <c r="HZ3"/>
  <c r="IA3"/>
  <c r="IB3"/>
  <c r="IC3"/>
  <c r="ID3"/>
  <c r="IE3"/>
  <c r="IF3"/>
  <c r="IG3"/>
  <c r="IH3"/>
  <c r="II3"/>
  <c r="IJ3"/>
  <c r="IK3"/>
  <c r="IL3"/>
  <c r="IM3"/>
  <c r="IN3"/>
  <c r="IO3"/>
  <c r="IP3"/>
  <c r="IQ3"/>
  <c r="IR3"/>
  <c r="IS3"/>
  <c r="IT3"/>
  <c r="IU3"/>
  <c r="IV3"/>
  <c r="A4"/>
  <c r="B4"/>
  <c r="C4"/>
  <c r="D4"/>
  <c r="E4"/>
  <c r="F4"/>
  <c r="G4"/>
  <c r="H4"/>
  <c r="I4"/>
  <c r="J4"/>
  <c r="K4"/>
  <c r="L4"/>
  <c r="M4"/>
  <c r="N4"/>
  <c r="O4"/>
  <c r="P4"/>
  <c r="Q4"/>
  <c r="R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BV4"/>
  <c r="BW4"/>
  <c r="BX4"/>
  <c r="BY4"/>
  <c r="BZ4"/>
  <c r="CA4"/>
  <c r="CB4"/>
  <c r="CC4"/>
  <c r="CD4"/>
  <c r="CE4"/>
  <c r="CF4"/>
  <c r="CG4"/>
  <c r="CH4"/>
  <c r="CI4"/>
  <c r="CJ4"/>
  <c r="CK4"/>
  <c r="CL4"/>
  <c r="CM4"/>
  <c r="CN4"/>
  <c r="CO4"/>
  <c r="CP4"/>
  <c r="CQ4"/>
  <c r="CR4"/>
  <c r="CS4"/>
  <c r="CT4"/>
  <c r="CU4"/>
  <c r="CV4"/>
  <c r="CW4"/>
  <c r="CX4"/>
  <c r="CY4"/>
  <c r="CZ4"/>
  <c r="DA4"/>
  <c r="DB4"/>
  <c r="DC4"/>
  <c r="DD4"/>
  <c r="DE4"/>
  <c r="DF4"/>
  <c r="DG4"/>
  <c r="DH4"/>
  <c r="DI4"/>
  <c r="DJ4"/>
  <c r="DK4"/>
  <c r="DL4"/>
  <c r="DM4"/>
  <c r="DN4"/>
  <c r="DO4"/>
  <c r="DP4"/>
  <c r="DQ4"/>
  <c r="DR4"/>
  <c r="DS4"/>
  <c r="DT4"/>
  <c r="DU4"/>
  <c r="DV4"/>
  <c r="DW4"/>
  <c r="DX4"/>
  <c r="DY4"/>
  <c r="DZ4"/>
  <c r="EA4"/>
  <c r="EB4"/>
  <c r="EC4"/>
  <c r="ED4"/>
  <c r="EE4"/>
  <c r="EF4"/>
  <c r="EG4"/>
  <c r="EH4"/>
  <c r="EI4"/>
  <c r="EJ4"/>
  <c r="EK4"/>
  <c r="EL4"/>
  <c r="EM4"/>
  <c r="EN4"/>
  <c r="EO4"/>
  <c r="EP4"/>
  <c r="EQ4"/>
  <c r="ER4"/>
  <c r="ES4"/>
  <c r="ET4"/>
  <c r="EU4"/>
  <c r="EV4"/>
  <c r="EW4"/>
  <c r="EX4"/>
  <c r="EY4"/>
  <c r="EZ4"/>
  <c r="FA4"/>
  <c r="FB4"/>
  <c r="FC4"/>
  <c r="FD4"/>
  <c r="FE4"/>
  <c r="FF4"/>
  <c r="FG4"/>
  <c r="FH4"/>
  <c r="FI4"/>
  <c r="FJ4"/>
  <c r="FK4"/>
  <c r="FL4"/>
  <c r="FM4"/>
  <c r="FN4"/>
  <c r="FO4"/>
  <c r="FP4"/>
  <c r="FQ4"/>
  <c r="FR4"/>
  <c r="FS4"/>
  <c r="FT4"/>
  <c r="FU4"/>
  <c r="FV4"/>
  <c r="FW4"/>
  <c r="FX4"/>
  <c r="FY4"/>
  <c r="FZ4"/>
  <c r="GA4"/>
  <c r="GB4"/>
  <c r="GC4"/>
  <c r="GD4"/>
  <c r="GE4"/>
  <c r="GF4"/>
  <c r="GG4"/>
  <c r="GH4"/>
  <c r="GI4"/>
  <c r="GJ4"/>
  <c r="GK4"/>
  <c r="GL4"/>
  <c r="GM4"/>
  <c r="GN4"/>
  <c r="GO4"/>
  <c r="GP4"/>
  <c r="GQ4"/>
  <c r="GR4"/>
  <c r="GS4"/>
  <c r="GT4"/>
  <c r="GU4"/>
  <c r="GV4"/>
  <c r="GW4"/>
  <c r="GX4"/>
  <c r="GY4"/>
  <c r="GZ4"/>
  <c r="HA4"/>
  <c r="HB4"/>
  <c r="HC4"/>
  <c r="HD4"/>
  <c r="HE4"/>
  <c r="HF4"/>
  <c r="HG4"/>
  <c r="HH4"/>
  <c r="HI4"/>
  <c r="HJ4"/>
  <c r="HK4"/>
  <c r="HL4"/>
  <c r="HM4"/>
  <c r="HN4"/>
  <c r="HO4"/>
  <c r="HP4"/>
  <c r="HQ4"/>
  <c r="HR4"/>
  <c r="HS4"/>
  <c r="HT4"/>
  <c r="HU4"/>
  <c r="HV4"/>
  <c r="HW4"/>
  <c r="HX4"/>
  <c r="HY4"/>
  <c r="HZ4"/>
  <c r="IA4"/>
  <c r="IB4"/>
  <c r="IC4"/>
  <c r="ID4"/>
  <c r="IE4"/>
  <c r="IF4"/>
  <c r="IG4"/>
  <c r="IH4"/>
  <c r="II4"/>
  <c r="IJ4"/>
  <c r="IK4"/>
  <c r="IL4"/>
  <c r="IM4"/>
  <c r="IN4"/>
  <c r="IO4"/>
  <c r="IP4"/>
  <c r="IQ4"/>
  <c r="IR4"/>
  <c r="IS4"/>
  <c r="IT4"/>
  <c r="IU4"/>
  <c r="IV4"/>
  <c r="A5"/>
  <c r="B5"/>
  <c r="C5"/>
  <c r="D5"/>
  <c r="E5"/>
  <c r="F5"/>
  <c r="G5"/>
  <c r="H5"/>
  <c r="I5"/>
  <c r="J5"/>
  <c r="K5"/>
  <c r="L5"/>
  <c r="M5"/>
  <c r="N5"/>
  <c r="O5"/>
  <c r="Q5"/>
  <c r="R5"/>
  <c r="S5"/>
  <c r="T5"/>
  <c r="U5"/>
  <c r="V5"/>
  <c r="W5"/>
  <c r="X5"/>
  <c r="Y5"/>
  <c r="Z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BV5"/>
  <c r="BW5"/>
  <c r="BX5"/>
  <c r="BY5"/>
  <c r="BZ5"/>
  <c r="CA5"/>
  <c r="CB5"/>
  <c r="CC5"/>
  <c r="CD5"/>
  <c r="CE5"/>
  <c r="CF5"/>
  <c r="CG5"/>
  <c r="CH5"/>
  <c r="CI5"/>
  <c r="CJ5"/>
  <c r="CK5"/>
  <c r="CL5"/>
  <c r="CM5"/>
  <c r="CN5"/>
  <c r="CO5"/>
  <c r="CP5"/>
  <c r="CQ5"/>
  <c r="CR5"/>
  <c r="CS5"/>
  <c r="CT5"/>
  <c r="CU5"/>
  <c r="CV5"/>
  <c r="CW5"/>
  <c r="CX5"/>
  <c r="CY5"/>
  <c r="CZ5"/>
  <c r="DA5"/>
  <c r="DB5"/>
  <c r="DC5"/>
  <c r="DD5"/>
  <c r="DE5"/>
  <c r="DF5"/>
  <c r="DG5"/>
  <c r="DH5"/>
  <c r="DI5"/>
  <c r="DJ5"/>
  <c r="DK5"/>
  <c r="DL5"/>
  <c r="DM5"/>
  <c r="DN5"/>
  <c r="DO5"/>
  <c r="DP5"/>
  <c r="DQ5"/>
  <c r="DR5"/>
  <c r="DS5"/>
  <c r="DT5"/>
  <c r="DU5"/>
  <c r="DV5"/>
  <c r="DW5"/>
  <c r="DX5"/>
  <c r="DY5"/>
  <c r="DZ5"/>
  <c r="EA5"/>
  <c r="EB5"/>
  <c r="EC5"/>
  <c r="ED5"/>
  <c r="EE5"/>
  <c r="EF5"/>
  <c r="EG5"/>
  <c r="EH5"/>
  <c r="EI5"/>
  <c r="EJ5"/>
  <c r="EK5"/>
  <c r="EL5"/>
  <c r="EM5"/>
  <c r="EN5"/>
  <c r="EO5"/>
  <c r="EP5"/>
  <c r="EQ5"/>
  <c r="ER5"/>
  <c r="ES5"/>
  <c r="ET5"/>
  <c r="EU5"/>
  <c r="EV5"/>
  <c r="EW5"/>
  <c r="EX5"/>
  <c r="EY5"/>
  <c r="EZ5"/>
  <c r="FA5"/>
  <c r="FB5"/>
  <c r="FC5"/>
  <c r="FD5"/>
  <c r="FE5"/>
  <c r="FF5"/>
  <c r="FG5"/>
  <c r="FH5"/>
  <c r="FI5"/>
  <c r="FJ5"/>
  <c r="FK5"/>
  <c r="FL5"/>
  <c r="FM5"/>
  <c r="FN5"/>
  <c r="FO5"/>
  <c r="FP5"/>
  <c r="FQ5"/>
  <c r="FR5"/>
  <c r="FS5"/>
  <c r="FT5"/>
  <c r="FU5"/>
  <c r="FV5"/>
  <c r="FW5"/>
  <c r="FX5"/>
  <c r="FY5"/>
  <c r="FZ5"/>
  <c r="GA5"/>
  <c r="GB5"/>
  <c r="GC5"/>
  <c r="GD5"/>
  <c r="GE5"/>
  <c r="GF5"/>
  <c r="GG5"/>
  <c r="GH5"/>
  <c r="GI5"/>
  <c r="GJ5"/>
  <c r="GK5"/>
  <c r="GL5"/>
  <c r="GM5"/>
  <c r="GN5"/>
  <c r="GO5"/>
  <c r="GP5"/>
  <c r="GQ5"/>
  <c r="GR5"/>
  <c r="GS5"/>
  <c r="GT5"/>
  <c r="GU5"/>
  <c r="GV5"/>
  <c r="GW5"/>
  <c r="GX5"/>
  <c r="GY5"/>
  <c r="GZ5"/>
  <c r="HA5"/>
  <c r="HB5"/>
  <c r="HC5"/>
  <c r="HD5"/>
  <c r="HE5"/>
  <c r="HF5"/>
  <c r="HG5"/>
  <c r="HH5"/>
  <c r="HI5"/>
  <c r="HJ5"/>
  <c r="HK5"/>
  <c r="HL5"/>
  <c r="HM5"/>
  <c r="HN5"/>
  <c r="HO5"/>
  <c r="HP5"/>
  <c r="HQ5"/>
  <c r="HR5"/>
  <c r="HS5"/>
  <c r="HT5"/>
  <c r="HU5"/>
  <c r="HV5"/>
  <c r="HW5"/>
  <c r="HX5"/>
  <c r="HY5"/>
  <c r="HZ5"/>
  <c r="IA5"/>
  <c r="IB5"/>
  <c r="IC5"/>
  <c r="ID5"/>
  <c r="IE5"/>
  <c r="IF5"/>
  <c r="IG5"/>
  <c r="IH5"/>
  <c r="II5"/>
  <c r="IJ5"/>
  <c r="IK5"/>
  <c r="IL5"/>
  <c r="IM5"/>
  <c r="IN5"/>
  <c r="IO5"/>
  <c r="IP5"/>
  <c r="IQ5"/>
  <c r="IR5"/>
  <c r="IS5"/>
  <c r="IT5"/>
  <c r="IU5"/>
  <c r="IV5"/>
  <c r="A6"/>
  <c r="B6"/>
  <c r="C6"/>
  <c r="D6"/>
  <c r="E6"/>
  <c r="F6"/>
  <c r="G6"/>
  <c r="H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E6"/>
  <c r="CF6"/>
  <c r="CG6"/>
  <c r="CH6"/>
  <c r="CI6"/>
  <c r="CJ6"/>
  <c r="CK6"/>
  <c r="CL6"/>
  <c r="CM6"/>
  <c r="CN6"/>
  <c r="CO6"/>
  <c r="CP6"/>
  <c r="CQ6"/>
  <c r="CR6"/>
  <c r="CS6"/>
  <c r="CT6"/>
  <c r="CU6"/>
  <c r="CV6"/>
  <c r="CW6"/>
  <c r="CX6"/>
  <c r="CY6"/>
  <c r="CZ6"/>
  <c r="DA6"/>
  <c r="DB6"/>
  <c r="DC6"/>
  <c r="DD6"/>
  <c r="DE6"/>
  <c r="DF6"/>
  <c r="DG6"/>
  <c r="DH6"/>
  <c r="DI6"/>
  <c r="DJ6"/>
  <c r="DK6"/>
  <c r="DL6"/>
  <c r="DM6"/>
  <c r="DN6"/>
  <c r="DO6"/>
  <c r="DP6"/>
  <c r="DQ6"/>
  <c r="DR6"/>
  <c r="DS6"/>
  <c r="DT6"/>
  <c r="DU6"/>
  <c r="DV6"/>
  <c r="DW6"/>
  <c r="DX6"/>
  <c r="DY6"/>
  <c r="DZ6"/>
  <c r="EA6"/>
  <c r="EB6"/>
  <c r="EC6"/>
  <c r="ED6"/>
  <c r="EE6"/>
  <c r="EF6"/>
  <c r="EG6"/>
  <c r="EH6"/>
  <c r="EI6"/>
  <c r="EJ6"/>
  <c r="EK6"/>
  <c r="EL6"/>
  <c r="EM6"/>
  <c r="EN6"/>
  <c r="EO6"/>
  <c r="EP6"/>
  <c r="EQ6"/>
  <c r="ER6"/>
  <c r="ES6"/>
  <c r="ET6"/>
  <c r="EU6"/>
  <c r="EV6"/>
  <c r="EW6"/>
  <c r="EX6"/>
  <c r="EY6"/>
  <c r="EZ6"/>
  <c r="FA6"/>
  <c r="FB6"/>
  <c r="FC6"/>
  <c r="FD6"/>
  <c r="FE6"/>
  <c r="FF6"/>
  <c r="FG6"/>
  <c r="FH6"/>
  <c r="FI6"/>
  <c r="FJ6"/>
  <c r="FK6"/>
  <c r="FL6"/>
  <c r="FM6"/>
  <c r="FN6"/>
  <c r="FO6"/>
  <c r="FP6"/>
  <c r="FQ6"/>
  <c r="FR6"/>
  <c r="FS6"/>
  <c r="FT6"/>
  <c r="FU6"/>
  <c r="FV6"/>
  <c r="FW6"/>
  <c r="FX6"/>
  <c r="FY6"/>
  <c r="FZ6"/>
  <c r="GA6"/>
  <c r="GB6"/>
  <c r="GC6"/>
  <c r="GD6"/>
  <c r="GE6"/>
  <c r="GF6"/>
  <c r="GG6"/>
  <c r="GH6"/>
  <c r="GI6"/>
  <c r="GJ6"/>
  <c r="GK6"/>
  <c r="GL6"/>
  <c r="GM6"/>
  <c r="GN6"/>
  <c r="GO6"/>
  <c r="GP6"/>
  <c r="GQ6"/>
  <c r="GR6"/>
  <c r="GS6"/>
  <c r="GT6"/>
  <c r="GU6"/>
  <c r="GV6"/>
  <c r="GW6"/>
  <c r="GX6"/>
  <c r="GY6"/>
  <c r="GZ6"/>
  <c r="HA6"/>
  <c r="HB6"/>
  <c r="HC6"/>
  <c r="HD6"/>
  <c r="HE6"/>
  <c r="HF6"/>
  <c r="HG6"/>
  <c r="HH6"/>
  <c r="HI6"/>
  <c r="HJ6"/>
  <c r="HK6"/>
  <c r="HL6"/>
  <c r="HM6"/>
  <c r="HN6"/>
  <c r="HO6"/>
  <c r="HP6"/>
  <c r="HQ6"/>
  <c r="HR6"/>
  <c r="HS6"/>
  <c r="HT6"/>
  <c r="HU6"/>
  <c r="HV6"/>
  <c r="HW6"/>
  <c r="HX6"/>
  <c r="HY6"/>
  <c r="HZ6"/>
  <c r="IA6"/>
  <c r="IB6"/>
  <c r="IC6"/>
  <c r="ID6"/>
  <c r="IE6"/>
  <c r="IF6"/>
  <c r="IG6"/>
  <c r="IH6"/>
  <c r="II6"/>
  <c r="IJ6"/>
  <c r="IK6"/>
  <c r="IL6"/>
  <c r="IM6"/>
  <c r="IN6"/>
  <c r="IO6"/>
  <c r="IP6"/>
  <c r="IQ6"/>
  <c r="IR6"/>
  <c r="IS6"/>
  <c r="IT6"/>
  <c r="IU6"/>
  <c r="IV6"/>
  <c r="A7"/>
  <c r="B7"/>
  <c r="C7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E7"/>
  <c r="CF7"/>
  <c r="CG7"/>
  <c r="CH7"/>
  <c r="CI7"/>
  <c r="CJ7"/>
  <c r="CK7"/>
  <c r="CL7"/>
  <c r="CM7"/>
  <c r="CN7"/>
  <c r="CO7"/>
  <c r="CP7"/>
  <c r="CQ7"/>
  <c r="CR7"/>
  <c r="CS7"/>
  <c r="CT7"/>
  <c r="CU7"/>
  <c r="CV7"/>
  <c r="CW7"/>
  <c r="CX7"/>
  <c r="CY7"/>
  <c r="CZ7"/>
  <c r="DA7"/>
  <c r="DB7"/>
  <c r="DC7"/>
  <c r="DD7"/>
  <c r="DE7"/>
  <c r="DF7"/>
  <c r="DG7"/>
  <c r="DH7"/>
  <c r="DI7"/>
  <c r="DJ7"/>
  <c r="DK7"/>
  <c r="DL7"/>
  <c r="DM7"/>
  <c r="DN7"/>
  <c r="DO7"/>
  <c r="DP7"/>
  <c r="DQ7"/>
  <c r="DR7"/>
  <c r="DS7"/>
  <c r="DT7"/>
  <c r="DU7"/>
  <c r="DV7"/>
  <c r="DW7"/>
  <c r="DX7"/>
  <c r="DY7"/>
  <c r="DZ7"/>
  <c r="EA7"/>
  <c r="EB7"/>
  <c r="EC7"/>
  <c r="ED7"/>
  <c r="EE7"/>
  <c r="EF7"/>
  <c r="EG7"/>
  <c r="EH7"/>
  <c r="EI7"/>
  <c r="EJ7"/>
  <c r="EK7"/>
  <c r="EL7"/>
  <c r="EM7"/>
  <c r="EN7"/>
  <c r="EO7"/>
  <c r="EP7"/>
  <c r="EQ7"/>
  <c r="ER7"/>
  <c r="ES7"/>
  <c r="ET7"/>
  <c r="EU7"/>
  <c r="EV7"/>
  <c r="EW7"/>
  <c r="EX7"/>
  <c r="EY7"/>
  <c r="EZ7"/>
  <c r="FA7"/>
  <c r="FB7"/>
  <c r="FC7"/>
  <c r="FD7"/>
  <c r="FE7"/>
  <c r="FF7"/>
  <c r="FG7"/>
  <c r="FH7"/>
  <c r="FI7"/>
  <c r="FJ7"/>
  <c r="FK7"/>
  <c r="FL7"/>
  <c r="FM7"/>
  <c r="FN7"/>
  <c r="FO7"/>
  <c r="FP7"/>
  <c r="FQ7"/>
  <c r="FR7"/>
  <c r="FS7"/>
  <c r="FT7"/>
  <c r="FU7"/>
  <c r="FV7"/>
  <c r="FW7"/>
  <c r="FX7"/>
  <c r="FY7"/>
  <c r="FZ7"/>
  <c r="GA7"/>
  <c r="GB7"/>
  <c r="GC7"/>
  <c r="GD7"/>
  <c r="GE7"/>
  <c r="GF7"/>
  <c r="GG7"/>
  <c r="GH7"/>
  <c r="GI7"/>
  <c r="GJ7"/>
  <c r="GK7"/>
  <c r="GL7"/>
  <c r="GM7"/>
  <c r="GN7"/>
  <c r="GO7"/>
  <c r="GP7"/>
  <c r="GQ7"/>
  <c r="GR7"/>
  <c r="GS7"/>
  <c r="GT7"/>
  <c r="GU7"/>
  <c r="GV7"/>
  <c r="GW7"/>
  <c r="GX7"/>
  <c r="GY7"/>
  <c r="GZ7"/>
  <c r="HA7"/>
  <c r="HB7"/>
  <c r="HC7"/>
  <c r="HD7"/>
  <c r="HE7"/>
  <c r="HF7"/>
  <c r="HG7"/>
  <c r="HH7"/>
  <c r="HI7"/>
  <c r="HJ7"/>
  <c r="HK7"/>
  <c r="HL7"/>
  <c r="HM7"/>
  <c r="HN7"/>
  <c r="HO7"/>
  <c r="HP7"/>
  <c r="HQ7"/>
  <c r="HR7"/>
  <c r="HS7"/>
  <c r="HT7"/>
  <c r="HU7"/>
  <c r="HV7"/>
  <c r="HW7"/>
  <c r="HX7"/>
  <c r="HY7"/>
  <c r="HZ7"/>
  <c r="IA7"/>
  <c r="IB7"/>
  <c r="IC7"/>
  <c r="ID7"/>
  <c r="IE7"/>
  <c r="IF7"/>
  <c r="IG7"/>
  <c r="IH7"/>
  <c r="II7"/>
  <c r="IJ7"/>
  <c r="IK7"/>
  <c r="IL7"/>
  <c r="IM7"/>
  <c r="IN7"/>
  <c r="IO7"/>
  <c r="IP7"/>
  <c r="IQ7"/>
  <c r="IR7"/>
  <c r="IS7"/>
  <c r="IT7"/>
  <c r="IU7"/>
  <c r="IV7"/>
  <c r="A8"/>
  <c r="B8"/>
  <c r="C8"/>
  <c r="D8"/>
  <c r="E8"/>
  <c r="F8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CF8"/>
  <c r="CG8"/>
  <c r="CH8"/>
  <c r="CI8"/>
  <c r="CJ8"/>
  <c r="CK8"/>
  <c r="CL8"/>
  <c r="CM8"/>
  <c r="CN8"/>
  <c r="CO8"/>
  <c r="CP8"/>
  <c r="CQ8"/>
  <c r="CR8"/>
  <c r="CS8"/>
  <c r="CT8"/>
  <c r="CU8"/>
  <c r="CV8"/>
  <c r="CW8"/>
  <c r="CX8"/>
  <c r="CY8"/>
  <c r="CZ8"/>
  <c r="DA8"/>
  <c r="DB8"/>
  <c r="DC8"/>
  <c r="DD8"/>
  <c r="DE8"/>
  <c r="DF8"/>
  <c r="DG8"/>
  <c r="DH8"/>
  <c r="DI8"/>
  <c r="DJ8"/>
  <c r="DK8"/>
  <c r="DL8"/>
  <c r="DM8"/>
  <c r="DN8"/>
  <c r="DO8"/>
  <c r="DP8"/>
  <c r="DQ8"/>
  <c r="DR8"/>
  <c r="DS8"/>
  <c r="DT8"/>
  <c r="DU8"/>
  <c r="DV8"/>
  <c r="DW8"/>
  <c r="DX8"/>
  <c r="DY8"/>
  <c r="DZ8"/>
  <c r="EA8"/>
  <c r="EB8"/>
  <c r="EC8"/>
  <c r="ED8"/>
  <c r="EE8"/>
  <c r="EF8"/>
  <c r="EG8"/>
  <c r="EH8"/>
  <c r="EI8"/>
  <c r="EJ8"/>
  <c r="EK8"/>
  <c r="EL8"/>
  <c r="EM8"/>
  <c r="EN8"/>
  <c r="EO8"/>
  <c r="EP8"/>
  <c r="EQ8"/>
  <c r="ER8"/>
  <c r="ES8"/>
  <c r="ET8"/>
  <c r="EU8"/>
  <c r="EV8"/>
  <c r="EW8"/>
  <c r="EX8"/>
  <c r="EY8"/>
  <c r="EZ8"/>
  <c r="FA8"/>
  <c r="FB8"/>
  <c r="FC8"/>
  <c r="FD8"/>
  <c r="FE8"/>
  <c r="FF8"/>
  <c r="FG8"/>
  <c r="FH8"/>
  <c r="FI8"/>
  <c r="FJ8"/>
  <c r="FK8"/>
  <c r="FL8"/>
  <c r="FM8"/>
  <c r="FN8"/>
  <c r="FO8"/>
  <c r="FP8"/>
  <c r="FQ8"/>
  <c r="FR8"/>
  <c r="FS8"/>
  <c r="FT8"/>
  <c r="FU8"/>
  <c r="FV8"/>
  <c r="FW8"/>
  <c r="FX8"/>
  <c r="FY8"/>
  <c r="FZ8"/>
  <c r="GA8"/>
  <c r="GB8"/>
  <c r="GC8"/>
  <c r="GD8"/>
  <c r="GE8"/>
  <c r="GF8"/>
  <c r="GG8"/>
  <c r="GH8"/>
  <c r="GI8"/>
  <c r="GJ8"/>
  <c r="GK8"/>
  <c r="GL8"/>
  <c r="GM8"/>
  <c r="GN8"/>
  <c r="GO8"/>
  <c r="GP8"/>
  <c r="GQ8"/>
  <c r="GR8"/>
  <c r="GS8"/>
  <c r="GT8"/>
  <c r="GU8"/>
  <c r="GV8"/>
  <c r="GW8"/>
  <c r="GX8"/>
  <c r="GY8"/>
  <c r="GZ8"/>
  <c r="HA8"/>
  <c r="HB8"/>
  <c r="HC8"/>
  <c r="HD8"/>
  <c r="HE8"/>
  <c r="HF8"/>
  <c r="HG8"/>
  <c r="HH8"/>
  <c r="HI8"/>
  <c r="HJ8"/>
  <c r="HK8"/>
  <c r="HL8"/>
  <c r="HM8"/>
  <c r="HN8"/>
  <c r="HO8"/>
  <c r="HP8"/>
  <c r="HQ8"/>
  <c r="HR8"/>
  <c r="HS8"/>
  <c r="HT8"/>
  <c r="HU8"/>
  <c r="HV8"/>
  <c r="HW8"/>
  <c r="HX8"/>
  <c r="HY8"/>
  <c r="HZ8"/>
  <c r="IA8"/>
  <c r="IB8"/>
  <c r="IC8"/>
  <c r="ID8"/>
  <c r="IE8"/>
  <c r="IF8"/>
  <c r="IG8"/>
  <c r="IH8"/>
  <c r="II8"/>
  <c r="IJ8"/>
  <c r="IK8"/>
  <c r="IL8"/>
  <c r="IM8"/>
  <c r="IN8"/>
  <c r="IO8"/>
  <c r="IP8"/>
  <c r="IQ8"/>
  <c r="IR8"/>
  <c r="IS8"/>
  <c r="IT8"/>
  <c r="IU8"/>
  <c r="IV8"/>
  <c r="A9"/>
  <c r="B9"/>
  <c r="C9"/>
  <c r="D9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E9"/>
  <c r="CF9"/>
  <c r="CG9"/>
  <c r="CH9"/>
  <c r="CI9"/>
  <c r="CJ9"/>
  <c r="CK9"/>
  <c r="CL9"/>
  <c r="CM9"/>
  <c r="CN9"/>
  <c r="CO9"/>
  <c r="CP9"/>
  <c r="CQ9"/>
  <c r="CR9"/>
  <c r="CS9"/>
  <c r="CT9"/>
  <c r="CU9"/>
  <c r="CV9"/>
  <c r="CW9"/>
  <c r="CX9"/>
  <c r="CY9"/>
  <c r="CZ9"/>
  <c r="DA9"/>
  <c r="DB9"/>
  <c r="DC9"/>
  <c r="DD9"/>
  <c r="DE9"/>
  <c r="DF9"/>
  <c r="DG9"/>
  <c r="DH9"/>
  <c r="DI9"/>
  <c r="DJ9"/>
  <c r="DK9"/>
  <c r="DL9"/>
  <c r="DM9"/>
  <c r="DN9"/>
  <c r="DO9"/>
  <c r="DP9"/>
  <c r="DQ9"/>
  <c r="DR9"/>
  <c r="DS9"/>
  <c r="DT9"/>
  <c r="DU9"/>
  <c r="DV9"/>
  <c r="DW9"/>
  <c r="DX9"/>
  <c r="DY9"/>
  <c r="DZ9"/>
  <c r="EA9"/>
  <c r="EB9"/>
  <c r="EC9"/>
  <c r="ED9"/>
  <c r="EE9"/>
  <c r="EF9"/>
  <c r="EG9"/>
  <c r="EH9"/>
  <c r="EI9"/>
  <c r="EJ9"/>
  <c r="EK9"/>
  <c r="EL9"/>
  <c r="EM9"/>
  <c r="EN9"/>
  <c r="EO9"/>
  <c r="EP9"/>
  <c r="EQ9"/>
  <c r="ER9"/>
  <c r="ES9"/>
  <c r="ET9"/>
  <c r="EU9"/>
  <c r="EV9"/>
  <c r="EW9"/>
  <c r="EX9"/>
  <c r="EY9"/>
  <c r="EZ9"/>
  <c r="FA9"/>
  <c r="FB9"/>
  <c r="FC9"/>
  <c r="FD9"/>
  <c r="FE9"/>
  <c r="FF9"/>
  <c r="FG9"/>
  <c r="FH9"/>
  <c r="FI9"/>
  <c r="FJ9"/>
  <c r="FK9"/>
  <c r="FL9"/>
  <c r="FM9"/>
  <c r="FN9"/>
  <c r="FO9"/>
  <c r="FP9"/>
  <c r="FQ9"/>
  <c r="FR9"/>
  <c r="FS9"/>
  <c r="FT9"/>
  <c r="FU9"/>
  <c r="FV9"/>
  <c r="FW9"/>
  <c r="FX9"/>
  <c r="FY9"/>
  <c r="FZ9"/>
  <c r="GA9"/>
  <c r="GB9"/>
  <c r="GC9"/>
  <c r="GD9"/>
  <c r="GE9"/>
  <c r="GF9"/>
  <c r="GG9"/>
  <c r="GH9"/>
  <c r="GI9"/>
  <c r="GJ9"/>
  <c r="GK9"/>
  <c r="GL9"/>
  <c r="GM9"/>
  <c r="GN9"/>
  <c r="GO9"/>
  <c r="GP9"/>
  <c r="GQ9"/>
  <c r="GR9"/>
  <c r="GS9"/>
  <c r="GT9"/>
  <c r="GU9"/>
  <c r="GV9"/>
  <c r="GW9"/>
  <c r="GX9"/>
  <c r="GY9"/>
  <c r="GZ9"/>
  <c r="HA9"/>
  <c r="HB9"/>
  <c r="HC9"/>
  <c r="HD9"/>
  <c r="HE9"/>
  <c r="HF9"/>
  <c r="HG9"/>
  <c r="HH9"/>
  <c r="HI9"/>
  <c r="HJ9"/>
  <c r="HK9"/>
  <c r="HL9"/>
  <c r="HM9"/>
  <c r="HN9"/>
  <c r="HO9"/>
  <c r="HP9"/>
  <c r="HQ9"/>
  <c r="HR9"/>
  <c r="HS9"/>
  <c r="HT9"/>
  <c r="HU9"/>
  <c r="HV9"/>
  <c r="HW9"/>
  <c r="HX9"/>
  <c r="HY9"/>
  <c r="HZ9"/>
  <c r="IA9"/>
  <c r="IB9"/>
  <c r="IC9"/>
  <c r="ID9"/>
  <c r="IE9"/>
  <c r="IF9"/>
  <c r="IG9"/>
  <c r="IH9"/>
  <c r="II9"/>
  <c r="IJ9"/>
  <c r="IK9"/>
  <c r="IL9"/>
  <c r="IM9"/>
  <c r="IN9"/>
  <c r="IO9"/>
  <c r="IP9"/>
  <c r="IQ9"/>
  <c r="IR9"/>
  <c r="IS9"/>
  <c r="IT9"/>
  <c r="IU9"/>
  <c r="IV9"/>
  <c r="A10"/>
  <c r="B10"/>
  <c r="C10"/>
  <c r="D10"/>
  <c r="E10"/>
  <c r="F10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E10"/>
  <c r="CF10"/>
  <c r="CG10"/>
  <c r="CH10"/>
  <c r="CI10"/>
  <c r="CJ10"/>
  <c r="CK10"/>
  <c r="CL10"/>
  <c r="CM10"/>
  <c r="CN10"/>
  <c r="CO10"/>
  <c r="CP10"/>
  <c r="CQ10"/>
  <c r="CR10"/>
  <c r="CS10"/>
  <c r="CT10"/>
  <c r="CU10"/>
  <c r="CV10"/>
  <c r="CW10"/>
  <c r="CX10"/>
  <c r="CY10"/>
  <c r="CZ10"/>
  <c r="DA10"/>
  <c r="DB10"/>
  <c r="DC10"/>
  <c r="DD10"/>
  <c r="DE10"/>
  <c r="DF10"/>
  <c r="DG10"/>
  <c r="DH10"/>
  <c r="DI10"/>
  <c r="DJ10"/>
  <c r="DK10"/>
  <c r="DL10"/>
  <c r="DM10"/>
  <c r="DN10"/>
  <c r="DO10"/>
  <c r="DP10"/>
  <c r="DQ10"/>
  <c r="DR10"/>
  <c r="DS10"/>
  <c r="DT10"/>
  <c r="DU10"/>
  <c r="DV10"/>
  <c r="DW10"/>
  <c r="DX10"/>
  <c r="DY10"/>
  <c r="DZ10"/>
  <c r="EA10"/>
  <c r="EB10"/>
  <c r="EC10"/>
  <c r="ED10"/>
  <c r="EE10"/>
  <c r="EF10"/>
  <c r="EG10"/>
  <c r="EH10"/>
  <c r="EI10"/>
  <c r="EJ10"/>
  <c r="EK10"/>
  <c r="EL10"/>
  <c r="EM10"/>
  <c r="EN10"/>
  <c r="EO10"/>
  <c r="EP10"/>
  <c r="EQ10"/>
  <c r="ER10"/>
  <c r="ES10"/>
  <c r="ET10"/>
  <c r="EU10"/>
  <c r="EV10"/>
  <c r="EW10"/>
  <c r="EX10"/>
  <c r="EY10"/>
  <c r="EZ10"/>
  <c r="FA10"/>
  <c r="FB10"/>
  <c r="FC10"/>
  <c r="FD10"/>
  <c r="FE10"/>
  <c r="FF10"/>
  <c r="FG10"/>
  <c r="FH10"/>
  <c r="FI10"/>
  <c r="FJ10"/>
  <c r="FK10"/>
  <c r="FL10"/>
  <c r="FM10"/>
  <c r="FN10"/>
  <c r="FO10"/>
  <c r="FP10"/>
  <c r="FQ10"/>
  <c r="FR10"/>
  <c r="FS10"/>
  <c r="FT10"/>
  <c r="FU10"/>
  <c r="FV10"/>
  <c r="FW10"/>
  <c r="FX10"/>
  <c r="FY10"/>
  <c r="FZ10"/>
  <c r="GA10"/>
  <c r="GB10"/>
  <c r="GC10"/>
  <c r="GD10"/>
  <c r="GE10"/>
  <c r="GF10"/>
  <c r="GG10"/>
  <c r="GH10"/>
  <c r="GI10"/>
  <c r="GJ10"/>
  <c r="GK10"/>
  <c r="GL10"/>
  <c r="GM10"/>
  <c r="GN10"/>
  <c r="GO10"/>
  <c r="GP10"/>
  <c r="GQ10"/>
  <c r="GR10"/>
  <c r="GS10"/>
  <c r="GT10"/>
  <c r="GU10"/>
  <c r="GV10"/>
  <c r="GW10"/>
  <c r="GX10"/>
  <c r="GY10"/>
  <c r="GZ10"/>
  <c r="HA10"/>
  <c r="HB10"/>
  <c r="HC10"/>
  <c r="HD10"/>
  <c r="HE10"/>
  <c r="HF10"/>
  <c r="HG10"/>
  <c r="HH10"/>
  <c r="HI10"/>
  <c r="HJ10"/>
  <c r="HK10"/>
  <c r="HL10"/>
  <c r="HM10"/>
  <c r="HN10"/>
  <c r="HO10"/>
  <c r="HP10"/>
  <c r="HQ10"/>
  <c r="HR10"/>
  <c r="HS10"/>
  <c r="HT10"/>
  <c r="HU10"/>
  <c r="HV10"/>
  <c r="HW10"/>
  <c r="HX10"/>
  <c r="HY10"/>
  <c r="HZ10"/>
  <c r="IA10"/>
  <c r="IB10"/>
  <c r="IC10"/>
  <c r="ID10"/>
  <c r="IE10"/>
  <c r="IF10"/>
  <c r="IG10"/>
  <c r="IH10"/>
  <c r="II10"/>
  <c r="IJ10"/>
  <c r="IK10"/>
  <c r="IL10"/>
  <c r="IM10"/>
  <c r="IN10"/>
  <c r="IO10"/>
  <c r="IP10"/>
  <c r="IQ10"/>
  <c r="IR10"/>
  <c r="IS10"/>
  <c r="IT10"/>
  <c r="IU10"/>
  <c r="IV10"/>
  <c r="A11"/>
  <c r="B11"/>
  <c r="C11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E11"/>
  <c r="CF11"/>
  <c r="CG11"/>
  <c r="CH11"/>
  <c r="CI11"/>
  <c r="CJ11"/>
  <c r="CK11"/>
  <c r="CL11"/>
  <c r="CM11"/>
  <c r="CN11"/>
  <c r="CO11"/>
  <c r="CP11"/>
  <c r="CQ11"/>
  <c r="CR11"/>
  <c r="CS11"/>
  <c r="CT11"/>
  <c r="CU11"/>
  <c r="CV11"/>
  <c r="CW11"/>
  <c r="CX11"/>
  <c r="CY11"/>
  <c r="CZ11"/>
  <c r="DA11"/>
  <c r="DB11"/>
  <c r="DC11"/>
  <c r="DD11"/>
  <c r="DE11"/>
  <c r="DF11"/>
  <c r="DG11"/>
  <c r="DH11"/>
  <c r="DI11"/>
  <c r="DJ11"/>
  <c r="DK11"/>
  <c r="DL11"/>
  <c r="DM11"/>
  <c r="DN11"/>
  <c r="DO11"/>
  <c r="DP11"/>
  <c r="DQ11"/>
  <c r="DR11"/>
  <c r="DS11"/>
  <c r="DT11"/>
  <c r="DU11"/>
  <c r="DV11"/>
  <c r="DW11"/>
  <c r="DX11"/>
  <c r="DY11"/>
  <c r="DZ11"/>
  <c r="EA11"/>
  <c r="EB11"/>
  <c r="EC11"/>
  <c r="ED11"/>
  <c r="EE11"/>
  <c r="EF11"/>
  <c r="EG11"/>
  <c r="EH11"/>
  <c r="EI11"/>
  <c r="EJ11"/>
  <c r="EK11"/>
  <c r="EL11"/>
  <c r="EM11"/>
  <c r="EN11"/>
  <c r="EO11"/>
  <c r="EP11"/>
  <c r="EQ11"/>
  <c r="ER11"/>
  <c r="ES11"/>
  <c r="ET11"/>
  <c r="EU11"/>
  <c r="EV11"/>
  <c r="EW11"/>
  <c r="EX11"/>
  <c r="EY11"/>
  <c r="EZ11"/>
  <c r="FA11"/>
  <c r="FB11"/>
  <c r="FC11"/>
  <c r="FD11"/>
  <c r="FE11"/>
  <c r="FF11"/>
  <c r="FG11"/>
  <c r="FH11"/>
  <c r="FI11"/>
  <c r="FJ11"/>
  <c r="FK11"/>
  <c r="FL11"/>
  <c r="FM11"/>
  <c r="FN11"/>
  <c r="FO11"/>
  <c r="FP11"/>
  <c r="FQ11"/>
  <c r="FR11"/>
  <c r="FS11"/>
  <c r="FT11"/>
  <c r="FU11"/>
  <c r="FV11"/>
  <c r="FW11"/>
  <c r="FX11"/>
  <c r="FY11"/>
  <c r="FZ11"/>
  <c r="GA11"/>
  <c r="GB11"/>
  <c r="GC11"/>
  <c r="GD11"/>
  <c r="GE11"/>
  <c r="GF11"/>
  <c r="GG11"/>
  <c r="GH11"/>
  <c r="GI11"/>
  <c r="GJ11"/>
  <c r="GK11"/>
  <c r="GL11"/>
  <c r="GM11"/>
  <c r="GN11"/>
  <c r="GO11"/>
  <c r="GP11"/>
  <c r="GQ11"/>
  <c r="GR11"/>
  <c r="GS11"/>
  <c r="GT11"/>
  <c r="GU11"/>
  <c r="GV11"/>
  <c r="GW11"/>
  <c r="GX11"/>
  <c r="GY11"/>
  <c r="GZ11"/>
  <c r="HA11"/>
  <c r="HB11"/>
  <c r="HC11"/>
  <c r="HD11"/>
  <c r="HE11"/>
  <c r="HF11"/>
  <c r="HG11"/>
  <c r="HH11"/>
  <c r="HI11"/>
  <c r="HJ11"/>
  <c r="HK11"/>
  <c r="HL11"/>
  <c r="HM11"/>
  <c r="HN11"/>
  <c r="HO11"/>
  <c r="HP11"/>
  <c r="HQ11"/>
  <c r="HR11"/>
  <c r="HS11"/>
  <c r="HT11"/>
  <c r="HU11"/>
  <c r="HV11"/>
  <c r="HW11"/>
  <c r="HX11"/>
  <c r="HY11"/>
  <c r="HZ11"/>
  <c r="IA11"/>
  <c r="IB11"/>
  <c r="IC11"/>
  <c r="ID11"/>
  <c r="IE11"/>
  <c r="IF11"/>
  <c r="IG11"/>
  <c r="IH11"/>
  <c r="II11"/>
  <c r="IJ11"/>
  <c r="IK11"/>
  <c r="IL11"/>
  <c r="IM11"/>
  <c r="IN11"/>
  <c r="IO11"/>
  <c r="IP11"/>
  <c r="IQ11"/>
  <c r="IR11"/>
  <c r="IS11"/>
  <c r="IT11"/>
  <c r="IU11"/>
  <c r="IV11"/>
  <c r="A12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CF12"/>
  <c r="CG12"/>
  <c r="CH12"/>
  <c r="CI12"/>
  <c r="CJ12"/>
  <c r="CK12"/>
  <c r="CL12"/>
  <c r="CM12"/>
  <c r="CN12"/>
  <c r="CO12"/>
  <c r="CP12"/>
  <c r="CQ12"/>
  <c r="CR12"/>
  <c r="CS12"/>
  <c r="CT12"/>
  <c r="CU12"/>
  <c r="CV12"/>
  <c r="CW12"/>
  <c r="CX12"/>
  <c r="CY12"/>
  <c r="CZ12"/>
  <c r="DA12"/>
  <c r="DB12"/>
  <c r="DC12"/>
  <c r="DD12"/>
  <c r="DE12"/>
  <c r="DF12"/>
  <c r="DG12"/>
  <c r="DH12"/>
  <c r="DI12"/>
  <c r="DJ12"/>
  <c r="DK12"/>
  <c r="DL12"/>
  <c r="DM12"/>
  <c r="DN12"/>
  <c r="DO12"/>
  <c r="DP12"/>
  <c r="DQ12"/>
  <c r="DR12"/>
  <c r="DS12"/>
  <c r="DT12"/>
  <c r="DU12"/>
  <c r="DV12"/>
  <c r="DW12"/>
  <c r="DX12"/>
  <c r="DY12"/>
  <c r="DZ12"/>
  <c r="EA12"/>
  <c r="EB12"/>
  <c r="EC12"/>
  <c r="ED12"/>
  <c r="EE12"/>
  <c r="EF12"/>
  <c r="EG12"/>
  <c r="EH12"/>
  <c r="EI12"/>
  <c r="EJ12"/>
  <c r="EK12"/>
  <c r="EL12"/>
  <c r="EM12"/>
  <c r="EN12"/>
  <c r="EO12"/>
  <c r="EP12"/>
  <c r="EQ12"/>
  <c r="ER12"/>
  <c r="ES12"/>
  <c r="ET12"/>
  <c r="EU12"/>
  <c r="EV12"/>
  <c r="EW12"/>
  <c r="EX12"/>
  <c r="EY12"/>
  <c r="EZ12"/>
  <c r="FA12"/>
  <c r="FB12"/>
  <c r="FC12"/>
  <c r="FD12"/>
  <c r="FE12"/>
  <c r="FF12"/>
  <c r="FG12"/>
  <c r="FH12"/>
  <c r="FI12"/>
  <c r="FJ12"/>
  <c r="FK12"/>
  <c r="FL12"/>
  <c r="FM12"/>
  <c r="FN12"/>
  <c r="FO12"/>
  <c r="FP12"/>
  <c r="FQ12"/>
  <c r="FR12"/>
  <c r="FS12"/>
  <c r="FT12"/>
  <c r="FU12"/>
  <c r="FV12"/>
  <c r="FW12"/>
  <c r="FX12"/>
  <c r="FY12"/>
  <c r="FZ12"/>
  <c r="GA12"/>
  <c r="GB12"/>
  <c r="GC12"/>
  <c r="GD12"/>
  <c r="GE12"/>
  <c r="GF12"/>
  <c r="GG12"/>
  <c r="GH12"/>
  <c r="GI12"/>
  <c r="GJ12"/>
  <c r="GK12"/>
  <c r="GL12"/>
  <c r="GM12"/>
  <c r="GN12"/>
  <c r="GO12"/>
  <c r="GP12"/>
  <c r="GQ12"/>
  <c r="GR12"/>
  <c r="GS12"/>
  <c r="GT12"/>
  <c r="GU12"/>
  <c r="GV12"/>
  <c r="GW12"/>
  <c r="GX12"/>
  <c r="GY12"/>
  <c r="GZ12"/>
  <c r="HA12"/>
  <c r="HB12"/>
  <c r="HC12"/>
  <c r="HD12"/>
  <c r="HE12"/>
  <c r="HF12"/>
  <c r="HG12"/>
  <c r="HH12"/>
  <c r="HI12"/>
  <c r="HJ12"/>
  <c r="HK12"/>
  <c r="HL12"/>
  <c r="HM12"/>
  <c r="HN12"/>
  <c r="HO12"/>
  <c r="HP12"/>
  <c r="HQ12"/>
  <c r="HR12"/>
  <c r="HS12"/>
  <c r="HT12"/>
  <c r="HU12"/>
  <c r="HV12"/>
  <c r="HW12"/>
  <c r="HX12"/>
  <c r="HY12"/>
  <c r="HZ12"/>
  <c r="IA12"/>
  <c r="IB12"/>
  <c r="IC12"/>
  <c r="ID12"/>
  <c r="IE12"/>
  <c r="IF12"/>
  <c r="IG12"/>
  <c r="IH12"/>
  <c r="II12"/>
  <c r="IJ12"/>
  <c r="IK12"/>
  <c r="IL12"/>
  <c r="IM12"/>
  <c r="IN12"/>
  <c r="IO12"/>
  <c r="IP12"/>
  <c r="IQ12"/>
  <c r="IR12"/>
  <c r="IS12"/>
  <c r="IT12"/>
  <c r="IU12"/>
  <c r="IV12"/>
  <c r="A13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CB13"/>
  <c r="CC13"/>
  <c r="CD13"/>
  <c r="CE13"/>
  <c r="CF13"/>
  <c r="CG13"/>
  <c r="CH13"/>
  <c r="CI13"/>
  <c r="CJ13"/>
  <c r="CK13"/>
  <c r="CL13"/>
  <c r="CM13"/>
  <c r="CN13"/>
  <c r="CO13"/>
  <c r="CP13"/>
  <c r="CQ13"/>
  <c r="CR13"/>
  <c r="CS13"/>
  <c r="CT13"/>
  <c r="CU13"/>
  <c r="CV13"/>
  <c r="CW13"/>
  <c r="CX13"/>
  <c r="CY13"/>
  <c r="CZ13"/>
  <c r="DA13"/>
  <c r="DB13"/>
  <c r="DC13"/>
  <c r="DD13"/>
  <c r="DE13"/>
  <c r="DF13"/>
  <c r="DG13"/>
  <c r="DH13"/>
  <c r="DI13"/>
  <c r="DJ13"/>
  <c r="DK13"/>
  <c r="DL13"/>
  <c r="DM13"/>
  <c r="DN13"/>
  <c r="DO13"/>
  <c r="DP13"/>
  <c r="DQ13"/>
  <c r="DR13"/>
  <c r="DS13"/>
  <c r="DT13"/>
  <c r="DU13"/>
  <c r="DV13"/>
  <c r="DW13"/>
  <c r="DX13"/>
  <c r="DY13"/>
  <c r="DZ13"/>
  <c r="EA13"/>
  <c r="EB13"/>
  <c r="EC13"/>
  <c r="ED13"/>
  <c r="EE13"/>
  <c r="EF13"/>
  <c r="EG13"/>
  <c r="EH13"/>
  <c r="EI13"/>
  <c r="EJ13"/>
  <c r="EK13"/>
  <c r="EL13"/>
  <c r="EM13"/>
  <c r="EN13"/>
  <c r="EO13"/>
  <c r="EP13"/>
  <c r="EQ13"/>
  <c r="ER13"/>
  <c r="ES13"/>
  <c r="ET13"/>
  <c r="EU13"/>
  <c r="EV13"/>
  <c r="EW13"/>
  <c r="EX13"/>
  <c r="EY13"/>
  <c r="EZ13"/>
  <c r="FA13"/>
  <c r="FB13"/>
  <c r="FC13"/>
  <c r="FD13"/>
  <c r="FE13"/>
  <c r="FF13"/>
  <c r="FG13"/>
  <c r="FH13"/>
  <c r="FI13"/>
  <c r="FJ13"/>
  <c r="FK13"/>
  <c r="FL13"/>
  <c r="FM13"/>
  <c r="FN13"/>
  <c r="FO13"/>
  <c r="FP13"/>
  <c r="FQ13"/>
  <c r="FR13"/>
  <c r="FS13"/>
  <c r="FT13"/>
  <c r="FU13"/>
  <c r="FV13"/>
  <c r="FW13"/>
  <c r="FX13"/>
  <c r="FY13"/>
  <c r="FZ13"/>
  <c r="GA13"/>
  <c r="GB13"/>
  <c r="GC13"/>
  <c r="GD13"/>
  <c r="GE13"/>
  <c r="GF13"/>
  <c r="GG13"/>
  <c r="GH13"/>
  <c r="GI13"/>
  <c r="GJ13"/>
  <c r="GK13"/>
  <c r="GL13"/>
  <c r="GM13"/>
  <c r="GN13"/>
  <c r="GO13"/>
  <c r="GP13"/>
  <c r="GQ13"/>
  <c r="GR13"/>
  <c r="GS13"/>
  <c r="GT13"/>
  <c r="GU13"/>
  <c r="GV13"/>
  <c r="GW13"/>
  <c r="GX13"/>
  <c r="GY13"/>
  <c r="GZ13"/>
  <c r="HA13"/>
  <c r="HB13"/>
  <c r="HC13"/>
  <c r="HD13"/>
  <c r="HE13"/>
  <c r="HF13"/>
  <c r="HG13"/>
  <c r="HH13"/>
  <c r="HI13"/>
  <c r="HJ13"/>
  <c r="HK13"/>
  <c r="HL13"/>
  <c r="HM13"/>
  <c r="HN13"/>
  <c r="HO13"/>
  <c r="HP13"/>
  <c r="HQ13"/>
  <c r="HR13"/>
  <c r="HS13"/>
  <c r="HT13"/>
  <c r="HU13"/>
  <c r="HV13"/>
  <c r="HW13"/>
  <c r="HX13"/>
  <c r="HY13"/>
  <c r="HZ13"/>
  <c r="IA13"/>
  <c r="IB13"/>
  <c r="IC13"/>
  <c r="ID13"/>
  <c r="IE13"/>
  <c r="IF13"/>
  <c r="IG13"/>
  <c r="IH13"/>
  <c r="II13"/>
  <c r="IJ13"/>
  <c r="IK13"/>
  <c r="IL13"/>
  <c r="IM13"/>
  <c r="IN13"/>
  <c r="IO13"/>
  <c r="IP13"/>
  <c r="IQ13"/>
  <c r="IR13"/>
  <c r="IS13"/>
  <c r="IT13"/>
  <c r="IU13"/>
  <c r="IV13"/>
  <c r="A14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CB14"/>
  <c r="CC14"/>
  <c r="CD14"/>
  <c r="CE14"/>
  <c r="CF14"/>
  <c r="CG14"/>
  <c r="CH14"/>
  <c r="CI14"/>
  <c r="CJ14"/>
  <c r="CK14"/>
  <c r="CL14"/>
  <c r="CM14"/>
  <c r="CN14"/>
  <c r="CO14"/>
  <c r="CP14"/>
  <c r="CQ14"/>
  <c r="CR14"/>
  <c r="CS14"/>
  <c r="CT14"/>
  <c r="CU14"/>
  <c r="CV14"/>
  <c r="CW14"/>
  <c r="CX14"/>
  <c r="CY14"/>
  <c r="CZ14"/>
  <c r="DA14"/>
  <c r="DB14"/>
  <c r="DC14"/>
  <c r="DD14"/>
  <c r="DE14"/>
  <c r="DF14"/>
  <c r="DG14"/>
  <c r="DH14"/>
  <c r="DI14"/>
  <c r="DJ14"/>
  <c r="DK14"/>
  <c r="DL14"/>
  <c r="DM14"/>
  <c r="DN14"/>
  <c r="DO14"/>
  <c r="DP14"/>
  <c r="DQ14"/>
  <c r="DR14"/>
  <c r="DS14"/>
  <c r="DT14"/>
  <c r="DU14"/>
  <c r="DV14"/>
  <c r="DW14"/>
  <c r="DX14"/>
  <c r="DY14"/>
  <c r="DZ14"/>
  <c r="EA14"/>
  <c r="EB14"/>
  <c r="EC14"/>
  <c r="ED14"/>
  <c r="EE14"/>
  <c r="EF14"/>
  <c r="EG14"/>
  <c r="EH14"/>
  <c r="EI14"/>
  <c r="EJ14"/>
  <c r="EK14"/>
  <c r="EL14"/>
  <c r="EM14"/>
  <c r="EN14"/>
  <c r="EO14"/>
  <c r="EP14"/>
  <c r="EQ14"/>
  <c r="ER14"/>
  <c r="ES14"/>
  <c r="ET14"/>
  <c r="EU14"/>
  <c r="EV14"/>
  <c r="EW14"/>
  <c r="EX14"/>
  <c r="EY14"/>
  <c r="EZ14"/>
  <c r="FA14"/>
  <c r="FB14"/>
  <c r="FC14"/>
  <c r="FD14"/>
  <c r="FE14"/>
  <c r="FF14"/>
  <c r="FG14"/>
  <c r="FH14"/>
  <c r="FI14"/>
  <c r="FJ14"/>
  <c r="FK14"/>
  <c r="FL14"/>
  <c r="FM14"/>
  <c r="FN14"/>
  <c r="FO14"/>
  <c r="FP14"/>
  <c r="FQ14"/>
  <c r="FR14"/>
  <c r="FS14"/>
  <c r="FT14"/>
  <c r="FU14"/>
  <c r="FV14"/>
  <c r="FW14"/>
  <c r="FX14"/>
  <c r="FY14"/>
  <c r="FZ14"/>
  <c r="GA14"/>
  <c r="GB14"/>
  <c r="GC14"/>
  <c r="GD14"/>
  <c r="GE14"/>
  <c r="GF14"/>
  <c r="GG14"/>
  <c r="GH14"/>
  <c r="GI14"/>
  <c r="GJ14"/>
  <c r="GK14"/>
  <c r="GL14"/>
  <c r="GM14"/>
  <c r="GN14"/>
  <c r="GO14"/>
  <c r="GP14"/>
  <c r="GQ14"/>
  <c r="GR14"/>
  <c r="GS14"/>
  <c r="GT14"/>
  <c r="GU14"/>
  <c r="GV14"/>
  <c r="GW14"/>
  <c r="GX14"/>
  <c r="GY14"/>
  <c r="GZ14"/>
  <c r="HA14"/>
  <c r="HB14"/>
  <c r="HC14"/>
  <c r="HD14"/>
  <c r="HE14"/>
  <c r="HF14"/>
  <c r="HG14"/>
  <c r="HH14"/>
  <c r="HI14"/>
  <c r="HJ14"/>
  <c r="HK14"/>
  <c r="HL14"/>
  <c r="HM14"/>
  <c r="HN14"/>
  <c r="HO14"/>
  <c r="HP14"/>
  <c r="HQ14"/>
  <c r="HR14"/>
  <c r="HS14"/>
  <c r="HT14"/>
  <c r="HU14"/>
  <c r="HV14"/>
  <c r="HW14"/>
  <c r="HX14"/>
  <c r="HY14"/>
  <c r="HZ14"/>
  <c r="IA14"/>
  <c r="IB14"/>
  <c r="IC14"/>
  <c r="ID14"/>
  <c r="IE14"/>
  <c r="IF14"/>
  <c r="IG14"/>
  <c r="IH14"/>
  <c r="II14"/>
  <c r="IJ14"/>
  <c r="IK14"/>
  <c r="IL14"/>
  <c r="IM14"/>
  <c r="IN14"/>
  <c r="IO14"/>
  <c r="IP14"/>
  <c r="IQ14"/>
  <c r="IR14"/>
  <c r="IS14"/>
  <c r="IT14"/>
  <c r="IU14"/>
  <c r="IV14"/>
  <c r="A15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BV15"/>
  <c r="BW15"/>
  <c r="BX15"/>
  <c r="BY15"/>
  <c r="BZ15"/>
  <c r="CA15"/>
  <c r="CB15"/>
  <c r="CC15"/>
  <c r="CD15"/>
  <c r="CE15"/>
  <c r="CF15"/>
  <c r="CG15"/>
  <c r="CH15"/>
  <c r="CI15"/>
  <c r="CJ15"/>
  <c r="CK15"/>
  <c r="CL15"/>
  <c r="CM15"/>
  <c r="CN15"/>
  <c r="CO15"/>
  <c r="CP15"/>
  <c r="CQ15"/>
  <c r="CR15"/>
  <c r="CS15"/>
  <c r="CT15"/>
  <c r="CU15"/>
  <c r="CV15"/>
  <c r="CW15"/>
  <c r="CX15"/>
  <c r="CY15"/>
  <c r="CZ15"/>
  <c r="DA15"/>
  <c r="DB15"/>
  <c r="DC15"/>
  <c r="DD15"/>
  <c r="DE15"/>
  <c r="DF15"/>
  <c r="DG15"/>
  <c r="DH15"/>
  <c r="DI15"/>
  <c r="DJ15"/>
  <c r="DK15"/>
  <c r="DL15"/>
  <c r="DM15"/>
  <c r="DN15"/>
  <c r="DO15"/>
  <c r="DP15"/>
  <c r="DQ15"/>
  <c r="DR15"/>
  <c r="DS15"/>
  <c r="DT15"/>
  <c r="DU15"/>
  <c r="DV15"/>
  <c r="DW15"/>
  <c r="DX15"/>
  <c r="DY15"/>
  <c r="DZ15"/>
  <c r="EA15"/>
  <c r="EB15"/>
  <c r="EC15"/>
  <c r="ED15"/>
  <c r="EE15"/>
  <c r="EF15"/>
  <c r="EG15"/>
  <c r="EH15"/>
  <c r="EI15"/>
  <c r="EJ15"/>
  <c r="EK15"/>
  <c r="EL15"/>
  <c r="EM15"/>
  <c r="EN15"/>
  <c r="EO15"/>
  <c r="EP15"/>
  <c r="EQ15"/>
  <c r="ER15"/>
  <c r="ES15"/>
  <c r="ET15"/>
  <c r="EU15"/>
  <c r="EV15"/>
  <c r="EW15"/>
  <c r="EX15"/>
  <c r="EY15"/>
  <c r="EZ15"/>
  <c r="FA15"/>
  <c r="FB15"/>
  <c r="FC15"/>
  <c r="FD15"/>
  <c r="FE15"/>
  <c r="FF15"/>
  <c r="FG15"/>
  <c r="FH15"/>
  <c r="FI15"/>
  <c r="FJ15"/>
  <c r="FK15"/>
  <c r="FL15"/>
  <c r="FM15"/>
  <c r="FN15"/>
  <c r="FO15"/>
  <c r="FP15"/>
  <c r="FQ15"/>
  <c r="FR15"/>
  <c r="FS15"/>
  <c r="FT15"/>
  <c r="FU15"/>
  <c r="FV15"/>
  <c r="FW15"/>
  <c r="FX15"/>
  <c r="FY15"/>
  <c r="FZ15"/>
  <c r="GA15"/>
  <c r="GB15"/>
  <c r="GC15"/>
  <c r="GD15"/>
  <c r="GE15"/>
  <c r="GF15"/>
  <c r="GG15"/>
  <c r="GH15"/>
  <c r="GI15"/>
  <c r="GJ15"/>
  <c r="GK15"/>
  <c r="GL15"/>
  <c r="GM15"/>
  <c r="GN15"/>
  <c r="GO15"/>
  <c r="GP15"/>
  <c r="GQ15"/>
  <c r="GR15"/>
  <c r="GS15"/>
  <c r="GT15"/>
  <c r="GU15"/>
  <c r="GV15"/>
  <c r="GW15"/>
  <c r="GX15"/>
  <c r="GY15"/>
  <c r="GZ15"/>
  <c r="HA15"/>
  <c r="HB15"/>
  <c r="HC15"/>
  <c r="HD15"/>
  <c r="HE15"/>
  <c r="HF15"/>
  <c r="HG15"/>
  <c r="HH15"/>
  <c r="HI15"/>
  <c r="HJ15"/>
  <c r="HK15"/>
  <c r="HL15"/>
  <c r="HM15"/>
  <c r="HN15"/>
  <c r="HO15"/>
  <c r="HP15"/>
  <c r="HQ15"/>
  <c r="HR15"/>
  <c r="HS15"/>
  <c r="HT15"/>
  <c r="HU15"/>
  <c r="HV15"/>
  <c r="HW15"/>
  <c r="HX15"/>
  <c r="HY15"/>
  <c r="HZ15"/>
  <c r="IA15"/>
  <c r="IB15"/>
  <c r="IC15"/>
  <c r="ID15"/>
  <c r="IE15"/>
  <c r="IF15"/>
  <c r="IG15"/>
  <c r="IH15"/>
  <c r="II15"/>
  <c r="IJ15"/>
  <c r="IK15"/>
  <c r="IL15"/>
  <c r="IM15"/>
  <c r="IN15"/>
  <c r="IO15"/>
  <c r="IP15"/>
  <c r="IQ15"/>
  <c r="IR15"/>
  <c r="IS15"/>
  <c r="IT15"/>
  <c r="IU15"/>
  <c r="IV15"/>
  <c r="A16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CB16"/>
  <c r="CC16"/>
  <c r="CD16"/>
  <c r="CE16"/>
  <c r="CF16"/>
  <c r="CG16"/>
  <c r="CH16"/>
  <c r="CI16"/>
  <c r="CJ16"/>
  <c r="CK16"/>
  <c r="CL16"/>
  <c r="CM16"/>
  <c r="CN16"/>
  <c r="CO16"/>
  <c r="CP16"/>
  <c r="CQ16"/>
  <c r="CR16"/>
  <c r="CS16"/>
  <c r="CT16"/>
  <c r="CU16"/>
  <c r="CV16"/>
  <c r="CW16"/>
  <c r="CX16"/>
  <c r="CY16"/>
  <c r="CZ16"/>
  <c r="DA16"/>
  <c r="DB16"/>
  <c r="DC16"/>
  <c r="DD16"/>
  <c r="DE16"/>
  <c r="DF16"/>
  <c r="DG16"/>
  <c r="DH16"/>
  <c r="DI16"/>
  <c r="DJ16"/>
  <c r="DK16"/>
  <c r="DL16"/>
  <c r="DM16"/>
  <c r="DN16"/>
  <c r="DO16"/>
  <c r="DP16"/>
  <c r="DQ16"/>
  <c r="DR16"/>
  <c r="DS16"/>
  <c r="DT16"/>
  <c r="DU16"/>
  <c r="DV16"/>
  <c r="DW16"/>
  <c r="DX16"/>
  <c r="DY16"/>
  <c r="DZ16"/>
  <c r="EA16"/>
  <c r="EB16"/>
  <c r="EC16"/>
  <c r="ED16"/>
  <c r="EE16"/>
  <c r="EF16"/>
  <c r="EG16"/>
  <c r="EH16"/>
  <c r="EI16"/>
  <c r="EJ16"/>
  <c r="EK16"/>
  <c r="EL16"/>
  <c r="EM16"/>
  <c r="EN16"/>
  <c r="EO16"/>
  <c r="EP16"/>
  <c r="EQ16"/>
  <c r="ER16"/>
  <c r="ES16"/>
  <c r="ET16"/>
  <c r="EU16"/>
  <c r="EV16"/>
  <c r="EW16"/>
  <c r="EX16"/>
  <c r="EY16"/>
  <c r="EZ16"/>
  <c r="FA16"/>
  <c r="FB16"/>
  <c r="FC16"/>
  <c r="FD16"/>
  <c r="FE16"/>
  <c r="FF16"/>
  <c r="FG16"/>
  <c r="FH16"/>
  <c r="FI16"/>
  <c r="FJ16"/>
  <c r="FK16"/>
  <c r="FL16"/>
  <c r="FM16"/>
  <c r="FN16"/>
  <c r="FO16"/>
  <c r="FP16"/>
  <c r="FQ16"/>
  <c r="FR16"/>
  <c r="FS16"/>
  <c r="FT16"/>
  <c r="FU16"/>
  <c r="FV16"/>
  <c r="FW16"/>
  <c r="FX16"/>
  <c r="FY16"/>
  <c r="FZ16"/>
  <c r="GA16"/>
  <c r="GB16"/>
  <c r="GC16"/>
  <c r="GD16"/>
  <c r="GE16"/>
  <c r="GF16"/>
  <c r="GG16"/>
  <c r="GH16"/>
  <c r="GI16"/>
  <c r="GJ16"/>
  <c r="GK16"/>
  <c r="GL16"/>
  <c r="GM16"/>
  <c r="GN16"/>
  <c r="GO16"/>
  <c r="GP16"/>
  <c r="GQ16"/>
  <c r="GR16"/>
  <c r="GS16"/>
  <c r="GT16"/>
  <c r="GU16"/>
  <c r="GV16"/>
  <c r="GW16"/>
  <c r="GX16"/>
  <c r="GY16"/>
  <c r="GZ16"/>
  <c r="HA16"/>
  <c r="HB16"/>
  <c r="HC16"/>
  <c r="HD16"/>
  <c r="HE16"/>
  <c r="HF16"/>
  <c r="HG16"/>
  <c r="HH16"/>
  <c r="HI16"/>
  <c r="HJ16"/>
  <c r="HK16"/>
  <c r="HL16"/>
  <c r="HM16"/>
  <c r="HN16"/>
  <c r="HO16"/>
  <c r="HP16"/>
  <c r="HQ16"/>
  <c r="HR16"/>
  <c r="HS16"/>
  <c r="HT16"/>
  <c r="HU16"/>
  <c r="HV16"/>
  <c r="HW16"/>
  <c r="HX16"/>
  <c r="HY16"/>
  <c r="HZ16"/>
  <c r="IA16"/>
  <c r="IB16"/>
  <c r="IC16"/>
  <c r="ID16"/>
  <c r="IE16"/>
  <c r="IF16"/>
  <c r="IG16"/>
  <c r="IH16"/>
  <c r="II16"/>
  <c r="IJ16"/>
  <c r="IK16"/>
  <c r="IL16"/>
  <c r="IM16"/>
  <c r="IN16"/>
  <c r="IO16"/>
  <c r="IP16"/>
  <c r="IQ16"/>
  <c r="IR16"/>
  <c r="IS16"/>
  <c r="IT16"/>
  <c r="IU16"/>
  <c r="IV16"/>
  <c r="A17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BV17"/>
  <c r="BW17"/>
  <c r="BX17"/>
  <c r="BY17"/>
  <c r="BZ17"/>
  <c r="CA17"/>
  <c r="CB17"/>
  <c r="CC17"/>
  <c r="CD17"/>
  <c r="CE17"/>
  <c r="CF17"/>
  <c r="CG17"/>
  <c r="CH17"/>
  <c r="CI17"/>
  <c r="CJ17"/>
  <c r="CK17"/>
  <c r="CL17"/>
  <c r="CM17"/>
  <c r="CN17"/>
  <c r="CO17"/>
  <c r="CP17"/>
  <c r="CQ17"/>
  <c r="CR17"/>
  <c r="CS17"/>
  <c r="CT17"/>
  <c r="CU17"/>
  <c r="CV17"/>
  <c r="CW17"/>
  <c r="CX17"/>
  <c r="CY17"/>
  <c r="CZ17"/>
  <c r="DA17"/>
  <c r="DB17"/>
  <c r="DC17"/>
  <c r="DD17"/>
  <c r="DE17"/>
  <c r="DF17"/>
  <c r="DG17"/>
  <c r="DH17"/>
  <c r="DI17"/>
  <c r="DJ17"/>
  <c r="DK17"/>
  <c r="DL17"/>
  <c r="DM17"/>
  <c r="DN17"/>
  <c r="DO17"/>
  <c r="DP17"/>
  <c r="DQ17"/>
  <c r="DR17"/>
  <c r="DS17"/>
  <c r="DT17"/>
  <c r="DU17"/>
  <c r="DV17"/>
  <c r="DW17"/>
  <c r="DX17"/>
  <c r="DY17"/>
  <c r="DZ17"/>
  <c r="EA17"/>
  <c r="EB17"/>
  <c r="EC17"/>
  <c r="ED17"/>
  <c r="EE17"/>
  <c r="EF17"/>
  <c r="EG17"/>
  <c r="EH17"/>
  <c r="EI17"/>
  <c r="EJ17"/>
  <c r="EK17"/>
  <c r="EL17"/>
  <c r="EM17"/>
  <c r="EN17"/>
  <c r="EO17"/>
  <c r="EP17"/>
  <c r="EQ17"/>
  <c r="ER17"/>
  <c r="ES17"/>
  <c r="ET17"/>
  <c r="EU17"/>
  <c r="EV17"/>
  <c r="EW17"/>
  <c r="EX17"/>
  <c r="EY17"/>
  <c r="EZ17"/>
  <c r="FA17"/>
  <c r="FB17"/>
  <c r="FC17"/>
  <c r="FD17"/>
  <c r="FE17"/>
  <c r="FF17"/>
  <c r="FG17"/>
  <c r="FH17"/>
  <c r="FI17"/>
  <c r="FJ17"/>
  <c r="FK17"/>
  <c r="FL17"/>
  <c r="FM17"/>
  <c r="FN17"/>
  <c r="FO17"/>
  <c r="FP17"/>
  <c r="FQ17"/>
  <c r="FR17"/>
  <c r="FS17"/>
  <c r="FT17"/>
  <c r="FU17"/>
  <c r="FV17"/>
  <c r="FW17"/>
  <c r="FX17"/>
  <c r="FY17"/>
  <c r="FZ17"/>
  <c r="GA17"/>
  <c r="GB17"/>
  <c r="GC17"/>
  <c r="GD17"/>
  <c r="GE17"/>
  <c r="GF17"/>
  <c r="GG17"/>
  <c r="GH17"/>
  <c r="GI17"/>
  <c r="GJ17"/>
  <c r="GK17"/>
  <c r="GL17"/>
  <c r="GM17"/>
  <c r="GN17"/>
  <c r="GO17"/>
  <c r="GP17"/>
  <c r="GQ17"/>
  <c r="GR17"/>
  <c r="GS17"/>
  <c r="GT17"/>
  <c r="GU17"/>
  <c r="GV17"/>
  <c r="GW17"/>
  <c r="GX17"/>
  <c r="GY17"/>
  <c r="GZ17"/>
  <c r="HA17"/>
  <c r="HB17"/>
  <c r="HC17"/>
  <c r="HD17"/>
  <c r="HE17"/>
  <c r="HF17"/>
  <c r="HG17"/>
  <c r="HH17"/>
  <c r="HI17"/>
  <c r="HJ17"/>
  <c r="HK17"/>
  <c r="HL17"/>
  <c r="HM17"/>
  <c r="HN17"/>
  <c r="HO17"/>
  <c r="HP17"/>
  <c r="HQ17"/>
  <c r="HR17"/>
  <c r="HS17"/>
  <c r="HT17"/>
  <c r="HU17"/>
  <c r="HV17"/>
  <c r="HW17"/>
  <c r="HX17"/>
  <c r="HY17"/>
  <c r="HZ17"/>
  <c r="IA17"/>
  <c r="IB17"/>
  <c r="IC17"/>
  <c r="ID17"/>
  <c r="IE17"/>
  <c r="IF17"/>
  <c r="IG17"/>
  <c r="IH17"/>
  <c r="II17"/>
  <c r="IJ17"/>
  <c r="IK17"/>
  <c r="IL17"/>
  <c r="IM17"/>
  <c r="IN17"/>
  <c r="IO17"/>
  <c r="IP17"/>
  <c r="IQ17"/>
  <c r="IR17"/>
  <c r="IS17"/>
  <c r="IT17"/>
  <c r="IU17"/>
  <c r="IV17"/>
  <c r="A18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E18"/>
  <c r="CF18"/>
  <c r="CG18"/>
  <c r="CH18"/>
  <c r="CI18"/>
  <c r="CJ18"/>
  <c r="CK18"/>
  <c r="CL18"/>
  <c r="CM18"/>
  <c r="CN18"/>
  <c r="CO18"/>
  <c r="CP18"/>
  <c r="CQ18"/>
  <c r="CR18"/>
  <c r="CS18"/>
  <c r="CT18"/>
  <c r="CU18"/>
  <c r="CV18"/>
  <c r="CW18"/>
  <c r="CX18"/>
  <c r="CY18"/>
  <c r="CZ18"/>
  <c r="DA18"/>
  <c r="DB18"/>
  <c r="DC18"/>
  <c r="DD18"/>
  <c r="DE18"/>
  <c r="DF18"/>
  <c r="DG18"/>
  <c r="DH18"/>
  <c r="DI18"/>
  <c r="DJ18"/>
  <c r="DK18"/>
  <c r="DL18"/>
  <c r="DM18"/>
  <c r="DN18"/>
  <c r="DO18"/>
  <c r="DP18"/>
  <c r="DQ18"/>
  <c r="DR18"/>
  <c r="DS18"/>
  <c r="DT18"/>
  <c r="DU18"/>
  <c r="DV18"/>
  <c r="DW18"/>
  <c r="DX18"/>
  <c r="DY18"/>
  <c r="DZ18"/>
  <c r="EA18"/>
  <c r="EB18"/>
  <c r="EC18"/>
  <c r="ED18"/>
  <c r="EE18"/>
  <c r="EF18"/>
  <c r="EG18"/>
  <c r="EH18"/>
  <c r="EI18"/>
  <c r="EJ18"/>
  <c r="EK18"/>
  <c r="EL18"/>
  <c r="EM18"/>
  <c r="EN18"/>
  <c r="EO18"/>
  <c r="EP18"/>
  <c r="EQ18"/>
  <c r="ER18"/>
  <c r="ES18"/>
  <c r="ET18"/>
  <c r="EU18"/>
  <c r="EV18"/>
  <c r="EW18"/>
  <c r="EX18"/>
  <c r="EY18"/>
  <c r="EZ18"/>
  <c r="FA18"/>
  <c r="FB18"/>
  <c r="FC18"/>
  <c r="FD18"/>
  <c r="FE18"/>
  <c r="FF18"/>
  <c r="FG18"/>
  <c r="FH18"/>
  <c r="FI18"/>
  <c r="FJ18"/>
  <c r="FK18"/>
  <c r="FL18"/>
  <c r="FM18"/>
  <c r="FN18"/>
  <c r="FO18"/>
  <c r="FP18"/>
  <c r="FQ18"/>
  <c r="FR18"/>
  <c r="FS18"/>
  <c r="FT18"/>
  <c r="FU18"/>
  <c r="FV18"/>
  <c r="FW18"/>
  <c r="FX18"/>
  <c r="FY18"/>
  <c r="FZ18"/>
  <c r="GA18"/>
  <c r="GB18"/>
  <c r="GC18"/>
  <c r="GD18"/>
  <c r="GE18"/>
  <c r="GF18"/>
  <c r="GG18"/>
  <c r="GH18"/>
  <c r="GI18"/>
  <c r="GJ18"/>
  <c r="GK18"/>
  <c r="GL18"/>
  <c r="GM18"/>
  <c r="GN18"/>
  <c r="GO18"/>
  <c r="GP18"/>
  <c r="GQ18"/>
  <c r="GR18"/>
  <c r="GS18"/>
  <c r="GT18"/>
  <c r="GU18"/>
  <c r="GV18"/>
  <c r="GW18"/>
  <c r="GX18"/>
  <c r="GY18"/>
  <c r="GZ18"/>
  <c r="HA18"/>
  <c r="HB18"/>
  <c r="HC18"/>
  <c r="HD18"/>
  <c r="HE18"/>
  <c r="HF18"/>
  <c r="HG18"/>
  <c r="HH18"/>
  <c r="HI18"/>
  <c r="HJ18"/>
  <c r="HK18"/>
  <c r="HL18"/>
  <c r="HM18"/>
  <c r="HN18"/>
  <c r="HO18"/>
  <c r="HP18"/>
  <c r="HQ18"/>
  <c r="HR18"/>
  <c r="HS18"/>
  <c r="HT18"/>
  <c r="HU18"/>
  <c r="HV18"/>
  <c r="HW18"/>
  <c r="HX18"/>
  <c r="HY18"/>
  <c r="HZ18"/>
  <c r="IA18"/>
  <c r="IB18"/>
  <c r="IC18"/>
  <c r="ID18"/>
  <c r="IE18"/>
  <c r="IF18"/>
  <c r="IG18"/>
  <c r="IH18"/>
  <c r="II18"/>
  <c r="IJ18"/>
  <c r="IK18"/>
  <c r="IL18"/>
  <c r="IM18"/>
  <c r="IN18"/>
  <c r="IO18"/>
  <c r="IP18"/>
  <c r="IQ18"/>
  <c r="IR18"/>
  <c r="IS18"/>
  <c r="IT18"/>
  <c r="IU18"/>
  <c r="IV18"/>
  <c r="A19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BV19"/>
  <c r="BW19"/>
  <c r="BX19"/>
  <c r="BY19"/>
  <c r="BZ19"/>
  <c r="CA19"/>
  <c r="CB19"/>
  <c r="CC19"/>
  <c r="CD19"/>
  <c r="CE19"/>
  <c r="CF19"/>
  <c r="CG19"/>
  <c r="CH19"/>
  <c r="CI19"/>
  <c r="CJ19"/>
  <c r="CK19"/>
  <c r="CL19"/>
  <c r="CM19"/>
  <c r="CN19"/>
  <c r="CO19"/>
  <c r="CP19"/>
  <c r="CQ19"/>
  <c r="CR19"/>
  <c r="CS19"/>
  <c r="CT19"/>
  <c r="CU19"/>
  <c r="CV19"/>
  <c r="CW19"/>
  <c r="CX19"/>
  <c r="CY19"/>
  <c r="CZ19"/>
  <c r="DA19"/>
  <c r="DB19"/>
  <c r="DC19"/>
  <c r="DD19"/>
  <c r="DE19"/>
  <c r="DF19"/>
  <c r="DG19"/>
  <c r="DH19"/>
  <c r="DI19"/>
  <c r="DJ19"/>
  <c r="DK19"/>
  <c r="DL19"/>
  <c r="DM19"/>
  <c r="DN19"/>
  <c r="DO19"/>
  <c r="DP19"/>
  <c r="DQ19"/>
  <c r="DR19"/>
  <c r="DS19"/>
  <c r="DT19"/>
  <c r="DU19"/>
  <c r="DV19"/>
  <c r="DW19"/>
  <c r="DX19"/>
  <c r="DY19"/>
  <c r="DZ19"/>
  <c r="EA19"/>
  <c r="EB19"/>
  <c r="EC19"/>
  <c r="ED19"/>
  <c r="EE19"/>
  <c r="EF19"/>
  <c r="EG19"/>
  <c r="EH19"/>
  <c r="EI19"/>
  <c r="EJ19"/>
  <c r="EK19"/>
  <c r="EL19"/>
  <c r="EM19"/>
  <c r="EN19"/>
  <c r="EO19"/>
  <c r="EP19"/>
  <c r="EQ19"/>
  <c r="ER19"/>
  <c r="ES19"/>
  <c r="ET19"/>
  <c r="EU19"/>
  <c r="EV19"/>
  <c r="EW19"/>
  <c r="EX19"/>
  <c r="EY19"/>
  <c r="EZ19"/>
  <c r="FA19"/>
  <c r="FB19"/>
  <c r="FC19"/>
  <c r="FD19"/>
  <c r="FE19"/>
  <c r="FF19"/>
  <c r="FG19"/>
  <c r="FH19"/>
  <c r="FI19"/>
  <c r="FJ19"/>
  <c r="FK19"/>
  <c r="FL19"/>
  <c r="FM19"/>
  <c r="FN19"/>
  <c r="FO19"/>
  <c r="FP19"/>
  <c r="FQ19"/>
  <c r="FR19"/>
  <c r="FS19"/>
  <c r="FT19"/>
  <c r="FU19"/>
  <c r="FV19"/>
  <c r="FW19"/>
  <c r="FX19"/>
  <c r="FY19"/>
  <c r="FZ19"/>
  <c r="GA19"/>
  <c r="GB19"/>
  <c r="GC19"/>
  <c r="GD19"/>
  <c r="GE19"/>
  <c r="GF19"/>
  <c r="GG19"/>
  <c r="GH19"/>
  <c r="GI19"/>
  <c r="GJ19"/>
  <c r="GK19"/>
  <c r="GL19"/>
  <c r="GM19"/>
  <c r="GN19"/>
  <c r="GO19"/>
  <c r="GP19"/>
  <c r="GQ19"/>
  <c r="GR19"/>
  <c r="GS19"/>
  <c r="GT19"/>
  <c r="GU19"/>
  <c r="GV19"/>
  <c r="GW19"/>
  <c r="GX19"/>
  <c r="GY19"/>
  <c r="GZ19"/>
  <c r="HA19"/>
  <c r="HB19"/>
  <c r="HC19"/>
  <c r="HD19"/>
  <c r="HE19"/>
  <c r="HF19"/>
  <c r="HG19"/>
  <c r="HH19"/>
  <c r="HI19"/>
  <c r="HJ19"/>
  <c r="HK19"/>
  <c r="HL19"/>
  <c r="HM19"/>
  <c r="HN19"/>
  <c r="HO19"/>
  <c r="HP19"/>
  <c r="HQ19"/>
  <c r="HR19"/>
  <c r="HS19"/>
  <c r="HT19"/>
  <c r="HU19"/>
  <c r="HV19"/>
  <c r="HW19"/>
  <c r="HX19"/>
  <c r="HY19"/>
  <c r="HZ19"/>
  <c r="IA19"/>
  <c r="IB19"/>
  <c r="IC19"/>
  <c r="ID19"/>
  <c r="IE19"/>
  <c r="IF19"/>
  <c r="IG19"/>
  <c r="IH19"/>
  <c r="II19"/>
  <c r="IJ19"/>
  <c r="IK19"/>
  <c r="IL19"/>
  <c r="IM19"/>
  <c r="IN19"/>
  <c r="IO19"/>
  <c r="IP19"/>
  <c r="IQ19"/>
  <c r="IR19"/>
  <c r="IS19"/>
  <c r="IT19"/>
  <c r="IU19"/>
  <c r="IV19"/>
  <c r="A20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CB20"/>
  <c r="CC20"/>
  <c r="CD20"/>
  <c r="CE20"/>
  <c r="CF20"/>
  <c r="CG20"/>
  <c r="CH20"/>
  <c r="CI20"/>
  <c r="CJ20"/>
  <c r="CK20"/>
  <c r="CL20"/>
  <c r="CM20"/>
  <c r="CN20"/>
  <c r="CO20"/>
  <c r="CP20"/>
  <c r="CQ20"/>
  <c r="CR20"/>
  <c r="CS20"/>
  <c r="CT20"/>
  <c r="CU20"/>
  <c r="CV20"/>
  <c r="CW20"/>
  <c r="CX20"/>
  <c r="CY20"/>
  <c r="CZ20"/>
  <c r="DA20"/>
  <c r="DB20"/>
  <c r="DC20"/>
  <c r="DD20"/>
  <c r="DE20"/>
  <c r="DF20"/>
  <c r="DG20"/>
  <c r="DH20"/>
  <c r="DI20"/>
  <c r="DJ20"/>
  <c r="DK20"/>
  <c r="DL20"/>
  <c r="DM20"/>
  <c r="DN20"/>
  <c r="DO20"/>
  <c r="DP20"/>
  <c r="DQ20"/>
  <c r="DR20"/>
  <c r="DS20"/>
  <c r="DT20"/>
  <c r="DU20"/>
  <c r="DV20"/>
  <c r="DW20"/>
  <c r="DX20"/>
  <c r="DY20"/>
  <c r="DZ20"/>
  <c r="EA20"/>
  <c r="EB20"/>
  <c r="EC20"/>
  <c r="ED20"/>
  <c r="EE20"/>
  <c r="EF20"/>
  <c r="EG20"/>
  <c r="EH20"/>
  <c r="EI20"/>
  <c r="EJ20"/>
  <c r="EK20"/>
  <c r="EL20"/>
  <c r="EM20"/>
  <c r="EN20"/>
  <c r="EO20"/>
  <c r="EP20"/>
  <c r="EQ20"/>
  <c r="ER20"/>
  <c r="ES20"/>
  <c r="ET20"/>
  <c r="EU20"/>
  <c r="EV20"/>
  <c r="EW20"/>
  <c r="EX20"/>
  <c r="EY20"/>
  <c r="EZ20"/>
  <c r="FA20"/>
  <c r="FB20"/>
  <c r="FC20"/>
  <c r="FD20"/>
  <c r="FE20"/>
  <c r="FF20"/>
  <c r="FG20"/>
  <c r="FH20"/>
  <c r="FI20"/>
  <c r="FJ20"/>
  <c r="FK20"/>
  <c r="FL20"/>
  <c r="FM20"/>
  <c r="FN20"/>
  <c r="FO20"/>
  <c r="FP20"/>
  <c r="FQ20"/>
  <c r="FR20"/>
  <c r="FS20"/>
  <c r="FT20"/>
  <c r="FU20"/>
  <c r="FV20"/>
  <c r="FW20"/>
  <c r="FX20"/>
  <c r="FY20"/>
  <c r="FZ20"/>
  <c r="GA20"/>
  <c r="GB20"/>
  <c r="GC20"/>
  <c r="GD20"/>
  <c r="GE20"/>
  <c r="GF20"/>
  <c r="GG20"/>
  <c r="GH20"/>
  <c r="GI20"/>
  <c r="GJ20"/>
  <c r="GK20"/>
  <c r="GL20"/>
  <c r="GM20"/>
  <c r="GN20"/>
  <c r="GO20"/>
  <c r="GP20"/>
  <c r="GQ20"/>
  <c r="GR20"/>
  <c r="GS20"/>
  <c r="GT20"/>
  <c r="GU20"/>
  <c r="GV20"/>
  <c r="GW20"/>
  <c r="GX20"/>
  <c r="GY20"/>
  <c r="GZ20"/>
  <c r="HA20"/>
  <c r="HB20"/>
  <c r="HC20"/>
  <c r="HD20"/>
  <c r="HE20"/>
  <c r="HF20"/>
  <c r="HG20"/>
  <c r="HH20"/>
  <c r="HI20"/>
  <c r="HJ20"/>
  <c r="HK20"/>
  <c r="HL20"/>
  <c r="HM20"/>
  <c r="HN20"/>
  <c r="HO20"/>
  <c r="HP20"/>
  <c r="HQ20"/>
  <c r="HR20"/>
  <c r="HS20"/>
  <c r="HT20"/>
  <c r="HU20"/>
  <c r="HV20"/>
  <c r="HW20"/>
  <c r="HX20"/>
  <c r="HY20"/>
  <c r="HZ20"/>
  <c r="IA20"/>
  <c r="IB20"/>
  <c r="IC20"/>
  <c r="ID20"/>
  <c r="IE20"/>
  <c r="IF20"/>
  <c r="IG20"/>
  <c r="IH20"/>
  <c r="II20"/>
  <c r="IJ20"/>
  <c r="IK20"/>
  <c r="IL20"/>
  <c r="IM20"/>
  <c r="IN20"/>
  <c r="IO20"/>
  <c r="IP20"/>
  <c r="IQ20"/>
  <c r="IR20"/>
  <c r="IS20"/>
  <c r="IT20"/>
  <c r="IU20"/>
  <c r="IV20"/>
  <c r="A21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BV21"/>
  <c r="BW21"/>
  <c r="BX21"/>
  <c r="BY21"/>
  <c r="BZ21"/>
  <c r="CA21"/>
  <c r="CB21"/>
  <c r="CC21"/>
  <c r="CD21"/>
  <c r="CE21"/>
  <c r="CF21"/>
  <c r="CG21"/>
  <c r="CH21"/>
  <c r="CI21"/>
  <c r="CJ21"/>
  <c r="CK21"/>
  <c r="CL21"/>
  <c r="CM21"/>
  <c r="CN21"/>
  <c r="CO21"/>
  <c r="CP21"/>
  <c r="CQ21"/>
  <c r="CR21"/>
  <c r="CS21"/>
  <c r="CT21"/>
  <c r="CU21"/>
  <c r="CV21"/>
  <c r="CW21"/>
  <c r="CX21"/>
  <c r="CY21"/>
  <c r="CZ21"/>
  <c r="DA21"/>
  <c r="DB21"/>
  <c r="DC21"/>
  <c r="DD21"/>
  <c r="DE21"/>
  <c r="DF21"/>
  <c r="DG21"/>
  <c r="DH21"/>
  <c r="DI21"/>
  <c r="DJ21"/>
  <c r="DK21"/>
  <c r="DL21"/>
  <c r="DM21"/>
  <c r="DN21"/>
  <c r="DO21"/>
  <c r="DP21"/>
  <c r="DQ21"/>
  <c r="DR21"/>
  <c r="DS21"/>
  <c r="DT21"/>
  <c r="DU21"/>
  <c r="DV21"/>
  <c r="DW21"/>
  <c r="DX21"/>
  <c r="DY21"/>
  <c r="DZ21"/>
  <c r="EA21"/>
  <c r="EB21"/>
  <c r="EC21"/>
  <c r="ED21"/>
  <c r="EE21"/>
  <c r="EF21"/>
  <c r="EG21"/>
  <c r="EH21"/>
  <c r="EI21"/>
  <c r="EJ21"/>
  <c r="EK21"/>
  <c r="EL21"/>
  <c r="EM21"/>
  <c r="EN21"/>
  <c r="EO21"/>
  <c r="EP21"/>
  <c r="EQ21"/>
  <c r="ER21"/>
  <c r="ES21"/>
  <c r="ET21"/>
  <c r="EU21"/>
  <c r="EV21"/>
  <c r="EW21"/>
  <c r="EX21"/>
  <c r="EY21"/>
  <c r="EZ21"/>
  <c r="FA21"/>
  <c r="FB21"/>
  <c r="FC21"/>
  <c r="FD21"/>
  <c r="FE21"/>
  <c r="FF21"/>
  <c r="FG21"/>
  <c r="FH21"/>
  <c r="FI21"/>
  <c r="FJ21"/>
  <c r="FK21"/>
  <c r="FL21"/>
  <c r="FM21"/>
  <c r="FN21"/>
  <c r="FO21"/>
  <c r="FP21"/>
  <c r="FQ21"/>
  <c r="FR21"/>
  <c r="FS21"/>
  <c r="FT21"/>
  <c r="FU21"/>
  <c r="FV21"/>
  <c r="FW21"/>
  <c r="FX21"/>
  <c r="FY21"/>
  <c r="FZ21"/>
  <c r="GA21"/>
  <c r="GB21"/>
  <c r="GC21"/>
  <c r="GD21"/>
  <c r="GE21"/>
  <c r="GF21"/>
  <c r="GG21"/>
  <c r="GH21"/>
  <c r="GI21"/>
  <c r="GJ21"/>
  <c r="GK21"/>
  <c r="GL21"/>
  <c r="GM21"/>
  <c r="GN21"/>
  <c r="GO21"/>
  <c r="GP21"/>
  <c r="GQ21"/>
  <c r="GR21"/>
  <c r="GS21"/>
  <c r="GT21"/>
  <c r="GU21"/>
  <c r="GV21"/>
  <c r="GW21"/>
  <c r="GX21"/>
  <c r="GY21"/>
  <c r="GZ21"/>
  <c r="HA21"/>
  <c r="HB21"/>
  <c r="HC21"/>
  <c r="HD21"/>
  <c r="HE21"/>
  <c r="HF21"/>
  <c r="HG21"/>
  <c r="HH21"/>
  <c r="HI21"/>
  <c r="HJ21"/>
  <c r="HK21"/>
  <c r="HL21"/>
  <c r="HM21"/>
  <c r="HN21"/>
  <c r="HO21"/>
  <c r="HP21"/>
  <c r="HQ21"/>
  <c r="HR21"/>
  <c r="HS21"/>
  <c r="HT21"/>
  <c r="HU21"/>
  <c r="HV21"/>
  <c r="HW21"/>
  <c r="HX21"/>
  <c r="HY21"/>
  <c r="HZ21"/>
  <c r="IA21"/>
  <c r="IB21"/>
  <c r="IC21"/>
  <c r="ID21"/>
  <c r="IE21"/>
  <c r="IF21"/>
  <c r="IG21"/>
  <c r="IH21"/>
  <c r="II21"/>
  <c r="IJ21"/>
  <c r="IK21"/>
  <c r="IL21"/>
  <c r="IM21"/>
  <c r="IN21"/>
  <c r="IO21"/>
  <c r="IP21"/>
  <c r="IQ21"/>
  <c r="IR21"/>
  <c r="IS21"/>
  <c r="IT21"/>
  <c r="IU21"/>
  <c r="IV21"/>
  <c r="A22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E22"/>
  <c r="CF22"/>
  <c r="CG22"/>
  <c r="CH22"/>
  <c r="CI22"/>
  <c r="CJ22"/>
  <c r="CK22"/>
  <c r="CL22"/>
  <c r="CM22"/>
  <c r="CN22"/>
  <c r="CO22"/>
  <c r="CP22"/>
  <c r="CQ22"/>
  <c r="CR22"/>
  <c r="CS22"/>
  <c r="CT22"/>
  <c r="CU22"/>
  <c r="CV22"/>
  <c r="CW22"/>
  <c r="CX22"/>
  <c r="CY22"/>
  <c r="CZ22"/>
  <c r="DA22"/>
  <c r="DB22"/>
  <c r="DC22"/>
  <c r="DD22"/>
  <c r="DE22"/>
  <c r="DF22"/>
  <c r="DG22"/>
  <c r="DH22"/>
  <c r="DI22"/>
  <c r="DJ22"/>
  <c r="DK22"/>
  <c r="DL22"/>
  <c r="DM22"/>
  <c r="DN22"/>
  <c r="DO22"/>
  <c r="DP22"/>
  <c r="DQ22"/>
  <c r="DR22"/>
  <c r="DS22"/>
  <c r="DT22"/>
  <c r="DU22"/>
  <c r="DV22"/>
  <c r="DW22"/>
  <c r="DX22"/>
  <c r="DY22"/>
  <c r="DZ22"/>
  <c r="EA22"/>
  <c r="EB22"/>
  <c r="EC22"/>
  <c r="ED22"/>
  <c r="EE22"/>
  <c r="EF22"/>
  <c r="EG22"/>
  <c r="EH22"/>
  <c r="EI22"/>
  <c r="EJ22"/>
  <c r="EK22"/>
  <c r="EL22"/>
  <c r="EM22"/>
  <c r="EN22"/>
  <c r="EO22"/>
  <c r="EP22"/>
  <c r="EQ22"/>
  <c r="ER22"/>
  <c r="ES22"/>
  <c r="ET22"/>
  <c r="EU22"/>
  <c r="EV22"/>
  <c r="EW22"/>
  <c r="EX22"/>
  <c r="EY22"/>
  <c r="EZ22"/>
  <c r="FA22"/>
  <c r="FB22"/>
  <c r="FC22"/>
  <c r="FD22"/>
  <c r="FE22"/>
  <c r="FF22"/>
  <c r="FG22"/>
  <c r="FH22"/>
  <c r="FI22"/>
  <c r="FJ22"/>
  <c r="FK22"/>
  <c r="FL22"/>
  <c r="FM22"/>
  <c r="FN22"/>
  <c r="FO22"/>
  <c r="FP22"/>
  <c r="FQ22"/>
  <c r="FR22"/>
  <c r="FS22"/>
  <c r="FT22"/>
  <c r="FU22"/>
  <c r="FV22"/>
  <c r="FW22"/>
  <c r="FX22"/>
  <c r="FY22"/>
  <c r="FZ22"/>
  <c r="GA22"/>
  <c r="GB22"/>
  <c r="GC22"/>
  <c r="GD22"/>
  <c r="GE22"/>
  <c r="GF22"/>
  <c r="GG22"/>
  <c r="GH22"/>
  <c r="GI22"/>
  <c r="GJ22"/>
  <c r="GK22"/>
  <c r="GL22"/>
  <c r="GM22"/>
  <c r="GN22"/>
  <c r="GO22"/>
  <c r="GP22"/>
  <c r="GQ22"/>
  <c r="GR22"/>
  <c r="GS22"/>
  <c r="GT22"/>
  <c r="GU22"/>
  <c r="GV22"/>
  <c r="GW22"/>
  <c r="GX22"/>
  <c r="GY22"/>
  <c r="GZ22"/>
  <c r="HA22"/>
  <c r="HB22"/>
  <c r="HC22"/>
  <c r="HD22"/>
  <c r="HE22"/>
  <c r="HF22"/>
  <c r="HG22"/>
  <c r="HH22"/>
  <c r="HI22"/>
  <c r="HJ22"/>
  <c r="HK22"/>
  <c r="HL22"/>
  <c r="HM22"/>
  <c r="HN22"/>
  <c r="HO22"/>
  <c r="HP22"/>
  <c r="HQ22"/>
  <c r="HR22"/>
  <c r="HS22"/>
  <c r="HT22"/>
  <c r="HU22"/>
  <c r="HV22"/>
  <c r="HW22"/>
  <c r="HX22"/>
  <c r="HY22"/>
  <c r="HZ22"/>
  <c r="IA22"/>
  <c r="IB22"/>
  <c r="IC22"/>
  <c r="ID22"/>
  <c r="IE22"/>
  <c r="IF22"/>
  <c r="IG22"/>
  <c r="IH22"/>
  <c r="II22"/>
  <c r="IJ22"/>
  <c r="IK22"/>
  <c r="IL22"/>
  <c r="IM22"/>
  <c r="IN22"/>
  <c r="IO22"/>
  <c r="IP22"/>
  <c r="IQ22"/>
  <c r="IR22"/>
  <c r="IS22"/>
  <c r="IT22"/>
  <c r="IU22"/>
  <c r="IV22"/>
  <c r="A23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BV23"/>
  <c r="BW23"/>
  <c r="BX23"/>
  <c r="BY23"/>
  <c r="BZ23"/>
  <c r="CA23"/>
  <c r="CB23"/>
  <c r="CC23"/>
  <c r="CD23"/>
  <c r="CE23"/>
  <c r="CF23"/>
  <c r="CG23"/>
  <c r="CH23"/>
  <c r="CI23"/>
  <c r="CJ23"/>
  <c r="CK23"/>
  <c r="CL23"/>
  <c r="CM23"/>
  <c r="CN23"/>
  <c r="CO23"/>
  <c r="CP23"/>
  <c r="CQ23"/>
  <c r="CR23"/>
  <c r="CS23"/>
  <c r="CT23"/>
  <c r="CU23"/>
  <c r="CV23"/>
  <c r="CW23"/>
  <c r="CX23"/>
  <c r="CY23"/>
  <c r="CZ23"/>
  <c r="DA23"/>
  <c r="DB23"/>
  <c r="DC23"/>
  <c r="DG23"/>
  <c r="DH23"/>
  <c r="A24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BV24"/>
  <c r="BW24"/>
  <c r="BX24"/>
  <c r="BY24"/>
  <c r="BZ24"/>
  <c r="CA24"/>
  <c r="CB24"/>
  <c r="CC24"/>
  <c r="CD24"/>
  <c r="CE24"/>
  <c r="CF24"/>
  <c r="CG24"/>
  <c r="CH24"/>
  <c r="CI24"/>
  <c r="CJ24"/>
  <c r="CK24"/>
  <c r="CL24"/>
  <c r="CM24"/>
  <c r="CN24"/>
  <c r="CO24"/>
  <c r="CP24"/>
  <c r="CQ24"/>
  <c r="CR24"/>
  <c r="CS24"/>
  <c r="CT24"/>
  <c r="CU24"/>
  <c r="CV24"/>
  <c r="CW24"/>
  <c r="CX24"/>
  <c r="CY24"/>
  <c r="CZ24"/>
  <c r="DA24"/>
  <c r="DB24"/>
  <c r="DC24"/>
  <c r="DD24"/>
  <c r="DE24"/>
  <c r="DF24"/>
  <c r="DG24"/>
  <c r="DH24"/>
  <c r="DI24"/>
  <c r="DJ24"/>
  <c r="DK24"/>
  <c r="DL24"/>
  <c r="DM24"/>
  <c r="DN24"/>
  <c r="DO24"/>
  <c r="DP24"/>
  <c r="DQ24"/>
  <c r="DR24"/>
  <c r="DS24"/>
  <c r="DT24"/>
  <c r="DU24"/>
  <c r="DV24"/>
  <c r="DW24"/>
  <c r="DX24"/>
  <c r="DY24"/>
  <c r="DZ24"/>
  <c r="EA24"/>
  <c r="EB24"/>
  <c r="EC24"/>
  <c r="ED24"/>
  <c r="EE24"/>
  <c r="EF24"/>
  <c r="EG24"/>
  <c r="EH24"/>
  <c r="EI24"/>
  <c r="EJ24"/>
  <c r="EK24"/>
  <c r="EL24"/>
  <c r="EM24"/>
  <c r="EN24"/>
  <c r="EO24"/>
  <c r="EP24"/>
  <c r="EQ24"/>
  <c r="ER24"/>
  <c r="ES24"/>
  <c r="ET24"/>
  <c r="EU24"/>
  <c r="EV24"/>
  <c r="EW24"/>
  <c r="EX24"/>
  <c r="EY24"/>
  <c r="EZ24"/>
  <c r="FA24"/>
  <c r="FB24"/>
  <c r="FC24"/>
  <c r="FD24"/>
  <c r="FE24"/>
  <c r="FF24"/>
  <c r="FG24"/>
  <c r="FH24"/>
  <c r="FI24"/>
  <c r="FJ24"/>
  <c r="FK24"/>
  <c r="FL24"/>
  <c r="FM24"/>
  <c r="FN24"/>
  <c r="FO24"/>
  <c r="FP24"/>
  <c r="FQ24"/>
  <c r="FR24"/>
  <c r="FS24"/>
  <c r="FT24"/>
  <c r="FU24"/>
  <c r="FV24"/>
  <c r="FW24"/>
  <c r="FX24"/>
  <c r="FY24"/>
  <c r="FZ24"/>
  <c r="GA24"/>
  <c r="GB24"/>
  <c r="GC24"/>
  <c r="GD24"/>
  <c r="GE24"/>
  <c r="GF24"/>
  <c r="GG24"/>
  <c r="GH24"/>
  <c r="GI24"/>
  <c r="GJ24"/>
  <c r="GK24"/>
  <c r="GL24"/>
  <c r="GM24"/>
  <c r="GN24"/>
  <c r="GO24"/>
  <c r="GP24"/>
  <c r="GQ24"/>
  <c r="GR24"/>
  <c r="GS24"/>
  <c r="GT24"/>
  <c r="GU24"/>
  <c r="GV24"/>
  <c r="GW24"/>
  <c r="GX24"/>
  <c r="GY24"/>
  <c r="GZ24"/>
  <c r="HA24"/>
  <c r="HB24"/>
  <c r="HC24"/>
  <c r="HD24"/>
  <c r="HE24"/>
  <c r="HF24"/>
  <c r="HG24"/>
  <c r="HH24"/>
  <c r="HI24"/>
  <c r="HJ24"/>
  <c r="HK24"/>
  <c r="HL24"/>
  <c r="HM24"/>
  <c r="HN24"/>
  <c r="HO24"/>
  <c r="HP24"/>
  <c r="HQ24"/>
  <c r="HR24"/>
  <c r="HS24"/>
  <c r="HT24"/>
  <c r="HU24"/>
  <c r="HV24"/>
  <c r="HW24"/>
  <c r="HX24"/>
  <c r="HY24"/>
  <c r="HZ24"/>
  <c r="IA24"/>
  <c r="IB24"/>
  <c r="IC24"/>
  <c r="ID24"/>
  <c r="IE24"/>
  <c r="IF24"/>
  <c r="IG24"/>
  <c r="IH24"/>
  <c r="II24"/>
  <c r="IJ24"/>
  <c r="IK24"/>
  <c r="IL24"/>
  <c r="IM24"/>
  <c r="IN24"/>
  <c r="IO24"/>
  <c r="IP24"/>
  <c r="IQ24"/>
  <c r="IR24"/>
  <c r="IS24"/>
  <c r="IT24"/>
  <c r="IU24"/>
  <c r="IV24"/>
  <c r="A25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BV25"/>
  <c r="BW25"/>
  <c r="BX25"/>
  <c r="BY25"/>
  <c r="BZ25"/>
  <c r="CA25"/>
  <c r="CB25"/>
  <c r="CC25"/>
  <c r="CD25"/>
  <c r="CE25"/>
  <c r="CF25"/>
  <c r="CG25"/>
  <c r="CH25"/>
  <c r="CI25"/>
  <c r="CJ25"/>
  <c r="CK25"/>
  <c r="CL25"/>
  <c r="CM25"/>
  <c r="CN25"/>
  <c r="CO25"/>
  <c r="CP25"/>
  <c r="CQ25"/>
  <c r="CR25"/>
  <c r="CS25"/>
  <c r="CT25"/>
  <c r="CU25"/>
  <c r="CV25"/>
  <c r="CW25"/>
  <c r="CX25"/>
  <c r="CY25"/>
  <c r="CZ25"/>
  <c r="DA25"/>
  <c r="DB25"/>
  <c r="DC25"/>
  <c r="DD25"/>
  <c r="DE25"/>
  <c r="DF25"/>
  <c r="DG25"/>
  <c r="DH25"/>
  <c r="DI25"/>
  <c r="DJ25"/>
  <c r="DK25"/>
  <c r="DL25"/>
  <c r="DM25"/>
  <c r="DN25"/>
  <c r="DO25"/>
  <c r="DP25"/>
  <c r="DQ25"/>
  <c r="DR25"/>
  <c r="DS25"/>
  <c r="DT25"/>
  <c r="DU25"/>
  <c r="DV25"/>
  <c r="DW25"/>
  <c r="DX25"/>
  <c r="DY25"/>
  <c r="DZ25"/>
  <c r="EA25"/>
  <c r="EB25"/>
  <c r="EC25"/>
  <c r="ED25"/>
  <c r="EE25"/>
  <c r="EF25"/>
  <c r="EG25"/>
  <c r="EH25"/>
  <c r="EI25"/>
  <c r="EJ25"/>
  <c r="EK25"/>
  <c r="EL25"/>
  <c r="EM25"/>
  <c r="EN25"/>
  <c r="EO25"/>
  <c r="EP25"/>
  <c r="EQ25"/>
  <c r="ER25"/>
  <c r="ES25"/>
  <c r="ET25"/>
  <c r="EU25"/>
  <c r="EV25"/>
  <c r="EW25"/>
  <c r="EX25"/>
  <c r="EY25"/>
  <c r="EZ25"/>
  <c r="FA25"/>
  <c r="FB25"/>
  <c r="FC25"/>
  <c r="FD25"/>
  <c r="FE25"/>
  <c r="FF25"/>
  <c r="FG25"/>
  <c r="FH25"/>
  <c r="FI25"/>
  <c r="FJ25"/>
  <c r="FK25"/>
  <c r="FL25"/>
  <c r="FM25"/>
  <c r="FN25"/>
  <c r="FO25"/>
  <c r="FP25"/>
  <c r="FQ25"/>
  <c r="FR25"/>
  <c r="FS25"/>
  <c r="FT25"/>
  <c r="FU25"/>
  <c r="FV25"/>
  <c r="FW25"/>
  <c r="FX25"/>
  <c r="FY25"/>
  <c r="FZ25"/>
  <c r="GA25"/>
  <c r="GB25"/>
  <c r="GC25"/>
  <c r="GD25"/>
  <c r="GE25"/>
  <c r="GF25"/>
  <c r="GG25"/>
  <c r="GH25"/>
  <c r="GI25"/>
  <c r="GJ25"/>
  <c r="GK25"/>
  <c r="GL25"/>
  <c r="GM25"/>
  <c r="GN25"/>
  <c r="GO25"/>
  <c r="GP25"/>
  <c r="GQ25"/>
  <c r="GR25"/>
  <c r="GS25"/>
  <c r="GT25"/>
  <c r="GU25"/>
  <c r="GV25"/>
  <c r="GW25"/>
  <c r="GX25"/>
  <c r="GY25"/>
  <c r="GZ25"/>
  <c r="HA25"/>
  <c r="HB25"/>
  <c r="HC25"/>
  <c r="HD25"/>
  <c r="HE25"/>
  <c r="HF25"/>
  <c r="HG25"/>
  <c r="HH25"/>
  <c r="HI25"/>
  <c r="HJ25"/>
  <c r="HK25"/>
  <c r="HL25"/>
  <c r="HM25"/>
  <c r="HN25"/>
  <c r="HO25"/>
  <c r="HP25"/>
  <c r="HQ25"/>
  <c r="HR25"/>
  <c r="HS25"/>
  <c r="HT25"/>
  <c r="HU25"/>
  <c r="HV25"/>
  <c r="HW25"/>
  <c r="HX25"/>
  <c r="HY25"/>
  <c r="HZ25"/>
  <c r="IA25"/>
  <c r="IB25"/>
  <c r="IC25"/>
  <c r="ID25"/>
  <c r="IE25"/>
  <c r="IF25"/>
  <c r="IG25"/>
  <c r="IH25"/>
  <c r="II25"/>
  <c r="IJ25"/>
  <c r="IK25"/>
  <c r="IL25"/>
  <c r="IM25"/>
  <c r="IN25"/>
  <c r="IO25"/>
  <c r="IP25"/>
  <c r="IQ25"/>
  <c r="IR25"/>
  <c r="IS25"/>
  <c r="IT25"/>
  <c r="IU25"/>
  <c r="IV25"/>
  <c r="A26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E26"/>
  <c r="CF26"/>
  <c r="CG26"/>
  <c r="CH26"/>
  <c r="CI26"/>
  <c r="CJ26"/>
  <c r="CK26"/>
  <c r="CL26"/>
  <c r="CM26"/>
  <c r="CN26"/>
  <c r="CO26"/>
  <c r="CP26"/>
  <c r="CQ26"/>
  <c r="CR26"/>
  <c r="CS26"/>
  <c r="CT26"/>
  <c r="CU26"/>
  <c r="CV26"/>
  <c r="CW26"/>
  <c r="CX26"/>
  <c r="CY26"/>
  <c r="CZ26"/>
  <c r="DA26"/>
  <c r="DB26"/>
  <c r="DC26"/>
  <c r="DD26"/>
  <c r="DE26"/>
  <c r="DF26"/>
  <c r="DG26"/>
  <c r="DH26"/>
  <c r="DI26"/>
  <c r="DJ26"/>
  <c r="DK26"/>
  <c r="DL26"/>
  <c r="DM26"/>
  <c r="DN26"/>
  <c r="DO26"/>
  <c r="DP26"/>
  <c r="DQ26"/>
  <c r="DR26"/>
  <c r="DS26"/>
  <c r="DT26"/>
  <c r="DU26"/>
  <c r="DV26"/>
  <c r="DW26"/>
  <c r="DX26"/>
  <c r="DY26"/>
  <c r="DZ26"/>
  <c r="EA26"/>
  <c r="EB26"/>
  <c r="EC26"/>
  <c r="ED26"/>
  <c r="EE26"/>
  <c r="EF26"/>
  <c r="EG26"/>
  <c r="EH26"/>
  <c r="EI26"/>
  <c r="EJ26"/>
  <c r="EK26"/>
  <c r="EL26"/>
  <c r="EM26"/>
  <c r="EN26"/>
  <c r="EO26"/>
  <c r="EP26"/>
  <c r="EQ26"/>
  <c r="ER26"/>
  <c r="ES26"/>
  <c r="ET26"/>
  <c r="EU26"/>
  <c r="EV26"/>
  <c r="EW26"/>
  <c r="EX26"/>
  <c r="EY26"/>
  <c r="EZ26"/>
  <c r="FA26"/>
  <c r="FB26"/>
  <c r="FC26"/>
  <c r="FD26"/>
  <c r="FE26"/>
  <c r="FF26"/>
  <c r="FG26"/>
  <c r="FH26"/>
  <c r="FI26"/>
  <c r="FJ26"/>
  <c r="FK26"/>
  <c r="FL26"/>
  <c r="FM26"/>
  <c r="FN26"/>
  <c r="FO26"/>
  <c r="FP26"/>
  <c r="FQ26"/>
  <c r="FR26"/>
  <c r="FS26"/>
  <c r="FT26"/>
  <c r="FU26"/>
  <c r="FV26"/>
  <c r="FW26"/>
  <c r="FX26"/>
  <c r="FY26"/>
  <c r="FZ26"/>
  <c r="GA26"/>
  <c r="GB26"/>
  <c r="GC26"/>
  <c r="GD26"/>
  <c r="GE26"/>
  <c r="GF26"/>
  <c r="GG26"/>
  <c r="GH26"/>
  <c r="GI26"/>
  <c r="GJ26"/>
  <c r="GK26"/>
  <c r="GL26"/>
  <c r="GM26"/>
  <c r="GN26"/>
  <c r="GO26"/>
  <c r="GP26"/>
  <c r="GQ26"/>
  <c r="GR26"/>
  <c r="GS26"/>
  <c r="GT26"/>
  <c r="GU26"/>
  <c r="GV26"/>
  <c r="GW26"/>
  <c r="GX26"/>
  <c r="GY26"/>
  <c r="GZ26"/>
  <c r="HA26"/>
  <c r="HB26"/>
  <c r="HC26"/>
  <c r="HD26"/>
  <c r="HE26"/>
  <c r="HF26"/>
  <c r="HG26"/>
  <c r="HH26"/>
  <c r="HI26"/>
  <c r="HJ26"/>
  <c r="HK26"/>
  <c r="HL26"/>
  <c r="HM26"/>
  <c r="HN26"/>
  <c r="HO26"/>
  <c r="HP26"/>
  <c r="HQ26"/>
  <c r="HR26"/>
  <c r="HS26"/>
  <c r="HT26"/>
  <c r="HU26"/>
  <c r="HV26"/>
  <c r="HW26"/>
  <c r="HX26"/>
  <c r="HY26"/>
  <c r="HZ26"/>
  <c r="IA26"/>
  <c r="IB26"/>
  <c r="IC26"/>
  <c r="ID26"/>
  <c r="IE26"/>
  <c r="IF26"/>
  <c r="IG26"/>
  <c r="IH26"/>
  <c r="II26"/>
  <c r="IJ26"/>
  <c r="IK26"/>
  <c r="IL26"/>
  <c r="IM26"/>
  <c r="IN26"/>
  <c r="IO26"/>
  <c r="IP26"/>
  <c r="IQ26"/>
  <c r="IR26"/>
  <c r="IS26"/>
  <c r="IT26"/>
  <c r="IU26"/>
  <c r="IV26"/>
  <c r="A27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BY27"/>
  <c r="BZ27"/>
  <c r="CA27"/>
  <c r="CB27"/>
  <c r="CC27"/>
  <c r="CD27"/>
  <c r="CE27"/>
  <c r="CF27"/>
  <c r="CG27"/>
  <c r="CH27"/>
  <c r="CI27"/>
  <c r="CJ27"/>
  <c r="CK27"/>
  <c r="CL27"/>
  <c r="CM27"/>
  <c r="CN27"/>
  <c r="CO27"/>
  <c r="CP27"/>
  <c r="CQ27"/>
  <c r="CR27"/>
  <c r="CS27"/>
  <c r="CT27"/>
  <c r="CU27"/>
  <c r="CV27"/>
  <c r="CW27"/>
  <c r="CX27"/>
  <c r="CY27"/>
  <c r="CZ27"/>
  <c r="DA27"/>
  <c r="DB27"/>
  <c r="DC27"/>
  <c r="DD27"/>
  <c r="DE27"/>
  <c r="DF27"/>
  <c r="DG27"/>
  <c r="DH27"/>
  <c r="DI27"/>
  <c r="DJ27"/>
  <c r="DK27"/>
  <c r="DL27"/>
  <c r="DM27"/>
  <c r="DN27"/>
  <c r="DO27"/>
  <c r="DP27"/>
  <c r="DQ27"/>
  <c r="DR27"/>
  <c r="DS27"/>
  <c r="DT27"/>
  <c r="DU27"/>
  <c r="DV27"/>
  <c r="DW27"/>
  <c r="DX27"/>
  <c r="DY27"/>
  <c r="DZ27"/>
  <c r="EA27"/>
  <c r="EB27"/>
  <c r="EC27"/>
  <c r="ED27"/>
  <c r="EE27"/>
  <c r="EF27"/>
  <c r="EG27"/>
  <c r="EH27"/>
  <c r="EI27"/>
  <c r="EJ27"/>
  <c r="EK27"/>
  <c r="EL27"/>
  <c r="EM27"/>
  <c r="EN27"/>
  <c r="EO27"/>
  <c r="EP27"/>
  <c r="EQ27"/>
  <c r="ER27"/>
  <c r="ES27"/>
  <c r="ET27"/>
  <c r="EU27"/>
  <c r="EV27"/>
  <c r="EW27"/>
  <c r="EX27"/>
  <c r="EY27"/>
  <c r="EZ27"/>
  <c r="FA27"/>
  <c r="FB27"/>
  <c r="FC27"/>
  <c r="FD27"/>
  <c r="FE27"/>
  <c r="FF27"/>
  <c r="FG27"/>
  <c r="FH27"/>
  <c r="FI27"/>
  <c r="FJ27"/>
  <c r="FK27"/>
  <c r="FL27"/>
  <c r="FM27"/>
  <c r="FN27"/>
  <c r="FO27"/>
  <c r="FP27"/>
  <c r="FQ27"/>
  <c r="FR27"/>
  <c r="FS27"/>
  <c r="FT27"/>
  <c r="FU27"/>
  <c r="FV27"/>
  <c r="FW27"/>
  <c r="FX27"/>
  <c r="FY27"/>
  <c r="FZ27"/>
  <c r="GA27"/>
  <c r="GB27"/>
  <c r="GC27"/>
  <c r="GD27"/>
  <c r="GE27"/>
  <c r="GF27"/>
  <c r="GG27"/>
  <c r="GH27"/>
  <c r="GI27"/>
  <c r="GJ27"/>
  <c r="GK27"/>
  <c r="GL27"/>
  <c r="GM27"/>
  <c r="GN27"/>
  <c r="GO27"/>
  <c r="GP27"/>
  <c r="GQ27"/>
  <c r="GR27"/>
  <c r="GS27"/>
  <c r="GT27"/>
  <c r="GU27"/>
  <c r="GV27"/>
  <c r="GW27"/>
  <c r="GX27"/>
  <c r="GY27"/>
  <c r="GZ27"/>
  <c r="HA27"/>
  <c r="HB27"/>
  <c r="HC27"/>
  <c r="HD27"/>
  <c r="HE27"/>
  <c r="HF27"/>
  <c r="HG27"/>
  <c r="HH27"/>
  <c r="HI27"/>
  <c r="HJ27"/>
  <c r="HK27"/>
  <c r="HL27"/>
  <c r="HM27"/>
  <c r="HN27"/>
  <c r="HO27"/>
  <c r="HP27"/>
  <c r="HQ27"/>
  <c r="HR27"/>
  <c r="HS27"/>
  <c r="HT27"/>
  <c r="HU27"/>
  <c r="HV27"/>
  <c r="HW27"/>
  <c r="HX27"/>
  <c r="HY27"/>
  <c r="HZ27"/>
  <c r="IA27"/>
  <c r="IB27"/>
  <c r="IC27"/>
  <c r="ID27"/>
  <c r="IE27"/>
  <c r="IF27"/>
  <c r="IG27"/>
  <c r="IH27"/>
  <c r="II27"/>
  <c r="IJ27"/>
  <c r="IK27"/>
  <c r="IL27"/>
  <c r="IM27"/>
  <c r="IN27"/>
  <c r="IO27"/>
  <c r="IP27"/>
  <c r="IQ27"/>
  <c r="IR27"/>
  <c r="IS27"/>
  <c r="IT27"/>
  <c r="IU27"/>
  <c r="IV27"/>
  <c r="A28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A28"/>
  <c r="CB28"/>
  <c r="CC28"/>
  <c r="CD28"/>
  <c r="CE28"/>
  <c r="CF28"/>
  <c r="CG28"/>
  <c r="CH28"/>
  <c r="CI28"/>
  <c r="CJ28"/>
  <c r="CK28"/>
  <c r="CL28"/>
  <c r="CM28"/>
  <c r="CN28"/>
  <c r="CO28"/>
  <c r="CP28"/>
  <c r="CQ28"/>
  <c r="CR28"/>
  <c r="CS28"/>
  <c r="CT28"/>
  <c r="CU28"/>
  <c r="CV28"/>
  <c r="CW28"/>
  <c r="CX28"/>
  <c r="CY28"/>
  <c r="CZ28"/>
  <c r="DA28"/>
  <c r="DB28"/>
  <c r="DC28"/>
  <c r="DD28"/>
  <c r="DE28"/>
  <c r="DF28"/>
  <c r="DG28"/>
  <c r="DH28"/>
  <c r="DI28"/>
  <c r="DJ28"/>
  <c r="DK28"/>
  <c r="DL28"/>
  <c r="DM28"/>
  <c r="DN28"/>
  <c r="DO28"/>
  <c r="DP28"/>
  <c r="DQ28"/>
  <c r="DR28"/>
  <c r="DS28"/>
  <c r="DT28"/>
  <c r="DU28"/>
  <c r="DV28"/>
  <c r="DW28"/>
  <c r="DX28"/>
  <c r="DY28"/>
  <c r="DZ28"/>
  <c r="EA28"/>
  <c r="EB28"/>
  <c r="EC28"/>
  <c r="ED28"/>
  <c r="EE28"/>
  <c r="EF28"/>
  <c r="EG28"/>
  <c r="EH28"/>
  <c r="EI28"/>
  <c r="EJ28"/>
  <c r="EK28"/>
  <c r="EL28"/>
  <c r="EM28"/>
  <c r="EN28"/>
  <c r="EO28"/>
  <c r="EP28"/>
  <c r="EQ28"/>
  <c r="ER28"/>
  <c r="ES28"/>
  <c r="ET28"/>
  <c r="EU28"/>
  <c r="EV28"/>
  <c r="EW28"/>
  <c r="EX28"/>
  <c r="EY28"/>
  <c r="EZ28"/>
  <c r="FA28"/>
  <c r="FB28"/>
  <c r="FC28"/>
  <c r="FD28"/>
  <c r="FE28"/>
  <c r="FF28"/>
  <c r="FG28"/>
  <c r="FH28"/>
  <c r="FI28"/>
  <c r="FJ28"/>
  <c r="FK28"/>
  <c r="FL28"/>
  <c r="FM28"/>
  <c r="FN28"/>
  <c r="FO28"/>
  <c r="FP28"/>
  <c r="FQ28"/>
  <c r="FR28"/>
  <c r="FS28"/>
  <c r="FT28"/>
  <c r="FU28"/>
  <c r="FV28"/>
  <c r="FW28"/>
  <c r="FX28"/>
  <c r="FY28"/>
  <c r="FZ28"/>
  <c r="GA28"/>
  <c r="GB28"/>
  <c r="GC28"/>
  <c r="GD28"/>
  <c r="GE28"/>
  <c r="GF28"/>
  <c r="GG28"/>
  <c r="GH28"/>
  <c r="GI28"/>
  <c r="GJ28"/>
  <c r="GK28"/>
  <c r="GL28"/>
  <c r="GM28"/>
  <c r="GN28"/>
  <c r="GO28"/>
  <c r="GP28"/>
  <c r="GQ28"/>
  <c r="GR28"/>
  <c r="GS28"/>
  <c r="GT28"/>
  <c r="GU28"/>
  <c r="GV28"/>
  <c r="GW28"/>
  <c r="GX28"/>
  <c r="GY28"/>
  <c r="GZ28"/>
  <c r="HA28"/>
  <c r="HB28"/>
  <c r="HC28"/>
  <c r="HD28"/>
  <c r="HE28"/>
  <c r="HF28"/>
  <c r="HG28"/>
  <c r="HH28"/>
  <c r="HI28"/>
  <c r="HJ28"/>
  <c r="HK28"/>
  <c r="HL28"/>
  <c r="HM28"/>
  <c r="HN28"/>
  <c r="HO28"/>
  <c r="HP28"/>
  <c r="HQ28"/>
  <c r="HR28"/>
  <c r="HS28"/>
  <c r="HT28"/>
  <c r="HU28"/>
  <c r="HV28"/>
  <c r="HW28"/>
  <c r="HX28"/>
  <c r="HY28"/>
  <c r="HZ28"/>
  <c r="IA28"/>
  <c r="IB28"/>
  <c r="IC28"/>
  <c r="ID28"/>
  <c r="IE28"/>
  <c r="IF28"/>
  <c r="IG28"/>
  <c r="IH28"/>
  <c r="II28"/>
  <c r="IJ28"/>
  <c r="IK28"/>
  <c r="IL28"/>
  <c r="IM28"/>
  <c r="IN28"/>
  <c r="IO28"/>
  <c r="IP28"/>
  <c r="IQ28"/>
  <c r="IR28"/>
  <c r="IV28"/>
  <c r="A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CB29"/>
  <c r="CC29"/>
  <c r="CD29"/>
  <c r="CE29"/>
  <c r="CF29"/>
  <c r="CG29"/>
  <c r="CH29"/>
  <c r="CI29"/>
  <c r="CJ29"/>
  <c r="CK29"/>
  <c r="CL29"/>
  <c r="CM29"/>
  <c r="CN29"/>
  <c r="CO29"/>
  <c r="CP29"/>
  <c r="CQ29"/>
  <c r="CR29"/>
  <c r="CS29"/>
  <c r="CT29"/>
  <c r="CU29"/>
  <c r="CV29"/>
  <c r="CW29"/>
  <c r="CX29"/>
  <c r="CY29"/>
  <c r="CZ29"/>
  <c r="DA29"/>
  <c r="DB29"/>
  <c r="DC29"/>
  <c r="DD29"/>
  <c r="DE29"/>
  <c r="DF29"/>
  <c r="DG29"/>
  <c r="DH29"/>
  <c r="DI29"/>
  <c r="DJ29"/>
  <c r="DK29"/>
  <c r="DL29"/>
  <c r="DM29"/>
  <c r="DN29"/>
  <c r="DO29"/>
  <c r="DP29"/>
  <c r="DQ29"/>
  <c r="DR29"/>
  <c r="DS29"/>
  <c r="DT29"/>
  <c r="DU29"/>
  <c r="DV29"/>
  <c r="DW29"/>
  <c r="DX29"/>
  <c r="DY29"/>
  <c r="DZ29"/>
  <c r="EA29"/>
  <c r="EB29"/>
  <c r="EC29"/>
  <c r="ED29"/>
  <c r="EE29"/>
  <c r="EF29"/>
  <c r="EG29"/>
  <c r="EH29"/>
  <c r="EI29"/>
  <c r="EJ29"/>
  <c r="EK29"/>
  <c r="EL29"/>
  <c r="EM29"/>
  <c r="EN29"/>
  <c r="EO29"/>
  <c r="EP29"/>
  <c r="EQ29"/>
  <c r="ER29"/>
  <c r="ES29"/>
  <c r="ET29"/>
  <c r="EU29"/>
  <c r="EV29"/>
  <c r="EW29"/>
  <c r="EX29"/>
  <c r="EY29"/>
  <c r="EZ29"/>
  <c r="FA29"/>
  <c r="FB29"/>
  <c r="FC29"/>
  <c r="FD29"/>
  <c r="FE29"/>
  <c r="FF29"/>
  <c r="FG29"/>
  <c r="FH29"/>
  <c r="FI29"/>
  <c r="FJ29"/>
  <c r="FK29"/>
  <c r="FL29"/>
  <c r="FM29"/>
  <c r="FN29"/>
  <c r="FO29"/>
  <c r="FP29"/>
  <c r="FQ29"/>
  <c r="FR29"/>
  <c r="FS29"/>
  <c r="FT29"/>
  <c r="FU29"/>
  <c r="FV29"/>
  <c r="FW29"/>
  <c r="FX29"/>
  <c r="FY29"/>
  <c r="FZ29"/>
  <c r="GA29"/>
  <c r="GB29"/>
  <c r="GC29"/>
  <c r="GD29"/>
  <c r="GE29"/>
  <c r="GF29"/>
  <c r="GG29"/>
  <c r="GH29"/>
  <c r="GI29"/>
  <c r="GJ29"/>
  <c r="GK29"/>
  <c r="GL29"/>
  <c r="GM29"/>
  <c r="GN29"/>
  <c r="GO29"/>
  <c r="GP29"/>
  <c r="GQ29"/>
  <c r="GR29"/>
  <c r="GS29"/>
  <c r="GT29"/>
  <c r="GU29"/>
  <c r="GV29"/>
  <c r="GW29"/>
  <c r="GX29"/>
  <c r="GY29"/>
  <c r="GZ29"/>
  <c r="HA29"/>
  <c r="HB29"/>
  <c r="HC29"/>
  <c r="HD29"/>
  <c r="HE29"/>
  <c r="HF29"/>
  <c r="HG29"/>
  <c r="HH29"/>
  <c r="HI29"/>
  <c r="HJ29"/>
  <c r="HK29"/>
  <c r="HL29"/>
  <c r="HM29"/>
  <c r="HN29"/>
  <c r="HO29"/>
  <c r="HP29"/>
  <c r="HQ29"/>
  <c r="HR29"/>
  <c r="HS29"/>
  <c r="HT29"/>
  <c r="HU29"/>
  <c r="HV29"/>
  <c r="HW29"/>
  <c r="HX29"/>
  <c r="HY29"/>
  <c r="HZ29"/>
  <c r="IA29"/>
  <c r="IB29"/>
  <c r="IC29"/>
  <c r="ID29"/>
  <c r="IE29"/>
  <c r="IF29"/>
  <c r="IG29"/>
  <c r="IH29"/>
  <c r="II29"/>
  <c r="IJ29"/>
  <c r="IK29"/>
  <c r="IL29"/>
  <c r="IM29"/>
  <c r="IN29"/>
  <c r="IO29"/>
  <c r="IP29"/>
  <c r="IQ29"/>
  <c r="IR29"/>
  <c r="IS29"/>
  <c r="IT29"/>
  <c r="IU29"/>
  <c r="IV29"/>
  <c r="A30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BV30"/>
  <c r="BW30"/>
  <c r="BX30"/>
  <c r="BY30"/>
  <c r="BZ30"/>
  <c r="CA30"/>
  <c r="CB30"/>
  <c r="CC30"/>
  <c r="CD30"/>
  <c r="CE30"/>
  <c r="CF30"/>
  <c r="CG30"/>
  <c r="CH30"/>
  <c r="CI30"/>
  <c r="CJ30"/>
  <c r="CK30"/>
  <c r="CL30"/>
  <c r="CM30"/>
  <c r="CN30"/>
  <c r="CO30"/>
  <c r="CP30"/>
  <c r="CQ30"/>
  <c r="CR30"/>
  <c r="CS30"/>
  <c r="CT30"/>
  <c r="CU30"/>
  <c r="CV30"/>
  <c r="CW30"/>
  <c r="CX30"/>
  <c r="CY30"/>
  <c r="CZ30"/>
  <c r="DA30"/>
  <c r="DB30"/>
  <c r="DC30"/>
  <c r="DD30"/>
  <c r="DE30"/>
  <c r="DF30"/>
  <c r="DG30"/>
  <c r="DH30"/>
  <c r="DI30"/>
  <c r="DJ30"/>
  <c r="DK30"/>
  <c r="DL30"/>
  <c r="DM30"/>
  <c r="DN30"/>
  <c r="DO30"/>
  <c r="DP30"/>
  <c r="DQ30"/>
  <c r="DR30"/>
  <c r="DS30"/>
  <c r="DT30"/>
  <c r="DU30"/>
  <c r="DV30"/>
  <c r="DW30"/>
  <c r="DX30"/>
  <c r="DY30"/>
  <c r="DZ30"/>
  <c r="EA30"/>
  <c r="EB30"/>
  <c r="EC30"/>
  <c r="ED30"/>
  <c r="EE30"/>
  <c r="EF30"/>
  <c r="EG30"/>
  <c r="EH30"/>
  <c r="EI30"/>
  <c r="EJ30"/>
  <c r="EK30"/>
  <c r="EL30"/>
  <c r="EM30"/>
  <c r="EN30"/>
  <c r="EO30"/>
  <c r="EP30"/>
  <c r="EQ30"/>
  <c r="ER30"/>
  <c r="ES30"/>
  <c r="ET30"/>
  <c r="EU30"/>
  <c r="EV30"/>
  <c r="EW30"/>
  <c r="EX30"/>
  <c r="EY30"/>
  <c r="EZ30"/>
  <c r="FA30"/>
  <c r="FB30"/>
  <c r="FC30"/>
  <c r="FD30"/>
  <c r="FE30"/>
  <c r="FF30"/>
  <c r="FG30"/>
  <c r="FH30"/>
  <c r="FI30"/>
  <c r="FJ30"/>
  <c r="FK30"/>
  <c r="FL30"/>
  <c r="FM30"/>
  <c r="FN30"/>
  <c r="FO30"/>
  <c r="FP30"/>
  <c r="FQ30"/>
  <c r="FR30"/>
  <c r="FS30"/>
  <c r="FT30"/>
  <c r="FU30"/>
  <c r="FV30"/>
  <c r="FW30"/>
  <c r="FX30"/>
  <c r="FY30"/>
  <c r="FZ30"/>
  <c r="GA30"/>
  <c r="GB30"/>
  <c r="GC30"/>
  <c r="GD30"/>
  <c r="GE30"/>
  <c r="GF30"/>
  <c r="GG30"/>
  <c r="GH30"/>
  <c r="GI30"/>
  <c r="GJ30"/>
  <c r="GK30"/>
  <c r="GL30"/>
  <c r="GM30"/>
  <c r="GN30"/>
  <c r="GO30"/>
  <c r="GP30"/>
  <c r="GQ30"/>
  <c r="GR30"/>
  <c r="GS30"/>
  <c r="GT30"/>
  <c r="GU30"/>
  <c r="GV30"/>
  <c r="GW30"/>
  <c r="GX30"/>
  <c r="GY30"/>
  <c r="GZ30"/>
  <c r="HA30"/>
  <c r="HB30"/>
  <c r="HC30"/>
  <c r="HD30"/>
  <c r="HE30"/>
  <c r="HF30"/>
  <c r="HG30"/>
  <c r="HH30"/>
  <c r="HI30"/>
  <c r="HJ30"/>
  <c r="HK30"/>
  <c r="HL30"/>
  <c r="HM30"/>
  <c r="HN30"/>
  <c r="HO30"/>
  <c r="HP30"/>
  <c r="HQ30"/>
  <c r="HR30"/>
  <c r="HS30"/>
  <c r="HT30"/>
  <c r="HU30"/>
  <c r="HV30"/>
  <c r="HW30"/>
  <c r="HX30"/>
  <c r="HY30"/>
  <c r="HZ30"/>
  <c r="IA30"/>
  <c r="IB30"/>
  <c r="IC30"/>
  <c r="ID30"/>
  <c r="IE30"/>
  <c r="IF30"/>
  <c r="IG30"/>
  <c r="IH30"/>
  <c r="II30"/>
  <c r="IJ30"/>
  <c r="IK30"/>
  <c r="IL30"/>
  <c r="IM30"/>
  <c r="IN30"/>
  <c r="IO30"/>
  <c r="IP30"/>
  <c r="IQ30"/>
  <c r="IR30"/>
  <c r="IS30"/>
  <c r="IT30"/>
  <c r="IU30"/>
  <c r="IV30"/>
  <c r="A31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BV31"/>
  <c r="BW31"/>
  <c r="BX31"/>
  <c r="BY31"/>
  <c r="BZ31"/>
  <c r="CA31"/>
  <c r="CB31"/>
  <c r="CC31"/>
  <c r="CD31"/>
  <c r="CE31"/>
  <c r="CF31"/>
  <c r="CG31"/>
  <c r="CH31"/>
  <c r="CI31"/>
  <c r="CJ31"/>
  <c r="CK31"/>
  <c r="CL31"/>
  <c r="CM31"/>
  <c r="CN31"/>
  <c r="CO31"/>
  <c r="CP31"/>
  <c r="CQ31"/>
  <c r="CR31"/>
  <c r="CS31"/>
  <c r="CT31"/>
  <c r="CU31"/>
  <c r="CV31"/>
  <c r="CW31"/>
  <c r="CX31"/>
  <c r="CY31"/>
  <c r="CZ31"/>
  <c r="DA31"/>
  <c r="DB31"/>
  <c r="DC31"/>
  <c r="DD31"/>
  <c r="DE31"/>
  <c r="DF31"/>
  <c r="DG31"/>
  <c r="DH31"/>
  <c r="DI31"/>
  <c r="DJ31"/>
  <c r="DK31"/>
  <c r="DL31"/>
  <c r="DM31"/>
  <c r="DN31"/>
  <c r="DO31"/>
  <c r="DP31"/>
  <c r="DQ31"/>
  <c r="DR31"/>
  <c r="DS31"/>
  <c r="DT31"/>
  <c r="DU31"/>
  <c r="DV31"/>
  <c r="DW31"/>
  <c r="DX31"/>
  <c r="DY31"/>
  <c r="DZ31"/>
  <c r="EA31"/>
  <c r="EB31"/>
  <c r="EC31"/>
  <c r="ED31"/>
  <c r="EE31"/>
  <c r="EF31"/>
  <c r="EG31"/>
  <c r="EH31"/>
  <c r="EI31"/>
  <c r="EJ31"/>
  <c r="EK31"/>
  <c r="EL31"/>
  <c r="EM31"/>
  <c r="EN31"/>
  <c r="EO31"/>
  <c r="EP31"/>
  <c r="EQ31"/>
  <c r="ER31"/>
  <c r="ES31"/>
  <c r="ET31"/>
  <c r="EU31"/>
  <c r="EV31"/>
  <c r="EW31"/>
  <c r="EX31"/>
  <c r="EY31"/>
  <c r="EZ31"/>
  <c r="FA31"/>
  <c r="FB31"/>
  <c r="FC31"/>
  <c r="FD31"/>
  <c r="FE31"/>
  <c r="FF31"/>
  <c r="FG31"/>
  <c r="FH31"/>
  <c r="FI31"/>
  <c r="FJ31"/>
  <c r="FK31"/>
  <c r="FL31"/>
  <c r="FM31"/>
  <c r="FN31"/>
  <c r="FO31"/>
  <c r="FP31"/>
  <c r="FQ31"/>
  <c r="FR31"/>
  <c r="FS31"/>
  <c r="FT31"/>
  <c r="FU31"/>
  <c r="FV31"/>
  <c r="FW31"/>
  <c r="FX31"/>
  <c r="FY31"/>
  <c r="FZ31"/>
  <c r="GA31"/>
  <c r="GB31"/>
  <c r="GC31"/>
  <c r="GD31"/>
  <c r="GE31"/>
  <c r="GF31"/>
  <c r="GG31"/>
  <c r="GH31"/>
  <c r="GI31"/>
  <c r="GJ31"/>
  <c r="GK31"/>
  <c r="GL31"/>
  <c r="GM31"/>
  <c r="GN31"/>
  <c r="GO31"/>
  <c r="GP31"/>
  <c r="GQ31"/>
  <c r="GR31"/>
  <c r="GS31"/>
  <c r="GT31"/>
  <c r="GU31"/>
  <c r="GV31"/>
  <c r="GW31"/>
  <c r="GX31"/>
  <c r="GY31"/>
  <c r="GZ31"/>
  <c r="HA31"/>
  <c r="HB31"/>
  <c r="HC31"/>
  <c r="HD31"/>
  <c r="HE31"/>
  <c r="HF31"/>
  <c r="HG31"/>
  <c r="HH31"/>
  <c r="HI31"/>
  <c r="HJ31"/>
  <c r="HK31"/>
  <c r="HL31"/>
  <c r="HM31"/>
  <c r="HN31"/>
  <c r="HO31"/>
  <c r="HP31"/>
  <c r="HQ31"/>
  <c r="HR31"/>
  <c r="HS31"/>
  <c r="HT31"/>
  <c r="HU31"/>
  <c r="HV31"/>
  <c r="HW31"/>
  <c r="HX31"/>
  <c r="HY31"/>
  <c r="HZ31"/>
  <c r="IA31"/>
  <c r="IB31"/>
  <c r="IC31"/>
  <c r="ID31"/>
  <c r="IE31"/>
  <c r="IF31"/>
  <c r="IG31"/>
  <c r="IH31"/>
  <c r="II31"/>
  <c r="IJ31"/>
  <c r="IK31"/>
  <c r="IL31"/>
  <c r="IM31"/>
  <c r="IN31"/>
  <c r="IO31"/>
  <c r="IP31"/>
  <c r="IQ31"/>
  <c r="IR31"/>
  <c r="IS31"/>
  <c r="IT31"/>
  <c r="IU31"/>
  <c r="IV31"/>
  <c r="A32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CA32"/>
  <c r="CB32"/>
  <c r="CC32"/>
  <c r="CD32"/>
  <c r="CE32"/>
  <c r="CF32"/>
  <c r="CG32"/>
  <c r="CH32"/>
  <c r="CI32"/>
  <c r="CJ32"/>
  <c r="CK32"/>
  <c r="CL32"/>
  <c r="CM32"/>
  <c r="CN32"/>
  <c r="CO32"/>
  <c r="CP32"/>
  <c r="CQ32"/>
  <c r="CR32"/>
  <c r="CS32"/>
  <c r="CT32"/>
  <c r="CU32"/>
  <c r="CV32"/>
  <c r="CW32"/>
  <c r="CX32"/>
  <c r="CY32"/>
  <c r="CZ32"/>
  <c r="DA32"/>
  <c r="DB32"/>
  <c r="DC32"/>
  <c r="DD32"/>
  <c r="DE32"/>
  <c r="DF32"/>
  <c r="DG32"/>
  <c r="DH32"/>
  <c r="DI32"/>
  <c r="DJ32"/>
  <c r="DK32"/>
  <c r="DL32"/>
  <c r="DM32"/>
  <c r="DN32"/>
  <c r="DO32"/>
  <c r="DP32"/>
  <c r="DQ32"/>
  <c r="DR32"/>
  <c r="DS32"/>
  <c r="DT32"/>
  <c r="DU32"/>
  <c r="DV32"/>
  <c r="DW32"/>
  <c r="DX32"/>
  <c r="DY32"/>
  <c r="DZ32"/>
  <c r="EA32"/>
  <c r="EB32"/>
  <c r="EC32"/>
  <c r="ED32"/>
  <c r="EE32"/>
  <c r="EF32"/>
  <c r="EG32"/>
  <c r="EH32"/>
  <c r="EI32"/>
  <c r="EJ32"/>
  <c r="EK32"/>
  <c r="EL32"/>
  <c r="EM32"/>
  <c r="EN32"/>
  <c r="EO32"/>
  <c r="EP32"/>
  <c r="EQ32"/>
  <c r="ER32"/>
  <c r="ES32"/>
  <c r="ET32"/>
  <c r="EU32"/>
  <c r="EV32"/>
  <c r="EW32"/>
  <c r="EX32"/>
  <c r="EY32"/>
  <c r="EZ32"/>
  <c r="FA32"/>
  <c r="FB32"/>
  <c r="FC32"/>
  <c r="FD32"/>
  <c r="FE32"/>
  <c r="FF32"/>
  <c r="FG32"/>
  <c r="FH32"/>
  <c r="FI32"/>
  <c r="FJ32"/>
  <c r="FK32"/>
  <c r="FL32"/>
  <c r="FM32"/>
  <c r="FN32"/>
  <c r="FO32"/>
  <c r="FP32"/>
  <c r="FQ32"/>
  <c r="FR32"/>
  <c r="FS32"/>
  <c r="FT32"/>
  <c r="FU32"/>
  <c r="FV32"/>
  <c r="FW32"/>
  <c r="FX32"/>
  <c r="FY32"/>
  <c r="FZ32"/>
  <c r="GA32"/>
  <c r="GB32"/>
  <c r="GC32"/>
  <c r="GD32"/>
  <c r="GE32"/>
  <c r="GF32"/>
  <c r="GG32"/>
  <c r="GH32"/>
  <c r="GI32"/>
  <c r="GJ32"/>
  <c r="GK32"/>
  <c r="GL32"/>
  <c r="GM32"/>
  <c r="GN32"/>
  <c r="GO32"/>
  <c r="GP32"/>
  <c r="GQ32"/>
  <c r="GR32"/>
  <c r="GS32"/>
  <c r="GT32"/>
  <c r="GU32"/>
  <c r="GV32"/>
  <c r="GW32"/>
  <c r="GX32"/>
  <c r="GY32"/>
  <c r="GZ32"/>
  <c r="HA32"/>
  <c r="HB32"/>
  <c r="HC32"/>
  <c r="HD32"/>
  <c r="HE32"/>
  <c r="HF32"/>
  <c r="HG32"/>
  <c r="HH32"/>
  <c r="HI32"/>
  <c r="HJ32"/>
  <c r="HK32"/>
  <c r="HL32"/>
  <c r="HM32"/>
  <c r="HN32"/>
  <c r="HO32"/>
  <c r="HP32"/>
  <c r="HQ32"/>
  <c r="HR32"/>
  <c r="HS32"/>
  <c r="HT32"/>
  <c r="HU32"/>
  <c r="HV32"/>
  <c r="HW32"/>
  <c r="HX32"/>
  <c r="HY32"/>
  <c r="HZ32"/>
  <c r="IA32"/>
  <c r="IB32"/>
  <c r="IC32"/>
  <c r="ID32"/>
  <c r="IE32"/>
  <c r="IF32"/>
  <c r="IG32"/>
  <c r="IH32"/>
  <c r="II32"/>
  <c r="IJ32"/>
  <c r="IK32"/>
  <c r="IL32"/>
  <c r="IM32"/>
  <c r="IN32"/>
  <c r="IO32"/>
  <c r="IP32"/>
  <c r="IQ32"/>
  <c r="IR32"/>
  <c r="IS32"/>
  <c r="IT32"/>
  <c r="IU32"/>
  <c r="IV32"/>
  <c r="A33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BV33"/>
  <c r="BW33"/>
  <c r="BX33"/>
  <c r="BY33"/>
  <c r="BZ33"/>
  <c r="CA33"/>
  <c r="CB33"/>
  <c r="CC33"/>
  <c r="CD33"/>
  <c r="CE33"/>
  <c r="CF33"/>
  <c r="CG33"/>
  <c r="CH33"/>
  <c r="CI33"/>
  <c r="CJ33"/>
  <c r="CK33"/>
  <c r="CL33"/>
  <c r="CM33"/>
  <c r="CN33"/>
  <c r="CO33"/>
  <c r="CP33"/>
  <c r="CQ33"/>
  <c r="CR33"/>
  <c r="CS33"/>
  <c r="CT33"/>
  <c r="CU33"/>
  <c r="CV33"/>
  <c r="CW33"/>
  <c r="CX33"/>
  <c r="CY33"/>
  <c r="CZ33"/>
  <c r="DA33"/>
  <c r="DB33"/>
  <c r="DC33"/>
  <c r="DD33"/>
  <c r="DE33"/>
  <c r="DF33"/>
  <c r="DG33"/>
  <c r="DH33"/>
  <c r="DI33"/>
  <c r="DJ33"/>
  <c r="DK33"/>
  <c r="DL33"/>
  <c r="DM33"/>
  <c r="DN33"/>
  <c r="DO33"/>
  <c r="DP33"/>
  <c r="DQ33"/>
  <c r="DR33"/>
  <c r="DS33"/>
  <c r="DT33"/>
  <c r="DU33"/>
  <c r="DV33"/>
  <c r="DW33"/>
  <c r="DX33"/>
  <c r="DY33"/>
  <c r="DZ33"/>
  <c r="EA33"/>
  <c r="EB33"/>
  <c r="EC33"/>
  <c r="ED33"/>
  <c r="EE33"/>
  <c r="EF33"/>
  <c r="EG33"/>
  <c r="EH33"/>
  <c r="EI33"/>
  <c r="EJ33"/>
  <c r="EK33"/>
  <c r="EL33"/>
  <c r="EM33"/>
  <c r="EN33"/>
  <c r="EO33"/>
  <c r="EP33"/>
  <c r="EQ33"/>
  <c r="ER33"/>
  <c r="ES33"/>
  <c r="ET33"/>
  <c r="EU33"/>
  <c r="EV33"/>
  <c r="EW33"/>
  <c r="EX33"/>
  <c r="EY33"/>
  <c r="EZ33"/>
  <c r="FA33"/>
  <c r="FB33"/>
  <c r="FC33"/>
  <c r="FD33"/>
  <c r="FE33"/>
  <c r="FF33"/>
  <c r="FG33"/>
  <c r="FH33"/>
  <c r="FI33"/>
  <c r="FJ33"/>
  <c r="FK33"/>
  <c r="FL33"/>
  <c r="FM33"/>
  <c r="FN33"/>
  <c r="FO33"/>
  <c r="FP33"/>
  <c r="FQ33"/>
  <c r="FR33"/>
  <c r="FS33"/>
  <c r="FT33"/>
  <c r="FU33"/>
  <c r="FV33"/>
  <c r="FW33"/>
  <c r="FX33"/>
  <c r="FY33"/>
  <c r="FZ33"/>
  <c r="GA33"/>
  <c r="GB33"/>
  <c r="GC33"/>
  <c r="GD33"/>
  <c r="GE33"/>
  <c r="GF33"/>
  <c r="GG33"/>
  <c r="GH33"/>
  <c r="GI33"/>
  <c r="GJ33"/>
  <c r="GK33"/>
  <c r="GL33"/>
  <c r="GM33"/>
  <c r="GN33"/>
  <c r="GO33"/>
  <c r="GP33"/>
  <c r="GQ33"/>
  <c r="GR33"/>
  <c r="GS33"/>
  <c r="GT33"/>
  <c r="GU33"/>
  <c r="GV33"/>
  <c r="GW33"/>
  <c r="GX33"/>
  <c r="GY33"/>
  <c r="GZ33"/>
  <c r="HA33"/>
  <c r="HB33"/>
  <c r="HC33"/>
  <c r="HD33"/>
  <c r="HE33"/>
  <c r="HF33"/>
  <c r="HG33"/>
  <c r="HH33"/>
  <c r="HI33"/>
  <c r="HJ33"/>
  <c r="HK33"/>
  <c r="HL33"/>
  <c r="HM33"/>
  <c r="HN33"/>
  <c r="HO33"/>
  <c r="HP33"/>
  <c r="HQ33"/>
  <c r="HR33"/>
  <c r="HS33"/>
  <c r="HT33"/>
  <c r="HU33"/>
  <c r="HV33"/>
  <c r="HW33"/>
  <c r="HX33"/>
  <c r="HY33"/>
  <c r="HZ33"/>
  <c r="IA33"/>
  <c r="IB33"/>
  <c r="IC33"/>
  <c r="ID33"/>
  <c r="IE33"/>
  <c r="IF33"/>
  <c r="IG33"/>
  <c r="IH33"/>
  <c r="II33"/>
  <c r="IJ33"/>
  <c r="IK33"/>
  <c r="IL33"/>
  <c r="IM33"/>
  <c r="IN33"/>
  <c r="IO33"/>
  <c r="IP33"/>
  <c r="IQ33"/>
  <c r="IR33"/>
  <c r="IS33"/>
  <c r="IT33"/>
  <c r="IU33"/>
  <c r="IV33"/>
  <c r="A34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Y34"/>
  <c r="BZ34"/>
  <c r="CA34"/>
  <c r="CB34"/>
  <c r="CC34"/>
  <c r="CD34"/>
  <c r="CE34"/>
  <c r="CF34"/>
  <c r="CG34"/>
  <c r="CH34"/>
  <c r="CI34"/>
  <c r="CJ34"/>
  <c r="CK34"/>
  <c r="CL34"/>
  <c r="CM34"/>
  <c r="CN34"/>
  <c r="CO34"/>
  <c r="CP34"/>
  <c r="CQ34"/>
  <c r="CR34"/>
  <c r="CS34"/>
  <c r="CT34"/>
  <c r="CU34"/>
  <c r="CV34"/>
  <c r="CW34"/>
  <c r="CX34"/>
  <c r="CY34"/>
  <c r="CZ34"/>
  <c r="DA34"/>
  <c r="DB34"/>
  <c r="DC34"/>
  <c r="DD34"/>
  <c r="DE34"/>
  <c r="DF34"/>
  <c r="DG34"/>
  <c r="DH34"/>
  <c r="DI34"/>
  <c r="DJ34"/>
  <c r="DK34"/>
  <c r="DL34"/>
  <c r="DM34"/>
  <c r="DN34"/>
  <c r="DO34"/>
  <c r="DP34"/>
  <c r="DQ34"/>
  <c r="DR34"/>
  <c r="DS34"/>
  <c r="DT34"/>
  <c r="DU34"/>
  <c r="DV34"/>
  <c r="DW34"/>
  <c r="DX34"/>
  <c r="DY34"/>
  <c r="DZ34"/>
  <c r="EA34"/>
  <c r="EB34"/>
  <c r="EC34"/>
  <c r="ED34"/>
  <c r="EE34"/>
  <c r="EF34"/>
  <c r="EG34"/>
  <c r="EH34"/>
  <c r="EI34"/>
  <c r="EJ34"/>
  <c r="EK34"/>
  <c r="EL34"/>
  <c r="EM34"/>
  <c r="EN34"/>
  <c r="EO34"/>
  <c r="EP34"/>
  <c r="EQ34"/>
  <c r="ER34"/>
  <c r="ES34"/>
  <c r="ET34"/>
  <c r="EU34"/>
  <c r="EV34"/>
  <c r="EW34"/>
  <c r="EX34"/>
  <c r="EY34"/>
  <c r="EZ34"/>
  <c r="FA34"/>
  <c r="FB34"/>
  <c r="FC34"/>
  <c r="FD34"/>
  <c r="FE34"/>
  <c r="FF34"/>
  <c r="FG34"/>
  <c r="FH34"/>
  <c r="FI34"/>
  <c r="FJ34"/>
  <c r="FK34"/>
  <c r="FL34"/>
  <c r="FM34"/>
  <c r="FN34"/>
  <c r="FO34"/>
  <c r="FP34"/>
  <c r="FQ34"/>
  <c r="FR34"/>
  <c r="FS34"/>
  <c r="FT34"/>
  <c r="FU34"/>
  <c r="FV34"/>
  <c r="FW34"/>
  <c r="FX34"/>
  <c r="FY34"/>
  <c r="FZ34"/>
  <c r="GA34"/>
  <c r="GB34"/>
  <c r="GC34"/>
  <c r="GD34"/>
  <c r="GE34"/>
  <c r="GF34"/>
  <c r="GG34"/>
  <c r="GH34"/>
  <c r="GI34"/>
  <c r="GJ34"/>
  <c r="GK34"/>
  <c r="GL34"/>
  <c r="GM34"/>
  <c r="GN34"/>
  <c r="GO34"/>
  <c r="GP34"/>
  <c r="GQ34"/>
  <c r="GR34"/>
  <c r="GS34"/>
  <c r="GT34"/>
  <c r="GU34"/>
  <c r="GV34"/>
  <c r="GW34"/>
  <c r="GX34"/>
  <c r="GY34"/>
  <c r="GZ34"/>
  <c r="HA34"/>
  <c r="HB34"/>
  <c r="HC34"/>
  <c r="HD34"/>
  <c r="HE34"/>
  <c r="HF34"/>
  <c r="HG34"/>
  <c r="HH34"/>
  <c r="HI34"/>
  <c r="HJ34"/>
  <c r="HK34"/>
  <c r="HL34"/>
  <c r="HM34"/>
  <c r="HN34"/>
  <c r="HO34"/>
  <c r="HP34"/>
  <c r="HQ34"/>
  <c r="HR34"/>
  <c r="HS34"/>
  <c r="HT34"/>
  <c r="HU34"/>
  <c r="HV34"/>
  <c r="HW34"/>
  <c r="HX34"/>
  <c r="HY34"/>
  <c r="HZ34"/>
  <c r="IA34"/>
  <c r="IB34"/>
  <c r="IC34"/>
  <c r="ID34"/>
  <c r="IE34"/>
  <c r="IF34"/>
  <c r="IG34"/>
  <c r="IH34"/>
  <c r="II34"/>
  <c r="IJ34"/>
  <c r="IK34"/>
  <c r="IL34"/>
  <c r="IM34"/>
  <c r="IN34"/>
  <c r="IO34"/>
  <c r="IP34"/>
  <c r="IQ34"/>
  <c r="IR34"/>
  <c r="IS34"/>
  <c r="IT34"/>
  <c r="IU34"/>
  <c r="IV34"/>
  <c r="A35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BV35"/>
  <c r="BW35"/>
  <c r="BX35"/>
  <c r="BY35"/>
  <c r="BZ35"/>
  <c r="CA35"/>
  <c r="CB35"/>
  <c r="CC35"/>
  <c r="CD35"/>
  <c r="CE35"/>
  <c r="CF35"/>
  <c r="CG35"/>
  <c r="CH35"/>
  <c r="CI35"/>
  <c r="CJ35"/>
  <c r="CK35"/>
  <c r="CL35"/>
  <c r="CM35"/>
  <c r="CN35"/>
  <c r="CO35"/>
  <c r="CP35"/>
  <c r="CQ35"/>
  <c r="CR35"/>
  <c r="CS35"/>
  <c r="CT35"/>
  <c r="CU35"/>
  <c r="CV35"/>
  <c r="CW35"/>
  <c r="CX35"/>
  <c r="CY35"/>
  <c r="CZ35"/>
  <c r="DA35"/>
  <c r="DB35"/>
  <c r="DC35"/>
  <c r="DD35"/>
  <c r="DE35"/>
  <c r="DF35"/>
  <c r="DG35"/>
  <c r="DH35"/>
  <c r="DI35"/>
  <c r="DJ35"/>
  <c r="DK35"/>
  <c r="DL35"/>
  <c r="DM35"/>
  <c r="DN35"/>
  <c r="DO35"/>
  <c r="DP35"/>
  <c r="DQ35"/>
  <c r="DR35"/>
  <c r="DS35"/>
  <c r="DT35"/>
  <c r="DU35"/>
  <c r="DV35"/>
  <c r="DW35"/>
  <c r="DX35"/>
  <c r="DY35"/>
  <c r="DZ35"/>
  <c r="EA35"/>
  <c r="EB35"/>
  <c r="EC35"/>
  <c r="ED35"/>
  <c r="EE35"/>
  <c r="EF35"/>
  <c r="EG35"/>
  <c r="EH35"/>
  <c r="EI35"/>
  <c r="EJ35"/>
  <c r="EK35"/>
  <c r="EL35"/>
  <c r="EM35"/>
  <c r="EN35"/>
  <c r="EO35"/>
  <c r="EP35"/>
  <c r="EQ35"/>
  <c r="ER35"/>
  <c r="ES35"/>
  <c r="ET35"/>
  <c r="EU35"/>
  <c r="EV35"/>
  <c r="EW35"/>
  <c r="EX35"/>
  <c r="EY35"/>
  <c r="EZ35"/>
  <c r="FA35"/>
  <c r="FB35"/>
  <c r="FC35"/>
  <c r="FD35"/>
  <c r="FE35"/>
  <c r="FF35"/>
  <c r="FG35"/>
  <c r="FH35"/>
  <c r="FI35"/>
  <c r="FJ35"/>
  <c r="FK35"/>
  <c r="FL35"/>
  <c r="FM35"/>
  <c r="FN35"/>
  <c r="FO35"/>
  <c r="FP35"/>
  <c r="FQ35"/>
  <c r="FR35"/>
  <c r="FS35"/>
  <c r="FT35"/>
  <c r="FU35"/>
  <c r="FV35"/>
  <c r="FW35"/>
  <c r="FX35"/>
  <c r="FY35"/>
  <c r="FZ35"/>
  <c r="GA35"/>
  <c r="GB35"/>
  <c r="GC35"/>
  <c r="GD35"/>
  <c r="GE35"/>
  <c r="GF35"/>
  <c r="GG35"/>
  <c r="GH35"/>
  <c r="GI35"/>
  <c r="GJ35"/>
  <c r="GK35"/>
  <c r="GL35"/>
  <c r="GM35"/>
  <c r="GN35"/>
  <c r="GO35"/>
  <c r="GP35"/>
  <c r="GQ35"/>
  <c r="GR35"/>
  <c r="GS35"/>
  <c r="GT35"/>
  <c r="GU35"/>
  <c r="GV35"/>
  <c r="GW35"/>
  <c r="GX35"/>
  <c r="GY35"/>
  <c r="GZ35"/>
  <c r="HA35"/>
  <c r="HB35"/>
  <c r="HC35"/>
  <c r="HD35"/>
  <c r="HE35"/>
  <c r="HF35"/>
  <c r="HG35"/>
  <c r="HH35"/>
  <c r="HI35"/>
  <c r="HJ35"/>
  <c r="HK35"/>
  <c r="HL35"/>
  <c r="HM35"/>
  <c r="HN35"/>
  <c r="HO35"/>
  <c r="HP35"/>
  <c r="HQ35"/>
  <c r="HR35"/>
  <c r="HS35"/>
  <c r="HT35"/>
  <c r="HU35"/>
  <c r="HV35"/>
  <c r="HW35"/>
  <c r="HX35"/>
  <c r="HY35"/>
  <c r="HZ35"/>
  <c r="IA35"/>
  <c r="IB35"/>
  <c r="IC35"/>
  <c r="ID35"/>
  <c r="IE35"/>
  <c r="IF35"/>
  <c r="IG35"/>
  <c r="IH35"/>
  <c r="II35"/>
  <c r="IJ35"/>
  <c r="IK35"/>
  <c r="IL35"/>
  <c r="IM35"/>
  <c r="IN35"/>
  <c r="IO35"/>
  <c r="IP35"/>
  <c r="IQ35"/>
  <c r="IR35"/>
  <c r="IS35"/>
  <c r="IT35"/>
  <c r="IU35"/>
  <c r="IV35"/>
  <c r="A36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E36"/>
  <c r="CF36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CX36"/>
  <c r="CY36"/>
  <c r="CZ36"/>
  <c r="DA36"/>
  <c r="DB36"/>
  <c r="DC36"/>
  <c r="DD36"/>
  <c r="DE36"/>
  <c r="DF36"/>
  <c r="DG36"/>
  <c r="DH36"/>
  <c r="DI36"/>
  <c r="DJ36"/>
  <c r="DK36"/>
  <c r="DL36"/>
  <c r="DM36"/>
  <c r="DN36"/>
  <c r="DO36"/>
  <c r="DP36"/>
  <c r="DQ36"/>
  <c r="DR36"/>
  <c r="DS36"/>
  <c r="DT36"/>
  <c r="DU36"/>
  <c r="DV36"/>
  <c r="DW36"/>
  <c r="DX36"/>
  <c r="DY36"/>
  <c r="DZ36"/>
  <c r="EA36"/>
  <c r="EB36"/>
  <c r="EC36"/>
  <c r="ED36"/>
  <c r="EE36"/>
  <c r="EF36"/>
  <c r="EG36"/>
  <c r="EH36"/>
  <c r="EI36"/>
  <c r="EJ36"/>
  <c r="EK36"/>
  <c r="EL36"/>
  <c r="EM36"/>
  <c r="EN36"/>
  <c r="EO36"/>
  <c r="EP36"/>
  <c r="EQ36"/>
  <c r="ER36"/>
  <c r="ES36"/>
  <c r="ET36"/>
  <c r="EU36"/>
  <c r="EV36"/>
  <c r="EW36"/>
  <c r="EX36"/>
  <c r="EY36"/>
  <c r="EZ36"/>
  <c r="FA36"/>
  <c r="FB36"/>
  <c r="FC36"/>
  <c r="FD36"/>
  <c r="FE36"/>
  <c r="FF36"/>
  <c r="FG36"/>
  <c r="FH36"/>
  <c r="FI36"/>
  <c r="FJ36"/>
  <c r="FK36"/>
  <c r="FL36"/>
  <c r="FM36"/>
  <c r="FN36"/>
  <c r="FO36"/>
  <c r="FP36"/>
  <c r="FQ36"/>
  <c r="FR36"/>
  <c r="FS36"/>
  <c r="FT36"/>
  <c r="FU36"/>
  <c r="FV36"/>
  <c r="FW36"/>
  <c r="FX36"/>
  <c r="FY36"/>
  <c r="FZ36"/>
  <c r="GA36"/>
  <c r="GB36"/>
  <c r="GC36"/>
  <c r="GD36"/>
  <c r="GE36"/>
  <c r="GF36"/>
  <c r="GG36"/>
  <c r="GH36"/>
  <c r="GI36"/>
  <c r="GJ36"/>
  <c r="GK36"/>
  <c r="GL36"/>
  <c r="GM36"/>
  <c r="GN36"/>
  <c r="GO36"/>
  <c r="GP36"/>
  <c r="GQ36"/>
  <c r="GR36"/>
  <c r="GS36"/>
  <c r="GT36"/>
  <c r="GU36"/>
  <c r="GV36"/>
  <c r="GW36"/>
  <c r="GX36"/>
  <c r="GY36"/>
  <c r="GZ36"/>
  <c r="HA36"/>
  <c r="HB36"/>
  <c r="HC36"/>
  <c r="HD36"/>
  <c r="HE36"/>
  <c r="HF36"/>
  <c r="HG36"/>
  <c r="HH36"/>
  <c r="HI36"/>
  <c r="HJ36"/>
  <c r="HK36"/>
  <c r="HL36"/>
  <c r="HM36"/>
  <c r="HN36"/>
  <c r="HO36"/>
  <c r="HP36"/>
  <c r="HQ36"/>
  <c r="HR36"/>
  <c r="HS36"/>
  <c r="HT36"/>
  <c r="HU36"/>
  <c r="HV36"/>
  <c r="HW36"/>
  <c r="HX36"/>
  <c r="HY36"/>
  <c r="HZ36"/>
  <c r="IA36"/>
  <c r="IB36"/>
  <c r="IC36"/>
  <c r="ID36"/>
  <c r="IE36"/>
  <c r="IF36"/>
  <c r="IG36"/>
  <c r="IH36"/>
  <c r="II36"/>
  <c r="IJ36"/>
  <c r="IK36"/>
  <c r="IL36"/>
  <c r="IM36"/>
  <c r="IN36"/>
  <c r="IO36"/>
  <c r="IP36"/>
  <c r="IQ36"/>
  <c r="IR36"/>
  <c r="IS36"/>
  <c r="IT36"/>
  <c r="IU36"/>
  <c r="IV36"/>
  <c r="A37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E37"/>
  <c r="CF37"/>
  <c r="CG37"/>
  <c r="CH37"/>
  <c r="CI37"/>
  <c r="CJ37"/>
  <c r="CK37"/>
  <c r="CL37"/>
  <c r="CM37"/>
  <c r="CN37"/>
  <c r="CO37"/>
  <c r="CP37"/>
  <c r="CQ37"/>
  <c r="CR37"/>
  <c r="CS37"/>
  <c r="CT37"/>
  <c r="CU37"/>
  <c r="CV37"/>
  <c r="CW37"/>
  <c r="CX37"/>
  <c r="CY37"/>
  <c r="CZ37"/>
  <c r="DA37"/>
  <c r="DB37"/>
  <c r="DC37"/>
  <c r="DD37"/>
  <c r="DE37"/>
  <c r="DF37"/>
  <c r="DG37"/>
  <c r="DH37"/>
  <c r="DI37"/>
  <c r="DJ37"/>
  <c r="DK37"/>
  <c r="DL37"/>
  <c r="DM37"/>
  <c r="DN37"/>
  <c r="DO37"/>
  <c r="DP37"/>
  <c r="DQ37"/>
  <c r="DR37"/>
  <c r="DS37"/>
  <c r="DT37"/>
  <c r="DU37"/>
  <c r="DV37"/>
  <c r="DW37"/>
  <c r="DX37"/>
  <c r="DY37"/>
  <c r="DZ37"/>
  <c r="EA37"/>
  <c r="EB37"/>
  <c r="EC37"/>
  <c r="ED37"/>
  <c r="EE37"/>
  <c r="EF37"/>
  <c r="EG37"/>
  <c r="EH37"/>
  <c r="EI37"/>
  <c r="EJ37"/>
  <c r="EK37"/>
  <c r="EL37"/>
  <c r="EM37"/>
  <c r="EN37"/>
  <c r="EO37"/>
  <c r="EP37"/>
  <c r="EQ37"/>
  <c r="ER37"/>
  <c r="ES37"/>
  <c r="ET37"/>
  <c r="EU37"/>
  <c r="EV37"/>
  <c r="EW37"/>
  <c r="EX37"/>
  <c r="EY37"/>
  <c r="EZ37"/>
  <c r="FA37"/>
  <c r="FB37"/>
  <c r="FC37"/>
  <c r="FD37"/>
  <c r="FE37"/>
  <c r="FF37"/>
  <c r="FG37"/>
  <c r="FH37"/>
  <c r="FI37"/>
  <c r="FJ37"/>
  <c r="FK37"/>
  <c r="FL37"/>
  <c r="FM37"/>
  <c r="FN37"/>
  <c r="FO37"/>
  <c r="FP37"/>
  <c r="FQ37"/>
  <c r="FR37"/>
  <c r="FS37"/>
  <c r="FT37"/>
  <c r="FU37"/>
  <c r="FV37"/>
  <c r="FW37"/>
  <c r="FX37"/>
  <c r="FY37"/>
  <c r="FZ37"/>
  <c r="GA37"/>
  <c r="GB37"/>
  <c r="GC37"/>
  <c r="GD37"/>
  <c r="GE37"/>
  <c r="GF37"/>
  <c r="GG37"/>
  <c r="GH37"/>
  <c r="GI37"/>
  <c r="GJ37"/>
  <c r="GK37"/>
  <c r="GL37"/>
  <c r="GM37"/>
  <c r="GN37"/>
  <c r="GO37"/>
  <c r="GP37"/>
  <c r="GQ37"/>
  <c r="GR37"/>
  <c r="GS37"/>
  <c r="GT37"/>
  <c r="GU37"/>
  <c r="GV37"/>
  <c r="GW37"/>
  <c r="GX37"/>
  <c r="GY37"/>
  <c r="GZ37"/>
  <c r="HA37"/>
  <c r="HB37"/>
  <c r="HC37"/>
  <c r="HD37"/>
  <c r="HE37"/>
  <c r="HF37"/>
  <c r="HG37"/>
  <c r="HH37"/>
  <c r="HI37"/>
  <c r="HJ37"/>
  <c r="HK37"/>
  <c r="HL37"/>
  <c r="HM37"/>
  <c r="HN37"/>
  <c r="HO37"/>
  <c r="HP37"/>
  <c r="HQ37"/>
  <c r="HR37"/>
  <c r="HS37"/>
  <c r="HT37"/>
  <c r="HU37"/>
  <c r="HV37"/>
  <c r="HW37"/>
  <c r="HX37"/>
  <c r="HY37"/>
  <c r="HZ37"/>
  <c r="IA37"/>
  <c r="IB37"/>
  <c r="IC37"/>
  <c r="ID37"/>
  <c r="IE37"/>
  <c r="IF37"/>
  <c r="IG37"/>
  <c r="IH37"/>
  <c r="II37"/>
  <c r="IJ37"/>
  <c r="IK37"/>
  <c r="IL37"/>
  <c r="IM37"/>
  <c r="IN37"/>
  <c r="IO37"/>
  <c r="IP37"/>
  <c r="IQ37"/>
  <c r="IR37"/>
  <c r="IS37"/>
  <c r="IT37"/>
  <c r="IU37"/>
  <c r="IV37"/>
  <c r="A38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E38"/>
  <c r="CF38"/>
  <c r="CG38"/>
  <c r="CH38"/>
  <c r="CI38"/>
  <c r="CJ38"/>
  <c r="CK38"/>
  <c r="CL38"/>
  <c r="CM38"/>
  <c r="CN38"/>
  <c r="CO38"/>
  <c r="CP38"/>
  <c r="CQ38"/>
  <c r="CR38"/>
  <c r="CS38"/>
  <c r="CT38"/>
  <c r="CU38"/>
  <c r="CV38"/>
  <c r="CW38"/>
  <c r="CX38"/>
  <c r="CY38"/>
  <c r="CZ38"/>
  <c r="DA38"/>
  <c r="DB38"/>
  <c r="DC38"/>
  <c r="DD38"/>
  <c r="DE38"/>
  <c r="DF38"/>
  <c r="DG38"/>
  <c r="DH38"/>
  <c r="DI38"/>
  <c r="DJ38"/>
  <c r="DK38"/>
  <c r="DL38"/>
  <c r="DM38"/>
  <c r="DN38"/>
  <c r="DO38"/>
  <c r="DP38"/>
  <c r="DQ38"/>
  <c r="DR38"/>
  <c r="DS38"/>
  <c r="DT38"/>
  <c r="DU38"/>
  <c r="DV38"/>
  <c r="DW38"/>
  <c r="DX38"/>
  <c r="DY38"/>
  <c r="DZ38"/>
  <c r="EA38"/>
  <c r="EB38"/>
  <c r="EC38"/>
  <c r="ED38"/>
  <c r="EE38"/>
  <c r="EF38"/>
  <c r="EG38"/>
  <c r="EH38"/>
  <c r="EI38"/>
  <c r="EJ38"/>
  <c r="EK38"/>
  <c r="EL38"/>
  <c r="EM38"/>
  <c r="EN38"/>
  <c r="EO38"/>
  <c r="EP38"/>
  <c r="EQ38"/>
  <c r="ER38"/>
  <c r="ES38"/>
  <c r="ET38"/>
  <c r="EU38"/>
  <c r="EV38"/>
  <c r="EW38"/>
  <c r="EX38"/>
  <c r="EY38"/>
  <c r="EZ38"/>
  <c r="FA38"/>
  <c r="FB38"/>
  <c r="FC38"/>
  <c r="FD38"/>
  <c r="FE38"/>
  <c r="FF38"/>
  <c r="FG38"/>
  <c r="FH38"/>
  <c r="FI38"/>
  <c r="FJ38"/>
  <c r="FK38"/>
  <c r="FL38"/>
  <c r="FM38"/>
  <c r="FN38"/>
  <c r="FO38"/>
  <c r="FP38"/>
  <c r="FQ38"/>
  <c r="FR38"/>
  <c r="FS38"/>
  <c r="FT38"/>
  <c r="FU38"/>
  <c r="FV38"/>
  <c r="FW38"/>
  <c r="FX38"/>
  <c r="FY38"/>
  <c r="FZ38"/>
  <c r="GA38"/>
  <c r="GB38"/>
  <c r="GC38"/>
  <c r="GD38"/>
  <c r="GE38"/>
  <c r="GF38"/>
  <c r="GG38"/>
  <c r="GH38"/>
  <c r="GI38"/>
  <c r="GJ38"/>
  <c r="GK38"/>
  <c r="GL38"/>
  <c r="GM38"/>
  <c r="GN38"/>
  <c r="GO38"/>
  <c r="GP38"/>
  <c r="GQ38"/>
  <c r="GR38"/>
  <c r="GS38"/>
  <c r="GT38"/>
  <c r="GU38"/>
  <c r="GV38"/>
  <c r="GW38"/>
  <c r="GX38"/>
  <c r="GY38"/>
  <c r="GZ38"/>
  <c r="HA38"/>
  <c r="HB38"/>
  <c r="HC38"/>
  <c r="HD38"/>
  <c r="HE38"/>
  <c r="HF38"/>
  <c r="HG38"/>
  <c r="HH38"/>
  <c r="HI38"/>
  <c r="HJ38"/>
  <c r="HK38"/>
  <c r="HL38"/>
  <c r="HM38"/>
  <c r="HN38"/>
  <c r="HO38"/>
  <c r="HP38"/>
  <c r="HQ38"/>
  <c r="HR38"/>
  <c r="HS38"/>
  <c r="HT38"/>
  <c r="HU38"/>
  <c r="HV38"/>
  <c r="HW38"/>
  <c r="HX38"/>
  <c r="HY38"/>
  <c r="HZ38"/>
  <c r="IA38"/>
  <c r="IB38"/>
  <c r="IC38"/>
  <c r="ID38"/>
  <c r="IE38"/>
  <c r="IF38"/>
  <c r="IG38"/>
  <c r="IH38"/>
  <c r="II38"/>
  <c r="IJ38"/>
  <c r="IK38"/>
  <c r="IL38"/>
  <c r="IM38"/>
  <c r="IN38"/>
  <c r="IO38"/>
  <c r="IP38"/>
  <c r="IQ38"/>
  <c r="IR38"/>
  <c r="IS38"/>
  <c r="IT38"/>
  <c r="IU38"/>
  <c r="IV38"/>
  <c r="A39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E39"/>
  <c r="CF39"/>
  <c r="CG39"/>
  <c r="CH39"/>
  <c r="CI39"/>
  <c r="CJ39"/>
  <c r="CK39"/>
  <c r="CL39"/>
  <c r="CM39"/>
  <c r="CN39"/>
  <c r="CO39"/>
  <c r="CP39"/>
  <c r="CQ39"/>
  <c r="CR39"/>
  <c r="CS39"/>
  <c r="CT39"/>
  <c r="CU39"/>
  <c r="CV39"/>
  <c r="CW39"/>
  <c r="CX39"/>
  <c r="CY39"/>
  <c r="CZ39"/>
  <c r="DA39"/>
  <c r="DB39"/>
  <c r="DC39"/>
  <c r="DD39"/>
  <c r="DE39"/>
  <c r="DF39"/>
  <c r="DG39"/>
  <c r="DH39"/>
  <c r="DI39"/>
  <c r="DJ39"/>
  <c r="DK39"/>
  <c r="DL39"/>
  <c r="DM39"/>
  <c r="DN39"/>
  <c r="DO39"/>
  <c r="DP39"/>
  <c r="DQ39"/>
  <c r="DR39"/>
  <c r="DS39"/>
  <c r="DT39"/>
  <c r="DU39"/>
  <c r="DV39"/>
  <c r="DW39"/>
  <c r="DX39"/>
  <c r="DY39"/>
  <c r="DZ39"/>
  <c r="EA39"/>
  <c r="EB39"/>
  <c r="EC39"/>
  <c r="ED39"/>
  <c r="EE39"/>
  <c r="EF39"/>
  <c r="EG39"/>
  <c r="EH39"/>
  <c r="EI39"/>
  <c r="EJ39"/>
  <c r="EK39"/>
  <c r="EL39"/>
  <c r="EM39"/>
  <c r="EN39"/>
  <c r="EO39"/>
  <c r="EP39"/>
  <c r="EQ39"/>
  <c r="ER39"/>
  <c r="ES39"/>
  <c r="ET39"/>
  <c r="EU39"/>
  <c r="EV39"/>
  <c r="EW39"/>
  <c r="EX39"/>
  <c r="EY39"/>
  <c r="EZ39"/>
  <c r="FA39"/>
  <c r="FB39"/>
  <c r="FC39"/>
  <c r="FD39"/>
  <c r="FE39"/>
  <c r="FF39"/>
  <c r="FG39"/>
  <c r="FH39"/>
  <c r="FI39"/>
  <c r="FJ39"/>
  <c r="FK39"/>
  <c r="FL39"/>
  <c r="FM39"/>
  <c r="FN39"/>
  <c r="FO39"/>
  <c r="FP39"/>
  <c r="FQ39"/>
  <c r="FR39"/>
  <c r="FS39"/>
  <c r="FT39"/>
  <c r="FU39"/>
  <c r="FV39"/>
  <c r="FW39"/>
  <c r="FX39"/>
  <c r="FY39"/>
  <c r="FZ39"/>
  <c r="GA39"/>
  <c r="GB39"/>
  <c r="GC39"/>
  <c r="GD39"/>
  <c r="GE39"/>
  <c r="GF39"/>
  <c r="GG39"/>
  <c r="GH39"/>
  <c r="GI39"/>
  <c r="GJ39"/>
  <c r="GK39"/>
  <c r="GL39"/>
  <c r="GM39"/>
  <c r="GN39"/>
  <c r="GO39"/>
  <c r="GP39"/>
  <c r="GQ39"/>
  <c r="GR39"/>
  <c r="GS39"/>
  <c r="GT39"/>
  <c r="GU39"/>
  <c r="GV39"/>
  <c r="GW39"/>
  <c r="GX39"/>
  <c r="GY39"/>
  <c r="GZ39"/>
  <c r="HA39"/>
  <c r="HB39"/>
  <c r="HC39"/>
  <c r="HD39"/>
  <c r="HE39"/>
  <c r="HF39"/>
  <c r="HG39"/>
  <c r="HH39"/>
  <c r="HI39"/>
  <c r="HJ39"/>
  <c r="HK39"/>
  <c r="HL39"/>
  <c r="HM39"/>
  <c r="HN39"/>
  <c r="HO39"/>
  <c r="HP39"/>
  <c r="HQ39"/>
  <c r="HR39"/>
  <c r="HS39"/>
  <c r="HT39"/>
  <c r="HU39"/>
  <c r="HV39"/>
  <c r="HW39"/>
  <c r="HX39"/>
  <c r="HY39"/>
  <c r="HZ39"/>
  <c r="IA39"/>
  <c r="IB39"/>
  <c r="IC39"/>
  <c r="ID39"/>
  <c r="IE39"/>
  <c r="IF39"/>
  <c r="IG39"/>
  <c r="IH39"/>
  <c r="II39"/>
  <c r="IJ39"/>
  <c r="IK39"/>
  <c r="IL39"/>
  <c r="IM39"/>
  <c r="IN39"/>
  <c r="IO39"/>
  <c r="IP39"/>
  <c r="IQ39"/>
  <c r="IR39"/>
  <c r="IS39"/>
  <c r="IT39"/>
  <c r="IU39"/>
  <c r="IV39"/>
  <c r="A40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BV40"/>
  <c r="BW40"/>
  <c r="BX40"/>
  <c r="BY40"/>
  <c r="BZ40"/>
  <c r="CA40"/>
  <c r="CB40"/>
  <c r="CC40"/>
  <c r="CD40"/>
  <c r="CE40"/>
  <c r="CF40"/>
  <c r="CG40"/>
  <c r="CH40"/>
  <c r="CI40"/>
  <c r="CJ40"/>
  <c r="CK40"/>
  <c r="CL40"/>
  <c r="CM40"/>
  <c r="CN40"/>
  <c r="CO40"/>
  <c r="CP40"/>
  <c r="CQ40"/>
  <c r="CR40"/>
  <c r="CS40"/>
  <c r="CT40"/>
  <c r="CU40"/>
  <c r="CV40"/>
  <c r="CW40"/>
  <c r="CX40"/>
  <c r="CY40"/>
  <c r="CZ40"/>
  <c r="DA40"/>
  <c r="DB40"/>
  <c r="DC40"/>
  <c r="DD40"/>
  <c r="DE40"/>
  <c r="DF40"/>
  <c r="DG40"/>
  <c r="DH40"/>
  <c r="DI40"/>
  <c r="DJ40"/>
  <c r="DK40"/>
  <c r="DL40"/>
  <c r="DM40"/>
  <c r="DN40"/>
  <c r="DO40"/>
  <c r="DP40"/>
  <c r="DQ40"/>
  <c r="DR40"/>
  <c r="DS40"/>
  <c r="DT40"/>
  <c r="DU40"/>
  <c r="DV40"/>
  <c r="DW40"/>
  <c r="DX40"/>
  <c r="DY40"/>
  <c r="DZ40"/>
  <c r="EA40"/>
  <c r="EB40"/>
  <c r="EC40"/>
  <c r="ED40"/>
  <c r="EE40"/>
  <c r="EF40"/>
  <c r="EG40"/>
  <c r="EH40"/>
  <c r="EI40"/>
  <c r="EJ40"/>
  <c r="EK40"/>
  <c r="EL40"/>
  <c r="EM40"/>
  <c r="EN40"/>
  <c r="EO40"/>
  <c r="EP40"/>
  <c r="EQ40"/>
  <c r="ER40"/>
  <c r="ES40"/>
  <c r="ET40"/>
  <c r="EU40"/>
  <c r="EV40"/>
  <c r="EW40"/>
  <c r="EX40"/>
  <c r="EY40"/>
  <c r="EZ40"/>
  <c r="FA40"/>
  <c r="FB40"/>
  <c r="FC40"/>
  <c r="FD40"/>
  <c r="FE40"/>
  <c r="FF40"/>
  <c r="FG40"/>
  <c r="FH40"/>
  <c r="FI40"/>
  <c r="FJ40"/>
  <c r="FK40"/>
  <c r="FL40"/>
  <c r="FM40"/>
  <c r="FN40"/>
  <c r="FO40"/>
  <c r="FP40"/>
  <c r="FQ40"/>
  <c r="FR40"/>
  <c r="FS40"/>
  <c r="FT40"/>
  <c r="FU40"/>
  <c r="FV40"/>
  <c r="FW40"/>
  <c r="FX40"/>
  <c r="FY40"/>
  <c r="FZ40"/>
  <c r="GA40"/>
  <c r="GB40"/>
  <c r="GC40"/>
  <c r="GD40"/>
  <c r="GE40"/>
  <c r="GF40"/>
  <c r="GG40"/>
  <c r="GH40"/>
  <c r="GI40"/>
  <c r="GJ40"/>
  <c r="GK40"/>
  <c r="GL40"/>
  <c r="GM40"/>
  <c r="GN40"/>
  <c r="GO40"/>
  <c r="GP40"/>
  <c r="GQ40"/>
  <c r="GR40"/>
  <c r="GS40"/>
  <c r="GT40"/>
  <c r="GU40"/>
  <c r="GV40"/>
  <c r="GW40"/>
  <c r="GX40"/>
  <c r="GY40"/>
  <c r="GZ40"/>
  <c r="HA40"/>
  <c r="HB40"/>
  <c r="HC40"/>
  <c r="HD40"/>
  <c r="HE40"/>
  <c r="HF40"/>
  <c r="HG40"/>
  <c r="HH40"/>
  <c r="HI40"/>
  <c r="HJ40"/>
  <c r="HK40"/>
  <c r="HL40"/>
  <c r="HM40"/>
  <c r="HN40"/>
  <c r="HO40"/>
  <c r="HP40"/>
  <c r="HQ40"/>
  <c r="HR40"/>
  <c r="HS40"/>
  <c r="HT40"/>
  <c r="HU40"/>
  <c r="HV40"/>
  <c r="HW40"/>
  <c r="HX40"/>
  <c r="HY40"/>
  <c r="HZ40"/>
  <c r="IA40"/>
  <c r="IB40"/>
  <c r="IC40"/>
  <c r="ID40"/>
  <c r="IE40"/>
  <c r="IF40"/>
  <c r="IG40"/>
  <c r="IH40"/>
  <c r="II40"/>
  <c r="IJ40"/>
  <c r="IK40"/>
  <c r="IL40"/>
  <c r="IM40"/>
  <c r="IN40"/>
  <c r="IO40"/>
  <c r="IP40"/>
  <c r="IQ40"/>
  <c r="IR40"/>
  <c r="IS40"/>
  <c r="IT40"/>
  <c r="IU40"/>
  <c r="IV40"/>
  <c r="A41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BV41"/>
  <c r="BW41"/>
  <c r="BX41"/>
  <c r="BY41"/>
  <c r="BZ41"/>
  <c r="CA41"/>
  <c r="CB41"/>
  <c r="CC41"/>
  <c r="CD41"/>
  <c r="CE41"/>
  <c r="CF41"/>
  <c r="CG41"/>
  <c r="CH41"/>
  <c r="CI41"/>
  <c r="CJ41"/>
  <c r="CK41"/>
  <c r="CL41"/>
  <c r="CM41"/>
  <c r="CN41"/>
  <c r="CO41"/>
  <c r="CP41"/>
  <c r="CQ41"/>
  <c r="CR41"/>
  <c r="CS41"/>
  <c r="CT41"/>
  <c r="CU41"/>
  <c r="CV41"/>
  <c r="CW41"/>
  <c r="CX41"/>
  <c r="CY41"/>
  <c r="CZ41"/>
  <c r="DA41"/>
  <c r="DB41"/>
  <c r="DC41"/>
  <c r="DD41"/>
  <c r="DE41"/>
  <c r="DF41"/>
  <c r="DG41"/>
  <c r="DH41"/>
  <c r="DI41"/>
  <c r="DJ41"/>
  <c r="DK41"/>
  <c r="DL41"/>
  <c r="DM41"/>
  <c r="DN41"/>
  <c r="DO41"/>
  <c r="DP41"/>
  <c r="DQ41"/>
  <c r="DR41"/>
  <c r="DS41"/>
  <c r="DT41"/>
  <c r="DU41"/>
  <c r="DV41"/>
  <c r="DW41"/>
  <c r="DX41"/>
  <c r="DY41"/>
  <c r="DZ41"/>
  <c r="EA41"/>
  <c r="EB41"/>
  <c r="EC41"/>
  <c r="ED41"/>
  <c r="EE41"/>
  <c r="EF41"/>
  <c r="EG41"/>
  <c r="EH41"/>
  <c r="EI41"/>
  <c r="EJ41"/>
  <c r="EK41"/>
  <c r="EL41"/>
  <c r="EM41"/>
  <c r="EN41"/>
  <c r="EO41"/>
  <c r="EP41"/>
  <c r="EQ41"/>
  <c r="ER41"/>
  <c r="ES41"/>
  <c r="ET41"/>
  <c r="EU41"/>
  <c r="EV41"/>
  <c r="EW41"/>
  <c r="EX41"/>
  <c r="EY41"/>
  <c r="EZ41"/>
  <c r="FA41"/>
  <c r="FB41"/>
  <c r="FC41"/>
  <c r="FD41"/>
  <c r="FE41"/>
  <c r="FF41"/>
  <c r="FG41"/>
  <c r="FH41"/>
  <c r="FI41"/>
  <c r="FJ41"/>
  <c r="FK41"/>
  <c r="FL41"/>
  <c r="FM41"/>
  <c r="FN41"/>
  <c r="FO41"/>
  <c r="FP41"/>
  <c r="FQ41"/>
  <c r="FR41"/>
  <c r="FS41"/>
  <c r="FT41"/>
  <c r="FU41"/>
  <c r="FV41"/>
  <c r="FW41"/>
  <c r="FX41"/>
  <c r="FY41"/>
  <c r="FZ41"/>
  <c r="GA41"/>
  <c r="GB41"/>
  <c r="GC41"/>
  <c r="GD41"/>
  <c r="GE41"/>
  <c r="GF41"/>
  <c r="GG41"/>
  <c r="GH41"/>
  <c r="GI41"/>
  <c r="GJ41"/>
  <c r="GK41"/>
  <c r="GL41"/>
  <c r="GM41"/>
  <c r="GN41"/>
  <c r="GO41"/>
  <c r="GP41"/>
  <c r="GQ41"/>
  <c r="GR41"/>
  <c r="GS41"/>
  <c r="GT41"/>
  <c r="GU41"/>
  <c r="GV41"/>
  <c r="GW41"/>
  <c r="GX41"/>
  <c r="GY41"/>
  <c r="GZ41"/>
  <c r="HA41"/>
  <c r="HB41"/>
  <c r="HC41"/>
  <c r="HD41"/>
  <c r="HE41"/>
  <c r="HF41"/>
  <c r="HG41"/>
  <c r="HH41"/>
  <c r="HI41"/>
  <c r="HJ41"/>
  <c r="HK41"/>
  <c r="HL41"/>
  <c r="HM41"/>
  <c r="HN41"/>
  <c r="HO41"/>
  <c r="HP41"/>
  <c r="HQ41"/>
  <c r="HR41"/>
  <c r="HS41"/>
  <c r="HT41"/>
  <c r="HU41"/>
  <c r="HV41"/>
  <c r="HW41"/>
  <c r="HX41"/>
  <c r="HY41"/>
  <c r="HZ41"/>
  <c r="IA41"/>
  <c r="IB41"/>
  <c r="IC41"/>
  <c r="ID41"/>
  <c r="IE41"/>
  <c r="IF41"/>
  <c r="IG41"/>
  <c r="IH41"/>
  <c r="II41"/>
  <c r="IJ41"/>
  <c r="IK41"/>
  <c r="IL41"/>
  <c r="IM41"/>
  <c r="IN41"/>
  <c r="IO41"/>
  <c r="IP41"/>
  <c r="IQ41"/>
  <c r="IR41"/>
  <c r="IS41"/>
  <c r="IT41"/>
  <c r="IU41"/>
  <c r="IV41"/>
  <c r="A42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BV42"/>
  <c r="BW42"/>
  <c r="BX42"/>
  <c r="BY42"/>
  <c r="BZ42"/>
  <c r="CA42"/>
  <c r="CB42"/>
  <c r="CC42"/>
  <c r="CD42"/>
  <c r="CE42"/>
  <c r="CF42"/>
  <c r="CG42"/>
  <c r="CH42"/>
  <c r="CI42"/>
  <c r="CJ42"/>
  <c r="CK42"/>
  <c r="CL42"/>
  <c r="CM42"/>
  <c r="CN42"/>
  <c r="CO42"/>
  <c r="CP42"/>
  <c r="CQ42"/>
  <c r="CR42"/>
  <c r="CS42"/>
  <c r="CT42"/>
  <c r="CU42"/>
  <c r="CV42"/>
  <c r="CW42"/>
  <c r="CX42"/>
  <c r="CY42"/>
  <c r="CZ42"/>
  <c r="DA42"/>
  <c r="DB42"/>
  <c r="DC42"/>
  <c r="DD42"/>
  <c r="DE42"/>
  <c r="DF42"/>
  <c r="DG42"/>
  <c r="DH42"/>
  <c r="DI42"/>
  <c r="DJ42"/>
  <c r="DK42"/>
  <c r="DL42"/>
  <c r="DM42"/>
  <c r="DN42"/>
  <c r="DO42"/>
  <c r="DP42"/>
  <c r="DQ42"/>
  <c r="DR42"/>
  <c r="DS42"/>
  <c r="DT42"/>
  <c r="DU42"/>
  <c r="DV42"/>
  <c r="DW42"/>
  <c r="DX42"/>
  <c r="DY42"/>
  <c r="DZ42"/>
  <c r="EA42"/>
  <c r="EB42"/>
  <c r="EC42"/>
  <c r="ED42"/>
  <c r="EE42"/>
  <c r="EF42"/>
  <c r="EG42"/>
  <c r="EH42"/>
  <c r="EI42"/>
  <c r="EJ42"/>
  <c r="EK42"/>
  <c r="EL42"/>
  <c r="EM42"/>
  <c r="EN42"/>
  <c r="EO42"/>
  <c r="EP42"/>
  <c r="EQ42"/>
  <c r="ER42"/>
  <c r="ES42"/>
  <c r="ET42"/>
  <c r="EU42"/>
  <c r="EV42"/>
  <c r="EW42"/>
  <c r="EX42"/>
  <c r="EY42"/>
  <c r="EZ42"/>
  <c r="FA42"/>
  <c r="FB42"/>
  <c r="FC42"/>
  <c r="FD42"/>
  <c r="FE42"/>
  <c r="FF42"/>
  <c r="FG42"/>
  <c r="FH42"/>
  <c r="FI42"/>
  <c r="FJ42"/>
  <c r="FK42"/>
  <c r="FL42"/>
  <c r="FM42"/>
  <c r="FN42"/>
  <c r="FO42"/>
  <c r="FP42"/>
  <c r="FQ42"/>
  <c r="FR42"/>
  <c r="FS42"/>
  <c r="FT42"/>
  <c r="FU42"/>
  <c r="FV42"/>
  <c r="FW42"/>
  <c r="FX42"/>
  <c r="FY42"/>
  <c r="FZ42"/>
  <c r="GA42"/>
  <c r="GB42"/>
  <c r="GC42"/>
  <c r="GD42"/>
  <c r="GE42"/>
  <c r="GF42"/>
  <c r="GG42"/>
  <c r="GH42"/>
  <c r="GI42"/>
  <c r="GJ42"/>
  <c r="GK42"/>
  <c r="GL42"/>
  <c r="GM42"/>
  <c r="GN42"/>
  <c r="GO42"/>
  <c r="GP42"/>
  <c r="GQ42"/>
  <c r="GR42"/>
  <c r="GS42"/>
  <c r="GT42"/>
  <c r="GU42"/>
  <c r="GV42"/>
  <c r="GW42"/>
  <c r="GX42"/>
  <c r="GY42"/>
  <c r="GZ42"/>
  <c r="HA42"/>
  <c r="HB42"/>
  <c r="HC42"/>
  <c r="HD42"/>
  <c r="HE42"/>
  <c r="HF42"/>
  <c r="HG42"/>
  <c r="HH42"/>
  <c r="HI42"/>
  <c r="HJ42"/>
  <c r="HK42"/>
  <c r="HL42"/>
  <c r="HM42"/>
  <c r="HN42"/>
  <c r="HO42"/>
  <c r="HP42"/>
  <c r="HQ42"/>
  <c r="HR42"/>
  <c r="HS42"/>
  <c r="HT42"/>
  <c r="HU42"/>
  <c r="HV42"/>
  <c r="HW42"/>
  <c r="HX42"/>
  <c r="HY42"/>
  <c r="HZ42"/>
  <c r="IA42"/>
  <c r="IB42"/>
  <c r="IC42"/>
  <c r="ID42"/>
  <c r="IE42"/>
  <c r="IF42"/>
  <c r="IG42"/>
  <c r="IH42"/>
  <c r="II42"/>
  <c r="IJ42"/>
  <c r="IK42"/>
  <c r="IL42"/>
  <c r="IM42"/>
  <c r="IN42"/>
  <c r="IO42"/>
  <c r="IP42"/>
  <c r="IQ42"/>
  <c r="IR42"/>
  <c r="IS42"/>
  <c r="IT42"/>
  <c r="IU42"/>
  <c r="IV42"/>
  <c r="A43"/>
  <c r="B43"/>
  <c r="C43"/>
  <c r="D43"/>
  <c r="E43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BV43"/>
  <c r="BW43"/>
  <c r="BX43"/>
  <c r="BY43"/>
  <c r="BZ43"/>
  <c r="CA43"/>
  <c r="CB43"/>
  <c r="CC43"/>
  <c r="CD43"/>
  <c r="CE43"/>
  <c r="CF43"/>
  <c r="CG43"/>
  <c r="CH43"/>
  <c r="CI43"/>
  <c r="CJ43"/>
  <c r="CK43"/>
  <c r="CL43"/>
  <c r="CM43"/>
  <c r="CN43"/>
  <c r="CO43"/>
  <c r="CP43"/>
  <c r="CQ43"/>
  <c r="CR43"/>
  <c r="CS43"/>
  <c r="CT43"/>
  <c r="CU43"/>
  <c r="CV43"/>
  <c r="CW43"/>
  <c r="CX43"/>
  <c r="CY43"/>
  <c r="CZ43"/>
  <c r="DA43"/>
  <c r="DB43"/>
  <c r="DC43"/>
  <c r="DD43"/>
  <c r="DE43"/>
  <c r="DF43"/>
  <c r="DG43"/>
  <c r="DH43"/>
  <c r="DI43"/>
  <c r="DJ43"/>
  <c r="DK43"/>
  <c r="DL43"/>
  <c r="DM43"/>
  <c r="DN43"/>
  <c r="DO43"/>
  <c r="DP43"/>
  <c r="DQ43"/>
  <c r="DR43"/>
  <c r="DS43"/>
  <c r="DT43"/>
  <c r="DU43"/>
  <c r="DV43"/>
  <c r="DW43"/>
  <c r="DX43"/>
  <c r="DY43"/>
  <c r="DZ43"/>
  <c r="EA43"/>
  <c r="EB43"/>
  <c r="EC43"/>
  <c r="ED43"/>
  <c r="EE43"/>
  <c r="EF43"/>
  <c r="EG43"/>
  <c r="EH43"/>
  <c r="EI43"/>
  <c r="EJ43"/>
  <c r="EK43"/>
  <c r="EL43"/>
  <c r="EM43"/>
  <c r="EN43"/>
  <c r="EO43"/>
  <c r="EP43"/>
  <c r="EQ43"/>
  <c r="ER43"/>
  <c r="ES43"/>
  <c r="ET43"/>
  <c r="EU43"/>
  <c r="EV43"/>
  <c r="EW43"/>
  <c r="EX43"/>
  <c r="EY43"/>
  <c r="EZ43"/>
  <c r="FA43"/>
  <c r="FB43"/>
  <c r="FC43"/>
  <c r="FD43"/>
  <c r="FE43"/>
  <c r="FF43"/>
  <c r="FG43"/>
  <c r="FH43"/>
  <c r="FI43"/>
  <c r="FJ43"/>
  <c r="FK43"/>
  <c r="FL43"/>
  <c r="FM43"/>
  <c r="FN43"/>
  <c r="FO43"/>
  <c r="FP43"/>
  <c r="FQ43"/>
  <c r="FR43"/>
  <c r="FS43"/>
  <c r="FT43"/>
  <c r="FU43"/>
  <c r="FV43"/>
  <c r="FW43"/>
  <c r="FX43"/>
  <c r="FY43"/>
  <c r="FZ43"/>
  <c r="GA43"/>
  <c r="GB43"/>
  <c r="GC43"/>
  <c r="GD43"/>
  <c r="GE43"/>
  <c r="GF43"/>
  <c r="GG43"/>
  <c r="GH43"/>
  <c r="GI43"/>
  <c r="GJ43"/>
  <c r="GK43"/>
  <c r="GL43"/>
  <c r="GM43"/>
  <c r="GN43"/>
  <c r="GO43"/>
  <c r="GP43"/>
  <c r="GQ43"/>
  <c r="GR43"/>
  <c r="GS43"/>
  <c r="GT43"/>
  <c r="GU43"/>
  <c r="GV43"/>
  <c r="GW43"/>
  <c r="GX43"/>
  <c r="GY43"/>
  <c r="GZ43"/>
  <c r="HA43"/>
  <c r="HB43"/>
  <c r="HC43"/>
  <c r="HD43"/>
  <c r="HE43"/>
  <c r="HF43"/>
  <c r="HG43"/>
  <c r="HH43"/>
  <c r="HI43"/>
  <c r="HJ43"/>
  <c r="HK43"/>
  <c r="HL43"/>
  <c r="HM43"/>
  <c r="HN43"/>
  <c r="HO43"/>
  <c r="HP43"/>
  <c r="HQ43"/>
  <c r="HR43"/>
  <c r="HS43"/>
  <c r="HT43"/>
  <c r="HU43"/>
  <c r="HV43"/>
  <c r="HW43"/>
  <c r="HX43"/>
  <c r="HY43"/>
  <c r="HZ43"/>
  <c r="IA43"/>
  <c r="IB43"/>
  <c r="IC43"/>
  <c r="ID43"/>
  <c r="IE43"/>
  <c r="IF43"/>
  <c r="IG43"/>
  <c r="IH43"/>
  <c r="II43"/>
  <c r="IJ43"/>
  <c r="IK43"/>
  <c r="IL43"/>
  <c r="IM43"/>
  <c r="IN43"/>
  <c r="IO43"/>
  <c r="IP43"/>
  <c r="IQ43"/>
  <c r="IR43"/>
  <c r="IS43"/>
  <c r="IT43"/>
  <c r="IU43"/>
  <c r="IV43"/>
  <c r="A44"/>
  <c r="B44"/>
  <c r="C44"/>
  <c r="D44"/>
  <c r="E44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BV44"/>
  <c r="BW44"/>
  <c r="BX44"/>
  <c r="BY44"/>
  <c r="BZ44"/>
  <c r="CA44"/>
  <c r="CB44"/>
  <c r="CC44"/>
  <c r="CD44"/>
  <c r="CE44"/>
  <c r="CF44"/>
  <c r="CG44"/>
  <c r="CH44"/>
  <c r="CI44"/>
  <c r="CJ44"/>
  <c r="CK44"/>
  <c r="CL44"/>
  <c r="CM44"/>
  <c r="CN44"/>
  <c r="CO44"/>
  <c r="CP44"/>
  <c r="CQ44"/>
  <c r="CR44"/>
  <c r="CS44"/>
  <c r="CT44"/>
  <c r="CU44"/>
  <c r="CV44"/>
  <c r="CW44"/>
  <c r="CX44"/>
  <c r="CY44"/>
  <c r="CZ44"/>
  <c r="DA44"/>
  <c r="DB44"/>
  <c r="DC44"/>
  <c r="DD44"/>
  <c r="DE44"/>
  <c r="DF44"/>
  <c r="DG44"/>
  <c r="DH44"/>
  <c r="DI44"/>
  <c r="DJ44"/>
  <c r="DK44"/>
  <c r="DL44"/>
  <c r="DM44"/>
  <c r="DN44"/>
  <c r="DO44"/>
  <c r="DP44"/>
  <c r="DQ44"/>
  <c r="DR44"/>
  <c r="DS44"/>
  <c r="DT44"/>
  <c r="DU44"/>
  <c r="DV44"/>
  <c r="DW44"/>
  <c r="DX44"/>
  <c r="DY44"/>
  <c r="DZ44"/>
  <c r="EA44"/>
  <c r="EB44"/>
  <c r="EC44"/>
  <c r="ED44"/>
  <c r="EE44"/>
  <c r="EF44"/>
  <c r="EG44"/>
  <c r="EH44"/>
  <c r="EI44"/>
  <c r="EJ44"/>
  <c r="EK44"/>
  <c r="EL44"/>
  <c r="EM44"/>
  <c r="EN44"/>
  <c r="EO44"/>
  <c r="EP44"/>
  <c r="EQ44"/>
  <c r="ER44"/>
  <c r="ES44"/>
  <c r="ET44"/>
  <c r="EU44"/>
  <c r="EV44"/>
  <c r="EW44"/>
  <c r="EX44"/>
  <c r="EY44"/>
  <c r="EZ44"/>
  <c r="FA44"/>
  <c r="FB44"/>
  <c r="FC44"/>
  <c r="FD44"/>
  <c r="FE44"/>
  <c r="FF44"/>
  <c r="FG44"/>
  <c r="FH44"/>
  <c r="FI44"/>
  <c r="FJ44"/>
  <c r="FK44"/>
  <c r="FL44"/>
  <c r="FM44"/>
  <c r="FN44"/>
  <c r="FO44"/>
  <c r="FP44"/>
  <c r="FQ44"/>
  <c r="FR44"/>
  <c r="FS44"/>
  <c r="FT44"/>
  <c r="FU44"/>
  <c r="FV44"/>
  <c r="FW44"/>
  <c r="FX44"/>
  <c r="FY44"/>
  <c r="FZ44"/>
  <c r="GA44"/>
  <c r="GB44"/>
  <c r="GC44"/>
  <c r="GD44"/>
  <c r="GE44"/>
  <c r="GF44"/>
  <c r="GG44"/>
  <c r="GH44"/>
  <c r="GI44"/>
  <c r="GJ44"/>
  <c r="GK44"/>
  <c r="GL44"/>
  <c r="GM44"/>
  <c r="GN44"/>
  <c r="GO44"/>
  <c r="GP44"/>
  <c r="GQ44"/>
  <c r="GR44"/>
  <c r="GS44"/>
  <c r="GT44"/>
  <c r="GU44"/>
  <c r="GV44"/>
  <c r="GW44"/>
  <c r="GX44"/>
  <c r="GY44"/>
  <c r="GZ44"/>
  <c r="HA44"/>
  <c r="HB44"/>
  <c r="HC44"/>
  <c r="HD44"/>
  <c r="HE44"/>
  <c r="HF44"/>
  <c r="HG44"/>
  <c r="HH44"/>
  <c r="HI44"/>
  <c r="HJ44"/>
  <c r="HK44"/>
  <c r="HL44"/>
  <c r="HM44"/>
  <c r="HN44"/>
  <c r="HO44"/>
  <c r="HP44"/>
  <c r="HQ44"/>
  <c r="HR44"/>
  <c r="HS44"/>
  <c r="HT44"/>
  <c r="HU44"/>
  <c r="HV44"/>
  <c r="HW44"/>
  <c r="HX44"/>
  <c r="HY44"/>
  <c r="HZ44"/>
  <c r="IA44"/>
  <c r="IB44"/>
  <c r="IC44"/>
  <c r="ID44"/>
  <c r="IE44"/>
  <c r="IF44"/>
  <c r="IG44"/>
  <c r="IH44"/>
  <c r="II44"/>
  <c r="IJ44"/>
  <c r="IK44"/>
  <c r="IL44"/>
  <c r="IM44"/>
  <c r="IN44"/>
  <c r="IO44"/>
  <c r="IP44"/>
  <c r="IQ44"/>
  <c r="IR44"/>
  <c r="IS44"/>
  <c r="IT44"/>
  <c r="IU44"/>
  <c r="IV44"/>
  <c r="A45"/>
  <c r="B45"/>
  <c r="C45"/>
  <c r="D45"/>
  <c r="E45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CB45"/>
  <c r="CC45"/>
  <c r="CD45"/>
  <c r="CE45"/>
  <c r="CF45"/>
  <c r="CG45"/>
  <c r="CH45"/>
  <c r="CI45"/>
  <c r="CJ45"/>
  <c r="CK45"/>
  <c r="CL45"/>
  <c r="CM45"/>
  <c r="CN45"/>
  <c r="CO45"/>
  <c r="CP45"/>
  <c r="CQ45"/>
  <c r="CR45"/>
  <c r="CS45"/>
  <c r="CT45"/>
  <c r="CU45"/>
  <c r="CV45"/>
  <c r="CW45"/>
  <c r="CX45"/>
  <c r="CY45"/>
  <c r="CZ45"/>
  <c r="DA45"/>
  <c r="DB45"/>
  <c r="DC45"/>
  <c r="DD45"/>
  <c r="DE45"/>
  <c r="DF45"/>
  <c r="DG45"/>
  <c r="DH45"/>
  <c r="DI45"/>
  <c r="DJ45"/>
  <c r="DK45"/>
  <c r="DL45"/>
  <c r="DM45"/>
  <c r="DN45"/>
  <c r="DO45"/>
  <c r="DP45"/>
  <c r="DQ45"/>
  <c r="DR45"/>
  <c r="DS45"/>
  <c r="DT45"/>
  <c r="DU45"/>
  <c r="DV45"/>
  <c r="DW45"/>
  <c r="DX45"/>
  <c r="DY45"/>
  <c r="DZ45"/>
  <c r="EA45"/>
  <c r="EB45"/>
  <c r="EC45"/>
  <c r="ED45"/>
  <c r="EE45"/>
  <c r="EF45"/>
  <c r="EG45"/>
  <c r="EH45"/>
  <c r="EI45"/>
  <c r="EJ45"/>
  <c r="EK45"/>
  <c r="EL45"/>
  <c r="EM45"/>
  <c r="EN45"/>
  <c r="EO45"/>
  <c r="EP45"/>
  <c r="EQ45"/>
  <c r="ER45"/>
  <c r="ES45"/>
  <c r="ET45"/>
  <c r="EU45"/>
  <c r="EV45"/>
  <c r="EW45"/>
  <c r="EX45"/>
  <c r="EY45"/>
  <c r="EZ45"/>
  <c r="FA45"/>
  <c r="FB45"/>
  <c r="FC45"/>
  <c r="FD45"/>
  <c r="FE45"/>
  <c r="FF45"/>
  <c r="FG45"/>
  <c r="FH45"/>
  <c r="FI45"/>
  <c r="FJ45"/>
  <c r="FK45"/>
  <c r="FL45"/>
  <c r="FM45"/>
  <c r="FN45"/>
  <c r="FO45"/>
  <c r="FP45"/>
  <c r="FQ45"/>
  <c r="FR45"/>
  <c r="FS45"/>
  <c r="FT45"/>
  <c r="FU45"/>
  <c r="FV45"/>
  <c r="FW45"/>
  <c r="FX45"/>
  <c r="FY45"/>
  <c r="FZ45"/>
  <c r="GA45"/>
  <c r="GB45"/>
  <c r="GC45"/>
  <c r="GD45"/>
  <c r="GE45"/>
  <c r="GF45"/>
  <c r="GG45"/>
  <c r="GH45"/>
  <c r="GI45"/>
  <c r="GJ45"/>
  <c r="GK45"/>
  <c r="GL45"/>
  <c r="GM45"/>
  <c r="GN45"/>
  <c r="GO45"/>
  <c r="GP45"/>
  <c r="GQ45"/>
  <c r="GR45"/>
  <c r="GS45"/>
  <c r="GT45"/>
  <c r="GU45"/>
  <c r="GV45"/>
  <c r="GW45"/>
  <c r="GX45"/>
  <c r="GY45"/>
  <c r="GZ45"/>
  <c r="HA45"/>
  <c r="HB45"/>
  <c r="HC45"/>
  <c r="HD45"/>
  <c r="HE45"/>
  <c r="HF45"/>
  <c r="HG45"/>
  <c r="HH45"/>
  <c r="HI45"/>
  <c r="HJ45"/>
  <c r="HK45"/>
  <c r="HL45"/>
  <c r="HM45"/>
  <c r="HN45"/>
  <c r="HO45"/>
  <c r="HP45"/>
  <c r="HQ45"/>
  <c r="HR45"/>
  <c r="HS45"/>
  <c r="HT45"/>
  <c r="HU45"/>
  <c r="HV45"/>
  <c r="HW45"/>
  <c r="HX45"/>
  <c r="HY45"/>
  <c r="HZ45"/>
  <c r="IA45"/>
  <c r="IB45"/>
  <c r="IC45"/>
  <c r="ID45"/>
  <c r="IE45"/>
  <c r="IF45"/>
  <c r="IG45"/>
  <c r="IH45"/>
  <c r="II45"/>
  <c r="IJ45"/>
  <c r="IK45"/>
  <c r="IL45"/>
  <c r="IM45"/>
  <c r="IN45"/>
  <c r="IO45"/>
  <c r="IP45"/>
  <c r="IQ45"/>
  <c r="IR45"/>
  <c r="IS45"/>
  <c r="IT45"/>
  <c r="IU45"/>
  <c r="IV45"/>
  <c r="A46"/>
  <c r="B46"/>
  <c r="C46"/>
  <c r="D4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BV46"/>
  <c r="BW46"/>
  <c r="BX46"/>
  <c r="BY46"/>
  <c r="BZ46"/>
  <c r="CA46"/>
  <c r="CB46"/>
  <c r="CC46"/>
  <c r="CD46"/>
  <c r="CE46"/>
  <c r="CF46"/>
  <c r="CG46"/>
  <c r="CH46"/>
  <c r="CI46"/>
  <c r="CJ46"/>
  <c r="CK46"/>
  <c r="CL46"/>
  <c r="CM46"/>
  <c r="CN46"/>
  <c r="CO46"/>
  <c r="CP46"/>
  <c r="CQ46"/>
  <c r="CR46"/>
  <c r="CS46"/>
  <c r="CT46"/>
  <c r="CU46"/>
  <c r="CV46"/>
  <c r="CW46"/>
  <c r="CX46"/>
  <c r="CY46"/>
  <c r="CZ46"/>
  <c r="DA46"/>
  <c r="DB46"/>
  <c r="DC46"/>
  <c r="DD46"/>
  <c r="DE46"/>
  <c r="DF46"/>
  <c r="DG46"/>
  <c r="DH46"/>
  <c r="DI46"/>
  <c r="DJ46"/>
  <c r="DK46"/>
  <c r="DL46"/>
  <c r="DM46"/>
  <c r="DN46"/>
  <c r="DO46"/>
  <c r="DP46"/>
  <c r="DQ46"/>
  <c r="DR46"/>
  <c r="DS46"/>
  <c r="DT46"/>
  <c r="DU46"/>
  <c r="DV46"/>
  <c r="DW46"/>
  <c r="DX46"/>
  <c r="DY46"/>
  <c r="DZ46"/>
  <c r="EA46"/>
  <c r="EB46"/>
  <c r="EC46"/>
  <c r="ED46"/>
  <c r="EE46"/>
  <c r="EF46"/>
  <c r="EG46"/>
  <c r="EH46"/>
  <c r="EI46"/>
  <c r="EJ46"/>
  <c r="EK46"/>
  <c r="EL46"/>
  <c r="EM46"/>
  <c r="EN46"/>
  <c r="EO46"/>
  <c r="EP46"/>
  <c r="EQ46"/>
  <c r="ER46"/>
  <c r="ES46"/>
  <c r="ET46"/>
  <c r="EU46"/>
  <c r="EV46"/>
  <c r="EW46"/>
  <c r="EX46"/>
  <c r="EY46"/>
  <c r="EZ46"/>
  <c r="FA46"/>
  <c r="FB46"/>
  <c r="FC46"/>
  <c r="FD46"/>
  <c r="FE46"/>
  <c r="FF46"/>
  <c r="FG46"/>
  <c r="FH46"/>
  <c r="FI46"/>
  <c r="FJ46"/>
  <c r="FK46"/>
  <c r="FL46"/>
  <c r="FM46"/>
  <c r="FN46"/>
  <c r="FO46"/>
  <c r="FP46"/>
  <c r="FQ46"/>
  <c r="FR46"/>
  <c r="FS46"/>
  <c r="FT46"/>
  <c r="FU46"/>
  <c r="FV46"/>
  <c r="FW46"/>
  <c r="FX46"/>
  <c r="FY46"/>
  <c r="FZ46"/>
  <c r="GA46"/>
  <c r="GB46"/>
  <c r="GC46"/>
  <c r="GD46"/>
  <c r="GE46"/>
  <c r="GF46"/>
  <c r="GG46"/>
  <c r="GH46"/>
  <c r="GI46"/>
  <c r="GJ46"/>
  <c r="GK46"/>
  <c r="GL46"/>
  <c r="GM46"/>
  <c r="GN46"/>
  <c r="GO46"/>
  <c r="GP46"/>
  <c r="GQ46"/>
  <c r="GR46"/>
  <c r="GS46"/>
  <c r="GT46"/>
  <c r="GU46"/>
  <c r="GV46"/>
  <c r="GW46"/>
  <c r="GX46"/>
  <c r="GY46"/>
  <c r="GZ46"/>
  <c r="HA46"/>
  <c r="HB46"/>
  <c r="HC46"/>
  <c r="HD46"/>
  <c r="HE46"/>
  <c r="HF46"/>
  <c r="HG46"/>
  <c r="HH46"/>
  <c r="HI46"/>
  <c r="HJ46"/>
  <c r="HK46"/>
  <c r="HL46"/>
  <c r="HM46"/>
  <c r="HN46"/>
  <c r="HO46"/>
  <c r="HP46"/>
  <c r="HQ46"/>
  <c r="HR46"/>
  <c r="HS46"/>
  <c r="HT46"/>
  <c r="HU46"/>
  <c r="HV46"/>
  <c r="HW46"/>
  <c r="HX46"/>
  <c r="HY46"/>
  <c r="HZ46"/>
  <c r="IA46"/>
  <c r="IB46"/>
  <c r="IC46"/>
  <c r="ID46"/>
  <c r="IE46"/>
  <c r="IF46"/>
  <c r="IG46"/>
  <c r="IH46"/>
  <c r="II46"/>
  <c r="IJ46"/>
  <c r="IK46"/>
  <c r="IL46"/>
  <c r="IM46"/>
  <c r="IN46"/>
  <c r="IO46"/>
  <c r="IP46"/>
  <c r="IQ46"/>
  <c r="IR46"/>
  <c r="IS46"/>
  <c r="IT46"/>
  <c r="IU46"/>
  <c r="IV46"/>
  <c r="A47"/>
  <c r="B47"/>
  <c r="C47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CA47"/>
  <c r="CB47"/>
  <c r="CC47"/>
  <c r="CD47"/>
  <c r="CE47"/>
  <c r="CF47"/>
  <c r="CG47"/>
  <c r="CH47"/>
  <c r="CI47"/>
  <c r="CJ47"/>
  <c r="CK47"/>
  <c r="CL47"/>
  <c r="CM47"/>
  <c r="CN47"/>
  <c r="CO47"/>
  <c r="CP47"/>
  <c r="CQ47"/>
  <c r="CR47"/>
  <c r="CS47"/>
  <c r="CT47"/>
  <c r="CU47"/>
  <c r="CV47"/>
  <c r="CW47"/>
  <c r="CX47"/>
  <c r="CY47"/>
  <c r="CZ47"/>
  <c r="DA47"/>
  <c r="DB47"/>
  <c r="DC47"/>
  <c r="DD47"/>
  <c r="DE47"/>
  <c r="DF47"/>
  <c r="DG47"/>
  <c r="DH47"/>
  <c r="DI47"/>
  <c r="DJ47"/>
  <c r="DK47"/>
  <c r="DL47"/>
  <c r="DM47"/>
  <c r="DN47"/>
  <c r="DO47"/>
  <c r="DP47"/>
  <c r="DQ47"/>
  <c r="DR47"/>
  <c r="DS47"/>
  <c r="DT47"/>
  <c r="DU47"/>
  <c r="DV47"/>
  <c r="DW47"/>
  <c r="DX47"/>
  <c r="DY47"/>
  <c r="DZ47"/>
  <c r="EA47"/>
  <c r="EB47"/>
  <c r="EC47"/>
  <c r="ED47"/>
  <c r="EE47"/>
  <c r="EF47"/>
  <c r="EG47"/>
  <c r="EH47"/>
  <c r="EI47"/>
  <c r="EJ47"/>
  <c r="EK47"/>
  <c r="EL47"/>
  <c r="EM47"/>
  <c r="EN47"/>
  <c r="EO47"/>
  <c r="EP47"/>
  <c r="EQ47"/>
  <c r="ER47"/>
  <c r="ES47"/>
  <c r="ET47"/>
  <c r="EU47"/>
  <c r="EV47"/>
  <c r="EW47"/>
  <c r="EX47"/>
  <c r="EY47"/>
  <c r="EZ47"/>
  <c r="FA47"/>
  <c r="FB47"/>
  <c r="FC47"/>
  <c r="FD47"/>
  <c r="FE47"/>
  <c r="FF47"/>
  <c r="FG47"/>
  <c r="FH47"/>
  <c r="FI47"/>
  <c r="FJ47"/>
  <c r="FK47"/>
  <c r="FL47"/>
  <c r="FM47"/>
  <c r="FN47"/>
  <c r="FO47"/>
  <c r="FP47"/>
  <c r="FQ47"/>
  <c r="FR47"/>
  <c r="FS47"/>
  <c r="FT47"/>
  <c r="FU47"/>
  <c r="FV47"/>
  <c r="FW47"/>
  <c r="FX47"/>
  <c r="FY47"/>
  <c r="FZ47"/>
  <c r="GA47"/>
  <c r="GB47"/>
  <c r="GC47"/>
  <c r="GD47"/>
  <c r="GE47"/>
  <c r="GF47"/>
  <c r="GG47"/>
  <c r="GH47"/>
  <c r="GI47"/>
  <c r="GJ47"/>
  <c r="GK47"/>
  <c r="GL47"/>
  <c r="GM47"/>
  <c r="GN47"/>
  <c r="GO47"/>
  <c r="GP47"/>
  <c r="GQ47"/>
  <c r="GR47"/>
  <c r="GS47"/>
  <c r="GT47"/>
  <c r="GU47"/>
  <c r="GV47"/>
  <c r="GW47"/>
  <c r="GX47"/>
  <c r="GY47"/>
  <c r="GZ47"/>
  <c r="HA47"/>
  <c r="HB47"/>
  <c r="HC47"/>
  <c r="HD47"/>
  <c r="HE47"/>
  <c r="HF47"/>
  <c r="HG47"/>
  <c r="HH47"/>
  <c r="HI47"/>
  <c r="HJ47"/>
  <c r="HK47"/>
  <c r="HL47"/>
  <c r="HM47"/>
  <c r="HN47"/>
  <c r="HO47"/>
  <c r="HP47"/>
  <c r="HQ47"/>
  <c r="HR47"/>
  <c r="HS47"/>
  <c r="HT47"/>
  <c r="HU47"/>
  <c r="HV47"/>
  <c r="HW47"/>
  <c r="HX47"/>
  <c r="HY47"/>
  <c r="HZ47"/>
  <c r="IA47"/>
  <c r="IB47"/>
  <c r="IC47"/>
  <c r="ID47"/>
  <c r="IE47"/>
  <c r="IF47"/>
  <c r="IG47"/>
  <c r="IH47"/>
  <c r="II47"/>
  <c r="IJ47"/>
  <c r="IK47"/>
  <c r="IL47"/>
  <c r="IM47"/>
  <c r="IN47"/>
  <c r="IO47"/>
  <c r="IP47"/>
  <c r="IQ47"/>
  <c r="IR47"/>
  <c r="IS47"/>
  <c r="IT47"/>
  <c r="IU47"/>
  <c r="IV47"/>
  <c r="A48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BV48"/>
  <c r="BW48"/>
  <c r="BX48"/>
  <c r="BY48"/>
  <c r="BZ48"/>
  <c r="CA48"/>
  <c r="CB48"/>
  <c r="CC48"/>
  <c r="CD48"/>
  <c r="CE48"/>
  <c r="CF48"/>
  <c r="CG48"/>
  <c r="CH48"/>
  <c r="CI48"/>
  <c r="CJ48"/>
  <c r="CK48"/>
  <c r="CL48"/>
  <c r="CM48"/>
  <c r="CN48"/>
  <c r="CO48"/>
  <c r="CP48"/>
  <c r="CQ48"/>
  <c r="CR48"/>
  <c r="CS48"/>
  <c r="CT48"/>
  <c r="CU48"/>
  <c r="CV48"/>
  <c r="CW48"/>
  <c r="CX48"/>
  <c r="CY48"/>
  <c r="CZ48"/>
  <c r="DA48"/>
  <c r="DB48"/>
  <c r="DC48"/>
  <c r="DD48"/>
  <c r="DE48"/>
  <c r="DF48"/>
  <c r="DG48"/>
  <c r="DH48"/>
  <c r="DI48"/>
  <c r="DJ48"/>
  <c r="DK48"/>
  <c r="DL48"/>
  <c r="DM48"/>
  <c r="DN48"/>
  <c r="DO48"/>
  <c r="DP48"/>
  <c r="DQ48"/>
  <c r="DR48"/>
  <c r="DS48"/>
  <c r="DT48"/>
  <c r="DU48"/>
  <c r="DV48"/>
  <c r="DW48"/>
  <c r="DX48"/>
  <c r="DY48"/>
  <c r="DZ48"/>
  <c r="EA48"/>
  <c r="EB48"/>
  <c r="EC48"/>
  <c r="ED48"/>
  <c r="EE48"/>
  <c r="EF48"/>
  <c r="EG48"/>
  <c r="EH48"/>
  <c r="EI48"/>
  <c r="EJ48"/>
  <c r="EK48"/>
  <c r="EL48"/>
  <c r="EM48"/>
  <c r="EN48"/>
  <c r="EO48"/>
  <c r="EP48"/>
  <c r="EQ48"/>
  <c r="ER48"/>
  <c r="ES48"/>
  <c r="ET48"/>
  <c r="EU48"/>
  <c r="EV48"/>
  <c r="EW48"/>
  <c r="EX48"/>
  <c r="EY48"/>
  <c r="EZ48"/>
  <c r="FA48"/>
  <c r="FB48"/>
  <c r="FC48"/>
  <c r="FD48"/>
  <c r="FE48"/>
  <c r="FF48"/>
  <c r="FG48"/>
  <c r="FH48"/>
  <c r="FI48"/>
  <c r="FJ48"/>
  <c r="FK48"/>
  <c r="FL48"/>
  <c r="FM48"/>
  <c r="FN48"/>
  <c r="FO48"/>
  <c r="FP48"/>
  <c r="FQ48"/>
  <c r="FR48"/>
  <c r="FS48"/>
  <c r="FT48"/>
  <c r="FU48"/>
  <c r="FV48"/>
  <c r="FW48"/>
  <c r="FX48"/>
  <c r="FY48"/>
  <c r="FZ48"/>
  <c r="GA48"/>
  <c r="GB48"/>
  <c r="GC48"/>
  <c r="GD48"/>
  <c r="GE48"/>
  <c r="GF48"/>
  <c r="GG48"/>
  <c r="GH48"/>
  <c r="GI48"/>
  <c r="GJ48"/>
  <c r="GK48"/>
  <c r="GL48"/>
  <c r="GM48"/>
  <c r="GN48"/>
  <c r="GO48"/>
  <c r="GP48"/>
  <c r="GQ48"/>
  <c r="GR48"/>
  <c r="GS48"/>
  <c r="GT48"/>
  <c r="GU48"/>
  <c r="GV48"/>
  <c r="GW48"/>
  <c r="GX48"/>
  <c r="GY48"/>
  <c r="GZ48"/>
  <c r="HA48"/>
  <c r="HB48"/>
  <c r="HC48"/>
  <c r="HD48"/>
  <c r="HE48"/>
  <c r="HF48"/>
  <c r="HG48"/>
  <c r="HH48"/>
  <c r="HI48"/>
  <c r="HJ48"/>
  <c r="HK48"/>
  <c r="HL48"/>
  <c r="HM48"/>
  <c r="HN48"/>
  <c r="HO48"/>
  <c r="HP48"/>
  <c r="HQ48"/>
  <c r="HR48"/>
  <c r="HS48"/>
  <c r="HT48"/>
  <c r="HU48"/>
  <c r="HV48"/>
  <c r="HW48"/>
  <c r="HX48"/>
  <c r="HY48"/>
  <c r="HZ48"/>
  <c r="IA48"/>
  <c r="IB48"/>
  <c r="IC48"/>
  <c r="ID48"/>
  <c r="IE48"/>
  <c r="IF48"/>
  <c r="IG48"/>
  <c r="IH48"/>
  <c r="II48"/>
  <c r="IJ48"/>
  <c r="IK48"/>
  <c r="IL48"/>
  <c r="IM48"/>
  <c r="IN48"/>
  <c r="IO48"/>
  <c r="IP48"/>
  <c r="IQ48"/>
  <c r="IR48"/>
  <c r="IS48"/>
  <c r="IT48"/>
  <c r="IU48"/>
  <c r="IV48"/>
  <c r="A49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BV49"/>
  <c r="BW49"/>
  <c r="BX49"/>
  <c r="BY49"/>
  <c r="BZ49"/>
  <c r="CA49"/>
  <c r="CB49"/>
  <c r="CC49"/>
  <c r="CD49"/>
  <c r="CE49"/>
  <c r="CF49"/>
  <c r="CG49"/>
  <c r="CH49"/>
  <c r="CI49"/>
  <c r="CJ49"/>
  <c r="CK49"/>
  <c r="CL49"/>
  <c r="CM49"/>
  <c r="CN49"/>
  <c r="CO49"/>
  <c r="CP49"/>
  <c r="CQ49"/>
  <c r="CR49"/>
  <c r="CS49"/>
  <c r="CT49"/>
  <c r="CU49"/>
  <c r="CV49"/>
  <c r="CW49"/>
  <c r="CX49"/>
  <c r="CY49"/>
  <c r="CZ49"/>
  <c r="DA49"/>
  <c r="DB49"/>
  <c r="DC49"/>
  <c r="DD49"/>
  <c r="DE49"/>
  <c r="DF49"/>
  <c r="DG49"/>
  <c r="DH49"/>
  <c r="DI49"/>
  <c r="DJ49"/>
  <c r="DK49"/>
  <c r="DL49"/>
  <c r="DM49"/>
  <c r="DN49"/>
  <c r="DO49"/>
  <c r="DP49"/>
  <c r="DQ49"/>
  <c r="DR49"/>
  <c r="DS49"/>
  <c r="DT49"/>
  <c r="DU49"/>
  <c r="DV49"/>
  <c r="DW49"/>
  <c r="DX49"/>
  <c r="DY49"/>
  <c r="DZ49"/>
  <c r="EA49"/>
  <c r="EB49"/>
  <c r="EC49"/>
  <c r="ED49"/>
  <c r="EE49"/>
  <c r="EF49"/>
  <c r="EG49"/>
  <c r="EH49"/>
  <c r="EI49"/>
  <c r="EJ49"/>
  <c r="EK49"/>
  <c r="EL49"/>
  <c r="EM49"/>
  <c r="EN49"/>
  <c r="EO49"/>
  <c r="EP49"/>
  <c r="EQ49"/>
  <c r="ER49"/>
  <c r="ES49"/>
  <c r="ET49"/>
  <c r="EU49"/>
  <c r="EV49"/>
  <c r="EW49"/>
  <c r="EX49"/>
  <c r="EY49"/>
  <c r="EZ49"/>
  <c r="FA49"/>
  <c r="FB49"/>
  <c r="FC49"/>
  <c r="FD49"/>
  <c r="FE49"/>
  <c r="FF49"/>
  <c r="FG49"/>
  <c r="FH49"/>
  <c r="FI49"/>
  <c r="FJ49"/>
  <c r="FK49"/>
  <c r="FL49"/>
  <c r="FM49"/>
  <c r="FN49"/>
  <c r="FO49"/>
  <c r="FP49"/>
  <c r="FQ49"/>
  <c r="FR49"/>
  <c r="FS49"/>
  <c r="FT49"/>
  <c r="FU49"/>
  <c r="FV49"/>
  <c r="FW49"/>
  <c r="FX49"/>
  <c r="FY49"/>
  <c r="FZ49"/>
  <c r="GA49"/>
  <c r="GB49"/>
  <c r="GC49"/>
  <c r="GD49"/>
  <c r="GE49"/>
  <c r="GF49"/>
  <c r="GG49"/>
  <c r="GH49"/>
  <c r="GI49"/>
  <c r="GJ49"/>
  <c r="GK49"/>
  <c r="GL49"/>
  <c r="GM49"/>
  <c r="GN49"/>
  <c r="GO49"/>
  <c r="GP49"/>
  <c r="GQ49"/>
  <c r="GR49"/>
  <c r="GS49"/>
  <c r="GT49"/>
  <c r="GU49"/>
  <c r="GV49"/>
  <c r="GW49"/>
  <c r="GX49"/>
  <c r="GY49"/>
  <c r="GZ49"/>
  <c r="HA49"/>
  <c r="HB49"/>
  <c r="HC49"/>
  <c r="HD49"/>
  <c r="HE49"/>
  <c r="HF49"/>
  <c r="HG49"/>
  <c r="HH49"/>
  <c r="HI49"/>
  <c r="HJ49"/>
  <c r="HK49"/>
  <c r="HL49"/>
  <c r="HM49"/>
  <c r="HN49"/>
  <c r="HO49"/>
  <c r="HP49"/>
  <c r="HQ49"/>
  <c r="HR49"/>
  <c r="HS49"/>
  <c r="HT49"/>
  <c r="HU49"/>
  <c r="HV49"/>
  <c r="HW49"/>
  <c r="HX49"/>
  <c r="HY49"/>
  <c r="HZ49"/>
  <c r="IA49"/>
  <c r="IB49"/>
  <c r="IC49"/>
  <c r="ID49"/>
  <c r="IE49"/>
  <c r="IF49"/>
  <c r="IG49"/>
  <c r="IH49"/>
  <c r="II49"/>
  <c r="IJ49"/>
  <c r="IK49"/>
  <c r="IL49"/>
  <c r="IM49"/>
  <c r="IN49"/>
  <c r="IO49"/>
  <c r="IP49"/>
  <c r="IQ49"/>
  <c r="IR49"/>
  <c r="IS49"/>
  <c r="IT49"/>
  <c r="IU49"/>
  <c r="IV49"/>
  <c r="A50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BV50"/>
  <c r="BW50"/>
  <c r="BX50"/>
  <c r="BY50"/>
  <c r="BZ50"/>
  <c r="CA50"/>
  <c r="CB50"/>
  <c r="CC50"/>
  <c r="CD50"/>
  <c r="CE50"/>
  <c r="CF50"/>
  <c r="CG50"/>
  <c r="CH50"/>
  <c r="CI50"/>
  <c r="CJ50"/>
  <c r="CK50"/>
  <c r="CL50"/>
  <c r="CM50"/>
  <c r="CN50"/>
  <c r="CO50"/>
  <c r="CP50"/>
  <c r="CQ50"/>
  <c r="CR50"/>
  <c r="CS50"/>
  <c r="CT50"/>
  <c r="CU50"/>
  <c r="CV50"/>
  <c r="CW50"/>
  <c r="CX50"/>
  <c r="CY50"/>
  <c r="CZ50"/>
  <c r="DA50"/>
  <c r="DB50"/>
  <c r="DC50"/>
  <c r="DD50"/>
  <c r="DE50"/>
  <c r="DF50"/>
  <c r="DG50"/>
  <c r="DH50"/>
  <c r="DI50"/>
  <c r="DJ50"/>
  <c r="DK50"/>
  <c r="DL50"/>
  <c r="DM50"/>
  <c r="DN50"/>
  <c r="DO50"/>
  <c r="DP50"/>
  <c r="DQ50"/>
  <c r="DR50"/>
  <c r="DS50"/>
  <c r="DT50"/>
  <c r="DU50"/>
  <c r="DV50"/>
  <c r="DW50"/>
  <c r="DX50"/>
  <c r="DY50"/>
  <c r="DZ50"/>
  <c r="EA50"/>
  <c r="EB50"/>
  <c r="EC50"/>
  <c r="ED50"/>
  <c r="EE50"/>
  <c r="EF50"/>
  <c r="EG50"/>
  <c r="EH50"/>
  <c r="EI50"/>
  <c r="EJ50"/>
  <c r="EK50"/>
  <c r="EL50"/>
  <c r="EM50"/>
  <c r="EN50"/>
  <c r="EO50"/>
  <c r="EP50"/>
  <c r="EQ50"/>
  <c r="ER50"/>
  <c r="ES50"/>
  <c r="ET50"/>
  <c r="EU50"/>
  <c r="EV50"/>
  <c r="EW50"/>
  <c r="EX50"/>
  <c r="EY50"/>
  <c r="EZ50"/>
  <c r="FA50"/>
  <c r="FB50"/>
  <c r="FC50"/>
  <c r="FD50"/>
  <c r="FE50"/>
  <c r="FF50"/>
  <c r="FG50"/>
  <c r="FH50"/>
  <c r="FI50"/>
  <c r="FJ50"/>
  <c r="FK50"/>
  <c r="FL50"/>
  <c r="FM50"/>
  <c r="FN50"/>
  <c r="FO50"/>
  <c r="FP50"/>
  <c r="FQ50"/>
  <c r="FR50"/>
  <c r="FS50"/>
  <c r="FT50"/>
  <c r="FU50"/>
  <c r="FV50"/>
  <c r="FW50"/>
  <c r="FX50"/>
  <c r="FY50"/>
  <c r="FZ50"/>
  <c r="GA50"/>
  <c r="GB50"/>
  <c r="GC50"/>
  <c r="GD50"/>
  <c r="GE50"/>
  <c r="GF50"/>
  <c r="GG50"/>
  <c r="GH50"/>
  <c r="GI50"/>
  <c r="GJ50"/>
  <c r="GK50"/>
  <c r="GL50"/>
  <c r="GM50"/>
  <c r="GN50"/>
  <c r="GO50"/>
  <c r="GP50"/>
  <c r="GQ50"/>
  <c r="GR50"/>
  <c r="GS50"/>
  <c r="GT50"/>
  <c r="GU50"/>
  <c r="GV50"/>
  <c r="GW50"/>
  <c r="GX50"/>
  <c r="GY50"/>
  <c r="GZ50"/>
  <c r="HA50"/>
  <c r="HB50"/>
  <c r="HC50"/>
  <c r="HD50"/>
  <c r="HE50"/>
  <c r="HF50"/>
  <c r="HG50"/>
  <c r="HH50"/>
  <c r="HI50"/>
  <c r="HJ50"/>
  <c r="HK50"/>
  <c r="HL50"/>
  <c r="HM50"/>
  <c r="HN50"/>
  <c r="HO50"/>
  <c r="HP50"/>
  <c r="HQ50"/>
  <c r="HR50"/>
  <c r="HS50"/>
  <c r="HT50"/>
  <c r="HU50"/>
  <c r="HV50"/>
  <c r="HW50"/>
  <c r="HX50"/>
  <c r="HY50"/>
  <c r="HZ50"/>
  <c r="IA50"/>
  <c r="IB50"/>
  <c r="IC50"/>
  <c r="ID50"/>
  <c r="IE50"/>
  <c r="IF50"/>
  <c r="IG50"/>
  <c r="IH50"/>
  <c r="II50"/>
  <c r="IJ50"/>
  <c r="IK50"/>
  <c r="IL50"/>
  <c r="IM50"/>
  <c r="IN50"/>
  <c r="IO50"/>
  <c r="IP50"/>
  <c r="IQ50"/>
  <c r="IR50"/>
  <c r="IS50"/>
  <c r="IT50"/>
  <c r="IU50"/>
  <c r="IV50"/>
  <c r="A51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CA51"/>
  <c r="CB51"/>
  <c r="CC51"/>
  <c r="CD51"/>
  <c r="CE51"/>
  <c r="CF51"/>
  <c r="CG51"/>
  <c r="CH51"/>
  <c r="CI51"/>
  <c r="CJ51"/>
  <c r="CK51"/>
  <c r="CL51"/>
  <c r="CM51"/>
  <c r="CN51"/>
  <c r="CO51"/>
  <c r="CP51"/>
  <c r="CQ51"/>
  <c r="CR51"/>
  <c r="CS51"/>
  <c r="CT51"/>
  <c r="CU51"/>
  <c r="CV51"/>
  <c r="CW51"/>
  <c r="CX51"/>
  <c r="CY51"/>
  <c r="CZ51"/>
  <c r="DA51"/>
  <c r="DB51"/>
  <c r="DC51"/>
  <c r="DD51"/>
  <c r="DE51"/>
  <c r="DF51"/>
  <c r="DG51"/>
  <c r="DH51"/>
  <c r="DI51"/>
  <c r="DJ51"/>
  <c r="DK51"/>
  <c r="DL51"/>
  <c r="DM51"/>
  <c r="DN51"/>
  <c r="DO51"/>
  <c r="DP51"/>
  <c r="DQ51"/>
  <c r="DR51"/>
  <c r="DS51"/>
  <c r="DT51"/>
  <c r="DU51"/>
  <c r="DV51"/>
  <c r="DW51"/>
  <c r="DX51"/>
  <c r="DY51"/>
  <c r="DZ51"/>
  <c r="EA51"/>
  <c r="EB51"/>
  <c r="EC51"/>
  <c r="ED51"/>
  <c r="EE51"/>
  <c r="EF51"/>
  <c r="EG51"/>
  <c r="EH51"/>
  <c r="EI51"/>
  <c r="EJ51"/>
  <c r="EK51"/>
  <c r="EL51"/>
  <c r="EM51"/>
  <c r="EN51"/>
  <c r="EO51"/>
  <c r="EP51"/>
  <c r="EQ51"/>
  <c r="ER51"/>
  <c r="ES51"/>
  <c r="ET51"/>
  <c r="EU51"/>
  <c r="EV51"/>
  <c r="EW51"/>
  <c r="EX51"/>
  <c r="EY51"/>
  <c r="EZ51"/>
  <c r="FA51"/>
  <c r="FB51"/>
  <c r="FC51"/>
  <c r="FD51"/>
  <c r="FE51"/>
  <c r="FF51"/>
  <c r="FG51"/>
  <c r="FH51"/>
  <c r="FI51"/>
  <c r="FJ51"/>
  <c r="FK51"/>
  <c r="FL51"/>
  <c r="FM51"/>
  <c r="FN51"/>
  <c r="FO51"/>
  <c r="FP51"/>
  <c r="FQ51"/>
  <c r="FR51"/>
  <c r="FS51"/>
  <c r="FT51"/>
  <c r="FU51"/>
  <c r="FV51"/>
  <c r="FW51"/>
  <c r="FX51"/>
  <c r="FY51"/>
  <c r="FZ51"/>
  <c r="GA51"/>
  <c r="GB51"/>
  <c r="GC51"/>
  <c r="GD51"/>
  <c r="GE51"/>
  <c r="GF51"/>
  <c r="GG51"/>
  <c r="GH51"/>
  <c r="GI51"/>
  <c r="GJ51"/>
  <c r="GK51"/>
  <c r="GL51"/>
  <c r="GM51"/>
  <c r="GN51"/>
  <c r="GO51"/>
  <c r="GP51"/>
  <c r="GQ51"/>
  <c r="GR51"/>
  <c r="GS51"/>
  <c r="GT51"/>
  <c r="GU51"/>
  <c r="GV51"/>
  <c r="GW51"/>
  <c r="GX51"/>
  <c r="GY51"/>
  <c r="GZ51"/>
  <c r="HA51"/>
  <c r="HB51"/>
  <c r="HC51"/>
  <c r="HD51"/>
  <c r="HE51"/>
  <c r="HF51"/>
  <c r="HG51"/>
  <c r="HH51"/>
  <c r="HI51"/>
  <c r="HJ51"/>
  <c r="HK51"/>
  <c r="HL51"/>
  <c r="HM51"/>
  <c r="HN51"/>
  <c r="HO51"/>
  <c r="HP51"/>
  <c r="HQ51"/>
  <c r="HR51"/>
  <c r="HS51"/>
  <c r="HT51"/>
  <c r="HU51"/>
  <c r="HV51"/>
  <c r="HW51"/>
  <c r="HX51"/>
  <c r="HY51"/>
  <c r="HZ51"/>
  <c r="IA51"/>
  <c r="IB51"/>
  <c r="IC51"/>
  <c r="ID51"/>
  <c r="IE51"/>
  <c r="IF51"/>
  <c r="IG51"/>
  <c r="IH51"/>
  <c r="II51"/>
  <c r="IJ51"/>
  <c r="IK51"/>
  <c r="IL51"/>
  <c r="IM51"/>
  <c r="IN51"/>
  <c r="IO51"/>
  <c r="IP51"/>
  <c r="IQ51"/>
  <c r="IR51"/>
  <c r="IS51"/>
  <c r="IT51"/>
  <c r="IU51"/>
  <c r="IV51"/>
  <c r="A52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BV52"/>
  <c r="BW52"/>
  <c r="BX52"/>
  <c r="BY52"/>
  <c r="BZ52"/>
  <c r="CA52"/>
  <c r="CB52"/>
  <c r="CC52"/>
  <c r="CD52"/>
  <c r="CE52"/>
  <c r="CF52"/>
  <c r="CG52"/>
  <c r="CH52"/>
  <c r="CI52"/>
  <c r="CJ52"/>
  <c r="CK52"/>
  <c r="CL52"/>
  <c r="CM52"/>
  <c r="CN52"/>
  <c r="CO52"/>
  <c r="CP52"/>
  <c r="CQ52"/>
  <c r="CR52"/>
  <c r="CS52"/>
  <c r="CT52"/>
  <c r="CU52"/>
  <c r="CV52"/>
  <c r="CW52"/>
  <c r="CX52"/>
  <c r="CY52"/>
  <c r="CZ52"/>
  <c r="DA52"/>
  <c r="DB52"/>
  <c r="DC52"/>
  <c r="DD52"/>
  <c r="DE52"/>
  <c r="DF52"/>
  <c r="DG52"/>
  <c r="DH52"/>
  <c r="DI52"/>
  <c r="DJ52"/>
  <c r="DK52"/>
  <c r="DL52"/>
  <c r="DM52"/>
  <c r="DN52"/>
  <c r="DO52"/>
  <c r="DP52"/>
  <c r="DQ52"/>
  <c r="DR52"/>
  <c r="DS52"/>
  <c r="DT52"/>
  <c r="DU52"/>
  <c r="DV52"/>
  <c r="DW52"/>
  <c r="DX52"/>
  <c r="DY52"/>
  <c r="DZ52"/>
  <c r="EA52"/>
  <c r="EB52"/>
  <c r="EC52"/>
  <c r="ED52"/>
  <c r="EE52"/>
  <c r="EF52"/>
  <c r="EG52"/>
  <c r="EH52"/>
  <c r="EI52"/>
  <c r="EJ52"/>
  <c r="EK52"/>
  <c r="EL52"/>
  <c r="EM52"/>
  <c r="EN52"/>
  <c r="EO52"/>
  <c r="EP52"/>
  <c r="EQ52"/>
  <c r="ER52"/>
  <c r="ES52"/>
  <c r="ET52"/>
  <c r="EU52"/>
  <c r="EV52"/>
  <c r="EW52"/>
  <c r="EX52"/>
  <c r="EY52"/>
  <c r="EZ52"/>
  <c r="FA52"/>
  <c r="FB52"/>
  <c r="FC52"/>
  <c r="FD52"/>
  <c r="FE52"/>
  <c r="FF52"/>
  <c r="FG52"/>
  <c r="FH52"/>
  <c r="FI52"/>
  <c r="FJ52"/>
  <c r="FK52"/>
  <c r="FL52"/>
  <c r="FM52"/>
  <c r="FN52"/>
  <c r="FO52"/>
  <c r="FP52"/>
  <c r="FQ52"/>
  <c r="FR52"/>
  <c r="FS52"/>
  <c r="FT52"/>
  <c r="FU52"/>
  <c r="FV52"/>
  <c r="FW52"/>
  <c r="FX52"/>
  <c r="FY52"/>
  <c r="FZ52"/>
  <c r="GA52"/>
  <c r="GB52"/>
  <c r="GC52"/>
  <c r="GD52"/>
  <c r="GE52"/>
  <c r="GF52"/>
  <c r="GG52"/>
  <c r="GH52"/>
  <c r="GI52"/>
  <c r="GJ52"/>
  <c r="GK52"/>
  <c r="GL52"/>
  <c r="GM52"/>
  <c r="GN52"/>
  <c r="GO52"/>
  <c r="GP52"/>
  <c r="GQ52"/>
  <c r="GR52"/>
  <c r="GS52"/>
  <c r="GT52"/>
  <c r="GU52"/>
  <c r="GV52"/>
  <c r="GW52"/>
  <c r="GX52"/>
  <c r="GY52"/>
  <c r="GZ52"/>
  <c r="HA52"/>
  <c r="HB52"/>
  <c r="HC52"/>
  <c r="HD52"/>
  <c r="HE52"/>
  <c r="HF52"/>
  <c r="HG52"/>
  <c r="HH52"/>
  <c r="HI52"/>
  <c r="HJ52"/>
  <c r="HK52"/>
  <c r="HL52"/>
  <c r="HM52"/>
  <c r="HN52"/>
  <c r="HO52"/>
  <c r="HP52"/>
  <c r="HQ52"/>
  <c r="HR52"/>
  <c r="HS52"/>
  <c r="HT52"/>
  <c r="HU52"/>
  <c r="HV52"/>
  <c r="HW52"/>
  <c r="HX52"/>
  <c r="HY52"/>
  <c r="HZ52"/>
  <c r="IA52"/>
  <c r="IB52"/>
  <c r="IC52"/>
  <c r="ID52"/>
  <c r="IE52"/>
  <c r="IF52"/>
  <c r="IG52"/>
  <c r="IH52"/>
  <c r="II52"/>
  <c r="IJ52"/>
  <c r="IK52"/>
  <c r="IL52"/>
  <c r="IM52"/>
  <c r="IN52"/>
  <c r="IO52"/>
  <c r="IP52"/>
  <c r="IQ52"/>
  <c r="IR52"/>
  <c r="IS52"/>
  <c r="IT52"/>
  <c r="IU52"/>
  <c r="IV52"/>
  <c r="A53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BV53"/>
  <c r="BW53"/>
  <c r="BX53"/>
  <c r="BY53"/>
  <c r="BZ53"/>
  <c r="CA53"/>
  <c r="CB53"/>
  <c r="CC53"/>
  <c r="CD53"/>
  <c r="CE53"/>
  <c r="CF53"/>
  <c r="CG53"/>
  <c r="CH53"/>
  <c r="CI53"/>
  <c r="CJ53"/>
  <c r="CK53"/>
  <c r="CL53"/>
  <c r="CM53"/>
  <c r="CN53"/>
  <c r="CO53"/>
  <c r="CP53"/>
  <c r="CQ53"/>
  <c r="CR53"/>
  <c r="CS53"/>
  <c r="CT53"/>
  <c r="CU53"/>
  <c r="CV53"/>
  <c r="CW53"/>
  <c r="CX53"/>
  <c r="CY53"/>
  <c r="CZ53"/>
  <c r="DA53"/>
  <c r="DB53"/>
  <c r="DC53"/>
  <c r="DD53"/>
  <c r="DE53"/>
  <c r="DF53"/>
  <c r="DG53"/>
  <c r="DH53"/>
  <c r="DI53"/>
  <c r="DJ53"/>
  <c r="DK53"/>
  <c r="DL53"/>
  <c r="DM53"/>
  <c r="DN53"/>
  <c r="DO53"/>
  <c r="DP53"/>
  <c r="DQ53"/>
  <c r="DR53"/>
  <c r="DS53"/>
  <c r="DT53"/>
  <c r="DU53"/>
  <c r="DV53"/>
  <c r="DW53"/>
  <c r="DX53"/>
  <c r="DY53"/>
  <c r="DZ53"/>
  <c r="EA53"/>
  <c r="EB53"/>
  <c r="EC53"/>
  <c r="ED53"/>
  <c r="EE53"/>
  <c r="EF53"/>
  <c r="EG53"/>
  <c r="EH53"/>
  <c r="EI53"/>
  <c r="EJ53"/>
  <c r="EK53"/>
  <c r="EL53"/>
  <c r="EM53"/>
  <c r="EN53"/>
  <c r="EO53"/>
  <c r="EP53"/>
  <c r="EQ53"/>
  <c r="ER53"/>
  <c r="ES53"/>
  <c r="ET53"/>
  <c r="EU53"/>
  <c r="EV53"/>
  <c r="EW53"/>
  <c r="EX53"/>
  <c r="EY53"/>
  <c r="EZ53"/>
  <c r="FA53"/>
  <c r="FB53"/>
  <c r="FC53"/>
  <c r="FD53"/>
  <c r="FE53"/>
  <c r="FF53"/>
  <c r="FG53"/>
  <c r="FH53"/>
  <c r="FI53"/>
  <c r="FJ53"/>
  <c r="FK53"/>
  <c r="FL53"/>
  <c r="FM53"/>
  <c r="FN53"/>
  <c r="FO53"/>
  <c r="FP53"/>
  <c r="FQ53"/>
  <c r="FR53"/>
  <c r="FS53"/>
  <c r="FT53"/>
  <c r="FU53"/>
  <c r="FV53"/>
  <c r="FW53"/>
  <c r="FX53"/>
  <c r="FY53"/>
  <c r="FZ53"/>
  <c r="GA53"/>
  <c r="GB53"/>
  <c r="GC53"/>
  <c r="GD53"/>
  <c r="GE53"/>
  <c r="GF53"/>
  <c r="GG53"/>
  <c r="GH53"/>
  <c r="GI53"/>
  <c r="GJ53"/>
  <c r="GK53"/>
  <c r="GL53"/>
  <c r="GM53"/>
  <c r="GN53"/>
  <c r="GO53"/>
  <c r="GP53"/>
  <c r="GQ53"/>
  <c r="GR53"/>
  <c r="GS53"/>
  <c r="GT53"/>
  <c r="GU53"/>
  <c r="GV53"/>
  <c r="GW53"/>
  <c r="GX53"/>
  <c r="GY53"/>
  <c r="GZ53"/>
  <c r="HA53"/>
  <c r="HB53"/>
  <c r="HC53"/>
  <c r="HD53"/>
  <c r="HE53"/>
  <c r="HF53"/>
  <c r="HG53"/>
  <c r="HH53"/>
  <c r="HI53"/>
  <c r="HJ53"/>
  <c r="HK53"/>
  <c r="HL53"/>
  <c r="HM53"/>
  <c r="HN53"/>
  <c r="HO53"/>
  <c r="HP53"/>
  <c r="HQ53"/>
  <c r="HR53"/>
  <c r="HS53"/>
  <c r="HT53"/>
  <c r="HU53"/>
  <c r="HV53"/>
  <c r="HW53"/>
  <c r="HX53"/>
  <c r="HY53"/>
  <c r="HZ53"/>
  <c r="IA53"/>
  <c r="IB53"/>
  <c r="IC53"/>
  <c r="ID53"/>
  <c r="IE53"/>
  <c r="IF53"/>
  <c r="IG53"/>
  <c r="IH53"/>
  <c r="II53"/>
  <c r="IJ53"/>
  <c r="IK53"/>
  <c r="IL53"/>
  <c r="IM53"/>
  <c r="IN53"/>
  <c r="IO53"/>
  <c r="IP53"/>
  <c r="IQ53"/>
  <c r="IR53"/>
  <c r="IS53"/>
  <c r="IT53"/>
  <c r="IU53"/>
  <c r="IV53"/>
  <c r="A54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BV54"/>
  <c r="BW54"/>
  <c r="BX54"/>
  <c r="BY54"/>
  <c r="BZ54"/>
  <c r="CA54"/>
  <c r="CB54"/>
  <c r="CC54"/>
  <c r="CD54"/>
  <c r="CE54"/>
  <c r="CF54"/>
  <c r="CG54"/>
  <c r="CH54"/>
  <c r="CI54"/>
  <c r="CJ54"/>
  <c r="CK54"/>
  <c r="CL54"/>
  <c r="CM54"/>
  <c r="CN54"/>
  <c r="CO54"/>
  <c r="CP54"/>
  <c r="CQ54"/>
  <c r="CR54"/>
  <c r="CS54"/>
  <c r="CT54"/>
  <c r="CU54"/>
  <c r="CV54"/>
  <c r="CW54"/>
  <c r="CX54"/>
  <c r="CY54"/>
  <c r="CZ54"/>
  <c r="DA54"/>
  <c r="DB54"/>
  <c r="DC54"/>
  <c r="DD54"/>
  <c r="DE54"/>
  <c r="DF54"/>
  <c r="DG54"/>
  <c r="DH54"/>
  <c r="DI54"/>
  <c r="DJ54"/>
  <c r="DK54"/>
  <c r="DL54"/>
  <c r="DM54"/>
  <c r="DN54"/>
  <c r="DO54"/>
  <c r="DP54"/>
  <c r="DQ54"/>
  <c r="DR54"/>
  <c r="DS54"/>
  <c r="DT54"/>
  <c r="DU54"/>
  <c r="DV54"/>
  <c r="DW54"/>
  <c r="DX54"/>
  <c r="DY54"/>
  <c r="DZ54"/>
  <c r="EA54"/>
  <c r="EB54"/>
  <c r="EC54"/>
  <c r="ED54"/>
  <c r="EE54"/>
  <c r="EF54"/>
  <c r="EG54"/>
  <c r="EH54"/>
  <c r="EI54"/>
  <c r="EJ54"/>
  <c r="EK54"/>
  <c r="EL54"/>
  <c r="EM54"/>
  <c r="EN54"/>
  <c r="EO54"/>
  <c r="EP54"/>
  <c r="EQ54"/>
  <c r="ER54"/>
  <c r="ES54"/>
  <c r="ET54"/>
  <c r="EU54"/>
  <c r="EV54"/>
  <c r="EW54"/>
  <c r="EX54"/>
  <c r="EY54"/>
  <c r="EZ54"/>
  <c r="FA54"/>
  <c r="FB54"/>
  <c r="FC54"/>
  <c r="FD54"/>
  <c r="FE54"/>
  <c r="FF54"/>
  <c r="FG54"/>
  <c r="FH54"/>
  <c r="FI54"/>
  <c r="FJ54"/>
  <c r="FK54"/>
  <c r="FL54"/>
  <c r="FM54"/>
  <c r="FN54"/>
  <c r="FO54"/>
  <c r="FP54"/>
  <c r="FQ54"/>
  <c r="FR54"/>
  <c r="FS54"/>
  <c r="FT54"/>
  <c r="FU54"/>
  <c r="FV54"/>
  <c r="FW54"/>
  <c r="FX54"/>
  <c r="FY54"/>
  <c r="FZ54"/>
  <c r="GA54"/>
  <c r="GB54"/>
  <c r="GC54"/>
  <c r="GD54"/>
  <c r="GE54"/>
  <c r="GF54"/>
  <c r="GG54"/>
  <c r="GH54"/>
  <c r="GI54"/>
  <c r="GJ54"/>
  <c r="GK54"/>
  <c r="GL54"/>
  <c r="GM54"/>
  <c r="GN54"/>
  <c r="GO54"/>
  <c r="GP54"/>
  <c r="GQ54"/>
  <c r="GR54"/>
  <c r="GS54"/>
  <c r="GT54"/>
  <c r="GU54"/>
  <c r="GV54"/>
  <c r="GW54"/>
  <c r="GX54"/>
  <c r="GY54"/>
  <c r="GZ54"/>
  <c r="HA54"/>
  <c r="HB54"/>
  <c r="HC54"/>
  <c r="HD54"/>
  <c r="HE54"/>
  <c r="HF54"/>
  <c r="HG54"/>
  <c r="HH54"/>
  <c r="HI54"/>
  <c r="HJ54"/>
  <c r="HK54"/>
  <c r="HL54"/>
  <c r="HM54"/>
  <c r="HN54"/>
  <c r="HO54"/>
  <c r="HP54"/>
  <c r="HQ54"/>
  <c r="HR54"/>
  <c r="HS54"/>
  <c r="HT54"/>
  <c r="HU54"/>
  <c r="HV54"/>
  <c r="HW54"/>
  <c r="HX54"/>
  <c r="HY54"/>
  <c r="HZ54"/>
  <c r="IA54"/>
  <c r="IB54"/>
  <c r="IC54"/>
  <c r="ID54"/>
  <c r="IE54"/>
  <c r="IF54"/>
  <c r="IG54"/>
  <c r="IH54"/>
  <c r="II54"/>
  <c r="IJ54"/>
  <c r="IK54"/>
  <c r="IL54"/>
  <c r="IM54"/>
  <c r="IN54"/>
  <c r="IO54"/>
  <c r="IP54"/>
  <c r="IQ54"/>
  <c r="IR54"/>
  <c r="IS54"/>
  <c r="IT54"/>
  <c r="IU54"/>
  <c r="IV54"/>
  <c r="A55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BY55"/>
  <c r="BZ55"/>
  <c r="CA55"/>
  <c r="CB55"/>
  <c r="CC55"/>
  <c r="CD55"/>
  <c r="CE55"/>
  <c r="CF55"/>
  <c r="CG55"/>
  <c r="CH55"/>
  <c r="CI55"/>
  <c r="CJ55"/>
  <c r="CK55"/>
  <c r="CL55"/>
  <c r="CM55"/>
  <c r="CN55"/>
  <c r="CO55"/>
  <c r="CP55"/>
  <c r="CQ55"/>
  <c r="CR55"/>
  <c r="CS55"/>
  <c r="CT55"/>
  <c r="CU55"/>
  <c r="CV55"/>
  <c r="CW55"/>
  <c r="CX55"/>
  <c r="CY55"/>
  <c r="CZ55"/>
  <c r="DA55"/>
  <c r="DB55"/>
  <c r="DC55"/>
  <c r="DD55"/>
  <c r="DE55"/>
  <c r="DF55"/>
  <c r="DG55"/>
  <c r="DH55"/>
  <c r="DI55"/>
  <c r="DJ55"/>
  <c r="DK55"/>
  <c r="DL55"/>
  <c r="DM55"/>
  <c r="DN55"/>
  <c r="DO55"/>
  <c r="DP55"/>
  <c r="DQ55"/>
  <c r="DR55"/>
  <c r="DS55"/>
  <c r="DT55"/>
  <c r="DU55"/>
  <c r="DV55"/>
  <c r="DW55"/>
  <c r="DX55"/>
  <c r="DY55"/>
  <c r="DZ55"/>
  <c r="EA55"/>
  <c r="EB55"/>
  <c r="EC55"/>
  <c r="ED55"/>
  <c r="EE55"/>
  <c r="EF55"/>
  <c r="EG55"/>
  <c r="EH55"/>
  <c r="EI55"/>
  <c r="EJ55"/>
  <c r="EK55"/>
  <c r="EL55"/>
  <c r="EM55"/>
  <c r="EN55"/>
  <c r="EO55"/>
  <c r="EP55"/>
  <c r="EQ55"/>
  <c r="ER55"/>
  <c r="ES55"/>
  <c r="ET55"/>
  <c r="EU55"/>
  <c r="EV55"/>
  <c r="EW55"/>
  <c r="EX55"/>
  <c r="EY55"/>
  <c r="EZ55"/>
  <c r="FA55"/>
  <c r="FB55"/>
  <c r="FC55"/>
  <c r="FD55"/>
  <c r="FE55"/>
  <c r="FF55"/>
  <c r="FG55"/>
  <c r="FH55"/>
  <c r="FI55"/>
  <c r="FJ55"/>
  <c r="FK55"/>
  <c r="FL55"/>
  <c r="FM55"/>
  <c r="FN55"/>
  <c r="FO55"/>
  <c r="FP55"/>
  <c r="FQ55"/>
  <c r="FR55"/>
  <c r="FS55"/>
  <c r="FT55"/>
  <c r="FU55"/>
  <c r="FV55"/>
  <c r="FW55"/>
  <c r="FX55"/>
  <c r="FY55"/>
  <c r="FZ55"/>
  <c r="GA55"/>
  <c r="GB55"/>
  <c r="GC55"/>
  <c r="GD55"/>
  <c r="GE55"/>
  <c r="GF55"/>
  <c r="GG55"/>
  <c r="GH55"/>
  <c r="GI55"/>
  <c r="GJ55"/>
  <c r="GK55"/>
  <c r="GL55"/>
  <c r="GM55"/>
  <c r="GN55"/>
  <c r="GO55"/>
  <c r="GP55"/>
  <c r="GQ55"/>
  <c r="GR55"/>
  <c r="GS55"/>
  <c r="GT55"/>
  <c r="GU55"/>
  <c r="GV55"/>
  <c r="GW55"/>
  <c r="GX55"/>
  <c r="GY55"/>
  <c r="GZ55"/>
  <c r="HA55"/>
  <c r="HB55"/>
  <c r="HC55"/>
  <c r="HD55"/>
  <c r="HE55"/>
  <c r="HF55"/>
  <c r="HG55"/>
  <c r="HH55"/>
  <c r="HI55"/>
  <c r="HJ55"/>
  <c r="HK55"/>
  <c r="HL55"/>
  <c r="HM55"/>
  <c r="HN55"/>
  <c r="HO55"/>
  <c r="HP55"/>
  <c r="HQ55"/>
  <c r="HR55"/>
  <c r="HS55"/>
  <c r="HT55"/>
  <c r="HU55"/>
  <c r="HV55"/>
  <c r="HW55"/>
  <c r="HX55"/>
  <c r="HY55"/>
  <c r="HZ55"/>
  <c r="IA55"/>
  <c r="IB55"/>
  <c r="IC55"/>
  <c r="ID55"/>
  <c r="IE55"/>
  <c r="IF55"/>
  <c r="IG55"/>
  <c r="IH55"/>
  <c r="II55"/>
  <c r="IJ55"/>
  <c r="IK55"/>
  <c r="IL55"/>
  <c r="IM55"/>
  <c r="IN55"/>
  <c r="IO55"/>
  <c r="IP55"/>
  <c r="IQ55"/>
  <c r="IR55"/>
  <c r="IS55"/>
  <c r="IT55"/>
  <c r="IU55"/>
  <c r="IV55"/>
  <c r="A56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BV56"/>
  <c r="BW56"/>
  <c r="BX56"/>
  <c r="BY56"/>
  <c r="BZ56"/>
  <c r="CA56"/>
  <c r="CB56"/>
  <c r="CC56"/>
  <c r="CD56"/>
  <c r="CE56"/>
  <c r="CF56"/>
  <c r="CG56"/>
  <c r="CH56"/>
  <c r="CI56"/>
  <c r="CJ56"/>
  <c r="CK56"/>
  <c r="CL56"/>
  <c r="CM56"/>
  <c r="CN56"/>
  <c r="CO56"/>
  <c r="CP56"/>
  <c r="CQ56"/>
  <c r="CR56"/>
  <c r="CS56"/>
  <c r="CT56"/>
  <c r="CU56"/>
  <c r="CV56"/>
  <c r="CW56"/>
  <c r="CX56"/>
  <c r="CY56"/>
  <c r="CZ56"/>
  <c r="DA56"/>
  <c r="DB56"/>
  <c r="DC56"/>
  <c r="DD56"/>
  <c r="DE56"/>
  <c r="DF56"/>
  <c r="DG56"/>
  <c r="DH56"/>
  <c r="DI56"/>
  <c r="DJ56"/>
  <c r="DK56"/>
  <c r="DL56"/>
  <c r="DM56"/>
  <c r="DN56"/>
  <c r="DO56"/>
  <c r="DP56"/>
  <c r="DQ56"/>
  <c r="DR56"/>
  <c r="DS56"/>
  <c r="DT56"/>
  <c r="DU56"/>
  <c r="DV56"/>
  <c r="DW56"/>
  <c r="DX56"/>
  <c r="DY56"/>
  <c r="DZ56"/>
  <c r="EA56"/>
  <c r="EB56"/>
  <c r="EC56"/>
  <c r="ED56"/>
  <c r="EE56"/>
  <c r="EF56"/>
  <c r="EG56"/>
  <c r="EH56"/>
  <c r="EI56"/>
  <c r="EJ56"/>
  <c r="EK56"/>
  <c r="EL56"/>
  <c r="EM56"/>
  <c r="EN56"/>
  <c r="EO56"/>
  <c r="EP56"/>
  <c r="EQ56"/>
  <c r="ER56"/>
  <c r="ES56"/>
  <c r="ET56"/>
  <c r="EU56"/>
  <c r="EV56"/>
  <c r="EW56"/>
  <c r="EX56"/>
  <c r="EY56"/>
  <c r="EZ56"/>
  <c r="FA56"/>
  <c r="FB56"/>
  <c r="FC56"/>
  <c r="FD56"/>
  <c r="FE56"/>
  <c r="FF56"/>
  <c r="FG56"/>
  <c r="FH56"/>
  <c r="FI56"/>
  <c r="FJ56"/>
  <c r="FK56"/>
  <c r="FL56"/>
  <c r="FM56"/>
  <c r="FN56"/>
  <c r="FO56"/>
  <c r="FP56"/>
  <c r="FQ56"/>
  <c r="FR56"/>
  <c r="FS56"/>
  <c r="FT56"/>
  <c r="FU56"/>
  <c r="FV56"/>
  <c r="FW56"/>
  <c r="FX56"/>
  <c r="FY56"/>
  <c r="FZ56"/>
  <c r="GA56"/>
  <c r="GB56"/>
  <c r="GC56"/>
  <c r="GD56"/>
  <c r="GE56"/>
  <c r="GF56"/>
  <c r="GG56"/>
  <c r="GH56"/>
  <c r="GI56"/>
  <c r="GJ56"/>
  <c r="GK56"/>
  <c r="GL56"/>
  <c r="GM56"/>
  <c r="GN56"/>
  <c r="GO56"/>
  <c r="GP56"/>
  <c r="GQ56"/>
  <c r="GR56"/>
  <c r="GS56"/>
  <c r="GT56"/>
  <c r="GU56"/>
  <c r="GV56"/>
  <c r="GW56"/>
  <c r="GX56"/>
  <c r="GY56"/>
  <c r="GZ56"/>
  <c r="HA56"/>
  <c r="HB56"/>
  <c r="HC56"/>
  <c r="HD56"/>
  <c r="HE56"/>
  <c r="HF56"/>
  <c r="HG56"/>
  <c r="HH56"/>
  <c r="HI56"/>
  <c r="HJ56"/>
  <c r="HK56"/>
  <c r="HL56"/>
  <c r="HM56"/>
  <c r="HN56"/>
  <c r="HO56"/>
  <c r="HP56"/>
  <c r="HQ56"/>
  <c r="HR56"/>
  <c r="HS56"/>
  <c r="HT56"/>
  <c r="HU56"/>
  <c r="HV56"/>
  <c r="HW56"/>
  <c r="HX56"/>
  <c r="HY56"/>
  <c r="HZ56"/>
  <c r="IA56"/>
  <c r="IB56"/>
  <c r="IC56"/>
  <c r="ID56"/>
  <c r="IE56"/>
  <c r="IF56"/>
  <c r="IG56"/>
  <c r="IH56"/>
  <c r="II56"/>
  <c r="IJ56"/>
  <c r="IK56"/>
  <c r="IL56"/>
  <c r="IM56"/>
  <c r="IN56"/>
  <c r="IO56"/>
  <c r="IP56"/>
  <c r="IQ56"/>
  <c r="IR56"/>
  <c r="IS56"/>
  <c r="IT56"/>
  <c r="IU56"/>
  <c r="IV56"/>
  <c r="A57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BV57"/>
  <c r="BW57"/>
  <c r="BX57"/>
  <c r="BY57"/>
  <c r="BZ57"/>
  <c r="CA57"/>
  <c r="CB57"/>
  <c r="CC57"/>
  <c r="CD57"/>
  <c r="CE57"/>
  <c r="CF57"/>
  <c r="CG57"/>
  <c r="CH57"/>
  <c r="CI57"/>
  <c r="CJ57"/>
  <c r="CK57"/>
  <c r="CL57"/>
  <c r="CM57"/>
  <c r="CN57"/>
  <c r="CO57"/>
  <c r="CP57"/>
  <c r="CQ57"/>
  <c r="CR57"/>
  <c r="CS57"/>
  <c r="CT57"/>
  <c r="CU57"/>
  <c r="CV57"/>
  <c r="CW57"/>
  <c r="CX57"/>
  <c r="CY57"/>
  <c r="CZ57"/>
  <c r="DA57"/>
  <c r="DB57"/>
  <c r="DC57"/>
  <c r="DD57"/>
  <c r="DE57"/>
  <c r="DF57"/>
  <c r="DG57"/>
  <c r="DH57"/>
  <c r="DI57"/>
  <c r="DJ57"/>
  <c r="DK57"/>
  <c r="DL57"/>
  <c r="DM57"/>
  <c r="DN57"/>
  <c r="DO57"/>
  <c r="DP57"/>
  <c r="DQ57"/>
  <c r="DR57"/>
  <c r="DS57"/>
  <c r="DT57"/>
  <c r="DU57"/>
  <c r="DV57"/>
  <c r="DW57"/>
  <c r="DX57"/>
  <c r="DY57"/>
  <c r="DZ57"/>
  <c r="EA57"/>
  <c r="EB57"/>
  <c r="EC57"/>
  <c r="ED57"/>
  <c r="EE57"/>
  <c r="EF57"/>
  <c r="EG57"/>
  <c r="EH57"/>
  <c r="EI57"/>
  <c r="EJ57"/>
  <c r="EK57"/>
  <c r="EL57"/>
  <c r="EM57"/>
  <c r="EN57"/>
  <c r="EO57"/>
  <c r="EP57"/>
  <c r="EQ57"/>
  <c r="ER57"/>
  <c r="ES57"/>
  <c r="ET57"/>
  <c r="EU57"/>
  <c r="EV57"/>
  <c r="EW57"/>
  <c r="EX57"/>
  <c r="EY57"/>
  <c r="EZ57"/>
  <c r="FA57"/>
  <c r="FB57"/>
  <c r="FC57"/>
  <c r="FD57"/>
  <c r="FE57"/>
  <c r="FF57"/>
  <c r="FG57"/>
  <c r="FH57"/>
  <c r="FI57"/>
  <c r="FJ57"/>
  <c r="FK57"/>
  <c r="FL57"/>
  <c r="FM57"/>
  <c r="FN57"/>
  <c r="FO57"/>
  <c r="FP57"/>
  <c r="FQ57"/>
  <c r="FR57"/>
  <c r="FS57"/>
  <c r="FT57"/>
  <c r="FU57"/>
  <c r="FV57"/>
  <c r="FW57"/>
  <c r="FX57"/>
  <c r="FY57"/>
  <c r="FZ57"/>
  <c r="GA57"/>
  <c r="GB57"/>
  <c r="GC57"/>
  <c r="GD57"/>
  <c r="GE57"/>
  <c r="GF57"/>
  <c r="GG57"/>
  <c r="GH57"/>
  <c r="GI57"/>
  <c r="GJ57"/>
  <c r="GK57"/>
  <c r="GL57"/>
  <c r="GM57"/>
  <c r="GN57"/>
  <c r="GO57"/>
  <c r="GP57"/>
  <c r="GQ57"/>
  <c r="GR57"/>
  <c r="GS57"/>
  <c r="GT57"/>
  <c r="GU57"/>
  <c r="GV57"/>
  <c r="GW57"/>
  <c r="GX57"/>
  <c r="GY57"/>
  <c r="GZ57"/>
  <c r="HA57"/>
  <c r="HB57"/>
  <c r="HC57"/>
  <c r="HD57"/>
  <c r="HE57"/>
  <c r="HF57"/>
  <c r="HG57"/>
  <c r="HH57"/>
  <c r="HI57"/>
  <c r="HJ57"/>
  <c r="HK57"/>
  <c r="HL57"/>
  <c r="HM57"/>
  <c r="HN57"/>
  <c r="HO57"/>
  <c r="HP57"/>
  <c r="HQ57"/>
  <c r="HR57"/>
  <c r="HS57"/>
  <c r="HT57"/>
  <c r="HU57"/>
  <c r="HV57"/>
  <c r="HW57"/>
  <c r="HX57"/>
  <c r="HY57"/>
  <c r="HZ57"/>
  <c r="IA57"/>
  <c r="IB57"/>
  <c r="IC57"/>
  <c r="ID57"/>
  <c r="IE57"/>
  <c r="IF57"/>
  <c r="IG57"/>
  <c r="IH57"/>
  <c r="II57"/>
  <c r="IJ57"/>
  <c r="IK57"/>
  <c r="IL57"/>
  <c r="IM57"/>
  <c r="IN57"/>
  <c r="IO57"/>
  <c r="IP57"/>
  <c r="IQ57"/>
  <c r="IR57"/>
  <c r="IS57"/>
  <c r="IT57"/>
  <c r="IU57"/>
  <c r="IV57"/>
  <c r="A58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BV58"/>
  <c r="BW58"/>
  <c r="BX58"/>
  <c r="BY58"/>
  <c r="BZ58"/>
  <c r="CA58"/>
  <c r="CB58"/>
  <c r="CC58"/>
  <c r="CD58"/>
  <c r="CE58"/>
  <c r="CF58"/>
  <c r="CG58"/>
  <c r="CH58"/>
  <c r="CI58"/>
  <c r="CJ58"/>
  <c r="CK58"/>
  <c r="CL58"/>
  <c r="CM58"/>
  <c r="CN58"/>
  <c r="CO58"/>
  <c r="CP58"/>
  <c r="CQ58"/>
  <c r="CR58"/>
  <c r="CS58"/>
  <c r="CT58"/>
  <c r="CU58"/>
  <c r="CV58"/>
  <c r="CW58"/>
  <c r="CX58"/>
  <c r="CY58"/>
  <c r="CZ58"/>
  <c r="DA58"/>
  <c r="DB58"/>
  <c r="DC58"/>
  <c r="DD58"/>
  <c r="DE58"/>
  <c r="DF58"/>
  <c r="DG58"/>
  <c r="DH58"/>
  <c r="DI58"/>
  <c r="DJ58"/>
  <c r="DK58"/>
  <c r="DL58"/>
  <c r="DM58"/>
  <c r="DN58"/>
  <c r="DO58"/>
  <c r="DP58"/>
  <c r="DQ58"/>
  <c r="DR58"/>
  <c r="DS58"/>
  <c r="DT58"/>
  <c r="DU58"/>
  <c r="DV58"/>
  <c r="DW58"/>
  <c r="DX58"/>
  <c r="DY58"/>
  <c r="DZ58"/>
  <c r="EA58"/>
  <c r="EB58"/>
  <c r="EC58"/>
  <c r="ED58"/>
  <c r="EE58"/>
  <c r="EF58"/>
  <c r="EG58"/>
  <c r="EH58"/>
  <c r="EI58"/>
  <c r="EJ58"/>
  <c r="EK58"/>
  <c r="EL58"/>
  <c r="EM58"/>
  <c r="EN58"/>
  <c r="EO58"/>
  <c r="EP58"/>
  <c r="EQ58"/>
  <c r="ER58"/>
  <c r="ES58"/>
  <c r="ET58"/>
  <c r="EU58"/>
  <c r="EV58"/>
  <c r="EW58"/>
  <c r="EX58"/>
  <c r="EY58"/>
  <c r="EZ58"/>
  <c r="FA58"/>
  <c r="FB58"/>
  <c r="FC58"/>
  <c r="FD58"/>
  <c r="FE58"/>
  <c r="FF58"/>
  <c r="FG58"/>
  <c r="FH58"/>
  <c r="FI58"/>
  <c r="FJ58"/>
  <c r="FK58"/>
  <c r="FL58"/>
  <c r="FM58"/>
  <c r="FN58"/>
  <c r="FO58"/>
  <c r="FP58"/>
  <c r="FQ58"/>
  <c r="FR58"/>
  <c r="FS58"/>
  <c r="FT58"/>
  <c r="FU58"/>
  <c r="FV58"/>
  <c r="FW58"/>
  <c r="FX58"/>
  <c r="FY58"/>
  <c r="FZ58"/>
  <c r="GA58"/>
  <c r="GB58"/>
  <c r="GC58"/>
  <c r="GD58"/>
  <c r="GE58"/>
  <c r="GF58"/>
  <c r="GG58"/>
  <c r="GH58"/>
  <c r="GI58"/>
  <c r="GJ58"/>
  <c r="GK58"/>
  <c r="GL58"/>
  <c r="GM58"/>
  <c r="GN58"/>
  <c r="GO58"/>
  <c r="GP58"/>
  <c r="GQ58"/>
  <c r="GR58"/>
  <c r="GS58"/>
  <c r="GT58"/>
  <c r="GU58"/>
  <c r="GV58"/>
  <c r="GW58"/>
  <c r="GX58"/>
  <c r="GY58"/>
  <c r="GZ58"/>
  <c r="HA58"/>
  <c r="HB58"/>
  <c r="HC58"/>
  <c r="HD58"/>
  <c r="HE58"/>
  <c r="HF58"/>
  <c r="HG58"/>
  <c r="HH58"/>
  <c r="HI58"/>
  <c r="HJ58"/>
  <c r="HK58"/>
  <c r="HL58"/>
  <c r="HM58"/>
  <c r="HN58"/>
  <c r="HO58"/>
  <c r="HP58"/>
  <c r="HQ58"/>
  <c r="HR58"/>
  <c r="HS58"/>
  <c r="HT58"/>
  <c r="HU58"/>
  <c r="HV58"/>
  <c r="HW58"/>
  <c r="HX58"/>
  <c r="HY58"/>
  <c r="HZ58"/>
  <c r="IA58"/>
  <c r="IB58"/>
  <c r="IC58"/>
  <c r="ID58"/>
  <c r="IE58"/>
  <c r="IF58"/>
  <c r="IG58"/>
  <c r="IH58"/>
  <c r="II58"/>
  <c r="IJ58"/>
  <c r="IK58"/>
  <c r="IL58"/>
  <c r="IM58"/>
  <c r="IN58"/>
  <c r="IO58"/>
  <c r="IP58"/>
  <c r="IQ58"/>
  <c r="IR58"/>
  <c r="IS58"/>
  <c r="IT58"/>
  <c r="IU58"/>
  <c r="IV58"/>
  <c r="A59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BY59"/>
  <c r="BZ59"/>
  <c r="CA59"/>
  <c r="CB59"/>
  <c r="CC59"/>
  <c r="CD59"/>
  <c r="CE59"/>
  <c r="CF59"/>
  <c r="CG59"/>
  <c r="CH59"/>
  <c r="CI59"/>
  <c r="CJ59"/>
  <c r="CK59"/>
  <c r="CL59"/>
  <c r="CM59"/>
  <c r="CN59"/>
  <c r="CO59"/>
  <c r="CP59"/>
  <c r="CQ59"/>
  <c r="CR59"/>
  <c r="CS59"/>
  <c r="CT59"/>
  <c r="CU59"/>
  <c r="CV59"/>
  <c r="CW59"/>
  <c r="CX59"/>
  <c r="CY59"/>
  <c r="CZ59"/>
  <c r="DA59"/>
  <c r="DB59"/>
  <c r="DC59"/>
  <c r="DD59"/>
  <c r="DE59"/>
  <c r="DF59"/>
  <c r="DG59"/>
  <c r="DH59"/>
  <c r="DI59"/>
  <c r="DJ59"/>
  <c r="DK59"/>
  <c r="DL59"/>
  <c r="DM59"/>
  <c r="DN59"/>
  <c r="DO59"/>
  <c r="DP59"/>
  <c r="DQ59"/>
  <c r="DR59"/>
  <c r="DS59"/>
  <c r="DT59"/>
  <c r="DU59"/>
  <c r="DV59"/>
  <c r="DW59"/>
  <c r="DX59"/>
  <c r="DY59"/>
  <c r="DZ59"/>
  <c r="EA59"/>
  <c r="EB59"/>
  <c r="EC59"/>
  <c r="ED59"/>
  <c r="EE59"/>
  <c r="EF59"/>
  <c r="EG59"/>
  <c r="EH59"/>
  <c r="EI59"/>
  <c r="EJ59"/>
  <c r="EK59"/>
  <c r="EL59"/>
  <c r="EM59"/>
  <c r="EN59"/>
  <c r="EO59"/>
  <c r="EP59"/>
  <c r="EQ59"/>
  <c r="ER59"/>
  <c r="ES59"/>
  <c r="ET59"/>
  <c r="EU59"/>
  <c r="EV59"/>
  <c r="EW59"/>
  <c r="EX59"/>
  <c r="EY59"/>
  <c r="EZ59"/>
  <c r="FA59"/>
  <c r="FB59"/>
  <c r="FC59"/>
  <c r="FD59"/>
  <c r="FE59"/>
  <c r="FF59"/>
  <c r="FG59"/>
  <c r="FH59"/>
  <c r="FI59"/>
  <c r="FJ59"/>
  <c r="FK59"/>
  <c r="FL59"/>
  <c r="FM59"/>
  <c r="FN59"/>
  <c r="FO59"/>
  <c r="FP59"/>
  <c r="FQ59"/>
  <c r="FR59"/>
  <c r="FS59"/>
  <c r="FT59"/>
  <c r="FU59"/>
  <c r="FV59"/>
  <c r="FW59"/>
  <c r="FX59"/>
  <c r="FY59"/>
  <c r="FZ59"/>
  <c r="GA59"/>
  <c r="GB59"/>
  <c r="GC59"/>
  <c r="GD59"/>
  <c r="GE59"/>
  <c r="GF59"/>
  <c r="GG59"/>
  <c r="GH59"/>
  <c r="GI59"/>
  <c r="GJ59"/>
  <c r="GK59"/>
  <c r="GL59"/>
  <c r="GM59"/>
  <c r="GN59"/>
  <c r="GO59"/>
  <c r="GP59"/>
  <c r="GQ59"/>
  <c r="GR59"/>
  <c r="GS59"/>
  <c r="GT59"/>
  <c r="GU59"/>
  <c r="GV59"/>
  <c r="GW59"/>
  <c r="GX59"/>
  <c r="GY59"/>
  <c r="GZ59"/>
  <c r="HA59"/>
  <c r="HB59"/>
  <c r="HC59"/>
  <c r="HD59"/>
  <c r="HE59"/>
  <c r="HF59"/>
  <c r="HG59"/>
  <c r="HH59"/>
  <c r="HI59"/>
  <c r="HJ59"/>
  <c r="HK59"/>
  <c r="HL59"/>
  <c r="HM59"/>
  <c r="HN59"/>
  <c r="HO59"/>
  <c r="HP59"/>
  <c r="HQ59"/>
  <c r="HR59"/>
  <c r="HS59"/>
  <c r="HT59"/>
  <c r="HU59"/>
  <c r="HV59"/>
  <c r="HW59"/>
  <c r="HX59"/>
  <c r="HY59"/>
  <c r="HZ59"/>
  <c r="IA59"/>
  <c r="IB59"/>
  <c r="IC59"/>
  <c r="ID59"/>
  <c r="IE59"/>
  <c r="IF59"/>
  <c r="IG59"/>
  <c r="IH59"/>
  <c r="II59"/>
  <c r="IJ59"/>
  <c r="IK59"/>
  <c r="IL59"/>
  <c r="IM59"/>
  <c r="IN59"/>
  <c r="IO59"/>
  <c r="IP59"/>
  <c r="IQ59"/>
  <c r="IR59"/>
  <c r="IS59"/>
  <c r="IT59"/>
  <c r="IU59"/>
  <c r="IV59"/>
  <c r="A60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BV60"/>
  <c r="BW60"/>
  <c r="BX60"/>
  <c r="BY60"/>
  <c r="BZ60"/>
  <c r="CA60"/>
  <c r="CB60"/>
  <c r="CC60"/>
  <c r="CD60"/>
  <c r="CE60"/>
  <c r="CF60"/>
  <c r="CG60"/>
  <c r="CH60"/>
  <c r="CI60"/>
  <c r="CJ60"/>
  <c r="CK60"/>
  <c r="CL60"/>
  <c r="CM60"/>
  <c r="CN60"/>
  <c r="CO60"/>
  <c r="CP60"/>
  <c r="CQ60"/>
  <c r="CR60"/>
  <c r="CS60"/>
  <c r="CT60"/>
  <c r="CU60"/>
  <c r="CV60"/>
  <c r="CW60"/>
  <c r="CX60"/>
  <c r="CY60"/>
  <c r="CZ60"/>
  <c r="DA60"/>
  <c r="DB60"/>
  <c r="DC60"/>
  <c r="DD60"/>
  <c r="DE60"/>
  <c r="DF60"/>
  <c r="DG60"/>
  <c r="DH60"/>
  <c r="DI60"/>
  <c r="DJ60"/>
  <c r="DK60"/>
  <c r="DL60"/>
  <c r="DM60"/>
  <c r="DN60"/>
  <c r="DO60"/>
  <c r="DP60"/>
  <c r="DQ60"/>
  <c r="DR60"/>
  <c r="DS60"/>
  <c r="DT60"/>
  <c r="DU60"/>
  <c r="DV60"/>
  <c r="DW60"/>
  <c r="DX60"/>
  <c r="DY60"/>
  <c r="DZ60"/>
  <c r="EA60"/>
  <c r="EB60"/>
  <c r="EC60"/>
  <c r="ED60"/>
  <c r="EE60"/>
  <c r="EF60"/>
  <c r="EG60"/>
  <c r="EH60"/>
  <c r="EI60"/>
  <c r="EJ60"/>
  <c r="EK60"/>
  <c r="EL60"/>
  <c r="EM60"/>
  <c r="EN60"/>
  <c r="EO60"/>
  <c r="EP60"/>
  <c r="EQ60"/>
  <c r="ER60"/>
  <c r="ES60"/>
  <c r="ET60"/>
  <c r="EU60"/>
  <c r="EV60"/>
  <c r="EW60"/>
  <c r="EX60"/>
  <c r="EY60"/>
  <c r="EZ60"/>
  <c r="FA60"/>
  <c r="FB60"/>
  <c r="FC60"/>
  <c r="FD60"/>
  <c r="FE60"/>
  <c r="FF60"/>
  <c r="FG60"/>
  <c r="FH60"/>
  <c r="FI60"/>
  <c r="FJ60"/>
  <c r="FK60"/>
  <c r="FL60"/>
  <c r="FM60"/>
  <c r="FN60"/>
  <c r="FO60"/>
  <c r="FP60"/>
  <c r="FQ60"/>
  <c r="FR60"/>
  <c r="FS60"/>
  <c r="FT60"/>
  <c r="FU60"/>
  <c r="FV60"/>
  <c r="FW60"/>
  <c r="FX60"/>
  <c r="FY60"/>
  <c r="FZ60"/>
  <c r="GA60"/>
  <c r="GB60"/>
  <c r="GC60"/>
  <c r="GD60"/>
  <c r="GE60"/>
  <c r="GF60"/>
  <c r="GG60"/>
  <c r="GH60"/>
  <c r="GI60"/>
  <c r="GJ60"/>
  <c r="GK60"/>
  <c r="GL60"/>
  <c r="GM60"/>
  <c r="GN60"/>
  <c r="GO60"/>
  <c r="GP60"/>
  <c r="GQ60"/>
  <c r="GR60"/>
  <c r="GS60"/>
  <c r="GT60"/>
  <c r="GU60"/>
  <c r="GV60"/>
  <c r="GW60"/>
  <c r="GX60"/>
  <c r="GY60"/>
  <c r="GZ60"/>
  <c r="HA60"/>
  <c r="HB60"/>
  <c r="HC60"/>
  <c r="HD60"/>
  <c r="HE60"/>
  <c r="HF60"/>
  <c r="HG60"/>
  <c r="HH60"/>
  <c r="HI60"/>
  <c r="HJ60"/>
  <c r="HK60"/>
  <c r="HL60"/>
  <c r="HM60"/>
  <c r="HN60"/>
  <c r="HO60"/>
  <c r="HP60"/>
  <c r="HQ60"/>
  <c r="HR60"/>
  <c r="HS60"/>
  <c r="HT60"/>
  <c r="HU60"/>
  <c r="HV60"/>
  <c r="HW60"/>
  <c r="HX60"/>
  <c r="HY60"/>
  <c r="HZ60"/>
  <c r="IA60"/>
  <c r="IB60"/>
  <c r="IC60"/>
  <c r="ID60"/>
  <c r="IE60"/>
  <c r="IF60"/>
  <c r="IG60"/>
  <c r="IH60"/>
  <c r="II60"/>
  <c r="IJ60"/>
  <c r="IK60"/>
  <c r="IL60"/>
  <c r="IM60"/>
  <c r="IN60"/>
  <c r="IO60"/>
  <c r="IP60"/>
  <c r="IQ60"/>
  <c r="IR60"/>
  <c r="IS60"/>
  <c r="IT60"/>
  <c r="IU60"/>
  <c r="IV60"/>
  <c r="A61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BV61"/>
  <c r="BW61"/>
  <c r="BX61"/>
  <c r="BY61"/>
  <c r="BZ61"/>
  <c r="CA61"/>
  <c r="CB61"/>
  <c r="CC61"/>
  <c r="CD61"/>
  <c r="CE61"/>
  <c r="CF61"/>
  <c r="CG61"/>
  <c r="CH61"/>
  <c r="CI61"/>
  <c r="CJ61"/>
  <c r="CK61"/>
  <c r="CL61"/>
  <c r="CM61"/>
  <c r="CN61"/>
  <c r="CO61"/>
  <c r="CP61"/>
  <c r="CQ61"/>
  <c r="CR61"/>
  <c r="CS61"/>
  <c r="CT61"/>
  <c r="CU61"/>
  <c r="CV61"/>
  <c r="CW61"/>
  <c r="CX61"/>
  <c r="CY61"/>
  <c r="CZ61"/>
  <c r="DA61"/>
  <c r="DB61"/>
  <c r="DC61"/>
  <c r="DD61"/>
  <c r="DE61"/>
  <c r="DF61"/>
  <c r="DG61"/>
  <c r="DH61"/>
  <c r="DI61"/>
  <c r="DJ61"/>
  <c r="DK61"/>
  <c r="DL61"/>
  <c r="DM61"/>
  <c r="DN61"/>
  <c r="DO61"/>
  <c r="DP61"/>
  <c r="DQ61"/>
  <c r="DR61"/>
  <c r="DS61"/>
  <c r="DT61"/>
  <c r="DU61"/>
  <c r="DV61"/>
  <c r="DW61"/>
  <c r="DX61"/>
  <c r="DY61"/>
  <c r="DZ61"/>
  <c r="EA61"/>
  <c r="EB61"/>
  <c r="EC61"/>
  <c r="ED61"/>
  <c r="EE61"/>
  <c r="EF61"/>
  <c r="EG61"/>
  <c r="EH61"/>
  <c r="EI61"/>
  <c r="EJ61"/>
  <c r="EK61"/>
  <c r="EL61"/>
  <c r="EM61"/>
  <c r="EN61"/>
  <c r="EO61"/>
  <c r="EP61"/>
  <c r="EQ61"/>
  <c r="ER61"/>
  <c r="ES61"/>
  <c r="ET61"/>
  <c r="EU61"/>
  <c r="EV61"/>
  <c r="EW61"/>
  <c r="EX61"/>
  <c r="EY61"/>
  <c r="EZ61"/>
  <c r="FA61"/>
  <c r="FB61"/>
  <c r="FC61"/>
  <c r="FD61"/>
  <c r="FE61"/>
  <c r="FF61"/>
  <c r="FG61"/>
  <c r="FH61"/>
  <c r="FI61"/>
  <c r="FJ61"/>
  <c r="FK61"/>
  <c r="FL61"/>
  <c r="FM61"/>
  <c r="FN61"/>
  <c r="FO61"/>
  <c r="FP61"/>
  <c r="FQ61"/>
  <c r="FR61"/>
  <c r="FS61"/>
  <c r="FT61"/>
  <c r="FU61"/>
  <c r="FV61"/>
  <c r="FW61"/>
  <c r="FX61"/>
  <c r="FY61"/>
  <c r="FZ61"/>
  <c r="GA61"/>
  <c r="GB61"/>
  <c r="GC61"/>
  <c r="GD61"/>
  <c r="GE61"/>
  <c r="GF61"/>
  <c r="GG61"/>
  <c r="GH61"/>
  <c r="GI61"/>
  <c r="GJ61"/>
  <c r="GK61"/>
  <c r="GL61"/>
  <c r="GM61"/>
  <c r="GN61"/>
  <c r="GO61"/>
  <c r="GP61"/>
  <c r="GQ61"/>
  <c r="GR61"/>
  <c r="GS61"/>
  <c r="GT61"/>
  <c r="GU61"/>
  <c r="GV61"/>
  <c r="GW61"/>
  <c r="GX61"/>
  <c r="GY61"/>
  <c r="GZ61"/>
  <c r="HA61"/>
  <c r="HB61"/>
  <c r="HC61"/>
  <c r="HD61"/>
  <c r="HE61"/>
  <c r="HF61"/>
  <c r="HG61"/>
  <c r="HH61"/>
  <c r="HI61"/>
  <c r="HJ61"/>
  <c r="HK61"/>
  <c r="HL61"/>
  <c r="HM61"/>
  <c r="HN61"/>
  <c r="HO61"/>
  <c r="HP61"/>
  <c r="HQ61"/>
  <c r="HR61"/>
  <c r="HS61"/>
  <c r="HT61"/>
  <c r="HU61"/>
  <c r="HV61"/>
  <c r="HW61"/>
  <c r="HX61"/>
  <c r="HY61"/>
  <c r="HZ61"/>
  <c r="IA61"/>
  <c r="IB61"/>
  <c r="IC61"/>
  <c r="ID61"/>
  <c r="IE61"/>
  <c r="IF61"/>
  <c r="IG61"/>
  <c r="IH61"/>
  <c r="II61"/>
  <c r="IJ61"/>
  <c r="IK61"/>
  <c r="IL61"/>
  <c r="IM61"/>
  <c r="IN61"/>
  <c r="IO61"/>
  <c r="IP61"/>
  <c r="IQ61"/>
  <c r="IR61"/>
  <c r="IS61"/>
  <c r="IT61"/>
  <c r="IU61"/>
  <c r="IV61"/>
  <c r="A62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BV62"/>
  <c r="BW62"/>
  <c r="BX62"/>
  <c r="BY62"/>
  <c r="BZ62"/>
  <c r="CA62"/>
  <c r="CB62"/>
  <c r="CC62"/>
  <c r="CD62"/>
  <c r="CE62"/>
  <c r="CF62"/>
  <c r="CG62"/>
  <c r="CH62"/>
  <c r="CI62"/>
  <c r="CJ62"/>
  <c r="CK62"/>
  <c r="CL62"/>
  <c r="CM62"/>
  <c r="CN62"/>
  <c r="CO62"/>
  <c r="CP62"/>
  <c r="CQ62"/>
  <c r="CR62"/>
  <c r="CS62"/>
  <c r="CT62"/>
  <c r="CU62"/>
  <c r="CV62"/>
  <c r="CW62"/>
  <c r="CX62"/>
  <c r="CY62"/>
  <c r="CZ62"/>
  <c r="DA62"/>
  <c r="DB62"/>
  <c r="DC62"/>
  <c r="DD62"/>
  <c r="DE62"/>
  <c r="DF62"/>
  <c r="DG62"/>
  <c r="DH62"/>
  <c r="DI62"/>
  <c r="DJ62"/>
  <c r="DK62"/>
  <c r="DL62"/>
  <c r="DM62"/>
  <c r="DN62"/>
  <c r="DO62"/>
  <c r="DP62"/>
  <c r="DQ62"/>
  <c r="DR62"/>
  <c r="DS62"/>
  <c r="DT62"/>
  <c r="DU62"/>
  <c r="DV62"/>
  <c r="DW62"/>
  <c r="DX62"/>
  <c r="DY62"/>
  <c r="DZ62"/>
  <c r="EA62"/>
  <c r="EB62"/>
  <c r="EC62"/>
  <c r="ED62"/>
  <c r="EE62"/>
  <c r="EF62"/>
  <c r="EG62"/>
  <c r="EH62"/>
  <c r="EI62"/>
  <c r="EJ62"/>
  <c r="EK62"/>
  <c r="EL62"/>
  <c r="EM62"/>
  <c r="EN62"/>
  <c r="EO62"/>
  <c r="EP62"/>
  <c r="EQ62"/>
  <c r="ER62"/>
  <c r="ES62"/>
  <c r="ET62"/>
  <c r="EU62"/>
  <c r="EV62"/>
  <c r="EW62"/>
  <c r="EX62"/>
  <c r="EY62"/>
  <c r="EZ62"/>
  <c r="FA62"/>
  <c r="FB62"/>
  <c r="FC62"/>
  <c r="FD62"/>
  <c r="FE62"/>
  <c r="FF62"/>
  <c r="FG62"/>
  <c r="FH62"/>
  <c r="FI62"/>
  <c r="FJ62"/>
  <c r="FK62"/>
  <c r="FL62"/>
  <c r="FM62"/>
  <c r="FN62"/>
  <c r="FO62"/>
  <c r="FP62"/>
  <c r="FQ62"/>
  <c r="FR62"/>
  <c r="FS62"/>
  <c r="FT62"/>
  <c r="FU62"/>
  <c r="FV62"/>
  <c r="FW62"/>
  <c r="FX62"/>
  <c r="FY62"/>
  <c r="FZ62"/>
  <c r="GA62"/>
  <c r="GB62"/>
  <c r="GC62"/>
  <c r="GD62"/>
  <c r="GE62"/>
  <c r="GF62"/>
  <c r="GG62"/>
  <c r="GH62"/>
  <c r="GI62"/>
  <c r="GJ62"/>
  <c r="GK62"/>
  <c r="GL62"/>
  <c r="GM62"/>
  <c r="GN62"/>
  <c r="GO62"/>
  <c r="GP62"/>
  <c r="GQ62"/>
  <c r="GR62"/>
  <c r="GS62"/>
  <c r="GT62"/>
  <c r="GU62"/>
  <c r="GV62"/>
  <c r="GW62"/>
  <c r="GX62"/>
  <c r="GY62"/>
  <c r="GZ62"/>
  <c r="HA62"/>
  <c r="HB62"/>
  <c r="HC62"/>
  <c r="HD62"/>
  <c r="HE62"/>
  <c r="HF62"/>
  <c r="HG62"/>
  <c r="HH62"/>
  <c r="HI62"/>
  <c r="HJ62"/>
  <c r="HK62"/>
  <c r="HL62"/>
  <c r="HM62"/>
  <c r="HN62"/>
  <c r="HO62"/>
  <c r="HP62"/>
  <c r="HQ62"/>
  <c r="HR62"/>
  <c r="HS62"/>
  <c r="HT62"/>
  <c r="HU62"/>
  <c r="HV62"/>
  <c r="HW62"/>
  <c r="HX62"/>
  <c r="HY62"/>
  <c r="HZ62"/>
  <c r="IA62"/>
  <c r="IB62"/>
  <c r="IC62"/>
  <c r="ID62"/>
  <c r="IE62"/>
  <c r="IF62"/>
  <c r="IG62"/>
  <c r="IH62"/>
  <c r="II62"/>
  <c r="IJ62"/>
  <c r="IK62"/>
  <c r="IL62"/>
  <c r="IM62"/>
  <c r="IN62"/>
  <c r="IO62"/>
  <c r="IP62"/>
  <c r="IQ62"/>
  <c r="IR62"/>
  <c r="IS62"/>
  <c r="IT62"/>
  <c r="IU62"/>
  <c r="IV62"/>
  <c r="A63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BV63"/>
  <c r="BW63"/>
  <c r="BX63"/>
  <c r="BY63"/>
  <c r="BZ63"/>
  <c r="CA63"/>
  <c r="CB63"/>
  <c r="CC63"/>
  <c r="CD63"/>
  <c r="CE63"/>
  <c r="CF63"/>
  <c r="CG63"/>
  <c r="CH63"/>
  <c r="CI63"/>
  <c r="CJ63"/>
  <c r="CK63"/>
  <c r="CL63"/>
  <c r="CM63"/>
  <c r="CN63"/>
  <c r="CO63"/>
  <c r="CP63"/>
  <c r="CQ63"/>
  <c r="CR63"/>
  <c r="CS63"/>
  <c r="CT63"/>
  <c r="CU63"/>
  <c r="CV63"/>
  <c r="CW63"/>
  <c r="CX63"/>
  <c r="CY63"/>
  <c r="CZ63"/>
  <c r="DA63"/>
  <c r="DB63"/>
  <c r="DC63"/>
  <c r="DD63"/>
  <c r="DE63"/>
  <c r="DF63"/>
  <c r="DG63"/>
  <c r="DH63"/>
  <c r="DI63"/>
  <c r="DJ63"/>
  <c r="DK63"/>
  <c r="DL63"/>
  <c r="DM63"/>
  <c r="DN63"/>
  <c r="DO63"/>
  <c r="DP63"/>
  <c r="DQ63"/>
  <c r="DR63"/>
  <c r="DS63"/>
  <c r="DT63"/>
  <c r="DU63"/>
  <c r="DV63"/>
  <c r="DW63"/>
  <c r="DX63"/>
  <c r="DY63"/>
  <c r="DZ63"/>
  <c r="EA63"/>
  <c r="EB63"/>
  <c r="EC63"/>
  <c r="ED63"/>
  <c r="EE63"/>
  <c r="EF63"/>
  <c r="EG63"/>
  <c r="EH63"/>
  <c r="EI63"/>
  <c r="EJ63"/>
  <c r="EK63"/>
  <c r="EL63"/>
  <c r="EM63"/>
  <c r="EN63"/>
  <c r="EO63"/>
  <c r="EP63"/>
  <c r="EQ63"/>
  <c r="ER63"/>
  <c r="ES63"/>
  <c r="ET63"/>
  <c r="EU63"/>
  <c r="EV63"/>
  <c r="EW63"/>
  <c r="EX63"/>
  <c r="EY63"/>
  <c r="EZ63"/>
  <c r="FA63"/>
  <c r="FB63"/>
  <c r="FC63"/>
  <c r="FD63"/>
  <c r="FE63"/>
  <c r="FF63"/>
  <c r="FG63"/>
  <c r="FH63"/>
  <c r="FI63"/>
  <c r="FJ63"/>
  <c r="FK63"/>
  <c r="FL63"/>
  <c r="FM63"/>
  <c r="FN63"/>
  <c r="FO63"/>
  <c r="FP63"/>
  <c r="FQ63"/>
  <c r="FR63"/>
  <c r="FS63"/>
  <c r="FT63"/>
  <c r="FU63"/>
  <c r="FV63"/>
  <c r="FW63"/>
  <c r="FX63"/>
  <c r="FY63"/>
  <c r="FZ63"/>
  <c r="GA63"/>
  <c r="GB63"/>
  <c r="GC63"/>
  <c r="GD63"/>
  <c r="GE63"/>
  <c r="GF63"/>
  <c r="GG63"/>
  <c r="GH63"/>
  <c r="GI63"/>
  <c r="GJ63"/>
  <c r="GK63"/>
  <c r="GL63"/>
  <c r="GM63"/>
  <c r="GN63"/>
  <c r="GO63"/>
  <c r="GP63"/>
  <c r="GQ63"/>
  <c r="GR63"/>
  <c r="GS63"/>
  <c r="GT63"/>
  <c r="GU63"/>
  <c r="GV63"/>
  <c r="GW63"/>
  <c r="GX63"/>
  <c r="GY63"/>
  <c r="GZ63"/>
  <c r="HA63"/>
  <c r="HB63"/>
  <c r="HC63"/>
  <c r="HD63"/>
  <c r="HE63"/>
  <c r="HF63"/>
  <c r="HG63"/>
  <c r="HH63"/>
  <c r="HI63"/>
  <c r="HJ63"/>
  <c r="HK63"/>
  <c r="HL63"/>
  <c r="HM63"/>
  <c r="HN63"/>
  <c r="HO63"/>
  <c r="HP63"/>
  <c r="HQ63"/>
  <c r="HR63"/>
  <c r="HS63"/>
  <c r="HT63"/>
  <c r="HU63"/>
  <c r="HV63"/>
  <c r="HW63"/>
  <c r="HX63"/>
  <c r="HY63"/>
  <c r="HZ63"/>
  <c r="IA63"/>
  <c r="IB63"/>
  <c r="IC63"/>
  <c r="ID63"/>
  <c r="IE63"/>
  <c r="IF63"/>
  <c r="IG63"/>
  <c r="IH63"/>
  <c r="II63"/>
  <c r="IJ63"/>
  <c r="IK63"/>
  <c r="IL63"/>
  <c r="IM63"/>
  <c r="IN63"/>
  <c r="IO63"/>
  <c r="IP63"/>
  <c r="IQ63"/>
  <c r="IR63"/>
  <c r="IS63"/>
  <c r="IT63"/>
  <c r="IU63"/>
  <c r="IV63"/>
  <c r="A64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BV64"/>
  <c r="BW64"/>
  <c r="BX64"/>
  <c r="BY64"/>
  <c r="BZ64"/>
  <c r="CA64"/>
  <c r="CB64"/>
  <c r="CC64"/>
  <c r="CD64"/>
  <c r="CE64"/>
  <c r="CF64"/>
  <c r="CG64"/>
  <c r="CH64"/>
  <c r="CI64"/>
  <c r="CJ64"/>
  <c r="CK64"/>
  <c r="CL64"/>
  <c r="CM64"/>
  <c r="CN64"/>
  <c r="CO64"/>
  <c r="CP64"/>
  <c r="CQ64"/>
  <c r="CR64"/>
  <c r="CS64"/>
  <c r="CT64"/>
  <c r="CU64"/>
  <c r="CV64"/>
  <c r="CW64"/>
  <c r="CX64"/>
  <c r="CY64"/>
  <c r="CZ64"/>
  <c r="DA64"/>
  <c r="DB64"/>
  <c r="DC64"/>
  <c r="DD64"/>
  <c r="DE64"/>
  <c r="DF64"/>
  <c r="DG64"/>
  <c r="DH64"/>
  <c r="DI64"/>
  <c r="DJ64"/>
  <c r="DK64"/>
  <c r="DL64"/>
  <c r="DM64"/>
  <c r="DN64"/>
  <c r="DO64"/>
  <c r="DP64"/>
  <c r="DQ64"/>
  <c r="DR64"/>
  <c r="DS64"/>
  <c r="DT64"/>
  <c r="DU64"/>
  <c r="DV64"/>
  <c r="DW64"/>
  <c r="DX64"/>
  <c r="DY64"/>
  <c r="DZ64"/>
  <c r="EA64"/>
  <c r="EB64"/>
  <c r="EC64"/>
  <c r="ED64"/>
  <c r="EE64"/>
  <c r="EF64"/>
  <c r="EG64"/>
  <c r="EH64"/>
  <c r="EI64"/>
  <c r="EJ64"/>
  <c r="EK64"/>
  <c r="EL64"/>
  <c r="EM64"/>
  <c r="EN64"/>
  <c r="EO64"/>
  <c r="EP64"/>
  <c r="EQ64"/>
  <c r="ER64"/>
  <c r="ES64"/>
  <c r="ET64"/>
  <c r="EU64"/>
  <c r="EV64"/>
  <c r="EW64"/>
  <c r="EX64"/>
  <c r="EY64"/>
  <c r="EZ64"/>
  <c r="FA64"/>
  <c r="FB64"/>
  <c r="FC64"/>
  <c r="FD64"/>
  <c r="FE64"/>
  <c r="FF64"/>
  <c r="FG64"/>
  <c r="FH64"/>
  <c r="FI64"/>
  <c r="FJ64"/>
  <c r="FK64"/>
  <c r="FL64"/>
  <c r="FM64"/>
  <c r="FN64"/>
  <c r="FO64"/>
  <c r="FP64"/>
  <c r="FQ64"/>
  <c r="FR64"/>
  <c r="FS64"/>
  <c r="FT64"/>
  <c r="FU64"/>
  <c r="FV64"/>
  <c r="FW64"/>
  <c r="FX64"/>
  <c r="FY64"/>
  <c r="FZ64"/>
  <c r="GA64"/>
  <c r="GB64"/>
  <c r="GC64"/>
  <c r="GD64"/>
  <c r="GE64"/>
  <c r="GF64"/>
  <c r="GG64"/>
  <c r="GH64"/>
  <c r="GI64"/>
  <c r="GJ64"/>
  <c r="GK64"/>
  <c r="GL64"/>
  <c r="GM64"/>
  <c r="GN64"/>
  <c r="GO64"/>
  <c r="GP64"/>
  <c r="GQ64"/>
  <c r="GR64"/>
  <c r="GS64"/>
  <c r="GT64"/>
  <c r="GU64"/>
  <c r="GV64"/>
  <c r="GW64"/>
  <c r="GX64"/>
  <c r="GY64"/>
  <c r="GZ64"/>
  <c r="HA64"/>
  <c r="HB64"/>
  <c r="HC64"/>
  <c r="HD64"/>
  <c r="HE64"/>
  <c r="HF64"/>
  <c r="HG64"/>
  <c r="HH64"/>
  <c r="HI64"/>
  <c r="HJ64"/>
  <c r="HK64"/>
  <c r="HL64"/>
  <c r="HM64"/>
  <c r="HN64"/>
  <c r="HO64"/>
  <c r="HP64"/>
  <c r="HQ64"/>
  <c r="HR64"/>
  <c r="HS64"/>
  <c r="HT64"/>
  <c r="HU64"/>
  <c r="HV64"/>
  <c r="HW64"/>
  <c r="HX64"/>
  <c r="HY64"/>
  <c r="HZ64"/>
  <c r="IA64"/>
  <c r="IB64"/>
  <c r="IC64"/>
  <c r="ID64"/>
  <c r="IE64"/>
  <c r="IF64"/>
  <c r="IG64"/>
  <c r="IH64"/>
  <c r="II64"/>
  <c r="IJ64"/>
  <c r="IK64"/>
  <c r="IL64"/>
  <c r="IM64"/>
  <c r="IN64"/>
  <c r="IO64"/>
  <c r="IP64"/>
  <c r="IQ64"/>
  <c r="IR64"/>
  <c r="IS64"/>
  <c r="IT64"/>
  <c r="IU64"/>
  <c r="IV64"/>
  <c r="A65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BV65"/>
  <c r="BW65"/>
  <c r="BX65"/>
  <c r="BY65"/>
  <c r="BZ65"/>
  <c r="CA65"/>
  <c r="CB65"/>
  <c r="CC65"/>
  <c r="CD65"/>
  <c r="CE65"/>
  <c r="CF65"/>
  <c r="CG65"/>
  <c r="CH65"/>
  <c r="CI65"/>
  <c r="CJ65"/>
  <c r="CK65"/>
  <c r="CL65"/>
  <c r="CM65"/>
  <c r="CN65"/>
  <c r="CO65"/>
  <c r="CP65"/>
  <c r="CQ65"/>
  <c r="CR65"/>
  <c r="CS65"/>
  <c r="CT65"/>
  <c r="CU65"/>
  <c r="CV65"/>
  <c r="CW65"/>
  <c r="CX65"/>
  <c r="CY65"/>
  <c r="CZ65"/>
  <c r="DA65"/>
  <c r="DB65"/>
  <c r="DC65"/>
  <c r="DD65"/>
  <c r="DE65"/>
  <c r="DF65"/>
  <c r="DG65"/>
  <c r="DH65"/>
  <c r="DI65"/>
  <c r="DJ65"/>
  <c r="DK65"/>
  <c r="DL65"/>
  <c r="DM65"/>
  <c r="DN65"/>
  <c r="DO65"/>
  <c r="DP65"/>
  <c r="DQ65"/>
  <c r="DR65"/>
  <c r="DS65"/>
  <c r="DT65"/>
  <c r="DU65"/>
  <c r="DV65"/>
  <c r="DW65"/>
  <c r="DX65"/>
  <c r="DY65"/>
  <c r="DZ65"/>
  <c r="EA65"/>
  <c r="EB65"/>
  <c r="EC65"/>
  <c r="ED65"/>
  <c r="EE65"/>
  <c r="EF65"/>
  <c r="EG65"/>
  <c r="EH65"/>
  <c r="EI65"/>
  <c r="EJ65"/>
  <c r="EK65"/>
  <c r="EL65"/>
  <c r="EM65"/>
  <c r="EN65"/>
  <c r="EO65"/>
  <c r="EP65"/>
  <c r="EQ65"/>
  <c r="ER65"/>
  <c r="ES65"/>
  <c r="ET65"/>
  <c r="EU65"/>
  <c r="EV65"/>
  <c r="EW65"/>
  <c r="EX65"/>
  <c r="EY65"/>
  <c r="EZ65"/>
  <c r="FA65"/>
  <c r="FB65"/>
  <c r="FC65"/>
  <c r="FD65"/>
  <c r="FE65"/>
  <c r="FF65"/>
  <c r="FG65"/>
  <c r="FH65"/>
  <c r="FI65"/>
  <c r="FJ65"/>
  <c r="FK65"/>
  <c r="FL65"/>
  <c r="FM65"/>
  <c r="FN65"/>
  <c r="FO65"/>
  <c r="FP65"/>
  <c r="FQ65"/>
  <c r="FR65"/>
  <c r="FS65"/>
  <c r="FT65"/>
  <c r="FU65"/>
  <c r="FV65"/>
  <c r="FW65"/>
  <c r="FX65"/>
  <c r="FY65"/>
  <c r="FZ65"/>
  <c r="GA65"/>
  <c r="GB65"/>
  <c r="GC65"/>
  <c r="GD65"/>
  <c r="GE65"/>
  <c r="GF65"/>
  <c r="GG65"/>
  <c r="GH65"/>
  <c r="GI65"/>
  <c r="GJ65"/>
  <c r="GK65"/>
  <c r="GL65"/>
  <c r="GM65"/>
  <c r="GN65"/>
  <c r="GO65"/>
  <c r="GP65"/>
  <c r="GQ65"/>
  <c r="GR65"/>
  <c r="GS65"/>
  <c r="GT65"/>
  <c r="GU65"/>
  <c r="GV65"/>
  <c r="GW65"/>
  <c r="GX65"/>
  <c r="GY65"/>
  <c r="GZ65"/>
  <c r="HA65"/>
  <c r="HB65"/>
  <c r="HC65"/>
  <c r="HD65"/>
  <c r="HE65"/>
  <c r="HF65"/>
  <c r="HG65"/>
  <c r="HH65"/>
  <c r="HI65"/>
  <c r="HJ65"/>
  <c r="HK65"/>
  <c r="HL65"/>
  <c r="HM65"/>
  <c r="HN65"/>
  <c r="HO65"/>
  <c r="HP65"/>
  <c r="HQ65"/>
  <c r="HR65"/>
  <c r="HS65"/>
  <c r="HT65"/>
  <c r="HU65"/>
  <c r="HV65"/>
  <c r="HW65"/>
  <c r="HX65"/>
  <c r="HY65"/>
  <c r="HZ65"/>
  <c r="IA65"/>
  <c r="IB65"/>
  <c r="IC65"/>
  <c r="ID65"/>
  <c r="IE65"/>
  <c r="IF65"/>
  <c r="IG65"/>
  <c r="IH65"/>
  <c r="II65"/>
  <c r="IJ65"/>
  <c r="IK65"/>
  <c r="IL65"/>
  <c r="IM65"/>
  <c r="IN65"/>
  <c r="IO65"/>
  <c r="IP65"/>
  <c r="IQ65"/>
  <c r="IR65"/>
  <c r="IS65"/>
  <c r="IT65"/>
  <c r="IU65"/>
  <c r="IV65"/>
  <c r="A66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BV66"/>
  <c r="BW66"/>
  <c r="BX66"/>
  <c r="BY66"/>
  <c r="BZ66"/>
  <c r="CA66"/>
  <c r="CB66"/>
  <c r="CC66"/>
  <c r="CD66"/>
  <c r="CE66"/>
  <c r="CF66"/>
  <c r="CG66"/>
  <c r="CH66"/>
  <c r="CI66"/>
  <c r="CJ66"/>
  <c r="CK66"/>
  <c r="CL66"/>
  <c r="CM66"/>
  <c r="CN66"/>
  <c r="CO66"/>
  <c r="CP66"/>
  <c r="CQ66"/>
  <c r="CR66"/>
  <c r="CS66"/>
  <c r="CT66"/>
  <c r="CU66"/>
  <c r="CV66"/>
  <c r="CW66"/>
  <c r="CX66"/>
  <c r="CY66"/>
  <c r="CZ66"/>
  <c r="DA66"/>
  <c r="DB66"/>
  <c r="DC66"/>
  <c r="DD66"/>
  <c r="DE66"/>
  <c r="DF66"/>
  <c r="DG66"/>
  <c r="DH66"/>
  <c r="DI66"/>
  <c r="DJ66"/>
  <c r="DK66"/>
  <c r="DL66"/>
  <c r="DM66"/>
  <c r="DN66"/>
  <c r="DO66"/>
  <c r="DP66"/>
  <c r="DQ66"/>
  <c r="DR66"/>
  <c r="DS66"/>
  <c r="DT66"/>
  <c r="DU66"/>
  <c r="DV66"/>
  <c r="DW66"/>
  <c r="DX66"/>
  <c r="DY66"/>
  <c r="DZ66"/>
  <c r="EA66"/>
  <c r="EB66"/>
  <c r="EC66"/>
  <c r="ED66"/>
  <c r="EE66"/>
  <c r="EF66"/>
  <c r="EG66"/>
  <c r="EH66"/>
  <c r="EI66"/>
  <c r="EJ66"/>
  <c r="EK66"/>
  <c r="EL66"/>
  <c r="EM66"/>
  <c r="EN66"/>
  <c r="EO66"/>
  <c r="EP66"/>
  <c r="EQ66"/>
  <c r="ER66"/>
  <c r="ES66"/>
  <c r="ET66"/>
  <c r="EU66"/>
  <c r="EV66"/>
  <c r="EW66"/>
  <c r="EX66"/>
  <c r="EY66"/>
  <c r="EZ66"/>
  <c r="FA66"/>
  <c r="FB66"/>
  <c r="FC66"/>
  <c r="FD66"/>
  <c r="FE66"/>
  <c r="FF66"/>
  <c r="FG66"/>
  <c r="FH66"/>
  <c r="FI66"/>
  <c r="FJ66"/>
  <c r="FK66"/>
  <c r="FL66"/>
  <c r="FM66"/>
  <c r="FN66"/>
  <c r="FO66"/>
  <c r="FP66"/>
  <c r="FQ66"/>
  <c r="FR66"/>
  <c r="FS66"/>
  <c r="FT66"/>
  <c r="FU66"/>
  <c r="FV66"/>
  <c r="FW66"/>
  <c r="FX66"/>
  <c r="FY66"/>
  <c r="FZ66"/>
  <c r="GA66"/>
  <c r="GB66"/>
  <c r="GC66"/>
  <c r="GD66"/>
  <c r="GE66"/>
  <c r="GF66"/>
  <c r="GG66"/>
  <c r="GH66"/>
  <c r="GI66"/>
  <c r="GJ66"/>
  <c r="GK66"/>
  <c r="GL66"/>
  <c r="GM66"/>
  <c r="GN66"/>
  <c r="GO66"/>
  <c r="GP66"/>
  <c r="GQ66"/>
  <c r="GR66"/>
  <c r="GS66"/>
  <c r="GT66"/>
  <c r="GU66"/>
  <c r="GV66"/>
  <c r="GW66"/>
  <c r="GX66"/>
  <c r="GY66"/>
  <c r="GZ66"/>
  <c r="HA66"/>
  <c r="HB66"/>
  <c r="HC66"/>
  <c r="HD66"/>
  <c r="HE66"/>
  <c r="HF66"/>
  <c r="HG66"/>
  <c r="HH66"/>
  <c r="HI66"/>
  <c r="HJ66"/>
  <c r="HK66"/>
  <c r="HL66"/>
  <c r="HM66"/>
  <c r="HN66"/>
  <c r="HO66"/>
  <c r="HP66"/>
  <c r="HQ66"/>
  <c r="HR66"/>
  <c r="HS66"/>
  <c r="HT66"/>
  <c r="HU66"/>
  <c r="HV66"/>
  <c r="HW66"/>
  <c r="HX66"/>
  <c r="HY66"/>
  <c r="HZ66"/>
  <c r="IA66"/>
  <c r="IB66"/>
  <c r="IC66"/>
  <c r="ID66"/>
  <c r="IE66"/>
  <c r="IF66"/>
  <c r="IG66"/>
  <c r="IH66"/>
  <c r="II66"/>
  <c r="IJ66"/>
  <c r="IK66"/>
  <c r="IL66"/>
  <c r="IM66"/>
  <c r="IN66"/>
  <c r="IO66"/>
  <c r="IP66"/>
  <c r="IQ66"/>
  <c r="IR66"/>
  <c r="IS66"/>
  <c r="IT66"/>
  <c r="IU66"/>
  <c r="IV66"/>
  <c r="A67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BV67"/>
  <c r="BW67"/>
  <c r="BX67"/>
  <c r="BY67"/>
  <c r="BZ67"/>
  <c r="CA67"/>
  <c r="CB67"/>
  <c r="CC67"/>
  <c r="CD67"/>
  <c r="CE67"/>
  <c r="CF67"/>
  <c r="CG67"/>
  <c r="CH67"/>
  <c r="CI67"/>
  <c r="CJ67"/>
  <c r="CK67"/>
  <c r="CL67"/>
  <c r="CM67"/>
  <c r="CN67"/>
  <c r="CO67"/>
  <c r="CP67"/>
  <c r="CQ67"/>
  <c r="CR67"/>
  <c r="CS67"/>
  <c r="CT67"/>
  <c r="CU67"/>
  <c r="CV67"/>
  <c r="CW67"/>
  <c r="CX67"/>
  <c r="CY67"/>
  <c r="CZ67"/>
  <c r="DA67"/>
  <c r="DB67"/>
  <c r="DC67"/>
  <c r="DD67"/>
  <c r="DE67"/>
  <c r="DF67"/>
  <c r="DG67"/>
  <c r="DH67"/>
  <c r="DI67"/>
  <c r="DJ67"/>
  <c r="DK67"/>
  <c r="DL67"/>
  <c r="DM67"/>
  <c r="DN67"/>
  <c r="DO67"/>
  <c r="DP67"/>
  <c r="DQ67"/>
  <c r="DR67"/>
  <c r="DS67"/>
  <c r="DT67"/>
  <c r="DU67"/>
  <c r="DV67"/>
  <c r="DW67"/>
  <c r="DX67"/>
  <c r="DY67"/>
  <c r="DZ67"/>
  <c r="EA67"/>
  <c r="EB67"/>
  <c r="EC67"/>
  <c r="ED67"/>
  <c r="EE67"/>
  <c r="EF67"/>
  <c r="EG67"/>
  <c r="EH67"/>
  <c r="EI67"/>
  <c r="EJ67"/>
  <c r="EK67"/>
  <c r="EL67"/>
  <c r="EM67"/>
  <c r="EN67"/>
  <c r="EO67"/>
  <c r="EP67"/>
  <c r="EQ67"/>
  <c r="ER67"/>
  <c r="ES67"/>
  <c r="ET67"/>
  <c r="EU67"/>
  <c r="EV67"/>
  <c r="EW67"/>
  <c r="EX67"/>
  <c r="EY67"/>
  <c r="EZ67"/>
  <c r="FA67"/>
  <c r="FB67"/>
  <c r="FC67"/>
  <c r="FD67"/>
  <c r="FE67"/>
  <c r="FF67"/>
  <c r="FG67"/>
  <c r="FH67"/>
  <c r="FI67"/>
  <c r="FJ67"/>
  <c r="FK67"/>
  <c r="FL67"/>
  <c r="FM67"/>
  <c r="FN67"/>
  <c r="FO67"/>
  <c r="FP67"/>
  <c r="FQ67"/>
  <c r="FR67"/>
  <c r="FS67"/>
  <c r="FT67"/>
  <c r="FU67"/>
  <c r="FV67"/>
  <c r="FW67"/>
  <c r="FX67"/>
  <c r="FY67"/>
  <c r="FZ67"/>
  <c r="GA67"/>
  <c r="GB67"/>
  <c r="GC67"/>
  <c r="GD67"/>
  <c r="GE67"/>
  <c r="GF67"/>
  <c r="GG67"/>
  <c r="GH67"/>
  <c r="GI67"/>
  <c r="GJ67"/>
  <c r="GK67"/>
  <c r="GL67"/>
  <c r="GM67"/>
  <c r="GN67"/>
  <c r="GO67"/>
  <c r="GP67"/>
  <c r="GQ67"/>
  <c r="GR67"/>
  <c r="GS67"/>
  <c r="GT67"/>
  <c r="GU67"/>
  <c r="GV67"/>
  <c r="GW67"/>
  <c r="GX67"/>
  <c r="GY67"/>
  <c r="GZ67"/>
  <c r="HA67"/>
  <c r="HB67"/>
  <c r="HC67"/>
  <c r="HD67"/>
  <c r="HE67"/>
  <c r="HF67"/>
  <c r="HG67"/>
  <c r="HH67"/>
  <c r="HI67"/>
  <c r="HJ67"/>
  <c r="HK67"/>
  <c r="HL67"/>
  <c r="HM67"/>
  <c r="HN67"/>
  <c r="HO67"/>
  <c r="HP67"/>
  <c r="HQ67"/>
  <c r="HR67"/>
  <c r="HS67"/>
  <c r="HT67"/>
  <c r="HU67"/>
  <c r="HV67"/>
  <c r="HW67"/>
  <c r="HX67"/>
  <c r="HY67"/>
  <c r="HZ67"/>
  <c r="IA67"/>
  <c r="IB67"/>
  <c r="IC67"/>
  <c r="ID67"/>
  <c r="IE67"/>
  <c r="IF67"/>
  <c r="IG67"/>
  <c r="IH67"/>
  <c r="II67"/>
  <c r="IJ67"/>
  <c r="IK67"/>
  <c r="IL67"/>
  <c r="IM67"/>
  <c r="IN67"/>
  <c r="IO67"/>
  <c r="IP67"/>
  <c r="IQ67"/>
  <c r="IR67"/>
  <c r="IS67"/>
  <c r="IT67"/>
  <c r="IU67"/>
  <c r="IV67"/>
  <c r="A68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BV68"/>
  <c r="BW68"/>
  <c r="BX68"/>
  <c r="BY68"/>
  <c r="BZ68"/>
  <c r="CA68"/>
  <c r="CB68"/>
  <c r="CC68"/>
  <c r="CD68"/>
  <c r="CE68"/>
  <c r="CF68"/>
  <c r="CG68"/>
  <c r="CH68"/>
  <c r="CI68"/>
  <c r="CJ68"/>
  <c r="CK68"/>
  <c r="CL68"/>
  <c r="CM68"/>
  <c r="CN68"/>
  <c r="CO68"/>
  <c r="CP68"/>
  <c r="CQ68"/>
  <c r="CR68"/>
  <c r="CS68"/>
  <c r="CT68"/>
  <c r="CU68"/>
  <c r="CV68"/>
  <c r="CW68"/>
  <c r="CX68"/>
  <c r="CY68"/>
  <c r="CZ68"/>
  <c r="DA68"/>
  <c r="DB68"/>
  <c r="DC68"/>
  <c r="DD68"/>
  <c r="DE68"/>
  <c r="DF68"/>
  <c r="DG68"/>
  <c r="DH68"/>
  <c r="DI68"/>
  <c r="DJ68"/>
  <c r="DK68"/>
  <c r="DL68"/>
  <c r="DM68"/>
  <c r="DN68"/>
  <c r="DO68"/>
  <c r="DP68"/>
  <c r="DQ68"/>
  <c r="DR68"/>
  <c r="DS68"/>
  <c r="DT68"/>
  <c r="DU68"/>
  <c r="DV68"/>
  <c r="DW68"/>
  <c r="DX68"/>
  <c r="DY68"/>
  <c r="DZ68"/>
  <c r="EA68"/>
  <c r="EB68"/>
  <c r="EC68"/>
  <c r="ED68"/>
  <c r="EE68"/>
  <c r="EF68"/>
  <c r="EG68"/>
  <c r="EH68"/>
  <c r="EI68"/>
  <c r="EJ68"/>
  <c r="EK68"/>
  <c r="EL68"/>
  <c r="EM68"/>
  <c r="EN68"/>
  <c r="EO68"/>
  <c r="EP68"/>
  <c r="EQ68"/>
  <c r="ER68"/>
  <c r="ES68"/>
  <c r="ET68"/>
  <c r="EU68"/>
  <c r="EV68"/>
  <c r="EW68"/>
  <c r="EX68"/>
  <c r="EY68"/>
  <c r="EZ68"/>
  <c r="FA68"/>
  <c r="FB68"/>
  <c r="FC68"/>
  <c r="FD68"/>
  <c r="FE68"/>
  <c r="FF68"/>
  <c r="FG68"/>
  <c r="FH68"/>
  <c r="FI68"/>
  <c r="FJ68"/>
  <c r="FK68"/>
  <c r="FL68"/>
  <c r="FM68"/>
  <c r="FN68"/>
  <c r="FO68"/>
  <c r="FP68"/>
  <c r="FQ68"/>
  <c r="FR68"/>
  <c r="FS68"/>
  <c r="FT68"/>
  <c r="FU68"/>
  <c r="FV68"/>
  <c r="FW68"/>
  <c r="FX68"/>
  <c r="FY68"/>
  <c r="FZ68"/>
  <c r="GA68"/>
  <c r="GB68"/>
  <c r="GC68"/>
  <c r="GD68"/>
  <c r="GE68"/>
  <c r="GF68"/>
  <c r="GG68"/>
  <c r="GH68"/>
  <c r="GI68"/>
  <c r="GJ68"/>
  <c r="GK68"/>
  <c r="GL68"/>
  <c r="GM68"/>
  <c r="GN68"/>
  <c r="GO68"/>
  <c r="GP68"/>
  <c r="GQ68"/>
  <c r="GR68"/>
  <c r="GS68"/>
  <c r="GT68"/>
  <c r="GU68"/>
  <c r="GV68"/>
  <c r="GW68"/>
  <c r="GX68"/>
  <c r="GY68"/>
  <c r="GZ68"/>
  <c r="HA68"/>
  <c r="HB68"/>
  <c r="HC68"/>
  <c r="HD68"/>
  <c r="HE68"/>
  <c r="HF68"/>
  <c r="HG68"/>
  <c r="HH68"/>
  <c r="HI68"/>
  <c r="HJ68"/>
  <c r="HK68"/>
  <c r="HL68"/>
  <c r="HM68"/>
  <c r="HN68"/>
  <c r="HO68"/>
  <c r="HP68"/>
  <c r="HQ68"/>
  <c r="HR68"/>
  <c r="HS68"/>
  <c r="HT68"/>
  <c r="HU68"/>
  <c r="HV68"/>
  <c r="HW68"/>
  <c r="HX68"/>
  <c r="HY68"/>
  <c r="HZ68"/>
  <c r="IA68"/>
  <c r="IB68"/>
  <c r="IC68"/>
  <c r="ID68"/>
  <c r="IE68"/>
  <c r="IF68"/>
  <c r="IG68"/>
  <c r="IH68"/>
  <c r="II68"/>
  <c r="IJ68"/>
  <c r="IK68"/>
  <c r="IL68"/>
  <c r="IM68"/>
  <c r="IN68"/>
  <c r="IO68"/>
  <c r="IP68"/>
  <c r="IQ68"/>
  <c r="IR68"/>
  <c r="IS68"/>
  <c r="IT68"/>
  <c r="IU68"/>
  <c r="IV68"/>
  <c r="A69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BV69"/>
  <c r="BW69"/>
  <c r="BX69"/>
  <c r="BY69"/>
  <c r="BZ69"/>
  <c r="CA69"/>
  <c r="CB69"/>
  <c r="CC69"/>
  <c r="CD69"/>
  <c r="CE69"/>
  <c r="CF69"/>
  <c r="CG69"/>
  <c r="CH69"/>
  <c r="CI69"/>
  <c r="CJ69"/>
  <c r="CK69"/>
  <c r="CL69"/>
  <c r="CM69"/>
  <c r="CN69"/>
  <c r="CO69"/>
  <c r="CP69"/>
  <c r="CQ69"/>
  <c r="CR69"/>
  <c r="CS69"/>
  <c r="CT69"/>
  <c r="CU69"/>
  <c r="CV69"/>
  <c r="CW69"/>
  <c r="CX69"/>
  <c r="CY69"/>
  <c r="CZ69"/>
  <c r="DA69"/>
  <c r="DB69"/>
  <c r="DC69"/>
  <c r="DD69"/>
  <c r="DE69"/>
  <c r="DF69"/>
  <c r="DG69"/>
  <c r="DH69"/>
  <c r="DI69"/>
  <c r="DJ69"/>
  <c r="DK69"/>
  <c r="DL69"/>
  <c r="DM69"/>
  <c r="DN69"/>
  <c r="DO69"/>
  <c r="DP69"/>
  <c r="DQ69"/>
  <c r="DR69"/>
  <c r="DS69"/>
  <c r="DT69"/>
  <c r="DU69"/>
  <c r="DV69"/>
  <c r="DW69"/>
  <c r="DX69"/>
  <c r="DY69"/>
  <c r="DZ69"/>
  <c r="EA69"/>
  <c r="EB69"/>
  <c r="EC69"/>
  <c r="ED69"/>
  <c r="EE69"/>
  <c r="EF69"/>
  <c r="EG69"/>
  <c r="EH69"/>
  <c r="EI69"/>
  <c r="EJ69"/>
  <c r="EK69"/>
  <c r="EL69"/>
  <c r="EM69"/>
  <c r="EN69"/>
  <c r="EO69"/>
  <c r="EP69"/>
  <c r="EQ69"/>
  <c r="ER69"/>
  <c r="ES69"/>
  <c r="ET69"/>
  <c r="EU69"/>
  <c r="EV69"/>
  <c r="EW69"/>
  <c r="EX69"/>
  <c r="EY69"/>
  <c r="EZ69"/>
  <c r="FA69"/>
  <c r="FB69"/>
  <c r="FC69"/>
  <c r="FD69"/>
  <c r="FE69"/>
  <c r="FF69"/>
  <c r="FG69"/>
  <c r="FH69"/>
  <c r="FI69"/>
  <c r="FJ69"/>
  <c r="FK69"/>
  <c r="FL69"/>
  <c r="FM69"/>
  <c r="FN69"/>
  <c r="FO69"/>
  <c r="FP69"/>
  <c r="FQ69"/>
  <c r="FR69"/>
  <c r="FS69"/>
  <c r="FT69"/>
  <c r="FU69"/>
  <c r="FV69"/>
  <c r="FW69"/>
  <c r="FX69"/>
  <c r="FY69"/>
  <c r="FZ69"/>
  <c r="GA69"/>
  <c r="GB69"/>
  <c r="GC69"/>
  <c r="GD69"/>
  <c r="GE69"/>
  <c r="GF69"/>
  <c r="GG69"/>
  <c r="GH69"/>
  <c r="GI69"/>
  <c r="GJ69"/>
  <c r="GK69"/>
  <c r="GL69"/>
  <c r="GM69"/>
  <c r="GN69"/>
  <c r="GO69"/>
  <c r="GP69"/>
  <c r="GQ69"/>
  <c r="GR69"/>
  <c r="GS69"/>
  <c r="GT69"/>
  <c r="GU69"/>
  <c r="GV69"/>
  <c r="GW69"/>
  <c r="GX69"/>
  <c r="GY69"/>
  <c r="GZ69"/>
  <c r="HA69"/>
  <c r="HB69"/>
  <c r="HC69"/>
  <c r="HD69"/>
  <c r="HE69"/>
  <c r="HF69"/>
  <c r="HG69"/>
  <c r="HH69"/>
  <c r="HI69"/>
  <c r="HJ69"/>
  <c r="HK69"/>
  <c r="HL69"/>
  <c r="HM69"/>
  <c r="HN69"/>
  <c r="HO69"/>
  <c r="HP69"/>
  <c r="HQ69"/>
  <c r="HR69"/>
  <c r="HS69"/>
  <c r="HT69"/>
  <c r="HU69"/>
  <c r="HV69"/>
  <c r="HW69"/>
  <c r="HX69"/>
  <c r="HY69"/>
  <c r="HZ69"/>
  <c r="IA69"/>
  <c r="IB69"/>
  <c r="IC69"/>
  <c r="ID69"/>
  <c r="IE69"/>
  <c r="IF69"/>
  <c r="IG69"/>
  <c r="IH69"/>
  <c r="II69"/>
  <c r="IJ69"/>
  <c r="IK69"/>
  <c r="IL69"/>
  <c r="IM69"/>
  <c r="IN69"/>
  <c r="IO69"/>
  <c r="IP69"/>
  <c r="IQ69"/>
  <c r="IR69"/>
  <c r="IS69"/>
  <c r="IT69"/>
  <c r="IU69"/>
  <c r="IV69"/>
  <c r="A70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BV70"/>
  <c r="BW70"/>
  <c r="BX70"/>
  <c r="BY70"/>
  <c r="BZ70"/>
  <c r="CA70"/>
  <c r="CB70"/>
  <c r="CC70"/>
  <c r="CD70"/>
  <c r="CE70"/>
  <c r="CF70"/>
  <c r="CG70"/>
  <c r="CH70"/>
  <c r="CI70"/>
  <c r="CJ70"/>
  <c r="CK70"/>
  <c r="CL70"/>
  <c r="CM70"/>
  <c r="CN70"/>
  <c r="CO70"/>
  <c r="CP70"/>
  <c r="CQ70"/>
  <c r="CR70"/>
  <c r="CS70"/>
  <c r="CT70"/>
  <c r="CU70"/>
  <c r="CV70"/>
  <c r="CW70"/>
  <c r="CX70"/>
  <c r="CY70"/>
  <c r="CZ70"/>
  <c r="DA70"/>
  <c r="DB70"/>
  <c r="DC70"/>
  <c r="DD70"/>
  <c r="DE70"/>
  <c r="DF70"/>
  <c r="DG70"/>
  <c r="DH70"/>
  <c r="DI70"/>
  <c r="DJ70"/>
  <c r="DK70"/>
  <c r="DL70"/>
  <c r="DM70"/>
  <c r="DN70"/>
  <c r="DO70"/>
  <c r="DP70"/>
  <c r="DQ70"/>
  <c r="DR70"/>
  <c r="DS70"/>
  <c r="DT70"/>
  <c r="DU70"/>
  <c r="DV70"/>
  <c r="DW70"/>
  <c r="DX70"/>
  <c r="DY70"/>
  <c r="DZ70"/>
  <c r="EA70"/>
  <c r="EB70"/>
  <c r="EC70"/>
  <c r="ED70"/>
  <c r="EE70"/>
  <c r="EF70"/>
  <c r="EG70"/>
  <c r="EH70"/>
  <c r="EI70"/>
  <c r="EJ70"/>
  <c r="EK70"/>
  <c r="EL70"/>
  <c r="EM70"/>
  <c r="EN70"/>
  <c r="EO70"/>
  <c r="EP70"/>
  <c r="EQ70"/>
  <c r="ER70"/>
  <c r="ES70"/>
  <c r="ET70"/>
  <c r="EU70"/>
  <c r="EV70"/>
  <c r="EW70"/>
  <c r="EX70"/>
  <c r="EY70"/>
  <c r="EZ70"/>
  <c r="FA70"/>
  <c r="FB70"/>
  <c r="FC70"/>
  <c r="FD70"/>
  <c r="FE70"/>
  <c r="FF70"/>
  <c r="FG70"/>
  <c r="FH70"/>
  <c r="FI70"/>
  <c r="FJ70"/>
  <c r="FK70"/>
  <c r="FL70"/>
  <c r="FM70"/>
  <c r="FN70"/>
  <c r="FO70"/>
  <c r="FP70"/>
  <c r="FQ70"/>
  <c r="FR70"/>
  <c r="FS70"/>
  <c r="FT70"/>
  <c r="FU70"/>
  <c r="FV70"/>
  <c r="FW70"/>
  <c r="FX70"/>
  <c r="FY70"/>
  <c r="FZ70"/>
  <c r="GA70"/>
  <c r="GB70"/>
  <c r="GC70"/>
  <c r="GD70"/>
  <c r="GE70"/>
  <c r="GF70"/>
  <c r="GG70"/>
  <c r="GH70"/>
  <c r="GI70"/>
  <c r="GJ70"/>
  <c r="GK70"/>
  <c r="GL70"/>
  <c r="GM70"/>
  <c r="GN70"/>
  <c r="GO70"/>
  <c r="GP70"/>
  <c r="GQ70"/>
  <c r="GR70"/>
  <c r="GS70"/>
  <c r="GT70"/>
  <c r="GU70"/>
  <c r="GV70"/>
  <c r="GW70"/>
  <c r="GX70"/>
  <c r="GY70"/>
  <c r="GZ70"/>
  <c r="HA70"/>
  <c r="HB70"/>
  <c r="HC70"/>
  <c r="HD70"/>
  <c r="HE70"/>
  <c r="HF70"/>
  <c r="HG70"/>
  <c r="HH70"/>
  <c r="HI70"/>
  <c r="HJ70"/>
  <c r="HK70"/>
  <c r="HL70"/>
  <c r="HM70"/>
  <c r="HN70"/>
  <c r="HO70"/>
  <c r="HP70"/>
  <c r="HQ70"/>
  <c r="HR70"/>
  <c r="HS70"/>
  <c r="HT70"/>
  <c r="HU70"/>
  <c r="HV70"/>
  <c r="HW70"/>
  <c r="HX70"/>
  <c r="HY70"/>
  <c r="HZ70"/>
  <c r="IA70"/>
  <c r="IB70"/>
  <c r="IC70"/>
  <c r="ID70"/>
  <c r="IE70"/>
  <c r="IF70"/>
  <c r="IG70"/>
  <c r="IH70"/>
  <c r="II70"/>
  <c r="IJ70"/>
  <c r="IK70"/>
  <c r="IL70"/>
  <c r="IM70"/>
  <c r="IN70"/>
  <c r="IO70"/>
  <c r="IP70"/>
  <c r="IQ70"/>
  <c r="IR70"/>
  <c r="IS70"/>
  <c r="IT70"/>
  <c r="IU70"/>
  <c r="IV70"/>
  <c r="A71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BV71"/>
  <c r="BW71"/>
  <c r="BX71"/>
  <c r="BY71"/>
  <c r="BZ71"/>
  <c r="CA71"/>
  <c r="CB71"/>
  <c r="CC71"/>
  <c r="CD71"/>
  <c r="CE71"/>
  <c r="CF71"/>
  <c r="CG71"/>
  <c r="CH71"/>
  <c r="CI71"/>
  <c r="CJ71"/>
  <c r="CK71"/>
  <c r="CL71"/>
  <c r="CM71"/>
  <c r="CN71"/>
  <c r="CO71"/>
  <c r="CP71"/>
  <c r="CQ71"/>
  <c r="CR71"/>
  <c r="CS71"/>
  <c r="CT71"/>
  <c r="CU71"/>
  <c r="CV71"/>
  <c r="CW71"/>
  <c r="CX71"/>
  <c r="CY71"/>
  <c r="CZ71"/>
  <c r="DA71"/>
  <c r="DB71"/>
  <c r="DC71"/>
  <c r="DD71"/>
  <c r="DE71"/>
  <c r="DF71"/>
  <c r="DG71"/>
  <c r="DH71"/>
  <c r="DI71"/>
  <c r="DJ71"/>
  <c r="DK71"/>
  <c r="DL71"/>
  <c r="DM71"/>
  <c r="DN71"/>
  <c r="DO71"/>
  <c r="DP71"/>
  <c r="DQ71"/>
  <c r="DR71"/>
  <c r="DS71"/>
  <c r="DT71"/>
  <c r="DU71"/>
  <c r="DV71"/>
  <c r="DW71"/>
  <c r="DX71"/>
  <c r="DY71"/>
  <c r="DZ71"/>
  <c r="EA71"/>
  <c r="EB71"/>
  <c r="EC71"/>
  <c r="ED71"/>
  <c r="EE71"/>
  <c r="EF71"/>
  <c r="EG71"/>
  <c r="EH71"/>
  <c r="EI71"/>
  <c r="EJ71"/>
  <c r="EK71"/>
  <c r="EL71"/>
  <c r="EM71"/>
  <c r="EN71"/>
  <c r="EO71"/>
  <c r="EP71"/>
  <c r="EQ71"/>
  <c r="ER71"/>
  <c r="ES71"/>
  <c r="ET71"/>
  <c r="EU71"/>
  <c r="EV71"/>
  <c r="EW71"/>
  <c r="EX71"/>
  <c r="EY71"/>
  <c r="EZ71"/>
  <c r="FA71"/>
  <c r="FB71"/>
  <c r="FC71"/>
  <c r="FD71"/>
  <c r="FE71"/>
  <c r="FF71"/>
  <c r="FG71"/>
  <c r="FH71"/>
  <c r="FI71"/>
  <c r="FJ71"/>
  <c r="FK71"/>
  <c r="FL71"/>
  <c r="FM71"/>
  <c r="FN71"/>
  <c r="FO71"/>
  <c r="FP71"/>
  <c r="FQ71"/>
  <c r="FR71"/>
  <c r="FS71"/>
  <c r="FT71"/>
  <c r="FU71"/>
  <c r="FV71"/>
  <c r="FW71"/>
  <c r="FX71"/>
  <c r="FY71"/>
  <c r="FZ71"/>
  <c r="GA71"/>
  <c r="GB71"/>
  <c r="GC71"/>
  <c r="GD71"/>
  <c r="GE71"/>
  <c r="GF71"/>
  <c r="GG71"/>
  <c r="GH71"/>
  <c r="GI71"/>
  <c r="GJ71"/>
  <c r="GK71"/>
  <c r="GL71"/>
  <c r="GM71"/>
  <c r="GN71"/>
  <c r="GO71"/>
  <c r="GP71"/>
  <c r="GQ71"/>
  <c r="GR71"/>
  <c r="GS71"/>
  <c r="GT71"/>
  <c r="GU71"/>
  <c r="GV71"/>
  <c r="GW71"/>
  <c r="GX71"/>
  <c r="GY71"/>
  <c r="GZ71"/>
  <c r="HA71"/>
  <c r="HB71"/>
  <c r="HC71"/>
  <c r="HD71"/>
  <c r="HE71"/>
  <c r="HF71"/>
  <c r="HG71"/>
  <c r="HH71"/>
  <c r="HI71"/>
  <c r="HJ71"/>
  <c r="HK71"/>
  <c r="HL71"/>
  <c r="HM71"/>
  <c r="HN71"/>
  <c r="HO71"/>
  <c r="HP71"/>
  <c r="HQ71"/>
  <c r="HR71"/>
  <c r="HS71"/>
  <c r="HT71"/>
  <c r="HU71"/>
  <c r="HV71"/>
  <c r="HW71"/>
  <c r="HX71"/>
  <c r="HY71"/>
  <c r="HZ71"/>
  <c r="IA71"/>
  <c r="IB71"/>
  <c r="IC71"/>
  <c r="ID71"/>
  <c r="IE71"/>
  <c r="IF71"/>
  <c r="IG71"/>
  <c r="IH71"/>
  <c r="II71"/>
  <c r="IJ71"/>
  <c r="IK71"/>
  <c r="IL71"/>
  <c r="IM71"/>
  <c r="IN71"/>
  <c r="IO71"/>
  <c r="IP71"/>
  <c r="IQ71"/>
  <c r="IR71"/>
  <c r="IS71"/>
  <c r="IT71"/>
  <c r="IU71"/>
  <c r="IV71"/>
  <c r="A72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BV72"/>
  <c r="BW72"/>
  <c r="BX72"/>
  <c r="BY72"/>
  <c r="BZ72"/>
  <c r="CA72"/>
  <c r="CB72"/>
  <c r="CC72"/>
  <c r="CD72"/>
  <c r="CE72"/>
  <c r="CF72"/>
  <c r="CG72"/>
  <c r="CH72"/>
  <c r="CI72"/>
  <c r="CJ72"/>
  <c r="CK72"/>
  <c r="CL72"/>
  <c r="CM72"/>
  <c r="CN72"/>
  <c r="CO72"/>
  <c r="CP72"/>
  <c r="CQ72"/>
  <c r="CR72"/>
  <c r="CS72"/>
  <c r="CT72"/>
  <c r="CU72"/>
  <c r="CV72"/>
  <c r="CW72"/>
  <c r="CX72"/>
  <c r="CY72"/>
  <c r="CZ72"/>
  <c r="DA72"/>
  <c r="DB72"/>
  <c r="DC72"/>
  <c r="DD72"/>
  <c r="DE72"/>
  <c r="DF72"/>
  <c r="DG72"/>
  <c r="DH72"/>
  <c r="DI72"/>
  <c r="DJ72"/>
  <c r="DK72"/>
  <c r="DL72"/>
  <c r="DM72"/>
  <c r="DN72"/>
  <c r="DO72"/>
  <c r="DP72"/>
  <c r="DQ72"/>
  <c r="DR72"/>
  <c r="DS72"/>
  <c r="DT72"/>
  <c r="DU72"/>
  <c r="DV72"/>
  <c r="DW72"/>
  <c r="DX72"/>
  <c r="DY72"/>
  <c r="DZ72"/>
  <c r="EA72"/>
  <c r="EB72"/>
  <c r="EC72"/>
  <c r="ED72"/>
  <c r="EE72"/>
  <c r="EF72"/>
  <c r="EG72"/>
  <c r="EH72"/>
  <c r="EI72"/>
  <c r="EJ72"/>
  <c r="EK72"/>
  <c r="EL72"/>
  <c r="EM72"/>
  <c r="EN72"/>
  <c r="EO72"/>
  <c r="EP72"/>
  <c r="EQ72"/>
  <c r="ER72"/>
  <c r="ES72"/>
  <c r="ET72"/>
  <c r="EU72"/>
  <c r="EV72"/>
  <c r="EW72"/>
  <c r="EX72"/>
  <c r="EY72"/>
  <c r="EZ72"/>
  <c r="FA72"/>
  <c r="FB72"/>
  <c r="FC72"/>
  <c r="FD72"/>
  <c r="FE72"/>
  <c r="FF72"/>
  <c r="FG72"/>
  <c r="FH72"/>
  <c r="FI72"/>
  <c r="FJ72"/>
  <c r="FK72"/>
  <c r="FL72"/>
  <c r="FM72"/>
  <c r="FN72"/>
  <c r="FO72"/>
  <c r="FP72"/>
  <c r="FQ72"/>
  <c r="FR72"/>
  <c r="FS72"/>
  <c r="FT72"/>
  <c r="FU72"/>
  <c r="FV72"/>
  <c r="FW72"/>
  <c r="FX72"/>
  <c r="FY72"/>
  <c r="FZ72"/>
  <c r="GA72"/>
  <c r="GB72"/>
  <c r="GC72"/>
  <c r="GD72"/>
  <c r="GE72"/>
  <c r="GF72"/>
  <c r="GG72"/>
  <c r="GH72"/>
  <c r="GI72"/>
  <c r="GJ72"/>
  <c r="GK72"/>
  <c r="GL72"/>
  <c r="GM72"/>
  <c r="GN72"/>
  <c r="GO72"/>
  <c r="GP72"/>
  <c r="GQ72"/>
  <c r="GR72"/>
  <c r="GS72"/>
  <c r="GT72"/>
  <c r="GU72"/>
  <c r="GV72"/>
  <c r="GW72"/>
  <c r="GX72"/>
  <c r="GY72"/>
  <c r="GZ72"/>
  <c r="HA72"/>
  <c r="HB72"/>
  <c r="HC72"/>
  <c r="HD72"/>
  <c r="HE72"/>
  <c r="HF72"/>
  <c r="HG72"/>
  <c r="HH72"/>
  <c r="HI72"/>
  <c r="HJ72"/>
  <c r="HK72"/>
  <c r="HL72"/>
  <c r="HM72"/>
  <c r="HN72"/>
  <c r="HO72"/>
  <c r="HP72"/>
  <c r="HQ72"/>
  <c r="HR72"/>
  <c r="HS72"/>
  <c r="HT72"/>
  <c r="HU72"/>
  <c r="HV72"/>
  <c r="HW72"/>
  <c r="HX72"/>
  <c r="HY72"/>
  <c r="HZ72"/>
  <c r="IA72"/>
  <c r="IB72"/>
  <c r="IC72"/>
  <c r="ID72"/>
  <c r="IE72"/>
  <c r="IF72"/>
  <c r="IG72"/>
  <c r="IH72"/>
  <c r="II72"/>
  <c r="IJ72"/>
  <c r="IK72"/>
  <c r="IL72"/>
  <c r="IM72"/>
  <c r="IN72"/>
  <c r="IO72"/>
  <c r="IP72"/>
  <c r="IQ72"/>
  <c r="IR72"/>
  <c r="IS72"/>
  <c r="IT72"/>
  <c r="IU72"/>
  <c r="IV72"/>
  <c r="A73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BV73"/>
  <c r="BW73"/>
  <c r="BX73"/>
  <c r="BY73"/>
  <c r="BZ73"/>
  <c r="CA73"/>
  <c r="CB73"/>
  <c r="CC73"/>
  <c r="CD73"/>
  <c r="CE73"/>
  <c r="CF73"/>
  <c r="CG73"/>
  <c r="CH73"/>
  <c r="CI73"/>
  <c r="CJ73"/>
  <c r="CK73"/>
  <c r="CL73"/>
  <c r="CM73"/>
  <c r="CN73"/>
  <c r="CO73"/>
  <c r="CP73"/>
  <c r="CQ73"/>
  <c r="CR73"/>
  <c r="CS73"/>
  <c r="CT73"/>
  <c r="CU73"/>
  <c r="CV73"/>
  <c r="CW73"/>
  <c r="CX73"/>
  <c r="CY73"/>
  <c r="CZ73"/>
  <c r="DA73"/>
  <c r="DB73"/>
  <c r="DC73"/>
  <c r="DD73"/>
  <c r="DE73"/>
  <c r="DF73"/>
  <c r="DG73"/>
  <c r="DH73"/>
  <c r="DI73"/>
  <c r="DJ73"/>
  <c r="DK73"/>
  <c r="DL73"/>
  <c r="DM73"/>
  <c r="DN73"/>
  <c r="DO73"/>
  <c r="DP73"/>
  <c r="DQ73"/>
  <c r="DR73"/>
  <c r="DS73"/>
  <c r="DT73"/>
  <c r="DU73"/>
  <c r="DV73"/>
  <c r="DW73"/>
  <c r="DX73"/>
  <c r="DY73"/>
  <c r="DZ73"/>
  <c r="EA73"/>
  <c r="EB73"/>
  <c r="EC73"/>
  <c r="ED73"/>
  <c r="EE73"/>
  <c r="EF73"/>
  <c r="EG73"/>
  <c r="EH73"/>
  <c r="EI73"/>
  <c r="EJ73"/>
  <c r="EK73"/>
  <c r="EL73"/>
  <c r="EM73"/>
  <c r="EN73"/>
  <c r="EO73"/>
  <c r="EP73"/>
  <c r="EQ73"/>
  <c r="ER73"/>
  <c r="ES73"/>
  <c r="ET73"/>
  <c r="EU73"/>
  <c r="EV73"/>
  <c r="EW73"/>
  <c r="EX73"/>
  <c r="EY73"/>
  <c r="EZ73"/>
  <c r="FA73"/>
  <c r="FB73"/>
  <c r="FC73"/>
  <c r="FD73"/>
  <c r="FE73"/>
  <c r="FF73"/>
  <c r="FG73"/>
  <c r="FH73"/>
  <c r="FI73"/>
  <c r="FJ73"/>
  <c r="FK73"/>
  <c r="FL73"/>
  <c r="FM73"/>
  <c r="FN73"/>
  <c r="FO73"/>
  <c r="FP73"/>
  <c r="FQ73"/>
  <c r="FR73"/>
  <c r="FS73"/>
  <c r="FT73"/>
  <c r="FU73"/>
  <c r="FV73"/>
  <c r="FW73"/>
  <c r="FX73"/>
  <c r="FY73"/>
  <c r="FZ73"/>
  <c r="GA73"/>
  <c r="GB73"/>
  <c r="GC73"/>
  <c r="GD73"/>
  <c r="GE73"/>
  <c r="GF73"/>
  <c r="GG73"/>
  <c r="GH73"/>
  <c r="GI73"/>
  <c r="GJ73"/>
  <c r="GK73"/>
  <c r="GL73"/>
  <c r="GM73"/>
  <c r="GN73"/>
  <c r="GO73"/>
  <c r="GP73"/>
  <c r="GQ73"/>
  <c r="GR73"/>
  <c r="GS73"/>
  <c r="GT73"/>
  <c r="GU73"/>
  <c r="GV73"/>
  <c r="GW73"/>
  <c r="GX73"/>
  <c r="GY73"/>
  <c r="GZ73"/>
  <c r="HA73"/>
  <c r="HB73"/>
  <c r="HC73"/>
  <c r="HD73"/>
  <c r="HE73"/>
  <c r="HF73"/>
  <c r="HG73"/>
  <c r="HH73"/>
  <c r="HI73"/>
  <c r="HJ73"/>
  <c r="HK73"/>
  <c r="HL73"/>
  <c r="HM73"/>
  <c r="HN73"/>
  <c r="HO73"/>
  <c r="HP73"/>
  <c r="HQ73"/>
  <c r="HR73"/>
  <c r="HS73"/>
  <c r="HT73"/>
  <c r="HU73"/>
  <c r="HV73"/>
  <c r="HW73"/>
  <c r="HX73"/>
  <c r="HY73"/>
  <c r="HZ73"/>
  <c r="IA73"/>
  <c r="IB73"/>
  <c r="IC73"/>
  <c r="ID73"/>
  <c r="IE73"/>
  <c r="IF73"/>
  <c r="IG73"/>
  <c r="IH73"/>
  <c r="II73"/>
  <c r="IJ73"/>
  <c r="IK73"/>
  <c r="IL73"/>
  <c r="IM73"/>
  <c r="IN73"/>
  <c r="IO73"/>
  <c r="IP73"/>
  <c r="IQ73"/>
  <c r="IR73"/>
  <c r="IS73"/>
  <c r="IT73"/>
  <c r="IU73"/>
  <c r="IV73"/>
  <c r="A74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BV74"/>
  <c r="BW74"/>
  <c r="BX74"/>
  <c r="BY74"/>
  <c r="BZ74"/>
  <c r="CA74"/>
  <c r="CB74"/>
  <c r="CC74"/>
  <c r="CD74"/>
  <c r="CE74"/>
  <c r="CF74"/>
  <c r="CG74"/>
  <c r="CH74"/>
  <c r="CI74"/>
  <c r="CJ74"/>
  <c r="CK74"/>
  <c r="CL74"/>
  <c r="CM74"/>
  <c r="CN74"/>
  <c r="CO74"/>
  <c r="CP74"/>
  <c r="CQ74"/>
  <c r="CR74"/>
  <c r="CS74"/>
  <c r="CT74"/>
  <c r="CU74"/>
  <c r="CV74"/>
  <c r="CW74"/>
  <c r="CX74"/>
  <c r="CY74"/>
  <c r="CZ74"/>
  <c r="DA74"/>
  <c r="DB74"/>
  <c r="DC74"/>
  <c r="DD74"/>
  <c r="DE74"/>
  <c r="DF74"/>
  <c r="DG74"/>
  <c r="DH74"/>
  <c r="DI74"/>
  <c r="DJ74"/>
  <c r="DK74"/>
  <c r="DL74"/>
  <c r="DM74"/>
  <c r="DN74"/>
  <c r="DO74"/>
  <c r="DP74"/>
  <c r="DQ74"/>
  <c r="DR74"/>
  <c r="DS74"/>
  <c r="DT74"/>
  <c r="DU74"/>
  <c r="DV74"/>
  <c r="DW74"/>
  <c r="DX74"/>
  <c r="DY74"/>
  <c r="DZ74"/>
  <c r="EA74"/>
  <c r="EB74"/>
  <c r="EC74"/>
  <c r="ED74"/>
  <c r="EE74"/>
  <c r="EF74"/>
  <c r="EG74"/>
  <c r="EH74"/>
  <c r="EI74"/>
  <c r="EJ74"/>
  <c r="EK74"/>
  <c r="EL74"/>
  <c r="EM74"/>
  <c r="EN74"/>
  <c r="EO74"/>
  <c r="EP74"/>
  <c r="EQ74"/>
  <c r="ER74"/>
  <c r="ES74"/>
  <c r="ET74"/>
  <c r="EU74"/>
  <c r="EV74"/>
  <c r="EW74"/>
  <c r="EX74"/>
  <c r="EY74"/>
  <c r="EZ74"/>
  <c r="FA74"/>
  <c r="FB74"/>
  <c r="FC74"/>
  <c r="FD74"/>
  <c r="FE74"/>
  <c r="FF74"/>
  <c r="FG74"/>
  <c r="FH74"/>
  <c r="FI74"/>
  <c r="FJ74"/>
  <c r="FK74"/>
  <c r="FL74"/>
  <c r="FM74"/>
  <c r="FN74"/>
  <c r="FO74"/>
  <c r="FP74"/>
  <c r="FQ74"/>
  <c r="FR74"/>
  <c r="FS74"/>
  <c r="FT74"/>
  <c r="FU74"/>
  <c r="FV74"/>
  <c r="FW74"/>
  <c r="FX74"/>
  <c r="FY74"/>
  <c r="FZ74"/>
  <c r="GA74"/>
  <c r="GB74"/>
  <c r="GC74"/>
  <c r="GD74"/>
  <c r="GE74"/>
  <c r="GF74"/>
  <c r="GG74"/>
  <c r="GH74"/>
  <c r="GI74"/>
  <c r="GJ74"/>
  <c r="GK74"/>
  <c r="GL74"/>
  <c r="GM74"/>
  <c r="GN74"/>
  <c r="GO74"/>
  <c r="GP74"/>
  <c r="GQ74"/>
  <c r="GR74"/>
  <c r="GS74"/>
  <c r="GT74"/>
  <c r="GU74"/>
  <c r="GV74"/>
  <c r="GW74"/>
  <c r="GX74"/>
  <c r="GY74"/>
  <c r="GZ74"/>
  <c r="HA74"/>
  <c r="HB74"/>
  <c r="HC74"/>
  <c r="HD74"/>
  <c r="HE74"/>
  <c r="HF74"/>
  <c r="HG74"/>
  <c r="HH74"/>
  <c r="HI74"/>
  <c r="HJ74"/>
  <c r="HK74"/>
  <c r="HL74"/>
  <c r="HM74"/>
  <c r="HN74"/>
  <c r="HO74"/>
  <c r="HP74"/>
  <c r="HQ74"/>
  <c r="HR74"/>
  <c r="HS74"/>
  <c r="HT74"/>
  <c r="HU74"/>
  <c r="HV74"/>
  <c r="HW74"/>
  <c r="HX74"/>
  <c r="HY74"/>
  <c r="HZ74"/>
  <c r="IA74"/>
  <c r="IB74"/>
  <c r="IC74"/>
  <c r="ID74"/>
  <c r="IE74"/>
  <c r="IF74"/>
  <c r="IG74"/>
  <c r="IH74"/>
  <c r="II74"/>
  <c r="IJ74"/>
  <c r="IK74"/>
  <c r="IL74"/>
  <c r="IM74"/>
  <c r="IN74"/>
  <c r="IO74"/>
  <c r="IP74"/>
  <c r="IQ74"/>
  <c r="IR74"/>
  <c r="IS74"/>
  <c r="IT74"/>
  <c r="IU74"/>
  <c r="IV74"/>
  <c r="A75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BV75"/>
  <c r="BW75"/>
  <c r="BX75"/>
  <c r="BY75"/>
  <c r="BZ75"/>
  <c r="CA75"/>
  <c r="CB75"/>
  <c r="CC75"/>
  <c r="CD75"/>
  <c r="CE75"/>
  <c r="CF75"/>
  <c r="CG75"/>
  <c r="CH75"/>
  <c r="CI75"/>
  <c r="CJ75"/>
  <c r="CK75"/>
  <c r="CL75"/>
  <c r="CM75"/>
  <c r="CN75"/>
  <c r="CO75"/>
  <c r="CP75"/>
  <c r="CQ75"/>
  <c r="CR75"/>
  <c r="CS75"/>
  <c r="CT75"/>
  <c r="CU75"/>
  <c r="CV75"/>
  <c r="CW75"/>
  <c r="CX75"/>
  <c r="CY75"/>
  <c r="CZ75"/>
  <c r="DA75"/>
  <c r="DB75"/>
  <c r="DC75"/>
  <c r="DD75"/>
  <c r="DE75"/>
  <c r="DF75"/>
  <c r="DG75"/>
  <c r="DH75"/>
  <c r="DI75"/>
  <c r="DJ75"/>
  <c r="DK75"/>
  <c r="DL75"/>
  <c r="DM75"/>
  <c r="DN75"/>
  <c r="DO75"/>
  <c r="DP75"/>
  <c r="DQ75"/>
  <c r="DR75"/>
  <c r="DS75"/>
  <c r="DT75"/>
  <c r="DU75"/>
  <c r="DV75"/>
  <c r="DW75"/>
  <c r="DX75"/>
  <c r="DY75"/>
  <c r="DZ75"/>
  <c r="EA75"/>
  <c r="EB75"/>
  <c r="EC75"/>
  <c r="ED75"/>
  <c r="EE75"/>
  <c r="EF75"/>
  <c r="EG75"/>
  <c r="EH75"/>
  <c r="EI75"/>
  <c r="EJ75"/>
  <c r="EK75"/>
  <c r="EL75"/>
  <c r="EM75"/>
  <c r="EN75"/>
  <c r="EO75"/>
  <c r="EP75"/>
  <c r="EQ75"/>
  <c r="ER75"/>
  <c r="ES75"/>
  <c r="ET75"/>
  <c r="EU75"/>
  <c r="EV75"/>
  <c r="EW75"/>
  <c r="EX75"/>
  <c r="EY75"/>
  <c r="EZ75"/>
  <c r="FA75"/>
  <c r="FB75"/>
  <c r="FC75"/>
  <c r="FD75"/>
  <c r="FE75"/>
  <c r="FF75"/>
  <c r="FG75"/>
  <c r="FH75"/>
  <c r="FI75"/>
  <c r="FJ75"/>
  <c r="FK75"/>
  <c r="FL75"/>
  <c r="FM75"/>
  <c r="FN75"/>
  <c r="FO75"/>
  <c r="FP75"/>
  <c r="FQ75"/>
  <c r="FR75"/>
  <c r="FS75"/>
  <c r="FT75"/>
  <c r="FU75"/>
  <c r="FV75"/>
  <c r="FW75"/>
  <c r="FX75"/>
  <c r="FY75"/>
  <c r="FZ75"/>
  <c r="GA75"/>
  <c r="GB75"/>
  <c r="GC75"/>
  <c r="GD75"/>
  <c r="GE75"/>
  <c r="GF75"/>
  <c r="GG75"/>
  <c r="GH75"/>
  <c r="GI75"/>
  <c r="GJ75"/>
  <c r="GK75"/>
  <c r="GL75"/>
  <c r="GM75"/>
  <c r="GN75"/>
  <c r="GO75"/>
  <c r="GP75"/>
  <c r="GQ75"/>
  <c r="GR75"/>
  <c r="GS75"/>
  <c r="GT75"/>
  <c r="GU75"/>
  <c r="GV75"/>
  <c r="GW75"/>
  <c r="GX75"/>
  <c r="GY75"/>
  <c r="GZ75"/>
  <c r="HA75"/>
  <c r="HB75"/>
  <c r="HC75"/>
  <c r="HD75"/>
  <c r="HE75"/>
  <c r="HF75"/>
  <c r="HG75"/>
  <c r="HH75"/>
  <c r="HI75"/>
  <c r="HJ75"/>
  <c r="HK75"/>
  <c r="HL75"/>
  <c r="HM75"/>
  <c r="HN75"/>
  <c r="HO75"/>
  <c r="HP75"/>
  <c r="HQ75"/>
  <c r="HR75"/>
  <c r="HS75"/>
  <c r="HT75"/>
  <c r="HU75"/>
  <c r="HV75"/>
  <c r="HW75"/>
  <c r="HX75"/>
  <c r="HY75"/>
  <c r="HZ75"/>
  <c r="IA75"/>
  <c r="IB75"/>
  <c r="IC75"/>
  <c r="ID75"/>
  <c r="IE75"/>
  <c r="IF75"/>
  <c r="IG75"/>
  <c r="IH75"/>
  <c r="II75"/>
  <c r="IJ75"/>
  <c r="IK75"/>
  <c r="IL75"/>
  <c r="IM75"/>
  <c r="IN75"/>
  <c r="IO75"/>
  <c r="IP75"/>
  <c r="IQ75"/>
  <c r="IR75"/>
  <c r="IS75"/>
  <c r="IT75"/>
  <c r="IU75"/>
  <c r="IV75"/>
  <c r="A76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BV76"/>
  <c r="BW76"/>
  <c r="BX76"/>
  <c r="BY76"/>
  <c r="BZ76"/>
  <c r="CA76"/>
  <c r="CB76"/>
  <c r="CC76"/>
  <c r="CD76"/>
  <c r="CE76"/>
  <c r="CF76"/>
  <c r="CG76"/>
  <c r="CH76"/>
  <c r="CI76"/>
  <c r="CJ76"/>
  <c r="CK76"/>
  <c r="CL76"/>
  <c r="CM76"/>
  <c r="CN76"/>
  <c r="CO76"/>
  <c r="CP76"/>
  <c r="CQ76"/>
  <c r="CR76"/>
  <c r="CS76"/>
  <c r="CT76"/>
  <c r="CU76"/>
  <c r="CV76"/>
  <c r="CW76"/>
  <c r="CX76"/>
  <c r="CY76"/>
  <c r="CZ76"/>
  <c r="DA76"/>
  <c r="DB76"/>
  <c r="DC76"/>
  <c r="DD76"/>
  <c r="DE76"/>
  <c r="DF76"/>
  <c r="DG76"/>
  <c r="DH76"/>
  <c r="DI76"/>
  <c r="DJ76"/>
  <c r="DK76"/>
  <c r="DL76"/>
  <c r="DM76"/>
  <c r="DN76"/>
  <c r="DO76"/>
  <c r="DP76"/>
  <c r="DQ76"/>
  <c r="DR76"/>
  <c r="DS76"/>
  <c r="DT76"/>
  <c r="DU76"/>
  <c r="DV76"/>
  <c r="DW76"/>
  <c r="DX76"/>
  <c r="DY76"/>
  <c r="DZ76"/>
  <c r="EA76"/>
  <c r="EB76"/>
  <c r="EC76"/>
  <c r="ED76"/>
  <c r="EE76"/>
  <c r="EF76"/>
  <c r="EG76"/>
  <c r="EH76"/>
  <c r="EI76"/>
  <c r="EJ76"/>
  <c r="EK76"/>
  <c r="EL76"/>
  <c r="EM76"/>
  <c r="EN76"/>
  <c r="EO76"/>
  <c r="EP76"/>
  <c r="EQ76"/>
  <c r="ER76"/>
  <c r="ES76"/>
  <c r="ET76"/>
  <c r="EU76"/>
  <c r="EV76"/>
  <c r="EW76"/>
  <c r="EX76"/>
  <c r="EY76"/>
  <c r="EZ76"/>
  <c r="FA76"/>
  <c r="FB76"/>
  <c r="FC76"/>
  <c r="FD76"/>
  <c r="FE76"/>
  <c r="FF76"/>
  <c r="FG76"/>
  <c r="FH76"/>
  <c r="FI76"/>
  <c r="FJ76"/>
  <c r="FK76"/>
  <c r="FL76"/>
  <c r="FM76"/>
  <c r="FN76"/>
  <c r="FO76"/>
  <c r="FP76"/>
  <c r="FQ76"/>
  <c r="FR76"/>
  <c r="FS76"/>
  <c r="FT76"/>
  <c r="FU76"/>
  <c r="FV76"/>
  <c r="FW76"/>
  <c r="FX76"/>
  <c r="FY76"/>
  <c r="FZ76"/>
  <c r="GA76"/>
  <c r="GB76"/>
  <c r="GC76"/>
  <c r="GD76"/>
  <c r="GE76"/>
  <c r="GF76"/>
  <c r="GG76"/>
  <c r="GH76"/>
  <c r="GI76"/>
  <c r="GJ76"/>
  <c r="GK76"/>
  <c r="GL76"/>
  <c r="GM76"/>
  <c r="GN76"/>
  <c r="GO76"/>
  <c r="GP76"/>
  <c r="GQ76"/>
  <c r="GR76"/>
  <c r="GS76"/>
  <c r="GT76"/>
  <c r="GU76"/>
  <c r="GV76"/>
  <c r="GW76"/>
  <c r="GX76"/>
  <c r="GY76"/>
  <c r="GZ76"/>
  <c r="HA76"/>
  <c r="HB76"/>
  <c r="HC76"/>
  <c r="HD76"/>
  <c r="HE76"/>
  <c r="HF76"/>
  <c r="HG76"/>
  <c r="HH76"/>
  <c r="HI76"/>
  <c r="HJ76"/>
  <c r="HK76"/>
  <c r="HL76"/>
  <c r="HM76"/>
  <c r="HN76"/>
  <c r="HO76"/>
  <c r="HP76"/>
  <c r="HQ76"/>
  <c r="HR76"/>
  <c r="HS76"/>
  <c r="HT76"/>
  <c r="HU76"/>
  <c r="HV76"/>
  <c r="HW76"/>
  <c r="HX76"/>
  <c r="HY76"/>
  <c r="HZ76"/>
  <c r="IA76"/>
  <c r="IB76"/>
  <c r="IC76"/>
  <c r="ID76"/>
  <c r="IE76"/>
  <c r="IF76"/>
  <c r="IG76"/>
  <c r="IH76"/>
  <c r="II76"/>
  <c r="IJ76"/>
  <c r="IK76"/>
  <c r="IL76"/>
  <c r="IM76"/>
  <c r="IN76"/>
  <c r="IO76"/>
  <c r="IP76"/>
  <c r="IQ76"/>
  <c r="IR76"/>
  <c r="IS76"/>
  <c r="IT76"/>
  <c r="IU76"/>
  <c r="IV76"/>
  <c r="A77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BV77"/>
  <c r="BW77"/>
  <c r="BX77"/>
  <c r="BY77"/>
  <c r="BZ77"/>
  <c r="CA77"/>
  <c r="CB77"/>
  <c r="CC77"/>
  <c r="CD77"/>
  <c r="CE77"/>
  <c r="CF77"/>
  <c r="CG77"/>
  <c r="CH77"/>
  <c r="CI77"/>
  <c r="CJ77"/>
  <c r="CK77"/>
  <c r="CL77"/>
  <c r="CM77"/>
  <c r="CN77"/>
  <c r="CO77"/>
  <c r="CP77"/>
  <c r="CQ77"/>
  <c r="CR77"/>
  <c r="CS77"/>
  <c r="CT77"/>
  <c r="CU77"/>
  <c r="CV77"/>
  <c r="CW77"/>
  <c r="CX77"/>
  <c r="CY77"/>
  <c r="CZ77"/>
  <c r="DA77"/>
  <c r="DB77"/>
  <c r="DC77"/>
  <c r="DD77"/>
  <c r="DE77"/>
  <c r="DF77"/>
  <c r="DG77"/>
  <c r="DH77"/>
  <c r="DI77"/>
  <c r="DJ77"/>
  <c r="DK77"/>
  <c r="DL77"/>
  <c r="DM77"/>
  <c r="DN77"/>
  <c r="DO77"/>
  <c r="DP77"/>
  <c r="DQ77"/>
  <c r="DR77"/>
  <c r="DS77"/>
  <c r="DT77"/>
  <c r="DU77"/>
  <c r="DV77"/>
  <c r="DW77"/>
  <c r="DX77"/>
  <c r="DY77"/>
  <c r="DZ77"/>
  <c r="EA77"/>
  <c r="EB77"/>
  <c r="EC77"/>
  <c r="ED77"/>
  <c r="EE77"/>
  <c r="EF77"/>
  <c r="EG77"/>
  <c r="EH77"/>
  <c r="EI77"/>
  <c r="EJ77"/>
  <c r="EK77"/>
  <c r="EL77"/>
  <c r="EM77"/>
  <c r="EN77"/>
  <c r="EO77"/>
  <c r="EP77"/>
  <c r="EQ77"/>
  <c r="ER77"/>
  <c r="ES77"/>
  <c r="ET77"/>
  <c r="EU77"/>
  <c r="EV77"/>
  <c r="EW77"/>
  <c r="EX77"/>
  <c r="EY77"/>
  <c r="EZ77"/>
  <c r="FA77"/>
  <c r="FB77"/>
  <c r="FC77"/>
  <c r="FD77"/>
  <c r="FE77"/>
  <c r="FF77"/>
  <c r="FG77"/>
  <c r="FH77"/>
  <c r="FI77"/>
  <c r="FJ77"/>
  <c r="FK77"/>
  <c r="FL77"/>
  <c r="FM77"/>
  <c r="FN77"/>
  <c r="FO77"/>
  <c r="FP77"/>
  <c r="FQ77"/>
  <c r="FR77"/>
  <c r="FS77"/>
  <c r="FT77"/>
  <c r="FU77"/>
  <c r="FV77"/>
  <c r="FW77"/>
  <c r="FX77"/>
  <c r="FY77"/>
  <c r="FZ77"/>
  <c r="GA77"/>
  <c r="GB77"/>
  <c r="GC77"/>
  <c r="GD77"/>
  <c r="GE77"/>
  <c r="GF77"/>
  <c r="GG77"/>
  <c r="GH77"/>
  <c r="GI77"/>
  <c r="GJ77"/>
  <c r="GK77"/>
  <c r="GL77"/>
  <c r="GM77"/>
  <c r="GN77"/>
  <c r="GO77"/>
  <c r="GP77"/>
  <c r="GQ77"/>
  <c r="GR77"/>
  <c r="GS77"/>
  <c r="GT77"/>
  <c r="GU77"/>
  <c r="GV77"/>
  <c r="GW77"/>
  <c r="GX77"/>
  <c r="GY77"/>
  <c r="GZ77"/>
  <c r="HA77"/>
  <c r="HB77"/>
  <c r="HC77"/>
  <c r="HD77"/>
  <c r="HE77"/>
  <c r="HF77"/>
  <c r="HG77"/>
  <c r="HH77"/>
  <c r="HI77"/>
  <c r="HJ77"/>
  <c r="HK77"/>
  <c r="HL77"/>
  <c r="HM77"/>
  <c r="HN77"/>
  <c r="HO77"/>
  <c r="HP77"/>
  <c r="HQ77"/>
  <c r="HR77"/>
  <c r="HS77"/>
  <c r="HT77"/>
  <c r="HU77"/>
  <c r="HV77"/>
  <c r="HW77"/>
  <c r="HX77"/>
  <c r="HY77"/>
  <c r="HZ77"/>
  <c r="IA77"/>
  <c r="IB77"/>
  <c r="IC77"/>
  <c r="ID77"/>
  <c r="IE77"/>
  <c r="IF77"/>
  <c r="IG77"/>
  <c r="IH77"/>
  <c r="II77"/>
  <c r="IJ77"/>
  <c r="IK77"/>
  <c r="IL77"/>
  <c r="IM77"/>
  <c r="IN77"/>
  <c r="IO77"/>
  <c r="IP77"/>
  <c r="IQ77"/>
  <c r="IR77"/>
  <c r="IS77"/>
  <c r="IT77"/>
  <c r="IU77"/>
  <c r="IV77"/>
  <c r="A78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BV78"/>
  <c r="BW78"/>
  <c r="BX78"/>
  <c r="BY78"/>
  <c r="BZ78"/>
  <c r="CA78"/>
  <c r="CB78"/>
  <c r="CC78"/>
  <c r="CD78"/>
  <c r="CE78"/>
  <c r="CF78"/>
  <c r="CG78"/>
  <c r="CH78"/>
  <c r="CI78"/>
  <c r="CJ78"/>
  <c r="CK78"/>
  <c r="CL78"/>
  <c r="CM78"/>
  <c r="CN78"/>
  <c r="CO78"/>
  <c r="CP78"/>
  <c r="CQ78"/>
  <c r="CR78"/>
  <c r="CS78"/>
  <c r="CT78"/>
  <c r="CU78"/>
  <c r="CV78"/>
  <c r="CW78"/>
  <c r="CX78"/>
  <c r="CY78"/>
  <c r="CZ78"/>
  <c r="DA78"/>
  <c r="DB78"/>
  <c r="DC78"/>
  <c r="DD78"/>
  <c r="DE78"/>
  <c r="DF78"/>
  <c r="DG78"/>
  <c r="DH78"/>
  <c r="DI78"/>
  <c r="DJ78"/>
  <c r="DK78"/>
  <c r="DL78"/>
  <c r="DM78"/>
  <c r="DN78"/>
  <c r="DO78"/>
  <c r="DP78"/>
  <c r="DQ78"/>
  <c r="DR78"/>
  <c r="DS78"/>
  <c r="DT78"/>
  <c r="DU78"/>
  <c r="DV78"/>
  <c r="DW78"/>
  <c r="DX78"/>
  <c r="DY78"/>
  <c r="DZ78"/>
  <c r="EA78"/>
  <c r="EB78"/>
  <c r="EC78"/>
  <c r="ED78"/>
  <c r="EE78"/>
  <c r="EF78"/>
  <c r="EG78"/>
  <c r="EH78"/>
  <c r="EI78"/>
  <c r="EJ78"/>
  <c r="EK78"/>
  <c r="EL78"/>
  <c r="EM78"/>
  <c r="EN78"/>
  <c r="EO78"/>
  <c r="EP78"/>
  <c r="EQ78"/>
  <c r="ER78"/>
  <c r="ES78"/>
  <c r="ET78"/>
  <c r="EU78"/>
  <c r="EV78"/>
  <c r="EW78"/>
  <c r="EX78"/>
  <c r="EY78"/>
  <c r="EZ78"/>
  <c r="FA78"/>
  <c r="FB78"/>
  <c r="FC78"/>
  <c r="FD78"/>
  <c r="FE78"/>
  <c r="FF78"/>
  <c r="FG78"/>
  <c r="FH78"/>
  <c r="FI78"/>
  <c r="FJ78"/>
  <c r="FK78"/>
  <c r="FL78"/>
  <c r="FM78"/>
  <c r="FN78"/>
  <c r="FO78"/>
  <c r="FP78"/>
  <c r="FQ78"/>
  <c r="FR78"/>
  <c r="FS78"/>
  <c r="FT78"/>
  <c r="FU78"/>
  <c r="FV78"/>
  <c r="FW78"/>
  <c r="FX78"/>
  <c r="FY78"/>
  <c r="FZ78"/>
  <c r="GA78"/>
  <c r="GB78"/>
  <c r="GC78"/>
  <c r="GD78"/>
  <c r="GE78"/>
  <c r="GF78"/>
  <c r="GG78"/>
  <c r="GH78"/>
  <c r="GI78"/>
  <c r="GJ78"/>
  <c r="GK78"/>
  <c r="GL78"/>
  <c r="GM78"/>
  <c r="GN78"/>
  <c r="GO78"/>
  <c r="GP78"/>
  <c r="GQ78"/>
  <c r="GR78"/>
  <c r="GS78"/>
  <c r="GT78"/>
  <c r="GU78"/>
  <c r="GV78"/>
  <c r="GW78"/>
  <c r="GX78"/>
  <c r="GY78"/>
  <c r="GZ78"/>
  <c r="HA78"/>
  <c r="HB78"/>
  <c r="HC78"/>
  <c r="HD78"/>
  <c r="HE78"/>
  <c r="HF78"/>
  <c r="HG78"/>
  <c r="HH78"/>
  <c r="HI78"/>
  <c r="HJ78"/>
  <c r="HK78"/>
  <c r="HL78"/>
  <c r="HM78"/>
  <c r="HN78"/>
  <c r="HO78"/>
  <c r="HP78"/>
  <c r="HQ78"/>
  <c r="HR78"/>
  <c r="HS78"/>
  <c r="HT78"/>
  <c r="HU78"/>
  <c r="HV78"/>
  <c r="HW78"/>
  <c r="HX78"/>
  <c r="HY78"/>
  <c r="HZ78"/>
  <c r="IA78"/>
  <c r="IB78"/>
  <c r="IC78"/>
  <c r="ID78"/>
  <c r="IE78"/>
  <c r="IF78"/>
  <c r="IG78"/>
  <c r="IH78"/>
  <c r="II78"/>
  <c r="IJ78"/>
  <c r="IK78"/>
  <c r="IL78"/>
  <c r="IM78"/>
  <c r="IN78"/>
  <c r="IO78"/>
  <c r="IP78"/>
  <c r="IQ78"/>
  <c r="IR78"/>
  <c r="IS78"/>
  <c r="IT78"/>
  <c r="IU78"/>
  <c r="IV78"/>
  <c r="A79"/>
  <c r="B79"/>
  <c r="C79"/>
  <c r="D79"/>
  <c r="E79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BV79"/>
  <c r="BW79"/>
  <c r="BX79"/>
  <c r="BY79"/>
  <c r="BZ79"/>
  <c r="CA79"/>
  <c r="CB79"/>
  <c r="CC79"/>
  <c r="CD79"/>
  <c r="CE79"/>
  <c r="CF79"/>
  <c r="CG79"/>
  <c r="CH79"/>
  <c r="CI79"/>
  <c r="CJ79"/>
  <c r="CK79"/>
  <c r="CL79"/>
  <c r="CM79"/>
  <c r="CN79"/>
  <c r="CO79"/>
  <c r="CP79"/>
  <c r="CQ79"/>
  <c r="CR79"/>
  <c r="CS79"/>
  <c r="CT79"/>
  <c r="CU79"/>
  <c r="CV79"/>
  <c r="CW79"/>
  <c r="CX79"/>
  <c r="CY79"/>
  <c r="CZ79"/>
  <c r="DA79"/>
  <c r="DB79"/>
  <c r="DC79"/>
  <c r="DD79"/>
  <c r="DE79"/>
  <c r="DF79"/>
  <c r="DG79"/>
  <c r="DH79"/>
  <c r="DI79"/>
  <c r="DJ79"/>
  <c r="DK79"/>
  <c r="DL79"/>
  <c r="DM79"/>
  <c r="DN79"/>
  <c r="DO79"/>
  <c r="DP79"/>
  <c r="DQ79"/>
  <c r="DR79"/>
  <c r="DS79"/>
  <c r="DT79"/>
  <c r="DU79"/>
  <c r="DV79"/>
  <c r="DW79"/>
  <c r="DX79"/>
  <c r="DY79"/>
  <c r="DZ79"/>
  <c r="EA79"/>
  <c r="EB79"/>
  <c r="EC79"/>
  <c r="ED79"/>
  <c r="EE79"/>
  <c r="EF79"/>
  <c r="EG79"/>
  <c r="EH79"/>
  <c r="EI79"/>
  <c r="EJ79"/>
  <c r="EK79"/>
  <c r="EL79"/>
  <c r="EM79"/>
  <c r="EN79"/>
  <c r="EO79"/>
  <c r="EP79"/>
  <c r="EQ79"/>
  <c r="ER79"/>
  <c r="ES79"/>
  <c r="ET79"/>
  <c r="EU79"/>
  <c r="EV79"/>
  <c r="EW79"/>
  <c r="EX79"/>
  <c r="EY79"/>
  <c r="EZ79"/>
  <c r="FA79"/>
  <c r="FB79"/>
  <c r="FC79"/>
  <c r="FD79"/>
  <c r="FE79"/>
  <c r="FF79"/>
  <c r="FG79"/>
  <c r="FH79"/>
  <c r="FI79"/>
  <c r="FJ79"/>
  <c r="FK79"/>
  <c r="FL79"/>
  <c r="FM79"/>
  <c r="FN79"/>
  <c r="FO79"/>
  <c r="FP79"/>
  <c r="FQ79"/>
  <c r="FR79"/>
  <c r="FS79"/>
  <c r="FT79"/>
  <c r="FU79"/>
  <c r="FV79"/>
  <c r="FW79"/>
  <c r="FX79"/>
  <c r="FY79"/>
  <c r="FZ79"/>
  <c r="GA79"/>
  <c r="GB79"/>
  <c r="GC79"/>
  <c r="GD79"/>
  <c r="GE79"/>
  <c r="GF79"/>
  <c r="GG79"/>
  <c r="GH79"/>
  <c r="GI79"/>
  <c r="GJ79"/>
  <c r="GK79"/>
  <c r="GL79"/>
  <c r="GM79"/>
  <c r="GN79"/>
  <c r="GO79"/>
  <c r="GP79"/>
  <c r="GQ79"/>
  <c r="GR79"/>
  <c r="GS79"/>
  <c r="GT79"/>
  <c r="GU79"/>
  <c r="GV79"/>
  <c r="GW79"/>
  <c r="GX79"/>
  <c r="GY79"/>
  <c r="GZ79"/>
  <c r="HA79"/>
  <c r="HB79"/>
  <c r="HC79"/>
  <c r="HD79"/>
  <c r="HE79"/>
  <c r="HF79"/>
  <c r="HG79"/>
  <c r="HH79"/>
  <c r="HI79"/>
  <c r="HJ79"/>
  <c r="HK79"/>
  <c r="HL79"/>
  <c r="HM79"/>
  <c r="HN79"/>
  <c r="HO79"/>
  <c r="HP79"/>
  <c r="HQ79"/>
  <c r="HR79"/>
  <c r="HS79"/>
  <c r="HT79"/>
  <c r="HU79"/>
  <c r="HV79"/>
  <c r="HW79"/>
  <c r="HX79"/>
  <c r="HY79"/>
  <c r="HZ79"/>
  <c r="IA79"/>
  <c r="IB79"/>
  <c r="IC79"/>
  <c r="ID79"/>
  <c r="IE79"/>
  <c r="IF79"/>
  <c r="IG79"/>
  <c r="IH79"/>
  <c r="II79"/>
  <c r="IJ79"/>
  <c r="IK79"/>
  <c r="IL79"/>
  <c r="IM79"/>
  <c r="IN79"/>
  <c r="IO79"/>
  <c r="IP79"/>
  <c r="IQ79"/>
  <c r="IR79"/>
  <c r="IS79"/>
  <c r="IT79"/>
  <c r="IU79"/>
  <c r="IV79"/>
  <c r="A80"/>
  <c r="B80"/>
  <c r="C80"/>
  <c r="D80"/>
  <c r="E80"/>
  <c r="F80"/>
  <c r="G80"/>
  <c r="H80"/>
  <c r="I80"/>
  <c r="J80"/>
  <c r="K80"/>
  <c r="L80"/>
  <c r="M80"/>
  <c r="N80"/>
  <c r="O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BV80"/>
  <c r="BW80"/>
  <c r="BX80"/>
  <c r="BY80"/>
  <c r="BZ80"/>
  <c r="CA80"/>
  <c r="CB80"/>
  <c r="CC80"/>
  <c r="CD80"/>
  <c r="CE80"/>
  <c r="CF80"/>
  <c r="CG80"/>
  <c r="CH80"/>
  <c r="CI80"/>
  <c r="CJ80"/>
  <c r="CK80"/>
  <c r="CL80"/>
  <c r="CM80"/>
  <c r="CN80"/>
  <c r="CO80"/>
  <c r="CP80"/>
  <c r="CQ80"/>
  <c r="CR80"/>
  <c r="CS80"/>
  <c r="CT80"/>
  <c r="CU80"/>
  <c r="CV80"/>
  <c r="CW80"/>
  <c r="CX80"/>
  <c r="CY80"/>
  <c r="CZ80"/>
  <c r="DA80"/>
  <c r="DB80"/>
  <c r="DC80"/>
  <c r="DD80"/>
  <c r="DE80"/>
  <c r="DF80"/>
  <c r="DG80"/>
  <c r="DH80"/>
  <c r="DI80"/>
  <c r="DJ80"/>
  <c r="DK80"/>
  <c r="DL80"/>
  <c r="DM80"/>
  <c r="DN80"/>
  <c r="DO80"/>
  <c r="DP80"/>
  <c r="DQ80"/>
  <c r="DR80"/>
  <c r="DS80"/>
  <c r="DT80"/>
  <c r="DU80"/>
  <c r="DV80"/>
  <c r="DW80"/>
  <c r="DX80"/>
  <c r="DY80"/>
  <c r="DZ80"/>
  <c r="EA80"/>
  <c r="EB80"/>
  <c r="EC80"/>
  <c r="ED80"/>
  <c r="EE80"/>
  <c r="EF80"/>
  <c r="EG80"/>
  <c r="EH80"/>
  <c r="EI80"/>
  <c r="EJ80"/>
  <c r="EK80"/>
  <c r="EL80"/>
  <c r="EM80"/>
  <c r="EN80"/>
  <c r="EO80"/>
  <c r="EP80"/>
  <c r="EQ80"/>
  <c r="ER80"/>
  <c r="ES80"/>
  <c r="ET80"/>
  <c r="EU80"/>
  <c r="EV80"/>
  <c r="EW80"/>
  <c r="EX80"/>
  <c r="EY80"/>
  <c r="EZ80"/>
  <c r="FA80"/>
  <c r="FB80"/>
  <c r="FC80"/>
  <c r="FD80"/>
  <c r="FE80"/>
  <c r="FF80"/>
  <c r="FG80"/>
  <c r="FH80"/>
  <c r="FI80"/>
  <c r="FJ80"/>
  <c r="FK80"/>
  <c r="FL80"/>
  <c r="FM80"/>
  <c r="FN80"/>
  <c r="FO80"/>
  <c r="FP80"/>
  <c r="FQ80"/>
  <c r="FR80"/>
  <c r="FS80"/>
  <c r="FT80"/>
  <c r="FU80"/>
  <c r="FV80"/>
  <c r="FW80"/>
  <c r="FX80"/>
  <c r="FY80"/>
  <c r="FZ80"/>
  <c r="GA80"/>
  <c r="GB80"/>
  <c r="GC80"/>
  <c r="GD80"/>
  <c r="GE80"/>
  <c r="GF80"/>
  <c r="GG80"/>
  <c r="GH80"/>
  <c r="GI80"/>
  <c r="GJ80"/>
  <c r="GK80"/>
  <c r="GL80"/>
  <c r="GM80"/>
  <c r="GN80"/>
  <c r="GO80"/>
  <c r="GP80"/>
  <c r="GQ80"/>
  <c r="GR80"/>
  <c r="GS80"/>
  <c r="GT80"/>
  <c r="GU80"/>
  <c r="GV80"/>
  <c r="GW80"/>
  <c r="GX80"/>
  <c r="GY80"/>
  <c r="GZ80"/>
  <c r="HA80"/>
  <c r="HB80"/>
  <c r="HC80"/>
  <c r="HD80"/>
  <c r="HE80"/>
  <c r="HF80"/>
  <c r="HG80"/>
  <c r="HH80"/>
  <c r="HI80"/>
  <c r="HJ80"/>
  <c r="HK80"/>
  <c r="HL80"/>
  <c r="HM80"/>
  <c r="HN80"/>
  <c r="HO80"/>
  <c r="HP80"/>
  <c r="HQ80"/>
  <c r="HR80"/>
  <c r="HS80"/>
  <c r="HT80"/>
  <c r="HU80"/>
  <c r="HV80"/>
  <c r="HW80"/>
  <c r="HX80"/>
  <c r="HY80"/>
  <c r="HZ80"/>
  <c r="IA80"/>
  <c r="IB80"/>
  <c r="IC80"/>
  <c r="ID80"/>
  <c r="IE80"/>
  <c r="IF80"/>
  <c r="IG80"/>
  <c r="IH80"/>
  <c r="II80"/>
  <c r="IJ80"/>
  <c r="IK80"/>
  <c r="IL80"/>
  <c r="IM80"/>
  <c r="IN80"/>
  <c r="IO80"/>
  <c r="IP80"/>
  <c r="IQ80"/>
  <c r="IR80"/>
  <c r="IS80"/>
  <c r="IT80"/>
  <c r="IU80"/>
  <c r="IV80"/>
  <c r="A81"/>
  <c r="B81"/>
  <c r="C81"/>
  <c r="D81"/>
  <c r="E81"/>
  <c r="F81"/>
  <c r="G81"/>
  <c r="H81"/>
  <c r="I81"/>
  <c r="J81"/>
  <c r="K81"/>
  <c r="L81"/>
  <c r="M81"/>
  <c r="N81"/>
  <c r="O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BV81"/>
  <c r="BW81"/>
  <c r="BX81"/>
  <c r="BY81"/>
  <c r="BZ81"/>
  <c r="CA81"/>
  <c r="CB81"/>
  <c r="CC81"/>
  <c r="CD81"/>
  <c r="CE81"/>
  <c r="CF81"/>
  <c r="CG81"/>
  <c r="CH81"/>
  <c r="CI81"/>
  <c r="CJ81"/>
  <c r="CK81"/>
  <c r="CL81"/>
  <c r="CM81"/>
  <c r="CN81"/>
  <c r="CO81"/>
  <c r="CP81"/>
  <c r="CQ81"/>
  <c r="CR81"/>
  <c r="CS81"/>
  <c r="CT81"/>
  <c r="CU81"/>
  <c r="CV81"/>
  <c r="CW81"/>
  <c r="CX81"/>
  <c r="CY81"/>
  <c r="CZ81"/>
  <c r="DA81"/>
  <c r="DB81"/>
  <c r="DC81"/>
  <c r="DD81"/>
  <c r="DE81"/>
  <c r="DF81"/>
  <c r="DG81"/>
  <c r="DH81"/>
  <c r="DI81"/>
  <c r="DJ81"/>
  <c r="DK81"/>
  <c r="DL81"/>
  <c r="DM81"/>
  <c r="DN81"/>
  <c r="DO81"/>
  <c r="DP81"/>
  <c r="DQ81"/>
  <c r="DR81"/>
  <c r="DS81"/>
  <c r="DT81"/>
  <c r="DU81"/>
  <c r="DV81"/>
  <c r="DW81"/>
  <c r="DX81"/>
  <c r="DY81"/>
  <c r="DZ81"/>
  <c r="EA81"/>
  <c r="EB81"/>
  <c r="EC81"/>
  <c r="ED81"/>
  <c r="EE81"/>
  <c r="EF81"/>
  <c r="EG81"/>
  <c r="EH81"/>
  <c r="EI81"/>
  <c r="EJ81"/>
  <c r="EK81"/>
  <c r="EL81"/>
  <c r="EM81"/>
  <c r="EN81"/>
  <c r="EO81"/>
  <c r="EP81"/>
  <c r="EQ81"/>
  <c r="ER81"/>
  <c r="ES81"/>
  <c r="ET81"/>
  <c r="EU81"/>
  <c r="EV81"/>
  <c r="EW81"/>
  <c r="EX81"/>
  <c r="EY81"/>
  <c r="EZ81"/>
  <c r="FA81"/>
  <c r="FB81"/>
  <c r="FC81"/>
  <c r="FD81"/>
  <c r="FE81"/>
  <c r="FF81"/>
  <c r="FG81"/>
  <c r="FH81"/>
  <c r="FI81"/>
  <c r="FJ81"/>
  <c r="FK81"/>
  <c r="FL81"/>
  <c r="FM81"/>
  <c r="FN81"/>
  <c r="FO81"/>
  <c r="FP81"/>
  <c r="FQ81"/>
  <c r="FR81"/>
  <c r="FS81"/>
  <c r="FT81"/>
  <c r="FU81"/>
  <c r="FV81"/>
  <c r="FW81"/>
  <c r="FX81"/>
  <c r="FY81"/>
  <c r="FZ81"/>
  <c r="GA81"/>
  <c r="GB81"/>
  <c r="GC81"/>
  <c r="GD81"/>
  <c r="GE81"/>
  <c r="GF81"/>
  <c r="GG81"/>
  <c r="GH81"/>
  <c r="GI81"/>
  <c r="GJ81"/>
  <c r="GK81"/>
  <c r="GL81"/>
  <c r="GM81"/>
  <c r="GN81"/>
  <c r="GO81"/>
  <c r="GP81"/>
  <c r="GQ81"/>
  <c r="GR81"/>
  <c r="GS81"/>
  <c r="GT81"/>
  <c r="GU81"/>
  <c r="GV81"/>
  <c r="GW81"/>
  <c r="GX81"/>
  <c r="GY81"/>
  <c r="GZ81"/>
  <c r="HA81"/>
  <c r="HB81"/>
  <c r="HC81"/>
  <c r="HD81"/>
  <c r="HE81"/>
  <c r="HF81"/>
  <c r="HG81"/>
  <c r="HH81"/>
  <c r="HI81"/>
  <c r="HJ81"/>
  <c r="HK81"/>
  <c r="HL81"/>
  <c r="HM81"/>
  <c r="HN81"/>
  <c r="HO81"/>
  <c r="HP81"/>
  <c r="HQ81"/>
  <c r="HR81"/>
  <c r="HS81"/>
  <c r="HT81"/>
  <c r="HU81"/>
  <c r="HV81"/>
  <c r="HW81"/>
  <c r="HX81"/>
  <c r="HY81"/>
  <c r="HZ81"/>
  <c r="IA81"/>
  <c r="IB81"/>
  <c r="IC81"/>
  <c r="ID81"/>
  <c r="IE81"/>
  <c r="IF81"/>
  <c r="IG81"/>
  <c r="IH81"/>
  <c r="II81"/>
  <c r="IJ81"/>
  <c r="IK81"/>
  <c r="IL81"/>
  <c r="IM81"/>
  <c r="IN81"/>
  <c r="IO81"/>
  <c r="IP81"/>
  <c r="IQ81"/>
  <c r="IR81"/>
  <c r="IS81"/>
  <c r="IT81"/>
  <c r="IU81"/>
  <c r="IV81"/>
  <c r="A82"/>
  <c r="B82"/>
  <c r="C82"/>
  <c r="D82"/>
  <c r="E82"/>
  <c r="F82"/>
  <c r="G82"/>
  <c r="H82"/>
  <c r="I82"/>
  <c r="J82"/>
  <c r="K82"/>
  <c r="L82"/>
  <c r="M82"/>
  <c r="N82"/>
  <c r="O82"/>
  <c r="P82"/>
  <c r="Q82"/>
  <c r="R82"/>
  <c r="S82"/>
  <c r="T82"/>
  <c r="U82"/>
  <c r="V82"/>
  <c r="W82"/>
  <c r="X82"/>
  <c r="Y82"/>
  <c r="Z82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AV82"/>
  <c r="AW82"/>
  <c r="AX82"/>
  <c r="AY82"/>
  <c r="AZ82"/>
  <c r="BA82"/>
  <c r="BB82"/>
  <c r="BC82"/>
  <c r="BD82"/>
  <c r="BE82"/>
  <c r="BF82"/>
  <c r="BG82"/>
  <c r="BH82"/>
  <c r="BI82"/>
  <c r="BJ82"/>
  <c r="BK82"/>
  <c r="BL82"/>
  <c r="BM82"/>
  <c r="BN82"/>
  <c r="BO82"/>
  <c r="BP82"/>
  <c r="BQ82"/>
  <c r="BR82"/>
  <c r="BS82"/>
  <c r="BT82"/>
  <c r="BU82"/>
  <c r="BV82"/>
  <c r="BW82"/>
  <c r="BX82"/>
  <c r="BY82"/>
  <c r="BZ82"/>
  <c r="CA82"/>
  <c r="CB82"/>
  <c r="CC82"/>
  <c r="CD82"/>
  <c r="CE82"/>
  <c r="CF82"/>
  <c r="CG82"/>
  <c r="CH82"/>
  <c r="CI82"/>
  <c r="CJ82"/>
  <c r="CK82"/>
  <c r="CL82"/>
  <c r="CM82"/>
  <c r="CN82"/>
  <c r="CO82"/>
  <c r="CP82"/>
  <c r="CQ82"/>
  <c r="CR82"/>
  <c r="CS82"/>
  <c r="CT82"/>
  <c r="CU82"/>
  <c r="CV82"/>
  <c r="CW82"/>
  <c r="CX82"/>
  <c r="CY82"/>
  <c r="CZ82"/>
  <c r="DA82"/>
  <c r="DB82"/>
  <c r="DC82"/>
  <c r="DD82"/>
  <c r="DE82"/>
  <c r="DF82"/>
  <c r="DG82"/>
  <c r="DH82"/>
  <c r="DI82"/>
  <c r="DJ82"/>
  <c r="DK82"/>
  <c r="DL82"/>
  <c r="DM82"/>
  <c r="DN82"/>
  <c r="DO82"/>
  <c r="DP82"/>
  <c r="DQ82"/>
  <c r="DR82"/>
  <c r="DS82"/>
  <c r="DT82"/>
  <c r="DU82"/>
  <c r="DV82"/>
  <c r="DW82"/>
  <c r="DX82"/>
  <c r="DY82"/>
  <c r="DZ82"/>
  <c r="EA82"/>
  <c r="EB82"/>
  <c r="EC82"/>
  <c r="ED82"/>
  <c r="EE82"/>
  <c r="EF82"/>
  <c r="EG82"/>
  <c r="EH82"/>
  <c r="EI82"/>
  <c r="EJ82"/>
  <c r="EK82"/>
  <c r="EL82"/>
  <c r="EM82"/>
  <c r="EN82"/>
  <c r="EO82"/>
  <c r="EP82"/>
  <c r="EQ82"/>
  <c r="ER82"/>
  <c r="ES82"/>
  <c r="ET82"/>
  <c r="EU82"/>
  <c r="EV82"/>
  <c r="EW82"/>
  <c r="EX82"/>
  <c r="EY82"/>
  <c r="EZ82"/>
  <c r="FA82"/>
  <c r="FB82"/>
  <c r="FC82"/>
  <c r="FD82"/>
  <c r="FE82"/>
  <c r="FF82"/>
  <c r="FG82"/>
  <c r="FH82"/>
  <c r="FI82"/>
  <c r="FJ82"/>
  <c r="FK82"/>
  <c r="FL82"/>
  <c r="FM82"/>
  <c r="FN82"/>
  <c r="FO82"/>
  <c r="FP82"/>
  <c r="FQ82"/>
  <c r="FR82"/>
  <c r="FS82"/>
  <c r="FT82"/>
  <c r="FU82"/>
  <c r="FV82"/>
  <c r="FW82"/>
  <c r="FX82"/>
  <c r="FY82"/>
  <c r="FZ82"/>
  <c r="GA82"/>
  <c r="GB82"/>
  <c r="GC82"/>
  <c r="GD82"/>
  <c r="GE82"/>
  <c r="GF82"/>
  <c r="GG82"/>
  <c r="GH82"/>
  <c r="GI82"/>
  <c r="GJ82"/>
  <c r="GK82"/>
  <c r="GL82"/>
  <c r="GM82"/>
  <c r="GN82"/>
  <c r="GO82"/>
  <c r="GP82"/>
  <c r="GQ82"/>
  <c r="GR82"/>
  <c r="GS82"/>
  <c r="GT82"/>
  <c r="GU82"/>
  <c r="GV82"/>
  <c r="GW82"/>
  <c r="GX82"/>
  <c r="GY82"/>
  <c r="GZ82"/>
  <c r="HA82"/>
  <c r="HB82"/>
  <c r="HC82"/>
  <c r="HD82"/>
  <c r="HE82"/>
  <c r="HF82"/>
  <c r="HG82"/>
  <c r="HH82"/>
  <c r="HI82"/>
  <c r="HJ82"/>
  <c r="HK82"/>
  <c r="HL82"/>
  <c r="HM82"/>
  <c r="HN82"/>
  <c r="HO82"/>
  <c r="HP82"/>
  <c r="HQ82"/>
  <c r="HR82"/>
  <c r="HS82"/>
  <c r="HT82"/>
  <c r="HU82"/>
  <c r="HV82"/>
  <c r="HW82"/>
  <c r="HX82"/>
  <c r="HY82"/>
  <c r="HZ82"/>
  <c r="IA82"/>
  <c r="IB82"/>
  <c r="IC82"/>
  <c r="ID82"/>
  <c r="IE82"/>
  <c r="IF82"/>
  <c r="IG82"/>
  <c r="IH82"/>
  <c r="II82"/>
  <c r="IJ82"/>
  <c r="IK82"/>
  <c r="IL82"/>
  <c r="IM82"/>
  <c r="IN82"/>
  <c r="IO82"/>
  <c r="IP82"/>
  <c r="IQ82"/>
  <c r="IR82"/>
  <c r="IS82"/>
  <c r="IT82"/>
  <c r="IU82"/>
  <c r="IV82"/>
  <c r="A83"/>
  <c r="B83"/>
  <c r="C83"/>
  <c r="D83"/>
  <c r="E83"/>
  <c r="F83"/>
  <c r="G83"/>
  <c r="H83"/>
  <c r="I83"/>
  <c r="J83"/>
  <c r="K83"/>
  <c r="L83"/>
  <c r="M83"/>
  <c r="N83"/>
  <c r="O83"/>
  <c r="P83"/>
  <c r="Q83"/>
  <c r="R83"/>
  <c r="S83"/>
  <c r="T83"/>
  <c r="U83"/>
  <c r="V83"/>
  <c r="W83"/>
  <c r="X83"/>
  <c r="Y83"/>
  <c r="Z83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AT83"/>
  <c r="AU83"/>
  <c r="AV83"/>
  <c r="AW83"/>
  <c r="AX83"/>
  <c r="AY83"/>
  <c r="AZ83"/>
  <c r="BA83"/>
  <c r="BB83"/>
  <c r="BC83"/>
  <c r="BD83"/>
  <c r="BE83"/>
  <c r="BF83"/>
  <c r="BG83"/>
  <c r="BH83"/>
  <c r="BI83"/>
  <c r="BJ83"/>
  <c r="BK83"/>
  <c r="BL83"/>
  <c r="BM83"/>
  <c r="BN83"/>
  <c r="BO83"/>
  <c r="BP83"/>
  <c r="BQ83"/>
  <c r="BR83"/>
  <c r="BS83"/>
  <c r="BT83"/>
  <c r="BU83"/>
  <c r="BV83"/>
  <c r="BW83"/>
  <c r="BX83"/>
  <c r="BY83"/>
  <c r="BZ83"/>
  <c r="CA83"/>
  <c r="CB83"/>
  <c r="CC83"/>
  <c r="CD83"/>
  <c r="CE83"/>
  <c r="CF83"/>
  <c r="CG83"/>
  <c r="CH83"/>
  <c r="CI83"/>
  <c r="CJ83"/>
  <c r="CK83"/>
  <c r="CL83"/>
  <c r="CM83"/>
  <c r="CN83"/>
  <c r="CO83"/>
  <c r="CP83"/>
  <c r="CQ83"/>
  <c r="CR83"/>
  <c r="CS83"/>
  <c r="CT83"/>
  <c r="CU83"/>
  <c r="CV83"/>
  <c r="CW83"/>
  <c r="CX83"/>
  <c r="CY83"/>
  <c r="CZ83"/>
  <c r="DA83"/>
  <c r="DB83"/>
  <c r="DC83"/>
  <c r="DD83"/>
  <c r="DE83"/>
  <c r="DF83"/>
  <c r="DG83"/>
  <c r="DH83"/>
  <c r="DI83"/>
  <c r="DJ83"/>
  <c r="DK83"/>
  <c r="DL83"/>
  <c r="DM83"/>
  <c r="DN83"/>
  <c r="DO83"/>
  <c r="DP83"/>
  <c r="DQ83"/>
  <c r="DR83"/>
  <c r="DS83"/>
  <c r="DT83"/>
  <c r="DU83"/>
  <c r="DV83"/>
  <c r="DW83"/>
  <c r="DX83"/>
  <c r="DY83"/>
  <c r="DZ83"/>
  <c r="EA83"/>
  <c r="EB83"/>
  <c r="EC83"/>
  <c r="ED83"/>
  <c r="EE83"/>
  <c r="EF83"/>
  <c r="EG83"/>
  <c r="EH83"/>
  <c r="EI83"/>
  <c r="EJ83"/>
  <c r="EK83"/>
  <c r="EL83"/>
  <c r="EM83"/>
  <c r="EN83"/>
  <c r="EO83"/>
  <c r="EP83"/>
  <c r="EQ83"/>
  <c r="ER83"/>
  <c r="ES83"/>
  <c r="ET83"/>
  <c r="EU83"/>
  <c r="EV83"/>
  <c r="EW83"/>
  <c r="EX83"/>
  <c r="EY83"/>
  <c r="EZ83"/>
  <c r="FA83"/>
  <c r="FB83"/>
  <c r="FC83"/>
  <c r="FD83"/>
  <c r="FE83"/>
  <c r="FF83"/>
  <c r="FG83"/>
  <c r="FH83"/>
  <c r="FI83"/>
  <c r="FJ83"/>
  <c r="FK83"/>
  <c r="FL83"/>
  <c r="FM83"/>
  <c r="FN83"/>
  <c r="FO83"/>
  <c r="FP83"/>
  <c r="FQ83"/>
  <c r="FR83"/>
  <c r="FS83"/>
  <c r="FT83"/>
  <c r="FU83"/>
  <c r="FV83"/>
  <c r="FW83"/>
  <c r="FX83"/>
  <c r="FY83"/>
  <c r="FZ83"/>
  <c r="GA83"/>
  <c r="GB83"/>
  <c r="GC83"/>
  <c r="GD83"/>
  <c r="GE83"/>
  <c r="GF83"/>
  <c r="GG83"/>
  <c r="GH83"/>
  <c r="GI83"/>
  <c r="GJ83"/>
  <c r="GK83"/>
  <c r="GL83"/>
  <c r="GM83"/>
  <c r="GN83"/>
  <c r="GO83"/>
  <c r="GP83"/>
  <c r="GQ83"/>
  <c r="GR83"/>
  <c r="GS83"/>
  <c r="GT83"/>
  <c r="GU83"/>
  <c r="GV83"/>
  <c r="GW83"/>
  <c r="GX83"/>
  <c r="GY83"/>
  <c r="GZ83"/>
  <c r="HA83"/>
  <c r="HB83"/>
  <c r="HC83"/>
  <c r="HD83"/>
  <c r="HE83"/>
  <c r="HF83"/>
  <c r="HG83"/>
  <c r="HH83"/>
  <c r="HI83"/>
  <c r="HJ83"/>
  <c r="HK83"/>
  <c r="HL83"/>
  <c r="HM83"/>
  <c r="HN83"/>
  <c r="HO83"/>
  <c r="HP83"/>
  <c r="HQ83"/>
  <c r="HR83"/>
  <c r="HS83"/>
  <c r="HT83"/>
  <c r="HU83"/>
  <c r="HV83"/>
  <c r="HW83"/>
  <c r="HX83"/>
  <c r="HY83"/>
  <c r="HZ83"/>
  <c r="IA83"/>
  <c r="IB83"/>
  <c r="IC83"/>
  <c r="ID83"/>
  <c r="IE83"/>
  <c r="IF83"/>
  <c r="IG83"/>
  <c r="IH83"/>
  <c r="II83"/>
  <c r="IJ83"/>
  <c r="IK83"/>
  <c r="IL83"/>
  <c r="IM83"/>
  <c r="IN83"/>
  <c r="IO83"/>
  <c r="IP83"/>
  <c r="IQ83"/>
  <c r="IR83"/>
  <c r="IS83"/>
  <c r="IT83"/>
  <c r="IU83"/>
  <c r="IV83"/>
  <c r="A84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Y84"/>
  <c r="AZ84"/>
  <c r="BA84"/>
  <c r="BB84"/>
  <c r="BC84"/>
  <c r="BD84"/>
  <c r="BE84"/>
  <c r="BF84"/>
  <c r="BG84"/>
  <c r="BH84"/>
  <c r="BI84"/>
  <c r="BJ84"/>
  <c r="BK84"/>
  <c r="BL84"/>
  <c r="BM84"/>
  <c r="BN84"/>
  <c r="BO84"/>
  <c r="BP84"/>
  <c r="BQ84"/>
  <c r="BR84"/>
  <c r="BS84"/>
  <c r="BT84"/>
  <c r="BU84"/>
  <c r="BV84"/>
  <c r="BW84"/>
  <c r="BX84"/>
  <c r="BY84"/>
  <c r="BZ84"/>
  <c r="CA84"/>
  <c r="CB84"/>
  <c r="CC84"/>
  <c r="CD84"/>
  <c r="CE84"/>
  <c r="CF84"/>
  <c r="CG84"/>
  <c r="CH84"/>
  <c r="CI84"/>
  <c r="CJ84"/>
  <c r="CK84"/>
  <c r="CL84"/>
  <c r="CM84"/>
  <c r="CN84"/>
  <c r="CO84"/>
  <c r="CP84"/>
  <c r="CQ84"/>
  <c r="CR84"/>
  <c r="CS84"/>
  <c r="CT84"/>
  <c r="CU84"/>
  <c r="CV84"/>
  <c r="CW84"/>
  <c r="CX84"/>
  <c r="CY84"/>
  <c r="CZ84"/>
  <c r="DA84"/>
  <c r="DB84"/>
  <c r="DC84"/>
  <c r="DD84"/>
  <c r="DE84"/>
  <c r="DF84"/>
  <c r="DG84"/>
  <c r="DH84"/>
  <c r="DI84"/>
  <c r="DJ84"/>
  <c r="DK84"/>
  <c r="DL84"/>
  <c r="DM84"/>
  <c r="DN84"/>
  <c r="DO84"/>
  <c r="DP84"/>
  <c r="DQ84"/>
  <c r="DR84"/>
  <c r="DS84"/>
  <c r="DT84"/>
  <c r="DU84"/>
  <c r="DV84"/>
  <c r="DW84"/>
  <c r="DX84"/>
  <c r="DY84"/>
  <c r="DZ84"/>
  <c r="EA84"/>
  <c r="EB84"/>
  <c r="EC84"/>
  <c r="ED84"/>
  <c r="EE84"/>
  <c r="EF84"/>
  <c r="EG84"/>
  <c r="EH84"/>
  <c r="EI84"/>
  <c r="EJ84"/>
  <c r="EK84"/>
  <c r="EL84"/>
  <c r="EM84"/>
  <c r="EN84"/>
  <c r="EO84"/>
  <c r="EP84"/>
  <c r="EQ84"/>
  <c r="ER84"/>
  <c r="ES84"/>
  <c r="ET84"/>
  <c r="EU84"/>
  <c r="EV84"/>
  <c r="EW84"/>
  <c r="EX84"/>
  <c r="EY84"/>
  <c r="EZ84"/>
  <c r="FA84"/>
  <c r="FB84"/>
  <c r="FC84"/>
  <c r="FD84"/>
  <c r="FE84"/>
  <c r="FF84"/>
  <c r="FG84"/>
  <c r="FH84"/>
  <c r="FI84"/>
  <c r="FJ84"/>
  <c r="FK84"/>
  <c r="FL84"/>
  <c r="FM84"/>
  <c r="FN84"/>
  <c r="FO84"/>
  <c r="FP84"/>
  <c r="FQ84"/>
  <c r="FR84"/>
  <c r="FS84"/>
  <c r="FT84"/>
  <c r="FU84"/>
  <c r="FV84"/>
  <c r="FW84"/>
  <c r="FX84"/>
  <c r="FY84"/>
  <c r="FZ84"/>
  <c r="GA84"/>
  <c r="GB84"/>
  <c r="GC84"/>
  <c r="GD84"/>
  <c r="GE84"/>
  <c r="GF84"/>
  <c r="GG84"/>
  <c r="GH84"/>
  <c r="GI84"/>
  <c r="GJ84"/>
  <c r="GK84"/>
  <c r="GL84"/>
  <c r="GM84"/>
  <c r="GN84"/>
  <c r="GO84"/>
  <c r="GP84"/>
  <c r="GQ84"/>
  <c r="GR84"/>
  <c r="GS84"/>
  <c r="GT84"/>
  <c r="GU84"/>
  <c r="GV84"/>
  <c r="GW84"/>
  <c r="GX84"/>
  <c r="GY84"/>
  <c r="GZ84"/>
  <c r="HA84"/>
  <c r="HB84"/>
  <c r="HC84"/>
  <c r="HD84"/>
  <c r="HE84"/>
  <c r="HF84"/>
  <c r="HG84"/>
  <c r="HH84"/>
  <c r="HI84"/>
  <c r="HJ84"/>
  <c r="HK84"/>
  <c r="HL84"/>
  <c r="HM84"/>
  <c r="HN84"/>
  <c r="HO84"/>
  <c r="HP84"/>
  <c r="HQ84"/>
  <c r="HR84"/>
  <c r="HS84"/>
  <c r="HT84"/>
  <c r="HU84"/>
  <c r="HV84"/>
  <c r="HW84"/>
  <c r="HX84"/>
  <c r="HY84"/>
  <c r="HZ84"/>
  <c r="IA84"/>
  <c r="IB84"/>
  <c r="IC84"/>
  <c r="ID84"/>
  <c r="IE84"/>
  <c r="IF84"/>
  <c r="IG84"/>
  <c r="IH84"/>
  <c r="II84"/>
  <c r="IJ84"/>
  <c r="IK84"/>
  <c r="IL84"/>
  <c r="IM84"/>
  <c r="IN84"/>
  <c r="IO84"/>
  <c r="IP84"/>
  <c r="IQ84"/>
  <c r="IR84"/>
  <c r="IS84"/>
  <c r="IT84"/>
  <c r="IU84"/>
  <c r="IV84"/>
  <c r="A85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Z85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AT85"/>
  <c r="AU85"/>
  <c r="AV85"/>
  <c r="AW85"/>
  <c r="AX85"/>
  <c r="AY85"/>
  <c r="AZ85"/>
  <c r="BA85"/>
  <c r="BB85"/>
  <c r="BC85"/>
  <c r="BD85"/>
  <c r="BE85"/>
  <c r="BF85"/>
  <c r="BG85"/>
  <c r="BH85"/>
  <c r="BI85"/>
  <c r="BJ85"/>
  <c r="BK85"/>
  <c r="BL85"/>
  <c r="BM85"/>
  <c r="BN85"/>
  <c r="BO85"/>
  <c r="BP85"/>
  <c r="BQ85"/>
  <c r="BR85"/>
  <c r="BS85"/>
  <c r="BT85"/>
  <c r="BU85"/>
  <c r="BV85"/>
  <c r="BW85"/>
  <c r="BX85"/>
  <c r="BY85"/>
  <c r="BZ85"/>
  <c r="CA85"/>
  <c r="CB85"/>
  <c r="CC85"/>
  <c r="CD85"/>
  <c r="CE85"/>
  <c r="CF85"/>
  <c r="CG85"/>
  <c r="CH85"/>
  <c r="CI85"/>
  <c r="CJ85"/>
  <c r="CK85"/>
  <c r="CL85"/>
  <c r="CM85"/>
  <c r="CN85"/>
  <c r="CO85"/>
  <c r="CP85"/>
  <c r="CQ85"/>
  <c r="CR85"/>
  <c r="CS85"/>
  <c r="CT85"/>
  <c r="CU85"/>
  <c r="CV85"/>
  <c r="CW85"/>
  <c r="CX85"/>
  <c r="CY85"/>
  <c r="CZ85"/>
  <c r="DA85"/>
  <c r="DB85"/>
  <c r="DC85"/>
  <c r="DD85"/>
  <c r="DE85"/>
  <c r="DF85"/>
  <c r="DG85"/>
  <c r="DH85"/>
  <c r="DI85"/>
  <c r="DJ85"/>
  <c r="DK85"/>
  <c r="DL85"/>
  <c r="DM85"/>
  <c r="DN85"/>
  <c r="DO85"/>
  <c r="DP85"/>
  <c r="DQ85"/>
  <c r="DR85"/>
  <c r="DS85"/>
  <c r="DT85"/>
  <c r="DU85"/>
  <c r="DV85"/>
  <c r="DW85"/>
  <c r="DX85"/>
  <c r="DY85"/>
  <c r="DZ85"/>
  <c r="EA85"/>
  <c r="EB85"/>
  <c r="EC85"/>
  <c r="ED85"/>
  <c r="EE85"/>
  <c r="EF85"/>
  <c r="EG85"/>
  <c r="EH85"/>
  <c r="EI85"/>
  <c r="EJ85"/>
  <c r="EK85"/>
  <c r="EL85"/>
  <c r="EM85"/>
  <c r="EN85"/>
  <c r="EO85"/>
  <c r="EP85"/>
  <c r="EQ85"/>
  <c r="ER85"/>
  <c r="ES85"/>
  <c r="ET85"/>
  <c r="EU85"/>
  <c r="EV85"/>
  <c r="EW85"/>
  <c r="EX85"/>
  <c r="EY85"/>
  <c r="EZ85"/>
  <c r="FA85"/>
  <c r="FB85"/>
  <c r="FC85"/>
  <c r="FD85"/>
  <c r="FE85"/>
  <c r="FF85"/>
  <c r="FG85"/>
  <c r="FH85"/>
  <c r="FI85"/>
  <c r="FJ85"/>
  <c r="FK85"/>
  <c r="FL85"/>
  <c r="FM85"/>
  <c r="FN85"/>
  <c r="FO85"/>
  <c r="FP85"/>
  <c r="FQ85"/>
  <c r="FR85"/>
  <c r="FS85"/>
  <c r="FT85"/>
  <c r="FU85"/>
  <c r="FV85"/>
  <c r="FW85"/>
  <c r="FX85"/>
  <c r="FY85"/>
  <c r="FZ85"/>
  <c r="GA85"/>
  <c r="GB85"/>
  <c r="GC85"/>
  <c r="GD85"/>
  <c r="GE85"/>
  <c r="GF85"/>
  <c r="GG85"/>
  <c r="GH85"/>
  <c r="GI85"/>
  <c r="GJ85"/>
  <c r="GK85"/>
  <c r="GL85"/>
  <c r="GM85"/>
  <c r="GN85"/>
  <c r="GO85"/>
  <c r="GP85"/>
  <c r="GQ85"/>
  <c r="GR85"/>
  <c r="GS85"/>
  <c r="GT85"/>
  <c r="GU85"/>
  <c r="GV85"/>
  <c r="GW85"/>
  <c r="GX85"/>
  <c r="GY85"/>
  <c r="GZ85"/>
  <c r="HA85"/>
  <c r="HB85"/>
  <c r="HC85"/>
  <c r="HD85"/>
  <c r="HE85"/>
  <c r="HF85"/>
  <c r="HG85"/>
  <c r="HH85"/>
  <c r="HI85"/>
  <c r="HJ85"/>
  <c r="HK85"/>
  <c r="HL85"/>
  <c r="HM85"/>
  <c r="HN85"/>
  <c r="HO85"/>
  <c r="HP85"/>
  <c r="HQ85"/>
  <c r="HR85"/>
  <c r="HS85"/>
  <c r="HT85"/>
  <c r="HU85"/>
  <c r="HV85"/>
  <c r="HW85"/>
  <c r="HX85"/>
  <c r="HY85"/>
  <c r="HZ85"/>
  <c r="IA85"/>
  <c r="IB85"/>
  <c r="IC85"/>
  <c r="ID85"/>
  <c r="IE85"/>
  <c r="IF85"/>
  <c r="IG85"/>
  <c r="IH85"/>
  <c r="II85"/>
  <c r="IJ85"/>
  <c r="IK85"/>
  <c r="IL85"/>
  <c r="IM85"/>
  <c r="IN85"/>
  <c r="IO85"/>
  <c r="IP85"/>
  <c r="IQ85"/>
  <c r="IR85"/>
  <c r="IS85"/>
  <c r="IT85"/>
  <c r="IU85"/>
  <c r="IV85"/>
  <c r="A86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Z86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S86"/>
  <c r="AT86"/>
  <c r="AU86"/>
  <c r="AV86"/>
  <c r="AW86"/>
  <c r="AX86"/>
  <c r="AY86"/>
  <c r="AZ86"/>
  <c r="BA86"/>
  <c r="BB86"/>
  <c r="BC86"/>
  <c r="BD86"/>
  <c r="BE86"/>
  <c r="BF86"/>
  <c r="BG86"/>
  <c r="BH86"/>
  <c r="BI86"/>
  <c r="BJ86"/>
  <c r="BK86"/>
  <c r="BL86"/>
  <c r="BM86"/>
  <c r="BN86"/>
  <c r="BO86"/>
  <c r="BP86"/>
  <c r="BQ86"/>
  <c r="BR86"/>
  <c r="BS86"/>
  <c r="BT86"/>
  <c r="BU86"/>
  <c r="BV86"/>
  <c r="BW86"/>
  <c r="BX86"/>
  <c r="BY86"/>
  <c r="BZ86"/>
  <c r="CA86"/>
  <c r="CB86"/>
  <c r="CC86"/>
  <c r="CD86"/>
  <c r="CE86"/>
  <c r="CF86"/>
  <c r="CG86"/>
  <c r="CH86"/>
  <c r="CI86"/>
  <c r="CJ86"/>
  <c r="CK86"/>
  <c r="CL86"/>
  <c r="CM86"/>
  <c r="CN86"/>
  <c r="CO86"/>
  <c r="CP86"/>
  <c r="CQ86"/>
  <c r="CR86"/>
  <c r="CS86"/>
  <c r="CT86"/>
  <c r="CU86"/>
  <c r="CV86"/>
  <c r="CW86"/>
  <c r="CX86"/>
  <c r="CY86"/>
  <c r="CZ86"/>
  <c r="DA86"/>
  <c r="DB86"/>
  <c r="DC86"/>
  <c r="DD86"/>
  <c r="DE86"/>
  <c r="DF86"/>
  <c r="DG86"/>
  <c r="DH86"/>
  <c r="DI86"/>
  <c r="DJ86"/>
  <c r="DK86"/>
  <c r="DL86"/>
  <c r="DM86"/>
  <c r="DN86"/>
  <c r="DO86"/>
  <c r="DP86"/>
  <c r="DQ86"/>
  <c r="DR86"/>
  <c r="DS86"/>
  <c r="DT86"/>
  <c r="DU86"/>
  <c r="DV86"/>
  <c r="DW86"/>
  <c r="DX86"/>
  <c r="DY86"/>
  <c r="DZ86"/>
  <c r="EA86"/>
  <c r="EB86"/>
  <c r="EC86"/>
  <c r="ED86"/>
  <c r="EE86"/>
  <c r="EF86"/>
  <c r="EG86"/>
  <c r="EH86"/>
  <c r="EI86"/>
  <c r="EJ86"/>
  <c r="EK86"/>
  <c r="EL86"/>
  <c r="EM86"/>
  <c r="EN86"/>
  <c r="EO86"/>
  <c r="EP86"/>
  <c r="EQ86"/>
  <c r="ER86"/>
  <c r="ES86"/>
  <c r="ET86"/>
  <c r="EU86"/>
  <c r="EV86"/>
  <c r="EW86"/>
  <c r="EX86"/>
  <c r="EY86"/>
  <c r="EZ86"/>
  <c r="FA86"/>
  <c r="FB86"/>
  <c r="FC86"/>
  <c r="FD86"/>
  <c r="FE86"/>
  <c r="FF86"/>
  <c r="FG86"/>
  <c r="FH86"/>
  <c r="FI86"/>
  <c r="FJ86"/>
  <c r="FK86"/>
  <c r="FL86"/>
  <c r="FM86"/>
  <c r="FN86"/>
  <c r="FO86"/>
  <c r="FP86"/>
  <c r="FQ86"/>
  <c r="FR86"/>
  <c r="FS86"/>
  <c r="FT86"/>
  <c r="FU86"/>
  <c r="FV86"/>
  <c r="FW86"/>
  <c r="FX86"/>
  <c r="FY86"/>
  <c r="FZ86"/>
  <c r="GA86"/>
  <c r="GB86"/>
  <c r="GC86"/>
  <c r="GD86"/>
  <c r="GE86"/>
  <c r="GF86"/>
  <c r="GG86"/>
  <c r="GH86"/>
  <c r="GI86"/>
  <c r="GJ86"/>
  <c r="GK86"/>
  <c r="GL86"/>
  <c r="GM86"/>
  <c r="GN86"/>
  <c r="GO86"/>
  <c r="GP86"/>
  <c r="GQ86"/>
  <c r="GR86"/>
  <c r="GS86"/>
  <c r="GT86"/>
  <c r="GU86"/>
  <c r="GV86"/>
  <c r="GW86"/>
  <c r="GX86"/>
  <c r="GY86"/>
  <c r="GZ86"/>
  <c r="HA86"/>
  <c r="HB86"/>
  <c r="HC86"/>
  <c r="HD86"/>
  <c r="HE86"/>
  <c r="HF86"/>
  <c r="HG86"/>
  <c r="HH86"/>
  <c r="HI86"/>
  <c r="HJ86"/>
  <c r="HK86"/>
  <c r="HL86"/>
  <c r="HM86"/>
  <c r="HN86"/>
  <c r="HO86"/>
  <c r="HP86"/>
  <c r="HQ86"/>
  <c r="HR86"/>
  <c r="HS86"/>
  <c r="HT86"/>
  <c r="HU86"/>
  <c r="HV86"/>
  <c r="HW86"/>
  <c r="HX86"/>
  <c r="HY86"/>
  <c r="HZ86"/>
  <c r="IA86"/>
  <c r="IB86"/>
  <c r="IC86"/>
  <c r="ID86"/>
  <c r="IE86"/>
  <c r="IF86"/>
  <c r="IG86"/>
  <c r="IH86"/>
  <c r="II86"/>
  <c r="IJ86"/>
  <c r="IK86"/>
  <c r="IL86"/>
  <c r="IM86"/>
  <c r="IN86"/>
  <c r="IO86"/>
  <c r="IP86"/>
  <c r="IQ86"/>
  <c r="IR86"/>
  <c r="IS86"/>
  <c r="IT86"/>
  <c r="IU86"/>
  <c r="IV86"/>
  <c r="A87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Z87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AV87"/>
  <c r="AW87"/>
  <c r="AX87"/>
  <c r="AY87"/>
  <c r="AZ87"/>
  <c r="BA87"/>
  <c r="BB87"/>
  <c r="BC87"/>
  <c r="BD87"/>
  <c r="BE87"/>
  <c r="BF87"/>
  <c r="BG87"/>
  <c r="BH87"/>
  <c r="BI87"/>
  <c r="BJ87"/>
  <c r="BK87"/>
  <c r="BL87"/>
  <c r="BM87"/>
  <c r="BN87"/>
  <c r="BO87"/>
  <c r="BP87"/>
  <c r="BQ87"/>
  <c r="BR87"/>
  <c r="BS87"/>
  <c r="BT87"/>
  <c r="BU87"/>
  <c r="BV87"/>
  <c r="BW87"/>
  <c r="BX87"/>
  <c r="BY87"/>
  <c r="BZ87"/>
  <c r="CA87"/>
  <c r="CB87"/>
  <c r="CC87"/>
  <c r="CD87"/>
  <c r="CE87"/>
  <c r="CF87"/>
  <c r="CG87"/>
  <c r="CH87"/>
  <c r="CI87"/>
  <c r="CJ87"/>
  <c r="CK87"/>
  <c r="CL87"/>
  <c r="CM87"/>
  <c r="CN87"/>
  <c r="CO87"/>
  <c r="CP87"/>
  <c r="CQ87"/>
  <c r="CR87"/>
  <c r="CS87"/>
  <c r="CT87"/>
  <c r="CU87"/>
  <c r="CV87"/>
  <c r="CW87"/>
  <c r="CX87"/>
  <c r="CY87"/>
  <c r="CZ87"/>
  <c r="DA87"/>
  <c r="DB87"/>
  <c r="DC87"/>
  <c r="DD87"/>
  <c r="DE87"/>
  <c r="DF87"/>
  <c r="DG87"/>
  <c r="DH87"/>
  <c r="DI87"/>
  <c r="DJ87"/>
  <c r="DK87"/>
  <c r="DL87"/>
  <c r="DM87"/>
  <c r="DN87"/>
  <c r="DO87"/>
  <c r="DP87"/>
  <c r="DQ87"/>
  <c r="DR87"/>
  <c r="DS87"/>
  <c r="DT87"/>
  <c r="DU87"/>
  <c r="DV87"/>
  <c r="DW87"/>
  <c r="DX87"/>
  <c r="DY87"/>
  <c r="DZ87"/>
  <c r="EA87"/>
  <c r="EB87"/>
  <c r="EC87"/>
  <c r="ED87"/>
  <c r="EE87"/>
  <c r="EF87"/>
  <c r="EG87"/>
  <c r="EH87"/>
  <c r="EI87"/>
  <c r="EJ87"/>
  <c r="EK87"/>
  <c r="EL87"/>
  <c r="EM87"/>
  <c r="EN87"/>
  <c r="EO87"/>
  <c r="EP87"/>
  <c r="EQ87"/>
  <c r="ER87"/>
  <c r="ES87"/>
  <c r="ET87"/>
  <c r="EU87"/>
  <c r="EV87"/>
  <c r="EW87"/>
  <c r="EX87"/>
  <c r="EY87"/>
  <c r="EZ87"/>
  <c r="FA87"/>
  <c r="FB87"/>
  <c r="FC87"/>
  <c r="FD87"/>
  <c r="FE87"/>
  <c r="FF87"/>
  <c r="FG87"/>
  <c r="FH87"/>
  <c r="FI87"/>
  <c r="FJ87"/>
  <c r="FK87"/>
  <c r="FL87"/>
  <c r="FM87"/>
  <c r="FN87"/>
  <c r="FO87"/>
  <c r="FP87"/>
  <c r="FQ87"/>
  <c r="FR87"/>
  <c r="FS87"/>
  <c r="FT87"/>
  <c r="FU87"/>
  <c r="FV87"/>
  <c r="FW87"/>
  <c r="FX87"/>
  <c r="FY87"/>
  <c r="FZ87"/>
  <c r="GA87"/>
  <c r="GB87"/>
  <c r="GC87"/>
  <c r="GD87"/>
  <c r="GE87"/>
  <c r="GF87"/>
  <c r="GG87"/>
  <c r="GH87"/>
  <c r="GI87"/>
  <c r="GJ87"/>
  <c r="GK87"/>
  <c r="GL87"/>
  <c r="GM87"/>
  <c r="GN87"/>
  <c r="GO87"/>
  <c r="GP87"/>
  <c r="GQ87"/>
  <c r="GR87"/>
  <c r="GS87"/>
  <c r="GT87"/>
  <c r="GU87"/>
  <c r="GV87"/>
  <c r="GW87"/>
  <c r="GX87"/>
  <c r="GY87"/>
  <c r="GZ87"/>
  <c r="HA87"/>
  <c r="HB87"/>
  <c r="HC87"/>
  <c r="HD87"/>
  <c r="HE87"/>
  <c r="HF87"/>
  <c r="HG87"/>
  <c r="HH87"/>
  <c r="HI87"/>
  <c r="HJ87"/>
  <c r="HK87"/>
  <c r="HL87"/>
  <c r="HM87"/>
  <c r="HN87"/>
  <c r="HO87"/>
  <c r="HP87"/>
  <c r="HQ87"/>
  <c r="HR87"/>
  <c r="HS87"/>
  <c r="HT87"/>
  <c r="HU87"/>
  <c r="HV87"/>
  <c r="HW87"/>
  <c r="HX87"/>
  <c r="HY87"/>
  <c r="HZ87"/>
  <c r="IA87"/>
  <c r="IB87"/>
  <c r="IC87"/>
  <c r="ID87"/>
  <c r="IE87"/>
  <c r="IF87"/>
  <c r="IG87"/>
  <c r="IH87"/>
  <c r="II87"/>
  <c r="IJ87"/>
  <c r="IK87"/>
  <c r="IL87"/>
  <c r="IM87"/>
  <c r="IN87"/>
  <c r="IO87"/>
  <c r="IP87"/>
  <c r="IQ87"/>
  <c r="IR87"/>
  <c r="IS87"/>
  <c r="IT87"/>
  <c r="IU87"/>
  <c r="IV87"/>
  <c r="A88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Z88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AV88"/>
  <c r="AW88"/>
  <c r="AX88"/>
  <c r="AY88"/>
  <c r="AZ88"/>
  <c r="BA88"/>
  <c r="BB88"/>
  <c r="BC88"/>
  <c r="BD88"/>
  <c r="BE88"/>
  <c r="BF88"/>
  <c r="BG88"/>
  <c r="BH88"/>
  <c r="BI88"/>
  <c r="BJ88"/>
  <c r="BK88"/>
  <c r="BL88"/>
  <c r="BM88"/>
  <c r="BN88"/>
  <c r="BO88"/>
  <c r="BP88"/>
  <c r="BQ88"/>
  <c r="BR88"/>
  <c r="BS88"/>
  <c r="BT88"/>
  <c r="BU88"/>
  <c r="BV88"/>
  <c r="BW88"/>
  <c r="BX88"/>
  <c r="BY88"/>
  <c r="BZ88"/>
  <c r="CA88"/>
  <c r="CB88"/>
  <c r="CC88"/>
  <c r="CD88"/>
  <c r="CE88"/>
  <c r="CF88"/>
  <c r="CG88"/>
  <c r="CH88"/>
  <c r="CI88"/>
  <c r="CJ88"/>
  <c r="CK88"/>
  <c r="CL88"/>
  <c r="CM88"/>
  <c r="CN88"/>
  <c r="CO88"/>
  <c r="CP88"/>
  <c r="CQ88"/>
  <c r="CR88"/>
  <c r="CS88"/>
  <c r="CT88"/>
  <c r="CU88"/>
  <c r="CV88"/>
  <c r="CW88"/>
  <c r="CX88"/>
  <c r="CY88"/>
  <c r="CZ88"/>
  <c r="DA88"/>
  <c r="DB88"/>
  <c r="DC88"/>
  <c r="DD88"/>
  <c r="DE88"/>
  <c r="DF88"/>
  <c r="DG88"/>
  <c r="DH88"/>
  <c r="DI88"/>
  <c r="DJ88"/>
  <c r="DK88"/>
  <c r="DL88"/>
  <c r="DM88"/>
  <c r="DN88"/>
  <c r="DO88"/>
  <c r="DP88"/>
  <c r="DQ88"/>
  <c r="DR88"/>
  <c r="DS88"/>
  <c r="DT88"/>
  <c r="DU88"/>
  <c r="DV88"/>
  <c r="DW88"/>
  <c r="DX88"/>
  <c r="DY88"/>
  <c r="DZ88"/>
  <c r="EA88"/>
  <c r="EB88"/>
  <c r="EC88"/>
  <c r="ED88"/>
  <c r="EE88"/>
  <c r="EF88"/>
  <c r="EG88"/>
  <c r="EH88"/>
  <c r="EI88"/>
  <c r="EJ88"/>
  <c r="EK88"/>
  <c r="EL88"/>
  <c r="EM88"/>
  <c r="EN88"/>
  <c r="EO88"/>
  <c r="EP88"/>
  <c r="EQ88"/>
  <c r="ER88"/>
  <c r="ES88"/>
  <c r="ET88"/>
  <c r="EU88"/>
  <c r="EV88"/>
  <c r="EW88"/>
  <c r="EX88"/>
  <c r="EY88"/>
  <c r="EZ88"/>
  <c r="FA88"/>
  <c r="FB88"/>
  <c r="FC88"/>
  <c r="FD88"/>
  <c r="FE88"/>
  <c r="FF88"/>
  <c r="FG88"/>
  <c r="FH88"/>
  <c r="FI88"/>
  <c r="FJ88"/>
  <c r="FK88"/>
  <c r="FL88"/>
  <c r="FM88"/>
  <c r="FN88"/>
  <c r="FO88"/>
  <c r="FP88"/>
  <c r="FQ88"/>
  <c r="FR88"/>
  <c r="FS88"/>
  <c r="FT88"/>
  <c r="FU88"/>
  <c r="FV88"/>
  <c r="FW88"/>
  <c r="FX88"/>
  <c r="FY88"/>
  <c r="FZ88"/>
  <c r="GA88"/>
  <c r="GB88"/>
  <c r="GC88"/>
  <c r="GD88"/>
  <c r="GE88"/>
  <c r="GF88"/>
  <c r="GG88"/>
  <c r="GH88"/>
  <c r="GI88"/>
  <c r="GJ88"/>
  <c r="GK88"/>
  <c r="GL88"/>
  <c r="GM88"/>
  <c r="GN88"/>
  <c r="GO88"/>
  <c r="GP88"/>
  <c r="GQ88"/>
  <c r="GR88"/>
  <c r="GS88"/>
  <c r="GT88"/>
  <c r="GU88"/>
  <c r="GV88"/>
  <c r="GW88"/>
  <c r="GX88"/>
  <c r="GY88"/>
  <c r="GZ88"/>
  <c r="HA88"/>
  <c r="HB88"/>
  <c r="HC88"/>
  <c r="HD88"/>
  <c r="HE88"/>
  <c r="HF88"/>
  <c r="HG88"/>
  <c r="HH88"/>
  <c r="HI88"/>
  <c r="HJ88"/>
  <c r="HK88"/>
  <c r="HL88"/>
  <c r="HM88"/>
  <c r="HN88"/>
  <c r="HO88"/>
  <c r="HP88"/>
  <c r="HQ88"/>
  <c r="HR88"/>
  <c r="HS88"/>
  <c r="HT88"/>
  <c r="HU88"/>
  <c r="HV88"/>
  <c r="HW88"/>
  <c r="HX88"/>
  <c r="HY88"/>
  <c r="HZ88"/>
  <c r="IA88"/>
  <c r="IB88"/>
  <c r="IC88"/>
  <c r="ID88"/>
  <c r="IE88"/>
  <c r="IF88"/>
  <c r="IG88"/>
  <c r="IH88"/>
  <c r="II88"/>
  <c r="IJ88"/>
  <c r="IK88"/>
  <c r="IL88"/>
  <c r="IM88"/>
  <c r="IN88"/>
  <c r="IO88"/>
  <c r="IP88"/>
  <c r="IQ88"/>
  <c r="IR88"/>
  <c r="IS88"/>
  <c r="IT88"/>
  <c r="IU88"/>
  <c r="IV88"/>
  <c r="A89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Z89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AT89"/>
  <c r="AU89"/>
  <c r="AV89"/>
  <c r="AW89"/>
  <c r="AX89"/>
  <c r="AY89"/>
  <c r="AZ89"/>
  <c r="BA89"/>
  <c r="BB89"/>
  <c r="BC89"/>
  <c r="BD89"/>
  <c r="BE89"/>
  <c r="BF89"/>
  <c r="BG89"/>
  <c r="BH89"/>
  <c r="BI89"/>
  <c r="BJ89"/>
  <c r="BK89"/>
  <c r="BL89"/>
  <c r="BM89"/>
  <c r="BN89"/>
  <c r="BO89"/>
  <c r="BP89"/>
  <c r="BQ89"/>
  <c r="BR89"/>
  <c r="BS89"/>
  <c r="BT89"/>
  <c r="BU89"/>
  <c r="BV89"/>
  <c r="BW89"/>
  <c r="BX89"/>
  <c r="BY89"/>
  <c r="BZ89"/>
  <c r="CA89"/>
  <c r="CB89"/>
  <c r="CC89"/>
  <c r="CD89"/>
  <c r="CE89"/>
  <c r="CF89"/>
  <c r="CG89"/>
  <c r="CH89"/>
  <c r="CI89"/>
  <c r="CJ89"/>
  <c r="CK89"/>
  <c r="CL89"/>
  <c r="CM89"/>
  <c r="CN89"/>
  <c r="CO89"/>
  <c r="CP89"/>
  <c r="CQ89"/>
  <c r="CR89"/>
  <c r="CS89"/>
  <c r="CT89"/>
  <c r="CU89"/>
  <c r="CV89"/>
  <c r="CW89"/>
  <c r="CX89"/>
  <c r="CY89"/>
  <c r="CZ89"/>
  <c r="DA89"/>
  <c r="DB89"/>
  <c r="DC89"/>
  <c r="DD89"/>
  <c r="DE89"/>
  <c r="DF89"/>
  <c r="DG89"/>
  <c r="DH89"/>
  <c r="DI89"/>
  <c r="DJ89"/>
  <c r="DK89"/>
  <c r="DL89"/>
  <c r="DM89"/>
  <c r="DN89"/>
  <c r="DO89"/>
  <c r="DP89"/>
  <c r="DQ89"/>
  <c r="DR89"/>
  <c r="DS89"/>
  <c r="DT89"/>
  <c r="DU89"/>
  <c r="DV89"/>
  <c r="DW89"/>
  <c r="DX89"/>
  <c r="DY89"/>
  <c r="DZ89"/>
  <c r="EA89"/>
  <c r="EB89"/>
  <c r="EC89"/>
  <c r="ED89"/>
  <c r="EE89"/>
  <c r="EF89"/>
  <c r="EG89"/>
  <c r="EH89"/>
  <c r="EI89"/>
  <c r="EJ89"/>
  <c r="EK89"/>
  <c r="EL89"/>
  <c r="EM89"/>
  <c r="EN89"/>
  <c r="EO89"/>
  <c r="EP89"/>
  <c r="EQ89"/>
  <c r="ER89"/>
  <c r="ES89"/>
  <c r="ET89"/>
  <c r="EU89"/>
  <c r="EV89"/>
  <c r="EW89"/>
  <c r="EX89"/>
  <c r="EY89"/>
  <c r="EZ89"/>
  <c r="FA89"/>
  <c r="FB89"/>
  <c r="FC89"/>
  <c r="FD89"/>
  <c r="FE89"/>
  <c r="FF89"/>
  <c r="FG89"/>
  <c r="FH89"/>
  <c r="FI89"/>
  <c r="FJ89"/>
  <c r="FK89"/>
  <c r="FL89"/>
  <c r="FM89"/>
  <c r="FN89"/>
  <c r="FO89"/>
  <c r="FP89"/>
  <c r="FQ89"/>
  <c r="FR89"/>
  <c r="FS89"/>
  <c r="FT89"/>
  <c r="FU89"/>
  <c r="FV89"/>
  <c r="FW89"/>
  <c r="FX89"/>
  <c r="FY89"/>
  <c r="FZ89"/>
  <c r="GA89"/>
  <c r="GB89"/>
  <c r="GC89"/>
  <c r="GD89"/>
  <c r="GE89"/>
  <c r="GF89"/>
  <c r="GG89"/>
  <c r="GH89"/>
  <c r="GI89"/>
  <c r="GJ89"/>
  <c r="GK89"/>
  <c r="GL89"/>
  <c r="GM89"/>
  <c r="GN89"/>
  <c r="GO89"/>
  <c r="GP89"/>
  <c r="GQ89"/>
  <c r="GR89"/>
  <c r="GS89"/>
  <c r="GT89"/>
  <c r="GU89"/>
  <c r="GV89"/>
  <c r="GW89"/>
  <c r="GX89"/>
  <c r="GY89"/>
  <c r="GZ89"/>
  <c r="HA89"/>
  <c r="HB89"/>
  <c r="HC89"/>
  <c r="HD89"/>
  <c r="HE89"/>
  <c r="HF89"/>
  <c r="HG89"/>
  <c r="HH89"/>
  <c r="HI89"/>
  <c r="HJ89"/>
  <c r="HK89"/>
  <c r="HL89"/>
  <c r="HM89"/>
  <c r="HN89"/>
  <c r="HO89"/>
  <c r="HP89"/>
  <c r="HQ89"/>
  <c r="HR89"/>
  <c r="HS89"/>
  <c r="HT89"/>
  <c r="HU89"/>
  <c r="HV89"/>
  <c r="HW89"/>
  <c r="HX89"/>
  <c r="HY89"/>
  <c r="HZ89"/>
  <c r="IA89"/>
  <c r="IB89"/>
  <c r="IC89"/>
  <c r="ID89"/>
  <c r="IE89"/>
  <c r="IF89"/>
  <c r="IG89"/>
  <c r="IH89"/>
  <c r="II89"/>
  <c r="IJ89"/>
  <c r="IK89"/>
  <c r="IL89"/>
  <c r="IM89"/>
  <c r="IN89"/>
  <c r="IO89"/>
  <c r="IP89"/>
  <c r="IQ89"/>
  <c r="IR89"/>
  <c r="IS89"/>
  <c r="IT89"/>
  <c r="IU89"/>
  <c r="IV89"/>
  <c r="A90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V90"/>
  <c r="AW90"/>
  <c r="AX90"/>
  <c r="AY90"/>
  <c r="AZ90"/>
  <c r="BA90"/>
  <c r="BB90"/>
  <c r="BC90"/>
  <c r="BD90"/>
  <c r="BE90"/>
  <c r="BF90"/>
  <c r="BG90"/>
  <c r="BH90"/>
  <c r="BI90"/>
  <c r="BJ90"/>
  <c r="BK90"/>
  <c r="BL90"/>
  <c r="BM90"/>
  <c r="BN90"/>
  <c r="BO90"/>
  <c r="BP90"/>
  <c r="BQ90"/>
  <c r="BR90"/>
  <c r="BS90"/>
  <c r="BT90"/>
  <c r="BU90"/>
  <c r="BV90"/>
  <c r="BW90"/>
  <c r="BX90"/>
  <c r="BY90"/>
  <c r="BZ90"/>
  <c r="CA90"/>
  <c r="CB90"/>
  <c r="CC90"/>
  <c r="CD90"/>
  <c r="CE90"/>
  <c r="CF90"/>
  <c r="CG90"/>
  <c r="CH90"/>
  <c r="CI90"/>
  <c r="CJ90"/>
  <c r="CK90"/>
  <c r="CL90"/>
  <c r="CM90"/>
  <c r="CN90"/>
  <c r="CO90"/>
  <c r="CP90"/>
  <c r="CQ90"/>
  <c r="CR90"/>
  <c r="CS90"/>
  <c r="CT90"/>
  <c r="CU90"/>
  <c r="CV90"/>
  <c r="CW90"/>
  <c r="CX90"/>
  <c r="CY90"/>
  <c r="CZ90"/>
  <c r="DA90"/>
  <c r="DB90"/>
  <c r="DC90"/>
  <c r="DD90"/>
  <c r="DE90"/>
  <c r="DF90"/>
  <c r="DG90"/>
  <c r="DH90"/>
  <c r="DI90"/>
  <c r="DJ90"/>
  <c r="DK90"/>
  <c r="DL90"/>
  <c r="DM90"/>
  <c r="DN90"/>
  <c r="DO90"/>
  <c r="DP90"/>
  <c r="DQ90"/>
  <c r="DR90"/>
  <c r="DS90"/>
  <c r="DT90"/>
  <c r="DU90"/>
  <c r="DV90"/>
  <c r="DW90"/>
  <c r="DX90"/>
  <c r="DY90"/>
  <c r="DZ90"/>
  <c r="EA90"/>
  <c r="EB90"/>
  <c r="EC90"/>
  <c r="ED90"/>
  <c r="EE90"/>
  <c r="EF90"/>
  <c r="EG90"/>
  <c r="EH90"/>
  <c r="EI90"/>
  <c r="EJ90"/>
  <c r="EK90"/>
  <c r="EL90"/>
  <c r="EM90"/>
  <c r="EN90"/>
  <c r="EO90"/>
  <c r="EP90"/>
  <c r="EQ90"/>
  <c r="ER90"/>
  <c r="ES90"/>
  <c r="ET90"/>
  <c r="EU90"/>
  <c r="EV90"/>
  <c r="EW90"/>
  <c r="EX90"/>
  <c r="EY90"/>
  <c r="EZ90"/>
  <c r="FA90"/>
  <c r="FB90"/>
  <c r="FC90"/>
  <c r="FD90"/>
  <c r="FE90"/>
  <c r="FF90"/>
  <c r="FG90"/>
  <c r="FH90"/>
  <c r="FI90"/>
  <c r="FJ90"/>
  <c r="FK90"/>
  <c r="FL90"/>
  <c r="FM90"/>
  <c r="FN90"/>
  <c r="FO90"/>
  <c r="FP90"/>
  <c r="FQ90"/>
  <c r="FR90"/>
  <c r="FS90"/>
  <c r="FT90"/>
  <c r="FU90"/>
  <c r="FV90"/>
  <c r="FW90"/>
  <c r="FX90"/>
  <c r="FY90"/>
  <c r="FZ90"/>
  <c r="GA90"/>
  <c r="GB90"/>
  <c r="GC90"/>
  <c r="GD90"/>
  <c r="GE90"/>
  <c r="GF90"/>
  <c r="GG90"/>
  <c r="GH90"/>
  <c r="GI90"/>
  <c r="GJ90"/>
  <c r="GK90"/>
  <c r="GL90"/>
  <c r="GM90"/>
  <c r="GN90"/>
  <c r="GO90"/>
  <c r="GP90"/>
  <c r="GQ90"/>
  <c r="GR90"/>
  <c r="GS90"/>
  <c r="GT90"/>
  <c r="GU90"/>
  <c r="GV90"/>
  <c r="GW90"/>
  <c r="GX90"/>
  <c r="GY90"/>
  <c r="GZ90"/>
  <c r="HA90"/>
  <c r="HB90"/>
  <c r="HC90"/>
  <c r="HD90"/>
  <c r="HE90"/>
  <c r="HF90"/>
  <c r="HG90"/>
  <c r="HH90"/>
  <c r="HI90"/>
  <c r="HJ90"/>
  <c r="HK90"/>
  <c r="HL90"/>
  <c r="HM90"/>
  <c r="HN90"/>
  <c r="HO90"/>
  <c r="HP90"/>
  <c r="HQ90"/>
  <c r="HR90"/>
  <c r="HS90"/>
  <c r="HT90"/>
  <c r="HU90"/>
  <c r="HV90"/>
  <c r="HW90"/>
  <c r="HX90"/>
  <c r="HY90"/>
  <c r="HZ90"/>
  <c r="IA90"/>
  <c r="IB90"/>
  <c r="IC90"/>
  <c r="ID90"/>
  <c r="IE90"/>
  <c r="IF90"/>
  <c r="IG90"/>
  <c r="IH90"/>
  <c r="II90"/>
  <c r="IJ90"/>
  <c r="IK90"/>
  <c r="IL90"/>
  <c r="IM90"/>
  <c r="IN90"/>
  <c r="IO90"/>
  <c r="IP90"/>
  <c r="IQ90"/>
  <c r="IR90"/>
  <c r="IS90"/>
  <c r="IT90"/>
  <c r="IU90"/>
  <c r="IV90"/>
  <c r="A91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Z91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V91"/>
  <c r="AW91"/>
  <c r="AX91"/>
  <c r="AY91"/>
  <c r="AZ91"/>
  <c r="BA91"/>
  <c r="BB91"/>
  <c r="BC91"/>
  <c r="BD91"/>
  <c r="BE91"/>
  <c r="BF91"/>
  <c r="BG91"/>
  <c r="BH91"/>
  <c r="BI91"/>
  <c r="BJ91"/>
  <c r="BK91"/>
  <c r="BL91"/>
  <c r="BM91"/>
  <c r="BN91"/>
  <c r="BO91"/>
  <c r="BP91"/>
  <c r="BQ91"/>
  <c r="BR91"/>
  <c r="BS91"/>
  <c r="BT91"/>
  <c r="BU91"/>
  <c r="BV91"/>
  <c r="BW91"/>
  <c r="BX91"/>
  <c r="BY91"/>
  <c r="BZ91"/>
  <c r="CA91"/>
  <c r="CB91"/>
  <c r="CC91"/>
  <c r="CD91"/>
  <c r="CE91"/>
  <c r="CF91"/>
  <c r="CG91"/>
  <c r="CH91"/>
  <c r="CI91"/>
  <c r="CJ91"/>
  <c r="CK91"/>
  <c r="CL91"/>
  <c r="CM91"/>
  <c r="CN91"/>
  <c r="CO91"/>
  <c r="CP91"/>
  <c r="CQ91"/>
  <c r="CR91"/>
  <c r="CS91"/>
  <c r="CT91"/>
  <c r="CU91"/>
  <c r="CV91"/>
  <c r="CW91"/>
  <c r="CX91"/>
  <c r="CY91"/>
  <c r="CZ91"/>
  <c r="DA91"/>
  <c r="DB91"/>
  <c r="DC91"/>
  <c r="DD91"/>
  <c r="DE91"/>
  <c r="DF91"/>
  <c r="DG91"/>
  <c r="DH91"/>
  <c r="DI91"/>
  <c r="DJ91"/>
  <c r="DK91"/>
  <c r="DL91"/>
  <c r="DM91"/>
  <c r="DN91"/>
  <c r="DO91"/>
  <c r="DP91"/>
  <c r="DQ91"/>
  <c r="DR91"/>
  <c r="DS91"/>
  <c r="DT91"/>
  <c r="DU91"/>
  <c r="DV91"/>
  <c r="DW91"/>
  <c r="DX91"/>
  <c r="DY91"/>
  <c r="DZ91"/>
  <c r="EA91"/>
  <c r="EB91"/>
  <c r="EC91"/>
  <c r="ED91"/>
  <c r="EE91"/>
  <c r="EF91"/>
  <c r="EG91"/>
  <c r="EH91"/>
  <c r="EI91"/>
  <c r="EJ91"/>
  <c r="EK91"/>
  <c r="EL91"/>
  <c r="EM91"/>
  <c r="EN91"/>
  <c r="EO91"/>
  <c r="EP91"/>
  <c r="EQ91"/>
  <c r="ER91"/>
  <c r="ES91"/>
  <c r="ET91"/>
  <c r="EU91"/>
  <c r="EV91"/>
  <c r="EW91"/>
  <c r="EX91"/>
  <c r="EY91"/>
  <c r="EZ91"/>
  <c r="FA91"/>
  <c r="FB91"/>
  <c r="FC91"/>
  <c r="FD91"/>
  <c r="FE91"/>
  <c r="FF91"/>
  <c r="FG91"/>
  <c r="FH91"/>
  <c r="FI91"/>
  <c r="FJ91"/>
  <c r="FK91"/>
  <c r="FL91"/>
  <c r="FM91"/>
  <c r="FN91"/>
  <c r="FO91"/>
  <c r="FP91"/>
  <c r="FQ91"/>
  <c r="FR91"/>
  <c r="FS91"/>
  <c r="FT91"/>
  <c r="FU91"/>
  <c r="FV91"/>
  <c r="FW91"/>
  <c r="FX91"/>
  <c r="FY91"/>
  <c r="FZ91"/>
  <c r="GA91"/>
  <c r="GB91"/>
  <c r="GC91"/>
  <c r="GD91"/>
  <c r="GE91"/>
  <c r="GF91"/>
  <c r="GG91"/>
  <c r="GH91"/>
  <c r="GI91"/>
  <c r="GJ91"/>
  <c r="GK91"/>
  <c r="GL91"/>
  <c r="GM91"/>
  <c r="GN91"/>
  <c r="GO91"/>
  <c r="GP91"/>
  <c r="GQ91"/>
  <c r="GR91"/>
  <c r="GS91"/>
  <c r="GT91"/>
  <c r="GU91"/>
  <c r="GV91"/>
  <c r="GW91"/>
  <c r="GX91"/>
  <c r="GY91"/>
  <c r="GZ91"/>
  <c r="HA91"/>
  <c r="HB91"/>
  <c r="HC91"/>
  <c r="HD91"/>
  <c r="HE91"/>
  <c r="HF91"/>
  <c r="HG91"/>
  <c r="HH91"/>
  <c r="HI91"/>
  <c r="HJ91"/>
  <c r="HK91"/>
  <c r="HL91"/>
  <c r="HM91"/>
  <c r="HN91"/>
  <c r="HO91"/>
  <c r="HP91"/>
  <c r="HQ91"/>
  <c r="HR91"/>
  <c r="HS91"/>
  <c r="HT91"/>
  <c r="HU91"/>
  <c r="HV91"/>
  <c r="HW91"/>
  <c r="HX91"/>
  <c r="HY91"/>
  <c r="HZ91"/>
  <c r="IA91"/>
  <c r="IB91"/>
  <c r="IC91"/>
  <c r="ID91"/>
  <c r="IE91"/>
  <c r="IF91"/>
  <c r="IG91"/>
  <c r="IH91"/>
  <c r="II91"/>
  <c r="IJ91"/>
  <c r="IK91"/>
  <c r="IL91"/>
  <c r="IM91"/>
  <c r="IN91"/>
  <c r="IO91"/>
  <c r="IP91"/>
  <c r="IQ91"/>
  <c r="IR91"/>
  <c r="IS91"/>
  <c r="IT91"/>
  <c r="IU91"/>
  <c r="IV91"/>
  <c r="A92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Z92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AS92"/>
  <c r="AT92"/>
  <c r="AU92"/>
  <c r="AV92"/>
  <c r="AW92"/>
  <c r="AX92"/>
  <c r="AY92"/>
  <c r="AZ92"/>
  <c r="BA92"/>
  <c r="BB92"/>
  <c r="BC92"/>
  <c r="BD92"/>
  <c r="BE92"/>
  <c r="BF92"/>
  <c r="BG92"/>
  <c r="BH92"/>
  <c r="BI92"/>
  <c r="BJ92"/>
  <c r="BK92"/>
  <c r="BL92"/>
  <c r="BM92"/>
  <c r="BN92"/>
  <c r="BO92"/>
  <c r="BP92"/>
  <c r="BQ92"/>
  <c r="BR92"/>
  <c r="BS92"/>
  <c r="BT92"/>
  <c r="BU92"/>
  <c r="BV92"/>
  <c r="BW92"/>
  <c r="BX92"/>
  <c r="BY92"/>
  <c r="BZ92"/>
  <c r="CA92"/>
  <c r="CB92"/>
  <c r="CC92"/>
  <c r="CD92"/>
  <c r="CE92"/>
  <c r="CF92"/>
  <c r="CG92"/>
  <c r="CH92"/>
  <c r="CI92"/>
  <c r="CJ92"/>
  <c r="CK92"/>
  <c r="CL92"/>
  <c r="CM92"/>
  <c r="CN92"/>
  <c r="CO92"/>
  <c r="CP92"/>
  <c r="CQ92"/>
  <c r="CR92"/>
  <c r="CS92"/>
  <c r="CT92"/>
  <c r="CU92"/>
  <c r="CV92"/>
  <c r="CW92"/>
  <c r="CX92"/>
  <c r="CY92"/>
  <c r="CZ92"/>
  <c r="DA92"/>
  <c r="DB92"/>
  <c r="DC92"/>
  <c r="DD92"/>
  <c r="DE92"/>
  <c r="DF92"/>
  <c r="DG92"/>
  <c r="DH92"/>
  <c r="DI92"/>
  <c r="DJ92"/>
  <c r="DK92"/>
  <c r="DL92"/>
  <c r="DM92"/>
  <c r="DN92"/>
  <c r="DO92"/>
  <c r="DP92"/>
  <c r="DQ92"/>
  <c r="DR92"/>
  <c r="DS92"/>
  <c r="DT92"/>
  <c r="DU92"/>
  <c r="DV92"/>
  <c r="DW92"/>
  <c r="DX92"/>
  <c r="DY92"/>
  <c r="DZ92"/>
  <c r="EA92"/>
  <c r="EB92"/>
  <c r="EC92"/>
  <c r="ED92"/>
  <c r="EE92"/>
  <c r="EF92"/>
  <c r="EG92"/>
  <c r="EH92"/>
  <c r="EI92"/>
  <c r="EJ92"/>
  <c r="EK92"/>
  <c r="EL92"/>
  <c r="EM92"/>
  <c r="EN92"/>
  <c r="EO92"/>
  <c r="EP92"/>
  <c r="EQ92"/>
  <c r="ER92"/>
  <c r="ES92"/>
  <c r="ET92"/>
  <c r="EU92"/>
  <c r="EV92"/>
  <c r="EW92"/>
  <c r="EX92"/>
  <c r="EY92"/>
  <c r="EZ92"/>
  <c r="FA92"/>
  <c r="FB92"/>
  <c r="FC92"/>
  <c r="FD92"/>
  <c r="FE92"/>
  <c r="FF92"/>
  <c r="FG92"/>
  <c r="FH92"/>
  <c r="FI92"/>
  <c r="FJ92"/>
  <c r="FK92"/>
  <c r="FL92"/>
  <c r="FM92"/>
  <c r="FN92"/>
  <c r="FO92"/>
  <c r="FP92"/>
  <c r="FQ92"/>
  <c r="FR92"/>
  <c r="FS92"/>
  <c r="FT92"/>
  <c r="FU92"/>
  <c r="FV92"/>
  <c r="FW92"/>
  <c r="FX92"/>
  <c r="FY92"/>
  <c r="FZ92"/>
  <c r="GA92"/>
  <c r="GB92"/>
  <c r="GC92"/>
  <c r="GD92"/>
  <c r="GE92"/>
  <c r="GF92"/>
  <c r="GG92"/>
  <c r="GH92"/>
  <c r="GI92"/>
  <c r="GJ92"/>
  <c r="GK92"/>
  <c r="GL92"/>
  <c r="GM92"/>
  <c r="GN92"/>
  <c r="GO92"/>
  <c r="GP92"/>
  <c r="GQ92"/>
  <c r="GR92"/>
  <c r="GS92"/>
  <c r="GT92"/>
  <c r="GU92"/>
  <c r="GV92"/>
  <c r="GW92"/>
  <c r="GX92"/>
  <c r="GY92"/>
  <c r="GZ92"/>
  <c r="HA92"/>
  <c r="HB92"/>
  <c r="HC92"/>
  <c r="HD92"/>
  <c r="HE92"/>
  <c r="HF92"/>
  <c r="HG92"/>
  <c r="HH92"/>
  <c r="HI92"/>
  <c r="HJ92"/>
  <c r="HK92"/>
  <c r="HL92"/>
  <c r="HM92"/>
  <c r="HN92"/>
  <c r="HO92"/>
  <c r="HP92"/>
  <c r="HQ92"/>
  <c r="HR92"/>
  <c r="HS92"/>
  <c r="HT92"/>
  <c r="HU92"/>
  <c r="HV92"/>
  <c r="HW92"/>
  <c r="HX92"/>
  <c r="HY92"/>
  <c r="HZ92"/>
  <c r="IA92"/>
  <c r="IB92"/>
  <c r="IC92"/>
  <c r="ID92"/>
  <c r="IE92"/>
  <c r="IF92"/>
  <c r="IG92"/>
  <c r="IH92"/>
  <c r="II92"/>
  <c r="IJ92"/>
  <c r="IK92"/>
  <c r="IL92"/>
  <c r="IM92"/>
  <c r="IN92"/>
  <c r="IO92"/>
  <c r="IP92"/>
  <c r="IQ92"/>
  <c r="IR92"/>
  <c r="IS92"/>
  <c r="IT92"/>
  <c r="IU92"/>
  <c r="IV92"/>
  <c r="A93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Z93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AT93"/>
  <c r="AU93"/>
  <c r="AV93"/>
  <c r="AW93"/>
  <c r="AX93"/>
  <c r="AY93"/>
  <c r="AZ93"/>
  <c r="BA93"/>
  <c r="BB93"/>
  <c r="BC93"/>
  <c r="BD93"/>
  <c r="BE93"/>
  <c r="BF93"/>
  <c r="BG93"/>
  <c r="BH93"/>
  <c r="BI93"/>
  <c r="BJ93"/>
  <c r="BK93"/>
  <c r="BL93"/>
  <c r="BM93"/>
  <c r="BN93"/>
  <c r="BO93"/>
  <c r="BP93"/>
  <c r="BQ93"/>
  <c r="BR93"/>
  <c r="BS93"/>
  <c r="BT93"/>
  <c r="BU93"/>
  <c r="BV93"/>
  <c r="BW93"/>
  <c r="BX93"/>
  <c r="BY93"/>
  <c r="BZ93"/>
  <c r="CA93"/>
  <c r="CB93"/>
  <c r="CC93"/>
  <c r="CD93"/>
  <c r="CE93"/>
  <c r="CF93"/>
  <c r="CG93"/>
  <c r="CH93"/>
  <c r="CI93"/>
  <c r="CJ93"/>
  <c r="CK93"/>
  <c r="CL93"/>
  <c r="CM93"/>
  <c r="CN93"/>
  <c r="CO93"/>
  <c r="CP93"/>
  <c r="CQ93"/>
  <c r="CR93"/>
  <c r="CS93"/>
  <c r="CT93"/>
  <c r="CU93"/>
  <c r="CV93"/>
  <c r="CW93"/>
  <c r="CX93"/>
  <c r="CY93"/>
  <c r="CZ93"/>
  <c r="DA93"/>
  <c r="DB93"/>
  <c r="DC93"/>
  <c r="DD93"/>
  <c r="DE93"/>
  <c r="DF93"/>
  <c r="DG93"/>
  <c r="DH93"/>
  <c r="DI93"/>
  <c r="DJ93"/>
  <c r="DK93"/>
  <c r="DL93"/>
  <c r="DM93"/>
  <c r="DN93"/>
  <c r="DO93"/>
  <c r="DP93"/>
  <c r="DQ93"/>
  <c r="DR93"/>
  <c r="DS93"/>
  <c r="DT93"/>
  <c r="DU93"/>
  <c r="DV93"/>
  <c r="DW93"/>
  <c r="DX93"/>
  <c r="DY93"/>
  <c r="DZ93"/>
  <c r="EA93"/>
  <c r="EB93"/>
  <c r="EC93"/>
  <c r="ED93"/>
  <c r="EE93"/>
  <c r="EF93"/>
  <c r="EG93"/>
  <c r="EH93"/>
  <c r="EI93"/>
  <c r="EJ93"/>
  <c r="EK93"/>
  <c r="EL93"/>
  <c r="EM93"/>
  <c r="EN93"/>
  <c r="EO93"/>
  <c r="EP93"/>
  <c r="EQ93"/>
  <c r="ER93"/>
  <c r="ES93"/>
  <c r="ET93"/>
  <c r="EU93"/>
  <c r="EV93"/>
  <c r="EW93"/>
  <c r="EX93"/>
  <c r="EY93"/>
  <c r="EZ93"/>
  <c r="FA93"/>
  <c r="FB93"/>
  <c r="FC93"/>
  <c r="FD93"/>
  <c r="FE93"/>
  <c r="FF93"/>
  <c r="FG93"/>
  <c r="FH93"/>
  <c r="FI93"/>
  <c r="FJ93"/>
  <c r="FK93"/>
  <c r="FL93"/>
  <c r="FM93"/>
  <c r="FN93"/>
  <c r="FO93"/>
  <c r="FP93"/>
  <c r="FQ93"/>
  <c r="FR93"/>
  <c r="FS93"/>
  <c r="FT93"/>
  <c r="FU93"/>
  <c r="FV93"/>
  <c r="FW93"/>
  <c r="FX93"/>
  <c r="FY93"/>
  <c r="FZ93"/>
  <c r="GA93"/>
  <c r="GB93"/>
  <c r="GC93"/>
  <c r="GD93"/>
  <c r="GE93"/>
  <c r="GF93"/>
  <c r="GG93"/>
  <c r="GH93"/>
  <c r="GI93"/>
  <c r="GJ93"/>
  <c r="GK93"/>
  <c r="GL93"/>
  <c r="GM93"/>
  <c r="GN93"/>
  <c r="GO93"/>
  <c r="GP93"/>
  <c r="GQ93"/>
  <c r="GR93"/>
  <c r="GS93"/>
  <c r="GT93"/>
  <c r="GU93"/>
  <c r="GV93"/>
  <c r="GW93"/>
  <c r="GX93"/>
  <c r="GY93"/>
  <c r="GZ93"/>
  <c r="HA93"/>
  <c r="HB93"/>
  <c r="HC93"/>
  <c r="HD93"/>
  <c r="HE93"/>
  <c r="HF93"/>
  <c r="HG93"/>
  <c r="HH93"/>
  <c r="HI93"/>
  <c r="HJ93"/>
  <c r="HK93"/>
  <c r="HL93"/>
  <c r="HM93"/>
  <c r="HN93"/>
  <c r="HO93"/>
  <c r="HP93"/>
  <c r="HQ93"/>
  <c r="HR93"/>
  <c r="HS93"/>
  <c r="HT93"/>
  <c r="HU93"/>
  <c r="HV93"/>
  <c r="HW93"/>
  <c r="HX93"/>
  <c r="HY93"/>
  <c r="HZ93"/>
  <c r="IA93"/>
  <c r="IB93"/>
  <c r="IC93"/>
  <c r="ID93"/>
  <c r="IE93"/>
  <c r="IF93"/>
  <c r="IG93"/>
  <c r="IH93"/>
  <c r="II93"/>
  <c r="IJ93"/>
  <c r="IK93"/>
  <c r="IL93"/>
  <c r="IM93"/>
  <c r="IN93"/>
  <c r="IO93"/>
  <c r="IP93"/>
  <c r="IQ93"/>
  <c r="IR93"/>
  <c r="IS93"/>
  <c r="IT93"/>
  <c r="IU93"/>
  <c r="IV93"/>
  <c r="A94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Z94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AV94"/>
  <c r="AW94"/>
  <c r="AX94"/>
  <c r="AY94"/>
  <c r="AZ94"/>
  <c r="BA94"/>
  <c r="BB94"/>
  <c r="BC94"/>
  <c r="BD94"/>
  <c r="BE94"/>
  <c r="BF94"/>
  <c r="BG94"/>
  <c r="BH94"/>
  <c r="BI94"/>
  <c r="BJ94"/>
  <c r="BK94"/>
  <c r="BL94"/>
  <c r="BM94"/>
  <c r="BN94"/>
  <c r="BO94"/>
  <c r="BP94"/>
  <c r="BQ94"/>
  <c r="BR94"/>
  <c r="BS94"/>
  <c r="BT94"/>
  <c r="BU94"/>
  <c r="BV94"/>
  <c r="BW94"/>
  <c r="BX94"/>
  <c r="BY94"/>
  <c r="BZ94"/>
  <c r="CA94"/>
  <c r="CB94"/>
  <c r="CC94"/>
  <c r="CD94"/>
  <c r="CE94"/>
  <c r="CF94"/>
  <c r="CG94"/>
  <c r="CH94"/>
  <c r="CI94"/>
  <c r="CJ94"/>
  <c r="CK94"/>
  <c r="CL94"/>
  <c r="CM94"/>
  <c r="CN94"/>
  <c r="CO94"/>
  <c r="CP94"/>
  <c r="CQ94"/>
  <c r="CR94"/>
  <c r="CS94"/>
  <c r="CT94"/>
  <c r="CU94"/>
  <c r="CV94"/>
  <c r="CW94"/>
  <c r="CX94"/>
  <c r="CY94"/>
  <c r="CZ94"/>
  <c r="DA94"/>
  <c r="DB94"/>
  <c r="DC94"/>
  <c r="DD94"/>
  <c r="DE94"/>
  <c r="DF94"/>
  <c r="DG94"/>
  <c r="DH94"/>
  <c r="DI94"/>
  <c r="DJ94"/>
  <c r="DK94"/>
  <c r="DL94"/>
  <c r="DM94"/>
  <c r="DN94"/>
  <c r="DO94"/>
  <c r="DP94"/>
  <c r="DQ94"/>
  <c r="DR94"/>
  <c r="DS94"/>
  <c r="DT94"/>
  <c r="DU94"/>
  <c r="DV94"/>
  <c r="DW94"/>
  <c r="DX94"/>
  <c r="DY94"/>
  <c r="DZ94"/>
  <c r="EA94"/>
  <c r="EB94"/>
  <c r="EC94"/>
  <c r="ED94"/>
  <c r="EE94"/>
  <c r="EF94"/>
  <c r="EG94"/>
  <c r="EH94"/>
  <c r="EI94"/>
  <c r="EJ94"/>
  <c r="EK94"/>
  <c r="EL94"/>
  <c r="EM94"/>
  <c r="EN94"/>
  <c r="EO94"/>
  <c r="EP94"/>
  <c r="EQ94"/>
  <c r="ER94"/>
  <c r="ES94"/>
  <c r="ET94"/>
  <c r="EU94"/>
  <c r="EV94"/>
  <c r="EW94"/>
  <c r="EX94"/>
  <c r="EY94"/>
  <c r="EZ94"/>
  <c r="FA94"/>
  <c r="FB94"/>
  <c r="FC94"/>
  <c r="FD94"/>
  <c r="FE94"/>
  <c r="FF94"/>
  <c r="FG94"/>
  <c r="FH94"/>
  <c r="FI94"/>
  <c r="FJ94"/>
  <c r="FK94"/>
  <c r="FL94"/>
  <c r="FM94"/>
  <c r="FN94"/>
  <c r="FO94"/>
  <c r="FP94"/>
  <c r="FQ94"/>
  <c r="FR94"/>
  <c r="FS94"/>
  <c r="FT94"/>
  <c r="FU94"/>
  <c r="FV94"/>
  <c r="FW94"/>
  <c r="FX94"/>
  <c r="FY94"/>
  <c r="FZ94"/>
  <c r="GA94"/>
  <c r="GB94"/>
  <c r="GC94"/>
  <c r="GD94"/>
  <c r="GE94"/>
  <c r="GF94"/>
  <c r="GG94"/>
  <c r="GH94"/>
  <c r="GI94"/>
  <c r="GJ94"/>
  <c r="GK94"/>
  <c r="GL94"/>
  <c r="GM94"/>
  <c r="GN94"/>
  <c r="GO94"/>
  <c r="GP94"/>
  <c r="GQ94"/>
  <c r="GR94"/>
  <c r="GS94"/>
  <c r="GT94"/>
  <c r="GU94"/>
  <c r="GV94"/>
  <c r="GW94"/>
  <c r="GX94"/>
  <c r="GY94"/>
  <c r="GZ94"/>
  <c r="HA94"/>
  <c r="HB94"/>
  <c r="HC94"/>
  <c r="HD94"/>
  <c r="HE94"/>
  <c r="HF94"/>
  <c r="HG94"/>
  <c r="HH94"/>
  <c r="HI94"/>
  <c r="HJ94"/>
  <c r="HK94"/>
  <c r="HL94"/>
  <c r="HM94"/>
  <c r="HN94"/>
  <c r="HO94"/>
  <c r="HP94"/>
  <c r="HQ94"/>
  <c r="HR94"/>
  <c r="HS94"/>
  <c r="HT94"/>
  <c r="HU94"/>
  <c r="HV94"/>
  <c r="HW94"/>
  <c r="HX94"/>
  <c r="HY94"/>
  <c r="HZ94"/>
  <c r="IA94"/>
  <c r="IB94"/>
  <c r="IC94"/>
  <c r="ID94"/>
  <c r="IE94"/>
  <c r="IF94"/>
  <c r="IG94"/>
  <c r="IH94"/>
  <c r="II94"/>
  <c r="IJ94"/>
  <c r="IK94"/>
  <c r="IL94"/>
  <c r="IM94"/>
  <c r="IN94"/>
  <c r="IO94"/>
  <c r="IP94"/>
  <c r="IQ94"/>
  <c r="IR94"/>
  <c r="IS94"/>
  <c r="IT94"/>
  <c r="IU94"/>
  <c r="IV94"/>
  <c r="A95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Z95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AT95"/>
  <c r="AU95"/>
  <c r="AV95"/>
  <c r="AW95"/>
  <c r="AX95"/>
  <c r="AY95"/>
  <c r="AZ95"/>
  <c r="BA95"/>
  <c r="BB95"/>
  <c r="BC95"/>
  <c r="BD95"/>
  <c r="BE95"/>
  <c r="BF95"/>
  <c r="BG95"/>
  <c r="BH95"/>
  <c r="BI95"/>
  <c r="BJ95"/>
  <c r="BK95"/>
  <c r="BL95"/>
  <c r="BM95"/>
  <c r="BN95"/>
  <c r="BO95"/>
  <c r="BP95"/>
  <c r="BQ95"/>
  <c r="BR95"/>
  <c r="BS95"/>
  <c r="BT95"/>
  <c r="BU95"/>
  <c r="BV95"/>
  <c r="BW95"/>
  <c r="BX95"/>
  <c r="BY95"/>
  <c r="BZ95"/>
  <c r="CA95"/>
  <c r="CB95"/>
  <c r="CC95"/>
  <c r="CD95"/>
  <c r="CE95"/>
  <c r="CF95"/>
  <c r="CG95"/>
  <c r="CH95"/>
  <c r="CI95"/>
  <c r="CJ95"/>
  <c r="CK95"/>
  <c r="CL95"/>
  <c r="CM95"/>
  <c r="CN95"/>
  <c r="CO95"/>
  <c r="CP95"/>
  <c r="CQ95"/>
  <c r="CR95"/>
  <c r="CS95"/>
  <c r="CT95"/>
  <c r="CU95"/>
  <c r="CV95"/>
  <c r="CW95"/>
  <c r="CX95"/>
  <c r="CY95"/>
  <c r="CZ95"/>
  <c r="DA95"/>
  <c r="DB95"/>
  <c r="DC95"/>
  <c r="DD95"/>
  <c r="DE95"/>
  <c r="DF95"/>
  <c r="DG95"/>
  <c r="DH95"/>
  <c r="DI95"/>
  <c r="DJ95"/>
  <c r="DK95"/>
  <c r="DL95"/>
  <c r="DM95"/>
  <c r="DN95"/>
  <c r="DO95"/>
  <c r="DP95"/>
  <c r="DQ95"/>
  <c r="DR95"/>
  <c r="DS95"/>
  <c r="DT95"/>
  <c r="DU95"/>
  <c r="DV95"/>
  <c r="DW95"/>
  <c r="DX95"/>
  <c r="DY95"/>
  <c r="DZ95"/>
  <c r="EA95"/>
  <c r="EB95"/>
  <c r="EC95"/>
  <c r="ED95"/>
  <c r="EE95"/>
  <c r="EF95"/>
  <c r="EG95"/>
  <c r="EH95"/>
  <c r="EI95"/>
  <c r="EJ95"/>
  <c r="EK95"/>
  <c r="EL95"/>
  <c r="EM95"/>
  <c r="EN95"/>
  <c r="EO95"/>
  <c r="EP95"/>
  <c r="EQ95"/>
  <c r="ER95"/>
  <c r="ES95"/>
  <c r="ET95"/>
  <c r="EU95"/>
  <c r="EV95"/>
  <c r="EW95"/>
  <c r="EX95"/>
  <c r="EY95"/>
  <c r="EZ95"/>
  <c r="FA95"/>
  <c r="FB95"/>
  <c r="FC95"/>
  <c r="FD95"/>
  <c r="FE95"/>
  <c r="FF95"/>
  <c r="FG95"/>
  <c r="FH95"/>
  <c r="FI95"/>
  <c r="FJ95"/>
  <c r="FK95"/>
  <c r="FL95"/>
  <c r="FM95"/>
  <c r="FN95"/>
  <c r="FO95"/>
  <c r="FP95"/>
  <c r="FQ95"/>
  <c r="FR95"/>
  <c r="FS95"/>
  <c r="FT95"/>
  <c r="FU95"/>
  <c r="FV95"/>
  <c r="FW95"/>
  <c r="FX95"/>
  <c r="FY95"/>
  <c r="FZ95"/>
  <c r="GA95"/>
  <c r="GB95"/>
  <c r="GC95"/>
  <c r="GD95"/>
  <c r="GE95"/>
  <c r="GF95"/>
  <c r="GG95"/>
  <c r="GH95"/>
  <c r="GI95"/>
  <c r="GJ95"/>
  <c r="GK95"/>
  <c r="GL95"/>
  <c r="GM95"/>
  <c r="GN95"/>
  <c r="GO95"/>
  <c r="GP95"/>
  <c r="GQ95"/>
  <c r="GR95"/>
  <c r="GS95"/>
  <c r="GT95"/>
  <c r="GU95"/>
  <c r="GV95"/>
  <c r="GW95"/>
  <c r="GX95"/>
  <c r="GY95"/>
  <c r="GZ95"/>
  <c r="HA95"/>
  <c r="HB95"/>
  <c r="HC95"/>
  <c r="HD95"/>
  <c r="HE95"/>
  <c r="HF95"/>
  <c r="HG95"/>
  <c r="HH95"/>
  <c r="HI95"/>
  <c r="HJ95"/>
  <c r="HK95"/>
  <c r="HL95"/>
  <c r="HM95"/>
  <c r="HN95"/>
  <c r="HO95"/>
  <c r="HP95"/>
  <c r="HQ95"/>
  <c r="HR95"/>
  <c r="HS95"/>
  <c r="HT95"/>
  <c r="HU95"/>
  <c r="HV95"/>
  <c r="HW95"/>
  <c r="HX95"/>
  <c r="HY95"/>
  <c r="HZ95"/>
  <c r="IA95"/>
  <c r="IB95"/>
  <c r="IC95"/>
  <c r="ID95"/>
  <c r="IE95"/>
  <c r="IF95"/>
  <c r="IG95"/>
  <c r="IH95"/>
  <c r="II95"/>
  <c r="IJ95"/>
  <c r="IK95"/>
  <c r="IL95"/>
  <c r="IM95"/>
  <c r="IN95"/>
  <c r="IO95"/>
  <c r="IP95"/>
  <c r="IQ95"/>
  <c r="IR95"/>
  <c r="IS95"/>
  <c r="IT95"/>
  <c r="IU95"/>
  <c r="IV95"/>
  <c r="A96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Z96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AT96"/>
  <c r="AU96"/>
  <c r="AV96"/>
  <c r="AW96"/>
  <c r="AX96"/>
  <c r="AY96"/>
  <c r="AZ96"/>
  <c r="BA96"/>
  <c r="BB96"/>
  <c r="BC96"/>
  <c r="BD96"/>
  <c r="BE96"/>
  <c r="BF96"/>
  <c r="BG96"/>
  <c r="BH96"/>
  <c r="BI96"/>
  <c r="BJ96"/>
  <c r="BK96"/>
  <c r="BL96"/>
  <c r="BM96"/>
  <c r="BN96"/>
  <c r="BO96"/>
  <c r="BP96"/>
  <c r="BQ96"/>
  <c r="BR96"/>
  <c r="BS96"/>
  <c r="BT96"/>
  <c r="BU96"/>
  <c r="BV96"/>
  <c r="BW96"/>
  <c r="BX96"/>
  <c r="BY96"/>
  <c r="BZ96"/>
  <c r="CA96"/>
  <c r="CB96"/>
  <c r="CC96"/>
  <c r="CD96"/>
  <c r="CE96"/>
  <c r="CF96"/>
  <c r="CG96"/>
  <c r="CH96"/>
  <c r="CI96"/>
  <c r="CJ96"/>
  <c r="CK96"/>
  <c r="CL96"/>
  <c r="CM96"/>
  <c r="CN96"/>
  <c r="CO96"/>
  <c r="CP96"/>
  <c r="CQ96"/>
  <c r="CR96"/>
  <c r="CS96"/>
  <c r="CT96"/>
  <c r="CU96"/>
  <c r="CV96"/>
  <c r="CW96"/>
  <c r="CX96"/>
  <c r="CY96"/>
  <c r="CZ96"/>
  <c r="DA96"/>
  <c r="DB96"/>
  <c r="DC96"/>
  <c r="DD96"/>
  <c r="DE96"/>
  <c r="DF96"/>
  <c r="DG96"/>
  <c r="DH96"/>
  <c r="DI96"/>
  <c r="DJ96"/>
  <c r="DK96"/>
  <c r="DL96"/>
  <c r="DM96"/>
  <c r="DN96"/>
  <c r="DO96"/>
  <c r="DP96"/>
  <c r="DQ96"/>
  <c r="DR96"/>
  <c r="DS96"/>
  <c r="DT96"/>
  <c r="DU96"/>
  <c r="DV96"/>
  <c r="DW96"/>
  <c r="DX96"/>
  <c r="DY96"/>
  <c r="DZ96"/>
  <c r="EA96"/>
  <c r="EB96"/>
  <c r="EC96"/>
  <c r="ED96"/>
  <c r="EE96"/>
  <c r="EF96"/>
  <c r="EG96"/>
  <c r="EH96"/>
  <c r="EI96"/>
  <c r="EJ96"/>
  <c r="EK96"/>
  <c r="EL96"/>
  <c r="EM96"/>
  <c r="EN96"/>
  <c r="EO96"/>
  <c r="EP96"/>
  <c r="EQ96"/>
  <c r="ER96"/>
  <c r="ES96"/>
  <c r="ET96"/>
  <c r="EU96"/>
  <c r="EV96"/>
  <c r="EW96"/>
  <c r="EX96"/>
  <c r="EY96"/>
  <c r="EZ96"/>
  <c r="FA96"/>
  <c r="FB96"/>
  <c r="FC96"/>
  <c r="FD96"/>
  <c r="FE96"/>
  <c r="FF96"/>
  <c r="FG96"/>
  <c r="FH96"/>
  <c r="FI96"/>
  <c r="FJ96"/>
  <c r="FK96"/>
  <c r="FL96"/>
  <c r="FM96"/>
  <c r="FN96"/>
  <c r="FO96"/>
  <c r="FP96"/>
  <c r="FQ96"/>
  <c r="FR96"/>
  <c r="FS96"/>
  <c r="FT96"/>
  <c r="FU96"/>
  <c r="FV96"/>
  <c r="FW96"/>
  <c r="FX96"/>
  <c r="FY96"/>
  <c r="FZ96"/>
  <c r="GA96"/>
  <c r="GB96"/>
  <c r="GC96"/>
  <c r="GD96"/>
  <c r="GE96"/>
  <c r="GF96"/>
  <c r="GG96"/>
  <c r="GH96"/>
  <c r="GI96"/>
  <c r="GJ96"/>
  <c r="GK96"/>
  <c r="GL96"/>
  <c r="GM96"/>
  <c r="GN96"/>
  <c r="GO96"/>
  <c r="GP96"/>
  <c r="GQ96"/>
  <c r="GR96"/>
  <c r="GS96"/>
  <c r="GT96"/>
  <c r="GU96"/>
  <c r="GV96"/>
  <c r="GW96"/>
  <c r="GX96"/>
  <c r="GY96"/>
  <c r="GZ96"/>
  <c r="HA96"/>
  <c r="HB96"/>
  <c r="HC96"/>
  <c r="HD96"/>
  <c r="HE96"/>
  <c r="HF96"/>
  <c r="HG96"/>
  <c r="HH96"/>
  <c r="HI96"/>
  <c r="HJ96"/>
  <c r="HK96"/>
  <c r="HL96"/>
  <c r="HM96"/>
  <c r="HN96"/>
  <c r="HO96"/>
  <c r="HP96"/>
  <c r="HQ96"/>
  <c r="HR96"/>
  <c r="HS96"/>
  <c r="HT96"/>
  <c r="HU96"/>
  <c r="HV96"/>
  <c r="HW96"/>
  <c r="HX96"/>
  <c r="HY96"/>
  <c r="HZ96"/>
  <c r="IA96"/>
  <c r="IB96"/>
  <c r="IC96"/>
  <c r="ID96"/>
  <c r="IE96"/>
  <c r="IF96"/>
  <c r="IG96"/>
  <c r="IH96"/>
  <c r="II96"/>
  <c r="IJ96"/>
  <c r="IK96"/>
  <c r="IL96"/>
  <c r="IM96"/>
  <c r="IN96"/>
  <c r="IO96"/>
  <c r="IP96"/>
  <c r="IQ96"/>
  <c r="IR96"/>
  <c r="IS96"/>
  <c r="IT96"/>
  <c r="IU96"/>
  <c r="IV96"/>
  <c r="A97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Z97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AV97"/>
  <c r="AW97"/>
  <c r="AX97"/>
  <c r="AY97"/>
  <c r="AZ97"/>
  <c r="BA97"/>
  <c r="BB97"/>
  <c r="BC97"/>
  <c r="BD97"/>
  <c r="BE97"/>
  <c r="BF97"/>
  <c r="BG97"/>
  <c r="BH97"/>
  <c r="BI97"/>
  <c r="BJ97"/>
  <c r="BK97"/>
  <c r="BL97"/>
  <c r="BM97"/>
  <c r="BN97"/>
  <c r="BO97"/>
  <c r="BP97"/>
  <c r="BQ97"/>
  <c r="BR97"/>
  <c r="BS97"/>
  <c r="BT97"/>
  <c r="BU97"/>
  <c r="BV97"/>
  <c r="BW97"/>
  <c r="BX97"/>
  <c r="BY97"/>
  <c r="BZ97"/>
  <c r="CA97"/>
  <c r="CB97"/>
  <c r="CC97"/>
  <c r="CD97"/>
  <c r="CE97"/>
  <c r="CF97"/>
  <c r="CG97"/>
  <c r="CH97"/>
  <c r="CI97"/>
  <c r="CJ97"/>
  <c r="CK97"/>
  <c r="CL97"/>
  <c r="CM97"/>
  <c r="CN97"/>
  <c r="CO97"/>
  <c r="CP97"/>
  <c r="CQ97"/>
  <c r="CR97"/>
  <c r="CS97"/>
  <c r="CT97"/>
  <c r="CU97"/>
  <c r="CV97"/>
  <c r="CW97"/>
  <c r="CX97"/>
  <c r="CY97"/>
  <c r="CZ97"/>
  <c r="DA97"/>
  <c r="DB97"/>
  <c r="DC97"/>
  <c r="DD97"/>
  <c r="DE97"/>
  <c r="DF97"/>
  <c r="DG97"/>
  <c r="DH97"/>
  <c r="DI97"/>
  <c r="DJ97"/>
  <c r="DK97"/>
  <c r="DL97"/>
  <c r="DM97"/>
  <c r="DN97"/>
  <c r="DO97"/>
  <c r="DP97"/>
  <c r="DQ97"/>
  <c r="DR97"/>
  <c r="DS97"/>
  <c r="DT97"/>
  <c r="DU97"/>
  <c r="DV97"/>
  <c r="DW97"/>
  <c r="DX97"/>
  <c r="DY97"/>
  <c r="DZ97"/>
  <c r="EA97"/>
  <c r="EB97"/>
  <c r="EC97"/>
  <c r="ED97"/>
  <c r="EE97"/>
  <c r="EF97"/>
  <c r="EG97"/>
  <c r="EH97"/>
  <c r="EI97"/>
  <c r="EJ97"/>
  <c r="EK97"/>
  <c r="EL97"/>
  <c r="EM97"/>
  <c r="EN97"/>
  <c r="EO97"/>
  <c r="EP97"/>
  <c r="EQ97"/>
  <c r="ER97"/>
  <c r="ES97"/>
  <c r="ET97"/>
  <c r="EU97"/>
  <c r="EV97"/>
  <c r="EW97"/>
  <c r="EX97"/>
  <c r="EY97"/>
  <c r="EZ97"/>
  <c r="FA97"/>
  <c r="FB97"/>
  <c r="FC97"/>
  <c r="FD97"/>
  <c r="FE97"/>
  <c r="FF97"/>
  <c r="FG97"/>
  <c r="FH97"/>
  <c r="FI97"/>
  <c r="FJ97"/>
  <c r="FK97"/>
  <c r="FL97"/>
  <c r="FM97"/>
  <c r="FN97"/>
  <c r="FO97"/>
  <c r="FP97"/>
  <c r="FQ97"/>
  <c r="FR97"/>
  <c r="FS97"/>
  <c r="FT97"/>
  <c r="FU97"/>
  <c r="FV97"/>
  <c r="FW97"/>
  <c r="FX97"/>
  <c r="FY97"/>
  <c r="FZ97"/>
  <c r="GA97"/>
  <c r="GB97"/>
  <c r="GC97"/>
  <c r="GD97"/>
  <c r="GE97"/>
  <c r="GF97"/>
  <c r="GG97"/>
  <c r="GH97"/>
  <c r="GI97"/>
  <c r="GJ97"/>
  <c r="GK97"/>
  <c r="GL97"/>
  <c r="GM97"/>
  <c r="GN97"/>
  <c r="GO97"/>
  <c r="GP97"/>
  <c r="GQ97"/>
  <c r="GR97"/>
  <c r="GS97"/>
  <c r="GT97"/>
  <c r="GU97"/>
  <c r="GV97"/>
  <c r="GW97"/>
  <c r="GX97"/>
  <c r="GY97"/>
  <c r="GZ97"/>
  <c r="HA97"/>
  <c r="HB97"/>
  <c r="HC97"/>
  <c r="HD97"/>
  <c r="HE97"/>
  <c r="HF97"/>
  <c r="HG97"/>
  <c r="HH97"/>
  <c r="HI97"/>
  <c r="HJ97"/>
  <c r="HK97"/>
  <c r="HL97"/>
  <c r="HM97"/>
  <c r="HN97"/>
  <c r="HO97"/>
  <c r="HP97"/>
  <c r="HQ97"/>
  <c r="HR97"/>
  <c r="HS97"/>
  <c r="HT97"/>
  <c r="HU97"/>
  <c r="HV97"/>
  <c r="HW97"/>
  <c r="HX97"/>
  <c r="HY97"/>
  <c r="HZ97"/>
  <c r="IA97"/>
  <c r="IB97"/>
  <c r="IC97"/>
  <c r="ID97"/>
  <c r="IE97"/>
  <c r="IF97"/>
  <c r="IG97"/>
  <c r="IH97"/>
  <c r="II97"/>
  <c r="IJ97"/>
  <c r="IK97"/>
  <c r="IL97"/>
  <c r="IM97"/>
  <c r="IN97"/>
  <c r="IO97"/>
  <c r="IP97"/>
  <c r="IQ97"/>
  <c r="IR97"/>
  <c r="IS97"/>
  <c r="IT97"/>
  <c r="IU97"/>
  <c r="IV97"/>
  <c r="A98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Z98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AS98"/>
  <c r="AT98"/>
  <c r="AU98"/>
  <c r="AV98"/>
  <c r="AW98"/>
  <c r="AX98"/>
  <c r="AY98"/>
  <c r="AZ98"/>
  <c r="BA98"/>
  <c r="BB98"/>
  <c r="BC98"/>
  <c r="BD98"/>
  <c r="BE98"/>
  <c r="BF98"/>
  <c r="BG98"/>
  <c r="BH98"/>
  <c r="BI98"/>
  <c r="BJ98"/>
  <c r="BK98"/>
  <c r="BL98"/>
  <c r="BM98"/>
  <c r="BN98"/>
  <c r="BO98"/>
  <c r="BP98"/>
  <c r="BQ98"/>
  <c r="BR98"/>
  <c r="BS98"/>
  <c r="BT98"/>
  <c r="BU98"/>
  <c r="BV98"/>
  <c r="BW98"/>
  <c r="BX98"/>
  <c r="BY98"/>
  <c r="BZ98"/>
  <c r="CA98"/>
  <c r="CB98"/>
  <c r="CC98"/>
  <c r="CD98"/>
  <c r="CE98"/>
  <c r="CF98"/>
  <c r="CG98"/>
  <c r="CH98"/>
  <c r="CI98"/>
  <c r="CJ98"/>
  <c r="CK98"/>
  <c r="CL98"/>
  <c r="CM98"/>
  <c r="CN98"/>
  <c r="CO98"/>
  <c r="CP98"/>
  <c r="CQ98"/>
  <c r="CR98"/>
  <c r="CS98"/>
  <c r="CT98"/>
  <c r="CU98"/>
  <c r="CV98"/>
  <c r="CW98"/>
  <c r="CX98"/>
  <c r="CY98"/>
  <c r="CZ98"/>
  <c r="DA98"/>
  <c r="DB98"/>
  <c r="DC98"/>
  <c r="DD98"/>
  <c r="DE98"/>
  <c r="DF98"/>
  <c r="DG98"/>
  <c r="DH98"/>
  <c r="DI98"/>
  <c r="DJ98"/>
  <c r="DK98"/>
  <c r="DL98"/>
  <c r="DM98"/>
  <c r="DN98"/>
  <c r="DO98"/>
  <c r="DP98"/>
  <c r="DQ98"/>
  <c r="DR98"/>
  <c r="DS98"/>
  <c r="DT98"/>
  <c r="DU98"/>
  <c r="DV98"/>
  <c r="DW98"/>
  <c r="DX98"/>
  <c r="DY98"/>
  <c r="DZ98"/>
  <c r="EA98"/>
  <c r="EB98"/>
  <c r="EC98"/>
  <c r="ED98"/>
  <c r="EE98"/>
  <c r="EF98"/>
  <c r="EG98"/>
  <c r="EH98"/>
  <c r="EI98"/>
  <c r="EJ98"/>
  <c r="EK98"/>
  <c r="EL98"/>
  <c r="EM98"/>
  <c r="EN98"/>
  <c r="EO98"/>
  <c r="EP98"/>
  <c r="EQ98"/>
  <c r="ER98"/>
  <c r="ES98"/>
  <c r="ET98"/>
  <c r="EU98"/>
  <c r="EV98"/>
  <c r="EW98"/>
  <c r="EX98"/>
  <c r="EY98"/>
  <c r="EZ98"/>
  <c r="FA98"/>
  <c r="FB98"/>
  <c r="FC98"/>
  <c r="FD98"/>
  <c r="FE98"/>
  <c r="FF98"/>
  <c r="FG98"/>
  <c r="FH98"/>
  <c r="FI98"/>
  <c r="FJ98"/>
  <c r="FK98"/>
  <c r="FL98"/>
  <c r="FM98"/>
  <c r="FN98"/>
  <c r="FO98"/>
  <c r="FP98"/>
  <c r="FQ98"/>
  <c r="FR98"/>
  <c r="FS98"/>
  <c r="FT98"/>
  <c r="FU98"/>
  <c r="FV98"/>
  <c r="FW98"/>
  <c r="FX98"/>
  <c r="FY98"/>
  <c r="FZ98"/>
  <c r="GA98"/>
  <c r="GB98"/>
  <c r="GC98"/>
  <c r="GD98"/>
  <c r="GE98"/>
  <c r="GF98"/>
  <c r="GG98"/>
  <c r="GH98"/>
  <c r="GI98"/>
  <c r="GJ98"/>
  <c r="GK98"/>
  <c r="GL98"/>
  <c r="GM98"/>
  <c r="GN98"/>
  <c r="GO98"/>
  <c r="GP98"/>
  <c r="GQ98"/>
  <c r="GR98"/>
  <c r="GS98"/>
  <c r="GT98"/>
  <c r="GU98"/>
  <c r="GV98"/>
  <c r="GW98"/>
  <c r="GX98"/>
  <c r="GY98"/>
  <c r="GZ98"/>
  <c r="HA98"/>
  <c r="HB98"/>
  <c r="HC98"/>
  <c r="HD98"/>
  <c r="HE98"/>
  <c r="HF98"/>
  <c r="HG98"/>
  <c r="HH98"/>
  <c r="HI98"/>
  <c r="HJ98"/>
  <c r="HK98"/>
  <c r="HL98"/>
  <c r="HM98"/>
  <c r="HN98"/>
  <c r="HO98"/>
  <c r="HP98"/>
  <c r="HQ98"/>
  <c r="HR98"/>
  <c r="HS98"/>
  <c r="HT98"/>
  <c r="HU98"/>
  <c r="HV98"/>
  <c r="HW98"/>
  <c r="HX98"/>
  <c r="HY98"/>
  <c r="HZ98"/>
  <c r="IA98"/>
  <c r="IB98"/>
  <c r="IC98"/>
  <c r="ID98"/>
  <c r="IE98"/>
  <c r="IF98"/>
  <c r="IG98"/>
  <c r="IH98"/>
  <c r="II98"/>
  <c r="IJ98"/>
  <c r="IK98"/>
  <c r="IL98"/>
  <c r="IM98"/>
  <c r="IN98"/>
  <c r="IO98"/>
  <c r="IP98"/>
  <c r="IQ98"/>
  <c r="IR98"/>
  <c r="IS98"/>
  <c r="IT98"/>
  <c r="IU98"/>
  <c r="IV98"/>
  <c r="A99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CX99"/>
  <c r="CY99"/>
  <c r="CZ99"/>
  <c r="DA99"/>
  <c r="DB99"/>
  <c r="DC99"/>
  <c r="DD99"/>
  <c r="DE99"/>
  <c r="DF99"/>
  <c r="DG99"/>
  <c r="DH99"/>
  <c r="DI99"/>
  <c r="DJ99"/>
  <c r="DK99"/>
  <c r="DL99"/>
  <c r="DM99"/>
  <c r="DN99"/>
  <c r="DO99"/>
  <c r="DP99"/>
  <c r="DQ99"/>
  <c r="DR99"/>
  <c r="DS99"/>
  <c r="DT99"/>
  <c r="DU99"/>
  <c r="DV99"/>
  <c r="DW99"/>
  <c r="DX99"/>
  <c r="DY99"/>
  <c r="DZ99"/>
  <c r="EA99"/>
  <c r="EB99"/>
  <c r="EC99"/>
  <c r="ED99"/>
  <c r="EE99"/>
  <c r="EF99"/>
  <c r="EG99"/>
  <c r="EH99"/>
  <c r="EI99"/>
  <c r="EJ99"/>
  <c r="EK99"/>
  <c r="EL99"/>
  <c r="EM99"/>
  <c r="EN99"/>
  <c r="EO99"/>
  <c r="EP99"/>
  <c r="EQ99"/>
  <c r="ER99"/>
  <c r="ES99"/>
  <c r="ET99"/>
  <c r="EU99"/>
  <c r="EV99"/>
  <c r="EW99"/>
  <c r="EX99"/>
  <c r="EY99"/>
  <c r="EZ99"/>
  <c r="FA99"/>
  <c r="FB99"/>
  <c r="FC99"/>
  <c r="FD99"/>
  <c r="FE99"/>
  <c r="FF99"/>
  <c r="FG99"/>
  <c r="FH99"/>
  <c r="FI99"/>
  <c r="FJ99"/>
  <c r="FK99"/>
  <c r="FL99"/>
  <c r="FM99"/>
  <c r="FN99"/>
  <c r="FO99"/>
  <c r="FP99"/>
  <c r="FQ99"/>
  <c r="FR99"/>
  <c r="FS99"/>
  <c r="FT99"/>
  <c r="FU99"/>
  <c r="FV99"/>
  <c r="FW99"/>
  <c r="FX99"/>
  <c r="FY99"/>
  <c r="FZ99"/>
  <c r="GA99"/>
  <c r="GB99"/>
  <c r="GC99"/>
  <c r="GD99"/>
  <c r="GE99"/>
  <c r="GF99"/>
  <c r="GG99"/>
  <c r="GH99"/>
  <c r="GI99"/>
  <c r="GJ99"/>
  <c r="GK99"/>
  <c r="GL99"/>
  <c r="GM99"/>
  <c r="GN99"/>
  <c r="GO99"/>
  <c r="GP99"/>
  <c r="GQ99"/>
  <c r="GR99"/>
  <c r="GS99"/>
  <c r="GT99"/>
  <c r="GU99"/>
  <c r="GV99"/>
  <c r="GW99"/>
  <c r="GX99"/>
  <c r="GY99"/>
  <c r="GZ99"/>
  <c r="HA99"/>
  <c r="HB99"/>
  <c r="HC99"/>
  <c r="HD99"/>
  <c r="HE99"/>
  <c r="HF99"/>
  <c r="HG99"/>
  <c r="HH99"/>
  <c r="HI99"/>
  <c r="HJ99"/>
  <c r="HK99"/>
  <c r="HL99"/>
  <c r="HM99"/>
  <c r="HN99"/>
  <c r="HO99"/>
  <c r="HP99"/>
  <c r="HQ99"/>
  <c r="HR99"/>
  <c r="HS99"/>
  <c r="HT99"/>
  <c r="HU99"/>
  <c r="HV99"/>
  <c r="HW99"/>
  <c r="HX99"/>
  <c r="HY99"/>
  <c r="HZ99"/>
  <c r="IA99"/>
  <c r="IB99"/>
  <c r="IC99"/>
  <c r="ID99"/>
  <c r="IE99"/>
  <c r="IF99"/>
  <c r="IG99"/>
  <c r="IH99"/>
  <c r="II99"/>
  <c r="IJ99"/>
  <c r="IK99"/>
  <c r="IL99"/>
  <c r="IM99"/>
  <c r="IN99"/>
  <c r="IO99"/>
  <c r="IP99"/>
  <c r="IQ99"/>
  <c r="IR99"/>
  <c r="IS99"/>
  <c r="IT99"/>
  <c r="IU99"/>
  <c r="IV99"/>
  <c r="A100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Z100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AT100"/>
  <c r="AU100"/>
  <c r="AV100"/>
  <c r="AW100"/>
  <c r="AX100"/>
  <c r="AY100"/>
  <c r="AZ100"/>
  <c r="BA100"/>
  <c r="BB100"/>
  <c r="BC100"/>
  <c r="BD100"/>
  <c r="BE100"/>
  <c r="BF100"/>
  <c r="BG100"/>
  <c r="BH100"/>
  <c r="BI100"/>
  <c r="BJ100"/>
  <c r="BK100"/>
  <c r="BL100"/>
  <c r="BM100"/>
  <c r="BN100"/>
  <c r="BO100"/>
  <c r="BP100"/>
  <c r="BQ100"/>
  <c r="BR100"/>
  <c r="BS100"/>
  <c r="BT100"/>
  <c r="BU100"/>
  <c r="BV100"/>
  <c r="BW100"/>
  <c r="BX100"/>
  <c r="BY100"/>
  <c r="BZ100"/>
  <c r="CA100"/>
  <c r="CB100"/>
  <c r="CC100"/>
  <c r="CD100"/>
  <c r="CE100"/>
  <c r="CF100"/>
  <c r="CG100"/>
  <c r="CH100"/>
  <c r="CI100"/>
  <c r="CJ100"/>
  <c r="CK100"/>
  <c r="CL100"/>
  <c r="CM100"/>
  <c r="CN100"/>
  <c r="CO100"/>
  <c r="CP100"/>
  <c r="CQ100"/>
  <c r="CR100"/>
  <c r="CS100"/>
  <c r="CT100"/>
  <c r="CU100"/>
  <c r="CV100"/>
  <c r="CW100"/>
  <c r="CX100"/>
  <c r="CY100"/>
  <c r="CZ100"/>
  <c r="DA100"/>
  <c r="DB100"/>
  <c r="DC100"/>
  <c r="DD100"/>
  <c r="DE100"/>
  <c r="DF100"/>
  <c r="DG100"/>
  <c r="DH100"/>
  <c r="DI100"/>
  <c r="DJ100"/>
  <c r="DK100"/>
  <c r="DL100"/>
  <c r="DM100"/>
  <c r="DN100"/>
  <c r="DO100"/>
  <c r="DP100"/>
  <c r="DQ100"/>
  <c r="DR100"/>
  <c r="DS100"/>
  <c r="DT100"/>
  <c r="DU100"/>
  <c r="DV100"/>
  <c r="DW100"/>
  <c r="DX100"/>
  <c r="DY100"/>
  <c r="DZ100"/>
  <c r="EA100"/>
  <c r="EB100"/>
  <c r="EC100"/>
  <c r="ED100"/>
  <c r="EE100"/>
  <c r="EF100"/>
  <c r="EG100"/>
  <c r="EH100"/>
  <c r="EI100"/>
  <c r="EJ100"/>
  <c r="EK100"/>
  <c r="EL100"/>
  <c r="EM100"/>
  <c r="EN100"/>
  <c r="EO100"/>
  <c r="EP100"/>
  <c r="EQ100"/>
  <c r="ER100"/>
  <c r="ES100"/>
  <c r="ET100"/>
  <c r="EU100"/>
  <c r="EV100"/>
  <c r="EW100"/>
  <c r="EX100"/>
  <c r="EY100"/>
  <c r="EZ100"/>
  <c r="FA100"/>
  <c r="FB100"/>
  <c r="FC100"/>
  <c r="FD100"/>
  <c r="FE100"/>
  <c r="FF100"/>
  <c r="FG100"/>
  <c r="FH100"/>
  <c r="FI100"/>
  <c r="FJ100"/>
  <c r="FK100"/>
  <c r="FL100"/>
  <c r="FM100"/>
  <c r="FN100"/>
  <c r="FO100"/>
  <c r="FP100"/>
  <c r="FQ100"/>
  <c r="FR100"/>
  <c r="FS100"/>
  <c r="FT100"/>
  <c r="FU100"/>
  <c r="FV100"/>
  <c r="FW100"/>
  <c r="FX100"/>
  <c r="FY100"/>
  <c r="FZ100"/>
  <c r="GA100"/>
  <c r="GB100"/>
  <c r="GC100"/>
  <c r="GD100"/>
  <c r="GE100"/>
  <c r="GF100"/>
  <c r="GG100"/>
  <c r="GH100"/>
  <c r="GI100"/>
  <c r="GJ100"/>
  <c r="GK100"/>
  <c r="GL100"/>
  <c r="GM100"/>
  <c r="GN100"/>
  <c r="GO100"/>
  <c r="GP100"/>
  <c r="GQ100"/>
  <c r="GR100"/>
  <c r="GS100"/>
  <c r="GT100"/>
  <c r="GU100"/>
  <c r="GV100"/>
  <c r="GW100"/>
  <c r="GX100"/>
  <c r="GY100"/>
  <c r="GZ100"/>
  <c r="HA100"/>
  <c r="HB100"/>
  <c r="HC100"/>
  <c r="HD100"/>
  <c r="HE100"/>
  <c r="HF100"/>
  <c r="HG100"/>
  <c r="HH100"/>
  <c r="HI100"/>
  <c r="HJ100"/>
  <c r="HK100"/>
  <c r="HL100"/>
  <c r="HM100"/>
  <c r="HN100"/>
  <c r="HO100"/>
  <c r="HP100"/>
  <c r="HQ100"/>
  <c r="HR100"/>
  <c r="HS100"/>
  <c r="HT100"/>
  <c r="HU100"/>
  <c r="HV100"/>
  <c r="HW100"/>
  <c r="HX100"/>
  <c r="HY100"/>
  <c r="HZ100"/>
  <c r="IA100"/>
  <c r="IB100"/>
  <c r="IC100"/>
  <c r="ID100"/>
  <c r="IE100"/>
  <c r="IF100"/>
  <c r="IG100"/>
  <c r="IH100"/>
  <c r="II100"/>
  <c r="IJ100"/>
  <c r="IK100"/>
  <c r="IL100"/>
  <c r="IM100"/>
  <c r="IN100"/>
  <c r="IO100"/>
  <c r="IP100"/>
  <c r="IQ100"/>
  <c r="IR100"/>
  <c r="IS100"/>
  <c r="IT100"/>
  <c r="IU100"/>
  <c r="IV100"/>
  <c r="A101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Z101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AS101"/>
  <c r="AT101"/>
  <c r="AU101"/>
  <c r="AV101"/>
  <c r="AW101"/>
  <c r="AX101"/>
  <c r="AY101"/>
  <c r="AZ101"/>
  <c r="BA101"/>
  <c r="BB101"/>
  <c r="BC101"/>
  <c r="BD101"/>
  <c r="BE101"/>
  <c r="BF101"/>
  <c r="BG101"/>
  <c r="BH101"/>
  <c r="BI101"/>
  <c r="BJ101"/>
  <c r="BK101"/>
  <c r="BL101"/>
  <c r="BM101"/>
  <c r="BN101"/>
  <c r="BO101"/>
  <c r="BP101"/>
  <c r="BQ101"/>
  <c r="BR101"/>
  <c r="BS101"/>
  <c r="BT101"/>
  <c r="BU101"/>
  <c r="BV101"/>
  <c r="BW101"/>
  <c r="BX101"/>
  <c r="BY101"/>
  <c r="BZ101"/>
  <c r="CA101"/>
  <c r="CB101"/>
  <c r="CC101"/>
  <c r="CD101"/>
  <c r="CE101"/>
  <c r="CF101"/>
  <c r="CG101"/>
  <c r="CH101"/>
  <c r="CI101"/>
  <c r="CJ101"/>
  <c r="CK101"/>
  <c r="CL101"/>
  <c r="CM101"/>
  <c r="CN101"/>
  <c r="CO101"/>
  <c r="CP101"/>
  <c r="CQ101"/>
  <c r="CR101"/>
  <c r="CS101"/>
  <c r="CT101"/>
  <c r="CU101"/>
  <c r="CV101"/>
  <c r="CW101"/>
  <c r="CX101"/>
  <c r="CY101"/>
  <c r="CZ101"/>
  <c r="DA101"/>
  <c r="DB101"/>
  <c r="DC101"/>
  <c r="DD101"/>
  <c r="DE101"/>
  <c r="DF101"/>
  <c r="DG101"/>
  <c r="DH101"/>
  <c r="DI101"/>
  <c r="DJ101"/>
  <c r="DK101"/>
  <c r="DL101"/>
  <c r="DM101"/>
  <c r="DN101"/>
  <c r="DO101"/>
  <c r="DP101"/>
  <c r="DQ101"/>
  <c r="DR101"/>
  <c r="DS101"/>
  <c r="DT101"/>
  <c r="DU101"/>
  <c r="DV101"/>
  <c r="DW101"/>
  <c r="DX101"/>
  <c r="DY101"/>
  <c r="DZ101"/>
  <c r="EA101"/>
  <c r="EB101"/>
  <c r="EC101"/>
  <c r="ED101"/>
  <c r="EE101"/>
  <c r="EF101"/>
  <c r="EG101"/>
  <c r="EH101"/>
  <c r="EI101"/>
  <c r="EJ101"/>
  <c r="EK101"/>
  <c r="EL101"/>
  <c r="EM101"/>
  <c r="EN101"/>
  <c r="EO101"/>
  <c r="EP101"/>
  <c r="EQ101"/>
  <c r="ER101"/>
  <c r="ES101"/>
  <c r="ET101"/>
  <c r="EU101"/>
  <c r="EV101"/>
  <c r="EW101"/>
  <c r="EX101"/>
  <c r="EY101"/>
  <c r="EZ101"/>
  <c r="FA101"/>
  <c r="FB101"/>
  <c r="FC101"/>
  <c r="FD101"/>
  <c r="FE101"/>
  <c r="FF101"/>
  <c r="FG101"/>
  <c r="FH101"/>
  <c r="FI101"/>
  <c r="FJ101"/>
  <c r="FK101"/>
  <c r="FL101"/>
  <c r="FM101"/>
  <c r="FN101"/>
  <c r="FO101"/>
  <c r="FP101"/>
  <c r="FQ101"/>
  <c r="FR101"/>
  <c r="FS101"/>
  <c r="FT101"/>
  <c r="FU101"/>
  <c r="FV101"/>
  <c r="FW101"/>
  <c r="FX101"/>
  <c r="FY101"/>
  <c r="FZ101"/>
  <c r="GA101"/>
  <c r="GB101"/>
  <c r="GC101"/>
  <c r="GD101"/>
  <c r="GE101"/>
  <c r="GF101"/>
  <c r="GG101"/>
  <c r="GH101"/>
  <c r="GI101"/>
  <c r="GJ101"/>
  <c r="GK101"/>
  <c r="GL101"/>
  <c r="GM101"/>
  <c r="GN101"/>
  <c r="GO101"/>
  <c r="GP101"/>
  <c r="GQ101"/>
  <c r="GR101"/>
  <c r="GS101"/>
  <c r="GT101"/>
  <c r="GU101"/>
  <c r="GV101"/>
  <c r="GW101"/>
  <c r="GX101"/>
  <c r="GY101"/>
  <c r="GZ101"/>
  <c r="HA101"/>
  <c r="HB101"/>
  <c r="HC101"/>
  <c r="HD101"/>
  <c r="HE101"/>
  <c r="HF101"/>
  <c r="HG101"/>
  <c r="HH101"/>
  <c r="HI101"/>
  <c r="HJ101"/>
  <c r="HK101"/>
  <c r="HL101"/>
  <c r="HM101"/>
  <c r="HN101"/>
  <c r="HO101"/>
  <c r="HP101"/>
  <c r="HQ101"/>
  <c r="HR101"/>
  <c r="HS101"/>
  <c r="HT101"/>
  <c r="HU101"/>
  <c r="HV101"/>
  <c r="HW101"/>
  <c r="HX101"/>
  <c r="HY101"/>
  <c r="HZ101"/>
  <c r="IA101"/>
  <c r="IB101"/>
  <c r="IC101"/>
  <c r="ID101"/>
  <c r="IE101"/>
  <c r="IF101"/>
  <c r="IG101"/>
  <c r="IH101"/>
  <c r="II101"/>
  <c r="IJ101"/>
  <c r="IK101"/>
  <c r="IL101"/>
  <c r="IM101"/>
  <c r="IN101"/>
  <c r="IO101"/>
  <c r="IP101"/>
  <c r="IQ101"/>
  <c r="IR101"/>
  <c r="IS101"/>
  <c r="IT101"/>
  <c r="IU101"/>
  <c r="IV101"/>
  <c r="A102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Z102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BL102"/>
  <c r="BM102"/>
  <c r="BN102"/>
  <c r="BO102"/>
  <c r="BP102"/>
  <c r="BQ102"/>
  <c r="BR102"/>
  <c r="BS102"/>
  <c r="BT102"/>
  <c r="BU102"/>
  <c r="BV102"/>
  <c r="BW102"/>
  <c r="BX102"/>
  <c r="BY102"/>
  <c r="BZ102"/>
  <c r="CA102"/>
  <c r="CB102"/>
  <c r="CC102"/>
  <c r="CD102"/>
  <c r="CE102"/>
  <c r="CF102"/>
  <c r="CG102"/>
  <c r="CH102"/>
  <c r="CI102"/>
  <c r="CJ102"/>
  <c r="CK102"/>
  <c r="CL102"/>
  <c r="CM102"/>
  <c r="CN102"/>
  <c r="CO102"/>
  <c r="CP102"/>
  <c r="CQ102"/>
  <c r="CR102"/>
  <c r="CS102"/>
  <c r="CT102"/>
  <c r="CU102"/>
  <c r="CV102"/>
  <c r="CW102"/>
  <c r="CX102"/>
  <c r="CY102"/>
  <c r="CZ102"/>
  <c r="DA102"/>
  <c r="DB102"/>
  <c r="DC102"/>
  <c r="DD102"/>
  <c r="DE102"/>
  <c r="DF102"/>
  <c r="DG102"/>
  <c r="DH102"/>
  <c r="DI102"/>
  <c r="DJ102"/>
  <c r="DK102"/>
  <c r="DL102"/>
  <c r="DM102"/>
  <c r="DN102"/>
  <c r="DO102"/>
  <c r="DP102"/>
  <c r="DQ102"/>
  <c r="DR102"/>
  <c r="DS102"/>
  <c r="DT102"/>
  <c r="DU102"/>
  <c r="DV102"/>
  <c r="DW102"/>
  <c r="DX102"/>
  <c r="DY102"/>
  <c r="DZ102"/>
  <c r="EA102"/>
  <c r="EB102"/>
  <c r="EC102"/>
  <c r="ED102"/>
  <c r="EE102"/>
  <c r="EF102"/>
  <c r="EG102"/>
  <c r="EH102"/>
  <c r="EI102"/>
  <c r="EJ102"/>
  <c r="EK102"/>
  <c r="EL102"/>
  <c r="EM102"/>
  <c r="EN102"/>
  <c r="EO102"/>
  <c r="EP102"/>
  <c r="EQ102"/>
  <c r="ER102"/>
  <c r="ES102"/>
  <c r="ET102"/>
  <c r="EU102"/>
  <c r="EV102"/>
  <c r="EW102"/>
  <c r="EX102"/>
  <c r="EY102"/>
  <c r="EZ102"/>
  <c r="FA102"/>
  <c r="FB102"/>
  <c r="FC102"/>
  <c r="FD102"/>
  <c r="FE102"/>
  <c r="FF102"/>
  <c r="FG102"/>
  <c r="FH102"/>
  <c r="FI102"/>
  <c r="FJ102"/>
  <c r="FK102"/>
  <c r="FL102"/>
  <c r="FM102"/>
  <c r="FN102"/>
  <c r="FO102"/>
  <c r="FP102"/>
  <c r="FQ102"/>
  <c r="FR102"/>
  <c r="FS102"/>
  <c r="FT102"/>
  <c r="FU102"/>
  <c r="FV102"/>
  <c r="FW102"/>
  <c r="FX102"/>
  <c r="FY102"/>
  <c r="FZ102"/>
  <c r="GA102"/>
  <c r="GB102"/>
  <c r="GC102"/>
  <c r="GD102"/>
  <c r="GE102"/>
  <c r="GF102"/>
  <c r="GG102"/>
  <c r="GH102"/>
  <c r="GI102"/>
  <c r="GJ102"/>
  <c r="GK102"/>
  <c r="GL102"/>
  <c r="GM102"/>
  <c r="GN102"/>
  <c r="GO102"/>
  <c r="GP102"/>
  <c r="GQ102"/>
  <c r="GR102"/>
  <c r="GS102"/>
  <c r="GT102"/>
  <c r="GU102"/>
  <c r="GV102"/>
  <c r="GW102"/>
  <c r="GX102"/>
  <c r="GY102"/>
  <c r="GZ102"/>
  <c r="HA102"/>
  <c r="HB102"/>
  <c r="HC102"/>
  <c r="HD102"/>
  <c r="HE102"/>
  <c r="HF102"/>
  <c r="HG102"/>
  <c r="HH102"/>
  <c r="HI102"/>
  <c r="HJ102"/>
  <c r="HK102"/>
  <c r="HL102"/>
  <c r="HM102"/>
  <c r="HN102"/>
  <c r="HO102"/>
  <c r="HP102"/>
  <c r="HQ102"/>
  <c r="HR102"/>
  <c r="HS102"/>
  <c r="HT102"/>
  <c r="HU102"/>
  <c r="HV102"/>
  <c r="HW102"/>
  <c r="HX102"/>
  <c r="HY102"/>
  <c r="HZ102"/>
  <c r="IA102"/>
  <c r="IB102"/>
  <c r="IC102"/>
  <c r="ID102"/>
  <c r="IE102"/>
  <c r="IF102"/>
  <c r="IG102"/>
  <c r="IH102"/>
  <c r="II102"/>
  <c r="IJ102"/>
  <c r="IK102"/>
  <c r="IL102"/>
  <c r="IM102"/>
  <c r="IN102"/>
  <c r="IO102"/>
  <c r="IP102"/>
  <c r="IQ102"/>
  <c r="IR102"/>
  <c r="IS102"/>
  <c r="IT102"/>
  <c r="IU102"/>
  <c r="IV102"/>
  <c r="A103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Z103"/>
  <c r="AA103"/>
  <c r="AB103"/>
  <c r="AC103"/>
  <c r="AD103"/>
  <c r="AE103"/>
  <c r="AF103"/>
  <c r="AG103"/>
  <c r="AH103"/>
  <c r="AI103"/>
  <c r="AJ103"/>
  <c r="AK103"/>
  <c r="AL103"/>
  <c r="AM103"/>
  <c r="AN103"/>
  <c r="AO103"/>
  <c r="AP103"/>
  <c r="AQ103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BL103"/>
  <c r="BM103"/>
  <c r="BN103"/>
  <c r="BO103"/>
  <c r="BP103"/>
  <c r="BQ103"/>
  <c r="BR103"/>
  <c r="BS103"/>
  <c r="BT103"/>
  <c r="BU103"/>
  <c r="BV103"/>
  <c r="BW103"/>
  <c r="BX103"/>
  <c r="BY103"/>
  <c r="BZ103"/>
  <c r="CA103"/>
  <c r="CB103"/>
  <c r="CC103"/>
  <c r="CD103"/>
  <c r="CE103"/>
  <c r="CF103"/>
  <c r="CG103"/>
  <c r="CH103"/>
  <c r="CI103"/>
  <c r="CJ103"/>
  <c r="CK103"/>
  <c r="CL103"/>
  <c r="CM103"/>
  <c r="CN103"/>
  <c r="CO103"/>
  <c r="CP103"/>
  <c r="CQ103"/>
  <c r="CR103"/>
  <c r="CS103"/>
  <c r="CT103"/>
  <c r="CU103"/>
  <c r="CV103"/>
  <c r="CW103"/>
  <c r="CX103"/>
  <c r="CY103"/>
  <c r="CZ103"/>
  <c r="DA103"/>
  <c r="DB103"/>
  <c r="DC103"/>
  <c r="DD103"/>
  <c r="DE103"/>
  <c r="DF103"/>
  <c r="DG103"/>
  <c r="DH103"/>
  <c r="DI103"/>
  <c r="DJ103"/>
  <c r="DK103"/>
  <c r="DL103"/>
  <c r="DM103"/>
  <c r="DN103"/>
  <c r="DO103"/>
  <c r="DP103"/>
  <c r="DQ103"/>
  <c r="DR103"/>
  <c r="DS103"/>
  <c r="DT103"/>
  <c r="DU103"/>
  <c r="DV103"/>
  <c r="DW103"/>
  <c r="DX103"/>
  <c r="DY103"/>
  <c r="DZ103"/>
  <c r="EA103"/>
  <c r="EB103"/>
  <c r="EC103"/>
  <c r="ED103"/>
  <c r="EE103"/>
  <c r="EF103"/>
  <c r="EG103"/>
  <c r="EH103"/>
  <c r="EI103"/>
  <c r="EJ103"/>
  <c r="EK103"/>
  <c r="EL103"/>
  <c r="EM103"/>
  <c r="EN103"/>
  <c r="EO103"/>
  <c r="EP103"/>
  <c r="EQ103"/>
  <c r="ER103"/>
  <c r="ES103"/>
  <c r="ET103"/>
  <c r="EU103"/>
  <c r="EV103"/>
  <c r="EW103"/>
  <c r="EX103"/>
  <c r="EY103"/>
  <c r="EZ103"/>
  <c r="FA103"/>
  <c r="FB103"/>
  <c r="FC103"/>
  <c r="FD103"/>
  <c r="FE103"/>
  <c r="FF103"/>
  <c r="FG103"/>
  <c r="FH103"/>
  <c r="FI103"/>
  <c r="FJ103"/>
  <c r="FK103"/>
  <c r="FL103"/>
  <c r="FM103"/>
  <c r="FN103"/>
  <c r="FO103"/>
  <c r="FP103"/>
  <c r="FQ103"/>
  <c r="FR103"/>
  <c r="FS103"/>
  <c r="FT103"/>
  <c r="FU103"/>
  <c r="FV103"/>
  <c r="FW103"/>
  <c r="FX103"/>
  <c r="FY103"/>
  <c r="FZ103"/>
  <c r="GA103"/>
  <c r="GB103"/>
  <c r="GC103"/>
  <c r="GD103"/>
  <c r="GE103"/>
  <c r="GF103"/>
  <c r="GG103"/>
  <c r="GH103"/>
  <c r="GI103"/>
  <c r="GJ103"/>
  <c r="GK103"/>
  <c r="GL103"/>
  <c r="GM103"/>
  <c r="GN103"/>
  <c r="GO103"/>
  <c r="GP103"/>
  <c r="GQ103"/>
  <c r="GR103"/>
  <c r="GS103"/>
  <c r="GT103"/>
  <c r="GU103"/>
  <c r="GV103"/>
  <c r="GW103"/>
  <c r="GX103"/>
  <c r="GY103"/>
  <c r="GZ103"/>
  <c r="HA103"/>
  <c r="HB103"/>
  <c r="HC103"/>
  <c r="HD103"/>
  <c r="HE103"/>
  <c r="HF103"/>
  <c r="HG103"/>
  <c r="HH103"/>
  <c r="HI103"/>
  <c r="HJ103"/>
  <c r="HK103"/>
  <c r="HL103"/>
  <c r="HM103"/>
  <c r="HN103"/>
  <c r="HO103"/>
  <c r="HP103"/>
  <c r="HQ103"/>
  <c r="HR103"/>
  <c r="HS103"/>
  <c r="HT103"/>
  <c r="HU103"/>
  <c r="HV103"/>
  <c r="HW103"/>
  <c r="HX103"/>
  <c r="HY103"/>
  <c r="HZ103"/>
  <c r="IA103"/>
  <c r="IB103"/>
  <c r="IC103"/>
  <c r="ID103"/>
  <c r="IE103"/>
  <c r="IF103"/>
  <c r="IG103"/>
  <c r="IH103"/>
  <c r="II103"/>
  <c r="IJ103"/>
  <c r="IK103"/>
  <c r="IL103"/>
  <c r="IM103"/>
  <c r="IN103"/>
  <c r="IO103"/>
  <c r="IP103"/>
  <c r="IQ103"/>
  <c r="IR103"/>
  <c r="IS103"/>
  <c r="IT103"/>
  <c r="IU103"/>
  <c r="IV103"/>
  <c r="A104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Z104"/>
  <c r="AA104"/>
  <c r="AB104"/>
  <c r="AC104"/>
  <c r="AD104"/>
  <c r="AE104"/>
  <c r="AF104"/>
  <c r="AG104"/>
  <c r="AH104"/>
  <c r="AI104"/>
  <c r="AJ104"/>
  <c r="AK104"/>
  <c r="AL104"/>
  <c r="AM104"/>
  <c r="AN104"/>
  <c r="AO104"/>
  <c r="AP104"/>
  <c r="AQ104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BL104"/>
  <c r="BM104"/>
  <c r="BN104"/>
  <c r="BO104"/>
  <c r="BP104"/>
  <c r="BQ104"/>
  <c r="BR104"/>
  <c r="BS104"/>
  <c r="BT104"/>
  <c r="BU104"/>
  <c r="BV104"/>
  <c r="BW104"/>
  <c r="BX104"/>
  <c r="BY104"/>
  <c r="BZ104"/>
  <c r="CA104"/>
  <c r="CB104"/>
  <c r="CC104"/>
  <c r="CD104"/>
  <c r="CE104"/>
  <c r="CF104"/>
  <c r="CG104"/>
  <c r="CH104"/>
  <c r="CI104"/>
  <c r="CJ104"/>
  <c r="CK104"/>
  <c r="CL104"/>
  <c r="CM104"/>
  <c r="CN104"/>
  <c r="CO104"/>
  <c r="CP104"/>
  <c r="CQ104"/>
  <c r="CR104"/>
  <c r="CS104"/>
  <c r="CT104"/>
  <c r="CU104"/>
  <c r="CV104"/>
  <c r="CW104"/>
  <c r="CX104"/>
  <c r="CY104"/>
  <c r="CZ104"/>
  <c r="DA104"/>
  <c r="DB104"/>
  <c r="DC104"/>
  <c r="DD104"/>
  <c r="DE104"/>
  <c r="DF104"/>
  <c r="DG104"/>
  <c r="DH104"/>
  <c r="DI104"/>
  <c r="DJ104"/>
  <c r="DK104"/>
  <c r="DL104"/>
  <c r="DM104"/>
  <c r="DN104"/>
  <c r="DO104"/>
  <c r="DP104"/>
  <c r="DQ104"/>
  <c r="DR104"/>
  <c r="DS104"/>
  <c r="DT104"/>
  <c r="DU104"/>
  <c r="DV104"/>
  <c r="DW104"/>
  <c r="DX104"/>
  <c r="DY104"/>
  <c r="DZ104"/>
  <c r="EA104"/>
  <c r="EB104"/>
  <c r="EC104"/>
  <c r="ED104"/>
  <c r="EE104"/>
  <c r="EF104"/>
  <c r="EG104"/>
  <c r="EH104"/>
  <c r="EI104"/>
  <c r="EJ104"/>
  <c r="EK104"/>
  <c r="EL104"/>
  <c r="EM104"/>
  <c r="EN104"/>
  <c r="EO104"/>
  <c r="EP104"/>
  <c r="EQ104"/>
  <c r="ER104"/>
  <c r="ES104"/>
  <c r="ET104"/>
  <c r="EU104"/>
  <c r="EV104"/>
  <c r="EW104"/>
  <c r="EX104"/>
  <c r="EY104"/>
  <c r="EZ104"/>
  <c r="FA104"/>
  <c r="FB104"/>
  <c r="FC104"/>
  <c r="FD104"/>
  <c r="FE104"/>
  <c r="FF104"/>
  <c r="FG104"/>
  <c r="FH104"/>
  <c r="FI104"/>
  <c r="FJ104"/>
  <c r="FK104"/>
  <c r="FL104"/>
  <c r="FM104"/>
  <c r="FN104"/>
  <c r="FO104"/>
  <c r="FP104"/>
  <c r="FQ104"/>
  <c r="FR104"/>
  <c r="FS104"/>
  <c r="FT104"/>
  <c r="FU104"/>
  <c r="FV104"/>
  <c r="FW104"/>
  <c r="FX104"/>
  <c r="FY104"/>
  <c r="FZ104"/>
  <c r="GA104"/>
  <c r="GB104"/>
  <c r="GC104"/>
  <c r="GD104"/>
  <c r="GE104"/>
  <c r="GF104"/>
  <c r="GG104"/>
  <c r="GH104"/>
  <c r="GI104"/>
  <c r="GJ104"/>
  <c r="GK104"/>
  <c r="GL104"/>
  <c r="GM104"/>
  <c r="GN104"/>
  <c r="GO104"/>
  <c r="GP104"/>
  <c r="GQ104"/>
  <c r="GR104"/>
  <c r="GS104"/>
  <c r="GT104"/>
  <c r="GU104"/>
  <c r="GV104"/>
  <c r="GW104"/>
  <c r="GX104"/>
  <c r="GY104"/>
  <c r="GZ104"/>
  <c r="HA104"/>
  <c r="HB104"/>
  <c r="HC104"/>
  <c r="HD104"/>
  <c r="HE104"/>
  <c r="HF104"/>
  <c r="HG104"/>
  <c r="HH104"/>
  <c r="HI104"/>
  <c r="HJ104"/>
  <c r="HK104"/>
  <c r="HL104"/>
  <c r="HM104"/>
  <c r="HN104"/>
  <c r="HO104"/>
  <c r="HP104"/>
  <c r="HQ104"/>
  <c r="HR104"/>
  <c r="HS104"/>
  <c r="HT104"/>
  <c r="HU104"/>
  <c r="HV104"/>
  <c r="HW104"/>
  <c r="HX104"/>
  <c r="HY104"/>
  <c r="HZ104"/>
  <c r="IA104"/>
  <c r="IB104"/>
  <c r="IC104"/>
  <c r="ID104"/>
  <c r="IE104"/>
  <c r="IF104"/>
  <c r="IG104"/>
  <c r="IH104"/>
  <c r="II104"/>
  <c r="IJ104"/>
  <c r="IK104"/>
  <c r="IL104"/>
  <c r="IM104"/>
  <c r="IN104"/>
  <c r="IO104"/>
  <c r="IP104"/>
  <c r="IQ104"/>
  <c r="IR104"/>
  <c r="IS104"/>
  <c r="IT104"/>
  <c r="IU104"/>
  <c r="IV104"/>
  <c r="A105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Z105"/>
  <c r="AA105"/>
  <c r="AB105"/>
  <c r="AC105"/>
  <c r="AD105"/>
  <c r="AE105"/>
  <c r="AF105"/>
  <c r="AG105"/>
  <c r="AH105"/>
  <c r="AI105"/>
  <c r="AJ105"/>
  <c r="AK105"/>
  <c r="AL105"/>
  <c r="AM105"/>
  <c r="AN105"/>
  <c r="AO105"/>
  <c r="AP105"/>
  <c r="AQ105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BL105"/>
  <c r="BM105"/>
  <c r="BN105"/>
  <c r="BO105"/>
  <c r="BP105"/>
  <c r="BQ105"/>
  <c r="BR105"/>
  <c r="BS105"/>
  <c r="BT105"/>
  <c r="BU105"/>
  <c r="BV105"/>
  <c r="BW105"/>
  <c r="BX105"/>
  <c r="BY105"/>
  <c r="BZ105"/>
  <c r="CA105"/>
  <c r="CB105"/>
  <c r="CC105"/>
  <c r="CD105"/>
  <c r="CE105"/>
  <c r="CF105"/>
  <c r="CG105"/>
  <c r="CH105"/>
  <c r="CI105"/>
  <c r="CJ105"/>
  <c r="CK105"/>
  <c r="CL105"/>
  <c r="CM105"/>
  <c r="CN105"/>
  <c r="CO105"/>
  <c r="CP105"/>
  <c r="CQ105"/>
  <c r="CR105"/>
  <c r="CS105"/>
  <c r="CT105"/>
  <c r="CU105"/>
  <c r="CV105"/>
  <c r="CW105"/>
  <c r="CX105"/>
  <c r="CY105"/>
  <c r="CZ105"/>
  <c r="DA105"/>
  <c r="DB105"/>
  <c r="DC105"/>
  <c r="DD105"/>
  <c r="DE105"/>
  <c r="DF105"/>
  <c r="DG105"/>
  <c r="DH105"/>
  <c r="DI105"/>
  <c r="DJ105"/>
  <c r="DK105"/>
  <c r="DL105"/>
  <c r="DM105"/>
  <c r="DN105"/>
  <c r="DO105"/>
  <c r="DP105"/>
  <c r="DQ105"/>
  <c r="DR105"/>
  <c r="DS105"/>
  <c r="DT105"/>
  <c r="DU105"/>
  <c r="DV105"/>
  <c r="DW105"/>
  <c r="DX105"/>
  <c r="DY105"/>
  <c r="DZ105"/>
  <c r="EA105"/>
  <c r="EB105"/>
  <c r="EC105"/>
  <c r="ED105"/>
  <c r="EE105"/>
  <c r="EF105"/>
  <c r="EG105"/>
  <c r="EH105"/>
  <c r="EI105"/>
  <c r="EJ105"/>
  <c r="EK105"/>
  <c r="EL105"/>
  <c r="EM105"/>
  <c r="EN105"/>
  <c r="EO105"/>
  <c r="EP105"/>
  <c r="EQ105"/>
  <c r="ER105"/>
  <c r="ES105"/>
  <c r="ET105"/>
  <c r="EU105"/>
  <c r="EV105"/>
  <c r="EW105"/>
  <c r="EX105"/>
  <c r="EY105"/>
  <c r="EZ105"/>
  <c r="FA105"/>
  <c r="FB105"/>
  <c r="FC105"/>
  <c r="FD105"/>
  <c r="FE105"/>
  <c r="FF105"/>
  <c r="FG105"/>
  <c r="FH105"/>
  <c r="FI105"/>
  <c r="FJ105"/>
  <c r="FK105"/>
  <c r="FL105"/>
  <c r="FM105"/>
  <c r="FN105"/>
  <c r="FO105"/>
  <c r="FP105"/>
  <c r="FQ105"/>
  <c r="FR105"/>
  <c r="FS105"/>
  <c r="FT105"/>
  <c r="FU105"/>
  <c r="FV105"/>
  <c r="FW105"/>
  <c r="FX105"/>
  <c r="FY105"/>
  <c r="FZ105"/>
  <c r="GA105"/>
  <c r="GB105"/>
  <c r="GC105"/>
  <c r="GD105"/>
  <c r="GE105"/>
  <c r="GF105"/>
  <c r="GG105"/>
  <c r="GH105"/>
  <c r="GI105"/>
  <c r="GJ105"/>
  <c r="GK105"/>
  <c r="GL105"/>
  <c r="GM105"/>
  <c r="GN105"/>
  <c r="GO105"/>
  <c r="GP105"/>
  <c r="GQ105"/>
  <c r="GR105"/>
  <c r="GS105"/>
  <c r="GT105"/>
  <c r="GU105"/>
  <c r="GV105"/>
  <c r="GW105"/>
  <c r="GX105"/>
  <c r="GY105"/>
  <c r="GZ105"/>
  <c r="HA105"/>
  <c r="HB105"/>
  <c r="HC105"/>
  <c r="HD105"/>
  <c r="HE105"/>
  <c r="HF105"/>
  <c r="HG105"/>
  <c r="HH105"/>
  <c r="HI105"/>
  <c r="HJ105"/>
  <c r="HK105"/>
  <c r="HL105"/>
  <c r="HM105"/>
  <c r="HN105"/>
  <c r="HO105"/>
  <c r="HP105"/>
  <c r="HQ105"/>
  <c r="HR105"/>
  <c r="HS105"/>
  <c r="HT105"/>
  <c r="HU105"/>
  <c r="HV105"/>
  <c r="HW105"/>
  <c r="HX105"/>
  <c r="HY105"/>
  <c r="HZ105"/>
  <c r="IA105"/>
  <c r="IB105"/>
  <c r="IC105"/>
  <c r="ID105"/>
  <c r="IE105"/>
  <c r="IF105"/>
  <c r="IG105"/>
  <c r="IH105"/>
  <c r="II105"/>
  <c r="IJ105"/>
  <c r="IK105"/>
  <c r="IL105"/>
  <c r="IM105"/>
  <c r="IN105"/>
  <c r="IO105"/>
  <c r="IP105"/>
  <c r="IQ105"/>
  <c r="IR105"/>
  <c r="IS105"/>
  <c r="IT105"/>
  <c r="IU105"/>
  <c r="IV105"/>
  <c r="A106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Z106"/>
  <c r="AA106"/>
  <c r="AB106"/>
  <c r="AC106"/>
  <c r="AD106"/>
  <c r="AE106"/>
  <c r="AF106"/>
  <c r="AG106"/>
  <c r="AH106"/>
  <c r="AI106"/>
  <c r="AJ106"/>
  <c r="AK106"/>
  <c r="AL106"/>
  <c r="AM106"/>
  <c r="AN106"/>
  <c r="AO106"/>
  <c r="AP106"/>
  <c r="AQ106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BL106"/>
  <c r="BM106"/>
  <c r="BN106"/>
  <c r="BO106"/>
  <c r="BP106"/>
  <c r="BQ106"/>
  <c r="BR106"/>
  <c r="BS106"/>
  <c r="BT106"/>
  <c r="BU106"/>
  <c r="BV106"/>
  <c r="BW106"/>
  <c r="BX106"/>
  <c r="BY106"/>
  <c r="BZ106"/>
  <c r="CA106"/>
  <c r="CB106"/>
  <c r="CC106"/>
  <c r="CD106"/>
  <c r="CE106"/>
  <c r="CF106"/>
  <c r="CG106"/>
  <c r="CH106"/>
  <c r="CI106"/>
  <c r="CJ106"/>
  <c r="CK106"/>
  <c r="CL106"/>
  <c r="CM106"/>
  <c r="CN106"/>
  <c r="CO106"/>
  <c r="CP106"/>
  <c r="CQ106"/>
  <c r="CR106"/>
  <c r="CS106"/>
  <c r="CT106"/>
  <c r="CU106"/>
  <c r="CV106"/>
  <c r="CW106"/>
  <c r="CX106"/>
  <c r="CY106"/>
  <c r="CZ106"/>
  <c r="DA106"/>
  <c r="DB106"/>
  <c r="DC106"/>
  <c r="DD106"/>
  <c r="DE106"/>
  <c r="DF106"/>
  <c r="DG106"/>
  <c r="DH106"/>
  <c r="DI106"/>
  <c r="DJ106"/>
  <c r="DK106"/>
  <c r="DL106"/>
  <c r="DM106"/>
  <c r="DN106"/>
  <c r="DO106"/>
  <c r="DP106"/>
  <c r="DQ106"/>
  <c r="DR106"/>
  <c r="DS106"/>
  <c r="DT106"/>
  <c r="DU106"/>
  <c r="DV106"/>
  <c r="DW106"/>
  <c r="DX106"/>
  <c r="DY106"/>
  <c r="DZ106"/>
  <c r="EA106"/>
  <c r="EB106"/>
  <c r="EC106"/>
  <c r="ED106"/>
  <c r="EE106"/>
  <c r="EF106"/>
  <c r="EG106"/>
  <c r="EH106"/>
  <c r="EI106"/>
  <c r="EJ106"/>
  <c r="EK106"/>
  <c r="EL106"/>
  <c r="EM106"/>
  <c r="EN106"/>
  <c r="EO106"/>
  <c r="EP106"/>
  <c r="EQ106"/>
  <c r="ER106"/>
  <c r="ES106"/>
  <c r="ET106"/>
  <c r="EU106"/>
  <c r="EV106"/>
  <c r="EW106"/>
  <c r="EX106"/>
  <c r="EY106"/>
  <c r="EZ106"/>
  <c r="FA106"/>
  <c r="FB106"/>
  <c r="FC106"/>
  <c r="FD106"/>
  <c r="FE106"/>
  <c r="FF106"/>
  <c r="FG106"/>
  <c r="FH106"/>
  <c r="FI106"/>
  <c r="FJ106"/>
  <c r="FK106"/>
  <c r="FL106"/>
  <c r="FM106"/>
  <c r="FN106"/>
  <c r="FO106"/>
  <c r="FP106"/>
  <c r="FQ106"/>
  <c r="FR106"/>
  <c r="FS106"/>
  <c r="FT106"/>
  <c r="FU106"/>
  <c r="FV106"/>
  <c r="FW106"/>
  <c r="FX106"/>
  <c r="FY106"/>
  <c r="FZ106"/>
  <c r="GA106"/>
  <c r="GB106"/>
  <c r="GC106"/>
  <c r="GD106"/>
  <c r="GE106"/>
  <c r="GF106"/>
  <c r="GG106"/>
  <c r="GH106"/>
  <c r="GI106"/>
  <c r="GJ106"/>
  <c r="GK106"/>
  <c r="GL106"/>
  <c r="GM106"/>
  <c r="GN106"/>
  <c r="GO106"/>
  <c r="GP106"/>
  <c r="GQ106"/>
  <c r="GR106"/>
  <c r="GS106"/>
  <c r="GT106"/>
  <c r="GU106"/>
  <c r="GV106"/>
  <c r="GW106"/>
  <c r="GX106"/>
  <c r="GY106"/>
  <c r="GZ106"/>
  <c r="HA106"/>
  <c r="HB106"/>
  <c r="HC106"/>
  <c r="HD106"/>
  <c r="HE106"/>
  <c r="HF106"/>
  <c r="HG106"/>
  <c r="HH106"/>
  <c r="HI106"/>
  <c r="HJ106"/>
  <c r="HK106"/>
  <c r="HL106"/>
  <c r="HM106"/>
  <c r="HN106"/>
  <c r="HO106"/>
  <c r="HP106"/>
  <c r="HQ106"/>
  <c r="HR106"/>
  <c r="HS106"/>
  <c r="HT106"/>
  <c r="HU106"/>
  <c r="HV106"/>
  <c r="HW106"/>
  <c r="HX106"/>
  <c r="HY106"/>
  <c r="HZ106"/>
  <c r="IA106"/>
  <c r="IB106"/>
  <c r="IC106"/>
  <c r="ID106"/>
  <c r="IE106"/>
  <c r="IF106"/>
  <c r="IG106"/>
  <c r="IH106"/>
  <c r="II106"/>
  <c r="IJ106"/>
  <c r="IK106"/>
  <c r="IL106"/>
  <c r="IM106"/>
  <c r="IN106"/>
  <c r="IO106"/>
  <c r="IP106"/>
  <c r="IQ106"/>
  <c r="IR106"/>
  <c r="IS106"/>
  <c r="IT106"/>
  <c r="IU106"/>
  <c r="IV106"/>
  <c r="A107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Z107"/>
  <c r="AA107"/>
  <c r="AB107"/>
  <c r="AC107"/>
  <c r="AD107"/>
  <c r="AE107"/>
  <c r="AF107"/>
  <c r="AG107"/>
  <c r="AH107"/>
  <c r="AI107"/>
  <c r="AJ107"/>
  <c r="AK107"/>
  <c r="AL107"/>
  <c r="AM107"/>
  <c r="AN107"/>
  <c r="AO107"/>
  <c r="AP107"/>
  <c r="AQ107"/>
  <c r="AR107"/>
  <c r="AS107"/>
  <c r="AT107"/>
  <c r="AU107"/>
  <c r="AV107"/>
  <c r="AW107"/>
  <c r="AX107"/>
  <c r="AY107"/>
  <c r="AZ107"/>
  <c r="BA107"/>
  <c r="BB107"/>
  <c r="BC107"/>
  <c r="BD107"/>
  <c r="BE107"/>
  <c r="BF107"/>
  <c r="BG107"/>
  <c r="BH107"/>
  <c r="BI107"/>
  <c r="BJ107"/>
  <c r="BK107"/>
  <c r="BL107"/>
  <c r="BM107"/>
  <c r="BN107"/>
  <c r="BO107"/>
  <c r="BP107"/>
  <c r="BQ107"/>
  <c r="BR107"/>
  <c r="BS107"/>
  <c r="BT107"/>
  <c r="BU107"/>
  <c r="BV107"/>
  <c r="BW107"/>
  <c r="BX107"/>
  <c r="BY107"/>
  <c r="BZ107"/>
  <c r="CA107"/>
  <c r="CB107"/>
  <c r="CC107"/>
  <c r="CD107"/>
  <c r="CE107"/>
  <c r="CF107"/>
  <c r="CG107"/>
  <c r="CH107"/>
  <c r="CI107"/>
  <c r="CJ107"/>
  <c r="CK107"/>
  <c r="CL107"/>
  <c r="CM107"/>
  <c r="CN107"/>
  <c r="CO107"/>
  <c r="CP107"/>
  <c r="CQ107"/>
  <c r="CR107"/>
  <c r="CS107"/>
  <c r="CT107"/>
  <c r="CU107"/>
  <c r="CV107"/>
  <c r="CW107"/>
  <c r="CX107"/>
  <c r="CY107"/>
  <c r="CZ107"/>
  <c r="DA107"/>
  <c r="DB107"/>
  <c r="DC107"/>
  <c r="DD107"/>
  <c r="DE107"/>
  <c r="DF107"/>
  <c r="DG107"/>
  <c r="DH107"/>
  <c r="DI107"/>
  <c r="DJ107"/>
  <c r="DK107"/>
  <c r="DL107"/>
  <c r="DM107"/>
  <c r="DN107"/>
  <c r="DO107"/>
  <c r="DP107"/>
  <c r="DQ107"/>
  <c r="DR107"/>
  <c r="DS107"/>
  <c r="DT107"/>
  <c r="DU107"/>
  <c r="DV107"/>
  <c r="DW107"/>
  <c r="DX107"/>
  <c r="DY107"/>
  <c r="DZ107"/>
  <c r="EA107"/>
  <c r="EB107"/>
  <c r="EC107"/>
  <c r="ED107"/>
  <c r="EE107"/>
  <c r="EF107"/>
  <c r="EG107"/>
  <c r="EH107"/>
  <c r="EI107"/>
  <c r="EJ107"/>
  <c r="EK107"/>
  <c r="EL107"/>
  <c r="EM107"/>
  <c r="EN107"/>
  <c r="EO107"/>
  <c r="EP107"/>
  <c r="EQ107"/>
  <c r="ER107"/>
  <c r="ES107"/>
  <c r="ET107"/>
  <c r="EU107"/>
  <c r="EV107"/>
  <c r="EW107"/>
  <c r="EX107"/>
  <c r="EY107"/>
  <c r="EZ107"/>
  <c r="FA107"/>
  <c r="FB107"/>
  <c r="FC107"/>
  <c r="FD107"/>
  <c r="FE107"/>
  <c r="FF107"/>
  <c r="FG107"/>
  <c r="FH107"/>
  <c r="FI107"/>
  <c r="FJ107"/>
  <c r="FK107"/>
  <c r="FL107"/>
  <c r="FM107"/>
  <c r="FN107"/>
  <c r="FO107"/>
  <c r="FP107"/>
  <c r="FQ107"/>
  <c r="FR107"/>
  <c r="FS107"/>
  <c r="FT107"/>
  <c r="FU107"/>
  <c r="FV107"/>
  <c r="FW107"/>
  <c r="FX107"/>
  <c r="FY107"/>
  <c r="FZ107"/>
  <c r="GA107"/>
  <c r="GB107"/>
  <c r="GC107"/>
  <c r="GD107"/>
  <c r="GE107"/>
  <c r="GF107"/>
  <c r="GG107"/>
  <c r="GH107"/>
  <c r="GI107"/>
  <c r="GJ107"/>
  <c r="GK107"/>
  <c r="GL107"/>
  <c r="GM107"/>
  <c r="GN107"/>
  <c r="GO107"/>
  <c r="GP107"/>
  <c r="GQ107"/>
  <c r="GR107"/>
  <c r="GS107"/>
  <c r="GT107"/>
  <c r="GU107"/>
  <c r="GV107"/>
  <c r="GW107"/>
  <c r="GX107"/>
  <c r="GY107"/>
  <c r="GZ107"/>
  <c r="HA107"/>
  <c r="HB107"/>
  <c r="HC107"/>
  <c r="HD107"/>
  <c r="HE107"/>
  <c r="HF107"/>
  <c r="HG107"/>
  <c r="HH107"/>
  <c r="HI107"/>
  <c r="HJ107"/>
  <c r="HK107"/>
  <c r="HL107"/>
  <c r="HM107"/>
  <c r="HN107"/>
  <c r="HO107"/>
  <c r="HP107"/>
  <c r="HQ107"/>
  <c r="HR107"/>
  <c r="HS107"/>
  <c r="HT107"/>
  <c r="HU107"/>
  <c r="HV107"/>
  <c r="HW107"/>
  <c r="HX107"/>
  <c r="HY107"/>
  <c r="HZ107"/>
  <c r="IA107"/>
  <c r="IB107"/>
  <c r="IC107"/>
  <c r="ID107"/>
  <c r="IE107"/>
  <c r="IF107"/>
  <c r="IG107"/>
  <c r="IH107"/>
  <c r="II107"/>
  <c r="IJ107"/>
  <c r="IK107"/>
  <c r="IL107"/>
  <c r="IM107"/>
  <c r="IN107"/>
  <c r="IO107"/>
  <c r="IP107"/>
  <c r="IQ107"/>
  <c r="IR107"/>
  <c r="IS107"/>
  <c r="IT107"/>
  <c r="IU107"/>
  <c r="IV107"/>
  <c r="A108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Z108"/>
  <c r="AA108"/>
  <c r="AB108"/>
  <c r="AC108"/>
  <c r="AD108"/>
  <c r="AE108"/>
  <c r="AF108"/>
  <c r="AG108"/>
  <c r="AH108"/>
  <c r="AI108"/>
  <c r="AJ108"/>
  <c r="AK108"/>
  <c r="AL108"/>
  <c r="AM108"/>
  <c r="AN108"/>
  <c r="AO108"/>
  <c r="AP108"/>
  <c r="AQ108"/>
  <c r="AR108"/>
  <c r="AS108"/>
  <c r="AT108"/>
  <c r="AU108"/>
  <c r="AV108"/>
  <c r="AW108"/>
  <c r="AX108"/>
  <c r="AY108"/>
  <c r="AZ108"/>
  <c r="BA108"/>
  <c r="BB108"/>
  <c r="BC108"/>
  <c r="BD108"/>
  <c r="BE108"/>
  <c r="BF108"/>
  <c r="BG108"/>
  <c r="BH108"/>
  <c r="BI108"/>
  <c r="BJ108"/>
  <c r="BK108"/>
  <c r="BL108"/>
  <c r="BM108"/>
  <c r="BN108"/>
  <c r="BO108"/>
  <c r="BP108"/>
  <c r="BQ108"/>
  <c r="BR108"/>
  <c r="BS108"/>
  <c r="BT108"/>
  <c r="BU108"/>
  <c r="BV108"/>
  <c r="BW108"/>
  <c r="BX108"/>
  <c r="BY108"/>
  <c r="BZ108"/>
  <c r="CA108"/>
  <c r="CB108"/>
  <c r="CC108"/>
  <c r="CD108"/>
  <c r="CE108"/>
  <c r="CF108"/>
  <c r="CG108"/>
  <c r="CH108"/>
  <c r="CI108"/>
  <c r="CJ108"/>
  <c r="CK108"/>
  <c r="CL108"/>
  <c r="CM108"/>
  <c r="CN108"/>
  <c r="CO108"/>
  <c r="CP108"/>
  <c r="CQ108"/>
  <c r="CR108"/>
  <c r="CS108"/>
  <c r="CT108"/>
  <c r="CU108"/>
  <c r="CV108"/>
  <c r="CW108"/>
  <c r="CX108"/>
  <c r="CY108"/>
  <c r="CZ108"/>
  <c r="DA108"/>
  <c r="DB108"/>
  <c r="DC108"/>
  <c r="DD108"/>
  <c r="DE108"/>
  <c r="DF108"/>
  <c r="DG108"/>
  <c r="DH108"/>
  <c r="DI108"/>
  <c r="DJ108"/>
  <c r="DK108"/>
  <c r="DL108"/>
  <c r="DM108"/>
  <c r="DN108"/>
  <c r="DO108"/>
  <c r="DP108"/>
  <c r="DQ108"/>
  <c r="DR108"/>
  <c r="DS108"/>
  <c r="DT108"/>
  <c r="DU108"/>
  <c r="DV108"/>
  <c r="DW108"/>
  <c r="DX108"/>
  <c r="DY108"/>
  <c r="DZ108"/>
  <c r="EA108"/>
  <c r="EB108"/>
  <c r="EC108"/>
  <c r="ED108"/>
  <c r="EE108"/>
  <c r="EF108"/>
  <c r="EG108"/>
  <c r="EH108"/>
  <c r="EI108"/>
  <c r="EJ108"/>
  <c r="EK108"/>
  <c r="EL108"/>
  <c r="EM108"/>
  <c r="EN108"/>
  <c r="EO108"/>
  <c r="EP108"/>
  <c r="EQ108"/>
  <c r="ER108"/>
  <c r="ES108"/>
  <c r="ET108"/>
  <c r="EU108"/>
  <c r="EV108"/>
  <c r="EW108"/>
  <c r="EX108"/>
  <c r="EY108"/>
  <c r="EZ108"/>
  <c r="FA108"/>
  <c r="FB108"/>
  <c r="FC108"/>
  <c r="FD108"/>
  <c r="FE108"/>
  <c r="FF108"/>
  <c r="FG108"/>
  <c r="FH108"/>
  <c r="FI108"/>
  <c r="FJ108"/>
  <c r="FK108"/>
  <c r="FL108"/>
  <c r="FM108"/>
  <c r="FN108"/>
  <c r="FO108"/>
  <c r="FP108"/>
  <c r="FQ108"/>
  <c r="FR108"/>
  <c r="FS108"/>
  <c r="FT108"/>
  <c r="FU108"/>
  <c r="FV108"/>
  <c r="FW108"/>
  <c r="FX108"/>
  <c r="FY108"/>
  <c r="FZ108"/>
  <c r="GA108"/>
  <c r="GB108"/>
  <c r="GC108"/>
  <c r="GD108"/>
  <c r="GE108"/>
  <c r="GF108"/>
  <c r="GG108"/>
  <c r="GH108"/>
  <c r="GI108"/>
  <c r="GJ108"/>
  <c r="GK108"/>
  <c r="GL108"/>
  <c r="GM108"/>
  <c r="GN108"/>
  <c r="GO108"/>
  <c r="GP108"/>
  <c r="GQ108"/>
  <c r="GR108"/>
  <c r="GS108"/>
  <c r="GT108"/>
  <c r="GU108"/>
  <c r="GV108"/>
  <c r="GW108"/>
  <c r="GX108"/>
  <c r="GY108"/>
  <c r="GZ108"/>
  <c r="HA108"/>
  <c r="HB108"/>
  <c r="HC108"/>
  <c r="HD108"/>
  <c r="HE108"/>
  <c r="HF108"/>
  <c r="HG108"/>
  <c r="HH108"/>
  <c r="HI108"/>
  <c r="HJ108"/>
  <c r="HK108"/>
  <c r="HL108"/>
  <c r="HM108"/>
  <c r="HN108"/>
  <c r="HO108"/>
  <c r="HP108"/>
  <c r="HQ108"/>
  <c r="HR108"/>
  <c r="HS108"/>
  <c r="HT108"/>
  <c r="HU108"/>
  <c r="HV108"/>
  <c r="HW108"/>
  <c r="HX108"/>
  <c r="HY108"/>
  <c r="HZ108"/>
  <c r="IA108"/>
  <c r="IB108"/>
  <c r="IC108"/>
  <c r="ID108"/>
  <c r="IE108"/>
  <c r="IF108"/>
  <c r="IG108"/>
  <c r="IH108"/>
  <c r="II108"/>
  <c r="IJ108"/>
  <c r="IK108"/>
  <c r="IL108"/>
  <c r="IM108"/>
  <c r="IN108"/>
  <c r="IO108"/>
  <c r="IP108"/>
  <c r="IQ108"/>
  <c r="IR108"/>
  <c r="IS108"/>
  <c r="IT108"/>
  <c r="IU108"/>
  <c r="IV108"/>
  <c r="A109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Z109"/>
  <c r="AA109"/>
  <c r="AB109"/>
  <c r="AC109"/>
  <c r="AD109"/>
  <c r="AE109"/>
  <c r="AF109"/>
  <c r="AG109"/>
  <c r="AH109"/>
  <c r="AI109"/>
  <c r="AJ109"/>
  <c r="AK109"/>
  <c r="AL109"/>
  <c r="AM109"/>
  <c r="AN109"/>
  <c r="AO109"/>
  <c r="AP109"/>
  <c r="AQ109"/>
  <c r="AR109"/>
  <c r="AS109"/>
  <c r="AT109"/>
  <c r="AU109"/>
  <c r="AV109"/>
  <c r="AW109"/>
  <c r="AX109"/>
  <c r="AY109"/>
  <c r="AZ109"/>
  <c r="BA109"/>
  <c r="BB109"/>
  <c r="BC109"/>
  <c r="BD109"/>
  <c r="BE109"/>
  <c r="BF109"/>
  <c r="BG109"/>
  <c r="BH109"/>
  <c r="BI109"/>
  <c r="BJ109"/>
  <c r="BK109"/>
  <c r="BL109"/>
  <c r="BM109"/>
  <c r="BN109"/>
  <c r="BO109"/>
  <c r="BP109"/>
  <c r="BQ109"/>
  <c r="BR109"/>
  <c r="BS109"/>
  <c r="BT109"/>
  <c r="BU109"/>
  <c r="BV109"/>
  <c r="BW109"/>
  <c r="BX109"/>
  <c r="BY109"/>
  <c r="BZ109"/>
  <c r="CA109"/>
  <c r="CB109"/>
  <c r="CC109"/>
  <c r="CD109"/>
  <c r="CE109"/>
  <c r="CF109"/>
  <c r="CG109"/>
  <c r="CH109"/>
  <c r="CI109"/>
  <c r="CJ109"/>
  <c r="CK109"/>
  <c r="CL109"/>
  <c r="CM109"/>
  <c r="CN109"/>
  <c r="CO109"/>
  <c r="CP109"/>
  <c r="CQ109"/>
  <c r="CR109"/>
  <c r="CS109"/>
  <c r="CT109"/>
  <c r="CU109"/>
  <c r="CV109"/>
  <c r="CW109"/>
  <c r="CX109"/>
  <c r="CY109"/>
  <c r="CZ109"/>
  <c r="DA109"/>
  <c r="DB109"/>
  <c r="DC109"/>
  <c r="DD109"/>
  <c r="DE109"/>
  <c r="DF109"/>
  <c r="DG109"/>
  <c r="DH109"/>
  <c r="DI109"/>
  <c r="DJ109"/>
  <c r="DK109"/>
  <c r="DL109"/>
  <c r="DM109"/>
  <c r="DN109"/>
  <c r="DO109"/>
  <c r="DP109"/>
  <c r="DQ109"/>
  <c r="DR109"/>
  <c r="DS109"/>
  <c r="DT109"/>
  <c r="DU109"/>
  <c r="DV109"/>
  <c r="DW109"/>
  <c r="DX109"/>
  <c r="DY109"/>
  <c r="DZ109"/>
  <c r="EA109"/>
  <c r="EB109"/>
  <c r="EC109"/>
  <c r="ED109"/>
  <c r="EE109"/>
  <c r="EF109"/>
  <c r="EG109"/>
  <c r="EH109"/>
  <c r="EI109"/>
  <c r="EJ109"/>
  <c r="EK109"/>
  <c r="EL109"/>
  <c r="EM109"/>
  <c r="EN109"/>
  <c r="EO109"/>
  <c r="EP109"/>
  <c r="EQ109"/>
  <c r="ER109"/>
  <c r="ES109"/>
  <c r="ET109"/>
  <c r="EU109"/>
  <c r="EV109"/>
  <c r="EW109"/>
  <c r="EX109"/>
  <c r="EY109"/>
  <c r="EZ109"/>
  <c r="FA109"/>
  <c r="FB109"/>
  <c r="FC109"/>
  <c r="FD109"/>
  <c r="FE109"/>
  <c r="FF109"/>
  <c r="FG109"/>
  <c r="FH109"/>
  <c r="FI109"/>
  <c r="FJ109"/>
  <c r="FK109"/>
  <c r="FL109"/>
  <c r="FM109"/>
  <c r="FN109"/>
  <c r="FO109"/>
  <c r="FP109"/>
  <c r="FQ109"/>
  <c r="FR109"/>
  <c r="FS109"/>
  <c r="FT109"/>
  <c r="FU109"/>
  <c r="FV109"/>
  <c r="FW109"/>
  <c r="FX109"/>
  <c r="FY109"/>
  <c r="FZ109"/>
  <c r="GA109"/>
  <c r="GB109"/>
  <c r="GC109"/>
  <c r="GD109"/>
  <c r="GE109"/>
  <c r="GF109"/>
  <c r="GG109"/>
  <c r="GH109"/>
  <c r="GI109"/>
  <c r="GJ109"/>
  <c r="GK109"/>
  <c r="GL109"/>
  <c r="GM109"/>
  <c r="GN109"/>
  <c r="GO109"/>
  <c r="GP109"/>
  <c r="GQ109"/>
  <c r="GR109"/>
  <c r="GS109"/>
  <c r="GT109"/>
  <c r="GU109"/>
  <c r="GV109"/>
  <c r="GW109"/>
  <c r="GX109"/>
  <c r="GY109"/>
  <c r="GZ109"/>
  <c r="HA109"/>
  <c r="HB109"/>
  <c r="HC109"/>
  <c r="HD109"/>
  <c r="HE109"/>
  <c r="HF109"/>
  <c r="HG109"/>
  <c r="HH109"/>
  <c r="HI109"/>
  <c r="HJ109"/>
  <c r="HK109"/>
  <c r="HL109"/>
  <c r="HM109"/>
  <c r="HN109"/>
  <c r="HO109"/>
  <c r="HP109"/>
  <c r="HQ109"/>
  <c r="HR109"/>
  <c r="HS109"/>
  <c r="HT109"/>
  <c r="HU109"/>
  <c r="HV109"/>
  <c r="HW109"/>
  <c r="HX109"/>
  <c r="HY109"/>
  <c r="HZ109"/>
  <c r="IA109"/>
  <c r="IB109"/>
  <c r="IC109"/>
  <c r="ID109"/>
  <c r="IE109"/>
  <c r="IF109"/>
  <c r="IG109"/>
  <c r="IH109"/>
  <c r="II109"/>
  <c r="IJ109"/>
  <c r="IK109"/>
  <c r="IL109"/>
  <c r="IM109"/>
  <c r="IN109"/>
  <c r="IO109"/>
  <c r="IP109"/>
  <c r="IQ109"/>
  <c r="IR109"/>
  <c r="IS109"/>
  <c r="IT109"/>
  <c r="IU109"/>
  <c r="IV109"/>
  <c r="A110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Z110"/>
  <c r="AA110"/>
  <c r="AB110"/>
  <c r="AC110"/>
  <c r="AD110"/>
  <c r="AE110"/>
  <c r="AF110"/>
  <c r="AG110"/>
  <c r="AH110"/>
  <c r="AI110"/>
  <c r="AJ110"/>
  <c r="AK110"/>
  <c r="AL110"/>
  <c r="AM110"/>
  <c r="AN110"/>
  <c r="AO110"/>
  <c r="AP110"/>
  <c r="AQ110"/>
  <c r="AR110"/>
  <c r="AS110"/>
  <c r="AT110"/>
  <c r="AU110"/>
  <c r="AV110"/>
  <c r="AW110"/>
  <c r="AX110"/>
  <c r="AY110"/>
  <c r="AZ110"/>
  <c r="BA110"/>
  <c r="BB110"/>
  <c r="BC110"/>
  <c r="BD110"/>
  <c r="BE110"/>
  <c r="BF110"/>
  <c r="BG110"/>
  <c r="BH110"/>
  <c r="BI110"/>
  <c r="BJ110"/>
  <c r="BK110"/>
  <c r="BL110"/>
  <c r="BM110"/>
  <c r="BN110"/>
  <c r="BO110"/>
  <c r="BP110"/>
  <c r="BQ110"/>
  <c r="BR110"/>
  <c r="BS110"/>
  <c r="BT110"/>
  <c r="BU110"/>
  <c r="BV110"/>
  <c r="BW110"/>
  <c r="BX110"/>
  <c r="BY110"/>
  <c r="BZ110"/>
  <c r="CA110"/>
  <c r="CB110"/>
  <c r="CC110"/>
  <c r="CD110"/>
  <c r="CE110"/>
  <c r="CF110"/>
  <c r="CG110"/>
  <c r="CH110"/>
  <c r="CI110"/>
  <c r="CJ110"/>
  <c r="CK110"/>
  <c r="CL110"/>
  <c r="CM110"/>
  <c r="CN110"/>
  <c r="CO110"/>
  <c r="CP110"/>
  <c r="CQ110"/>
  <c r="CR110"/>
  <c r="CS110"/>
  <c r="CT110"/>
  <c r="CU110"/>
  <c r="CV110"/>
  <c r="CW110"/>
  <c r="CX110"/>
  <c r="CY110"/>
  <c r="CZ110"/>
  <c r="DA110"/>
  <c r="DB110"/>
  <c r="DC110"/>
  <c r="DD110"/>
  <c r="DE110"/>
  <c r="DF110"/>
  <c r="DG110"/>
  <c r="DH110"/>
  <c r="DI110"/>
  <c r="DJ110"/>
  <c r="DK110"/>
  <c r="DL110"/>
  <c r="DM110"/>
  <c r="DN110"/>
  <c r="DO110"/>
  <c r="DP110"/>
  <c r="DQ110"/>
  <c r="DR110"/>
  <c r="DS110"/>
  <c r="DT110"/>
  <c r="DU110"/>
  <c r="DV110"/>
  <c r="DW110"/>
  <c r="DX110"/>
  <c r="DY110"/>
  <c r="DZ110"/>
  <c r="EA110"/>
  <c r="EB110"/>
  <c r="EC110"/>
  <c r="ED110"/>
  <c r="EE110"/>
  <c r="EF110"/>
  <c r="EG110"/>
  <c r="EH110"/>
  <c r="EI110"/>
  <c r="EJ110"/>
  <c r="EK110"/>
  <c r="EL110"/>
  <c r="EM110"/>
  <c r="EN110"/>
  <c r="EO110"/>
  <c r="EP110"/>
  <c r="EQ110"/>
  <c r="ER110"/>
  <c r="ES110"/>
  <c r="ET110"/>
  <c r="EU110"/>
  <c r="EV110"/>
  <c r="EW110"/>
  <c r="EX110"/>
  <c r="EY110"/>
  <c r="EZ110"/>
  <c r="FA110"/>
  <c r="FB110"/>
  <c r="FC110"/>
  <c r="FD110"/>
  <c r="FE110"/>
  <c r="FF110"/>
  <c r="FG110"/>
  <c r="FH110"/>
  <c r="FI110"/>
  <c r="FJ110"/>
  <c r="FK110"/>
  <c r="FL110"/>
  <c r="FM110"/>
  <c r="FN110"/>
  <c r="FO110"/>
  <c r="FP110"/>
  <c r="FQ110"/>
  <c r="FR110"/>
  <c r="FS110"/>
  <c r="FT110"/>
  <c r="FU110"/>
  <c r="FV110"/>
  <c r="FW110"/>
  <c r="FX110"/>
  <c r="FY110"/>
  <c r="FZ110"/>
  <c r="GA110"/>
  <c r="GB110"/>
  <c r="GC110"/>
  <c r="GD110"/>
  <c r="GE110"/>
  <c r="GF110"/>
  <c r="GG110"/>
  <c r="GH110"/>
  <c r="GI110"/>
  <c r="GJ110"/>
  <c r="GK110"/>
  <c r="GL110"/>
  <c r="GM110"/>
  <c r="GN110"/>
  <c r="GO110"/>
  <c r="GP110"/>
  <c r="GQ110"/>
  <c r="GR110"/>
  <c r="GS110"/>
  <c r="GT110"/>
  <c r="GU110"/>
  <c r="GV110"/>
  <c r="GW110"/>
  <c r="GX110"/>
  <c r="GY110"/>
  <c r="GZ110"/>
  <c r="HA110"/>
  <c r="HB110"/>
  <c r="HC110"/>
  <c r="HD110"/>
  <c r="HE110"/>
  <c r="HF110"/>
  <c r="HG110"/>
  <c r="HH110"/>
  <c r="HI110"/>
  <c r="HJ110"/>
  <c r="HK110"/>
  <c r="HL110"/>
  <c r="HM110"/>
  <c r="HN110"/>
  <c r="HO110"/>
  <c r="HP110"/>
  <c r="HQ110"/>
  <c r="HR110"/>
  <c r="HS110"/>
  <c r="HT110"/>
  <c r="HU110"/>
  <c r="HV110"/>
  <c r="HW110"/>
  <c r="HX110"/>
  <c r="HY110"/>
  <c r="HZ110"/>
  <c r="IA110"/>
  <c r="IB110"/>
  <c r="IC110"/>
  <c r="ID110"/>
  <c r="IE110"/>
  <c r="IF110"/>
  <c r="IG110"/>
  <c r="IH110"/>
  <c r="II110"/>
  <c r="IJ110"/>
  <c r="IK110"/>
  <c r="IL110"/>
  <c r="IM110"/>
  <c r="IN110"/>
  <c r="IO110"/>
  <c r="IP110"/>
  <c r="IQ110"/>
  <c r="IR110"/>
  <c r="IS110"/>
  <c r="IT110"/>
  <c r="IU110"/>
  <c r="IV110"/>
  <c r="A111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Z111"/>
  <c r="AA111"/>
  <c r="AB111"/>
  <c r="AC111"/>
  <c r="AD111"/>
  <c r="AE111"/>
  <c r="AF111"/>
  <c r="AG111"/>
  <c r="AH111"/>
  <c r="AI111"/>
  <c r="AJ111"/>
  <c r="AK111"/>
  <c r="AL111"/>
  <c r="AM111"/>
  <c r="AN111"/>
  <c r="AO111"/>
  <c r="AP111"/>
  <c r="AQ111"/>
  <c r="AR111"/>
  <c r="AS111"/>
  <c r="AT111"/>
  <c r="AU111"/>
  <c r="AV111"/>
  <c r="AW111"/>
  <c r="AX111"/>
  <c r="AY111"/>
  <c r="AZ111"/>
  <c r="BA111"/>
  <c r="BB111"/>
  <c r="BC111"/>
  <c r="BD111"/>
  <c r="BE111"/>
  <c r="BF111"/>
  <c r="BG111"/>
  <c r="BH111"/>
  <c r="BI111"/>
  <c r="BJ111"/>
  <c r="BK111"/>
  <c r="BL111"/>
  <c r="BM111"/>
  <c r="BN111"/>
  <c r="BO111"/>
  <c r="BP111"/>
  <c r="BQ111"/>
  <c r="BR111"/>
  <c r="BS111"/>
  <c r="BT111"/>
  <c r="BU111"/>
  <c r="BV111"/>
  <c r="BW111"/>
  <c r="BX111"/>
  <c r="BY111"/>
  <c r="BZ111"/>
  <c r="CA111"/>
  <c r="CB111"/>
  <c r="CC111"/>
  <c r="CD111"/>
  <c r="CE111"/>
  <c r="CF111"/>
  <c r="CG111"/>
  <c r="CH111"/>
  <c r="CI111"/>
  <c r="CJ111"/>
  <c r="CK111"/>
  <c r="CL111"/>
  <c r="CM111"/>
  <c r="CN111"/>
  <c r="CO111"/>
  <c r="CP111"/>
  <c r="CQ111"/>
  <c r="CR111"/>
  <c r="CS111"/>
  <c r="CT111"/>
  <c r="CU111"/>
  <c r="CV111"/>
  <c r="CW111"/>
  <c r="CX111"/>
  <c r="CY111"/>
  <c r="CZ111"/>
  <c r="DA111"/>
  <c r="DB111"/>
  <c r="DC111"/>
  <c r="DD111"/>
  <c r="DE111"/>
  <c r="DF111"/>
  <c r="DG111"/>
  <c r="DH111"/>
  <c r="DI111"/>
  <c r="DJ111"/>
  <c r="DK111"/>
  <c r="DL111"/>
  <c r="DM111"/>
  <c r="DN111"/>
  <c r="DO111"/>
  <c r="DP111"/>
  <c r="DQ111"/>
  <c r="DR111"/>
  <c r="DS111"/>
  <c r="DT111"/>
  <c r="DU111"/>
  <c r="DV111"/>
  <c r="DW111"/>
  <c r="DX111"/>
  <c r="DY111"/>
  <c r="DZ111"/>
  <c r="EA111"/>
  <c r="EB111"/>
  <c r="EC111"/>
  <c r="ED111"/>
  <c r="EE111"/>
  <c r="EF111"/>
  <c r="EG111"/>
  <c r="EH111"/>
  <c r="EI111"/>
  <c r="EJ111"/>
  <c r="EK111"/>
  <c r="EL111"/>
  <c r="EM111"/>
  <c r="EN111"/>
  <c r="EO111"/>
  <c r="EP111"/>
  <c r="EQ111"/>
  <c r="ER111"/>
  <c r="ES111"/>
  <c r="ET111"/>
  <c r="EU111"/>
  <c r="EV111"/>
  <c r="EW111"/>
  <c r="EX111"/>
  <c r="EY111"/>
  <c r="EZ111"/>
  <c r="FA111"/>
  <c r="FB111"/>
  <c r="FC111"/>
  <c r="FD111"/>
  <c r="FE111"/>
  <c r="FF111"/>
  <c r="FG111"/>
  <c r="FH111"/>
  <c r="FI111"/>
  <c r="FJ111"/>
  <c r="FK111"/>
  <c r="FL111"/>
  <c r="FM111"/>
  <c r="FN111"/>
  <c r="FO111"/>
  <c r="FP111"/>
  <c r="FQ111"/>
  <c r="FR111"/>
  <c r="FS111"/>
  <c r="FT111"/>
  <c r="FU111"/>
  <c r="FV111"/>
  <c r="FW111"/>
  <c r="FX111"/>
  <c r="FY111"/>
  <c r="FZ111"/>
  <c r="GA111"/>
  <c r="GB111"/>
  <c r="GC111"/>
  <c r="GD111"/>
  <c r="GE111"/>
  <c r="GF111"/>
  <c r="GG111"/>
  <c r="GH111"/>
  <c r="GI111"/>
  <c r="GJ111"/>
  <c r="GK111"/>
  <c r="GL111"/>
  <c r="GM111"/>
  <c r="GN111"/>
  <c r="GO111"/>
  <c r="GP111"/>
  <c r="GQ111"/>
  <c r="GR111"/>
  <c r="GS111"/>
  <c r="GT111"/>
  <c r="GU111"/>
  <c r="GV111"/>
  <c r="GW111"/>
  <c r="GX111"/>
  <c r="GY111"/>
  <c r="GZ111"/>
  <c r="HA111"/>
  <c r="HB111"/>
  <c r="HC111"/>
  <c r="HD111"/>
  <c r="HE111"/>
  <c r="HF111"/>
  <c r="HG111"/>
  <c r="HH111"/>
  <c r="HI111"/>
  <c r="HJ111"/>
  <c r="HK111"/>
  <c r="HL111"/>
  <c r="HM111"/>
  <c r="HN111"/>
  <c r="HO111"/>
  <c r="HP111"/>
  <c r="HQ111"/>
  <c r="HR111"/>
  <c r="HS111"/>
  <c r="HT111"/>
  <c r="HU111"/>
  <c r="HV111"/>
  <c r="HW111"/>
  <c r="HX111"/>
  <c r="HY111"/>
  <c r="HZ111"/>
  <c r="IA111"/>
  <c r="IB111"/>
  <c r="IC111"/>
  <c r="ID111"/>
  <c r="IE111"/>
  <c r="IF111"/>
  <c r="IG111"/>
  <c r="IH111"/>
  <c r="II111"/>
  <c r="IJ111"/>
  <c r="IK111"/>
  <c r="IL111"/>
  <c r="IM111"/>
  <c r="IN111"/>
  <c r="IO111"/>
  <c r="IP111"/>
  <c r="IQ111"/>
  <c r="IR111"/>
  <c r="IS111"/>
  <c r="IT111"/>
  <c r="IU111"/>
  <c r="IV111"/>
  <c r="A112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Z112"/>
  <c r="AA112"/>
  <c r="AB112"/>
  <c r="AC112"/>
  <c r="AD112"/>
  <c r="AE112"/>
  <c r="AF112"/>
  <c r="AG112"/>
  <c r="AH112"/>
  <c r="AI112"/>
  <c r="AJ112"/>
  <c r="AK112"/>
  <c r="AL112"/>
  <c r="AM112"/>
  <c r="AN112"/>
  <c r="AO112"/>
  <c r="AP112"/>
  <c r="AQ112"/>
  <c r="AR112"/>
  <c r="AS112"/>
  <c r="AT112"/>
  <c r="AU112"/>
  <c r="AV112"/>
  <c r="AW112"/>
  <c r="AX112"/>
  <c r="AY112"/>
  <c r="AZ112"/>
  <c r="BA112"/>
  <c r="BB112"/>
  <c r="BC112"/>
  <c r="BD112"/>
  <c r="BE112"/>
  <c r="BF112"/>
  <c r="BG112"/>
  <c r="BH112"/>
  <c r="BI112"/>
  <c r="BJ112"/>
  <c r="BK112"/>
  <c r="BL112"/>
  <c r="BM112"/>
  <c r="BN112"/>
  <c r="BO112"/>
  <c r="BP112"/>
  <c r="BQ112"/>
  <c r="BR112"/>
  <c r="BS112"/>
  <c r="BT112"/>
  <c r="BU112"/>
  <c r="BV112"/>
  <c r="BW112"/>
  <c r="BX112"/>
  <c r="BY112"/>
  <c r="BZ112"/>
  <c r="CA112"/>
  <c r="CB112"/>
  <c r="CC112"/>
  <c r="CD112"/>
  <c r="CE112"/>
  <c r="CF112"/>
  <c r="CG112"/>
  <c r="CH112"/>
  <c r="CI112"/>
  <c r="CJ112"/>
  <c r="CK112"/>
  <c r="CL112"/>
  <c r="CM112"/>
  <c r="CN112"/>
  <c r="CO112"/>
  <c r="CP112"/>
  <c r="CQ112"/>
  <c r="CR112"/>
  <c r="CS112"/>
  <c r="CT112"/>
  <c r="CU112"/>
  <c r="CV112"/>
  <c r="CW112"/>
  <c r="CX112"/>
  <c r="CY112"/>
  <c r="CZ112"/>
  <c r="DA112"/>
  <c r="DB112"/>
  <c r="DC112"/>
  <c r="DD112"/>
  <c r="DE112"/>
  <c r="DF112"/>
  <c r="DG112"/>
  <c r="DH112"/>
  <c r="DI112"/>
  <c r="DJ112"/>
  <c r="DK112"/>
  <c r="DL112"/>
  <c r="DM112"/>
  <c r="DN112"/>
  <c r="DO112"/>
  <c r="DP112"/>
  <c r="DQ112"/>
  <c r="DR112"/>
  <c r="DS112"/>
  <c r="DT112"/>
  <c r="DU112"/>
  <c r="DV112"/>
  <c r="DW112"/>
  <c r="DX112"/>
  <c r="DY112"/>
  <c r="DZ112"/>
  <c r="EA112"/>
  <c r="EB112"/>
  <c r="EC112"/>
  <c r="ED112"/>
  <c r="EE112"/>
  <c r="EF112"/>
  <c r="EG112"/>
  <c r="EH112"/>
  <c r="EI112"/>
  <c r="EJ112"/>
  <c r="EK112"/>
  <c r="EL112"/>
  <c r="EM112"/>
  <c r="EN112"/>
  <c r="EO112"/>
  <c r="EP112"/>
  <c r="EQ112"/>
  <c r="ER112"/>
  <c r="ES112"/>
  <c r="ET112"/>
  <c r="EU112"/>
  <c r="EV112"/>
  <c r="EW112"/>
  <c r="EX112"/>
  <c r="EY112"/>
  <c r="EZ112"/>
  <c r="FA112"/>
  <c r="FB112"/>
  <c r="FC112"/>
  <c r="FD112"/>
  <c r="FE112"/>
  <c r="FF112"/>
  <c r="FG112"/>
  <c r="FH112"/>
  <c r="FI112"/>
  <c r="FJ112"/>
  <c r="FK112"/>
  <c r="FL112"/>
  <c r="FM112"/>
  <c r="FN112"/>
  <c r="FO112"/>
  <c r="FP112"/>
  <c r="FQ112"/>
  <c r="FR112"/>
  <c r="FS112"/>
  <c r="FT112"/>
  <c r="FU112"/>
  <c r="FV112"/>
  <c r="FW112"/>
  <c r="FX112"/>
  <c r="FY112"/>
  <c r="FZ112"/>
  <c r="GA112"/>
  <c r="GB112"/>
  <c r="GC112"/>
  <c r="GD112"/>
  <c r="GE112"/>
  <c r="GF112"/>
  <c r="GG112"/>
  <c r="GH112"/>
  <c r="GI112"/>
  <c r="GJ112"/>
  <c r="GK112"/>
  <c r="GL112"/>
  <c r="GM112"/>
  <c r="GN112"/>
  <c r="GO112"/>
  <c r="GP112"/>
  <c r="GQ112"/>
  <c r="GR112"/>
  <c r="GS112"/>
  <c r="GT112"/>
  <c r="GU112"/>
  <c r="GV112"/>
  <c r="GW112"/>
  <c r="GX112"/>
  <c r="GY112"/>
  <c r="GZ112"/>
  <c r="HA112"/>
  <c r="HB112"/>
  <c r="HC112"/>
  <c r="HD112"/>
  <c r="HE112"/>
  <c r="HF112"/>
  <c r="HG112"/>
  <c r="HH112"/>
  <c r="HI112"/>
  <c r="HJ112"/>
  <c r="HK112"/>
  <c r="HL112"/>
  <c r="HM112"/>
  <c r="HN112"/>
  <c r="HO112"/>
  <c r="HP112"/>
  <c r="HQ112"/>
  <c r="HR112"/>
  <c r="HS112"/>
  <c r="HT112"/>
  <c r="HU112"/>
  <c r="HV112"/>
  <c r="HW112"/>
  <c r="HX112"/>
  <c r="HY112"/>
  <c r="HZ112"/>
  <c r="IA112"/>
  <c r="IB112"/>
  <c r="IC112"/>
  <c r="ID112"/>
  <c r="IE112"/>
  <c r="IF112"/>
  <c r="IG112"/>
  <c r="IH112"/>
  <c r="II112"/>
  <c r="IJ112"/>
  <c r="IK112"/>
  <c r="IL112"/>
  <c r="IM112"/>
  <c r="IN112"/>
  <c r="IO112"/>
  <c r="IP112"/>
  <c r="IQ112"/>
  <c r="IR112"/>
  <c r="IS112"/>
  <c r="IT112"/>
  <c r="IU112"/>
  <c r="IV112"/>
  <c r="A113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Z113"/>
  <c r="AA113"/>
  <c r="AB113"/>
  <c r="AC113"/>
  <c r="AD113"/>
  <c r="AE113"/>
  <c r="AF113"/>
  <c r="AG113"/>
  <c r="AH113"/>
  <c r="AI113"/>
  <c r="AJ113"/>
  <c r="AK113"/>
  <c r="AL113"/>
  <c r="AM113"/>
  <c r="AN113"/>
  <c r="AO113"/>
  <c r="AP113"/>
  <c r="AQ113"/>
  <c r="AR113"/>
  <c r="AS113"/>
  <c r="AT113"/>
  <c r="AU113"/>
  <c r="AV113"/>
  <c r="AW113"/>
  <c r="AX113"/>
  <c r="AY113"/>
  <c r="AZ113"/>
  <c r="BA113"/>
  <c r="BB113"/>
  <c r="BC113"/>
  <c r="BD113"/>
  <c r="BE113"/>
  <c r="BF113"/>
  <c r="BG113"/>
  <c r="BH113"/>
  <c r="BI113"/>
  <c r="BJ113"/>
  <c r="BK113"/>
  <c r="BL113"/>
  <c r="BM113"/>
  <c r="BN113"/>
  <c r="BO113"/>
  <c r="BP113"/>
  <c r="BQ113"/>
  <c r="BR113"/>
  <c r="BS113"/>
  <c r="BT113"/>
  <c r="BU113"/>
  <c r="BV113"/>
  <c r="BW113"/>
  <c r="BX113"/>
  <c r="BY113"/>
  <c r="BZ113"/>
  <c r="CA113"/>
  <c r="CB113"/>
  <c r="CC113"/>
  <c r="CD113"/>
  <c r="CE113"/>
  <c r="CF113"/>
  <c r="CG113"/>
  <c r="CH113"/>
  <c r="CI113"/>
  <c r="CJ113"/>
  <c r="CK113"/>
  <c r="CL113"/>
  <c r="CM113"/>
  <c r="CN113"/>
  <c r="CO113"/>
  <c r="CP113"/>
  <c r="CQ113"/>
  <c r="CR113"/>
  <c r="CS113"/>
  <c r="CT113"/>
  <c r="CU113"/>
  <c r="CV113"/>
  <c r="CW113"/>
  <c r="CX113"/>
  <c r="CY113"/>
  <c r="CZ113"/>
  <c r="DA113"/>
  <c r="DB113"/>
  <c r="DC113"/>
  <c r="DD113"/>
  <c r="DE113"/>
  <c r="DF113"/>
  <c r="DG113"/>
  <c r="DH113"/>
  <c r="DI113"/>
  <c r="DJ113"/>
  <c r="DK113"/>
  <c r="DL113"/>
  <c r="DM113"/>
  <c r="DN113"/>
  <c r="DO113"/>
  <c r="DP113"/>
  <c r="DQ113"/>
  <c r="DR113"/>
  <c r="DS113"/>
  <c r="DT113"/>
  <c r="DU113"/>
  <c r="DV113"/>
  <c r="DW113"/>
  <c r="DX113"/>
  <c r="DY113"/>
  <c r="DZ113"/>
  <c r="EA113"/>
  <c r="EB113"/>
  <c r="EC113"/>
  <c r="ED113"/>
  <c r="EE113"/>
  <c r="EF113"/>
  <c r="EG113"/>
  <c r="EH113"/>
  <c r="EI113"/>
  <c r="EJ113"/>
  <c r="EK113"/>
  <c r="EL113"/>
  <c r="EM113"/>
  <c r="EN113"/>
  <c r="EO113"/>
  <c r="EP113"/>
  <c r="EQ113"/>
  <c r="ER113"/>
  <c r="ES113"/>
  <c r="ET113"/>
  <c r="EU113"/>
  <c r="EV113"/>
  <c r="EW113"/>
  <c r="EX113"/>
  <c r="EY113"/>
  <c r="EZ113"/>
  <c r="FA113"/>
  <c r="FB113"/>
  <c r="FC113"/>
  <c r="FD113"/>
  <c r="FE113"/>
  <c r="FF113"/>
  <c r="FG113"/>
  <c r="FH113"/>
  <c r="FI113"/>
  <c r="FJ113"/>
  <c r="FK113"/>
  <c r="FL113"/>
  <c r="FM113"/>
  <c r="FN113"/>
  <c r="FO113"/>
  <c r="FP113"/>
  <c r="FQ113"/>
  <c r="FR113"/>
  <c r="FS113"/>
  <c r="FT113"/>
  <c r="FU113"/>
  <c r="FV113"/>
  <c r="FW113"/>
  <c r="FX113"/>
  <c r="FY113"/>
  <c r="FZ113"/>
  <c r="GA113"/>
  <c r="GB113"/>
  <c r="GC113"/>
  <c r="GD113"/>
  <c r="GE113"/>
  <c r="GF113"/>
  <c r="GG113"/>
  <c r="GH113"/>
  <c r="GI113"/>
  <c r="GJ113"/>
  <c r="GK113"/>
  <c r="GL113"/>
  <c r="GM113"/>
  <c r="GN113"/>
  <c r="GO113"/>
  <c r="GP113"/>
  <c r="GQ113"/>
  <c r="GR113"/>
  <c r="GS113"/>
  <c r="GT113"/>
  <c r="GU113"/>
  <c r="GV113"/>
  <c r="GW113"/>
  <c r="GX113"/>
  <c r="GY113"/>
  <c r="GZ113"/>
  <c r="HA113"/>
  <c r="HB113"/>
  <c r="HC113"/>
  <c r="HD113"/>
  <c r="HE113"/>
  <c r="HF113"/>
  <c r="HG113"/>
  <c r="HH113"/>
  <c r="HI113"/>
  <c r="HJ113"/>
  <c r="HK113"/>
  <c r="HL113"/>
  <c r="HM113"/>
  <c r="HN113"/>
  <c r="HO113"/>
  <c r="HP113"/>
  <c r="HQ113"/>
  <c r="HR113"/>
  <c r="HS113"/>
  <c r="HT113"/>
  <c r="HU113"/>
  <c r="HV113"/>
  <c r="HW113"/>
  <c r="HX113"/>
  <c r="HY113"/>
  <c r="HZ113"/>
  <c r="IA113"/>
  <c r="IB113"/>
  <c r="IC113"/>
  <c r="ID113"/>
  <c r="IE113"/>
  <c r="IF113"/>
  <c r="IG113"/>
  <c r="IH113"/>
  <c r="II113"/>
  <c r="IJ113"/>
  <c r="IK113"/>
  <c r="IL113"/>
  <c r="IM113"/>
  <c r="IN113"/>
  <c r="IO113"/>
  <c r="IP113"/>
  <c r="IQ113"/>
  <c r="IR113"/>
  <c r="IS113"/>
  <c r="IT113"/>
  <c r="IU113"/>
  <c r="IV113"/>
  <c r="A114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Z114"/>
  <c r="AA114"/>
  <c r="AB114"/>
  <c r="AC114"/>
  <c r="AD114"/>
  <c r="AE114"/>
  <c r="AF114"/>
  <c r="AG114"/>
  <c r="AH114"/>
  <c r="AI114"/>
  <c r="AJ114"/>
  <c r="AK114"/>
  <c r="AL114"/>
  <c r="AM114"/>
  <c r="AN114"/>
  <c r="AO114"/>
  <c r="AP114"/>
  <c r="AQ114"/>
  <c r="AR114"/>
  <c r="AS114"/>
  <c r="AT114"/>
  <c r="AU114"/>
  <c r="AV114"/>
  <c r="AW114"/>
  <c r="AX114"/>
  <c r="AY114"/>
  <c r="AZ114"/>
  <c r="BA114"/>
  <c r="BB114"/>
  <c r="BC114"/>
  <c r="BD114"/>
  <c r="BE114"/>
  <c r="BF114"/>
  <c r="BG114"/>
  <c r="BH114"/>
  <c r="BI114"/>
  <c r="BJ114"/>
  <c r="BK114"/>
  <c r="BL114"/>
  <c r="BM114"/>
  <c r="BN114"/>
  <c r="BO114"/>
  <c r="BP114"/>
  <c r="BQ114"/>
  <c r="BR114"/>
  <c r="BS114"/>
  <c r="BT114"/>
  <c r="BU114"/>
  <c r="BV114"/>
  <c r="BW114"/>
  <c r="BX114"/>
  <c r="BY114"/>
  <c r="BZ114"/>
  <c r="CA114"/>
  <c r="CB114"/>
  <c r="CC114"/>
  <c r="CD114"/>
  <c r="CE114"/>
  <c r="CF114"/>
  <c r="CG114"/>
  <c r="CH114"/>
  <c r="CI114"/>
  <c r="CJ114"/>
  <c r="CK114"/>
  <c r="CL114"/>
  <c r="CM114"/>
  <c r="CN114"/>
  <c r="CO114"/>
  <c r="CP114"/>
  <c r="CQ114"/>
  <c r="CR114"/>
  <c r="CS114"/>
  <c r="CT114"/>
  <c r="CU114"/>
  <c r="CV114"/>
  <c r="CW114"/>
  <c r="CX114"/>
  <c r="CY114"/>
  <c r="CZ114"/>
  <c r="DA114"/>
  <c r="DB114"/>
  <c r="DC114"/>
  <c r="DD114"/>
  <c r="DE114"/>
  <c r="DF114"/>
  <c r="DG114"/>
  <c r="DH114"/>
  <c r="DI114"/>
  <c r="DJ114"/>
  <c r="DK114"/>
  <c r="DL114"/>
  <c r="DM114"/>
  <c r="DN114"/>
  <c r="DO114"/>
  <c r="DP114"/>
  <c r="DQ114"/>
  <c r="DR114"/>
  <c r="DS114"/>
  <c r="DT114"/>
  <c r="DU114"/>
  <c r="DV114"/>
  <c r="DW114"/>
  <c r="DX114"/>
  <c r="DY114"/>
  <c r="DZ114"/>
  <c r="EA114"/>
  <c r="EB114"/>
  <c r="EC114"/>
  <c r="ED114"/>
  <c r="EE114"/>
  <c r="EF114"/>
  <c r="EG114"/>
  <c r="EH114"/>
  <c r="EI114"/>
  <c r="EJ114"/>
  <c r="EK114"/>
  <c r="EL114"/>
  <c r="EM114"/>
  <c r="EN114"/>
  <c r="EO114"/>
  <c r="EP114"/>
  <c r="EQ114"/>
  <c r="ER114"/>
  <c r="ES114"/>
  <c r="ET114"/>
  <c r="EU114"/>
  <c r="EV114"/>
  <c r="EW114"/>
  <c r="EX114"/>
  <c r="EY114"/>
  <c r="EZ114"/>
  <c r="FA114"/>
  <c r="FB114"/>
  <c r="FC114"/>
  <c r="FD114"/>
  <c r="FE114"/>
  <c r="FF114"/>
  <c r="FG114"/>
  <c r="FH114"/>
  <c r="FI114"/>
  <c r="FJ114"/>
  <c r="FK114"/>
  <c r="FL114"/>
  <c r="FM114"/>
  <c r="FN114"/>
  <c r="FO114"/>
  <c r="FP114"/>
  <c r="FQ114"/>
  <c r="FR114"/>
  <c r="FS114"/>
  <c r="FT114"/>
  <c r="FU114"/>
  <c r="FV114"/>
  <c r="FW114"/>
  <c r="FX114"/>
  <c r="FY114"/>
  <c r="FZ114"/>
  <c r="GA114"/>
  <c r="GB114"/>
  <c r="GC114"/>
  <c r="GD114"/>
  <c r="GE114"/>
  <c r="GF114"/>
  <c r="GG114"/>
  <c r="GH114"/>
  <c r="GI114"/>
  <c r="GJ114"/>
  <c r="GK114"/>
  <c r="GL114"/>
  <c r="GM114"/>
  <c r="GN114"/>
  <c r="GO114"/>
  <c r="GP114"/>
  <c r="GQ114"/>
  <c r="GR114"/>
  <c r="GS114"/>
  <c r="GT114"/>
  <c r="GU114"/>
  <c r="GV114"/>
  <c r="GW114"/>
  <c r="GX114"/>
  <c r="GY114"/>
  <c r="GZ114"/>
  <c r="HA114"/>
  <c r="HB114"/>
  <c r="HC114"/>
  <c r="HD114"/>
  <c r="HE114"/>
  <c r="HF114"/>
  <c r="HG114"/>
  <c r="HH114"/>
  <c r="HI114"/>
  <c r="HJ114"/>
  <c r="HK114"/>
  <c r="HL114"/>
  <c r="HM114"/>
  <c r="HN114"/>
  <c r="HO114"/>
  <c r="HP114"/>
  <c r="HQ114"/>
  <c r="HR114"/>
  <c r="HS114"/>
  <c r="HT114"/>
  <c r="HU114"/>
  <c r="HV114"/>
  <c r="HW114"/>
  <c r="HX114"/>
  <c r="HY114"/>
  <c r="HZ114"/>
  <c r="IA114"/>
  <c r="IB114"/>
  <c r="IC114"/>
  <c r="ID114"/>
  <c r="IE114"/>
  <c r="IF114"/>
  <c r="IG114"/>
  <c r="IH114"/>
  <c r="II114"/>
  <c r="IJ114"/>
  <c r="IK114"/>
  <c r="IL114"/>
  <c r="IM114"/>
  <c r="IN114"/>
  <c r="IO114"/>
  <c r="IP114"/>
  <c r="IQ114"/>
  <c r="IR114"/>
  <c r="IS114"/>
  <c r="IT114"/>
  <c r="IU114"/>
  <c r="IV114"/>
  <c r="A115"/>
  <c r="B115"/>
  <c r="C115"/>
  <c r="D115"/>
  <c r="E115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Z115"/>
  <c r="AA115"/>
  <c r="AB115"/>
  <c r="AC115"/>
  <c r="AD115"/>
  <c r="AE115"/>
  <c r="AF115"/>
  <c r="AG115"/>
  <c r="AH115"/>
  <c r="AI115"/>
  <c r="AJ115"/>
  <c r="AK115"/>
  <c r="AL115"/>
  <c r="AM115"/>
  <c r="AN115"/>
  <c r="AO115"/>
  <c r="AP115"/>
  <c r="AQ115"/>
  <c r="AR115"/>
  <c r="AS115"/>
  <c r="AT115"/>
  <c r="AU115"/>
  <c r="AV115"/>
  <c r="AW115"/>
  <c r="AX115"/>
  <c r="AY115"/>
  <c r="AZ115"/>
  <c r="BA115"/>
  <c r="BB115"/>
  <c r="BC115"/>
  <c r="BD115"/>
  <c r="BE115"/>
  <c r="BF115"/>
  <c r="BG115"/>
  <c r="BH115"/>
  <c r="BI115"/>
  <c r="BJ115"/>
  <c r="BK115"/>
  <c r="BL115"/>
  <c r="BM115"/>
  <c r="BN115"/>
  <c r="BO115"/>
  <c r="BP115"/>
  <c r="BQ115"/>
  <c r="BR115"/>
  <c r="BS115"/>
  <c r="BT115"/>
  <c r="BU115"/>
  <c r="BV115"/>
  <c r="BW115"/>
  <c r="BX115"/>
  <c r="BY115"/>
  <c r="BZ115"/>
  <c r="CA115"/>
  <c r="CB115"/>
  <c r="CC115"/>
  <c r="CD115"/>
  <c r="CE115"/>
  <c r="CF115"/>
  <c r="CG115"/>
  <c r="CH115"/>
  <c r="CI115"/>
  <c r="CJ115"/>
  <c r="CK115"/>
  <c r="CL115"/>
  <c r="CM115"/>
  <c r="CN115"/>
  <c r="CO115"/>
  <c r="CP115"/>
  <c r="CQ115"/>
  <c r="CR115"/>
  <c r="CS115"/>
  <c r="CT115"/>
  <c r="CU115"/>
  <c r="CV115"/>
  <c r="CW115"/>
  <c r="CX115"/>
  <c r="CY115"/>
  <c r="CZ115"/>
  <c r="DA115"/>
  <c r="DB115"/>
  <c r="DC115"/>
  <c r="DD115"/>
  <c r="DE115"/>
  <c r="DF115"/>
  <c r="DG115"/>
  <c r="DH115"/>
  <c r="DI115"/>
  <c r="DJ115"/>
  <c r="DK115"/>
  <c r="DL115"/>
  <c r="DM115"/>
  <c r="DN115"/>
  <c r="DO115"/>
  <c r="DP115"/>
  <c r="DQ115"/>
  <c r="DR115"/>
  <c r="DS115"/>
  <c r="DT115"/>
  <c r="DU115"/>
  <c r="DV115"/>
  <c r="DW115"/>
  <c r="DX115"/>
  <c r="DY115"/>
  <c r="DZ115"/>
  <c r="EA115"/>
  <c r="EB115"/>
  <c r="EC115"/>
  <c r="ED115"/>
  <c r="EE115"/>
  <c r="EF115"/>
  <c r="EG115"/>
  <c r="EH115"/>
  <c r="EI115"/>
  <c r="EJ115"/>
  <c r="EK115"/>
  <c r="EL115"/>
  <c r="EM115"/>
  <c r="EN115"/>
  <c r="EO115"/>
  <c r="EP115"/>
  <c r="EQ115"/>
  <c r="ER115"/>
  <c r="ES115"/>
  <c r="ET115"/>
  <c r="EU115"/>
  <c r="EV115"/>
  <c r="EW115"/>
  <c r="EX115"/>
  <c r="EY115"/>
  <c r="EZ115"/>
  <c r="FA115"/>
  <c r="FB115"/>
  <c r="FC115"/>
  <c r="FD115"/>
  <c r="FE115"/>
  <c r="FF115"/>
  <c r="FG115"/>
  <c r="FH115"/>
  <c r="FI115"/>
  <c r="FJ115"/>
  <c r="FK115"/>
  <c r="FL115"/>
  <c r="FM115"/>
  <c r="FN115"/>
  <c r="FO115"/>
  <c r="FP115"/>
  <c r="FQ115"/>
  <c r="FR115"/>
  <c r="FS115"/>
  <c r="FT115"/>
  <c r="FU115"/>
  <c r="FV115"/>
  <c r="FW115"/>
  <c r="FX115"/>
  <c r="FY115"/>
  <c r="FZ115"/>
  <c r="GA115"/>
  <c r="GB115"/>
  <c r="GC115"/>
  <c r="GD115"/>
  <c r="GE115"/>
  <c r="GF115"/>
  <c r="GG115"/>
  <c r="GH115"/>
  <c r="GI115"/>
  <c r="GJ115"/>
  <c r="GK115"/>
  <c r="GL115"/>
  <c r="GM115"/>
  <c r="GN115"/>
  <c r="GO115"/>
  <c r="GP115"/>
  <c r="GQ115"/>
  <c r="GR115"/>
  <c r="GS115"/>
  <c r="GT115"/>
  <c r="GU115"/>
  <c r="GV115"/>
  <c r="GW115"/>
  <c r="GX115"/>
  <c r="GY115"/>
  <c r="GZ115"/>
  <c r="HA115"/>
  <c r="HB115"/>
  <c r="HC115"/>
  <c r="HD115"/>
  <c r="HE115"/>
  <c r="HF115"/>
  <c r="HG115"/>
  <c r="HH115"/>
  <c r="HI115"/>
  <c r="HJ115"/>
  <c r="HK115"/>
  <c r="HL115"/>
  <c r="HM115"/>
  <c r="HN115"/>
  <c r="HO115"/>
  <c r="HP115"/>
  <c r="HQ115"/>
  <c r="HR115"/>
  <c r="HS115"/>
  <c r="HT115"/>
  <c r="HU115"/>
  <c r="HV115"/>
  <c r="HW115"/>
  <c r="HX115"/>
  <c r="HY115"/>
  <c r="HZ115"/>
  <c r="IA115"/>
  <c r="IB115"/>
  <c r="IC115"/>
  <c r="ID115"/>
  <c r="IE115"/>
  <c r="IF115"/>
  <c r="IG115"/>
  <c r="IH115"/>
  <c r="II115"/>
  <c r="IJ115"/>
  <c r="IK115"/>
  <c r="IL115"/>
  <c r="IM115"/>
  <c r="IN115"/>
  <c r="IO115"/>
  <c r="IP115"/>
  <c r="IQ115"/>
  <c r="IR115"/>
  <c r="IS115"/>
  <c r="IT115"/>
  <c r="IU115"/>
  <c r="IV115"/>
  <c r="A116"/>
  <c r="B116"/>
  <c r="C116"/>
  <c r="D116"/>
  <c r="E116"/>
  <c r="F116"/>
  <c r="G116"/>
  <c r="H116"/>
  <c r="I116"/>
  <c r="J116"/>
  <c r="K116"/>
  <c r="L116"/>
  <c r="M116"/>
  <c r="N116"/>
  <c r="O116"/>
  <c r="P116"/>
  <c r="Q116"/>
  <c r="R116"/>
  <c r="S116"/>
  <c r="T116"/>
  <c r="U116"/>
  <c r="V116"/>
  <c r="W116"/>
  <c r="X116"/>
  <c r="Y116"/>
  <c r="Z116"/>
  <c r="AA116"/>
  <c r="AB116"/>
  <c r="AC116"/>
  <c r="AD116"/>
  <c r="AE116"/>
  <c r="AF116"/>
  <c r="AG116"/>
  <c r="AH116"/>
  <c r="AI116"/>
  <c r="AJ116"/>
  <c r="AK116"/>
  <c r="AL116"/>
  <c r="AM116"/>
  <c r="AN116"/>
  <c r="AO116"/>
  <c r="AP116"/>
  <c r="AQ116"/>
  <c r="AR116"/>
  <c r="AS116"/>
  <c r="AT116"/>
  <c r="AU116"/>
  <c r="AV116"/>
  <c r="AW116"/>
  <c r="AX116"/>
  <c r="AY116"/>
  <c r="AZ116"/>
  <c r="BA116"/>
  <c r="BB116"/>
  <c r="BC116"/>
  <c r="BD116"/>
  <c r="BE116"/>
  <c r="BF116"/>
  <c r="BG116"/>
  <c r="BH116"/>
  <c r="BI116"/>
  <c r="BJ116"/>
  <c r="BK116"/>
  <c r="BL116"/>
  <c r="BM116"/>
  <c r="BN116"/>
  <c r="BO116"/>
  <c r="BP116"/>
  <c r="BQ116"/>
  <c r="BR116"/>
  <c r="BS116"/>
  <c r="BT116"/>
  <c r="BU116"/>
  <c r="BV116"/>
  <c r="BW116"/>
  <c r="BX116"/>
  <c r="BY116"/>
  <c r="BZ116"/>
  <c r="CA116"/>
  <c r="CB116"/>
  <c r="CC116"/>
  <c r="CD116"/>
  <c r="CE116"/>
  <c r="CF116"/>
  <c r="CG116"/>
  <c r="CH116"/>
  <c r="CI116"/>
  <c r="CJ116"/>
  <c r="CK116"/>
  <c r="CL116"/>
  <c r="CM116"/>
  <c r="CN116"/>
  <c r="CO116"/>
  <c r="CP116"/>
  <c r="CQ116"/>
  <c r="CR116"/>
  <c r="CS116"/>
  <c r="CT116"/>
  <c r="CU116"/>
  <c r="CV116"/>
  <c r="CW116"/>
  <c r="CX116"/>
  <c r="CY116"/>
  <c r="CZ116"/>
  <c r="DA116"/>
  <c r="DB116"/>
  <c r="DC116"/>
  <c r="DD116"/>
  <c r="DE116"/>
  <c r="DF116"/>
  <c r="DG116"/>
  <c r="DH116"/>
  <c r="DI116"/>
  <c r="DJ116"/>
  <c r="DK116"/>
  <c r="DL116"/>
  <c r="DM116"/>
  <c r="DN116"/>
  <c r="DO116"/>
  <c r="DP116"/>
  <c r="DQ116"/>
  <c r="DR116"/>
  <c r="DS116"/>
  <c r="DT116"/>
  <c r="DU116"/>
  <c r="DV116"/>
  <c r="DW116"/>
  <c r="DX116"/>
  <c r="DY116"/>
  <c r="DZ116"/>
  <c r="EA116"/>
  <c r="EB116"/>
  <c r="EC116"/>
  <c r="ED116"/>
  <c r="EE116"/>
  <c r="EF116"/>
  <c r="EG116"/>
  <c r="EH116"/>
  <c r="EI116"/>
  <c r="EJ116"/>
  <c r="EK116"/>
  <c r="EL116"/>
  <c r="EM116"/>
  <c r="EN116"/>
  <c r="EO116"/>
  <c r="EP116"/>
  <c r="EQ116"/>
  <c r="ER116"/>
  <c r="ES116"/>
  <c r="ET116"/>
  <c r="EU116"/>
  <c r="EV116"/>
  <c r="EW116"/>
  <c r="EX116"/>
  <c r="EY116"/>
  <c r="EZ116"/>
  <c r="FA116"/>
  <c r="FB116"/>
  <c r="FC116"/>
  <c r="FD116"/>
  <c r="FE116"/>
  <c r="FF116"/>
  <c r="FG116"/>
  <c r="FH116"/>
  <c r="FI116"/>
  <c r="FJ116"/>
  <c r="FK116"/>
  <c r="FL116"/>
  <c r="FM116"/>
  <c r="FN116"/>
  <c r="FO116"/>
  <c r="FP116"/>
  <c r="FQ116"/>
  <c r="FR116"/>
  <c r="FS116"/>
  <c r="FT116"/>
  <c r="FU116"/>
  <c r="FV116"/>
  <c r="FW116"/>
  <c r="FX116"/>
  <c r="FY116"/>
  <c r="FZ116"/>
  <c r="GA116"/>
  <c r="GB116"/>
  <c r="GC116"/>
  <c r="GD116"/>
  <c r="GE116"/>
  <c r="GF116"/>
  <c r="GG116"/>
  <c r="GH116"/>
  <c r="GI116"/>
  <c r="GJ116"/>
  <c r="GK116"/>
  <c r="GL116"/>
  <c r="GM116"/>
  <c r="GN116"/>
  <c r="GO116"/>
  <c r="GP116"/>
  <c r="GQ116"/>
  <c r="GR116"/>
  <c r="GS116"/>
  <c r="GT116"/>
  <c r="GU116"/>
  <c r="GV116"/>
  <c r="GW116"/>
  <c r="GX116"/>
  <c r="GY116"/>
  <c r="GZ116"/>
  <c r="HA116"/>
  <c r="HB116"/>
  <c r="HC116"/>
  <c r="HD116"/>
  <c r="HE116"/>
  <c r="HF116"/>
  <c r="HG116"/>
  <c r="HH116"/>
  <c r="HI116"/>
  <c r="HJ116"/>
  <c r="HK116"/>
  <c r="HL116"/>
  <c r="HM116"/>
  <c r="HN116"/>
  <c r="HO116"/>
  <c r="HP116"/>
  <c r="HQ116"/>
  <c r="HR116"/>
  <c r="HS116"/>
  <c r="HT116"/>
  <c r="HU116"/>
  <c r="HV116"/>
  <c r="HW116"/>
  <c r="HX116"/>
  <c r="HY116"/>
  <c r="HZ116"/>
  <c r="IA116"/>
  <c r="IB116"/>
  <c r="IC116"/>
  <c r="ID116"/>
  <c r="IE116"/>
  <c r="IF116"/>
  <c r="IG116"/>
  <c r="IH116"/>
  <c r="II116"/>
  <c r="IJ116"/>
  <c r="IK116"/>
  <c r="IL116"/>
  <c r="IM116"/>
  <c r="IN116"/>
  <c r="IO116"/>
  <c r="IP116"/>
  <c r="IQ116"/>
  <c r="IR116"/>
  <c r="IS116"/>
  <c r="IT116"/>
  <c r="IU116"/>
  <c r="IV116"/>
  <c r="A117"/>
  <c r="B117"/>
  <c r="C117"/>
  <c r="D117"/>
  <c r="E117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Z117"/>
  <c r="AA117"/>
  <c r="AB117"/>
  <c r="AC117"/>
  <c r="AD117"/>
  <c r="AE117"/>
  <c r="AF117"/>
  <c r="AG117"/>
  <c r="AH117"/>
  <c r="AI117"/>
  <c r="AJ117"/>
  <c r="AK117"/>
  <c r="AL117"/>
  <c r="AM117"/>
  <c r="AN117"/>
  <c r="AO117"/>
  <c r="AP117"/>
  <c r="AQ117"/>
  <c r="AR117"/>
  <c r="AS117"/>
  <c r="AT117"/>
  <c r="AU117"/>
  <c r="AV117"/>
  <c r="AW117"/>
  <c r="AX117"/>
  <c r="AY117"/>
  <c r="AZ117"/>
  <c r="BA117"/>
  <c r="BB117"/>
  <c r="BC117"/>
  <c r="BD117"/>
  <c r="BE117"/>
  <c r="BF117"/>
  <c r="BG117"/>
  <c r="BH117"/>
  <c r="BI117"/>
  <c r="BJ117"/>
  <c r="BK117"/>
  <c r="BL117"/>
  <c r="BM117"/>
  <c r="BN117"/>
  <c r="BO117"/>
  <c r="BP117"/>
  <c r="BQ117"/>
  <c r="BR117"/>
  <c r="BS117"/>
  <c r="BT117"/>
  <c r="BU117"/>
  <c r="BV117"/>
  <c r="BW117"/>
  <c r="BX117"/>
  <c r="BY117"/>
  <c r="BZ117"/>
  <c r="CA117"/>
  <c r="CB117"/>
  <c r="CC117"/>
  <c r="CD117"/>
  <c r="CE117"/>
  <c r="CF117"/>
  <c r="CG117"/>
  <c r="CH117"/>
  <c r="CI117"/>
  <c r="CJ117"/>
  <c r="CK117"/>
  <c r="CL117"/>
  <c r="CM117"/>
  <c r="CN117"/>
  <c r="CO117"/>
  <c r="CP117"/>
  <c r="CQ117"/>
  <c r="CR117"/>
  <c r="CS117"/>
  <c r="CT117"/>
  <c r="CU117"/>
  <c r="CV117"/>
  <c r="CW117"/>
  <c r="CX117"/>
  <c r="CY117"/>
  <c r="CZ117"/>
  <c r="DA117"/>
  <c r="DB117"/>
  <c r="DC117"/>
  <c r="DD117"/>
  <c r="DE117"/>
  <c r="DF117"/>
  <c r="DG117"/>
  <c r="DH117"/>
  <c r="DI117"/>
  <c r="DJ117"/>
  <c r="DK117"/>
  <c r="DL117"/>
  <c r="DM117"/>
  <c r="DN117"/>
  <c r="DO117"/>
  <c r="DP117"/>
  <c r="DQ117"/>
  <c r="DR117"/>
  <c r="DS117"/>
  <c r="DT117"/>
  <c r="DU117"/>
  <c r="DV117"/>
  <c r="DW117"/>
  <c r="DX117"/>
  <c r="DY117"/>
  <c r="DZ117"/>
  <c r="EA117"/>
  <c r="EB117"/>
  <c r="EC117"/>
  <c r="ED117"/>
  <c r="EE117"/>
  <c r="EF117"/>
  <c r="EG117"/>
  <c r="EH117"/>
  <c r="EI117"/>
  <c r="EJ117"/>
  <c r="EK117"/>
  <c r="EL117"/>
  <c r="EM117"/>
  <c r="EN117"/>
  <c r="EO117"/>
  <c r="EP117"/>
  <c r="EQ117"/>
  <c r="ER117"/>
  <c r="ES117"/>
  <c r="ET117"/>
  <c r="EU117"/>
  <c r="EV117"/>
  <c r="EW117"/>
  <c r="EX117"/>
  <c r="EY117"/>
  <c r="EZ117"/>
  <c r="FA117"/>
  <c r="FB117"/>
  <c r="FC117"/>
  <c r="FD117"/>
  <c r="FE117"/>
  <c r="FF117"/>
  <c r="FG117"/>
  <c r="FH117"/>
  <c r="FI117"/>
  <c r="FJ117"/>
  <c r="FK117"/>
  <c r="FL117"/>
  <c r="FM117"/>
  <c r="FN117"/>
  <c r="FO117"/>
  <c r="FP117"/>
  <c r="FQ117"/>
  <c r="FR117"/>
  <c r="FS117"/>
  <c r="FT117"/>
  <c r="FU117"/>
  <c r="FV117"/>
  <c r="FW117"/>
  <c r="FX117"/>
  <c r="FY117"/>
  <c r="FZ117"/>
  <c r="GA117"/>
  <c r="GB117"/>
  <c r="GC117"/>
  <c r="GD117"/>
  <c r="GE117"/>
  <c r="GF117"/>
  <c r="GG117"/>
  <c r="GH117"/>
  <c r="GI117"/>
  <c r="GJ117"/>
  <c r="GK117"/>
  <c r="GL117"/>
  <c r="GM117"/>
  <c r="GN117"/>
  <c r="GO117"/>
  <c r="GP117"/>
  <c r="GQ117"/>
  <c r="GR117"/>
  <c r="GS117"/>
  <c r="GT117"/>
  <c r="GU117"/>
  <c r="GV117"/>
  <c r="GW117"/>
  <c r="GX117"/>
  <c r="GY117"/>
  <c r="GZ117"/>
  <c r="HA117"/>
  <c r="HB117"/>
  <c r="HC117"/>
  <c r="HD117"/>
  <c r="HE117"/>
  <c r="HF117"/>
  <c r="HG117"/>
  <c r="HH117"/>
  <c r="HI117"/>
  <c r="HJ117"/>
  <c r="HK117"/>
  <c r="HL117"/>
  <c r="HM117"/>
  <c r="HN117"/>
  <c r="HO117"/>
  <c r="HP117"/>
  <c r="HQ117"/>
  <c r="HR117"/>
  <c r="HS117"/>
  <c r="HT117"/>
  <c r="HU117"/>
  <c r="HV117"/>
  <c r="HW117"/>
  <c r="HX117"/>
  <c r="HY117"/>
  <c r="HZ117"/>
  <c r="IA117"/>
  <c r="IB117"/>
  <c r="IC117"/>
  <c r="ID117"/>
  <c r="IE117"/>
  <c r="IF117"/>
  <c r="IG117"/>
  <c r="IH117"/>
  <c r="II117"/>
  <c r="IJ117"/>
  <c r="IK117"/>
  <c r="IL117"/>
  <c r="IM117"/>
  <c r="IN117"/>
  <c r="IO117"/>
  <c r="IP117"/>
  <c r="IQ117"/>
  <c r="IR117"/>
  <c r="IS117"/>
  <c r="IT117"/>
  <c r="IU117"/>
  <c r="IV117"/>
  <c r="A118"/>
  <c r="B118"/>
  <c r="C118"/>
  <c r="D118"/>
  <c r="E118"/>
  <c r="F118"/>
  <c r="G118"/>
  <c r="H118"/>
  <c r="I118"/>
  <c r="J118"/>
  <c r="K118"/>
  <c r="L118"/>
  <c r="M118"/>
  <c r="N118"/>
  <c r="O118"/>
  <c r="P118"/>
  <c r="Q118"/>
  <c r="R118"/>
  <c r="S118"/>
  <c r="T118"/>
  <c r="U118"/>
  <c r="V118"/>
  <c r="W118"/>
  <c r="X118"/>
  <c r="Y118"/>
  <c r="Z118"/>
  <c r="AA118"/>
  <c r="AB118"/>
  <c r="AC118"/>
  <c r="AD118"/>
  <c r="AE118"/>
  <c r="AF118"/>
  <c r="AG118"/>
  <c r="AH118"/>
  <c r="AI118"/>
  <c r="AJ118"/>
  <c r="AK118"/>
  <c r="AL118"/>
  <c r="AM118"/>
  <c r="AN118"/>
  <c r="AO118"/>
  <c r="AP118"/>
  <c r="AQ118"/>
  <c r="AR118"/>
  <c r="AS118"/>
  <c r="AT118"/>
  <c r="AU118"/>
  <c r="AV118"/>
  <c r="AW118"/>
  <c r="AX118"/>
  <c r="AY118"/>
  <c r="AZ118"/>
  <c r="BA118"/>
  <c r="BB118"/>
  <c r="BC118"/>
  <c r="BD118"/>
  <c r="BE118"/>
  <c r="BF118"/>
  <c r="BG118"/>
  <c r="BH118"/>
  <c r="BI118"/>
  <c r="BJ118"/>
  <c r="BK118"/>
  <c r="BL118"/>
  <c r="BM118"/>
  <c r="BN118"/>
  <c r="BO118"/>
  <c r="BP118"/>
  <c r="BQ118"/>
  <c r="BR118"/>
  <c r="BS118"/>
  <c r="BT118"/>
  <c r="BU118"/>
  <c r="BV118"/>
  <c r="BW118"/>
  <c r="BX118"/>
  <c r="BY118"/>
  <c r="BZ118"/>
  <c r="CA118"/>
  <c r="CB118"/>
  <c r="CC118"/>
  <c r="CD118"/>
  <c r="CE118"/>
  <c r="CF118"/>
  <c r="CG118"/>
  <c r="CH118"/>
  <c r="CI118"/>
  <c r="CJ118"/>
  <c r="CK118"/>
  <c r="CL118"/>
  <c r="CM118"/>
  <c r="CN118"/>
  <c r="CO118"/>
  <c r="CP118"/>
  <c r="CQ118"/>
  <c r="CR118"/>
  <c r="CS118"/>
  <c r="CT118"/>
  <c r="CU118"/>
  <c r="CV118"/>
  <c r="CW118"/>
  <c r="CX118"/>
  <c r="CY118"/>
  <c r="CZ118"/>
  <c r="DA118"/>
  <c r="DB118"/>
  <c r="DC118"/>
  <c r="DD118"/>
  <c r="DE118"/>
  <c r="DF118"/>
  <c r="DG118"/>
  <c r="DH118"/>
  <c r="DI118"/>
  <c r="DJ118"/>
  <c r="DK118"/>
  <c r="DL118"/>
  <c r="DM118"/>
  <c r="DN118"/>
  <c r="DO118"/>
  <c r="DP118"/>
  <c r="DQ118"/>
  <c r="DR118"/>
  <c r="DS118"/>
  <c r="DT118"/>
  <c r="DU118"/>
  <c r="DV118"/>
  <c r="DW118"/>
  <c r="DX118"/>
  <c r="DY118"/>
  <c r="DZ118"/>
  <c r="EA118"/>
  <c r="EB118"/>
  <c r="EC118"/>
  <c r="ED118"/>
  <c r="EE118"/>
  <c r="EF118"/>
  <c r="EG118"/>
  <c r="EH118"/>
  <c r="EI118"/>
  <c r="EJ118"/>
  <c r="EK118"/>
  <c r="EL118"/>
  <c r="EM118"/>
  <c r="EN118"/>
  <c r="EO118"/>
  <c r="EP118"/>
  <c r="EQ118"/>
  <c r="ER118"/>
  <c r="ES118"/>
  <c r="ET118"/>
  <c r="EU118"/>
  <c r="EV118"/>
  <c r="EW118"/>
  <c r="EX118"/>
  <c r="EY118"/>
  <c r="EZ118"/>
  <c r="FA118"/>
  <c r="FB118"/>
  <c r="FC118"/>
  <c r="FD118"/>
  <c r="FE118"/>
  <c r="FF118"/>
  <c r="FG118"/>
  <c r="FH118"/>
  <c r="FI118"/>
  <c r="FJ118"/>
  <c r="FK118"/>
  <c r="FL118"/>
  <c r="FM118"/>
  <c r="FN118"/>
  <c r="FO118"/>
  <c r="FP118"/>
  <c r="FQ118"/>
  <c r="FR118"/>
  <c r="FS118"/>
  <c r="FT118"/>
  <c r="FU118"/>
  <c r="FV118"/>
  <c r="FW118"/>
  <c r="FX118"/>
  <c r="FY118"/>
  <c r="FZ118"/>
  <c r="GA118"/>
  <c r="GB118"/>
  <c r="GC118"/>
  <c r="GD118"/>
  <c r="GE118"/>
  <c r="GF118"/>
  <c r="GG118"/>
  <c r="GH118"/>
  <c r="GI118"/>
  <c r="GJ118"/>
  <c r="GK118"/>
  <c r="GL118"/>
  <c r="GM118"/>
  <c r="GN118"/>
  <c r="GO118"/>
  <c r="GP118"/>
  <c r="GQ118"/>
  <c r="GR118"/>
  <c r="GS118"/>
  <c r="GT118"/>
  <c r="GU118"/>
  <c r="GV118"/>
  <c r="GW118"/>
  <c r="GX118"/>
  <c r="GY118"/>
  <c r="GZ118"/>
  <c r="HA118"/>
  <c r="HB118"/>
  <c r="HC118"/>
  <c r="HD118"/>
  <c r="HE118"/>
  <c r="HF118"/>
  <c r="HG118"/>
  <c r="HH118"/>
  <c r="HI118"/>
  <c r="HJ118"/>
  <c r="HK118"/>
  <c r="HL118"/>
  <c r="HM118"/>
  <c r="HN118"/>
  <c r="HO118"/>
  <c r="HP118"/>
  <c r="HQ118"/>
  <c r="HR118"/>
  <c r="HS118"/>
  <c r="HT118"/>
  <c r="HU118"/>
  <c r="HV118"/>
  <c r="HW118"/>
  <c r="HX118"/>
  <c r="HY118"/>
  <c r="HZ118"/>
  <c r="IA118"/>
  <c r="IB118"/>
  <c r="IC118"/>
  <c r="ID118"/>
  <c r="IE118"/>
  <c r="IF118"/>
  <c r="IG118"/>
  <c r="IH118"/>
  <c r="II118"/>
  <c r="IJ118"/>
  <c r="IK118"/>
  <c r="IL118"/>
  <c r="IM118"/>
  <c r="IN118"/>
  <c r="IO118"/>
  <c r="IP118"/>
  <c r="IQ118"/>
  <c r="IR118"/>
  <c r="IS118"/>
  <c r="IT118"/>
  <c r="IU118"/>
  <c r="IV118"/>
  <c r="A119"/>
  <c r="B119"/>
  <c r="C119"/>
  <c r="D119"/>
  <c r="E119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Z119"/>
  <c r="AA119"/>
  <c r="AB119"/>
  <c r="AC119"/>
  <c r="AD119"/>
  <c r="AE119"/>
  <c r="AF119"/>
  <c r="AG119"/>
  <c r="AH119"/>
  <c r="AI119"/>
  <c r="AJ119"/>
  <c r="AK119"/>
  <c r="AL119"/>
  <c r="AM119"/>
  <c r="AN119"/>
  <c r="AO119"/>
  <c r="AP119"/>
  <c r="AQ119"/>
  <c r="AR119"/>
  <c r="AS119"/>
  <c r="AT119"/>
  <c r="AU119"/>
  <c r="AV119"/>
  <c r="AW119"/>
  <c r="AX119"/>
  <c r="AY119"/>
  <c r="AZ119"/>
  <c r="BA119"/>
  <c r="BB119"/>
  <c r="BC119"/>
  <c r="BD119"/>
  <c r="BE119"/>
  <c r="BF119"/>
  <c r="BG119"/>
  <c r="BH119"/>
  <c r="BI119"/>
  <c r="BJ119"/>
  <c r="BK119"/>
  <c r="BL119"/>
  <c r="BM119"/>
  <c r="BN119"/>
  <c r="BO119"/>
  <c r="BP119"/>
  <c r="BQ119"/>
  <c r="BR119"/>
  <c r="BS119"/>
  <c r="BT119"/>
  <c r="BU119"/>
  <c r="BV119"/>
  <c r="BW119"/>
  <c r="BX119"/>
  <c r="BY119"/>
  <c r="BZ119"/>
  <c r="CA119"/>
  <c r="CB119"/>
  <c r="CC119"/>
  <c r="CD119"/>
  <c r="CE119"/>
  <c r="CF119"/>
  <c r="CG119"/>
  <c r="CH119"/>
  <c r="CI119"/>
  <c r="CJ119"/>
  <c r="CK119"/>
  <c r="CL119"/>
  <c r="CM119"/>
  <c r="CN119"/>
  <c r="CO119"/>
  <c r="CP119"/>
  <c r="CQ119"/>
  <c r="CR119"/>
  <c r="CS119"/>
  <c r="CT119"/>
  <c r="CU119"/>
  <c r="CV119"/>
  <c r="CW119"/>
  <c r="CX119"/>
  <c r="CY119"/>
  <c r="CZ119"/>
  <c r="DA119"/>
  <c r="DB119"/>
  <c r="DC119"/>
  <c r="DD119"/>
  <c r="DE119"/>
  <c r="DF119"/>
  <c r="DG119"/>
  <c r="DH119"/>
  <c r="DI119"/>
  <c r="DJ119"/>
  <c r="DK119"/>
  <c r="DL119"/>
  <c r="DM119"/>
  <c r="DN119"/>
  <c r="DO119"/>
  <c r="DP119"/>
  <c r="DQ119"/>
  <c r="DR119"/>
  <c r="DS119"/>
  <c r="DT119"/>
  <c r="DU119"/>
  <c r="DV119"/>
  <c r="DW119"/>
  <c r="DX119"/>
  <c r="DY119"/>
  <c r="DZ119"/>
  <c r="EA119"/>
  <c r="EB119"/>
  <c r="EC119"/>
  <c r="ED119"/>
  <c r="EE119"/>
  <c r="EF119"/>
  <c r="EG119"/>
  <c r="EH119"/>
  <c r="EI119"/>
  <c r="EJ119"/>
  <c r="EK119"/>
  <c r="EL119"/>
  <c r="EM119"/>
  <c r="EN119"/>
  <c r="EO119"/>
  <c r="EP119"/>
  <c r="EQ119"/>
  <c r="ER119"/>
  <c r="ES119"/>
  <c r="ET119"/>
  <c r="EU119"/>
  <c r="EV119"/>
  <c r="EW119"/>
  <c r="EX119"/>
  <c r="EY119"/>
  <c r="EZ119"/>
  <c r="FA119"/>
  <c r="FB119"/>
  <c r="FC119"/>
  <c r="FD119"/>
  <c r="FE119"/>
  <c r="FF119"/>
  <c r="FG119"/>
  <c r="FH119"/>
  <c r="FI119"/>
  <c r="FJ119"/>
  <c r="FK119"/>
  <c r="FL119"/>
  <c r="FM119"/>
  <c r="FN119"/>
  <c r="FO119"/>
  <c r="FP119"/>
  <c r="FQ119"/>
  <c r="FR119"/>
  <c r="FS119"/>
  <c r="FT119"/>
  <c r="FU119"/>
  <c r="FV119"/>
  <c r="FW119"/>
  <c r="FX119"/>
  <c r="FY119"/>
  <c r="FZ119"/>
  <c r="GA119"/>
  <c r="GB119"/>
  <c r="GC119"/>
  <c r="GD119"/>
  <c r="GE119"/>
  <c r="GF119"/>
  <c r="GG119"/>
  <c r="GH119"/>
  <c r="GI119"/>
  <c r="GJ119"/>
  <c r="GK119"/>
  <c r="GL119"/>
  <c r="GM119"/>
  <c r="GN119"/>
  <c r="GO119"/>
  <c r="GP119"/>
  <c r="GQ119"/>
  <c r="GR119"/>
  <c r="GS119"/>
  <c r="GT119"/>
  <c r="GU119"/>
  <c r="GV119"/>
  <c r="GW119"/>
  <c r="GX119"/>
  <c r="GY119"/>
  <c r="GZ119"/>
  <c r="HA119"/>
  <c r="HB119"/>
  <c r="HC119"/>
  <c r="HD119"/>
  <c r="HE119"/>
  <c r="HF119"/>
  <c r="HG119"/>
  <c r="HH119"/>
  <c r="HI119"/>
  <c r="HJ119"/>
  <c r="HK119"/>
  <c r="HL119"/>
  <c r="HM119"/>
  <c r="HN119"/>
  <c r="HO119"/>
  <c r="HP119"/>
  <c r="HQ119"/>
  <c r="HR119"/>
  <c r="HS119"/>
  <c r="HT119"/>
  <c r="HU119"/>
  <c r="HV119"/>
  <c r="HW119"/>
  <c r="HX119"/>
  <c r="HY119"/>
  <c r="HZ119"/>
  <c r="IA119"/>
  <c r="IB119"/>
  <c r="IC119"/>
  <c r="ID119"/>
  <c r="IE119"/>
  <c r="IF119"/>
  <c r="IG119"/>
  <c r="IH119"/>
  <c r="II119"/>
  <c r="IJ119"/>
  <c r="IK119"/>
  <c r="IL119"/>
  <c r="IM119"/>
  <c r="IN119"/>
  <c r="IO119"/>
  <c r="IP119"/>
  <c r="IQ119"/>
  <c r="IR119"/>
  <c r="IS119"/>
  <c r="IT119"/>
  <c r="IU119"/>
  <c r="IV119"/>
  <c r="A120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Z120"/>
  <c r="AA120"/>
  <c r="AB120"/>
  <c r="AC120"/>
  <c r="AD120"/>
  <c r="AE120"/>
  <c r="AF120"/>
  <c r="AG120"/>
  <c r="AH120"/>
  <c r="AI120"/>
  <c r="AJ120"/>
  <c r="AK120"/>
  <c r="AL120"/>
  <c r="AM120"/>
  <c r="AN120"/>
  <c r="AO120"/>
  <c r="AP120"/>
  <c r="AQ120"/>
  <c r="AR120"/>
  <c r="AS120"/>
  <c r="AT120"/>
  <c r="AU120"/>
  <c r="AV120"/>
  <c r="AW120"/>
  <c r="AX120"/>
  <c r="AY120"/>
  <c r="AZ120"/>
  <c r="BA120"/>
  <c r="BB120"/>
  <c r="BC120"/>
  <c r="BD120"/>
  <c r="BE120"/>
  <c r="BF120"/>
  <c r="BG120"/>
  <c r="BH120"/>
  <c r="BI120"/>
  <c r="BJ120"/>
  <c r="BK120"/>
  <c r="BL120"/>
  <c r="BM120"/>
  <c r="BN120"/>
  <c r="BO120"/>
  <c r="BP120"/>
  <c r="BQ120"/>
  <c r="BR120"/>
  <c r="BS120"/>
  <c r="BT120"/>
  <c r="BU120"/>
  <c r="BV120"/>
  <c r="BW120"/>
  <c r="BX120"/>
  <c r="BY120"/>
  <c r="BZ120"/>
  <c r="CA120"/>
  <c r="CB120"/>
  <c r="CC120"/>
  <c r="CD120"/>
  <c r="CE120"/>
  <c r="CF120"/>
  <c r="CG120"/>
  <c r="CH120"/>
  <c r="CI120"/>
  <c r="CJ120"/>
  <c r="CK120"/>
  <c r="CL120"/>
  <c r="CM120"/>
  <c r="CN120"/>
  <c r="CO120"/>
  <c r="CP120"/>
  <c r="CQ120"/>
  <c r="CR120"/>
  <c r="CS120"/>
  <c r="CT120"/>
  <c r="CU120"/>
  <c r="CV120"/>
  <c r="CW120"/>
  <c r="CX120"/>
  <c r="CY120"/>
  <c r="CZ120"/>
  <c r="DA120"/>
  <c r="DB120"/>
  <c r="DC120"/>
  <c r="DD120"/>
  <c r="DE120"/>
  <c r="DF120"/>
  <c r="DG120"/>
  <c r="DH120"/>
  <c r="DI120"/>
  <c r="DJ120"/>
  <c r="DK120"/>
  <c r="DL120"/>
  <c r="DM120"/>
  <c r="DN120"/>
  <c r="DO120"/>
  <c r="DP120"/>
  <c r="DQ120"/>
  <c r="DR120"/>
  <c r="DS120"/>
  <c r="DT120"/>
  <c r="DU120"/>
  <c r="DV120"/>
  <c r="DW120"/>
  <c r="DX120"/>
  <c r="DY120"/>
  <c r="DZ120"/>
  <c r="EA120"/>
  <c r="EB120"/>
  <c r="EC120"/>
  <c r="ED120"/>
  <c r="EE120"/>
  <c r="EF120"/>
  <c r="EG120"/>
  <c r="EH120"/>
  <c r="EI120"/>
  <c r="EJ120"/>
  <c r="EK120"/>
  <c r="EL120"/>
  <c r="EM120"/>
  <c r="EN120"/>
  <c r="EO120"/>
  <c r="EP120"/>
  <c r="EQ120"/>
  <c r="ER120"/>
  <c r="ES120"/>
  <c r="ET120"/>
  <c r="EU120"/>
  <c r="EV120"/>
  <c r="EW120"/>
  <c r="EX120"/>
  <c r="EY120"/>
  <c r="EZ120"/>
  <c r="FA120"/>
  <c r="FB120"/>
  <c r="FC120"/>
  <c r="FD120"/>
  <c r="FE120"/>
  <c r="FF120"/>
  <c r="FG120"/>
  <c r="FH120"/>
  <c r="FI120"/>
  <c r="FJ120"/>
  <c r="FK120"/>
  <c r="FL120"/>
  <c r="FM120"/>
  <c r="FN120"/>
  <c r="FO120"/>
  <c r="FP120"/>
  <c r="FQ120"/>
  <c r="FR120"/>
  <c r="FS120"/>
  <c r="FT120"/>
  <c r="FU120"/>
  <c r="FV120"/>
  <c r="FW120"/>
  <c r="FX120"/>
  <c r="FY120"/>
  <c r="FZ120"/>
  <c r="GA120"/>
  <c r="GB120"/>
  <c r="GC120"/>
  <c r="GD120"/>
  <c r="GE120"/>
  <c r="GF120"/>
  <c r="GG120"/>
  <c r="GH120"/>
  <c r="GI120"/>
  <c r="GJ120"/>
  <c r="GK120"/>
  <c r="GL120"/>
  <c r="GM120"/>
  <c r="GN120"/>
  <c r="GO120"/>
  <c r="GP120"/>
  <c r="GQ120"/>
  <c r="GR120"/>
  <c r="GS120"/>
  <c r="GT120"/>
  <c r="GU120"/>
  <c r="GV120"/>
  <c r="GW120"/>
  <c r="GX120"/>
  <c r="GY120"/>
  <c r="GZ120"/>
  <c r="HA120"/>
  <c r="HB120"/>
  <c r="HC120"/>
  <c r="HD120"/>
  <c r="HE120"/>
  <c r="HF120"/>
  <c r="HG120"/>
  <c r="HH120"/>
  <c r="HI120"/>
  <c r="HJ120"/>
  <c r="HK120"/>
  <c r="HL120"/>
  <c r="HM120"/>
  <c r="HN120"/>
  <c r="HO120"/>
  <c r="HP120"/>
  <c r="HQ120"/>
  <c r="HR120"/>
  <c r="HS120"/>
  <c r="HT120"/>
  <c r="HU120"/>
  <c r="HV120"/>
  <c r="HW120"/>
  <c r="HX120"/>
  <c r="HY120"/>
  <c r="HZ120"/>
  <c r="IA120"/>
  <c r="IB120"/>
  <c r="IC120"/>
  <c r="ID120"/>
  <c r="IE120"/>
  <c r="IF120"/>
  <c r="IG120"/>
  <c r="IH120"/>
  <c r="II120"/>
  <c r="IJ120"/>
  <c r="IK120"/>
  <c r="IL120"/>
  <c r="IM120"/>
  <c r="IN120"/>
  <c r="IO120"/>
  <c r="IP120"/>
  <c r="IQ120"/>
  <c r="IR120"/>
  <c r="IS120"/>
  <c r="IT120"/>
  <c r="IU120"/>
  <c r="IV120"/>
  <c r="A121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Z121"/>
  <c r="AA121"/>
  <c r="AB121"/>
  <c r="AC121"/>
  <c r="AD121"/>
  <c r="AE121"/>
  <c r="AF121"/>
  <c r="AG121"/>
  <c r="AH121"/>
  <c r="AI121"/>
  <c r="AJ121"/>
  <c r="AK121"/>
  <c r="AL121"/>
  <c r="AM121"/>
  <c r="AN121"/>
  <c r="AO121"/>
  <c r="AP121"/>
  <c r="AQ121"/>
  <c r="AR121"/>
  <c r="AS121"/>
  <c r="AT121"/>
  <c r="AU121"/>
  <c r="AV121"/>
  <c r="AW121"/>
  <c r="AX121"/>
  <c r="AY121"/>
  <c r="AZ121"/>
  <c r="BA121"/>
  <c r="BB121"/>
  <c r="BC121"/>
  <c r="BD121"/>
  <c r="BE121"/>
  <c r="BF121"/>
  <c r="BG121"/>
  <c r="BH121"/>
  <c r="BI121"/>
  <c r="BJ121"/>
  <c r="BK121"/>
  <c r="BL121"/>
  <c r="BM121"/>
  <c r="BN121"/>
  <c r="BO121"/>
  <c r="BP121"/>
  <c r="BQ121"/>
  <c r="BR121"/>
  <c r="BS121"/>
  <c r="BT121"/>
  <c r="BU121"/>
  <c r="BV121"/>
  <c r="BW121"/>
  <c r="BX121"/>
  <c r="BY121"/>
  <c r="BZ121"/>
  <c r="CA121"/>
  <c r="CB121"/>
  <c r="CC121"/>
  <c r="CD121"/>
  <c r="CE121"/>
  <c r="CF121"/>
  <c r="CG121"/>
  <c r="CH121"/>
  <c r="CI121"/>
  <c r="CJ121"/>
  <c r="CK121"/>
  <c r="CL121"/>
  <c r="CM121"/>
  <c r="CN121"/>
  <c r="CO121"/>
  <c r="CP121"/>
  <c r="CQ121"/>
  <c r="CR121"/>
  <c r="CS121"/>
  <c r="CT121"/>
  <c r="CU121"/>
  <c r="CV121"/>
  <c r="CW121"/>
  <c r="CX121"/>
  <c r="CY121"/>
  <c r="CZ121"/>
  <c r="DA121"/>
  <c r="DB121"/>
  <c r="DC121"/>
  <c r="DD121"/>
  <c r="DE121"/>
  <c r="DF121"/>
  <c r="DG121"/>
  <c r="DH121"/>
  <c r="DI121"/>
  <c r="DJ121"/>
  <c r="DK121"/>
  <c r="DL121"/>
  <c r="DM121"/>
  <c r="DN121"/>
  <c r="DO121"/>
  <c r="DP121"/>
  <c r="DQ121"/>
  <c r="DR121"/>
  <c r="DS121"/>
  <c r="DT121"/>
  <c r="DU121"/>
  <c r="DV121"/>
  <c r="DW121"/>
  <c r="DX121"/>
  <c r="DY121"/>
  <c r="DZ121"/>
  <c r="EA121"/>
  <c r="EB121"/>
  <c r="EC121"/>
  <c r="ED121"/>
  <c r="EE121"/>
  <c r="EF121"/>
  <c r="EG121"/>
  <c r="EH121"/>
  <c r="EI121"/>
  <c r="EJ121"/>
  <c r="EK121"/>
  <c r="EL121"/>
  <c r="EM121"/>
  <c r="EN121"/>
  <c r="EO121"/>
  <c r="EP121"/>
  <c r="EQ121"/>
  <c r="ER121"/>
  <c r="ES121"/>
  <c r="ET121"/>
  <c r="EU121"/>
  <c r="EV121"/>
  <c r="EW121"/>
  <c r="EX121"/>
  <c r="EY121"/>
  <c r="EZ121"/>
  <c r="FA121"/>
  <c r="FB121"/>
  <c r="FC121"/>
  <c r="FD121"/>
  <c r="FE121"/>
  <c r="FF121"/>
  <c r="FG121"/>
  <c r="FH121"/>
  <c r="FI121"/>
  <c r="FJ121"/>
  <c r="FK121"/>
  <c r="FL121"/>
  <c r="FM121"/>
  <c r="FN121"/>
  <c r="FO121"/>
  <c r="FP121"/>
  <c r="FQ121"/>
  <c r="FR121"/>
  <c r="FS121"/>
  <c r="FT121"/>
  <c r="FU121"/>
  <c r="FV121"/>
  <c r="FW121"/>
  <c r="FX121"/>
  <c r="FY121"/>
  <c r="FZ121"/>
  <c r="GA121"/>
  <c r="GB121"/>
  <c r="GC121"/>
  <c r="GD121"/>
  <c r="GE121"/>
  <c r="GF121"/>
  <c r="GG121"/>
  <c r="GH121"/>
  <c r="GI121"/>
  <c r="GJ121"/>
  <c r="GK121"/>
  <c r="GL121"/>
  <c r="GM121"/>
  <c r="GN121"/>
  <c r="GO121"/>
  <c r="GP121"/>
  <c r="GQ121"/>
  <c r="GR121"/>
  <c r="GS121"/>
  <c r="GT121"/>
  <c r="GU121"/>
  <c r="GV121"/>
  <c r="GW121"/>
  <c r="GX121"/>
  <c r="GY121"/>
  <c r="GZ121"/>
  <c r="HA121"/>
  <c r="HB121"/>
  <c r="HC121"/>
  <c r="HD121"/>
  <c r="HE121"/>
  <c r="HF121"/>
  <c r="HG121"/>
  <c r="HH121"/>
  <c r="HI121"/>
  <c r="HJ121"/>
  <c r="HK121"/>
  <c r="HL121"/>
  <c r="HM121"/>
  <c r="HN121"/>
  <c r="HO121"/>
  <c r="HP121"/>
  <c r="HQ121"/>
  <c r="HR121"/>
  <c r="HS121"/>
  <c r="HT121"/>
  <c r="HU121"/>
  <c r="HV121"/>
  <c r="HW121"/>
  <c r="HX121"/>
  <c r="HY121"/>
  <c r="HZ121"/>
  <c r="IA121"/>
  <c r="IB121"/>
  <c r="IC121"/>
  <c r="ID121"/>
  <c r="IE121"/>
  <c r="IF121"/>
  <c r="IG121"/>
  <c r="IH121"/>
  <c r="II121"/>
  <c r="IJ121"/>
  <c r="IK121"/>
  <c r="IL121"/>
  <c r="IM121"/>
  <c r="IN121"/>
  <c r="IO121"/>
  <c r="IP121"/>
  <c r="IQ121"/>
  <c r="IR121"/>
  <c r="IS121"/>
  <c r="IT121"/>
  <c r="IU121"/>
  <c r="IV121"/>
  <c r="A122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Z122"/>
  <c r="AA122"/>
  <c r="AB122"/>
  <c r="AC122"/>
  <c r="AD122"/>
  <c r="AE122"/>
  <c r="AF122"/>
  <c r="AG122"/>
  <c r="AH122"/>
  <c r="AI122"/>
  <c r="AJ122"/>
  <c r="AK122"/>
  <c r="AL122"/>
  <c r="AM122"/>
  <c r="AN122"/>
  <c r="AO122"/>
  <c r="AP122"/>
  <c r="AQ122"/>
  <c r="AR122"/>
  <c r="AS122"/>
  <c r="AT122"/>
  <c r="AU122"/>
  <c r="AV122"/>
  <c r="AW122"/>
  <c r="AX122"/>
  <c r="AY122"/>
  <c r="AZ122"/>
  <c r="BA122"/>
  <c r="BB122"/>
  <c r="BC122"/>
  <c r="BD122"/>
  <c r="BE122"/>
  <c r="BF122"/>
  <c r="BG122"/>
  <c r="BH122"/>
  <c r="BI122"/>
  <c r="BJ122"/>
  <c r="BK122"/>
  <c r="BL122"/>
  <c r="BM122"/>
  <c r="BN122"/>
  <c r="BO122"/>
  <c r="BP122"/>
  <c r="BQ122"/>
  <c r="BR122"/>
  <c r="BS122"/>
  <c r="BT122"/>
  <c r="BU122"/>
  <c r="BV122"/>
  <c r="BW122"/>
  <c r="BX122"/>
  <c r="BY122"/>
  <c r="BZ122"/>
  <c r="CA122"/>
  <c r="CB122"/>
  <c r="CC122"/>
  <c r="CD122"/>
  <c r="CE122"/>
  <c r="CF122"/>
  <c r="CG122"/>
  <c r="CH122"/>
  <c r="CI122"/>
  <c r="CJ122"/>
  <c r="CK122"/>
  <c r="CL122"/>
  <c r="CM122"/>
  <c r="CN122"/>
  <c r="CO122"/>
  <c r="CP122"/>
  <c r="CQ122"/>
  <c r="CR122"/>
  <c r="CS122"/>
  <c r="CT122"/>
  <c r="CU122"/>
  <c r="CV122"/>
  <c r="CW122"/>
  <c r="CX122"/>
  <c r="CY122"/>
  <c r="CZ122"/>
  <c r="DA122"/>
  <c r="DB122"/>
  <c r="DC122"/>
  <c r="DD122"/>
  <c r="DE122"/>
  <c r="DF122"/>
  <c r="DG122"/>
  <c r="DH122"/>
  <c r="DI122"/>
  <c r="DJ122"/>
  <c r="DK122"/>
  <c r="DL122"/>
  <c r="DM122"/>
  <c r="DN122"/>
  <c r="DO122"/>
  <c r="DP122"/>
  <c r="DQ122"/>
  <c r="DR122"/>
  <c r="DS122"/>
  <c r="DT122"/>
  <c r="DU122"/>
  <c r="DV122"/>
  <c r="DW122"/>
  <c r="DX122"/>
  <c r="DY122"/>
  <c r="DZ122"/>
  <c r="EA122"/>
  <c r="EB122"/>
  <c r="EC122"/>
  <c r="ED122"/>
  <c r="EE122"/>
  <c r="EF122"/>
  <c r="EG122"/>
  <c r="EH122"/>
  <c r="EI122"/>
  <c r="EJ122"/>
  <c r="EK122"/>
  <c r="EL122"/>
  <c r="EM122"/>
  <c r="EN122"/>
  <c r="EO122"/>
  <c r="EP122"/>
  <c r="EQ122"/>
  <c r="ER122"/>
  <c r="ES122"/>
  <c r="ET122"/>
  <c r="EU122"/>
  <c r="EV122"/>
  <c r="EW122"/>
  <c r="EX122"/>
  <c r="EY122"/>
  <c r="EZ122"/>
  <c r="FA122"/>
  <c r="FB122"/>
  <c r="FC122"/>
  <c r="FD122"/>
  <c r="FE122"/>
  <c r="FF122"/>
  <c r="FG122"/>
  <c r="FH122"/>
  <c r="FI122"/>
  <c r="FJ122"/>
  <c r="FK122"/>
  <c r="FL122"/>
  <c r="FM122"/>
  <c r="FN122"/>
  <c r="FO122"/>
  <c r="FP122"/>
  <c r="FQ122"/>
  <c r="FR122"/>
  <c r="FS122"/>
  <c r="FT122"/>
  <c r="FU122"/>
  <c r="FV122"/>
  <c r="FW122"/>
  <c r="FX122"/>
  <c r="FY122"/>
  <c r="FZ122"/>
  <c r="GA122"/>
  <c r="GB122"/>
  <c r="GC122"/>
  <c r="GD122"/>
  <c r="GE122"/>
  <c r="GF122"/>
  <c r="GG122"/>
  <c r="GH122"/>
  <c r="GI122"/>
  <c r="GJ122"/>
  <c r="GK122"/>
  <c r="GL122"/>
  <c r="GM122"/>
  <c r="GN122"/>
  <c r="GO122"/>
  <c r="GP122"/>
  <c r="GQ122"/>
  <c r="GR122"/>
  <c r="GS122"/>
  <c r="GT122"/>
  <c r="GU122"/>
  <c r="GV122"/>
  <c r="GW122"/>
  <c r="GX122"/>
  <c r="GY122"/>
  <c r="GZ122"/>
  <c r="HA122"/>
  <c r="HB122"/>
  <c r="HC122"/>
  <c r="HD122"/>
  <c r="HE122"/>
  <c r="HF122"/>
  <c r="HG122"/>
  <c r="HH122"/>
  <c r="HI122"/>
  <c r="HJ122"/>
  <c r="HK122"/>
  <c r="HL122"/>
  <c r="HM122"/>
  <c r="HN122"/>
  <c r="HO122"/>
  <c r="HP122"/>
  <c r="HQ122"/>
  <c r="HR122"/>
  <c r="HS122"/>
  <c r="HT122"/>
  <c r="HU122"/>
  <c r="HV122"/>
  <c r="HW122"/>
  <c r="HX122"/>
  <c r="HY122"/>
  <c r="HZ122"/>
  <c r="IA122"/>
  <c r="IB122"/>
  <c r="IC122"/>
  <c r="ID122"/>
  <c r="IE122"/>
  <c r="IF122"/>
  <c r="IG122"/>
  <c r="IH122"/>
  <c r="II122"/>
  <c r="IJ122"/>
  <c r="IK122"/>
  <c r="IL122"/>
  <c r="IM122"/>
  <c r="IN122"/>
  <c r="IO122"/>
  <c r="IP122"/>
  <c r="IQ122"/>
  <c r="IR122"/>
  <c r="IS122"/>
  <c r="IT122"/>
  <c r="IU122"/>
  <c r="IV122"/>
  <c r="A123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Z123"/>
  <c r="AA123"/>
  <c r="AB123"/>
  <c r="AC123"/>
  <c r="AD123"/>
  <c r="AE123"/>
  <c r="AF123"/>
  <c r="AG123"/>
  <c r="AH123"/>
  <c r="AI123"/>
  <c r="AJ123"/>
  <c r="AK123"/>
  <c r="AL123"/>
  <c r="AM123"/>
  <c r="AN123"/>
  <c r="AO123"/>
  <c r="AP123"/>
  <c r="AQ123"/>
  <c r="AR123"/>
  <c r="AS123"/>
  <c r="AT123"/>
  <c r="AU123"/>
  <c r="AV123"/>
  <c r="AW123"/>
  <c r="AX123"/>
  <c r="AY123"/>
  <c r="AZ123"/>
  <c r="BA123"/>
  <c r="BB123"/>
  <c r="BC123"/>
  <c r="BD123"/>
  <c r="BE123"/>
  <c r="BF123"/>
  <c r="BG123"/>
  <c r="BH123"/>
  <c r="BI123"/>
  <c r="BJ123"/>
  <c r="BK123"/>
  <c r="BL123"/>
  <c r="BM123"/>
  <c r="BN123"/>
  <c r="BO123"/>
  <c r="BP123"/>
  <c r="BQ123"/>
  <c r="BR123"/>
  <c r="BS123"/>
  <c r="BT123"/>
  <c r="BU123"/>
  <c r="BV123"/>
  <c r="BW123"/>
  <c r="BX123"/>
  <c r="BY123"/>
  <c r="BZ123"/>
  <c r="CA123"/>
  <c r="CB123"/>
  <c r="CC123"/>
  <c r="CD123"/>
  <c r="CE123"/>
  <c r="CF123"/>
  <c r="CG123"/>
  <c r="CH123"/>
  <c r="CI123"/>
  <c r="CJ123"/>
  <c r="CK123"/>
  <c r="CL123"/>
  <c r="CM123"/>
  <c r="CN123"/>
  <c r="CO123"/>
  <c r="CP123"/>
  <c r="CQ123"/>
  <c r="CR123"/>
  <c r="CS123"/>
  <c r="CT123"/>
  <c r="CU123"/>
  <c r="CV123"/>
  <c r="CW123"/>
  <c r="CX123"/>
  <c r="CY123"/>
  <c r="CZ123"/>
  <c r="DA123"/>
  <c r="DB123"/>
  <c r="DC123"/>
  <c r="DD123"/>
  <c r="DE123"/>
  <c r="DF123"/>
  <c r="DG123"/>
  <c r="DH123"/>
  <c r="DI123"/>
  <c r="DJ123"/>
  <c r="DK123"/>
  <c r="DL123"/>
  <c r="DM123"/>
  <c r="DN123"/>
  <c r="DO123"/>
  <c r="DP123"/>
  <c r="DQ123"/>
  <c r="DR123"/>
  <c r="DS123"/>
  <c r="DT123"/>
  <c r="DU123"/>
  <c r="DV123"/>
  <c r="DW123"/>
  <c r="DX123"/>
  <c r="DY123"/>
  <c r="DZ123"/>
  <c r="EA123"/>
  <c r="EB123"/>
  <c r="EC123"/>
  <c r="ED123"/>
  <c r="EE123"/>
  <c r="EF123"/>
  <c r="EG123"/>
  <c r="EH123"/>
  <c r="EI123"/>
  <c r="EJ123"/>
  <c r="EK123"/>
  <c r="EL123"/>
  <c r="EM123"/>
  <c r="EN123"/>
  <c r="EO123"/>
  <c r="EP123"/>
  <c r="EQ123"/>
  <c r="ER123"/>
  <c r="ES123"/>
  <c r="ET123"/>
  <c r="EU123"/>
  <c r="EV123"/>
  <c r="EW123"/>
  <c r="EX123"/>
  <c r="EY123"/>
  <c r="EZ123"/>
  <c r="FA123"/>
  <c r="FB123"/>
  <c r="FC123"/>
  <c r="FD123"/>
  <c r="FE123"/>
  <c r="FF123"/>
  <c r="FG123"/>
  <c r="FH123"/>
  <c r="FI123"/>
  <c r="FJ123"/>
  <c r="FK123"/>
  <c r="FL123"/>
  <c r="FM123"/>
  <c r="FN123"/>
  <c r="FO123"/>
  <c r="FP123"/>
  <c r="FQ123"/>
  <c r="FR123"/>
  <c r="FS123"/>
  <c r="FT123"/>
  <c r="FU123"/>
  <c r="FV123"/>
  <c r="FW123"/>
  <c r="FX123"/>
  <c r="FY123"/>
  <c r="FZ123"/>
  <c r="GA123"/>
  <c r="GB123"/>
  <c r="GC123"/>
  <c r="GD123"/>
  <c r="GE123"/>
  <c r="GF123"/>
  <c r="GG123"/>
  <c r="GH123"/>
  <c r="GI123"/>
  <c r="GJ123"/>
  <c r="GK123"/>
  <c r="GL123"/>
  <c r="GM123"/>
  <c r="GN123"/>
  <c r="GO123"/>
  <c r="GP123"/>
  <c r="GQ123"/>
  <c r="GR123"/>
  <c r="GS123"/>
  <c r="GT123"/>
  <c r="GU123"/>
  <c r="GV123"/>
  <c r="GW123"/>
  <c r="GX123"/>
  <c r="GY123"/>
  <c r="GZ123"/>
  <c r="HA123"/>
  <c r="HB123"/>
  <c r="HC123"/>
  <c r="HD123"/>
  <c r="HE123"/>
  <c r="HF123"/>
  <c r="HG123"/>
  <c r="HH123"/>
  <c r="HI123"/>
  <c r="HJ123"/>
  <c r="HK123"/>
  <c r="HL123"/>
  <c r="HM123"/>
  <c r="HN123"/>
  <c r="HO123"/>
  <c r="HP123"/>
  <c r="HQ123"/>
  <c r="HR123"/>
  <c r="HS123"/>
  <c r="HT123"/>
  <c r="HU123"/>
  <c r="HV123"/>
  <c r="HW123"/>
  <c r="HX123"/>
  <c r="HY123"/>
  <c r="HZ123"/>
  <c r="IA123"/>
  <c r="IB123"/>
  <c r="IC123"/>
  <c r="ID123"/>
  <c r="IE123"/>
  <c r="IF123"/>
  <c r="IG123"/>
  <c r="IH123"/>
  <c r="II123"/>
  <c r="IJ123"/>
  <c r="IK123"/>
  <c r="IL123"/>
  <c r="IM123"/>
  <c r="IN123"/>
  <c r="IO123"/>
  <c r="IP123"/>
  <c r="IQ123"/>
  <c r="IR123"/>
  <c r="IS123"/>
  <c r="IT123"/>
  <c r="IU123"/>
  <c r="IV123"/>
  <c r="A124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Z124"/>
  <c r="AA124"/>
  <c r="AB124"/>
  <c r="AC124"/>
  <c r="AD124"/>
  <c r="AE124"/>
  <c r="AF124"/>
  <c r="AG124"/>
  <c r="AH124"/>
  <c r="AI124"/>
  <c r="AJ124"/>
  <c r="AK124"/>
  <c r="AL124"/>
  <c r="AM124"/>
  <c r="AN124"/>
  <c r="AO124"/>
  <c r="AP124"/>
  <c r="AQ124"/>
  <c r="AR124"/>
  <c r="AS124"/>
  <c r="AT124"/>
  <c r="AU124"/>
  <c r="AV124"/>
  <c r="AW124"/>
  <c r="AX124"/>
  <c r="AY124"/>
  <c r="AZ124"/>
  <c r="BA124"/>
  <c r="BB124"/>
  <c r="BC124"/>
  <c r="BD124"/>
  <c r="BE124"/>
  <c r="BF124"/>
  <c r="BG124"/>
  <c r="BH124"/>
  <c r="BI124"/>
  <c r="BJ124"/>
  <c r="BK124"/>
  <c r="BL124"/>
  <c r="BM124"/>
  <c r="BN124"/>
  <c r="BO124"/>
  <c r="BP124"/>
  <c r="BQ124"/>
  <c r="BR124"/>
  <c r="BS124"/>
  <c r="BT124"/>
  <c r="BU124"/>
  <c r="BV124"/>
  <c r="BW124"/>
  <c r="BX124"/>
  <c r="BY124"/>
  <c r="BZ124"/>
  <c r="CA124"/>
  <c r="CB124"/>
  <c r="CC124"/>
  <c r="CD124"/>
  <c r="CE124"/>
  <c r="CF124"/>
  <c r="CG124"/>
  <c r="CH124"/>
  <c r="CI124"/>
  <c r="CJ124"/>
  <c r="CK124"/>
  <c r="CL124"/>
  <c r="CM124"/>
  <c r="CN124"/>
  <c r="CO124"/>
  <c r="CP124"/>
  <c r="CQ124"/>
  <c r="CR124"/>
  <c r="CS124"/>
  <c r="CT124"/>
  <c r="CU124"/>
  <c r="CV124"/>
  <c r="CW124"/>
  <c r="CX124"/>
  <c r="CY124"/>
  <c r="CZ124"/>
  <c r="DA124"/>
  <c r="DB124"/>
  <c r="DC124"/>
  <c r="DD124"/>
  <c r="DE124"/>
  <c r="DF124"/>
  <c r="DG124"/>
  <c r="DH124"/>
  <c r="DI124"/>
  <c r="DJ124"/>
  <c r="DK124"/>
  <c r="DL124"/>
  <c r="DM124"/>
  <c r="DN124"/>
  <c r="DO124"/>
  <c r="DP124"/>
  <c r="DQ124"/>
  <c r="DR124"/>
  <c r="DS124"/>
  <c r="DT124"/>
  <c r="DU124"/>
  <c r="DV124"/>
  <c r="DW124"/>
  <c r="DX124"/>
  <c r="DY124"/>
  <c r="DZ124"/>
  <c r="EA124"/>
  <c r="EB124"/>
  <c r="EC124"/>
  <c r="ED124"/>
  <c r="EE124"/>
  <c r="EF124"/>
  <c r="EG124"/>
  <c r="EH124"/>
  <c r="EI124"/>
  <c r="EJ124"/>
  <c r="EK124"/>
  <c r="EL124"/>
  <c r="EM124"/>
  <c r="EN124"/>
  <c r="EO124"/>
  <c r="EP124"/>
  <c r="EQ124"/>
  <c r="ER124"/>
  <c r="ES124"/>
  <c r="ET124"/>
  <c r="EU124"/>
  <c r="EV124"/>
  <c r="EW124"/>
  <c r="EX124"/>
  <c r="EY124"/>
  <c r="EZ124"/>
  <c r="FA124"/>
  <c r="FB124"/>
  <c r="FC124"/>
  <c r="FD124"/>
  <c r="FE124"/>
  <c r="FF124"/>
  <c r="FG124"/>
  <c r="FH124"/>
  <c r="FI124"/>
  <c r="FJ124"/>
  <c r="FK124"/>
  <c r="FL124"/>
  <c r="FM124"/>
  <c r="FN124"/>
  <c r="FO124"/>
  <c r="FP124"/>
  <c r="FQ124"/>
  <c r="FR124"/>
  <c r="FS124"/>
  <c r="FT124"/>
  <c r="FU124"/>
  <c r="FV124"/>
  <c r="FW124"/>
  <c r="FX124"/>
  <c r="FY124"/>
  <c r="FZ124"/>
  <c r="GA124"/>
  <c r="GB124"/>
  <c r="GC124"/>
  <c r="GD124"/>
  <c r="GE124"/>
  <c r="GF124"/>
  <c r="GG124"/>
  <c r="GH124"/>
  <c r="GI124"/>
  <c r="GJ124"/>
  <c r="GK124"/>
  <c r="GL124"/>
  <c r="GM124"/>
  <c r="GN124"/>
  <c r="GO124"/>
  <c r="GP124"/>
  <c r="GQ124"/>
  <c r="GR124"/>
  <c r="GS124"/>
  <c r="GT124"/>
  <c r="GU124"/>
  <c r="GV124"/>
  <c r="GW124"/>
  <c r="GX124"/>
  <c r="GY124"/>
  <c r="GZ124"/>
  <c r="HA124"/>
  <c r="HB124"/>
  <c r="HC124"/>
  <c r="HD124"/>
  <c r="HE124"/>
  <c r="HF124"/>
  <c r="HG124"/>
  <c r="HH124"/>
  <c r="HI124"/>
  <c r="HJ124"/>
  <c r="HK124"/>
  <c r="HL124"/>
  <c r="HM124"/>
  <c r="HN124"/>
  <c r="HO124"/>
  <c r="HP124"/>
  <c r="HQ124"/>
  <c r="HR124"/>
  <c r="HS124"/>
  <c r="HT124"/>
  <c r="HU124"/>
  <c r="HV124"/>
  <c r="HW124"/>
  <c r="HX124"/>
  <c r="HY124"/>
  <c r="HZ124"/>
  <c r="IA124"/>
  <c r="IB124"/>
  <c r="IC124"/>
  <c r="ID124"/>
  <c r="IE124"/>
  <c r="IF124"/>
  <c r="IG124"/>
  <c r="IH124"/>
  <c r="II124"/>
  <c r="IJ124"/>
  <c r="IK124"/>
  <c r="IL124"/>
  <c r="IM124"/>
  <c r="IN124"/>
  <c r="IO124"/>
  <c r="IP124"/>
  <c r="IQ124"/>
  <c r="IR124"/>
  <c r="IS124"/>
  <c r="IT124"/>
  <c r="IU124"/>
  <c r="IV124"/>
  <c r="A125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Z125"/>
  <c r="AA125"/>
  <c r="AB125"/>
  <c r="AC125"/>
  <c r="AD125"/>
  <c r="AE125"/>
  <c r="AF125"/>
  <c r="AG125"/>
  <c r="AH125"/>
  <c r="AI125"/>
  <c r="AJ125"/>
  <c r="AK125"/>
  <c r="AL125"/>
  <c r="AM125"/>
  <c r="AN125"/>
  <c r="AO125"/>
  <c r="AP125"/>
  <c r="AQ125"/>
  <c r="AR125"/>
  <c r="AS125"/>
  <c r="AT125"/>
  <c r="AU125"/>
  <c r="AV125"/>
  <c r="AW125"/>
  <c r="AX125"/>
  <c r="AY125"/>
  <c r="AZ125"/>
  <c r="BA125"/>
  <c r="BB125"/>
  <c r="BC125"/>
  <c r="BD125"/>
  <c r="BE125"/>
  <c r="BF125"/>
  <c r="BG125"/>
  <c r="BH125"/>
  <c r="BI125"/>
  <c r="BJ125"/>
  <c r="BK125"/>
  <c r="BL125"/>
  <c r="BM125"/>
  <c r="BN125"/>
  <c r="BO125"/>
  <c r="BP125"/>
  <c r="BQ125"/>
  <c r="BR125"/>
  <c r="BS125"/>
  <c r="BT125"/>
  <c r="BU125"/>
  <c r="BV125"/>
  <c r="BW125"/>
  <c r="BX125"/>
  <c r="BY125"/>
  <c r="BZ125"/>
  <c r="CA125"/>
  <c r="CB125"/>
  <c r="CC125"/>
  <c r="CD125"/>
  <c r="CE125"/>
  <c r="CF125"/>
  <c r="CG125"/>
  <c r="CH125"/>
  <c r="CI125"/>
  <c r="CJ125"/>
  <c r="CK125"/>
  <c r="CL125"/>
  <c r="CM125"/>
  <c r="CN125"/>
  <c r="CO125"/>
  <c r="CP125"/>
  <c r="CQ125"/>
  <c r="CR125"/>
  <c r="CS125"/>
  <c r="CT125"/>
  <c r="CU125"/>
  <c r="CV125"/>
  <c r="CW125"/>
  <c r="CX125"/>
  <c r="CY125"/>
  <c r="CZ125"/>
  <c r="DA125"/>
  <c r="DB125"/>
  <c r="DC125"/>
  <c r="DD125"/>
  <c r="DE125"/>
  <c r="DF125"/>
  <c r="DG125"/>
  <c r="DH125"/>
  <c r="DI125"/>
  <c r="DJ125"/>
  <c r="DK125"/>
  <c r="DL125"/>
  <c r="DM125"/>
  <c r="DN125"/>
  <c r="DO125"/>
  <c r="DP125"/>
  <c r="DQ125"/>
  <c r="DR125"/>
  <c r="DS125"/>
  <c r="DT125"/>
  <c r="DU125"/>
  <c r="DV125"/>
  <c r="DW125"/>
  <c r="DX125"/>
  <c r="DY125"/>
  <c r="DZ125"/>
  <c r="EA125"/>
  <c r="EB125"/>
  <c r="EC125"/>
  <c r="ED125"/>
  <c r="EE125"/>
  <c r="EF125"/>
  <c r="EG125"/>
  <c r="EH125"/>
  <c r="EI125"/>
  <c r="EJ125"/>
  <c r="EK125"/>
  <c r="EL125"/>
  <c r="EM125"/>
  <c r="EN125"/>
  <c r="EO125"/>
  <c r="EP125"/>
  <c r="EQ125"/>
  <c r="ER125"/>
  <c r="ES125"/>
  <c r="ET125"/>
  <c r="EU125"/>
  <c r="EV125"/>
  <c r="EW125"/>
  <c r="EX125"/>
  <c r="EY125"/>
  <c r="EZ125"/>
  <c r="FA125"/>
  <c r="FB125"/>
  <c r="FC125"/>
  <c r="FD125"/>
  <c r="FE125"/>
  <c r="FF125"/>
  <c r="FG125"/>
  <c r="FH125"/>
  <c r="FI125"/>
  <c r="FJ125"/>
  <c r="FK125"/>
  <c r="FL125"/>
  <c r="FM125"/>
  <c r="FN125"/>
  <c r="FO125"/>
  <c r="FP125"/>
  <c r="FQ125"/>
  <c r="FR125"/>
  <c r="FS125"/>
  <c r="FT125"/>
  <c r="FU125"/>
  <c r="FV125"/>
  <c r="FW125"/>
  <c r="FX125"/>
  <c r="FY125"/>
  <c r="FZ125"/>
  <c r="GA125"/>
  <c r="GB125"/>
  <c r="GC125"/>
  <c r="GD125"/>
  <c r="GE125"/>
  <c r="GF125"/>
  <c r="GG125"/>
  <c r="GH125"/>
  <c r="GI125"/>
  <c r="GJ125"/>
  <c r="GK125"/>
  <c r="GL125"/>
  <c r="GM125"/>
  <c r="GN125"/>
  <c r="GO125"/>
  <c r="GP125"/>
  <c r="GQ125"/>
  <c r="GR125"/>
  <c r="GS125"/>
  <c r="GT125"/>
  <c r="GU125"/>
  <c r="GV125"/>
  <c r="GW125"/>
  <c r="GX125"/>
  <c r="GY125"/>
  <c r="GZ125"/>
  <c r="HA125"/>
  <c r="HB125"/>
  <c r="HC125"/>
  <c r="HD125"/>
  <c r="HE125"/>
  <c r="HF125"/>
  <c r="HG125"/>
  <c r="HH125"/>
  <c r="HI125"/>
  <c r="HJ125"/>
  <c r="HK125"/>
  <c r="HL125"/>
  <c r="HM125"/>
  <c r="HN125"/>
  <c r="HO125"/>
  <c r="HP125"/>
  <c r="HQ125"/>
  <c r="HR125"/>
  <c r="HS125"/>
  <c r="HT125"/>
  <c r="HU125"/>
  <c r="HV125"/>
  <c r="HW125"/>
  <c r="HX125"/>
  <c r="HY125"/>
  <c r="HZ125"/>
  <c r="IA125"/>
  <c r="IB125"/>
  <c r="IC125"/>
  <c r="ID125"/>
  <c r="IE125"/>
  <c r="IF125"/>
  <c r="IG125"/>
  <c r="IH125"/>
  <c r="II125"/>
  <c r="IJ125"/>
  <c r="IK125"/>
  <c r="IL125"/>
  <c r="IM125"/>
  <c r="IN125"/>
  <c r="IO125"/>
  <c r="IP125"/>
  <c r="IQ125"/>
  <c r="IR125"/>
  <c r="IS125"/>
  <c r="IT125"/>
  <c r="IU125"/>
  <c r="IV125"/>
  <c r="A126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Z126"/>
  <c r="AA126"/>
  <c r="AB126"/>
  <c r="AC126"/>
  <c r="AD126"/>
  <c r="AE126"/>
  <c r="AF126"/>
  <c r="AG126"/>
  <c r="AH126"/>
  <c r="AI126"/>
  <c r="AJ126"/>
  <c r="AK126"/>
  <c r="AL126"/>
  <c r="AM126"/>
  <c r="AN126"/>
  <c r="AO126"/>
  <c r="AP126"/>
  <c r="AQ126"/>
  <c r="AR126"/>
  <c r="AS126"/>
  <c r="AT126"/>
  <c r="AU126"/>
  <c r="AV126"/>
  <c r="AW126"/>
  <c r="AX126"/>
  <c r="AY126"/>
  <c r="AZ126"/>
  <c r="BA126"/>
  <c r="BB126"/>
  <c r="BC126"/>
  <c r="BD126"/>
  <c r="BE126"/>
  <c r="BF126"/>
  <c r="BG126"/>
  <c r="BH126"/>
  <c r="BI126"/>
  <c r="BJ126"/>
  <c r="BK126"/>
  <c r="BL126"/>
  <c r="BM126"/>
  <c r="BN126"/>
  <c r="BO126"/>
  <c r="BP126"/>
  <c r="BQ126"/>
  <c r="BR126"/>
  <c r="BS126"/>
  <c r="BT126"/>
  <c r="BU126"/>
  <c r="BV126"/>
  <c r="BW126"/>
  <c r="BX126"/>
  <c r="BY126"/>
  <c r="BZ126"/>
  <c r="CA126"/>
  <c r="CB126"/>
  <c r="CC126"/>
  <c r="CD126"/>
  <c r="CE126"/>
  <c r="CF126"/>
  <c r="CG126"/>
  <c r="CH126"/>
  <c r="CI126"/>
  <c r="CJ126"/>
  <c r="CK126"/>
  <c r="CL126"/>
  <c r="CM126"/>
  <c r="CN126"/>
  <c r="CO126"/>
  <c r="CP126"/>
  <c r="CQ126"/>
  <c r="CR126"/>
  <c r="CS126"/>
  <c r="CT126"/>
  <c r="CU126"/>
  <c r="CV126"/>
  <c r="CW126"/>
  <c r="CX126"/>
  <c r="CY126"/>
  <c r="CZ126"/>
  <c r="DA126"/>
  <c r="DB126"/>
  <c r="DC126"/>
  <c r="DD126"/>
  <c r="DE126"/>
  <c r="DF126"/>
  <c r="DG126"/>
  <c r="DH126"/>
  <c r="DI126"/>
  <c r="DJ126"/>
  <c r="DK126"/>
  <c r="DL126"/>
  <c r="DM126"/>
  <c r="DN126"/>
  <c r="DO126"/>
  <c r="DP126"/>
  <c r="DQ126"/>
  <c r="DR126"/>
  <c r="DS126"/>
  <c r="DT126"/>
  <c r="DU126"/>
  <c r="DV126"/>
  <c r="DW126"/>
  <c r="DX126"/>
  <c r="DY126"/>
  <c r="DZ126"/>
  <c r="EA126"/>
  <c r="EB126"/>
  <c r="EC126"/>
  <c r="ED126"/>
  <c r="EE126"/>
  <c r="EF126"/>
  <c r="EG126"/>
  <c r="EH126"/>
  <c r="EI126"/>
  <c r="EJ126"/>
  <c r="EK126"/>
  <c r="EL126"/>
  <c r="EM126"/>
  <c r="EN126"/>
  <c r="EO126"/>
  <c r="EP126"/>
  <c r="EQ126"/>
  <c r="ER126"/>
  <c r="ES126"/>
  <c r="ET126"/>
  <c r="EU126"/>
  <c r="EV126"/>
  <c r="EW126"/>
  <c r="EX126"/>
  <c r="EY126"/>
  <c r="EZ126"/>
  <c r="FA126"/>
  <c r="FB126"/>
  <c r="FC126"/>
  <c r="FD126"/>
  <c r="FE126"/>
  <c r="FF126"/>
  <c r="FG126"/>
  <c r="FH126"/>
  <c r="FI126"/>
  <c r="FJ126"/>
  <c r="FK126"/>
  <c r="FL126"/>
  <c r="FM126"/>
  <c r="FN126"/>
  <c r="FO126"/>
  <c r="FP126"/>
  <c r="FQ126"/>
  <c r="FR126"/>
  <c r="FS126"/>
  <c r="FT126"/>
  <c r="FU126"/>
  <c r="FV126"/>
  <c r="FW126"/>
  <c r="FX126"/>
  <c r="FY126"/>
  <c r="FZ126"/>
  <c r="GA126"/>
  <c r="GB126"/>
  <c r="GC126"/>
  <c r="GD126"/>
  <c r="GE126"/>
  <c r="GF126"/>
  <c r="GG126"/>
  <c r="GH126"/>
  <c r="GI126"/>
  <c r="GJ126"/>
  <c r="GK126"/>
  <c r="GL126"/>
  <c r="GM126"/>
  <c r="GN126"/>
  <c r="GO126"/>
  <c r="GP126"/>
  <c r="GQ126"/>
  <c r="GR126"/>
  <c r="GS126"/>
  <c r="GT126"/>
  <c r="GU126"/>
  <c r="GV126"/>
  <c r="GW126"/>
  <c r="GX126"/>
  <c r="GY126"/>
  <c r="GZ126"/>
  <c r="HA126"/>
  <c r="HB126"/>
  <c r="HC126"/>
  <c r="HD126"/>
  <c r="HE126"/>
  <c r="HF126"/>
  <c r="HG126"/>
  <c r="HH126"/>
  <c r="HI126"/>
  <c r="HJ126"/>
  <c r="HK126"/>
  <c r="HL126"/>
  <c r="HM126"/>
  <c r="HN126"/>
  <c r="HO126"/>
  <c r="HP126"/>
  <c r="HQ126"/>
  <c r="HR126"/>
  <c r="HS126"/>
  <c r="HT126"/>
  <c r="HU126"/>
  <c r="HV126"/>
  <c r="HW126"/>
  <c r="HX126"/>
  <c r="HY126"/>
  <c r="HZ126"/>
  <c r="IA126"/>
  <c r="IB126"/>
  <c r="IC126"/>
  <c r="ID126"/>
  <c r="IE126"/>
  <c r="IF126"/>
  <c r="IG126"/>
  <c r="IH126"/>
  <c r="II126"/>
  <c r="IJ126"/>
  <c r="IK126"/>
  <c r="IL126"/>
  <c r="IM126"/>
  <c r="IN126"/>
  <c r="IO126"/>
  <c r="IP126"/>
  <c r="IQ126"/>
  <c r="IR126"/>
  <c r="IS126"/>
  <c r="IT126"/>
  <c r="IU126"/>
  <c r="IV126"/>
  <c r="A127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Z127"/>
  <c r="AA127"/>
  <c r="AB127"/>
  <c r="AC127"/>
  <c r="AD127"/>
  <c r="AE127"/>
  <c r="AF127"/>
  <c r="AG127"/>
  <c r="AH127"/>
  <c r="AI127"/>
  <c r="AJ127"/>
  <c r="AK127"/>
  <c r="AL127"/>
  <c r="AM127"/>
  <c r="AN127"/>
  <c r="AO127"/>
  <c r="AP127"/>
  <c r="AQ127"/>
  <c r="AR127"/>
  <c r="AS127"/>
  <c r="AT127"/>
  <c r="AU127"/>
  <c r="AV127"/>
  <c r="AW127"/>
  <c r="AX127"/>
  <c r="AY127"/>
  <c r="AZ127"/>
  <c r="BA127"/>
  <c r="BB127"/>
  <c r="BC127"/>
  <c r="BD127"/>
  <c r="BE127"/>
  <c r="BF127"/>
  <c r="BG127"/>
  <c r="BH127"/>
  <c r="BI127"/>
  <c r="BJ127"/>
  <c r="BK127"/>
  <c r="BL127"/>
  <c r="BM127"/>
  <c r="BN127"/>
  <c r="BO127"/>
  <c r="BP127"/>
  <c r="BQ127"/>
  <c r="BR127"/>
  <c r="BS127"/>
  <c r="BT127"/>
  <c r="BU127"/>
  <c r="BV127"/>
  <c r="BW127"/>
  <c r="BX127"/>
  <c r="BY127"/>
  <c r="BZ127"/>
  <c r="CA127"/>
  <c r="CB127"/>
  <c r="CC127"/>
  <c r="CD127"/>
  <c r="CE127"/>
  <c r="CF127"/>
  <c r="CG127"/>
  <c r="CH127"/>
  <c r="CI127"/>
  <c r="CJ127"/>
  <c r="CK127"/>
  <c r="CL127"/>
  <c r="CM127"/>
  <c r="CN127"/>
  <c r="CO127"/>
  <c r="CP127"/>
  <c r="CQ127"/>
  <c r="CR127"/>
  <c r="CS127"/>
  <c r="CT127"/>
  <c r="CU127"/>
  <c r="CV127"/>
  <c r="CW127"/>
  <c r="CX127"/>
  <c r="CY127"/>
  <c r="CZ127"/>
  <c r="DA127"/>
  <c r="DB127"/>
  <c r="DC127"/>
  <c r="DD127"/>
  <c r="DE127"/>
  <c r="DF127"/>
  <c r="DG127"/>
  <c r="DH127"/>
  <c r="DI127"/>
  <c r="DJ127"/>
  <c r="DK127"/>
  <c r="DL127"/>
  <c r="DM127"/>
  <c r="DN127"/>
  <c r="DO127"/>
  <c r="DP127"/>
  <c r="DQ127"/>
  <c r="DR127"/>
  <c r="DS127"/>
  <c r="DT127"/>
  <c r="DU127"/>
  <c r="DV127"/>
  <c r="DW127"/>
  <c r="DX127"/>
  <c r="DY127"/>
  <c r="DZ127"/>
  <c r="EA127"/>
  <c r="EB127"/>
  <c r="EC127"/>
  <c r="ED127"/>
  <c r="EE127"/>
  <c r="EF127"/>
  <c r="EG127"/>
  <c r="EH127"/>
  <c r="EI127"/>
  <c r="EJ127"/>
  <c r="EK127"/>
  <c r="EL127"/>
  <c r="EM127"/>
  <c r="EN127"/>
  <c r="EO127"/>
  <c r="EP127"/>
  <c r="EQ127"/>
  <c r="ER127"/>
  <c r="ES127"/>
  <c r="ET127"/>
  <c r="EU127"/>
  <c r="EV127"/>
  <c r="EW127"/>
  <c r="EX127"/>
  <c r="EY127"/>
  <c r="EZ127"/>
  <c r="FA127"/>
  <c r="FB127"/>
  <c r="FC127"/>
  <c r="FD127"/>
  <c r="FE127"/>
  <c r="FF127"/>
  <c r="FG127"/>
  <c r="FH127"/>
  <c r="FI127"/>
  <c r="FJ127"/>
  <c r="FK127"/>
  <c r="FL127"/>
  <c r="FM127"/>
  <c r="FN127"/>
  <c r="FO127"/>
  <c r="FP127"/>
  <c r="FQ127"/>
  <c r="FR127"/>
  <c r="FS127"/>
  <c r="FT127"/>
  <c r="FU127"/>
  <c r="FV127"/>
  <c r="FW127"/>
  <c r="FX127"/>
  <c r="FY127"/>
  <c r="FZ127"/>
  <c r="GA127"/>
  <c r="GB127"/>
  <c r="GC127"/>
  <c r="GD127"/>
  <c r="GE127"/>
  <c r="GF127"/>
  <c r="GG127"/>
  <c r="GH127"/>
  <c r="GI127"/>
  <c r="GJ127"/>
  <c r="GK127"/>
  <c r="GL127"/>
  <c r="GM127"/>
  <c r="GN127"/>
  <c r="GO127"/>
  <c r="GP127"/>
  <c r="GQ127"/>
  <c r="GR127"/>
  <c r="GS127"/>
  <c r="GT127"/>
  <c r="GU127"/>
  <c r="GV127"/>
  <c r="GW127"/>
  <c r="GX127"/>
  <c r="GY127"/>
  <c r="GZ127"/>
  <c r="HA127"/>
  <c r="HB127"/>
  <c r="HC127"/>
  <c r="HD127"/>
  <c r="HE127"/>
  <c r="HF127"/>
  <c r="HG127"/>
  <c r="HH127"/>
  <c r="HI127"/>
  <c r="HJ127"/>
  <c r="HK127"/>
  <c r="HL127"/>
  <c r="HM127"/>
  <c r="HN127"/>
  <c r="HO127"/>
  <c r="HP127"/>
  <c r="HQ127"/>
  <c r="HR127"/>
  <c r="HS127"/>
  <c r="HT127"/>
  <c r="HU127"/>
  <c r="HV127"/>
  <c r="HW127"/>
  <c r="HX127"/>
  <c r="HY127"/>
  <c r="HZ127"/>
  <c r="IA127"/>
  <c r="IB127"/>
  <c r="IC127"/>
  <c r="ID127"/>
  <c r="IE127"/>
  <c r="IF127"/>
  <c r="IG127"/>
  <c r="IH127"/>
  <c r="II127"/>
  <c r="IJ127"/>
  <c r="IK127"/>
  <c r="IL127"/>
  <c r="IM127"/>
  <c r="IN127"/>
  <c r="IO127"/>
  <c r="IP127"/>
  <c r="IQ127"/>
  <c r="IR127"/>
  <c r="IS127"/>
  <c r="IT127"/>
  <c r="IU127"/>
  <c r="IV127"/>
  <c r="A128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Z128"/>
  <c r="AA128"/>
  <c r="AB128"/>
  <c r="AC128"/>
  <c r="AD128"/>
  <c r="AE128"/>
  <c r="AF128"/>
  <c r="AG128"/>
  <c r="AH128"/>
  <c r="AI128"/>
  <c r="AJ128"/>
  <c r="AK128"/>
  <c r="AL128"/>
  <c r="AM128"/>
  <c r="AN128"/>
  <c r="AO128"/>
  <c r="AP128"/>
  <c r="AQ128"/>
  <c r="AR128"/>
  <c r="AS128"/>
  <c r="AT128"/>
  <c r="AU128"/>
  <c r="AV128"/>
  <c r="AW128"/>
  <c r="AX128"/>
  <c r="AY128"/>
  <c r="AZ128"/>
  <c r="BA128"/>
  <c r="BB128"/>
  <c r="BC128"/>
  <c r="BD128"/>
  <c r="BE128"/>
  <c r="BF128"/>
  <c r="BG128"/>
  <c r="BH128"/>
  <c r="BI128"/>
  <c r="BJ128"/>
  <c r="BK128"/>
  <c r="BL128"/>
  <c r="BM128"/>
  <c r="BN128"/>
  <c r="BO128"/>
  <c r="BP128"/>
  <c r="BQ128"/>
  <c r="BR128"/>
  <c r="BS128"/>
  <c r="BT128"/>
  <c r="BU128"/>
  <c r="BV128"/>
  <c r="BW128"/>
  <c r="BX128"/>
  <c r="BY128"/>
  <c r="BZ128"/>
  <c r="CA128"/>
  <c r="CB128"/>
  <c r="CC128"/>
  <c r="CD128"/>
  <c r="CE128"/>
  <c r="CF128"/>
  <c r="CG128"/>
  <c r="CH128"/>
  <c r="CI128"/>
  <c r="CJ128"/>
  <c r="CK128"/>
  <c r="CL128"/>
  <c r="CM128"/>
  <c r="CN128"/>
  <c r="CO128"/>
  <c r="CP128"/>
  <c r="CQ128"/>
  <c r="CR128"/>
  <c r="CS128"/>
  <c r="CT128"/>
  <c r="CU128"/>
  <c r="CV128"/>
  <c r="CW128"/>
  <c r="CX128"/>
  <c r="CY128"/>
  <c r="CZ128"/>
  <c r="DA128"/>
  <c r="DB128"/>
  <c r="DC128"/>
  <c r="DD128"/>
  <c r="DE128"/>
  <c r="DF128"/>
  <c r="DG128"/>
  <c r="DH128"/>
  <c r="DI128"/>
  <c r="DJ128"/>
  <c r="DK128"/>
  <c r="DL128"/>
  <c r="DM128"/>
  <c r="DN128"/>
  <c r="DO128"/>
  <c r="DP128"/>
  <c r="DQ128"/>
  <c r="DR128"/>
  <c r="DS128"/>
  <c r="DT128"/>
  <c r="DU128"/>
  <c r="DV128"/>
  <c r="DW128"/>
  <c r="DX128"/>
  <c r="DY128"/>
  <c r="DZ128"/>
  <c r="EA128"/>
  <c r="EB128"/>
  <c r="EC128"/>
  <c r="ED128"/>
  <c r="EE128"/>
  <c r="EF128"/>
  <c r="EG128"/>
  <c r="EH128"/>
  <c r="EI128"/>
  <c r="EJ128"/>
  <c r="EK128"/>
  <c r="EL128"/>
  <c r="EM128"/>
  <c r="EN128"/>
  <c r="EO128"/>
  <c r="EP128"/>
  <c r="EQ128"/>
  <c r="ER128"/>
  <c r="ES128"/>
  <c r="ET128"/>
  <c r="EU128"/>
  <c r="EV128"/>
  <c r="EW128"/>
  <c r="EX128"/>
  <c r="EY128"/>
  <c r="EZ128"/>
  <c r="FA128"/>
  <c r="FB128"/>
  <c r="FC128"/>
  <c r="FD128"/>
  <c r="FE128"/>
  <c r="FF128"/>
  <c r="FG128"/>
  <c r="FH128"/>
  <c r="FI128"/>
  <c r="FJ128"/>
  <c r="FK128"/>
  <c r="FL128"/>
  <c r="FM128"/>
  <c r="FN128"/>
  <c r="FO128"/>
  <c r="FP128"/>
  <c r="FQ128"/>
  <c r="FR128"/>
  <c r="FS128"/>
  <c r="FT128"/>
  <c r="FU128"/>
  <c r="FV128"/>
  <c r="FW128"/>
  <c r="FX128"/>
  <c r="FY128"/>
  <c r="FZ128"/>
  <c r="GA128"/>
  <c r="GB128"/>
  <c r="GC128"/>
  <c r="GD128"/>
  <c r="GE128"/>
  <c r="GF128"/>
  <c r="GG128"/>
  <c r="GH128"/>
  <c r="GI128"/>
  <c r="GJ128"/>
  <c r="GK128"/>
  <c r="GL128"/>
  <c r="GM128"/>
  <c r="GN128"/>
  <c r="GO128"/>
  <c r="GP128"/>
  <c r="GQ128"/>
  <c r="GR128"/>
  <c r="GS128"/>
  <c r="GT128"/>
  <c r="GU128"/>
  <c r="GV128"/>
  <c r="GW128"/>
  <c r="GX128"/>
  <c r="GY128"/>
  <c r="GZ128"/>
  <c r="HA128"/>
  <c r="HB128"/>
  <c r="HC128"/>
  <c r="HD128"/>
  <c r="HE128"/>
  <c r="HF128"/>
  <c r="HG128"/>
  <c r="HH128"/>
  <c r="HI128"/>
  <c r="HJ128"/>
  <c r="HK128"/>
  <c r="HL128"/>
  <c r="HM128"/>
  <c r="HN128"/>
  <c r="HO128"/>
  <c r="HP128"/>
  <c r="HQ128"/>
  <c r="HR128"/>
  <c r="HS128"/>
  <c r="HT128"/>
  <c r="HU128"/>
  <c r="HV128"/>
  <c r="HW128"/>
  <c r="HX128"/>
  <c r="HY128"/>
  <c r="HZ128"/>
  <c r="IA128"/>
  <c r="IB128"/>
  <c r="IC128"/>
  <c r="ID128"/>
  <c r="IE128"/>
  <c r="IF128"/>
  <c r="IG128"/>
  <c r="IH128"/>
  <c r="II128"/>
  <c r="IJ128"/>
  <c r="IK128"/>
  <c r="IL128"/>
  <c r="IM128"/>
  <c r="IN128"/>
  <c r="IO128"/>
  <c r="IP128"/>
  <c r="IQ128"/>
  <c r="IR128"/>
  <c r="IS128"/>
  <c r="IT128"/>
  <c r="IU128"/>
  <c r="IV128"/>
  <c r="A129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Z129"/>
  <c r="AA129"/>
  <c r="AB129"/>
  <c r="AC129"/>
  <c r="AD129"/>
  <c r="AE129"/>
  <c r="AF129"/>
  <c r="AG129"/>
  <c r="AH129"/>
  <c r="AI129"/>
  <c r="AJ129"/>
  <c r="AK129"/>
  <c r="AL129"/>
  <c r="AM129"/>
  <c r="AN129"/>
  <c r="AO129"/>
  <c r="AP129"/>
  <c r="AQ129"/>
  <c r="AR129"/>
  <c r="AS129"/>
  <c r="AT129"/>
  <c r="AU129"/>
  <c r="AV129"/>
  <c r="AW129"/>
  <c r="AX129"/>
  <c r="AY129"/>
  <c r="AZ129"/>
  <c r="BA129"/>
  <c r="BB129"/>
  <c r="BC129"/>
  <c r="BD129"/>
  <c r="BE129"/>
  <c r="BF129"/>
  <c r="BG129"/>
  <c r="BH129"/>
  <c r="BI129"/>
  <c r="BJ129"/>
  <c r="BK129"/>
  <c r="BL129"/>
  <c r="BM129"/>
  <c r="BN129"/>
  <c r="BO129"/>
  <c r="BP129"/>
  <c r="BQ129"/>
  <c r="BR129"/>
  <c r="BS129"/>
  <c r="BT129"/>
  <c r="BU129"/>
  <c r="BV129"/>
  <c r="BW129"/>
  <c r="BX129"/>
  <c r="BY129"/>
  <c r="BZ129"/>
  <c r="CA129"/>
  <c r="CB129"/>
  <c r="CC129"/>
  <c r="CD129"/>
  <c r="CE129"/>
  <c r="CF129"/>
  <c r="CG129"/>
  <c r="CH129"/>
  <c r="CI129"/>
  <c r="CJ129"/>
  <c r="CK129"/>
  <c r="CL129"/>
  <c r="CM129"/>
  <c r="CN129"/>
  <c r="CO129"/>
  <c r="CP129"/>
  <c r="CQ129"/>
  <c r="CR129"/>
  <c r="CS129"/>
  <c r="CT129"/>
  <c r="CU129"/>
  <c r="CV129"/>
  <c r="CW129"/>
  <c r="CX129"/>
  <c r="CY129"/>
  <c r="CZ129"/>
  <c r="DA129"/>
  <c r="DB129"/>
  <c r="DC129"/>
  <c r="DD129"/>
  <c r="DE129"/>
  <c r="DF129"/>
  <c r="DG129"/>
  <c r="DH129"/>
  <c r="DI129"/>
  <c r="DJ129"/>
  <c r="DK129"/>
  <c r="DL129"/>
  <c r="DM129"/>
  <c r="DN129"/>
  <c r="DO129"/>
  <c r="DP129"/>
  <c r="DQ129"/>
  <c r="DR129"/>
  <c r="DS129"/>
  <c r="DT129"/>
  <c r="DU129"/>
  <c r="DV129"/>
  <c r="DW129"/>
  <c r="DX129"/>
  <c r="DY129"/>
  <c r="DZ129"/>
  <c r="EA129"/>
  <c r="EB129"/>
  <c r="EC129"/>
  <c r="ED129"/>
  <c r="EE129"/>
  <c r="EF129"/>
  <c r="EG129"/>
  <c r="EH129"/>
  <c r="EI129"/>
  <c r="EJ129"/>
  <c r="EK129"/>
  <c r="EL129"/>
  <c r="EM129"/>
  <c r="EN129"/>
  <c r="EO129"/>
  <c r="EP129"/>
  <c r="EQ129"/>
  <c r="ER129"/>
  <c r="ES129"/>
  <c r="ET129"/>
  <c r="EU129"/>
  <c r="EV129"/>
  <c r="EW129"/>
  <c r="EX129"/>
  <c r="EY129"/>
  <c r="EZ129"/>
  <c r="FA129"/>
  <c r="FB129"/>
  <c r="FC129"/>
  <c r="FD129"/>
  <c r="FE129"/>
  <c r="FF129"/>
  <c r="FG129"/>
  <c r="FH129"/>
  <c r="FI129"/>
  <c r="FJ129"/>
  <c r="FK129"/>
  <c r="FL129"/>
  <c r="FM129"/>
  <c r="FN129"/>
  <c r="FO129"/>
  <c r="FP129"/>
  <c r="FQ129"/>
  <c r="FR129"/>
  <c r="FS129"/>
  <c r="FT129"/>
  <c r="FU129"/>
  <c r="FV129"/>
  <c r="FW129"/>
  <c r="FX129"/>
  <c r="FY129"/>
  <c r="FZ129"/>
  <c r="GA129"/>
  <c r="GB129"/>
  <c r="GC129"/>
  <c r="GD129"/>
  <c r="GE129"/>
  <c r="GF129"/>
  <c r="GG129"/>
  <c r="GH129"/>
  <c r="GI129"/>
  <c r="GJ129"/>
  <c r="GK129"/>
  <c r="GL129"/>
  <c r="GM129"/>
  <c r="GN129"/>
  <c r="GO129"/>
  <c r="GP129"/>
  <c r="GQ129"/>
  <c r="GR129"/>
  <c r="GS129"/>
  <c r="GT129"/>
  <c r="GU129"/>
  <c r="GV129"/>
  <c r="GW129"/>
  <c r="GX129"/>
  <c r="GY129"/>
  <c r="GZ129"/>
  <c r="HA129"/>
  <c r="HB129"/>
  <c r="HC129"/>
  <c r="HD129"/>
  <c r="HE129"/>
  <c r="HF129"/>
  <c r="HG129"/>
  <c r="HH129"/>
  <c r="HI129"/>
  <c r="HJ129"/>
  <c r="HK129"/>
  <c r="HL129"/>
  <c r="HM129"/>
  <c r="HN129"/>
  <c r="HO129"/>
  <c r="HP129"/>
  <c r="HQ129"/>
  <c r="HR129"/>
  <c r="HS129"/>
  <c r="HT129"/>
  <c r="HU129"/>
  <c r="HV129"/>
  <c r="HW129"/>
  <c r="HX129"/>
  <c r="HY129"/>
  <c r="HZ129"/>
  <c r="IA129"/>
  <c r="IB129"/>
  <c r="IC129"/>
  <c r="ID129"/>
  <c r="IE129"/>
  <c r="IF129"/>
  <c r="IG129"/>
  <c r="IH129"/>
  <c r="II129"/>
  <c r="IJ129"/>
  <c r="IK129"/>
  <c r="IL129"/>
  <c r="IM129"/>
  <c r="IN129"/>
  <c r="IO129"/>
  <c r="IP129"/>
  <c r="IQ129"/>
  <c r="IR129"/>
  <c r="IS129"/>
  <c r="IT129"/>
  <c r="IU129"/>
  <c r="IV129"/>
  <c r="A130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Z130"/>
  <c r="AA130"/>
  <c r="AB130"/>
  <c r="AC130"/>
  <c r="AD130"/>
  <c r="AE130"/>
  <c r="AF130"/>
  <c r="AG130"/>
  <c r="AH130"/>
  <c r="AI130"/>
  <c r="AJ130"/>
  <c r="AK130"/>
  <c r="AL130"/>
  <c r="AM130"/>
  <c r="AN130"/>
  <c r="AO130"/>
  <c r="AP130"/>
  <c r="AQ130"/>
  <c r="AR130"/>
  <c r="AS130"/>
  <c r="AT130"/>
  <c r="AU130"/>
  <c r="AV130"/>
  <c r="AW130"/>
  <c r="AX130"/>
  <c r="AY130"/>
  <c r="AZ130"/>
  <c r="BA130"/>
  <c r="BB130"/>
  <c r="BC130"/>
  <c r="BD130"/>
  <c r="BE130"/>
  <c r="BF130"/>
  <c r="BG130"/>
  <c r="BH130"/>
  <c r="BI130"/>
  <c r="BJ130"/>
  <c r="BK130"/>
  <c r="BL130"/>
  <c r="BM130"/>
  <c r="BN130"/>
  <c r="BO130"/>
  <c r="BP130"/>
  <c r="BQ130"/>
  <c r="BR130"/>
  <c r="BS130"/>
  <c r="BT130"/>
  <c r="BU130"/>
  <c r="BV130"/>
  <c r="BW130"/>
  <c r="BX130"/>
  <c r="BY130"/>
  <c r="BZ130"/>
  <c r="CA130"/>
  <c r="CB130"/>
  <c r="CC130"/>
  <c r="CD130"/>
  <c r="CE130"/>
  <c r="CF130"/>
  <c r="CG130"/>
  <c r="CH130"/>
  <c r="CI130"/>
  <c r="CJ130"/>
  <c r="CK130"/>
  <c r="CL130"/>
  <c r="CM130"/>
  <c r="CN130"/>
  <c r="CO130"/>
  <c r="CP130"/>
  <c r="CQ130"/>
  <c r="CR130"/>
  <c r="CS130"/>
  <c r="CT130"/>
  <c r="CU130"/>
  <c r="CV130"/>
  <c r="CW130"/>
  <c r="CX130"/>
  <c r="CY130"/>
  <c r="CZ130"/>
  <c r="DA130"/>
  <c r="DB130"/>
  <c r="DC130"/>
  <c r="DD130"/>
  <c r="DE130"/>
  <c r="DF130"/>
  <c r="DG130"/>
  <c r="DH130"/>
  <c r="DI130"/>
  <c r="DJ130"/>
  <c r="DK130"/>
  <c r="DL130"/>
  <c r="DM130"/>
  <c r="DN130"/>
  <c r="DO130"/>
  <c r="DP130"/>
  <c r="DQ130"/>
  <c r="DR130"/>
  <c r="DS130"/>
  <c r="DT130"/>
  <c r="DU130"/>
  <c r="DV130"/>
  <c r="DW130"/>
  <c r="DX130"/>
  <c r="DY130"/>
  <c r="DZ130"/>
  <c r="EA130"/>
  <c r="EB130"/>
  <c r="EC130"/>
  <c r="ED130"/>
  <c r="EE130"/>
  <c r="EF130"/>
  <c r="EG130"/>
  <c r="EH130"/>
  <c r="EI130"/>
  <c r="EJ130"/>
  <c r="EK130"/>
  <c r="EL130"/>
  <c r="EM130"/>
  <c r="EN130"/>
  <c r="EO130"/>
  <c r="EP130"/>
  <c r="EQ130"/>
  <c r="ER130"/>
  <c r="ES130"/>
  <c r="ET130"/>
  <c r="EU130"/>
  <c r="EV130"/>
  <c r="EW130"/>
  <c r="EX130"/>
  <c r="EY130"/>
  <c r="EZ130"/>
  <c r="FA130"/>
  <c r="FB130"/>
  <c r="FC130"/>
  <c r="FD130"/>
  <c r="FE130"/>
  <c r="FF130"/>
  <c r="FG130"/>
  <c r="FH130"/>
  <c r="FI130"/>
  <c r="FJ130"/>
  <c r="FK130"/>
  <c r="FL130"/>
  <c r="FM130"/>
  <c r="FN130"/>
  <c r="FO130"/>
  <c r="FP130"/>
  <c r="FQ130"/>
  <c r="FR130"/>
  <c r="FS130"/>
  <c r="FT130"/>
  <c r="FU130"/>
  <c r="FV130"/>
  <c r="FW130"/>
  <c r="FX130"/>
  <c r="FY130"/>
  <c r="FZ130"/>
  <c r="GA130"/>
  <c r="GB130"/>
  <c r="GC130"/>
  <c r="GD130"/>
  <c r="GE130"/>
  <c r="GF130"/>
  <c r="GG130"/>
  <c r="GH130"/>
  <c r="GI130"/>
  <c r="GJ130"/>
  <c r="GK130"/>
  <c r="GL130"/>
  <c r="GM130"/>
  <c r="GN130"/>
  <c r="GO130"/>
  <c r="GP130"/>
  <c r="GQ130"/>
  <c r="GR130"/>
  <c r="GS130"/>
  <c r="GT130"/>
  <c r="GU130"/>
  <c r="GV130"/>
  <c r="GW130"/>
  <c r="GX130"/>
  <c r="GY130"/>
  <c r="GZ130"/>
  <c r="HA130"/>
  <c r="HB130"/>
  <c r="HC130"/>
  <c r="HD130"/>
  <c r="HE130"/>
  <c r="HF130"/>
  <c r="HG130"/>
  <c r="HH130"/>
  <c r="HI130"/>
  <c r="HJ130"/>
  <c r="HK130"/>
  <c r="HL130"/>
  <c r="HM130"/>
  <c r="HN130"/>
  <c r="HO130"/>
  <c r="HP130"/>
  <c r="HQ130"/>
  <c r="HR130"/>
  <c r="HS130"/>
  <c r="HT130"/>
  <c r="HU130"/>
  <c r="HV130"/>
  <c r="HW130"/>
  <c r="HX130"/>
  <c r="HY130"/>
  <c r="HZ130"/>
  <c r="IA130"/>
  <c r="IB130"/>
  <c r="IC130"/>
  <c r="ID130"/>
  <c r="IE130"/>
  <c r="IF130"/>
  <c r="IG130"/>
  <c r="IH130"/>
  <c r="II130"/>
  <c r="IJ130"/>
  <c r="IK130"/>
  <c r="IL130"/>
  <c r="IM130"/>
  <c r="IN130"/>
  <c r="IO130"/>
  <c r="IP130"/>
  <c r="IQ130"/>
  <c r="IR130"/>
  <c r="IS130"/>
  <c r="IT130"/>
  <c r="IU130"/>
  <c r="IV130"/>
  <c r="A131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AE131"/>
  <c r="AF131"/>
  <c r="AG131"/>
  <c r="AH131"/>
  <c r="AI131"/>
  <c r="AJ131"/>
  <c r="AK131"/>
  <c r="AL131"/>
  <c r="AM131"/>
  <c r="AN131"/>
  <c r="AO131"/>
  <c r="AP131"/>
  <c r="AQ131"/>
  <c r="AR131"/>
  <c r="AS131"/>
  <c r="AT131"/>
  <c r="AU131"/>
  <c r="AV131"/>
  <c r="AW131"/>
  <c r="AX131"/>
  <c r="AY131"/>
  <c r="AZ131"/>
  <c r="BA131"/>
  <c r="BB131"/>
  <c r="BC131"/>
  <c r="BD131"/>
  <c r="BE131"/>
  <c r="BF131"/>
  <c r="BG131"/>
  <c r="BH131"/>
  <c r="BI131"/>
  <c r="BJ131"/>
  <c r="BK131"/>
  <c r="BL131"/>
  <c r="BM131"/>
  <c r="BN131"/>
  <c r="BO131"/>
  <c r="BP131"/>
  <c r="BQ131"/>
  <c r="BR131"/>
  <c r="BS131"/>
  <c r="BT131"/>
  <c r="BU131"/>
  <c r="BV131"/>
  <c r="BW131"/>
  <c r="BX131"/>
  <c r="BY131"/>
  <c r="BZ131"/>
  <c r="CA131"/>
  <c r="CB131"/>
  <c r="CC131"/>
  <c r="CD131"/>
  <c r="CE131"/>
  <c r="CF131"/>
  <c r="CG131"/>
  <c r="CH131"/>
  <c r="CI131"/>
  <c r="CJ131"/>
  <c r="CK131"/>
  <c r="CL131"/>
  <c r="CM131"/>
  <c r="CN131"/>
  <c r="CO131"/>
  <c r="CP131"/>
  <c r="CQ131"/>
  <c r="CR131"/>
  <c r="CS131"/>
  <c r="CT131"/>
  <c r="CU131"/>
  <c r="CV131"/>
  <c r="CW131"/>
  <c r="CX131"/>
  <c r="CY131"/>
  <c r="CZ131"/>
  <c r="DA131"/>
  <c r="DB131"/>
  <c r="DC131"/>
  <c r="DD131"/>
  <c r="DE131"/>
  <c r="DF131"/>
  <c r="DG131"/>
  <c r="DH131"/>
  <c r="DI131"/>
  <c r="DJ131"/>
  <c r="DK131"/>
  <c r="DL131"/>
  <c r="DM131"/>
  <c r="DN131"/>
  <c r="DO131"/>
  <c r="DP131"/>
  <c r="DQ131"/>
  <c r="DR131"/>
  <c r="DS131"/>
  <c r="DT131"/>
  <c r="DU131"/>
  <c r="DV131"/>
  <c r="DW131"/>
  <c r="DX131"/>
  <c r="DY131"/>
  <c r="DZ131"/>
  <c r="EA131"/>
  <c r="EB131"/>
  <c r="EC131"/>
  <c r="ED131"/>
  <c r="EE131"/>
  <c r="EF131"/>
  <c r="EG131"/>
  <c r="EH131"/>
  <c r="EI131"/>
  <c r="EJ131"/>
  <c r="EK131"/>
  <c r="EL131"/>
  <c r="EM131"/>
  <c r="EN131"/>
  <c r="EO131"/>
  <c r="EP131"/>
  <c r="EQ131"/>
  <c r="ER131"/>
  <c r="ES131"/>
  <c r="ET131"/>
  <c r="EU131"/>
  <c r="EV131"/>
  <c r="EW131"/>
  <c r="EX131"/>
  <c r="EY131"/>
  <c r="EZ131"/>
  <c r="FA131"/>
  <c r="FB131"/>
  <c r="FC131"/>
  <c r="FD131"/>
  <c r="FE131"/>
  <c r="FF131"/>
  <c r="FG131"/>
  <c r="FH131"/>
  <c r="FI131"/>
  <c r="FJ131"/>
  <c r="FK131"/>
  <c r="FL131"/>
  <c r="FM131"/>
  <c r="FN131"/>
  <c r="FO131"/>
  <c r="FP131"/>
  <c r="FQ131"/>
  <c r="FR131"/>
  <c r="FS131"/>
  <c r="FT131"/>
  <c r="FU131"/>
  <c r="FV131"/>
  <c r="FW131"/>
  <c r="FX131"/>
  <c r="FY131"/>
  <c r="FZ131"/>
  <c r="GA131"/>
  <c r="GB131"/>
  <c r="GC131"/>
  <c r="GD131"/>
  <c r="GE131"/>
  <c r="GF131"/>
  <c r="GG131"/>
  <c r="GH131"/>
  <c r="GI131"/>
  <c r="GJ131"/>
  <c r="GK131"/>
  <c r="GL131"/>
  <c r="GM131"/>
  <c r="GN131"/>
  <c r="GO131"/>
  <c r="GP131"/>
  <c r="GQ131"/>
  <c r="GR131"/>
  <c r="GS131"/>
  <c r="GT131"/>
  <c r="GU131"/>
  <c r="GV131"/>
  <c r="GW131"/>
  <c r="GX131"/>
  <c r="GY131"/>
  <c r="GZ131"/>
  <c r="HA131"/>
  <c r="HB131"/>
  <c r="HC131"/>
  <c r="HD131"/>
  <c r="HE131"/>
  <c r="HF131"/>
  <c r="HG131"/>
  <c r="HH131"/>
  <c r="HI131"/>
  <c r="HJ131"/>
  <c r="HK131"/>
  <c r="HL131"/>
  <c r="HM131"/>
  <c r="HN131"/>
  <c r="HO131"/>
  <c r="HP131"/>
  <c r="HQ131"/>
  <c r="HR131"/>
  <c r="HS131"/>
  <c r="HT131"/>
  <c r="HU131"/>
  <c r="HV131"/>
  <c r="HW131"/>
  <c r="HX131"/>
  <c r="HY131"/>
  <c r="HZ131"/>
  <c r="IA131"/>
  <c r="IB131"/>
  <c r="IC131"/>
  <c r="ID131"/>
  <c r="IE131"/>
  <c r="IF131"/>
  <c r="IG131"/>
  <c r="IH131"/>
  <c r="II131"/>
  <c r="IJ131"/>
  <c r="IK131"/>
  <c r="IL131"/>
  <c r="IM131"/>
  <c r="IN131"/>
  <c r="IO131"/>
  <c r="IP131"/>
  <c r="IQ131"/>
  <c r="IR131"/>
  <c r="IS131"/>
  <c r="IT131"/>
  <c r="IU131"/>
  <c r="IV131"/>
  <c r="A132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Z132"/>
  <c r="AA132"/>
  <c r="AB132"/>
  <c r="AC132"/>
  <c r="AD132"/>
  <c r="AE132"/>
  <c r="AF132"/>
  <c r="AG132"/>
  <c r="AH132"/>
  <c r="AI132"/>
  <c r="AJ132"/>
  <c r="AK132"/>
  <c r="AL132"/>
  <c r="AM132"/>
  <c r="AN132"/>
  <c r="AO132"/>
  <c r="AP132"/>
  <c r="AQ132"/>
  <c r="AR132"/>
  <c r="AS132"/>
  <c r="AT132"/>
  <c r="AU132"/>
  <c r="AV132"/>
  <c r="AW132"/>
  <c r="AX132"/>
  <c r="AY132"/>
  <c r="AZ132"/>
  <c r="BA132"/>
  <c r="BB132"/>
  <c r="BC132"/>
  <c r="BD132"/>
  <c r="BE132"/>
  <c r="BF132"/>
  <c r="BG132"/>
  <c r="BH132"/>
  <c r="BI132"/>
  <c r="BJ132"/>
  <c r="BK132"/>
  <c r="BL132"/>
  <c r="BM132"/>
  <c r="BN132"/>
  <c r="BO132"/>
  <c r="BP132"/>
  <c r="BQ132"/>
  <c r="BR132"/>
  <c r="BS132"/>
  <c r="BT132"/>
  <c r="BU132"/>
  <c r="BV132"/>
  <c r="BW132"/>
  <c r="BX132"/>
  <c r="BY132"/>
  <c r="BZ132"/>
  <c r="CA132"/>
  <c r="CB132"/>
  <c r="CC132"/>
  <c r="CD132"/>
  <c r="CE132"/>
  <c r="CF132"/>
  <c r="CG132"/>
  <c r="CH132"/>
  <c r="CI132"/>
  <c r="CJ132"/>
  <c r="CK132"/>
  <c r="CL132"/>
  <c r="CM132"/>
  <c r="CN132"/>
  <c r="CO132"/>
  <c r="CP132"/>
  <c r="CQ132"/>
  <c r="CR132"/>
  <c r="CS132"/>
  <c r="CT132"/>
  <c r="CU132"/>
  <c r="CV132"/>
  <c r="CW132"/>
  <c r="CX132"/>
  <c r="CY132"/>
  <c r="CZ132"/>
  <c r="DA132"/>
  <c r="DB132"/>
  <c r="DC132"/>
  <c r="DD132"/>
  <c r="DE132"/>
  <c r="DF132"/>
  <c r="DG132"/>
  <c r="DH132"/>
  <c r="DI132"/>
  <c r="DJ132"/>
  <c r="DK132"/>
  <c r="DL132"/>
  <c r="DM132"/>
  <c r="DN132"/>
  <c r="DO132"/>
  <c r="DP132"/>
  <c r="DQ132"/>
  <c r="DR132"/>
  <c r="DS132"/>
  <c r="DT132"/>
  <c r="DU132"/>
  <c r="DV132"/>
  <c r="DW132"/>
  <c r="DX132"/>
  <c r="DY132"/>
  <c r="DZ132"/>
  <c r="EA132"/>
  <c r="EB132"/>
  <c r="EC132"/>
  <c r="ED132"/>
  <c r="EE132"/>
  <c r="EF132"/>
  <c r="EG132"/>
  <c r="EH132"/>
  <c r="EI132"/>
  <c r="EJ132"/>
  <c r="EK132"/>
  <c r="EL132"/>
  <c r="EM132"/>
  <c r="EN132"/>
  <c r="EO132"/>
  <c r="EP132"/>
  <c r="EQ132"/>
  <c r="ER132"/>
  <c r="ES132"/>
  <c r="ET132"/>
  <c r="EU132"/>
  <c r="EV132"/>
  <c r="EW132"/>
  <c r="EX132"/>
  <c r="EY132"/>
  <c r="EZ132"/>
  <c r="FA132"/>
  <c r="FB132"/>
  <c r="FC132"/>
  <c r="FD132"/>
  <c r="FE132"/>
  <c r="FF132"/>
  <c r="FG132"/>
  <c r="FH132"/>
  <c r="FI132"/>
  <c r="FJ132"/>
  <c r="FK132"/>
  <c r="FL132"/>
  <c r="FM132"/>
  <c r="FN132"/>
  <c r="FO132"/>
  <c r="FP132"/>
  <c r="FQ132"/>
  <c r="FR132"/>
  <c r="FS132"/>
  <c r="FT132"/>
  <c r="FU132"/>
  <c r="FV132"/>
  <c r="FW132"/>
  <c r="FX132"/>
  <c r="FY132"/>
  <c r="FZ132"/>
  <c r="GA132"/>
  <c r="GB132"/>
  <c r="GC132"/>
  <c r="GD132"/>
  <c r="GE132"/>
  <c r="GF132"/>
  <c r="GG132"/>
  <c r="GH132"/>
  <c r="GI132"/>
  <c r="GJ132"/>
  <c r="GK132"/>
  <c r="GL132"/>
  <c r="GM132"/>
  <c r="GN132"/>
  <c r="GO132"/>
  <c r="GP132"/>
  <c r="GQ132"/>
  <c r="GR132"/>
  <c r="GS132"/>
  <c r="GT132"/>
  <c r="GU132"/>
  <c r="GV132"/>
  <c r="GW132"/>
  <c r="GX132"/>
  <c r="GY132"/>
  <c r="GZ132"/>
  <c r="HA132"/>
  <c r="HB132"/>
  <c r="HC132"/>
  <c r="HD132"/>
  <c r="HE132"/>
  <c r="HF132"/>
  <c r="HG132"/>
  <c r="HH132"/>
  <c r="HI132"/>
  <c r="HJ132"/>
  <c r="HK132"/>
  <c r="HL132"/>
  <c r="HM132"/>
  <c r="HN132"/>
  <c r="HO132"/>
  <c r="HP132"/>
  <c r="HQ132"/>
  <c r="HR132"/>
  <c r="HS132"/>
  <c r="HT132"/>
  <c r="HU132"/>
  <c r="HV132"/>
  <c r="HW132"/>
  <c r="HX132"/>
  <c r="HY132"/>
  <c r="HZ132"/>
  <c r="IA132"/>
  <c r="IB132"/>
  <c r="IC132"/>
  <c r="ID132"/>
  <c r="IE132"/>
  <c r="IF132"/>
  <c r="IG132"/>
  <c r="IH132"/>
  <c r="II132"/>
  <c r="IJ132"/>
  <c r="IK132"/>
  <c r="IL132"/>
  <c r="IM132"/>
  <c r="IN132"/>
  <c r="IO132"/>
  <c r="IP132"/>
  <c r="IQ132"/>
  <c r="IR132"/>
  <c r="IS132"/>
  <c r="IT132"/>
  <c r="IU132"/>
  <c r="IV132"/>
  <c r="A133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Z133"/>
  <c r="AA133"/>
  <c r="AB133"/>
  <c r="AC133"/>
  <c r="AD133"/>
  <c r="AE133"/>
  <c r="AF133"/>
  <c r="AG133"/>
  <c r="AH133"/>
  <c r="AI133"/>
  <c r="AJ133"/>
  <c r="AK133"/>
  <c r="AL133"/>
  <c r="AM133"/>
  <c r="AN133"/>
  <c r="AO133"/>
  <c r="AP133"/>
  <c r="AQ133"/>
  <c r="AR133"/>
  <c r="AS133"/>
  <c r="AT133"/>
  <c r="AU133"/>
  <c r="AV133"/>
  <c r="AW133"/>
  <c r="AX133"/>
  <c r="AY133"/>
  <c r="AZ133"/>
  <c r="BA133"/>
  <c r="BB133"/>
  <c r="BC133"/>
  <c r="BD133"/>
  <c r="BE133"/>
  <c r="BF133"/>
  <c r="BG133"/>
  <c r="BH133"/>
  <c r="BI133"/>
  <c r="BJ133"/>
  <c r="BK133"/>
  <c r="BL133"/>
  <c r="BM133"/>
  <c r="BN133"/>
  <c r="BO133"/>
  <c r="BP133"/>
  <c r="BQ133"/>
  <c r="BR133"/>
  <c r="BS133"/>
  <c r="BT133"/>
  <c r="BU133"/>
  <c r="BV133"/>
  <c r="BW133"/>
  <c r="BX133"/>
  <c r="BY133"/>
  <c r="BZ133"/>
  <c r="CA133"/>
  <c r="CB133"/>
  <c r="CC133"/>
  <c r="CD133"/>
  <c r="CE133"/>
  <c r="CF133"/>
  <c r="CG133"/>
  <c r="CH133"/>
  <c r="CI133"/>
  <c r="CJ133"/>
  <c r="CK133"/>
  <c r="CL133"/>
  <c r="CM133"/>
  <c r="CN133"/>
  <c r="CO133"/>
  <c r="CP133"/>
  <c r="CQ133"/>
  <c r="CR133"/>
  <c r="CS133"/>
  <c r="CT133"/>
  <c r="CU133"/>
  <c r="CV133"/>
  <c r="CW133"/>
  <c r="CX133"/>
  <c r="CY133"/>
  <c r="CZ133"/>
  <c r="DA133"/>
  <c r="DB133"/>
  <c r="DC133"/>
  <c r="DD133"/>
  <c r="DE133"/>
  <c r="DF133"/>
  <c r="DG133"/>
  <c r="DH133"/>
  <c r="DI133"/>
  <c r="DJ133"/>
  <c r="DK133"/>
  <c r="DL133"/>
  <c r="DM133"/>
  <c r="DN133"/>
  <c r="DO133"/>
  <c r="DP133"/>
  <c r="DQ133"/>
  <c r="DR133"/>
  <c r="DS133"/>
  <c r="DT133"/>
  <c r="DU133"/>
  <c r="DV133"/>
  <c r="DW133"/>
  <c r="DX133"/>
  <c r="DY133"/>
  <c r="DZ133"/>
  <c r="EA133"/>
  <c r="EB133"/>
  <c r="EC133"/>
  <c r="ED133"/>
  <c r="EE133"/>
  <c r="EF133"/>
  <c r="EG133"/>
  <c r="EH133"/>
  <c r="EI133"/>
  <c r="EJ133"/>
  <c r="EK133"/>
  <c r="EL133"/>
  <c r="EM133"/>
  <c r="EN133"/>
  <c r="EO133"/>
  <c r="EP133"/>
  <c r="EQ133"/>
  <c r="ER133"/>
  <c r="ES133"/>
  <c r="ET133"/>
  <c r="EU133"/>
  <c r="EV133"/>
  <c r="EW133"/>
  <c r="EX133"/>
  <c r="EY133"/>
  <c r="EZ133"/>
  <c r="FA133"/>
  <c r="FB133"/>
  <c r="FC133"/>
  <c r="FD133"/>
  <c r="FE133"/>
  <c r="FF133"/>
  <c r="FG133"/>
  <c r="FH133"/>
  <c r="FI133"/>
  <c r="FJ133"/>
  <c r="FK133"/>
  <c r="FL133"/>
  <c r="FM133"/>
  <c r="FN133"/>
  <c r="FO133"/>
  <c r="FP133"/>
  <c r="FQ133"/>
  <c r="FR133"/>
  <c r="FS133"/>
  <c r="FT133"/>
  <c r="FU133"/>
  <c r="FV133"/>
  <c r="FW133"/>
  <c r="FX133"/>
  <c r="FY133"/>
  <c r="FZ133"/>
  <c r="GA133"/>
  <c r="GB133"/>
  <c r="GC133"/>
  <c r="GD133"/>
  <c r="GE133"/>
  <c r="GF133"/>
  <c r="GG133"/>
  <c r="GH133"/>
  <c r="GI133"/>
  <c r="GJ133"/>
  <c r="GK133"/>
  <c r="GL133"/>
  <c r="GM133"/>
  <c r="GN133"/>
  <c r="GO133"/>
  <c r="GP133"/>
  <c r="GQ133"/>
  <c r="GR133"/>
  <c r="GS133"/>
  <c r="GT133"/>
  <c r="GU133"/>
  <c r="GV133"/>
  <c r="GW133"/>
  <c r="GX133"/>
  <c r="GY133"/>
  <c r="GZ133"/>
  <c r="HA133"/>
  <c r="HB133"/>
  <c r="HC133"/>
  <c r="HD133"/>
  <c r="HE133"/>
  <c r="HF133"/>
  <c r="HG133"/>
  <c r="HH133"/>
  <c r="HI133"/>
  <c r="HJ133"/>
  <c r="HK133"/>
  <c r="HL133"/>
  <c r="HM133"/>
  <c r="HN133"/>
  <c r="HO133"/>
  <c r="HP133"/>
  <c r="HQ133"/>
  <c r="HR133"/>
  <c r="HS133"/>
  <c r="HT133"/>
  <c r="HU133"/>
  <c r="HV133"/>
  <c r="HW133"/>
  <c r="HX133"/>
  <c r="HY133"/>
  <c r="HZ133"/>
  <c r="IA133"/>
  <c r="IB133"/>
  <c r="IC133"/>
  <c r="ID133"/>
  <c r="IE133"/>
  <c r="IF133"/>
  <c r="IG133"/>
  <c r="IH133"/>
  <c r="II133"/>
  <c r="IJ133"/>
  <c r="IK133"/>
  <c r="IL133"/>
  <c r="IM133"/>
  <c r="IN133"/>
  <c r="IO133"/>
  <c r="IP133"/>
  <c r="IQ133"/>
  <c r="IR133"/>
  <c r="IS133"/>
  <c r="IT133"/>
  <c r="IU133"/>
  <c r="IV133"/>
  <c r="A134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Z134"/>
  <c r="AA134"/>
  <c r="AB134"/>
  <c r="AC134"/>
  <c r="AD134"/>
  <c r="AE134"/>
  <c r="AF134"/>
  <c r="AG134"/>
  <c r="AH134"/>
  <c r="AI134"/>
  <c r="AJ134"/>
  <c r="AK134"/>
  <c r="AL134"/>
  <c r="AM134"/>
  <c r="AN134"/>
  <c r="AO134"/>
  <c r="AP134"/>
  <c r="AQ134"/>
  <c r="AR134"/>
  <c r="AS134"/>
  <c r="AT134"/>
  <c r="AU134"/>
  <c r="AV134"/>
  <c r="AW134"/>
  <c r="AX134"/>
  <c r="AY134"/>
  <c r="AZ134"/>
  <c r="BA134"/>
  <c r="BB134"/>
  <c r="BC134"/>
  <c r="BD134"/>
  <c r="BE134"/>
  <c r="BF134"/>
  <c r="BG134"/>
  <c r="BH134"/>
  <c r="BI134"/>
  <c r="BJ134"/>
  <c r="BK134"/>
  <c r="BL134"/>
  <c r="BM134"/>
  <c r="BN134"/>
  <c r="BO134"/>
  <c r="BP134"/>
  <c r="BQ134"/>
  <c r="BR134"/>
  <c r="BS134"/>
  <c r="BT134"/>
  <c r="BU134"/>
  <c r="BV134"/>
  <c r="BW134"/>
  <c r="BX134"/>
  <c r="BY134"/>
  <c r="BZ134"/>
  <c r="CA134"/>
  <c r="CB134"/>
  <c r="CC134"/>
  <c r="CD134"/>
  <c r="CE134"/>
  <c r="CF134"/>
  <c r="CG134"/>
  <c r="CH134"/>
  <c r="CI134"/>
  <c r="CJ134"/>
  <c r="CK134"/>
  <c r="CL134"/>
  <c r="CM134"/>
  <c r="CN134"/>
  <c r="CO134"/>
  <c r="CP134"/>
  <c r="CQ134"/>
  <c r="CR134"/>
  <c r="CS134"/>
  <c r="CT134"/>
  <c r="CU134"/>
  <c r="CV134"/>
  <c r="CW134"/>
  <c r="CX134"/>
  <c r="CY134"/>
  <c r="CZ134"/>
  <c r="DA134"/>
  <c r="DB134"/>
  <c r="DC134"/>
  <c r="DD134"/>
  <c r="DE134"/>
  <c r="DF134"/>
  <c r="DG134"/>
  <c r="DH134"/>
  <c r="DI134"/>
  <c r="DJ134"/>
  <c r="DK134"/>
  <c r="DL134"/>
  <c r="DM134"/>
  <c r="DN134"/>
  <c r="DO134"/>
  <c r="DP134"/>
  <c r="DQ134"/>
  <c r="DR134"/>
  <c r="DS134"/>
  <c r="DT134"/>
  <c r="DU134"/>
  <c r="DV134"/>
  <c r="DW134"/>
  <c r="DX134"/>
  <c r="DY134"/>
  <c r="DZ134"/>
  <c r="EA134"/>
  <c r="EB134"/>
  <c r="EC134"/>
  <c r="ED134"/>
  <c r="EE134"/>
  <c r="EF134"/>
  <c r="EG134"/>
  <c r="EH134"/>
  <c r="EI134"/>
  <c r="EJ134"/>
  <c r="EK134"/>
  <c r="EL134"/>
  <c r="EM134"/>
  <c r="EN134"/>
  <c r="EO134"/>
  <c r="EP134"/>
  <c r="EQ134"/>
  <c r="ER134"/>
  <c r="ES134"/>
  <c r="ET134"/>
  <c r="EU134"/>
  <c r="EV134"/>
  <c r="EW134"/>
  <c r="EX134"/>
  <c r="EY134"/>
  <c r="EZ134"/>
  <c r="FA134"/>
  <c r="FB134"/>
  <c r="FC134"/>
  <c r="FD134"/>
  <c r="FE134"/>
  <c r="FF134"/>
  <c r="FG134"/>
  <c r="FH134"/>
  <c r="FI134"/>
  <c r="FJ134"/>
  <c r="FK134"/>
  <c r="FL134"/>
  <c r="FM134"/>
  <c r="FN134"/>
  <c r="FO134"/>
  <c r="FP134"/>
  <c r="FQ134"/>
  <c r="FR134"/>
  <c r="FS134"/>
  <c r="FT134"/>
  <c r="FU134"/>
  <c r="FV134"/>
  <c r="FW134"/>
  <c r="FX134"/>
  <c r="FY134"/>
  <c r="FZ134"/>
  <c r="GA134"/>
  <c r="GB134"/>
  <c r="GC134"/>
  <c r="GD134"/>
  <c r="GE134"/>
  <c r="GF134"/>
  <c r="GG134"/>
  <c r="GH134"/>
  <c r="GI134"/>
  <c r="GJ134"/>
  <c r="GK134"/>
  <c r="GL134"/>
  <c r="GM134"/>
  <c r="GN134"/>
  <c r="GO134"/>
  <c r="GP134"/>
  <c r="GQ134"/>
  <c r="GR134"/>
  <c r="GS134"/>
  <c r="GT134"/>
  <c r="GU134"/>
  <c r="GV134"/>
  <c r="GW134"/>
  <c r="GX134"/>
  <c r="GY134"/>
  <c r="GZ134"/>
  <c r="HA134"/>
  <c r="HB134"/>
  <c r="HC134"/>
  <c r="HD134"/>
  <c r="HE134"/>
  <c r="HF134"/>
  <c r="HG134"/>
  <c r="HH134"/>
  <c r="HI134"/>
  <c r="HJ134"/>
  <c r="HK134"/>
  <c r="HL134"/>
  <c r="HM134"/>
  <c r="HN134"/>
  <c r="HO134"/>
  <c r="HP134"/>
  <c r="HQ134"/>
  <c r="HR134"/>
  <c r="HS134"/>
  <c r="HT134"/>
  <c r="HU134"/>
  <c r="HV134"/>
  <c r="HW134"/>
  <c r="HX134"/>
  <c r="HY134"/>
  <c r="HZ134"/>
  <c r="IA134"/>
  <c r="IB134"/>
  <c r="IC134"/>
  <c r="ID134"/>
  <c r="IE134"/>
  <c r="IF134"/>
  <c r="IG134"/>
  <c r="IH134"/>
  <c r="II134"/>
  <c r="IJ134"/>
  <c r="IK134"/>
  <c r="IL134"/>
  <c r="IM134"/>
  <c r="IN134"/>
  <c r="IO134"/>
  <c r="IP134"/>
  <c r="IQ134"/>
  <c r="IR134"/>
  <c r="IS134"/>
  <c r="IT134"/>
  <c r="IU134"/>
  <c r="IV134"/>
  <c r="A135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Z135"/>
  <c r="AA135"/>
  <c r="AB135"/>
  <c r="AC135"/>
  <c r="AD135"/>
  <c r="AE135"/>
  <c r="AF135"/>
  <c r="AG135"/>
  <c r="AH135"/>
  <c r="AI135"/>
  <c r="AJ135"/>
  <c r="AK135"/>
  <c r="AL135"/>
  <c r="AM135"/>
  <c r="AN135"/>
  <c r="AO135"/>
  <c r="AP135"/>
  <c r="AQ135"/>
  <c r="AR135"/>
  <c r="AS135"/>
  <c r="AT135"/>
  <c r="AU135"/>
  <c r="AV135"/>
  <c r="AW135"/>
  <c r="AX135"/>
  <c r="AY135"/>
  <c r="AZ135"/>
  <c r="BA135"/>
  <c r="BB135"/>
  <c r="BC135"/>
  <c r="BD135"/>
  <c r="BE135"/>
  <c r="BF135"/>
  <c r="BG135"/>
  <c r="BH135"/>
  <c r="BI135"/>
  <c r="BJ135"/>
  <c r="BK135"/>
  <c r="BL135"/>
  <c r="BM135"/>
  <c r="BN135"/>
  <c r="BO135"/>
  <c r="BP135"/>
  <c r="BQ135"/>
  <c r="BR135"/>
  <c r="BS135"/>
  <c r="BT135"/>
  <c r="BU135"/>
  <c r="BV135"/>
  <c r="BW135"/>
  <c r="BX135"/>
  <c r="BY135"/>
  <c r="BZ135"/>
  <c r="CA135"/>
  <c r="CB135"/>
  <c r="CC135"/>
  <c r="CD135"/>
  <c r="CE135"/>
  <c r="CF135"/>
  <c r="CG135"/>
  <c r="CH135"/>
  <c r="CI135"/>
  <c r="CJ135"/>
  <c r="CK135"/>
  <c r="CL135"/>
  <c r="CM135"/>
  <c r="CN135"/>
  <c r="CO135"/>
  <c r="CP135"/>
  <c r="CQ135"/>
  <c r="CR135"/>
  <c r="CS135"/>
  <c r="CT135"/>
  <c r="CU135"/>
  <c r="CV135"/>
  <c r="CW135"/>
  <c r="CX135"/>
  <c r="CY135"/>
  <c r="CZ135"/>
  <c r="DA135"/>
  <c r="DB135"/>
  <c r="DC135"/>
  <c r="DD135"/>
  <c r="DE135"/>
  <c r="DF135"/>
  <c r="DG135"/>
  <c r="DH135"/>
  <c r="DI135"/>
  <c r="DJ135"/>
  <c r="DK135"/>
  <c r="DL135"/>
  <c r="DM135"/>
  <c r="DN135"/>
  <c r="DO135"/>
  <c r="DP135"/>
  <c r="DQ135"/>
  <c r="DR135"/>
  <c r="DS135"/>
  <c r="DT135"/>
  <c r="DU135"/>
  <c r="DV135"/>
  <c r="DW135"/>
  <c r="DX135"/>
  <c r="DY135"/>
  <c r="DZ135"/>
  <c r="EA135"/>
  <c r="EB135"/>
  <c r="EC135"/>
  <c r="ED135"/>
  <c r="EE135"/>
  <c r="EF135"/>
  <c r="EG135"/>
  <c r="EH135"/>
  <c r="EI135"/>
  <c r="EJ135"/>
  <c r="EK135"/>
  <c r="EL135"/>
  <c r="EM135"/>
  <c r="EN135"/>
  <c r="EO135"/>
  <c r="EP135"/>
  <c r="EQ135"/>
  <c r="ER135"/>
  <c r="ES135"/>
  <c r="ET135"/>
  <c r="EU135"/>
  <c r="EV135"/>
  <c r="EW135"/>
  <c r="EX135"/>
  <c r="EY135"/>
  <c r="EZ135"/>
  <c r="FA135"/>
  <c r="FB135"/>
  <c r="FC135"/>
  <c r="FD135"/>
  <c r="FE135"/>
  <c r="FF135"/>
  <c r="FG135"/>
  <c r="FH135"/>
  <c r="FI135"/>
  <c r="FJ135"/>
  <c r="FK135"/>
  <c r="FL135"/>
  <c r="FM135"/>
  <c r="FN135"/>
  <c r="FO135"/>
  <c r="FP135"/>
  <c r="FQ135"/>
  <c r="FR135"/>
  <c r="FS135"/>
  <c r="FT135"/>
  <c r="FU135"/>
  <c r="FV135"/>
  <c r="FW135"/>
  <c r="FX135"/>
  <c r="FY135"/>
  <c r="FZ135"/>
  <c r="GA135"/>
  <c r="GB135"/>
  <c r="GC135"/>
  <c r="GD135"/>
  <c r="GE135"/>
  <c r="GF135"/>
  <c r="GG135"/>
  <c r="GH135"/>
  <c r="GI135"/>
  <c r="GJ135"/>
  <c r="GK135"/>
  <c r="GL135"/>
  <c r="GM135"/>
  <c r="GN135"/>
  <c r="GO135"/>
  <c r="GP135"/>
  <c r="GQ135"/>
  <c r="GR135"/>
  <c r="GS135"/>
  <c r="GT135"/>
  <c r="GU135"/>
  <c r="GV135"/>
  <c r="GW135"/>
  <c r="GX135"/>
  <c r="GY135"/>
  <c r="GZ135"/>
  <c r="HA135"/>
  <c r="HB135"/>
  <c r="HC135"/>
  <c r="HD135"/>
  <c r="HE135"/>
  <c r="HF135"/>
  <c r="HG135"/>
  <c r="HH135"/>
  <c r="HI135"/>
  <c r="HJ135"/>
  <c r="HK135"/>
  <c r="HL135"/>
  <c r="HM135"/>
  <c r="HN135"/>
  <c r="HO135"/>
  <c r="HP135"/>
  <c r="HQ135"/>
  <c r="HR135"/>
  <c r="HS135"/>
  <c r="HT135"/>
  <c r="HU135"/>
  <c r="HV135"/>
  <c r="HW135"/>
  <c r="HX135"/>
  <c r="HY135"/>
  <c r="HZ135"/>
  <c r="IA135"/>
  <c r="IB135"/>
  <c r="IC135"/>
  <c r="ID135"/>
  <c r="IE135"/>
  <c r="IF135"/>
  <c r="IG135"/>
  <c r="IH135"/>
  <c r="II135"/>
  <c r="IJ135"/>
  <c r="IK135"/>
  <c r="IL135"/>
  <c r="IM135"/>
  <c r="IN135"/>
  <c r="IO135"/>
  <c r="IP135"/>
  <c r="IQ135"/>
  <c r="IR135"/>
  <c r="IS135"/>
  <c r="IT135"/>
  <c r="IU135"/>
  <c r="IV135"/>
  <c r="A136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Z136"/>
  <c r="AA136"/>
  <c r="AB136"/>
  <c r="AC136"/>
  <c r="AD136"/>
  <c r="AE136"/>
  <c r="AF136"/>
  <c r="AG136"/>
  <c r="AH136"/>
  <c r="AI136"/>
  <c r="AJ136"/>
  <c r="AK136"/>
  <c r="AL136"/>
  <c r="AM136"/>
  <c r="AN136"/>
  <c r="AO136"/>
  <c r="AP136"/>
  <c r="AQ136"/>
  <c r="AR136"/>
  <c r="AS136"/>
  <c r="AT136"/>
  <c r="AU136"/>
  <c r="AV136"/>
  <c r="AW136"/>
  <c r="AX136"/>
  <c r="AY136"/>
  <c r="AZ136"/>
  <c r="BA136"/>
  <c r="BB136"/>
  <c r="BC136"/>
  <c r="BD136"/>
  <c r="BE136"/>
  <c r="BF136"/>
  <c r="BG136"/>
  <c r="BH136"/>
  <c r="BI136"/>
  <c r="BJ136"/>
  <c r="BK136"/>
  <c r="BL136"/>
  <c r="BM136"/>
  <c r="BN136"/>
  <c r="BO136"/>
  <c r="BP136"/>
  <c r="BQ136"/>
  <c r="BR136"/>
  <c r="BS136"/>
  <c r="BT136"/>
  <c r="BU136"/>
  <c r="BV136"/>
  <c r="BW136"/>
  <c r="BX136"/>
  <c r="BY136"/>
  <c r="BZ136"/>
  <c r="CA136"/>
  <c r="CB136"/>
  <c r="CC136"/>
  <c r="CD136"/>
  <c r="CE136"/>
  <c r="CF136"/>
  <c r="CG136"/>
  <c r="CH136"/>
  <c r="CI136"/>
  <c r="CJ136"/>
  <c r="CK136"/>
  <c r="CL136"/>
  <c r="CM136"/>
  <c r="CN136"/>
  <c r="CO136"/>
  <c r="CP136"/>
  <c r="CQ136"/>
  <c r="CR136"/>
  <c r="CS136"/>
  <c r="CT136"/>
  <c r="CU136"/>
  <c r="CV136"/>
  <c r="CW136"/>
  <c r="CX136"/>
  <c r="CY136"/>
  <c r="CZ136"/>
  <c r="DA136"/>
  <c r="DB136"/>
  <c r="DC136"/>
  <c r="DD136"/>
  <c r="DE136"/>
  <c r="DF136"/>
  <c r="DG136"/>
  <c r="DH136"/>
  <c r="DI136"/>
  <c r="DJ136"/>
  <c r="DK136"/>
  <c r="DL136"/>
  <c r="DM136"/>
  <c r="DN136"/>
  <c r="DO136"/>
  <c r="DP136"/>
  <c r="DQ136"/>
  <c r="DR136"/>
  <c r="DS136"/>
  <c r="DT136"/>
  <c r="DU136"/>
  <c r="DV136"/>
  <c r="DW136"/>
  <c r="DX136"/>
  <c r="DY136"/>
  <c r="DZ136"/>
  <c r="EA136"/>
  <c r="EB136"/>
  <c r="EC136"/>
  <c r="ED136"/>
  <c r="EE136"/>
  <c r="EF136"/>
  <c r="EG136"/>
  <c r="EH136"/>
  <c r="EI136"/>
  <c r="EJ136"/>
  <c r="EK136"/>
  <c r="EL136"/>
  <c r="EM136"/>
  <c r="EN136"/>
  <c r="EO136"/>
  <c r="EP136"/>
  <c r="EQ136"/>
  <c r="ER136"/>
  <c r="ES136"/>
  <c r="ET136"/>
  <c r="EU136"/>
  <c r="EV136"/>
  <c r="EW136"/>
  <c r="EX136"/>
  <c r="EY136"/>
  <c r="EZ136"/>
  <c r="FA136"/>
  <c r="FB136"/>
  <c r="FC136"/>
  <c r="FD136"/>
  <c r="FE136"/>
  <c r="FF136"/>
  <c r="FG136"/>
  <c r="FH136"/>
  <c r="FI136"/>
  <c r="FJ136"/>
  <c r="FK136"/>
  <c r="FL136"/>
  <c r="FM136"/>
  <c r="FN136"/>
  <c r="FO136"/>
  <c r="FP136"/>
  <c r="FQ136"/>
  <c r="FR136"/>
  <c r="FS136"/>
  <c r="FT136"/>
  <c r="FU136"/>
  <c r="FV136"/>
  <c r="FW136"/>
  <c r="FX136"/>
  <c r="FY136"/>
  <c r="FZ136"/>
  <c r="GA136"/>
  <c r="GB136"/>
  <c r="GC136"/>
  <c r="GD136"/>
  <c r="GE136"/>
  <c r="GF136"/>
  <c r="GG136"/>
  <c r="GH136"/>
  <c r="GI136"/>
  <c r="GJ136"/>
  <c r="GK136"/>
  <c r="GL136"/>
  <c r="GM136"/>
  <c r="GN136"/>
  <c r="GO136"/>
  <c r="GP136"/>
  <c r="GQ136"/>
  <c r="GR136"/>
  <c r="GS136"/>
  <c r="GT136"/>
  <c r="GU136"/>
  <c r="GV136"/>
  <c r="GW136"/>
  <c r="GX136"/>
  <c r="GY136"/>
  <c r="GZ136"/>
  <c r="HA136"/>
  <c r="HB136"/>
  <c r="HC136"/>
  <c r="HD136"/>
  <c r="HE136"/>
  <c r="HF136"/>
  <c r="HG136"/>
  <c r="HH136"/>
  <c r="HI136"/>
  <c r="HJ136"/>
  <c r="HK136"/>
  <c r="HL136"/>
  <c r="HM136"/>
  <c r="HN136"/>
  <c r="HO136"/>
  <c r="HP136"/>
  <c r="HQ136"/>
  <c r="HR136"/>
  <c r="HS136"/>
  <c r="HT136"/>
  <c r="HU136"/>
  <c r="HV136"/>
  <c r="HW136"/>
  <c r="HX136"/>
  <c r="HY136"/>
  <c r="HZ136"/>
  <c r="IA136"/>
  <c r="IB136"/>
  <c r="IC136"/>
  <c r="ID136"/>
  <c r="IE136"/>
  <c r="IF136"/>
  <c r="IG136"/>
  <c r="IH136"/>
  <c r="II136"/>
  <c r="IJ136"/>
  <c r="IK136"/>
  <c r="IL136"/>
  <c r="IM136"/>
  <c r="IN136"/>
  <c r="IO136"/>
  <c r="IP136"/>
  <c r="IQ136"/>
  <c r="IR136"/>
  <c r="IS136"/>
  <c r="IT136"/>
  <c r="IU136"/>
  <c r="IV136"/>
  <c r="A137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Z137"/>
  <c r="AA137"/>
  <c r="AB137"/>
  <c r="AC137"/>
  <c r="AD137"/>
  <c r="AE137"/>
  <c r="AF137"/>
  <c r="AG137"/>
  <c r="AH137"/>
  <c r="AI137"/>
  <c r="AJ137"/>
  <c r="AK137"/>
  <c r="AL137"/>
  <c r="AM137"/>
  <c r="AN137"/>
  <c r="AO137"/>
  <c r="AP137"/>
  <c r="AQ137"/>
  <c r="AR137"/>
  <c r="AS137"/>
  <c r="AT137"/>
  <c r="AU137"/>
  <c r="AV137"/>
  <c r="AW137"/>
  <c r="AX137"/>
  <c r="AY137"/>
  <c r="AZ137"/>
  <c r="BA137"/>
  <c r="BB137"/>
  <c r="BC137"/>
  <c r="BD137"/>
  <c r="BE137"/>
  <c r="BF137"/>
  <c r="BG137"/>
  <c r="BH137"/>
  <c r="BI137"/>
  <c r="BJ137"/>
  <c r="BK137"/>
  <c r="BL137"/>
  <c r="BM137"/>
  <c r="BN137"/>
  <c r="BO137"/>
  <c r="BP137"/>
  <c r="BQ137"/>
  <c r="BR137"/>
  <c r="BS137"/>
  <c r="BT137"/>
  <c r="BU137"/>
  <c r="BV137"/>
  <c r="BW137"/>
  <c r="BX137"/>
  <c r="BY137"/>
  <c r="BZ137"/>
  <c r="CA137"/>
  <c r="CB137"/>
  <c r="CC137"/>
  <c r="CD137"/>
  <c r="CE137"/>
  <c r="CF137"/>
  <c r="CG137"/>
  <c r="CH137"/>
  <c r="CI137"/>
  <c r="CJ137"/>
  <c r="CK137"/>
  <c r="CL137"/>
  <c r="CM137"/>
  <c r="CN137"/>
  <c r="CO137"/>
  <c r="CP137"/>
  <c r="CQ137"/>
  <c r="CR137"/>
  <c r="CS137"/>
  <c r="CT137"/>
  <c r="CU137"/>
  <c r="CV137"/>
  <c r="CW137"/>
  <c r="CX137"/>
  <c r="CY137"/>
  <c r="CZ137"/>
  <c r="DA137"/>
  <c r="DB137"/>
  <c r="DC137"/>
  <c r="DD137"/>
  <c r="DE137"/>
  <c r="DF137"/>
  <c r="DG137"/>
  <c r="DH137"/>
  <c r="DI137"/>
  <c r="DJ137"/>
  <c r="DK137"/>
  <c r="DL137"/>
  <c r="DM137"/>
  <c r="DN137"/>
  <c r="DO137"/>
  <c r="DP137"/>
  <c r="DQ137"/>
  <c r="DR137"/>
  <c r="DS137"/>
  <c r="DT137"/>
  <c r="DU137"/>
  <c r="DV137"/>
  <c r="DW137"/>
  <c r="DX137"/>
  <c r="DY137"/>
  <c r="DZ137"/>
  <c r="EA137"/>
  <c r="EB137"/>
  <c r="EC137"/>
  <c r="ED137"/>
  <c r="EE137"/>
  <c r="EF137"/>
  <c r="EG137"/>
  <c r="EH137"/>
  <c r="EI137"/>
  <c r="EJ137"/>
  <c r="EK137"/>
  <c r="EL137"/>
  <c r="EM137"/>
  <c r="EN137"/>
  <c r="EO137"/>
  <c r="EP137"/>
  <c r="EQ137"/>
  <c r="ER137"/>
  <c r="ES137"/>
  <c r="ET137"/>
  <c r="EU137"/>
  <c r="EV137"/>
  <c r="EW137"/>
  <c r="EX137"/>
  <c r="EY137"/>
  <c r="EZ137"/>
  <c r="FA137"/>
  <c r="FB137"/>
  <c r="FC137"/>
  <c r="FD137"/>
  <c r="FE137"/>
  <c r="FF137"/>
  <c r="FG137"/>
  <c r="FH137"/>
  <c r="FI137"/>
  <c r="FJ137"/>
  <c r="FK137"/>
  <c r="FL137"/>
  <c r="FM137"/>
  <c r="FN137"/>
  <c r="FO137"/>
  <c r="FP137"/>
  <c r="FQ137"/>
  <c r="FR137"/>
  <c r="FS137"/>
  <c r="FT137"/>
  <c r="FU137"/>
  <c r="FV137"/>
  <c r="FW137"/>
  <c r="FX137"/>
  <c r="FY137"/>
  <c r="FZ137"/>
  <c r="GA137"/>
  <c r="GB137"/>
  <c r="GC137"/>
  <c r="GD137"/>
  <c r="GE137"/>
  <c r="GF137"/>
  <c r="GG137"/>
  <c r="GH137"/>
  <c r="GI137"/>
  <c r="GJ137"/>
  <c r="GK137"/>
  <c r="GL137"/>
  <c r="GM137"/>
  <c r="GN137"/>
  <c r="GO137"/>
  <c r="GP137"/>
  <c r="GQ137"/>
  <c r="GR137"/>
  <c r="GS137"/>
  <c r="GT137"/>
  <c r="GU137"/>
  <c r="GV137"/>
  <c r="GW137"/>
  <c r="GX137"/>
  <c r="GY137"/>
  <c r="GZ137"/>
  <c r="HA137"/>
  <c r="HB137"/>
  <c r="HC137"/>
  <c r="HD137"/>
  <c r="HE137"/>
  <c r="HF137"/>
  <c r="HG137"/>
  <c r="HH137"/>
  <c r="HI137"/>
  <c r="HJ137"/>
  <c r="HK137"/>
  <c r="HL137"/>
  <c r="HM137"/>
  <c r="HN137"/>
  <c r="HO137"/>
  <c r="HP137"/>
  <c r="HQ137"/>
  <c r="HR137"/>
  <c r="HS137"/>
  <c r="HT137"/>
  <c r="HU137"/>
  <c r="HV137"/>
  <c r="HW137"/>
  <c r="HX137"/>
  <c r="HY137"/>
  <c r="HZ137"/>
  <c r="IA137"/>
  <c r="IB137"/>
  <c r="IC137"/>
  <c r="ID137"/>
  <c r="IE137"/>
  <c r="IF137"/>
  <c r="IG137"/>
  <c r="IH137"/>
  <c r="II137"/>
  <c r="IJ137"/>
  <c r="IK137"/>
  <c r="IL137"/>
  <c r="IM137"/>
  <c r="IN137"/>
  <c r="IO137"/>
  <c r="IP137"/>
  <c r="IQ137"/>
  <c r="IR137"/>
  <c r="IS137"/>
  <c r="IT137"/>
  <c r="IU137"/>
  <c r="IV137"/>
  <c r="A138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Z138"/>
  <c r="AA138"/>
  <c r="AB138"/>
  <c r="AC138"/>
  <c r="AD138"/>
  <c r="AE138"/>
  <c r="AF138"/>
  <c r="AG138"/>
  <c r="AH138"/>
  <c r="AI138"/>
  <c r="AJ138"/>
  <c r="AK138"/>
  <c r="AL138"/>
  <c r="AM138"/>
  <c r="AN138"/>
  <c r="AO138"/>
  <c r="AP138"/>
  <c r="AQ138"/>
  <c r="AR138"/>
  <c r="AS138"/>
  <c r="AT138"/>
  <c r="AU138"/>
  <c r="AV138"/>
  <c r="AW138"/>
  <c r="AX138"/>
  <c r="AY138"/>
  <c r="AZ138"/>
  <c r="BA138"/>
  <c r="BB138"/>
  <c r="BC138"/>
  <c r="BD138"/>
  <c r="BE138"/>
  <c r="BF138"/>
  <c r="BG138"/>
  <c r="BH138"/>
  <c r="BI138"/>
  <c r="BJ138"/>
  <c r="BK138"/>
  <c r="BL138"/>
  <c r="BM138"/>
  <c r="BN138"/>
  <c r="BO138"/>
  <c r="BP138"/>
  <c r="BQ138"/>
  <c r="BR138"/>
  <c r="BS138"/>
  <c r="BT138"/>
  <c r="BU138"/>
  <c r="BV138"/>
  <c r="BW138"/>
  <c r="BX138"/>
  <c r="BY138"/>
  <c r="BZ138"/>
  <c r="CA138"/>
  <c r="CB138"/>
  <c r="CC138"/>
  <c r="CD138"/>
  <c r="CE138"/>
  <c r="CF138"/>
  <c r="CG138"/>
  <c r="CH138"/>
  <c r="CI138"/>
  <c r="CJ138"/>
  <c r="CK138"/>
  <c r="CL138"/>
  <c r="CM138"/>
  <c r="CN138"/>
  <c r="CO138"/>
  <c r="CP138"/>
  <c r="CQ138"/>
  <c r="CR138"/>
  <c r="CS138"/>
  <c r="CT138"/>
  <c r="CU138"/>
  <c r="CV138"/>
  <c r="CW138"/>
  <c r="CX138"/>
  <c r="CY138"/>
  <c r="CZ138"/>
  <c r="DA138"/>
  <c r="DB138"/>
  <c r="DC138"/>
  <c r="DD138"/>
  <c r="DE138"/>
  <c r="DF138"/>
  <c r="DG138"/>
  <c r="DH138"/>
  <c r="DI138"/>
  <c r="DJ138"/>
  <c r="DK138"/>
  <c r="DL138"/>
  <c r="DM138"/>
  <c r="DN138"/>
  <c r="DO138"/>
  <c r="DP138"/>
  <c r="DQ138"/>
  <c r="DR138"/>
  <c r="DS138"/>
  <c r="DT138"/>
  <c r="DU138"/>
  <c r="DV138"/>
  <c r="DW138"/>
  <c r="DX138"/>
  <c r="DY138"/>
  <c r="DZ138"/>
  <c r="EA138"/>
  <c r="EB138"/>
  <c r="EC138"/>
  <c r="ED138"/>
  <c r="EE138"/>
  <c r="EF138"/>
  <c r="EG138"/>
  <c r="EH138"/>
  <c r="EI138"/>
  <c r="EJ138"/>
  <c r="EK138"/>
  <c r="EL138"/>
  <c r="EM138"/>
  <c r="EN138"/>
  <c r="EO138"/>
  <c r="EP138"/>
  <c r="EQ138"/>
  <c r="ER138"/>
  <c r="ES138"/>
  <c r="ET138"/>
  <c r="EU138"/>
  <c r="EV138"/>
  <c r="EW138"/>
  <c r="EX138"/>
  <c r="EY138"/>
  <c r="EZ138"/>
  <c r="FA138"/>
  <c r="FB138"/>
  <c r="FC138"/>
  <c r="FD138"/>
  <c r="FE138"/>
  <c r="FF138"/>
  <c r="FG138"/>
  <c r="FH138"/>
  <c r="FI138"/>
  <c r="FJ138"/>
  <c r="FK138"/>
  <c r="FL138"/>
  <c r="FM138"/>
  <c r="FN138"/>
  <c r="FO138"/>
  <c r="FP138"/>
  <c r="FQ138"/>
  <c r="FR138"/>
  <c r="FS138"/>
  <c r="FT138"/>
  <c r="FU138"/>
  <c r="FV138"/>
  <c r="FW138"/>
  <c r="FX138"/>
  <c r="FY138"/>
  <c r="FZ138"/>
  <c r="GA138"/>
  <c r="GB138"/>
  <c r="GC138"/>
  <c r="GD138"/>
  <c r="GE138"/>
  <c r="GF138"/>
  <c r="GG138"/>
  <c r="GH138"/>
  <c r="GI138"/>
  <c r="GJ138"/>
  <c r="GK138"/>
  <c r="GL138"/>
  <c r="GM138"/>
  <c r="GN138"/>
  <c r="GO138"/>
  <c r="GP138"/>
  <c r="GQ138"/>
  <c r="GR138"/>
  <c r="GS138"/>
  <c r="GT138"/>
  <c r="GU138"/>
  <c r="GV138"/>
  <c r="GW138"/>
  <c r="GX138"/>
  <c r="GY138"/>
  <c r="GZ138"/>
  <c r="HA138"/>
  <c r="HB138"/>
  <c r="HC138"/>
  <c r="HD138"/>
  <c r="HE138"/>
  <c r="HF138"/>
  <c r="HG138"/>
  <c r="HH138"/>
  <c r="HI138"/>
  <c r="HJ138"/>
  <c r="HK138"/>
  <c r="HL138"/>
  <c r="HM138"/>
  <c r="HN138"/>
  <c r="HO138"/>
  <c r="HP138"/>
  <c r="HQ138"/>
  <c r="HR138"/>
  <c r="HS138"/>
  <c r="HT138"/>
  <c r="HU138"/>
  <c r="HV138"/>
  <c r="HW138"/>
  <c r="HX138"/>
  <c r="HY138"/>
  <c r="HZ138"/>
  <c r="IA138"/>
  <c r="IB138"/>
  <c r="IC138"/>
  <c r="ID138"/>
  <c r="IE138"/>
  <c r="IF138"/>
  <c r="IG138"/>
  <c r="IH138"/>
  <c r="II138"/>
  <c r="IJ138"/>
  <c r="IK138"/>
  <c r="IL138"/>
  <c r="IM138"/>
  <c r="IN138"/>
  <c r="IO138"/>
  <c r="IP138"/>
  <c r="IQ138"/>
  <c r="IR138"/>
  <c r="IS138"/>
  <c r="IT138"/>
  <c r="IU138"/>
  <c r="IV138"/>
  <c r="A139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Z139"/>
  <c r="AA139"/>
  <c r="AB139"/>
  <c r="AC139"/>
  <c r="AD139"/>
  <c r="AE139"/>
  <c r="AF139"/>
  <c r="AG139"/>
  <c r="AH139"/>
  <c r="AI139"/>
  <c r="AJ139"/>
  <c r="AK139"/>
  <c r="AL139"/>
  <c r="AM139"/>
  <c r="AN139"/>
  <c r="AO139"/>
  <c r="AP139"/>
  <c r="AQ139"/>
  <c r="AR139"/>
  <c r="AS139"/>
  <c r="AT139"/>
  <c r="AU139"/>
  <c r="AV139"/>
  <c r="AW139"/>
  <c r="AX139"/>
  <c r="AY139"/>
  <c r="AZ139"/>
  <c r="BA139"/>
  <c r="BB139"/>
  <c r="BC139"/>
  <c r="BD139"/>
  <c r="BE139"/>
  <c r="BF139"/>
  <c r="BG139"/>
  <c r="BH139"/>
  <c r="BI139"/>
  <c r="BJ139"/>
  <c r="BK139"/>
  <c r="BL139"/>
  <c r="BM139"/>
  <c r="BN139"/>
  <c r="BO139"/>
  <c r="BP139"/>
  <c r="BQ139"/>
  <c r="BR139"/>
  <c r="BS139"/>
  <c r="BT139"/>
  <c r="BU139"/>
  <c r="BV139"/>
  <c r="BW139"/>
  <c r="BX139"/>
  <c r="BY139"/>
  <c r="BZ139"/>
  <c r="CA139"/>
  <c r="CB139"/>
  <c r="CC139"/>
  <c r="CD139"/>
  <c r="CE139"/>
  <c r="CF139"/>
  <c r="CG139"/>
  <c r="CH139"/>
  <c r="CI139"/>
  <c r="CJ139"/>
  <c r="CK139"/>
  <c r="CL139"/>
  <c r="CM139"/>
  <c r="CN139"/>
  <c r="CO139"/>
  <c r="CP139"/>
  <c r="CQ139"/>
  <c r="CR139"/>
  <c r="CS139"/>
  <c r="CT139"/>
  <c r="CU139"/>
  <c r="CV139"/>
  <c r="CW139"/>
  <c r="CX139"/>
  <c r="CY139"/>
  <c r="CZ139"/>
  <c r="DA139"/>
  <c r="DB139"/>
  <c r="DC139"/>
  <c r="DD139"/>
  <c r="DE139"/>
  <c r="DF139"/>
  <c r="DG139"/>
  <c r="DH139"/>
  <c r="DI139"/>
  <c r="DJ139"/>
  <c r="DK139"/>
  <c r="DL139"/>
  <c r="DM139"/>
  <c r="DN139"/>
  <c r="DO139"/>
  <c r="DP139"/>
  <c r="DQ139"/>
  <c r="DR139"/>
  <c r="DS139"/>
  <c r="DT139"/>
  <c r="DU139"/>
  <c r="DV139"/>
  <c r="DW139"/>
  <c r="DX139"/>
  <c r="DY139"/>
  <c r="DZ139"/>
  <c r="EA139"/>
  <c r="EB139"/>
  <c r="EC139"/>
  <c r="ED139"/>
  <c r="EE139"/>
  <c r="EF139"/>
  <c r="EG139"/>
  <c r="EH139"/>
  <c r="EI139"/>
  <c r="EJ139"/>
  <c r="EK139"/>
  <c r="EL139"/>
  <c r="EM139"/>
  <c r="EN139"/>
  <c r="EO139"/>
  <c r="EP139"/>
  <c r="EQ139"/>
  <c r="ER139"/>
  <c r="ES139"/>
  <c r="ET139"/>
  <c r="EU139"/>
  <c r="EV139"/>
  <c r="EW139"/>
  <c r="EX139"/>
  <c r="EY139"/>
  <c r="EZ139"/>
  <c r="FA139"/>
  <c r="FB139"/>
  <c r="FC139"/>
  <c r="FD139"/>
  <c r="FE139"/>
  <c r="FF139"/>
  <c r="FG139"/>
  <c r="FH139"/>
  <c r="FI139"/>
  <c r="FJ139"/>
  <c r="FK139"/>
  <c r="FL139"/>
  <c r="FM139"/>
  <c r="FN139"/>
  <c r="FO139"/>
  <c r="FP139"/>
  <c r="FQ139"/>
  <c r="FR139"/>
  <c r="FS139"/>
  <c r="FT139"/>
  <c r="FU139"/>
  <c r="FV139"/>
  <c r="FW139"/>
  <c r="FX139"/>
  <c r="FY139"/>
  <c r="FZ139"/>
  <c r="GA139"/>
  <c r="GB139"/>
  <c r="GC139"/>
  <c r="GD139"/>
  <c r="GE139"/>
  <c r="GF139"/>
  <c r="GG139"/>
  <c r="GH139"/>
  <c r="GI139"/>
  <c r="GJ139"/>
  <c r="GK139"/>
  <c r="GL139"/>
  <c r="GM139"/>
  <c r="GN139"/>
  <c r="GO139"/>
  <c r="GP139"/>
  <c r="GQ139"/>
  <c r="GR139"/>
  <c r="GS139"/>
  <c r="GT139"/>
  <c r="GU139"/>
  <c r="GV139"/>
  <c r="GW139"/>
  <c r="GX139"/>
  <c r="GY139"/>
  <c r="GZ139"/>
  <c r="HA139"/>
  <c r="HB139"/>
  <c r="HC139"/>
  <c r="HD139"/>
  <c r="HE139"/>
  <c r="HF139"/>
  <c r="HG139"/>
  <c r="HH139"/>
  <c r="HI139"/>
  <c r="HJ139"/>
  <c r="HK139"/>
  <c r="HL139"/>
  <c r="HM139"/>
  <c r="HN139"/>
  <c r="HO139"/>
  <c r="HP139"/>
  <c r="HQ139"/>
  <c r="HR139"/>
  <c r="HS139"/>
  <c r="HT139"/>
  <c r="HU139"/>
  <c r="HV139"/>
  <c r="HW139"/>
  <c r="HX139"/>
  <c r="HY139"/>
  <c r="HZ139"/>
  <c r="IA139"/>
  <c r="IB139"/>
  <c r="IC139"/>
  <c r="ID139"/>
  <c r="IE139"/>
  <c r="IF139"/>
  <c r="IG139"/>
  <c r="IH139"/>
  <c r="II139"/>
  <c r="IJ139"/>
  <c r="IK139"/>
  <c r="IL139"/>
  <c r="IM139"/>
  <c r="IN139"/>
  <c r="IO139"/>
  <c r="IP139"/>
  <c r="IQ139"/>
  <c r="IR139"/>
  <c r="IS139"/>
  <c r="IT139"/>
  <c r="IU139"/>
  <c r="IV139"/>
  <c r="A140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Z140"/>
  <c r="AA140"/>
  <c r="AB140"/>
  <c r="AC140"/>
  <c r="AD140"/>
  <c r="AE140"/>
  <c r="AF140"/>
  <c r="AG140"/>
  <c r="AH140"/>
  <c r="AI140"/>
  <c r="AJ140"/>
  <c r="AK140"/>
  <c r="AL140"/>
  <c r="AM140"/>
  <c r="AN140"/>
  <c r="AO140"/>
  <c r="AP140"/>
  <c r="AQ140"/>
  <c r="AR140"/>
  <c r="AS140"/>
  <c r="AT140"/>
  <c r="AU140"/>
  <c r="AV140"/>
  <c r="AW140"/>
  <c r="AX140"/>
  <c r="AY140"/>
  <c r="AZ140"/>
  <c r="BA140"/>
  <c r="BB140"/>
  <c r="BC140"/>
  <c r="BD140"/>
  <c r="BE140"/>
  <c r="BF140"/>
  <c r="BG140"/>
  <c r="BH140"/>
  <c r="BI140"/>
  <c r="BJ140"/>
  <c r="BK140"/>
  <c r="BL140"/>
  <c r="BM140"/>
  <c r="BN140"/>
  <c r="BO140"/>
  <c r="BP140"/>
  <c r="BQ140"/>
  <c r="BR140"/>
  <c r="BS140"/>
  <c r="BT140"/>
  <c r="BU140"/>
  <c r="BV140"/>
  <c r="BW140"/>
  <c r="BX140"/>
  <c r="BY140"/>
  <c r="BZ140"/>
  <c r="CA140"/>
  <c r="CB140"/>
  <c r="CC140"/>
  <c r="CD140"/>
  <c r="CE140"/>
  <c r="CF140"/>
  <c r="CG140"/>
  <c r="CH140"/>
  <c r="CI140"/>
  <c r="CJ140"/>
  <c r="CK140"/>
  <c r="CL140"/>
  <c r="CM140"/>
  <c r="CN140"/>
  <c r="CO140"/>
  <c r="CP140"/>
  <c r="CQ140"/>
  <c r="CR140"/>
  <c r="CS140"/>
  <c r="CT140"/>
  <c r="CU140"/>
  <c r="CV140"/>
  <c r="CW140"/>
  <c r="CX140"/>
  <c r="CY140"/>
  <c r="CZ140"/>
  <c r="DA140"/>
  <c r="DB140"/>
  <c r="DC140"/>
  <c r="DD140"/>
  <c r="DE140"/>
  <c r="DF140"/>
  <c r="DG140"/>
  <c r="DH140"/>
  <c r="DI140"/>
  <c r="DJ140"/>
  <c r="DK140"/>
  <c r="DL140"/>
  <c r="DM140"/>
  <c r="DN140"/>
  <c r="DO140"/>
  <c r="DP140"/>
  <c r="DQ140"/>
  <c r="DR140"/>
  <c r="DS140"/>
  <c r="DT140"/>
  <c r="DU140"/>
  <c r="DV140"/>
  <c r="DW140"/>
  <c r="DX140"/>
  <c r="DY140"/>
  <c r="DZ140"/>
  <c r="EA140"/>
  <c r="EB140"/>
  <c r="EC140"/>
  <c r="ED140"/>
  <c r="EE140"/>
  <c r="EF140"/>
  <c r="EG140"/>
  <c r="EH140"/>
  <c r="EI140"/>
  <c r="EJ140"/>
  <c r="EK140"/>
  <c r="EL140"/>
  <c r="EM140"/>
  <c r="EN140"/>
  <c r="EO140"/>
  <c r="EP140"/>
  <c r="EQ140"/>
  <c r="ER140"/>
  <c r="ES140"/>
  <c r="ET140"/>
  <c r="EU140"/>
  <c r="EV140"/>
  <c r="EW140"/>
  <c r="EX140"/>
  <c r="EY140"/>
  <c r="EZ140"/>
  <c r="FA140"/>
  <c r="FB140"/>
  <c r="FC140"/>
  <c r="FD140"/>
  <c r="FE140"/>
  <c r="FF140"/>
  <c r="FG140"/>
  <c r="FH140"/>
  <c r="FI140"/>
  <c r="FJ140"/>
  <c r="FK140"/>
  <c r="FL140"/>
  <c r="FM140"/>
  <c r="FN140"/>
  <c r="FO140"/>
  <c r="FP140"/>
  <c r="FQ140"/>
  <c r="FR140"/>
  <c r="FS140"/>
  <c r="FT140"/>
  <c r="FU140"/>
  <c r="FV140"/>
  <c r="FW140"/>
  <c r="FX140"/>
  <c r="FY140"/>
  <c r="FZ140"/>
  <c r="GA140"/>
  <c r="GB140"/>
  <c r="GC140"/>
  <c r="GD140"/>
  <c r="GE140"/>
  <c r="GF140"/>
  <c r="GG140"/>
  <c r="GH140"/>
  <c r="GI140"/>
  <c r="GJ140"/>
  <c r="GK140"/>
  <c r="GL140"/>
  <c r="GM140"/>
  <c r="GN140"/>
  <c r="GO140"/>
  <c r="GP140"/>
  <c r="GQ140"/>
  <c r="GR140"/>
  <c r="GS140"/>
  <c r="GT140"/>
  <c r="GU140"/>
  <c r="GV140"/>
  <c r="GW140"/>
  <c r="GX140"/>
  <c r="GY140"/>
  <c r="GZ140"/>
  <c r="HA140"/>
  <c r="HB140"/>
  <c r="HC140"/>
  <c r="HD140"/>
  <c r="HE140"/>
  <c r="HF140"/>
  <c r="HG140"/>
  <c r="HH140"/>
  <c r="HI140"/>
  <c r="HJ140"/>
  <c r="HK140"/>
  <c r="HL140"/>
  <c r="HM140"/>
  <c r="HN140"/>
  <c r="HO140"/>
  <c r="HP140"/>
  <c r="HQ140"/>
  <c r="HR140"/>
  <c r="HS140"/>
  <c r="HT140"/>
  <c r="HU140"/>
  <c r="HV140"/>
  <c r="HW140"/>
  <c r="HX140"/>
  <c r="HY140"/>
  <c r="HZ140"/>
  <c r="IA140"/>
  <c r="IB140"/>
  <c r="IC140"/>
  <c r="ID140"/>
  <c r="IE140"/>
  <c r="IF140"/>
  <c r="IG140"/>
  <c r="IH140"/>
  <c r="II140"/>
  <c r="IJ140"/>
  <c r="IK140"/>
  <c r="IL140"/>
  <c r="IM140"/>
  <c r="IN140"/>
  <c r="IO140"/>
  <c r="IP140"/>
  <c r="IQ140"/>
  <c r="IR140"/>
  <c r="IS140"/>
  <c r="IT140"/>
  <c r="IU140"/>
  <c r="IV140"/>
  <c r="A141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Z141"/>
  <c r="AA141"/>
  <c r="AB141"/>
  <c r="AC141"/>
  <c r="AD141"/>
  <c r="AE141"/>
  <c r="AF141"/>
  <c r="AG141"/>
  <c r="AH141"/>
  <c r="AI141"/>
  <c r="AJ141"/>
  <c r="AK141"/>
  <c r="AL141"/>
  <c r="AM141"/>
  <c r="AN141"/>
  <c r="AO141"/>
  <c r="AP141"/>
  <c r="AQ141"/>
  <c r="AR141"/>
  <c r="AS141"/>
  <c r="AT141"/>
  <c r="AU141"/>
  <c r="AV141"/>
  <c r="AW141"/>
  <c r="AX141"/>
  <c r="AY141"/>
  <c r="AZ141"/>
  <c r="BA141"/>
  <c r="BB141"/>
  <c r="BC141"/>
  <c r="BD141"/>
  <c r="BE141"/>
  <c r="BF141"/>
  <c r="BG141"/>
  <c r="BH141"/>
  <c r="BI141"/>
  <c r="BJ141"/>
  <c r="BK141"/>
  <c r="BL141"/>
  <c r="BM141"/>
  <c r="BN141"/>
  <c r="BO141"/>
  <c r="BP141"/>
  <c r="BQ141"/>
  <c r="BR141"/>
  <c r="BS141"/>
  <c r="BT141"/>
  <c r="BU141"/>
  <c r="BV141"/>
  <c r="BW141"/>
  <c r="BX141"/>
  <c r="BY141"/>
  <c r="BZ141"/>
  <c r="CA141"/>
  <c r="CB141"/>
  <c r="CC141"/>
  <c r="CD141"/>
  <c r="CE141"/>
  <c r="CF141"/>
  <c r="CG141"/>
  <c r="CH141"/>
  <c r="CI141"/>
  <c r="CJ141"/>
  <c r="CK141"/>
  <c r="CL141"/>
  <c r="CM141"/>
  <c r="CN141"/>
  <c r="CO141"/>
  <c r="CP141"/>
  <c r="CQ141"/>
  <c r="CR141"/>
  <c r="CS141"/>
  <c r="CT141"/>
  <c r="CU141"/>
  <c r="CV141"/>
  <c r="CW141"/>
  <c r="CX141"/>
  <c r="CY141"/>
  <c r="CZ141"/>
  <c r="DA141"/>
  <c r="DB141"/>
  <c r="DC141"/>
  <c r="DD141"/>
  <c r="DE141"/>
  <c r="DF141"/>
  <c r="DG141"/>
  <c r="DH141"/>
  <c r="DI141"/>
  <c r="DJ141"/>
  <c r="DK141"/>
  <c r="DL141"/>
  <c r="DM141"/>
  <c r="DN141"/>
  <c r="DO141"/>
  <c r="DP141"/>
  <c r="DQ141"/>
  <c r="DR141"/>
  <c r="DS141"/>
  <c r="DT141"/>
  <c r="DU141"/>
  <c r="DV141"/>
  <c r="DW141"/>
  <c r="DX141"/>
  <c r="DY141"/>
  <c r="DZ141"/>
  <c r="EA141"/>
  <c r="EB141"/>
  <c r="EC141"/>
  <c r="ED141"/>
  <c r="EE141"/>
  <c r="EF141"/>
  <c r="EG141"/>
  <c r="EH141"/>
  <c r="EI141"/>
  <c r="EJ141"/>
  <c r="EK141"/>
  <c r="EL141"/>
  <c r="EM141"/>
  <c r="EN141"/>
  <c r="EO141"/>
  <c r="EP141"/>
  <c r="EQ141"/>
  <c r="ER141"/>
  <c r="ES141"/>
  <c r="ET141"/>
  <c r="EU141"/>
  <c r="EV141"/>
  <c r="EW141"/>
  <c r="EX141"/>
  <c r="EY141"/>
  <c r="EZ141"/>
  <c r="FA141"/>
  <c r="FB141"/>
  <c r="FC141"/>
  <c r="FD141"/>
  <c r="FE141"/>
  <c r="FF141"/>
  <c r="FG141"/>
  <c r="FH141"/>
  <c r="FI141"/>
  <c r="FJ141"/>
  <c r="FK141"/>
  <c r="FL141"/>
  <c r="FM141"/>
  <c r="FN141"/>
  <c r="FO141"/>
  <c r="FP141"/>
  <c r="FQ141"/>
  <c r="FR141"/>
  <c r="FS141"/>
  <c r="FT141"/>
  <c r="FU141"/>
  <c r="FV141"/>
  <c r="FW141"/>
  <c r="FX141"/>
  <c r="FY141"/>
  <c r="FZ141"/>
  <c r="GA141"/>
  <c r="GB141"/>
  <c r="GC141"/>
  <c r="GD141"/>
  <c r="GE141"/>
  <c r="GF141"/>
  <c r="GG141"/>
  <c r="GH141"/>
  <c r="GI141"/>
  <c r="GJ141"/>
  <c r="GK141"/>
  <c r="GL141"/>
  <c r="GM141"/>
  <c r="GN141"/>
  <c r="GO141"/>
  <c r="GP141"/>
  <c r="GQ141"/>
  <c r="GR141"/>
  <c r="GS141"/>
  <c r="GT141"/>
  <c r="GU141"/>
  <c r="GV141"/>
  <c r="GW141"/>
  <c r="GX141"/>
  <c r="GY141"/>
  <c r="GZ141"/>
  <c r="HA141"/>
  <c r="HB141"/>
  <c r="HC141"/>
  <c r="HD141"/>
  <c r="HE141"/>
  <c r="HF141"/>
  <c r="HG141"/>
  <c r="HH141"/>
  <c r="HI141"/>
  <c r="HJ141"/>
  <c r="HK141"/>
  <c r="HL141"/>
  <c r="HM141"/>
  <c r="HN141"/>
  <c r="HO141"/>
  <c r="HP141"/>
  <c r="HQ141"/>
  <c r="HR141"/>
  <c r="HS141"/>
  <c r="HT141"/>
  <c r="HU141"/>
  <c r="HV141"/>
  <c r="HW141"/>
  <c r="HX141"/>
  <c r="HY141"/>
  <c r="HZ141"/>
  <c r="IA141"/>
  <c r="IB141"/>
  <c r="IC141"/>
  <c r="ID141"/>
  <c r="IE141"/>
  <c r="IF141"/>
  <c r="IG141"/>
  <c r="IH141"/>
  <c r="II141"/>
  <c r="IJ141"/>
  <c r="IK141"/>
  <c r="IL141"/>
  <c r="IM141"/>
  <c r="IN141"/>
  <c r="IO141"/>
  <c r="IP141"/>
  <c r="IQ141"/>
  <c r="IR141"/>
  <c r="IS141"/>
  <c r="IT141"/>
  <c r="IU141"/>
  <c r="IV141"/>
  <c r="A142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Z142"/>
  <c r="AA142"/>
  <c r="AB142"/>
  <c r="AC142"/>
  <c r="AD142"/>
  <c r="AE142"/>
  <c r="AF142"/>
  <c r="AG142"/>
  <c r="AH142"/>
  <c r="AI142"/>
  <c r="AJ142"/>
  <c r="AK142"/>
  <c r="AL142"/>
  <c r="AM142"/>
  <c r="AN142"/>
  <c r="AO142"/>
  <c r="AP142"/>
  <c r="AQ142"/>
  <c r="AR142"/>
  <c r="AS142"/>
  <c r="AT142"/>
  <c r="AU142"/>
  <c r="AV142"/>
  <c r="AW142"/>
  <c r="AX142"/>
  <c r="AY142"/>
  <c r="AZ142"/>
  <c r="BA142"/>
  <c r="BB142"/>
  <c r="BC142"/>
  <c r="BD142"/>
  <c r="BE142"/>
  <c r="BF142"/>
  <c r="BG142"/>
  <c r="BH142"/>
  <c r="BI142"/>
  <c r="BJ142"/>
  <c r="BK142"/>
  <c r="BL142"/>
  <c r="BM142"/>
  <c r="BN142"/>
  <c r="BO142"/>
  <c r="BP142"/>
  <c r="BQ142"/>
  <c r="BR142"/>
  <c r="BS142"/>
  <c r="BT142"/>
  <c r="BU142"/>
  <c r="BV142"/>
  <c r="BW142"/>
  <c r="BX142"/>
  <c r="BY142"/>
  <c r="BZ142"/>
  <c r="CA142"/>
  <c r="CB142"/>
  <c r="CC142"/>
  <c r="CD142"/>
  <c r="CE142"/>
  <c r="CF142"/>
  <c r="CG142"/>
  <c r="CH142"/>
  <c r="CI142"/>
  <c r="CJ142"/>
  <c r="CK142"/>
  <c r="CL142"/>
  <c r="CM142"/>
  <c r="CN142"/>
  <c r="CO142"/>
  <c r="CP142"/>
  <c r="CQ142"/>
  <c r="CR142"/>
  <c r="CS142"/>
  <c r="CT142"/>
  <c r="CU142"/>
  <c r="CV142"/>
  <c r="CW142"/>
  <c r="CX142"/>
  <c r="CY142"/>
  <c r="CZ142"/>
  <c r="DA142"/>
  <c r="DB142"/>
  <c r="DC142"/>
  <c r="DD142"/>
  <c r="DE142"/>
  <c r="DF142"/>
  <c r="DG142"/>
  <c r="DH142"/>
  <c r="DI142"/>
  <c r="DJ142"/>
  <c r="DK142"/>
  <c r="DL142"/>
  <c r="DM142"/>
  <c r="DN142"/>
  <c r="DO142"/>
  <c r="DP142"/>
  <c r="DQ142"/>
  <c r="DR142"/>
  <c r="DS142"/>
  <c r="DT142"/>
  <c r="DU142"/>
  <c r="DV142"/>
  <c r="DW142"/>
  <c r="DX142"/>
  <c r="DY142"/>
  <c r="DZ142"/>
  <c r="EA142"/>
  <c r="EB142"/>
  <c r="EC142"/>
  <c r="ED142"/>
  <c r="EE142"/>
  <c r="EF142"/>
  <c r="EG142"/>
  <c r="EH142"/>
  <c r="EI142"/>
  <c r="EJ142"/>
  <c r="EK142"/>
  <c r="EL142"/>
  <c r="EM142"/>
  <c r="EN142"/>
  <c r="EO142"/>
  <c r="EP142"/>
  <c r="EQ142"/>
  <c r="ER142"/>
  <c r="ES142"/>
  <c r="ET142"/>
  <c r="EU142"/>
  <c r="EV142"/>
  <c r="EW142"/>
  <c r="EX142"/>
  <c r="EY142"/>
  <c r="EZ142"/>
  <c r="FA142"/>
  <c r="FB142"/>
  <c r="FC142"/>
  <c r="FD142"/>
  <c r="FE142"/>
  <c r="FF142"/>
  <c r="FG142"/>
  <c r="FH142"/>
  <c r="FI142"/>
  <c r="FJ142"/>
  <c r="FK142"/>
  <c r="FL142"/>
  <c r="FM142"/>
  <c r="FN142"/>
  <c r="FO142"/>
  <c r="FP142"/>
  <c r="FQ142"/>
  <c r="FR142"/>
  <c r="FS142"/>
  <c r="FT142"/>
  <c r="FU142"/>
  <c r="FV142"/>
  <c r="FW142"/>
  <c r="FX142"/>
  <c r="FY142"/>
  <c r="FZ142"/>
  <c r="GA142"/>
  <c r="GB142"/>
  <c r="GC142"/>
  <c r="GD142"/>
  <c r="GE142"/>
  <c r="GF142"/>
  <c r="GG142"/>
  <c r="GH142"/>
  <c r="GI142"/>
  <c r="GJ142"/>
  <c r="GK142"/>
  <c r="GL142"/>
  <c r="GM142"/>
  <c r="GN142"/>
  <c r="GO142"/>
  <c r="GP142"/>
  <c r="GQ142"/>
  <c r="GR142"/>
  <c r="GS142"/>
  <c r="GT142"/>
  <c r="GU142"/>
  <c r="GV142"/>
  <c r="GW142"/>
  <c r="GX142"/>
  <c r="GY142"/>
  <c r="GZ142"/>
  <c r="HA142"/>
  <c r="HB142"/>
  <c r="HC142"/>
  <c r="HD142"/>
  <c r="HE142"/>
  <c r="HF142"/>
  <c r="HG142"/>
  <c r="HH142"/>
  <c r="HI142"/>
  <c r="HJ142"/>
  <c r="HK142"/>
  <c r="HL142"/>
  <c r="HM142"/>
  <c r="HN142"/>
  <c r="HO142"/>
  <c r="HP142"/>
  <c r="HQ142"/>
  <c r="HR142"/>
  <c r="HS142"/>
  <c r="HT142"/>
  <c r="HU142"/>
  <c r="HV142"/>
  <c r="HW142"/>
  <c r="HX142"/>
  <c r="HY142"/>
  <c r="HZ142"/>
  <c r="IA142"/>
  <c r="IB142"/>
  <c r="IC142"/>
  <c r="ID142"/>
  <c r="IE142"/>
  <c r="IF142"/>
  <c r="IG142"/>
  <c r="IH142"/>
  <c r="II142"/>
  <c r="IJ142"/>
  <c r="IK142"/>
  <c r="IL142"/>
  <c r="IM142"/>
  <c r="IN142"/>
  <c r="IO142"/>
  <c r="IP142"/>
  <c r="IQ142"/>
  <c r="IR142"/>
  <c r="IS142"/>
  <c r="IT142"/>
  <c r="IU142"/>
  <c r="IV142"/>
  <c r="A143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Z143"/>
  <c r="AA143"/>
  <c r="AB143"/>
  <c r="AC143"/>
  <c r="AD143"/>
  <c r="AE143"/>
  <c r="AF143"/>
  <c r="AG143"/>
  <c r="AH143"/>
  <c r="AI143"/>
  <c r="AJ143"/>
  <c r="AK143"/>
  <c r="AL143"/>
  <c r="AM143"/>
  <c r="AN143"/>
  <c r="AO143"/>
  <c r="AP143"/>
  <c r="AQ143"/>
  <c r="AR143"/>
  <c r="AS143"/>
  <c r="AT143"/>
  <c r="AU143"/>
  <c r="AV143"/>
  <c r="AW143"/>
  <c r="AX143"/>
  <c r="AY143"/>
  <c r="AZ143"/>
  <c r="BA143"/>
  <c r="BB143"/>
  <c r="BC143"/>
  <c r="BD143"/>
  <c r="BE143"/>
  <c r="BF143"/>
  <c r="BG143"/>
  <c r="BH143"/>
  <c r="BI143"/>
  <c r="BJ143"/>
  <c r="BK143"/>
  <c r="BL143"/>
  <c r="BM143"/>
  <c r="BN143"/>
  <c r="BO143"/>
  <c r="BP143"/>
  <c r="BQ143"/>
  <c r="BR143"/>
  <c r="BS143"/>
  <c r="BT143"/>
  <c r="BU143"/>
  <c r="BV143"/>
  <c r="BW143"/>
  <c r="BX143"/>
  <c r="BY143"/>
  <c r="BZ143"/>
  <c r="CA143"/>
  <c r="CB143"/>
  <c r="CC143"/>
  <c r="CD143"/>
  <c r="CE143"/>
  <c r="CF143"/>
  <c r="CG143"/>
  <c r="CH143"/>
  <c r="CI143"/>
  <c r="CJ143"/>
  <c r="CK143"/>
  <c r="CL143"/>
  <c r="CM143"/>
  <c r="CN143"/>
  <c r="CO143"/>
  <c r="CP143"/>
  <c r="CQ143"/>
  <c r="CR143"/>
  <c r="CS143"/>
  <c r="CT143"/>
  <c r="CU143"/>
  <c r="CV143"/>
  <c r="CW143"/>
  <c r="CX143"/>
  <c r="CY143"/>
  <c r="CZ143"/>
  <c r="DA143"/>
  <c r="DB143"/>
  <c r="DC143"/>
  <c r="DD143"/>
  <c r="DE143"/>
  <c r="DF143"/>
  <c r="DG143"/>
  <c r="DH143"/>
  <c r="DI143"/>
  <c r="DJ143"/>
  <c r="DK143"/>
  <c r="DL143"/>
  <c r="DM143"/>
  <c r="DN143"/>
  <c r="DO143"/>
  <c r="DP143"/>
  <c r="DQ143"/>
  <c r="DR143"/>
  <c r="DS143"/>
  <c r="DT143"/>
  <c r="DU143"/>
  <c r="DV143"/>
  <c r="DW143"/>
  <c r="DX143"/>
  <c r="DY143"/>
  <c r="DZ143"/>
  <c r="EA143"/>
  <c r="EB143"/>
  <c r="EC143"/>
  <c r="ED143"/>
  <c r="EE143"/>
  <c r="EF143"/>
  <c r="EG143"/>
  <c r="EH143"/>
  <c r="EI143"/>
  <c r="EJ143"/>
  <c r="EK143"/>
  <c r="EL143"/>
  <c r="EM143"/>
  <c r="EN143"/>
  <c r="EO143"/>
  <c r="EP143"/>
  <c r="EQ143"/>
  <c r="ER143"/>
  <c r="ES143"/>
  <c r="ET143"/>
  <c r="EU143"/>
  <c r="EV143"/>
  <c r="EW143"/>
  <c r="EX143"/>
  <c r="EY143"/>
  <c r="EZ143"/>
  <c r="FA143"/>
  <c r="FB143"/>
  <c r="FC143"/>
  <c r="FD143"/>
  <c r="FE143"/>
  <c r="FF143"/>
  <c r="FG143"/>
  <c r="FH143"/>
  <c r="FI143"/>
  <c r="FJ143"/>
  <c r="FK143"/>
  <c r="FL143"/>
  <c r="FM143"/>
  <c r="FN143"/>
  <c r="FO143"/>
  <c r="FP143"/>
  <c r="FQ143"/>
  <c r="FR143"/>
  <c r="FS143"/>
  <c r="FT143"/>
  <c r="FU143"/>
  <c r="FV143"/>
  <c r="FW143"/>
  <c r="FX143"/>
  <c r="FY143"/>
  <c r="FZ143"/>
  <c r="GA143"/>
  <c r="GB143"/>
  <c r="GC143"/>
  <c r="GD143"/>
  <c r="GE143"/>
  <c r="GF143"/>
  <c r="GG143"/>
  <c r="GH143"/>
  <c r="GI143"/>
  <c r="GJ143"/>
  <c r="GK143"/>
  <c r="GL143"/>
  <c r="GM143"/>
  <c r="GN143"/>
  <c r="GO143"/>
  <c r="GP143"/>
  <c r="GQ143"/>
  <c r="GR143"/>
  <c r="GS143"/>
  <c r="GT143"/>
  <c r="GU143"/>
  <c r="GV143"/>
  <c r="GW143"/>
  <c r="GX143"/>
  <c r="GY143"/>
  <c r="GZ143"/>
  <c r="HA143"/>
  <c r="HB143"/>
  <c r="HC143"/>
  <c r="HD143"/>
  <c r="HE143"/>
  <c r="HF143"/>
  <c r="HG143"/>
  <c r="HH143"/>
  <c r="HI143"/>
  <c r="HJ143"/>
  <c r="HK143"/>
  <c r="HL143"/>
  <c r="HM143"/>
  <c r="HN143"/>
  <c r="HO143"/>
  <c r="HP143"/>
  <c r="HQ143"/>
  <c r="HR143"/>
  <c r="HS143"/>
  <c r="HT143"/>
  <c r="HU143"/>
  <c r="HV143"/>
  <c r="HW143"/>
  <c r="HX143"/>
  <c r="HY143"/>
  <c r="HZ143"/>
  <c r="IA143"/>
  <c r="IB143"/>
  <c r="IC143"/>
  <c r="ID143"/>
  <c r="IE143"/>
  <c r="IF143"/>
  <c r="IG143"/>
  <c r="IH143"/>
  <c r="II143"/>
  <c r="IJ143"/>
  <c r="IK143"/>
  <c r="IL143"/>
  <c r="IM143"/>
  <c r="IN143"/>
  <c r="IO143"/>
  <c r="IP143"/>
  <c r="IQ143"/>
  <c r="IR143"/>
  <c r="IS143"/>
  <c r="IT143"/>
  <c r="IU143"/>
  <c r="IV143"/>
  <c r="A144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Z144"/>
  <c r="AA144"/>
  <c r="AB144"/>
  <c r="AC144"/>
  <c r="AD144"/>
  <c r="AE144"/>
  <c r="AF144"/>
  <c r="AG144"/>
  <c r="AH144"/>
  <c r="AI144"/>
  <c r="AJ144"/>
  <c r="AK144"/>
  <c r="AL144"/>
  <c r="AM144"/>
  <c r="AN144"/>
  <c r="AO144"/>
  <c r="AP144"/>
  <c r="AQ144"/>
  <c r="AR144"/>
  <c r="AS144"/>
  <c r="AT144"/>
  <c r="AU144"/>
  <c r="AV144"/>
  <c r="AW144"/>
  <c r="AX144"/>
  <c r="AY144"/>
  <c r="AZ144"/>
  <c r="BA144"/>
  <c r="BB144"/>
  <c r="BC144"/>
  <c r="BD144"/>
  <c r="BE144"/>
  <c r="BF144"/>
  <c r="BG144"/>
  <c r="BH144"/>
  <c r="BI144"/>
  <c r="BJ144"/>
  <c r="BK144"/>
  <c r="BL144"/>
  <c r="BM144"/>
  <c r="BN144"/>
  <c r="BO144"/>
  <c r="BP144"/>
  <c r="BQ144"/>
  <c r="BR144"/>
  <c r="BS144"/>
  <c r="BT144"/>
  <c r="BU144"/>
  <c r="BV144"/>
  <c r="BW144"/>
  <c r="BX144"/>
  <c r="BY144"/>
  <c r="BZ144"/>
  <c r="CA144"/>
  <c r="CB144"/>
  <c r="CC144"/>
  <c r="CD144"/>
  <c r="CE144"/>
  <c r="CF144"/>
  <c r="CG144"/>
  <c r="CH144"/>
  <c r="CI144"/>
  <c r="CJ144"/>
  <c r="CK144"/>
  <c r="CL144"/>
  <c r="CM144"/>
  <c r="CN144"/>
  <c r="CO144"/>
  <c r="CP144"/>
  <c r="CQ144"/>
  <c r="CR144"/>
  <c r="CS144"/>
  <c r="CT144"/>
  <c r="CU144"/>
  <c r="CV144"/>
  <c r="CW144"/>
  <c r="CX144"/>
  <c r="CY144"/>
  <c r="CZ144"/>
  <c r="DA144"/>
  <c r="DB144"/>
  <c r="DC144"/>
  <c r="DD144"/>
  <c r="DE144"/>
  <c r="DF144"/>
  <c r="DG144"/>
  <c r="DH144"/>
  <c r="DI144"/>
  <c r="DJ144"/>
  <c r="DK144"/>
  <c r="DL144"/>
  <c r="DM144"/>
  <c r="DN144"/>
  <c r="DO144"/>
  <c r="DP144"/>
  <c r="DQ144"/>
  <c r="DR144"/>
  <c r="DS144"/>
  <c r="DT144"/>
  <c r="DU144"/>
  <c r="DV144"/>
  <c r="DW144"/>
  <c r="DX144"/>
  <c r="DY144"/>
  <c r="DZ144"/>
  <c r="EA144"/>
  <c r="EB144"/>
  <c r="EC144"/>
  <c r="ED144"/>
  <c r="EE144"/>
  <c r="EF144"/>
  <c r="EG144"/>
  <c r="EH144"/>
  <c r="EI144"/>
  <c r="EJ144"/>
  <c r="EK144"/>
  <c r="EL144"/>
  <c r="EM144"/>
  <c r="EN144"/>
  <c r="EO144"/>
  <c r="EP144"/>
  <c r="EQ144"/>
  <c r="ER144"/>
  <c r="ES144"/>
  <c r="ET144"/>
  <c r="EU144"/>
  <c r="EV144"/>
  <c r="EW144"/>
  <c r="EX144"/>
  <c r="EY144"/>
  <c r="EZ144"/>
  <c r="FA144"/>
  <c r="FB144"/>
  <c r="FC144"/>
  <c r="FD144"/>
  <c r="FE144"/>
  <c r="FF144"/>
  <c r="FG144"/>
  <c r="FH144"/>
  <c r="FI144"/>
  <c r="FJ144"/>
  <c r="FK144"/>
  <c r="FL144"/>
  <c r="FM144"/>
  <c r="FN144"/>
  <c r="FO144"/>
  <c r="FP144"/>
  <c r="FQ144"/>
  <c r="FR144"/>
  <c r="FS144"/>
  <c r="FT144"/>
  <c r="FU144"/>
  <c r="FV144"/>
  <c r="FW144"/>
  <c r="FX144"/>
  <c r="FY144"/>
  <c r="FZ144"/>
  <c r="GA144"/>
  <c r="GB144"/>
  <c r="GC144"/>
  <c r="GD144"/>
  <c r="GE144"/>
  <c r="GF144"/>
  <c r="GG144"/>
  <c r="GH144"/>
  <c r="GI144"/>
  <c r="GJ144"/>
  <c r="GK144"/>
  <c r="GL144"/>
  <c r="GM144"/>
  <c r="GN144"/>
  <c r="GO144"/>
  <c r="GP144"/>
  <c r="GQ144"/>
  <c r="GR144"/>
  <c r="GS144"/>
  <c r="GT144"/>
  <c r="GU144"/>
  <c r="GV144"/>
  <c r="GW144"/>
  <c r="GX144"/>
  <c r="GY144"/>
  <c r="GZ144"/>
  <c r="HA144"/>
  <c r="HB144"/>
  <c r="HC144"/>
  <c r="HD144"/>
  <c r="HE144"/>
  <c r="HF144"/>
  <c r="HG144"/>
  <c r="HH144"/>
  <c r="HI144"/>
  <c r="HJ144"/>
  <c r="HK144"/>
  <c r="HL144"/>
  <c r="HM144"/>
  <c r="HN144"/>
  <c r="HO144"/>
  <c r="HP144"/>
  <c r="HQ144"/>
  <c r="HR144"/>
  <c r="HS144"/>
  <c r="HT144"/>
  <c r="HU144"/>
  <c r="HV144"/>
  <c r="HW144"/>
  <c r="HX144"/>
  <c r="HY144"/>
  <c r="HZ144"/>
  <c r="IA144"/>
  <c r="IB144"/>
  <c r="IC144"/>
  <c r="ID144"/>
  <c r="IE144"/>
  <c r="IF144"/>
  <c r="IG144"/>
  <c r="IH144"/>
  <c r="II144"/>
  <c r="IJ144"/>
  <c r="IK144"/>
  <c r="IL144"/>
  <c r="IM144"/>
  <c r="IN144"/>
  <c r="IO144"/>
  <c r="IP144"/>
  <c r="IQ144"/>
  <c r="IR144"/>
  <c r="IS144"/>
  <c r="IT144"/>
  <c r="IU144"/>
  <c r="IV144"/>
  <c r="A145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Z145"/>
  <c r="AA145"/>
  <c r="AB145"/>
  <c r="AC145"/>
  <c r="AD145"/>
  <c r="AE145"/>
  <c r="AF145"/>
  <c r="AG145"/>
  <c r="AH145"/>
  <c r="AI145"/>
  <c r="AJ145"/>
  <c r="AK145"/>
  <c r="AL145"/>
  <c r="AM145"/>
  <c r="AN145"/>
  <c r="AO145"/>
  <c r="AP145"/>
  <c r="AQ145"/>
  <c r="AR145"/>
  <c r="AS145"/>
  <c r="AT145"/>
  <c r="AU145"/>
  <c r="AV145"/>
  <c r="AW145"/>
  <c r="AX145"/>
  <c r="AY145"/>
  <c r="AZ145"/>
  <c r="BA145"/>
  <c r="BB145"/>
  <c r="BC145"/>
  <c r="BD145"/>
  <c r="BE145"/>
  <c r="BF145"/>
  <c r="BG145"/>
  <c r="BH145"/>
  <c r="BI145"/>
  <c r="BJ145"/>
  <c r="BK145"/>
  <c r="BL145"/>
  <c r="BM145"/>
  <c r="BN145"/>
  <c r="BO145"/>
  <c r="BP145"/>
  <c r="BQ145"/>
  <c r="BR145"/>
  <c r="BS145"/>
  <c r="BT145"/>
  <c r="BU145"/>
  <c r="BV145"/>
  <c r="BW145"/>
  <c r="BX145"/>
  <c r="BY145"/>
  <c r="BZ145"/>
  <c r="CA145"/>
  <c r="CB145"/>
  <c r="CC145"/>
  <c r="CD145"/>
  <c r="CE145"/>
  <c r="CF145"/>
  <c r="CG145"/>
  <c r="CH145"/>
  <c r="CI145"/>
  <c r="CJ145"/>
  <c r="CK145"/>
  <c r="CL145"/>
  <c r="CM145"/>
  <c r="CN145"/>
  <c r="CO145"/>
  <c r="CP145"/>
  <c r="CQ145"/>
  <c r="CR145"/>
  <c r="CS145"/>
  <c r="CT145"/>
  <c r="CU145"/>
  <c r="CV145"/>
  <c r="CW145"/>
  <c r="CX145"/>
  <c r="CY145"/>
  <c r="CZ145"/>
  <c r="DA145"/>
  <c r="DB145"/>
  <c r="DC145"/>
  <c r="DD145"/>
  <c r="DE145"/>
  <c r="DF145"/>
  <c r="DG145"/>
  <c r="DH145"/>
  <c r="DI145"/>
  <c r="DJ145"/>
  <c r="DK145"/>
  <c r="DL145"/>
  <c r="DM145"/>
  <c r="DN145"/>
  <c r="DO145"/>
  <c r="DP145"/>
  <c r="DQ145"/>
  <c r="DR145"/>
  <c r="DS145"/>
  <c r="DT145"/>
  <c r="DU145"/>
  <c r="DV145"/>
  <c r="DW145"/>
  <c r="DX145"/>
  <c r="DY145"/>
  <c r="DZ145"/>
  <c r="EA145"/>
  <c r="EB145"/>
  <c r="EC145"/>
  <c r="ED145"/>
  <c r="EE145"/>
  <c r="EF145"/>
  <c r="EG145"/>
  <c r="EH145"/>
  <c r="EI145"/>
  <c r="EJ145"/>
  <c r="EK145"/>
  <c r="EL145"/>
  <c r="EM145"/>
  <c r="EN145"/>
  <c r="EO145"/>
  <c r="EP145"/>
  <c r="EQ145"/>
  <c r="ER145"/>
  <c r="ES145"/>
  <c r="ET145"/>
  <c r="EU145"/>
  <c r="EV145"/>
  <c r="EW145"/>
  <c r="EX145"/>
  <c r="EY145"/>
  <c r="EZ145"/>
  <c r="FA145"/>
  <c r="FB145"/>
  <c r="FC145"/>
  <c r="FD145"/>
  <c r="FE145"/>
  <c r="FF145"/>
  <c r="FG145"/>
  <c r="FH145"/>
  <c r="FI145"/>
  <c r="FJ145"/>
  <c r="FK145"/>
  <c r="FL145"/>
  <c r="FM145"/>
  <c r="FN145"/>
  <c r="FO145"/>
  <c r="FP145"/>
  <c r="FQ145"/>
  <c r="FR145"/>
  <c r="FS145"/>
  <c r="FT145"/>
  <c r="FU145"/>
  <c r="FV145"/>
  <c r="FW145"/>
  <c r="FX145"/>
  <c r="FY145"/>
  <c r="FZ145"/>
  <c r="GA145"/>
  <c r="GB145"/>
  <c r="GC145"/>
  <c r="GD145"/>
  <c r="GE145"/>
  <c r="GF145"/>
  <c r="GG145"/>
  <c r="GH145"/>
  <c r="GI145"/>
  <c r="GJ145"/>
  <c r="GK145"/>
  <c r="GL145"/>
  <c r="GM145"/>
  <c r="GN145"/>
  <c r="GO145"/>
  <c r="GP145"/>
  <c r="GQ145"/>
  <c r="GR145"/>
  <c r="GS145"/>
  <c r="GT145"/>
  <c r="GU145"/>
  <c r="GV145"/>
  <c r="GW145"/>
  <c r="GX145"/>
  <c r="GY145"/>
  <c r="GZ145"/>
  <c r="HA145"/>
  <c r="HB145"/>
  <c r="HC145"/>
  <c r="HD145"/>
  <c r="HE145"/>
  <c r="HF145"/>
  <c r="HG145"/>
  <c r="HH145"/>
  <c r="HI145"/>
  <c r="HJ145"/>
  <c r="HK145"/>
  <c r="HL145"/>
  <c r="HM145"/>
  <c r="HN145"/>
  <c r="HO145"/>
  <c r="HP145"/>
  <c r="HQ145"/>
  <c r="HR145"/>
  <c r="HS145"/>
  <c r="HT145"/>
  <c r="HU145"/>
  <c r="HV145"/>
  <c r="HW145"/>
  <c r="HX145"/>
  <c r="HY145"/>
  <c r="HZ145"/>
  <c r="IA145"/>
  <c r="IB145"/>
  <c r="IC145"/>
  <c r="ID145"/>
  <c r="IE145"/>
  <c r="IF145"/>
  <c r="IG145"/>
  <c r="IH145"/>
  <c r="II145"/>
  <c r="IJ145"/>
  <c r="IK145"/>
  <c r="IL145"/>
  <c r="IM145"/>
  <c r="IN145"/>
  <c r="IO145"/>
  <c r="IP145"/>
  <c r="IQ145"/>
  <c r="IR145"/>
  <c r="IS145"/>
  <c r="IT145"/>
  <c r="IU145"/>
  <c r="IV145"/>
  <c r="A146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Z146"/>
  <c r="AA146"/>
  <c r="AB146"/>
  <c r="AC146"/>
  <c r="AD146"/>
  <c r="AE146"/>
  <c r="AF146"/>
  <c r="AG146"/>
  <c r="AH146"/>
  <c r="AI146"/>
  <c r="AJ146"/>
  <c r="AK146"/>
  <c r="AL146"/>
  <c r="AM146"/>
  <c r="AN146"/>
  <c r="AO146"/>
  <c r="AP146"/>
  <c r="AQ146"/>
  <c r="AR146"/>
  <c r="AS146"/>
  <c r="AT146"/>
  <c r="AU146"/>
  <c r="AV146"/>
  <c r="AW146"/>
  <c r="AX146"/>
  <c r="AY146"/>
  <c r="AZ146"/>
  <c r="BA146"/>
  <c r="BB146"/>
  <c r="BC146"/>
  <c r="BD146"/>
  <c r="BE146"/>
  <c r="BF146"/>
  <c r="BG146"/>
  <c r="BH146"/>
  <c r="BI146"/>
  <c r="BJ146"/>
  <c r="BK146"/>
  <c r="BL146"/>
  <c r="BM146"/>
  <c r="BN146"/>
  <c r="BO146"/>
  <c r="BP146"/>
  <c r="BQ146"/>
  <c r="BR146"/>
  <c r="BS146"/>
  <c r="BT146"/>
  <c r="BU146"/>
  <c r="BV146"/>
  <c r="BW146"/>
  <c r="BX146"/>
  <c r="BY146"/>
  <c r="BZ146"/>
  <c r="CA146"/>
  <c r="CB146"/>
  <c r="CC146"/>
  <c r="CD146"/>
  <c r="CE146"/>
  <c r="CF146"/>
  <c r="CG146"/>
  <c r="CH146"/>
  <c r="CI146"/>
  <c r="CJ146"/>
  <c r="CK146"/>
  <c r="CL146"/>
  <c r="CM146"/>
  <c r="CN146"/>
  <c r="CO146"/>
  <c r="CP146"/>
  <c r="CQ146"/>
  <c r="CR146"/>
  <c r="CS146"/>
  <c r="CT146"/>
  <c r="CU146"/>
  <c r="CV146"/>
  <c r="CW146"/>
  <c r="CX146"/>
  <c r="CY146"/>
  <c r="CZ146"/>
  <c r="DA146"/>
  <c r="DB146"/>
  <c r="DC146"/>
  <c r="DD146"/>
  <c r="DE146"/>
  <c r="DF146"/>
  <c r="DG146"/>
  <c r="DH146"/>
  <c r="DI146"/>
  <c r="DJ146"/>
  <c r="DK146"/>
  <c r="DL146"/>
  <c r="DM146"/>
  <c r="DN146"/>
  <c r="DO146"/>
  <c r="DP146"/>
  <c r="DQ146"/>
  <c r="DR146"/>
  <c r="DS146"/>
  <c r="DT146"/>
  <c r="DU146"/>
  <c r="DV146"/>
  <c r="DW146"/>
  <c r="DX146"/>
  <c r="DY146"/>
  <c r="DZ146"/>
  <c r="EA146"/>
  <c r="EB146"/>
  <c r="EC146"/>
  <c r="ED146"/>
  <c r="EE146"/>
  <c r="EF146"/>
  <c r="EG146"/>
  <c r="EH146"/>
  <c r="EI146"/>
  <c r="EJ146"/>
  <c r="EK146"/>
  <c r="EL146"/>
  <c r="EM146"/>
  <c r="EN146"/>
  <c r="EO146"/>
  <c r="EP146"/>
  <c r="EQ146"/>
  <c r="ER146"/>
  <c r="ES146"/>
  <c r="ET146"/>
  <c r="EU146"/>
  <c r="EV146"/>
  <c r="EW146"/>
  <c r="EX146"/>
  <c r="EY146"/>
  <c r="EZ146"/>
  <c r="FA146"/>
  <c r="FB146"/>
  <c r="FC146"/>
  <c r="FD146"/>
  <c r="FE146"/>
  <c r="FF146"/>
  <c r="FG146"/>
  <c r="FH146"/>
  <c r="FI146"/>
  <c r="FJ146"/>
  <c r="FK146"/>
  <c r="FL146"/>
  <c r="FM146"/>
  <c r="FN146"/>
  <c r="FO146"/>
  <c r="FP146"/>
  <c r="FQ146"/>
  <c r="FR146"/>
  <c r="FS146"/>
  <c r="FT146"/>
  <c r="FU146"/>
  <c r="FV146"/>
  <c r="FW146"/>
  <c r="FX146"/>
  <c r="FY146"/>
  <c r="FZ146"/>
  <c r="GA146"/>
  <c r="GB146"/>
  <c r="GC146"/>
  <c r="GD146"/>
  <c r="GE146"/>
  <c r="GF146"/>
  <c r="GG146"/>
  <c r="GH146"/>
  <c r="GI146"/>
  <c r="GJ146"/>
  <c r="GK146"/>
  <c r="GL146"/>
  <c r="GM146"/>
  <c r="GN146"/>
  <c r="GO146"/>
  <c r="GP146"/>
  <c r="GQ146"/>
  <c r="GR146"/>
  <c r="GS146"/>
  <c r="GT146"/>
  <c r="GU146"/>
  <c r="GV146"/>
  <c r="GW146"/>
  <c r="GX146"/>
  <c r="GY146"/>
  <c r="GZ146"/>
  <c r="HA146"/>
  <c r="HB146"/>
  <c r="HC146"/>
  <c r="HD146"/>
  <c r="HE146"/>
  <c r="HF146"/>
  <c r="HG146"/>
  <c r="HH146"/>
  <c r="HI146"/>
  <c r="HJ146"/>
  <c r="HK146"/>
  <c r="HL146"/>
  <c r="HM146"/>
  <c r="HN146"/>
  <c r="HO146"/>
  <c r="HP146"/>
  <c r="HQ146"/>
  <c r="HR146"/>
  <c r="HS146"/>
  <c r="HT146"/>
  <c r="HU146"/>
  <c r="HV146"/>
  <c r="HW146"/>
  <c r="HX146"/>
  <c r="HY146"/>
  <c r="HZ146"/>
  <c r="IA146"/>
  <c r="IB146"/>
  <c r="IC146"/>
  <c r="ID146"/>
  <c r="IE146"/>
  <c r="IF146"/>
  <c r="IG146"/>
  <c r="IH146"/>
  <c r="II146"/>
  <c r="IJ146"/>
  <c r="IK146"/>
  <c r="IL146"/>
  <c r="IM146"/>
  <c r="IN146"/>
  <c r="IO146"/>
  <c r="IP146"/>
  <c r="IQ146"/>
  <c r="IR146"/>
  <c r="IS146"/>
  <c r="IT146"/>
  <c r="IU146"/>
  <c r="IV146"/>
  <c r="A147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Z147"/>
  <c r="AA147"/>
  <c r="AB147"/>
  <c r="AC147"/>
  <c r="AD147"/>
  <c r="AE147"/>
  <c r="AF147"/>
  <c r="AG147"/>
  <c r="AH147"/>
  <c r="AI147"/>
  <c r="AJ147"/>
  <c r="AK147"/>
  <c r="AL147"/>
  <c r="AM147"/>
  <c r="AN147"/>
  <c r="AO147"/>
  <c r="AP147"/>
  <c r="AQ147"/>
  <c r="AR147"/>
  <c r="AS147"/>
  <c r="AT147"/>
  <c r="AU147"/>
  <c r="AV147"/>
  <c r="AW147"/>
  <c r="AX147"/>
  <c r="AY147"/>
  <c r="AZ147"/>
  <c r="BA147"/>
  <c r="BB147"/>
  <c r="BC147"/>
  <c r="BD147"/>
  <c r="BE147"/>
  <c r="BF147"/>
  <c r="BG147"/>
  <c r="BH147"/>
  <c r="BI147"/>
  <c r="BJ147"/>
  <c r="BK147"/>
  <c r="BL147"/>
  <c r="BM147"/>
  <c r="BN147"/>
  <c r="BO147"/>
  <c r="BP147"/>
  <c r="BQ147"/>
  <c r="BR147"/>
  <c r="BS147"/>
  <c r="BT147"/>
  <c r="BU147"/>
  <c r="BV147"/>
  <c r="BW147"/>
  <c r="BX147"/>
  <c r="BY147"/>
  <c r="BZ147"/>
  <c r="CA147"/>
  <c r="CB147"/>
  <c r="CC147"/>
  <c r="CD147"/>
  <c r="CE147"/>
  <c r="CF147"/>
  <c r="CG147"/>
  <c r="CH147"/>
  <c r="CI147"/>
  <c r="CJ147"/>
  <c r="CK147"/>
  <c r="CL147"/>
  <c r="CM147"/>
  <c r="CN147"/>
  <c r="CO147"/>
  <c r="CP147"/>
  <c r="CQ147"/>
  <c r="CR147"/>
  <c r="CS147"/>
  <c r="CT147"/>
  <c r="CU147"/>
  <c r="CV147"/>
  <c r="CW147"/>
  <c r="CX147"/>
  <c r="CY147"/>
  <c r="CZ147"/>
  <c r="DA147"/>
  <c r="DB147"/>
  <c r="DC147"/>
  <c r="DD147"/>
  <c r="DE147"/>
  <c r="DF147"/>
  <c r="DG147"/>
  <c r="DH147"/>
  <c r="DI147"/>
  <c r="DJ147"/>
  <c r="DK147"/>
  <c r="DL147"/>
  <c r="DM147"/>
  <c r="DN147"/>
  <c r="DO147"/>
  <c r="DP147"/>
  <c r="DQ147"/>
  <c r="DR147"/>
  <c r="DS147"/>
  <c r="DT147"/>
  <c r="DU147"/>
  <c r="DV147"/>
  <c r="DW147"/>
  <c r="DX147"/>
  <c r="DY147"/>
  <c r="DZ147"/>
  <c r="EA147"/>
  <c r="EB147"/>
  <c r="EC147"/>
  <c r="ED147"/>
  <c r="EE147"/>
  <c r="EF147"/>
  <c r="EG147"/>
  <c r="EH147"/>
  <c r="EI147"/>
  <c r="EJ147"/>
  <c r="EK147"/>
  <c r="EL147"/>
  <c r="EM147"/>
  <c r="EN147"/>
  <c r="EO147"/>
  <c r="EP147"/>
  <c r="EQ147"/>
  <c r="ER147"/>
  <c r="ES147"/>
  <c r="ET147"/>
  <c r="EU147"/>
  <c r="EV147"/>
  <c r="EW147"/>
  <c r="EX147"/>
  <c r="EY147"/>
  <c r="EZ147"/>
  <c r="FA147"/>
  <c r="FB147"/>
  <c r="FC147"/>
  <c r="FD147"/>
  <c r="FE147"/>
  <c r="FF147"/>
  <c r="FG147"/>
  <c r="FH147"/>
  <c r="FI147"/>
  <c r="FJ147"/>
  <c r="FK147"/>
  <c r="FL147"/>
  <c r="FM147"/>
  <c r="FN147"/>
  <c r="FO147"/>
  <c r="FP147"/>
  <c r="FQ147"/>
  <c r="FR147"/>
  <c r="FS147"/>
  <c r="FT147"/>
  <c r="FU147"/>
  <c r="FV147"/>
  <c r="FW147"/>
  <c r="FX147"/>
  <c r="FY147"/>
  <c r="FZ147"/>
  <c r="GA147"/>
  <c r="GB147"/>
  <c r="GC147"/>
  <c r="GD147"/>
  <c r="GE147"/>
  <c r="GF147"/>
  <c r="GG147"/>
  <c r="GH147"/>
  <c r="GI147"/>
  <c r="GJ147"/>
  <c r="GK147"/>
  <c r="GL147"/>
  <c r="GM147"/>
  <c r="GN147"/>
  <c r="GO147"/>
  <c r="GP147"/>
  <c r="GQ147"/>
  <c r="GR147"/>
  <c r="GS147"/>
  <c r="GT147"/>
  <c r="GU147"/>
  <c r="GV147"/>
  <c r="GW147"/>
  <c r="GX147"/>
  <c r="GY147"/>
  <c r="GZ147"/>
  <c r="HA147"/>
  <c r="HB147"/>
  <c r="HC147"/>
  <c r="HD147"/>
  <c r="HE147"/>
  <c r="HF147"/>
  <c r="HG147"/>
  <c r="HH147"/>
  <c r="HI147"/>
  <c r="HJ147"/>
  <c r="HK147"/>
  <c r="HL147"/>
  <c r="HM147"/>
  <c r="HN147"/>
  <c r="HO147"/>
  <c r="HP147"/>
  <c r="HQ147"/>
  <c r="HR147"/>
  <c r="HS147"/>
  <c r="HT147"/>
  <c r="HU147"/>
  <c r="HV147"/>
  <c r="HW147"/>
  <c r="HX147"/>
  <c r="HY147"/>
  <c r="HZ147"/>
  <c r="IA147"/>
  <c r="IB147"/>
  <c r="IC147"/>
  <c r="ID147"/>
  <c r="IE147"/>
  <c r="IF147"/>
  <c r="IG147"/>
  <c r="IH147"/>
  <c r="II147"/>
  <c r="IJ147"/>
  <c r="IK147"/>
  <c r="IL147"/>
  <c r="IM147"/>
  <c r="IN147"/>
  <c r="IO147"/>
  <c r="IP147"/>
  <c r="IQ147"/>
  <c r="IR147"/>
  <c r="IS147"/>
  <c r="IT147"/>
  <c r="IU147"/>
  <c r="IV147"/>
  <c r="A148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Z148"/>
  <c r="AA148"/>
  <c r="AB148"/>
  <c r="AC148"/>
  <c r="AD148"/>
  <c r="AE148"/>
  <c r="AF148"/>
  <c r="AG148"/>
  <c r="AH148"/>
  <c r="AI148"/>
  <c r="AJ148"/>
  <c r="AK148"/>
  <c r="AL148"/>
  <c r="AM148"/>
  <c r="AN148"/>
  <c r="AO148"/>
  <c r="AP148"/>
  <c r="AQ148"/>
  <c r="AR148"/>
  <c r="AS148"/>
  <c r="AT148"/>
  <c r="AU148"/>
  <c r="AV148"/>
  <c r="AW148"/>
  <c r="AX148"/>
  <c r="AY148"/>
  <c r="AZ148"/>
  <c r="BA148"/>
  <c r="BB148"/>
  <c r="BC148"/>
  <c r="BD148"/>
  <c r="BE148"/>
  <c r="BF148"/>
  <c r="BG148"/>
  <c r="BH148"/>
  <c r="BI148"/>
  <c r="BJ148"/>
  <c r="BK148"/>
  <c r="BL148"/>
  <c r="BM148"/>
  <c r="BN148"/>
  <c r="BO148"/>
  <c r="BP148"/>
  <c r="BQ148"/>
  <c r="BR148"/>
  <c r="BS148"/>
  <c r="BT148"/>
  <c r="BU148"/>
  <c r="BV148"/>
  <c r="BW148"/>
  <c r="BX148"/>
  <c r="BY148"/>
  <c r="BZ148"/>
  <c r="CA148"/>
  <c r="CB148"/>
  <c r="CC148"/>
  <c r="CD148"/>
  <c r="CE148"/>
  <c r="CF148"/>
  <c r="CG148"/>
  <c r="CH148"/>
  <c r="CI148"/>
  <c r="CJ148"/>
  <c r="CK148"/>
  <c r="CL148"/>
  <c r="CM148"/>
  <c r="CN148"/>
  <c r="CO148"/>
  <c r="CP148"/>
  <c r="CQ148"/>
  <c r="CR148"/>
  <c r="CS148"/>
  <c r="CT148"/>
  <c r="CU148"/>
  <c r="CV148"/>
  <c r="CW148"/>
  <c r="CX148"/>
  <c r="CY148"/>
  <c r="CZ148"/>
  <c r="DA148"/>
  <c r="DB148"/>
  <c r="DC148"/>
  <c r="DD148"/>
  <c r="DE148"/>
  <c r="DF148"/>
  <c r="DG148"/>
  <c r="DH148"/>
  <c r="DI148"/>
  <c r="DJ148"/>
  <c r="DK148"/>
  <c r="DL148"/>
  <c r="DM148"/>
  <c r="DN148"/>
  <c r="DO148"/>
  <c r="DP148"/>
  <c r="DQ148"/>
  <c r="DR148"/>
  <c r="DS148"/>
  <c r="DT148"/>
  <c r="DU148"/>
  <c r="DV148"/>
  <c r="DW148"/>
  <c r="DX148"/>
  <c r="DY148"/>
  <c r="DZ148"/>
  <c r="EA148"/>
  <c r="EB148"/>
  <c r="EC148"/>
  <c r="ED148"/>
  <c r="EE148"/>
  <c r="EF148"/>
  <c r="EG148"/>
  <c r="EH148"/>
  <c r="EI148"/>
  <c r="EJ148"/>
  <c r="EK148"/>
  <c r="EL148"/>
  <c r="EM148"/>
  <c r="EN148"/>
  <c r="EO148"/>
  <c r="EP148"/>
  <c r="EQ148"/>
  <c r="ER148"/>
  <c r="ES148"/>
  <c r="ET148"/>
  <c r="EU148"/>
  <c r="EV148"/>
  <c r="EW148"/>
  <c r="EX148"/>
  <c r="EY148"/>
  <c r="EZ148"/>
  <c r="FA148"/>
  <c r="FB148"/>
  <c r="FC148"/>
  <c r="FD148"/>
  <c r="FE148"/>
  <c r="FF148"/>
  <c r="FG148"/>
  <c r="FH148"/>
  <c r="FI148"/>
  <c r="FJ148"/>
  <c r="FK148"/>
  <c r="FL148"/>
  <c r="FM148"/>
  <c r="FN148"/>
  <c r="FO148"/>
  <c r="FP148"/>
  <c r="FQ148"/>
  <c r="FR148"/>
  <c r="FS148"/>
  <c r="FT148"/>
  <c r="FU148"/>
  <c r="FV148"/>
  <c r="FW148"/>
  <c r="FX148"/>
  <c r="FY148"/>
  <c r="FZ148"/>
  <c r="GA148"/>
  <c r="GB148"/>
  <c r="GC148"/>
  <c r="GD148"/>
  <c r="GE148"/>
  <c r="GF148"/>
  <c r="GG148"/>
  <c r="GH148"/>
  <c r="GI148"/>
  <c r="GJ148"/>
  <c r="GK148"/>
  <c r="GL148"/>
  <c r="GM148"/>
  <c r="GN148"/>
  <c r="GO148"/>
  <c r="GP148"/>
  <c r="GQ148"/>
  <c r="GR148"/>
  <c r="GS148"/>
  <c r="GT148"/>
  <c r="GU148"/>
  <c r="GV148"/>
  <c r="GW148"/>
  <c r="GX148"/>
  <c r="GY148"/>
  <c r="GZ148"/>
  <c r="HA148"/>
  <c r="HB148"/>
  <c r="HC148"/>
  <c r="HD148"/>
  <c r="HE148"/>
  <c r="HF148"/>
  <c r="HG148"/>
  <c r="HH148"/>
  <c r="HI148"/>
  <c r="HJ148"/>
  <c r="HK148"/>
  <c r="HL148"/>
  <c r="HM148"/>
  <c r="HN148"/>
  <c r="HO148"/>
  <c r="HP148"/>
  <c r="HQ148"/>
  <c r="HR148"/>
  <c r="HS148"/>
  <c r="HT148"/>
  <c r="HU148"/>
  <c r="HV148"/>
  <c r="HW148"/>
  <c r="HX148"/>
  <c r="HY148"/>
  <c r="HZ148"/>
  <c r="IA148"/>
  <c r="IB148"/>
  <c r="IC148"/>
  <c r="ID148"/>
  <c r="IE148"/>
  <c r="IF148"/>
  <c r="IG148"/>
  <c r="IH148"/>
  <c r="II148"/>
  <c r="IJ148"/>
  <c r="IK148"/>
  <c r="IL148"/>
  <c r="IM148"/>
  <c r="IN148"/>
  <c r="IO148"/>
  <c r="IP148"/>
  <c r="IQ148"/>
  <c r="IR148"/>
  <c r="IS148"/>
  <c r="IT148"/>
  <c r="IU148"/>
  <c r="IV148"/>
  <c r="A149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Z149"/>
  <c r="AA149"/>
  <c r="AB149"/>
  <c r="AC149"/>
  <c r="AD149"/>
  <c r="AE149"/>
  <c r="AF149"/>
  <c r="AG149"/>
  <c r="AH149"/>
  <c r="AI149"/>
  <c r="AJ149"/>
  <c r="AK149"/>
  <c r="AL149"/>
  <c r="AM149"/>
  <c r="AN149"/>
  <c r="AO149"/>
  <c r="AP149"/>
  <c r="AQ149"/>
  <c r="AR149"/>
  <c r="AS149"/>
  <c r="AT149"/>
  <c r="AU149"/>
  <c r="AV149"/>
  <c r="AW149"/>
  <c r="AX149"/>
  <c r="AY149"/>
  <c r="AZ149"/>
  <c r="BA149"/>
  <c r="BB149"/>
  <c r="BC149"/>
  <c r="BD149"/>
  <c r="BE149"/>
  <c r="BF149"/>
  <c r="BG149"/>
  <c r="BH149"/>
  <c r="BI149"/>
  <c r="BJ149"/>
  <c r="BK149"/>
  <c r="BL149"/>
  <c r="BM149"/>
  <c r="BN149"/>
  <c r="BO149"/>
  <c r="BP149"/>
  <c r="BQ149"/>
  <c r="BR149"/>
  <c r="BS149"/>
  <c r="BT149"/>
  <c r="BU149"/>
  <c r="BV149"/>
  <c r="BW149"/>
  <c r="BX149"/>
  <c r="BY149"/>
  <c r="BZ149"/>
  <c r="CA149"/>
  <c r="CB149"/>
  <c r="CC149"/>
  <c r="CD149"/>
  <c r="CE149"/>
  <c r="CF149"/>
  <c r="CG149"/>
  <c r="CH149"/>
  <c r="CI149"/>
  <c r="CJ149"/>
  <c r="CK149"/>
  <c r="CL149"/>
  <c r="CM149"/>
  <c r="CN149"/>
  <c r="CO149"/>
  <c r="CP149"/>
  <c r="CQ149"/>
  <c r="CR149"/>
  <c r="CS149"/>
  <c r="CT149"/>
  <c r="CU149"/>
  <c r="CV149"/>
  <c r="CW149"/>
  <c r="CX149"/>
  <c r="CY149"/>
  <c r="CZ149"/>
  <c r="DA149"/>
  <c r="DB149"/>
  <c r="DC149"/>
  <c r="DD149"/>
  <c r="DE149"/>
  <c r="DF149"/>
  <c r="DG149"/>
  <c r="DH149"/>
  <c r="DI149"/>
  <c r="DJ149"/>
  <c r="DK149"/>
  <c r="DL149"/>
  <c r="DM149"/>
  <c r="DN149"/>
  <c r="DO149"/>
  <c r="DP149"/>
  <c r="DQ149"/>
  <c r="DR149"/>
  <c r="DS149"/>
  <c r="DT149"/>
  <c r="DU149"/>
  <c r="DV149"/>
  <c r="DW149"/>
  <c r="DX149"/>
  <c r="DY149"/>
  <c r="DZ149"/>
  <c r="EA149"/>
  <c r="EB149"/>
  <c r="EC149"/>
  <c r="ED149"/>
  <c r="EE149"/>
  <c r="EF149"/>
  <c r="EG149"/>
  <c r="EH149"/>
  <c r="EI149"/>
  <c r="EJ149"/>
  <c r="EK149"/>
  <c r="EL149"/>
  <c r="EM149"/>
  <c r="EN149"/>
  <c r="EO149"/>
  <c r="EP149"/>
  <c r="EQ149"/>
  <c r="ER149"/>
  <c r="ES149"/>
  <c r="ET149"/>
  <c r="EU149"/>
  <c r="EV149"/>
  <c r="EW149"/>
  <c r="EX149"/>
  <c r="EY149"/>
  <c r="EZ149"/>
  <c r="FA149"/>
  <c r="FB149"/>
  <c r="FC149"/>
  <c r="FD149"/>
  <c r="FE149"/>
  <c r="FF149"/>
  <c r="FG149"/>
  <c r="FH149"/>
  <c r="FI149"/>
  <c r="FJ149"/>
  <c r="FK149"/>
  <c r="FL149"/>
  <c r="FM149"/>
  <c r="FN149"/>
  <c r="FO149"/>
  <c r="FP149"/>
  <c r="FQ149"/>
  <c r="FR149"/>
  <c r="FS149"/>
  <c r="FT149"/>
  <c r="FU149"/>
  <c r="FV149"/>
  <c r="FW149"/>
  <c r="FX149"/>
  <c r="FY149"/>
  <c r="FZ149"/>
  <c r="GA149"/>
  <c r="GB149"/>
  <c r="GC149"/>
  <c r="GD149"/>
  <c r="GE149"/>
  <c r="GF149"/>
  <c r="GG149"/>
  <c r="GH149"/>
  <c r="GI149"/>
  <c r="GJ149"/>
  <c r="GK149"/>
  <c r="GL149"/>
  <c r="GM149"/>
  <c r="GN149"/>
  <c r="GO149"/>
  <c r="GP149"/>
  <c r="GQ149"/>
  <c r="GR149"/>
  <c r="GS149"/>
  <c r="GT149"/>
  <c r="GU149"/>
  <c r="GV149"/>
  <c r="GW149"/>
  <c r="GX149"/>
  <c r="GY149"/>
  <c r="GZ149"/>
  <c r="HA149"/>
  <c r="HB149"/>
  <c r="HC149"/>
  <c r="HD149"/>
  <c r="HE149"/>
  <c r="HF149"/>
  <c r="HG149"/>
  <c r="HH149"/>
  <c r="HI149"/>
  <c r="HJ149"/>
  <c r="HK149"/>
  <c r="HL149"/>
  <c r="HM149"/>
  <c r="HN149"/>
  <c r="HO149"/>
  <c r="HP149"/>
  <c r="HQ149"/>
  <c r="HR149"/>
  <c r="HS149"/>
  <c r="HT149"/>
  <c r="HU149"/>
  <c r="HV149"/>
  <c r="HW149"/>
  <c r="HX149"/>
  <c r="HY149"/>
  <c r="HZ149"/>
  <c r="IA149"/>
  <c r="IB149"/>
  <c r="IC149"/>
  <c r="ID149"/>
  <c r="IE149"/>
  <c r="IF149"/>
  <c r="IG149"/>
  <c r="IH149"/>
  <c r="II149"/>
  <c r="IJ149"/>
  <c r="IK149"/>
  <c r="IL149"/>
  <c r="IM149"/>
  <c r="IN149"/>
  <c r="IO149"/>
  <c r="IP149"/>
  <c r="IQ149"/>
  <c r="IR149"/>
  <c r="IS149"/>
  <c r="IT149"/>
  <c r="IU149"/>
  <c r="IV149"/>
  <c r="A150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Z150"/>
  <c r="AA150"/>
  <c r="AB150"/>
  <c r="AC150"/>
  <c r="AD150"/>
  <c r="AE150"/>
  <c r="AF150"/>
  <c r="AG150"/>
  <c r="AH150"/>
  <c r="AI150"/>
  <c r="AJ150"/>
  <c r="AK150"/>
  <c r="AL150"/>
  <c r="AM150"/>
  <c r="AN150"/>
  <c r="AO150"/>
  <c r="AP150"/>
  <c r="AQ150"/>
  <c r="AR150"/>
  <c r="AS150"/>
  <c r="AT150"/>
  <c r="AU150"/>
  <c r="AV150"/>
  <c r="AW150"/>
  <c r="AX150"/>
  <c r="AY150"/>
  <c r="AZ150"/>
  <c r="BA150"/>
  <c r="BB150"/>
  <c r="BC150"/>
  <c r="BD150"/>
  <c r="BE150"/>
  <c r="BF150"/>
  <c r="BG150"/>
  <c r="BH150"/>
  <c r="BI150"/>
  <c r="BJ150"/>
  <c r="BK150"/>
  <c r="BL150"/>
  <c r="BM150"/>
  <c r="BN150"/>
  <c r="BO150"/>
  <c r="BP150"/>
  <c r="BQ150"/>
  <c r="BR150"/>
  <c r="BS150"/>
  <c r="BT150"/>
  <c r="BU150"/>
  <c r="BV150"/>
  <c r="BW150"/>
  <c r="BX150"/>
  <c r="BY150"/>
  <c r="BZ150"/>
  <c r="CA150"/>
  <c r="CB150"/>
  <c r="CC150"/>
  <c r="CD150"/>
  <c r="CE150"/>
  <c r="CF150"/>
  <c r="CG150"/>
  <c r="CH150"/>
  <c r="CI150"/>
  <c r="CJ150"/>
  <c r="CK150"/>
  <c r="CL150"/>
  <c r="CM150"/>
  <c r="CN150"/>
  <c r="CO150"/>
  <c r="CP150"/>
  <c r="CQ150"/>
  <c r="CR150"/>
  <c r="CS150"/>
  <c r="CT150"/>
  <c r="CU150"/>
  <c r="CV150"/>
  <c r="CW150"/>
  <c r="CX150"/>
  <c r="CY150"/>
  <c r="CZ150"/>
  <c r="DA150"/>
  <c r="DB150"/>
  <c r="DC150"/>
  <c r="DD150"/>
  <c r="DE150"/>
  <c r="DF150"/>
  <c r="DG150"/>
  <c r="DH150"/>
  <c r="DI150"/>
  <c r="DJ150"/>
  <c r="DK150"/>
  <c r="DL150"/>
  <c r="DM150"/>
  <c r="DN150"/>
  <c r="DO150"/>
  <c r="DP150"/>
  <c r="DQ150"/>
  <c r="DR150"/>
  <c r="DS150"/>
  <c r="DT150"/>
  <c r="DU150"/>
  <c r="DV150"/>
  <c r="DW150"/>
  <c r="DX150"/>
  <c r="DY150"/>
  <c r="DZ150"/>
  <c r="EA150"/>
  <c r="EB150"/>
  <c r="EC150"/>
  <c r="ED150"/>
  <c r="EE150"/>
  <c r="EF150"/>
  <c r="EG150"/>
  <c r="EH150"/>
  <c r="EI150"/>
  <c r="EJ150"/>
  <c r="EK150"/>
  <c r="EL150"/>
  <c r="EM150"/>
  <c r="EN150"/>
  <c r="EO150"/>
  <c r="EP150"/>
  <c r="EQ150"/>
  <c r="ER150"/>
  <c r="ES150"/>
  <c r="ET150"/>
  <c r="EU150"/>
  <c r="EV150"/>
  <c r="EW150"/>
  <c r="EX150"/>
  <c r="EY150"/>
  <c r="EZ150"/>
  <c r="FA150"/>
  <c r="FB150"/>
  <c r="FC150"/>
  <c r="FD150"/>
  <c r="FE150"/>
  <c r="FF150"/>
  <c r="FG150"/>
  <c r="FH150"/>
  <c r="FI150"/>
  <c r="FJ150"/>
  <c r="FK150"/>
  <c r="FL150"/>
  <c r="FM150"/>
  <c r="FN150"/>
  <c r="FO150"/>
  <c r="FP150"/>
  <c r="FQ150"/>
  <c r="FR150"/>
  <c r="FS150"/>
  <c r="FT150"/>
  <c r="FU150"/>
  <c r="FV150"/>
  <c r="FW150"/>
  <c r="FX150"/>
  <c r="FY150"/>
  <c r="FZ150"/>
  <c r="GA150"/>
  <c r="GB150"/>
  <c r="GC150"/>
  <c r="GD150"/>
  <c r="GE150"/>
  <c r="GF150"/>
  <c r="GG150"/>
  <c r="GH150"/>
  <c r="GI150"/>
  <c r="GJ150"/>
  <c r="GK150"/>
  <c r="GL150"/>
  <c r="GM150"/>
  <c r="GN150"/>
  <c r="GO150"/>
  <c r="GP150"/>
  <c r="GQ150"/>
  <c r="GR150"/>
  <c r="GS150"/>
  <c r="GT150"/>
  <c r="GU150"/>
  <c r="GV150"/>
  <c r="GW150"/>
  <c r="GX150"/>
  <c r="GY150"/>
  <c r="GZ150"/>
  <c r="HA150"/>
  <c r="HB150"/>
  <c r="HC150"/>
  <c r="HD150"/>
  <c r="HE150"/>
  <c r="HF150"/>
  <c r="HG150"/>
  <c r="HH150"/>
  <c r="HI150"/>
  <c r="HJ150"/>
  <c r="HK150"/>
  <c r="HL150"/>
  <c r="HM150"/>
  <c r="HN150"/>
  <c r="HO150"/>
  <c r="HP150"/>
  <c r="HQ150"/>
  <c r="HR150"/>
  <c r="HS150"/>
  <c r="HT150"/>
  <c r="HU150"/>
  <c r="HV150"/>
  <c r="HW150"/>
  <c r="HX150"/>
  <c r="HY150"/>
  <c r="HZ150"/>
  <c r="IA150"/>
  <c r="IB150"/>
  <c r="IC150"/>
  <c r="ID150"/>
  <c r="IE150"/>
  <c r="IF150"/>
  <c r="IG150"/>
  <c r="IH150"/>
  <c r="II150"/>
  <c r="IJ150"/>
  <c r="IK150"/>
  <c r="IL150"/>
  <c r="IM150"/>
  <c r="IN150"/>
  <c r="IO150"/>
  <c r="IP150"/>
  <c r="IQ150"/>
  <c r="IR150"/>
  <c r="IS150"/>
  <c r="IT150"/>
  <c r="IU150"/>
  <c r="IV150"/>
  <c r="A151"/>
  <c r="B151"/>
  <c r="C151"/>
  <c r="D151"/>
  <c r="E151"/>
  <c r="F151"/>
  <c r="G151"/>
  <c r="H151"/>
  <c r="I151"/>
  <c r="J151"/>
  <c r="K151"/>
  <c r="L151"/>
  <c r="M151"/>
  <c r="N151"/>
  <c r="O151"/>
  <c r="P151"/>
  <c r="Q151"/>
  <c r="R151"/>
  <c r="S151"/>
  <c r="T151"/>
  <c r="U151"/>
  <c r="V151"/>
  <c r="W151"/>
  <c r="X151"/>
  <c r="Y151"/>
  <c r="Z151"/>
  <c r="AA151"/>
  <c r="AB151"/>
  <c r="AC151"/>
  <c r="AD151"/>
  <c r="AE151"/>
  <c r="AF151"/>
  <c r="AG151"/>
  <c r="AH151"/>
  <c r="AI151"/>
  <c r="AJ151"/>
  <c r="AK151"/>
  <c r="AL151"/>
  <c r="AM151"/>
  <c r="AN151"/>
  <c r="AO151"/>
  <c r="AP151"/>
  <c r="AQ151"/>
  <c r="AR151"/>
  <c r="AS151"/>
  <c r="AT151"/>
  <c r="AU151"/>
  <c r="AV151"/>
  <c r="AW151"/>
  <c r="AX151"/>
  <c r="AY151"/>
  <c r="AZ151"/>
  <c r="BA151"/>
  <c r="BB151"/>
  <c r="BC151"/>
  <c r="BD151"/>
  <c r="BE151"/>
  <c r="BF151"/>
  <c r="BG151"/>
  <c r="BH151"/>
  <c r="BI151"/>
  <c r="BJ151"/>
  <c r="BK151"/>
  <c r="BL151"/>
  <c r="BM151"/>
  <c r="BN151"/>
  <c r="BO151"/>
  <c r="BP151"/>
  <c r="BQ151"/>
  <c r="BR151"/>
  <c r="BS151"/>
  <c r="BT151"/>
  <c r="BU151"/>
  <c r="BV151"/>
  <c r="BW151"/>
  <c r="BX151"/>
  <c r="BY151"/>
  <c r="BZ151"/>
  <c r="CA151"/>
  <c r="CB151"/>
  <c r="CC151"/>
  <c r="CD151"/>
  <c r="CE151"/>
  <c r="CF151"/>
  <c r="CG151"/>
  <c r="CH151"/>
  <c r="CI151"/>
  <c r="CJ151"/>
  <c r="CK151"/>
  <c r="CL151"/>
  <c r="CM151"/>
  <c r="CN151"/>
  <c r="CO151"/>
  <c r="CP151"/>
  <c r="CQ151"/>
  <c r="CR151"/>
  <c r="CS151"/>
  <c r="CT151"/>
  <c r="CU151"/>
  <c r="CV151"/>
  <c r="CW151"/>
  <c r="CX151"/>
  <c r="CY151"/>
  <c r="CZ151"/>
  <c r="DA151"/>
  <c r="DB151"/>
  <c r="DC151"/>
  <c r="DD151"/>
  <c r="DE151"/>
  <c r="DF151"/>
  <c r="DG151"/>
  <c r="DH151"/>
  <c r="DI151"/>
  <c r="DJ151"/>
  <c r="DK151"/>
  <c r="DL151"/>
  <c r="DM151"/>
  <c r="DN151"/>
  <c r="DO151"/>
  <c r="DP151"/>
  <c r="DQ151"/>
  <c r="DR151"/>
  <c r="DS151"/>
  <c r="DT151"/>
  <c r="DU151"/>
  <c r="DV151"/>
  <c r="DW151"/>
  <c r="DX151"/>
  <c r="DY151"/>
  <c r="DZ151"/>
  <c r="EA151"/>
  <c r="EB151"/>
  <c r="EC151"/>
  <c r="ED151"/>
  <c r="EE151"/>
  <c r="EF151"/>
  <c r="EG151"/>
  <c r="EH151"/>
  <c r="EI151"/>
  <c r="EJ151"/>
  <c r="EK151"/>
  <c r="EL151"/>
  <c r="EM151"/>
  <c r="EN151"/>
  <c r="EO151"/>
  <c r="EP151"/>
  <c r="EQ151"/>
  <c r="ER151"/>
  <c r="ES151"/>
  <c r="ET151"/>
  <c r="EU151"/>
  <c r="EV151"/>
  <c r="EW151"/>
  <c r="EX151"/>
  <c r="EY151"/>
  <c r="EZ151"/>
  <c r="FA151"/>
  <c r="FB151"/>
  <c r="FC151"/>
  <c r="FD151"/>
  <c r="FE151"/>
  <c r="FF151"/>
  <c r="FG151"/>
  <c r="FH151"/>
  <c r="FI151"/>
  <c r="FJ151"/>
  <c r="FK151"/>
  <c r="FL151"/>
  <c r="FM151"/>
  <c r="FN151"/>
  <c r="FO151"/>
  <c r="FP151"/>
  <c r="FQ151"/>
  <c r="FR151"/>
  <c r="FS151"/>
  <c r="FT151"/>
  <c r="FU151"/>
  <c r="FV151"/>
  <c r="FW151"/>
  <c r="FX151"/>
  <c r="FY151"/>
  <c r="FZ151"/>
  <c r="GA151"/>
  <c r="GB151"/>
  <c r="GC151"/>
  <c r="GD151"/>
  <c r="GE151"/>
  <c r="GF151"/>
  <c r="GG151"/>
  <c r="GH151"/>
  <c r="GI151"/>
  <c r="GJ151"/>
  <c r="GK151"/>
  <c r="GL151"/>
  <c r="GM151"/>
  <c r="GN151"/>
  <c r="GO151"/>
  <c r="GP151"/>
  <c r="GQ151"/>
  <c r="GR151"/>
  <c r="GS151"/>
  <c r="GT151"/>
  <c r="GU151"/>
  <c r="GV151"/>
  <c r="GW151"/>
  <c r="GX151"/>
  <c r="GY151"/>
  <c r="GZ151"/>
  <c r="HA151"/>
  <c r="HB151"/>
  <c r="HC151"/>
  <c r="HD151"/>
  <c r="HE151"/>
  <c r="HF151"/>
  <c r="HG151"/>
  <c r="HH151"/>
  <c r="HI151"/>
  <c r="HJ151"/>
  <c r="HK151"/>
  <c r="HL151"/>
  <c r="HM151"/>
  <c r="HN151"/>
  <c r="HO151"/>
  <c r="HP151"/>
  <c r="HQ151"/>
  <c r="HR151"/>
  <c r="HS151"/>
  <c r="HT151"/>
  <c r="HU151"/>
  <c r="HV151"/>
  <c r="HW151"/>
  <c r="HX151"/>
  <c r="HY151"/>
  <c r="HZ151"/>
  <c r="IA151"/>
  <c r="IB151"/>
  <c r="IC151"/>
  <c r="ID151"/>
  <c r="IE151"/>
  <c r="IF151"/>
  <c r="IG151"/>
  <c r="IH151"/>
  <c r="II151"/>
  <c r="IJ151"/>
  <c r="IK151"/>
  <c r="IL151"/>
  <c r="IM151"/>
  <c r="IN151"/>
  <c r="IO151"/>
  <c r="IP151"/>
  <c r="IQ151"/>
  <c r="IR151"/>
  <c r="IS151"/>
  <c r="IT151"/>
  <c r="IU151"/>
  <c r="IV151"/>
  <c r="A152"/>
  <c r="B152"/>
  <c r="C152"/>
  <c r="D152"/>
  <c r="E152"/>
  <c r="F152"/>
  <c r="G152"/>
  <c r="H152"/>
  <c r="I152"/>
  <c r="J152"/>
  <c r="K152"/>
  <c r="L152"/>
  <c r="M152"/>
  <c r="N152"/>
  <c r="O152"/>
  <c r="P152"/>
  <c r="Q152"/>
  <c r="R152"/>
  <c r="S152"/>
  <c r="T152"/>
  <c r="U152"/>
  <c r="V152"/>
  <c r="W152"/>
  <c r="X152"/>
  <c r="Y152"/>
  <c r="Z152"/>
  <c r="AA152"/>
  <c r="AB152"/>
  <c r="AC152"/>
  <c r="AD152"/>
  <c r="AE152"/>
  <c r="AF152"/>
  <c r="AG152"/>
  <c r="AH152"/>
  <c r="AI152"/>
  <c r="AJ152"/>
  <c r="AK152"/>
  <c r="AL152"/>
  <c r="AM152"/>
  <c r="AN152"/>
  <c r="AO152"/>
  <c r="AP152"/>
  <c r="AQ152"/>
  <c r="AR152"/>
  <c r="AS152"/>
  <c r="AT152"/>
  <c r="AU152"/>
  <c r="AV152"/>
  <c r="AW152"/>
  <c r="AX152"/>
  <c r="AY152"/>
  <c r="AZ152"/>
  <c r="BA152"/>
  <c r="BB152"/>
  <c r="BC152"/>
  <c r="BD152"/>
  <c r="BE152"/>
  <c r="BF152"/>
  <c r="BG152"/>
  <c r="BH152"/>
  <c r="BI152"/>
  <c r="BJ152"/>
  <c r="BK152"/>
  <c r="BL152"/>
  <c r="BM152"/>
  <c r="BN152"/>
  <c r="BO152"/>
  <c r="BP152"/>
  <c r="BQ152"/>
  <c r="BR152"/>
  <c r="BS152"/>
  <c r="BT152"/>
  <c r="BU152"/>
  <c r="BV152"/>
  <c r="BW152"/>
  <c r="BX152"/>
  <c r="BY152"/>
  <c r="BZ152"/>
  <c r="CA152"/>
  <c r="CB152"/>
  <c r="CC152"/>
  <c r="CD152"/>
  <c r="CE152"/>
  <c r="CF152"/>
  <c r="CG152"/>
  <c r="CH152"/>
  <c r="CI152"/>
  <c r="CJ152"/>
  <c r="CK152"/>
  <c r="CL152"/>
  <c r="CM152"/>
  <c r="CN152"/>
  <c r="CO152"/>
  <c r="CP152"/>
  <c r="CQ152"/>
  <c r="CR152"/>
  <c r="CS152"/>
  <c r="CT152"/>
  <c r="CU152"/>
  <c r="CV152"/>
  <c r="CW152"/>
  <c r="CX152"/>
  <c r="CY152"/>
  <c r="CZ152"/>
  <c r="DA152"/>
  <c r="DB152"/>
  <c r="DC152"/>
  <c r="DD152"/>
  <c r="DE152"/>
  <c r="DF152"/>
  <c r="DG152"/>
  <c r="DH152"/>
  <c r="DI152"/>
  <c r="DJ152"/>
  <c r="DK152"/>
  <c r="DL152"/>
  <c r="DM152"/>
  <c r="DN152"/>
  <c r="DO152"/>
  <c r="DP152"/>
  <c r="DQ152"/>
  <c r="DR152"/>
  <c r="DS152"/>
  <c r="DT152"/>
  <c r="DU152"/>
  <c r="DV152"/>
  <c r="DW152"/>
  <c r="DX152"/>
  <c r="DY152"/>
  <c r="DZ152"/>
  <c r="EA152"/>
  <c r="EB152"/>
  <c r="EC152"/>
  <c r="ED152"/>
  <c r="EE152"/>
  <c r="EF152"/>
  <c r="EG152"/>
  <c r="EH152"/>
  <c r="EI152"/>
  <c r="EJ152"/>
  <c r="EK152"/>
  <c r="EL152"/>
  <c r="EM152"/>
  <c r="EN152"/>
  <c r="EO152"/>
  <c r="EP152"/>
  <c r="EQ152"/>
  <c r="ER152"/>
  <c r="ES152"/>
  <c r="ET152"/>
  <c r="EU152"/>
  <c r="EV152"/>
  <c r="EW152"/>
  <c r="EX152"/>
  <c r="EY152"/>
  <c r="EZ152"/>
  <c r="FA152"/>
  <c r="FB152"/>
  <c r="FC152"/>
  <c r="FD152"/>
  <c r="FE152"/>
  <c r="FF152"/>
  <c r="FG152"/>
  <c r="FH152"/>
  <c r="FI152"/>
  <c r="FJ152"/>
  <c r="FK152"/>
  <c r="FL152"/>
  <c r="FM152"/>
  <c r="FN152"/>
  <c r="FO152"/>
  <c r="FP152"/>
  <c r="FQ152"/>
  <c r="FR152"/>
  <c r="FS152"/>
  <c r="FT152"/>
  <c r="FU152"/>
  <c r="FV152"/>
  <c r="FW152"/>
  <c r="FX152"/>
  <c r="FY152"/>
  <c r="FZ152"/>
  <c r="GA152"/>
  <c r="GB152"/>
  <c r="GC152"/>
  <c r="GD152"/>
  <c r="GE152"/>
  <c r="GF152"/>
  <c r="GG152"/>
  <c r="GH152"/>
  <c r="GI152"/>
  <c r="GJ152"/>
  <c r="GK152"/>
  <c r="GL152"/>
  <c r="GM152"/>
  <c r="GN152"/>
  <c r="GO152"/>
  <c r="GP152"/>
  <c r="GQ152"/>
  <c r="GR152"/>
  <c r="GS152"/>
  <c r="GT152"/>
  <c r="GU152"/>
  <c r="GV152"/>
  <c r="GW152"/>
  <c r="GX152"/>
  <c r="GY152"/>
  <c r="GZ152"/>
  <c r="HA152"/>
  <c r="HB152"/>
  <c r="HC152"/>
  <c r="HD152"/>
  <c r="HE152"/>
  <c r="HF152"/>
  <c r="HG152"/>
  <c r="HH152"/>
  <c r="HI152"/>
  <c r="HJ152"/>
  <c r="HK152"/>
  <c r="HL152"/>
  <c r="HM152"/>
  <c r="HN152"/>
  <c r="HO152"/>
  <c r="HP152"/>
  <c r="HQ152"/>
  <c r="HR152"/>
  <c r="HS152"/>
  <c r="HT152"/>
  <c r="HU152"/>
  <c r="HV152"/>
  <c r="HW152"/>
  <c r="HX152"/>
  <c r="HY152"/>
  <c r="HZ152"/>
  <c r="IA152"/>
  <c r="IB152"/>
  <c r="IC152"/>
  <c r="ID152"/>
  <c r="IE152"/>
  <c r="IF152"/>
  <c r="IG152"/>
  <c r="IH152"/>
  <c r="II152"/>
  <c r="IJ152"/>
  <c r="IK152"/>
  <c r="IL152"/>
  <c r="IM152"/>
  <c r="IN152"/>
  <c r="IO152"/>
  <c r="IP152"/>
  <c r="IQ152"/>
  <c r="IR152"/>
  <c r="IS152"/>
  <c r="IT152"/>
  <c r="IU152"/>
  <c r="IV152"/>
  <c r="A153"/>
  <c r="B153"/>
  <c r="C153"/>
  <c r="D153"/>
  <c r="E153"/>
  <c r="F153"/>
  <c r="G153"/>
  <c r="H153"/>
  <c r="I153"/>
  <c r="J153"/>
  <c r="K153"/>
  <c r="L153"/>
  <c r="M153"/>
  <c r="N153"/>
  <c r="O153"/>
  <c r="P153"/>
  <c r="Q153"/>
  <c r="R153"/>
  <c r="S153"/>
  <c r="T153"/>
  <c r="U153"/>
  <c r="V153"/>
  <c r="W153"/>
  <c r="X153"/>
  <c r="Y153"/>
  <c r="Z153"/>
  <c r="AA153"/>
  <c r="AB153"/>
  <c r="AC153"/>
  <c r="AD153"/>
  <c r="AE153"/>
  <c r="AF153"/>
  <c r="AG153"/>
  <c r="AH153"/>
  <c r="AI153"/>
  <c r="AJ153"/>
  <c r="AK153"/>
  <c r="AL153"/>
  <c r="AM153"/>
  <c r="AN153"/>
  <c r="AO153"/>
  <c r="AP153"/>
  <c r="AQ153"/>
  <c r="AR153"/>
  <c r="AS153"/>
  <c r="AT153"/>
  <c r="AU153"/>
  <c r="AV153"/>
  <c r="AW153"/>
  <c r="AX153"/>
  <c r="AY153"/>
  <c r="AZ153"/>
  <c r="BA153"/>
  <c r="BB153"/>
  <c r="BC153"/>
  <c r="BD153"/>
  <c r="BE153"/>
  <c r="BF153"/>
  <c r="BG153"/>
  <c r="BH153"/>
  <c r="BI153"/>
  <c r="BJ153"/>
  <c r="BK153"/>
  <c r="BL153"/>
  <c r="BM153"/>
  <c r="BN153"/>
  <c r="BO153"/>
  <c r="BP153"/>
  <c r="BQ153"/>
  <c r="BR153"/>
  <c r="BS153"/>
  <c r="BT153"/>
  <c r="BU153"/>
  <c r="BV153"/>
  <c r="BW153"/>
  <c r="BX153"/>
  <c r="BY153"/>
  <c r="BZ153"/>
  <c r="CA153"/>
  <c r="CB153"/>
  <c r="CC153"/>
  <c r="CD153"/>
  <c r="CE153"/>
  <c r="CF153"/>
  <c r="CG153"/>
  <c r="CH153"/>
  <c r="CI153"/>
  <c r="CJ153"/>
  <c r="CK153"/>
  <c r="CL153"/>
  <c r="CM153"/>
  <c r="CN153"/>
  <c r="CO153"/>
  <c r="CP153"/>
  <c r="CQ153"/>
  <c r="CR153"/>
  <c r="CS153"/>
  <c r="CT153"/>
  <c r="CU153"/>
  <c r="CV153"/>
  <c r="CW153"/>
  <c r="CX153"/>
  <c r="CY153"/>
  <c r="CZ153"/>
  <c r="DA153"/>
  <c r="DB153"/>
  <c r="DC153"/>
  <c r="DD153"/>
  <c r="DE153"/>
  <c r="DF153"/>
  <c r="DG153"/>
  <c r="DH153"/>
  <c r="DI153"/>
  <c r="DJ153"/>
  <c r="DK153"/>
  <c r="DL153"/>
  <c r="DM153"/>
  <c r="DN153"/>
  <c r="DO153"/>
  <c r="DP153"/>
  <c r="DQ153"/>
  <c r="DR153"/>
  <c r="DS153"/>
  <c r="DT153"/>
  <c r="DU153"/>
  <c r="DV153"/>
  <c r="DW153"/>
  <c r="DX153"/>
  <c r="DY153"/>
  <c r="DZ153"/>
  <c r="EA153"/>
  <c r="EB153"/>
  <c r="EC153"/>
  <c r="ED153"/>
  <c r="EE153"/>
  <c r="EF153"/>
  <c r="EG153"/>
  <c r="EH153"/>
  <c r="EI153"/>
  <c r="EJ153"/>
  <c r="EK153"/>
  <c r="EL153"/>
  <c r="EM153"/>
  <c r="EN153"/>
  <c r="EO153"/>
  <c r="EP153"/>
  <c r="EQ153"/>
  <c r="ER153"/>
  <c r="ES153"/>
  <c r="ET153"/>
  <c r="EU153"/>
  <c r="EV153"/>
  <c r="EW153"/>
  <c r="EX153"/>
  <c r="EY153"/>
  <c r="EZ153"/>
  <c r="FA153"/>
  <c r="FB153"/>
  <c r="FC153"/>
  <c r="FD153"/>
  <c r="FE153"/>
  <c r="FF153"/>
  <c r="FG153"/>
  <c r="FH153"/>
  <c r="FI153"/>
  <c r="FJ153"/>
  <c r="FK153"/>
  <c r="FL153"/>
  <c r="FM153"/>
  <c r="FN153"/>
  <c r="FO153"/>
  <c r="FP153"/>
  <c r="FQ153"/>
  <c r="FR153"/>
  <c r="FS153"/>
  <c r="FT153"/>
  <c r="FU153"/>
  <c r="FV153"/>
  <c r="FW153"/>
  <c r="FX153"/>
  <c r="FY153"/>
  <c r="FZ153"/>
  <c r="GA153"/>
  <c r="GB153"/>
  <c r="GC153"/>
  <c r="GD153"/>
  <c r="GE153"/>
  <c r="GF153"/>
  <c r="GG153"/>
  <c r="GH153"/>
  <c r="GI153"/>
  <c r="GJ153"/>
  <c r="GK153"/>
  <c r="GL153"/>
  <c r="GM153"/>
  <c r="GN153"/>
  <c r="GO153"/>
  <c r="GP153"/>
  <c r="GQ153"/>
  <c r="GR153"/>
  <c r="GS153"/>
  <c r="GT153"/>
  <c r="GU153"/>
  <c r="GV153"/>
  <c r="GW153"/>
  <c r="GX153"/>
  <c r="GY153"/>
  <c r="GZ153"/>
  <c r="HA153"/>
  <c r="HB153"/>
  <c r="HC153"/>
  <c r="HD153"/>
  <c r="HE153"/>
  <c r="HF153"/>
  <c r="HG153"/>
  <c r="HH153"/>
  <c r="HI153"/>
  <c r="HJ153"/>
  <c r="HK153"/>
  <c r="HL153"/>
  <c r="HM153"/>
  <c r="HN153"/>
  <c r="HO153"/>
  <c r="HP153"/>
  <c r="HQ153"/>
  <c r="HR153"/>
  <c r="HS153"/>
  <c r="HT153"/>
  <c r="HU153"/>
  <c r="HV153"/>
  <c r="HW153"/>
  <c r="HX153"/>
  <c r="HY153"/>
  <c r="HZ153"/>
  <c r="IA153"/>
  <c r="IB153"/>
  <c r="IC153"/>
  <c r="ID153"/>
  <c r="IE153"/>
  <c r="IF153"/>
  <c r="IG153"/>
  <c r="IH153"/>
  <c r="II153"/>
  <c r="IJ153"/>
  <c r="IK153"/>
  <c r="IL153"/>
  <c r="IM153"/>
  <c r="IN153"/>
  <c r="IO153"/>
  <c r="IP153"/>
  <c r="IQ153"/>
  <c r="IR153"/>
  <c r="IS153"/>
  <c r="IT153"/>
  <c r="IU153"/>
  <c r="IV153"/>
  <c r="A154"/>
  <c r="B154"/>
  <c r="C154"/>
  <c r="D154"/>
  <c r="E154"/>
  <c r="F154"/>
  <c r="G154"/>
  <c r="H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Z154"/>
  <c r="AA154"/>
  <c r="AB154"/>
  <c r="AC154"/>
  <c r="AD154"/>
  <c r="AE154"/>
  <c r="AF154"/>
  <c r="AG154"/>
  <c r="AH154"/>
  <c r="AI154"/>
  <c r="AJ154"/>
  <c r="AK154"/>
  <c r="AL154"/>
  <c r="AM154"/>
  <c r="AN154"/>
  <c r="AO154"/>
  <c r="AP154"/>
  <c r="AQ154"/>
  <c r="AR154"/>
  <c r="AS154"/>
  <c r="AT154"/>
  <c r="AU154"/>
  <c r="AV154"/>
  <c r="AW154"/>
  <c r="AX154"/>
  <c r="AY154"/>
  <c r="AZ154"/>
  <c r="BA154"/>
  <c r="BB154"/>
  <c r="BC154"/>
  <c r="BD154"/>
  <c r="BE154"/>
  <c r="BF154"/>
  <c r="BG154"/>
  <c r="BH154"/>
  <c r="BI154"/>
  <c r="BJ154"/>
  <c r="BK154"/>
  <c r="BL154"/>
  <c r="BM154"/>
  <c r="BN154"/>
  <c r="BO154"/>
  <c r="BP154"/>
  <c r="BQ154"/>
  <c r="BR154"/>
  <c r="BS154"/>
  <c r="BT154"/>
  <c r="BU154"/>
  <c r="BV154"/>
  <c r="BW154"/>
  <c r="BX154"/>
  <c r="BY154"/>
  <c r="BZ154"/>
  <c r="CA154"/>
  <c r="CB154"/>
  <c r="CC154"/>
  <c r="CD154"/>
  <c r="CE154"/>
  <c r="CF154"/>
  <c r="CG154"/>
  <c r="CH154"/>
  <c r="CI154"/>
  <c r="CJ154"/>
  <c r="CK154"/>
  <c r="CL154"/>
  <c r="CM154"/>
  <c r="CN154"/>
  <c r="CO154"/>
  <c r="CP154"/>
  <c r="CQ154"/>
  <c r="CR154"/>
  <c r="CS154"/>
  <c r="CT154"/>
  <c r="CU154"/>
  <c r="CV154"/>
  <c r="CW154"/>
  <c r="CX154"/>
  <c r="CY154"/>
  <c r="CZ154"/>
  <c r="DA154"/>
  <c r="DB154"/>
  <c r="DC154"/>
  <c r="DD154"/>
  <c r="DE154"/>
  <c r="DF154"/>
  <c r="DG154"/>
  <c r="DH154"/>
  <c r="DI154"/>
  <c r="DJ154"/>
  <c r="DK154"/>
  <c r="DL154"/>
  <c r="DM154"/>
  <c r="DN154"/>
  <c r="DO154"/>
  <c r="DP154"/>
  <c r="DQ154"/>
  <c r="DR154"/>
  <c r="DS154"/>
  <c r="DT154"/>
  <c r="DU154"/>
  <c r="DV154"/>
  <c r="DW154"/>
  <c r="DX154"/>
  <c r="DY154"/>
  <c r="DZ154"/>
  <c r="EA154"/>
  <c r="EB154"/>
  <c r="EC154"/>
  <c r="ED154"/>
  <c r="EE154"/>
  <c r="EF154"/>
  <c r="EG154"/>
  <c r="EH154"/>
  <c r="EI154"/>
  <c r="EJ154"/>
  <c r="EK154"/>
  <c r="EL154"/>
  <c r="EM154"/>
  <c r="EN154"/>
  <c r="EO154"/>
  <c r="EP154"/>
  <c r="EQ154"/>
  <c r="ER154"/>
  <c r="ES154"/>
  <c r="ET154"/>
  <c r="EU154"/>
  <c r="EV154"/>
  <c r="EW154"/>
  <c r="EX154"/>
  <c r="EY154"/>
  <c r="EZ154"/>
  <c r="FA154"/>
  <c r="FB154"/>
  <c r="FC154"/>
  <c r="FD154"/>
  <c r="FE154"/>
  <c r="FF154"/>
  <c r="FG154"/>
  <c r="FH154"/>
  <c r="FI154"/>
  <c r="FJ154"/>
  <c r="FK154"/>
  <c r="FL154"/>
  <c r="FM154"/>
  <c r="FN154"/>
  <c r="FO154"/>
  <c r="FP154"/>
  <c r="FQ154"/>
  <c r="FR154"/>
  <c r="FS154"/>
  <c r="FT154"/>
  <c r="FU154"/>
  <c r="FV154"/>
  <c r="FW154"/>
  <c r="FX154"/>
  <c r="FY154"/>
  <c r="FZ154"/>
  <c r="GA154"/>
  <c r="GB154"/>
  <c r="GC154"/>
  <c r="GD154"/>
  <c r="GE154"/>
  <c r="GF154"/>
  <c r="GG154"/>
  <c r="GH154"/>
  <c r="GI154"/>
  <c r="GJ154"/>
  <c r="GK154"/>
  <c r="GL154"/>
  <c r="GM154"/>
  <c r="GN154"/>
  <c r="GO154"/>
  <c r="GP154"/>
  <c r="GQ154"/>
  <c r="GR154"/>
  <c r="GS154"/>
  <c r="GT154"/>
  <c r="GU154"/>
  <c r="GV154"/>
  <c r="GW154"/>
  <c r="GX154"/>
  <c r="GY154"/>
  <c r="GZ154"/>
  <c r="HA154"/>
  <c r="HB154"/>
  <c r="HC154"/>
  <c r="HD154"/>
  <c r="HE154"/>
  <c r="HF154"/>
  <c r="HG154"/>
  <c r="HH154"/>
  <c r="HI154"/>
  <c r="HJ154"/>
  <c r="HK154"/>
  <c r="HL154"/>
  <c r="HM154"/>
  <c r="HN154"/>
  <c r="HO154"/>
  <c r="HP154"/>
  <c r="HQ154"/>
  <c r="HR154"/>
  <c r="HS154"/>
  <c r="HT154"/>
  <c r="HU154"/>
  <c r="HV154"/>
  <c r="HW154"/>
  <c r="HX154"/>
  <c r="HY154"/>
  <c r="HZ154"/>
  <c r="IA154"/>
  <c r="IB154"/>
  <c r="IC154"/>
  <c r="ID154"/>
  <c r="IE154"/>
  <c r="IF154"/>
  <c r="IG154"/>
  <c r="IH154"/>
  <c r="II154"/>
  <c r="IJ154"/>
  <c r="IK154"/>
  <c r="IL154"/>
  <c r="IM154"/>
  <c r="IN154"/>
  <c r="IO154"/>
  <c r="IP154"/>
  <c r="IQ154"/>
  <c r="IR154"/>
  <c r="IS154"/>
  <c r="IT154"/>
  <c r="IU154"/>
  <c r="IV154"/>
  <c r="A155"/>
  <c r="B155"/>
  <c r="C155"/>
  <c r="D155"/>
  <c r="E155"/>
  <c r="F155"/>
  <c r="G155"/>
  <c r="H155"/>
  <c r="I155"/>
  <c r="J155"/>
  <c r="K155"/>
  <c r="L155"/>
  <c r="M155"/>
  <c r="N155"/>
  <c r="O155"/>
  <c r="P155"/>
  <c r="Q155"/>
  <c r="R155"/>
  <c r="S155"/>
  <c r="T155"/>
  <c r="U155"/>
  <c r="V155"/>
  <c r="W155"/>
  <c r="X155"/>
  <c r="Y155"/>
  <c r="Z155"/>
  <c r="AA155"/>
  <c r="AB155"/>
  <c r="AC155"/>
  <c r="AD155"/>
  <c r="AE155"/>
  <c r="AF155"/>
  <c r="AG155"/>
  <c r="AH155"/>
  <c r="AI155"/>
  <c r="AJ155"/>
  <c r="AK155"/>
  <c r="AL155"/>
  <c r="AM155"/>
  <c r="AN155"/>
  <c r="AO155"/>
  <c r="AP155"/>
  <c r="AQ155"/>
  <c r="AR155"/>
  <c r="AS155"/>
  <c r="AT155"/>
  <c r="AU155"/>
  <c r="AV155"/>
  <c r="AW155"/>
  <c r="AX155"/>
  <c r="AY155"/>
  <c r="AZ155"/>
  <c r="BA155"/>
  <c r="BB155"/>
  <c r="BC155"/>
  <c r="BD155"/>
  <c r="BE155"/>
  <c r="BF155"/>
  <c r="BG155"/>
  <c r="BH155"/>
  <c r="BI155"/>
  <c r="BJ155"/>
  <c r="BK155"/>
  <c r="BL155"/>
  <c r="BM155"/>
  <c r="BN155"/>
  <c r="BO155"/>
  <c r="BP155"/>
  <c r="BQ155"/>
  <c r="BR155"/>
  <c r="BS155"/>
  <c r="BT155"/>
  <c r="BU155"/>
  <c r="BV155"/>
  <c r="BW155"/>
  <c r="BX155"/>
  <c r="BY155"/>
  <c r="BZ155"/>
  <c r="CA155"/>
  <c r="CB155"/>
  <c r="CC155"/>
  <c r="CD155"/>
  <c r="CE155"/>
  <c r="CF155"/>
  <c r="CG155"/>
  <c r="CH155"/>
  <c r="CI155"/>
  <c r="CJ155"/>
  <c r="CK155"/>
  <c r="CL155"/>
  <c r="CM155"/>
  <c r="CN155"/>
  <c r="CO155"/>
  <c r="CP155"/>
  <c r="CQ155"/>
  <c r="CR155"/>
  <c r="CS155"/>
  <c r="CT155"/>
  <c r="CU155"/>
  <c r="CV155"/>
  <c r="CW155"/>
  <c r="CX155"/>
  <c r="CY155"/>
  <c r="CZ155"/>
  <c r="DA155"/>
  <c r="DB155"/>
  <c r="DC155"/>
  <c r="DD155"/>
  <c r="DE155"/>
  <c r="DF155"/>
  <c r="DG155"/>
  <c r="DH155"/>
  <c r="DI155"/>
  <c r="DJ155"/>
  <c r="DK155"/>
  <c r="DL155"/>
  <c r="DM155"/>
  <c r="DN155"/>
  <c r="DO155"/>
  <c r="DP155"/>
  <c r="DQ155"/>
  <c r="DR155"/>
  <c r="DS155"/>
  <c r="DT155"/>
  <c r="DU155"/>
  <c r="DV155"/>
  <c r="DW155"/>
  <c r="DX155"/>
  <c r="DY155"/>
  <c r="DZ155"/>
  <c r="EA155"/>
  <c r="EB155"/>
  <c r="EC155"/>
  <c r="ED155"/>
  <c r="EE155"/>
  <c r="EF155"/>
  <c r="EG155"/>
  <c r="EH155"/>
  <c r="EI155"/>
  <c r="EJ155"/>
  <c r="EK155"/>
  <c r="EL155"/>
  <c r="EM155"/>
  <c r="EN155"/>
  <c r="EO155"/>
  <c r="EP155"/>
  <c r="EQ155"/>
  <c r="ER155"/>
  <c r="ES155"/>
  <c r="ET155"/>
  <c r="EU155"/>
  <c r="EV155"/>
  <c r="EW155"/>
  <c r="EX155"/>
  <c r="EY155"/>
  <c r="EZ155"/>
  <c r="FA155"/>
  <c r="FB155"/>
  <c r="FC155"/>
  <c r="FD155"/>
  <c r="FE155"/>
  <c r="FF155"/>
  <c r="FG155"/>
  <c r="FH155"/>
  <c r="FI155"/>
  <c r="FJ155"/>
  <c r="FK155"/>
  <c r="FL155"/>
  <c r="FM155"/>
  <c r="FN155"/>
  <c r="FO155"/>
  <c r="FP155"/>
  <c r="FQ155"/>
  <c r="FR155"/>
  <c r="FS155"/>
  <c r="FT155"/>
  <c r="FU155"/>
  <c r="FV155"/>
  <c r="FW155"/>
  <c r="FX155"/>
  <c r="FY155"/>
  <c r="FZ155"/>
  <c r="GA155"/>
  <c r="GB155"/>
  <c r="GC155"/>
  <c r="GD155"/>
  <c r="GE155"/>
  <c r="GF155"/>
  <c r="GG155"/>
  <c r="GH155"/>
  <c r="GI155"/>
  <c r="GJ155"/>
  <c r="GK155"/>
  <c r="GL155"/>
  <c r="GM155"/>
  <c r="GN155"/>
  <c r="GO155"/>
  <c r="GP155"/>
  <c r="GQ155"/>
  <c r="GR155"/>
  <c r="GS155"/>
  <c r="GT155"/>
  <c r="GU155"/>
  <c r="GV155"/>
  <c r="GW155"/>
  <c r="GX155"/>
  <c r="GY155"/>
  <c r="GZ155"/>
  <c r="HA155"/>
  <c r="HB155"/>
  <c r="HC155"/>
  <c r="HD155"/>
  <c r="HE155"/>
  <c r="HF155"/>
  <c r="HG155"/>
  <c r="HH155"/>
  <c r="HI155"/>
  <c r="HJ155"/>
  <c r="HK155"/>
  <c r="HL155"/>
  <c r="HM155"/>
  <c r="HN155"/>
  <c r="HO155"/>
  <c r="HP155"/>
  <c r="HQ155"/>
  <c r="HR155"/>
  <c r="HS155"/>
  <c r="HT155"/>
  <c r="HU155"/>
  <c r="HV155"/>
  <c r="HW155"/>
  <c r="HX155"/>
  <c r="HY155"/>
  <c r="HZ155"/>
  <c r="IA155"/>
  <c r="IB155"/>
  <c r="IC155"/>
  <c r="ID155"/>
  <c r="IE155"/>
  <c r="IF155"/>
  <c r="IG155"/>
  <c r="IH155"/>
  <c r="II155"/>
  <c r="IJ155"/>
  <c r="IK155"/>
  <c r="IL155"/>
  <c r="IM155"/>
  <c r="IN155"/>
  <c r="IO155"/>
  <c r="IP155"/>
  <c r="IQ155"/>
  <c r="IR155"/>
  <c r="IS155"/>
  <c r="IT155"/>
  <c r="IU155"/>
  <c r="IV155"/>
  <c r="A156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Z156"/>
  <c r="AA156"/>
  <c r="AB156"/>
  <c r="AC156"/>
  <c r="AD156"/>
  <c r="AE156"/>
  <c r="AF156"/>
  <c r="AG156"/>
  <c r="AH156"/>
  <c r="AI156"/>
  <c r="AJ156"/>
  <c r="AK156"/>
  <c r="AL156"/>
  <c r="AM156"/>
  <c r="AN156"/>
  <c r="AO156"/>
  <c r="AP156"/>
  <c r="AQ156"/>
  <c r="AR156"/>
  <c r="AS156"/>
  <c r="AT156"/>
  <c r="AU156"/>
  <c r="AV156"/>
  <c r="AW156"/>
  <c r="AX156"/>
  <c r="AY156"/>
  <c r="AZ156"/>
  <c r="BA156"/>
  <c r="BB156"/>
  <c r="BC156"/>
  <c r="BD156"/>
  <c r="BE156"/>
  <c r="BF156"/>
  <c r="BG156"/>
  <c r="BH156"/>
  <c r="BI156"/>
  <c r="BJ156"/>
  <c r="BK156"/>
  <c r="BL156"/>
  <c r="BM156"/>
  <c r="BN156"/>
  <c r="BO156"/>
  <c r="BP156"/>
  <c r="BQ156"/>
  <c r="BR156"/>
  <c r="BS156"/>
  <c r="BT156"/>
  <c r="BU156"/>
  <c r="BV156"/>
  <c r="BW156"/>
  <c r="BX156"/>
  <c r="BY156"/>
  <c r="BZ156"/>
  <c r="CA156"/>
  <c r="CB156"/>
  <c r="CC156"/>
  <c r="CD156"/>
  <c r="CE156"/>
  <c r="CF156"/>
  <c r="CG156"/>
  <c r="CH156"/>
  <c r="CI156"/>
  <c r="CJ156"/>
  <c r="CK156"/>
  <c r="CL156"/>
  <c r="CM156"/>
  <c r="CN156"/>
  <c r="CO156"/>
  <c r="CP156"/>
  <c r="CQ156"/>
  <c r="CR156"/>
  <c r="CS156"/>
  <c r="CT156"/>
  <c r="CU156"/>
  <c r="CV156"/>
  <c r="CW156"/>
  <c r="CX156"/>
  <c r="CY156"/>
  <c r="CZ156"/>
  <c r="DA156"/>
  <c r="DB156"/>
  <c r="DC156"/>
  <c r="DD156"/>
  <c r="DE156"/>
  <c r="DF156"/>
  <c r="DG156"/>
  <c r="DH156"/>
  <c r="DI156"/>
  <c r="DJ156"/>
  <c r="DK156"/>
  <c r="DL156"/>
  <c r="DM156"/>
  <c r="DN156"/>
  <c r="DO156"/>
  <c r="DP156"/>
  <c r="DQ156"/>
  <c r="DR156"/>
  <c r="DS156"/>
  <c r="DT156"/>
  <c r="DU156"/>
  <c r="DV156"/>
  <c r="DW156"/>
  <c r="DX156"/>
  <c r="DY156"/>
  <c r="DZ156"/>
  <c r="EA156"/>
  <c r="EB156"/>
  <c r="EC156"/>
  <c r="ED156"/>
  <c r="EE156"/>
  <c r="EF156"/>
  <c r="EG156"/>
  <c r="EH156"/>
  <c r="EI156"/>
  <c r="EJ156"/>
  <c r="EK156"/>
  <c r="EL156"/>
  <c r="EM156"/>
  <c r="EN156"/>
  <c r="EO156"/>
  <c r="EP156"/>
  <c r="EQ156"/>
  <c r="ER156"/>
  <c r="ES156"/>
  <c r="ET156"/>
  <c r="EU156"/>
  <c r="EV156"/>
  <c r="EW156"/>
  <c r="EX156"/>
  <c r="EY156"/>
  <c r="EZ156"/>
  <c r="FA156"/>
  <c r="FB156"/>
  <c r="FC156"/>
  <c r="FD156"/>
  <c r="FE156"/>
  <c r="FF156"/>
  <c r="FG156"/>
  <c r="FH156"/>
  <c r="FI156"/>
  <c r="FJ156"/>
  <c r="FK156"/>
  <c r="FL156"/>
  <c r="FM156"/>
  <c r="FN156"/>
  <c r="FO156"/>
  <c r="FP156"/>
  <c r="FQ156"/>
  <c r="FR156"/>
  <c r="FS156"/>
  <c r="FT156"/>
  <c r="FU156"/>
  <c r="FV156"/>
  <c r="FW156"/>
  <c r="FX156"/>
  <c r="FY156"/>
  <c r="FZ156"/>
  <c r="GA156"/>
  <c r="GB156"/>
  <c r="GC156"/>
  <c r="GD156"/>
  <c r="GE156"/>
  <c r="GF156"/>
  <c r="GG156"/>
  <c r="GH156"/>
  <c r="GI156"/>
  <c r="GJ156"/>
  <c r="GK156"/>
  <c r="GL156"/>
  <c r="GM156"/>
  <c r="GN156"/>
  <c r="GO156"/>
  <c r="GP156"/>
  <c r="GQ156"/>
  <c r="GR156"/>
  <c r="GS156"/>
  <c r="GT156"/>
  <c r="GU156"/>
  <c r="GV156"/>
  <c r="GW156"/>
  <c r="GX156"/>
  <c r="GY156"/>
  <c r="GZ156"/>
  <c r="HA156"/>
  <c r="HB156"/>
  <c r="HC156"/>
  <c r="HD156"/>
  <c r="HE156"/>
  <c r="HF156"/>
  <c r="HG156"/>
  <c r="HH156"/>
  <c r="HI156"/>
  <c r="HJ156"/>
  <c r="HK156"/>
  <c r="HL156"/>
  <c r="HM156"/>
  <c r="HN156"/>
  <c r="HO156"/>
  <c r="HP156"/>
  <c r="HQ156"/>
  <c r="HR156"/>
  <c r="HS156"/>
  <c r="HT156"/>
  <c r="HU156"/>
  <c r="HV156"/>
  <c r="HW156"/>
  <c r="HX156"/>
  <c r="HY156"/>
  <c r="HZ156"/>
  <c r="IA156"/>
  <c r="IB156"/>
  <c r="IC156"/>
  <c r="ID156"/>
  <c r="IE156"/>
  <c r="IF156"/>
  <c r="IG156"/>
  <c r="IH156"/>
  <c r="II156"/>
  <c r="IJ156"/>
  <c r="IK156"/>
  <c r="IL156"/>
  <c r="IM156"/>
  <c r="IN156"/>
  <c r="IO156"/>
  <c r="IP156"/>
  <c r="IQ156"/>
  <c r="IR156"/>
  <c r="IS156"/>
  <c r="IT156"/>
  <c r="IU156"/>
  <c r="IV156"/>
  <c r="A157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Z157"/>
  <c r="AA157"/>
  <c r="AB157"/>
  <c r="AC157"/>
  <c r="AD157"/>
  <c r="AE157"/>
  <c r="AF157"/>
  <c r="AG157"/>
  <c r="AH157"/>
  <c r="AI157"/>
  <c r="AJ157"/>
  <c r="AK157"/>
  <c r="AL157"/>
  <c r="AM157"/>
  <c r="AN157"/>
  <c r="AO157"/>
  <c r="AP157"/>
  <c r="AQ157"/>
  <c r="AR157"/>
  <c r="AS157"/>
  <c r="AT157"/>
  <c r="AU157"/>
  <c r="AV157"/>
  <c r="AW157"/>
  <c r="AX157"/>
  <c r="AY157"/>
  <c r="AZ157"/>
  <c r="BA157"/>
  <c r="BB157"/>
  <c r="BC157"/>
  <c r="BD157"/>
  <c r="BE157"/>
  <c r="BF157"/>
  <c r="BG157"/>
  <c r="BH157"/>
  <c r="BI157"/>
  <c r="BJ157"/>
  <c r="BK157"/>
  <c r="BL157"/>
  <c r="BM157"/>
  <c r="BN157"/>
  <c r="BO157"/>
  <c r="BP157"/>
  <c r="BQ157"/>
  <c r="BR157"/>
  <c r="BS157"/>
  <c r="BT157"/>
  <c r="BU157"/>
  <c r="BV157"/>
  <c r="BW157"/>
  <c r="BX157"/>
  <c r="BY157"/>
  <c r="BZ157"/>
  <c r="CA157"/>
  <c r="CB157"/>
  <c r="CC157"/>
  <c r="CD157"/>
  <c r="CE157"/>
  <c r="CF157"/>
  <c r="CG157"/>
  <c r="CH157"/>
  <c r="CI157"/>
  <c r="CJ157"/>
  <c r="CK157"/>
  <c r="CL157"/>
  <c r="CM157"/>
  <c r="CN157"/>
  <c r="CO157"/>
  <c r="CP157"/>
  <c r="CQ157"/>
  <c r="CR157"/>
  <c r="CS157"/>
  <c r="CT157"/>
  <c r="CU157"/>
  <c r="CV157"/>
  <c r="CW157"/>
  <c r="CX157"/>
  <c r="CY157"/>
  <c r="CZ157"/>
  <c r="DA157"/>
  <c r="DB157"/>
  <c r="DC157"/>
  <c r="DD157"/>
  <c r="DE157"/>
  <c r="DF157"/>
  <c r="DG157"/>
  <c r="DH157"/>
  <c r="DI157"/>
  <c r="DJ157"/>
  <c r="DK157"/>
  <c r="DL157"/>
  <c r="DM157"/>
  <c r="DN157"/>
  <c r="DO157"/>
  <c r="DP157"/>
  <c r="DQ157"/>
  <c r="DR157"/>
  <c r="DS157"/>
  <c r="DT157"/>
  <c r="DU157"/>
  <c r="DV157"/>
  <c r="DW157"/>
  <c r="DX157"/>
  <c r="DY157"/>
  <c r="DZ157"/>
  <c r="EA157"/>
  <c r="EB157"/>
  <c r="EC157"/>
  <c r="ED157"/>
  <c r="EE157"/>
  <c r="EF157"/>
  <c r="EG157"/>
  <c r="EH157"/>
  <c r="EI157"/>
  <c r="EJ157"/>
  <c r="EK157"/>
  <c r="EL157"/>
  <c r="EM157"/>
  <c r="EN157"/>
  <c r="EO157"/>
  <c r="EP157"/>
  <c r="EQ157"/>
  <c r="ER157"/>
  <c r="ES157"/>
  <c r="ET157"/>
  <c r="EU157"/>
  <c r="EV157"/>
  <c r="EW157"/>
  <c r="EX157"/>
  <c r="EY157"/>
  <c r="EZ157"/>
  <c r="FA157"/>
  <c r="FB157"/>
  <c r="FC157"/>
  <c r="FD157"/>
  <c r="FE157"/>
  <c r="FF157"/>
  <c r="FG157"/>
  <c r="FH157"/>
  <c r="FI157"/>
  <c r="FJ157"/>
  <c r="FK157"/>
  <c r="FL157"/>
  <c r="FM157"/>
  <c r="FN157"/>
  <c r="FO157"/>
  <c r="FP157"/>
  <c r="FQ157"/>
  <c r="FR157"/>
  <c r="FS157"/>
  <c r="FT157"/>
  <c r="FU157"/>
  <c r="FV157"/>
  <c r="FW157"/>
  <c r="FX157"/>
  <c r="FY157"/>
  <c r="FZ157"/>
  <c r="GA157"/>
  <c r="GB157"/>
  <c r="GC157"/>
  <c r="GD157"/>
  <c r="GE157"/>
  <c r="GF157"/>
  <c r="GG157"/>
  <c r="GH157"/>
  <c r="GI157"/>
  <c r="GJ157"/>
  <c r="GK157"/>
  <c r="GL157"/>
  <c r="GM157"/>
  <c r="GN157"/>
  <c r="GO157"/>
  <c r="GP157"/>
  <c r="GQ157"/>
  <c r="GR157"/>
  <c r="GS157"/>
  <c r="GT157"/>
  <c r="GU157"/>
  <c r="GV157"/>
  <c r="GW157"/>
  <c r="GX157"/>
  <c r="GY157"/>
  <c r="GZ157"/>
  <c r="HA157"/>
  <c r="HB157"/>
  <c r="HC157"/>
  <c r="HD157"/>
  <c r="HE157"/>
  <c r="HF157"/>
  <c r="HG157"/>
  <c r="HH157"/>
  <c r="HI157"/>
  <c r="HJ157"/>
  <c r="HK157"/>
  <c r="HL157"/>
  <c r="HM157"/>
  <c r="HN157"/>
  <c r="HO157"/>
  <c r="HP157"/>
  <c r="HQ157"/>
  <c r="HR157"/>
  <c r="HS157"/>
  <c r="HT157"/>
  <c r="HU157"/>
  <c r="HV157"/>
  <c r="HW157"/>
  <c r="HX157"/>
  <c r="HY157"/>
  <c r="HZ157"/>
  <c r="IA157"/>
  <c r="IB157"/>
  <c r="IC157"/>
  <c r="ID157"/>
  <c r="IE157"/>
  <c r="IF157"/>
  <c r="IG157"/>
  <c r="IH157"/>
  <c r="II157"/>
  <c r="IJ157"/>
  <c r="IK157"/>
  <c r="IL157"/>
  <c r="IM157"/>
  <c r="IN157"/>
  <c r="IO157"/>
  <c r="IP157"/>
  <c r="IQ157"/>
  <c r="IR157"/>
  <c r="IS157"/>
  <c r="IT157"/>
  <c r="IU157"/>
  <c r="IV157"/>
  <c r="A158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Z158"/>
  <c r="AA158"/>
  <c r="AB158"/>
  <c r="AC158"/>
  <c r="AD158"/>
  <c r="AE158"/>
  <c r="AF158"/>
  <c r="AG158"/>
  <c r="AH158"/>
  <c r="AI158"/>
  <c r="AJ158"/>
  <c r="AK158"/>
  <c r="AL158"/>
  <c r="AM158"/>
  <c r="AN158"/>
  <c r="AO158"/>
  <c r="AP158"/>
  <c r="AQ158"/>
  <c r="AR158"/>
  <c r="AS158"/>
  <c r="AT158"/>
  <c r="AU158"/>
  <c r="AV158"/>
  <c r="AW158"/>
  <c r="AX158"/>
  <c r="AY158"/>
  <c r="AZ158"/>
  <c r="BA158"/>
  <c r="BB158"/>
  <c r="BC158"/>
  <c r="BD158"/>
  <c r="BE158"/>
  <c r="BF158"/>
  <c r="BG158"/>
  <c r="BH158"/>
  <c r="BI158"/>
  <c r="BJ158"/>
  <c r="BK158"/>
  <c r="BL158"/>
  <c r="BM158"/>
  <c r="BN158"/>
  <c r="BO158"/>
  <c r="BP158"/>
  <c r="BQ158"/>
  <c r="BR158"/>
  <c r="BS158"/>
  <c r="BT158"/>
  <c r="BU158"/>
  <c r="BV158"/>
  <c r="BW158"/>
  <c r="BX158"/>
  <c r="BY158"/>
  <c r="BZ158"/>
  <c r="CA158"/>
  <c r="CB158"/>
  <c r="CC158"/>
  <c r="CD158"/>
  <c r="CE158"/>
  <c r="CF158"/>
  <c r="CG158"/>
  <c r="CH158"/>
  <c r="CI158"/>
  <c r="CJ158"/>
  <c r="CK158"/>
  <c r="CL158"/>
  <c r="CM158"/>
  <c r="CN158"/>
  <c r="CO158"/>
  <c r="CP158"/>
  <c r="CQ158"/>
  <c r="CR158"/>
  <c r="CS158"/>
  <c r="CT158"/>
  <c r="CU158"/>
  <c r="CV158"/>
  <c r="CW158"/>
  <c r="CX158"/>
  <c r="CY158"/>
  <c r="CZ158"/>
  <c r="DA158"/>
  <c r="DB158"/>
  <c r="DC158"/>
  <c r="DD158"/>
  <c r="DE158"/>
  <c r="DF158"/>
  <c r="DG158"/>
  <c r="DH158"/>
  <c r="DI158"/>
  <c r="DJ158"/>
  <c r="DK158"/>
  <c r="DL158"/>
  <c r="DM158"/>
  <c r="DN158"/>
  <c r="DO158"/>
  <c r="DP158"/>
  <c r="DQ158"/>
  <c r="DR158"/>
  <c r="DS158"/>
  <c r="DT158"/>
  <c r="DU158"/>
  <c r="DV158"/>
  <c r="DW158"/>
  <c r="DX158"/>
  <c r="DY158"/>
  <c r="DZ158"/>
  <c r="EA158"/>
  <c r="EB158"/>
  <c r="EC158"/>
  <c r="ED158"/>
  <c r="EE158"/>
  <c r="EF158"/>
  <c r="EG158"/>
  <c r="EH158"/>
  <c r="EI158"/>
  <c r="EJ158"/>
  <c r="EK158"/>
  <c r="EL158"/>
  <c r="EM158"/>
  <c r="EN158"/>
  <c r="EO158"/>
  <c r="EP158"/>
  <c r="EQ158"/>
  <c r="ER158"/>
  <c r="ES158"/>
  <c r="ET158"/>
  <c r="EU158"/>
  <c r="EV158"/>
  <c r="EW158"/>
  <c r="EX158"/>
  <c r="EY158"/>
  <c r="EZ158"/>
  <c r="FA158"/>
  <c r="FB158"/>
  <c r="FC158"/>
  <c r="FD158"/>
  <c r="FE158"/>
  <c r="FF158"/>
  <c r="FG158"/>
  <c r="FH158"/>
  <c r="FI158"/>
  <c r="FJ158"/>
  <c r="FK158"/>
  <c r="FL158"/>
  <c r="FM158"/>
  <c r="FN158"/>
  <c r="FO158"/>
  <c r="FP158"/>
  <c r="FQ158"/>
  <c r="FR158"/>
  <c r="FS158"/>
  <c r="FT158"/>
  <c r="FU158"/>
  <c r="FV158"/>
  <c r="FW158"/>
  <c r="FX158"/>
  <c r="FY158"/>
  <c r="FZ158"/>
  <c r="GA158"/>
  <c r="GB158"/>
  <c r="GC158"/>
  <c r="GD158"/>
  <c r="GE158"/>
  <c r="GF158"/>
  <c r="GG158"/>
  <c r="GH158"/>
  <c r="GI158"/>
  <c r="GJ158"/>
  <c r="GK158"/>
  <c r="GL158"/>
  <c r="GM158"/>
  <c r="GN158"/>
  <c r="GO158"/>
  <c r="GP158"/>
  <c r="GQ158"/>
  <c r="GR158"/>
  <c r="GS158"/>
  <c r="GT158"/>
  <c r="GU158"/>
  <c r="GV158"/>
  <c r="GW158"/>
  <c r="GX158"/>
  <c r="GY158"/>
  <c r="GZ158"/>
  <c r="HA158"/>
  <c r="HB158"/>
  <c r="HC158"/>
  <c r="HD158"/>
  <c r="HE158"/>
  <c r="HF158"/>
  <c r="HG158"/>
  <c r="HH158"/>
  <c r="HI158"/>
  <c r="HJ158"/>
  <c r="HK158"/>
  <c r="HL158"/>
  <c r="HM158"/>
  <c r="HN158"/>
  <c r="HO158"/>
  <c r="HP158"/>
  <c r="HQ158"/>
  <c r="HR158"/>
  <c r="HS158"/>
  <c r="HT158"/>
  <c r="HU158"/>
  <c r="HV158"/>
  <c r="HW158"/>
  <c r="HX158"/>
  <c r="HY158"/>
  <c r="HZ158"/>
  <c r="IA158"/>
  <c r="IB158"/>
  <c r="IC158"/>
  <c r="ID158"/>
  <c r="IE158"/>
  <c r="IF158"/>
  <c r="IG158"/>
  <c r="IH158"/>
  <c r="II158"/>
  <c r="IJ158"/>
  <c r="IK158"/>
  <c r="IL158"/>
  <c r="IM158"/>
  <c r="IN158"/>
  <c r="IO158"/>
  <c r="IP158"/>
  <c r="IQ158"/>
  <c r="IR158"/>
  <c r="IS158"/>
  <c r="IT158"/>
  <c r="IU158"/>
  <c r="IV158"/>
  <c r="A159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Z159"/>
  <c r="AA159"/>
  <c r="AB159"/>
  <c r="AC159"/>
  <c r="AD159"/>
  <c r="AE159"/>
  <c r="AF159"/>
  <c r="AG159"/>
  <c r="AH159"/>
  <c r="AI159"/>
  <c r="AJ159"/>
  <c r="AK159"/>
  <c r="AL159"/>
  <c r="AM159"/>
  <c r="AN159"/>
  <c r="AO159"/>
  <c r="AP159"/>
  <c r="AQ159"/>
  <c r="AR159"/>
  <c r="AS159"/>
  <c r="AT159"/>
  <c r="AU159"/>
  <c r="AV159"/>
  <c r="AW159"/>
  <c r="AX159"/>
  <c r="AY159"/>
  <c r="AZ159"/>
  <c r="BA159"/>
  <c r="BB159"/>
  <c r="BC159"/>
  <c r="BD159"/>
  <c r="BE159"/>
  <c r="BF159"/>
  <c r="BG159"/>
  <c r="BH159"/>
  <c r="BI159"/>
  <c r="BJ159"/>
  <c r="BK159"/>
  <c r="BL159"/>
  <c r="BM159"/>
  <c r="BN159"/>
  <c r="BO159"/>
  <c r="BP159"/>
  <c r="BQ159"/>
  <c r="BR159"/>
  <c r="BS159"/>
  <c r="BT159"/>
  <c r="BU159"/>
  <c r="BV159"/>
  <c r="BW159"/>
  <c r="BX159"/>
  <c r="BY159"/>
  <c r="BZ159"/>
  <c r="CA159"/>
  <c r="CB159"/>
  <c r="CC159"/>
  <c r="CD159"/>
  <c r="CE159"/>
  <c r="CF159"/>
  <c r="CG159"/>
  <c r="CH159"/>
  <c r="CI159"/>
  <c r="CJ159"/>
  <c r="CK159"/>
  <c r="CL159"/>
  <c r="CM159"/>
  <c r="CN159"/>
  <c r="CO159"/>
  <c r="CP159"/>
  <c r="CQ159"/>
  <c r="CR159"/>
  <c r="CS159"/>
  <c r="CT159"/>
  <c r="CU159"/>
  <c r="CV159"/>
  <c r="CW159"/>
  <c r="CX159"/>
  <c r="CY159"/>
  <c r="CZ159"/>
  <c r="DA159"/>
  <c r="DB159"/>
  <c r="DC159"/>
  <c r="DD159"/>
  <c r="DE159"/>
  <c r="DF159"/>
  <c r="DG159"/>
  <c r="DH159"/>
  <c r="DI159"/>
  <c r="DJ159"/>
  <c r="DK159"/>
  <c r="DL159"/>
  <c r="DM159"/>
  <c r="DN159"/>
  <c r="DO159"/>
  <c r="DP159"/>
  <c r="DQ159"/>
  <c r="DR159"/>
  <c r="DS159"/>
  <c r="DT159"/>
  <c r="DU159"/>
  <c r="DV159"/>
  <c r="DW159"/>
  <c r="DX159"/>
  <c r="DY159"/>
  <c r="DZ159"/>
  <c r="EA159"/>
  <c r="EB159"/>
  <c r="EC159"/>
  <c r="ED159"/>
  <c r="EE159"/>
  <c r="EF159"/>
  <c r="EG159"/>
  <c r="EH159"/>
  <c r="EI159"/>
  <c r="EJ159"/>
  <c r="EK159"/>
  <c r="EL159"/>
  <c r="EM159"/>
  <c r="EN159"/>
  <c r="EO159"/>
  <c r="EP159"/>
  <c r="EQ159"/>
  <c r="ER159"/>
  <c r="ES159"/>
  <c r="ET159"/>
  <c r="EU159"/>
  <c r="EV159"/>
  <c r="EW159"/>
  <c r="EX159"/>
  <c r="EY159"/>
  <c r="EZ159"/>
  <c r="FA159"/>
  <c r="FB159"/>
  <c r="FC159"/>
  <c r="FD159"/>
  <c r="FE159"/>
  <c r="FF159"/>
  <c r="FG159"/>
  <c r="FH159"/>
  <c r="FI159"/>
  <c r="FJ159"/>
  <c r="FK159"/>
  <c r="FL159"/>
  <c r="FM159"/>
  <c r="FN159"/>
  <c r="FO159"/>
  <c r="FP159"/>
  <c r="FQ159"/>
  <c r="FR159"/>
  <c r="FS159"/>
  <c r="FT159"/>
  <c r="FU159"/>
  <c r="FV159"/>
  <c r="FW159"/>
  <c r="FX159"/>
  <c r="FY159"/>
  <c r="FZ159"/>
  <c r="GA159"/>
  <c r="GB159"/>
  <c r="GC159"/>
  <c r="GD159"/>
  <c r="GE159"/>
  <c r="GF159"/>
  <c r="GG159"/>
  <c r="GH159"/>
  <c r="GI159"/>
  <c r="GJ159"/>
  <c r="GK159"/>
  <c r="GL159"/>
  <c r="GM159"/>
  <c r="GN159"/>
  <c r="GO159"/>
  <c r="GP159"/>
  <c r="GQ159"/>
  <c r="GR159"/>
  <c r="GS159"/>
  <c r="GT159"/>
  <c r="GU159"/>
  <c r="GV159"/>
  <c r="GW159"/>
  <c r="GX159"/>
  <c r="GY159"/>
  <c r="GZ159"/>
  <c r="HA159"/>
  <c r="HB159"/>
  <c r="HC159"/>
  <c r="HD159"/>
  <c r="HE159"/>
  <c r="HF159"/>
  <c r="HG159"/>
  <c r="HH159"/>
  <c r="HI159"/>
  <c r="HJ159"/>
  <c r="HK159"/>
  <c r="HL159"/>
  <c r="HM159"/>
  <c r="HN159"/>
  <c r="HO159"/>
  <c r="HP159"/>
  <c r="HQ159"/>
  <c r="HR159"/>
  <c r="HS159"/>
  <c r="HT159"/>
  <c r="HU159"/>
  <c r="HV159"/>
  <c r="HW159"/>
  <c r="HX159"/>
  <c r="HY159"/>
  <c r="HZ159"/>
  <c r="IA159"/>
  <c r="IB159"/>
  <c r="IC159"/>
  <c r="ID159"/>
  <c r="IE159"/>
  <c r="IF159"/>
  <c r="IG159"/>
  <c r="IH159"/>
  <c r="II159"/>
  <c r="IJ159"/>
  <c r="IK159"/>
  <c r="IL159"/>
  <c r="IM159"/>
  <c r="IN159"/>
  <c r="IO159"/>
  <c r="IP159"/>
  <c r="IQ159"/>
  <c r="IR159"/>
  <c r="IS159"/>
  <c r="IT159"/>
  <c r="IU159"/>
  <c r="IV159"/>
  <c r="A160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Z160"/>
  <c r="AA160"/>
  <c r="AB160"/>
  <c r="AC160"/>
  <c r="AD160"/>
  <c r="AE160"/>
  <c r="AF160"/>
  <c r="AG160"/>
  <c r="AH160"/>
  <c r="AI160"/>
  <c r="AJ160"/>
  <c r="AK160"/>
  <c r="AL160"/>
  <c r="AM160"/>
  <c r="AN160"/>
  <c r="AO160"/>
  <c r="AP160"/>
  <c r="AQ160"/>
  <c r="AR160"/>
  <c r="AS160"/>
  <c r="AT160"/>
  <c r="AU160"/>
  <c r="AV160"/>
  <c r="AW160"/>
  <c r="AX160"/>
  <c r="AY160"/>
  <c r="AZ160"/>
  <c r="BA160"/>
  <c r="BB160"/>
  <c r="BC160"/>
  <c r="BD160"/>
  <c r="BE160"/>
  <c r="BF160"/>
  <c r="BG160"/>
  <c r="BH160"/>
  <c r="BI160"/>
  <c r="BJ160"/>
  <c r="BK160"/>
  <c r="BL160"/>
  <c r="BM160"/>
  <c r="BN160"/>
  <c r="BO160"/>
  <c r="BP160"/>
  <c r="BQ160"/>
  <c r="BR160"/>
  <c r="BS160"/>
  <c r="BT160"/>
  <c r="BU160"/>
  <c r="BV160"/>
  <c r="BW160"/>
  <c r="BX160"/>
  <c r="BY160"/>
  <c r="BZ160"/>
  <c r="CA160"/>
  <c r="CB160"/>
  <c r="CC160"/>
  <c r="CD160"/>
  <c r="CE160"/>
  <c r="CF160"/>
  <c r="CG160"/>
  <c r="CH160"/>
  <c r="CI160"/>
  <c r="CJ160"/>
  <c r="CK160"/>
  <c r="CL160"/>
  <c r="CM160"/>
  <c r="CN160"/>
  <c r="CO160"/>
  <c r="CP160"/>
  <c r="CQ160"/>
  <c r="CR160"/>
  <c r="CS160"/>
  <c r="CT160"/>
  <c r="CU160"/>
  <c r="CV160"/>
  <c r="CW160"/>
  <c r="CX160"/>
  <c r="CY160"/>
  <c r="CZ160"/>
  <c r="DA160"/>
  <c r="DB160"/>
  <c r="DC160"/>
  <c r="DD160"/>
  <c r="DE160"/>
  <c r="DF160"/>
  <c r="DG160"/>
  <c r="DH160"/>
  <c r="DI160"/>
  <c r="DJ160"/>
  <c r="DK160"/>
  <c r="DL160"/>
  <c r="DM160"/>
  <c r="DN160"/>
  <c r="DO160"/>
  <c r="DP160"/>
  <c r="DQ160"/>
  <c r="DR160"/>
  <c r="DS160"/>
  <c r="DT160"/>
  <c r="DU160"/>
  <c r="DV160"/>
  <c r="DW160"/>
  <c r="DX160"/>
  <c r="DY160"/>
  <c r="DZ160"/>
  <c r="EA160"/>
  <c r="EB160"/>
  <c r="EC160"/>
  <c r="ED160"/>
  <c r="EE160"/>
  <c r="EF160"/>
  <c r="EG160"/>
  <c r="EH160"/>
  <c r="EI160"/>
  <c r="EJ160"/>
  <c r="EK160"/>
  <c r="EL160"/>
  <c r="EM160"/>
  <c r="EN160"/>
  <c r="EO160"/>
  <c r="EP160"/>
  <c r="EQ160"/>
  <c r="ER160"/>
  <c r="ES160"/>
  <c r="ET160"/>
  <c r="EU160"/>
  <c r="EV160"/>
  <c r="EW160"/>
  <c r="EX160"/>
  <c r="EY160"/>
  <c r="EZ160"/>
  <c r="FA160"/>
  <c r="FB160"/>
  <c r="FC160"/>
  <c r="FD160"/>
  <c r="FE160"/>
  <c r="FF160"/>
  <c r="FG160"/>
  <c r="FH160"/>
  <c r="FI160"/>
  <c r="FJ160"/>
  <c r="FK160"/>
  <c r="FL160"/>
  <c r="FM160"/>
  <c r="FN160"/>
  <c r="FO160"/>
  <c r="FP160"/>
  <c r="FQ160"/>
  <c r="FR160"/>
  <c r="FS160"/>
  <c r="FT160"/>
  <c r="FU160"/>
  <c r="FV160"/>
  <c r="FW160"/>
  <c r="FX160"/>
  <c r="FY160"/>
  <c r="FZ160"/>
  <c r="GA160"/>
  <c r="GB160"/>
  <c r="GC160"/>
  <c r="GD160"/>
  <c r="GE160"/>
  <c r="GF160"/>
  <c r="GG160"/>
  <c r="GH160"/>
  <c r="GI160"/>
  <c r="GJ160"/>
  <c r="GK160"/>
  <c r="GL160"/>
  <c r="GM160"/>
  <c r="GN160"/>
  <c r="GO160"/>
  <c r="GP160"/>
  <c r="GQ160"/>
  <c r="GR160"/>
  <c r="GS160"/>
  <c r="GT160"/>
  <c r="GU160"/>
  <c r="GV160"/>
  <c r="GW160"/>
  <c r="GX160"/>
  <c r="GY160"/>
  <c r="GZ160"/>
  <c r="HA160"/>
  <c r="HB160"/>
  <c r="HC160"/>
  <c r="HD160"/>
  <c r="HE160"/>
  <c r="HF160"/>
  <c r="HG160"/>
  <c r="HH160"/>
  <c r="HI160"/>
  <c r="HJ160"/>
  <c r="HK160"/>
  <c r="HL160"/>
  <c r="HM160"/>
  <c r="HN160"/>
  <c r="HO160"/>
  <c r="HP160"/>
  <c r="HQ160"/>
  <c r="HR160"/>
  <c r="HS160"/>
  <c r="HT160"/>
  <c r="HU160"/>
  <c r="HV160"/>
  <c r="HW160"/>
  <c r="HX160"/>
  <c r="HY160"/>
  <c r="HZ160"/>
  <c r="IA160"/>
  <c r="IB160"/>
  <c r="IC160"/>
  <c r="ID160"/>
  <c r="IE160"/>
  <c r="IF160"/>
  <c r="IG160"/>
  <c r="IH160"/>
  <c r="II160"/>
  <c r="IJ160"/>
  <c r="IK160"/>
  <c r="IL160"/>
  <c r="IM160"/>
  <c r="IN160"/>
  <c r="IO160"/>
  <c r="IP160"/>
  <c r="IQ160"/>
  <c r="IR160"/>
  <c r="IS160"/>
  <c r="IT160"/>
  <c r="IU160"/>
  <c r="IV160"/>
  <c r="A161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Z161"/>
  <c r="AA161"/>
  <c r="AB161"/>
  <c r="AC161"/>
  <c r="AD161"/>
  <c r="AE161"/>
  <c r="AF161"/>
  <c r="AG161"/>
  <c r="AH161"/>
  <c r="AI161"/>
  <c r="AJ161"/>
  <c r="AK161"/>
  <c r="AL161"/>
  <c r="AM161"/>
  <c r="AN161"/>
  <c r="AO161"/>
  <c r="AP161"/>
  <c r="AQ161"/>
  <c r="AR161"/>
  <c r="AS161"/>
  <c r="AT161"/>
  <c r="AU161"/>
  <c r="AV161"/>
  <c r="AW161"/>
  <c r="AX161"/>
  <c r="AY161"/>
  <c r="AZ161"/>
  <c r="BA161"/>
  <c r="BB161"/>
  <c r="BC161"/>
  <c r="BD161"/>
  <c r="BE161"/>
  <c r="BF161"/>
  <c r="BG161"/>
  <c r="BH161"/>
  <c r="BI161"/>
  <c r="BJ161"/>
  <c r="BK161"/>
  <c r="BL161"/>
  <c r="BM161"/>
  <c r="BN161"/>
  <c r="BO161"/>
  <c r="BP161"/>
  <c r="BQ161"/>
  <c r="BR161"/>
  <c r="BS161"/>
  <c r="BT161"/>
  <c r="BU161"/>
  <c r="BV161"/>
  <c r="BW161"/>
  <c r="BX161"/>
  <c r="BY161"/>
  <c r="BZ161"/>
  <c r="CA161"/>
  <c r="CB161"/>
  <c r="CC161"/>
  <c r="CD161"/>
  <c r="CE161"/>
  <c r="CF161"/>
  <c r="CG161"/>
  <c r="CH161"/>
  <c r="CI161"/>
  <c r="CJ161"/>
  <c r="CK161"/>
  <c r="CL161"/>
  <c r="CM161"/>
  <c r="CN161"/>
  <c r="CO161"/>
  <c r="CP161"/>
  <c r="CQ161"/>
  <c r="CR161"/>
  <c r="CS161"/>
  <c r="CT161"/>
  <c r="CU161"/>
  <c r="CV161"/>
  <c r="CW161"/>
  <c r="CX161"/>
  <c r="CY161"/>
  <c r="CZ161"/>
  <c r="DA161"/>
  <c r="DB161"/>
  <c r="DC161"/>
  <c r="DD161"/>
  <c r="DE161"/>
  <c r="DF161"/>
  <c r="DG161"/>
  <c r="DH161"/>
  <c r="DI161"/>
  <c r="DJ161"/>
  <c r="DK161"/>
  <c r="DL161"/>
  <c r="DM161"/>
  <c r="DN161"/>
  <c r="DO161"/>
  <c r="DP161"/>
  <c r="DQ161"/>
  <c r="DR161"/>
  <c r="DS161"/>
  <c r="DT161"/>
  <c r="DU161"/>
  <c r="DV161"/>
  <c r="DW161"/>
  <c r="DX161"/>
  <c r="DY161"/>
  <c r="DZ161"/>
  <c r="EA161"/>
  <c r="EB161"/>
  <c r="EC161"/>
  <c r="ED161"/>
  <c r="EE161"/>
  <c r="EF161"/>
  <c r="EG161"/>
  <c r="EH161"/>
  <c r="EI161"/>
  <c r="EJ161"/>
  <c r="EK161"/>
  <c r="EL161"/>
  <c r="EM161"/>
  <c r="EN161"/>
  <c r="EO161"/>
  <c r="EP161"/>
  <c r="EQ161"/>
  <c r="ER161"/>
  <c r="ES161"/>
  <c r="ET161"/>
  <c r="EU161"/>
  <c r="EV161"/>
  <c r="EW161"/>
  <c r="EX161"/>
  <c r="EY161"/>
  <c r="EZ161"/>
  <c r="FA161"/>
  <c r="FB161"/>
  <c r="FC161"/>
  <c r="FD161"/>
  <c r="FE161"/>
  <c r="FF161"/>
  <c r="FG161"/>
  <c r="FH161"/>
  <c r="FI161"/>
  <c r="FJ161"/>
  <c r="FK161"/>
  <c r="FL161"/>
  <c r="FM161"/>
  <c r="FN161"/>
  <c r="FO161"/>
  <c r="FP161"/>
  <c r="FQ161"/>
  <c r="FR161"/>
  <c r="FS161"/>
  <c r="FT161"/>
  <c r="FU161"/>
  <c r="FV161"/>
  <c r="FW161"/>
  <c r="FX161"/>
  <c r="FY161"/>
  <c r="FZ161"/>
  <c r="GA161"/>
  <c r="GB161"/>
  <c r="GC161"/>
  <c r="GD161"/>
  <c r="GE161"/>
  <c r="GF161"/>
  <c r="GG161"/>
  <c r="GH161"/>
  <c r="GI161"/>
  <c r="GJ161"/>
  <c r="GK161"/>
  <c r="GL161"/>
  <c r="GM161"/>
  <c r="GN161"/>
  <c r="GO161"/>
  <c r="GP161"/>
  <c r="GQ161"/>
  <c r="GR161"/>
  <c r="GS161"/>
  <c r="GT161"/>
  <c r="GU161"/>
  <c r="GV161"/>
  <c r="GW161"/>
  <c r="GX161"/>
  <c r="GY161"/>
  <c r="GZ161"/>
  <c r="HA161"/>
  <c r="HB161"/>
  <c r="HC161"/>
  <c r="HD161"/>
  <c r="HE161"/>
  <c r="HF161"/>
  <c r="HG161"/>
  <c r="HH161"/>
  <c r="HI161"/>
  <c r="HJ161"/>
  <c r="HK161"/>
  <c r="HL161"/>
  <c r="HM161"/>
  <c r="HN161"/>
  <c r="HO161"/>
  <c r="HP161"/>
  <c r="HQ161"/>
  <c r="HR161"/>
  <c r="HS161"/>
  <c r="HT161"/>
  <c r="HU161"/>
  <c r="HV161"/>
  <c r="HW161"/>
  <c r="HX161"/>
  <c r="HY161"/>
  <c r="HZ161"/>
  <c r="IA161"/>
  <c r="IB161"/>
  <c r="IC161"/>
  <c r="ID161"/>
  <c r="IE161"/>
  <c r="IF161"/>
  <c r="IG161"/>
  <c r="IH161"/>
  <c r="II161"/>
  <c r="IJ161"/>
  <c r="IK161"/>
  <c r="IL161"/>
  <c r="IM161"/>
  <c r="IN161"/>
  <c r="IO161"/>
  <c r="IP161"/>
  <c r="IQ161"/>
  <c r="IR161"/>
  <c r="IS161"/>
  <c r="IT161"/>
  <c r="IU161"/>
  <c r="IV161"/>
  <c r="A162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Z162"/>
  <c r="AA162"/>
  <c r="AB162"/>
  <c r="AC162"/>
  <c r="AD162"/>
  <c r="AE162"/>
  <c r="AF162"/>
  <c r="AG162"/>
  <c r="AH162"/>
  <c r="AI162"/>
  <c r="AJ162"/>
  <c r="AK162"/>
  <c r="AL162"/>
  <c r="AM162"/>
  <c r="AN162"/>
  <c r="AO162"/>
  <c r="AP162"/>
  <c r="AQ162"/>
  <c r="AR162"/>
  <c r="AS162"/>
  <c r="AT162"/>
  <c r="AU162"/>
  <c r="AV162"/>
  <c r="AW162"/>
  <c r="AX162"/>
  <c r="AY162"/>
  <c r="AZ162"/>
  <c r="BA162"/>
  <c r="BB162"/>
  <c r="BC162"/>
  <c r="BD162"/>
  <c r="BE162"/>
  <c r="BF162"/>
  <c r="BG162"/>
  <c r="BH162"/>
  <c r="BI162"/>
  <c r="BJ162"/>
  <c r="BK162"/>
  <c r="BL162"/>
  <c r="BM162"/>
  <c r="BN162"/>
  <c r="BO162"/>
  <c r="BP162"/>
  <c r="BQ162"/>
  <c r="BR162"/>
  <c r="BS162"/>
  <c r="BT162"/>
  <c r="BU162"/>
  <c r="BV162"/>
  <c r="BW162"/>
  <c r="BX162"/>
  <c r="BY162"/>
  <c r="BZ162"/>
  <c r="CA162"/>
  <c r="CB162"/>
  <c r="CC162"/>
  <c r="CD162"/>
  <c r="CE162"/>
  <c r="CF162"/>
  <c r="CG162"/>
  <c r="CH162"/>
  <c r="CI162"/>
  <c r="CJ162"/>
  <c r="CK162"/>
  <c r="CL162"/>
  <c r="CM162"/>
  <c r="CN162"/>
  <c r="CO162"/>
  <c r="CP162"/>
  <c r="CQ162"/>
  <c r="CR162"/>
  <c r="CS162"/>
  <c r="CT162"/>
  <c r="CU162"/>
  <c r="CV162"/>
  <c r="CW162"/>
  <c r="CX162"/>
  <c r="CY162"/>
  <c r="CZ162"/>
  <c r="DA162"/>
  <c r="DB162"/>
  <c r="DC162"/>
  <c r="DD162"/>
  <c r="DE162"/>
  <c r="DF162"/>
  <c r="DG162"/>
  <c r="DH162"/>
  <c r="DI162"/>
  <c r="DJ162"/>
  <c r="DK162"/>
  <c r="DL162"/>
  <c r="DM162"/>
  <c r="DN162"/>
  <c r="DO162"/>
  <c r="DP162"/>
  <c r="DQ162"/>
  <c r="DR162"/>
  <c r="DS162"/>
  <c r="DT162"/>
  <c r="DU162"/>
  <c r="DV162"/>
  <c r="DW162"/>
  <c r="DX162"/>
  <c r="DY162"/>
  <c r="DZ162"/>
  <c r="EA162"/>
  <c r="EB162"/>
  <c r="EC162"/>
  <c r="ED162"/>
  <c r="EE162"/>
  <c r="EF162"/>
  <c r="EG162"/>
  <c r="EH162"/>
  <c r="EI162"/>
  <c r="EJ162"/>
  <c r="EK162"/>
  <c r="EL162"/>
  <c r="EM162"/>
  <c r="EN162"/>
  <c r="EO162"/>
  <c r="EP162"/>
  <c r="EQ162"/>
  <c r="ER162"/>
  <c r="ES162"/>
  <c r="ET162"/>
  <c r="EU162"/>
  <c r="EV162"/>
  <c r="EW162"/>
  <c r="EX162"/>
  <c r="EY162"/>
  <c r="EZ162"/>
  <c r="FA162"/>
  <c r="FB162"/>
  <c r="FC162"/>
  <c r="FD162"/>
  <c r="FE162"/>
  <c r="FF162"/>
  <c r="FG162"/>
  <c r="FH162"/>
  <c r="FI162"/>
  <c r="FJ162"/>
  <c r="FK162"/>
  <c r="FL162"/>
  <c r="FM162"/>
  <c r="FN162"/>
  <c r="FO162"/>
  <c r="FP162"/>
  <c r="FQ162"/>
  <c r="FR162"/>
  <c r="FS162"/>
  <c r="FT162"/>
  <c r="FU162"/>
  <c r="FV162"/>
  <c r="FW162"/>
  <c r="FX162"/>
  <c r="FY162"/>
  <c r="FZ162"/>
  <c r="GA162"/>
  <c r="GB162"/>
  <c r="GC162"/>
  <c r="GD162"/>
  <c r="GE162"/>
  <c r="GF162"/>
  <c r="GG162"/>
  <c r="GH162"/>
  <c r="GI162"/>
  <c r="GJ162"/>
  <c r="GK162"/>
  <c r="GL162"/>
  <c r="GM162"/>
  <c r="GN162"/>
  <c r="GO162"/>
  <c r="GP162"/>
  <c r="GQ162"/>
  <c r="GR162"/>
  <c r="GS162"/>
  <c r="GT162"/>
  <c r="GU162"/>
  <c r="GV162"/>
  <c r="GW162"/>
  <c r="GX162"/>
  <c r="GY162"/>
  <c r="GZ162"/>
  <c r="HA162"/>
  <c r="HB162"/>
  <c r="HC162"/>
  <c r="HD162"/>
  <c r="HE162"/>
  <c r="HF162"/>
  <c r="HG162"/>
  <c r="HH162"/>
  <c r="HI162"/>
  <c r="HJ162"/>
  <c r="HK162"/>
  <c r="HL162"/>
  <c r="HM162"/>
  <c r="HN162"/>
  <c r="HO162"/>
  <c r="HP162"/>
  <c r="HQ162"/>
  <c r="HR162"/>
  <c r="HS162"/>
  <c r="HT162"/>
  <c r="HU162"/>
  <c r="HV162"/>
  <c r="HW162"/>
  <c r="HX162"/>
  <c r="HY162"/>
  <c r="HZ162"/>
  <c r="IA162"/>
  <c r="IB162"/>
  <c r="IC162"/>
  <c r="ID162"/>
  <c r="IE162"/>
  <c r="IF162"/>
  <c r="IG162"/>
  <c r="IH162"/>
  <c r="II162"/>
  <c r="IJ162"/>
  <c r="IK162"/>
  <c r="IL162"/>
  <c r="IM162"/>
  <c r="IN162"/>
  <c r="IO162"/>
  <c r="IP162"/>
  <c r="IQ162"/>
  <c r="IR162"/>
  <c r="IS162"/>
  <c r="IT162"/>
  <c r="IU162"/>
  <c r="IV162"/>
  <c r="A163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AE163"/>
  <c r="AF163"/>
  <c r="AG163"/>
  <c r="AH163"/>
  <c r="AI163"/>
  <c r="AJ163"/>
  <c r="AK163"/>
  <c r="AL163"/>
  <c r="AM163"/>
  <c r="AN163"/>
  <c r="AO163"/>
  <c r="AP163"/>
  <c r="AQ163"/>
  <c r="AR163"/>
  <c r="AS163"/>
  <c r="AT163"/>
  <c r="AU163"/>
  <c r="AV163"/>
  <c r="AW163"/>
  <c r="AX163"/>
  <c r="AY163"/>
  <c r="AZ163"/>
  <c r="BA163"/>
  <c r="BB163"/>
  <c r="BC163"/>
  <c r="BD163"/>
  <c r="BE163"/>
  <c r="BF163"/>
  <c r="BG163"/>
  <c r="BH163"/>
  <c r="BI163"/>
  <c r="BJ163"/>
  <c r="BK163"/>
  <c r="BL163"/>
  <c r="BM163"/>
  <c r="BN163"/>
  <c r="BO163"/>
  <c r="BP163"/>
  <c r="BQ163"/>
  <c r="BR163"/>
  <c r="BS163"/>
  <c r="BT163"/>
  <c r="BU163"/>
  <c r="BV163"/>
  <c r="BW163"/>
  <c r="BX163"/>
  <c r="BY163"/>
  <c r="BZ163"/>
  <c r="CA163"/>
  <c r="CB163"/>
  <c r="CC163"/>
  <c r="CD163"/>
  <c r="CE163"/>
  <c r="CF163"/>
  <c r="CG163"/>
  <c r="CH163"/>
  <c r="CI163"/>
  <c r="CJ163"/>
  <c r="CK163"/>
  <c r="CL163"/>
  <c r="CM163"/>
  <c r="CN163"/>
  <c r="CO163"/>
  <c r="CP163"/>
  <c r="CQ163"/>
  <c r="CR163"/>
  <c r="CS163"/>
  <c r="CT163"/>
  <c r="CU163"/>
  <c r="CV163"/>
  <c r="CW163"/>
  <c r="CX163"/>
  <c r="CY163"/>
  <c r="CZ163"/>
  <c r="DA163"/>
  <c r="DB163"/>
  <c r="DC163"/>
  <c r="DD163"/>
  <c r="DE163"/>
  <c r="DF163"/>
  <c r="DG163"/>
  <c r="DH163"/>
  <c r="DI163"/>
  <c r="DJ163"/>
  <c r="DK163"/>
  <c r="DL163"/>
  <c r="DM163"/>
  <c r="DN163"/>
  <c r="DO163"/>
  <c r="DP163"/>
  <c r="DQ163"/>
  <c r="DR163"/>
  <c r="DS163"/>
  <c r="DT163"/>
  <c r="DU163"/>
  <c r="DV163"/>
  <c r="DW163"/>
  <c r="DX163"/>
  <c r="DY163"/>
  <c r="DZ163"/>
  <c r="EA163"/>
  <c r="EB163"/>
  <c r="EC163"/>
  <c r="ED163"/>
  <c r="EE163"/>
  <c r="EF163"/>
  <c r="EG163"/>
  <c r="EH163"/>
  <c r="EI163"/>
  <c r="EJ163"/>
  <c r="EK163"/>
  <c r="EL163"/>
  <c r="EM163"/>
  <c r="EN163"/>
  <c r="EO163"/>
  <c r="EP163"/>
  <c r="EQ163"/>
  <c r="ER163"/>
  <c r="ES163"/>
  <c r="ET163"/>
  <c r="EU163"/>
  <c r="EV163"/>
  <c r="EW163"/>
  <c r="EX163"/>
  <c r="EY163"/>
  <c r="EZ163"/>
  <c r="FA163"/>
  <c r="FB163"/>
  <c r="FC163"/>
  <c r="FD163"/>
  <c r="FE163"/>
  <c r="FF163"/>
  <c r="FG163"/>
  <c r="FH163"/>
  <c r="FI163"/>
  <c r="FJ163"/>
  <c r="FK163"/>
  <c r="FL163"/>
  <c r="FM163"/>
  <c r="FN163"/>
  <c r="FO163"/>
  <c r="FP163"/>
  <c r="FQ163"/>
  <c r="FR163"/>
  <c r="FS163"/>
  <c r="FT163"/>
  <c r="FU163"/>
  <c r="FV163"/>
  <c r="FW163"/>
  <c r="FX163"/>
  <c r="FY163"/>
  <c r="FZ163"/>
  <c r="GA163"/>
  <c r="GB163"/>
  <c r="GC163"/>
  <c r="GD163"/>
  <c r="GE163"/>
  <c r="GF163"/>
  <c r="GG163"/>
  <c r="GH163"/>
  <c r="GI163"/>
  <c r="GJ163"/>
  <c r="GK163"/>
  <c r="GL163"/>
  <c r="GM163"/>
  <c r="GN163"/>
  <c r="GO163"/>
  <c r="GP163"/>
  <c r="GQ163"/>
  <c r="GR163"/>
  <c r="GS163"/>
  <c r="GT163"/>
  <c r="GU163"/>
  <c r="GV163"/>
  <c r="GW163"/>
  <c r="GX163"/>
  <c r="GY163"/>
  <c r="GZ163"/>
  <c r="HA163"/>
  <c r="HB163"/>
  <c r="HC163"/>
  <c r="HD163"/>
  <c r="HE163"/>
  <c r="HF163"/>
  <c r="HG163"/>
  <c r="HH163"/>
  <c r="HI163"/>
  <c r="HJ163"/>
  <c r="HK163"/>
  <c r="HL163"/>
  <c r="HM163"/>
  <c r="HN163"/>
  <c r="HO163"/>
  <c r="HP163"/>
  <c r="HQ163"/>
  <c r="HR163"/>
  <c r="HS163"/>
  <c r="HT163"/>
  <c r="HU163"/>
  <c r="HV163"/>
  <c r="HW163"/>
  <c r="HX163"/>
  <c r="HY163"/>
  <c r="HZ163"/>
  <c r="IA163"/>
  <c r="IB163"/>
  <c r="IC163"/>
  <c r="ID163"/>
  <c r="IE163"/>
  <c r="IF163"/>
  <c r="IG163"/>
  <c r="IH163"/>
  <c r="II163"/>
  <c r="IJ163"/>
  <c r="IK163"/>
  <c r="IL163"/>
  <c r="IM163"/>
  <c r="IN163"/>
  <c r="IO163"/>
  <c r="IP163"/>
  <c r="IQ163"/>
  <c r="IR163"/>
  <c r="IS163"/>
  <c r="IT163"/>
  <c r="IU163"/>
  <c r="IV163"/>
  <c r="A164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AE164"/>
  <c r="AF164"/>
  <c r="AG164"/>
  <c r="AH164"/>
  <c r="AI164"/>
  <c r="AJ164"/>
  <c r="AK164"/>
  <c r="AL164"/>
  <c r="AM164"/>
  <c r="AN164"/>
  <c r="AO164"/>
  <c r="AP164"/>
  <c r="AQ164"/>
  <c r="AR164"/>
  <c r="AS164"/>
  <c r="AT164"/>
  <c r="AU164"/>
  <c r="AV164"/>
  <c r="AW164"/>
  <c r="AX164"/>
  <c r="AY164"/>
  <c r="AZ164"/>
  <c r="BA164"/>
  <c r="BB164"/>
  <c r="BC164"/>
  <c r="BD164"/>
  <c r="BE164"/>
  <c r="BF164"/>
  <c r="BG164"/>
  <c r="BH164"/>
  <c r="BI164"/>
  <c r="BJ164"/>
  <c r="BK164"/>
  <c r="BL164"/>
  <c r="BM164"/>
  <c r="BN164"/>
  <c r="BO164"/>
  <c r="BP164"/>
  <c r="BQ164"/>
  <c r="BR164"/>
  <c r="BS164"/>
  <c r="BT164"/>
  <c r="BU164"/>
  <c r="BV164"/>
  <c r="BW164"/>
  <c r="BX164"/>
  <c r="BY164"/>
  <c r="BZ164"/>
  <c r="CA164"/>
  <c r="CB164"/>
  <c r="CC164"/>
  <c r="CD164"/>
  <c r="CE164"/>
  <c r="CF164"/>
  <c r="CG164"/>
  <c r="CH164"/>
  <c r="CI164"/>
  <c r="CJ164"/>
  <c r="CK164"/>
  <c r="CL164"/>
  <c r="CM164"/>
  <c r="CN164"/>
  <c r="CO164"/>
  <c r="CP164"/>
  <c r="CQ164"/>
  <c r="CR164"/>
  <c r="CS164"/>
  <c r="CT164"/>
  <c r="CU164"/>
  <c r="CV164"/>
  <c r="CW164"/>
  <c r="CX164"/>
  <c r="CY164"/>
  <c r="CZ164"/>
  <c r="DA164"/>
  <c r="DB164"/>
  <c r="DC164"/>
  <c r="DD164"/>
  <c r="DE164"/>
  <c r="DF164"/>
  <c r="DG164"/>
  <c r="DH164"/>
  <c r="DI164"/>
  <c r="DJ164"/>
  <c r="DK164"/>
  <c r="DL164"/>
  <c r="DM164"/>
  <c r="DN164"/>
  <c r="DO164"/>
  <c r="DP164"/>
  <c r="DQ164"/>
  <c r="DR164"/>
  <c r="DS164"/>
  <c r="DT164"/>
  <c r="DU164"/>
  <c r="DV164"/>
  <c r="DW164"/>
  <c r="DX164"/>
  <c r="DY164"/>
  <c r="DZ164"/>
  <c r="EA164"/>
  <c r="EB164"/>
  <c r="EC164"/>
  <c r="ED164"/>
  <c r="EE164"/>
  <c r="EF164"/>
  <c r="EG164"/>
  <c r="EH164"/>
  <c r="EI164"/>
  <c r="EJ164"/>
  <c r="EK164"/>
  <c r="EL164"/>
  <c r="EM164"/>
  <c r="EN164"/>
  <c r="EO164"/>
  <c r="EP164"/>
  <c r="EQ164"/>
  <c r="ER164"/>
  <c r="ES164"/>
  <c r="ET164"/>
  <c r="EU164"/>
  <c r="EV164"/>
  <c r="EW164"/>
  <c r="EX164"/>
  <c r="EY164"/>
  <c r="EZ164"/>
  <c r="FA164"/>
  <c r="FB164"/>
  <c r="FC164"/>
  <c r="FD164"/>
  <c r="FE164"/>
  <c r="FF164"/>
  <c r="FG164"/>
  <c r="FH164"/>
  <c r="FI164"/>
  <c r="FJ164"/>
  <c r="FK164"/>
  <c r="FL164"/>
  <c r="FM164"/>
  <c r="FN164"/>
  <c r="FO164"/>
  <c r="FP164"/>
  <c r="FQ164"/>
  <c r="FR164"/>
  <c r="FS164"/>
  <c r="FT164"/>
  <c r="FU164"/>
  <c r="FV164"/>
  <c r="FW164"/>
  <c r="FX164"/>
  <c r="FY164"/>
  <c r="FZ164"/>
  <c r="GA164"/>
  <c r="GB164"/>
  <c r="GC164"/>
  <c r="GD164"/>
  <c r="GE164"/>
  <c r="GF164"/>
  <c r="GG164"/>
  <c r="GH164"/>
  <c r="GI164"/>
  <c r="GJ164"/>
  <c r="GK164"/>
  <c r="GL164"/>
  <c r="GM164"/>
  <c r="GN164"/>
  <c r="GO164"/>
  <c r="GP164"/>
  <c r="GQ164"/>
  <c r="GR164"/>
  <c r="GS164"/>
  <c r="GT164"/>
  <c r="GU164"/>
  <c r="GV164"/>
  <c r="GW164"/>
  <c r="GX164"/>
  <c r="GY164"/>
  <c r="GZ164"/>
  <c r="HA164"/>
  <c r="HB164"/>
  <c r="HC164"/>
  <c r="HD164"/>
  <c r="HE164"/>
  <c r="HF164"/>
  <c r="HG164"/>
  <c r="HH164"/>
  <c r="HI164"/>
  <c r="HJ164"/>
  <c r="HK164"/>
  <c r="HL164"/>
  <c r="HM164"/>
  <c r="HN164"/>
  <c r="HO164"/>
  <c r="HP164"/>
  <c r="HQ164"/>
  <c r="HR164"/>
  <c r="HS164"/>
  <c r="HT164"/>
  <c r="HU164"/>
  <c r="HV164"/>
  <c r="HW164"/>
  <c r="HX164"/>
  <c r="HY164"/>
  <c r="HZ164"/>
  <c r="IA164"/>
  <c r="IB164"/>
  <c r="IC164"/>
  <c r="ID164"/>
  <c r="IE164"/>
  <c r="IF164"/>
  <c r="IG164"/>
  <c r="IH164"/>
  <c r="II164"/>
  <c r="IJ164"/>
  <c r="IK164"/>
  <c r="IL164"/>
  <c r="IM164"/>
  <c r="IN164"/>
  <c r="IO164"/>
  <c r="IP164"/>
  <c r="IQ164"/>
  <c r="IR164"/>
  <c r="IS164"/>
  <c r="IT164"/>
  <c r="IU164"/>
  <c r="IV164"/>
  <c r="A165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AE165"/>
  <c r="AF165"/>
  <c r="AG165"/>
  <c r="AH165"/>
  <c r="AI165"/>
  <c r="AJ165"/>
  <c r="AK165"/>
  <c r="AL165"/>
  <c r="AM165"/>
  <c r="AN165"/>
  <c r="AO165"/>
  <c r="AP165"/>
  <c r="AQ165"/>
  <c r="AR165"/>
  <c r="AS165"/>
  <c r="AT165"/>
  <c r="AU165"/>
  <c r="AV165"/>
  <c r="AW165"/>
  <c r="AX165"/>
  <c r="AY165"/>
  <c r="AZ165"/>
  <c r="BA165"/>
  <c r="BB165"/>
  <c r="BC165"/>
  <c r="BD165"/>
  <c r="BE165"/>
  <c r="BF165"/>
  <c r="BG165"/>
  <c r="BH165"/>
  <c r="BI165"/>
  <c r="BJ165"/>
  <c r="BK165"/>
  <c r="BL165"/>
  <c r="BM165"/>
  <c r="BN165"/>
  <c r="BO165"/>
  <c r="BP165"/>
  <c r="BQ165"/>
  <c r="BR165"/>
  <c r="BS165"/>
  <c r="BT165"/>
  <c r="BU165"/>
  <c r="BV165"/>
  <c r="BW165"/>
  <c r="BX165"/>
  <c r="BY165"/>
  <c r="BZ165"/>
  <c r="CA165"/>
  <c r="CB165"/>
  <c r="CC165"/>
  <c r="CD165"/>
  <c r="CE165"/>
  <c r="CF165"/>
  <c r="CG165"/>
  <c r="CH165"/>
  <c r="CI165"/>
  <c r="CJ165"/>
  <c r="CK165"/>
  <c r="CL165"/>
  <c r="CM165"/>
  <c r="CN165"/>
  <c r="CO165"/>
  <c r="CP165"/>
  <c r="CQ165"/>
  <c r="CR165"/>
  <c r="CS165"/>
  <c r="CT165"/>
  <c r="CU165"/>
  <c r="CV165"/>
  <c r="CW165"/>
  <c r="CX165"/>
  <c r="CY165"/>
  <c r="CZ165"/>
  <c r="DA165"/>
  <c r="DB165"/>
  <c r="DC165"/>
  <c r="DD165"/>
  <c r="DE165"/>
  <c r="DF165"/>
  <c r="DG165"/>
  <c r="DH165"/>
  <c r="DI165"/>
  <c r="DJ165"/>
  <c r="DK165"/>
  <c r="DL165"/>
  <c r="DM165"/>
  <c r="DN165"/>
  <c r="DO165"/>
  <c r="DP165"/>
  <c r="DQ165"/>
  <c r="DR165"/>
  <c r="DS165"/>
  <c r="DT165"/>
  <c r="DU165"/>
  <c r="DV165"/>
  <c r="DW165"/>
  <c r="DX165"/>
  <c r="DY165"/>
  <c r="DZ165"/>
  <c r="EA165"/>
  <c r="EB165"/>
  <c r="EC165"/>
  <c r="ED165"/>
  <c r="EE165"/>
  <c r="EF165"/>
  <c r="EG165"/>
  <c r="EH165"/>
  <c r="EI165"/>
  <c r="EJ165"/>
  <c r="EK165"/>
  <c r="EL165"/>
  <c r="EM165"/>
  <c r="EN165"/>
  <c r="EO165"/>
  <c r="EP165"/>
  <c r="EQ165"/>
  <c r="ER165"/>
  <c r="ES165"/>
  <c r="ET165"/>
  <c r="EU165"/>
  <c r="EV165"/>
  <c r="EW165"/>
  <c r="EX165"/>
  <c r="EY165"/>
  <c r="EZ165"/>
  <c r="FA165"/>
  <c r="FB165"/>
  <c r="FC165"/>
  <c r="FD165"/>
  <c r="FE165"/>
  <c r="FF165"/>
  <c r="FG165"/>
  <c r="FH165"/>
  <c r="FI165"/>
  <c r="FJ165"/>
  <c r="FK165"/>
  <c r="FL165"/>
  <c r="FM165"/>
  <c r="FN165"/>
  <c r="FO165"/>
  <c r="FP165"/>
  <c r="FQ165"/>
  <c r="FR165"/>
  <c r="FS165"/>
  <c r="FT165"/>
  <c r="FU165"/>
  <c r="FV165"/>
  <c r="FW165"/>
  <c r="FX165"/>
  <c r="FY165"/>
  <c r="FZ165"/>
  <c r="GA165"/>
  <c r="GB165"/>
  <c r="GC165"/>
  <c r="GD165"/>
  <c r="GE165"/>
  <c r="GF165"/>
  <c r="GG165"/>
  <c r="GH165"/>
  <c r="GI165"/>
  <c r="GJ165"/>
  <c r="GK165"/>
  <c r="GL165"/>
  <c r="GM165"/>
  <c r="GN165"/>
  <c r="GO165"/>
  <c r="GP165"/>
  <c r="GQ165"/>
  <c r="GR165"/>
  <c r="GS165"/>
  <c r="GT165"/>
  <c r="GU165"/>
  <c r="GV165"/>
  <c r="GW165"/>
  <c r="GX165"/>
  <c r="GY165"/>
  <c r="GZ165"/>
  <c r="HA165"/>
  <c r="HB165"/>
  <c r="HC165"/>
  <c r="HD165"/>
  <c r="HE165"/>
  <c r="HF165"/>
  <c r="HG165"/>
  <c r="HH165"/>
  <c r="HI165"/>
  <c r="HJ165"/>
  <c r="HK165"/>
  <c r="HL165"/>
  <c r="HM165"/>
  <c r="HN165"/>
  <c r="HO165"/>
  <c r="HP165"/>
  <c r="HQ165"/>
  <c r="HR165"/>
  <c r="HS165"/>
  <c r="HT165"/>
  <c r="HU165"/>
  <c r="HV165"/>
  <c r="HW165"/>
  <c r="HX165"/>
  <c r="HY165"/>
  <c r="HZ165"/>
  <c r="IA165"/>
  <c r="IB165"/>
  <c r="IC165"/>
  <c r="ID165"/>
  <c r="IE165"/>
  <c r="IF165"/>
  <c r="IG165"/>
  <c r="IH165"/>
  <c r="II165"/>
  <c r="IJ165"/>
  <c r="IK165"/>
  <c r="IL165"/>
  <c r="IM165"/>
  <c r="IN165"/>
  <c r="IO165"/>
  <c r="IP165"/>
  <c r="IQ165"/>
  <c r="IR165"/>
  <c r="IS165"/>
  <c r="IT165"/>
  <c r="IU165"/>
  <c r="IV165"/>
  <c r="A166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AE166"/>
  <c r="AF166"/>
  <c r="AG166"/>
  <c r="AH166"/>
  <c r="AI166"/>
  <c r="AJ166"/>
  <c r="AK166"/>
  <c r="AL166"/>
  <c r="AM166"/>
  <c r="AN166"/>
  <c r="AO166"/>
  <c r="AP166"/>
  <c r="AQ166"/>
  <c r="AR166"/>
  <c r="AS166"/>
  <c r="AT166"/>
  <c r="AU166"/>
  <c r="AV166"/>
  <c r="AW166"/>
  <c r="AX166"/>
  <c r="AY166"/>
  <c r="AZ166"/>
  <c r="BA166"/>
  <c r="BB166"/>
  <c r="BC166"/>
  <c r="BD166"/>
  <c r="BE166"/>
  <c r="BF166"/>
  <c r="BG166"/>
  <c r="BH166"/>
  <c r="BI166"/>
  <c r="BJ166"/>
  <c r="BK166"/>
  <c r="BL166"/>
  <c r="BM166"/>
  <c r="BN166"/>
  <c r="BO166"/>
  <c r="BP166"/>
  <c r="BQ166"/>
  <c r="BR166"/>
  <c r="BS166"/>
  <c r="BT166"/>
  <c r="BU166"/>
  <c r="BV166"/>
  <c r="BW166"/>
  <c r="BX166"/>
  <c r="BY166"/>
  <c r="BZ166"/>
  <c r="CA166"/>
  <c r="CB166"/>
  <c r="CC166"/>
  <c r="CD166"/>
  <c r="CE166"/>
  <c r="CF166"/>
  <c r="CG166"/>
  <c r="CH166"/>
  <c r="CI166"/>
  <c r="CJ166"/>
  <c r="CK166"/>
  <c r="CL166"/>
  <c r="CM166"/>
  <c r="CN166"/>
  <c r="CO166"/>
  <c r="CP166"/>
  <c r="CQ166"/>
  <c r="CR166"/>
  <c r="CS166"/>
  <c r="CT166"/>
  <c r="CU166"/>
  <c r="CV166"/>
  <c r="CW166"/>
  <c r="CX166"/>
  <c r="CY166"/>
  <c r="CZ166"/>
  <c r="DA166"/>
  <c r="DB166"/>
  <c r="DC166"/>
  <c r="DD166"/>
  <c r="DE166"/>
  <c r="DF166"/>
  <c r="DG166"/>
  <c r="DH166"/>
  <c r="DI166"/>
  <c r="DJ166"/>
  <c r="DK166"/>
  <c r="DL166"/>
  <c r="DM166"/>
  <c r="DN166"/>
  <c r="DO166"/>
  <c r="DP166"/>
  <c r="DQ166"/>
  <c r="DR166"/>
  <c r="DS166"/>
  <c r="DT166"/>
  <c r="DU166"/>
  <c r="DV166"/>
  <c r="DW166"/>
  <c r="DX166"/>
  <c r="DY166"/>
  <c r="DZ166"/>
  <c r="EA166"/>
  <c r="EB166"/>
  <c r="EC166"/>
  <c r="ED166"/>
  <c r="EE166"/>
  <c r="EF166"/>
  <c r="EG166"/>
  <c r="EH166"/>
  <c r="EI166"/>
  <c r="EJ166"/>
  <c r="EK166"/>
  <c r="EL166"/>
  <c r="EM166"/>
  <c r="EN166"/>
  <c r="EO166"/>
  <c r="EP166"/>
  <c r="EQ166"/>
  <c r="ER166"/>
  <c r="ES166"/>
  <c r="ET166"/>
  <c r="EU166"/>
  <c r="EV166"/>
  <c r="EW166"/>
  <c r="EX166"/>
  <c r="EY166"/>
  <c r="EZ166"/>
  <c r="FA166"/>
  <c r="FB166"/>
  <c r="FC166"/>
  <c r="FD166"/>
  <c r="FE166"/>
  <c r="FF166"/>
  <c r="FG166"/>
  <c r="FH166"/>
  <c r="FI166"/>
  <c r="FJ166"/>
  <c r="FK166"/>
  <c r="FL166"/>
  <c r="FM166"/>
  <c r="FN166"/>
  <c r="FO166"/>
  <c r="FP166"/>
  <c r="FQ166"/>
  <c r="FR166"/>
  <c r="FS166"/>
  <c r="FT166"/>
  <c r="FU166"/>
  <c r="FV166"/>
  <c r="FW166"/>
  <c r="FX166"/>
  <c r="FY166"/>
  <c r="FZ166"/>
  <c r="GA166"/>
  <c r="GB166"/>
  <c r="GC166"/>
  <c r="GD166"/>
  <c r="GE166"/>
  <c r="GF166"/>
  <c r="GG166"/>
  <c r="GH166"/>
  <c r="GI166"/>
  <c r="GJ166"/>
  <c r="GK166"/>
  <c r="GL166"/>
  <c r="GM166"/>
  <c r="GN166"/>
  <c r="GO166"/>
  <c r="GP166"/>
  <c r="GQ166"/>
  <c r="GR166"/>
  <c r="GS166"/>
  <c r="GT166"/>
  <c r="GU166"/>
  <c r="GV166"/>
  <c r="GW166"/>
  <c r="GX166"/>
  <c r="GY166"/>
  <c r="GZ166"/>
  <c r="HA166"/>
  <c r="HB166"/>
  <c r="HC166"/>
  <c r="HD166"/>
  <c r="HE166"/>
  <c r="HF166"/>
  <c r="HG166"/>
  <c r="HH166"/>
  <c r="HI166"/>
  <c r="HJ166"/>
  <c r="HK166"/>
  <c r="HL166"/>
  <c r="HM166"/>
  <c r="HN166"/>
  <c r="HO166"/>
  <c r="HP166"/>
  <c r="HQ166"/>
  <c r="HR166"/>
  <c r="HS166"/>
  <c r="HT166"/>
  <c r="HU166"/>
  <c r="HV166"/>
  <c r="HW166"/>
  <c r="HX166"/>
  <c r="HY166"/>
  <c r="HZ166"/>
  <c r="IA166"/>
  <c r="IB166"/>
  <c r="IC166"/>
  <c r="ID166"/>
  <c r="IE166"/>
  <c r="IF166"/>
  <c r="IG166"/>
  <c r="IH166"/>
  <c r="II166"/>
  <c r="IJ166"/>
  <c r="IK166"/>
  <c r="IL166"/>
  <c r="IM166"/>
  <c r="IN166"/>
  <c r="IO166"/>
  <c r="IP166"/>
  <c r="IQ166"/>
  <c r="IR166"/>
  <c r="IS166"/>
  <c r="IT166"/>
  <c r="IU166"/>
  <c r="IV166"/>
  <c r="A167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AE167"/>
  <c r="AF167"/>
  <c r="AG167"/>
  <c r="AH167"/>
  <c r="AI167"/>
  <c r="AJ167"/>
  <c r="AK167"/>
  <c r="AL167"/>
  <c r="AM167"/>
  <c r="AN167"/>
  <c r="AO167"/>
  <c r="AP167"/>
  <c r="AQ167"/>
  <c r="AR167"/>
  <c r="AS167"/>
  <c r="AT167"/>
  <c r="AU167"/>
  <c r="AV167"/>
  <c r="AW167"/>
  <c r="AX167"/>
  <c r="AY167"/>
  <c r="AZ167"/>
  <c r="BA167"/>
  <c r="BB167"/>
  <c r="BC167"/>
  <c r="BD167"/>
  <c r="BE167"/>
  <c r="BF167"/>
  <c r="BG167"/>
  <c r="BH167"/>
  <c r="BI167"/>
  <c r="BJ167"/>
  <c r="BK167"/>
  <c r="BL167"/>
  <c r="BM167"/>
  <c r="BN167"/>
  <c r="BO167"/>
  <c r="BP167"/>
  <c r="BQ167"/>
  <c r="BR167"/>
  <c r="BS167"/>
  <c r="BT167"/>
  <c r="BU167"/>
  <c r="BV167"/>
  <c r="BW167"/>
  <c r="BX167"/>
  <c r="BY167"/>
  <c r="BZ167"/>
  <c r="CA167"/>
  <c r="CB167"/>
  <c r="CC167"/>
  <c r="CD167"/>
  <c r="CE167"/>
  <c r="CF167"/>
  <c r="CG167"/>
  <c r="CH167"/>
  <c r="CI167"/>
  <c r="CJ167"/>
  <c r="CK167"/>
  <c r="CL167"/>
  <c r="CM167"/>
  <c r="CN167"/>
  <c r="CO167"/>
  <c r="CP167"/>
  <c r="CQ167"/>
  <c r="CR167"/>
  <c r="CS167"/>
  <c r="CT167"/>
  <c r="CU167"/>
  <c r="CV167"/>
  <c r="CW167"/>
  <c r="CX167"/>
  <c r="CY167"/>
  <c r="CZ167"/>
  <c r="DA167"/>
  <c r="DB167"/>
  <c r="DC167"/>
  <c r="DD167"/>
  <c r="DE167"/>
  <c r="DF167"/>
  <c r="DG167"/>
  <c r="DH167"/>
  <c r="DI167"/>
  <c r="DJ167"/>
  <c r="DK167"/>
  <c r="DL167"/>
  <c r="DM167"/>
  <c r="DN167"/>
  <c r="DO167"/>
  <c r="DP167"/>
  <c r="DQ167"/>
  <c r="DR167"/>
  <c r="DS167"/>
  <c r="DT167"/>
  <c r="DU167"/>
  <c r="DV167"/>
  <c r="DW167"/>
  <c r="DX167"/>
  <c r="DY167"/>
  <c r="DZ167"/>
  <c r="EA167"/>
  <c r="EB167"/>
  <c r="EC167"/>
  <c r="ED167"/>
  <c r="EE167"/>
  <c r="EF167"/>
  <c r="EG167"/>
  <c r="EH167"/>
  <c r="EI167"/>
  <c r="EJ167"/>
  <c r="EK167"/>
  <c r="EL167"/>
  <c r="EM167"/>
  <c r="EN167"/>
  <c r="EO167"/>
  <c r="EP167"/>
  <c r="EQ167"/>
  <c r="ER167"/>
  <c r="ES167"/>
  <c r="ET167"/>
  <c r="EU167"/>
  <c r="EV167"/>
  <c r="EW167"/>
  <c r="EX167"/>
  <c r="EY167"/>
  <c r="EZ167"/>
  <c r="FA167"/>
  <c r="FB167"/>
  <c r="FC167"/>
  <c r="FD167"/>
  <c r="FE167"/>
  <c r="FF167"/>
  <c r="FG167"/>
  <c r="FH167"/>
  <c r="FI167"/>
  <c r="FJ167"/>
  <c r="FK167"/>
  <c r="FL167"/>
  <c r="FM167"/>
  <c r="FN167"/>
  <c r="FO167"/>
  <c r="FP167"/>
  <c r="FQ167"/>
  <c r="FR167"/>
  <c r="FS167"/>
  <c r="FT167"/>
  <c r="FU167"/>
  <c r="FV167"/>
  <c r="FW167"/>
  <c r="FX167"/>
  <c r="FY167"/>
  <c r="FZ167"/>
  <c r="GA167"/>
  <c r="GB167"/>
  <c r="GC167"/>
  <c r="GD167"/>
  <c r="GE167"/>
  <c r="GF167"/>
  <c r="GG167"/>
  <c r="GH167"/>
  <c r="GI167"/>
  <c r="GJ167"/>
  <c r="GK167"/>
  <c r="GL167"/>
  <c r="GM167"/>
  <c r="GN167"/>
  <c r="GO167"/>
  <c r="GP167"/>
  <c r="GQ167"/>
  <c r="GR167"/>
  <c r="GS167"/>
  <c r="GT167"/>
  <c r="GU167"/>
  <c r="GV167"/>
  <c r="GW167"/>
  <c r="GX167"/>
  <c r="GY167"/>
  <c r="GZ167"/>
  <c r="HA167"/>
  <c r="HB167"/>
  <c r="HC167"/>
  <c r="HD167"/>
  <c r="HE167"/>
  <c r="HF167"/>
  <c r="HG167"/>
  <c r="HH167"/>
  <c r="HI167"/>
  <c r="HJ167"/>
  <c r="HK167"/>
  <c r="HL167"/>
  <c r="HM167"/>
  <c r="HN167"/>
  <c r="HO167"/>
  <c r="HP167"/>
  <c r="HQ167"/>
  <c r="HR167"/>
  <c r="HS167"/>
  <c r="HT167"/>
  <c r="HU167"/>
  <c r="HV167"/>
  <c r="HW167"/>
  <c r="HX167"/>
  <c r="HY167"/>
  <c r="HZ167"/>
  <c r="IA167"/>
  <c r="IB167"/>
  <c r="IC167"/>
  <c r="ID167"/>
  <c r="IE167"/>
  <c r="IF167"/>
  <c r="IG167"/>
  <c r="IH167"/>
  <c r="II167"/>
  <c r="IJ167"/>
  <c r="IK167"/>
  <c r="IL167"/>
  <c r="IM167"/>
  <c r="IN167"/>
  <c r="IO167"/>
  <c r="IP167"/>
  <c r="IQ167"/>
  <c r="IR167"/>
  <c r="IS167"/>
  <c r="IT167"/>
  <c r="IU167"/>
  <c r="IV167"/>
  <c r="A168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AE168"/>
  <c r="AF168"/>
  <c r="AG168"/>
  <c r="AH168"/>
  <c r="AI168"/>
  <c r="AJ168"/>
  <c r="AK168"/>
  <c r="AL168"/>
  <c r="AM168"/>
  <c r="AN168"/>
  <c r="AO168"/>
  <c r="AP168"/>
  <c r="AQ168"/>
  <c r="AR168"/>
  <c r="AS168"/>
  <c r="AT168"/>
  <c r="AU168"/>
  <c r="AV168"/>
  <c r="AW168"/>
  <c r="AX168"/>
  <c r="AY168"/>
  <c r="AZ168"/>
  <c r="BA168"/>
  <c r="BB168"/>
  <c r="BC168"/>
  <c r="BD168"/>
  <c r="BE168"/>
  <c r="BF168"/>
  <c r="BG168"/>
  <c r="BH168"/>
  <c r="BI168"/>
  <c r="BJ168"/>
  <c r="BK168"/>
  <c r="BL168"/>
  <c r="BM168"/>
  <c r="BN168"/>
  <c r="BO168"/>
  <c r="BP168"/>
  <c r="BQ168"/>
  <c r="BR168"/>
  <c r="BS168"/>
  <c r="BT168"/>
  <c r="BU168"/>
  <c r="BV168"/>
  <c r="BW168"/>
  <c r="BX168"/>
  <c r="BY168"/>
  <c r="BZ168"/>
  <c r="CA168"/>
  <c r="CB168"/>
  <c r="CC168"/>
  <c r="CD168"/>
  <c r="CE168"/>
  <c r="CF168"/>
  <c r="CG168"/>
  <c r="CH168"/>
  <c r="CI168"/>
  <c r="CJ168"/>
  <c r="CK168"/>
  <c r="CL168"/>
  <c r="CM168"/>
  <c r="CN168"/>
  <c r="CO168"/>
  <c r="CP168"/>
  <c r="CQ168"/>
  <c r="CR168"/>
  <c r="CS168"/>
  <c r="CT168"/>
  <c r="CU168"/>
  <c r="CV168"/>
  <c r="CW168"/>
  <c r="CX168"/>
  <c r="CY168"/>
  <c r="CZ168"/>
  <c r="DA168"/>
  <c r="DB168"/>
  <c r="DC168"/>
  <c r="DD168"/>
  <c r="DE168"/>
  <c r="DF168"/>
  <c r="DG168"/>
  <c r="DH168"/>
  <c r="DI168"/>
  <c r="DJ168"/>
  <c r="DK168"/>
  <c r="DL168"/>
  <c r="DM168"/>
  <c r="DN168"/>
  <c r="DO168"/>
  <c r="DP168"/>
  <c r="DQ168"/>
  <c r="DR168"/>
  <c r="DS168"/>
  <c r="DT168"/>
  <c r="DU168"/>
  <c r="DV168"/>
  <c r="DW168"/>
  <c r="DX168"/>
  <c r="DY168"/>
  <c r="DZ168"/>
  <c r="EA168"/>
  <c r="EB168"/>
  <c r="EC168"/>
  <c r="ED168"/>
  <c r="EE168"/>
  <c r="EF168"/>
  <c r="EG168"/>
  <c r="EH168"/>
  <c r="EI168"/>
  <c r="EJ168"/>
  <c r="EK168"/>
  <c r="EL168"/>
  <c r="EM168"/>
  <c r="EN168"/>
  <c r="EO168"/>
  <c r="EP168"/>
  <c r="EQ168"/>
  <c r="ER168"/>
  <c r="ES168"/>
  <c r="ET168"/>
  <c r="EU168"/>
  <c r="EV168"/>
  <c r="EW168"/>
  <c r="EX168"/>
  <c r="EY168"/>
  <c r="EZ168"/>
  <c r="FA168"/>
  <c r="FB168"/>
  <c r="FC168"/>
  <c r="FD168"/>
  <c r="FE168"/>
  <c r="FF168"/>
  <c r="FG168"/>
  <c r="FH168"/>
  <c r="FI168"/>
  <c r="FJ168"/>
  <c r="FK168"/>
  <c r="FL168"/>
  <c r="FM168"/>
  <c r="FN168"/>
  <c r="FO168"/>
  <c r="FP168"/>
  <c r="FQ168"/>
  <c r="FR168"/>
  <c r="FS168"/>
  <c r="FT168"/>
  <c r="FU168"/>
  <c r="FV168"/>
  <c r="FW168"/>
  <c r="FX168"/>
  <c r="FY168"/>
  <c r="FZ168"/>
  <c r="GA168"/>
  <c r="GB168"/>
  <c r="GC168"/>
  <c r="GD168"/>
  <c r="GE168"/>
  <c r="GF168"/>
  <c r="GG168"/>
  <c r="GH168"/>
  <c r="GI168"/>
  <c r="GJ168"/>
  <c r="GK168"/>
  <c r="GL168"/>
  <c r="GM168"/>
  <c r="GN168"/>
  <c r="GO168"/>
  <c r="GP168"/>
  <c r="GQ168"/>
  <c r="GR168"/>
  <c r="GS168"/>
  <c r="GT168"/>
  <c r="GU168"/>
  <c r="GV168"/>
  <c r="GW168"/>
  <c r="GX168"/>
  <c r="GY168"/>
  <c r="GZ168"/>
  <c r="HA168"/>
  <c r="HB168"/>
  <c r="HC168"/>
  <c r="HD168"/>
  <c r="HE168"/>
  <c r="HF168"/>
  <c r="HG168"/>
  <c r="HH168"/>
  <c r="HI168"/>
  <c r="HJ168"/>
  <c r="HK168"/>
  <c r="HL168"/>
  <c r="HM168"/>
  <c r="HN168"/>
  <c r="HO168"/>
  <c r="HP168"/>
  <c r="HQ168"/>
  <c r="HR168"/>
  <c r="HS168"/>
  <c r="HT168"/>
  <c r="HU168"/>
  <c r="HV168"/>
  <c r="HW168"/>
  <c r="HX168"/>
  <c r="HY168"/>
  <c r="HZ168"/>
  <c r="IA168"/>
  <c r="IB168"/>
  <c r="IC168"/>
  <c r="ID168"/>
  <c r="IE168"/>
  <c r="IF168"/>
  <c r="IG168"/>
  <c r="IH168"/>
  <c r="II168"/>
  <c r="IJ168"/>
  <c r="IK168"/>
  <c r="IL168"/>
  <c r="IM168"/>
  <c r="IN168"/>
  <c r="IO168"/>
  <c r="IP168"/>
  <c r="IQ168"/>
  <c r="IR168"/>
  <c r="IS168"/>
  <c r="IT168"/>
  <c r="IU168"/>
  <c r="IV168"/>
  <c r="A169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AE169"/>
  <c r="AF169"/>
  <c r="AG169"/>
  <c r="AH169"/>
  <c r="AI169"/>
  <c r="AJ169"/>
  <c r="AK169"/>
  <c r="AL169"/>
  <c r="AM169"/>
  <c r="AN169"/>
  <c r="AO169"/>
  <c r="AP169"/>
  <c r="AQ169"/>
  <c r="AR169"/>
  <c r="AS169"/>
  <c r="AT169"/>
  <c r="AU169"/>
  <c r="AV169"/>
  <c r="AW169"/>
  <c r="AX169"/>
  <c r="AY169"/>
  <c r="AZ169"/>
  <c r="BA169"/>
  <c r="BB169"/>
  <c r="BC169"/>
  <c r="BD169"/>
  <c r="BE169"/>
  <c r="BF169"/>
  <c r="BG169"/>
  <c r="BH169"/>
  <c r="BI169"/>
  <c r="BJ169"/>
  <c r="BK169"/>
  <c r="BL169"/>
  <c r="BM169"/>
  <c r="BN169"/>
  <c r="BO169"/>
  <c r="BP169"/>
  <c r="BQ169"/>
  <c r="BR169"/>
  <c r="BS169"/>
  <c r="BT169"/>
  <c r="BU169"/>
  <c r="BV169"/>
  <c r="BW169"/>
  <c r="BX169"/>
  <c r="BY169"/>
  <c r="BZ169"/>
  <c r="CA169"/>
  <c r="CB169"/>
  <c r="CC169"/>
  <c r="CD169"/>
  <c r="CE169"/>
  <c r="CF169"/>
  <c r="CG169"/>
  <c r="CH169"/>
  <c r="CI169"/>
  <c r="CJ169"/>
  <c r="CK169"/>
  <c r="CL169"/>
  <c r="CM169"/>
  <c r="CN169"/>
  <c r="CO169"/>
  <c r="CP169"/>
  <c r="CQ169"/>
  <c r="CR169"/>
  <c r="CS169"/>
  <c r="CT169"/>
  <c r="CU169"/>
  <c r="CV169"/>
  <c r="CW169"/>
  <c r="CX169"/>
  <c r="CY169"/>
  <c r="CZ169"/>
  <c r="DA169"/>
  <c r="DB169"/>
  <c r="DC169"/>
  <c r="DD169"/>
  <c r="DE169"/>
  <c r="DF169"/>
  <c r="DG169"/>
  <c r="DH169"/>
  <c r="DI169"/>
  <c r="DJ169"/>
  <c r="DK169"/>
  <c r="DL169"/>
  <c r="DM169"/>
  <c r="DN169"/>
  <c r="DO169"/>
  <c r="DP169"/>
  <c r="DQ169"/>
  <c r="DR169"/>
  <c r="DS169"/>
  <c r="DT169"/>
  <c r="DU169"/>
  <c r="DV169"/>
  <c r="DW169"/>
  <c r="DX169"/>
  <c r="DY169"/>
  <c r="DZ169"/>
  <c r="EA169"/>
  <c r="EB169"/>
  <c r="EC169"/>
  <c r="ED169"/>
  <c r="EE169"/>
  <c r="EF169"/>
  <c r="EG169"/>
  <c r="EH169"/>
  <c r="EI169"/>
  <c r="EJ169"/>
  <c r="EK169"/>
  <c r="EL169"/>
  <c r="EM169"/>
  <c r="EN169"/>
  <c r="EO169"/>
  <c r="EP169"/>
  <c r="EQ169"/>
  <c r="ER169"/>
  <c r="ES169"/>
  <c r="ET169"/>
  <c r="EU169"/>
  <c r="EV169"/>
  <c r="EW169"/>
  <c r="EX169"/>
  <c r="EY169"/>
  <c r="EZ169"/>
  <c r="FA169"/>
  <c r="FB169"/>
  <c r="FC169"/>
  <c r="FD169"/>
  <c r="FE169"/>
  <c r="FF169"/>
  <c r="FG169"/>
  <c r="FH169"/>
  <c r="FI169"/>
  <c r="FJ169"/>
  <c r="FK169"/>
  <c r="FL169"/>
  <c r="FM169"/>
  <c r="FN169"/>
  <c r="FO169"/>
  <c r="FP169"/>
  <c r="FQ169"/>
  <c r="FR169"/>
  <c r="FS169"/>
  <c r="FT169"/>
  <c r="FU169"/>
  <c r="FV169"/>
  <c r="FW169"/>
  <c r="FX169"/>
  <c r="FY169"/>
  <c r="FZ169"/>
  <c r="GA169"/>
  <c r="GB169"/>
  <c r="GC169"/>
  <c r="GD169"/>
  <c r="GE169"/>
  <c r="GF169"/>
  <c r="GG169"/>
  <c r="GH169"/>
  <c r="GI169"/>
  <c r="GJ169"/>
  <c r="GK169"/>
  <c r="GL169"/>
  <c r="GM169"/>
  <c r="GN169"/>
  <c r="GO169"/>
  <c r="GP169"/>
  <c r="GQ169"/>
  <c r="GR169"/>
  <c r="GS169"/>
  <c r="GT169"/>
  <c r="GU169"/>
  <c r="GV169"/>
  <c r="GW169"/>
  <c r="GX169"/>
  <c r="GY169"/>
  <c r="GZ169"/>
  <c r="HA169"/>
  <c r="HB169"/>
  <c r="HC169"/>
  <c r="HD169"/>
  <c r="HE169"/>
  <c r="HF169"/>
  <c r="HG169"/>
  <c r="HH169"/>
  <c r="HI169"/>
  <c r="HJ169"/>
  <c r="HK169"/>
  <c r="HL169"/>
  <c r="HM169"/>
  <c r="HN169"/>
  <c r="HO169"/>
  <c r="HP169"/>
  <c r="HQ169"/>
  <c r="HR169"/>
  <c r="HS169"/>
  <c r="HT169"/>
  <c r="HU169"/>
  <c r="HV169"/>
  <c r="HW169"/>
  <c r="HX169"/>
  <c r="HY169"/>
  <c r="HZ169"/>
  <c r="IA169"/>
  <c r="IB169"/>
  <c r="IC169"/>
  <c r="ID169"/>
  <c r="IE169"/>
  <c r="IF169"/>
  <c r="IG169"/>
  <c r="IH169"/>
  <c r="II169"/>
  <c r="IJ169"/>
  <c r="IK169"/>
  <c r="IL169"/>
  <c r="IM169"/>
  <c r="IN169"/>
  <c r="IO169"/>
  <c r="IP169"/>
  <c r="IQ169"/>
  <c r="IR169"/>
  <c r="IS169"/>
  <c r="IT169"/>
  <c r="IU169"/>
  <c r="IV169"/>
  <c r="A170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AE170"/>
  <c r="AF170"/>
  <c r="AG170"/>
  <c r="AH170"/>
  <c r="AI170"/>
  <c r="AJ170"/>
  <c r="AK170"/>
  <c r="AL170"/>
  <c r="AM170"/>
  <c r="AN170"/>
  <c r="AO170"/>
  <c r="AP170"/>
  <c r="AQ170"/>
  <c r="AR170"/>
  <c r="AS170"/>
  <c r="AT170"/>
  <c r="AU170"/>
  <c r="AV170"/>
  <c r="AW170"/>
  <c r="AX170"/>
  <c r="AY170"/>
  <c r="AZ170"/>
  <c r="BA170"/>
  <c r="BB170"/>
  <c r="BC170"/>
  <c r="BD170"/>
  <c r="BE170"/>
  <c r="BF170"/>
  <c r="BG170"/>
  <c r="BH170"/>
  <c r="BI170"/>
  <c r="BJ170"/>
  <c r="BK170"/>
  <c r="BL170"/>
  <c r="BM170"/>
  <c r="BN170"/>
  <c r="BO170"/>
  <c r="BP170"/>
  <c r="BQ170"/>
  <c r="BR170"/>
  <c r="BS170"/>
  <c r="BT170"/>
  <c r="BU170"/>
  <c r="BV170"/>
  <c r="BW170"/>
  <c r="BX170"/>
  <c r="BY170"/>
  <c r="BZ170"/>
  <c r="CA170"/>
  <c r="CB170"/>
  <c r="CC170"/>
  <c r="CD170"/>
  <c r="CE170"/>
  <c r="CF170"/>
  <c r="CG170"/>
  <c r="CH170"/>
  <c r="CI170"/>
  <c r="CJ170"/>
  <c r="CK170"/>
  <c r="CL170"/>
  <c r="CM170"/>
  <c r="CN170"/>
  <c r="CO170"/>
  <c r="CP170"/>
  <c r="CQ170"/>
  <c r="CR170"/>
  <c r="CS170"/>
  <c r="CT170"/>
  <c r="CU170"/>
  <c r="CV170"/>
  <c r="CW170"/>
  <c r="CX170"/>
  <c r="CY170"/>
  <c r="CZ170"/>
  <c r="DA170"/>
  <c r="DB170"/>
  <c r="DC170"/>
  <c r="DD170"/>
  <c r="DE170"/>
  <c r="DF170"/>
  <c r="DG170"/>
  <c r="DH170"/>
  <c r="DI170"/>
  <c r="DJ170"/>
  <c r="DK170"/>
  <c r="DL170"/>
  <c r="DM170"/>
  <c r="DN170"/>
  <c r="DO170"/>
  <c r="DP170"/>
  <c r="DQ170"/>
  <c r="DR170"/>
  <c r="DS170"/>
  <c r="DT170"/>
  <c r="DU170"/>
  <c r="DV170"/>
  <c r="DW170"/>
  <c r="DX170"/>
  <c r="DY170"/>
  <c r="DZ170"/>
  <c r="EA170"/>
  <c r="EB170"/>
  <c r="EC170"/>
  <c r="ED170"/>
  <c r="EE170"/>
  <c r="EF170"/>
  <c r="EG170"/>
  <c r="EH170"/>
  <c r="EI170"/>
  <c r="EJ170"/>
  <c r="EK170"/>
  <c r="EL170"/>
  <c r="EM170"/>
  <c r="EN170"/>
  <c r="EO170"/>
  <c r="EP170"/>
  <c r="EQ170"/>
  <c r="ER170"/>
  <c r="ES170"/>
  <c r="ET170"/>
  <c r="EU170"/>
  <c r="EV170"/>
  <c r="EW170"/>
  <c r="EX170"/>
  <c r="EY170"/>
  <c r="EZ170"/>
  <c r="FA170"/>
  <c r="FB170"/>
  <c r="FC170"/>
  <c r="FD170"/>
  <c r="FE170"/>
  <c r="FF170"/>
  <c r="FG170"/>
  <c r="FH170"/>
  <c r="FI170"/>
  <c r="FJ170"/>
  <c r="FK170"/>
  <c r="FL170"/>
  <c r="FM170"/>
  <c r="FN170"/>
  <c r="FO170"/>
  <c r="FP170"/>
  <c r="FQ170"/>
  <c r="FR170"/>
  <c r="FS170"/>
  <c r="FT170"/>
  <c r="FU170"/>
  <c r="FV170"/>
  <c r="FW170"/>
  <c r="FX170"/>
  <c r="FY170"/>
  <c r="FZ170"/>
  <c r="GA170"/>
  <c r="GB170"/>
  <c r="GC170"/>
  <c r="GD170"/>
  <c r="GE170"/>
  <c r="GF170"/>
  <c r="GG170"/>
  <c r="GH170"/>
  <c r="GI170"/>
  <c r="GJ170"/>
  <c r="GK170"/>
  <c r="GL170"/>
  <c r="GM170"/>
  <c r="GN170"/>
  <c r="GO170"/>
  <c r="GP170"/>
  <c r="GQ170"/>
  <c r="GR170"/>
  <c r="GS170"/>
  <c r="GT170"/>
  <c r="GU170"/>
  <c r="GV170"/>
  <c r="GW170"/>
  <c r="GX170"/>
  <c r="GY170"/>
  <c r="GZ170"/>
  <c r="HA170"/>
  <c r="HB170"/>
  <c r="HC170"/>
  <c r="HD170"/>
  <c r="HE170"/>
  <c r="HF170"/>
  <c r="HG170"/>
  <c r="HH170"/>
  <c r="HI170"/>
  <c r="HJ170"/>
  <c r="HK170"/>
  <c r="HL170"/>
  <c r="HM170"/>
  <c r="HN170"/>
  <c r="HO170"/>
  <c r="HP170"/>
  <c r="HQ170"/>
  <c r="HR170"/>
  <c r="HS170"/>
  <c r="HT170"/>
  <c r="HU170"/>
  <c r="HV170"/>
  <c r="HW170"/>
  <c r="HX170"/>
  <c r="HY170"/>
  <c r="HZ170"/>
  <c r="IA170"/>
  <c r="IB170"/>
  <c r="IC170"/>
  <c r="ID170"/>
  <c r="IE170"/>
  <c r="IF170"/>
  <c r="IG170"/>
  <c r="IH170"/>
  <c r="II170"/>
  <c r="IJ170"/>
  <c r="IK170"/>
  <c r="IL170"/>
  <c r="IM170"/>
  <c r="IN170"/>
  <c r="IO170"/>
  <c r="IP170"/>
  <c r="IQ170"/>
  <c r="IR170"/>
  <c r="IS170"/>
  <c r="IT170"/>
  <c r="IU170"/>
  <c r="IV170"/>
  <c r="A171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AE171"/>
  <c r="AF171"/>
  <c r="AG171"/>
  <c r="AH171"/>
  <c r="AI171"/>
  <c r="AJ171"/>
  <c r="AK171"/>
  <c r="AL171"/>
  <c r="AM171"/>
  <c r="AN171"/>
  <c r="AO171"/>
  <c r="AP171"/>
  <c r="AQ171"/>
  <c r="AR171"/>
  <c r="AS171"/>
  <c r="AT171"/>
  <c r="AU171"/>
  <c r="AV171"/>
  <c r="AW171"/>
  <c r="AX171"/>
  <c r="AY171"/>
  <c r="AZ171"/>
  <c r="BA171"/>
  <c r="BB171"/>
  <c r="BC171"/>
  <c r="BD171"/>
  <c r="BE171"/>
  <c r="BF171"/>
  <c r="BG171"/>
  <c r="BH171"/>
  <c r="BI171"/>
  <c r="BJ171"/>
  <c r="BK171"/>
  <c r="BL171"/>
  <c r="BM171"/>
  <c r="BN171"/>
  <c r="BO171"/>
  <c r="BP171"/>
  <c r="BQ171"/>
  <c r="BR171"/>
  <c r="BS171"/>
  <c r="BT171"/>
  <c r="BU171"/>
  <c r="BV171"/>
  <c r="BW171"/>
  <c r="BX171"/>
  <c r="BY171"/>
  <c r="BZ171"/>
  <c r="CA171"/>
  <c r="CB171"/>
  <c r="CC171"/>
  <c r="CD171"/>
  <c r="CE171"/>
  <c r="CF171"/>
  <c r="CG171"/>
  <c r="CH171"/>
  <c r="CI171"/>
  <c r="CJ171"/>
  <c r="CK171"/>
  <c r="CL171"/>
  <c r="CM171"/>
  <c r="CN171"/>
  <c r="CO171"/>
  <c r="CP171"/>
  <c r="CQ171"/>
  <c r="CR171"/>
  <c r="CS171"/>
  <c r="CT171"/>
  <c r="CU171"/>
  <c r="CV171"/>
  <c r="CW171"/>
  <c r="CX171"/>
  <c r="CY171"/>
  <c r="CZ171"/>
  <c r="DA171"/>
  <c r="DB171"/>
  <c r="DC171"/>
  <c r="DD171"/>
  <c r="DE171"/>
  <c r="DF171"/>
  <c r="DG171"/>
  <c r="DH171"/>
  <c r="DI171"/>
  <c r="DJ171"/>
  <c r="DK171"/>
  <c r="DL171"/>
  <c r="DM171"/>
  <c r="DN171"/>
  <c r="DO171"/>
  <c r="DP171"/>
  <c r="DQ171"/>
  <c r="DR171"/>
  <c r="DS171"/>
  <c r="DT171"/>
  <c r="DU171"/>
  <c r="DV171"/>
  <c r="DW171"/>
  <c r="DX171"/>
  <c r="DY171"/>
  <c r="DZ171"/>
  <c r="EA171"/>
  <c r="EB171"/>
  <c r="EC171"/>
  <c r="ED171"/>
  <c r="EE171"/>
  <c r="EF171"/>
  <c r="EG171"/>
  <c r="EH171"/>
  <c r="EI171"/>
  <c r="EJ171"/>
  <c r="EK171"/>
  <c r="EL171"/>
  <c r="EM171"/>
  <c r="EN171"/>
  <c r="EO171"/>
  <c r="EP171"/>
  <c r="EQ171"/>
  <c r="ER171"/>
  <c r="ES171"/>
  <c r="ET171"/>
  <c r="EU171"/>
  <c r="EV171"/>
  <c r="EW171"/>
  <c r="EX171"/>
  <c r="EY171"/>
  <c r="EZ171"/>
  <c r="FA171"/>
  <c r="FB171"/>
  <c r="FC171"/>
  <c r="FD171"/>
  <c r="FE171"/>
  <c r="FF171"/>
  <c r="FG171"/>
  <c r="FH171"/>
  <c r="FI171"/>
  <c r="FJ171"/>
  <c r="FK171"/>
  <c r="FL171"/>
  <c r="FM171"/>
  <c r="FN171"/>
  <c r="FO171"/>
  <c r="FP171"/>
  <c r="FQ171"/>
  <c r="FR171"/>
  <c r="FS171"/>
  <c r="FT171"/>
  <c r="FU171"/>
  <c r="FV171"/>
  <c r="FW171"/>
  <c r="FX171"/>
  <c r="FY171"/>
  <c r="FZ171"/>
  <c r="GA171"/>
  <c r="GB171"/>
  <c r="GC171"/>
  <c r="GD171"/>
  <c r="GE171"/>
  <c r="GF171"/>
  <c r="GG171"/>
  <c r="GH171"/>
  <c r="GI171"/>
  <c r="GJ171"/>
  <c r="GK171"/>
  <c r="GL171"/>
  <c r="GM171"/>
  <c r="GN171"/>
  <c r="GO171"/>
  <c r="GP171"/>
  <c r="GQ171"/>
  <c r="GR171"/>
  <c r="GS171"/>
  <c r="GT171"/>
  <c r="GU171"/>
  <c r="GV171"/>
  <c r="GW171"/>
  <c r="GX171"/>
  <c r="GY171"/>
  <c r="GZ171"/>
  <c r="HA171"/>
  <c r="HB171"/>
  <c r="HC171"/>
  <c r="HD171"/>
  <c r="HE171"/>
  <c r="HF171"/>
  <c r="HG171"/>
  <c r="HH171"/>
  <c r="HI171"/>
  <c r="HJ171"/>
  <c r="HK171"/>
  <c r="HL171"/>
  <c r="HM171"/>
  <c r="HN171"/>
  <c r="HO171"/>
  <c r="HP171"/>
  <c r="HQ171"/>
  <c r="HR171"/>
  <c r="HS171"/>
  <c r="HT171"/>
  <c r="HU171"/>
  <c r="HV171"/>
  <c r="HW171"/>
  <c r="HX171"/>
  <c r="HY171"/>
  <c r="HZ171"/>
  <c r="IA171"/>
  <c r="IB171"/>
  <c r="IC171"/>
  <c r="ID171"/>
  <c r="IE171"/>
  <c r="IF171"/>
  <c r="IG171"/>
  <c r="IH171"/>
  <c r="II171"/>
  <c r="IJ171"/>
  <c r="IK171"/>
  <c r="IL171"/>
  <c r="IM171"/>
  <c r="IN171"/>
  <c r="IO171"/>
  <c r="IP171"/>
  <c r="IQ171"/>
  <c r="IR171"/>
  <c r="IS171"/>
  <c r="IT171"/>
  <c r="IU171"/>
  <c r="IV171"/>
  <c r="A172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AE172"/>
  <c r="AF172"/>
  <c r="AG172"/>
  <c r="AH172"/>
  <c r="AI172"/>
  <c r="AJ172"/>
  <c r="AK172"/>
  <c r="AL172"/>
  <c r="AM172"/>
  <c r="AN172"/>
  <c r="AO172"/>
  <c r="AP172"/>
  <c r="AQ172"/>
  <c r="AR172"/>
  <c r="AS172"/>
  <c r="AT172"/>
  <c r="AU172"/>
  <c r="AV172"/>
  <c r="AW172"/>
  <c r="AX172"/>
  <c r="AY172"/>
  <c r="AZ172"/>
  <c r="BA172"/>
  <c r="BB172"/>
  <c r="BC172"/>
  <c r="BD172"/>
  <c r="BE172"/>
  <c r="BF172"/>
  <c r="BG172"/>
  <c r="BH172"/>
  <c r="BI172"/>
  <c r="BJ172"/>
  <c r="BK172"/>
  <c r="BL172"/>
  <c r="BM172"/>
  <c r="BN172"/>
  <c r="BO172"/>
  <c r="BP172"/>
  <c r="BQ172"/>
  <c r="BR172"/>
  <c r="BS172"/>
  <c r="BT172"/>
  <c r="BU172"/>
  <c r="BV172"/>
  <c r="BW172"/>
  <c r="BX172"/>
  <c r="BY172"/>
  <c r="BZ172"/>
  <c r="CA172"/>
  <c r="CB172"/>
  <c r="CC172"/>
  <c r="CD172"/>
  <c r="CE172"/>
  <c r="CF172"/>
  <c r="CG172"/>
  <c r="CH172"/>
  <c r="CI172"/>
  <c r="CJ172"/>
  <c r="CK172"/>
  <c r="CL172"/>
  <c r="CM172"/>
  <c r="CN172"/>
  <c r="CO172"/>
  <c r="CP172"/>
  <c r="CQ172"/>
  <c r="CR172"/>
  <c r="CS172"/>
  <c r="CT172"/>
  <c r="CU172"/>
  <c r="CV172"/>
  <c r="CW172"/>
  <c r="CX172"/>
  <c r="CY172"/>
  <c r="CZ172"/>
  <c r="DA172"/>
  <c r="DB172"/>
  <c r="DC172"/>
  <c r="DD172"/>
  <c r="DE172"/>
  <c r="DF172"/>
  <c r="DG172"/>
  <c r="DH172"/>
  <c r="DI172"/>
  <c r="DJ172"/>
  <c r="DK172"/>
  <c r="DL172"/>
  <c r="DM172"/>
  <c r="DN172"/>
  <c r="DO172"/>
  <c r="DP172"/>
  <c r="DQ172"/>
  <c r="DR172"/>
  <c r="DS172"/>
  <c r="DT172"/>
  <c r="DU172"/>
  <c r="DV172"/>
  <c r="DW172"/>
  <c r="DX172"/>
  <c r="DY172"/>
  <c r="DZ172"/>
  <c r="EA172"/>
  <c r="EB172"/>
  <c r="EC172"/>
  <c r="ED172"/>
  <c r="EE172"/>
  <c r="EF172"/>
  <c r="EG172"/>
  <c r="EH172"/>
  <c r="EI172"/>
  <c r="EJ172"/>
  <c r="EK172"/>
  <c r="EL172"/>
  <c r="EM172"/>
  <c r="EN172"/>
  <c r="EO172"/>
  <c r="EP172"/>
  <c r="EQ172"/>
  <c r="ER172"/>
  <c r="ES172"/>
  <c r="ET172"/>
  <c r="EU172"/>
  <c r="EV172"/>
  <c r="EW172"/>
  <c r="EX172"/>
  <c r="EY172"/>
  <c r="EZ172"/>
  <c r="FA172"/>
  <c r="FB172"/>
  <c r="FC172"/>
  <c r="FD172"/>
  <c r="FE172"/>
  <c r="FF172"/>
  <c r="FG172"/>
  <c r="FH172"/>
  <c r="FI172"/>
  <c r="FJ172"/>
  <c r="FK172"/>
  <c r="FL172"/>
  <c r="FM172"/>
  <c r="FN172"/>
  <c r="FO172"/>
  <c r="FP172"/>
  <c r="FQ172"/>
  <c r="FR172"/>
  <c r="FS172"/>
  <c r="FT172"/>
  <c r="FU172"/>
  <c r="FV172"/>
  <c r="FW172"/>
  <c r="FX172"/>
  <c r="FY172"/>
  <c r="FZ172"/>
  <c r="GA172"/>
  <c r="GB172"/>
  <c r="GC172"/>
  <c r="GD172"/>
  <c r="GE172"/>
  <c r="GF172"/>
  <c r="GG172"/>
  <c r="GH172"/>
  <c r="GI172"/>
  <c r="GJ172"/>
  <c r="GK172"/>
  <c r="GL172"/>
  <c r="GM172"/>
  <c r="GN172"/>
  <c r="GO172"/>
  <c r="GP172"/>
  <c r="GQ172"/>
  <c r="GR172"/>
  <c r="GS172"/>
  <c r="GT172"/>
  <c r="GU172"/>
  <c r="GV172"/>
  <c r="GW172"/>
  <c r="GX172"/>
  <c r="GY172"/>
  <c r="GZ172"/>
  <c r="HA172"/>
  <c r="HB172"/>
  <c r="HC172"/>
  <c r="HD172"/>
  <c r="HE172"/>
  <c r="HF172"/>
  <c r="HG172"/>
  <c r="HH172"/>
  <c r="HI172"/>
  <c r="HJ172"/>
  <c r="HK172"/>
  <c r="HL172"/>
  <c r="HM172"/>
  <c r="HN172"/>
  <c r="HO172"/>
  <c r="HP172"/>
  <c r="HQ172"/>
  <c r="HR172"/>
  <c r="HS172"/>
  <c r="HT172"/>
  <c r="HU172"/>
  <c r="HV172"/>
  <c r="HW172"/>
  <c r="HX172"/>
  <c r="HY172"/>
  <c r="HZ172"/>
  <c r="IA172"/>
  <c r="IB172"/>
  <c r="IC172"/>
  <c r="ID172"/>
  <c r="IE172"/>
  <c r="IF172"/>
  <c r="IG172"/>
  <c r="IH172"/>
  <c r="II172"/>
  <c r="IJ172"/>
  <c r="IK172"/>
  <c r="IL172"/>
  <c r="IM172"/>
  <c r="IN172"/>
  <c r="IO172"/>
  <c r="IP172"/>
  <c r="IQ172"/>
  <c r="IR172"/>
  <c r="IS172"/>
  <c r="IT172"/>
  <c r="IU172"/>
  <c r="IV172"/>
  <c r="A173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AE173"/>
  <c r="AF173"/>
  <c r="AG173"/>
  <c r="AH173"/>
  <c r="AI173"/>
  <c r="AJ173"/>
  <c r="AK173"/>
  <c r="AL173"/>
  <c r="AM173"/>
  <c r="AN173"/>
  <c r="AO173"/>
  <c r="AP173"/>
  <c r="AQ173"/>
  <c r="AR173"/>
  <c r="AS173"/>
  <c r="AT173"/>
  <c r="AU173"/>
  <c r="AV173"/>
  <c r="AW173"/>
  <c r="AX173"/>
  <c r="AY173"/>
  <c r="AZ173"/>
  <c r="BA173"/>
  <c r="BB173"/>
  <c r="BC173"/>
  <c r="BD173"/>
  <c r="BE173"/>
  <c r="BF173"/>
  <c r="BG173"/>
  <c r="BH173"/>
  <c r="BI173"/>
  <c r="BJ173"/>
  <c r="BK173"/>
  <c r="BL173"/>
  <c r="BM173"/>
  <c r="BN173"/>
  <c r="BO173"/>
  <c r="BP173"/>
  <c r="BQ173"/>
  <c r="BR173"/>
  <c r="BS173"/>
  <c r="BT173"/>
  <c r="BU173"/>
  <c r="BV173"/>
  <c r="BW173"/>
  <c r="BX173"/>
  <c r="BY173"/>
  <c r="BZ173"/>
  <c r="CA173"/>
  <c r="CB173"/>
  <c r="CC173"/>
  <c r="CD173"/>
  <c r="CE173"/>
  <c r="CF173"/>
  <c r="CG173"/>
  <c r="CH173"/>
  <c r="CI173"/>
  <c r="CJ173"/>
  <c r="CK173"/>
  <c r="CL173"/>
  <c r="CM173"/>
  <c r="CN173"/>
  <c r="CO173"/>
  <c r="CP173"/>
  <c r="CQ173"/>
  <c r="CR173"/>
  <c r="CS173"/>
  <c r="CT173"/>
  <c r="CU173"/>
  <c r="CV173"/>
  <c r="CW173"/>
  <c r="CX173"/>
  <c r="CY173"/>
  <c r="CZ173"/>
  <c r="DA173"/>
  <c r="DB173"/>
  <c r="DC173"/>
  <c r="DD173"/>
  <c r="DE173"/>
  <c r="DF173"/>
  <c r="DG173"/>
  <c r="DH173"/>
  <c r="DI173"/>
  <c r="DJ173"/>
  <c r="DK173"/>
  <c r="DL173"/>
  <c r="DM173"/>
  <c r="DN173"/>
  <c r="DO173"/>
  <c r="DP173"/>
  <c r="DQ173"/>
  <c r="DR173"/>
  <c r="DS173"/>
  <c r="DT173"/>
  <c r="DU173"/>
  <c r="DV173"/>
  <c r="DW173"/>
  <c r="DX173"/>
  <c r="DY173"/>
  <c r="DZ173"/>
  <c r="EA173"/>
  <c r="EB173"/>
  <c r="EC173"/>
  <c r="ED173"/>
  <c r="EE173"/>
  <c r="EF173"/>
  <c r="EG173"/>
  <c r="EH173"/>
  <c r="EI173"/>
  <c r="EJ173"/>
  <c r="EK173"/>
  <c r="EL173"/>
  <c r="EM173"/>
  <c r="EN173"/>
  <c r="EO173"/>
  <c r="EP173"/>
  <c r="EQ173"/>
  <c r="ER173"/>
  <c r="ES173"/>
  <c r="ET173"/>
  <c r="EU173"/>
  <c r="EV173"/>
  <c r="EW173"/>
  <c r="EX173"/>
  <c r="EY173"/>
  <c r="EZ173"/>
  <c r="FA173"/>
  <c r="FB173"/>
  <c r="FC173"/>
  <c r="FD173"/>
  <c r="FE173"/>
  <c r="FF173"/>
  <c r="FG173"/>
  <c r="FH173"/>
  <c r="FI173"/>
  <c r="FJ173"/>
  <c r="FK173"/>
  <c r="FL173"/>
  <c r="FM173"/>
  <c r="FN173"/>
  <c r="FO173"/>
  <c r="FP173"/>
  <c r="FQ173"/>
  <c r="FR173"/>
  <c r="FS173"/>
  <c r="FT173"/>
  <c r="FU173"/>
  <c r="FV173"/>
  <c r="FW173"/>
  <c r="FX173"/>
  <c r="FY173"/>
  <c r="FZ173"/>
  <c r="GA173"/>
  <c r="GB173"/>
  <c r="GC173"/>
  <c r="GD173"/>
  <c r="GE173"/>
  <c r="GF173"/>
  <c r="GG173"/>
  <c r="GH173"/>
  <c r="GI173"/>
  <c r="GJ173"/>
  <c r="GK173"/>
  <c r="GL173"/>
  <c r="GM173"/>
  <c r="GN173"/>
  <c r="GO173"/>
  <c r="GP173"/>
  <c r="GQ173"/>
  <c r="GR173"/>
  <c r="GS173"/>
  <c r="GT173"/>
  <c r="GU173"/>
  <c r="GV173"/>
  <c r="GW173"/>
  <c r="GX173"/>
  <c r="GY173"/>
  <c r="GZ173"/>
  <c r="HA173"/>
  <c r="HB173"/>
  <c r="HC173"/>
  <c r="HD173"/>
  <c r="HE173"/>
  <c r="HF173"/>
  <c r="HG173"/>
  <c r="HH173"/>
  <c r="HI173"/>
  <c r="HJ173"/>
  <c r="HK173"/>
  <c r="HL173"/>
  <c r="HM173"/>
  <c r="HN173"/>
  <c r="HO173"/>
  <c r="HP173"/>
  <c r="HQ173"/>
  <c r="HR173"/>
  <c r="HS173"/>
  <c r="HT173"/>
  <c r="HU173"/>
  <c r="HV173"/>
  <c r="HW173"/>
  <c r="HX173"/>
  <c r="HY173"/>
  <c r="HZ173"/>
  <c r="IA173"/>
  <c r="IB173"/>
  <c r="IC173"/>
  <c r="ID173"/>
  <c r="IE173"/>
  <c r="IF173"/>
  <c r="IG173"/>
  <c r="IH173"/>
  <c r="II173"/>
  <c r="IJ173"/>
  <c r="IK173"/>
  <c r="IL173"/>
  <c r="IM173"/>
  <c r="IN173"/>
  <c r="IO173"/>
  <c r="IP173"/>
  <c r="IQ173"/>
  <c r="IR173"/>
  <c r="IS173"/>
  <c r="IT173"/>
  <c r="IU173"/>
  <c r="IV173"/>
  <c r="A174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AE174"/>
  <c r="AF174"/>
  <c r="AG174"/>
  <c r="AH174"/>
  <c r="AI174"/>
  <c r="AJ174"/>
  <c r="AK174"/>
  <c r="AL174"/>
  <c r="AM174"/>
  <c r="AN174"/>
  <c r="AO174"/>
  <c r="AP174"/>
  <c r="AQ174"/>
  <c r="AR174"/>
  <c r="AS174"/>
  <c r="AT174"/>
  <c r="AU174"/>
  <c r="AV174"/>
  <c r="AW174"/>
  <c r="AX174"/>
  <c r="AY174"/>
  <c r="AZ174"/>
  <c r="BA174"/>
  <c r="BB174"/>
  <c r="BC174"/>
  <c r="BD174"/>
  <c r="BE174"/>
  <c r="BF174"/>
  <c r="BG174"/>
  <c r="BH174"/>
  <c r="BI174"/>
  <c r="BJ174"/>
  <c r="BK174"/>
  <c r="BL174"/>
  <c r="BM174"/>
  <c r="BN174"/>
  <c r="BO174"/>
  <c r="BP174"/>
  <c r="BQ174"/>
  <c r="BR174"/>
  <c r="BS174"/>
  <c r="BT174"/>
  <c r="BU174"/>
  <c r="BV174"/>
  <c r="BW174"/>
  <c r="BX174"/>
  <c r="BY174"/>
  <c r="BZ174"/>
  <c r="CA174"/>
  <c r="CB174"/>
  <c r="CC174"/>
  <c r="CD174"/>
  <c r="CE174"/>
  <c r="CF174"/>
  <c r="CG174"/>
  <c r="CH174"/>
  <c r="CI174"/>
  <c r="CJ174"/>
  <c r="CK174"/>
  <c r="CL174"/>
  <c r="CM174"/>
  <c r="CN174"/>
  <c r="CO174"/>
  <c r="CP174"/>
  <c r="CQ174"/>
  <c r="CR174"/>
  <c r="CS174"/>
  <c r="CT174"/>
  <c r="CU174"/>
  <c r="CV174"/>
  <c r="CW174"/>
  <c r="CX174"/>
  <c r="CY174"/>
  <c r="CZ174"/>
  <c r="DA174"/>
  <c r="DB174"/>
  <c r="DC174"/>
  <c r="DD174"/>
  <c r="DE174"/>
  <c r="DF174"/>
  <c r="DG174"/>
  <c r="DH174"/>
  <c r="DI174"/>
  <c r="DJ174"/>
  <c r="DK174"/>
  <c r="DL174"/>
  <c r="DM174"/>
  <c r="DN174"/>
  <c r="DO174"/>
  <c r="DP174"/>
  <c r="DQ174"/>
  <c r="DR174"/>
  <c r="DS174"/>
  <c r="DT174"/>
  <c r="DU174"/>
  <c r="DV174"/>
  <c r="DW174"/>
  <c r="DX174"/>
  <c r="DY174"/>
  <c r="DZ174"/>
  <c r="EA174"/>
  <c r="EB174"/>
  <c r="EC174"/>
  <c r="ED174"/>
  <c r="EE174"/>
  <c r="EF174"/>
  <c r="EG174"/>
  <c r="EH174"/>
  <c r="EI174"/>
  <c r="EJ174"/>
  <c r="EK174"/>
  <c r="EL174"/>
  <c r="EM174"/>
  <c r="EN174"/>
  <c r="EO174"/>
  <c r="EP174"/>
  <c r="EQ174"/>
  <c r="ER174"/>
  <c r="ES174"/>
  <c r="ET174"/>
  <c r="EU174"/>
  <c r="EV174"/>
  <c r="EW174"/>
  <c r="EX174"/>
  <c r="EY174"/>
  <c r="EZ174"/>
  <c r="FA174"/>
  <c r="FB174"/>
  <c r="FC174"/>
  <c r="FD174"/>
  <c r="FE174"/>
  <c r="FF174"/>
  <c r="FG174"/>
  <c r="FH174"/>
  <c r="FI174"/>
  <c r="FJ174"/>
  <c r="FK174"/>
  <c r="FL174"/>
  <c r="FM174"/>
  <c r="FN174"/>
  <c r="FO174"/>
  <c r="FP174"/>
  <c r="FQ174"/>
  <c r="FR174"/>
  <c r="FS174"/>
  <c r="FT174"/>
  <c r="FU174"/>
  <c r="FV174"/>
  <c r="FW174"/>
  <c r="FX174"/>
  <c r="FY174"/>
  <c r="FZ174"/>
  <c r="GA174"/>
  <c r="GB174"/>
  <c r="GC174"/>
  <c r="GD174"/>
  <c r="GE174"/>
  <c r="GF174"/>
  <c r="GG174"/>
  <c r="GH174"/>
  <c r="GI174"/>
  <c r="GJ174"/>
  <c r="GK174"/>
  <c r="GL174"/>
  <c r="GM174"/>
  <c r="GN174"/>
  <c r="GO174"/>
  <c r="GP174"/>
  <c r="GQ174"/>
  <c r="GR174"/>
  <c r="GS174"/>
  <c r="GT174"/>
  <c r="GU174"/>
  <c r="GV174"/>
  <c r="GW174"/>
  <c r="GX174"/>
  <c r="GY174"/>
  <c r="GZ174"/>
  <c r="HA174"/>
  <c r="HB174"/>
  <c r="HC174"/>
  <c r="HD174"/>
  <c r="HE174"/>
  <c r="HF174"/>
  <c r="HG174"/>
  <c r="HH174"/>
  <c r="HI174"/>
  <c r="HJ174"/>
  <c r="HK174"/>
  <c r="HL174"/>
  <c r="HM174"/>
  <c r="HN174"/>
  <c r="HO174"/>
  <c r="HP174"/>
  <c r="HQ174"/>
  <c r="HR174"/>
  <c r="HS174"/>
  <c r="HT174"/>
  <c r="HU174"/>
  <c r="HV174"/>
  <c r="HW174"/>
  <c r="HX174"/>
  <c r="HY174"/>
  <c r="HZ174"/>
  <c r="IA174"/>
  <c r="IB174"/>
  <c r="IC174"/>
  <c r="ID174"/>
  <c r="IE174"/>
  <c r="IF174"/>
  <c r="IG174"/>
  <c r="IH174"/>
  <c r="II174"/>
  <c r="IJ174"/>
  <c r="IK174"/>
  <c r="IL174"/>
  <c r="IM174"/>
  <c r="IN174"/>
  <c r="IO174"/>
  <c r="IP174"/>
  <c r="IQ174"/>
  <c r="IR174"/>
  <c r="IS174"/>
  <c r="IT174"/>
  <c r="IU174"/>
  <c r="IV174"/>
  <c r="A175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AE175"/>
  <c r="AF175"/>
  <c r="AG175"/>
  <c r="AH175"/>
  <c r="AI175"/>
  <c r="AJ175"/>
  <c r="AK175"/>
  <c r="AL175"/>
  <c r="AM175"/>
  <c r="AN175"/>
  <c r="AO175"/>
  <c r="AP175"/>
  <c r="AQ175"/>
  <c r="AR175"/>
  <c r="AS175"/>
  <c r="AT175"/>
  <c r="AU175"/>
  <c r="AV175"/>
  <c r="AW175"/>
  <c r="AX175"/>
  <c r="AY175"/>
  <c r="AZ175"/>
  <c r="BA175"/>
  <c r="BB175"/>
  <c r="BC175"/>
  <c r="BD175"/>
  <c r="BE175"/>
  <c r="BF175"/>
  <c r="BG175"/>
  <c r="BH175"/>
  <c r="BI175"/>
  <c r="BJ175"/>
  <c r="BK175"/>
  <c r="BL175"/>
  <c r="BM175"/>
  <c r="BN175"/>
  <c r="BO175"/>
  <c r="BP175"/>
  <c r="BQ175"/>
  <c r="BR175"/>
  <c r="BS175"/>
  <c r="BT175"/>
  <c r="BU175"/>
  <c r="BV175"/>
  <c r="BW175"/>
  <c r="BX175"/>
  <c r="BY175"/>
  <c r="BZ175"/>
  <c r="CA175"/>
  <c r="CB175"/>
  <c r="CC175"/>
  <c r="CD175"/>
  <c r="CE175"/>
  <c r="CF175"/>
  <c r="CG175"/>
  <c r="CH175"/>
  <c r="CI175"/>
  <c r="CJ175"/>
  <c r="CK175"/>
  <c r="CL175"/>
  <c r="CM175"/>
  <c r="CN175"/>
  <c r="CO175"/>
  <c r="CP175"/>
  <c r="CQ175"/>
  <c r="CR175"/>
  <c r="CS175"/>
  <c r="CT175"/>
  <c r="CU175"/>
  <c r="CV175"/>
  <c r="CW175"/>
  <c r="CX175"/>
  <c r="CY175"/>
  <c r="CZ175"/>
  <c r="DA175"/>
  <c r="DB175"/>
  <c r="DC175"/>
  <c r="DD175"/>
  <c r="DE175"/>
  <c r="DF175"/>
  <c r="DG175"/>
  <c r="DH175"/>
  <c r="DI175"/>
  <c r="DJ175"/>
  <c r="DK175"/>
  <c r="DL175"/>
  <c r="DM175"/>
  <c r="DN175"/>
  <c r="DO175"/>
  <c r="DP175"/>
  <c r="DQ175"/>
  <c r="DR175"/>
  <c r="DS175"/>
  <c r="DT175"/>
  <c r="DU175"/>
  <c r="DV175"/>
  <c r="DW175"/>
  <c r="DX175"/>
  <c r="DY175"/>
  <c r="DZ175"/>
  <c r="EA175"/>
  <c r="EB175"/>
  <c r="EC175"/>
  <c r="ED175"/>
  <c r="EE175"/>
  <c r="EF175"/>
  <c r="EG175"/>
  <c r="EH175"/>
  <c r="EI175"/>
  <c r="EJ175"/>
  <c r="EK175"/>
  <c r="EL175"/>
  <c r="EM175"/>
  <c r="EN175"/>
  <c r="EO175"/>
  <c r="EP175"/>
  <c r="EQ175"/>
  <c r="ER175"/>
  <c r="ES175"/>
  <c r="ET175"/>
  <c r="EU175"/>
  <c r="EV175"/>
  <c r="EW175"/>
  <c r="EX175"/>
  <c r="EY175"/>
  <c r="EZ175"/>
  <c r="FA175"/>
  <c r="FB175"/>
  <c r="FC175"/>
  <c r="FD175"/>
  <c r="FE175"/>
  <c r="FF175"/>
  <c r="FG175"/>
  <c r="FH175"/>
  <c r="FI175"/>
  <c r="FJ175"/>
  <c r="FK175"/>
  <c r="FL175"/>
  <c r="FM175"/>
  <c r="FN175"/>
  <c r="FO175"/>
  <c r="FP175"/>
  <c r="FQ175"/>
  <c r="FR175"/>
  <c r="FS175"/>
  <c r="FT175"/>
  <c r="FU175"/>
  <c r="FV175"/>
  <c r="FW175"/>
  <c r="FX175"/>
  <c r="FY175"/>
  <c r="FZ175"/>
  <c r="GA175"/>
  <c r="GB175"/>
  <c r="GC175"/>
  <c r="GD175"/>
  <c r="GE175"/>
  <c r="GF175"/>
  <c r="GG175"/>
  <c r="GH175"/>
  <c r="GI175"/>
  <c r="GJ175"/>
  <c r="GK175"/>
  <c r="GL175"/>
  <c r="GM175"/>
  <c r="GN175"/>
  <c r="GO175"/>
  <c r="GP175"/>
  <c r="GQ175"/>
  <c r="GR175"/>
  <c r="GS175"/>
  <c r="GT175"/>
  <c r="GU175"/>
  <c r="GV175"/>
  <c r="GW175"/>
  <c r="GX175"/>
  <c r="GY175"/>
  <c r="GZ175"/>
  <c r="HA175"/>
  <c r="HB175"/>
  <c r="HC175"/>
  <c r="HD175"/>
  <c r="HE175"/>
  <c r="HF175"/>
  <c r="HG175"/>
  <c r="HH175"/>
  <c r="HI175"/>
  <c r="HJ175"/>
  <c r="HK175"/>
  <c r="HL175"/>
  <c r="HM175"/>
  <c r="HN175"/>
  <c r="HO175"/>
  <c r="HP175"/>
  <c r="HQ175"/>
  <c r="HR175"/>
  <c r="HS175"/>
  <c r="HT175"/>
  <c r="HU175"/>
  <c r="HV175"/>
  <c r="HW175"/>
  <c r="HX175"/>
  <c r="HY175"/>
  <c r="HZ175"/>
  <c r="IA175"/>
  <c r="IB175"/>
  <c r="IC175"/>
  <c r="ID175"/>
  <c r="IE175"/>
  <c r="IF175"/>
  <c r="IG175"/>
  <c r="IH175"/>
  <c r="II175"/>
  <c r="IJ175"/>
  <c r="IK175"/>
  <c r="IL175"/>
  <c r="IM175"/>
  <c r="IN175"/>
  <c r="IO175"/>
  <c r="IP175"/>
  <c r="IQ175"/>
  <c r="IR175"/>
  <c r="IS175"/>
  <c r="IT175"/>
  <c r="IU175"/>
  <c r="IV175"/>
  <c r="A176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AE176"/>
  <c r="AF176"/>
  <c r="AG176"/>
  <c r="AH176"/>
  <c r="AI176"/>
  <c r="AJ176"/>
  <c r="AK176"/>
  <c r="AL176"/>
  <c r="AM176"/>
  <c r="AN176"/>
  <c r="AO176"/>
  <c r="AP176"/>
  <c r="AQ176"/>
  <c r="AR176"/>
  <c r="AS176"/>
  <c r="AT176"/>
  <c r="AU176"/>
  <c r="AV176"/>
  <c r="AW176"/>
  <c r="AX176"/>
  <c r="AY176"/>
  <c r="AZ176"/>
  <c r="BA176"/>
  <c r="BB176"/>
  <c r="BC176"/>
  <c r="BD176"/>
  <c r="BE176"/>
  <c r="BF176"/>
  <c r="BG176"/>
  <c r="BH176"/>
  <c r="BI176"/>
  <c r="BJ176"/>
  <c r="BK176"/>
  <c r="BL176"/>
  <c r="BM176"/>
  <c r="BN176"/>
  <c r="BO176"/>
  <c r="BP176"/>
  <c r="BQ176"/>
  <c r="BR176"/>
  <c r="BS176"/>
  <c r="BT176"/>
  <c r="BU176"/>
  <c r="BV176"/>
  <c r="BW176"/>
  <c r="BX176"/>
  <c r="BY176"/>
  <c r="BZ176"/>
  <c r="CA176"/>
  <c r="CB176"/>
  <c r="CC176"/>
  <c r="CD176"/>
  <c r="CE176"/>
  <c r="CF176"/>
  <c r="CG176"/>
  <c r="CH176"/>
  <c r="CI176"/>
  <c r="CJ176"/>
  <c r="CK176"/>
  <c r="CL176"/>
  <c r="CM176"/>
  <c r="CN176"/>
  <c r="CO176"/>
  <c r="CP176"/>
  <c r="CQ176"/>
  <c r="CR176"/>
  <c r="CS176"/>
  <c r="CT176"/>
  <c r="CU176"/>
  <c r="CV176"/>
  <c r="CW176"/>
  <c r="CX176"/>
  <c r="CY176"/>
  <c r="CZ176"/>
  <c r="DA176"/>
  <c r="DB176"/>
  <c r="DC176"/>
  <c r="DD176"/>
  <c r="DE176"/>
  <c r="DF176"/>
  <c r="DG176"/>
  <c r="DH176"/>
  <c r="DI176"/>
  <c r="DJ176"/>
  <c r="DK176"/>
  <c r="DL176"/>
  <c r="DM176"/>
  <c r="DN176"/>
  <c r="DO176"/>
  <c r="DP176"/>
  <c r="DQ176"/>
  <c r="DR176"/>
  <c r="DS176"/>
  <c r="DT176"/>
  <c r="DU176"/>
  <c r="DV176"/>
  <c r="DW176"/>
  <c r="DX176"/>
  <c r="DY176"/>
  <c r="DZ176"/>
  <c r="EA176"/>
  <c r="EB176"/>
  <c r="EC176"/>
  <c r="ED176"/>
  <c r="EE176"/>
  <c r="EF176"/>
  <c r="EG176"/>
  <c r="EH176"/>
  <c r="EI176"/>
  <c r="EJ176"/>
  <c r="EK176"/>
  <c r="EL176"/>
  <c r="EM176"/>
  <c r="EN176"/>
  <c r="EO176"/>
  <c r="EP176"/>
  <c r="EQ176"/>
  <c r="ER176"/>
  <c r="ES176"/>
  <c r="ET176"/>
  <c r="EU176"/>
  <c r="EV176"/>
  <c r="EW176"/>
  <c r="EX176"/>
  <c r="EY176"/>
  <c r="EZ176"/>
  <c r="FA176"/>
  <c r="FB176"/>
  <c r="FC176"/>
  <c r="FD176"/>
  <c r="FE176"/>
  <c r="FF176"/>
  <c r="FG176"/>
  <c r="FH176"/>
  <c r="FI176"/>
  <c r="FJ176"/>
  <c r="FK176"/>
  <c r="FL176"/>
  <c r="FM176"/>
  <c r="FN176"/>
  <c r="FO176"/>
  <c r="FP176"/>
  <c r="FQ176"/>
  <c r="FR176"/>
  <c r="FS176"/>
  <c r="FT176"/>
  <c r="FU176"/>
  <c r="FV176"/>
  <c r="FW176"/>
  <c r="FX176"/>
  <c r="FY176"/>
  <c r="FZ176"/>
  <c r="GA176"/>
  <c r="GB176"/>
  <c r="GC176"/>
  <c r="GD176"/>
  <c r="GE176"/>
  <c r="GF176"/>
  <c r="GG176"/>
  <c r="GH176"/>
  <c r="GI176"/>
  <c r="GJ176"/>
  <c r="GK176"/>
  <c r="GL176"/>
  <c r="GM176"/>
  <c r="GN176"/>
  <c r="GO176"/>
  <c r="GP176"/>
  <c r="GQ176"/>
  <c r="GR176"/>
  <c r="GS176"/>
  <c r="GT176"/>
  <c r="GU176"/>
  <c r="GV176"/>
  <c r="GW176"/>
  <c r="GX176"/>
  <c r="GY176"/>
  <c r="GZ176"/>
  <c r="HA176"/>
  <c r="HB176"/>
  <c r="HC176"/>
  <c r="HD176"/>
  <c r="HE176"/>
  <c r="HF176"/>
  <c r="HG176"/>
  <c r="HH176"/>
  <c r="HI176"/>
  <c r="HJ176"/>
  <c r="HK176"/>
  <c r="HL176"/>
  <c r="HM176"/>
  <c r="HN176"/>
  <c r="HO176"/>
  <c r="HP176"/>
  <c r="HQ176"/>
  <c r="HR176"/>
  <c r="HS176"/>
  <c r="HT176"/>
  <c r="HU176"/>
  <c r="HV176"/>
  <c r="HW176"/>
  <c r="HX176"/>
  <c r="HY176"/>
  <c r="HZ176"/>
  <c r="IA176"/>
  <c r="IB176"/>
  <c r="IC176"/>
  <c r="ID176"/>
  <c r="IE176"/>
  <c r="IF176"/>
  <c r="IG176"/>
  <c r="IH176"/>
  <c r="II176"/>
  <c r="IJ176"/>
  <c r="IK176"/>
  <c r="IL176"/>
  <c r="IM176"/>
  <c r="IN176"/>
  <c r="IO176"/>
  <c r="IP176"/>
  <c r="IQ176"/>
  <c r="IR176"/>
  <c r="IS176"/>
  <c r="IT176"/>
  <c r="IU176"/>
  <c r="IV176"/>
  <c r="A177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AE177"/>
  <c r="AF177"/>
  <c r="AG177"/>
  <c r="AH177"/>
  <c r="AI177"/>
  <c r="AJ177"/>
  <c r="AK177"/>
  <c r="AL177"/>
  <c r="AM177"/>
  <c r="AN177"/>
  <c r="AO177"/>
  <c r="AP177"/>
  <c r="AQ177"/>
  <c r="AR177"/>
  <c r="AS177"/>
  <c r="AT177"/>
  <c r="AU177"/>
  <c r="AV177"/>
  <c r="AW177"/>
  <c r="AX177"/>
  <c r="AY177"/>
  <c r="AZ177"/>
  <c r="BA177"/>
  <c r="BB177"/>
  <c r="BC177"/>
  <c r="BD177"/>
  <c r="BE177"/>
  <c r="BF177"/>
  <c r="BG177"/>
  <c r="BH177"/>
  <c r="BI177"/>
  <c r="BJ177"/>
  <c r="BK177"/>
  <c r="BL177"/>
  <c r="BM177"/>
  <c r="BN177"/>
  <c r="BO177"/>
  <c r="BP177"/>
  <c r="BQ177"/>
  <c r="BR177"/>
  <c r="BS177"/>
  <c r="BT177"/>
  <c r="BU177"/>
  <c r="BV177"/>
  <c r="BW177"/>
  <c r="BX177"/>
  <c r="BY177"/>
  <c r="BZ177"/>
  <c r="CA177"/>
  <c r="CB177"/>
  <c r="CC177"/>
  <c r="CD177"/>
  <c r="CE177"/>
  <c r="CF177"/>
  <c r="CG177"/>
  <c r="CH177"/>
  <c r="CI177"/>
  <c r="CJ177"/>
  <c r="CK177"/>
  <c r="CL177"/>
  <c r="CM177"/>
  <c r="CN177"/>
  <c r="CO177"/>
  <c r="CP177"/>
  <c r="CQ177"/>
  <c r="CR177"/>
  <c r="CS177"/>
  <c r="CT177"/>
  <c r="CU177"/>
  <c r="CV177"/>
  <c r="CW177"/>
  <c r="CX177"/>
  <c r="CY177"/>
  <c r="CZ177"/>
  <c r="DA177"/>
  <c r="DB177"/>
  <c r="DC177"/>
  <c r="DD177"/>
  <c r="DE177"/>
  <c r="DF177"/>
  <c r="DG177"/>
  <c r="DH177"/>
  <c r="DI177"/>
  <c r="DJ177"/>
  <c r="DK177"/>
  <c r="DL177"/>
  <c r="DM177"/>
  <c r="DN177"/>
  <c r="DO177"/>
  <c r="DP177"/>
  <c r="DQ177"/>
  <c r="DR177"/>
  <c r="DS177"/>
  <c r="DT177"/>
  <c r="DU177"/>
  <c r="DV177"/>
  <c r="DW177"/>
  <c r="DX177"/>
  <c r="DY177"/>
  <c r="DZ177"/>
  <c r="EA177"/>
  <c r="EB177"/>
  <c r="EC177"/>
  <c r="ED177"/>
  <c r="EE177"/>
  <c r="EF177"/>
  <c r="EG177"/>
  <c r="EH177"/>
  <c r="EI177"/>
  <c r="EJ177"/>
  <c r="EK177"/>
  <c r="EL177"/>
  <c r="EM177"/>
  <c r="EN177"/>
  <c r="EO177"/>
  <c r="EP177"/>
  <c r="EQ177"/>
  <c r="ER177"/>
  <c r="ES177"/>
  <c r="ET177"/>
  <c r="EU177"/>
  <c r="EV177"/>
  <c r="EW177"/>
  <c r="EX177"/>
  <c r="EY177"/>
  <c r="EZ177"/>
  <c r="FA177"/>
  <c r="FB177"/>
  <c r="FC177"/>
  <c r="FD177"/>
  <c r="FE177"/>
  <c r="FF177"/>
  <c r="FG177"/>
  <c r="FH177"/>
  <c r="FI177"/>
  <c r="FJ177"/>
  <c r="FK177"/>
  <c r="FL177"/>
  <c r="FM177"/>
  <c r="FN177"/>
  <c r="FO177"/>
  <c r="FP177"/>
  <c r="FQ177"/>
  <c r="FR177"/>
  <c r="FS177"/>
  <c r="FT177"/>
  <c r="FU177"/>
  <c r="FV177"/>
  <c r="FW177"/>
  <c r="FX177"/>
  <c r="FY177"/>
  <c r="FZ177"/>
  <c r="GA177"/>
  <c r="GB177"/>
  <c r="GC177"/>
  <c r="GD177"/>
  <c r="GE177"/>
  <c r="GF177"/>
  <c r="GG177"/>
  <c r="GH177"/>
  <c r="GI177"/>
  <c r="GJ177"/>
  <c r="GK177"/>
  <c r="GL177"/>
  <c r="GM177"/>
  <c r="GN177"/>
  <c r="GO177"/>
  <c r="GP177"/>
  <c r="GQ177"/>
  <c r="GR177"/>
  <c r="GS177"/>
  <c r="GT177"/>
  <c r="GU177"/>
  <c r="GV177"/>
  <c r="GW177"/>
  <c r="GX177"/>
  <c r="GY177"/>
  <c r="GZ177"/>
  <c r="HA177"/>
  <c r="HB177"/>
  <c r="HC177"/>
  <c r="HD177"/>
  <c r="HE177"/>
  <c r="HF177"/>
  <c r="HG177"/>
  <c r="HH177"/>
  <c r="HI177"/>
  <c r="HJ177"/>
  <c r="HK177"/>
  <c r="HL177"/>
  <c r="HM177"/>
  <c r="HN177"/>
  <c r="HO177"/>
  <c r="HP177"/>
  <c r="HQ177"/>
  <c r="HR177"/>
  <c r="HS177"/>
  <c r="HT177"/>
  <c r="HU177"/>
  <c r="HV177"/>
  <c r="HW177"/>
  <c r="HX177"/>
  <c r="HY177"/>
  <c r="HZ177"/>
  <c r="IA177"/>
  <c r="IB177"/>
  <c r="IC177"/>
  <c r="ID177"/>
  <c r="IE177"/>
  <c r="IF177"/>
  <c r="IG177"/>
  <c r="IH177"/>
  <c r="II177"/>
  <c r="IJ177"/>
  <c r="IK177"/>
  <c r="IL177"/>
  <c r="IM177"/>
  <c r="IN177"/>
  <c r="IO177"/>
  <c r="IP177"/>
  <c r="IQ177"/>
  <c r="IR177"/>
  <c r="IS177"/>
  <c r="IT177"/>
  <c r="IU177"/>
  <c r="IV177"/>
  <c r="A178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AE178"/>
  <c r="AF178"/>
  <c r="AG178"/>
  <c r="AH178"/>
  <c r="AI178"/>
  <c r="AJ178"/>
  <c r="AK178"/>
  <c r="AL178"/>
  <c r="AM178"/>
  <c r="AN178"/>
  <c r="AO178"/>
  <c r="AP178"/>
  <c r="AQ178"/>
  <c r="AR178"/>
  <c r="AS178"/>
  <c r="AT178"/>
  <c r="AU178"/>
  <c r="AV178"/>
  <c r="AW178"/>
  <c r="AX178"/>
  <c r="AY178"/>
  <c r="AZ178"/>
  <c r="BA178"/>
  <c r="BB178"/>
  <c r="BC178"/>
  <c r="BD178"/>
  <c r="BE178"/>
  <c r="BF178"/>
  <c r="BG178"/>
  <c r="BH178"/>
  <c r="BI178"/>
  <c r="BJ178"/>
  <c r="BK178"/>
  <c r="BL178"/>
  <c r="BM178"/>
  <c r="BN178"/>
  <c r="BO178"/>
  <c r="BP178"/>
  <c r="BQ178"/>
  <c r="BR178"/>
  <c r="BS178"/>
  <c r="BT178"/>
  <c r="BU178"/>
  <c r="BV178"/>
  <c r="BW178"/>
  <c r="BX178"/>
  <c r="BY178"/>
  <c r="BZ178"/>
  <c r="CA178"/>
  <c r="CB178"/>
  <c r="CC178"/>
  <c r="CD178"/>
  <c r="CE178"/>
  <c r="CF178"/>
  <c r="CG178"/>
  <c r="CH178"/>
  <c r="CI178"/>
  <c r="CJ178"/>
  <c r="CK178"/>
  <c r="CL178"/>
  <c r="CM178"/>
  <c r="CN178"/>
  <c r="CO178"/>
  <c r="CP178"/>
  <c r="CQ178"/>
  <c r="CR178"/>
  <c r="CS178"/>
  <c r="CT178"/>
  <c r="CU178"/>
  <c r="CV178"/>
  <c r="CW178"/>
  <c r="CX178"/>
  <c r="CY178"/>
  <c r="CZ178"/>
  <c r="DA178"/>
  <c r="DB178"/>
  <c r="DC178"/>
  <c r="DD178"/>
  <c r="DE178"/>
  <c r="DF178"/>
  <c r="DG178"/>
  <c r="DH178"/>
  <c r="DI178"/>
  <c r="DJ178"/>
  <c r="DK178"/>
  <c r="DL178"/>
  <c r="DM178"/>
  <c r="DN178"/>
  <c r="DO178"/>
  <c r="DP178"/>
  <c r="DQ178"/>
  <c r="DR178"/>
  <c r="DS178"/>
  <c r="DT178"/>
  <c r="DU178"/>
  <c r="DV178"/>
  <c r="DW178"/>
  <c r="DX178"/>
  <c r="DY178"/>
  <c r="DZ178"/>
  <c r="EA178"/>
  <c r="EB178"/>
  <c r="EC178"/>
  <c r="ED178"/>
  <c r="EE178"/>
  <c r="EF178"/>
  <c r="EG178"/>
  <c r="EH178"/>
  <c r="EI178"/>
  <c r="EJ178"/>
  <c r="EK178"/>
  <c r="EL178"/>
  <c r="EM178"/>
  <c r="EN178"/>
  <c r="EO178"/>
  <c r="EP178"/>
  <c r="EQ178"/>
  <c r="ER178"/>
  <c r="ES178"/>
  <c r="ET178"/>
  <c r="EU178"/>
  <c r="EV178"/>
  <c r="EW178"/>
  <c r="EX178"/>
  <c r="EY178"/>
  <c r="EZ178"/>
  <c r="FA178"/>
  <c r="FB178"/>
  <c r="FC178"/>
  <c r="FD178"/>
  <c r="FE178"/>
  <c r="FF178"/>
  <c r="FG178"/>
  <c r="FH178"/>
  <c r="FI178"/>
  <c r="FJ178"/>
  <c r="FK178"/>
  <c r="FL178"/>
  <c r="FM178"/>
  <c r="FN178"/>
  <c r="FO178"/>
  <c r="FP178"/>
  <c r="FQ178"/>
  <c r="FR178"/>
  <c r="FS178"/>
  <c r="FT178"/>
  <c r="FU178"/>
  <c r="FV178"/>
  <c r="FW178"/>
  <c r="FX178"/>
  <c r="FY178"/>
  <c r="FZ178"/>
  <c r="GA178"/>
  <c r="GB178"/>
  <c r="GC178"/>
  <c r="GD178"/>
  <c r="GE178"/>
  <c r="GF178"/>
  <c r="GG178"/>
  <c r="GH178"/>
  <c r="GI178"/>
  <c r="GJ178"/>
  <c r="GK178"/>
  <c r="GL178"/>
  <c r="GM178"/>
  <c r="GN178"/>
  <c r="GO178"/>
  <c r="GP178"/>
  <c r="GQ178"/>
  <c r="GR178"/>
  <c r="GS178"/>
  <c r="GT178"/>
  <c r="GU178"/>
  <c r="GV178"/>
  <c r="GW178"/>
  <c r="GX178"/>
  <c r="GY178"/>
  <c r="GZ178"/>
  <c r="HA178"/>
  <c r="HB178"/>
  <c r="HC178"/>
  <c r="HD178"/>
  <c r="HE178"/>
  <c r="HF178"/>
  <c r="HG178"/>
  <c r="HH178"/>
  <c r="HI178"/>
  <c r="HJ178"/>
  <c r="HK178"/>
  <c r="HL178"/>
  <c r="HM178"/>
  <c r="HN178"/>
  <c r="HO178"/>
  <c r="HP178"/>
  <c r="HQ178"/>
  <c r="HR178"/>
  <c r="HS178"/>
  <c r="HT178"/>
  <c r="HU178"/>
  <c r="HV178"/>
  <c r="HW178"/>
  <c r="HX178"/>
  <c r="HY178"/>
  <c r="HZ178"/>
  <c r="IA178"/>
  <c r="IB178"/>
  <c r="IC178"/>
  <c r="ID178"/>
  <c r="IE178"/>
  <c r="IF178"/>
  <c r="IG178"/>
  <c r="IH178"/>
  <c r="II178"/>
  <c r="IJ178"/>
  <c r="IK178"/>
  <c r="IL178"/>
  <c r="IM178"/>
  <c r="IN178"/>
  <c r="IO178"/>
  <c r="IP178"/>
  <c r="IQ178"/>
  <c r="IR178"/>
  <c r="IS178"/>
  <c r="IT178"/>
  <c r="IU178"/>
  <c r="IV178"/>
  <c r="A179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AE179"/>
  <c r="AF179"/>
  <c r="AG179"/>
  <c r="AH179"/>
  <c r="AI179"/>
  <c r="AJ179"/>
  <c r="AK179"/>
  <c r="AL179"/>
  <c r="AM179"/>
  <c r="AN179"/>
  <c r="AO179"/>
  <c r="AP179"/>
  <c r="AQ179"/>
  <c r="AR179"/>
  <c r="AS179"/>
  <c r="AT179"/>
  <c r="AU179"/>
  <c r="AV179"/>
  <c r="AW179"/>
  <c r="AX179"/>
  <c r="AY179"/>
  <c r="AZ179"/>
  <c r="BA179"/>
  <c r="BB179"/>
  <c r="BC179"/>
  <c r="BD179"/>
  <c r="BE179"/>
  <c r="BF179"/>
  <c r="BG179"/>
  <c r="BH179"/>
  <c r="BI179"/>
  <c r="BJ179"/>
  <c r="BK179"/>
  <c r="BL179"/>
  <c r="BM179"/>
  <c r="BN179"/>
  <c r="BO179"/>
  <c r="BP179"/>
  <c r="BQ179"/>
  <c r="BR179"/>
  <c r="BS179"/>
  <c r="BT179"/>
  <c r="BU179"/>
  <c r="BV179"/>
  <c r="BW179"/>
  <c r="BX179"/>
  <c r="BY179"/>
  <c r="BZ179"/>
  <c r="CA179"/>
  <c r="CB179"/>
  <c r="CC179"/>
  <c r="CD179"/>
  <c r="CE179"/>
  <c r="CF179"/>
  <c r="CG179"/>
  <c r="CH179"/>
  <c r="CI179"/>
  <c r="CJ179"/>
  <c r="CK179"/>
  <c r="CL179"/>
  <c r="CM179"/>
  <c r="CN179"/>
  <c r="CO179"/>
  <c r="CP179"/>
  <c r="CQ179"/>
  <c r="CR179"/>
  <c r="CS179"/>
  <c r="CT179"/>
  <c r="CU179"/>
  <c r="CV179"/>
  <c r="CW179"/>
  <c r="CX179"/>
  <c r="CY179"/>
  <c r="CZ179"/>
  <c r="DA179"/>
  <c r="DB179"/>
  <c r="DC179"/>
  <c r="DD179"/>
  <c r="DE179"/>
  <c r="DF179"/>
  <c r="DG179"/>
  <c r="DH179"/>
  <c r="DI179"/>
  <c r="DJ179"/>
  <c r="DK179"/>
  <c r="DL179"/>
  <c r="DM179"/>
  <c r="DN179"/>
  <c r="DO179"/>
  <c r="DP179"/>
  <c r="DQ179"/>
  <c r="DR179"/>
  <c r="DS179"/>
  <c r="DT179"/>
  <c r="DU179"/>
  <c r="DV179"/>
  <c r="DW179"/>
  <c r="DX179"/>
  <c r="DY179"/>
  <c r="DZ179"/>
  <c r="EA179"/>
  <c r="EB179"/>
  <c r="EC179"/>
  <c r="ED179"/>
  <c r="EE179"/>
  <c r="EF179"/>
  <c r="EG179"/>
  <c r="EH179"/>
  <c r="EI179"/>
  <c r="EJ179"/>
  <c r="EK179"/>
  <c r="EL179"/>
  <c r="EM179"/>
  <c r="EN179"/>
  <c r="EO179"/>
  <c r="EP179"/>
  <c r="EQ179"/>
  <c r="ER179"/>
  <c r="ES179"/>
  <c r="ET179"/>
  <c r="EU179"/>
  <c r="EV179"/>
  <c r="EW179"/>
  <c r="EX179"/>
  <c r="EY179"/>
  <c r="EZ179"/>
  <c r="FA179"/>
  <c r="FB179"/>
  <c r="FC179"/>
  <c r="FD179"/>
  <c r="FE179"/>
  <c r="FF179"/>
  <c r="FG179"/>
  <c r="FH179"/>
  <c r="FI179"/>
  <c r="FJ179"/>
  <c r="FK179"/>
  <c r="FL179"/>
  <c r="FM179"/>
  <c r="FN179"/>
  <c r="FO179"/>
  <c r="FP179"/>
  <c r="FQ179"/>
  <c r="FR179"/>
  <c r="FS179"/>
  <c r="FT179"/>
  <c r="FU179"/>
  <c r="FV179"/>
  <c r="FW179"/>
  <c r="FX179"/>
  <c r="FY179"/>
  <c r="FZ179"/>
  <c r="GA179"/>
  <c r="GB179"/>
  <c r="GC179"/>
  <c r="GD179"/>
  <c r="GE179"/>
  <c r="GF179"/>
  <c r="GG179"/>
  <c r="GH179"/>
  <c r="GI179"/>
  <c r="GJ179"/>
  <c r="GK179"/>
  <c r="GL179"/>
  <c r="GM179"/>
  <c r="GN179"/>
  <c r="GO179"/>
  <c r="GP179"/>
  <c r="GQ179"/>
  <c r="GR179"/>
  <c r="GS179"/>
  <c r="GT179"/>
  <c r="GU179"/>
  <c r="GV179"/>
  <c r="GW179"/>
  <c r="GX179"/>
  <c r="GY179"/>
  <c r="GZ179"/>
  <c r="HA179"/>
  <c r="HB179"/>
  <c r="HC179"/>
  <c r="HD179"/>
  <c r="HE179"/>
  <c r="HF179"/>
  <c r="HG179"/>
  <c r="HH179"/>
  <c r="HI179"/>
  <c r="HJ179"/>
  <c r="HK179"/>
  <c r="HL179"/>
  <c r="HM179"/>
  <c r="HN179"/>
  <c r="HO179"/>
  <c r="HP179"/>
  <c r="HQ179"/>
  <c r="HR179"/>
  <c r="HS179"/>
  <c r="HT179"/>
  <c r="HU179"/>
  <c r="HV179"/>
  <c r="HW179"/>
  <c r="HX179"/>
  <c r="HY179"/>
  <c r="HZ179"/>
  <c r="IA179"/>
  <c r="IB179"/>
  <c r="IC179"/>
  <c r="ID179"/>
  <c r="IE179"/>
  <c r="IF179"/>
  <c r="IG179"/>
  <c r="IH179"/>
  <c r="II179"/>
  <c r="IJ179"/>
  <c r="IK179"/>
  <c r="IL179"/>
  <c r="IM179"/>
  <c r="IN179"/>
  <c r="IO179"/>
  <c r="IP179"/>
  <c r="IQ179"/>
  <c r="IR179"/>
  <c r="IS179"/>
  <c r="IT179"/>
  <c r="IU179"/>
  <c r="IV179"/>
  <c r="A180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AE180"/>
  <c r="AF180"/>
  <c r="AG180"/>
  <c r="AH180"/>
  <c r="AI180"/>
  <c r="AJ180"/>
  <c r="AK180"/>
  <c r="AL180"/>
  <c r="AM180"/>
  <c r="AN180"/>
  <c r="AO180"/>
  <c r="AP180"/>
  <c r="AQ180"/>
  <c r="AR180"/>
  <c r="AS180"/>
  <c r="AT180"/>
  <c r="AU180"/>
  <c r="AV180"/>
  <c r="AW180"/>
  <c r="AX180"/>
  <c r="AY180"/>
  <c r="AZ180"/>
  <c r="BA180"/>
  <c r="BB180"/>
  <c r="BC180"/>
  <c r="BD180"/>
  <c r="BE180"/>
  <c r="BF180"/>
  <c r="BG180"/>
  <c r="BH180"/>
  <c r="BI180"/>
  <c r="BJ180"/>
  <c r="BK180"/>
  <c r="BL180"/>
  <c r="BM180"/>
  <c r="BN180"/>
  <c r="BO180"/>
  <c r="BP180"/>
  <c r="BQ180"/>
  <c r="BR180"/>
  <c r="BS180"/>
  <c r="BT180"/>
  <c r="BU180"/>
  <c r="BV180"/>
  <c r="BW180"/>
  <c r="BX180"/>
  <c r="BY180"/>
  <c r="BZ180"/>
  <c r="CA180"/>
  <c r="CB180"/>
  <c r="CC180"/>
  <c r="CD180"/>
  <c r="CE180"/>
  <c r="CF180"/>
  <c r="CG180"/>
  <c r="CH180"/>
  <c r="CI180"/>
  <c r="CJ180"/>
  <c r="CK180"/>
  <c r="CL180"/>
  <c r="CM180"/>
  <c r="CN180"/>
  <c r="CO180"/>
  <c r="CP180"/>
  <c r="CQ180"/>
  <c r="CR180"/>
  <c r="CS180"/>
  <c r="CT180"/>
  <c r="CU180"/>
  <c r="CV180"/>
  <c r="CW180"/>
  <c r="CX180"/>
  <c r="CY180"/>
  <c r="CZ180"/>
  <c r="DA180"/>
  <c r="DB180"/>
  <c r="DC180"/>
  <c r="DD180"/>
  <c r="DE180"/>
  <c r="DF180"/>
  <c r="DG180"/>
  <c r="DH180"/>
  <c r="DI180"/>
  <c r="DJ180"/>
  <c r="DK180"/>
  <c r="DL180"/>
  <c r="DM180"/>
  <c r="DN180"/>
  <c r="DO180"/>
  <c r="DP180"/>
  <c r="DQ180"/>
  <c r="DR180"/>
  <c r="DS180"/>
  <c r="DT180"/>
  <c r="DU180"/>
  <c r="DV180"/>
  <c r="DW180"/>
  <c r="DX180"/>
  <c r="DY180"/>
  <c r="DZ180"/>
  <c r="EA180"/>
  <c r="EB180"/>
  <c r="EC180"/>
  <c r="ED180"/>
  <c r="EE180"/>
  <c r="EF180"/>
  <c r="EG180"/>
  <c r="EH180"/>
  <c r="EI180"/>
  <c r="EJ180"/>
  <c r="EK180"/>
  <c r="EL180"/>
  <c r="EM180"/>
  <c r="EN180"/>
  <c r="EO180"/>
  <c r="EP180"/>
  <c r="EQ180"/>
  <c r="ER180"/>
  <c r="ES180"/>
  <c r="ET180"/>
  <c r="EU180"/>
  <c r="EV180"/>
  <c r="EW180"/>
  <c r="EX180"/>
  <c r="EY180"/>
  <c r="EZ180"/>
  <c r="FA180"/>
  <c r="FB180"/>
  <c r="FC180"/>
  <c r="FD180"/>
  <c r="FE180"/>
  <c r="FF180"/>
  <c r="FG180"/>
  <c r="FH180"/>
  <c r="FI180"/>
  <c r="FJ180"/>
  <c r="FK180"/>
  <c r="FL180"/>
  <c r="FM180"/>
  <c r="FN180"/>
  <c r="FO180"/>
  <c r="FP180"/>
  <c r="FQ180"/>
  <c r="FR180"/>
  <c r="FS180"/>
  <c r="FT180"/>
  <c r="FU180"/>
  <c r="FV180"/>
  <c r="FW180"/>
  <c r="FX180"/>
  <c r="FY180"/>
  <c r="FZ180"/>
  <c r="GA180"/>
  <c r="GB180"/>
  <c r="GC180"/>
  <c r="GD180"/>
  <c r="GE180"/>
  <c r="GF180"/>
  <c r="GG180"/>
  <c r="GH180"/>
  <c r="GI180"/>
  <c r="GJ180"/>
  <c r="GK180"/>
  <c r="GL180"/>
  <c r="GM180"/>
  <c r="GN180"/>
  <c r="GO180"/>
  <c r="GP180"/>
  <c r="GQ180"/>
  <c r="GR180"/>
  <c r="GS180"/>
  <c r="GT180"/>
  <c r="GU180"/>
  <c r="GV180"/>
  <c r="GW180"/>
  <c r="GX180"/>
  <c r="GY180"/>
  <c r="GZ180"/>
  <c r="HA180"/>
  <c r="HB180"/>
  <c r="HC180"/>
  <c r="HD180"/>
  <c r="HE180"/>
  <c r="HF180"/>
  <c r="HG180"/>
  <c r="HH180"/>
  <c r="HI180"/>
  <c r="HJ180"/>
  <c r="HK180"/>
  <c r="HL180"/>
  <c r="HM180"/>
  <c r="HN180"/>
  <c r="HO180"/>
  <c r="HP180"/>
  <c r="HQ180"/>
  <c r="HR180"/>
  <c r="HS180"/>
  <c r="HT180"/>
  <c r="HU180"/>
  <c r="HV180"/>
  <c r="HW180"/>
  <c r="HX180"/>
  <c r="HY180"/>
  <c r="HZ180"/>
  <c r="IA180"/>
  <c r="IB180"/>
  <c r="IC180"/>
  <c r="ID180"/>
  <c r="IE180"/>
  <c r="IF180"/>
  <c r="IG180"/>
  <c r="IH180"/>
  <c r="II180"/>
  <c r="IJ180"/>
  <c r="IK180"/>
  <c r="IL180"/>
  <c r="IM180"/>
  <c r="IN180"/>
  <c r="IO180"/>
  <c r="IP180"/>
  <c r="IQ180"/>
  <c r="IR180"/>
  <c r="IS180"/>
  <c r="IT180"/>
  <c r="IU180"/>
  <c r="IV180"/>
  <c r="A181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AE181"/>
  <c r="AF181"/>
  <c r="AG181"/>
  <c r="AH181"/>
  <c r="AI181"/>
  <c r="AJ181"/>
  <c r="AK181"/>
  <c r="AL181"/>
  <c r="AM181"/>
  <c r="AN181"/>
  <c r="AO181"/>
  <c r="AP181"/>
  <c r="AQ181"/>
  <c r="AR181"/>
  <c r="AS181"/>
  <c r="AT181"/>
  <c r="AU181"/>
  <c r="AV181"/>
  <c r="AW181"/>
  <c r="AX181"/>
  <c r="AY181"/>
  <c r="AZ181"/>
  <c r="BA181"/>
  <c r="BB181"/>
  <c r="BC181"/>
  <c r="BD181"/>
  <c r="BE181"/>
  <c r="BF181"/>
  <c r="BG181"/>
  <c r="BH181"/>
  <c r="BI181"/>
  <c r="BJ181"/>
  <c r="BK181"/>
  <c r="BL181"/>
  <c r="BM181"/>
  <c r="BN181"/>
  <c r="BO181"/>
  <c r="BP181"/>
  <c r="BQ181"/>
  <c r="BR181"/>
  <c r="BS181"/>
  <c r="BT181"/>
  <c r="BU181"/>
  <c r="BV181"/>
  <c r="BW181"/>
  <c r="BX181"/>
  <c r="BY181"/>
  <c r="BZ181"/>
  <c r="CA181"/>
  <c r="CB181"/>
  <c r="CC181"/>
  <c r="CD181"/>
  <c r="CE181"/>
  <c r="CF181"/>
  <c r="CG181"/>
  <c r="CH181"/>
  <c r="CI181"/>
  <c r="CJ181"/>
  <c r="CK181"/>
  <c r="CL181"/>
  <c r="CM181"/>
  <c r="CN181"/>
  <c r="CO181"/>
  <c r="CP181"/>
  <c r="CQ181"/>
  <c r="CR181"/>
  <c r="CS181"/>
  <c r="CT181"/>
  <c r="CU181"/>
  <c r="CV181"/>
  <c r="CW181"/>
  <c r="CX181"/>
  <c r="CY181"/>
  <c r="CZ181"/>
  <c r="DA181"/>
  <c r="DB181"/>
  <c r="DC181"/>
  <c r="DD181"/>
  <c r="DE181"/>
  <c r="DF181"/>
  <c r="DG181"/>
  <c r="DH181"/>
  <c r="DI181"/>
  <c r="DJ181"/>
  <c r="DK181"/>
  <c r="DL181"/>
  <c r="DM181"/>
  <c r="DN181"/>
  <c r="DO181"/>
  <c r="DP181"/>
  <c r="DQ181"/>
  <c r="DR181"/>
  <c r="DS181"/>
  <c r="DT181"/>
  <c r="DU181"/>
  <c r="DV181"/>
  <c r="DW181"/>
  <c r="DX181"/>
  <c r="DY181"/>
  <c r="DZ181"/>
  <c r="EA181"/>
  <c r="EB181"/>
  <c r="EC181"/>
  <c r="ED181"/>
  <c r="EE181"/>
  <c r="EF181"/>
  <c r="EG181"/>
  <c r="EH181"/>
  <c r="EI181"/>
  <c r="EJ181"/>
  <c r="EK181"/>
  <c r="EL181"/>
  <c r="EM181"/>
  <c r="EN181"/>
  <c r="EO181"/>
  <c r="EP181"/>
  <c r="EQ181"/>
  <c r="ER181"/>
  <c r="ES181"/>
  <c r="ET181"/>
  <c r="EU181"/>
  <c r="EV181"/>
  <c r="EW181"/>
  <c r="EX181"/>
  <c r="EY181"/>
  <c r="EZ181"/>
  <c r="FA181"/>
  <c r="FB181"/>
  <c r="FC181"/>
  <c r="FD181"/>
  <c r="FE181"/>
  <c r="FF181"/>
  <c r="FG181"/>
  <c r="FH181"/>
  <c r="FI181"/>
  <c r="FJ181"/>
  <c r="FK181"/>
  <c r="FL181"/>
  <c r="FM181"/>
  <c r="FN181"/>
  <c r="FO181"/>
  <c r="FP181"/>
  <c r="FQ181"/>
  <c r="FR181"/>
  <c r="FS181"/>
  <c r="FT181"/>
  <c r="FU181"/>
  <c r="FV181"/>
  <c r="FW181"/>
  <c r="FX181"/>
  <c r="FY181"/>
  <c r="FZ181"/>
  <c r="GA181"/>
  <c r="GB181"/>
  <c r="GC181"/>
  <c r="GD181"/>
  <c r="GE181"/>
  <c r="GF181"/>
  <c r="GG181"/>
  <c r="GH181"/>
  <c r="GI181"/>
  <c r="GJ181"/>
  <c r="GK181"/>
  <c r="GL181"/>
  <c r="GM181"/>
  <c r="GN181"/>
  <c r="GO181"/>
  <c r="GP181"/>
  <c r="GQ181"/>
  <c r="GR181"/>
  <c r="GS181"/>
  <c r="GT181"/>
  <c r="GU181"/>
  <c r="GV181"/>
  <c r="GW181"/>
  <c r="GX181"/>
  <c r="GY181"/>
  <c r="GZ181"/>
  <c r="HA181"/>
  <c r="HB181"/>
  <c r="HC181"/>
  <c r="HD181"/>
  <c r="HE181"/>
  <c r="HF181"/>
  <c r="HG181"/>
  <c r="HH181"/>
  <c r="HI181"/>
  <c r="HJ181"/>
  <c r="HK181"/>
  <c r="HL181"/>
  <c r="HM181"/>
  <c r="HN181"/>
  <c r="HO181"/>
  <c r="HP181"/>
  <c r="HQ181"/>
  <c r="HR181"/>
  <c r="HS181"/>
  <c r="HT181"/>
  <c r="HU181"/>
  <c r="HV181"/>
  <c r="HW181"/>
  <c r="HX181"/>
  <c r="HY181"/>
  <c r="HZ181"/>
  <c r="IA181"/>
  <c r="IB181"/>
  <c r="IC181"/>
  <c r="ID181"/>
  <c r="IE181"/>
  <c r="IF181"/>
  <c r="IG181"/>
  <c r="IH181"/>
  <c r="II181"/>
  <c r="IJ181"/>
  <c r="IK181"/>
  <c r="IL181"/>
  <c r="IM181"/>
  <c r="IN181"/>
  <c r="IO181"/>
  <c r="IP181"/>
  <c r="IQ181"/>
  <c r="IR181"/>
  <c r="IS181"/>
  <c r="IT181"/>
  <c r="IU181"/>
  <c r="IV181"/>
  <c r="A182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AE182"/>
  <c r="AF182"/>
  <c r="AG182"/>
  <c r="AH182"/>
  <c r="AI182"/>
  <c r="AJ182"/>
  <c r="AK182"/>
  <c r="AL182"/>
  <c r="AM182"/>
  <c r="AN182"/>
  <c r="AO182"/>
  <c r="AP182"/>
  <c r="AQ182"/>
  <c r="AR182"/>
  <c r="AS182"/>
  <c r="AT182"/>
  <c r="AU182"/>
  <c r="AV182"/>
  <c r="AW182"/>
  <c r="AX182"/>
  <c r="AY182"/>
  <c r="AZ182"/>
  <c r="BA182"/>
  <c r="BB182"/>
  <c r="BC182"/>
  <c r="BD182"/>
  <c r="BE182"/>
  <c r="BF182"/>
  <c r="BG182"/>
  <c r="BH182"/>
  <c r="BI182"/>
  <c r="BJ182"/>
  <c r="BK182"/>
  <c r="BL182"/>
  <c r="BM182"/>
  <c r="BN182"/>
  <c r="BO182"/>
  <c r="BP182"/>
  <c r="BQ182"/>
  <c r="BR182"/>
  <c r="BS182"/>
  <c r="BT182"/>
  <c r="BU182"/>
  <c r="BV182"/>
  <c r="BW182"/>
  <c r="BX182"/>
  <c r="BY182"/>
  <c r="BZ182"/>
  <c r="CA182"/>
  <c r="CB182"/>
  <c r="CC182"/>
  <c r="CD182"/>
  <c r="CE182"/>
  <c r="CF182"/>
  <c r="CG182"/>
  <c r="CH182"/>
  <c r="CI182"/>
  <c r="CJ182"/>
  <c r="CK182"/>
  <c r="CL182"/>
  <c r="CM182"/>
  <c r="CN182"/>
  <c r="CO182"/>
  <c r="CP182"/>
  <c r="CQ182"/>
  <c r="CR182"/>
  <c r="CS182"/>
  <c r="CT182"/>
  <c r="CU182"/>
  <c r="CV182"/>
  <c r="CW182"/>
  <c r="CX182"/>
  <c r="CY182"/>
  <c r="CZ182"/>
  <c r="DA182"/>
  <c r="DB182"/>
  <c r="DC182"/>
  <c r="DD182"/>
  <c r="DE182"/>
  <c r="DF182"/>
  <c r="DG182"/>
  <c r="DH182"/>
  <c r="DI182"/>
  <c r="DJ182"/>
  <c r="DK182"/>
  <c r="DL182"/>
  <c r="DM182"/>
  <c r="DN182"/>
  <c r="DO182"/>
  <c r="DP182"/>
  <c r="DQ182"/>
  <c r="DR182"/>
  <c r="DS182"/>
  <c r="DT182"/>
  <c r="DU182"/>
  <c r="DV182"/>
  <c r="DW182"/>
  <c r="DX182"/>
  <c r="DY182"/>
  <c r="DZ182"/>
  <c r="EA182"/>
  <c r="EB182"/>
  <c r="EC182"/>
  <c r="ED182"/>
  <c r="EE182"/>
  <c r="EF182"/>
  <c r="EG182"/>
  <c r="EH182"/>
  <c r="EI182"/>
  <c r="EJ182"/>
  <c r="EK182"/>
  <c r="EL182"/>
  <c r="EM182"/>
  <c r="EN182"/>
  <c r="EO182"/>
  <c r="EP182"/>
  <c r="EQ182"/>
  <c r="ER182"/>
  <c r="ES182"/>
  <c r="ET182"/>
  <c r="EU182"/>
  <c r="EV182"/>
  <c r="EW182"/>
  <c r="EX182"/>
  <c r="EY182"/>
  <c r="EZ182"/>
  <c r="FA182"/>
  <c r="FB182"/>
  <c r="FC182"/>
  <c r="FD182"/>
  <c r="FE182"/>
  <c r="FF182"/>
  <c r="FG182"/>
  <c r="FH182"/>
  <c r="FI182"/>
  <c r="FJ182"/>
  <c r="FK182"/>
  <c r="FL182"/>
  <c r="FM182"/>
  <c r="FN182"/>
  <c r="FO182"/>
  <c r="FP182"/>
  <c r="FQ182"/>
  <c r="FR182"/>
  <c r="FS182"/>
  <c r="FT182"/>
  <c r="FU182"/>
  <c r="FV182"/>
  <c r="FW182"/>
  <c r="FX182"/>
  <c r="FY182"/>
  <c r="FZ182"/>
  <c r="GA182"/>
  <c r="GB182"/>
  <c r="GC182"/>
  <c r="GD182"/>
  <c r="GE182"/>
  <c r="GF182"/>
  <c r="GG182"/>
  <c r="GH182"/>
  <c r="GI182"/>
  <c r="GJ182"/>
  <c r="GK182"/>
  <c r="GL182"/>
  <c r="GM182"/>
  <c r="GN182"/>
  <c r="GO182"/>
  <c r="GP182"/>
  <c r="GQ182"/>
  <c r="GR182"/>
  <c r="GS182"/>
  <c r="GT182"/>
  <c r="GU182"/>
  <c r="GV182"/>
  <c r="GW182"/>
  <c r="GX182"/>
  <c r="GY182"/>
  <c r="GZ182"/>
  <c r="HA182"/>
  <c r="HB182"/>
  <c r="HC182"/>
  <c r="HD182"/>
  <c r="HE182"/>
  <c r="HF182"/>
  <c r="HG182"/>
  <c r="HH182"/>
  <c r="HI182"/>
  <c r="HJ182"/>
  <c r="HK182"/>
  <c r="HL182"/>
  <c r="HM182"/>
  <c r="HN182"/>
  <c r="HO182"/>
  <c r="HP182"/>
  <c r="HQ182"/>
  <c r="HR182"/>
  <c r="HS182"/>
  <c r="HT182"/>
  <c r="HU182"/>
  <c r="HV182"/>
  <c r="HW182"/>
  <c r="HX182"/>
  <c r="HY182"/>
  <c r="HZ182"/>
  <c r="IA182"/>
  <c r="IB182"/>
  <c r="IC182"/>
  <c r="ID182"/>
  <c r="IE182"/>
  <c r="IF182"/>
  <c r="IG182"/>
  <c r="IH182"/>
  <c r="II182"/>
  <c r="IJ182"/>
  <c r="IK182"/>
  <c r="IL182"/>
  <c r="IM182"/>
  <c r="IN182"/>
  <c r="IO182"/>
  <c r="IP182"/>
  <c r="IQ182"/>
  <c r="IR182"/>
  <c r="IS182"/>
  <c r="IT182"/>
  <c r="IU182"/>
  <c r="IV182"/>
  <c r="A183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AE183"/>
  <c r="AF183"/>
  <c r="AG183"/>
  <c r="AH183"/>
  <c r="AI183"/>
  <c r="AJ183"/>
  <c r="AK183"/>
  <c r="AL183"/>
  <c r="AM183"/>
  <c r="AN183"/>
  <c r="AO183"/>
  <c r="AP183"/>
  <c r="AQ183"/>
  <c r="AR183"/>
  <c r="AS183"/>
  <c r="AT183"/>
  <c r="AU183"/>
  <c r="AV183"/>
  <c r="AW183"/>
  <c r="AX183"/>
  <c r="AY183"/>
  <c r="AZ183"/>
  <c r="BA183"/>
  <c r="BB183"/>
  <c r="BC183"/>
  <c r="BD183"/>
  <c r="BE183"/>
  <c r="BF183"/>
  <c r="BG183"/>
  <c r="BH183"/>
  <c r="BI183"/>
  <c r="BJ183"/>
  <c r="BK183"/>
  <c r="BL183"/>
  <c r="BM183"/>
  <c r="BN183"/>
  <c r="BO183"/>
  <c r="BP183"/>
  <c r="BQ183"/>
  <c r="BR183"/>
  <c r="BS183"/>
  <c r="BT183"/>
  <c r="BU183"/>
  <c r="BV183"/>
  <c r="BW183"/>
  <c r="BX183"/>
  <c r="BY183"/>
  <c r="BZ183"/>
  <c r="CA183"/>
  <c r="CB183"/>
  <c r="CC183"/>
  <c r="CD183"/>
  <c r="CE183"/>
  <c r="CF183"/>
  <c r="CG183"/>
  <c r="CH183"/>
  <c r="CI183"/>
  <c r="CJ183"/>
  <c r="CK183"/>
  <c r="CL183"/>
  <c r="CM183"/>
  <c r="CN183"/>
  <c r="CO183"/>
  <c r="CP183"/>
  <c r="CQ183"/>
  <c r="CR183"/>
  <c r="CS183"/>
  <c r="CT183"/>
  <c r="CU183"/>
  <c r="CV183"/>
  <c r="CW183"/>
  <c r="CX183"/>
  <c r="CY183"/>
  <c r="CZ183"/>
  <c r="DA183"/>
  <c r="DB183"/>
  <c r="DC183"/>
  <c r="DD183"/>
  <c r="DE183"/>
  <c r="DF183"/>
  <c r="DG183"/>
  <c r="DH183"/>
  <c r="DI183"/>
  <c r="DJ183"/>
  <c r="DK183"/>
  <c r="DL183"/>
  <c r="DM183"/>
  <c r="DN183"/>
  <c r="DO183"/>
  <c r="DP183"/>
  <c r="DQ183"/>
  <c r="DR183"/>
  <c r="DS183"/>
  <c r="DT183"/>
  <c r="DU183"/>
  <c r="DV183"/>
  <c r="DW183"/>
  <c r="DX183"/>
  <c r="DY183"/>
  <c r="DZ183"/>
  <c r="EA183"/>
  <c r="EB183"/>
  <c r="EC183"/>
  <c r="ED183"/>
  <c r="EE183"/>
  <c r="EF183"/>
  <c r="EG183"/>
  <c r="EH183"/>
  <c r="EI183"/>
  <c r="EJ183"/>
  <c r="EK183"/>
  <c r="EL183"/>
  <c r="EM183"/>
  <c r="EN183"/>
  <c r="EO183"/>
  <c r="EP183"/>
  <c r="EQ183"/>
  <c r="ER183"/>
  <c r="ES183"/>
  <c r="ET183"/>
  <c r="EU183"/>
  <c r="EV183"/>
  <c r="EW183"/>
  <c r="EX183"/>
  <c r="EY183"/>
  <c r="EZ183"/>
  <c r="FA183"/>
  <c r="FB183"/>
  <c r="FC183"/>
  <c r="FD183"/>
  <c r="FE183"/>
  <c r="FF183"/>
  <c r="FG183"/>
  <c r="FH183"/>
  <c r="FI183"/>
  <c r="FJ183"/>
  <c r="FK183"/>
  <c r="FL183"/>
  <c r="FM183"/>
  <c r="FN183"/>
  <c r="FO183"/>
  <c r="FP183"/>
  <c r="FQ183"/>
  <c r="FR183"/>
  <c r="FS183"/>
  <c r="FT183"/>
  <c r="FU183"/>
  <c r="FV183"/>
  <c r="FW183"/>
  <c r="FX183"/>
  <c r="FY183"/>
  <c r="FZ183"/>
  <c r="GA183"/>
  <c r="GB183"/>
  <c r="GC183"/>
  <c r="GD183"/>
  <c r="GE183"/>
  <c r="GF183"/>
  <c r="GG183"/>
  <c r="GH183"/>
  <c r="GI183"/>
  <c r="GJ183"/>
  <c r="GK183"/>
  <c r="GL183"/>
  <c r="GM183"/>
  <c r="GN183"/>
  <c r="GO183"/>
  <c r="GP183"/>
  <c r="GQ183"/>
  <c r="GR183"/>
  <c r="GS183"/>
  <c r="GT183"/>
  <c r="GU183"/>
  <c r="GV183"/>
  <c r="GW183"/>
  <c r="GX183"/>
  <c r="GY183"/>
  <c r="GZ183"/>
  <c r="HA183"/>
  <c r="HB183"/>
  <c r="HC183"/>
  <c r="HD183"/>
  <c r="HE183"/>
  <c r="HF183"/>
  <c r="HG183"/>
  <c r="HH183"/>
  <c r="HI183"/>
  <c r="HJ183"/>
  <c r="HK183"/>
  <c r="HL183"/>
  <c r="HM183"/>
  <c r="HN183"/>
  <c r="HO183"/>
  <c r="HP183"/>
  <c r="HQ183"/>
  <c r="HR183"/>
  <c r="HS183"/>
  <c r="HT183"/>
  <c r="HU183"/>
  <c r="HV183"/>
  <c r="HW183"/>
  <c r="HX183"/>
  <c r="HY183"/>
  <c r="HZ183"/>
  <c r="IA183"/>
  <c r="IB183"/>
  <c r="IC183"/>
  <c r="ID183"/>
  <c r="IE183"/>
  <c r="IF183"/>
  <c r="IG183"/>
  <c r="IH183"/>
  <c r="II183"/>
  <c r="IJ183"/>
  <c r="IK183"/>
  <c r="IL183"/>
  <c r="IM183"/>
  <c r="IN183"/>
  <c r="IO183"/>
  <c r="IP183"/>
  <c r="IQ183"/>
  <c r="IR183"/>
  <c r="IS183"/>
  <c r="IT183"/>
  <c r="IU183"/>
  <c r="IV183"/>
  <c r="A184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AE184"/>
  <c r="AF184"/>
  <c r="AG184"/>
  <c r="AH184"/>
  <c r="AI184"/>
  <c r="AJ184"/>
  <c r="AK184"/>
  <c r="AL184"/>
  <c r="AM184"/>
  <c r="AN184"/>
  <c r="AO184"/>
  <c r="AP184"/>
  <c r="AQ184"/>
  <c r="AR184"/>
  <c r="AS184"/>
  <c r="AT184"/>
  <c r="AU184"/>
  <c r="AV184"/>
  <c r="AW184"/>
  <c r="AX184"/>
  <c r="AY184"/>
  <c r="AZ184"/>
  <c r="BA184"/>
  <c r="BB184"/>
  <c r="BC184"/>
  <c r="BD184"/>
  <c r="BE184"/>
  <c r="BF184"/>
  <c r="BG184"/>
  <c r="BH184"/>
  <c r="BI184"/>
  <c r="BJ184"/>
  <c r="BK184"/>
  <c r="BL184"/>
  <c r="BM184"/>
  <c r="BN184"/>
  <c r="BO184"/>
  <c r="BP184"/>
  <c r="BQ184"/>
  <c r="BR184"/>
  <c r="BS184"/>
  <c r="BT184"/>
  <c r="BU184"/>
  <c r="BV184"/>
  <c r="BW184"/>
  <c r="BX184"/>
  <c r="BY184"/>
  <c r="BZ184"/>
  <c r="CA184"/>
  <c r="CB184"/>
  <c r="CC184"/>
  <c r="CD184"/>
  <c r="CE184"/>
  <c r="CF184"/>
  <c r="CG184"/>
  <c r="CH184"/>
  <c r="CI184"/>
  <c r="CJ184"/>
  <c r="CK184"/>
  <c r="CL184"/>
  <c r="CM184"/>
  <c r="CN184"/>
  <c r="CO184"/>
  <c r="CP184"/>
  <c r="CQ184"/>
  <c r="CR184"/>
  <c r="CS184"/>
  <c r="CT184"/>
  <c r="CU184"/>
  <c r="CV184"/>
  <c r="CW184"/>
  <c r="CX184"/>
  <c r="CY184"/>
  <c r="CZ184"/>
  <c r="DA184"/>
  <c r="DB184"/>
  <c r="DC184"/>
  <c r="DD184"/>
  <c r="DE184"/>
  <c r="DF184"/>
  <c r="DG184"/>
  <c r="DH184"/>
  <c r="DI184"/>
  <c r="DJ184"/>
  <c r="DK184"/>
  <c r="DL184"/>
  <c r="DM184"/>
  <c r="DN184"/>
  <c r="DO184"/>
  <c r="DP184"/>
  <c r="DQ184"/>
  <c r="DR184"/>
  <c r="DS184"/>
  <c r="DT184"/>
  <c r="DU184"/>
  <c r="DV184"/>
  <c r="DW184"/>
  <c r="DX184"/>
  <c r="DY184"/>
  <c r="DZ184"/>
  <c r="EA184"/>
  <c r="EB184"/>
  <c r="EC184"/>
  <c r="ED184"/>
  <c r="EE184"/>
  <c r="EF184"/>
  <c r="EG184"/>
  <c r="EH184"/>
  <c r="EI184"/>
  <c r="EJ184"/>
  <c r="EK184"/>
  <c r="EL184"/>
  <c r="EM184"/>
  <c r="EN184"/>
  <c r="EO184"/>
  <c r="EP184"/>
  <c r="EQ184"/>
  <c r="ER184"/>
  <c r="ES184"/>
  <c r="ET184"/>
  <c r="EU184"/>
  <c r="EV184"/>
  <c r="EW184"/>
  <c r="EX184"/>
  <c r="EY184"/>
  <c r="EZ184"/>
  <c r="FA184"/>
  <c r="FB184"/>
  <c r="FC184"/>
  <c r="FD184"/>
  <c r="FE184"/>
  <c r="FF184"/>
  <c r="FG184"/>
  <c r="FH184"/>
  <c r="FI184"/>
  <c r="FJ184"/>
  <c r="FK184"/>
  <c r="FL184"/>
  <c r="FM184"/>
  <c r="FN184"/>
  <c r="FO184"/>
  <c r="FP184"/>
  <c r="FQ184"/>
  <c r="FR184"/>
  <c r="FS184"/>
  <c r="FT184"/>
  <c r="FU184"/>
  <c r="FV184"/>
  <c r="FW184"/>
  <c r="FX184"/>
  <c r="FY184"/>
  <c r="FZ184"/>
  <c r="GA184"/>
  <c r="GB184"/>
  <c r="GC184"/>
  <c r="GD184"/>
  <c r="GE184"/>
  <c r="GF184"/>
  <c r="GG184"/>
  <c r="GH184"/>
  <c r="GI184"/>
  <c r="GJ184"/>
  <c r="GK184"/>
  <c r="GL184"/>
  <c r="GM184"/>
  <c r="GN184"/>
  <c r="GO184"/>
  <c r="GP184"/>
  <c r="GQ184"/>
  <c r="GR184"/>
  <c r="GS184"/>
  <c r="GT184"/>
  <c r="GU184"/>
  <c r="GV184"/>
  <c r="GW184"/>
  <c r="GX184"/>
  <c r="GY184"/>
  <c r="GZ184"/>
  <c r="HA184"/>
  <c r="HB184"/>
  <c r="HC184"/>
  <c r="HD184"/>
  <c r="HE184"/>
  <c r="HF184"/>
  <c r="HG184"/>
  <c r="HH184"/>
  <c r="HI184"/>
  <c r="HJ184"/>
  <c r="HK184"/>
  <c r="HL184"/>
  <c r="HM184"/>
  <c r="HN184"/>
  <c r="HO184"/>
  <c r="HP184"/>
  <c r="HQ184"/>
  <c r="HR184"/>
  <c r="HS184"/>
  <c r="HT184"/>
  <c r="HU184"/>
  <c r="HV184"/>
  <c r="HW184"/>
  <c r="HX184"/>
  <c r="HY184"/>
  <c r="HZ184"/>
  <c r="IA184"/>
  <c r="IB184"/>
  <c r="IC184"/>
  <c r="ID184"/>
  <c r="IE184"/>
  <c r="IF184"/>
  <c r="IG184"/>
  <c r="IH184"/>
  <c r="II184"/>
  <c r="IJ184"/>
  <c r="IK184"/>
  <c r="IL184"/>
  <c r="IM184"/>
  <c r="IN184"/>
  <c r="IO184"/>
  <c r="IP184"/>
  <c r="IQ184"/>
  <c r="IR184"/>
  <c r="IS184"/>
  <c r="IT184"/>
  <c r="IU184"/>
  <c r="IV184"/>
  <c r="A185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AE185"/>
  <c r="AF185"/>
  <c r="AG185"/>
  <c r="AH185"/>
  <c r="AI185"/>
  <c r="AJ185"/>
  <c r="AK185"/>
  <c r="AL185"/>
  <c r="AM185"/>
  <c r="AN185"/>
  <c r="AO185"/>
  <c r="AP185"/>
  <c r="AQ185"/>
  <c r="AR185"/>
  <c r="AS185"/>
  <c r="AT185"/>
  <c r="AU185"/>
  <c r="AV185"/>
  <c r="AW185"/>
  <c r="AX185"/>
  <c r="AY185"/>
  <c r="AZ185"/>
  <c r="BA185"/>
  <c r="BB185"/>
  <c r="BC185"/>
  <c r="BD185"/>
  <c r="BE185"/>
  <c r="BF185"/>
  <c r="BG185"/>
  <c r="BH185"/>
  <c r="BI185"/>
  <c r="BJ185"/>
  <c r="BK185"/>
  <c r="BL185"/>
  <c r="BM185"/>
  <c r="BN185"/>
  <c r="BO185"/>
  <c r="BP185"/>
  <c r="BQ185"/>
  <c r="BR185"/>
  <c r="BS185"/>
  <c r="BT185"/>
  <c r="BU185"/>
  <c r="BV185"/>
  <c r="BW185"/>
  <c r="BX185"/>
  <c r="BY185"/>
  <c r="BZ185"/>
  <c r="CA185"/>
  <c r="CB185"/>
  <c r="CC185"/>
  <c r="CD185"/>
  <c r="CE185"/>
  <c r="CF185"/>
  <c r="CG185"/>
  <c r="CH185"/>
  <c r="CI185"/>
  <c r="CJ185"/>
  <c r="CK185"/>
  <c r="CL185"/>
  <c r="CM185"/>
  <c r="CN185"/>
  <c r="CO185"/>
  <c r="CP185"/>
  <c r="CQ185"/>
  <c r="CR185"/>
  <c r="CS185"/>
  <c r="CT185"/>
  <c r="CU185"/>
  <c r="CV185"/>
  <c r="CW185"/>
  <c r="CX185"/>
  <c r="CY185"/>
  <c r="CZ185"/>
  <c r="DA185"/>
  <c r="DB185"/>
  <c r="DC185"/>
  <c r="DD185"/>
  <c r="DE185"/>
  <c r="DF185"/>
  <c r="DG185"/>
  <c r="DH185"/>
  <c r="DI185"/>
  <c r="DJ185"/>
  <c r="DK185"/>
  <c r="DL185"/>
  <c r="DM185"/>
  <c r="DN185"/>
  <c r="DO185"/>
  <c r="DP185"/>
  <c r="DQ185"/>
  <c r="DR185"/>
  <c r="DS185"/>
  <c r="DT185"/>
  <c r="DU185"/>
  <c r="DV185"/>
  <c r="DW185"/>
  <c r="DX185"/>
  <c r="DY185"/>
  <c r="DZ185"/>
  <c r="EA185"/>
  <c r="EB185"/>
  <c r="EC185"/>
  <c r="ED185"/>
  <c r="EE185"/>
  <c r="EF185"/>
  <c r="EG185"/>
  <c r="EH185"/>
  <c r="EI185"/>
  <c r="EJ185"/>
  <c r="EK185"/>
  <c r="EL185"/>
  <c r="EM185"/>
  <c r="EN185"/>
  <c r="EO185"/>
  <c r="EP185"/>
  <c r="EQ185"/>
  <c r="ER185"/>
  <c r="ES185"/>
  <c r="ET185"/>
  <c r="EU185"/>
  <c r="EV185"/>
  <c r="EW185"/>
  <c r="EX185"/>
  <c r="EY185"/>
  <c r="EZ185"/>
  <c r="FA185"/>
  <c r="FB185"/>
  <c r="FC185"/>
  <c r="FD185"/>
  <c r="FE185"/>
  <c r="FF185"/>
  <c r="FG185"/>
  <c r="FH185"/>
  <c r="FI185"/>
  <c r="FJ185"/>
  <c r="FK185"/>
  <c r="FL185"/>
  <c r="FM185"/>
  <c r="FN185"/>
  <c r="FO185"/>
  <c r="FP185"/>
  <c r="FQ185"/>
  <c r="FR185"/>
  <c r="FS185"/>
  <c r="FT185"/>
  <c r="FU185"/>
  <c r="FV185"/>
  <c r="FW185"/>
  <c r="FX185"/>
  <c r="FY185"/>
  <c r="FZ185"/>
  <c r="GA185"/>
  <c r="GB185"/>
  <c r="GC185"/>
  <c r="GD185"/>
  <c r="GE185"/>
  <c r="GF185"/>
  <c r="GG185"/>
  <c r="GH185"/>
  <c r="GI185"/>
  <c r="GJ185"/>
  <c r="GK185"/>
  <c r="GL185"/>
  <c r="GM185"/>
  <c r="GN185"/>
  <c r="GO185"/>
  <c r="GP185"/>
  <c r="GQ185"/>
  <c r="GR185"/>
  <c r="GS185"/>
  <c r="GT185"/>
  <c r="GU185"/>
  <c r="GV185"/>
  <c r="GW185"/>
  <c r="GX185"/>
  <c r="GY185"/>
  <c r="GZ185"/>
  <c r="HA185"/>
  <c r="HB185"/>
  <c r="HC185"/>
  <c r="HD185"/>
  <c r="HE185"/>
  <c r="HF185"/>
  <c r="HG185"/>
  <c r="HH185"/>
  <c r="HI185"/>
  <c r="HJ185"/>
  <c r="HK185"/>
  <c r="HL185"/>
  <c r="HM185"/>
  <c r="HN185"/>
  <c r="HO185"/>
  <c r="HP185"/>
  <c r="HQ185"/>
  <c r="HR185"/>
  <c r="HS185"/>
  <c r="HT185"/>
  <c r="HU185"/>
  <c r="HV185"/>
  <c r="HW185"/>
  <c r="HX185"/>
  <c r="HY185"/>
  <c r="HZ185"/>
  <c r="IA185"/>
  <c r="IB185"/>
  <c r="IC185"/>
  <c r="ID185"/>
  <c r="IE185"/>
  <c r="IF185"/>
  <c r="IG185"/>
  <c r="IH185"/>
  <c r="II185"/>
  <c r="IJ185"/>
  <c r="IK185"/>
  <c r="IL185"/>
  <c r="IM185"/>
  <c r="IN185"/>
  <c r="IO185"/>
  <c r="IP185"/>
  <c r="IQ185"/>
  <c r="IR185"/>
  <c r="IS185"/>
  <c r="IT185"/>
  <c r="IU185"/>
  <c r="IV185"/>
  <c r="A186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AE186"/>
  <c r="AF186"/>
  <c r="AG186"/>
  <c r="AH186"/>
  <c r="AI186"/>
  <c r="AJ186"/>
  <c r="AK186"/>
  <c r="AL186"/>
  <c r="AM186"/>
  <c r="AN186"/>
  <c r="AO186"/>
  <c r="AP186"/>
  <c r="AQ186"/>
  <c r="AR186"/>
  <c r="AS186"/>
  <c r="AT186"/>
  <c r="AU186"/>
  <c r="AV186"/>
  <c r="AW186"/>
  <c r="AX186"/>
  <c r="AY186"/>
  <c r="AZ186"/>
  <c r="BA186"/>
  <c r="BB186"/>
  <c r="BC186"/>
  <c r="BD186"/>
  <c r="BE186"/>
  <c r="BF186"/>
  <c r="BG186"/>
  <c r="BH186"/>
  <c r="BI186"/>
  <c r="BJ186"/>
  <c r="BK186"/>
  <c r="BL186"/>
  <c r="BM186"/>
  <c r="BN186"/>
  <c r="BO186"/>
  <c r="BP186"/>
  <c r="BQ186"/>
  <c r="BR186"/>
  <c r="BS186"/>
  <c r="BT186"/>
  <c r="BU186"/>
  <c r="BV186"/>
  <c r="BW186"/>
  <c r="BX186"/>
  <c r="BY186"/>
  <c r="BZ186"/>
  <c r="CA186"/>
  <c r="CB186"/>
  <c r="CC186"/>
  <c r="CD186"/>
  <c r="CE186"/>
  <c r="CF186"/>
  <c r="CG186"/>
  <c r="CH186"/>
  <c r="CI186"/>
  <c r="CJ186"/>
  <c r="CK186"/>
  <c r="CL186"/>
  <c r="CM186"/>
  <c r="CN186"/>
  <c r="CO186"/>
  <c r="CP186"/>
  <c r="CQ186"/>
  <c r="CR186"/>
  <c r="CS186"/>
  <c r="CT186"/>
  <c r="CU186"/>
  <c r="CV186"/>
  <c r="CW186"/>
  <c r="CX186"/>
  <c r="CY186"/>
  <c r="CZ186"/>
  <c r="DA186"/>
  <c r="DB186"/>
  <c r="DC186"/>
  <c r="DD186"/>
  <c r="DE186"/>
  <c r="DF186"/>
  <c r="DG186"/>
  <c r="DH186"/>
  <c r="DI186"/>
  <c r="DJ186"/>
  <c r="DK186"/>
  <c r="DL186"/>
  <c r="DM186"/>
  <c r="DN186"/>
  <c r="DO186"/>
  <c r="DP186"/>
  <c r="DQ186"/>
  <c r="DR186"/>
  <c r="DS186"/>
  <c r="DT186"/>
  <c r="DU186"/>
  <c r="DV186"/>
  <c r="DW186"/>
  <c r="DX186"/>
  <c r="DY186"/>
  <c r="DZ186"/>
  <c r="EA186"/>
  <c r="EB186"/>
  <c r="EC186"/>
  <c r="ED186"/>
  <c r="EE186"/>
  <c r="EF186"/>
  <c r="EG186"/>
  <c r="EH186"/>
  <c r="EI186"/>
  <c r="EJ186"/>
  <c r="EK186"/>
  <c r="EL186"/>
  <c r="EM186"/>
  <c r="EN186"/>
  <c r="EO186"/>
  <c r="EP186"/>
  <c r="EQ186"/>
  <c r="ER186"/>
  <c r="ES186"/>
  <c r="ET186"/>
  <c r="EU186"/>
  <c r="EV186"/>
  <c r="EW186"/>
  <c r="EX186"/>
  <c r="EY186"/>
  <c r="EZ186"/>
  <c r="FA186"/>
  <c r="FB186"/>
  <c r="FC186"/>
  <c r="FD186"/>
  <c r="FE186"/>
  <c r="FF186"/>
  <c r="FG186"/>
  <c r="FH186"/>
  <c r="FI186"/>
  <c r="FJ186"/>
  <c r="FK186"/>
  <c r="FL186"/>
  <c r="FM186"/>
  <c r="FN186"/>
  <c r="FO186"/>
  <c r="FP186"/>
  <c r="FQ186"/>
  <c r="FR186"/>
  <c r="FS186"/>
  <c r="FT186"/>
  <c r="FU186"/>
  <c r="FV186"/>
  <c r="FW186"/>
  <c r="FX186"/>
  <c r="FY186"/>
  <c r="FZ186"/>
  <c r="GA186"/>
  <c r="GB186"/>
  <c r="GC186"/>
  <c r="GD186"/>
  <c r="GE186"/>
  <c r="GF186"/>
  <c r="GG186"/>
  <c r="GH186"/>
  <c r="GI186"/>
  <c r="GJ186"/>
  <c r="GK186"/>
  <c r="GL186"/>
  <c r="GM186"/>
  <c r="GN186"/>
  <c r="GO186"/>
  <c r="GP186"/>
  <c r="GQ186"/>
  <c r="GR186"/>
  <c r="GS186"/>
  <c r="GT186"/>
  <c r="GU186"/>
  <c r="GV186"/>
  <c r="GW186"/>
  <c r="GX186"/>
  <c r="GY186"/>
  <c r="GZ186"/>
  <c r="HA186"/>
  <c r="HB186"/>
  <c r="HC186"/>
  <c r="HD186"/>
  <c r="HE186"/>
  <c r="HF186"/>
  <c r="HG186"/>
  <c r="HH186"/>
  <c r="HI186"/>
  <c r="HJ186"/>
  <c r="HK186"/>
  <c r="HL186"/>
  <c r="HM186"/>
  <c r="HN186"/>
  <c r="HO186"/>
  <c r="HP186"/>
  <c r="HQ186"/>
  <c r="HR186"/>
  <c r="HS186"/>
  <c r="HT186"/>
  <c r="HU186"/>
  <c r="HV186"/>
  <c r="HW186"/>
  <c r="HX186"/>
  <c r="HY186"/>
  <c r="HZ186"/>
  <c r="IA186"/>
  <c r="IB186"/>
  <c r="IC186"/>
  <c r="ID186"/>
  <c r="IE186"/>
  <c r="IF186"/>
  <c r="IG186"/>
  <c r="IH186"/>
  <c r="II186"/>
  <c r="IJ186"/>
  <c r="IK186"/>
  <c r="IL186"/>
  <c r="IM186"/>
  <c r="IN186"/>
  <c r="IO186"/>
  <c r="IP186"/>
  <c r="IQ186"/>
  <c r="IR186"/>
  <c r="IS186"/>
  <c r="IT186"/>
  <c r="IU186"/>
  <c r="IV186"/>
  <c r="A187"/>
  <c r="B187"/>
  <c r="C187"/>
  <c r="D187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AE187"/>
  <c r="AF187"/>
  <c r="AG187"/>
  <c r="AH187"/>
  <c r="AI187"/>
  <c r="AJ187"/>
  <c r="AK187"/>
  <c r="AL187"/>
  <c r="AM187"/>
  <c r="AN187"/>
  <c r="AO187"/>
  <c r="AP187"/>
  <c r="AQ187"/>
  <c r="AR187"/>
  <c r="AS187"/>
  <c r="AT187"/>
  <c r="AU187"/>
  <c r="AV187"/>
  <c r="AW187"/>
  <c r="AX187"/>
  <c r="AY187"/>
  <c r="AZ187"/>
  <c r="BA187"/>
  <c r="BB187"/>
  <c r="BC187"/>
  <c r="BD187"/>
  <c r="BE187"/>
  <c r="BF187"/>
  <c r="BG187"/>
  <c r="BH187"/>
  <c r="BI187"/>
  <c r="BJ187"/>
  <c r="BK187"/>
  <c r="BL187"/>
  <c r="BM187"/>
  <c r="BN187"/>
  <c r="BO187"/>
  <c r="BP187"/>
  <c r="BQ187"/>
  <c r="BR187"/>
  <c r="BS187"/>
  <c r="BT187"/>
  <c r="BU187"/>
  <c r="BV187"/>
  <c r="BW187"/>
  <c r="BX187"/>
  <c r="BY187"/>
  <c r="BZ187"/>
  <c r="CA187"/>
  <c r="CB187"/>
  <c r="CC187"/>
  <c r="CD187"/>
  <c r="CE187"/>
  <c r="CF187"/>
  <c r="CG187"/>
  <c r="CH187"/>
  <c r="CI187"/>
  <c r="CJ187"/>
  <c r="CK187"/>
  <c r="CL187"/>
  <c r="CM187"/>
  <c r="CN187"/>
  <c r="CO187"/>
  <c r="CP187"/>
  <c r="CQ187"/>
  <c r="CR187"/>
  <c r="CS187"/>
  <c r="CT187"/>
  <c r="CU187"/>
  <c r="CV187"/>
  <c r="CW187"/>
  <c r="CX187"/>
  <c r="CY187"/>
  <c r="CZ187"/>
  <c r="DA187"/>
  <c r="DB187"/>
  <c r="DC187"/>
  <c r="DD187"/>
  <c r="DE187"/>
  <c r="DF187"/>
  <c r="DG187"/>
  <c r="DH187"/>
  <c r="DI187"/>
  <c r="DJ187"/>
  <c r="DK187"/>
  <c r="DL187"/>
  <c r="DM187"/>
  <c r="DN187"/>
  <c r="DO187"/>
  <c r="DP187"/>
  <c r="DQ187"/>
  <c r="DR187"/>
  <c r="DS187"/>
  <c r="DT187"/>
  <c r="DU187"/>
  <c r="DV187"/>
  <c r="DW187"/>
  <c r="DX187"/>
  <c r="DY187"/>
  <c r="DZ187"/>
  <c r="EA187"/>
  <c r="EB187"/>
  <c r="EC187"/>
  <c r="ED187"/>
  <c r="EE187"/>
  <c r="EF187"/>
  <c r="EG187"/>
  <c r="EH187"/>
  <c r="EI187"/>
  <c r="EJ187"/>
  <c r="EK187"/>
  <c r="EL187"/>
  <c r="EM187"/>
  <c r="EN187"/>
  <c r="EO187"/>
  <c r="EP187"/>
  <c r="EQ187"/>
  <c r="ER187"/>
  <c r="ES187"/>
  <c r="ET187"/>
  <c r="EU187"/>
  <c r="EV187"/>
  <c r="EW187"/>
  <c r="EX187"/>
  <c r="EY187"/>
  <c r="EZ187"/>
  <c r="FA187"/>
  <c r="FB187"/>
  <c r="FC187"/>
  <c r="FD187"/>
  <c r="FE187"/>
  <c r="FF187"/>
  <c r="FG187"/>
  <c r="FH187"/>
  <c r="FI187"/>
  <c r="FJ187"/>
  <c r="FK187"/>
  <c r="FL187"/>
  <c r="FM187"/>
  <c r="FN187"/>
  <c r="FO187"/>
  <c r="FP187"/>
  <c r="FQ187"/>
  <c r="FR187"/>
  <c r="FS187"/>
  <c r="FT187"/>
  <c r="FU187"/>
  <c r="FV187"/>
  <c r="FW187"/>
  <c r="FX187"/>
  <c r="FY187"/>
  <c r="FZ187"/>
  <c r="GA187"/>
  <c r="GB187"/>
  <c r="GC187"/>
  <c r="GD187"/>
  <c r="GE187"/>
  <c r="GF187"/>
  <c r="GG187"/>
  <c r="GH187"/>
  <c r="GI187"/>
  <c r="GJ187"/>
  <c r="GK187"/>
  <c r="GL187"/>
  <c r="GM187"/>
  <c r="GN187"/>
  <c r="GO187"/>
  <c r="GP187"/>
  <c r="GQ187"/>
  <c r="GR187"/>
  <c r="GS187"/>
  <c r="GT187"/>
  <c r="GU187"/>
  <c r="GV187"/>
  <c r="GW187"/>
  <c r="GX187"/>
  <c r="GY187"/>
  <c r="GZ187"/>
  <c r="HA187"/>
  <c r="HB187"/>
  <c r="HC187"/>
  <c r="HD187"/>
  <c r="HE187"/>
  <c r="HF187"/>
  <c r="HG187"/>
  <c r="HH187"/>
  <c r="HI187"/>
  <c r="HJ187"/>
  <c r="HK187"/>
  <c r="HL187"/>
  <c r="HM187"/>
  <c r="HN187"/>
  <c r="HO187"/>
  <c r="HP187"/>
  <c r="HQ187"/>
  <c r="HR187"/>
  <c r="HS187"/>
  <c r="HT187"/>
  <c r="HU187"/>
  <c r="HV187"/>
  <c r="HW187"/>
  <c r="HX187"/>
  <c r="HY187"/>
  <c r="HZ187"/>
  <c r="IA187"/>
  <c r="IB187"/>
  <c r="IC187"/>
  <c r="ID187"/>
  <c r="IE187"/>
  <c r="IF187"/>
  <c r="IG187"/>
  <c r="IH187"/>
  <c r="II187"/>
  <c r="IJ187"/>
  <c r="IK187"/>
  <c r="IL187"/>
  <c r="IM187"/>
  <c r="IN187"/>
  <c r="IO187"/>
  <c r="IP187"/>
  <c r="IQ187"/>
  <c r="IR187"/>
  <c r="IS187"/>
  <c r="IT187"/>
  <c r="IU187"/>
  <c r="IV187"/>
  <c r="A188"/>
  <c r="B188"/>
  <c r="C188"/>
  <c r="D188"/>
  <c r="E188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AE188"/>
  <c r="AF188"/>
  <c r="AG188"/>
  <c r="AH188"/>
  <c r="AI188"/>
  <c r="AJ188"/>
  <c r="AK188"/>
  <c r="AL188"/>
  <c r="AM188"/>
  <c r="AN188"/>
  <c r="AO188"/>
  <c r="AP188"/>
  <c r="AQ188"/>
  <c r="AR188"/>
  <c r="AS188"/>
  <c r="AT188"/>
  <c r="AU188"/>
  <c r="AV188"/>
  <c r="AW188"/>
  <c r="AX188"/>
  <c r="AY188"/>
  <c r="AZ188"/>
  <c r="BA188"/>
  <c r="BB188"/>
  <c r="BC188"/>
  <c r="BD188"/>
  <c r="BE188"/>
  <c r="BF188"/>
  <c r="BG188"/>
  <c r="BH188"/>
  <c r="BI188"/>
  <c r="BJ188"/>
  <c r="BK188"/>
  <c r="BL188"/>
  <c r="BM188"/>
  <c r="BN188"/>
  <c r="BO188"/>
  <c r="BP188"/>
  <c r="BQ188"/>
  <c r="BR188"/>
  <c r="BS188"/>
  <c r="BT188"/>
  <c r="BU188"/>
  <c r="BV188"/>
  <c r="BW188"/>
  <c r="BX188"/>
  <c r="BY188"/>
  <c r="BZ188"/>
  <c r="CA188"/>
  <c r="CB188"/>
  <c r="CC188"/>
  <c r="CD188"/>
  <c r="CE188"/>
  <c r="CF188"/>
  <c r="CG188"/>
  <c r="CH188"/>
  <c r="CI188"/>
  <c r="CJ188"/>
  <c r="CK188"/>
  <c r="CL188"/>
  <c r="CM188"/>
  <c r="CN188"/>
  <c r="CO188"/>
  <c r="CP188"/>
  <c r="CQ188"/>
  <c r="CR188"/>
  <c r="CS188"/>
  <c r="CT188"/>
  <c r="CU188"/>
  <c r="CV188"/>
  <c r="CW188"/>
  <c r="CX188"/>
  <c r="CY188"/>
  <c r="CZ188"/>
  <c r="DA188"/>
  <c r="DB188"/>
  <c r="DC188"/>
  <c r="DD188"/>
  <c r="DE188"/>
  <c r="DF188"/>
  <c r="DG188"/>
  <c r="DH188"/>
  <c r="DI188"/>
  <c r="DJ188"/>
  <c r="DK188"/>
  <c r="DL188"/>
  <c r="DM188"/>
  <c r="DN188"/>
  <c r="DO188"/>
  <c r="DP188"/>
  <c r="DQ188"/>
  <c r="DR188"/>
  <c r="DS188"/>
  <c r="DT188"/>
  <c r="DU188"/>
  <c r="DV188"/>
  <c r="DW188"/>
  <c r="DX188"/>
  <c r="DY188"/>
  <c r="DZ188"/>
  <c r="EA188"/>
  <c r="EB188"/>
  <c r="EC188"/>
  <c r="ED188"/>
  <c r="EE188"/>
  <c r="EF188"/>
  <c r="EG188"/>
  <c r="EH188"/>
  <c r="EI188"/>
  <c r="EJ188"/>
  <c r="EK188"/>
  <c r="EL188"/>
  <c r="EM188"/>
  <c r="EN188"/>
  <c r="EO188"/>
  <c r="EP188"/>
  <c r="EQ188"/>
  <c r="ER188"/>
  <c r="ES188"/>
  <c r="ET188"/>
  <c r="EU188"/>
  <c r="EV188"/>
  <c r="EW188"/>
  <c r="EX188"/>
  <c r="EY188"/>
  <c r="EZ188"/>
  <c r="FA188"/>
  <c r="FB188"/>
  <c r="FC188"/>
  <c r="FD188"/>
  <c r="FE188"/>
  <c r="FF188"/>
  <c r="FG188"/>
  <c r="FH188"/>
  <c r="FI188"/>
  <c r="FJ188"/>
  <c r="FK188"/>
  <c r="FL188"/>
  <c r="FM188"/>
  <c r="FN188"/>
  <c r="FO188"/>
  <c r="FP188"/>
  <c r="FQ188"/>
  <c r="FR188"/>
  <c r="FS188"/>
  <c r="FT188"/>
  <c r="FU188"/>
  <c r="FV188"/>
  <c r="FW188"/>
  <c r="FX188"/>
  <c r="FY188"/>
  <c r="FZ188"/>
  <c r="GA188"/>
  <c r="GB188"/>
  <c r="GC188"/>
  <c r="GD188"/>
  <c r="GE188"/>
  <c r="GF188"/>
  <c r="GG188"/>
  <c r="GH188"/>
  <c r="GI188"/>
  <c r="GJ188"/>
  <c r="GK188"/>
  <c r="GL188"/>
  <c r="GM188"/>
  <c r="GN188"/>
  <c r="GO188"/>
  <c r="GP188"/>
  <c r="GQ188"/>
  <c r="GR188"/>
  <c r="GS188"/>
  <c r="GT188"/>
  <c r="GU188"/>
  <c r="GV188"/>
  <c r="GW188"/>
  <c r="GX188"/>
  <c r="GY188"/>
  <c r="GZ188"/>
  <c r="HA188"/>
  <c r="HB188"/>
  <c r="HC188"/>
  <c r="HD188"/>
  <c r="HE188"/>
  <c r="HF188"/>
  <c r="HG188"/>
  <c r="HH188"/>
  <c r="HI188"/>
  <c r="HJ188"/>
  <c r="HK188"/>
  <c r="HL188"/>
  <c r="HM188"/>
  <c r="HN188"/>
  <c r="HO188"/>
  <c r="HP188"/>
  <c r="HQ188"/>
  <c r="HR188"/>
  <c r="HS188"/>
  <c r="HT188"/>
  <c r="HU188"/>
  <c r="HV188"/>
  <c r="HW188"/>
  <c r="HX188"/>
  <c r="HY188"/>
  <c r="HZ188"/>
  <c r="IA188"/>
  <c r="IB188"/>
  <c r="IC188"/>
  <c r="ID188"/>
  <c r="IE188"/>
  <c r="IF188"/>
  <c r="IG188"/>
  <c r="IH188"/>
  <c r="II188"/>
  <c r="IJ188"/>
  <c r="IK188"/>
  <c r="IL188"/>
  <c r="IM188"/>
  <c r="IN188"/>
  <c r="IO188"/>
  <c r="IP188"/>
  <c r="IQ188"/>
  <c r="IR188"/>
  <c r="IS188"/>
  <c r="IT188"/>
  <c r="IU188"/>
  <c r="IV188"/>
  <c r="A189"/>
  <c r="B189"/>
  <c r="C189"/>
  <c r="D189"/>
  <c r="E189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AE189"/>
  <c r="AF189"/>
  <c r="AG189"/>
  <c r="AH189"/>
  <c r="AI189"/>
  <c r="AJ189"/>
  <c r="AK189"/>
  <c r="AL189"/>
  <c r="AM189"/>
  <c r="AN189"/>
  <c r="AO189"/>
  <c r="AP189"/>
  <c r="AQ189"/>
  <c r="AR189"/>
  <c r="AS189"/>
  <c r="AT189"/>
  <c r="AU189"/>
  <c r="AV189"/>
  <c r="AW189"/>
  <c r="AX189"/>
  <c r="AY189"/>
  <c r="AZ189"/>
  <c r="BA189"/>
  <c r="BB189"/>
  <c r="BC189"/>
  <c r="BD189"/>
  <c r="BE189"/>
  <c r="BF189"/>
  <c r="BG189"/>
  <c r="BH189"/>
  <c r="BI189"/>
  <c r="BJ189"/>
  <c r="BK189"/>
  <c r="BL189"/>
  <c r="BM189"/>
  <c r="BN189"/>
  <c r="BO189"/>
  <c r="BP189"/>
  <c r="BQ189"/>
  <c r="BR189"/>
  <c r="BS189"/>
  <c r="BT189"/>
  <c r="BU189"/>
  <c r="BV189"/>
  <c r="BW189"/>
  <c r="BX189"/>
  <c r="BY189"/>
  <c r="BZ189"/>
  <c r="CA189"/>
  <c r="CB189"/>
  <c r="CC189"/>
  <c r="CD189"/>
  <c r="CE189"/>
  <c r="CF189"/>
  <c r="CG189"/>
  <c r="CH189"/>
  <c r="CI189"/>
  <c r="CJ189"/>
  <c r="CK189"/>
  <c r="CL189"/>
  <c r="CM189"/>
  <c r="CN189"/>
  <c r="CO189"/>
  <c r="CP189"/>
  <c r="CQ189"/>
  <c r="CR189"/>
  <c r="CS189"/>
  <c r="CT189"/>
  <c r="CU189"/>
  <c r="CV189"/>
  <c r="CW189"/>
  <c r="CX189"/>
  <c r="CY189"/>
  <c r="CZ189"/>
  <c r="DA189"/>
  <c r="DB189"/>
  <c r="DC189"/>
  <c r="DD189"/>
  <c r="DE189"/>
  <c r="DF189"/>
  <c r="DG189"/>
  <c r="DH189"/>
  <c r="DI189"/>
  <c r="DJ189"/>
  <c r="DK189"/>
  <c r="DL189"/>
  <c r="DM189"/>
  <c r="DN189"/>
  <c r="DO189"/>
  <c r="DP189"/>
  <c r="DQ189"/>
  <c r="DR189"/>
  <c r="DS189"/>
  <c r="DT189"/>
  <c r="DU189"/>
  <c r="DV189"/>
  <c r="DW189"/>
  <c r="DX189"/>
  <c r="DY189"/>
  <c r="DZ189"/>
  <c r="EA189"/>
  <c r="EB189"/>
  <c r="EC189"/>
  <c r="ED189"/>
  <c r="EE189"/>
  <c r="EF189"/>
  <c r="EG189"/>
  <c r="EH189"/>
  <c r="EI189"/>
  <c r="EJ189"/>
  <c r="EK189"/>
  <c r="EL189"/>
  <c r="EM189"/>
  <c r="EN189"/>
  <c r="EO189"/>
  <c r="EP189"/>
  <c r="EQ189"/>
  <c r="ER189"/>
  <c r="ES189"/>
  <c r="ET189"/>
  <c r="EU189"/>
  <c r="EV189"/>
  <c r="EW189"/>
  <c r="EX189"/>
  <c r="EY189"/>
  <c r="EZ189"/>
  <c r="FA189"/>
  <c r="FB189"/>
  <c r="FC189"/>
  <c r="FD189"/>
  <c r="FE189"/>
  <c r="FF189"/>
  <c r="FG189"/>
  <c r="FH189"/>
  <c r="FI189"/>
  <c r="FJ189"/>
  <c r="FK189"/>
  <c r="FL189"/>
  <c r="FM189"/>
  <c r="FN189"/>
  <c r="FO189"/>
  <c r="FP189"/>
  <c r="FQ189"/>
  <c r="FR189"/>
  <c r="FS189"/>
  <c r="FT189"/>
  <c r="FU189"/>
  <c r="FV189"/>
  <c r="FW189"/>
  <c r="FX189"/>
  <c r="FY189"/>
  <c r="FZ189"/>
  <c r="GA189"/>
  <c r="GB189"/>
  <c r="GC189"/>
  <c r="GD189"/>
  <c r="GE189"/>
  <c r="GF189"/>
  <c r="GG189"/>
  <c r="GH189"/>
  <c r="GI189"/>
  <c r="GJ189"/>
  <c r="GK189"/>
  <c r="GL189"/>
  <c r="GM189"/>
  <c r="GN189"/>
  <c r="GO189"/>
  <c r="GP189"/>
  <c r="GQ189"/>
  <c r="GR189"/>
  <c r="GS189"/>
  <c r="GT189"/>
  <c r="GU189"/>
  <c r="GV189"/>
  <c r="GW189"/>
  <c r="GX189"/>
  <c r="GY189"/>
  <c r="GZ189"/>
  <c r="HA189"/>
  <c r="HB189"/>
  <c r="HC189"/>
  <c r="HD189"/>
  <c r="HE189"/>
  <c r="HF189"/>
  <c r="HG189"/>
  <c r="HH189"/>
  <c r="HI189"/>
  <c r="HJ189"/>
  <c r="HK189"/>
  <c r="HL189"/>
  <c r="HM189"/>
  <c r="HN189"/>
  <c r="HO189"/>
  <c r="HP189"/>
  <c r="HQ189"/>
  <c r="HR189"/>
  <c r="HS189"/>
  <c r="HT189"/>
  <c r="HU189"/>
  <c r="HV189"/>
  <c r="HW189"/>
  <c r="HX189"/>
  <c r="HY189"/>
  <c r="HZ189"/>
  <c r="IA189"/>
  <c r="IB189"/>
  <c r="IC189"/>
  <c r="ID189"/>
  <c r="IE189"/>
  <c r="IF189"/>
  <c r="IG189"/>
  <c r="IH189"/>
  <c r="II189"/>
  <c r="IJ189"/>
  <c r="IK189"/>
  <c r="IL189"/>
  <c r="IM189"/>
  <c r="IN189"/>
  <c r="IO189"/>
  <c r="IP189"/>
  <c r="IQ189"/>
  <c r="IR189"/>
  <c r="IS189"/>
  <c r="IT189"/>
  <c r="IU189"/>
  <c r="IV189"/>
  <c r="A190"/>
  <c r="B190"/>
  <c r="C190"/>
  <c r="D190"/>
  <c r="E190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AE190"/>
  <c r="AF190"/>
  <c r="AG190"/>
  <c r="AH190"/>
  <c r="AI190"/>
  <c r="AJ190"/>
  <c r="AK190"/>
  <c r="AL190"/>
  <c r="AM190"/>
  <c r="AN190"/>
  <c r="AO190"/>
  <c r="AP190"/>
  <c r="AQ190"/>
  <c r="AR190"/>
  <c r="AS190"/>
  <c r="AT190"/>
  <c r="AU190"/>
  <c r="AV190"/>
  <c r="AW190"/>
  <c r="AX190"/>
  <c r="AY190"/>
  <c r="AZ190"/>
  <c r="BA190"/>
  <c r="BB190"/>
  <c r="BC190"/>
  <c r="BD190"/>
  <c r="BE190"/>
  <c r="BF190"/>
  <c r="BG190"/>
  <c r="BH190"/>
  <c r="BI190"/>
  <c r="BJ190"/>
  <c r="BK190"/>
  <c r="BL190"/>
  <c r="BM190"/>
  <c r="BN190"/>
  <c r="BO190"/>
  <c r="BP190"/>
  <c r="BQ190"/>
  <c r="BR190"/>
  <c r="BS190"/>
  <c r="BT190"/>
  <c r="BU190"/>
  <c r="BV190"/>
  <c r="BW190"/>
  <c r="BX190"/>
  <c r="BY190"/>
  <c r="BZ190"/>
  <c r="CA190"/>
  <c r="CB190"/>
  <c r="CC190"/>
  <c r="CD190"/>
  <c r="CE190"/>
  <c r="CF190"/>
  <c r="CG190"/>
  <c r="CH190"/>
  <c r="CI190"/>
  <c r="CJ190"/>
  <c r="CK190"/>
  <c r="CL190"/>
  <c r="CM190"/>
  <c r="CN190"/>
  <c r="CO190"/>
  <c r="CP190"/>
  <c r="CQ190"/>
  <c r="CR190"/>
  <c r="CS190"/>
  <c r="CT190"/>
  <c r="CU190"/>
  <c r="CV190"/>
  <c r="CW190"/>
  <c r="CX190"/>
  <c r="CY190"/>
  <c r="CZ190"/>
  <c r="DA190"/>
  <c r="DB190"/>
  <c r="DC190"/>
  <c r="DD190"/>
  <c r="DE190"/>
  <c r="DF190"/>
  <c r="DG190"/>
  <c r="DH190"/>
  <c r="DI190"/>
  <c r="DJ190"/>
  <c r="DK190"/>
  <c r="DL190"/>
  <c r="DM190"/>
  <c r="DN190"/>
  <c r="DO190"/>
  <c r="DP190"/>
  <c r="DQ190"/>
  <c r="DR190"/>
  <c r="DS190"/>
  <c r="DT190"/>
  <c r="DU190"/>
  <c r="DV190"/>
  <c r="DW190"/>
  <c r="DX190"/>
  <c r="DY190"/>
  <c r="DZ190"/>
  <c r="EA190"/>
  <c r="EB190"/>
  <c r="EC190"/>
  <c r="ED190"/>
  <c r="EE190"/>
  <c r="EF190"/>
  <c r="EG190"/>
  <c r="EH190"/>
  <c r="EI190"/>
  <c r="EJ190"/>
  <c r="EK190"/>
  <c r="EL190"/>
  <c r="EM190"/>
  <c r="EN190"/>
  <c r="EO190"/>
  <c r="EP190"/>
  <c r="EQ190"/>
  <c r="ER190"/>
  <c r="ES190"/>
  <c r="ET190"/>
  <c r="EU190"/>
  <c r="EV190"/>
  <c r="EW190"/>
  <c r="EX190"/>
  <c r="EY190"/>
  <c r="EZ190"/>
  <c r="FA190"/>
  <c r="FB190"/>
  <c r="FC190"/>
  <c r="FD190"/>
  <c r="FE190"/>
  <c r="FF190"/>
  <c r="FG190"/>
  <c r="FH190"/>
  <c r="FI190"/>
  <c r="FJ190"/>
  <c r="FK190"/>
  <c r="FL190"/>
  <c r="FM190"/>
  <c r="FN190"/>
  <c r="FO190"/>
  <c r="FP190"/>
  <c r="FQ190"/>
  <c r="FR190"/>
  <c r="FS190"/>
  <c r="FT190"/>
  <c r="FU190"/>
  <c r="FV190"/>
  <c r="FW190"/>
  <c r="FX190"/>
  <c r="FY190"/>
  <c r="FZ190"/>
  <c r="GA190"/>
  <c r="GB190"/>
  <c r="GC190"/>
  <c r="GD190"/>
  <c r="GE190"/>
  <c r="GF190"/>
  <c r="GG190"/>
  <c r="GH190"/>
  <c r="GI190"/>
  <c r="GJ190"/>
  <c r="GK190"/>
  <c r="GL190"/>
  <c r="GM190"/>
  <c r="GN190"/>
  <c r="GO190"/>
  <c r="GP190"/>
  <c r="GQ190"/>
  <c r="GR190"/>
  <c r="GS190"/>
  <c r="GT190"/>
  <c r="GU190"/>
  <c r="GV190"/>
  <c r="GW190"/>
  <c r="GX190"/>
  <c r="GY190"/>
  <c r="GZ190"/>
  <c r="HA190"/>
  <c r="HB190"/>
  <c r="HC190"/>
  <c r="HD190"/>
  <c r="HE190"/>
  <c r="HF190"/>
  <c r="HG190"/>
  <c r="HH190"/>
  <c r="HI190"/>
  <c r="HJ190"/>
  <c r="HK190"/>
  <c r="HL190"/>
  <c r="HM190"/>
  <c r="HN190"/>
  <c r="HO190"/>
  <c r="HP190"/>
  <c r="HQ190"/>
  <c r="HR190"/>
  <c r="HS190"/>
  <c r="HT190"/>
  <c r="HU190"/>
  <c r="HV190"/>
  <c r="HW190"/>
  <c r="HX190"/>
  <c r="HY190"/>
  <c r="HZ190"/>
  <c r="IA190"/>
  <c r="IB190"/>
  <c r="IC190"/>
  <c r="ID190"/>
  <c r="IE190"/>
  <c r="IF190"/>
  <c r="IG190"/>
  <c r="IH190"/>
  <c r="II190"/>
  <c r="IJ190"/>
  <c r="IK190"/>
  <c r="IL190"/>
  <c r="IM190"/>
  <c r="IN190"/>
  <c r="IO190"/>
  <c r="IP190"/>
  <c r="IQ190"/>
  <c r="IR190"/>
  <c r="IS190"/>
  <c r="IT190"/>
  <c r="IU190"/>
  <c r="IV190"/>
  <c r="A191"/>
  <c r="B191"/>
  <c r="C191"/>
  <c r="D191"/>
  <c r="E191"/>
  <c r="F191"/>
  <c r="G191"/>
  <c r="H191"/>
  <c r="I191"/>
  <c r="J191"/>
  <c r="K191"/>
  <c r="L191"/>
  <c r="M191"/>
  <c r="N191"/>
  <c r="O191"/>
  <c r="P191"/>
  <c r="Q191"/>
  <c r="R191"/>
  <c r="S191"/>
  <c r="T191"/>
  <c r="U191"/>
  <c r="V191"/>
  <c r="W191"/>
  <c r="X191"/>
  <c r="Y191"/>
  <c r="Z191"/>
  <c r="AA191"/>
  <c r="AB191"/>
  <c r="AC191"/>
  <c r="AD191"/>
  <c r="AE191"/>
  <c r="AF191"/>
  <c r="AG191"/>
  <c r="AH191"/>
  <c r="AI191"/>
  <c r="AJ191"/>
  <c r="AK191"/>
  <c r="AL191"/>
  <c r="AM191"/>
  <c r="AN191"/>
  <c r="AO191"/>
  <c r="AP191"/>
  <c r="AQ191"/>
  <c r="AR191"/>
  <c r="AS191"/>
  <c r="AT191"/>
  <c r="AU191"/>
  <c r="AV191"/>
  <c r="AW191"/>
  <c r="AX191"/>
  <c r="AY191"/>
  <c r="AZ191"/>
  <c r="BA191"/>
  <c r="BB191"/>
  <c r="BC191"/>
  <c r="BD191"/>
  <c r="BE191"/>
  <c r="BF191"/>
  <c r="BG191"/>
  <c r="BH191"/>
  <c r="BI191"/>
  <c r="BJ191"/>
  <c r="BK191"/>
  <c r="BL191"/>
  <c r="BM191"/>
  <c r="BN191"/>
  <c r="BO191"/>
  <c r="BP191"/>
  <c r="BQ191"/>
  <c r="BR191"/>
  <c r="BS191"/>
  <c r="BT191"/>
  <c r="BU191"/>
  <c r="BV191"/>
  <c r="BW191"/>
  <c r="BX191"/>
  <c r="BY191"/>
  <c r="BZ191"/>
  <c r="CA191"/>
  <c r="CB191"/>
  <c r="CC191"/>
  <c r="CD191"/>
  <c r="CE191"/>
  <c r="CF191"/>
  <c r="CG191"/>
  <c r="CH191"/>
  <c r="CI191"/>
  <c r="CJ191"/>
  <c r="CK191"/>
  <c r="CL191"/>
  <c r="CM191"/>
  <c r="CN191"/>
  <c r="CO191"/>
  <c r="CP191"/>
  <c r="CQ191"/>
  <c r="CR191"/>
  <c r="CS191"/>
  <c r="CT191"/>
  <c r="CU191"/>
  <c r="CV191"/>
  <c r="CW191"/>
  <c r="CX191"/>
  <c r="CY191"/>
  <c r="CZ191"/>
  <c r="DA191"/>
  <c r="DB191"/>
  <c r="DC191"/>
  <c r="DD191"/>
  <c r="DE191"/>
  <c r="DF191"/>
  <c r="DG191"/>
  <c r="DH191"/>
  <c r="DI191"/>
  <c r="DJ191"/>
  <c r="DK191"/>
  <c r="DL191"/>
  <c r="DM191"/>
  <c r="DN191"/>
  <c r="DO191"/>
  <c r="DP191"/>
  <c r="DQ191"/>
  <c r="DR191"/>
  <c r="DS191"/>
  <c r="DT191"/>
  <c r="DU191"/>
  <c r="DV191"/>
  <c r="DW191"/>
  <c r="DX191"/>
  <c r="DY191"/>
  <c r="DZ191"/>
  <c r="EA191"/>
  <c r="EB191"/>
  <c r="EC191"/>
  <c r="ED191"/>
  <c r="EE191"/>
  <c r="EF191"/>
  <c r="EG191"/>
  <c r="EH191"/>
  <c r="EI191"/>
  <c r="EJ191"/>
  <c r="EK191"/>
  <c r="EL191"/>
  <c r="EM191"/>
  <c r="EN191"/>
  <c r="EO191"/>
  <c r="EP191"/>
  <c r="EQ191"/>
  <c r="ER191"/>
  <c r="ES191"/>
  <c r="ET191"/>
  <c r="EU191"/>
  <c r="EV191"/>
  <c r="EW191"/>
  <c r="EX191"/>
  <c r="EY191"/>
  <c r="EZ191"/>
  <c r="FA191"/>
  <c r="FB191"/>
  <c r="FC191"/>
  <c r="FD191"/>
  <c r="FE191"/>
  <c r="FF191"/>
  <c r="FG191"/>
  <c r="FH191"/>
  <c r="FI191"/>
  <c r="FJ191"/>
  <c r="FK191"/>
  <c r="FL191"/>
  <c r="FM191"/>
  <c r="FN191"/>
  <c r="FO191"/>
  <c r="FP191"/>
  <c r="FQ191"/>
  <c r="FR191"/>
  <c r="FS191"/>
  <c r="FT191"/>
  <c r="FU191"/>
  <c r="FV191"/>
  <c r="FW191"/>
  <c r="FX191"/>
  <c r="FY191"/>
  <c r="FZ191"/>
  <c r="GA191"/>
  <c r="GB191"/>
  <c r="GC191"/>
  <c r="GD191"/>
  <c r="GE191"/>
  <c r="GF191"/>
  <c r="GG191"/>
  <c r="GH191"/>
  <c r="GI191"/>
  <c r="GJ191"/>
  <c r="GK191"/>
  <c r="GL191"/>
  <c r="GM191"/>
  <c r="GN191"/>
  <c r="GO191"/>
  <c r="GP191"/>
  <c r="GQ191"/>
  <c r="GR191"/>
  <c r="GS191"/>
  <c r="GT191"/>
  <c r="GU191"/>
  <c r="GV191"/>
  <c r="GW191"/>
  <c r="GX191"/>
  <c r="GY191"/>
  <c r="GZ191"/>
  <c r="HA191"/>
  <c r="HB191"/>
  <c r="HC191"/>
  <c r="HD191"/>
  <c r="HE191"/>
  <c r="HF191"/>
  <c r="HG191"/>
  <c r="HH191"/>
  <c r="HI191"/>
  <c r="HJ191"/>
  <c r="HK191"/>
  <c r="HL191"/>
  <c r="HM191"/>
  <c r="HN191"/>
  <c r="HO191"/>
  <c r="HP191"/>
  <c r="HQ191"/>
  <c r="HR191"/>
  <c r="HS191"/>
  <c r="HT191"/>
  <c r="HU191"/>
  <c r="HV191"/>
  <c r="HW191"/>
  <c r="HX191"/>
  <c r="HY191"/>
  <c r="HZ191"/>
  <c r="IA191"/>
  <c r="IB191"/>
  <c r="IC191"/>
  <c r="ID191"/>
  <c r="IE191"/>
  <c r="IF191"/>
  <c r="IG191"/>
  <c r="IH191"/>
  <c r="II191"/>
  <c r="IJ191"/>
  <c r="IK191"/>
  <c r="IL191"/>
  <c r="IM191"/>
  <c r="IN191"/>
  <c r="IO191"/>
  <c r="IP191"/>
  <c r="IQ191"/>
  <c r="IR191"/>
  <c r="IS191"/>
  <c r="IT191"/>
  <c r="IU191"/>
  <c r="IV191"/>
  <c r="A192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AE192"/>
  <c r="AF192"/>
  <c r="AG192"/>
  <c r="AH192"/>
  <c r="AI192"/>
  <c r="AJ192"/>
  <c r="AK192"/>
  <c r="AL192"/>
  <c r="AM192"/>
  <c r="AN192"/>
  <c r="AO192"/>
  <c r="AP192"/>
  <c r="AQ192"/>
  <c r="AR192"/>
  <c r="AS192"/>
  <c r="AT192"/>
  <c r="AU192"/>
  <c r="AV192"/>
  <c r="AW192"/>
  <c r="AX192"/>
  <c r="AY192"/>
  <c r="AZ192"/>
  <c r="BA192"/>
  <c r="BB192"/>
  <c r="BC192"/>
  <c r="BD192"/>
  <c r="BE192"/>
  <c r="BF192"/>
  <c r="BG192"/>
  <c r="BH192"/>
  <c r="BI192"/>
  <c r="BJ192"/>
  <c r="BK192"/>
  <c r="BL192"/>
  <c r="BM192"/>
  <c r="BN192"/>
  <c r="BO192"/>
  <c r="BP192"/>
  <c r="BQ192"/>
  <c r="BR192"/>
  <c r="BS192"/>
  <c r="BT192"/>
  <c r="BU192"/>
  <c r="BV192"/>
  <c r="BW192"/>
  <c r="BX192"/>
  <c r="BY192"/>
  <c r="BZ192"/>
  <c r="CA192"/>
  <c r="CB192"/>
  <c r="CC192"/>
  <c r="CD192"/>
  <c r="CE192"/>
  <c r="CF192"/>
  <c r="CG192"/>
  <c r="CH192"/>
  <c r="CI192"/>
  <c r="CJ192"/>
  <c r="CK192"/>
  <c r="CL192"/>
  <c r="CM192"/>
  <c r="CN192"/>
  <c r="CO192"/>
  <c r="CP192"/>
  <c r="CQ192"/>
  <c r="CR192"/>
  <c r="CS192"/>
  <c r="CT192"/>
  <c r="CU192"/>
  <c r="CV192"/>
  <c r="CW192"/>
  <c r="CX192"/>
  <c r="CY192"/>
  <c r="CZ192"/>
  <c r="DA192"/>
  <c r="DB192"/>
  <c r="DC192"/>
  <c r="DD192"/>
  <c r="DE192"/>
  <c r="DF192"/>
  <c r="DG192"/>
  <c r="DH192"/>
  <c r="DI192"/>
  <c r="DJ192"/>
  <c r="DK192"/>
  <c r="DL192"/>
  <c r="DM192"/>
  <c r="DN192"/>
  <c r="DO192"/>
  <c r="DP192"/>
  <c r="DQ192"/>
  <c r="DR192"/>
  <c r="DS192"/>
  <c r="DT192"/>
  <c r="DU192"/>
  <c r="DV192"/>
  <c r="DW192"/>
  <c r="DX192"/>
  <c r="DY192"/>
  <c r="DZ192"/>
  <c r="EA192"/>
  <c r="EB192"/>
  <c r="EC192"/>
  <c r="ED192"/>
  <c r="EE192"/>
  <c r="EF192"/>
  <c r="EG192"/>
  <c r="EH192"/>
  <c r="EI192"/>
  <c r="EJ192"/>
  <c r="EK192"/>
  <c r="EL192"/>
  <c r="EM192"/>
  <c r="EN192"/>
  <c r="EO192"/>
  <c r="EP192"/>
  <c r="EQ192"/>
  <c r="ER192"/>
  <c r="ES192"/>
  <c r="ET192"/>
  <c r="EU192"/>
  <c r="EV192"/>
  <c r="EW192"/>
  <c r="EX192"/>
  <c r="EY192"/>
  <c r="EZ192"/>
  <c r="FA192"/>
  <c r="FB192"/>
  <c r="FC192"/>
  <c r="FD192"/>
  <c r="FE192"/>
  <c r="FF192"/>
  <c r="FG192"/>
  <c r="FH192"/>
  <c r="FI192"/>
  <c r="FJ192"/>
  <c r="FK192"/>
  <c r="FL192"/>
  <c r="FM192"/>
  <c r="FN192"/>
  <c r="FO192"/>
  <c r="FP192"/>
  <c r="FQ192"/>
  <c r="FR192"/>
  <c r="FS192"/>
  <c r="FT192"/>
  <c r="FU192"/>
  <c r="FV192"/>
  <c r="FW192"/>
  <c r="FX192"/>
  <c r="FY192"/>
  <c r="FZ192"/>
  <c r="GA192"/>
  <c r="GB192"/>
  <c r="GC192"/>
  <c r="GD192"/>
  <c r="GE192"/>
  <c r="GF192"/>
  <c r="GG192"/>
  <c r="GH192"/>
  <c r="GI192"/>
  <c r="GJ192"/>
  <c r="GK192"/>
  <c r="GL192"/>
  <c r="GM192"/>
  <c r="GN192"/>
  <c r="GO192"/>
  <c r="GP192"/>
  <c r="GQ192"/>
  <c r="GR192"/>
  <c r="GS192"/>
  <c r="GT192"/>
  <c r="GU192"/>
  <c r="GV192"/>
  <c r="GW192"/>
  <c r="GX192"/>
  <c r="GY192"/>
  <c r="GZ192"/>
  <c r="HA192"/>
  <c r="HB192"/>
  <c r="HC192"/>
  <c r="HD192"/>
  <c r="HE192"/>
  <c r="HF192"/>
  <c r="HG192"/>
  <c r="HH192"/>
  <c r="HI192"/>
  <c r="HJ192"/>
  <c r="HK192"/>
  <c r="HL192"/>
  <c r="HM192"/>
  <c r="HN192"/>
  <c r="HO192"/>
  <c r="HP192"/>
  <c r="HQ192"/>
  <c r="HR192"/>
  <c r="HS192"/>
  <c r="HT192"/>
  <c r="HU192"/>
  <c r="HV192"/>
  <c r="HW192"/>
  <c r="HX192"/>
  <c r="HY192"/>
  <c r="HZ192"/>
  <c r="IA192"/>
  <c r="IB192"/>
  <c r="IC192"/>
  <c r="ID192"/>
  <c r="IE192"/>
  <c r="IF192"/>
  <c r="IG192"/>
  <c r="IH192"/>
  <c r="II192"/>
  <c r="IJ192"/>
  <c r="IK192"/>
  <c r="IL192"/>
  <c r="IM192"/>
  <c r="IN192"/>
  <c r="IO192"/>
  <c r="IP192"/>
  <c r="IQ192"/>
  <c r="IR192"/>
  <c r="IS192"/>
  <c r="IT192"/>
  <c r="IU192"/>
  <c r="IV192"/>
  <c r="A193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AD193"/>
  <c r="AE193"/>
  <c r="AF193"/>
  <c r="AG193"/>
  <c r="AH193"/>
  <c r="AI193"/>
  <c r="AJ193"/>
  <c r="AK193"/>
  <c r="AL193"/>
  <c r="AM193"/>
  <c r="AN193"/>
  <c r="AO193"/>
  <c r="AP193"/>
  <c r="AQ193"/>
  <c r="AR193"/>
  <c r="AS193"/>
  <c r="AT193"/>
  <c r="AU193"/>
  <c r="AV193"/>
  <c r="AW193"/>
  <c r="AX193"/>
  <c r="AY193"/>
  <c r="AZ193"/>
  <c r="BA193"/>
  <c r="BB193"/>
  <c r="BC193"/>
  <c r="BD193"/>
  <c r="BE193"/>
  <c r="BF193"/>
  <c r="BG193"/>
  <c r="BH193"/>
  <c r="BI193"/>
  <c r="BJ193"/>
  <c r="BK193"/>
  <c r="BL193"/>
  <c r="BM193"/>
  <c r="BN193"/>
  <c r="BO193"/>
  <c r="BP193"/>
  <c r="BQ193"/>
  <c r="BR193"/>
  <c r="BS193"/>
  <c r="BT193"/>
  <c r="BU193"/>
  <c r="BV193"/>
  <c r="BW193"/>
  <c r="BX193"/>
  <c r="BY193"/>
  <c r="BZ193"/>
  <c r="CA193"/>
  <c r="CB193"/>
  <c r="CC193"/>
  <c r="CD193"/>
  <c r="CE193"/>
  <c r="CF193"/>
  <c r="CG193"/>
  <c r="CH193"/>
  <c r="CI193"/>
  <c r="CJ193"/>
  <c r="CK193"/>
  <c r="CL193"/>
  <c r="CM193"/>
  <c r="CN193"/>
  <c r="CO193"/>
  <c r="CP193"/>
  <c r="CQ193"/>
  <c r="CR193"/>
  <c r="CS193"/>
  <c r="CT193"/>
  <c r="CU193"/>
  <c r="CV193"/>
  <c r="CW193"/>
  <c r="CX193"/>
  <c r="CY193"/>
  <c r="CZ193"/>
  <c r="DA193"/>
  <c r="DB193"/>
  <c r="DC193"/>
  <c r="DD193"/>
  <c r="DE193"/>
  <c r="DF193"/>
  <c r="DG193"/>
  <c r="DH193"/>
  <c r="DI193"/>
  <c r="DJ193"/>
  <c r="DK193"/>
  <c r="DL193"/>
  <c r="DM193"/>
  <c r="DN193"/>
  <c r="DO193"/>
  <c r="DP193"/>
  <c r="DQ193"/>
  <c r="DR193"/>
  <c r="DS193"/>
  <c r="DT193"/>
  <c r="DU193"/>
  <c r="DV193"/>
  <c r="DW193"/>
  <c r="DX193"/>
  <c r="DY193"/>
  <c r="DZ193"/>
  <c r="EA193"/>
  <c r="EB193"/>
  <c r="EC193"/>
  <c r="ED193"/>
  <c r="EE193"/>
  <c r="EF193"/>
  <c r="EG193"/>
  <c r="EH193"/>
  <c r="EI193"/>
  <c r="EJ193"/>
  <c r="EK193"/>
  <c r="EL193"/>
  <c r="EM193"/>
  <c r="EN193"/>
  <c r="EO193"/>
  <c r="EP193"/>
  <c r="EQ193"/>
  <c r="ER193"/>
  <c r="ES193"/>
  <c r="ET193"/>
  <c r="EU193"/>
  <c r="EV193"/>
  <c r="EW193"/>
  <c r="EX193"/>
  <c r="EY193"/>
  <c r="EZ193"/>
  <c r="FA193"/>
  <c r="FB193"/>
  <c r="FC193"/>
  <c r="FD193"/>
  <c r="FE193"/>
  <c r="FF193"/>
  <c r="FG193"/>
  <c r="FH193"/>
  <c r="FI193"/>
  <c r="FJ193"/>
  <c r="FK193"/>
  <c r="FL193"/>
  <c r="FM193"/>
  <c r="FN193"/>
  <c r="FO193"/>
  <c r="FP193"/>
  <c r="FQ193"/>
  <c r="FR193"/>
  <c r="FS193"/>
  <c r="FT193"/>
  <c r="FU193"/>
  <c r="FV193"/>
  <c r="FW193"/>
  <c r="FX193"/>
  <c r="FY193"/>
  <c r="FZ193"/>
  <c r="GA193"/>
  <c r="GB193"/>
  <c r="GC193"/>
  <c r="GD193"/>
  <c r="GE193"/>
  <c r="GF193"/>
  <c r="GG193"/>
  <c r="GH193"/>
  <c r="GI193"/>
  <c r="GJ193"/>
  <c r="GK193"/>
  <c r="GL193"/>
  <c r="GM193"/>
  <c r="GN193"/>
  <c r="GO193"/>
  <c r="GP193"/>
  <c r="GQ193"/>
  <c r="GR193"/>
  <c r="GS193"/>
  <c r="GT193"/>
  <c r="GU193"/>
  <c r="GV193"/>
  <c r="GW193"/>
  <c r="GX193"/>
  <c r="GY193"/>
  <c r="GZ193"/>
  <c r="HA193"/>
  <c r="HB193"/>
  <c r="HC193"/>
  <c r="HD193"/>
  <c r="HE193"/>
  <c r="HF193"/>
  <c r="HG193"/>
  <c r="HH193"/>
  <c r="HI193"/>
  <c r="HJ193"/>
  <c r="HK193"/>
  <c r="HL193"/>
  <c r="HM193"/>
  <c r="HN193"/>
  <c r="HO193"/>
  <c r="HP193"/>
  <c r="HQ193"/>
  <c r="HR193"/>
  <c r="HS193"/>
  <c r="HT193"/>
  <c r="HU193"/>
  <c r="HV193"/>
  <c r="HW193"/>
  <c r="HX193"/>
  <c r="HY193"/>
  <c r="HZ193"/>
  <c r="IA193"/>
  <c r="IB193"/>
  <c r="IC193"/>
  <c r="ID193"/>
  <c r="IE193"/>
  <c r="IF193"/>
  <c r="IG193"/>
  <c r="IH193"/>
  <c r="II193"/>
  <c r="IJ193"/>
  <c r="IK193"/>
  <c r="IL193"/>
  <c r="IM193"/>
  <c r="IN193"/>
  <c r="IO193"/>
  <c r="IP193"/>
  <c r="IQ193"/>
  <c r="IR193"/>
  <c r="IS193"/>
  <c r="IT193"/>
  <c r="IU193"/>
  <c r="IV193"/>
  <c r="A194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Z194"/>
  <c r="AA194"/>
  <c r="AB194"/>
  <c r="AC194"/>
  <c r="AD194"/>
  <c r="AE194"/>
  <c r="AF194"/>
  <c r="AG194"/>
  <c r="AH194"/>
  <c r="AI194"/>
  <c r="AJ194"/>
  <c r="AK194"/>
  <c r="AL194"/>
  <c r="AM194"/>
  <c r="AN194"/>
  <c r="AO194"/>
  <c r="AP194"/>
  <c r="AQ194"/>
  <c r="AR194"/>
  <c r="AS194"/>
  <c r="AT194"/>
  <c r="AU194"/>
  <c r="AV194"/>
  <c r="AW194"/>
  <c r="AX194"/>
  <c r="AY194"/>
  <c r="AZ194"/>
  <c r="BA194"/>
  <c r="BB194"/>
  <c r="BC194"/>
  <c r="BD194"/>
  <c r="BE194"/>
  <c r="BF194"/>
  <c r="BG194"/>
  <c r="BH194"/>
  <c r="BI194"/>
  <c r="BJ194"/>
  <c r="BK194"/>
  <c r="BL194"/>
  <c r="BM194"/>
  <c r="BN194"/>
  <c r="BO194"/>
  <c r="BP194"/>
  <c r="BQ194"/>
  <c r="BR194"/>
  <c r="BS194"/>
  <c r="BT194"/>
  <c r="BU194"/>
  <c r="BV194"/>
  <c r="BW194"/>
  <c r="BX194"/>
  <c r="BY194"/>
  <c r="BZ194"/>
  <c r="CA194"/>
  <c r="CB194"/>
  <c r="CC194"/>
  <c r="CD194"/>
  <c r="CE194"/>
  <c r="CF194"/>
  <c r="CG194"/>
  <c r="CH194"/>
  <c r="CI194"/>
  <c r="CJ194"/>
  <c r="CK194"/>
  <c r="CL194"/>
  <c r="CM194"/>
  <c r="CN194"/>
  <c r="CO194"/>
  <c r="CP194"/>
  <c r="CQ194"/>
  <c r="CR194"/>
  <c r="CS194"/>
  <c r="CT194"/>
  <c r="CU194"/>
  <c r="CV194"/>
  <c r="CW194"/>
  <c r="CX194"/>
  <c r="CY194"/>
  <c r="CZ194"/>
  <c r="DA194"/>
  <c r="DB194"/>
  <c r="DC194"/>
  <c r="DD194"/>
  <c r="DE194"/>
  <c r="DF194"/>
  <c r="DG194"/>
  <c r="DH194"/>
  <c r="DI194"/>
  <c r="DJ194"/>
  <c r="DK194"/>
  <c r="DL194"/>
  <c r="DM194"/>
  <c r="DN194"/>
  <c r="DO194"/>
  <c r="DP194"/>
  <c r="DQ194"/>
  <c r="DR194"/>
  <c r="DS194"/>
  <c r="DT194"/>
  <c r="DU194"/>
  <c r="DV194"/>
  <c r="DW194"/>
  <c r="DX194"/>
  <c r="DY194"/>
  <c r="DZ194"/>
  <c r="EA194"/>
  <c r="EB194"/>
  <c r="EC194"/>
  <c r="ED194"/>
  <c r="EE194"/>
  <c r="EF194"/>
  <c r="EG194"/>
  <c r="EH194"/>
  <c r="EI194"/>
  <c r="EJ194"/>
  <c r="EK194"/>
  <c r="EL194"/>
  <c r="EM194"/>
  <c r="EN194"/>
  <c r="EO194"/>
  <c r="EP194"/>
  <c r="EQ194"/>
  <c r="ER194"/>
  <c r="ES194"/>
  <c r="ET194"/>
  <c r="EU194"/>
  <c r="EV194"/>
  <c r="EW194"/>
  <c r="EX194"/>
  <c r="EY194"/>
  <c r="EZ194"/>
  <c r="FA194"/>
  <c r="FB194"/>
  <c r="FC194"/>
  <c r="FD194"/>
  <c r="FE194"/>
  <c r="FF194"/>
  <c r="FG194"/>
  <c r="FH194"/>
  <c r="FI194"/>
  <c r="FJ194"/>
  <c r="FK194"/>
  <c r="FL194"/>
  <c r="FM194"/>
  <c r="FN194"/>
  <c r="FO194"/>
  <c r="FP194"/>
  <c r="FQ194"/>
  <c r="FR194"/>
  <c r="FS194"/>
  <c r="FT194"/>
  <c r="FU194"/>
  <c r="FV194"/>
  <c r="FW194"/>
  <c r="FX194"/>
  <c r="FY194"/>
  <c r="FZ194"/>
  <c r="GA194"/>
  <c r="GB194"/>
  <c r="GC194"/>
  <c r="GD194"/>
  <c r="GE194"/>
  <c r="GF194"/>
  <c r="GG194"/>
  <c r="GH194"/>
  <c r="GI194"/>
  <c r="GJ194"/>
  <c r="GK194"/>
  <c r="GL194"/>
  <c r="GM194"/>
  <c r="GN194"/>
  <c r="GO194"/>
  <c r="GP194"/>
  <c r="GQ194"/>
  <c r="GR194"/>
  <c r="GS194"/>
  <c r="GT194"/>
  <c r="GU194"/>
  <c r="GV194"/>
  <c r="GW194"/>
  <c r="GX194"/>
  <c r="GY194"/>
  <c r="GZ194"/>
  <c r="HA194"/>
  <c r="HB194"/>
  <c r="HC194"/>
  <c r="HD194"/>
  <c r="HE194"/>
  <c r="HF194"/>
  <c r="HG194"/>
  <c r="HH194"/>
  <c r="HI194"/>
  <c r="HJ194"/>
  <c r="HK194"/>
  <c r="HL194"/>
  <c r="HM194"/>
  <c r="HN194"/>
  <c r="HO194"/>
  <c r="HP194"/>
  <c r="HQ194"/>
  <c r="HR194"/>
  <c r="HS194"/>
  <c r="HT194"/>
  <c r="HU194"/>
  <c r="HV194"/>
  <c r="HW194"/>
  <c r="HX194"/>
  <c r="HY194"/>
  <c r="HZ194"/>
  <c r="IA194"/>
  <c r="IB194"/>
  <c r="IC194"/>
  <c r="ID194"/>
  <c r="IE194"/>
  <c r="IF194"/>
  <c r="IG194"/>
  <c r="IH194"/>
  <c r="II194"/>
  <c r="IJ194"/>
  <c r="IK194"/>
  <c r="IL194"/>
  <c r="IM194"/>
  <c r="IN194"/>
  <c r="IO194"/>
  <c r="IP194"/>
  <c r="IQ194"/>
  <c r="IR194"/>
  <c r="IS194"/>
  <c r="IT194"/>
  <c r="IU194"/>
  <c r="IV194"/>
  <c r="A195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Z195"/>
  <c r="AA195"/>
  <c r="AB195"/>
  <c r="AC195"/>
  <c r="AD195"/>
  <c r="AE195"/>
  <c r="AF195"/>
  <c r="AG195"/>
  <c r="AH195"/>
  <c r="AI195"/>
  <c r="AJ195"/>
  <c r="AK195"/>
  <c r="AL195"/>
  <c r="AM195"/>
  <c r="AN195"/>
  <c r="AO195"/>
  <c r="AP195"/>
  <c r="AQ195"/>
  <c r="AR195"/>
  <c r="AS195"/>
  <c r="AT195"/>
  <c r="AU195"/>
  <c r="AV195"/>
  <c r="AW195"/>
  <c r="AX195"/>
  <c r="AY195"/>
  <c r="AZ195"/>
  <c r="BA195"/>
  <c r="BB195"/>
  <c r="BC195"/>
  <c r="BD195"/>
  <c r="BE195"/>
  <c r="BF195"/>
  <c r="BG195"/>
  <c r="BH195"/>
  <c r="BI195"/>
  <c r="BJ195"/>
  <c r="BK195"/>
  <c r="BL195"/>
  <c r="BM195"/>
  <c r="BN195"/>
  <c r="BO195"/>
  <c r="BP195"/>
  <c r="BQ195"/>
  <c r="BR195"/>
  <c r="BS195"/>
  <c r="BT195"/>
  <c r="BU195"/>
  <c r="BV195"/>
  <c r="BW195"/>
  <c r="BX195"/>
  <c r="BY195"/>
  <c r="BZ195"/>
  <c r="CA195"/>
  <c r="CB195"/>
  <c r="CC195"/>
  <c r="CD195"/>
  <c r="CE195"/>
  <c r="CF195"/>
  <c r="CG195"/>
  <c r="CH195"/>
  <c r="CI195"/>
  <c r="CJ195"/>
  <c r="CK195"/>
  <c r="CL195"/>
  <c r="CM195"/>
  <c r="CN195"/>
  <c r="CO195"/>
  <c r="CP195"/>
  <c r="CQ195"/>
  <c r="CR195"/>
  <c r="CS195"/>
  <c r="CT195"/>
  <c r="CU195"/>
  <c r="CV195"/>
  <c r="CW195"/>
  <c r="CX195"/>
  <c r="CY195"/>
  <c r="CZ195"/>
  <c r="DA195"/>
  <c r="DB195"/>
  <c r="DC195"/>
  <c r="DD195"/>
  <c r="DE195"/>
  <c r="DF195"/>
  <c r="DG195"/>
  <c r="DH195"/>
  <c r="DI195"/>
  <c r="DJ195"/>
  <c r="DK195"/>
  <c r="DL195"/>
  <c r="DM195"/>
  <c r="DN195"/>
  <c r="DO195"/>
  <c r="DP195"/>
  <c r="DQ195"/>
  <c r="DR195"/>
  <c r="DS195"/>
  <c r="DT195"/>
  <c r="DU195"/>
  <c r="DV195"/>
  <c r="DW195"/>
  <c r="DX195"/>
  <c r="DY195"/>
  <c r="DZ195"/>
  <c r="EA195"/>
  <c r="EB195"/>
  <c r="EC195"/>
  <c r="ED195"/>
  <c r="EE195"/>
  <c r="EF195"/>
  <c r="EG195"/>
  <c r="EH195"/>
  <c r="EI195"/>
  <c r="EJ195"/>
  <c r="EK195"/>
  <c r="EL195"/>
  <c r="EM195"/>
  <c r="EN195"/>
  <c r="EO195"/>
  <c r="EP195"/>
  <c r="EQ195"/>
  <c r="ER195"/>
  <c r="ES195"/>
  <c r="ET195"/>
  <c r="EU195"/>
  <c r="EV195"/>
  <c r="EW195"/>
  <c r="EX195"/>
  <c r="EY195"/>
  <c r="EZ195"/>
  <c r="FA195"/>
  <c r="FB195"/>
  <c r="FC195"/>
  <c r="FD195"/>
  <c r="FE195"/>
  <c r="FF195"/>
  <c r="FG195"/>
  <c r="FH195"/>
  <c r="FI195"/>
  <c r="FJ195"/>
  <c r="FK195"/>
  <c r="FL195"/>
  <c r="FM195"/>
  <c r="FN195"/>
  <c r="FO195"/>
  <c r="FP195"/>
  <c r="FQ195"/>
  <c r="FR195"/>
  <c r="FS195"/>
  <c r="FT195"/>
  <c r="FU195"/>
  <c r="FV195"/>
  <c r="FW195"/>
  <c r="FX195"/>
  <c r="FY195"/>
  <c r="FZ195"/>
  <c r="GA195"/>
  <c r="GB195"/>
  <c r="GC195"/>
  <c r="GD195"/>
  <c r="GE195"/>
  <c r="GF195"/>
  <c r="GG195"/>
  <c r="GH195"/>
  <c r="GI195"/>
  <c r="GJ195"/>
  <c r="GK195"/>
  <c r="GL195"/>
  <c r="GM195"/>
  <c r="GN195"/>
  <c r="GO195"/>
  <c r="GP195"/>
  <c r="GQ195"/>
  <c r="GR195"/>
  <c r="GS195"/>
  <c r="GT195"/>
  <c r="GU195"/>
  <c r="GV195"/>
  <c r="GW195"/>
  <c r="GX195"/>
  <c r="GY195"/>
  <c r="GZ195"/>
  <c r="HA195"/>
  <c r="HB195"/>
  <c r="HC195"/>
  <c r="HD195"/>
  <c r="HE195"/>
  <c r="HF195"/>
  <c r="HG195"/>
  <c r="HH195"/>
  <c r="HI195"/>
  <c r="HJ195"/>
  <c r="HK195"/>
  <c r="HL195"/>
  <c r="HM195"/>
  <c r="HN195"/>
  <c r="HO195"/>
  <c r="HP195"/>
  <c r="HQ195"/>
  <c r="HR195"/>
  <c r="HS195"/>
  <c r="HT195"/>
  <c r="HU195"/>
  <c r="HV195"/>
  <c r="HW195"/>
  <c r="HX195"/>
  <c r="HY195"/>
  <c r="HZ195"/>
  <c r="IA195"/>
  <c r="IB195"/>
  <c r="IC195"/>
  <c r="ID195"/>
  <c r="IE195"/>
  <c r="IF195"/>
  <c r="IG195"/>
  <c r="IH195"/>
  <c r="II195"/>
  <c r="IJ195"/>
  <c r="IK195"/>
  <c r="IL195"/>
  <c r="IM195"/>
  <c r="IN195"/>
  <c r="IO195"/>
  <c r="IP195"/>
  <c r="IQ195"/>
  <c r="IR195"/>
  <c r="IS195"/>
  <c r="IT195"/>
  <c r="IU195"/>
  <c r="IV195"/>
  <c r="A196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Z196"/>
  <c r="AA196"/>
  <c r="AB196"/>
  <c r="AC196"/>
  <c r="AD196"/>
  <c r="AE196"/>
  <c r="AF196"/>
  <c r="AG196"/>
  <c r="AH196"/>
  <c r="AI196"/>
  <c r="AJ196"/>
  <c r="AK196"/>
  <c r="AL196"/>
  <c r="AM196"/>
  <c r="AN196"/>
  <c r="AO196"/>
  <c r="AP196"/>
  <c r="AQ196"/>
  <c r="AR196"/>
  <c r="AS196"/>
  <c r="AT196"/>
  <c r="AU196"/>
  <c r="AV196"/>
  <c r="AW196"/>
  <c r="AX196"/>
  <c r="AY196"/>
  <c r="AZ196"/>
  <c r="BA196"/>
  <c r="BB196"/>
  <c r="BC196"/>
  <c r="BD196"/>
  <c r="BE196"/>
  <c r="BF196"/>
  <c r="BG196"/>
  <c r="BH196"/>
  <c r="BI196"/>
  <c r="BJ196"/>
  <c r="BK196"/>
  <c r="BL196"/>
  <c r="BM196"/>
  <c r="BN196"/>
  <c r="BO196"/>
  <c r="BP196"/>
  <c r="BQ196"/>
  <c r="BR196"/>
  <c r="BS196"/>
  <c r="BT196"/>
  <c r="BU196"/>
  <c r="BV196"/>
  <c r="BW196"/>
  <c r="BX196"/>
  <c r="BY196"/>
  <c r="BZ196"/>
  <c r="CA196"/>
  <c r="CB196"/>
  <c r="CC196"/>
  <c r="CD196"/>
  <c r="CE196"/>
  <c r="CF196"/>
  <c r="CG196"/>
  <c r="CH196"/>
  <c r="CI196"/>
  <c r="CJ196"/>
  <c r="CK196"/>
  <c r="CL196"/>
  <c r="CM196"/>
  <c r="CN196"/>
  <c r="CO196"/>
  <c r="CP196"/>
  <c r="CQ196"/>
  <c r="CR196"/>
  <c r="CS196"/>
  <c r="CT196"/>
  <c r="CU196"/>
  <c r="CV196"/>
  <c r="CW196"/>
  <c r="CX196"/>
  <c r="CY196"/>
  <c r="CZ196"/>
  <c r="DA196"/>
  <c r="DB196"/>
  <c r="DC196"/>
  <c r="DD196"/>
  <c r="DE196"/>
  <c r="DF196"/>
  <c r="DG196"/>
  <c r="DH196"/>
  <c r="DI196"/>
  <c r="DJ196"/>
  <c r="DK196"/>
  <c r="DL196"/>
  <c r="DM196"/>
  <c r="DN196"/>
  <c r="DO196"/>
  <c r="DP196"/>
  <c r="DQ196"/>
  <c r="DR196"/>
  <c r="DS196"/>
  <c r="DT196"/>
  <c r="DU196"/>
  <c r="DV196"/>
  <c r="DW196"/>
  <c r="DX196"/>
  <c r="DY196"/>
  <c r="DZ196"/>
  <c r="EA196"/>
  <c r="EB196"/>
  <c r="EC196"/>
  <c r="ED196"/>
  <c r="EE196"/>
  <c r="EF196"/>
  <c r="EG196"/>
  <c r="EH196"/>
  <c r="EI196"/>
  <c r="EJ196"/>
  <c r="EK196"/>
  <c r="EL196"/>
  <c r="EM196"/>
  <c r="EN196"/>
  <c r="EO196"/>
  <c r="EP196"/>
  <c r="EQ196"/>
  <c r="ER196"/>
  <c r="ES196"/>
  <c r="ET196"/>
  <c r="EU196"/>
  <c r="EV196"/>
  <c r="EW196"/>
  <c r="EX196"/>
  <c r="EY196"/>
  <c r="EZ196"/>
  <c r="FA196"/>
  <c r="FB196"/>
  <c r="FC196"/>
  <c r="FD196"/>
  <c r="FE196"/>
  <c r="FF196"/>
  <c r="FG196"/>
  <c r="FH196"/>
  <c r="FI196"/>
  <c r="FJ196"/>
  <c r="FK196"/>
  <c r="FL196"/>
  <c r="FM196"/>
  <c r="FN196"/>
  <c r="FO196"/>
  <c r="FP196"/>
  <c r="FQ196"/>
  <c r="FR196"/>
  <c r="FS196"/>
  <c r="FT196"/>
  <c r="FU196"/>
  <c r="FV196"/>
  <c r="FW196"/>
  <c r="FX196"/>
  <c r="FY196"/>
  <c r="FZ196"/>
  <c r="GA196"/>
  <c r="GB196"/>
  <c r="GC196"/>
  <c r="GD196"/>
  <c r="GE196"/>
  <c r="GF196"/>
  <c r="GG196"/>
  <c r="GH196"/>
  <c r="GI196"/>
  <c r="GJ196"/>
  <c r="GK196"/>
  <c r="GL196"/>
  <c r="GM196"/>
  <c r="GN196"/>
  <c r="GO196"/>
  <c r="GP196"/>
  <c r="GQ196"/>
  <c r="GR196"/>
  <c r="GS196"/>
  <c r="GT196"/>
  <c r="GU196"/>
  <c r="GV196"/>
  <c r="GW196"/>
  <c r="GX196"/>
  <c r="GY196"/>
  <c r="GZ196"/>
  <c r="HA196"/>
  <c r="HB196"/>
  <c r="HC196"/>
  <c r="HD196"/>
  <c r="HE196"/>
  <c r="HF196"/>
  <c r="HG196"/>
  <c r="HH196"/>
  <c r="HI196"/>
  <c r="HJ196"/>
  <c r="HK196"/>
  <c r="HL196"/>
  <c r="HM196"/>
  <c r="HN196"/>
  <c r="HO196"/>
  <c r="HP196"/>
  <c r="HQ196"/>
  <c r="HR196"/>
  <c r="HS196"/>
  <c r="HT196"/>
  <c r="HU196"/>
  <c r="HV196"/>
  <c r="HW196"/>
  <c r="HX196"/>
  <c r="HY196"/>
  <c r="HZ196"/>
  <c r="IA196"/>
  <c r="IB196"/>
  <c r="IC196"/>
  <c r="ID196"/>
  <c r="IE196"/>
  <c r="IF196"/>
  <c r="IG196"/>
  <c r="IH196"/>
  <c r="II196"/>
  <c r="IJ196"/>
  <c r="IK196"/>
  <c r="IL196"/>
  <c r="IM196"/>
  <c r="IN196"/>
  <c r="IO196"/>
  <c r="IP196"/>
  <c r="IQ196"/>
  <c r="IR196"/>
  <c r="IS196"/>
  <c r="IT196"/>
  <c r="IU196"/>
  <c r="IV196"/>
  <c r="A197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Z197"/>
  <c r="AA197"/>
  <c r="AB197"/>
  <c r="AC197"/>
  <c r="AD197"/>
  <c r="AE197"/>
  <c r="AF197"/>
  <c r="AG197"/>
  <c r="AH197"/>
  <c r="AI197"/>
  <c r="AJ197"/>
  <c r="AK197"/>
  <c r="AL197"/>
  <c r="AM197"/>
  <c r="AN197"/>
  <c r="AO197"/>
  <c r="AP197"/>
  <c r="AQ197"/>
  <c r="AR197"/>
  <c r="AS197"/>
  <c r="AT197"/>
  <c r="AU197"/>
  <c r="AV197"/>
  <c r="AW197"/>
  <c r="AX197"/>
  <c r="AY197"/>
  <c r="AZ197"/>
  <c r="BA197"/>
  <c r="BB197"/>
  <c r="BC197"/>
  <c r="BD197"/>
  <c r="BE197"/>
  <c r="BF197"/>
  <c r="BG197"/>
  <c r="BH197"/>
  <c r="BI197"/>
  <c r="BJ197"/>
  <c r="BK197"/>
  <c r="BL197"/>
  <c r="BM197"/>
  <c r="BN197"/>
  <c r="BO197"/>
  <c r="BP197"/>
  <c r="BQ197"/>
  <c r="BR197"/>
  <c r="BS197"/>
  <c r="BT197"/>
  <c r="BU197"/>
  <c r="BV197"/>
  <c r="BW197"/>
  <c r="BX197"/>
  <c r="BY197"/>
  <c r="BZ197"/>
  <c r="CA197"/>
  <c r="CB197"/>
  <c r="CC197"/>
  <c r="CD197"/>
  <c r="CE197"/>
  <c r="CF197"/>
  <c r="CG197"/>
  <c r="CH197"/>
  <c r="CI197"/>
  <c r="CJ197"/>
  <c r="CK197"/>
  <c r="CL197"/>
  <c r="CM197"/>
  <c r="CN197"/>
  <c r="CO197"/>
  <c r="CP197"/>
  <c r="CQ197"/>
  <c r="CR197"/>
  <c r="CS197"/>
  <c r="CT197"/>
  <c r="CU197"/>
  <c r="CV197"/>
  <c r="CW197"/>
  <c r="CX197"/>
  <c r="CY197"/>
  <c r="CZ197"/>
  <c r="DA197"/>
  <c r="DB197"/>
  <c r="DC197"/>
  <c r="DD197"/>
  <c r="DE197"/>
  <c r="DF197"/>
  <c r="DG197"/>
  <c r="DH197"/>
  <c r="DI197"/>
  <c r="DJ197"/>
  <c r="DK197"/>
  <c r="DL197"/>
  <c r="DM197"/>
  <c r="DN197"/>
  <c r="DO197"/>
  <c r="DP197"/>
  <c r="DQ197"/>
  <c r="DR197"/>
  <c r="DS197"/>
  <c r="DT197"/>
  <c r="DU197"/>
  <c r="DV197"/>
  <c r="DW197"/>
  <c r="DX197"/>
  <c r="DY197"/>
  <c r="DZ197"/>
  <c r="EA197"/>
  <c r="EB197"/>
  <c r="EC197"/>
  <c r="ED197"/>
  <c r="EE197"/>
  <c r="EF197"/>
  <c r="EG197"/>
  <c r="EH197"/>
  <c r="EI197"/>
  <c r="EJ197"/>
  <c r="EK197"/>
  <c r="EL197"/>
  <c r="EM197"/>
  <c r="EN197"/>
  <c r="EO197"/>
  <c r="EP197"/>
  <c r="EQ197"/>
  <c r="ER197"/>
  <c r="ES197"/>
  <c r="ET197"/>
  <c r="EU197"/>
  <c r="EV197"/>
  <c r="EW197"/>
  <c r="EX197"/>
  <c r="EY197"/>
  <c r="EZ197"/>
  <c r="FA197"/>
  <c r="FB197"/>
  <c r="FC197"/>
  <c r="FD197"/>
  <c r="FE197"/>
  <c r="FF197"/>
  <c r="FG197"/>
  <c r="FH197"/>
  <c r="FI197"/>
  <c r="FJ197"/>
  <c r="FK197"/>
  <c r="FL197"/>
  <c r="FM197"/>
  <c r="FN197"/>
  <c r="FO197"/>
  <c r="FP197"/>
  <c r="FQ197"/>
  <c r="FR197"/>
  <c r="FS197"/>
  <c r="FT197"/>
  <c r="FU197"/>
  <c r="FV197"/>
  <c r="FW197"/>
  <c r="FX197"/>
  <c r="FY197"/>
  <c r="FZ197"/>
  <c r="GA197"/>
  <c r="GB197"/>
  <c r="GC197"/>
  <c r="GD197"/>
  <c r="GE197"/>
  <c r="GF197"/>
  <c r="GG197"/>
  <c r="GH197"/>
  <c r="GI197"/>
  <c r="GJ197"/>
  <c r="GK197"/>
  <c r="GL197"/>
  <c r="GM197"/>
  <c r="GN197"/>
  <c r="GO197"/>
  <c r="GP197"/>
  <c r="GQ197"/>
  <c r="GR197"/>
  <c r="GS197"/>
  <c r="GT197"/>
  <c r="GU197"/>
  <c r="GV197"/>
  <c r="GW197"/>
  <c r="GX197"/>
  <c r="GY197"/>
  <c r="GZ197"/>
  <c r="HA197"/>
  <c r="HB197"/>
  <c r="HC197"/>
  <c r="HD197"/>
  <c r="HE197"/>
  <c r="HF197"/>
  <c r="HG197"/>
  <c r="HH197"/>
  <c r="HI197"/>
  <c r="HJ197"/>
  <c r="HK197"/>
  <c r="HL197"/>
  <c r="HM197"/>
  <c r="HN197"/>
  <c r="HO197"/>
  <c r="HP197"/>
  <c r="HQ197"/>
  <c r="HR197"/>
  <c r="HS197"/>
  <c r="HT197"/>
  <c r="HU197"/>
  <c r="HV197"/>
  <c r="HW197"/>
  <c r="HX197"/>
  <c r="HY197"/>
  <c r="HZ197"/>
  <c r="IA197"/>
  <c r="IB197"/>
  <c r="IC197"/>
  <c r="ID197"/>
  <c r="IE197"/>
  <c r="IF197"/>
  <c r="IG197"/>
  <c r="IH197"/>
  <c r="II197"/>
  <c r="IJ197"/>
  <c r="IK197"/>
  <c r="IL197"/>
  <c r="IM197"/>
  <c r="IN197"/>
  <c r="IO197"/>
  <c r="IP197"/>
  <c r="IQ197"/>
  <c r="IR197"/>
  <c r="IS197"/>
  <c r="IT197"/>
  <c r="IU197"/>
  <c r="IV197"/>
  <c r="A198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Z198"/>
  <c r="AA198"/>
  <c r="AB198"/>
  <c r="AC198"/>
  <c r="AD198"/>
  <c r="AE198"/>
  <c r="AF198"/>
  <c r="AG198"/>
  <c r="AH198"/>
  <c r="AI198"/>
  <c r="AJ198"/>
  <c r="AK198"/>
  <c r="AL198"/>
  <c r="AM198"/>
  <c r="AN198"/>
  <c r="AO198"/>
  <c r="AP198"/>
  <c r="AQ198"/>
  <c r="AR198"/>
  <c r="AS198"/>
  <c r="AT198"/>
  <c r="AU198"/>
  <c r="AV198"/>
  <c r="AW198"/>
  <c r="AX198"/>
  <c r="AY198"/>
  <c r="AZ198"/>
  <c r="BA198"/>
  <c r="BB198"/>
  <c r="BC198"/>
  <c r="BD198"/>
  <c r="BE198"/>
  <c r="BF198"/>
  <c r="BG198"/>
  <c r="BH198"/>
  <c r="BI198"/>
  <c r="BJ198"/>
  <c r="BK198"/>
  <c r="BL198"/>
  <c r="BM198"/>
  <c r="BN198"/>
  <c r="BO198"/>
  <c r="BP198"/>
  <c r="BQ198"/>
  <c r="BR198"/>
  <c r="BS198"/>
  <c r="BT198"/>
  <c r="BU198"/>
  <c r="BV198"/>
  <c r="BW198"/>
  <c r="BX198"/>
  <c r="BY198"/>
  <c r="BZ198"/>
  <c r="CA198"/>
  <c r="CB198"/>
  <c r="CC198"/>
  <c r="CD198"/>
  <c r="CE198"/>
  <c r="CF198"/>
  <c r="CG198"/>
  <c r="CH198"/>
  <c r="CI198"/>
  <c r="CJ198"/>
  <c r="CK198"/>
  <c r="CL198"/>
  <c r="CM198"/>
  <c r="CN198"/>
  <c r="CO198"/>
  <c r="CP198"/>
  <c r="CQ198"/>
  <c r="CR198"/>
  <c r="CS198"/>
  <c r="CT198"/>
  <c r="CU198"/>
  <c r="CV198"/>
  <c r="CW198"/>
  <c r="CX198"/>
  <c r="CY198"/>
  <c r="CZ198"/>
  <c r="DA198"/>
  <c r="DB198"/>
  <c r="DC198"/>
  <c r="DD198"/>
  <c r="DE198"/>
  <c r="DF198"/>
  <c r="DG198"/>
  <c r="DH198"/>
  <c r="DI198"/>
  <c r="DJ198"/>
  <c r="DK198"/>
  <c r="DL198"/>
  <c r="DM198"/>
  <c r="DN198"/>
  <c r="DO198"/>
  <c r="DP198"/>
  <c r="DQ198"/>
  <c r="DR198"/>
  <c r="DS198"/>
  <c r="DT198"/>
  <c r="DU198"/>
  <c r="DV198"/>
  <c r="DW198"/>
  <c r="DX198"/>
  <c r="DY198"/>
  <c r="DZ198"/>
  <c r="EA198"/>
  <c r="EB198"/>
  <c r="EC198"/>
  <c r="ED198"/>
  <c r="EE198"/>
  <c r="EF198"/>
  <c r="EG198"/>
  <c r="EH198"/>
  <c r="EI198"/>
  <c r="EJ198"/>
  <c r="EK198"/>
  <c r="EL198"/>
  <c r="EM198"/>
  <c r="EN198"/>
  <c r="EO198"/>
  <c r="EP198"/>
  <c r="EQ198"/>
  <c r="ER198"/>
  <c r="ES198"/>
  <c r="ET198"/>
  <c r="EU198"/>
  <c r="EV198"/>
  <c r="EW198"/>
  <c r="EX198"/>
  <c r="EY198"/>
  <c r="EZ198"/>
  <c r="FA198"/>
  <c r="FB198"/>
  <c r="FC198"/>
  <c r="FD198"/>
  <c r="FE198"/>
  <c r="FF198"/>
  <c r="FG198"/>
  <c r="FH198"/>
  <c r="FI198"/>
  <c r="FJ198"/>
  <c r="FK198"/>
  <c r="FL198"/>
  <c r="FM198"/>
  <c r="FN198"/>
  <c r="FO198"/>
  <c r="FP198"/>
  <c r="FQ198"/>
  <c r="FR198"/>
  <c r="FS198"/>
  <c r="FT198"/>
  <c r="FU198"/>
  <c r="FV198"/>
  <c r="FW198"/>
  <c r="FX198"/>
  <c r="FY198"/>
  <c r="FZ198"/>
  <c r="GA198"/>
  <c r="GB198"/>
  <c r="GC198"/>
  <c r="GD198"/>
  <c r="GE198"/>
  <c r="GF198"/>
  <c r="GG198"/>
  <c r="GH198"/>
  <c r="GI198"/>
  <c r="GJ198"/>
  <c r="GK198"/>
  <c r="GL198"/>
  <c r="GM198"/>
  <c r="GN198"/>
  <c r="GO198"/>
  <c r="GP198"/>
  <c r="GQ198"/>
  <c r="GR198"/>
  <c r="GS198"/>
  <c r="GT198"/>
  <c r="GU198"/>
  <c r="GV198"/>
  <c r="GW198"/>
  <c r="GX198"/>
  <c r="GY198"/>
  <c r="GZ198"/>
  <c r="HA198"/>
  <c r="HB198"/>
  <c r="HC198"/>
  <c r="HD198"/>
  <c r="HE198"/>
  <c r="HF198"/>
  <c r="HG198"/>
  <c r="HH198"/>
  <c r="HI198"/>
  <c r="HJ198"/>
  <c r="HK198"/>
  <c r="HL198"/>
  <c r="HM198"/>
  <c r="HN198"/>
  <c r="HO198"/>
  <c r="HP198"/>
  <c r="HQ198"/>
  <c r="HR198"/>
  <c r="HS198"/>
  <c r="HT198"/>
  <c r="HU198"/>
  <c r="HV198"/>
  <c r="HW198"/>
  <c r="HX198"/>
  <c r="HY198"/>
  <c r="HZ198"/>
  <c r="IA198"/>
  <c r="IB198"/>
  <c r="IC198"/>
  <c r="ID198"/>
  <c r="IE198"/>
  <c r="IF198"/>
  <c r="IG198"/>
  <c r="IH198"/>
  <c r="II198"/>
  <c r="IJ198"/>
  <c r="IK198"/>
  <c r="IL198"/>
  <c r="IM198"/>
  <c r="IN198"/>
  <c r="IO198"/>
  <c r="IP198"/>
  <c r="IQ198"/>
  <c r="IR198"/>
  <c r="IS198"/>
  <c r="IT198"/>
  <c r="IU198"/>
  <c r="IV198"/>
  <c r="A199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Z199"/>
  <c r="AA199"/>
  <c r="AB199"/>
  <c r="AC199"/>
  <c r="AD199"/>
  <c r="AE199"/>
  <c r="AF199"/>
  <c r="AG199"/>
  <c r="AH199"/>
  <c r="AI199"/>
  <c r="AJ199"/>
  <c r="AK199"/>
  <c r="AL199"/>
  <c r="AM199"/>
  <c r="AN199"/>
  <c r="AO199"/>
  <c r="AP199"/>
  <c r="AQ199"/>
  <c r="AR199"/>
  <c r="AS199"/>
  <c r="AT199"/>
  <c r="AU199"/>
  <c r="AV199"/>
  <c r="AW199"/>
  <c r="AX199"/>
  <c r="AY199"/>
  <c r="AZ199"/>
  <c r="BA199"/>
  <c r="BB199"/>
  <c r="BC199"/>
  <c r="BD199"/>
  <c r="BE199"/>
  <c r="BF199"/>
  <c r="BG199"/>
  <c r="BH199"/>
  <c r="BI199"/>
  <c r="BJ199"/>
  <c r="BK199"/>
  <c r="BL199"/>
  <c r="BM199"/>
  <c r="BN199"/>
  <c r="BO199"/>
  <c r="BP199"/>
  <c r="BQ199"/>
  <c r="BR199"/>
  <c r="BS199"/>
  <c r="BT199"/>
  <c r="BU199"/>
  <c r="BV199"/>
  <c r="BW199"/>
  <c r="BX199"/>
  <c r="BY199"/>
  <c r="BZ199"/>
  <c r="CA199"/>
  <c r="CB199"/>
  <c r="CC199"/>
  <c r="CD199"/>
  <c r="CE199"/>
  <c r="CF199"/>
  <c r="CG199"/>
  <c r="CH199"/>
  <c r="CI199"/>
  <c r="CJ199"/>
  <c r="CK199"/>
  <c r="CL199"/>
  <c r="CM199"/>
  <c r="CN199"/>
  <c r="CO199"/>
  <c r="CP199"/>
  <c r="CQ199"/>
  <c r="CR199"/>
  <c r="CS199"/>
  <c r="CT199"/>
  <c r="CU199"/>
  <c r="CV199"/>
  <c r="CW199"/>
  <c r="CX199"/>
  <c r="CY199"/>
  <c r="CZ199"/>
  <c r="DA199"/>
  <c r="DB199"/>
  <c r="DC199"/>
  <c r="DD199"/>
  <c r="DE199"/>
  <c r="DF199"/>
  <c r="DG199"/>
  <c r="DH199"/>
  <c r="DI199"/>
  <c r="DJ199"/>
  <c r="DK199"/>
  <c r="DL199"/>
  <c r="DM199"/>
  <c r="DN199"/>
  <c r="DO199"/>
  <c r="DP199"/>
  <c r="DQ199"/>
  <c r="DR199"/>
  <c r="DS199"/>
  <c r="DT199"/>
  <c r="DU199"/>
  <c r="DV199"/>
  <c r="DW199"/>
  <c r="DX199"/>
  <c r="DY199"/>
  <c r="DZ199"/>
  <c r="EA199"/>
  <c r="EB199"/>
  <c r="EC199"/>
  <c r="ED199"/>
  <c r="EE199"/>
  <c r="EF199"/>
  <c r="EG199"/>
  <c r="EH199"/>
  <c r="EI199"/>
  <c r="EJ199"/>
  <c r="EK199"/>
  <c r="EL199"/>
  <c r="EM199"/>
  <c r="EN199"/>
  <c r="EO199"/>
  <c r="EP199"/>
  <c r="EQ199"/>
  <c r="ER199"/>
  <c r="ES199"/>
  <c r="ET199"/>
  <c r="EU199"/>
  <c r="EV199"/>
  <c r="EW199"/>
  <c r="EX199"/>
  <c r="EY199"/>
  <c r="EZ199"/>
  <c r="FA199"/>
  <c r="FB199"/>
  <c r="FC199"/>
  <c r="FD199"/>
  <c r="FE199"/>
  <c r="FF199"/>
  <c r="FG199"/>
  <c r="FH199"/>
  <c r="FI199"/>
  <c r="FJ199"/>
  <c r="FK199"/>
  <c r="FL199"/>
  <c r="FM199"/>
  <c r="FN199"/>
  <c r="FO199"/>
  <c r="FP199"/>
  <c r="FQ199"/>
  <c r="FR199"/>
  <c r="FS199"/>
  <c r="FT199"/>
  <c r="FU199"/>
  <c r="FV199"/>
  <c r="FW199"/>
  <c r="FX199"/>
  <c r="FY199"/>
  <c r="FZ199"/>
  <c r="GA199"/>
  <c r="GB199"/>
  <c r="GC199"/>
  <c r="GD199"/>
  <c r="GE199"/>
  <c r="GF199"/>
  <c r="GG199"/>
  <c r="GH199"/>
  <c r="GI199"/>
  <c r="GJ199"/>
  <c r="GK199"/>
  <c r="GL199"/>
  <c r="GM199"/>
  <c r="GN199"/>
  <c r="GO199"/>
  <c r="GP199"/>
  <c r="GQ199"/>
  <c r="GR199"/>
  <c r="GS199"/>
  <c r="GT199"/>
  <c r="GU199"/>
  <c r="GV199"/>
  <c r="GW199"/>
  <c r="GX199"/>
  <c r="GY199"/>
  <c r="GZ199"/>
  <c r="HA199"/>
  <c r="HB199"/>
  <c r="HC199"/>
  <c r="HD199"/>
  <c r="HE199"/>
  <c r="HF199"/>
  <c r="HG199"/>
  <c r="HH199"/>
  <c r="HI199"/>
  <c r="HJ199"/>
  <c r="HK199"/>
  <c r="HL199"/>
  <c r="HM199"/>
  <c r="HN199"/>
  <c r="HO199"/>
  <c r="HP199"/>
  <c r="HQ199"/>
  <c r="HR199"/>
  <c r="HS199"/>
  <c r="HT199"/>
  <c r="HU199"/>
  <c r="HV199"/>
  <c r="HW199"/>
  <c r="HX199"/>
  <c r="HY199"/>
  <c r="HZ199"/>
  <c r="IA199"/>
  <c r="IB199"/>
  <c r="IC199"/>
  <c r="ID199"/>
  <c r="IE199"/>
  <c r="IF199"/>
  <c r="IG199"/>
  <c r="IH199"/>
  <c r="II199"/>
  <c r="IJ199"/>
  <c r="IK199"/>
  <c r="IL199"/>
  <c r="IM199"/>
  <c r="IN199"/>
  <c r="IO199"/>
  <c r="IP199"/>
  <c r="IQ199"/>
  <c r="IR199"/>
  <c r="IS199"/>
  <c r="IT199"/>
  <c r="IU199"/>
  <c r="IV199"/>
  <c r="A200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Z200"/>
  <c r="AA200"/>
  <c r="AB200"/>
  <c r="AC200"/>
  <c r="AD200"/>
  <c r="AE200"/>
  <c r="AF200"/>
  <c r="AG200"/>
  <c r="AH200"/>
  <c r="AI200"/>
  <c r="AJ200"/>
  <c r="AK200"/>
  <c r="AL200"/>
  <c r="AM200"/>
  <c r="AN200"/>
  <c r="AO200"/>
  <c r="AP200"/>
  <c r="AQ200"/>
  <c r="AR200"/>
  <c r="AS200"/>
  <c r="AT200"/>
  <c r="AU200"/>
  <c r="AV200"/>
  <c r="AW200"/>
  <c r="AX200"/>
  <c r="AY200"/>
  <c r="AZ200"/>
  <c r="BA200"/>
  <c r="BB200"/>
  <c r="BC200"/>
  <c r="BD200"/>
  <c r="BE200"/>
  <c r="BF200"/>
  <c r="BG200"/>
  <c r="BH200"/>
  <c r="BI200"/>
  <c r="BJ200"/>
  <c r="BK200"/>
  <c r="BL200"/>
  <c r="BM200"/>
  <c r="BN200"/>
  <c r="BO200"/>
  <c r="BP200"/>
  <c r="BQ200"/>
  <c r="BR200"/>
  <c r="BS200"/>
  <c r="BT200"/>
  <c r="BU200"/>
  <c r="BV200"/>
  <c r="BW200"/>
  <c r="BX200"/>
  <c r="BY200"/>
  <c r="BZ200"/>
  <c r="CA200"/>
  <c r="CB200"/>
  <c r="CC200"/>
  <c r="CD200"/>
  <c r="CE200"/>
  <c r="CF200"/>
  <c r="CG200"/>
  <c r="CH200"/>
  <c r="CI200"/>
  <c r="CJ200"/>
  <c r="CK200"/>
  <c r="CL200"/>
  <c r="CM200"/>
  <c r="CN200"/>
  <c r="CO200"/>
  <c r="CP200"/>
  <c r="CQ200"/>
  <c r="CR200"/>
  <c r="CS200"/>
  <c r="CT200"/>
  <c r="CU200"/>
  <c r="CV200"/>
  <c r="CW200"/>
  <c r="CX200"/>
  <c r="CY200"/>
  <c r="CZ200"/>
  <c r="DA200"/>
  <c r="DB200"/>
  <c r="DC200"/>
  <c r="DD200"/>
  <c r="DE200"/>
  <c r="DF200"/>
  <c r="DG200"/>
  <c r="DH200"/>
  <c r="DI200"/>
  <c r="DJ200"/>
  <c r="DK200"/>
  <c r="DL200"/>
  <c r="DM200"/>
  <c r="DN200"/>
  <c r="DO200"/>
  <c r="DP200"/>
  <c r="DQ200"/>
  <c r="DR200"/>
  <c r="DS200"/>
  <c r="DT200"/>
  <c r="DU200"/>
  <c r="DV200"/>
  <c r="DW200"/>
  <c r="DX200"/>
  <c r="DY200"/>
  <c r="DZ200"/>
  <c r="EA200"/>
  <c r="EB200"/>
  <c r="EC200"/>
  <c r="ED200"/>
  <c r="EE200"/>
  <c r="EF200"/>
  <c r="EG200"/>
  <c r="EH200"/>
  <c r="EI200"/>
  <c r="EJ200"/>
  <c r="EK200"/>
  <c r="EL200"/>
  <c r="EM200"/>
  <c r="EN200"/>
  <c r="EO200"/>
  <c r="EP200"/>
  <c r="EQ200"/>
  <c r="ER200"/>
  <c r="ES200"/>
  <c r="ET200"/>
  <c r="EU200"/>
  <c r="EV200"/>
  <c r="EW200"/>
  <c r="EX200"/>
  <c r="EY200"/>
  <c r="EZ200"/>
  <c r="FA200"/>
  <c r="FB200"/>
  <c r="FC200"/>
  <c r="FD200"/>
  <c r="FE200"/>
  <c r="FF200"/>
  <c r="FG200"/>
  <c r="FH200"/>
  <c r="FI200"/>
  <c r="FJ200"/>
  <c r="FK200"/>
  <c r="FL200"/>
  <c r="FM200"/>
  <c r="FN200"/>
  <c r="FO200"/>
  <c r="FP200"/>
  <c r="FQ200"/>
  <c r="FR200"/>
  <c r="FS200"/>
  <c r="FT200"/>
  <c r="FU200"/>
  <c r="FV200"/>
  <c r="FW200"/>
  <c r="FX200"/>
  <c r="FY200"/>
  <c r="FZ200"/>
  <c r="GA200"/>
  <c r="GB200"/>
  <c r="GC200"/>
  <c r="GD200"/>
  <c r="GE200"/>
  <c r="GF200"/>
  <c r="GG200"/>
  <c r="GH200"/>
  <c r="GI200"/>
  <c r="GJ200"/>
  <c r="GK200"/>
  <c r="GL200"/>
  <c r="GM200"/>
  <c r="GN200"/>
  <c r="GO200"/>
  <c r="GP200"/>
  <c r="GQ200"/>
  <c r="GR200"/>
  <c r="GS200"/>
  <c r="GT200"/>
  <c r="GU200"/>
  <c r="GV200"/>
  <c r="GW200"/>
  <c r="GX200"/>
  <c r="GY200"/>
  <c r="GZ200"/>
  <c r="HA200"/>
  <c r="HB200"/>
  <c r="HC200"/>
  <c r="HD200"/>
  <c r="HE200"/>
  <c r="HF200"/>
  <c r="HG200"/>
  <c r="HH200"/>
  <c r="HI200"/>
  <c r="HJ200"/>
  <c r="HK200"/>
  <c r="HL200"/>
  <c r="HM200"/>
  <c r="HN200"/>
  <c r="HO200"/>
  <c r="HP200"/>
  <c r="HQ200"/>
  <c r="HR200"/>
  <c r="HS200"/>
  <c r="HT200"/>
  <c r="HU200"/>
  <c r="HV200"/>
  <c r="HW200"/>
  <c r="HX200"/>
  <c r="HY200"/>
  <c r="HZ200"/>
  <c r="IA200"/>
  <c r="IB200"/>
  <c r="IC200"/>
  <c r="ID200"/>
  <c r="IE200"/>
  <c r="IF200"/>
  <c r="IG200"/>
  <c r="IH200"/>
  <c r="II200"/>
  <c r="IJ200"/>
  <c r="IK200"/>
  <c r="IL200"/>
  <c r="IM200"/>
  <c r="IN200"/>
  <c r="IO200"/>
  <c r="IP200"/>
  <c r="IQ200"/>
  <c r="IR200"/>
  <c r="IS200"/>
  <c r="IT200"/>
  <c r="IU200"/>
  <c r="IV200"/>
  <c r="A201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Z201"/>
  <c r="AA201"/>
  <c r="AB201"/>
  <c r="AC201"/>
  <c r="AD201"/>
  <c r="AE201"/>
  <c r="AF201"/>
  <c r="AG201"/>
  <c r="AH201"/>
  <c r="AI201"/>
  <c r="AJ201"/>
  <c r="AK201"/>
  <c r="AL201"/>
  <c r="AM201"/>
  <c r="AN201"/>
  <c r="AO201"/>
  <c r="AP201"/>
  <c r="AQ201"/>
  <c r="AR201"/>
  <c r="AS201"/>
  <c r="AT201"/>
  <c r="AU201"/>
  <c r="AV201"/>
  <c r="AW201"/>
  <c r="AX201"/>
  <c r="AY201"/>
  <c r="AZ201"/>
  <c r="BA201"/>
  <c r="BB201"/>
  <c r="BC201"/>
  <c r="BD201"/>
  <c r="BE201"/>
  <c r="BF201"/>
  <c r="BG201"/>
  <c r="BH201"/>
  <c r="BI201"/>
  <c r="BJ201"/>
  <c r="BK201"/>
  <c r="BL201"/>
  <c r="BM201"/>
  <c r="BN201"/>
  <c r="BO201"/>
  <c r="BP201"/>
  <c r="BQ201"/>
  <c r="BR201"/>
  <c r="BS201"/>
  <c r="BT201"/>
  <c r="BU201"/>
  <c r="BV201"/>
  <c r="BW201"/>
  <c r="BX201"/>
  <c r="BY201"/>
  <c r="BZ201"/>
  <c r="CA201"/>
  <c r="CB201"/>
  <c r="CC201"/>
  <c r="CD201"/>
  <c r="CE201"/>
  <c r="CF201"/>
  <c r="CG201"/>
  <c r="CH201"/>
  <c r="CI201"/>
  <c r="CJ201"/>
  <c r="CK201"/>
  <c r="CL201"/>
  <c r="CM201"/>
  <c r="CN201"/>
  <c r="CO201"/>
  <c r="CP201"/>
  <c r="CQ201"/>
  <c r="CR201"/>
  <c r="CS201"/>
  <c r="CT201"/>
  <c r="CU201"/>
  <c r="CV201"/>
  <c r="CW201"/>
  <c r="CX201"/>
  <c r="CY201"/>
  <c r="CZ201"/>
  <c r="DA201"/>
  <c r="DB201"/>
  <c r="DC201"/>
  <c r="DD201"/>
  <c r="DE201"/>
  <c r="DF201"/>
  <c r="DG201"/>
  <c r="DH201"/>
  <c r="DI201"/>
  <c r="DJ201"/>
  <c r="DK201"/>
  <c r="DL201"/>
  <c r="DM201"/>
  <c r="DN201"/>
  <c r="DO201"/>
  <c r="DP201"/>
  <c r="DQ201"/>
  <c r="DR201"/>
  <c r="DS201"/>
  <c r="DT201"/>
  <c r="DU201"/>
  <c r="DV201"/>
  <c r="DW201"/>
  <c r="DX201"/>
  <c r="DY201"/>
  <c r="DZ201"/>
  <c r="EA201"/>
  <c r="EB201"/>
  <c r="EC201"/>
  <c r="ED201"/>
  <c r="EE201"/>
  <c r="EF201"/>
  <c r="EG201"/>
  <c r="EH201"/>
  <c r="EI201"/>
  <c r="EJ201"/>
  <c r="EK201"/>
  <c r="EL201"/>
  <c r="EM201"/>
  <c r="EN201"/>
  <c r="EO201"/>
  <c r="EP201"/>
  <c r="EQ201"/>
  <c r="ER201"/>
  <c r="ES201"/>
  <c r="ET201"/>
  <c r="EU201"/>
  <c r="EV201"/>
  <c r="EW201"/>
  <c r="EX201"/>
  <c r="EY201"/>
  <c r="EZ201"/>
  <c r="FA201"/>
  <c r="FB201"/>
  <c r="FC201"/>
  <c r="FD201"/>
  <c r="FE201"/>
  <c r="FF201"/>
  <c r="FG201"/>
  <c r="FH201"/>
  <c r="FI201"/>
  <c r="FJ201"/>
  <c r="FK201"/>
  <c r="FL201"/>
  <c r="FM201"/>
  <c r="FN201"/>
  <c r="FO201"/>
  <c r="FP201"/>
  <c r="FQ201"/>
  <c r="FR201"/>
  <c r="FS201"/>
  <c r="FT201"/>
  <c r="FU201"/>
  <c r="FV201"/>
  <c r="FW201"/>
  <c r="FX201"/>
  <c r="FY201"/>
  <c r="FZ201"/>
  <c r="GA201"/>
  <c r="GB201"/>
  <c r="GC201"/>
  <c r="GD201"/>
  <c r="GE201"/>
  <c r="GF201"/>
  <c r="GG201"/>
  <c r="GH201"/>
  <c r="GI201"/>
  <c r="GJ201"/>
  <c r="GK201"/>
  <c r="GL201"/>
  <c r="GM201"/>
  <c r="GN201"/>
  <c r="GO201"/>
  <c r="GP201"/>
  <c r="GQ201"/>
  <c r="GR201"/>
  <c r="GS201"/>
  <c r="GT201"/>
  <c r="GU201"/>
  <c r="GV201"/>
  <c r="GW201"/>
  <c r="GX201"/>
  <c r="GY201"/>
  <c r="GZ201"/>
  <c r="HA201"/>
  <c r="HB201"/>
  <c r="HC201"/>
  <c r="HD201"/>
  <c r="HE201"/>
  <c r="HF201"/>
  <c r="HG201"/>
  <c r="HH201"/>
  <c r="HI201"/>
  <c r="HJ201"/>
  <c r="HK201"/>
  <c r="HL201"/>
  <c r="HM201"/>
  <c r="HN201"/>
  <c r="HO201"/>
  <c r="HP201"/>
  <c r="HQ201"/>
  <c r="HR201"/>
  <c r="HS201"/>
  <c r="HT201"/>
  <c r="HU201"/>
  <c r="HV201"/>
  <c r="HW201"/>
  <c r="HX201"/>
  <c r="HY201"/>
  <c r="HZ201"/>
  <c r="IA201"/>
  <c r="IB201"/>
  <c r="IC201"/>
  <c r="ID201"/>
  <c r="IE201"/>
  <c r="IF201"/>
  <c r="IG201"/>
  <c r="IH201"/>
  <c r="II201"/>
  <c r="IJ201"/>
  <c r="IK201"/>
  <c r="IL201"/>
  <c r="IM201"/>
  <c r="IN201"/>
  <c r="IO201"/>
  <c r="IP201"/>
  <c r="IQ201"/>
  <c r="IR201"/>
  <c r="IS201"/>
  <c r="IT201"/>
  <c r="IU201"/>
  <c r="IV201"/>
  <c r="A202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Z202"/>
  <c r="AA202"/>
  <c r="AB202"/>
  <c r="AC202"/>
  <c r="AD202"/>
  <c r="AE202"/>
  <c r="AF202"/>
  <c r="AG202"/>
  <c r="AH202"/>
  <c r="AI202"/>
  <c r="AJ202"/>
  <c r="AK202"/>
  <c r="AL202"/>
  <c r="AM202"/>
  <c r="AN202"/>
  <c r="AO202"/>
  <c r="AP202"/>
  <c r="AQ202"/>
  <c r="AR202"/>
  <c r="AS202"/>
  <c r="AT202"/>
  <c r="AU202"/>
  <c r="AV202"/>
  <c r="AW202"/>
  <c r="AX202"/>
  <c r="AY202"/>
  <c r="AZ202"/>
  <c r="BA202"/>
  <c r="BB202"/>
  <c r="BC202"/>
  <c r="BD202"/>
  <c r="BE202"/>
  <c r="BF202"/>
  <c r="BG202"/>
  <c r="BH202"/>
  <c r="BI202"/>
  <c r="BJ202"/>
  <c r="BK202"/>
  <c r="BL202"/>
  <c r="BM202"/>
  <c r="BN202"/>
  <c r="BO202"/>
  <c r="BP202"/>
  <c r="BQ202"/>
  <c r="BR202"/>
  <c r="BS202"/>
  <c r="BT202"/>
  <c r="BU202"/>
  <c r="BV202"/>
  <c r="BW202"/>
  <c r="BX202"/>
  <c r="BY202"/>
  <c r="BZ202"/>
  <c r="CA202"/>
  <c r="CB202"/>
  <c r="CC202"/>
  <c r="CD202"/>
  <c r="CE202"/>
  <c r="CF202"/>
  <c r="CG202"/>
  <c r="CH202"/>
  <c r="CI202"/>
  <c r="CJ202"/>
  <c r="CK202"/>
  <c r="CL202"/>
  <c r="CM202"/>
  <c r="CN202"/>
  <c r="CO202"/>
  <c r="CP202"/>
  <c r="CQ202"/>
  <c r="CR202"/>
  <c r="CS202"/>
  <c r="CT202"/>
  <c r="CU202"/>
  <c r="CV202"/>
  <c r="CW202"/>
  <c r="CX202"/>
  <c r="CY202"/>
  <c r="CZ202"/>
  <c r="DA202"/>
  <c r="DB202"/>
  <c r="DC202"/>
  <c r="DD202"/>
  <c r="DE202"/>
  <c r="DF202"/>
  <c r="DG202"/>
  <c r="DH202"/>
  <c r="DI202"/>
  <c r="DJ202"/>
  <c r="DK202"/>
  <c r="DL202"/>
  <c r="DM202"/>
  <c r="DN202"/>
  <c r="DO202"/>
  <c r="DP202"/>
  <c r="DQ202"/>
  <c r="DR202"/>
  <c r="DS202"/>
  <c r="DT202"/>
  <c r="DU202"/>
  <c r="DV202"/>
  <c r="DW202"/>
  <c r="DX202"/>
  <c r="DY202"/>
  <c r="DZ202"/>
  <c r="EA202"/>
  <c r="EB202"/>
  <c r="EC202"/>
  <c r="ED202"/>
  <c r="EE202"/>
  <c r="EF202"/>
  <c r="EG202"/>
  <c r="EH202"/>
  <c r="EI202"/>
  <c r="EJ202"/>
  <c r="EK202"/>
  <c r="EL202"/>
  <c r="EM202"/>
  <c r="EN202"/>
  <c r="EO202"/>
  <c r="EP202"/>
  <c r="EQ202"/>
  <c r="ER202"/>
  <c r="ES202"/>
  <c r="ET202"/>
  <c r="EU202"/>
  <c r="EV202"/>
  <c r="EW202"/>
  <c r="EX202"/>
  <c r="EY202"/>
  <c r="EZ202"/>
  <c r="FA202"/>
  <c r="FB202"/>
  <c r="FC202"/>
  <c r="FD202"/>
  <c r="FE202"/>
  <c r="FF202"/>
  <c r="FG202"/>
  <c r="FH202"/>
  <c r="FI202"/>
  <c r="FJ202"/>
  <c r="FK202"/>
  <c r="FL202"/>
  <c r="FM202"/>
  <c r="FN202"/>
  <c r="FO202"/>
  <c r="FP202"/>
  <c r="FQ202"/>
  <c r="FR202"/>
  <c r="FS202"/>
  <c r="FT202"/>
  <c r="FU202"/>
  <c r="FV202"/>
  <c r="FW202"/>
  <c r="FX202"/>
  <c r="FY202"/>
  <c r="FZ202"/>
  <c r="GA202"/>
  <c r="GB202"/>
  <c r="GC202"/>
  <c r="GD202"/>
  <c r="GE202"/>
  <c r="GF202"/>
  <c r="GG202"/>
  <c r="GH202"/>
  <c r="GI202"/>
  <c r="GJ202"/>
  <c r="GK202"/>
  <c r="GL202"/>
  <c r="GM202"/>
  <c r="GN202"/>
  <c r="GO202"/>
  <c r="GP202"/>
  <c r="GQ202"/>
  <c r="GR202"/>
  <c r="GS202"/>
  <c r="GT202"/>
  <c r="GU202"/>
  <c r="GV202"/>
  <c r="GW202"/>
  <c r="GX202"/>
  <c r="GY202"/>
  <c r="GZ202"/>
  <c r="HA202"/>
  <c r="HB202"/>
  <c r="HC202"/>
  <c r="HD202"/>
  <c r="HE202"/>
  <c r="HF202"/>
  <c r="HG202"/>
  <c r="HH202"/>
  <c r="HI202"/>
  <c r="HJ202"/>
  <c r="HK202"/>
  <c r="HL202"/>
  <c r="HM202"/>
  <c r="HN202"/>
  <c r="HO202"/>
  <c r="HP202"/>
  <c r="HQ202"/>
  <c r="HR202"/>
  <c r="HS202"/>
  <c r="HT202"/>
  <c r="HU202"/>
  <c r="HV202"/>
  <c r="HW202"/>
  <c r="HX202"/>
  <c r="HY202"/>
  <c r="HZ202"/>
  <c r="IA202"/>
  <c r="IB202"/>
  <c r="IC202"/>
  <c r="ID202"/>
  <c r="IE202"/>
  <c r="IF202"/>
  <c r="IG202"/>
  <c r="IH202"/>
  <c r="II202"/>
  <c r="IJ202"/>
  <c r="IK202"/>
  <c r="IL202"/>
  <c r="IM202"/>
  <c r="IN202"/>
  <c r="IO202"/>
  <c r="IP202"/>
  <c r="IQ202"/>
  <c r="IR202"/>
  <c r="IS202"/>
  <c r="IT202"/>
  <c r="IU202"/>
  <c r="IV202"/>
  <c r="A203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Z203"/>
  <c r="AA203"/>
  <c r="AB203"/>
  <c r="AC203"/>
  <c r="AD203"/>
  <c r="AE203"/>
  <c r="AF203"/>
  <c r="AG203"/>
  <c r="AH203"/>
  <c r="AI203"/>
  <c r="AJ203"/>
  <c r="AK203"/>
  <c r="AL203"/>
  <c r="AM203"/>
  <c r="AN203"/>
  <c r="AO203"/>
  <c r="AP203"/>
  <c r="AQ203"/>
  <c r="AR203"/>
  <c r="AS203"/>
  <c r="AT203"/>
  <c r="AU203"/>
  <c r="AV203"/>
  <c r="AW203"/>
  <c r="AX203"/>
  <c r="AY203"/>
  <c r="AZ203"/>
  <c r="BA203"/>
  <c r="BB203"/>
  <c r="BC203"/>
  <c r="BD203"/>
  <c r="BE203"/>
  <c r="BF203"/>
  <c r="BG203"/>
  <c r="BH203"/>
  <c r="BI203"/>
  <c r="BJ203"/>
  <c r="BK203"/>
  <c r="BL203"/>
  <c r="BM203"/>
  <c r="BN203"/>
  <c r="BO203"/>
  <c r="BP203"/>
  <c r="BQ203"/>
  <c r="BR203"/>
  <c r="BS203"/>
  <c r="BT203"/>
  <c r="BU203"/>
  <c r="BV203"/>
  <c r="BW203"/>
  <c r="BX203"/>
  <c r="BY203"/>
  <c r="BZ203"/>
  <c r="CA203"/>
  <c r="CB203"/>
  <c r="CC203"/>
  <c r="CD203"/>
  <c r="CE203"/>
  <c r="CF203"/>
  <c r="CG203"/>
  <c r="CH203"/>
  <c r="CI203"/>
  <c r="CJ203"/>
  <c r="CK203"/>
  <c r="CL203"/>
  <c r="CM203"/>
  <c r="CN203"/>
  <c r="CO203"/>
  <c r="CP203"/>
  <c r="CQ203"/>
  <c r="CR203"/>
  <c r="CS203"/>
  <c r="CT203"/>
  <c r="CU203"/>
  <c r="CV203"/>
  <c r="CW203"/>
  <c r="CX203"/>
  <c r="CY203"/>
  <c r="CZ203"/>
  <c r="DA203"/>
  <c r="DB203"/>
  <c r="DC203"/>
  <c r="DD203"/>
  <c r="DE203"/>
  <c r="DF203"/>
  <c r="DG203"/>
  <c r="DH203"/>
  <c r="DI203"/>
  <c r="DJ203"/>
  <c r="DK203"/>
  <c r="DL203"/>
  <c r="DM203"/>
  <c r="DN203"/>
  <c r="DO203"/>
  <c r="DP203"/>
  <c r="DQ203"/>
  <c r="DR203"/>
  <c r="DS203"/>
  <c r="DT203"/>
  <c r="DU203"/>
  <c r="DV203"/>
  <c r="DW203"/>
  <c r="DX203"/>
  <c r="DY203"/>
  <c r="DZ203"/>
  <c r="EA203"/>
  <c r="EB203"/>
  <c r="EC203"/>
  <c r="ED203"/>
  <c r="EE203"/>
  <c r="EF203"/>
  <c r="EG203"/>
  <c r="EH203"/>
  <c r="EI203"/>
  <c r="EJ203"/>
  <c r="EK203"/>
  <c r="EL203"/>
  <c r="EM203"/>
  <c r="EN203"/>
  <c r="EO203"/>
  <c r="EP203"/>
  <c r="EQ203"/>
  <c r="ER203"/>
  <c r="ES203"/>
  <c r="ET203"/>
  <c r="EU203"/>
  <c r="EV203"/>
  <c r="EW203"/>
  <c r="EX203"/>
  <c r="EY203"/>
  <c r="EZ203"/>
  <c r="FA203"/>
  <c r="FB203"/>
  <c r="FC203"/>
  <c r="FD203"/>
  <c r="FE203"/>
  <c r="FF203"/>
  <c r="FG203"/>
  <c r="FH203"/>
  <c r="FI203"/>
  <c r="FJ203"/>
  <c r="FK203"/>
  <c r="FL203"/>
  <c r="FM203"/>
  <c r="FN203"/>
  <c r="FO203"/>
  <c r="FP203"/>
  <c r="FQ203"/>
  <c r="FR203"/>
  <c r="FS203"/>
  <c r="FT203"/>
  <c r="FU203"/>
  <c r="FV203"/>
  <c r="FW203"/>
  <c r="FX203"/>
  <c r="FY203"/>
  <c r="FZ203"/>
  <c r="GA203"/>
  <c r="GB203"/>
  <c r="GC203"/>
  <c r="GD203"/>
  <c r="GE203"/>
  <c r="GF203"/>
  <c r="GG203"/>
  <c r="GH203"/>
  <c r="GI203"/>
  <c r="GJ203"/>
  <c r="GK203"/>
  <c r="GL203"/>
  <c r="GM203"/>
  <c r="GN203"/>
  <c r="GO203"/>
  <c r="GP203"/>
  <c r="GQ203"/>
  <c r="GR203"/>
  <c r="GS203"/>
  <c r="GT203"/>
  <c r="GU203"/>
  <c r="GV203"/>
  <c r="GW203"/>
  <c r="GX203"/>
  <c r="GY203"/>
  <c r="GZ203"/>
  <c r="HA203"/>
  <c r="HB203"/>
  <c r="HC203"/>
  <c r="HD203"/>
  <c r="HE203"/>
  <c r="HF203"/>
  <c r="HG203"/>
  <c r="HH203"/>
  <c r="HI203"/>
  <c r="HJ203"/>
  <c r="HK203"/>
  <c r="HL203"/>
  <c r="HM203"/>
  <c r="HN203"/>
  <c r="HO203"/>
  <c r="HP203"/>
  <c r="HQ203"/>
  <c r="HR203"/>
  <c r="HS203"/>
  <c r="HT203"/>
  <c r="HU203"/>
  <c r="HV203"/>
  <c r="HW203"/>
  <c r="HX203"/>
  <c r="HY203"/>
  <c r="HZ203"/>
  <c r="IA203"/>
  <c r="IB203"/>
  <c r="IC203"/>
  <c r="ID203"/>
  <c r="IE203"/>
  <c r="IF203"/>
  <c r="IG203"/>
  <c r="IH203"/>
  <c r="II203"/>
  <c r="IJ203"/>
  <c r="IK203"/>
  <c r="IL203"/>
  <c r="IM203"/>
  <c r="IN203"/>
  <c r="IO203"/>
  <c r="IP203"/>
  <c r="IQ203"/>
  <c r="IR203"/>
  <c r="IS203"/>
  <c r="IT203"/>
  <c r="IU203"/>
  <c r="IV203"/>
  <c r="A204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Z204"/>
  <c r="AA204"/>
  <c r="AB204"/>
  <c r="AC204"/>
  <c r="AD204"/>
  <c r="AE204"/>
  <c r="AF204"/>
  <c r="AG204"/>
  <c r="AH204"/>
  <c r="AI204"/>
  <c r="AJ204"/>
  <c r="AK204"/>
  <c r="AL204"/>
  <c r="AM204"/>
  <c r="AN204"/>
  <c r="AO204"/>
  <c r="AP204"/>
  <c r="AQ204"/>
  <c r="AR204"/>
  <c r="AS204"/>
  <c r="AT204"/>
  <c r="AU204"/>
  <c r="AV204"/>
  <c r="AW204"/>
  <c r="AX204"/>
  <c r="AY204"/>
  <c r="AZ204"/>
  <c r="BA204"/>
  <c r="BB204"/>
  <c r="BC204"/>
  <c r="BD204"/>
  <c r="BE204"/>
  <c r="BF204"/>
  <c r="BG204"/>
  <c r="BH204"/>
  <c r="BI204"/>
  <c r="BJ204"/>
  <c r="BK204"/>
  <c r="BL204"/>
  <c r="BM204"/>
  <c r="BN204"/>
  <c r="BO204"/>
  <c r="BP204"/>
  <c r="BQ204"/>
  <c r="BR204"/>
  <c r="BS204"/>
  <c r="BT204"/>
  <c r="BU204"/>
  <c r="BV204"/>
  <c r="BW204"/>
  <c r="BX204"/>
  <c r="BY204"/>
  <c r="BZ204"/>
  <c r="CA204"/>
  <c r="CB204"/>
  <c r="CC204"/>
  <c r="CD204"/>
  <c r="CE204"/>
  <c r="CF204"/>
  <c r="CG204"/>
  <c r="CH204"/>
  <c r="CI204"/>
  <c r="CJ204"/>
  <c r="CK204"/>
  <c r="CL204"/>
  <c r="CM204"/>
  <c r="CN204"/>
  <c r="CO204"/>
  <c r="CP204"/>
  <c r="CQ204"/>
  <c r="CR204"/>
  <c r="CS204"/>
  <c r="CT204"/>
  <c r="CU204"/>
  <c r="CV204"/>
  <c r="CW204"/>
  <c r="CX204"/>
  <c r="CY204"/>
  <c r="CZ204"/>
  <c r="DA204"/>
  <c r="DB204"/>
  <c r="DC204"/>
  <c r="DD204"/>
  <c r="DE204"/>
  <c r="DF204"/>
  <c r="DG204"/>
  <c r="DH204"/>
  <c r="DI204"/>
  <c r="DJ204"/>
  <c r="DK204"/>
  <c r="DL204"/>
  <c r="DM204"/>
  <c r="DN204"/>
  <c r="DO204"/>
  <c r="DP204"/>
  <c r="DQ204"/>
  <c r="DR204"/>
  <c r="DS204"/>
  <c r="DT204"/>
  <c r="DU204"/>
  <c r="DV204"/>
  <c r="DW204"/>
  <c r="DX204"/>
  <c r="DY204"/>
  <c r="DZ204"/>
  <c r="EA204"/>
  <c r="EB204"/>
  <c r="EC204"/>
  <c r="ED204"/>
  <c r="EE204"/>
  <c r="EF204"/>
  <c r="EG204"/>
  <c r="EH204"/>
  <c r="EI204"/>
  <c r="EJ204"/>
  <c r="EK204"/>
  <c r="EL204"/>
  <c r="EM204"/>
  <c r="EN204"/>
  <c r="EO204"/>
  <c r="EP204"/>
  <c r="EQ204"/>
  <c r="ER204"/>
  <c r="ES204"/>
  <c r="ET204"/>
  <c r="EU204"/>
  <c r="EV204"/>
  <c r="EW204"/>
  <c r="EX204"/>
  <c r="EY204"/>
  <c r="EZ204"/>
  <c r="FA204"/>
  <c r="FB204"/>
  <c r="FC204"/>
  <c r="FD204"/>
  <c r="FE204"/>
  <c r="FF204"/>
  <c r="FG204"/>
  <c r="FH204"/>
  <c r="FI204"/>
  <c r="FJ204"/>
  <c r="FK204"/>
  <c r="FL204"/>
  <c r="FM204"/>
  <c r="FN204"/>
  <c r="FO204"/>
  <c r="FP204"/>
  <c r="FQ204"/>
  <c r="FR204"/>
  <c r="FS204"/>
  <c r="FT204"/>
  <c r="FU204"/>
  <c r="FV204"/>
  <c r="FW204"/>
  <c r="FX204"/>
  <c r="FY204"/>
  <c r="FZ204"/>
  <c r="GA204"/>
  <c r="GB204"/>
  <c r="GC204"/>
  <c r="GD204"/>
  <c r="GE204"/>
  <c r="GF204"/>
  <c r="GG204"/>
  <c r="GH204"/>
  <c r="GI204"/>
  <c r="GJ204"/>
  <c r="GK204"/>
  <c r="GL204"/>
  <c r="GM204"/>
  <c r="GN204"/>
  <c r="GO204"/>
  <c r="GP204"/>
  <c r="GQ204"/>
  <c r="GR204"/>
  <c r="GS204"/>
  <c r="GT204"/>
  <c r="GU204"/>
  <c r="GV204"/>
  <c r="GW204"/>
  <c r="GX204"/>
  <c r="GY204"/>
  <c r="GZ204"/>
  <c r="HA204"/>
  <c r="HB204"/>
  <c r="HC204"/>
  <c r="HD204"/>
  <c r="HE204"/>
  <c r="HF204"/>
  <c r="HG204"/>
  <c r="HH204"/>
  <c r="HI204"/>
  <c r="HJ204"/>
  <c r="HK204"/>
  <c r="HL204"/>
  <c r="HM204"/>
  <c r="HN204"/>
  <c r="HO204"/>
  <c r="HP204"/>
  <c r="HQ204"/>
  <c r="HR204"/>
  <c r="HS204"/>
  <c r="HT204"/>
  <c r="HU204"/>
  <c r="HV204"/>
  <c r="HW204"/>
  <c r="HX204"/>
  <c r="HY204"/>
  <c r="HZ204"/>
  <c r="IA204"/>
  <c r="IB204"/>
  <c r="IC204"/>
  <c r="ID204"/>
  <c r="IE204"/>
  <c r="IF204"/>
  <c r="IG204"/>
  <c r="IH204"/>
  <c r="II204"/>
  <c r="IJ204"/>
  <c r="IK204"/>
  <c r="IL204"/>
  <c r="IM204"/>
  <c r="IN204"/>
  <c r="IO204"/>
  <c r="IP204"/>
  <c r="IQ204"/>
  <c r="IR204"/>
  <c r="IS204"/>
  <c r="IT204"/>
  <c r="IU204"/>
  <c r="IV204"/>
  <c r="A205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Z205"/>
  <c r="AA205"/>
  <c r="AB205"/>
  <c r="AC205"/>
  <c r="AD205"/>
  <c r="AE205"/>
  <c r="AF205"/>
  <c r="AG205"/>
  <c r="AH205"/>
  <c r="AI205"/>
  <c r="AJ205"/>
  <c r="AK205"/>
  <c r="AL205"/>
  <c r="AM205"/>
  <c r="AN205"/>
  <c r="AO205"/>
  <c r="AP205"/>
  <c r="AQ205"/>
  <c r="AR205"/>
  <c r="AS205"/>
  <c r="AT205"/>
  <c r="AU205"/>
  <c r="AV205"/>
  <c r="AW205"/>
  <c r="AX205"/>
  <c r="AY205"/>
  <c r="AZ205"/>
  <c r="BA205"/>
  <c r="BB205"/>
  <c r="BC205"/>
  <c r="BD205"/>
  <c r="BE205"/>
  <c r="BF205"/>
  <c r="BG205"/>
  <c r="BH205"/>
  <c r="BI205"/>
  <c r="BJ205"/>
  <c r="BK205"/>
  <c r="BL205"/>
  <c r="BM205"/>
  <c r="BN205"/>
  <c r="BO205"/>
  <c r="BP205"/>
  <c r="BQ205"/>
  <c r="BR205"/>
  <c r="BS205"/>
  <c r="BT205"/>
  <c r="BU205"/>
  <c r="BV205"/>
  <c r="BW205"/>
  <c r="BX205"/>
  <c r="BY205"/>
  <c r="BZ205"/>
  <c r="CA205"/>
  <c r="CB205"/>
  <c r="CC205"/>
  <c r="CD205"/>
  <c r="CE205"/>
  <c r="CF205"/>
  <c r="CG205"/>
  <c r="CH205"/>
  <c r="CI205"/>
  <c r="CJ205"/>
  <c r="CK205"/>
  <c r="CL205"/>
  <c r="CM205"/>
  <c r="CN205"/>
  <c r="CO205"/>
  <c r="CP205"/>
  <c r="CQ205"/>
  <c r="CR205"/>
  <c r="CS205"/>
  <c r="CT205"/>
  <c r="CU205"/>
  <c r="CV205"/>
  <c r="CW205"/>
  <c r="CX205"/>
  <c r="CY205"/>
  <c r="CZ205"/>
  <c r="DA205"/>
  <c r="DB205"/>
  <c r="DC205"/>
  <c r="DD205"/>
  <c r="DE205"/>
  <c r="DF205"/>
  <c r="DG205"/>
  <c r="DH205"/>
  <c r="DI205"/>
  <c r="DJ205"/>
  <c r="DK205"/>
  <c r="DL205"/>
  <c r="DM205"/>
  <c r="DN205"/>
  <c r="DO205"/>
  <c r="DP205"/>
  <c r="DQ205"/>
  <c r="DR205"/>
  <c r="DS205"/>
  <c r="DT205"/>
  <c r="DU205"/>
  <c r="DV205"/>
  <c r="DW205"/>
  <c r="DX205"/>
  <c r="DY205"/>
  <c r="DZ205"/>
  <c r="EA205"/>
  <c r="EB205"/>
  <c r="EC205"/>
  <c r="ED205"/>
  <c r="EE205"/>
  <c r="EF205"/>
  <c r="EG205"/>
  <c r="EH205"/>
  <c r="EI205"/>
  <c r="EJ205"/>
  <c r="EK205"/>
  <c r="EL205"/>
  <c r="EM205"/>
  <c r="EN205"/>
  <c r="EO205"/>
  <c r="EP205"/>
  <c r="EQ205"/>
  <c r="ER205"/>
  <c r="ES205"/>
  <c r="ET205"/>
  <c r="EU205"/>
  <c r="EV205"/>
  <c r="EW205"/>
  <c r="EX205"/>
  <c r="EY205"/>
  <c r="EZ205"/>
  <c r="FA205"/>
  <c r="FB205"/>
  <c r="FC205"/>
  <c r="FD205"/>
  <c r="FE205"/>
  <c r="FF205"/>
  <c r="FG205"/>
  <c r="FH205"/>
  <c r="FI205"/>
  <c r="FJ205"/>
  <c r="FK205"/>
  <c r="FL205"/>
  <c r="FM205"/>
  <c r="FN205"/>
  <c r="FO205"/>
  <c r="FP205"/>
  <c r="FQ205"/>
  <c r="FR205"/>
  <c r="FS205"/>
  <c r="FT205"/>
  <c r="FU205"/>
  <c r="FV205"/>
  <c r="FW205"/>
  <c r="FX205"/>
  <c r="FY205"/>
  <c r="FZ205"/>
  <c r="GA205"/>
  <c r="GB205"/>
  <c r="GC205"/>
  <c r="GD205"/>
  <c r="GE205"/>
  <c r="GF205"/>
  <c r="GG205"/>
  <c r="GH205"/>
  <c r="GI205"/>
  <c r="GJ205"/>
  <c r="GK205"/>
  <c r="GL205"/>
  <c r="GM205"/>
  <c r="GN205"/>
  <c r="GO205"/>
  <c r="GP205"/>
  <c r="GQ205"/>
  <c r="GR205"/>
  <c r="GS205"/>
  <c r="GT205"/>
  <c r="GU205"/>
  <c r="GV205"/>
  <c r="GW205"/>
  <c r="GX205"/>
  <c r="GY205"/>
  <c r="GZ205"/>
  <c r="HA205"/>
  <c r="HB205"/>
  <c r="HC205"/>
  <c r="HD205"/>
  <c r="HE205"/>
  <c r="HF205"/>
  <c r="HG205"/>
  <c r="HH205"/>
  <c r="HI205"/>
  <c r="HJ205"/>
  <c r="HK205"/>
  <c r="HL205"/>
  <c r="HM205"/>
  <c r="HN205"/>
  <c r="HO205"/>
  <c r="HP205"/>
  <c r="HQ205"/>
  <c r="HR205"/>
  <c r="HS205"/>
  <c r="HT205"/>
  <c r="HU205"/>
  <c r="HV205"/>
  <c r="HW205"/>
  <c r="HX205"/>
  <c r="HY205"/>
  <c r="HZ205"/>
  <c r="IA205"/>
  <c r="IB205"/>
  <c r="IC205"/>
  <c r="ID205"/>
  <c r="IE205"/>
  <c r="IF205"/>
  <c r="IG205"/>
  <c r="IH205"/>
  <c r="II205"/>
  <c r="IJ205"/>
  <c r="IK205"/>
  <c r="IL205"/>
  <c r="IM205"/>
  <c r="IN205"/>
  <c r="IO205"/>
  <c r="IP205"/>
  <c r="IQ205"/>
  <c r="IR205"/>
  <c r="IS205"/>
  <c r="IT205"/>
  <c r="IU205"/>
  <c r="IV205"/>
  <c r="A206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Z206"/>
  <c r="AA206"/>
  <c r="AB206"/>
  <c r="AC206"/>
  <c r="AD206"/>
  <c r="AE206"/>
  <c r="AF206"/>
  <c r="AG206"/>
  <c r="AH206"/>
  <c r="AI206"/>
  <c r="AJ206"/>
  <c r="AK206"/>
  <c r="AL206"/>
  <c r="AM206"/>
  <c r="AN206"/>
  <c r="AO206"/>
  <c r="AP206"/>
  <c r="AQ206"/>
  <c r="AR206"/>
  <c r="AS206"/>
  <c r="AT206"/>
  <c r="AU206"/>
  <c r="AV206"/>
  <c r="AW206"/>
  <c r="AX206"/>
  <c r="AY206"/>
  <c r="AZ206"/>
  <c r="BA206"/>
  <c r="BB206"/>
  <c r="BC206"/>
  <c r="BD206"/>
  <c r="BE206"/>
  <c r="BF206"/>
  <c r="BG206"/>
  <c r="BH206"/>
  <c r="BI206"/>
  <c r="BJ206"/>
  <c r="BK206"/>
  <c r="BL206"/>
  <c r="BM206"/>
  <c r="BN206"/>
  <c r="BO206"/>
  <c r="BP206"/>
  <c r="BQ206"/>
  <c r="BR206"/>
  <c r="BS206"/>
  <c r="BT206"/>
  <c r="BU206"/>
  <c r="BV206"/>
  <c r="BW206"/>
  <c r="BX206"/>
  <c r="BY206"/>
  <c r="BZ206"/>
  <c r="CA206"/>
  <c r="CB206"/>
  <c r="CC206"/>
  <c r="CD206"/>
  <c r="CE206"/>
  <c r="CF206"/>
  <c r="CG206"/>
  <c r="CH206"/>
  <c r="CI206"/>
  <c r="CJ206"/>
  <c r="CK206"/>
  <c r="CL206"/>
  <c r="CM206"/>
  <c r="CN206"/>
  <c r="CO206"/>
  <c r="CP206"/>
  <c r="CQ206"/>
  <c r="CR206"/>
  <c r="CS206"/>
  <c r="CT206"/>
  <c r="CU206"/>
  <c r="CV206"/>
  <c r="CW206"/>
  <c r="CX206"/>
  <c r="CY206"/>
  <c r="CZ206"/>
  <c r="DA206"/>
  <c r="DB206"/>
  <c r="DC206"/>
  <c r="DD206"/>
  <c r="DE206"/>
  <c r="DF206"/>
  <c r="DG206"/>
  <c r="DH206"/>
  <c r="DI206"/>
  <c r="DJ206"/>
  <c r="DK206"/>
  <c r="DL206"/>
  <c r="DM206"/>
  <c r="DN206"/>
  <c r="DO206"/>
  <c r="DP206"/>
  <c r="DQ206"/>
  <c r="DR206"/>
  <c r="DS206"/>
  <c r="DT206"/>
  <c r="DU206"/>
  <c r="DV206"/>
  <c r="DW206"/>
  <c r="DX206"/>
  <c r="DY206"/>
  <c r="DZ206"/>
  <c r="EA206"/>
  <c r="EB206"/>
  <c r="EC206"/>
  <c r="ED206"/>
  <c r="EE206"/>
  <c r="EF206"/>
  <c r="EG206"/>
  <c r="EH206"/>
  <c r="EI206"/>
  <c r="EJ206"/>
  <c r="EK206"/>
  <c r="EL206"/>
  <c r="EM206"/>
  <c r="EN206"/>
  <c r="EO206"/>
  <c r="EP206"/>
  <c r="EQ206"/>
  <c r="ER206"/>
  <c r="ES206"/>
  <c r="ET206"/>
  <c r="EU206"/>
  <c r="EV206"/>
  <c r="EW206"/>
  <c r="EX206"/>
  <c r="EY206"/>
  <c r="EZ206"/>
  <c r="FA206"/>
  <c r="FB206"/>
  <c r="FC206"/>
  <c r="FD206"/>
  <c r="FE206"/>
  <c r="FF206"/>
  <c r="FG206"/>
  <c r="FH206"/>
  <c r="FI206"/>
  <c r="FJ206"/>
  <c r="FK206"/>
  <c r="FL206"/>
  <c r="FM206"/>
  <c r="FN206"/>
  <c r="FO206"/>
  <c r="FP206"/>
  <c r="FQ206"/>
  <c r="FR206"/>
  <c r="FS206"/>
  <c r="FT206"/>
  <c r="FU206"/>
  <c r="FV206"/>
  <c r="FW206"/>
  <c r="FX206"/>
  <c r="FY206"/>
  <c r="FZ206"/>
  <c r="GA206"/>
  <c r="GB206"/>
  <c r="GC206"/>
  <c r="GD206"/>
  <c r="GE206"/>
  <c r="GF206"/>
  <c r="GG206"/>
  <c r="GH206"/>
  <c r="GI206"/>
  <c r="GJ206"/>
  <c r="GK206"/>
  <c r="GL206"/>
  <c r="GM206"/>
  <c r="GN206"/>
  <c r="GO206"/>
  <c r="GP206"/>
  <c r="GQ206"/>
  <c r="GR206"/>
  <c r="GS206"/>
  <c r="GT206"/>
  <c r="GU206"/>
  <c r="GV206"/>
  <c r="GW206"/>
  <c r="GX206"/>
  <c r="GY206"/>
  <c r="GZ206"/>
  <c r="HA206"/>
  <c r="HB206"/>
  <c r="HC206"/>
  <c r="HD206"/>
  <c r="HE206"/>
  <c r="HF206"/>
  <c r="HG206"/>
  <c r="HH206"/>
  <c r="HI206"/>
  <c r="HJ206"/>
  <c r="HK206"/>
  <c r="HL206"/>
  <c r="HM206"/>
  <c r="HN206"/>
  <c r="HO206"/>
  <c r="HP206"/>
  <c r="HQ206"/>
  <c r="HR206"/>
  <c r="HS206"/>
  <c r="HT206"/>
  <c r="HU206"/>
  <c r="HV206"/>
  <c r="HW206"/>
  <c r="HX206"/>
  <c r="HY206"/>
  <c r="HZ206"/>
  <c r="IA206"/>
  <c r="IB206"/>
  <c r="IC206"/>
  <c r="ID206"/>
  <c r="IE206"/>
  <c r="IF206"/>
  <c r="IG206"/>
  <c r="IH206"/>
  <c r="II206"/>
  <c r="IJ206"/>
  <c r="IK206"/>
  <c r="IL206"/>
  <c r="IM206"/>
  <c r="IN206"/>
  <c r="IO206"/>
  <c r="IP206"/>
  <c r="IQ206"/>
  <c r="IR206"/>
  <c r="IS206"/>
  <c r="IT206"/>
  <c r="IU206"/>
  <c r="IV206"/>
  <c r="A207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Z207"/>
  <c r="AA207"/>
  <c r="AB207"/>
  <c r="AC207"/>
  <c r="AD207"/>
  <c r="AE207"/>
  <c r="AF207"/>
  <c r="AG207"/>
  <c r="AH207"/>
  <c r="AI207"/>
  <c r="AJ207"/>
  <c r="AK207"/>
  <c r="AL207"/>
  <c r="AM207"/>
  <c r="AN207"/>
  <c r="AO207"/>
  <c r="AP207"/>
  <c r="AQ207"/>
  <c r="AR207"/>
  <c r="AS207"/>
  <c r="AT207"/>
  <c r="AU207"/>
  <c r="AV207"/>
  <c r="AW207"/>
  <c r="AX207"/>
  <c r="AY207"/>
  <c r="AZ207"/>
  <c r="BA207"/>
  <c r="BB207"/>
  <c r="BC207"/>
  <c r="BD207"/>
  <c r="BE207"/>
  <c r="BF207"/>
  <c r="BG207"/>
  <c r="BH207"/>
  <c r="BI207"/>
  <c r="BJ207"/>
  <c r="BK207"/>
  <c r="BL207"/>
  <c r="BM207"/>
  <c r="BN207"/>
  <c r="BO207"/>
  <c r="BP207"/>
  <c r="BQ207"/>
  <c r="BR207"/>
  <c r="BS207"/>
  <c r="BT207"/>
  <c r="BU207"/>
  <c r="BV207"/>
  <c r="BW207"/>
  <c r="BX207"/>
  <c r="BY207"/>
  <c r="BZ207"/>
  <c r="CA207"/>
  <c r="CB207"/>
  <c r="CC207"/>
  <c r="CD207"/>
  <c r="CE207"/>
  <c r="CF207"/>
  <c r="CG207"/>
  <c r="CH207"/>
  <c r="CI207"/>
  <c r="CJ207"/>
  <c r="CK207"/>
  <c r="CL207"/>
  <c r="CM207"/>
  <c r="CN207"/>
  <c r="CO207"/>
  <c r="CP207"/>
  <c r="CQ207"/>
  <c r="CR207"/>
  <c r="CS207"/>
  <c r="CT207"/>
  <c r="CU207"/>
  <c r="CV207"/>
  <c r="CW207"/>
  <c r="CX207"/>
  <c r="CY207"/>
  <c r="CZ207"/>
  <c r="DA207"/>
  <c r="DB207"/>
  <c r="DC207"/>
  <c r="DD207"/>
  <c r="DE207"/>
  <c r="DF207"/>
  <c r="DG207"/>
  <c r="DH207"/>
  <c r="DI207"/>
  <c r="DJ207"/>
  <c r="DK207"/>
  <c r="DL207"/>
  <c r="DM207"/>
  <c r="DN207"/>
  <c r="DO207"/>
  <c r="DP207"/>
  <c r="DQ207"/>
  <c r="DR207"/>
  <c r="DS207"/>
  <c r="DT207"/>
  <c r="DU207"/>
  <c r="DV207"/>
  <c r="DW207"/>
  <c r="DX207"/>
  <c r="DY207"/>
  <c r="DZ207"/>
  <c r="EA207"/>
  <c r="EB207"/>
  <c r="EC207"/>
  <c r="ED207"/>
  <c r="EE207"/>
  <c r="EF207"/>
  <c r="EG207"/>
  <c r="EH207"/>
  <c r="EI207"/>
  <c r="EJ207"/>
  <c r="EK207"/>
  <c r="EL207"/>
  <c r="EM207"/>
  <c r="EN207"/>
  <c r="EO207"/>
  <c r="EP207"/>
  <c r="EQ207"/>
  <c r="ER207"/>
  <c r="ES207"/>
  <c r="ET207"/>
  <c r="EU207"/>
  <c r="EV207"/>
  <c r="EW207"/>
  <c r="EX207"/>
  <c r="EY207"/>
  <c r="EZ207"/>
  <c r="FA207"/>
  <c r="FB207"/>
  <c r="FC207"/>
  <c r="FD207"/>
  <c r="FE207"/>
  <c r="FF207"/>
  <c r="FG207"/>
  <c r="FH207"/>
  <c r="FI207"/>
  <c r="FJ207"/>
  <c r="FK207"/>
  <c r="FL207"/>
  <c r="FM207"/>
  <c r="FN207"/>
  <c r="FO207"/>
  <c r="FP207"/>
  <c r="FQ207"/>
  <c r="FR207"/>
  <c r="FS207"/>
  <c r="FT207"/>
  <c r="FU207"/>
  <c r="FV207"/>
  <c r="FW207"/>
  <c r="FX207"/>
  <c r="FY207"/>
  <c r="FZ207"/>
  <c r="GA207"/>
  <c r="GB207"/>
  <c r="GC207"/>
  <c r="GD207"/>
  <c r="GE207"/>
  <c r="GF207"/>
  <c r="GG207"/>
  <c r="GH207"/>
  <c r="GI207"/>
  <c r="GJ207"/>
  <c r="GK207"/>
  <c r="GL207"/>
  <c r="GM207"/>
  <c r="GN207"/>
  <c r="GO207"/>
  <c r="GP207"/>
  <c r="GQ207"/>
  <c r="GR207"/>
  <c r="GS207"/>
  <c r="GT207"/>
  <c r="GU207"/>
  <c r="GV207"/>
  <c r="GW207"/>
  <c r="GX207"/>
  <c r="GY207"/>
  <c r="GZ207"/>
  <c r="HA207"/>
  <c r="HB207"/>
  <c r="HC207"/>
  <c r="HD207"/>
  <c r="HE207"/>
  <c r="HF207"/>
  <c r="HG207"/>
  <c r="HH207"/>
  <c r="HI207"/>
  <c r="HJ207"/>
  <c r="HK207"/>
  <c r="HL207"/>
  <c r="HM207"/>
  <c r="HN207"/>
  <c r="HO207"/>
  <c r="HP207"/>
  <c r="HQ207"/>
  <c r="HR207"/>
  <c r="HS207"/>
  <c r="HT207"/>
  <c r="HU207"/>
  <c r="HV207"/>
  <c r="HW207"/>
  <c r="HX207"/>
  <c r="HY207"/>
  <c r="HZ207"/>
  <c r="IA207"/>
  <c r="IB207"/>
  <c r="IC207"/>
  <c r="ID207"/>
  <c r="IE207"/>
  <c r="IF207"/>
  <c r="IG207"/>
  <c r="IH207"/>
  <c r="II207"/>
  <c r="IJ207"/>
  <c r="IK207"/>
  <c r="IL207"/>
  <c r="IM207"/>
  <c r="IN207"/>
  <c r="IO207"/>
  <c r="IP207"/>
  <c r="IQ207"/>
  <c r="IR207"/>
  <c r="IS207"/>
  <c r="IT207"/>
  <c r="IU207"/>
  <c r="IV207"/>
  <c r="A208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Z208"/>
  <c r="AA208"/>
  <c r="AB208"/>
  <c r="AC208"/>
  <c r="AD208"/>
  <c r="AE208"/>
  <c r="AF208"/>
  <c r="AG208"/>
  <c r="AH208"/>
  <c r="AI208"/>
  <c r="AJ208"/>
  <c r="AK208"/>
  <c r="AL208"/>
  <c r="AM208"/>
  <c r="AN208"/>
  <c r="AO208"/>
  <c r="AP208"/>
  <c r="AQ208"/>
  <c r="AR208"/>
  <c r="AS208"/>
  <c r="AT208"/>
  <c r="AU208"/>
  <c r="AV208"/>
  <c r="AW208"/>
  <c r="AX208"/>
  <c r="AY208"/>
  <c r="AZ208"/>
  <c r="BA208"/>
  <c r="BB208"/>
  <c r="BC208"/>
  <c r="BD208"/>
  <c r="BE208"/>
  <c r="BF208"/>
  <c r="BG208"/>
  <c r="BH208"/>
  <c r="BI208"/>
  <c r="BJ208"/>
  <c r="BK208"/>
  <c r="BL208"/>
  <c r="BM208"/>
  <c r="BN208"/>
  <c r="BO208"/>
  <c r="BP208"/>
  <c r="BQ208"/>
  <c r="BR208"/>
  <c r="BS208"/>
  <c r="BT208"/>
  <c r="BU208"/>
  <c r="BV208"/>
  <c r="BW208"/>
  <c r="BX208"/>
  <c r="BY208"/>
  <c r="BZ208"/>
  <c r="CA208"/>
  <c r="CB208"/>
  <c r="CC208"/>
  <c r="CD208"/>
  <c r="CE208"/>
  <c r="CF208"/>
  <c r="CG208"/>
  <c r="CH208"/>
  <c r="CI208"/>
  <c r="CJ208"/>
  <c r="CK208"/>
  <c r="CL208"/>
  <c r="CM208"/>
  <c r="CN208"/>
  <c r="CO208"/>
  <c r="CP208"/>
  <c r="CQ208"/>
  <c r="CR208"/>
  <c r="CS208"/>
  <c r="CT208"/>
  <c r="CU208"/>
  <c r="CV208"/>
  <c r="CW208"/>
  <c r="CX208"/>
  <c r="CY208"/>
  <c r="CZ208"/>
  <c r="DA208"/>
  <c r="DB208"/>
  <c r="DC208"/>
  <c r="DD208"/>
  <c r="DE208"/>
  <c r="DF208"/>
  <c r="DG208"/>
  <c r="DH208"/>
  <c r="DI208"/>
  <c r="DJ208"/>
  <c r="DK208"/>
  <c r="DL208"/>
  <c r="DM208"/>
  <c r="DN208"/>
  <c r="DO208"/>
  <c r="DP208"/>
  <c r="DQ208"/>
  <c r="DR208"/>
  <c r="DS208"/>
  <c r="DT208"/>
  <c r="DU208"/>
  <c r="DV208"/>
  <c r="DW208"/>
  <c r="DX208"/>
  <c r="DY208"/>
  <c r="DZ208"/>
  <c r="EA208"/>
  <c r="EB208"/>
  <c r="EC208"/>
  <c r="ED208"/>
  <c r="EE208"/>
  <c r="EF208"/>
  <c r="EG208"/>
  <c r="EH208"/>
  <c r="EI208"/>
  <c r="EJ208"/>
  <c r="EK208"/>
  <c r="EL208"/>
  <c r="EM208"/>
  <c r="EN208"/>
  <c r="EO208"/>
  <c r="EP208"/>
  <c r="EQ208"/>
  <c r="ER208"/>
  <c r="ES208"/>
  <c r="ET208"/>
  <c r="EU208"/>
  <c r="EV208"/>
  <c r="EW208"/>
  <c r="EX208"/>
  <c r="EY208"/>
  <c r="EZ208"/>
  <c r="FA208"/>
  <c r="FB208"/>
  <c r="FC208"/>
  <c r="FD208"/>
  <c r="FE208"/>
  <c r="FF208"/>
  <c r="FG208"/>
  <c r="FH208"/>
  <c r="FI208"/>
  <c r="FJ208"/>
  <c r="FK208"/>
  <c r="FL208"/>
  <c r="FM208"/>
  <c r="FN208"/>
  <c r="FO208"/>
  <c r="FP208"/>
  <c r="FQ208"/>
  <c r="FR208"/>
  <c r="FS208"/>
  <c r="FT208"/>
  <c r="FU208"/>
  <c r="FV208"/>
  <c r="FW208"/>
  <c r="FX208"/>
  <c r="FY208"/>
  <c r="FZ208"/>
  <c r="GA208"/>
  <c r="GB208"/>
  <c r="GC208"/>
  <c r="GD208"/>
  <c r="GE208"/>
  <c r="GF208"/>
  <c r="GG208"/>
  <c r="GH208"/>
  <c r="GI208"/>
  <c r="GJ208"/>
  <c r="GK208"/>
  <c r="GL208"/>
  <c r="GM208"/>
  <c r="GN208"/>
  <c r="GO208"/>
  <c r="GP208"/>
  <c r="GQ208"/>
  <c r="GR208"/>
  <c r="GS208"/>
  <c r="GT208"/>
  <c r="GU208"/>
  <c r="GV208"/>
  <c r="GW208"/>
  <c r="GX208"/>
  <c r="GY208"/>
  <c r="GZ208"/>
  <c r="HA208"/>
  <c r="HB208"/>
  <c r="HC208"/>
  <c r="HD208"/>
  <c r="HE208"/>
  <c r="HF208"/>
  <c r="HG208"/>
  <c r="HH208"/>
  <c r="HI208"/>
  <c r="HJ208"/>
  <c r="HK208"/>
  <c r="HL208"/>
  <c r="HM208"/>
  <c r="HN208"/>
  <c r="HO208"/>
  <c r="HP208"/>
  <c r="HQ208"/>
  <c r="HR208"/>
  <c r="HS208"/>
  <c r="HT208"/>
  <c r="HU208"/>
  <c r="HV208"/>
  <c r="HW208"/>
  <c r="HX208"/>
  <c r="HY208"/>
  <c r="HZ208"/>
  <c r="IA208"/>
  <c r="IB208"/>
  <c r="IC208"/>
  <c r="ID208"/>
  <c r="IE208"/>
  <c r="IF208"/>
  <c r="IG208"/>
  <c r="IH208"/>
  <c r="II208"/>
  <c r="IJ208"/>
  <c r="IK208"/>
  <c r="IL208"/>
  <c r="IM208"/>
  <c r="IN208"/>
  <c r="IO208"/>
  <c r="IP208"/>
  <c r="IQ208"/>
  <c r="IR208"/>
  <c r="IS208"/>
  <c r="IT208"/>
  <c r="IU208"/>
  <c r="IV208"/>
  <c r="A209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Z209"/>
  <c r="AA209"/>
  <c r="AB209"/>
  <c r="AC209"/>
  <c r="AD209"/>
  <c r="AE209"/>
  <c r="AF209"/>
  <c r="AG209"/>
  <c r="AH209"/>
  <c r="AI209"/>
  <c r="AJ209"/>
  <c r="AK209"/>
  <c r="AL209"/>
  <c r="AM209"/>
  <c r="AN209"/>
  <c r="AO209"/>
  <c r="AP209"/>
  <c r="AQ209"/>
  <c r="AR209"/>
  <c r="AS209"/>
  <c r="AT209"/>
  <c r="AU209"/>
  <c r="AV209"/>
  <c r="AW209"/>
  <c r="AX209"/>
  <c r="AY209"/>
  <c r="AZ209"/>
  <c r="BA209"/>
  <c r="BB209"/>
  <c r="BC209"/>
  <c r="BD209"/>
  <c r="BE209"/>
  <c r="BF209"/>
  <c r="BG209"/>
  <c r="BH209"/>
  <c r="BI209"/>
  <c r="BJ209"/>
  <c r="BK209"/>
  <c r="BL209"/>
  <c r="BM209"/>
  <c r="BN209"/>
  <c r="BO209"/>
  <c r="BP209"/>
  <c r="BQ209"/>
  <c r="BR209"/>
  <c r="BS209"/>
  <c r="BT209"/>
  <c r="BU209"/>
  <c r="BV209"/>
  <c r="BW209"/>
  <c r="BX209"/>
  <c r="BY209"/>
  <c r="BZ209"/>
  <c r="CA209"/>
  <c r="CB209"/>
  <c r="CC209"/>
  <c r="CD209"/>
  <c r="CE209"/>
  <c r="CF209"/>
  <c r="CG209"/>
  <c r="CH209"/>
  <c r="CI209"/>
  <c r="CJ209"/>
  <c r="CK209"/>
  <c r="CL209"/>
  <c r="CM209"/>
  <c r="CN209"/>
  <c r="CO209"/>
  <c r="CP209"/>
  <c r="CQ209"/>
  <c r="CR209"/>
  <c r="CS209"/>
  <c r="CT209"/>
  <c r="CU209"/>
  <c r="CV209"/>
  <c r="CW209"/>
  <c r="CX209"/>
  <c r="CY209"/>
  <c r="CZ209"/>
  <c r="DA209"/>
  <c r="DB209"/>
  <c r="DC209"/>
  <c r="DD209"/>
  <c r="DE209"/>
  <c r="DF209"/>
  <c r="DG209"/>
  <c r="DH209"/>
  <c r="DI209"/>
  <c r="DJ209"/>
  <c r="DK209"/>
  <c r="DL209"/>
  <c r="DM209"/>
  <c r="DN209"/>
  <c r="DO209"/>
  <c r="DP209"/>
  <c r="DQ209"/>
  <c r="DR209"/>
  <c r="DS209"/>
  <c r="DT209"/>
  <c r="DU209"/>
  <c r="DV209"/>
  <c r="DW209"/>
  <c r="DX209"/>
  <c r="DY209"/>
  <c r="DZ209"/>
  <c r="EA209"/>
  <c r="EB209"/>
  <c r="EC209"/>
  <c r="ED209"/>
  <c r="EE209"/>
  <c r="EF209"/>
  <c r="EG209"/>
  <c r="EH209"/>
  <c r="EI209"/>
  <c r="EJ209"/>
  <c r="EK209"/>
  <c r="EL209"/>
  <c r="EM209"/>
  <c r="EN209"/>
  <c r="EO209"/>
  <c r="EP209"/>
  <c r="EQ209"/>
  <c r="ER209"/>
  <c r="ES209"/>
  <c r="ET209"/>
  <c r="EU209"/>
  <c r="EV209"/>
  <c r="EW209"/>
  <c r="EX209"/>
  <c r="EY209"/>
  <c r="EZ209"/>
  <c r="FA209"/>
  <c r="FB209"/>
  <c r="FC209"/>
  <c r="FD209"/>
  <c r="FE209"/>
  <c r="FF209"/>
  <c r="FG209"/>
  <c r="FH209"/>
  <c r="FI209"/>
  <c r="FJ209"/>
  <c r="FK209"/>
  <c r="FL209"/>
  <c r="FM209"/>
  <c r="FN209"/>
  <c r="FO209"/>
  <c r="FP209"/>
  <c r="FQ209"/>
  <c r="FR209"/>
  <c r="FS209"/>
  <c r="FT209"/>
  <c r="FU209"/>
  <c r="FV209"/>
  <c r="FW209"/>
  <c r="FX209"/>
  <c r="FY209"/>
  <c r="FZ209"/>
  <c r="GA209"/>
  <c r="GB209"/>
  <c r="GC209"/>
  <c r="GD209"/>
  <c r="GE209"/>
  <c r="GF209"/>
  <c r="GG209"/>
  <c r="GH209"/>
  <c r="GI209"/>
  <c r="GJ209"/>
  <c r="GK209"/>
  <c r="GL209"/>
  <c r="GM209"/>
  <c r="GN209"/>
  <c r="GO209"/>
  <c r="GP209"/>
  <c r="GQ209"/>
  <c r="GR209"/>
  <c r="GS209"/>
  <c r="GT209"/>
  <c r="GU209"/>
  <c r="GV209"/>
  <c r="GW209"/>
  <c r="GX209"/>
  <c r="GY209"/>
  <c r="GZ209"/>
  <c r="HA209"/>
  <c r="HB209"/>
  <c r="HC209"/>
  <c r="HD209"/>
  <c r="HE209"/>
  <c r="HF209"/>
  <c r="HG209"/>
  <c r="HH209"/>
  <c r="HI209"/>
  <c r="HJ209"/>
  <c r="HK209"/>
  <c r="HL209"/>
  <c r="HM209"/>
  <c r="HN209"/>
  <c r="HO209"/>
  <c r="HP209"/>
  <c r="HQ209"/>
  <c r="HR209"/>
  <c r="HS209"/>
  <c r="HT209"/>
  <c r="HU209"/>
  <c r="HV209"/>
  <c r="HW209"/>
  <c r="HX209"/>
  <c r="HY209"/>
  <c r="HZ209"/>
  <c r="IA209"/>
  <c r="IB209"/>
  <c r="IC209"/>
  <c r="ID209"/>
  <c r="IE209"/>
  <c r="IF209"/>
  <c r="IG209"/>
  <c r="IH209"/>
  <c r="II209"/>
  <c r="IJ209"/>
  <c r="IK209"/>
  <c r="IL209"/>
  <c r="IM209"/>
  <c r="IN209"/>
  <c r="IO209"/>
  <c r="IP209"/>
  <c r="IQ209"/>
  <c r="IR209"/>
  <c r="IS209"/>
  <c r="IT209"/>
  <c r="IU209"/>
  <c r="IV209"/>
  <c r="A210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Z210"/>
  <c r="AA210"/>
  <c r="AB210"/>
  <c r="AC210"/>
  <c r="AD210"/>
  <c r="AE210"/>
  <c r="AF210"/>
  <c r="AG210"/>
  <c r="AH210"/>
  <c r="AI210"/>
  <c r="AJ210"/>
  <c r="AK210"/>
  <c r="AL210"/>
  <c r="AM210"/>
  <c r="AN210"/>
  <c r="AO210"/>
  <c r="AP210"/>
  <c r="AQ210"/>
  <c r="AR210"/>
  <c r="AS210"/>
  <c r="AT210"/>
  <c r="AU210"/>
  <c r="AV210"/>
  <c r="AW210"/>
  <c r="AX210"/>
  <c r="AY210"/>
  <c r="AZ210"/>
  <c r="BA210"/>
  <c r="BB210"/>
  <c r="BC210"/>
  <c r="BD210"/>
  <c r="BE210"/>
  <c r="BF210"/>
  <c r="BG210"/>
  <c r="BH210"/>
  <c r="BI210"/>
  <c r="BJ210"/>
  <c r="BK210"/>
  <c r="BL210"/>
  <c r="BM210"/>
  <c r="BN210"/>
  <c r="BO210"/>
  <c r="BP210"/>
  <c r="BQ210"/>
  <c r="BR210"/>
  <c r="BS210"/>
  <c r="BT210"/>
  <c r="BU210"/>
  <c r="BV210"/>
  <c r="BW210"/>
  <c r="BX210"/>
  <c r="BY210"/>
  <c r="BZ210"/>
  <c r="CA210"/>
  <c r="CB210"/>
  <c r="CC210"/>
  <c r="CD210"/>
  <c r="CE210"/>
  <c r="CF210"/>
  <c r="CG210"/>
  <c r="CH210"/>
  <c r="CI210"/>
  <c r="CJ210"/>
  <c r="CK210"/>
  <c r="CL210"/>
  <c r="CM210"/>
  <c r="CN210"/>
  <c r="CO210"/>
  <c r="CP210"/>
  <c r="CQ210"/>
  <c r="CR210"/>
  <c r="CS210"/>
  <c r="CT210"/>
  <c r="CU210"/>
  <c r="CV210"/>
  <c r="CW210"/>
  <c r="CX210"/>
  <c r="CY210"/>
  <c r="CZ210"/>
  <c r="DA210"/>
  <c r="DB210"/>
  <c r="DC210"/>
  <c r="DD210"/>
  <c r="DE210"/>
  <c r="DF210"/>
  <c r="DG210"/>
  <c r="DH210"/>
  <c r="DI210"/>
  <c r="DJ210"/>
  <c r="DK210"/>
  <c r="DL210"/>
  <c r="DM210"/>
  <c r="DN210"/>
  <c r="DO210"/>
  <c r="DP210"/>
  <c r="DQ210"/>
  <c r="DR210"/>
  <c r="DS210"/>
  <c r="DT210"/>
  <c r="DU210"/>
  <c r="DV210"/>
  <c r="DW210"/>
  <c r="DX210"/>
  <c r="DY210"/>
  <c r="DZ210"/>
  <c r="EA210"/>
  <c r="EB210"/>
  <c r="EC210"/>
  <c r="ED210"/>
  <c r="EE210"/>
  <c r="EF210"/>
  <c r="EG210"/>
  <c r="EH210"/>
  <c r="EI210"/>
  <c r="EJ210"/>
  <c r="EK210"/>
  <c r="EL210"/>
  <c r="EM210"/>
  <c r="EN210"/>
  <c r="EO210"/>
  <c r="EP210"/>
  <c r="EQ210"/>
  <c r="ER210"/>
  <c r="ES210"/>
  <c r="ET210"/>
  <c r="EU210"/>
  <c r="EV210"/>
  <c r="EW210"/>
  <c r="EX210"/>
  <c r="EY210"/>
  <c r="EZ210"/>
  <c r="FA210"/>
  <c r="FB210"/>
  <c r="FC210"/>
  <c r="FD210"/>
  <c r="FE210"/>
  <c r="FF210"/>
  <c r="FG210"/>
  <c r="FH210"/>
  <c r="FI210"/>
  <c r="FJ210"/>
  <c r="FK210"/>
  <c r="FL210"/>
  <c r="FM210"/>
  <c r="FN210"/>
  <c r="FO210"/>
  <c r="FP210"/>
  <c r="FQ210"/>
  <c r="FR210"/>
  <c r="FS210"/>
  <c r="FT210"/>
  <c r="FU210"/>
  <c r="FV210"/>
  <c r="FW210"/>
  <c r="FX210"/>
  <c r="FY210"/>
  <c r="FZ210"/>
  <c r="GA210"/>
  <c r="GB210"/>
  <c r="GC210"/>
  <c r="GD210"/>
  <c r="GE210"/>
  <c r="GF210"/>
  <c r="GG210"/>
  <c r="GH210"/>
  <c r="GI210"/>
  <c r="GJ210"/>
  <c r="GK210"/>
  <c r="GL210"/>
  <c r="GM210"/>
  <c r="GN210"/>
  <c r="GO210"/>
  <c r="GP210"/>
  <c r="GQ210"/>
  <c r="GR210"/>
  <c r="GS210"/>
  <c r="GT210"/>
  <c r="GU210"/>
  <c r="GV210"/>
  <c r="GW210"/>
  <c r="GX210"/>
  <c r="GY210"/>
  <c r="GZ210"/>
  <c r="HA210"/>
  <c r="HB210"/>
  <c r="HC210"/>
  <c r="HD210"/>
  <c r="HE210"/>
  <c r="HF210"/>
  <c r="HG210"/>
  <c r="HH210"/>
  <c r="HI210"/>
  <c r="HJ210"/>
  <c r="HK210"/>
  <c r="HL210"/>
  <c r="HM210"/>
  <c r="HN210"/>
  <c r="HO210"/>
  <c r="HP210"/>
  <c r="HQ210"/>
  <c r="HR210"/>
  <c r="HS210"/>
  <c r="HT210"/>
  <c r="HU210"/>
  <c r="HV210"/>
  <c r="HW210"/>
  <c r="HX210"/>
  <c r="HY210"/>
  <c r="HZ210"/>
  <c r="IA210"/>
  <c r="IB210"/>
  <c r="IC210"/>
  <c r="ID210"/>
  <c r="IE210"/>
  <c r="IF210"/>
  <c r="IG210"/>
  <c r="IH210"/>
  <c r="II210"/>
  <c r="IJ210"/>
  <c r="IK210"/>
  <c r="IL210"/>
  <c r="IM210"/>
  <c r="IN210"/>
  <c r="IO210"/>
  <c r="IP210"/>
  <c r="IQ210"/>
  <c r="IR210"/>
  <c r="IS210"/>
  <c r="IT210"/>
  <c r="IU210"/>
  <c r="IV210"/>
  <c r="A211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Z211"/>
  <c r="AA211"/>
  <c r="AB211"/>
  <c r="AC211"/>
  <c r="AD211"/>
  <c r="AE211"/>
  <c r="AF211"/>
  <c r="AG211"/>
  <c r="AH211"/>
  <c r="AI211"/>
  <c r="AJ211"/>
  <c r="AK211"/>
  <c r="AL211"/>
  <c r="AM211"/>
  <c r="AN211"/>
  <c r="AO211"/>
  <c r="AP211"/>
  <c r="AQ211"/>
  <c r="AR211"/>
  <c r="AS211"/>
  <c r="AT211"/>
  <c r="AU211"/>
  <c r="AV211"/>
  <c r="AW211"/>
  <c r="AX211"/>
  <c r="AY211"/>
  <c r="AZ211"/>
  <c r="BA211"/>
  <c r="BB211"/>
  <c r="BC211"/>
  <c r="BD211"/>
  <c r="BE211"/>
  <c r="BF211"/>
  <c r="BG211"/>
  <c r="BH211"/>
  <c r="BI211"/>
  <c r="BJ211"/>
  <c r="BK211"/>
  <c r="BL211"/>
  <c r="BM211"/>
  <c r="BN211"/>
  <c r="BO211"/>
  <c r="BP211"/>
  <c r="BQ211"/>
  <c r="BR211"/>
  <c r="BS211"/>
  <c r="BT211"/>
  <c r="BU211"/>
  <c r="BV211"/>
  <c r="BW211"/>
  <c r="BX211"/>
  <c r="BY211"/>
  <c r="BZ211"/>
  <c r="CA211"/>
  <c r="CB211"/>
  <c r="CC211"/>
  <c r="CD211"/>
  <c r="CE211"/>
  <c r="CF211"/>
  <c r="CG211"/>
  <c r="CH211"/>
  <c r="CI211"/>
  <c r="CJ211"/>
  <c r="CK211"/>
  <c r="CL211"/>
  <c r="CM211"/>
  <c r="CN211"/>
  <c r="CO211"/>
  <c r="CP211"/>
  <c r="CQ211"/>
  <c r="CR211"/>
  <c r="CS211"/>
  <c r="CT211"/>
  <c r="CU211"/>
  <c r="CV211"/>
  <c r="CW211"/>
  <c r="CX211"/>
  <c r="CY211"/>
  <c r="CZ211"/>
  <c r="DA211"/>
  <c r="DB211"/>
  <c r="DC211"/>
  <c r="DD211"/>
  <c r="DE211"/>
  <c r="DF211"/>
  <c r="DG211"/>
  <c r="DH211"/>
  <c r="DI211"/>
  <c r="DJ211"/>
  <c r="DK211"/>
  <c r="DL211"/>
  <c r="DM211"/>
  <c r="DN211"/>
  <c r="DO211"/>
  <c r="DP211"/>
  <c r="DQ211"/>
  <c r="DR211"/>
  <c r="DS211"/>
  <c r="DT211"/>
  <c r="DU211"/>
  <c r="DV211"/>
  <c r="DW211"/>
  <c r="DX211"/>
  <c r="DY211"/>
  <c r="DZ211"/>
  <c r="EA211"/>
  <c r="EB211"/>
  <c r="EC211"/>
  <c r="ED211"/>
  <c r="EE211"/>
  <c r="EF211"/>
  <c r="EG211"/>
  <c r="EH211"/>
  <c r="EI211"/>
  <c r="EJ211"/>
  <c r="EK211"/>
  <c r="EL211"/>
  <c r="EM211"/>
  <c r="EN211"/>
  <c r="EO211"/>
  <c r="EP211"/>
  <c r="EQ211"/>
  <c r="ER211"/>
  <c r="ES211"/>
  <c r="ET211"/>
  <c r="EU211"/>
  <c r="EV211"/>
  <c r="EW211"/>
  <c r="EX211"/>
  <c r="EY211"/>
  <c r="EZ211"/>
  <c r="FA211"/>
  <c r="FB211"/>
  <c r="FC211"/>
  <c r="FD211"/>
  <c r="FE211"/>
  <c r="FF211"/>
  <c r="FG211"/>
  <c r="FH211"/>
  <c r="FI211"/>
  <c r="FJ211"/>
  <c r="FK211"/>
  <c r="FL211"/>
  <c r="FM211"/>
  <c r="FN211"/>
  <c r="FO211"/>
  <c r="FP211"/>
  <c r="FQ211"/>
  <c r="FR211"/>
  <c r="FS211"/>
  <c r="FT211"/>
  <c r="FU211"/>
  <c r="FV211"/>
  <c r="FW211"/>
  <c r="FX211"/>
  <c r="FY211"/>
  <c r="FZ211"/>
  <c r="GA211"/>
  <c r="GB211"/>
  <c r="GC211"/>
  <c r="GD211"/>
  <c r="GE211"/>
  <c r="GF211"/>
  <c r="GG211"/>
  <c r="GH211"/>
  <c r="GI211"/>
  <c r="GJ211"/>
  <c r="GK211"/>
  <c r="GL211"/>
  <c r="GM211"/>
  <c r="GN211"/>
  <c r="GO211"/>
  <c r="GP211"/>
  <c r="GQ211"/>
  <c r="GR211"/>
  <c r="GS211"/>
  <c r="GT211"/>
  <c r="GU211"/>
  <c r="GV211"/>
  <c r="GW211"/>
  <c r="GX211"/>
  <c r="GY211"/>
  <c r="GZ211"/>
  <c r="HA211"/>
  <c r="HB211"/>
  <c r="HC211"/>
  <c r="HD211"/>
  <c r="HE211"/>
  <c r="HF211"/>
  <c r="HG211"/>
  <c r="HH211"/>
  <c r="HI211"/>
  <c r="HJ211"/>
  <c r="HK211"/>
  <c r="HL211"/>
  <c r="HM211"/>
  <c r="HN211"/>
  <c r="HO211"/>
  <c r="HP211"/>
  <c r="HQ211"/>
  <c r="HR211"/>
  <c r="HS211"/>
  <c r="HT211"/>
  <c r="HU211"/>
  <c r="HV211"/>
  <c r="HW211"/>
  <c r="HX211"/>
  <c r="HY211"/>
  <c r="HZ211"/>
  <c r="IA211"/>
  <c r="IB211"/>
  <c r="IC211"/>
  <c r="ID211"/>
  <c r="IE211"/>
  <c r="IF211"/>
  <c r="IG211"/>
  <c r="IH211"/>
  <c r="II211"/>
  <c r="IJ211"/>
  <c r="IK211"/>
  <c r="IL211"/>
  <c r="IM211"/>
  <c r="IN211"/>
  <c r="IO211"/>
  <c r="IP211"/>
  <c r="IQ211"/>
  <c r="IR211"/>
  <c r="IS211"/>
  <c r="IT211"/>
  <c r="IU211"/>
  <c r="IV211"/>
  <c r="A212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Z212"/>
  <c r="AA212"/>
  <c r="AB212"/>
  <c r="AC212"/>
  <c r="AD212"/>
  <c r="AE212"/>
  <c r="AF212"/>
  <c r="AG212"/>
  <c r="AH212"/>
  <c r="AI212"/>
  <c r="AJ212"/>
  <c r="AK212"/>
  <c r="AL212"/>
  <c r="AM212"/>
  <c r="AN212"/>
  <c r="AO212"/>
  <c r="AP212"/>
  <c r="AQ212"/>
  <c r="AR212"/>
  <c r="AS212"/>
  <c r="AT212"/>
  <c r="AU212"/>
  <c r="AV212"/>
  <c r="AW212"/>
  <c r="AX212"/>
  <c r="AY212"/>
  <c r="AZ212"/>
  <c r="BA212"/>
  <c r="BB212"/>
  <c r="BC212"/>
  <c r="BD212"/>
  <c r="BE212"/>
  <c r="BF212"/>
  <c r="BG212"/>
  <c r="BH212"/>
  <c r="BI212"/>
  <c r="BJ212"/>
  <c r="BK212"/>
  <c r="BL212"/>
  <c r="BM212"/>
  <c r="BN212"/>
  <c r="BO212"/>
  <c r="BP212"/>
  <c r="BQ212"/>
  <c r="BR212"/>
  <c r="BS212"/>
  <c r="BT212"/>
  <c r="BU212"/>
  <c r="BV212"/>
  <c r="BW212"/>
  <c r="BX212"/>
  <c r="BY212"/>
  <c r="BZ212"/>
  <c r="CA212"/>
  <c r="CB212"/>
  <c r="CC212"/>
  <c r="CD212"/>
  <c r="CE212"/>
  <c r="CF212"/>
  <c r="CG212"/>
  <c r="CH212"/>
  <c r="CI212"/>
  <c r="CJ212"/>
  <c r="CK212"/>
  <c r="CL212"/>
  <c r="CM212"/>
  <c r="CN212"/>
  <c r="CO212"/>
  <c r="CP212"/>
  <c r="CQ212"/>
  <c r="CR212"/>
  <c r="CS212"/>
  <c r="CT212"/>
  <c r="CU212"/>
  <c r="CV212"/>
  <c r="CW212"/>
  <c r="CX212"/>
  <c r="CY212"/>
  <c r="CZ212"/>
  <c r="DA212"/>
  <c r="DB212"/>
  <c r="DC212"/>
  <c r="DD212"/>
  <c r="DE212"/>
  <c r="DF212"/>
  <c r="DG212"/>
  <c r="DH212"/>
  <c r="DI212"/>
  <c r="DJ212"/>
  <c r="DK212"/>
  <c r="DL212"/>
  <c r="DM212"/>
  <c r="DN212"/>
  <c r="DO212"/>
  <c r="DP212"/>
  <c r="DQ212"/>
  <c r="DR212"/>
  <c r="DS212"/>
  <c r="DT212"/>
  <c r="DU212"/>
  <c r="DV212"/>
  <c r="DW212"/>
  <c r="DX212"/>
  <c r="DY212"/>
  <c r="DZ212"/>
  <c r="EA212"/>
  <c r="EB212"/>
  <c r="EC212"/>
  <c r="ED212"/>
  <c r="EE212"/>
  <c r="EF212"/>
  <c r="EG212"/>
  <c r="EH212"/>
  <c r="EI212"/>
  <c r="EJ212"/>
  <c r="EK212"/>
  <c r="EL212"/>
  <c r="EM212"/>
  <c r="EN212"/>
  <c r="EO212"/>
  <c r="EP212"/>
  <c r="EQ212"/>
  <c r="ER212"/>
  <c r="ES212"/>
  <c r="ET212"/>
  <c r="EU212"/>
  <c r="EV212"/>
  <c r="EW212"/>
  <c r="EX212"/>
  <c r="EY212"/>
  <c r="EZ212"/>
  <c r="FA212"/>
  <c r="FB212"/>
  <c r="FC212"/>
  <c r="FD212"/>
  <c r="FE212"/>
  <c r="FF212"/>
  <c r="FG212"/>
  <c r="FH212"/>
  <c r="FI212"/>
  <c r="FJ212"/>
  <c r="FK212"/>
  <c r="FL212"/>
  <c r="FM212"/>
  <c r="FN212"/>
  <c r="FO212"/>
  <c r="FP212"/>
  <c r="FQ212"/>
  <c r="FR212"/>
  <c r="FS212"/>
  <c r="FT212"/>
  <c r="FU212"/>
  <c r="FV212"/>
  <c r="FW212"/>
  <c r="FX212"/>
  <c r="FY212"/>
  <c r="FZ212"/>
  <c r="GA212"/>
  <c r="GB212"/>
  <c r="GC212"/>
  <c r="GD212"/>
  <c r="GE212"/>
  <c r="GF212"/>
  <c r="GG212"/>
  <c r="GH212"/>
  <c r="GI212"/>
  <c r="GJ212"/>
  <c r="GK212"/>
  <c r="GL212"/>
  <c r="GM212"/>
  <c r="GN212"/>
  <c r="GO212"/>
  <c r="GP212"/>
  <c r="GQ212"/>
  <c r="GR212"/>
  <c r="GS212"/>
  <c r="GT212"/>
  <c r="GU212"/>
  <c r="GV212"/>
  <c r="GW212"/>
  <c r="GX212"/>
  <c r="GY212"/>
  <c r="GZ212"/>
  <c r="HA212"/>
  <c r="HB212"/>
  <c r="HC212"/>
  <c r="HD212"/>
  <c r="HE212"/>
  <c r="HF212"/>
  <c r="HG212"/>
  <c r="HH212"/>
  <c r="HI212"/>
  <c r="HJ212"/>
  <c r="HK212"/>
  <c r="HL212"/>
  <c r="HM212"/>
  <c r="HN212"/>
  <c r="HO212"/>
  <c r="HP212"/>
  <c r="HQ212"/>
  <c r="HR212"/>
  <c r="HS212"/>
  <c r="HT212"/>
  <c r="HU212"/>
  <c r="HV212"/>
  <c r="HW212"/>
  <c r="HX212"/>
  <c r="HY212"/>
  <c r="HZ212"/>
  <c r="IA212"/>
  <c r="IB212"/>
  <c r="IC212"/>
  <c r="ID212"/>
  <c r="IE212"/>
  <c r="IF212"/>
  <c r="IG212"/>
  <c r="IH212"/>
  <c r="II212"/>
  <c r="IJ212"/>
  <c r="IK212"/>
  <c r="IL212"/>
  <c r="IM212"/>
  <c r="IN212"/>
  <c r="IO212"/>
  <c r="IP212"/>
  <c r="IQ212"/>
  <c r="IR212"/>
  <c r="IS212"/>
  <c r="IT212"/>
  <c r="IU212"/>
  <c r="IV212"/>
  <c r="A213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Z213"/>
  <c r="AA213"/>
  <c r="AB213"/>
  <c r="AC213"/>
  <c r="AD213"/>
  <c r="AE213"/>
  <c r="AF213"/>
  <c r="AG213"/>
  <c r="AH213"/>
  <c r="AI213"/>
  <c r="AJ213"/>
  <c r="AK213"/>
  <c r="AL213"/>
  <c r="AM213"/>
  <c r="AN213"/>
  <c r="AO213"/>
  <c r="AP213"/>
  <c r="AQ213"/>
  <c r="AR213"/>
  <c r="AS213"/>
  <c r="AT213"/>
  <c r="AU213"/>
  <c r="AV213"/>
  <c r="AW213"/>
  <c r="AX213"/>
  <c r="AY213"/>
  <c r="AZ213"/>
  <c r="BA213"/>
  <c r="BB213"/>
  <c r="BC213"/>
  <c r="BD213"/>
  <c r="BE213"/>
  <c r="BF213"/>
  <c r="BG213"/>
  <c r="BH213"/>
  <c r="BI213"/>
  <c r="BJ213"/>
  <c r="BK213"/>
  <c r="BL213"/>
  <c r="BM213"/>
  <c r="BN213"/>
  <c r="BO213"/>
  <c r="BP213"/>
  <c r="BQ213"/>
  <c r="BR213"/>
  <c r="BS213"/>
  <c r="BT213"/>
  <c r="BU213"/>
  <c r="BV213"/>
  <c r="BW213"/>
  <c r="BX213"/>
  <c r="BY213"/>
  <c r="BZ213"/>
  <c r="CA213"/>
  <c r="CB213"/>
  <c r="CC213"/>
  <c r="CD213"/>
  <c r="CE213"/>
  <c r="CF213"/>
  <c r="CG213"/>
  <c r="CH213"/>
  <c r="CI213"/>
  <c r="CJ213"/>
  <c r="CK213"/>
  <c r="CL213"/>
  <c r="CM213"/>
  <c r="CN213"/>
  <c r="CO213"/>
  <c r="CP213"/>
  <c r="CQ213"/>
  <c r="CR213"/>
  <c r="CS213"/>
  <c r="CT213"/>
  <c r="CU213"/>
  <c r="CV213"/>
  <c r="CW213"/>
  <c r="CX213"/>
  <c r="CY213"/>
  <c r="CZ213"/>
  <c r="DA213"/>
  <c r="DB213"/>
  <c r="DC213"/>
  <c r="DD213"/>
  <c r="DE213"/>
  <c r="DF213"/>
  <c r="DG213"/>
  <c r="DH213"/>
  <c r="DI213"/>
  <c r="DJ213"/>
  <c r="DK213"/>
  <c r="DL213"/>
  <c r="DM213"/>
  <c r="DN213"/>
  <c r="DO213"/>
  <c r="DP213"/>
  <c r="DQ213"/>
  <c r="DR213"/>
  <c r="DS213"/>
  <c r="DT213"/>
  <c r="DU213"/>
  <c r="DV213"/>
  <c r="DW213"/>
  <c r="DX213"/>
  <c r="DY213"/>
  <c r="DZ213"/>
  <c r="EA213"/>
  <c r="EB213"/>
  <c r="EC213"/>
  <c r="ED213"/>
  <c r="EE213"/>
  <c r="EF213"/>
  <c r="EG213"/>
  <c r="EH213"/>
  <c r="EI213"/>
  <c r="EJ213"/>
  <c r="EK213"/>
  <c r="EL213"/>
  <c r="EM213"/>
  <c r="EN213"/>
  <c r="EO213"/>
  <c r="EP213"/>
  <c r="EQ213"/>
  <c r="ER213"/>
  <c r="ES213"/>
  <c r="ET213"/>
  <c r="EU213"/>
  <c r="EV213"/>
  <c r="EW213"/>
  <c r="EX213"/>
  <c r="EY213"/>
  <c r="EZ213"/>
  <c r="FA213"/>
  <c r="FB213"/>
  <c r="FC213"/>
  <c r="FD213"/>
  <c r="FE213"/>
  <c r="FF213"/>
  <c r="FG213"/>
  <c r="FH213"/>
  <c r="FI213"/>
  <c r="FJ213"/>
  <c r="FK213"/>
  <c r="FL213"/>
  <c r="FM213"/>
  <c r="FN213"/>
  <c r="FO213"/>
  <c r="FP213"/>
  <c r="FQ213"/>
  <c r="FR213"/>
  <c r="FS213"/>
  <c r="FT213"/>
  <c r="FU213"/>
  <c r="FV213"/>
  <c r="FW213"/>
  <c r="FX213"/>
  <c r="FY213"/>
  <c r="FZ213"/>
  <c r="GA213"/>
  <c r="GB213"/>
  <c r="GC213"/>
  <c r="GD213"/>
  <c r="GE213"/>
  <c r="GF213"/>
  <c r="GG213"/>
  <c r="GH213"/>
  <c r="GI213"/>
  <c r="GJ213"/>
  <c r="GK213"/>
  <c r="GL213"/>
  <c r="GM213"/>
  <c r="GN213"/>
  <c r="GO213"/>
  <c r="GP213"/>
  <c r="GQ213"/>
  <c r="GR213"/>
  <c r="GS213"/>
  <c r="GT213"/>
  <c r="GU213"/>
  <c r="GV213"/>
  <c r="GW213"/>
  <c r="GX213"/>
  <c r="GY213"/>
  <c r="GZ213"/>
  <c r="HA213"/>
  <c r="HB213"/>
  <c r="HC213"/>
  <c r="HD213"/>
  <c r="HE213"/>
  <c r="HF213"/>
  <c r="HG213"/>
  <c r="HH213"/>
  <c r="HI213"/>
  <c r="HJ213"/>
  <c r="HK213"/>
  <c r="HL213"/>
  <c r="HM213"/>
  <c r="HN213"/>
  <c r="HO213"/>
  <c r="HP213"/>
  <c r="HQ213"/>
  <c r="HR213"/>
  <c r="HS213"/>
  <c r="HT213"/>
  <c r="HU213"/>
  <c r="HV213"/>
  <c r="HW213"/>
  <c r="HX213"/>
  <c r="HY213"/>
  <c r="HZ213"/>
  <c r="IA213"/>
  <c r="IB213"/>
  <c r="IC213"/>
  <c r="ID213"/>
  <c r="IE213"/>
  <c r="IF213"/>
  <c r="IG213"/>
  <c r="IH213"/>
  <c r="II213"/>
  <c r="IJ213"/>
  <c r="IK213"/>
  <c r="IL213"/>
  <c r="IM213"/>
  <c r="IN213"/>
  <c r="IO213"/>
  <c r="IP213"/>
  <c r="IQ213"/>
  <c r="IR213"/>
  <c r="IS213"/>
  <c r="IT213"/>
  <c r="IU213"/>
  <c r="IV213"/>
  <c r="A214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Z214"/>
  <c r="AA214"/>
  <c r="AB214"/>
  <c r="AC214"/>
  <c r="AD214"/>
  <c r="AE214"/>
  <c r="AF214"/>
  <c r="AG214"/>
  <c r="AH214"/>
  <c r="AI214"/>
  <c r="AJ214"/>
  <c r="AK214"/>
  <c r="AL214"/>
  <c r="AM214"/>
  <c r="AN214"/>
  <c r="AO214"/>
  <c r="AP214"/>
  <c r="AQ214"/>
  <c r="AR214"/>
  <c r="AS214"/>
  <c r="AT214"/>
  <c r="AU214"/>
  <c r="AV214"/>
  <c r="AW214"/>
  <c r="AX214"/>
  <c r="AY214"/>
  <c r="AZ214"/>
  <c r="BA214"/>
  <c r="BB214"/>
  <c r="BC214"/>
  <c r="BD214"/>
  <c r="BE214"/>
  <c r="BF214"/>
  <c r="BG214"/>
  <c r="BH214"/>
  <c r="BI214"/>
  <c r="BJ214"/>
  <c r="BK214"/>
  <c r="BL214"/>
  <c r="BM214"/>
  <c r="BN214"/>
  <c r="BO214"/>
  <c r="BP214"/>
  <c r="BQ214"/>
  <c r="BR214"/>
  <c r="BS214"/>
  <c r="BT214"/>
  <c r="BU214"/>
  <c r="BV214"/>
  <c r="BW214"/>
  <c r="BX214"/>
  <c r="BY214"/>
  <c r="BZ214"/>
  <c r="CA214"/>
  <c r="CB214"/>
  <c r="CC214"/>
  <c r="CD214"/>
  <c r="CE214"/>
  <c r="CF214"/>
  <c r="CG214"/>
  <c r="CH214"/>
  <c r="CI214"/>
  <c r="CJ214"/>
  <c r="CK214"/>
  <c r="CL214"/>
  <c r="CM214"/>
  <c r="CN214"/>
  <c r="CO214"/>
  <c r="CP214"/>
  <c r="CQ214"/>
  <c r="CR214"/>
  <c r="CS214"/>
  <c r="CT214"/>
  <c r="CU214"/>
  <c r="CV214"/>
  <c r="CW214"/>
  <c r="CX214"/>
  <c r="CY214"/>
  <c r="CZ214"/>
  <c r="DA214"/>
  <c r="DB214"/>
  <c r="DC214"/>
  <c r="DD214"/>
  <c r="DE214"/>
  <c r="DF214"/>
  <c r="DG214"/>
  <c r="DH214"/>
  <c r="DI214"/>
  <c r="DJ214"/>
  <c r="DK214"/>
  <c r="DL214"/>
  <c r="DM214"/>
  <c r="DN214"/>
  <c r="DO214"/>
  <c r="DP214"/>
  <c r="DQ214"/>
  <c r="DR214"/>
  <c r="DS214"/>
  <c r="DT214"/>
  <c r="DU214"/>
  <c r="DV214"/>
  <c r="DW214"/>
  <c r="DX214"/>
  <c r="DY214"/>
  <c r="DZ214"/>
  <c r="EA214"/>
  <c r="EB214"/>
  <c r="EC214"/>
  <c r="ED214"/>
  <c r="EE214"/>
  <c r="EF214"/>
  <c r="EG214"/>
  <c r="EH214"/>
  <c r="EI214"/>
  <c r="EJ214"/>
  <c r="EK214"/>
  <c r="EL214"/>
  <c r="EM214"/>
  <c r="EN214"/>
  <c r="EO214"/>
  <c r="EP214"/>
  <c r="EQ214"/>
  <c r="ER214"/>
  <c r="ES214"/>
  <c r="ET214"/>
  <c r="EU214"/>
  <c r="EV214"/>
  <c r="EW214"/>
  <c r="EX214"/>
  <c r="EY214"/>
  <c r="EZ214"/>
  <c r="FA214"/>
  <c r="FB214"/>
  <c r="FC214"/>
  <c r="FD214"/>
  <c r="FE214"/>
  <c r="FF214"/>
  <c r="FG214"/>
  <c r="FH214"/>
  <c r="FI214"/>
  <c r="FJ214"/>
  <c r="FK214"/>
  <c r="FL214"/>
  <c r="FM214"/>
  <c r="FN214"/>
  <c r="FO214"/>
  <c r="FP214"/>
  <c r="FQ214"/>
  <c r="FR214"/>
  <c r="FS214"/>
  <c r="FT214"/>
  <c r="FU214"/>
  <c r="FV214"/>
  <c r="FW214"/>
  <c r="FX214"/>
  <c r="FY214"/>
  <c r="FZ214"/>
  <c r="GA214"/>
  <c r="GB214"/>
  <c r="GC214"/>
  <c r="GD214"/>
  <c r="GE214"/>
  <c r="GF214"/>
  <c r="GG214"/>
  <c r="GH214"/>
  <c r="GI214"/>
  <c r="GJ214"/>
  <c r="GK214"/>
  <c r="GL214"/>
  <c r="GM214"/>
  <c r="GN214"/>
  <c r="GO214"/>
  <c r="GP214"/>
  <c r="GQ214"/>
  <c r="GR214"/>
  <c r="GS214"/>
  <c r="GT214"/>
  <c r="GU214"/>
  <c r="GV214"/>
  <c r="GW214"/>
  <c r="GX214"/>
  <c r="GY214"/>
  <c r="GZ214"/>
  <c r="HA214"/>
  <c r="HB214"/>
  <c r="HC214"/>
  <c r="HD214"/>
  <c r="HE214"/>
  <c r="HF214"/>
  <c r="HG214"/>
  <c r="HH214"/>
  <c r="HI214"/>
  <c r="HJ214"/>
  <c r="HK214"/>
  <c r="HL214"/>
  <c r="HM214"/>
  <c r="HN214"/>
  <c r="HO214"/>
  <c r="HP214"/>
  <c r="HQ214"/>
  <c r="HR214"/>
  <c r="HS214"/>
  <c r="HT214"/>
  <c r="HU214"/>
  <c r="HV214"/>
  <c r="HW214"/>
  <c r="HX214"/>
  <c r="HY214"/>
  <c r="HZ214"/>
  <c r="IA214"/>
  <c r="IB214"/>
  <c r="IC214"/>
  <c r="ID214"/>
  <c r="IE214"/>
  <c r="IF214"/>
  <c r="IG214"/>
  <c r="IH214"/>
  <c r="II214"/>
  <c r="IJ214"/>
  <c r="IK214"/>
  <c r="IL214"/>
  <c r="IM214"/>
  <c r="IN214"/>
  <c r="IO214"/>
  <c r="IP214"/>
  <c r="IQ214"/>
  <c r="IR214"/>
  <c r="IS214"/>
  <c r="IT214"/>
  <c r="IU214"/>
  <c r="IV214"/>
  <c r="A215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Z215"/>
  <c r="AA215"/>
  <c r="AB215"/>
  <c r="AC215"/>
  <c r="AD215"/>
  <c r="AE215"/>
  <c r="AF215"/>
  <c r="AG215"/>
  <c r="AH215"/>
  <c r="AI215"/>
  <c r="AJ215"/>
  <c r="AK215"/>
  <c r="AL215"/>
  <c r="AM215"/>
  <c r="AN215"/>
  <c r="AO215"/>
  <c r="AP215"/>
  <c r="AQ215"/>
  <c r="AR215"/>
  <c r="AS215"/>
  <c r="AT215"/>
  <c r="AU215"/>
  <c r="AV215"/>
  <c r="AW215"/>
  <c r="AX215"/>
  <c r="AY215"/>
  <c r="AZ215"/>
  <c r="BA215"/>
  <c r="BB215"/>
  <c r="BC215"/>
  <c r="BD215"/>
  <c r="BE215"/>
  <c r="BF215"/>
  <c r="BG215"/>
  <c r="BH215"/>
  <c r="BI215"/>
  <c r="BJ215"/>
  <c r="BK215"/>
  <c r="BL215"/>
  <c r="BM215"/>
  <c r="BN215"/>
  <c r="BO215"/>
  <c r="BP215"/>
  <c r="BQ215"/>
  <c r="BR215"/>
  <c r="BS215"/>
  <c r="BT215"/>
  <c r="BU215"/>
  <c r="BV215"/>
  <c r="BW215"/>
  <c r="BX215"/>
  <c r="BY215"/>
  <c r="BZ215"/>
  <c r="CA215"/>
  <c r="CB215"/>
  <c r="CC215"/>
  <c r="CD215"/>
  <c r="CE215"/>
  <c r="CF215"/>
  <c r="CG215"/>
  <c r="CH215"/>
  <c r="CI215"/>
  <c r="CJ215"/>
  <c r="CK215"/>
  <c r="CL215"/>
  <c r="CM215"/>
  <c r="CN215"/>
  <c r="CO215"/>
  <c r="CP215"/>
  <c r="CQ215"/>
  <c r="CR215"/>
  <c r="CS215"/>
  <c r="CT215"/>
  <c r="CU215"/>
  <c r="CV215"/>
  <c r="CW215"/>
  <c r="CX215"/>
  <c r="CY215"/>
  <c r="CZ215"/>
  <c r="DA215"/>
  <c r="DB215"/>
  <c r="DC215"/>
  <c r="DD215"/>
  <c r="DE215"/>
  <c r="DF215"/>
  <c r="DG215"/>
  <c r="DH215"/>
  <c r="DI215"/>
  <c r="DJ215"/>
  <c r="DK215"/>
  <c r="DL215"/>
  <c r="DM215"/>
  <c r="DN215"/>
  <c r="DO215"/>
  <c r="DP215"/>
  <c r="DQ215"/>
  <c r="DR215"/>
  <c r="DS215"/>
  <c r="DT215"/>
  <c r="DU215"/>
  <c r="DV215"/>
  <c r="DW215"/>
  <c r="DX215"/>
  <c r="DY215"/>
  <c r="DZ215"/>
  <c r="EA215"/>
  <c r="EB215"/>
  <c r="EC215"/>
  <c r="ED215"/>
  <c r="EE215"/>
  <c r="EF215"/>
  <c r="EG215"/>
  <c r="EH215"/>
  <c r="EI215"/>
  <c r="EJ215"/>
  <c r="EK215"/>
  <c r="EL215"/>
  <c r="EM215"/>
  <c r="EN215"/>
  <c r="EO215"/>
  <c r="EP215"/>
  <c r="EQ215"/>
  <c r="ER215"/>
  <c r="ES215"/>
  <c r="ET215"/>
  <c r="EU215"/>
  <c r="EV215"/>
  <c r="EW215"/>
  <c r="EX215"/>
  <c r="EY215"/>
  <c r="EZ215"/>
  <c r="FA215"/>
  <c r="FB215"/>
  <c r="FC215"/>
  <c r="FD215"/>
  <c r="FE215"/>
  <c r="FF215"/>
  <c r="FG215"/>
  <c r="FH215"/>
  <c r="FI215"/>
  <c r="FJ215"/>
  <c r="FK215"/>
  <c r="FL215"/>
  <c r="FM215"/>
  <c r="FN215"/>
  <c r="FO215"/>
  <c r="FP215"/>
  <c r="FQ215"/>
  <c r="FR215"/>
  <c r="FS215"/>
  <c r="FT215"/>
  <c r="FU215"/>
  <c r="FV215"/>
  <c r="FW215"/>
  <c r="FX215"/>
  <c r="FY215"/>
  <c r="FZ215"/>
  <c r="GA215"/>
  <c r="GB215"/>
  <c r="GC215"/>
  <c r="GD215"/>
  <c r="GE215"/>
  <c r="GF215"/>
  <c r="GG215"/>
  <c r="GH215"/>
  <c r="GI215"/>
  <c r="GJ215"/>
  <c r="GK215"/>
  <c r="GL215"/>
  <c r="GM215"/>
  <c r="GN215"/>
  <c r="GO215"/>
  <c r="GP215"/>
  <c r="GQ215"/>
  <c r="GR215"/>
  <c r="GS215"/>
  <c r="GT215"/>
  <c r="GU215"/>
  <c r="GV215"/>
  <c r="GW215"/>
  <c r="GX215"/>
  <c r="GY215"/>
  <c r="GZ215"/>
  <c r="HA215"/>
  <c r="HB215"/>
  <c r="HC215"/>
  <c r="HD215"/>
  <c r="HE215"/>
  <c r="HF215"/>
  <c r="HG215"/>
  <c r="HH215"/>
  <c r="HI215"/>
  <c r="HJ215"/>
  <c r="HK215"/>
  <c r="HL215"/>
  <c r="HM215"/>
  <c r="HN215"/>
  <c r="HO215"/>
  <c r="HP215"/>
  <c r="HQ215"/>
  <c r="HR215"/>
  <c r="HS215"/>
  <c r="HT215"/>
  <c r="HU215"/>
  <c r="HV215"/>
  <c r="HW215"/>
  <c r="HX215"/>
  <c r="HY215"/>
  <c r="HZ215"/>
  <c r="IA215"/>
  <c r="IB215"/>
  <c r="IC215"/>
  <c r="ID215"/>
  <c r="IE215"/>
  <c r="IF215"/>
  <c r="IG215"/>
  <c r="IH215"/>
  <c r="II215"/>
  <c r="IJ215"/>
  <c r="IK215"/>
  <c r="IL215"/>
  <c r="IM215"/>
  <c r="IN215"/>
  <c r="IO215"/>
  <c r="IP215"/>
  <c r="IQ215"/>
  <c r="IR215"/>
  <c r="IS215"/>
  <c r="IT215"/>
  <c r="IU215"/>
  <c r="IV215"/>
  <c r="A216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Z216"/>
  <c r="AA216"/>
  <c r="AB216"/>
  <c r="AC216"/>
  <c r="AD216"/>
  <c r="AE216"/>
  <c r="AF216"/>
  <c r="AG216"/>
  <c r="AH216"/>
  <c r="AI216"/>
  <c r="AJ216"/>
  <c r="AK216"/>
  <c r="AL216"/>
  <c r="AM216"/>
  <c r="AN216"/>
  <c r="AO216"/>
  <c r="AP216"/>
  <c r="AQ216"/>
  <c r="AR216"/>
  <c r="AS216"/>
  <c r="AT216"/>
  <c r="AU216"/>
  <c r="AV216"/>
  <c r="AW216"/>
  <c r="AX216"/>
  <c r="AY216"/>
  <c r="AZ216"/>
  <c r="BA216"/>
  <c r="BB216"/>
  <c r="BC216"/>
  <c r="BD216"/>
  <c r="BE216"/>
  <c r="BF216"/>
  <c r="BG216"/>
  <c r="BH216"/>
  <c r="BI216"/>
  <c r="BJ216"/>
  <c r="BK216"/>
  <c r="BL216"/>
  <c r="BM216"/>
  <c r="BN216"/>
  <c r="BO216"/>
  <c r="BP216"/>
  <c r="BQ216"/>
  <c r="BR216"/>
  <c r="BS216"/>
  <c r="BT216"/>
  <c r="BU216"/>
  <c r="BV216"/>
  <c r="BW216"/>
  <c r="BX216"/>
  <c r="BY216"/>
  <c r="BZ216"/>
  <c r="CA216"/>
  <c r="CB216"/>
  <c r="CC216"/>
  <c r="CD216"/>
  <c r="CE216"/>
  <c r="CF216"/>
  <c r="CG216"/>
  <c r="CH216"/>
  <c r="CI216"/>
  <c r="CJ216"/>
  <c r="CK216"/>
  <c r="CL216"/>
  <c r="CM216"/>
  <c r="CN216"/>
  <c r="CO216"/>
  <c r="CP216"/>
  <c r="CQ216"/>
  <c r="CR216"/>
  <c r="CS216"/>
  <c r="CT216"/>
  <c r="CU216"/>
  <c r="CV216"/>
  <c r="CW216"/>
  <c r="CX216"/>
  <c r="CY216"/>
  <c r="CZ216"/>
  <c r="DA216"/>
  <c r="DB216"/>
  <c r="DC216"/>
  <c r="DD216"/>
  <c r="DE216"/>
  <c r="DF216"/>
  <c r="DG216"/>
  <c r="DH216"/>
  <c r="DI216"/>
  <c r="DJ216"/>
  <c r="DK216"/>
  <c r="DL216"/>
  <c r="DM216"/>
  <c r="DN216"/>
  <c r="DO216"/>
  <c r="DP216"/>
  <c r="DQ216"/>
  <c r="DR216"/>
  <c r="DS216"/>
  <c r="DT216"/>
  <c r="DU216"/>
  <c r="DV216"/>
  <c r="DW216"/>
  <c r="DX216"/>
  <c r="DY216"/>
  <c r="DZ216"/>
  <c r="EA216"/>
  <c r="EB216"/>
  <c r="EC216"/>
  <c r="ED216"/>
  <c r="EE216"/>
  <c r="EF216"/>
  <c r="EG216"/>
  <c r="EH216"/>
  <c r="EI216"/>
  <c r="EJ216"/>
  <c r="EK216"/>
  <c r="EL216"/>
  <c r="EM216"/>
  <c r="EN216"/>
  <c r="EO216"/>
  <c r="EP216"/>
  <c r="EQ216"/>
  <c r="ER216"/>
  <c r="ES216"/>
  <c r="ET216"/>
  <c r="EU216"/>
  <c r="EV216"/>
  <c r="EW216"/>
  <c r="EX216"/>
  <c r="EY216"/>
  <c r="EZ216"/>
  <c r="FA216"/>
  <c r="FB216"/>
  <c r="FC216"/>
  <c r="FD216"/>
  <c r="FE216"/>
  <c r="FF216"/>
  <c r="FG216"/>
  <c r="FH216"/>
  <c r="FI216"/>
  <c r="FJ216"/>
  <c r="FK216"/>
  <c r="FL216"/>
  <c r="FM216"/>
  <c r="FN216"/>
  <c r="FO216"/>
  <c r="FP216"/>
  <c r="FQ216"/>
  <c r="FR216"/>
  <c r="FS216"/>
  <c r="FT216"/>
  <c r="FU216"/>
  <c r="FV216"/>
  <c r="FW216"/>
  <c r="FX216"/>
  <c r="FY216"/>
  <c r="FZ216"/>
  <c r="GA216"/>
  <c r="GB216"/>
  <c r="GC216"/>
  <c r="GD216"/>
  <c r="GE216"/>
  <c r="GF216"/>
  <c r="GG216"/>
  <c r="GH216"/>
  <c r="GI216"/>
  <c r="GJ216"/>
  <c r="GK216"/>
  <c r="GL216"/>
  <c r="GM216"/>
  <c r="GN216"/>
  <c r="GO216"/>
  <c r="GP216"/>
  <c r="GQ216"/>
  <c r="GR216"/>
  <c r="GS216"/>
  <c r="GT216"/>
  <c r="GU216"/>
  <c r="GV216"/>
  <c r="GW216"/>
  <c r="GX216"/>
  <c r="GY216"/>
  <c r="GZ216"/>
  <c r="HA216"/>
  <c r="HB216"/>
  <c r="HC216"/>
  <c r="HD216"/>
  <c r="HE216"/>
  <c r="HF216"/>
  <c r="HG216"/>
  <c r="HH216"/>
  <c r="HI216"/>
  <c r="HJ216"/>
  <c r="HK216"/>
  <c r="HL216"/>
  <c r="HM216"/>
  <c r="HN216"/>
  <c r="HO216"/>
  <c r="HP216"/>
  <c r="HQ216"/>
  <c r="HR216"/>
  <c r="HS216"/>
  <c r="HT216"/>
  <c r="HU216"/>
  <c r="HV216"/>
  <c r="HW216"/>
  <c r="HX216"/>
  <c r="HY216"/>
  <c r="HZ216"/>
  <c r="IA216"/>
  <c r="IB216"/>
  <c r="IC216"/>
  <c r="ID216"/>
  <c r="IE216"/>
  <c r="IF216"/>
  <c r="IG216"/>
  <c r="IH216"/>
  <c r="II216"/>
  <c r="IJ216"/>
  <c r="IK216"/>
  <c r="IL216"/>
  <c r="IM216"/>
  <c r="IN216"/>
  <c r="IO216"/>
  <c r="IP216"/>
  <c r="IQ216"/>
  <c r="IR216"/>
  <c r="IS216"/>
  <c r="IT216"/>
  <c r="IU216"/>
  <c r="IV216"/>
  <c r="A217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Z217"/>
  <c r="AA217"/>
  <c r="AB217"/>
  <c r="AC217"/>
  <c r="AD217"/>
  <c r="AE217"/>
  <c r="AF217"/>
  <c r="AG217"/>
  <c r="AH217"/>
  <c r="AI217"/>
  <c r="AJ217"/>
  <c r="AK217"/>
  <c r="AL217"/>
  <c r="AM217"/>
  <c r="AN217"/>
  <c r="AO217"/>
  <c r="AP217"/>
  <c r="AQ217"/>
  <c r="AR217"/>
  <c r="AS217"/>
  <c r="AT217"/>
  <c r="AU217"/>
  <c r="AV217"/>
  <c r="AW217"/>
  <c r="AX217"/>
  <c r="AY217"/>
  <c r="AZ217"/>
  <c r="BA217"/>
  <c r="BB217"/>
  <c r="BC217"/>
  <c r="BD217"/>
  <c r="BE217"/>
  <c r="BF217"/>
  <c r="BG217"/>
  <c r="BH217"/>
  <c r="BI217"/>
  <c r="BJ217"/>
  <c r="BK217"/>
  <c r="BL217"/>
  <c r="BM217"/>
  <c r="BN217"/>
  <c r="BO217"/>
  <c r="BP217"/>
  <c r="BQ217"/>
  <c r="BR217"/>
  <c r="BS217"/>
  <c r="BT217"/>
  <c r="BU217"/>
  <c r="BV217"/>
  <c r="BW217"/>
  <c r="BX217"/>
  <c r="BY217"/>
  <c r="BZ217"/>
  <c r="CA217"/>
  <c r="CB217"/>
  <c r="CC217"/>
  <c r="CD217"/>
  <c r="CE217"/>
  <c r="CF217"/>
  <c r="CG217"/>
  <c r="CH217"/>
  <c r="CI217"/>
  <c r="CJ217"/>
  <c r="CK217"/>
  <c r="CL217"/>
  <c r="CM217"/>
  <c r="CN217"/>
  <c r="CO217"/>
  <c r="CP217"/>
  <c r="CQ217"/>
  <c r="CR217"/>
  <c r="CS217"/>
  <c r="CT217"/>
  <c r="CU217"/>
  <c r="CV217"/>
  <c r="CW217"/>
  <c r="CX217"/>
  <c r="CY217"/>
  <c r="CZ217"/>
  <c r="DA217"/>
  <c r="DB217"/>
  <c r="DC217"/>
  <c r="DD217"/>
  <c r="DE217"/>
  <c r="DF217"/>
  <c r="DG217"/>
  <c r="DH217"/>
  <c r="DI217"/>
  <c r="DJ217"/>
  <c r="DK217"/>
  <c r="DL217"/>
  <c r="DM217"/>
  <c r="DN217"/>
  <c r="DO217"/>
  <c r="DP217"/>
  <c r="DQ217"/>
  <c r="DR217"/>
  <c r="DS217"/>
  <c r="DT217"/>
  <c r="DU217"/>
  <c r="DV217"/>
  <c r="DW217"/>
  <c r="DX217"/>
  <c r="DY217"/>
  <c r="DZ217"/>
  <c r="EA217"/>
  <c r="EB217"/>
  <c r="EC217"/>
  <c r="ED217"/>
  <c r="EE217"/>
  <c r="EF217"/>
  <c r="EG217"/>
  <c r="EH217"/>
  <c r="EI217"/>
  <c r="EJ217"/>
  <c r="EK217"/>
  <c r="EL217"/>
  <c r="EM217"/>
  <c r="EN217"/>
  <c r="EO217"/>
  <c r="EP217"/>
  <c r="EQ217"/>
  <c r="ER217"/>
  <c r="ES217"/>
  <c r="ET217"/>
  <c r="EU217"/>
  <c r="EV217"/>
  <c r="EW217"/>
  <c r="EX217"/>
  <c r="EY217"/>
  <c r="EZ217"/>
  <c r="FA217"/>
  <c r="FB217"/>
  <c r="FC217"/>
  <c r="FD217"/>
  <c r="FE217"/>
  <c r="FF217"/>
  <c r="FG217"/>
  <c r="FH217"/>
  <c r="FI217"/>
  <c r="FJ217"/>
  <c r="FK217"/>
  <c r="FL217"/>
  <c r="FM217"/>
  <c r="FN217"/>
  <c r="FO217"/>
  <c r="FP217"/>
  <c r="FQ217"/>
  <c r="FR217"/>
  <c r="FS217"/>
  <c r="FT217"/>
  <c r="FU217"/>
  <c r="FV217"/>
  <c r="FW217"/>
  <c r="FX217"/>
  <c r="FY217"/>
  <c r="FZ217"/>
  <c r="GA217"/>
  <c r="GB217"/>
  <c r="GC217"/>
  <c r="GD217"/>
  <c r="GE217"/>
  <c r="GF217"/>
  <c r="GG217"/>
  <c r="GH217"/>
  <c r="GI217"/>
  <c r="GJ217"/>
  <c r="GK217"/>
  <c r="GL217"/>
  <c r="GM217"/>
  <c r="GN217"/>
  <c r="GO217"/>
  <c r="GP217"/>
  <c r="GQ217"/>
  <c r="GR217"/>
  <c r="GS217"/>
  <c r="GT217"/>
  <c r="GU217"/>
  <c r="GV217"/>
  <c r="GW217"/>
  <c r="GX217"/>
  <c r="GY217"/>
  <c r="GZ217"/>
  <c r="HA217"/>
  <c r="HB217"/>
  <c r="HC217"/>
  <c r="HD217"/>
  <c r="HE217"/>
  <c r="HF217"/>
  <c r="HG217"/>
  <c r="HH217"/>
  <c r="HI217"/>
  <c r="HJ217"/>
  <c r="HK217"/>
  <c r="HL217"/>
  <c r="HM217"/>
  <c r="HN217"/>
  <c r="HO217"/>
  <c r="HP217"/>
  <c r="HQ217"/>
  <c r="HR217"/>
  <c r="HS217"/>
  <c r="HT217"/>
  <c r="HU217"/>
  <c r="HV217"/>
  <c r="HW217"/>
  <c r="HX217"/>
  <c r="HY217"/>
  <c r="HZ217"/>
  <c r="IA217"/>
  <c r="IB217"/>
  <c r="IC217"/>
  <c r="ID217"/>
  <c r="IE217"/>
  <c r="IF217"/>
  <c r="IG217"/>
  <c r="IH217"/>
  <c r="II217"/>
  <c r="IJ217"/>
  <c r="IK217"/>
  <c r="IL217"/>
  <c r="IM217"/>
  <c r="IN217"/>
  <c r="IO217"/>
  <c r="IP217"/>
  <c r="IQ217"/>
  <c r="IR217"/>
  <c r="IS217"/>
  <c r="IT217"/>
  <c r="IU217"/>
  <c r="IV217"/>
  <c r="A218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Z218"/>
  <c r="AA218"/>
  <c r="AB218"/>
  <c r="AC218"/>
  <c r="AD218"/>
  <c r="AE218"/>
  <c r="AF218"/>
  <c r="AG218"/>
  <c r="AH218"/>
  <c r="AI218"/>
  <c r="AJ218"/>
  <c r="AK218"/>
  <c r="AL218"/>
  <c r="AM218"/>
  <c r="AN218"/>
  <c r="AO218"/>
  <c r="AP218"/>
  <c r="AQ218"/>
  <c r="AR218"/>
  <c r="AS218"/>
  <c r="AT218"/>
  <c r="AU218"/>
  <c r="AV218"/>
  <c r="AW218"/>
  <c r="AX218"/>
  <c r="AY218"/>
  <c r="AZ218"/>
  <c r="BA218"/>
  <c r="BB218"/>
  <c r="BC218"/>
  <c r="BD218"/>
  <c r="BE218"/>
  <c r="BF218"/>
  <c r="BG218"/>
  <c r="BH218"/>
  <c r="BI218"/>
  <c r="BJ218"/>
  <c r="BK218"/>
  <c r="BL218"/>
  <c r="BM218"/>
  <c r="BN218"/>
  <c r="BO218"/>
  <c r="BP218"/>
  <c r="BQ218"/>
  <c r="BR218"/>
  <c r="BS218"/>
  <c r="BT218"/>
  <c r="BU218"/>
  <c r="BV218"/>
  <c r="BW218"/>
  <c r="BX218"/>
  <c r="BY218"/>
  <c r="BZ218"/>
  <c r="CA218"/>
  <c r="CB218"/>
  <c r="CC218"/>
  <c r="CD218"/>
  <c r="CE218"/>
  <c r="CF218"/>
  <c r="CG218"/>
  <c r="CH218"/>
  <c r="CI218"/>
  <c r="CJ218"/>
  <c r="CK218"/>
  <c r="CL218"/>
  <c r="CM218"/>
  <c r="CN218"/>
  <c r="CO218"/>
  <c r="CP218"/>
  <c r="CQ218"/>
  <c r="CR218"/>
  <c r="CS218"/>
  <c r="CT218"/>
  <c r="CU218"/>
  <c r="CV218"/>
  <c r="CW218"/>
  <c r="CX218"/>
  <c r="CY218"/>
  <c r="CZ218"/>
  <c r="DA218"/>
  <c r="DB218"/>
  <c r="DC218"/>
  <c r="DD218"/>
  <c r="DE218"/>
  <c r="DF218"/>
  <c r="DG218"/>
  <c r="DH218"/>
  <c r="DI218"/>
  <c r="DJ218"/>
  <c r="DK218"/>
  <c r="DL218"/>
  <c r="DM218"/>
  <c r="DN218"/>
  <c r="DO218"/>
  <c r="DP218"/>
  <c r="DQ218"/>
  <c r="DR218"/>
  <c r="DS218"/>
  <c r="DT218"/>
  <c r="DU218"/>
  <c r="DV218"/>
  <c r="DW218"/>
  <c r="DX218"/>
  <c r="DY218"/>
  <c r="DZ218"/>
  <c r="EA218"/>
  <c r="EB218"/>
  <c r="EC218"/>
  <c r="ED218"/>
  <c r="EE218"/>
  <c r="EF218"/>
  <c r="EG218"/>
  <c r="EH218"/>
  <c r="EI218"/>
  <c r="EJ218"/>
  <c r="EK218"/>
  <c r="EL218"/>
  <c r="EM218"/>
  <c r="EN218"/>
  <c r="EO218"/>
  <c r="EP218"/>
  <c r="EQ218"/>
  <c r="ER218"/>
  <c r="ES218"/>
  <c r="ET218"/>
  <c r="EU218"/>
  <c r="EV218"/>
  <c r="EW218"/>
  <c r="EX218"/>
  <c r="EY218"/>
  <c r="EZ218"/>
  <c r="FA218"/>
  <c r="FB218"/>
  <c r="FC218"/>
  <c r="FD218"/>
  <c r="FE218"/>
  <c r="FF218"/>
  <c r="FG218"/>
  <c r="FH218"/>
  <c r="FI218"/>
  <c r="FJ218"/>
  <c r="FK218"/>
  <c r="FL218"/>
  <c r="FM218"/>
  <c r="FN218"/>
  <c r="FO218"/>
  <c r="FP218"/>
  <c r="FQ218"/>
  <c r="FR218"/>
  <c r="FS218"/>
  <c r="FT218"/>
  <c r="FU218"/>
  <c r="FV218"/>
  <c r="FW218"/>
  <c r="FX218"/>
  <c r="FY218"/>
  <c r="FZ218"/>
  <c r="GA218"/>
  <c r="GB218"/>
  <c r="GC218"/>
  <c r="GD218"/>
  <c r="GE218"/>
  <c r="GF218"/>
  <c r="GG218"/>
  <c r="GH218"/>
  <c r="GI218"/>
  <c r="GJ218"/>
  <c r="GK218"/>
  <c r="GL218"/>
  <c r="GM218"/>
  <c r="GN218"/>
  <c r="GO218"/>
  <c r="GP218"/>
  <c r="GQ218"/>
  <c r="GR218"/>
  <c r="GS218"/>
  <c r="GT218"/>
  <c r="GU218"/>
  <c r="GV218"/>
  <c r="GW218"/>
  <c r="GX218"/>
  <c r="GY218"/>
  <c r="GZ218"/>
  <c r="HA218"/>
  <c r="HB218"/>
  <c r="HC218"/>
  <c r="HD218"/>
  <c r="HE218"/>
  <c r="HF218"/>
  <c r="HG218"/>
  <c r="HH218"/>
  <c r="HI218"/>
  <c r="HJ218"/>
  <c r="HK218"/>
  <c r="HL218"/>
  <c r="HM218"/>
  <c r="HN218"/>
  <c r="HO218"/>
  <c r="HP218"/>
  <c r="HQ218"/>
  <c r="HR218"/>
  <c r="HS218"/>
  <c r="HT218"/>
  <c r="HU218"/>
  <c r="HV218"/>
  <c r="HW218"/>
  <c r="HX218"/>
  <c r="HY218"/>
  <c r="HZ218"/>
  <c r="IA218"/>
  <c r="IB218"/>
  <c r="IC218"/>
  <c r="ID218"/>
  <c r="IE218"/>
  <c r="IF218"/>
  <c r="IG218"/>
  <c r="IH218"/>
  <c r="II218"/>
  <c r="IJ218"/>
  <c r="IK218"/>
  <c r="IL218"/>
  <c r="IM218"/>
  <c r="IN218"/>
  <c r="IO218"/>
  <c r="IP218"/>
  <c r="IQ218"/>
  <c r="IR218"/>
  <c r="IS218"/>
  <c r="IT218"/>
  <c r="IU218"/>
  <c r="IV218"/>
  <c r="A219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Z219"/>
  <c r="AA219"/>
  <c r="AB219"/>
  <c r="AC219"/>
  <c r="AD219"/>
  <c r="AE219"/>
  <c r="AF219"/>
  <c r="AG219"/>
  <c r="AH219"/>
  <c r="AI219"/>
  <c r="AJ219"/>
  <c r="AK219"/>
  <c r="AL219"/>
  <c r="AM219"/>
  <c r="AN219"/>
  <c r="AO219"/>
  <c r="AP219"/>
  <c r="AQ219"/>
  <c r="AR219"/>
  <c r="AS219"/>
  <c r="AT219"/>
  <c r="AU219"/>
  <c r="AV219"/>
  <c r="AW219"/>
  <c r="AX219"/>
  <c r="AY219"/>
  <c r="AZ219"/>
  <c r="BA219"/>
  <c r="BB219"/>
  <c r="BC219"/>
  <c r="BD219"/>
  <c r="BE219"/>
  <c r="BF219"/>
  <c r="BG219"/>
  <c r="BH219"/>
  <c r="BI219"/>
  <c r="BJ219"/>
  <c r="BK219"/>
  <c r="BL219"/>
  <c r="BM219"/>
  <c r="BN219"/>
  <c r="BO219"/>
  <c r="BP219"/>
  <c r="BQ219"/>
  <c r="BR219"/>
  <c r="BS219"/>
  <c r="BT219"/>
  <c r="BU219"/>
  <c r="BV219"/>
  <c r="BW219"/>
  <c r="BX219"/>
  <c r="BY219"/>
  <c r="BZ219"/>
  <c r="CA219"/>
  <c r="CB219"/>
  <c r="CC219"/>
  <c r="CD219"/>
  <c r="CE219"/>
  <c r="CF219"/>
  <c r="CG219"/>
  <c r="CH219"/>
  <c r="CI219"/>
  <c r="CJ219"/>
  <c r="CK219"/>
  <c r="CL219"/>
  <c r="CM219"/>
  <c r="CN219"/>
  <c r="CO219"/>
  <c r="CP219"/>
  <c r="CQ219"/>
  <c r="CR219"/>
  <c r="CS219"/>
  <c r="CT219"/>
  <c r="CU219"/>
  <c r="CV219"/>
  <c r="CW219"/>
  <c r="CX219"/>
  <c r="CY219"/>
  <c r="CZ219"/>
  <c r="DA219"/>
  <c r="DB219"/>
  <c r="DC219"/>
  <c r="DD219"/>
  <c r="DE219"/>
  <c r="DF219"/>
  <c r="DG219"/>
  <c r="DH219"/>
  <c r="DI219"/>
  <c r="DJ219"/>
  <c r="DK219"/>
  <c r="DL219"/>
  <c r="DM219"/>
  <c r="DN219"/>
  <c r="DO219"/>
  <c r="DP219"/>
  <c r="DQ219"/>
  <c r="DR219"/>
  <c r="DS219"/>
  <c r="DT219"/>
  <c r="DU219"/>
  <c r="DV219"/>
  <c r="DW219"/>
  <c r="DX219"/>
  <c r="DY219"/>
  <c r="DZ219"/>
  <c r="EA219"/>
  <c r="EB219"/>
  <c r="EC219"/>
  <c r="ED219"/>
  <c r="EE219"/>
  <c r="EF219"/>
  <c r="EG219"/>
  <c r="EH219"/>
  <c r="EI219"/>
  <c r="EJ219"/>
  <c r="EK219"/>
  <c r="EL219"/>
  <c r="EM219"/>
  <c r="EN219"/>
  <c r="EO219"/>
  <c r="EP219"/>
  <c r="EQ219"/>
  <c r="ER219"/>
  <c r="ES219"/>
  <c r="ET219"/>
  <c r="EU219"/>
  <c r="EV219"/>
  <c r="EW219"/>
  <c r="EX219"/>
  <c r="EY219"/>
  <c r="EZ219"/>
  <c r="FA219"/>
  <c r="FB219"/>
  <c r="FC219"/>
  <c r="FD219"/>
  <c r="FE219"/>
  <c r="FF219"/>
  <c r="FG219"/>
  <c r="FH219"/>
  <c r="FI219"/>
  <c r="FJ219"/>
  <c r="FK219"/>
  <c r="FL219"/>
  <c r="FM219"/>
  <c r="FN219"/>
  <c r="FO219"/>
  <c r="FP219"/>
  <c r="FQ219"/>
  <c r="FR219"/>
  <c r="FS219"/>
  <c r="FT219"/>
  <c r="FU219"/>
  <c r="FV219"/>
  <c r="FW219"/>
  <c r="FX219"/>
  <c r="FY219"/>
  <c r="FZ219"/>
  <c r="GA219"/>
  <c r="GB219"/>
  <c r="GC219"/>
  <c r="GD219"/>
  <c r="GE219"/>
  <c r="GF219"/>
  <c r="GG219"/>
  <c r="GH219"/>
  <c r="GI219"/>
  <c r="GJ219"/>
  <c r="GK219"/>
  <c r="GL219"/>
  <c r="GM219"/>
  <c r="GN219"/>
  <c r="GO219"/>
  <c r="GP219"/>
  <c r="GQ219"/>
  <c r="GR219"/>
  <c r="GS219"/>
  <c r="GT219"/>
  <c r="GU219"/>
  <c r="GV219"/>
  <c r="GW219"/>
  <c r="GX219"/>
  <c r="GY219"/>
  <c r="GZ219"/>
  <c r="HA219"/>
  <c r="HB219"/>
  <c r="HC219"/>
  <c r="HD219"/>
  <c r="HE219"/>
  <c r="HF219"/>
  <c r="HG219"/>
  <c r="HH219"/>
  <c r="HI219"/>
  <c r="HJ219"/>
  <c r="HK219"/>
  <c r="HL219"/>
  <c r="HM219"/>
  <c r="HN219"/>
  <c r="HO219"/>
  <c r="HP219"/>
  <c r="HQ219"/>
  <c r="HR219"/>
  <c r="HS219"/>
  <c r="HT219"/>
  <c r="HU219"/>
  <c r="HV219"/>
  <c r="HW219"/>
  <c r="HX219"/>
  <c r="HY219"/>
  <c r="HZ219"/>
  <c r="IA219"/>
  <c r="IB219"/>
  <c r="IC219"/>
  <c r="ID219"/>
  <c r="IE219"/>
  <c r="IF219"/>
  <c r="IG219"/>
  <c r="IH219"/>
  <c r="II219"/>
  <c r="IJ219"/>
  <c r="IK219"/>
  <c r="IL219"/>
  <c r="IM219"/>
  <c r="IN219"/>
  <c r="IO219"/>
  <c r="IP219"/>
  <c r="IQ219"/>
  <c r="IR219"/>
  <c r="IS219"/>
  <c r="IT219"/>
  <c r="IU219"/>
  <c r="IV219"/>
  <c r="A220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Z220"/>
  <c r="AA220"/>
  <c r="AB220"/>
  <c r="AC220"/>
  <c r="AD220"/>
  <c r="AE220"/>
  <c r="AF220"/>
  <c r="AG220"/>
  <c r="AH220"/>
  <c r="AI220"/>
  <c r="AJ220"/>
  <c r="AK220"/>
  <c r="AL220"/>
  <c r="AM220"/>
  <c r="AN220"/>
  <c r="AO220"/>
  <c r="AP220"/>
  <c r="AQ220"/>
  <c r="AR220"/>
  <c r="AS220"/>
  <c r="AT220"/>
  <c r="AU220"/>
  <c r="AV220"/>
  <c r="AW220"/>
  <c r="AX220"/>
  <c r="AY220"/>
  <c r="AZ220"/>
  <c r="BA220"/>
  <c r="BB220"/>
  <c r="BC220"/>
  <c r="BD220"/>
  <c r="BE220"/>
  <c r="BF220"/>
  <c r="BG220"/>
  <c r="BH220"/>
  <c r="BI220"/>
  <c r="BJ220"/>
  <c r="BK220"/>
  <c r="BL220"/>
  <c r="BM220"/>
  <c r="BN220"/>
  <c r="BO220"/>
  <c r="BP220"/>
  <c r="BQ220"/>
  <c r="BR220"/>
  <c r="BS220"/>
  <c r="BT220"/>
  <c r="BU220"/>
  <c r="BV220"/>
  <c r="BW220"/>
  <c r="BX220"/>
  <c r="BY220"/>
  <c r="BZ220"/>
  <c r="CA220"/>
  <c r="CB220"/>
  <c r="CC220"/>
  <c r="CD220"/>
  <c r="CE220"/>
  <c r="CF220"/>
  <c r="CG220"/>
  <c r="CH220"/>
  <c r="CI220"/>
  <c r="CJ220"/>
  <c r="CK220"/>
  <c r="CL220"/>
  <c r="CM220"/>
  <c r="CN220"/>
  <c r="CO220"/>
  <c r="CP220"/>
  <c r="CQ220"/>
  <c r="CR220"/>
  <c r="CS220"/>
  <c r="CT220"/>
  <c r="CU220"/>
  <c r="CV220"/>
  <c r="CW220"/>
  <c r="CX220"/>
  <c r="CY220"/>
  <c r="CZ220"/>
  <c r="DA220"/>
  <c r="DB220"/>
  <c r="DC220"/>
  <c r="DD220"/>
  <c r="DE220"/>
  <c r="DF220"/>
  <c r="DG220"/>
  <c r="DH220"/>
  <c r="DI220"/>
  <c r="DJ220"/>
  <c r="DK220"/>
  <c r="DL220"/>
  <c r="DM220"/>
  <c r="DN220"/>
  <c r="DO220"/>
  <c r="DP220"/>
  <c r="DQ220"/>
  <c r="DR220"/>
  <c r="DS220"/>
  <c r="DT220"/>
  <c r="DU220"/>
  <c r="DV220"/>
  <c r="DW220"/>
  <c r="DX220"/>
  <c r="DY220"/>
  <c r="DZ220"/>
  <c r="EA220"/>
  <c r="EB220"/>
  <c r="EC220"/>
  <c r="ED220"/>
  <c r="EE220"/>
  <c r="EF220"/>
  <c r="EG220"/>
  <c r="EH220"/>
  <c r="EI220"/>
  <c r="EJ220"/>
  <c r="EK220"/>
  <c r="EL220"/>
  <c r="EM220"/>
  <c r="EN220"/>
  <c r="EO220"/>
  <c r="EP220"/>
  <c r="EQ220"/>
  <c r="ER220"/>
  <c r="ES220"/>
  <c r="ET220"/>
  <c r="EU220"/>
  <c r="EV220"/>
  <c r="EW220"/>
  <c r="EX220"/>
  <c r="EY220"/>
  <c r="EZ220"/>
  <c r="FA220"/>
  <c r="FB220"/>
  <c r="FC220"/>
  <c r="FD220"/>
  <c r="FE220"/>
  <c r="FF220"/>
  <c r="FG220"/>
  <c r="FH220"/>
  <c r="FI220"/>
  <c r="FJ220"/>
  <c r="FK220"/>
  <c r="FL220"/>
  <c r="FM220"/>
  <c r="FN220"/>
  <c r="FO220"/>
  <c r="FP220"/>
  <c r="FQ220"/>
  <c r="FR220"/>
  <c r="FS220"/>
  <c r="FT220"/>
  <c r="FU220"/>
  <c r="FV220"/>
  <c r="FW220"/>
  <c r="FX220"/>
  <c r="FY220"/>
  <c r="FZ220"/>
  <c r="GA220"/>
  <c r="GB220"/>
  <c r="GC220"/>
  <c r="GD220"/>
  <c r="GE220"/>
  <c r="GF220"/>
  <c r="GG220"/>
  <c r="GH220"/>
  <c r="GI220"/>
  <c r="GJ220"/>
  <c r="GK220"/>
  <c r="GL220"/>
  <c r="GM220"/>
  <c r="GN220"/>
  <c r="GO220"/>
  <c r="GP220"/>
  <c r="GQ220"/>
  <c r="GR220"/>
  <c r="GS220"/>
  <c r="GT220"/>
  <c r="GU220"/>
  <c r="GV220"/>
  <c r="GW220"/>
  <c r="GX220"/>
  <c r="GY220"/>
  <c r="GZ220"/>
  <c r="HA220"/>
  <c r="HB220"/>
  <c r="HC220"/>
  <c r="HD220"/>
  <c r="HE220"/>
  <c r="HF220"/>
  <c r="HG220"/>
  <c r="HH220"/>
  <c r="HI220"/>
  <c r="HJ220"/>
  <c r="HK220"/>
  <c r="HL220"/>
  <c r="HM220"/>
  <c r="HN220"/>
  <c r="HO220"/>
  <c r="HP220"/>
  <c r="HQ220"/>
  <c r="HR220"/>
  <c r="HS220"/>
  <c r="HT220"/>
  <c r="HU220"/>
  <c r="HV220"/>
  <c r="HW220"/>
  <c r="HX220"/>
  <c r="HY220"/>
  <c r="HZ220"/>
  <c r="IA220"/>
  <c r="IB220"/>
  <c r="IC220"/>
  <c r="ID220"/>
  <c r="IE220"/>
  <c r="IF220"/>
  <c r="IG220"/>
  <c r="IH220"/>
  <c r="II220"/>
  <c r="IJ220"/>
  <c r="IK220"/>
  <c r="IL220"/>
  <c r="IM220"/>
  <c r="IN220"/>
  <c r="IO220"/>
  <c r="IP220"/>
  <c r="IQ220"/>
  <c r="IR220"/>
  <c r="IS220"/>
  <c r="IT220"/>
  <c r="IU220"/>
  <c r="IV220"/>
  <c r="A221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Z221"/>
  <c r="AA221"/>
  <c r="AB221"/>
  <c r="AC221"/>
  <c r="AD221"/>
  <c r="AE221"/>
  <c r="AF221"/>
  <c r="AG221"/>
  <c r="AH221"/>
  <c r="AI221"/>
  <c r="AJ221"/>
  <c r="AK221"/>
  <c r="AL221"/>
  <c r="AM221"/>
  <c r="AN221"/>
  <c r="AO221"/>
  <c r="AP221"/>
  <c r="AQ221"/>
  <c r="AR221"/>
  <c r="AS221"/>
  <c r="AT221"/>
  <c r="AU221"/>
  <c r="AV221"/>
  <c r="AW221"/>
  <c r="AX221"/>
  <c r="AY221"/>
  <c r="AZ221"/>
  <c r="BA221"/>
  <c r="BB221"/>
  <c r="BC221"/>
  <c r="BD221"/>
  <c r="BE221"/>
  <c r="BF221"/>
  <c r="BG221"/>
  <c r="BH221"/>
  <c r="BI221"/>
  <c r="BJ221"/>
  <c r="BK221"/>
  <c r="BL221"/>
  <c r="BM221"/>
  <c r="BN221"/>
  <c r="BO221"/>
  <c r="BP221"/>
  <c r="BQ221"/>
  <c r="BR221"/>
  <c r="BS221"/>
  <c r="BT221"/>
  <c r="BU221"/>
  <c r="BV221"/>
  <c r="BW221"/>
  <c r="BX221"/>
  <c r="BY221"/>
  <c r="BZ221"/>
  <c r="CA221"/>
  <c r="CB221"/>
  <c r="CC221"/>
  <c r="CD221"/>
  <c r="CE221"/>
  <c r="CF221"/>
  <c r="CG221"/>
  <c r="CH221"/>
  <c r="CI221"/>
  <c r="CJ221"/>
  <c r="CK221"/>
  <c r="CL221"/>
  <c r="CM221"/>
  <c r="CN221"/>
  <c r="CO221"/>
  <c r="CP221"/>
  <c r="CQ221"/>
  <c r="CR221"/>
  <c r="CS221"/>
  <c r="CT221"/>
  <c r="CU221"/>
  <c r="CV221"/>
  <c r="CW221"/>
  <c r="CX221"/>
  <c r="CY221"/>
  <c r="CZ221"/>
  <c r="DA221"/>
  <c r="DB221"/>
  <c r="DC221"/>
  <c r="DD221"/>
  <c r="DE221"/>
  <c r="DF221"/>
  <c r="DG221"/>
  <c r="DH221"/>
  <c r="DI221"/>
  <c r="DJ221"/>
  <c r="DK221"/>
  <c r="DL221"/>
  <c r="DM221"/>
  <c r="DN221"/>
  <c r="DO221"/>
  <c r="DP221"/>
  <c r="DQ221"/>
  <c r="DR221"/>
  <c r="DS221"/>
  <c r="DT221"/>
  <c r="DU221"/>
  <c r="DV221"/>
  <c r="DW221"/>
  <c r="DX221"/>
  <c r="DY221"/>
  <c r="DZ221"/>
  <c r="EA221"/>
  <c r="EB221"/>
  <c r="EC221"/>
  <c r="ED221"/>
  <c r="EE221"/>
  <c r="EF221"/>
  <c r="EG221"/>
  <c r="EH221"/>
  <c r="EI221"/>
  <c r="EJ221"/>
  <c r="EK221"/>
  <c r="EL221"/>
  <c r="EM221"/>
  <c r="EN221"/>
  <c r="EO221"/>
  <c r="EP221"/>
  <c r="EQ221"/>
  <c r="ER221"/>
  <c r="ES221"/>
  <c r="ET221"/>
  <c r="EU221"/>
  <c r="EV221"/>
  <c r="EW221"/>
  <c r="EX221"/>
  <c r="EY221"/>
  <c r="EZ221"/>
  <c r="FA221"/>
  <c r="FB221"/>
  <c r="FC221"/>
  <c r="FD221"/>
  <c r="FE221"/>
  <c r="FF221"/>
  <c r="FG221"/>
  <c r="FH221"/>
  <c r="FI221"/>
  <c r="FJ221"/>
  <c r="FK221"/>
  <c r="FL221"/>
  <c r="FM221"/>
  <c r="FN221"/>
  <c r="FO221"/>
  <c r="FP221"/>
  <c r="FQ221"/>
  <c r="FR221"/>
  <c r="FS221"/>
  <c r="FT221"/>
  <c r="FU221"/>
  <c r="FV221"/>
  <c r="FW221"/>
  <c r="FX221"/>
  <c r="FY221"/>
  <c r="FZ221"/>
  <c r="GA221"/>
  <c r="GB221"/>
  <c r="GC221"/>
  <c r="GD221"/>
  <c r="GE221"/>
  <c r="GF221"/>
  <c r="GG221"/>
  <c r="GH221"/>
  <c r="GI221"/>
  <c r="GJ221"/>
  <c r="GK221"/>
  <c r="GL221"/>
  <c r="GM221"/>
  <c r="GN221"/>
  <c r="GO221"/>
  <c r="GP221"/>
  <c r="GQ221"/>
  <c r="GR221"/>
  <c r="GS221"/>
  <c r="GT221"/>
  <c r="GU221"/>
  <c r="GV221"/>
  <c r="GW221"/>
  <c r="GX221"/>
  <c r="GY221"/>
  <c r="GZ221"/>
  <c r="HA221"/>
  <c r="HB221"/>
  <c r="HC221"/>
  <c r="HD221"/>
  <c r="HE221"/>
  <c r="HF221"/>
  <c r="HG221"/>
  <c r="HH221"/>
  <c r="HI221"/>
  <c r="HJ221"/>
  <c r="HK221"/>
  <c r="HL221"/>
  <c r="HM221"/>
  <c r="HN221"/>
  <c r="HO221"/>
  <c r="HP221"/>
  <c r="HQ221"/>
  <c r="HR221"/>
  <c r="HS221"/>
  <c r="HT221"/>
  <c r="HU221"/>
  <c r="HV221"/>
  <c r="HW221"/>
  <c r="HX221"/>
  <c r="HY221"/>
  <c r="HZ221"/>
  <c r="IA221"/>
  <c r="IB221"/>
  <c r="IC221"/>
  <c r="ID221"/>
  <c r="IE221"/>
  <c r="IF221"/>
  <c r="IG221"/>
  <c r="IH221"/>
  <c r="II221"/>
  <c r="IJ221"/>
  <c r="IK221"/>
  <c r="IL221"/>
  <c r="IM221"/>
  <c r="IN221"/>
  <c r="IO221"/>
  <c r="IP221"/>
  <c r="IQ221"/>
  <c r="IR221"/>
  <c r="IS221"/>
  <c r="IT221"/>
  <c r="IU221"/>
  <c r="IV221"/>
  <c r="A222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Z222"/>
  <c r="AA222"/>
  <c r="AB222"/>
  <c r="AC222"/>
  <c r="AD222"/>
  <c r="AE222"/>
  <c r="AF222"/>
  <c r="AG222"/>
  <c r="AH222"/>
  <c r="AI222"/>
  <c r="AJ222"/>
  <c r="AK222"/>
  <c r="AL222"/>
  <c r="AM222"/>
  <c r="AN222"/>
  <c r="AO222"/>
  <c r="AP222"/>
  <c r="AQ222"/>
  <c r="AR222"/>
  <c r="AS222"/>
  <c r="AT222"/>
  <c r="AU222"/>
  <c r="AV222"/>
  <c r="AW222"/>
  <c r="AX222"/>
  <c r="AY222"/>
  <c r="AZ222"/>
  <c r="BA222"/>
  <c r="BB222"/>
  <c r="BC222"/>
  <c r="BD222"/>
  <c r="BE222"/>
  <c r="BF222"/>
  <c r="BG222"/>
  <c r="BH222"/>
  <c r="BI222"/>
  <c r="BJ222"/>
  <c r="BK222"/>
  <c r="BL222"/>
  <c r="BM222"/>
  <c r="BN222"/>
  <c r="BO222"/>
  <c r="BP222"/>
  <c r="BQ222"/>
  <c r="BR222"/>
  <c r="BS222"/>
  <c r="BT222"/>
  <c r="BU222"/>
  <c r="BV222"/>
  <c r="BW222"/>
  <c r="BX222"/>
  <c r="BY222"/>
  <c r="BZ222"/>
  <c r="CA222"/>
  <c r="CB222"/>
  <c r="CC222"/>
  <c r="CD222"/>
  <c r="CE222"/>
  <c r="CF222"/>
  <c r="CG222"/>
  <c r="CH222"/>
  <c r="CI222"/>
  <c r="CJ222"/>
  <c r="CK222"/>
  <c r="CL222"/>
  <c r="CM222"/>
  <c r="CN222"/>
  <c r="CO222"/>
  <c r="CP222"/>
  <c r="CQ222"/>
  <c r="CR222"/>
  <c r="CS222"/>
  <c r="CT222"/>
  <c r="CU222"/>
  <c r="CV222"/>
  <c r="CW222"/>
  <c r="CX222"/>
  <c r="CY222"/>
  <c r="CZ222"/>
  <c r="DA222"/>
  <c r="DB222"/>
  <c r="DC222"/>
  <c r="DD222"/>
  <c r="DE222"/>
  <c r="DF222"/>
  <c r="DG222"/>
  <c r="DH222"/>
  <c r="DI222"/>
  <c r="DJ222"/>
  <c r="DK222"/>
  <c r="DL222"/>
  <c r="DM222"/>
  <c r="DN222"/>
  <c r="DO222"/>
  <c r="DP222"/>
  <c r="DQ222"/>
  <c r="DR222"/>
  <c r="DS222"/>
  <c r="DT222"/>
  <c r="DU222"/>
  <c r="DV222"/>
  <c r="DW222"/>
  <c r="DX222"/>
  <c r="DY222"/>
  <c r="DZ222"/>
  <c r="EA222"/>
  <c r="EB222"/>
  <c r="EC222"/>
  <c r="ED222"/>
  <c r="EE222"/>
  <c r="EF222"/>
  <c r="EG222"/>
  <c r="EH222"/>
  <c r="EI222"/>
  <c r="EJ222"/>
  <c r="EK222"/>
  <c r="EL222"/>
  <c r="EM222"/>
  <c r="EN222"/>
  <c r="EO222"/>
  <c r="EP222"/>
  <c r="EQ222"/>
  <c r="ER222"/>
  <c r="ES222"/>
  <c r="ET222"/>
  <c r="EU222"/>
  <c r="EV222"/>
  <c r="EW222"/>
  <c r="EX222"/>
  <c r="EY222"/>
  <c r="EZ222"/>
  <c r="FA222"/>
  <c r="FB222"/>
  <c r="FC222"/>
  <c r="FD222"/>
  <c r="FE222"/>
  <c r="FF222"/>
  <c r="FG222"/>
  <c r="FH222"/>
  <c r="FI222"/>
  <c r="FJ222"/>
  <c r="FK222"/>
  <c r="FL222"/>
  <c r="FM222"/>
  <c r="FN222"/>
  <c r="FO222"/>
  <c r="FP222"/>
  <c r="FQ222"/>
  <c r="FR222"/>
  <c r="FS222"/>
  <c r="FT222"/>
  <c r="FU222"/>
  <c r="FV222"/>
  <c r="FW222"/>
  <c r="FX222"/>
  <c r="FY222"/>
  <c r="FZ222"/>
  <c r="GA222"/>
  <c r="GB222"/>
  <c r="GC222"/>
  <c r="GD222"/>
  <c r="GE222"/>
  <c r="GF222"/>
  <c r="GG222"/>
  <c r="GH222"/>
  <c r="GI222"/>
  <c r="GJ222"/>
  <c r="GK222"/>
  <c r="GL222"/>
  <c r="GM222"/>
  <c r="GN222"/>
  <c r="GO222"/>
  <c r="GP222"/>
  <c r="GQ222"/>
  <c r="GR222"/>
  <c r="GS222"/>
  <c r="GT222"/>
  <c r="GU222"/>
  <c r="GV222"/>
  <c r="GW222"/>
  <c r="GX222"/>
  <c r="GY222"/>
  <c r="GZ222"/>
  <c r="HA222"/>
  <c r="HB222"/>
  <c r="HC222"/>
  <c r="HD222"/>
  <c r="HE222"/>
  <c r="HF222"/>
  <c r="HG222"/>
  <c r="HH222"/>
  <c r="HI222"/>
  <c r="HJ222"/>
  <c r="HK222"/>
  <c r="HL222"/>
  <c r="HM222"/>
  <c r="HN222"/>
  <c r="HO222"/>
  <c r="HP222"/>
  <c r="HQ222"/>
  <c r="HR222"/>
  <c r="HS222"/>
  <c r="HT222"/>
  <c r="HU222"/>
  <c r="HV222"/>
  <c r="HW222"/>
  <c r="HX222"/>
  <c r="HY222"/>
  <c r="HZ222"/>
  <c r="IA222"/>
  <c r="IB222"/>
  <c r="IC222"/>
  <c r="ID222"/>
  <c r="IE222"/>
  <c r="IF222"/>
  <c r="IG222"/>
  <c r="IH222"/>
  <c r="II222"/>
  <c r="IJ222"/>
  <c r="IK222"/>
  <c r="IL222"/>
  <c r="IM222"/>
  <c r="IN222"/>
  <c r="IO222"/>
  <c r="IP222"/>
  <c r="IQ222"/>
  <c r="IR222"/>
  <c r="IS222"/>
  <c r="IT222"/>
  <c r="IU222"/>
  <c r="IV222"/>
  <c r="A223"/>
  <c r="B223"/>
  <c r="C223"/>
  <c r="D223"/>
  <c r="E223"/>
  <c r="F223"/>
  <c r="G223"/>
  <c r="H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Z223"/>
  <c r="AA223"/>
  <c r="AB223"/>
  <c r="AC223"/>
  <c r="AD223"/>
  <c r="AE223"/>
  <c r="AF223"/>
  <c r="AG223"/>
  <c r="AH223"/>
  <c r="AI223"/>
  <c r="AJ223"/>
  <c r="AK223"/>
  <c r="AL223"/>
  <c r="AM223"/>
  <c r="AN223"/>
  <c r="AO223"/>
  <c r="AP223"/>
  <c r="AQ223"/>
  <c r="AR223"/>
  <c r="AS223"/>
  <c r="AT223"/>
  <c r="AU223"/>
  <c r="AV223"/>
  <c r="AW223"/>
  <c r="AX223"/>
  <c r="AY223"/>
  <c r="AZ223"/>
  <c r="BA223"/>
  <c r="BB223"/>
  <c r="BC223"/>
  <c r="BD223"/>
  <c r="BE223"/>
  <c r="BF223"/>
  <c r="BG223"/>
  <c r="BH223"/>
  <c r="BI223"/>
  <c r="BJ223"/>
  <c r="BK223"/>
  <c r="BL223"/>
  <c r="BM223"/>
  <c r="BN223"/>
  <c r="BO223"/>
  <c r="BP223"/>
  <c r="BQ223"/>
  <c r="BR223"/>
  <c r="BS223"/>
  <c r="BT223"/>
  <c r="BU223"/>
  <c r="BV223"/>
  <c r="BW223"/>
  <c r="BX223"/>
  <c r="BY223"/>
  <c r="BZ223"/>
  <c r="CA223"/>
  <c r="CB223"/>
  <c r="CC223"/>
  <c r="CD223"/>
  <c r="CE223"/>
  <c r="CF223"/>
  <c r="CG223"/>
  <c r="CH223"/>
  <c r="CI223"/>
  <c r="CJ223"/>
  <c r="CK223"/>
  <c r="CL223"/>
  <c r="CM223"/>
  <c r="CN223"/>
  <c r="CO223"/>
  <c r="CP223"/>
  <c r="CQ223"/>
  <c r="CR223"/>
  <c r="CS223"/>
  <c r="CT223"/>
  <c r="CU223"/>
  <c r="CV223"/>
  <c r="CW223"/>
  <c r="CX223"/>
  <c r="CY223"/>
  <c r="CZ223"/>
  <c r="DA223"/>
  <c r="DB223"/>
  <c r="DC223"/>
  <c r="DD223"/>
  <c r="DE223"/>
  <c r="DF223"/>
  <c r="DG223"/>
  <c r="DH223"/>
  <c r="DI223"/>
  <c r="DJ223"/>
  <c r="DK223"/>
  <c r="DL223"/>
  <c r="DM223"/>
  <c r="DN223"/>
  <c r="DO223"/>
  <c r="DP223"/>
  <c r="DQ223"/>
  <c r="DR223"/>
  <c r="DS223"/>
  <c r="DT223"/>
  <c r="DU223"/>
  <c r="DV223"/>
  <c r="DW223"/>
  <c r="DX223"/>
  <c r="DY223"/>
  <c r="DZ223"/>
  <c r="EA223"/>
  <c r="EB223"/>
  <c r="EC223"/>
  <c r="ED223"/>
  <c r="EE223"/>
  <c r="EF223"/>
  <c r="EG223"/>
  <c r="EH223"/>
  <c r="EI223"/>
  <c r="EJ223"/>
  <c r="EK223"/>
  <c r="EL223"/>
  <c r="EM223"/>
  <c r="EN223"/>
  <c r="EO223"/>
  <c r="EP223"/>
  <c r="EQ223"/>
  <c r="ER223"/>
  <c r="ES223"/>
  <c r="ET223"/>
  <c r="EU223"/>
  <c r="EV223"/>
  <c r="EW223"/>
  <c r="EX223"/>
  <c r="EY223"/>
  <c r="EZ223"/>
  <c r="FA223"/>
  <c r="FB223"/>
  <c r="FC223"/>
  <c r="FD223"/>
  <c r="FE223"/>
  <c r="FF223"/>
  <c r="FG223"/>
  <c r="FH223"/>
  <c r="FI223"/>
  <c r="FJ223"/>
  <c r="FK223"/>
  <c r="FL223"/>
  <c r="FM223"/>
  <c r="FN223"/>
  <c r="FO223"/>
  <c r="FP223"/>
  <c r="FQ223"/>
  <c r="FR223"/>
  <c r="FS223"/>
  <c r="FT223"/>
  <c r="FU223"/>
  <c r="FV223"/>
  <c r="FW223"/>
  <c r="FX223"/>
  <c r="FY223"/>
  <c r="FZ223"/>
  <c r="GA223"/>
  <c r="GB223"/>
  <c r="GC223"/>
  <c r="GD223"/>
  <c r="GE223"/>
  <c r="GF223"/>
  <c r="GG223"/>
  <c r="GH223"/>
  <c r="GI223"/>
  <c r="GJ223"/>
  <c r="GK223"/>
  <c r="GL223"/>
  <c r="GM223"/>
  <c r="GN223"/>
  <c r="GO223"/>
  <c r="GP223"/>
  <c r="GQ223"/>
  <c r="GR223"/>
  <c r="GS223"/>
  <c r="GT223"/>
  <c r="GU223"/>
  <c r="GV223"/>
  <c r="GW223"/>
  <c r="GX223"/>
  <c r="GY223"/>
  <c r="GZ223"/>
  <c r="HA223"/>
  <c r="HB223"/>
  <c r="HC223"/>
  <c r="HD223"/>
  <c r="HE223"/>
  <c r="HF223"/>
  <c r="HG223"/>
  <c r="HH223"/>
  <c r="HI223"/>
  <c r="HJ223"/>
  <c r="HK223"/>
  <c r="HL223"/>
  <c r="HM223"/>
  <c r="HN223"/>
  <c r="HO223"/>
  <c r="HP223"/>
  <c r="HQ223"/>
  <c r="HR223"/>
  <c r="HS223"/>
  <c r="HT223"/>
  <c r="HU223"/>
  <c r="HV223"/>
  <c r="HW223"/>
  <c r="HX223"/>
  <c r="HY223"/>
  <c r="HZ223"/>
  <c r="IA223"/>
  <c r="IB223"/>
  <c r="IC223"/>
  <c r="ID223"/>
  <c r="IE223"/>
  <c r="IF223"/>
  <c r="IG223"/>
  <c r="IH223"/>
  <c r="II223"/>
  <c r="IJ223"/>
  <c r="IK223"/>
  <c r="IL223"/>
  <c r="IM223"/>
  <c r="IN223"/>
  <c r="IO223"/>
  <c r="IP223"/>
  <c r="IQ223"/>
  <c r="IR223"/>
  <c r="IS223"/>
  <c r="IT223"/>
  <c r="IU223"/>
  <c r="IV223"/>
  <c r="A224"/>
  <c r="B224"/>
  <c r="C224"/>
  <c r="D224"/>
  <c r="E224"/>
  <c r="F224"/>
  <c r="G224"/>
  <c r="H224"/>
  <c r="I224"/>
  <c r="J224"/>
  <c r="K224"/>
  <c r="L224"/>
  <c r="M224"/>
  <c r="N224"/>
  <c r="O224"/>
  <c r="P224"/>
  <c r="Q224"/>
  <c r="R224"/>
  <c r="S224"/>
  <c r="T224"/>
  <c r="U224"/>
  <c r="V224"/>
  <c r="W224"/>
  <c r="X224"/>
  <c r="Y224"/>
  <c r="Z224"/>
  <c r="AA224"/>
  <c r="AB224"/>
  <c r="AC224"/>
  <c r="AD224"/>
  <c r="AE224"/>
  <c r="AF224"/>
  <c r="AG224"/>
  <c r="AH224"/>
  <c r="AI224"/>
  <c r="AJ224"/>
  <c r="AK224"/>
  <c r="AL224"/>
  <c r="AM224"/>
  <c r="AN224"/>
  <c r="AO224"/>
  <c r="AP224"/>
  <c r="AQ224"/>
  <c r="AR224"/>
  <c r="AS224"/>
  <c r="AT224"/>
  <c r="AU224"/>
  <c r="AV224"/>
  <c r="AW224"/>
  <c r="AX224"/>
  <c r="AY224"/>
  <c r="AZ224"/>
  <c r="BA224"/>
  <c r="BB224"/>
  <c r="BC224"/>
  <c r="BD224"/>
  <c r="BE224"/>
  <c r="BF224"/>
  <c r="BG224"/>
  <c r="BH224"/>
  <c r="BI224"/>
  <c r="BJ224"/>
  <c r="BK224"/>
  <c r="BL224"/>
  <c r="BM224"/>
  <c r="BN224"/>
  <c r="BO224"/>
  <c r="BP224"/>
  <c r="BQ224"/>
  <c r="BR224"/>
  <c r="BS224"/>
  <c r="BT224"/>
  <c r="BU224"/>
  <c r="BV224"/>
  <c r="BW224"/>
  <c r="BX224"/>
  <c r="BY224"/>
  <c r="BZ224"/>
  <c r="CA224"/>
  <c r="CB224"/>
  <c r="CC224"/>
  <c r="CD224"/>
  <c r="CE224"/>
  <c r="CF224"/>
  <c r="CG224"/>
  <c r="CH224"/>
  <c r="CI224"/>
  <c r="CJ224"/>
  <c r="CK224"/>
  <c r="CL224"/>
  <c r="CM224"/>
  <c r="CN224"/>
  <c r="CO224"/>
  <c r="CP224"/>
  <c r="CQ224"/>
  <c r="CR224"/>
  <c r="CS224"/>
  <c r="CT224"/>
  <c r="CU224"/>
  <c r="CV224"/>
  <c r="CW224"/>
  <c r="CX224"/>
  <c r="CY224"/>
  <c r="CZ224"/>
  <c r="DA224"/>
  <c r="DB224"/>
  <c r="DC224"/>
  <c r="DD224"/>
  <c r="DE224"/>
  <c r="DF224"/>
  <c r="DG224"/>
  <c r="DH224"/>
  <c r="DI224"/>
  <c r="DJ224"/>
  <c r="DK224"/>
  <c r="DL224"/>
  <c r="DM224"/>
  <c r="DN224"/>
  <c r="DO224"/>
  <c r="DP224"/>
  <c r="DQ224"/>
  <c r="DR224"/>
  <c r="DS224"/>
  <c r="DT224"/>
  <c r="DU224"/>
  <c r="DV224"/>
  <c r="DW224"/>
  <c r="DX224"/>
  <c r="DY224"/>
  <c r="DZ224"/>
  <c r="EA224"/>
  <c r="EB224"/>
  <c r="EC224"/>
  <c r="ED224"/>
  <c r="EE224"/>
  <c r="EF224"/>
  <c r="EG224"/>
  <c r="EH224"/>
  <c r="EI224"/>
  <c r="EJ224"/>
  <c r="EK224"/>
  <c r="EL224"/>
  <c r="EM224"/>
  <c r="EN224"/>
  <c r="EO224"/>
  <c r="EP224"/>
  <c r="EQ224"/>
  <c r="ER224"/>
  <c r="ES224"/>
  <c r="ET224"/>
  <c r="EU224"/>
  <c r="EV224"/>
  <c r="EW224"/>
  <c r="EX224"/>
  <c r="EY224"/>
  <c r="EZ224"/>
  <c r="FA224"/>
  <c r="FB224"/>
  <c r="FC224"/>
  <c r="FD224"/>
  <c r="FE224"/>
  <c r="FF224"/>
  <c r="FG224"/>
  <c r="FH224"/>
  <c r="FI224"/>
  <c r="FJ224"/>
  <c r="FK224"/>
  <c r="FL224"/>
  <c r="FM224"/>
  <c r="FN224"/>
  <c r="FO224"/>
  <c r="FP224"/>
  <c r="FQ224"/>
  <c r="FR224"/>
  <c r="FS224"/>
  <c r="FT224"/>
  <c r="FU224"/>
  <c r="FV224"/>
  <c r="FW224"/>
  <c r="FX224"/>
  <c r="FY224"/>
  <c r="FZ224"/>
  <c r="GA224"/>
  <c r="GB224"/>
  <c r="GC224"/>
  <c r="GD224"/>
  <c r="GE224"/>
  <c r="GF224"/>
  <c r="GG224"/>
  <c r="GH224"/>
  <c r="GI224"/>
  <c r="GJ224"/>
  <c r="GK224"/>
  <c r="GL224"/>
  <c r="GM224"/>
  <c r="GN224"/>
  <c r="GO224"/>
  <c r="GP224"/>
  <c r="GQ224"/>
  <c r="GR224"/>
  <c r="GS224"/>
  <c r="GT224"/>
  <c r="GU224"/>
  <c r="GV224"/>
  <c r="GW224"/>
  <c r="GX224"/>
  <c r="GY224"/>
  <c r="GZ224"/>
  <c r="HA224"/>
  <c r="HB224"/>
  <c r="HC224"/>
  <c r="HD224"/>
  <c r="HE224"/>
  <c r="HF224"/>
  <c r="HG224"/>
  <c r="HH224"/>
  <c r="HI224"/>
  <c r="HJ224"/>
  <c r="HK224"/>
  <c r="HL224"/>
  <c r="HM224"/>
  <c r="HN224"/>
  <c r="HO224"/>
  <c r="HP224"/>
  <c r="HQ224"/>
  <c r="HR224"/>
  <c r="HS224"/>
  <c r="HT224"/>
  <c r="HU224"/>
  <c r="HV224"/>
  <c r="HW224"/>
  <c r="HX224"/>
  <c r="HY224"/>
  <c r="HZ224"/>
  <c r="IA224"/>
  <c r="IB224"/>
  <c r="IC224"/>
  <c r="ID224"/>
  <c r="IE224"/>
  <c r="IF224"/>
  <c r="IG224"/>
  <c r="IH224"/>
  <c r="II224"/>
  <c r="IJ224"/>
  <c r="IK224"/>
  <c r="IL224"/>
  <c r="IM224"/>
  <c r="IN224"/>
  <c r="IO224"/>
  <c r="IP224"/>
  <c r="IQ224"/>
  <c r="IR224"/>
  <c r="IS224"/>
  <c r="IT224"/>
  <c r="IU224"/>
  <c r="IV224"/>
  <c r="A225"/>
  <c r="B225"/>
  <c r="C225"/>
  <c r="D225"/>
  <c r="E225"/>
  <c r="F225"/>
  <c r="G225"/>
  <c r="H225"/>
  <c r="I225"/>
  <c r="J225"/>
  <c r="K225"/>
  <c r="L225"/>
  <c r="M225"/>
  <c r="N225"/>
  <c r="O225"/>
  <c r="P225"/>
  <c r="Q225"/>
  <c r="R225"/>
  <c r="S225"/>
  <c r="T225"/>
  <c r="U225"/>
  <c r="V225"/>
  <c r="W225"/>
  <c r="X225"/>
  <c r="Y225"/>
  <c r="Z225"/>
  <c r="AA225"/>
  <c r="AB225"/>
  <c r="AC225"/>
  <c r="AD225"/>
  <c r="AE225"/>
  <c r="AF225"/>
  <c r="AG225"/>
  <c r="AH225"/>
  <c r="AI225"/>
  <c r="AJ225"/>
  <c r="AK225"/>
  <c r="AL225"/>
  <c r="AM225"/>
  <c r="AN225"/>
  <c r="AO225"/>
  <c r="AP225"/>
  <c r="AQ225"/>
  <c r="AR225"/>
  <c r="AS225"/>
  <c r="AT225"/>
  <c r="AU225"/>
  <c r="AV225"/>
  <c r="AW225"/>
  <c r="AX225"/>
  <c r="AY225"/>
  <c r="AZ225"/>
  <c r="BA225"/>
  <c r="BB225"/>
  <c r="BC225"/>
  <c r="BD225"/>
  <c r="BE225"/>
  <c r="BF225"/>
  <c r="BG225"/>
  <c r="BH225"/>
  <c r="BI225"/>
  <c r="BJ225"/>
  <c r="BK225"/>
  <c r="BL225"/>
  <c r="BM225"/>
  <c r="BN225"/>
  <c r="BO225"/>
  <c r="BP225"/>
  <c r="BQ225"/>
  <c r="BR225"/>
  <c r="BS225"/>
  <c r="BT225"/>
  <c r="BU225"/>
  <c r="BV225"/>
  <c r="BW225"/>
  <c r="BX225"/>
  <c r="BY225"/>
  <c r="BZ225"/>
  <c r="CA225"/>
  <c r="CB225"/>
  <c r="CC225"/>
  <c r="CD225"/>
  <c r="CE225"/>
  <c r="CF225"/>
  <c r="CG225"/>
  <c r="CH225"/>
  <c r="CI225"/>
  <c r="CJ225"/>
  <c r="CK225"/>
  <c r="CL225"/>
  <c r="CM225"/>
  <c r="CN225"/>
  <c r="CO225"/>
  <c r="CP225"/>
  <c r="CQ225"/>
  <c r="CR225"/>
  <c r="CS225"/>
  <c r="CT225"/>
  <c r="CU225"/>
  <c r="CV225"/>
  <c r="CW225"/>
  <c r="CX225"/>
  <c r="CY225"/>
  <c r="CZ225"/>
  <c r="DA225"/>
  <c r="DB225"/>
  <c r="DC225"/>
  <c r="DD225"/>
  <c r="DE225"/>
  <c r="DF225"/>
  <c r="DG225"/>
  <c r="DH225"/>
  <c r="DI225"/>
  <c r="DJ225"/>
  <c r="DK225"/>
  <c r="DL225"/>
  <c r="DM225"/>
  <c r="DN225"/>
  <c r="DO225"/>
  <c r="DP225"/>
  <c r="DQ225"/>
  <c r="DR225"/>
  <c r="DS225"/>
  <c r="DT225"/>
  <c r="DU225"/>
  <c r="DV225"/>
  <c r="DW225"/>
  <c r="DX225"/>
  <c r="DY225"/>
  <c r="DZ225"/>
  <c r="EA225"/>
  <c r="EB225"/>
  <c r="EC225"/>
  <c r="ED225"/>
  <c r="EE225"/>
  <c r="EF225"/>
  <c r="EG225"/>
  <c r="EH225"/>
  <c r="EI225"/>
  <c r="EJ225"/>
  <c r="EK225"/>
  <c r="EL225"/>
  <c r="EM225"/>
  <c r="EN225"/>
  <c r="EO225"/>
  <c r="EP225"/>
  <c r="EQ225"/>
  <c r="ER225"/>
  <c r="ES225"/>
  <c r="ET225"/>
  <c r="EU225"/>
  <c r="EV225"/>
  <c r="EW225"/>
  <c r="EX225"/>
  <c r="EY225"/>
  <c r="EZ225"/>
  <c r="FA225"/>
  <c r="FB225"/>
  <c r="FC225"/>
  <c r="FD225"/>
  <c r="FE225"/>
  <c r="FF225"/>
  <c r="FG225"/>
  <c r="FH225"/>
  <c r="FI225"/>
  <c r="FJ225"/>
  <c r="FK225"/>
  <c r="FL225"/>
  <c r="FM225"/>
  <c r="FN225"/>
  <c r="FO225"/>
  <c r="FP225"/>
  <c r="FQ225"/>
  <c r="FR225"/>
  <c r="FS225"/>
  <c r="FT225"/>
  <c r="FU225"/>
  <c r="FV225"/>
  <c r="FW225"/>
  <c r="FX225"/>
  <c r="FY225"/>
  <c r="FZ225"/>
  <c r="GA225"/>
  <c r="GB225"/>
  <c r="GC225"/>
  <c r="GD225"/>
  <c r="GE225"/>
  <c r="GF225"/>
  <c r="GG225"/>
  <c r="GH225"/>
  <c r="GI225"/>
  <c r="GJ225"/>
  <c r="GK225"/>
  <c r="GL225"/>
  <c r="GM225"/>
  <c r="GN225"/>
  <c r="GO225"/>
  <c r="GP225"/>
  <c r="GQ225"/>
  <c r="GR225"/>
  <c r="GS225"/>
  <c r="GT225"/>
  <c r="GU225"/>
  <c r="GV225"/>
  <c r="GW225"/>
  <c r="GX225"/>
  <c r="GY225"/>
  <c r="GZ225"/>
  <c r="HA225"/>
  <c r="HB225"/>
  <c r="HC225"/>
  <c r="HD225"/>
  <c r="HE225"/>
  <c r="HF225"/>
  <c r="HG225"/>
  <c r="HH225"/>
  <c r="HI225"/>
  <c r="HJ225"/>
  <c r="HK225"/>
  <c r="HL225"/>
  <c r="HM225"/>
  <c r="HN225"/>
  <c r="HO225"/>
  <c r="HP225"/>
  <c r="HQ225"/>
  <c r="HR225"/>
  <c r="HS225"/>
  <c r="HT225"/>
  <c r="HU225"/>
  <c r="HV225"/>
  <c r="HW225"/>
  <c r="HX225"/>
  <c r="HY225"/>
  <c r="HZ225"/>
  <c r="IA225"/>
  <c r="IB225"/>
  <c r="IC225"/>
  <c r="ID225"/>
  <c r="IE225"/>
  <c r="IF225"/>
  <c r="IG225"/>
  <c r="IH225"/>
  <c r="II225"/>
  <c r="IJ225"/>
  <c r="IK225"/>
  <c r="IL225"/>
  <c r="IM225"/>
  <c r="IN225"/>
  <c r="IO225"/>
  <c r="IP225"/>
  <c r="IQ225"/>
  <c r="IR225"/>
  <c r="IS225"/>
  <c r="IT225"/>
  <c r="IU225"/>
  <c r="IV225"/>
  <c r="A226"/>
  <c r="B226"/>
  <c r="C226"/>
  <c r="D226"/>
  <c r="E226"/>
  <c r="F226"/>
  <c r="G226"/>
  <c r="H226"/>
  <c r="I226"/>
  <c r="J226"/>
  <c r="K226"/>
  <c r="L226"/>
  <c r="M226"/>
  <c r="N226"/>
  <c r="O226"/>
  <c r="P226"/>
  <c r="Q226"/>
  <c r="R226"/>
  <c r="S226"/>
  <c r="T226"/>
  <c r="U226"/>
  <c r="V226"/>
  <c r="W226"/>
  <c r="X226"/>
  <c r="Y226"/>
  <c r="Z226"/>
  <c r="AA226"/>
  <c r="AB226"/>
  <c r="AC226"/>
  <c r="AD226"/>
  <c r="AE226"/>
  <c r="AF226"/>
  <c r="AG226"/>
  <c r="AH226"/>
  <c r="AI226"/>
  <c r="AJ226"/>
  <c r="AK226"/>
  <c r="AL226"/>
  <c r="AM226"/>
  <c r="AN226"/>
  <c r="AO226"/>
  <c r="AP226"/>
  <c r="AQ226"/>
  <c r="AR226"/>
  <c r="AS226"/>
  <c r="AT226"/>
  <c r="AU226"/>
  <c r="AV226"/>
  <c r="AW226"/>
  <c r="AX226"/>
  <c r="AY226"/>
  <c r="AZ226"/>
  <c r="BA226"/>
  <c r="BB226"/>
  <c r="BC226"/>
  <c r="BD226"/>
  <c r="BE226"/>
  <c r="BF226"/>
  <c r="BG226"/>
  <c r="BH226"/>
  <c r="BI226"/>
  <c r="BJ226"/>
  <c r="BK226"/>
  <c r="BL226"/>
  <c r="BM226"/>
  <c r="BN226"/>
  <c r="BO226"/>
  <c r="BP226"/>
  <c r="BQ226"/>
  <c r="BR226"/>
  <c r="BS226"/>
  <c r="BT226"/>
  <c r="BU226"/>
  <c r="BV226"/>
  <c r="BW226"/>
  <c r="BX226"/>
  <c r="BY226"/>
  <c r="BZ226"/>
  <c r="CA226"/>
  <c r="CB226"/>
  <c r="CC226"/>
  <c r="CD226"/>
  <c r="CE226"/>
  <c r="CF226"/>
  <c r="CG226"/>
  <c r="CH226"/>
  <c r="CI226"/>
  <c r="CJ226"/>
  <c r="CK226"/>
  <c r="CL226"/>
  <c r="CM226"/>
  <c r="CN226"/>
  <c r="CO226"/>
  <c r="CP226"/>
  <c r="CQ226"/>
  <c r="CR226"/>
  <c r="CS226"/>
  <c r="CT226"/>
  <c r="CU226"/>
  <c r="CV226"/>
  <c r="CW226"/>
  <c r="CX226"/>
  <c r="CY226"/>
  <c r="CZ226"/>
  <c r="DA226"/>
  <c r="DB226"/>
  <c r="DC226"/>
  <c r="DD226"/>
  <c r="DE226"/>
  <c r="DF226"/>
  <c r="DG226"/>
  <c r="DH226"/>
  <c r="DI226"/>
  <c r="DJ226"/>
  <c r="DK226"/>
  <c r="DL226"/>
  <c r="DM226"/>
  <c r="DN226"/>
  <c r="DO226"/>
  <c r="DP226"/>
  <c r="DQ226"/>
  <c r="DR226"/>
  <c r="DS226"/>
  <c r="DT226"/>
  <c r="DU226"/>
  <c r="DV226"/>
  <c r="DW226"/>
  <c r="DX226"/>
  <c r="DY226"/>
  <c r="DZ226"/>
  <c r="EA226"/>
  <c r="EB226"/>
  <c r="EC226"/>
  <c r="ED226"/>
  <c r="EE226"/>
  <c r="EF226"/>
  <c r="EG226"/>
  <c r="EH226"/>
  <c r="EI226"/>
  <c r="EJ226"/>
  <c r="EK226"/>
  <c r="EL226"/>
  <c r="EM226"/>
  <c r="EN226"/>
  <c r="EO226"/>
  <c r="EP226"/>
  <c r="EQ226"/>
  <c r="ER226"/>
  <c r="ES226"/>
  <c r="ET226"/>
  <c r="EU226"/>
  <c r="EV226"/>
  <c r="EW226"/>
  <c r="EX226"/>
  <c r="EY226"/>
  <c r="EZ226"/>
  <c r="FA226"/>
  <c r="FB226"/>
  <c r="FC226"/>
  <c r="FD226"/>
  <c r="FE226"/>
  <c r="FF226"/>
  <c r="FG226"/>
  <c r="FH226"/>
  <c r="FI226"/>
  <c r="FJ226"/>
  <c r="FK226"/>
  <c r="FL226"/>
  <c r="FM226"/>
  <c r="FN226"/>
  <c r="FO226"/>
  <c r="FP226"/>
  <c r="FQ226"/>
  <c r="FR226"/>
  <c r="FS226"/>
  <c r="FT226"/>
  <c r="FU226"/>
  <c r="FV226"/>
  <c r="FW226"/>
  <c r="FX226"/>
  <c r="FY226"/>
  <c r="FZ226"/>
  <c r="GA226"/>
  <c r="GB226"/>
  <c r="GC226"/>
  <c r="GD226"/>
  <c r="GE226"/>
  <c r="GF226"/>
  <c r="GG226"/>
  <c r="GH226"/>
  <c r="GI226"/>
  <c r="GJ226"/>
  <c r="GK226"/>
  <c r="GL226"/>
  <c r="GM226"/>
  <c r="GN226"/>
  <c r="GO226"/>
  <c r="GP226"/>
  <c r="GQ226"/>
  <c r="GR226"/>
  <c r="GS226"/>
  <c r="GT226"/>
  <c r="GU226"/>
  <c r="GV226"/>
  <c r="GW226"/>
  <c r="GX226"/>
  <c r="GY226"/>
  <c r="GZ226"/>
  <c r="HA226"/>
  <c r="HB226"/>
  <c r="HC226"/>
  <c r="HD226"/>
  <c r="HE226"/>
  <c r="HF226"/>
  <c r="HG226"/>
  <c r="HH226"/>
  <c r="HI226"/>
  <c r="HJ226"/>
  <c r="HK226"/>
  <c r="HL226"/>
  <c r="HM226"/>
  <c r="HN226"/>
  <c r="HO226"/>
  <c r="HP226"/>
  <c r="HQ226"/>
  <c r="HR226"/>
  <c r="HS226"/>
  <c r="HT226"/>
  <c r="HU226"/>
  <c r="HV226"/>
  <c r="HW226"/>
  <c r="HX226"/>
  <c r="HY226"/>
  <c r="HZ226"/>
  <c r="IA226"/>
  <c r="IB226"/>
  <c r="IC226"/>
  <c r="ID226"/>
  <c r="IE226"/>
  <c r="IF226"/>
  <c r="IG226"/>
  <c r="IH226"/>
  <c r="II226"/>
  <c r="IJ226"/>
  <c r="IK226"/>
  <c r="IL226"/>
  <c r="IM226"/>
  <c r="IN226"/>
  <c r="IO226"/>
  <c r="IP226"/>
  <c r="IQ226"/>
  <c r="IR226"/>
  <c r="IS226"/>
  <c r="IT226"/>
  <c r="IU226"/>
  <c r="IV226"/>
  <c r="A227"/>
  <c r="B227"/>
  <c r="C227"/>
  <c r="D227"/>
  <c r="E227"/>
  <c r="F227"/>
  <c r="G227"/>
  <c r="H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Z227"/>
  <c r="AA227"/>
  <c r="AB227"/>
  <c r="AC227"/>
  <c r="AD227"/>
  <c r="AE227"/>
  <c r="AF227"/>
  <c r="AG227"/>
  <c r="AH227"/>
  <c r="AI227"/>
  <c r="AJ227"/>
  <c r="AK227"/>
  <c r="AL227"/>
  <c r="AM227"/>
  <c r="AN227"/>
  <c r="AO227"/>
  <c r="AP227"/>
  <c r="AQ227"/>
  <c r="AR227"/>
  <c r="AS227"/>
  <c r="AT227"/>
  <c r="AU227"/>
  <c r="AV227"/>
  <c r="AW227"/>
  <c r="AX227"/>
  <c r="AY227"/>
  <c r="AZ227"/>
  <c r="BA227"/>
  <c r="BB227"/>
  <c r="BC227"/>
  <c r="BD227"/>
  <c r="BE227"/>
  <c r="BF227"/>
  <c r="BG227"/>
  <c r="BH227"/>
  <c r="BI227"/>
  <c r="BJ227"/>
  <c r="BK227"/>
  <c r="BL227"/>
  <c r="BM227"/>
  <c r="BN227"/>
  <c r="BO227"/>
  <c r="BP227"/>
  <c r="BQ227"/>
  <c r="BR227"/>
  <c r="BS227"/>
  <c r="BT227"/>
  <c r="BU227"/>
  <c r="BV227"/>
  <c r="BW227"/>
  <c r="BX227"/>
  <c r="BY227"/>
  <c r="BZ227"/>
  <c r="CA227"/>
  <c r="CB227"/>
  <c r="CC227"/>
  <c r="CD227"/>
  <c r="CE227"/>
  <c r="CF227"/>
  <c r="CG227"/>
  <c r="CH227"/>
  <c r="CI227"/>
  <c r="CJ227"/>
  <c r="CK227"/>
  <c r="CL227"/>
  <c r="CM227"/>
  <c r="CN227"/>
  <c r="CO227"/>
  <c r="CP227"/>
  <c r="CQ227"/>
  <c r="CR227"/>
  <c r="CS227"/>
  <c r="CT227"/>
  <c r="CU227"/>
  <c r="CV227"/>
  <c r="CW227"/>
  <c r="CX227"/>
  <c r="CY227"/>
  <c r="CZ227"/>
  <c r="DA227"/>
  <c r="DB227"/>
  <c r="DC227"/>
  <c r="DD227"/>
  <c r="DE227"/>
  <c r="DF227"/>
  <c r="DG227"/>
  <c r="DH227"/>
  <c r="DI227"/>
  <c r="DJ227"/>
  <c r="DK227"/>
  <c r="DL227"/>
  <c r="DM227"/>
  <c r="DN227"/>
  <c r="DO227"/>
  <c r="DP227"/>
  <c r="DQ227"/>
  <c r="DR227"/>
  <c r="DS227"/>
  <c r="DT227"/>
  <c r="DU227"/>
  <c r="DV227"/>
  <c r="DW227"/>
  <c r="DX227"/>
  <c r="DY227"/>
  <c r="DZ227"/>
  <c r="EA227"/>
  <c r="EB227"/>
  <c r="EC227"/>
  <c r="ED227"/>
  <c r="EE227"/>
  <c r="EF227"/>
  <c r="EG227"/>
  <c r="EH227"/>
  <c r="EI227"/>
  <c r="EJ227"/>
  <c r="EK227"/>
  <c r="EL227"/>
  <c r="EM227"/>
  <c r="EN227"/>
  <c r="EO227"/>
  <c r="EP227"/>
  <c r="EQ227"/>
  <c r="ER227"/>
  <c r="ES227"/>
  <c r="ET227"/>
  <c r="EU227"/>
  <c r="EV227"/>
  <c r="EW227"/>
  <c r="EX227"/>
  <c r="EY227"/>
  <c r="EZ227"/>
  <c r="FA227"/>
  <c r="FB227"/>
  <c r="FC227"/>
  <c r="FD227"/>
  <c r="FE227"/>
  <c r="FF227"/>
  <c r="FG227"/>
  <c r="FH227"/>
  <c r="FI227"/>
  <c r="FJ227"/>
  <c r="FK227"/>
  <c r="FL227"/>
  <c r="FM227"/>
  <c r="FN227"/>
  <c r="FO227"/>
  <c r="FP227"/>
  <c r="FQ227"/>
  <c r="FR227"/>
  <c r="FS227"/>
  <c r="FT227"/>
  <c r="FU227"/>
  <c r="FV227"/>
  <c r="FW227"/>
  <c r="FX227"/>
  <c r="FY227"/>
  <c r="FZ227"/>
  <c r="GA227"/>
  <c r="GB227"/>
  <c r="GC227"/>
  <c r="GD227"/>
  <c r="GE227"/>
  <c r="GF227"/>
  <c r="GG227"/>
  <c r="GH227"/>
  <c r="GI227"/>
  <c r="GJ227"/>
  <c r="GK227"/>
  <c r="GL227"/>
  <c r="GM227"/>
  <c r="GN227"/>
  <c r="GO227"/>
  <c r="GP227"/>
  <c r="GQ227"/>
  <c r="GR227"/>
  <c r="GS227"/>
  <c r="GT227"/>
  <c r="GU227"/>
  <c r="GV227"/>
  <c r="GW227"/>
  <c r="GX227"/>
  <c r="GY227"/>
  <c r="GZ227"/>
  <c r="HA227"/>
  <c r="HB227"/>
  <c r="HC227"/>
  <c r="HD227"/>
  <c r="HE227"/>
  <c r="HF227"/>
  <c r="HG227"/>
  <c r="HH227"/>
  <c r="HI227"/>
  <c r="HJ227"/>
  <c r="HK227"/>
  <c r="HL227"/>
  <c r="HM227"/>
  <c r="HN227"/>
  <c r="HO227"/>
  <c r="HP227"/>
  <c r="HQ227"/>
  <c r="HR227"/>
  <c r="HS227"/>
  <c r="HT227"/>
  <c r="HU227"/>
  <c r="HV227"/>
  <c r="HW227"/>
  <c r="HX227"/>
  <c r="HY227"/>
  <c r="HZ227"/>
  <c r="IA227"/>
  <c r="IB227"/>
  <c r="IC227"/>
  <c r="ID227"/>
  <c r="IE227"/>
  <c r="IF227"/>
  <c r="IG227"/>
  <c r="IH227"/>
  <c r="II227"/>
  <c r="IJ227"/>
  <c r="IK227"/>
  <c r="IL227"/>
  <c r="IM227"/>
  <c r="IN227"/>
  <c r="IO227"/>
  <c r="IP227"/>
  <c r="IQ227"/>
  <c r="IR227"/>
  <c r="IS227"/>
  <c r="IT227"/>
  <c r="IU227"/>
  <c r="IV227"/>
  <c r="A228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Z228"/>
  <c r="AA228"/>
  <c r="AB228"/>
  <c r="AC228"/>
  <c r="AD228"/>
  <c r="AE228"/>
  <c r="AF228"/>
  <c r="AG228"/>
  <c r="AH228"/>
  <c r="AI228"/>
  <c r="AJ228"/>
  <c r="AK228"/>
  <c r="AL228"/>
  <c r="AM228"/>
  <c r="AN228"/>
  <c r="AO228"/>
  <c r="AP228"/>
  <c r="AQ228"/>
  <c r="AR228"/>
  <c r="AS228"/>
  <c r="AT228"/>
  <c r="AU228"/>
  <c r="AV228"/>
  <c r="AW228"/>
  <c r="AX228"/>
  <c r="AY228"/>
  <c r="AZ228"/>
  <c r="BA228"/>
  <c r="BB228"/>
  <c r="BC228"/>
  <c r="BD228"/>
  <c r="BE228"/>
  <c r="BF228"/>
  <c r="BG228"/>
  <c r="BH228"/>
  <c r="BI228"/>
  <c r="BJ228"/>
  <c r="BK228"/>
  <c r="BL228"/>
  <c r="BM228"/>
  <c r="BN228"/>
  <c r="BO228"/>
  <c r="BP228"/>
  <c r="BQ228"/>
  <c r="BR228"/>
  <c r="BS228"/>
  <c r="BT228"/>
  <c r="BU228"/>
  <c r="BV228"/>
  <c r="BW228"/>
  <c r="BX228"/>
  <c r="BY228"/>
  <c r="BZ228"/>
  <c r="CA228"/>
  <c r="CB228"/>
  <c r="CC228"/>
  <c r="CD228"/>
  <c r="CE228"/>
  <c r="CF228"/>
  <c r="CG228"/>
  <c r="CH228"/>
  <c r="CI228"/>
  <c r="CJ228"/>
  <c r="CK228"/>
  <c r="CL228"/>
  <c r="CM228"/>
  <c r="CN228"/>
  <c r="CO228"/>
  <c r="CP228"/>
  <c r="CQ228"/>
  <c r="CR228"/>
  <c r="CS228"/>
  <c r="CT228"/>
  <c r="CU228"/>
  <c r="CV228"/>
  <c r="CW228"/>
  <c r="CX228"/>
  <c r="CY228"/>
  <c r="CZ228"/>
  <c r="DA228"/>
  <c r="DB228"/>
  <c r="DC228"/>
  <c r="DD228"/>
  <c r="DE228"/>
  <c r="DF228"/>
  <c r="DG228"/>
  <c r="DH228"/>
  <c r="DI228"/>
  <c r="DJ228"/>
  <c r="DK228"/>
  <c r="DL228"/>
  <c r="DM228"/>
  <c r="DN228"/>
  <c r="DO228"/>
  <c r="DP228"/>
  <c r="DQ228"/>
  <c r="DR228"/>
  <c r="DS228"/>
  <c r="DT228"/>
  <c r="DU228"/>
  <c r="DV228"/>
  <c r="DW228"/>
  <c r="DX228"/>
  <c r="DY228"/>
  <c r="DZ228"/>
  <c r="EA228"/>
  <c r="EB228"/>
  <c r="EC228"/>
  <c r="ED228"/>
  <c r="EE228"/>
  <c r="EF228"/>
  <c r="EG228"/>
  <c r="EH228"/>
  <c r="EI228"/>
  <c r="EJ228"/>
  <c r="EK228"/>
  <c r="EL228"/>
  <c r="EM228"/>
  <c r="EN228"/>
  <c r="EO228"/>
  <c r="EP228"/>
  <c r="EQ228"/>
  <c r="ER228"/>
  <c r="ES228"/>
  <c r="ET228"/>
  <c r="EU228"/>
  <c r="EV228"/>
  <c r="EW228"/>
  <c r="EX228"/>
  <c r="EY228"/>
  <c r="EZ228"/>
  <c r="FA228"/>
  <c r="FB228"/>
  <c r="FC228"/>
  <c r="FD228"/>
  <c r="FE228"/>
  <c r="FF228"/>
  <c r="FG228"/>
  <c r="FH228"/>
  <c r="FI228"/>
  <c r="FJ228"/>
  <c r="FK228"/>
  <c r="FL228"/>
  <c r="FM228"/>
  <c r="FN228"/>
  <c r="FO228"/>
  <c r="FP228"/>
  <c r="FQ228"/>
  <c r="FR228"/>
  <c r="FS228"/>
  <c r="FT228"/>
  <c r="FU228"/>
  <c r="FV228"/>
  <c r="FW228"/>
  <c r="FX228"/>
  <c r="FY228"/>
  <c r="FZ228"/>
  <c r="GA228"/>
  <c r="GB228"/>
  <c r="GC228"/>
  <c r="GD228"/>
  <c r="GE228"/>
  <c r="GF228"/>
  <c r="GG228"/>
  <c r="GH228"/>
  <c r="GI228"/>
  <c r="GJ228"/>
  <c r="GK228"/>
  <c r="GL228"/>
  <c r="GM228"/>
  <c r="GN228"/>
  <c r="GO228"/>
  <c r="GP228"/>
  <c r="GQ228"/>
  <c r="GR228"/>
  <c r="GS228"/>
  <c r="GT228"/>
  <c r="GU228"/>
  <c r="GV228"/>
  <c r="GW228"/>
  <c r="GX228"/>
  <c r="GY228"/>
  <c r="GZ228"/>
  <c r="HA228"/>
  <c r="HB228"/>
  <c r="HC228"/>
  <c r="HD228"/>
  <c r="HE228"/>
  <c r="HF228"/>
  <c r="HG228"/>
  <c r="HH228"/>
  <c r="HI228"/>
  <c r="HJ228"/>
  <c r="HK228"/>
  <c r="HL228"/>
  <c r="HM228"/>
  <c r="HN228"/>
  <c r="HO228"/>
  <c r="HP228"/>
  <c r="HQ228"/>
  <c r="HR228"/>
  <c r="HS228"/>
  <c r="HT228"/>
  <c r="HU228"/>
  <c r="HV228"/>
  <c r="HW228"/>
  <c r="HX228"/>
  <c r="HY228"/>
  <c r="HZ228"/>
  <c r="IA228"/>
  <c r="IB228"/>
  <c r="IC228"/>
  <c r="ID228"/>
  <c r="IE228"/>
  <c r="IF228"/>
  <c r="IG228"/>
  <c r="IH228"/>
  <c r="II228"/>
  <c r="IJ228"/>
  <c r="IK228"/>
  <c r="IL228"/>
  <c r="IM228"/>
  <c r="IN228"/>
  <c r="IO228"/>
  <c r="IP228"/>
  <c r="IQ228"/>
  <c r="IR228"/>
  <c r="IS228"/>
  <c r="IT228"/>
  <c r="IU228"/>
  <c r="IV228"/>
  <c r="A229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Z229"/>
  <c r="AA229"/>
  <c r="AB229"/>
  <c r="AC229"/>
  <c r="AD229"/>
  <c r="AE229"/>
  <c r="AF229"/>
  <c r="AG229"/>
  <c r="AH229"/>
  <c r="AI229"/>
  <c r="AJ229"/>
  <c r="AK229"/>
  <c r="AL229"/>
  <c r="AM229"/>
  <c r="AN229"/>
  <c r="AO229"/>
  <c r="AP229"/>
  <c r="AQ229"/>
  <c r="AR229"/>
  <c r="AS229"/>
  <c r="AT229"/>
  <c r="AU229"/>
  <c r="AV229"/>
  <c r="AW229"/>
  <c r="AX229"/>
  <c r="AY229"/>
  <c r="AZ229"/>
  <c r="BA229"/>
  <c r="BB229"/>
  <c r="BC229"/>
  <c r="BD229"/>
  <c r="BE229"/>
  <c r="BF229"/>
  <c r="BG229"/>
  <c r="BH229"/>
  <c r="BI229"/>
  <c r="BJ229"/>
  <c r="BK229"/>
  <c r="BL229"/>
  <c r="BM229"/>
  <c r="BN229"/>
  <c r="BO229"/>
  <c r="BP229"/>
  <c r="BQ229"/>
  <c r="BR229"/>
  <c r="BS229"/>
  <c r="BT229"/>
  <c r="BU229"/>
  <c r="BV229"/>
  <c r="BW229"/>
  <c r="BX229"/>
  <c r="BY229"/>
  <c r="BZ229"/>
  <c r="CA229"/>
  <c r="CB229"/>
  <c r="CC229"/>
  <c r="CD229"/>
  <c r="CE229"/>
  <c r="CF229"/>
  <c r="CG229"/>
  <c r="CH229"/>
  <c r="CI229"/>
  <c r="CJ229"/>
  <c r="CK229"/>
  <c r="CL229"/>
  <c r="CM229"/>
  <c r="CN229"/>
  <c r="CO229"/>
  <c r="CP229"/>
  <c r="CQ229"/>
  <c r="CR229"/>
  <c r="CS229"/>
  <c r="CT229"/>
  <c r="CU229"/>
  <c r="CV229"/>
  <c r="CW229"/>
  <c r="CX229"/>
  <c r="CY229"/>
  <c r="CZ229"/>
  <c r="DA229"/>
  <c r="DB229"/>
  <c r="DC229"/>
  <c r="DD229"/>
  <c r="DE229"/>
  <c r="DF229"/>
  <c r="DG229"/>
  <c r="DH229"/>
  <c r="DI229"/>
  <c r="DJ229"/>
  <c r="DK229"/>
  <c r="DL229"/>
  <c r="DM229"/>
  <c r="DN229"/>
  <c r="DO229"/>
  <c r="DP229"/>
  <c r="DQ229"/>
  <c r="DR229"/>
  <c r="DS229"/>
  <c r="DT229"/>
  <c r="DU229"/>
  <c r="DV229"/>
  <c r="DW229"/>
  <c r="DX229"/>
  <c r="DY229"/>
  <c r="DZ229"/>
  <c r="EA229"/>
  <c r="EB229"/>
  <c r="EC229"/>
  <c r="ED229"/>
  <c r="EE229"/>
  <c r="EF229"/>
  <c r="EG229"/>
  <c r="EH229"/>
  <c r="EI229"/>
  <c r="EJ229"/>
  <c r="EK229"/>
  <c r="EL229"/>
  <c r="EM229"/>
  <c r="EN229"/>
  <c r="EO229"/>
  <c r="EP229"/>
  <c r="EQ229"/>
  <c r="ER229"/>
  <c r="ES229"/>
  <c r="ET229"/>
  <c r="EU229"/>
  <c r="EV229"/>
  <c r="EW229"/>
  <c r="EX229"/>
  <c r="EY229"/>
  <c r="EZ229"/>
  <c r="FA229"/>
  <c r="FB229"/>
  <c r="FC229"/>
  <c r="FD229"/>
  <c r="FE229"/>
  <c r="FF229"/>
  <c r="FG229"/>
  <c r="FH229"/>
  <c r="FI229"/>
  <c r="FJ229"/>
  <c r="FK229"/>
  <c r="FL229"/>
  <c r="FM229"/>
  <c r="FN229"/>
  <c r="FO229"/>
  <c r="FP229"/>
  <c r="FQ229"/>
  <c r="FR229"/>
  <c r="FS229"/>
  <c r="FT229"/>
  <c r="FU229"/>
  <c r="FV229"/>
  <c r="FW229"/>
  <c r="FX229"/>
  <c r="FY229"/>
  <c r="FZ229"/>
  <c r="GA229"/>
  <c r="GB229"/>
  <c r="GC229"/>
  <c r="GD229"/>
  <c r="GE229"/>
  <c r="GF229"/>
  <c r="GG229"/>
  <c r="GH229"/>
  <c r="GI229"/>
  <c r="GJ229"/>
  <c r="GK229"/>
  <c r="GL229"/>
  <c r="GM229"/>
  <c r="GN229"/>
  <c r="GO229"/>
  <c r="GP229"/>
  <c r="GQ229"/>
  <c r="GR229"/>
  <c r="GS229"/>
  <c r="GT229"/>
  <c r="GU229"/>
  <c r="GV229"/>
  <c r="GW229"/>
  <c r="GX229"/>
  <c r="GY229"/>
  <c r="GZ229"/>
  <c r="HA229"/>
  <c r="HB229"/>
  <c r="HC229"/>
  <c r="HD229"/>
  <c r="HE229"/>
  <c r="HF229"/>
  <c r="HG229"/>
  <c r="HH229"/>
  <c r="HI229"/>
  <c r="HJ229"/>
  <c r="HK229"/>
  <c r="HL229"/>
  <c r="HM229"/>
  <c r="HN229"/>
  <c r="HO229"/>
  <c r="HP229"/>
  <c r="HQ229"/>
  <c r="HR229"/>
  <c r="HS229"/>
  <c r="HT229"/>
  <c r="HU229"/>
  <c r="HV229"/>
  <c r="HW229"/>
  <c r="HX229"/>
  <c r="HY229"/>
  <c r="HZ229"/>
  <c r="IA229"/>
  <c r="IB229"/>
  <c r="IC229"/>
  <c r="ID229"/>
  <c r="IE229"/>
  <c r="IF229"/>
  <c r="IG229"/>
  <c r="IH229"/>
  <c r="II229"/>
  <c r="IJ229"/>
  <c r="IK229"/>
  <c r="IL229"/>
  <c r="IM229"/>
  <c r="IN229"/>
  <c r="IO229"/>
  <c r="IP229"/>
  <c r="IQ229"/>
  <c r="IR229"/>
  <c r="IS229"/>
  <c r="IT229"/>
  <c r="IU229"/>
  <c r="IV229"/>
  <c r="A230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Z230"/>
  <c r="AA230"/>
  <c r="AB230"/>
  <c r="AC230"/>
  <c r="AD230"/>
  <c r="AE230"/>
  <c r="AF230"/>
  <c r="AG230"/>
  <c r="AH230"/>
  <c r="AI230"/>
  <c r="AJ230"/>
  <c r="AK230"/>
  <c r="AL230"/>
  <c r="AM230"/>
  <c r="AN230"/>
  <c r="AO230"/>
  <c r="AP230"/>
  <c r="AQ230"/>
  <c r="AR230"/>
  <c r="AS230"/>
  <c r="AT230"/>
  <c r="AU230"/>
  <c r="AV230"/>
  <c r="AW230"/>
  <c r="AX230"/>
  <c r="AY230"/>
  <c r="AZ230"/>
  <c r="BA230"/>
  <c r="BB230"/>
  <c r="BC230"/>
  <c r="BD230"/>
  <c r="BE230"/>
  <c r="BF230"/>
  <c r="BG230"/>
  <c r="BH230"/>
  <c r="BI230"/>
  <c r="BJ230"/>
  <c r="BK230"/>
  <c r="BL230"/>
  <c r="BM230"/>
  <c r="BN230"/>
  <c r="BO230"/>
  <c r="BP230"/>
  <c r="BQ230"/>
  <c r="BR230"/>
  <c r="BS230"/>
  <c r="BT230"/>
  <c r="BU230"/>
  <c r="BV230"/>
  <c r="BW230"/>
  <c r="BX230"/>
  <c r="BY230"/>
  <c r="BZ230"/>
  <c r="CA230"/>
  <c r="CB230"/>
  <c r="CC230"/>
  <c r="CD230"/>
  <c r="CE230"/>
  <c r="CF230"/>
  <c r="CG230"/>
  <c r="CH230"/>
  <c r="CI230"/>
  <c r="CJ230"/>
  <c r="CK230"/>
  <c r="CL230"/>
  <c r="CM230"/>
  <c r="CN230"/>
  <c r="CO230"/>
  <c r="CP230"/>
  <c r="CQ230"/>
  <c r="CR230"/>
  <c r="CS230"/>
  <c r="CT230"/>
  <c r="CU230"/>
  <c r="CV230"/>
  <c r="CW230"/>
  <c r="CX230"/>
  <c r="CY230"/>
  <c r="CZ230"/>
  <c r="DA230"/>
  <c r="DB230"/>
  <c r="DC230"/>
  <c r="DD230"/>
  <c r="DE230"/>
  <c r="DF230"/>
  <c r="DG230"/>
  <c r="DH230"/>
  <c r="DI230"/>
  <c r="DJ230"/>
  <c r="DK230"/>
  <c r="DL230"/>
  <c r="DM230"/>
  <c r="DN230"/>
  <c r="DO230"/>
  <c r="DP230"/>
  <c r="DQ230"/>
  <c r="DR230"/>
  <c r="DS230"/>
  <c r="DT230"/>
  <c r="DU230"/>
  <c r="DV230"/>
  <c r="DW230"/>
  <c r="DX230"/>
  <c r="DY230"/>
  <c r="DZ230"/>
  <c r="EA230"/>
  <c r="EB230"/>
  <c r="EC230"/>
  <c r="ED230"/>
  <c r="EE230"/>
  <c r="EF230"/>
  <c r="EG230"/>
  <c r="EH230"/>
  <c r="EI230"/>
  <c r="EJ230"/>
  <c r="EK230"/>
  <c r="EL230"/>
  <c r="EM230"/>
  <c r="EN230"/>
  <c r="EO230"/>
  <c r="EP230"/>
  <c r="EQ230"/>
  <c r="ER230"/>
  <c r="ES230"/>
  <c r="ET230"/>
  <c r="EU230"/>
  <c r="EV230"/>
  <c r="EW230"/>
  <c r="EX230"/>
  <c r="EY230"/>
  <c r="EZ230"/>
  <c r="FA230"/>
  <c r="FB230"/>
  <c r="FC230"/>
  <c r="FD230"/>
  <c r="FE230"/>
  <c r="FF230"/>
  <c r="FG230"/>
  <c r="FH230"/>
  <c r="FI230"/>
  <c r="FJ230"/>
  <c r="FK230"/>
  <c r="FL230"/>
  <c r="FM230"/>
  <c r="FN230"/>
  <c r="FO230"/>
  <c r="FP230"/>
  <c r="FQ230"/>
  <c r="FR230"/>
  <c r="FS230"/>
  <c r="FT230"/>
  <c r="FU230"/>
  <c r="FV230"/>
  <c r="FW230"/>
  <c r="FX230"/>
  <c r="FY230"/>
  <c r="FZ230"/>
  <c r="GA230"/>
  <c r="GB230"/>
  <c r="GC230"/>
  <c r="GD230"/>
  <c r="GE230"/>
  <c r="GF230"/>
  <c r="GG230"/>
  <c r="GH230"/>
  <c r="GI230"/>
  <c r="GJ230"/>
  <c r="GK230"/>
  <c r="GL230"/>
  <c r="GM230"/>
  <c r="GN230"/>
  <c r="GO230"/>
  <c r="GP230"/>
  <c r="GQ230"/>
  <c r="GR230"/>
  <c r="GS230"/>
  <c r="GT230"/>
  <c r="GU230"/>
  <c r="GV230"/>
  <c r="GW230"/>
  <c r="GX230"/>
  <c r="GY230"/>
  <c r="GZ230"/>
  <c r="HA230"/>
  <c r="HB230"/>
  <c r="HC230"/>
  <c r="HD230"/>
  <c r="HE230"/>
  <c r="HF230"/>
  <c r="HG230"/>
  <c r="HH230"/>
  <c r="HI230"/>
  <c r="HJ230"/>
  <c r="HK230"/>
  <c r="HL230"/>
  <c r="HM230"/>
  <c r="HN230"/>
  <c r="HO230"/>
  <c r="HP230"/>
  <c r="HQ230"/>
  <c r="HR230"/>
  <c r="HS230"/>
  <c r="HT230"/>
  <c r="HU230"/>
  <c r="HV230"/>
  <c r="HW230"/>
  <c r="HX230"/>
  <c r="HY230"/>
  <c r="HZ230"/>
  <c r="IA230"/>
  <c r="IB230"/>
  <c r="IC230"/>
  <c r="ID230"/>
  <c r="IE230"/>
  <c r="IF230"/>
  <c r="IG230"/>
  <c r="IH230"/>
  <c r="II230"/>
  <c r="IJ230"/>
  <c r="IK230"/>
  <c r="IL230"/>
  <c r="IM230"/>
  <c r="IN230"/>
  <c r="IO230"/>
  <c r="IP230"/>
  <c r="IQ230"/>
  <c r="IR230"/>
  <c r="IS230"/>
  <c r="IT230"/>
  <c r="IU230"/>
  <c r="IV230"/>
  <c r="A231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Z231"/>
  <c r="AA231"/>
  <c r="AB231"/>
  <c r="AC231"/>
  <c r="AD231"/>
  <c r="AE231"/>
  <c r="AF231"/>
  <c r="AG231"/>
  <c r="AH231"/>
  <c r="AI231"/>
  <c r="AJ231"/>
  <c r="AK231"/>
  <c r="AL231"/>
  <c r="AM231"/>
  <c r="AN231"/>
  <c r="AO231"/>
  <c r="AP231"/>
  <c r="AQ231"/>
  <c r="AR231"/>
  <c r="AS231"/>
  <c r="AT231"/>
  <c r="AU231"/>
  <c r="AV231"/>
  <c r="AW231"/>
  <c r="AX231"/>
  <c r="AY231"/>
  <c r="AZ231"/>
  <c r="BA231"/>
  <c r="BB231"/>
  <c r="BC231"/>
  <c r="BD231"/>
  <c r="BE231"/>
  <c r="BF231"/>
  <c r="BG231"/>
  <c r="BH231"/>
  <c r="BI231"/>
  <c r="BJ231"/>
  <c r="BK231"/>
  <c r="BL231"/>
  <c r="BM231"/>
  <c r="BN231"/>
  <c r="BO231"/>
  <c r="BP231"/>
  <c r="BQ231"/>
  <c r="BR231"/>
  <c r="BS231"/>
  <c r="BT231"/>
  <c r="BU231"/>
  <c r="BV231"/>
  <c r="BW231"/>
  <c r="BX231"/>
  <c r="BY231"/>
  <c r="BZ231"/>
  <c r="CA231"/>
  <c r="CB231"/>
  <c r="CC231"/>
  <c r="CD231"/>
  <c r="CE231"/>
  <c r="CF231"/>
  <c r="CG231"/>
  <c r="CH231"/>
  <c r="CI231"/>
  <c r="CJ231"/>
  <c r="CK231"/>
  <c r="CL231"/>
  <c r="CM231"/>
  <c r="CN231"/>
  <c r="CO231"/>
  <c r="CP231"/>
  <c r="CQ231"/>
  <c r="CR231"/>
  <c r="CS231"/>
  <c r="CT231"/>
  <c r="CU231"/>
  <c r="CV231"/>
  <c r="CW231"/>
  <c r="CX231"/>
  <c r="CY231"/>
  <c r="CZ231"/>
  <c r="DA231"/>
  <c r="DB231"/>
  <c r="DC231"/>
  <c r="DD231"/>
  <c r="DE231"/>
  <c r="DF231"/>
  <c r="DG231"/>
  <c r="DH231"/>
  <c r="DI231"/>
  <c r="DJ231"/>
  <c r="DK231"/>
  <c r="DL231"/>
  <c r="DM231"/>
  <c r="DN231"/>
  <c r="DO231"/>
  <c r="DP231"/>
  <c r="DQ231"/>
  <c r="DR231"/>
  <c r="DS231"/>
  <c r="DT231"/>
  <c r="DU231"/>
  <c r="DV231"/>
  <c r="DW231"/>
  <c r="DX231"/>
  <c r="DY231"/>
  <c r="DZ231"/>
  <c r="EA231"/>
  <c r="EB231"/>
  <c r="EC231"/>
  <c r="ED231"/>
  <c r="EE231"/>
  <c r="EF231"/>
  <c r="EG231"/>
  <c r="EH231"/>
  <c r="EI231"/>
  <c r="EJ231"/>
  <c r="EK231"/>
  <c r="EL231"/>
  <c r="EM231"/>
  <c r="EN231"/>
  <c r="EO231"/>
  <c r="EP231"/>
  <c r="EQ231"/>
  <c r="ER231"/>
  <c r="ES231"/>
  <c r="ET231"/>
  <c r="EU231"/>
  <c r="EV231"/>
  <c r="EW231"/>
  <c r="EX231"/>
  <c r="EY231"/>
  <c r="EZ231"/>
  <c r="FA231"/>
  <c r="FB231"/>
  <c r="FC231"/>
  <c r="FD231"/>
  <c r="FE231"/>
  <c r="FF231"/>
  <c r="FG231"/>
  <c r="FH231"/>
  <c r="FI231"/>
  <c r="FJ231"/>
  <c r="FK231"/>
  <c r="FL231"/>
  <c r="FM231"/>
  <c r="FN231"/>
  <c r="FO231"/>
  <c r="FP231"/>
  <c r="FQ231"/>
  <c r="FR231"/>
  <c r="FS231"/>
  <c r="FT231"/>
  <c r="FU231"/>
  <c r="FV231"/>
  <c r="FW231"/>
  <c r="FX231"/>
  <c r="FY231"/>
  <c r="FZ231"/>
  <c r="GA231"/>
  <c r="GB231"/>
  <c r="GC231"/>
  <c r="GD231"/>
  <c r="GE231"/>
  <c r="GF231"/>
  <c r="GG231"/>
  <c r="GH231"/>
  <c r="GI231"/>
  <c r="GJ231"/>
  <c r="GK231"/>
  <c r="GL231"/>
  <c r="GM231"/>
  <c r="GN231"/>
  <c r="GO231"/>
  <c r="GP231"/>
  <c r="GQ231"/>
  <c r="GR231"/>
  <c r="GS231"/>
  <c r="GT231"/>
  <c r="GU231"/>
  <c r="GV231"/>
  <c r="GW231"/>
  <c r="GX231"/>
  <c r="GY231"/>
  <c r="GZ231"/>
  <c r="HA231"/>
  <c r="HB231"/>
  <c r="HC231"/>
  <c r="HD231"/>
  <c r="HE231"/>
  <c r="HF231"/>
  <c r="HG231"/>
  <c r="HH231"/>
  <c r="HI231"/>
  <c r="HJ231"/>
  <c r="HK231"/>
  <c r="HL231"/>
  <c r="HM231"/>
  <c r="HN231"/>
  <c r="HO231"/>
  <c r="HP231"/>
  <c r="HQ231"/>
  <c r="HR231"/>
  <c r="HS231"/>
  <c r="HT231"/>
  <c r="HU231"/>
  <c r="HV231"/>
  <c r="HW231"/>
  <c r="HX231"/>
  <c r="HY231"/>
  <c r="HZ231"/>
  <c r="IA231"/>
  <c r="IB231"/>
  <c r="IC231"/>
  <c r="ID231"/>
  <c r="IE231"/>
  <c r="IF231"/>
  <c r="IG231"/>
  <c r="IH231"/>
  <c r="II231"/>
  <c r="IJ231"/>
  <c r="IK231"/>
  <c r="IL231"/>
  <c r="IM231"/>
  <c r="IN231"/>
  <c r="IO231"/>
  <c r="IP231"/>
  <c r="IQ231"/>
  <c r="IR231"/>
  <c r="IS231"/>
  <c r="IT231"/>
  <c r="IU231"/>
  <c r="IV231"/>
  <c r="A232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Z232"/>
  <c r="AA232"/>
  <c r="AB232"/>
  <c r="AC232"/>
  <c r="AD232"/>
  <c r="AE232"/>
  <c r="AF232"/>
  <c r="AG232"/>
  <c r="AH232"/>
  <c r="AI232"/>
  <c r="AJ232"/>
  <c r="AK232"/>
  <c r="AL232"/>
  <c r="AM232"/>
  <c r="AN232"/>
  <c r="AO232"/>
  <c r="AP232"/>
  <c r="AQ232"/>
  <c r="AR232"/>
  <c r="AS232"/>
  <c r="AT232"/>
  <c r="AU232"/>
  <c r="AV232"/>
  <c r="AW232"/>
  <c r="AX232"/>
  <c r="AY232"/>
  <c r="AZ232"/>
  <c r="BA232"/>
  <c r="BB232"/>
  <c r="BC232"/>
  <c r="BD232"/>
  <c r="BE232"/>
  <c r="BF232"/>
  <c r="BG232"/>
  <c r="BH232"/>
  <c r="BI232"/>
  <c r="BJ232"/>
  <c r="BK232"/>
  <c r="BL232"/>
  <c r="BM232"/>
  <c r="BN232"/>
  <c r="BO232"/>
  <c r="BP232"/>
  <c r="BQ232"/>
  <c r="BR232"/>
  <c r="BS232"/>
  <c r="BT232"/>
  <c r="BU232"/>
  <c r="BV232"/>
  <c r="BW232"/>
  <c r="BX232"/>
  <c r="BY232"/>
  <c r="BZ232"/>
  <c r="CA232"/>
  <c r="CB232"/>
  <c r="CC232"/>
  <c r="CD232"/>
  <c r="CE232"/>
  <c r="CF232"/>
  <c r="CG232"/>
  <c r="CH232"/>
  <c r="CI232"/>
  <c r="CJ232"/>
  <c r="CK232"/>
  <c r="CL232"/>
  <c r="CM232"/>
  <c r="CN232"/>
  <c r="CO232"/>
  <c r="CP232"/>
  <c r="CQ232"/>
  <c r="CR232"/>
  <c r="CS232"/>
  <c r="CT232"/>
  <c r="CU232"/>
  <c r="CV232"/>
  <c r="CW232"/>
  <c r="CX232"/>
  <c r="CY232"/>
  <c r="CZ232"/>
  <c r="DA232"/>
  <c r="DB232"/>
  <c r="DC232"/>
  <c r="DD232"/>
  <c r="DE232"/>
  <c r="DF232"/>
  <c r="DG232"/>
  <c r="DH232"/>
  <c r="DI232"/>
  <c r="DJ232"/>
  <c r="DK232"/>
  <c r="DL232"/>
  <c r="DM232"/>
  <c r="DN232"/>
  <c r="DO232"/>
  <c r="DP232"/>
  <c r="DQ232"/>
  <c r="DR232"/>
  <c r="DS232"/>
  <c r="DT232"/>
  <c r="DU232"/>
  <c r="DV232"/>
  <c r="DW232"/>
  <c r="DX232"/>
  <c r="DY232"/>
  <c r="DZ232"/>
  <c r="EA232"/>
  <c r="EB232"/>
  <c r="EC232"/>
  <c r="ED232"/>
  <c r="EE232"/>
  <c r="EF232"/>
  <c r="EG232"/>
  <c r="EH232"/>
  <c r="EI232"/>
  <c r="EJ232"/>
  <c r="EK232"/>
  <c r="EL232"/>
  <c r="EM232"/>
  <c r="EN232"/>
  <c r="EO232"/>
  <c r="EP232"/>
  <c r="EQ232"/>
  <c r="ER232"/>
  <c r="ES232"/>
  <c r="ET232"/>
  <c r="EU232"/>
  <c r="EV232"/>
  <c r="EW232"/>
  <c r="EX232"/>
  <c r="EY232"/>
  <c r="EZ232"/>
  <c r="FA232"/>
  <c r="FB232"/>
  <c r="FC232"/>
  <c r="FD232"/>
  <c r="FE232"/>
  <c r="FF232"/>
  <c r="FG232"/>
  <c r="FH232"/>
  <c r="FI232"/>
  <c r="FJ232"/>
  <c r="FK232"/>
  <c r="FL232"/>
  <c r="FM232"/>
  <c r="FN232"/>
  <c r="FO232"/>
  <c r="FP232"/>
  <c r="FQ232"/>
  <c r="FR232"/>
  <c r="FS232"/>
  <c r="FT232"/>
  <c r="FU232"/>
  <c r="FV232"/>
  <c r="FW232"/>
  <c r="FX232"/>
  <c r="FY232"/>
  <c r="FZ232"/>
  <c r="GA232"/>
  <c r="GB232"/>
  <c r="GC232"/>
  <c r="GD232"/>
  <c r="GE232"/>
  <c r="GF232"/>
  <c r="GG232"/>
  <c r="GH232"/>
  <c r="GI232"/>
  <c r="GJ232"/>
  <c r="GK232"/>
  <c r="GL232"/>
  <c r="GM232"/>
  <c r="GN232"/>
  <c r="GO232"/>
  <c r="GP232"/>
  <c r="GQ232"/>
  <c r="GR232"/>
  <c r="GS232"/>
  <c r="GT232"/>
  <c r="GU232"/>
  <c r="GV232"/>
  <c r="GW232"/>
  <c r="GX232"/>
  <c r="GY232"/>
  <c r="GZ232"/>
  <c r="HA232"/>
  <c r="HB232"/>
  <c r="HC232"/>
  <c r="HD232"/>
  <c r="HE232"/>
  <c r="HF232"/>
  <c r="HG232"/>
  <c r="HH232"/>
  <c r="HI232"/>
  <c r="HJ232"/>
  <c r="HK232"/>
  <c r="HL232"/>
  <c r="HM232"/>
  <c r="HN232"/>
  <c r="HO232"/>
  <c r="HP232"/>
  <c r="HQ232"/>
  <c r="HR232"/>
  <c r="HS232"/>
  <c r="HT232"/>
  <c r="HU232"/>
  <c r="HV232"/>
  <c r="HW232"/>
  <c r="HX232"/>
  <c r="HY232"/>
  <c r="HZ232"/>
  <c r="IA232"/>
  <c r="IB232"/>
  <c r="IC232"/>
  <c r="ID232"/>
  <c r="IE232"/>
  <c r="IF232"/>
  <c r="IG232"/>
  <c r="IH232"/>
  <c r="II232"/>
  <c r="IJ232"/>
  <c r="IK232"/>
  <c r="IL232"/>
  <c r="IM232"/>
  <c r="IN232"/>
  <c r="IO232"/>
  <c r="IP232"/>
  <c r="IQ232"/>
  <c r="IR232"/>
  <c r="IS232"/>
  <c r="IT232"/>
  <c r="IU232"/>
  <c r="IV232"/>
  <c r="A233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Z233"/>
  <c r="AA233"/>
  <c r="AB233"/>
  <c r="AC233"/>
  <c r="AD233"/>
  <c r="AE233"/>
  <c r="AF233"/>
  <c r="AG233"/>
  <c r="AH233"/>
  <c r="AI233"/>
  <c r="AJ233"/>
  <c r="AK233"/>
  <c r="AL233"/>
  <c r="AM233"/>
  <c r="AN233"/>
  <c r="AO233"/>
  <c r="AP233"/>
  <c r="AQ233"/>
  <c r="AR233"/>
  <c r="AS233"/>
  <c r="AT233"/>
  <c r="AU233"/>
  <c r="AV233"/>
  <c r="AW233"/>
  <c r="AX233"/>
  <c r="AY233"/>
  <c r="AZ233"/>
  <c r="BA233"/>
  <c r="BB233"/>
  <c r="BC233"/>
  <c r="BD233"/>
  <c r="BE233"/>
  <c r="BF233"/>
  <c r="BG233"/>
  <c r="BH233"/>
  <c r="BI233"/>
  <c r="BJ233"/>
  <c r="BK233"/>
  <c r="BL233"/>
  <c r="BM233"/>
  <c r="BN233"/>
  <c r="BO233"/>
  <c r="BP233"/>
  <c r="BQ233"/>
  <c r="BR233"/>
  <c r="BS233"/>
  <c r="BT233"/>
  <c r="BU233"/>
  <c r="BV233"/>
  <c r="BW233"/>
  <c r="BX233"/>
  <c r="BY233"/>
  <c r="BZ233"/>
  <c r="CA233"/>
  <c r="CB233"/>
  <c r="CC233"/>
  <c r="CD233"/>
  <c r="CE233"/>
  <c r="CF233"/>
  <c r="CG233"/>
  <c r="CH233"/>
  <c r="CI233"/>
  <c r="CJ233"/>
  <c r="CK233"/>
  <c r="CL233"/>
  <c r="CM233"/>
  <c r="CN233"/>
  <c r="CO233"/>
  <c r="CP233"/>
  <c r="CQ233"/>
  <c r="CR233"/>
  <c r="CS233"/>
  <c r="CT233"/>
  <c r="CU233"/>
  <c r="CV233"/>
  <c r="CW233"/>
  <c r="CX233"/>
  <c r="CY233"/>
  <c r="CZ233"/>
  <c r="DA233"/>
  <c r="DB233"/>
  <c r="DC233"/>
  <c r="DD233"/>
  <c r="DE233"/>
  <c r="DF233"/>
  <c r="DG233"/>
  <c r="DH233"/>
  <c r="DI233"/>
  <c r="DJ233"/>
  <c r="DK233"/>
  <c r="DL233"/>
  <c r="DM233"/>
  <c r="DN233"/>
  <c r="DO233"/>
  <c r="DP233"/>
  <c r="DQ233"/>
  <c r="DR233"/>
  <c r="DS233"/>
  <c r="DT233"/>
  <c r="DU233"/>
  <c r="DV233"/>
  <c r="DW233"/>
  <c r="DX233"/>
  <c r="DY233"/>
  <c r="DZ233"/>
  <c r="EA233"/>
  <c r="EB233"/>
  <c r="EC233"/>
  <c r="ED233"/>
  <c r="EE233"/>
  <c r="EF233"/>
  <c r="EG233"/>
  <c r="EH233"/>
  <c r="EI233"/>
  <c r="EJ233"/>
  <c r="EK233"/>
  <c r="EL233"/>
  <c r="EM233"/>
  <c r="EN233"/>
  <c r="EO233"/>
  <c r="EP233"/>
  <c r="EQ233"/>
  <c r="ER233"/>
  <c r="ES233"/>
  <c r="ET233"/>
  <c r="EU233"/>
  <c r="EV233"/>
  <c r="EW233"/>
  <c r="EX233"/>
  <c r="EY233"/>
  <c r="EZ233"/>
  <c r="FA233"/>
  <c r="FB233"/>
  <c r="FC233"/>
  <c r="FD233"/>
  <c r="FE233"/>
  <c r="FF233"/>
  <c r="FG233"/>
  <c r="FH233"/>
  <c r="FI233"/>
  <c r="FJ233"/>
  <c r="FK233"/>
  <c r="FL233"/>
  <c r="FM233"/>
  <c r="FN233"/>
  <c r="FO233"/>
  <c r="FP233"/>
  <c r="FQ233"/>
  <c r="FR233"/>
  <c r="FS233"/>
  <c r="FT233"/>
  <c r="FU233"/>
  <c r="FV233"/>
  <c r="FW233"/>
  <c r="FX233"/>
  <c r="FY233"/>
  <c r="FZ233"/>
  <c r="GA233"/>
  <c r="GB233"/>
  <c r="GC233"/>
  <c r="GD233"/>
  <c r="GE233"/>
  <c r="GF233"/>
  <c r="GG233"/>
  <c r="GH233"/>
  <c r="GI233"/>
  <c r="GJ233"/>
  <c r="GK233"/>
  <c r="GL233"/>
  <c r="GM233"/>
  <c r="GN233"/>
  <c r="GO233"/>
  <c r="GP233"/>
  <c r="GQ233"/>
  <c r="GR233"/>
  <c r="GS233"/>
  <c r="GT233"/>
  <c r="GU233"/>
  <c r="GV233"/>
  <c r="GW233"/>
  <c r="GX233"/>
  <c r="GY233"/>
  <c r="GZ233"/>
  <c r="HA233"/>
  <c r="HB233"/>
  <c r="HC233"/>
  <c r="HD233"/>
  <c r="HE233"/>
  <c r="HF233"/>
  <c r="HG233"/>
  <c r="HH233"/>
  <c r="HI233"/>
  <c r="HJ233"/>
  <c r="HK233"/>
  <c r="HL233"/>
  <c r="HM233"/>
  <c r="HN233"/>
  <c r="HO233"/>
  <c r="HP233"/>
  <c r="HQ233"/>
  <c r="HR233"/>
  <c r="HS233"/>
  <c r="HT233"/>
  <c r="HU233"/>
  <c r="HV233"/>
  <c r="HW233"/>
  <c r="HX233"/>
  <c r="HY233"/>
  <c r="HZ233"/>
  <c r="IA233"/>
  <c r="IB233"/>
  <c r="IC233"/>
  <c r="ID233"/>
  <c r="IE233"/>
  <c r="IF233"/>
  <c r="IG233"/>
  <c r="IH233"/>
  <c r="II233"/>
  <c r="IJ233"/>
  <c r="IK233"/>
  <c r="IL233"/>
  <c r="IM233"/>
  <c r="IN233"/>
  <c r="IO233"/>
  <c r="IP233"/>
  <c r="IQ233"/>
  <c r="IR233"/>
  <c r="IS233"/>
  <c r="IT233"/>
  <c r="IU233"/>
  <c r="IV233"/>
  <c r="A234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Z234"/>
  <c r="AA234"/>
  <c r="AB234"/>
  <c r="AC234"/>
  <c r="AD234"/>
  <c r="AE234"/>
  <c r="AF234"/>
  <c r="AG234"/>
  <c r="AH234"/>
  <c r="AI234"/>
  <c r="AJ234"/>
  <c r="AK234"/>
  <c r="AL234"/>
  <c r="AM234"/>
  <c r="AN234"/>
  <c r="AO234"/>
  <c r="AP234"/>
  <c r="AQ234"/>
  <c r="AR234"/>
  <c r="AS234"/>
  <c r="AT234"/>
  <c r="AU234"/>
  <c r="AV234"/>
  <c r="AW234"/>
  <c r="AX234"/>
  <c r="AY234"/>
  <c r="AZ234"/>
  <c r="BA234"/>
  <c r="BB234"/>
  <c r="BC234"/>
  <c r="BD234"/>
  <c r="BE234"/>
  <c r="BF234"/>
  <c r="BG234"/>
  <c r="BH234"/>
  <c r="BI234"/>
  <c r="BJ234"/>
  <c r="BK234"/>
  <c r="BL234"/>
  <c r="BM234"/>
  <c r="BN234"/>
  <c r="BO234"/>
  <c r="BP234"/>
  <c r="BQ234"/>
  <c r="BR234"/>
  <c r="BS234"/>
  <c r="BT234"/>
  <c r="BU234"/>
  <c r="BV234"/>
  <c r="BW234"/>
  <c r="BX234"/>
  <c r="BY234"/>
  <c r="BZ234"/>
  <c r="CA234"/>
  <c r="CB234"/>
  <c r="CC234"/>
  <c r="CD234"/>
  <c r="CE234"/>
  <c r="CF234"/>
  <c r="CG234"/>
  <c r="CH234"/>
  <c r="CI234"/>
  <c r="CJ234"/>
  <c r="CK234"/>
  <c r="CL234"/>
  <c r="CM234"/>
  <c r="CN234"/>
  <c r="CO234"/>
  <c r="CP234"/>
  <c r="CQ234"/>
  <c r="CR234"/>
  <c r="CS234"/>
  <c r="CT234"/>
  <c r="CU234"/>
  <c r="CV234"/>
  <c r="CW234"/>
  <c r="CX234"/>
  <c r="CY234"/>
  <c r="CZ234"/>
  <c r="DA234"/>
  <c r="DB234"/>
  <c r="DC234"/>
  <c r="DD234"/>
  <c r="DE234"/>
  <c r="DF234"/>
  <c r="DG234"/>
  <c r="DH234"/>
  <c r="DI234"/>
  <c r="DJ234"/>
  <c r="DK234"/>
  <c r="DL234"/>
  <c r="DM234"/>
  <c r="DN234"/>
  <c r="DO234"/>
  <c r="DP234"/>
  <c r="DQ234"/>
  <c r="DR234"/>
  <c r="DS234"/>
  <c r="DT234"/>
  <c r="DU234"/>
  <c r="DV234"/>
  <c r="DW234"/>
  <c r="DX234"/>
  <c r="DY234"/>
  <c r="DZ234"/>
  <c r="EA234"/>
  <c r="EB234"/>
  <c r="EC234"/>
  <c r="ED234"/>
  <c r="EE234"/>
  <c r="EF234"/>
  <c r="EG234"/>
  <c r="EH234"/>
  <c r="EI234"/>
  <c r="EJ234"/>
  <c r="EK234"/>
  <c r="EL234"/>
  <c r="EM234"/>
  <c r="EN234"/>
  <c r="EO234"/>
  <c r="EP234"/>
  <c r="EQ234"/>
  <c r="ER234"/>
  <c r="ES234"/>
  <c r="ET234"/>
  <c r="EU234"/>
  <c r="EV234"/>
  <c r="EW234"/>
  <c r="EX234"/>
  <c r="EY234"/>
  <c r="EZ234"/>
  <c r="FA234"/>
  <c r="FB234"/>
  <c r="FC234"/>
  <c r="FD234"/>
  <c r="FE234"/>
  <c r="FF234"/>
  <c r="FG234"/>
  <c r="FH234"/>
  <c r="FI234"/>
  <c r="FJ234"/>
  <c r="FK234"/>
  <c r="FL234"/>
  <c r="FM234"/>
  <c r="FN234"/>
  <c r="FO234"/>
  <c r="FP234"/>
  <c r="FQ234"/>
  <c r="FR234"/>
  <c r="FS234"/>
  <c r="FT234"/>
  <c r="FU234"/>
  <c r="FV234"/>
  <c r="FW234"/>
  <c r="FX234"/>
  <c r="FY234"/>
  <c r="FZ234"/>
  <c r="GA234"/>
  <c r="GB234"/>
  <c r="GC234"/>
  <c r="GD234"/>
  <c r="GE234"/>
  <c r="GF234"/>
  <c r="GG234"/>
  <c r="GH234"/>
  <c r="GI234"/>
  <c r="GJ234"/>
  <c r="GK234"/>
  <c r="GL234"/>
  <c r="GM234"/>
  <c r="GN234"/>
  <c r="GO234"/>
  <c r="GP234"/>
  <c r="GQ234"/>
  <c r="GR234"/>
  <c r="GS234"/>
  <c r="GT234"/>
  <c r="GU234"/>
  <c r="GV234"/>
  <c r="GW234"/>
  <c r="GX234"/>
  <c r="GY234"/>
  <c r="GZ234"/>
  <c r="HA234"/>
  <c r="HB234"/>
  <c r="HC234"/>
  <c r="HD234"/>
  <c r="HE234"/>
  <c r="HF234"/>
  <c r="HG234"/>
  <c r="HH234"/>
  <c r="HI234"/>
  <c r="HJ234"/>
  <c r="HK234"/>
  <c r="HL234"/>
  <c r="HM234"/>
  <c r="HN234"/>
  <c r="HO234"/>
  <c r="HP234"/>
  <c r="HQ234"/>
  <c r="HR234"/>
  <c r="HS234"/>
  <c r="HT234"/>
  <c r="HU234"/>
  <c r="HV234"/>
  <c r="HW234"/>
  <c r="HX234"/>
  <c r="HY234"/>
  <c r="HZ234"/>
  <c r="IA234"/>
  <c r="IB234"/>
  <c r="IC234"/>
  <c r="ID234"/>
  <c r="IE234"/>
  <c r="IF234"/>
  <c r="IG234"/>
  <c r="IH234"/>
  <c r="II234"/>
  <c r="IJ234"/>
  <c r="IK234"/>
  <c r="IL234"/>
  <c r="IM234"/>
  <c r="IN234"/>
  <c r="IO234"/>
  <c r="IP234"/>
  <c r="IQ234"/>
  <c r="IR234"/>
  <c r="IS234"/>
  <c r="IT234"/>
  <c r="IU234"/>
  <c r="IV234"/>
  <c r="A235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Z235"/>
  <c r="AA235"/>
  <c r="AB235"/>
  <c r="AC235"/>
  <c r="AD235"/>
  <c r="AE235"/>
  <c r="AF235"/>
  <c r="AG235"/>
  <c r="AH235"/>
  <c r="AI235"/>
  <c r="AJ235"/>
  <c r="AK235"/>
  <c r="AL235"/>
  <c r="AM235"/>
  <c r="AN235"/>
  <c r="AO235"/>
  <c r="AP235"/>
  <c r="AQ235"/>
  <c r="AR235"/>
  <c r="AS235"/>
  <c r="AT235"/>
  <c r="AU235"/>
  <c r="AV235"/>
  <c r="AW235"/>
  <c r="AX235"/>
  <c r="AY235"/>
  <c r="AZ235"/>
  <c r="BA235"/>
  <c r="BB235"/>
  <c r="BC235"/>
  <c r="BD235"/>
  <c r="BE235"/>
  <c r="BF235"/>
  <c r="BG235"/>
  <c r="BH235"/>
  <c r="BI235"/>
  <c r="BJ235"/>
  <c r="BK235"/>
  <c r="BL235"/>
  <c r="BM235"/>
  <c r="BN235"/>
  <c r="BO235"/>
  <c r="BP235"/>
  <c r="BQ235"/>
  <c r="BR235"/>
  <c r="BS235"/>
  <c r="BT235"/>
  <c r="BU235"/>
  <c r="BV235"/>
  <c r="BW235"/>
  <c r="BX235"/>
  <c r="BY235"/>
  <c r="BZ235"/>
  <c r="CA235"/>
  <c r="CB235"/>
  <c r="CC235"/>
  <c r="CD235"/>
  <c r="CE235"/>
  <c r="CF235"/>
  <c r="CG235"/>
  <c r="CH235"/>
  <c r="CI235"/>
  <c r="CJ235"/>
  <c r="CK235"/>
  <c r="CL235"/>
  <c r="CM235"/>
  <c r="CN235"/>
  <c r="CO235"/>
  <c r="CP235"/>
  <c r="CQ235"/>
  <c r="CR235"/>
  <c r="CS235"/>
  <c r="CT235"/>
  <c r="CU235"/>
  <c r="CV235"/>
  <c r="CW235"/>
  <c r="CX235"/>
  <c r="CY235"/>
  <c r="CZ235"/>
  <c r="DA235"/>
  <c r="DB235"/>
  <c r="DC235"/>
  <c r="DD235"/>
  <c r="DE235"/>
  <c r="DF235"/>
  <c r="DG235"/>
  <c r="DH235"/>
  <c r="DI235"/>
  <c r="DJ235"/>
  <c r="DK235"/>
  <c r="DL235"/>
  <c r="DM235"/>
  <c r="DN235"/>
  <c r="DO235"/>
  <c r="DP235"/>
  <c r="DQ235"/>
  <c r="DR235"/>
  <c r="DS235"/>
  <c r="DT235"/>
  <c r="DU235"/>
  <c r="DV235"/>
  <c r="DW235"/>
  <c r="DX235"/>
  <c r="DY235"/>
  <c r="DZ235"/>
  <c r="EA235"/>
  <c r="EB235"/>
  <c r="EC235"/>
  <c r="ED235"/>
  <c r="EE235"/>
  <c r="EF235"/>
  <c r="EG235"/>
  <c r="EH235"/>
  <c r="EI235"/>
  <c r="EJ235"/>
  <c r="EK235"/>
  <c r="EL235"/>
  <c r="EM235"/>
  <c r="EN235"/>
  <c r="EO235"/>
  <c r="EP235"/>
  <c r="EQ235"/>
  <c r="ER235"/>
  <c r="ES235"/>
  <c r="ET235"/>
  <c r="EU235"/>
  <c r="EV235"/>
  <c r="EW235"/>
  <c r="EX235"/>
  <c r="EY235"/>
  <c r="EZ235"/>
  <c r="FA235"/>
  <c r="FB235"/>
  <c r="FC235"/>
  <c r="FD235"/>
  <c r="FE235"/>
  <c r="FF235"/>
  <c r="FG235"/>
  <c r="FH235"/>
  <c r="FI235"/>
  <c r="FJ235"/>
  <c r="FK235"/>
  <c r="FL235"/>
  <c r="FM235"/>
  <c r="FN235"/>
  <c r="FO235"/>
  <c r="FP235"/>
  <c r="FQ235"/>
  <c r="FR235"/>
  <c r="FS235"/>
  <c r="FT235"/>
  <c r="FU235"/>
  <c r="FV235"/>
  <c r="FW235"/>
  <c r="FX235"/>
  <c r="FY235"/>
  <c r="FZ235"/>
  <c r="GA235"/>
  <c r="GB235"/>
  <c r="GC235"/>
  <c r="GD235"/>
  <c r="GE235"/>
  <c r="GF235"/>
  <c r="GG235"/>
  <c r="GH235"/>
  <c r="GI235"/>
  <c r="GJ235"/>
  <c r="GK235"/>
  <c r="GL235"/>
  <c r="GM235"/>
  <c r="GN235"/>
  <c r="GO235"/>
  <c r="GP235"/>
  <c r="GQ235"/>
  <c r="GR235"/>
  <c r="GS235"/>
  <c r="GT235"/>
  <c r="GU235"/>
  <c r="GV235"/>
  <c r="GW235"/>
  <c r="GX235"/>
  <c r="GY235"/>
  <c r="GZ235"/>
  <c r="HA235"/>
  <c r="HB235"/>
  <c r="HC235"/>
  <c r="HD235"/>
  <c r="HE235"/>
  <c r="HF235"/>
  <c r="HG235"/>
  <c r="HH235"/>
  <c r="HI235"/>
  <c r="HJ235"/>
  <c r="HK235"/>
  <c r="HL235"/>
  <c r="HM235"/>
  <c r="HN235"/>
  <c r="HO235"/>
  <c r="HP235"/>
  <c r="HQ235"/>
  <c r="HR235"/>
  <c r="HS235"/>
  <c r="HT235"/>
  <c r="HU235"/>
  <c r="HV235"/>
  <c r="HW235"/>
  <c r="HX235"/>
  <c r="HY235"/>
  <c r="HZ235"/>
  <c r="IA235"/>
  <c r="IB235"/>
  <c r="IC235"/>
  <c r="ID235"/>
  <c r="IE235"/>
  <c r="IF235"/>
  <c r="IG235"/>
  <c r="IH235"/>
  <c r="II235"/>
  <c r="IJ235"/>
  <c r="IK235"/>
  <c r="IL235"/>
  <c r="IM235"/>
  <c r="IN235"/>
  <c r="IO235"/>
  <c r="IP235"/>
  <c r="IQ235"/>
  <c r="IR235"/>
  <c r="IS235"/>
  <c r="IT235"/>
  <c r="IU235"/>
  <c r="IV235"/>
  <c r="A236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Z236"/>
  <c r="AA236"/>
  <c r="AB236"/>
  <c r="AC236"/>
  <c r="AD236"/>
  <c r="AE236"/>
  <c r="AF236"/>
  <c r="AG236"/>
  <c r="AH236"/>
  <c r="AI236"/>
  <c r="AJ236"/>
  <c r="AK236"/>
  <c r="AL236"/>
  <c r="AM236"/>
  <c r="AN236"/>
  <c r="AO236"/>
  <c r="AP236"/>
  <c r="AQ236"/>
  <c r="AR236"/>
  <c r="AS236"/>
  <c r="AT236"/>
  <c r="AU236"/>
  <c r="AV236"/>
  <c r="AW236"/>
  <c r="AX236"/>
  <c r="AY236"/>
  <c r="AZ236"/>
  <c r="BA236"/>
  <c r="BB236"/>
  <c r="BC236"/>
  <c r="BD236"/>
  <c r="BE236"/>
  <c r="BF236"/>
  <c r="BG236"/>
  <c r="BH236"/>
  <c r="BI236"/>
  <c r="BJ236"/>
  <c r="BK236"/>
  <c r="BL236"/>
  <c r="BM236"/>
  <c r="BN236"/>
  <c r="BO236"/>
  <c r="BP236"/>
  <c r="BQ236"/>
  <c r="BR236"/>
  <c r="BS236"/>
  <c r="BT236"/>
  <c r="BU236"/>
  <c r="BV236"/>
  <c r="BW236"/>
  <c r="BX236"/>
  <c r="BY236"/>
  <c r="BZ236"/>
  <c r="CA236"/>
  <c r="CB236"/>
  <c r="CC236"/>
  <c r="CD236"/>
  <c r="CE236"/>
  <c r="CF236"/>
  <c r="CG236"/>
  <c r="CH236"/>
  <c r="CI236"/>
  <c r="CJ236"/>
  <c r="CK236"/>
  <c r="CL236"/>
  <c r="CM236"/>
  <c r="CN236"/>
  <c r="CO236"/>
  <c r="CP236"/>
  <c r="CQ236"/>
  <c r="CR236"/>
  <c r="CS236"/>
  <c r="CT236"/>
  <c r="CU236"/>
  <c r="CV236"/>
  <c r="CW236"/>
  <c r="CX236"/>
  <c r="CY236"/>
  <c r="CZ236"/>
  <c r="DA236"/>
  <c r="DB236"/>
  <c r="DC236"/>
  <c r="DD236"/>
  <c r="DE236"/>
  <c r="DF236"/>
  <c r="DG236"/>
  <c r="DH236"/>
  <c r="DI236"/>
  <c r="DJ236"/>
  <c r="DK236"/>
  <c r="DL236"/>
  <c r="DM236"/>
  <c r="DN236"/>
  <c r="DO236"/>
  <c r="DP236"/>
  <c r="DQ236"/>
  <c r="DR236"/>
  <c r="DS236"/>
  <c r="DT236"/>
  <c r="DU236"/>
  <c r="DV236"/>
  <c r="DW236"/>
  <c r="DX236"/>
  <c r="DY236"/>
  <c r="DZ236"/>
  <c r="EA236"/>
  <c r="EB236"/>
  <c r="EC236"/>
  <c r="ED236"/>
  <c r="EE236"/>
  <c r="EF236"/>
  <c r="EG236"/>
  <c r="EH236"/>
  <c r="EI236"/>
  <c r="EJ236"/>
  <c r="EK236"/>
  <c r="EL236"/>
  <c r="EM236"/>
  <c r="EN236"/>
  <c r="EO236"/>
  <c r="EP236"/>
  <c r="EQ236"/>
  <c r="ER236"/>
  <c r="ES236"/>
  <c r="ET236"/>
  <c r="EU236"/>
  <c r="EV236"/>
  <c r="EW236"/>
  <c r="EX236"/>
  <c r="EY236"/>
  <c r="EZ236"/>
  <c r="FA236"/>
  <c r="FB236"/>
  <c r="FC236"/>
  <c r="FD236"/>
  <c r="FE236"/>
  <c r="FF236"/>
  <c r="FG236"/>
  <c r="FH236"/>
  <c r="FI236"/>
  <c r="FJ236"/>
  <c r="FK236"/>
  <c r="FL236"/>
  <c r="FM236"/>
  <c r="FN236"/>
  <c r="FO236"/>
  <c r="FP236"/>
  <c r="FQ236"/>
  <c r="FR236"/>
  <c r="FS236"/>
  <c r="FT236"/>
  <c r="FU236"/>
  <c r="FV236"/>
  <c r="FW236"/>
  <c r="FX236"/>
  <c r="FY236"/>
  <c r="FZ236"/>
  <c r="GA236"/>
  <c r="GB236"/>
  <c r="GC236"/>
  <c r="GD236"/>
  <c r="GE236"/>
  <c r="GF236"/>
  <c r="GG236"/>
  <c r="GH236"/>
  <c r="GI236"/>
  <c r="GJ236"/>
  <c r="GK236"/>
  <c r="GL236"/>
  <c r="GM236"/>
  <c r="GN236"/>
  <c r="GO236"/>
  <c r="GP236"/>
  <c r="GQ236"/>
  <c r="GR236"/>
  <c r="GS236"/>
  <c r="GT236"/>
  <c r="GU236"/>
  <c r="GV236"/>
  <c r="GW236"/>
  <c r="GX236"/>
  <c r="GY236"/>
  <c r="GZ236"/>
  <c r="HA236"/>
  <c r="HB236"/>
  <c r="HC236"/>
  <c r="HD236"/>
  <c r="HE236"/>
  <c r="HF236"/>
  <c r="HG236"/>
  <c r="HH236"/>
  <c r="HI236"/>
  <c r="HJ236"/>
  <c r="HK236"/>
  <c r="HL236"/>
  <c r="HM236"/>
  <c r="HN236"/>
  <c r="HO236"/>
  <c r="HP236"/>
  <c r="HQ236"/>
  <c r="HR236"/>
  <c r="HS236"/>
  <c r="HT236"/>
  <c r="HU236"/>
  <c r="HV236"/>
  <c r="HW236"/>
  <c r="HX236"/>
  <c r="HY236"/>
  <c r="HZ236"/>
  <c r="IA236"/>
  <c r="IB236"/>
  <c r="IC236"/>
  <c r="ID236"/>
  <c r="IE236"/>
  <c r="IF236"/>
  <c r="IG236"/>
  <c r="IH236"/>
  <c r="II236"/>
  <c r="IJ236"/>
  <c r="IK236"/>
  <c r="IL236"/>
  <c r="IM236"/>
  <c r="IN236"/>
  <c r="IO236"/>
  <c r="IP236"/>
  <c r="IQ236"/>
  <c r="IR236"/>
  <c r="IS236"/>
  <c r="IT236"/>
  <c r="IU236"/>
  <c r="IV236"/>
  <c r="A237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Z237"/>
  <c r="AA237"/>
  <c r="AB237"/>
  <c r="AC237"/>
  <c r="AD237"/>
  <c r="AE237"/>
  <c r="AF237"/>
  <c r="AG237"/>
  <c r="AH237"/>
  <c r="AI237"/>
  <c r="AJ237"/>
  <c r="AK237"/>
  <c r="AL237"/>
  <c r="AM237"/>
  <c r="AN237"/>
  <c r="AO237"/>
  <c r="AP237"/>
  <c r="AQ237"/>
  <c r="AR237"/>
  <c r="AS237"/>
  <c r="AT237"/>
  <c r="AU237"/>
  <c r="AV237"/>
  <c r="AW237"/>
  <c r="AX237"/>
  <c r="AY237"/>
  <c r="AZ237"/>
  <c r="BA237"/>
  <c r="BB237"/>
  <c r="BC237"/>
  <c r="BD237"/>
  <c r="BE237"/>
  <c r="BF237"/>
  <c r="BG237"/>
  <c r="BH237"/>
  <c r="BI237"/>
  <c r="BJ237"/>
  <c r="BK237"/>
  <c r="BL237"/>
  <c r="BM237"/>
  <c r="BN237"/>
  <c r="BO237"/>
  <c r="BP237"/>
  <c r="BQ237"/>
  <c r="BR237"/>
  <c r="BS237"/>
  <c r="BT237"/>
  <c r="BU237"/>
  <c r="BV237"/>
  <c r="BW237"/>
  <c r="BX237"/>
  <c r="BY237"/>
  <c r="BZ237"/>
  <c r="CA237"/>
  <c r="CB237"/>
  <c r="CC237"/>
  <c r="CD237"/>
  <c r="CE237"/>
  <c r="CF237"/>
  <c r="CG237"/>
  <c r="CH237"/>
  <c r="CI237"/>
  <c r="CJ237"/>
  <c r="CK237"/>
  <c r="CL237"/>
  <c r="CM237"/>
  <c r="CN237"/>
  <c r="CO237"/>
  <c r="CP237"/>
  <c r="CQ237"/>
  <c r="CR237"/>
  <c r="CS237"/>
  <c r="CT237"/>
  <c r="CU237"/>
  <c r="CV237"/>
  <c r="CW237"/>
  <c r="CX237"/>
  <c r="CY237"/>
  <c r="CZ237"/>
  <c r="DA237"/>
  <c r="DB237"/>
  <c r="DC237"/>
  <c r="DD237"/>
  <c r="DE237"/>
  <c r="DF237"/>
  <c r="DG237"/>
  <c r="DH237"/>
  <c r="DI237"/>
  <c r="DJ237"/>
  <c r="DK237"/>
  <c r="DL237"/>
  <c r="DM237"/>
  <c r="DN237"/>
  <c r="DO237"/>
  <c r="DP237"/>
  <c r="DQ237"/>
  <c r="DR237"/>
  <c r="DS237"/>
  <c r="DT237"/>
  <c r="DU237"/>
  <c r="DV237"/>
  <c r="DW237"/>
  <c r="DX237"/>
  <c r="DY237"/>
  <c r="DZ237"/>
  <c r="EA237"/>
  <c r="EB237"/>
  <c r="EC237"/>
  <c r="ED237"/>
  <c r="EE237"/>
  <c r="EF237"/>
  <c r="EG237"/>
  <c r="EH237"/>
  <c r="EI237"/>
  <c r="EJ237"/>
  <c r="EK237"/>
  <c r="EL237"/>
  <c r="EM237"/>
  <c r="EN237"/>
  <c r="EO237"/>
  <c r="EP237"/>
  <c r="EQ237"/>
  <c r="ER237"/>
  <c r="ES237"/>
  <c r="ET237"/>
  <c r="EU237"/>
  <c r="EV237"/>
  <c r="EW237"/>
  <c r="EX237"/>
  <c r="EY237"/>
  <c r="EZ237"/>
  <c r="FA237"/>
  <c r="FB237"/>
  <c r="FC237"/>
  <c r="FD237"/>
  <c r="FE237"/>
  <c r="FF237"/>
  <c r="FG237"/>
  <c r="FH237"/>
  <c r="FI237"/>
  <c r="FJ237"/>
  <c r="FK237"/>
  <c r="FL237"/>
  <c r="FM237"/>
  <c r="FN237"/>
  <c r="FO237"/>
  <c r="FP237"/>
  <c r="FQ237"/>
  <c r="FR237"/>
  <c r="FS237"/>
  <c r="FT237"/>
  <c r="FU237"/>
  <c r="FV237"/>
  <c r="FW237"/>
  <c r="FX237"/>
  <c r="FY237"/>
  <c r="FZ237"/>
  <c r="GA237"/>
  <c r="GB237"/>
  <c r="GC237"/>
  <c r="GD237"/>
  <c r="GE237"/>
  <c r="GF237"/>
  <c r="GG237"/>
  <c r="GH237"/>
  <c r="GI237"/>
  <c r="GJ237"/>
  <c r="GK237"/>
  <c r="GL237"/>
  <c r="GM237"/>
  <c r="GN237"/>
  <c r="GO237"/>
  <c r="GP237"/>
  <c r="GQ237"/>
  <c r="GR237"/>
  <c r="GS237"/>
  <c r="GT237"/>
  <c r="GU237"/>
  <c r="GV237"/>
  <c r="GW237"/>
  <c r="GX237"/>
  <c r="GY237"/>
  <c r="GZ237"/>
  <c r="HA237"/>
  <c r="HB237"/>
  <c r="HC237"/>
  <c r="HD237"/>
  <c r="HE237"/>
  <c r="HF237"/>
  <c r="HG237"/>
  <c r="HH237"/>
  <c r="HI237"/>
  <c r="HJ237"/>
  <c r="HK237"/>
  <c r="HL237"/>
  <c r="HM237"/>
  <c r="HN237"/>
  <c r="HO237"/>
  <c r="HP237"/>
  <c r="HQ237"/>
  <c r="HR237"/>
  <c r="HS237"/>
  <c r="HT237"/>
  <c r="HU237"/>
  <c r="HV237"/>
  <c r="HW237"/>
  <c r="HX237"/>
  <c r="HY237"/>
  <c r="HZ237"/>
  <c r="IA237"/>
  <c r="IB237"/>
  <c r="IC237"/>
  <c r="ID237"/>
  <c r="IE237"/>
  <c r="IF237"/>
  <c r="IG237"/>
  <c r="IH237"/>
  <c r="II237"/>
  <c r="IJ237"/>
  <c r="IK237"/>
  <c r="IL237"/>
  <c r="IM237"/>
  <c r="IN237"/>
  <c r="IO237"/>
  <c r="IP237"/>
  <c r="IQ237"/>
  <c r="IR237"/>
  <c r="IS237"/>
  <c r="IT237"/>
  <c r="IU237"/>
  <c r="IV237"/>
  <c r="A238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Z238"/>
  <c r="AA238"/>
  <c r="AB238"/>
  <c r="AC238"/>
  <c r="AD238"/>
  <c r="AE238"/>
  <c r="AF238"/>
  <c r="AG238"/>
  <c r="AH238"/>
  <c r="AI238"/>
  <c r="AJ238"/>
  <c r="AK238"/>
  <c r="AL238"/>
  <c r="AM238"/>
  <c r="AN238"/>
  <c r="AO238"/>
  <c r="AP238"/>
  <c r="AQ238"/>
  <c r="AR238"/>
  <c r="AS238"/>
  <c r="AT238"/>
  <c r="AU238"/>
  <c r="AV238"/>
  <c r="AW238"/>
  <c r="AX238"/>
  <c r="AY238"/>
  <c r="AZ238"/>
  <c r="BA238"/>
  <c r="BB238"/>
  <c r="BC238"/>
  <c r="BD238"/>
  <c r="BE238"/>
  <c r="BF238"/>
  <c r="BG238"/>
  <c r="BH238"/>
  <c r="BI238"/>
  <c r="BJ238"/>
  <c r="BK238"/>
  <c r="BL238"/>
  <c r="BM238"/>
  <c r="BN238"/>
  <c r="BO238"/>
  <c r="BP238"/>
  <c r="BQ238"/>
  <c r="BR238"/>
  <c r="BS238"/>
  <c r="BT238"/>
  <c r="BU238"/>
  <c r="BV238"/>
  <c r="BW238"/>
  <c r="BX238"/>
  <c r="BY238"/>
  <c r="BZ238"/>
  <c r="CA238"/>
  <c r="CB238"/>
  <c r="CC238"/>
  <c r="CD238"/>
  <c r="CE238"/>
  <c r="CF238"/>
  <c r="CG238"/>
  <c r="CH238"/>
  <c r="CI238"/>
  <c r="CJ238"/>
  <c r="CK238"/>
  <c r="CL238"/>
  <c r="CM238"/>
  <c r="CN238"/>
  <c r="CO238"/>
  <c r="CP238"/>
  <c r="CQ238"/>
  <c r="CR238"/>
  <c r="CS238"/>
  <c r="CT238"/>
  <c r="CU238"/>
  <c r="CV238"/>
  <c r="CW238"/>
  <c r="CX238"/>
  <c r="CY238"/>
  <c r="CZ238"/>
  <c r="DA238"/>
  <c r="DB238"/>
  <c r="DC238"/>
  <c r="DD238"/>
  <c r="DE238"/>
  <c r="DF238"/>
  <c r="DG238"/>
  <c r="DH238"/>
  <c r="DI238"/>
  <c r="DJ238"/>
  <c r="DK238"/>
  <c r="DL238"/>
  <c r="DM238"/>
  <c r="DN238"/>
  <c r="DO238"/>
  <c r="DP238"/>
  <c r="DQ238"/>
  <c r="DR238"/>
  <c r="DS238"/>
  <c r="DT238"/>
  <c r="DU238"/>
  <c r="DV238"/>
  <c r="DW238"/>
  <c r="DX238"/>
  <c r="DY238"/>
  <c r="DZ238"/>
  <c r="EA238"/>
  <c r="EB238"/>
  <c r="EC238"/>
  <c r="ED238"/>
  <c r="EE238"/>
  <c r="EF238"/>
  <c r="EG238"/>
  <c r="EH238"/>
  <c r="EI238"/>
  <c r="EJ238"/>
  <c r="EK238"/>
  <c r="EL238"/>
  <c r="EM238"/>
  <c r="EN238"/>
  <c r="EO238"/>
  <c r="EP238"/>
  <c r="EQ238"/>
  <c r="ER238"/>
  <c r="ES238"/>
  <c r="ET238"/>
  <c r="EU238"/>
  <c r="EV238"/>
  <c r="EW238"/>
  <c r="EX238"/>
  <c r="EY238"/>
  <c r="EZ238"/>
  <c r="FA238"/>
  <c r="FB238"/>
  <c r="FC238"/>
  <c r="FD238"/>
  <c r="FE238"/>
  <c r="FF238"/>
  <c r="FG238"/>
  <c r="FH238"/>
  <c r="FI238"/>
  <c r="FJ238"/>
  <c r="FK238"/>
  <c r="FL238"/>
  <c r="FM238"/>
  <c r="FN238"/>
  <c r="FO238"/>
  <c r="FP238"/>
  <c r="FQ238"/>
  <c r="FR238"/>
  <c r="FS238"/>
  <c r="FT238"/>
  <c r="FU238"/>
  <c r="FV238"/>
  <c r="FW238"/>
  <c r="FX238"/>
  <c r="FY238"/>
  <c r="FZ238"/>
  <c r="GA238"/>
  <c r="GB238"/>
  <c r="GC238"/>
  <c r="GD238"/>
  <c r="GE238"/>
  <c r="GF238"/>
  <c r="GG238"/>
  <c r="GH238"/>
  <c r="GI238"/>
  <c r="GJ238"/>
  <c r="GK238"/>
  <c r="GL238"/>
  <c r="GM238"/>
  <c r="GN238"/>
  <c r="GO238"/>
  <c r="GP238"/>
  <c r="GQ238"/>
  <c r="GR238"/>
  <c r="GS238"/>
  <c r="GT238"/>
  <c r="GU238"/>
  <c r="GV238"/>
  <c r="GW238"/>
  <c r="GX238"/>
  <c r="GY238"/>
  <c r="GZ238"/>
  <c r="HA238"/>
  <c r="HB238"/>
  <c r="HC238"/>
  <c r="HD238"/>
  <c r="HE238"/>
  <c r="HF238"/>
  <c r="HG238"/>
  <c r="HH238"/>
  <c r="HI238"/>
  <c r="HJ238"/>
  <c r="HK238"/>
  <c r="HL238"/>
  <c r="HM238"/>
  <c r="HN238"/>
  <c r="HO238"/>
  <c r="HP238"/>
  <c r="HQ238"/>
  <c r="HR238"/>
  <c r="HS238"/>
  <c r="HT238"/>
  <c r="HU238"/>
  <c r="HV238"/>
  <c r="HW238"/>
  <c r="HX238"/>
  <c r="HY238"/>
  <c r="HZ238"/>
  <c r="IA238"/>
  <c r="IB238"/>
  <c r="IC238"/>
  <c r="ID238"/>
  <c r="IE238"/>
  <c r="IF238"/>
  <c r="IG238"/>
  <c r="IH238"/>
  <c r="II238"/>
  <c r="IJ238"/>
  <c r="IK238"/>
  <c r="IL238"/>
  <c r="IM238"/>
  <c r="IN238"/>
  <c r="IO238"/>
  <c r="IP238"/>
  <c r="IQ238"/>
  <c r="IR238"/>
  <c r="IS238"/>
  <c r="IT238"/>
  <c r="IU238"/>
  <c r="IV238"/>
  <c r="A239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Z239"/>
  <c r="AA239"/>
  <c r="AB239"/>
  <c r="AC239"/>
  <c r="AD239"/>
  <c r="AE239"/>
  <c r="AF239"/>
  <c r="AG239"/>
  <c r="AH239"/>
  <c r="AI239"/>
  <c r="AJ239"/>
  <c r="AK239"/>
  <c r="AL239"/>
  <c r="AM239"/>
  <c r="AN239"/>
  <c r="AO239"/>
  <c r="AP239"/>
  <c r="AQ239"/>
  <c r="AR239"/>
  <c r="AS239"/>
  <c r="AT239"/>
  <c r="AU239"/>
  <c r="AV239"/>
  <c r="AW239"/>
  <c r="AX239"/>
  <c r="AY239"/>
  <c r="AZ239"/>
  <c r="BA239"/>
  <c r="BB239"/>
  <c r="BC239"/>
  <c r="BD239"/>
  <c r="BE239"/>
  <c r="BF239"/>
  <c r="BG239"/>
  <c r="BH239"/>
  <c r="BI239"/>
  <c r="BJ239"/>
  <c r="BK239"/>
  <c r="BL239"/>
  <c r="BM239"/>
  <c r="BN239"/>
  <c r="BO239"/>
  <c r="BP239"/>
  <c r="BQ239"/>
  <c r="BR239"/>
  <c r="BS239"/>
  <c r="BT239"/>
  <c r="BU239"/>
  <c r="BV239"/>
  <c r="BW239"/>
  <c r="BX239"/>
  <c r="BY239"/>
  <c r="BZ239"/>
  <c r="CA239"/>
  <c r="CB239"/>
  <c r="CC239"/>
  <c r="CD239"/>
  <c r="CE239"/>
  <c r="CF239"/>
  <c r="CG239"/>
  <c r="CH239"/>
  <c r="CI239"/>
  <c r="CJ239"/>
  <c r="CK239"/>
  <c r="CL239"/>
  <c r="CM239"/>
  <c r="CN239"/>
  <c r="CO239"/>
  <c r="CP239"/>
  <c r="CQ239"/>
  <c r="CR239"/>
  <c r="CS239"/>
  <c r="CT239"/>
  <c r="CU239"/>
  <c r="CV239"/>
  <c r="CW239"/>
  <c r="CX239"/>
  <c r="CY239"/>
  <c r="CZ239"/>
  <c r="DA239"/>
  <c r="DB239"/>
  <c r="DC239"/>
  <c r="DD239"/>
  <c r="DE239"/>
  <c r="DF239"/>
  <c r="DG239"/>
  <c r="DH239"/>
  <c r="DI239"/>
  <c r="DJ239"/>
  <c r="DK239"/>
  <c r="DL239"/>
  <c r="DM239"/>
  <c r="DN239"/>
  <c r="DO239"/>
  <c r="DP239"/>
  <c r="DQ239"/>
  <c r="DR239"/>
  <c r="DS239"/>
  <c r="DT239"/>
  <c r="DU239"/>
  <c r="DV239"/>
  <c r="DW239"/>
  <c r="DX239"/>
  <c r="DY239"/>
  <c r="DZ239"/>
  <c r="EA239"/>
  <c r="EB239"/>
  <c r="EC239"/>
  <c r="ED239"/>
  <c r="EE239"/>
  <c r="EF239"/>
  <c r="EG239"/>
  <c r="EH239"/>
  <c r="EI239"/>
  <c r="EJ239"/>
  <c r="EK239"/>
  <c r="EL239"/>
  <c r="EM239"/>
  <c r="EN239"/>
  <c r="EO239"/>
  <c r="EP239"/>
  <c r="EQ239"/>
  <c r="ER239"/>
  <c r="ES239"/>
  <c r="ET239"/>
  <c r="EU239"/>
  <c r="EV239"/>
  <c r="EW239"/>
  <c r="EX239"/>
  <c r="EY239"/>
  <c r="EZ239"/>
  <c r="FA239"/>
  <c r="FB239"/>
  <c r="FC239"/>
  <c r="FD239"/>
  <c r="FE239"/>
  <c r="FF239"/>
  <c r="FG239"/>
  <c r="FH239"/>
  <c r="FI239"/>
  <c r="FJ239"/>
  <c r="FK239"/>
  <c r="FL239"/>
  <c r="FM239"/>
  <c r="FN239"/>
  <c r="FO239"/>
  <c r="FP239"/>
  <c r="FQ239"/>
  <c r="FR239"/>
  <c r="FS239"/>
  <c r="FT239"/>
  <c r="FU239"/>
  <c r="FV239"/>
  <c r="FW239"/>
  <c r="FX239"/>
  <c r="FY239"/>
  <c r="FZ239"/>
  <c r="GA239"/>
  <c r="GB239"/>
  <c r="GC239"/>
  <c r="GD239"/>
  <c r="GE239"/>
  <c r="GF239"/>
  <c r="GG239"/>
  <c r="GH239"/>
  <c r="GI239"/>
  <c r="GJ239"/>
  <c r="GK239"/>
  <c r="GL239"/>
  <c r="GM239"/>
  <c r="GN239"/>
  <c r="GO239"/>
  <c r="GP239"/>
  <c r="GQ239"/>
  <c r="GR239"/>
  <c r="GS239"/>
  <c r="GT239"/>
  <c r="GU239"/>
  <c r="GV239"/>
  <c r="GW239"/>
  <c r="GX239"/>
  <c r="GY239"/>
  <c r="GZ239"/>
  <c r="HA239"/>
  <c r="HB239"/>
  <c r="HC239"/>
  <c r="HD239"/>
  <c r="HE239"/>
  <c r="HF239"/>
  <c r="HG239"/>
  <c r="HH239"/>
  <c r="HI239"/>
  <c r="HJ239"/>
  <c r="HK239"/>
  <c r="HL239"/>
  <c r="HM239"/>
  <c r="HN239"/>
  <c r="HO239"/>
  <c r="HP239"/>
  <c r="HQ239"/>
  <c r="HR239"/>
  <c r="HS239"/>
  <c r="HT239"/>
  <c r="HU239"/>
  <c r="HV239"/>
  <c r="HW239"/>
  <c r="HX239"/>
  <c r="HY239"/>
  <c r="HZ239"/>
  <c r="IA239"/>
  <c r="IB239"/>
  <c r="IC239"/>
  <c r="ID239"/>
  <c r="IE239"/>
  <c r="IF239"/>
  <c r="IG239"/>
  <c r="IH239"/>
  <c r="II239"/>
  <c r="IJ239"/>
  <c r="IK239"/>
  <c r="IL239"/>
  <c r="IM239"/>
  <c r="IN239"/>
  <c r="IO239"/>
  <c r="IP239"/>
  <c r="IQ239"/>
  <c r="IR239"/>
  <c r="IS239"/>
  <c r="IT239"/>
  <c r="IU239"/>
  <c r="IV239"/>
  <c r="A240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Z240"/>
  <c r="AA240"/>
  <c r="AB240"/>
  <c r="AC240"/>
  <c r="AD240"/>
  <c r="AE240"/>
  <c r="AF240"/>
  <c r="AG240"/>
  <c r="AH240"/>
  <c r="AI240"/>
  <c r="AJ240"/>
  <c r="AK240"/>
  <c r="AL240"/>
  <c r="AM240"/>
  <c r="AN240"/>
  <c r="AO240"/>
  <c r="AP240"/>
  <c r="AQ240"/>
  <c r="AR240"/>
  <c r="AS240"/>
  <c r="AT240"/>
  <c r="AU240"/>
  <c r="AV240"/>
  <c r="AW240"/>
  <c r="AX240"/>
  <c r="AY240"/>
  <c r="AZ240"/>
  <c r="BA240"/>
  <c r="BB240"/>
  <c r="BC240"/>
  <c r="BD240"/>
  <c r="BE240"/>
  <c r="BF240"/>
  <c r="BG240"/>
  <c r="BH240"/>
  <c r="BI240"/>
  <c r="BJ240"/>
  <c r="BK240"/>
  <c r="BL240"/>
  <c r="BM240"/>
  <c r="BN240"/>
  <c r="BO240"/>
  <c r="BP240"/>
  <c r="BQ240"/>
  <c r="BR240"/>
  <c r="BS240"/>
  <c r="BT240"/>
  <c r="BU240"/>
  <c r="BV240"/>
  <c r="BW240"/>
  <c r="BX240"/>
  <c r="BY240"/>
  <c r="BZ240"/>
  <c r="CA240"/>
  <c r="CB240"/>
  <c r="CC240"/>
  <c r="CD240"/>
  <c r="CE240"/>
  <c r="CF240"/>
  <c r="CG240"/>
  <c r="CH240"/>
  <c r="CI240"/>
  <c r="CJ240"/>
  <c r="CK240"/>
  <c r="CL240"/>
  <c r="CM240"/>
  <c r="CN240"/>
  <c r="CO240"/>
  <c r="CP240"/>
  <c r="CQ240"/>
  <c r="CR240"/>
  <c r="CS240"/>
  <c r="CT240"/>
  <c r="CU240"/>
  <c r="CV240"/>
  <c r="CW240"/>
  <c r="CX240"/>
  <c r="CY240"/>
  <c r="CZ240"/>
  <c r="DA240"/>
  <c r="DB240"/>
  <c r="DC240"/>
  <c r="DD240"/>
  <c r="DE240"/>
  <c r="DF240"/>
  <c r="DG240"/>
  <c r="DH240"/>
  <c r="DI240"/>
  <c r="DJ240"/>
  <c r="DK240"/>
  <c r="DL240"/>
  <c r="DM240"/>
  <c r="DN240"/>
  <c r="DO240"/>
  <c r="DP240"/>
  <c r="DQ240"/>
  <c r="DR240"/>
  <c r="DS240"/>
  <c r="DT240"/>
  <c r="DU240"/>
  <c r="DV240"/>
  <c r="DW240"/>
  <c r="DX240"/>
  <c r="DY240"/>
  <c r="DZ240"/>
  <c r="EA240"/>
  <c r="EB240"/>
  <c r="EC240"/>
  <c r="ED240"/>
  <c r="EE240"/>
  <c r="EF240"/>
  <c r="EG240"/>
  <c r="EH240"/>
  <c r="EI240"/>
  <c r="EJ240"/>
  <c r="EK240"/>
  <c r="EL240"/>
  <c r="EM240"/>
  <c r="EN240"/>
  <c r="EO240"/>
  <c r="EP240"/>
  <c r="EQ240"/>
  <c r="ER240"/>
  <c r="ES240"/>
  <c r="ET240"/>
  <c r="EU240"/>
  <c r="EV240"/>
  <c r="EW240"/>
  <c r="EX240"/>
  <c r="EY240"/>
  <c r="EZ240"/>
  <c r="FA240"/>
  <c r="FB240"/>
  <c r="FC240"/>
  <c r="FD240"/>
  <c r="FE240"/>
  <c r="FF240"/>
  <c r="FG240"/>
  <c r="FH240"/>
  <c r="FI240"/>
  <c r="FJ240"/>
  <c r="FK240"/>
  <c r="FL240"/>
  <c r="FM240"/>
  <c r="FN240"/>
  <c r="FO240"/>
  <c r="FP240"/>
  <c r="FQ240"/>
  <c r="FR240"/>
  <c r="FS240"/>
  <c r="FT240"/>
  <c r="FU240"/>
  <c r="FV240"/>
  <c r="FW240"/>
  <c r="FX240"/>
  <c r="FY240"/>
  <c r="FZ240"/>
  <c r="GA240"/>
  <c r="GB240"/>
  <c r="GC240"/>
  <c r="GD240"/>
  <c r="GE240"/>
  <c r="GF240"/>
  <c r="GG240"/>
  <c r="GH240"/>
  <c r="GI240"/>
  <c r="GJ240"/>
  <c r="GK240"/>
  <c r="GL240"/>
  <c r="GM240"/>
  <c r="GN240"/>
  <c r="GO240"/>
  <c r="GP240"/>
  <c r="GQ240"/>
  <c r="GR240"/>
  <c r="GS240"/>
  <c r="GT240"/>
  <c r="GU240"/>
  <c r="GV240"/>
  <c r="GW240"/>
  <c r="GX240"/>
  <c r="GY240"/>
  <c r="GZ240"/>
  <c r="HA240"/>
  <c r="HB240"/>
  <c r="HC240"/>
  <c r="HD240"/>
  <c r="HE240"/>
  <c r="HF240"/>
  <c r="HG240"/>
  <c r="HH240"/>
  <c r="HI240"/>
  <c r="HJ240"/>
  <c r="HK240"/>
  <c r="HL240"/>
  <c r="HM240"/>
  <c r="HN240"/>
  <c r="HO240"/>
  <c r="HP240"/>
  <c r="HQ240"/>
  <c r="HR240"/>
  <c r="HS240"/>
  <c r="HT240"/>
  <c r="HU240"/>
  <c r="HV240"/>
  <c r="HW240"/>
  <c r="HX240"/>
  <c r="HY240"/>
  <c r="HZ240"/>
  <c r="IA240"/>
  <c r="IB240"/>
  <c r="IC240"/>
  <c r="ID240"/>
  <c r="IE240"/>
  <c r="IF240"/>
  <c r="IG240"/>
  <c r="IH240"/>
  <c r="II240"/>
  <c r="IJ240"/>
  <c r="IK240"/>
  <c r="IL240"/>
  <c r="IM240"/>
  <c r="IN240"/>
  <c r="IO240"/>
  <c r="IP240"/>
  <c r="IQ240"/>
  <c r="IR240"/>
  <c r="IS240"/>
  <c r="IT240"/>
  <c r="IU240"/>
  <c r="IV240"/>
  <c r="A241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Z241"/>
  <c r="AA241"/>
  <c r="AB241"/>
  <c r="AC241"/>
  <c r="AD241"/>
  <c r="AE241"/>
  <c r="AF241"/>
  <c r="AG241"/>
  <c r="AH241"/>
  <c r="AI241"/>
  <c r="AJ241"/>
  <c r="AK241"/>
  <c r="AL241"/>
  <c r="AM241"/>
  <c r="AN241"/>
  <c r="AO241"/>
  <c r="AP241"/>
  <c r="AQ241"/>
  <c r="AR241"/>
  <c r="AS241"/>
  <c r="AT241"/>
  <c r="AU241"/>
  <c r="AV241"/>
  <c r="AW241"/>
  <c r="AX241"/>
  <c r="AY241"/>
  <c r="AZ241"/>
  <c r="BA241"/>
  <c r="BB241"/>
  <c r="BC241"/>
  <c r="BD241"/>
  <c r="BE241"/>
  <c r="BF241"/>
  <c r="BG241"/>
  <c r="BH241"/>
  <c r="BI241"/>
  <c r="BJ241"/>
  <c r="BK241"/>
  <c r="BL241"/>
  <c r="BM241"/>
  <c r="BN241"/>
  <c r="BO241"/>
  <c r="BP241"/>
  <c r="BQ241"/>
  <c r="BR241"/>
  <c r="BS241"/>
  <c r="BT241"/>
  <c r="BU241"/>
  <c r="BV241"/>
  <c r="BW241"/>
  <c r="BX241"/>
  <c r="BY241"/>
  <c r="BZ241"/>
  <c r="CA241"/>
  <c r="CB241"/>
  <c r="CC241"/>
  <c r="CD241"/>
  <c r="CE241"/>
  <c r="CF241"/>
  <c r="CG241"/>
  <c r="CH241"/>
  <c r="CI241"/>
  <c r="CJ241"/>
  <c r="CK241"/>
  <c r="CL241"/>
  <c r="CM241"/>
  <c r="CN241"/>
  <c r="CO241"/>
  <c r="CP241"/>
  <c r="CQ241"/>
  <c r="CR241"/>
  <c r="CS241"/>
  <c r="CT241"/>
  <c r="CU241"/>
  <c r="CV241"/>
  <c r="CW241"/>
  <c r="CX241"/>
  <c r="CY241"/>
  <c r="CZ241"/>
  <c r="DA241"/>
  <c r="DB241"/>
  <c r="DC241"/>
  <c r="DD241"/>
  <c r="DE241"/>
  <c r="DF241"/>
  <c r="DG241"/>
  <c r="DH241"/>
  <c r="DI241"/>
  <c r="DJ241"/>
  <c r="DK241"/>
  <c r="DL241"/>
  <c r="DM241"/>
  <c r="DN241"/>
  <c r="DO241"/>
  <c r="DP241"/>
  <c r="DQ241"/>
  <c r="DR241"/>
  <c r="DS241"/>
  <c r="DT241"/>
  <c r="DU241"/>
  <c r="DV241"/>
  <c r="DW241"/>
  <c r="DX241"/>
  <c r="DY241"/>
  <c r="DZ241"/>
  <c r="EA241"/>
  <c r="EB241"/>
  <c r="EC241"/>
  <c r="ED241"/>
  <c r="EE241"/>
  <c r="EF241"/>
  <c r="EG241"/>
  <c r="EH241"/>
  <c r="EI241"/>
  <c r="EJ241"/>
  <c r="EK241"/>
  <c r="EL241"/>
  <c r="EM241"/>
  <c r="EN241"/>
  <c r="EO241"/>
  <c r="EP241"/>
  <c r="EQ241"/>
  <c r="ER241"/>
  <c r="ES241"/>
  <c r="ET241"/>
  <c r="EU241"/>
  <c r="EV241"/>
  <c r="EW241"/>
  <c r="EX241"/>
  <c r="EY241"/>
  <c r="EZ241"/>
  <c r="FA241"/>
  <c r="FB241"/>
  <c r="FC241"/>
  <c r="FD241"/>
  <c r="FE241"/>
  <c r="FF241"/>
  <c r="FG241"/>
  <c r="FH241"/>
  <c r="FI241"/>
  <c r="FJ241"/>
  <c r="FK241"/>
  <c r="FL241"/>
  <c r="FM241"/>
  <c r="FN241"/>
  <c r="FO241"/>
  <c r="FP241"/>
  <c r="FQ241"/>
  <c r="FR241"/>
  <c r="FS241"/>
  <c r="FT241"/>
  <c r="FU241"/>
  <c r="FV241"/>
  <c r="FW241"/>
  <c r="FX241"/>
  <c r="FY241"/>
  <c r="FZ241"/>
  <c r="GA241"/>
  <c r="GB241"/>
  <c r="GC241"/>
  <c r="GD241"/>
  <c r="GE241"/>
  <c r="GF241"/>
  <c r="GG241"/>
  <c r="GH241"/>
  <c r="GI241"/>
  <c r="GJ241"/>
  <c r="GK241"/>
  <c r="GL241"/>
  <c r="GM241"/>
  <c r="GN241"/>
  <c r="GO241"/>
  <c r="GP241"/>
  <c r="GQ241"/>
  <c r="GR241"/>
  <c r="GS241"/>
  <c r="GT241"/>
  <c r="GU241"/>
  <c r="GV241"/>
  <c r="GW241"/>
  <c r="GX241"/>
  <c r="GY241"/>
  <c r="GZ241"/>
  <c r="HA241"/>
  <c r="HB241"/>
  <c r="HC241"/>
  <c r="HD241"/>
  <c r="HE241"/>
  <c r="HF241"/>
  <c r="HG241"/>
  <c r="HH241"/>
  <c r="HI241"/>
  <c r="HJ241"/>
  <c r="HK241"/>
  <c r="HL241"/>
  <c r="HM241"/>
  <c r="HN241"/>
  <c r="HO241"/>
  <c r="HP241"/>
  <c r="HQ241"/>
  <c r="HR241"/>
  <c r="HS241"/>
  <c r="HT241"/>
  <c r="HU241"/>
  <c r="HV241"/>
  <c r="HW241"/>
  <c r="HX241"/>
  <c r="HY241"/>
  <c r="HZ241"/>
  <c r="IA241"/>
  <c r="IB241"/>
  <c r="IC241"/>
  <c r="ID241"/>
  <c r="IE241"/>
  <c r="IF241"/>
  <c r="IG241"/>
  <c r="IH241"/>
  <c r="II241"/>
  <c r="IJ241"/>
  <c r="IK241"/>
  <c r="IL241"/>
  <c r="IM241"/>
  <c r="IN241"/>
  <c r="IO241"/>
  <c r="IP241"/>
  <c r="IQ241"/>
  <c r="IR241"/>
  <c r="IS241"/>
  <c r="IT241"/>
  <c r="IU241"/>
  <c r="IV241"/>
  <c r="A242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Z242"/>
  <c r="AA242"/>
  <c r="AB242"/>
  <c r="AC242"/>
  <c r="AD242"/>
  <c r="AE242"/>
  <c r="AF242"/>
  <c r="AG242"/>
  <c r="AH242"/>
  <c r="AI242"/>
  <c r="AJ242"/>
  <c r="AK242"/>
  <c r="AL242"/>
  <c r="AM242"/>
  <c r="AN242"/>
  <c r="AO242"/>
  <c r="AP242"/>
  <c r="AQ242"/>
  <c r="AR242"/>
  <c r="AS242"/>
  <c r="AT242"/>
  <c r="AU242"/>
  <c r="AV242"/>
  <c r="AW242"/>
  <c r="AX242"/>
  <c r="AY242"/>
  <c r="AZ242"/>
  <c r="BA242"/>
  <c r="BB242"/>
  <c r="BC242"/>
  <c r="BD242"/>
  <c r="BE242"/>
  <c r="BF242"/>
  <c r="BG242"/>
  <c r="BH242"/>
  <c r="BI242"/>
  <c r="BJ242"/>
  <c r="BK242"/>
  <c r="BL242"/>
  <c r="BM242"/>
  <c r="BN242"/>
  <c r="BO242"/>
  <c r="BP242"/>
  <c r="BQ242"/>
  <c r="BR242"/>
  <c r="BS242"/>
  <c r="BT242"/>
  <c r="BU242"/>
  <c r="BV242"/>
  <c r="BW242"/>
  <c r="BX242"/>
  <c r="BY242"/>
  <c r="BZ242"/>
  <c r="CA242"/>
  <c r="CB242"/>
  <c r="CC242"/>
  <c r="CD242"/>
  <c r="CE242"/>
  <c r="CF242"/>
  <c r="CG242"/>
  <c r="CH242"/>
  <c r="CI242"/>
  <c r="CJ242"/>
  <c r="CK242"/>
  <c r="CL242"/>
  <c r="CM242"/>
  <c r="CN242"/>
  <c r="CO242"/>
  <c r="CP242"/>
  <c r="CQ242"/>
  <c r="CR242"/>
  <c r="CS242"/>
  <c r="CT242"/>
  <c r="CU242"/>
  <c r="CV242"/>
  <c r="CW242"/>
  <c r="CX242"/>
  <c r="CY242"/>
  <c r="CZ242"/>
  <c r="DA242"/>
  <c r="DB242"/>
  <c r="DC242"/>
  <c r="DD242"/>
  <c r="DE242"/>
  <c r="DF242"/>
  <c r="DG242"/>
  <c r="DH242"/>
  <c r="DI242"/>
  <c r="DJ242"/>
  <c r="DK242"/>
  <c r="DL242"/>
  <c r="DM242"/>
  <c r="DN242"/>
  <c r="DO242"/>
  <c r="DP242"/>
  <c r="DQ242"/>
  <c r="DR242"/>
  <c r="DS242"/>
  <c r="DT242"/>
  <c r="DU242"/>
  <c r="DV242"/>
  <c r="DW242"/>
  <c r="DX242"/>
  <c r="DY242"/>
  <c r="DZ242"/>
  <c r="EA242"/>
  <c r="EB242"/>
  <c r="EC242"/>
  <c r="ED242"/>
  <c r="EE242"/>
  <c r="EF242"/>
  <c r="EG242"/>
  <c r="EH242"/>
  <c r="EI242"/>
  <c r="EJ242"/>
  <c r="EK242"/>
  <c r="EL242"/>
  <c r="EM242"/>
  <c r="EN242"/>
  <c r="EO242"/>
  <c r="EP242"/>
  <c r="EQ242"/>
  <c r="ER242"/>
  <c r="ES242"/>
  <c r="ET242"/>
  <c r="EU242"/>
  <c r="EV242"/>
  <c r="EW242"/>
  <c r="EX242"/>
  <c r="EY242"/>
  <c r="EZ242"/>
  <c r="FA242"/>
  <c r="FB242"/>
  <c r="FC242"/>
  <c r="FD242"/>
  <c r="FE242"/>
  <c r="FF242"/>
  <c r="FG242"/>
  <c r="FH242"/>
  <c r="FI242"/>
  <c r="FJ242"/>
  <c r="FK242"/>
  <c r="FL242"/>
  <c r="FM242"/>
  <c r="FN242"/>
  <c r="FO242"/>
  <c r="FP242"/>
  <c r="FQ242"/>
  <c r="FR242"/>
  <c r="FS242"/>
  <c r="FT242"/>
  <c r="FU242"/>
  <c r="FV242"/>
  <c r="FW242"/>
  <c r="FX242"/>
  <c r="FY242"/>
  <c r="FZ242"/>
  <c r="GA242"/>
  <c r="GB242"/>
  <c r="GC242"/>
  <c r="GD242"/>
  <c r="GE242"/>
  <c r="GF242"/>
  <c r="GG242"/>
  <c r="GH242"/>
  <c r="GI242"/>
  <c r="GJ242"/>
  <c r="GK242"/>
  <c r="GL242"/>
  <c r="GM242"/>
  <c r="GN242"/>
  <c r="GO242"/>
  <c r="GP242"/>
  <c r="GQ242"/>
  <c r="GR242"/>
  <c r="GS242"/>
  <c r="GT242"/>
  <c r="GU242"/>
  <c r="GV242"/>
  <c r="GW242"/>
  <c r="GX242"/>
  <c r="GY242"/>
  <c r="GZ242"/>
  <c r="HA242"/>
  <c r="HB242"/>
  <c r="HC242"/>
  <c r="HD242"/>
  <c r="HE242"/>
  <c r="HF242"/>
  <c r="HG242"/>
  <c r="HH242"/>
  <c r="HI242"/>
  <c r="HJ242"/>
  <c r="HK242"/>
  <c r="HL242"/>
  <c r="HM242"/>
  <c r="HN242"/>
  <c r="HO242"/>
  <c r="HP242"/>
  <c r="HQ242"/>
  <c r="HR242"/>
  <c r="HS242"/>
  <c r="HT242"/>
  <c r="HU242"/>
  <c r="HV242"/>
  <c r="HW242"/>
  <c r="HX242"/>
  <c r="HY242"/>
  <c r="HZ242"/>
  <c r="IA242"/>
  <c r="IB242"/>
  <c r="IC242"/>
  <c r="ID242"/>
  <c r="IE242"/>
  <c r="IF242"/>
  <c r="IG242"/>
  <c r="IH242"/>
  <c r="II242"/>
  <c r="IJ242"/>
  <c r="IK242"/>
  <c r="IL242"/>
  <c r="IM242"/>
  <c r="IN242"/>
  <c r="IO242"/>
  <c r="IP242"/>
  <c r="IQ242"/>
  <c r="IR242"/>
  <c r="IS242"/>
  <c r="IT242"/>
  <c r="IU242"/>
  <c r="IV242"/>
  <c r="A243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Z243"/>
  <c r="AA243"/>
  <c r="AB243"/>
  <c r="AC243"/>
  <c r="AD243"/>
  <c r="AE243"/>
  <c r="AF243"/>
  <c r="AG243"/>
  <c r="AH243"/>
  <c r="AI243"/>
  <c r="AJ243"/>
  <c r="AK243"/>
  <c r="AL243"/>
  <c r="AM243"/>
  <c r="AN243"/>
  <c r="AO243"/>
  <c r="AP243"/>
  <c r="AQ243"/>
  <c r="AR243"/>
  <c r="AS243"/>
  <c r="AT243"/>
  <c r="AU243"/>
  <c r="AV243"/>
  <c r="AW243"/>
  <c r="AX243"/>
  <c r="AY243"/>
  <c r="AZ243"/>
  <c r="BA243"/>
  <c r="BB243"/>
  <c r="BC243"/>
  <c r="BD243"/>
  <c r="BE243"/>
  <c r="BF243"/>
  <c r="BG243"/>
  <c r="BH243"/>
  <c r="BI243"/>
  <c r="BJ243"/>
  <c r="BK243"/>
  <c r="BL243"/>
  <c r="BM243"/>
  <c r="BN243"/>
  <c r="BO243"/>
  <c r="BP243"/>
  <c r="BQ243"/>
  <c r="BR243"/>
  <c r="BS243"/>
  <c r="BT243"/>
  <c r="BU243"/>
  <c r="BV243"/>
  <c r="BW243"/>
  <c r="BX243"/>
  <c r="BY243"/>
  <c r="BZ243"/>
  <c r="CA243"/>
  <c r="CB243"/>
  <c r="CC243"/>
  <c r="CD243"/>
  <c r="CE243"/>
  <c r="CF243"/>
  <c r="CG243"/>
  <c r="CH243"/>
  <c r="CI243"/>
  <c r="CJ243"/>
  <c r="CK243"/>
  <c r="CL243"/>
  <c r="CM243"/>
  <c r="CN243"/>
  <c r="CO243"/>
  <c r="CP243"/>
  <c r="CQ243"/>
  <c r="CR243"/>
  <c r="CS243"/>
  <c r="CT243"/>
  <c r="CU243"/>
  <c r="CV243"/>
  <c r="CW243"/>
  <c r="CX243"/>
  <c r="CY243"/>
  <c r="CZ243"/>
  <c r="DA243"/>
  <c r="DB243"/>
  <c r="DC243"/>
  <c r="DD243"/>
  <c r="DE243"/>
  <c r="DF243"/>
  <c r="DG243"/>
  <c r="DH243"/>
  <c r="DI243"/>
  <c r="DJ243"/>
  <c r="DK243"/>
  <c r="DL243"/>
  <c r="DM243"/>
  <c r="DN243"/>
  <c r="DO243"/>
  <c r="DP243"/>
  <c r="DQ243"/>
  <c r="DR243"/>
  <c r="DS243"/>
  <c r="DT243"/>
  <c r="DU243"/>
  <c r="DV243"/>
  <c r="DW243"/>
  <c r="DX243"/>
  <c r="DY243"/>
  <c r="DZ243"/>
  <c r="EA243"/>
  <c r="EB243"/>
  <c r="EC243"/>
  <c r="ED243"/>
  <c r="EE243"/>
  <c r="EF243"/>
  <c r="EG243"/>
  <c r="EH243"/>
  <c r="EI243"/>
  <c r="EJ243"/>
  <c r="EK243"/>
  <c r="EL243"/>
  <c r="EM243"/>
  <c r="EN243"/>
  <c r="EO243"/>
  <c r="EP243"/>
  <c r="EQ243"/>
  <c r="ER243"/>
  <c r="ES243"/>
  <c r="ET243"/>
  <c r="EU243"/>
  <c r="EV243"/>
  <c r="EW243"/>
  <c r="EX243"/>
  <c r="EY243"/>
  <c r="EZ243"/>
  <c r="FA243"/>
  <c r="FB243"/>
  <c r="FC243"/>
  <c r="FD243"/>
  <c r="FE243"/>
  <c r="FF243"/>
  <c r="FG243"/>
  <c r="FH243"/>
  <c r="FI243"/>
  <c r="FJ243"/>
  <c r="FK243"/>
  <c r="FL243"/>
  <c r="FM243"/>
  <c r="FN243"/>
  <c r="FO243"/>
  <c r="FP243"/>
  <c r="FQ243"/>
  <c r="FR243"/>
  <c r="FS243"/>
  <c r="FT243"/>
  <c r="FU243"/>
  <c r="FV243"/>
  <c r="FW243"/>
  <c r="FX243"/>
  <c r="FY243"/>
  <c r="FZ243"/>
  <c r="GA243"/>
  <c r="GB243"/>
  <c r="GC243"/>
  <c r="GD243"/>
  <c r="GE243"/>
  <c r="GF243"/>
  <c r="GG243"/>
  <c r="GH243"/>
  <c r="GI243"/>
  <c r="GJ243"/>
  <c r="GK243"/>
  <c r="GL243"/>
  <c r="GM243"/>
  <c r="GN243"/>
  <c r="GO243"/>
  <c r="GP243"/>
  <c r="GQ243"/>
  <c r="GR243"/>
  <c r="GS243"/>
  <c r="GT243"/>
  <c r="GU243"/>
  <c r="GV243"/>
  <c r="GW243"/>
  <c r="GX243"/>
  <c r="GY243"/>
  <c r="GZ243"/>
  <c r="HA243"/>
  <c r="HB243"/>
  <c r="HC243"/>
  <c r="HD243"/>
  <c r="HE243"/>
  <c r="HF243"/>
  <c r="HG243"/>
  <c r="HH243"/>
  <c r="HI243"/>
  <c r="HJ243"/>
  <c r="HK243"/>
  <c r="HL243"/>
  <c r="HM243"/>
  <c r="HN243"/>
  <c r="HO243"/>
  <c r="HP243"/>
  <c r="HQ243"/>
  <c r="HR243"/>
  <c r="HS243"/>
  <c r="HT243"/>
  <c r="HU243"/>
  <c r="HV243"/>
  <c r="HW243"/>
  <c r="HX243"/>
  <c r="HY243"/>
  <c r="HZ243"/>
  <c r="IA243"/>
  <c r="IB243"/>
  <c r="IC243"/>
  <c r="ID243"/>
  <c r="IE243"/>
  <c r="IF243"/>
  <c r="IG243"/>
  <c r="IH243"/>
  <c r="II243"/>
  <c r="IJ243"/>
  <c r="IK243"/>
  <c r="IL243"/>
  <c r="IM243"/>
  <c r="IN243"/>
  <c r="IO243"/>
  <c r="IP243"/>
  <c r="IQ243"/>
  <c r="IR243"/>
  <c r="IS243"/>
  <c r="IT243"/>
  <c r="IU243"/>
  <c r="IV243"/>
  <c r="A244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Z244"/>
  <c r="AA244"/>
  <c r="AB244"/>
  <c r="AC244"/>
  <c r="AD244"/>
  <c r="AE244"/>
  <c r="AF244"/>
  <c r="AG244"/>
  <c r="AH244"/>
  <c r="AI244"/>
  <c r="AJ244"/>
  <c r="AK244"/>
  <c r="AL244"/>
  <c r="AM244"/>
  <c r="AN244"/>
  <c r="AO244"/>
  <c r="AP244"/>
  <c r="AQ244"/>
  <c r="AR244"/>
  <c r="AS244"/>
  <c r="AT244"/>
  <c r="AU244"/>
  <c r="AV244"/>
  <c r="AW244"/>
  <c r="AX244"/>
  <c r="AY244"/>
  <c r="AZ244"/>
  <c r="BA244"/>
  <c r="BB244"/>
  <c r="BC244"/>
  <c r="BD244"/>
  <c r="BE244"/>
  <c r="BF244"/>
  <c r="BG244"/>
  <c r="BH244"/>
  <c r="BI244"/>
  <c r="BJ244"/>
  <c r="BK244"/>
  <c r="BL244"/>
  <c r="BM244"/>
  <c r="BN244"/>
  <c r="BO244"/>
  <c r="BP244"/>
  <c r="BQ244"/>
  <c r="BR244"/>
  <c r="BS244"/>
  <c r="BT244"/>
  <c r="BU244"/>
  <c r="BV244"/>
  <c r="BW244"/>
  <c r="BX244"/>
  <c r="BY244"/>
  <c r="BZ244"/>
  <c r="CA244"/>
  <c r="CB244"/>
  <c r="CC244"/>
  <c r="CD244"/>
  <c r="CE244"/>
  <c r="CF244"/>
  <c r="CG244"/>
  <c r="CH244"/>
  <c r="CI244"/>
  <c r="CJ244"/>
  <c r="CK244"/>
  <c r="CL244"/>
  <c r="CM244"/>
  <c r="CN244"/>
  <c r="CO244"/>
  <c r="CP244"/>
  <c r="CQ244"/>
  <c r="CR244"/>
  <c r="CS244"/>
  <c r="CT244"/>
  <c r="CU244"/>
  <c r="CV244"/>
  <c r="CW244"/>
  <c r="CX244"/>
  <c r="CY244"/>
  <c r="CZ244"/>
  <c r="DA244"/>
  <c r="DB244"/>
  <c r="DC244"/>
  <c r="DD244"/>
  <c r="DE244"/>
  <c r="DF244"/>
  <c r="DG244"/>
  <c r="DH244"/>
  <c r="DI244"/>
  <c r="DJ244"/>
  <c r="DK244"/>
  <c r="DL244"/>
  <c r="DM244"/>
  <c r="DN244"/>
  <c r="DO244"/>
  <c r="DP244"/>
  <c r="DQ244"/>
  <c r="DR244"/>
  <c r="DS244"/>
  <c r="DT244"/>
  <c r="DU244"/>
  <c r="DV244"/>
  <c r="DW244"/>
  <c r="DX244"/>
  <c r="DY244"/>
  <c r="DZ244"/>
  <c r="EA244"/>
  <c r="EB244"/>
  <c r="EC244"/>
  <c r="ED244"/>
  <c r="EE244"/>
  <c r="EF244"/>
  <c r="EG244"/>
  <c r="EH244"/>
  <c r="EI244"/>
  <c r="EJ244"/>
  <c r="EK244"/>
  <c r="EL244"/>
  <c r="EM244"/>
  <c r="EN244"/>
  <c r="EO244"/>
  <c r="EP244"/>
  <c r="EQ244"/>
  <c r="ER244"/>
  <c r="ES244"/>
  <c r="ET244"/>
  <c r="EU244"/>
  <c r="EV244"/>
  <c r="EW244"/>
  <c r="EX244"/>
  <c r="EY244"/>
  <c r="EZ244"/>
  <c r="FA244"/>
  <c r="FB244"/>
  <c r="FC244"/>
  <c r="FD244"/>
  <c r="FE244"/>
  <c r="FF244"/>
  <c r="FG244"/>
  <c r="FH244"/>
  <c r="FI244"/>
  <c r="FJ244"/>
  <c r="FK244"/>
  <c r="FL244"/>
  <c r="FM244"/>
  <c r="FN244"/>
  <c r="FO244"/>
  <c r="FP244"/>
  <c r="FQ244"/>
  <c r="FR244"/>
  <c r="FS244"/>
  <c r="FT244"/>
  <c r="FU244"/>
  <c r="FV244"/>
  <c r="FW244"/>
  <c r="FX244"/>
  <c r="FY244"/>
  <c r="FZ244"/>
  <c r="GA244"/>
  <c r="GB244"/>
  <c r="GC244"/>
  <c r="GD244"/>
  <c r="GE244"/>
  <c r="GF244"/>
  <c r="GG244"/>
  <c r="GH244"/>
  <c r="GI244"/>
  <c r="GJ244"/>
  <c r="GK244"/>
  <c r="GL244"/>
  <c r="GM244"/>
  <c r="GN244"/>
  <c r="GO244"/>
  <c r="GP244"/>
  <c r="GQ244"/>
  <c r="GR244"/>
  <c r="GS244"/>
  <c r="GT244"/>
  <c r="GU244"/>
  <c r="GV244"/>
  <c r="GW244"/>
  <c r="GX244"/>
  <c r="GY244"/>
  <c r="GZ244"/>
  <c r="HA244"/>
  <c r="HB244"/>
  <c r="HC244"/>
  <c r="HD244"/>
  <c r="HE244"/>
  <c r="HF244"/>
  <c r="HG244"/>
  <c r="HH244"/>
  <c r="HI244"/>
  <c r="HJ244"/>
  <c r="HK244"/>
  <c r="HL244"/>
  <c r="HM244"/>
  <c r="HN244"/>
  <c r="HO244"/>
  <c r="HP244"/>
  <c r="HQ244"/>
  <c r="HR244"/>
  <c r="HS244"/>
  <c r="HT244"/>
  <c r="HU244"/>
  <c r="HV244"/>
  <c r="HW244"/>
  <c r="HX244"/>
  <c r="HY244"/>
  <c r="HZ244"/>
  <c r="IA244"/>
  <c r="IB244"/>
  <c r="IC244"/>
  <c r="ID244"/>
  <c r="IE244"/>
  <c r="IF244"/>
  <c r="IG244"/>
  <c r="IH244"/>
  <c r="II244"/>
  <c r="IJ244"/>
  <c r="IK244"/>
  <c r="IL244"/>
  <c r="IM244"/>
  <c r="IN244"/>
  <c r="IO244"/>
  <c r="IP244"/>
  <c r="IQ244"/>
  <c r="IR244"/>
  <c r="IS244"/>
  <c r="IT244"/>
  <c r="IU244"/>
  <c r="IV244"/>
  <c r="A245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Z245"/>
  <c r="AA245"/>
  <c r="AB245"/>
  <c r="AC245"/>
  <c r="AD245"/>
  <c r="AE245"/>
  <c r="AF245"/>
  <c r="AG245"/>
  <c r="AH245"/>
  <c r="AI245"/>
  <c r="AJ245"/>
  <c r="AK245"/>
  <c r="AL245"/>
  <c r="AM245"/>
  <c r="AN245"/>
  <c r="AO245"/>
  <c r="AP245"/>
  <c r="AQ245"/>
  <c r="AR245"/>
  <c r="AS245"/>
  <c r="AT245"/>
  <c r="AU245"/>
  <c r="AV245"/>
  <c r="AW245"/>
  <c r="AX245"/>
  <c r="AY245"/>
  <c r="AZ245"/>
  <c r="BA245"/>
  <c r="BB245"/>
  <c r="BC245"/>
  <c r="BD245"/>
  <c r="BE245"/>
  <c r="BF245"/>
  <c r="BG245"/>
  <c r="BH245"/>
  <c r="BI245"/>
  <c r="BJ245"/>
  <c r="BK245"/>
  <c r="BL245"/>
  <c r="BM245"/>
  <c r="BN245"/>
  <c r="BO245"/>
  <c r="BP245"/>
  <c r="BQ245"/>
  <c r="BR245"/>
  <c r="BS245"/>
  <c r="BT245"/>
  <c r="BU245"/>
  <c r="BV245"/>
  <c r="BW245"/>
  <c r="BX245"/>
  <c r="BY245"/>
  <c r="BZ245"/>
  <c r="CA245"/>
  <c r="CB245"/>
  <c r="CC245"/>
  <c r="CD245"/>
  <c r="CE245"/>
  <c r="CF245"/>
  <c r="CG245"/>
  <c r="CH245"/>
  <c r="CI245"/>
  <c r="CJ245"/>
  <c r="CK245"/>
  <c r="CL245"/>
  <c r="CM245"/>
  <c r="CN245"/>
  <c r="CO245"/>
  <c r="CP245"/>
  <c r="CQ245"/>
  <c r="CR245"/>
  <c r="CS245"/>
  <c r="CT245"/>
  <c r="CU245"/>
  <c r="CV245"/>
  <c r="CW245"/>
  <c r="CX245"/>
  <c r="CY245"/>
  <c r="CZ245"/>
  <c r="DA245"/>
  <c r="DB245"/>
  <c r="DC245"/>
  <c r="DD245"/>
  <c r="DE245"/>
  <c r="DF245"/>
  <c r="DG245"/>
  <c r="DH245"/>
  <c r="DI245"/>
  <c r="DJ245"/>
  <c r="DK245"/>
  <c r="DL245"/>
  <c r="DM245"/>
  <c r="DN245"/>
  <c r="DO245"/>
  <c r="DP245"/>
  <c r="DQ245"/>
  <c r="DR245"/>
  <c r="DS245"/>
  <c r="DT245"/>
  <c r="DU245"/>
  <c r="DV245"/>
  <c r="DW245"/>
  <c r="DX245"/>
  <c r="DY245"/>
  <c r="DZ245"/>
  <c r="EA245"/>
  <c r="EB245"/>
  <c r="EC245"/>
  <c r="ED245"/>
  <c r="EE245"/>
  <c r="EF245"/>
  <c r="EG245"/>
  <c r="EH245"/>
  <c r="EI245"/>
  <c r="EJ245"/>
  <c r="EK245"/>
  <c r="EL245"/>
  <c r="EM245"/>
  <c r="EN245"/>
  <c r="EO245"/>
  <c r="EP245"/>
  <c r="EQ245"/>
  <c r="ER245"/>
  <c r="ES245"/>
  <c r="ET245"/>
  <c r="EU245"/>
  <c r="EV245"/>
  <c r="EW245"/>
  <c r="EX245"/>
  <c r="EY245"/>
  <c r="EZ245"/>
  <c r="FA245"/>
  <c r="FB245"/>
  <c r="FC245"/>
  <c r="FD245"/>
  <c r="FE245"/>
  <c r="FF245"/>
  <c r="FG245"/>
  <c r="FH245"/>
  <c r="FI245"/>
  <c r="FJ245"/>
  <c r="FK245"/>
  <c r="FL245"/>
  <c r="FM245"/>
  <c r="FN245"/>
  <c r="FO245"/>
  <c r="FP245"/>
  <c r="FQ245"/>
  <c r="FR245"/>
  <c r="FS245"/>
  <c r="FT245"/>
  <c r="FU245"/>
  <c r="FV245"/>
  <c r="FW245"/>
  <c r="FX245"/>
  <c r="FY245"/>
  <c r="FZ245"/>
  <c r="GA245"/>
  <c r="GB245"/>
  <c r="GC245"/>
  <c r="GD245"/>
  <c r="GE245"/>
  <c r="GF245"/>
  <c r="GG245"/>
  <c r="GH245"/>
  <c r="GI245"/>
  <c r="GJ245"/>
  <c r="GK245"/>
  <c r="GL245"/>
  <c r="GM245"/>
  <c r="GN245"/>
  <c r="GO245"/>
  <c r="GP245"/>
  <c r="GQ245"/>
  <c r="GR245"/>
  <c r="GS245"/>
  <c r="GT245"/>
  <c r="GU245"/>
  <c r="GV245"/>
  <c r="GW245"/>
  <c r="GX245"/>
  <c r="GY245"/>
  <c r="GZ245"/>
  <c r="HA245"/>
  <c r="HB245"/>
  <c r="HC245"/>
  <c r="HD245"/>
  <c r="HE245"/>
  <c r="HF245"/>
  <c r="HG245"/>
  <c r="HH245"/>
  <c r="HI245"/>
  <c r="HJ245"/>
  <c r="HK245"/>
  <c r="HL245"/>
  <c r="HM245"/>
  <c r="HN245"/>
  <c r="HO245"/>
  <c r="HP245"/>
  <c r="HQ245"/>
  <c r="HR245"/>
  <c r="HS245"/>
  <c r="HT245"/>
  <c r="HU245"/>
  <c r="HV245"/>
  <c r="HW245"/>
  <c r="HX245"/>
  <c r="HY245"/>
  <c r="HZ245"/>
  <c r="IA245"/>
  <c r="IB245"/>
  <c r="IC245"/>
  <c r="ID245"/>
  <c r="IE245"/>
  <c r="IF245"/>
  <c r="IG245"/>
  <c r="IH245"/>
  <c r="II245"/>
  <c r="IJ245"/>
  <c r="IK245"/>
  <c r="IL245"/>
  <c r="IM245"/>
  <c r="IN245"/>
  <c r="IO245"/>
  <c r="IP245"/>
  <c r="IQ245"/>
  <c r="IR245"/>
  <c r="IS245"/>
  <c r="IT245"/>
  <c r="IU245"/>
  <c r="IV245"/>
  <c r="A246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Z246"/>
  <c r="AA246"/>
  <c r="AB246"/>
  <c r="AC246"/>
  <c r="AD246"/>
  <c r="AE246"/>
  <c r="AF246"/>
  <c r="AG246"/>
  <c r="AH246"/>
  <c r="AI246"/>
  <c r="AJ246"/>
  <c r="AK246"/>
  <c r="AL246"/>
  <c r="AM246"/>
  <c r="AN246"/>
  <c r="AO246"/>
  <c r="AP246"/>
  <c r="AQ246"/>
  <c r="AR246"/>
  <c r="AS246"/>
  <c r="AT246"/>
  <c r="AU246"/>
  <c r="AV246"/>
  <c r="AW246"/>
  <c r="AX246"/>
  <c r="AY246"/>
  <c r="AZ246"/>
  <c r="BA246"/>
  <c r="BB246"/>
  <c r="BC246"/>
  <c r="BD246"/>
  <c r="BE246"/>
  <c r="BF246"/>
  <c r="BG246"/>
  <c r="BH246"/>
  <c r="BI246"/>
  <c r="BJ246"/>
  <c r="BK246"/>
  <c r="BL246"/>
  <c r="BM246"/>
  <c r="BN246"/>
  <c r="BO246"/>
  <c r="BP246"/>
  <c r="BQ246"/>
  <c r="BR246"/>
  <c r="BS246"/>
  <c r="BT246"/>
  <c r="BU246"/>
  <c r="BV246"/>
  <c r="BW246"/>
  <c r="BX246"/>
  <c r="BY246"/>
  <c r="BZ246"/>
  <c r="CA246"/>
  <c r="CB246"/>
  <c r="CC246"/>
  <c r="CD246"/>
  <c r="CE246"/>
  <c r="CF246"/>
  <c r="CG246"/>
  <c r="CH246"/>
  <c r="CI246"/>
  <c r="CJ246"/>
  <c r="CK246"/>
  <c r="CL246"/>
  <c r="CM246"/>
  <c r="CN246"/>
  <c r="CO246"/>
  <c r="CP246"/>
  <c r="CQ246"/>
  <c r="CR246"/>
  <c r="CS246"/>
  <c r="CT246"/>
  <c r="CU246"/>
  <c r="CV246"/>
  <c r="CW246"/>
  <c r="CX246"/>
  <c r="CY246"/>
  <c r="CZ246"/>
  <c r="DA246"/>
  <c r="DB246"/>
  <c r="DC246"/>
  <c r="DD246"/>
  <c r="DE246"/>
  <c r="DF246"/>
  <c r="DG246"/>
  <c r="DH246"/>
  <c r="DI246"/>
  <c r="DJ246"/>
  <c r="DK246"/>
  <c r="DL246"/>
  <c r="DM246"/>
  <c r="DN246"/>
  <c r="DO246"/>
  <c r="DP246"/>
  <c r="DQ246"/>
  <c r="DR246"/>
  <c r="DS246"/>
  <c r="DT246"/>
  <c r="DU246"/>
  <c r="DV246"/>
  <c r="DW246"/>
  <c r="DX246"/>
  <c r="DY246"/>
  <c r="DZ246"/>
  <c r="EA246"/>
  <c r="EB246"/>
  <c r="EC246"/>
  <c r="ED246"/>
  <c r="EE246"/>
  <c r="EF246"/>
  <c r="EG246"/>
  <c r="EH246"/>
  <c r="EI246"/>
  <c r="EJ246"/>
  <c r="EK246"/>
  <c r="EL246"/>
  <c r="EM246"/>
  <c r="EN246"/>
  <c r="EO246"/>
  <c r="EP246"/>
  <c r="EQ246"/>
  <c r="ER246"/>
  <c r="ES246"/>
  <c r="ET246"/>
  <c r="EU246"/>
  <c r="EV246"/>
  <c r="EW246"/>
  <c r="EX246"/>
  <c r="EY246"/>
  <c r="EZ246"/>
  <c r="FA246"/>
  <c r="FB246"/>
  <c r="FC246"/>
  <c r="FD246"/>
  <c r="FE246"/>
  <c r="FF246"/>
  <c r="FG246"/>
  <c r="FH246"/>
  <c r="FI246"/>
  <c r="FJ246"/>
  <c r="FK246"/>
  <c r="FL246"/>
  <c r="FM246"/>
  <c r="FN246"/>
  <c r="FO246"/>
  <c r="FP246"/>
  <c r="FQ246"/>
  <c r="FR246"/>
  <c r="FS246"/>
  <c r="FT246"/>
  <c r="FU246"/>
  <c r="FV246"/>
  <c r="FW246"/>
  <c r="FX246"/>
  <c r="FY246"/>
  <c r="FZ246"/>
  <c r="GA246"/>
  <c r="GB246"/>
  <c r="GC246"/>
  <c r="GD246"/>
  <c r="GE246"/>
  <c r="GF246"/>
  <c r="GG246"/>
  <c r="GH246"/>
  <c r="GI246"/>
  <c r="GJ246"/>
  <c r="GK246"/>
  <c r="GL246"/>
  <c r="GM246"/>
  <c r="GN246"/>
  <c r="GO246"/>
  <c r="GP246"/>
  <c r="GQ246"/>
  <c r="GR246"/>
  <c r="GS246"/>
  <c r="GT246"/>
  <c r="GU246"/>
  <c r="GV246"/>
  <c r="GW246"/>
  <c r="GX246"/>
  <c r="GY246"/>
  <c r="GZ246"/>
  <c r="HA246"/>
  <c r="HB246"/>
  <c r="HC246"/>
  <c r="HD246"/>
  <c r="HE246"/>
  <c r="HF246"/>
  <c r="HG246"/>
  <c r="HH246"/>
  <c r="HI246"/>
  <c r="HJ246"/>
  <c r="HK246"/>
  <c r="HL246"/>
  <c r="HM246"/>
  <c r="HN246"/>
  <c r="HO246"/>
  <c r="HP246"/>
  <c r="HQ246"/>
  <c r="HR246"/>
  <c r="HS246"/>
  <c r="HT246"/>
  <c r="HU246"/>
  <c r="HV246"/>
  <c r="HW246"/>
  <c r="HX246"/>
  <c r="HY246"/>
  <c r="HZ246"/>
  <c r="IA246"/>
  <c r="IB246"/>
  <c r="IC246"/>
  <c r="ID246"/>
  <c r="IE246"/>
  <c r="IF246"/>
  <c r="IG246"/>
  <c r="IH246"/>
  <c r="II246"/>
  <c r="IJ246"/>
  <c r="IK246"/>
  <c r="IL246"/>
  <c r="IM246"/>
  <c r="IN246"/>
  <c r="IO246"/>
  <c r="IP246"/>
  <c r="IQ246"/>
  <c r="IR246"/>
  <c r="IS246"/>
  <c r="IT246"/>
  <c r="IU246"/>
  <c r="IV246"/>
  <c r="A247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Z247"/>
  <c r="AA247"/>
  <c r="AB247"/>
  <c r="AC247"/>
  <c r="AD247"/>
  <c r="AE247"/>
  <c r="AF247"/>
  <c r="AG247"/>
  <c r="AH247"/>
  <c r="AI247"/>
  <c r="AJ247"/>
  <c r="AK247"/>
  <c r="AL247"/>
  <c r="AM247"/>
  <c r="AN247"/>
  <c r="AO247"/>
  <c r="AP247"/>
  <c r="AQ247"/>
  <c r="AR247"/>
  <c r="AS247"/>
  <c r="AT247"/>
  <c r="AU247"/>
  <c r="AV247"/>
  <c r="AW247"/>
  <c r="AX247"/>
  <c r="AY247"/>
  <c r="AZ247"/>
  <c r="BA247"/>
  <c r="BB247"/>
  <c r="BC247"/>
  <c r="BD247"/>
  <c r="BE247"/>
  <c r="BF247"/>
  <c r="BG247"/>
  <c r="BH247"/>
  <c r="BI247"/>
  <c r="BJ247"/>
  <c r="BK247"/>
  <c r="BL247"/>
  <c r="BM247"/>
  <c r="BN247"/>
  <c r="BO247"/>
  <c r="BP247"/>
  <c r="BQ247"/>
  <c r="BR247"/>
  <c r="BS247"/>
  <c r="BT247"/>
  <c r="BU247"/>
  <c r="BV247"/>
  <c r="BW247"/>
  <c r="BX247"/>
  <c r="BY247"/>
  <c r="BZ247"/>
  <c r="CA247"/>
  <c r="CB247"/>
  <c r="CC247"/>
  <c r="CD247"/>
  <c r="CE247"/>
  <c r="CF247"/>
  <c r="CG247"/>
  <c r="CH247"/>
  <c r="CI247"/>
  <c r="CJ247"/>
  <c r="CK247"/>
  <c r="CL247"/>
  <c r="CM247"/>
  <c r="CN247"/>
  <c r="CO247"/>
  <c r="CP247"/>
  <c r="CQ247"/>
  <c r="CR247"/>
  <c r="CS247"/>
  <c r="CT247"/>
  <c r="CU247"/>
  <c r="CV247"/>
  <c r="CW247"/>
  <c r="CX247"/>
  <c r="CY247"/>
  <c r="CZ247"/>
  <c r="DA247"/>
  <c r="DB247"/>
  <c r="DC247"/>
  <c r="DD247"/>
  <c r="DE247"/>
  <c r="DF247"/>
  <c r="DG247"/>
  <c r="DH247"/>
  <c r="DI247"/>
  <c r="DJ247"/>
  <c r="DK247"/>
  <c r="DL247"/>
  <c r="DM247"/>
  <c r="DN247"/>
  <c r="DO247"/>
  <c r="DP247"/>
  <c r="DQ247"/>
  <c r="DR247"/>
  <c r="DS247"/>
  <c r="DT247"/>
  <c r="DU247"/>
  <c r="DV247"/>
  <c r="DW247"/>
  <c r="DX247"/>
  <c r="DY247"/>
  <c r="DZ247"/>
  <c r="EA247"/>
  <c r="EB247"/>
  <c r="EC247"/>
  <c r="ED247"/>
  <c r="EE247"/>
  <c r="EF247"/>
  <c r="EG247"/>
  <c r="EH247"/>
  <c r="EI247"/>
  <c r="EJ247"/>
  <c r="EK247"/>
  <c r="EL247"/>
  <c r="EM247"/>
  <c r="EN247"/>
  <c r="EO247"/>
  <c r="EP247"/>
  <c r="EQ247"/>
  <c r="ER247"/>
  <c r="ES247"/>
  <c r="ET247"/>
  <c r="EU247"/>
  <c r="EV247"/>
  <c r="EW247"/>
  <c r="EX247"/>
  <c r="EY247"/>
  <c r="EZ247"/>
  <c r="FA247"/>
  <c r="FB247"/>
  <c r="FC247"/>
  <c r="FD247"/>
  <c r="FE247"/>
  <c r="FF247"/>
  <c r="FG247"/>
  <c r="FH247"/>
  <c r="FI247"/>
  <c r="FJ247"/>
  <c r="FK247"/>
  <c r="FL247"/>
  <c r="FM247"/>
  <c r="FN247"/>
  <c r="FO247"/>
  <c r="FP247"/>
  <c r="FQ247"/>
  <c r="FR247"/>
  <c r="FS247"/>
  <c r="FT247"/>
  <c r="FU247"/>
  <c r="FV247"/>
  <c r="FW247"/>
  <c r="FX247"/>
  <c r="FY247"/>
  <c r="FZ247"/>
  <c r="GA247"/>
  <c r="GB247"/>
  <c r="GC247"/>
  <c r="GD247"/>
  <c r="GE247"/>
  <c r="GF247"/>
  <c r="GG247"/>
  <c r="GH247"/>
  <c r="GI247"/>
  <c r="GJ247"/>
  <c r="GK247"/>
  <c r="GL247"/>
  <c r="GM247"/>
  <c r="GN247"/>
  <c r="GO247"/>
  <c r="GP247"/>
  <c r="GQ247"/>
  <c r="GR247"/>
  <c r="GS247"/>
  <c r="GT247"/>
  <c r="GU247"/>
  <c r="GV247"/>
  <c r="GW247"/>
  <c r="GX247"/>
  <c r="GY247"/>
  <c r="GZ247"/>
  <c r="HA247"/>
  <c r="HB247"/>
  <c r="HC247"/>
  <c r="HD247"/>
  <c r="HE247"/>
  <c r="HF247"/>
  <c r="HG247"/>
  <c r="HH247"/>
  <c r="HI247"/>
  <c r="HJ247"/>
  <c r="HK247"/>
  <c r="HL247"/>
  <c r="HM247"/>
  <c r="HN247"/>
  <c r="HO247"/>
  <c r="HP247"/>
  <c r="HQ247"/>
  <c r="HR247"/>
  <c r="HS247"/>
  <c r="HT247"/>
  <c r="HU247"/>
  <c r="HV247"/>
  <c r="HW247"/>
  <c r="HX247"/>
  <c r="HY247"/>
  <c r="HZ247"/>
  <c r="IA247"/>
  <c r="IB247"/>
  <c r="IC247"/>
  <c r="ID247"/>
  <c r="IE247"/>
  <c r="IF247"/>
  <c r="IG247"/>
  <c r="IH247"/>
  <c r="II247"/>
  <c r="IJ247"/>
  <c r="IK247"/>
  <c r="IL247"/>
  <c r="IM247"/>
  <c r="IN247"/>
  <c r="IO247"/>
  <c r="IP247"/>
  <c r="IQ247"/>
  <c r="IR247"/>
  <c r="IS247"/>
  <c r="IT247"/>
  <c r="IU247"/>
  <c r="IV247"/>
  <c r="A248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Z248"/>
  <c r="AA248"/>
  <c r="AB248"/>
  <c r="AC248"/>
  <c r="AD248"/>
  <c r="AE248"/>
  <c r="AF248"/>
  <c r="AG248"/>
  <c r="AH248"/>
  <c r="AI248"/>
  <c r="AJ248"/>
  <c r="AK248"/>
  <c r="AL248"/>
  <c r="AM248"/>
  <c r="AN248"/>
  <c r="AO248"/>
  <c r="AP248"/>
  <c r="AQ248"/>
  <c r="AR248"/>
  <c r="AS248"/>
  <c r="AT248"/>
  <c r="AU248"/>
  <c r="AV248"/>
  <c r="AW248"/>
  <c r="AX248"/>
  <c r="AY248"/>
  <c r="AZ248"/>
  <c r="BA248"/>
  <c r="BB248"/>
  <c r="BC248"/>
  <c r="BD248"/>
  <c r="BE248"/>
  <c r="BF248"/>
  <c r="BG248"/>
  <c r="BH248"/>
  <c r="BI248"/>
  <c r="BJ248"/>
  <c r="BK248"/>
  <c r="BL248"/>
  <c r="BM248"/>
  <c r="BN248"/>
  <c r="BO248"/>
  <c r="BP248"/>
  <c r="BQ248"/>
  <c r="BR248"/>
  <c r="BS248"/>
  <c r="BT248"/>
  <c r="BU248"/>
  <c r="BV248"/>
  <c r="BW248"/>
  <c r="BX248"/>
  <c r="BY248"/>
  <c r="BZ248"/>
  <c r="CA248"/>
  <c r="CB248"/>
  <c r="CC248"/>
  <c r="CD248"/>
  <c r="CE248"/>
  <c r="CF248"/>
  <c r="CG248"/>
  <c r="CH248"/>
  <c r="CI248"/>
  <c r="CJ248"/>
  <c r="CK248"/>
  <c r="CL248"/>
  <c r="CM248"/>
  <c r="CN248"/>
  <c r="CO248"/>
  <c r="CP248"/>
  <c r="CQ248"/>
  <c r="CR248"/>
  <c r="CS248"/>
  <c r="CT248"/>
  <c r="CU248"/>
  <c r="CV248"/>
  <c r="CW248"/>
  <c r="CX248"/>
  <c r="CY248"/>
  <c r="CZ248"/>
  <c r="DA248"/>
  <c r="DB248"/>
  <c r="DC248"/>
  <c r="DD248"/>
  <c r="DE248"/>
  <c r="DF248"/>
  <c r="DG248"/>
  <c r="DH248"/>
  <c r="DI248"/>
  <c r="DJ248"/>
  <c r="DK248"/>
  <c r="DL248"/>
  <c r="DM248"/>
  <c r="DN248"/>
  <c r="DO248"/>
  <c r="DP248"/>
  <c r="DQ248"/>
  <c r="DR248"/>
  <c r="DS248"/>
  <c r="DT248"/>
  <c r="DU248"/>
  <c r="DV248"/>
  <c r="DW248"/>
  <c r="DX248"/>
  <c r="DY248"/>
  <c r="DZ248"/>
  <c r="EA248"/>
  <c r="EB248"/>
  <c r="EC248"/>
  <c r="ED248"/>
  <c r="EE248"/>
  <c r="EF248"/>
  <c r="EG248"/>
  <c r="EH248"/>
  <c r="EI248"/>
  <c r="EJ248"/>
  <c r="EK248"/>
  <c r="EL248"/>
  <c r="EM248"/>
  <c r="EN248"/>
  <c r="EO248"/>
  <c r="EP248"/>
  <c r="EQ248"/>
  <c r="ER248"/>
  <c r="ES248"/>
  <c r="ET248"/>
  <c r="EU248"/>
  <c r="EV248"/>
  <c r="EW248"/>
  <c r="EX248"/>
  <c r="EY248"/>
  <c r="EZ248"/>
  <c r="FA248"/>
  <c r="FB248"/>
  <c r="FC248"/>
  <c r="FD248"/>
  <c r="FE248"/>
  <c r="FF248"/>
  <c r="FG248"/>
  <c r="FH248"/>
  <c r="FI248"/>
  <c r="FJ248"/>
  <c r="FK248"/>
  <c r="FL248"/>
  <c r="FM248"/>
  <c r="FN248"/>
  <c r="FO248"/>
  <c r="FP248"/>
  <c r="FQ248"/>
  <c r="FR248"/>
  <c r="FS248"/>
  <c r="FT248"/>
  <c r="FU248"/>
  <c r="FV248"/>
  <c r="FW248"/>
  <c r="FX248"/>
  <c r="FY248"/>
  <c r="FZ248"/>
  <c r="GA248"/>
  <c r="GB248"/>
  <c r="GC248"/>
  <c r="GD248"/>
  <c r="GE248"/>
  <c r="GF248"/>
  <c r="GG248"/>
  <c r="GH248"/>
  <c r="GI248"/>
  <c r="GJ248"/>
  <c r="GK248"/>
  <c r="GL248"/>
  <c r="GM248"/>
  <c r="GN248"/>
  <c r="GO248"/>
  <c r="GP248"/>
  <c r="GQ248"/>
  <c r="GR248"/>
  <c r="GS248"/>
  <c r="GT248"/>
  <c r="GU248"/>
  <c r="GV248"/>
  <c r="GW248"/>
  <c r="GX248"/>
  <c r="GY248"/>
  <c r="GZ248"/>
  <c r="HA248"/>
  <c r="HB248"/>
  <c r="HC248"/>
  <c r="HD248"/>
  <c r="HE248"/>
  <c r="HF248"/>
  <c r="HG248"/>
  <c r="HH248"/>
  <c r="HI248"/>
  <c r="HJ248"/>
  <c r="HK248"/>
  <c r="HL248"/>
  <c r="HM248"/>
  <c r="HN248"/>
  <c r="HO248"/>
  <c r="HP248"/>
  <c r="HQ248"/>
  <c r="HR248"/>
  <c r="HS248"/>
  <c r="HT248"/>
  <c r="HU248"/>
  <c r="HV248"/>
  <c r="HW248"/>
  <c r="HX248"/>
  <c r="HY248"/>
  <c r="HZ248"/>
  <c r="IA248"/>
  <c r="IB248"/>
  <c r="IC248"/>
  <c r="ID248"/>
  <c r="IE248"/>
  <c r="IF248"/>
  <c r="IG248"/>
  <c r="IH248"/>
  <c r="II248"/>
  <c r="IJ248"/>
  <c r="IK248"/>
  <c r="IL248"/>
  <c r="IM248"/>
  <c r="IN248"/>
  <c r="IO248"/>
  <c r="IP248"/>
  <c r="IQ248"/>
  <c r="IR248"/>
  <c r="IS248"/>
  <c r="IT248"/>
  <c r="IU248"/>
  <c r="IV248"/>
  <c r="A249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Z249"/>
  <c r="AA249"/>
  <c r="AB249"/>
  <c r="AC249"/>
  <c r="AD249"/>
  <c r="AE249"/>
  <c r="AF249"/>
  <c r="AG249"/>
  <c r="AH249"/>
  <c r="AI249"/>
  <c r="AJ249"/>
  <c r="AK249"/>
  <c r="AL249"/>
  <c r="AM249"/>
  <c r="AN249"/>
  <c r="AO249"/>
  <c r="AP249"/>
  <c r="AQ249"/>
  <c r="AR249"/>
  <c r="AS249"/>
  <c r="AT249"/>
  <c r="AU249"/>
  <c r="AV249"/>
  <c r="AW249"/>
  <c r="AX249"/>
  <c r="AY249"/>
  <c r="AZ249"/>
  <c r="BA249"/>
  <c r="BB249"/>
  <c r="BC249"/>
  <c r="BD249"/>
  <c r="BE249"/>
  <c r="BF249"/>
  <c r="BG249"/>
  <c r="BH249"/>
  <c r="BI249"/>
  <c r="BJ249"/>
  <c r="BK249"/>
  <c r="BL249"/>
  <c r="BM249"/>
  <c r="BN249"/>
  <c r="BO249"/>
  <c r="BP249"/>
  <c r="BQ249"/>
  <c r="BR249"/>
  <c r="BS249"/>
  <c r="BT249"/>
  <c r="BU249"/>
  <c r="BV249"/>
  <c r="BW249"/>
  <c r="BX249"/>
  <c r="BY249"/>
  <c r="BZ249"/>
  <c r="CA249"/>
  <c r="CB249"/>
  <c r="CC249"/>
  <c r="CD249"/>
  <c r="CE249"/>
  <c r="CF249"/>
  <c r="CG249"/>
  <c r="CH249"/>
  <c r="CI249"/>
  <c r="CJ249"/>
  <c r="CK249"/>
  <c r="CL249"/>
  <c r="CM249"/>
  <c r="CN249"/>
  <c r="CO249"/>
  <c r="CP249"/>
  <c r="CQ249"/>
  <c r="CR249"/>
  <c r="CS249"/>
  <c r="CT249"/>
  <c r="CU249"/>
  <c r="CV249"/>
  <c r="CW249"/>
  <c r="CX249"/>
  <c r="CY249"/>
  <c r="CZ249"/>
  <c r="DA249"/>
  <c r="DB249"/>
  <c r="DC249"/>
  <c r="DD249"/>
  <c r="DE249"/>
  <c r="DF249"/>
  <c r="DG249"/>
  <c r="DH249"/>
  <c r="DI249"/>
  <c r="DJ249"/>
  <c r="DK249"/>
  <c r="DL249"/>
  <c r="DM249"/>
  <c r="DN249"/>
  <c r="DO249"/>
  <c r="DP249"/>
  <c r="DQ249"/>
  <c r="DR249"/>
  <c r="DS249"/>
  <c r="DT249"/>
  <c r="DU249"/>
  <c r="DV249"/>
  <c r="DW249"/>
  <c r="DX249"/>
  <c r="DY249"/>
  <c r="DZ249"/>
  <c r="EA249"/>
  <c r="EB249"/>
  <c r="EC249"/>
  <c r="ED249"/>
  <c r="EE249"/>
  <c r="EF249"/>
  <c r="EG249"/>
  <c r="EH249"/>
  <c r="EI249"/>
  <c r="EJ249"/>
  <c r="EK249"/>
  <c r="EL249"/>
  <c r="EM249"/>
  <c r="EN249"/>
  <c r="EO249"/>
  <c r="EP249"/>
  <c r="EQ249"/>
  <c r="ER249"/>
  <c r="ES249"/>
  <c r="ET249"/>
  <c r="EU249"/>
  <c r="EV249"/>
  <c r="EW249"/>
  <c r="EX249"/>
  <c r="EY249"/>
  <c r="EZ249"/>
  <c r="FA249"/>
  <c r="FB249"/>
  <c r="FC249"/>
  <c r="FD249"/>
  <c r="FE249"/>
  <c r="FF249"/>
  <c r="FG249"/>
  <c r="FH249"/>
  <c r="FI249"/>
  <c r="FJ249"/>
  <c r="FK249"/>
  <c r="FL249"/>
  <c r="FM249"/>
  <c r="FN249"/>
  <c r="FO249"/>
  <c r="FP249"/>
  <c r="FQ249"/>
  <c r="FR249"/>
  <c r="FS249"/>
  <c r="FT249"/>
  <c r="FU249"/>
  <c r="FV249"/>
  <c r="FW249"/>
  <c r="FX249"/>
  <c r="FY249"/>
  <c r="FZ249"/>
  <c r="GA249"/>
  <c r="GB249"/>
  <c r="GC249"/>
  <c r="GD249"/>
  <c r="GE249"/>
  <c r="GF249"/>
  <c r="GG249"/>
  <c r="GH249"/>
  <c r="GI249"/>
  <c r="GJ249"/>
  <c r="GK249"/>
  <c r="GL249"/>
  <c r="GM249"/>
  <c r="GN249"/>
  <c r="GO249"/>
  <c r="GP249"/>
  <c r="GQ249"/>
  <c r="GR249"/>
  <c r="GS249"/>
  <c r="GT249"/>
  <c r="GU249"/>
  <c r="GV249"/>
  <c r="GW249"/>
  <c r="GX249"/>
  <c r="GY249"/>
  <c r="GZ249"/>
  <c r="HA249"/>
  <c r="HB249"/>
  <c r="HC249"/>
  <c r="HD249"/>
  <c r="HE249"/>
  <c r="HF249"/>
  <c r="HG249"/>
  <c r="HH249"/>
  <c r="HI249"/>
  <c r="HJ249"/>
  <c r="HK249"/>
  <c r="HL249"/>
  <c r="HM249"/>
  <c r="HN249"/>
  <c r="HO249"/>
  <c r="HP249"/>
  <c r="HQ249"/>
  <c r="HR249"/>
  <c r="HS249"/>
  <c r="HT249"/>
  <c r="HU249"/>
  <c r="HV249"/>
  <c r="HW249"/>
  <c r="HX249"/>
  <c r="HY249"/>
  <c r="HZ249"/>
  <c r="IA249"/>
  <c r="IB249"/>
  <c r="IC249"/>
  <c r="ID249"/>
  <c r="IE249"/>
  <c r="IF249"/>
  <c r="IG249"/>
  <c r="IH249"/>
  <c r="II249"/>
  <c r="IJ249"/>
  <c r="IK249"/>
  <c r="IL249"/>
  <c r="IM249"/>
  <c r="IN249"/>
  <c r="IO249"/>
  <c r="IP249"/>
  <c r="IQ249"/>
  <c r="IR249"/>
  <c r="IS249"/>
  <c r="IT249"/>
  <c r="IU249"/>
  <c r="IV249"/>
  <c r="A250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Z250"/>
  <c r="AA250"/>
  <c r="AB250"/>
  <c r="AC250"/>
  <c r="AD250"/>
  <c r="AE250"/>
  <c r="AF250"/>
  <c r="AG250"/>
  <c r="AH250"/>
  <c r="AI250"/>
  <c r="AJ250"/>
  <c r="AK250"/>
  <c r="AL250"/>
  <c r="AM250"/>
  <c r="AN250"/>
  <c r="AO250"/>
  <c r="AP250"/>
  <c r="AQ250"/>
  <c r="AR250"/>
  <c r="AS250"/>
  <c r="AT250"/>
  <c r="AU250"/>
  <c r="AV250"/>
  <c r="AW250"/>
  <c r="AX250"/>
  <c r="AY250"/>
  <c r="AZ250"/>
  <c r="BA250"/>
  <c r="BB250"/>
  <c r="BC250"/>
  <c r="BD250"/>
  <c r="BE250"/>
  <c r="BF250"/>
  <c r="BG250"/>
  <c r="BH250"/>
  <c r="BI250"/>
  <c r="BJ250"/>
  <c r="BK250"/>
  <c r="BL250"/>
  <c r="BM250"/>
  <c r="BN250"/>
  <c r="BO250"/>
  <c r="BP250"/>
  <c r="BQ250"/>
  <c r="BR250"/>
  <c r="BS250"/>
  <c r="BT250"/>
  <c r="BU250"/>
  <c r="BV250"/>
  <c r="BW250"/>
  <c r="BX250"/>
  <c r="BY250"/>
  <c r="BZ250"/>
  <c r="CA250"/>
  <c r="CB250"/>
  <c r="CC250"/>
  <c r="CD250"/>
  <c r="CE250"/>
  <c r="CF250"/>
  <c r="CG250"/>
  <c r="CH250"/>
  <c r="CI250"/>
  <c r="CJ250"/>
  <c r="CK250"/>
  <c r="CL250"/>
  <c r="CM250"/>
  <c r="CN250"/>
  <c r="CO250"/>
  <c r="CP250"/>
  <c r="CQ250"/>
  <c r="CR250"/>
  <c r="CS250"/>
  <c r="CT250"/>
  <c r="CU250"/>
  <c r="CV250"/>
  <c r="CW250"/>
  <c r="CX250"/>
  <c r="CY250"/>
  <c r="CZ250"/>
  <c r="DA250"/>
  <c r="DB250"/>
  <c r="DC250"/>
  <c r="DD250"/>
  <c r="DE250"/>
  <c r="DF250"/>
  <c r="DG250"/>
  <c r="DH250"/>
  <c r="DI250"/>
  <c r="DJ250"/>
  <c r="DK250"/>
  <c r="DL250"/>
  <c r="DM250"/>
  <c r="DN250"/>
  <c r="DO250"/>
  <c r="DP250"/>
  <c r="DQ250"/>
  <c r="DR250"/>
  <c r="DS250"/>
  <c r="DT250"/>
  <c r="DU250"/>
  <c r="DV250"/>
  <c r="DW250"/>
  <c r="DX250"/>
  <c r="DY250"/>
  <c r="DZ250"/>
  <c r="EA250"/>
  <c r="EB250"/>
  <c r="EC250"/>
  <c r="ED250"/>
  <c r="EE250"/>
  <c r="EF250"/>
  <c r="EG250"/>
  <c r="EH250"/>
  <c r="EI250"/>
  <c r="EJ250"/>
  <c r="EK250"/>
  <c r="EL250"/>
  <c r="EM250"/>
  <c r="EN250"/>
  <c r="EO250"/>
  <c r="EP250"/>
  <c r="EQ250"/>
  <c r="ER250"/>
  <c r="ES250"/>
  <c r="ET250"/>
  <c r="EU250"/>
  <c r="EV250"/>
  <c r="EW250"/>
  <c r="EX250"/>
  <c r="EY250"/>
  <c r="EZ250"/>
  <c r="FA250"/>
  <c r="FB250"/>
  <c r="FC250"/>
  <c r="FD250"/>
  <c r="FE250"/>
  <c r="FF250"/>
  <c r="FG250"/>
  <c r="FH250"/>
  <c r="FI250"/>
  <c r="FJ250"/>
  <c r="FK250"/>
  <c r="FL250"/>
  <c r="FM250"/>
  <c r="FN250"/>
  <c r="FO250"/>
  <c r="FP250"/>
  <c r="FQ250"/>
  <c r="FR250"/>
  <c r="FS250"/>
  <c r="FT250"/>
  <c r="FU250"/>
  <c r="FV250"/>
  <c r="FW250"/>
  <c r="FX250"/>
  <c r="FY250"/>
  <c r="FZ250"/>
  <c r="GA250"/>
  <c r="GB250"/>
  <c r="GC250"/>
  <c r="GD250"/>
  <c r="GE250"/>
  <c r="GF250"/>
  <c r="GG250"/>
  <c r="GH250"/>
  <c r="GI250"/>
  <c r="GJ250"/>
  <c r="GK250"/>
  <c r="GL250"/>
  <c r="GM250"/>
  <c r="GN250"/>
  <c r="GO250"/>
  <c r="GP250"/>
  <c r="GQ250"/>
  <c r="GR250"/>
  <c r="GS250"/>
  <c r="GT250"/>
  <c r="GU250"/>
  <c r="GV250"/>
  <c r="GW250"/>
  <c r="GX250"/>
  <c r="GY250"/>
  <c r="GZ250"/>
  <c r="HA250"/>
  <c r="HB250"/>
  <c r="HC250"/>
  <c r="HD250"/>
  <c r="HE250"/>
  <c r="HF250"/>
  <c r="HG250"/>
  <c r="HH250"/>
  <c r="HI250"/>
  <c r="HJ250"/>
  <c r="HK250"/>
  <c r="HL250"/>
  <c r="HM250"/>
  <c r="HN250"/>
  <c r="HO250"/>
  <c r="HP250"/>
  <c r="HQ250"/>
  <c r="HR250"/>
  <c r="HS250"/>
  <c r="HT250"/>
  <c r="HU250"/>
  <c r="HV250"/>
  <c r="HW250"/>
  <c r="HX250"/>
  <c r="HY250"/>
  <c r="HZ250"/>
  <c r="IA250"/>
  <c r="IB250"/>
  <c r="IC250"/>
  <c r="ID250"/>
  <c r="IE250"/>
  <c r="IF250"/>
  <c r="IG250"/>
  <c r="IH250"/>
  <c r="II250"/>
  <c r="IJ250"/>
  <c r="IK250"/>
  <c r="IL250"/>
  <c r="IM250"/>
  <c r="IN250"/>
  <c r="IO250"/>
  <c r="IP250"/>
  <c r="IQ250"/>
  <c r="IR250"/>
  <c r="IS250"/>
  <c r="IT250"/>
  <c r="IU250"/>
  <c r="IV250"/>
  <c r="A251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Z251"/>
  <c r="AA251"/>
  <c r="AB251"/>
  <c r="AC251"/>
  <c r="AD251"/>
  <c r="AE251"/>
  <c r="AF251"/>
  <c r="AG251"/>
  <c r="AH251"/>
  <c r="AI251"/>
  <c r="AJ251"/>
  <c r="AK251"/>
  <c r="AL251"/>
  <c r="AM251"/>
  <c r="AN251"/>
  <c r="AO251"/>
  <c r="AP251"/>
  <c r="AQ251"/>
  <c r="AR251"/>
  <c r="AS251"/>
  <c r="AT251"/>
  <c r="AU251"/>
  <c r="AV251"/>
  <c r="AW251"/>
  <c r="AX251"/>
  <c r="AY251"/>
  <c r="AZ251"/>
  <c r="BA251"/>
  <c r="BB251"/>
  <c r="BC251"/>
  <c r="BD251"/>
  <c r="BE251"/>
  <c r="BF251"/>
  <c r="BG251"/>
  <c r="BH251"/>
  <c r="BI251"/>
  <c r="BJ251"/>
  <c r="BK251"/>
  <c r="BL251"/>
  <c r="BM251"/>
  <c r="BN251"/>
  <c r="BO251"/>
  <c r="BP251"/>
  <c r="BQ251"/>
  <c r="BR251"/>
  <c r="BS251"/>
  <c r="BT251"/>
  <c r="BU251"/>
  <c r="BV251"/>
  <c r="BW251"/>
  <c r="BX251"/>
  <c r="BY251"/>
  <c r="BZ251"/>
  <c r="CA251"/>
  <c r="CB251"/>
  <c r="CC251"/>
  <c r="CD251"/>
  <c r="CE251"/>
  <c r="CF251"/>
  <c r="CG251"/>
  <c r="CH251"/>
  <c r="CI251"/>
  <c r="CJ251"/>
  <c r="CK251"/>
  <c r="CL251"/>
  <c r="CM251"/>
  <c r="CN251"/>
  <c r="CO251"/>
  <c r="CP251"/>
  <c r="CQ251"/>
  <c r="CR251"/>
  <c r="CS251"/>
  <c r="CT251"/>
  <c r="CU251"/>
  <c r="CV251"/>
  <c r="CW251"/>
  <c r="CX251"/>
  <c r="CY251"/>
  <c r="CZ251"/>
  <c r="DA251"/>
  <c r="DB251"/>
  <c r="DC251"/>
  <c r="DD251"/>
  <c r="DE251"/>
  <c r="DF251"/>
  <c r="DG251"/>
  <c r="DH251"/>
  <c r="DI251"/>
  <c r="DJ251"/>
  <c r="DK251"/>
  <c r="DL251"/>
  <c r="DM251"/>
  <c r="DN251"/>
  <c r="DO251"/>
  <c r="DP251"/>
  <c r="DQ251"/>
  <c r="DR251"/>
  <c r="DS251"/>
  <c r="DT251"/>
  <c r="DU251"/>
  <c r="DV251"/>
  <c r="DW251"/>
  <c r="DX251"/>
  <c r="DY251"/>
  <c r="DZ251"/>
  <c r="EA251"/>
  <c r="EB251"/>
  <c r="EC251"/>
  <c r="ED251"/>
  <c r="EE251"/>
  <c r="EF251"/>
  <c r="EG251"/>
  <c r="EH251"/>
  <c r="EI251"/>
  <c r="EJ251"/>
  <c r="EK251"/>
  <c r="EL251"/>
  <c r="EM251"/>
  <c r="EN251"/>
  <c r="EO251"/>
  <c r="EP251"/>
  <c r="EQ251"/>
  <c r="ER251"/>
  <c r="ES251"/>
  <c r="ET251"/>
  <c r="EU251"/>
  <c r="EV251"/>
  <c r="EW251"/>
  <c r="EX251"/>
  <c r="EY251"/>
  <c r="EZ251"/>
  <c r="FA251"/>
  <c r="FB251"/>
  <c r="FC251"/>
  <c r="FD251"/>
  <c r="FE251"/>
  <c r="FF251"/>
  <c r="FG251"/>
  <c r="FH251"/>
  <c r="FI251"/>
  <c r="FJ251"/>
  <c r="FK251"/>
  <c r="FL251"/>
  <c r="FM251"/>
  <c r="FN251"/>
  <c r="FO251"/>
  <c r="FP251"/>
  <c r="FQ251"/>
  <c r="FR251"/>
  <c r="FS251"/>
  <c r="FT251"/>
  <c r="FU251"/>
  <c r="FV251"/>
  <c r="FW251"/>
  <c r="FX251"/>
  <c r="FY251"/>
  <c r="FZ251"/>
  <c r="GA251"/>
  <c r="GB251"/>
  <c r="GC251"/>
  <c r="GD251"/>
  <c r="GE251"/>
  <c r="GF251"/>
  <c r="GG251"/>
  <c r="GH251"/>
  <c r="GI251"/>
  <c r="GJ251"/>
  <c r="GK251"/>
  <c r="GL251"/>
  <c r="GM251"/>
  <c r="GN251"/>
  <c r="GO251"/>
  <c r="GP251"/>
  <c r="GQ251"/>
  <c r="GR251"/>
  <c r="GS251"/>
  <c r="GT251"/>
  <c r="GU251"/>
  <c r="GV251"/>
  <c r="GW251"/>
  <c r="GX251"/>
  <c r="GY251"/>
  <c r="GZ251"/>
  <c r="HA251"/>
  <c r="HB251"/>
  <c r="HC251"/>
  <c r="HD251"/>
  <c r="HE251"/>
  <c r="HF251"/>
  <c r="HG251"/>
  <c r="HH251"/>
  <c r="HI251"/>
  <c r="HJ251"/>
  <c r="HK251"/>
  <c r="HL251"/>
  <c r="HM251"/>
  <c r="HN251"/>
  <c r="HO251"/>
  <c r="HP251"/>
  <c r="HQ251"/>
  <c r="HR251"/>
  <c r="HS251"/>
  <c r="HT251"/>
  <c r="HU251"/>
  <c r="HV251"/>
  <c r="HW251"/>
  <c r="HX251"/>
  <c r="HY251"/>
  <c r="HZ251"/>
  <c r="IA251"/>
  <c r="IB251"/>
  <c r="IC251"/>
  <c r="ID251"/>
  <c r="IE251"/>
  <c r="IF251"/>
  <c r="IG251"/>
  <c r="IH251"/>
  <c r="II251"/>
  <c r="IJ251"/>
  <c r="IK251"/>
  <c r="IL251"/>
  <c r="IM251"/>
  <c r="IN251"/>
  <c r="IO251"/>
  <c r="IP251"/>
  <c r="IQ251"/>
  <c r="IR251"/>
  <c r="IS251"/>
  <c r="IT251"/>
  <c r="IU251"/>
  <c r="IV251"/>
  <c r="A252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Z252"/>
  <c r="AA252"/>
  <c r="AB252"/>
  <c r="AC252"/>
  <c r="AD252"/>
  <c r="AE252"/>
  <c r="AF252"/>
  <c r="AG252"/>
  <c r="AH252"/>
  <c r="AI252"/>
  <c r="AJ252"/>
  <c r="AK252"/>
  <c r="AL252"/>
  <c r="AM252"/>
  <c r="AN252"/>
  <c r="AO252"/>
  <c r="AP252"/>
  <c r="AQ252"/>
  <c r="AR252"/>
  <c r="AS252"/>
  <c r="AT252"/>
  <c r="AU252"/>
  <c r="AV252"/>
  <c r="AW252"/>
  <c r="AX252"/>
  <c r="AY252"/>
  <c r="AZ252"/>
  <c r="BA252"/>
  <c r="BB252"/>
  <c r="BC252"/>
  <c r="BD252"/>
  <c r="BE252"/>
  <c r="BF252"/>
  <c r="BG252"/>
  <c r="BH252"/>
  <c r="BI252"/>
  <c r="BJ252"/>
  <c r="BK252"/>
  <c r="BL252"/>
  <c r="BM252"/>
  <c r="BN252"/>
  <c r="BO252"/>
  <c r="BP252"/>
  <c r="BQ252"/>
  <c r="BR252"/>
  <c r="BS252"/>
  <c r="BT252"/>
  <c r="BU252"/>
  <c r="BV252"/>
  <c r="BW252"/>
  <c r="BX252"/>
  <c r="BY252"/>
  <c r="BZ252"/>
  <c r="CA252"/>
  <c r="CB252"/>
  <c r="CC252"/>
  <c r="CD252"/>
  <c r="CE252"/>
  <c r="CF252"/>
  <c r="CG252"/>
  <c r="CH252"/>
  <c r="CI252"/>
  <c r="CJ252"/>
  <c r="CK252"/>
  <c r="CL252"/>
  <c r="CM252"/>
  <c r="CN252"/>
  <c r="CO252"/>
  <c r="CP252"/>
  <c r="CQ252"/>
  <c r="CR252"/>
  <c r="CS252"/>
  <c r="CT252"/>
  <c r="CU252"/>
  <c r="CV252"/>
  <c r="CW252"/>
  <c r="CX252"/>
  <c r="CY252"/>
  <c r="CZ252"/>
  <c r="DA252"/>
  <c r="DB252"/>
  <c r="DC252"/>
  <c r="DD252"/>
  <c r="DE252"/>
  <c r="DF252"/>
  <c r="DG252"/>
  <c r="DH252"/>
  <c r="DI252"/>
  <c r="DJ252"/>
  <c r="DK252"/>
  <c r="DL252"/>
  <c r="DM252"/>
  <c r="DN252"/>
  <c r="DO252"/>
  <c r="DP252"/>
  <c r="DQ252"/>
  <c r="DR252"/>
  <c r="DS252"/>
  <c r="DT252"/>
  <c r="DU252"/>
  <c r="DV252"/>
  <c r="DW252"/>
  <c r="DX252"/>
  <c r="DY252"/>
  <c r="DZ252"/>
  <c r="EA252"/>
  <c r="EB252"/>
  <c r="EC252"/>
  <c r="ED252"/>
  <c r="EE252"/>
  <c r="EF252"/>
  <c r="EG252"/>
  <c r="EH252"/>
  <c r="EI252"/>
  <c r="EJ252"/>
  <c r="EK252"/>
  <c r="EL252"/>
  <c r="EM252"/>
  <c r="EN252"/>
  <c r="EO252"/>
  <c r="EP252"/>
  <c r="EQ252"/>
  <c r="ER252"/>
  <c r="ES252"/>
  <c r="ET252"/>
  <c r="EU252"/>
  <c r="EV252"/>
  <c r="EW252"/>
  <c r="EX252"/>
  <c r="EY252"/>
  <c r="EZ252"/>
  <c r="FA252"/>
  <c r="FB252"/>
  <c r="FC252"/>
  <c r="FD252"/>
  <c r="FE252"/>
  <c r="FF252"/>
  <c r="FG252"/>
  <c r="FH252"/>
  <c r="FI252"/>
  <c r="FJ252"/>
  <c r="FK252"/>
  <c r="FL252"/>
  <c r="FM252"/>
  <c r="FN252"/>
  <c r="FO252"/>
  <c r="FP252"/>
  <c r="FQ252"/>
  <c r="FR252"/>
  <c r="FS252"/>
  <c r="FT252"/>
  <c r="FU252"/>
  <c r="FV252"/>
  <c r="FW252"/>
  <c r="FX252"/>
  <c r="FY252"/>
  <c r="FZ252"/>
  <c r="GA252"/>
  <c r="GB252"/>
  <c r="GC252"/>
  <c r="GD252"/>
  <c r="GE252"/>
  <c r="GF252"/>
  <c r="GG252"/>
  <c r="GH252"/>
  <c r="GI252"/>
  <c r="GJ252"/>
  <c r="GK252"/>
  <c r="GL252"/>
  <c r="GM252"/>
  <c r="GN252"/>
  <c r="GO252"/>
  <c r="GP252"/>
  <c r="GQ252"/>
  <c r="GR252"/>
  <c r="GS252"/>
  <c r="GT252"/>
  <c r="GU252"/>
  <c r="GV252"/>
  <c r="GW252"/>
  <c r="GX252"/>
  <c r="GY252"/>
  <c r="GZ252"/>
  <c r="HA252"/>
  <c r="HB252"/>
  <c r="HC252"/>
  <c r="HD252"/>
  <c r="HE252"/>
  <c r="HF252"/>
  <c r="HG252"/>
  <c r="HH252"/>
  <c r="HI252"/>
  <c r="HJ252"/>
  <c r="HK252"/>
  <c r="HL252"/>
  <c r="HM252"/>
  <c r="HN252"/>
  <c r="HO252"/>
  <c r="HP252"/>
  <c r="HQ252"/>
  <c r="HR252"/>
  <c r="HS252"/>
  <c r="HT252"/>
  <c r="HU252"/>
  <c r="HV252"/>
  <c r="HW252"/>
  <c r="HX252"/>
  <c r="HY252"/>
  <c r="HZ252"/>
  <c r="IA252"/>
  <c r="IB252"/>
  <c r="IC252"/>
  <c r="ID252"/>
  <c r="IE252"/>
  <c r="IF252"/>
  <c r="IG252"/>
  <c r="IH252"/>
  <c r="II252"/>
  <c r="IJ252"/>
  <c r="IK252"/>
  <c r="IL252"/>
  <c r="IM252"/>
  <c r="IN252"/>
  <c r="IO252"/>
  <c r="IP252"/>
  <c r="IQ252"/>
  <c r="IR252"/>
  <c r="IS252"/>
  <c r="IT252"/>
  <c r="IU252"/>
  <c r="IV252"/>
  <c r="A253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Z253"/>
  <c r="AA253"/>
  <c r="AB253"/>
  <c r="AC253"/>
  <c r="AD253"/>
  <c r="AE253"/>
  <c r="AF253"/>
  <c r="AG253"/>
  <c r="AH253"/>
  <c r="AI253"/>
  <c r="AJ253"/>
  <c r="AK253"/>
  <c r="AL253"/>
  <c r="AM253"/>
  <c r="AN253"/>
  <c r="AO253"/>
  <c r="AP253"/>
  <c r="AQ253"/>
  <c r="AR253"/>
  <c r="AS253"/>
  <c r="AT253"/>
  <c r="AU253"/>
  <c r="AV253"/>
  <c r="AW253"/>
  <c r="AX253"/>
  <c r="AY253"/>
  <c r="AZ253"/>
  <c r="BA253"/>
  <c r="BB253"/>
  <c r="BC253"/>
  <c r="BD253"/>
  <c r="BE253"/>
  <c r="BF253"/>
  <c r="BG253"/>
  <c r="BH253"/>
  <c r="BI253"/>
  <c r="BJ253"/>
  <c r="BK253"/>
  <c r="BL253"/>
  <c r="BM253"/>
  <c r="BN253"/>
  <c r="BO253"/>
  <c r="BP253"/>
  <c r="BQ253"/>
  <c r="BR253"/>
  <c r="BS253"/>
  <c r="BT253"/>
  <c r="BU253"/>
  <c r="BV253"/>
  <c r="BW253"/>
  <c r="BX253"/>
  <c r="BY253"/>
  <c r="BZ253"/>
  <c r="CA253"/>
  <c r="CB253"/>
  <c r="CC253"/>
  <c r="CD253"/>
  <c r="CE253"/>
  <c r="CF253"/>
  <c r="CG253"/>
  <c r="CH253"/>
  <c r="CI253"/>
  <c r="CJ253"/>
  <c r="CK253"/>
  <c r="CL253"/>
  <c r="CM253"/>
  <c r="CN253"/>
  <c r="CO253"/>
  <c r="CP253"/>
  <c r="CQ253"/>
  <c r="CR253"/>
  <c r="CS253"/>
  <c r="CT253"/>
  <c r="CU253"/>
  <c r="CV253"/>
  <c r="CW253"/>
  <c r="CX253"/>
  <c r="CY253"/>
  <c r="CZ253"/>
  <c r="DA253"/>
  <c r="DB253"/>
  <c r="DC253"/>
  <c r="DD253"/>
  <c r="DE253"/>
  <c r="DF253"/>
  <c r="DG253"/>
  <c r="DH253"/>
  <c r="DI253"/>
  <c r="DJ253"/>
  <c r="DK253"/>
  <c r="DL253"/>
  <c r="DM253"/>
  <c r="DN253"/>
  <c r="DO253"/>
  <c r="DP253"/>
  <c r="DQ253"/>
  <c r="DR253"/>
  <c r="DS253"/>
  <c r="DT253"/>
  <c r="DU253"/>
  <c r="DV253"/>
  <c r="DW253"/>
  <c r="DX253"/>
  <c r="DY253"/>
  <c r="DZ253"/>
  <c r="EA253"/>
  <c r="EB253"/>
  <c r="EC253"/>
  <c r="ED253"/>
  <c r="EE253"/>
  <c r="EF253"/>
  <c r="EG253"/>
  <c r="EH253"/>
  <c r="EI253"/>
  <c r="EJ253"/>
  <c r="EK253"/>
  <c r="EL253"/>
  <c r="EM253"/>
  <c r="EN253"/>
  <c r="EO253"/>
  <c r="EP253"/>
  <c r="EQ253"/>
  <c r="ER253"/>
  <c r="ES253"/>
  <c r="ET253"/>
  <c r="EU253"/>
  <c r="EV253"/>
  <c r="EW253"/>
  <c r="EX253"/>
  <c r="EY253"/>
  <c r="EZ253"/>
  <c r="FA253"/>
  <c r="FB253"/>
  <c r="FC253"/>
  <c r="FD253"/>
  <c r="FE253"/>
  <c r="FF253"/>
  <c r="FG253"/>
  <c r="FH253"/>
  <c r="FI253"/>
  <c r="FJ253"/>
  <c r="FK253"/>
  <c r="FL253"/>
  <c r="FM253"/>
  <c r="FN253"/>
  <c r="FO253"/>
  <c r="FP253"/>
  <c r="FQ253"/>
  <c r="FR253"/>
  <c r="FS253"/>
  <c r="FT253"/>
  <c r="FU253"/>
  <c r="FV253"/>
  <c r="FW253"/>
  <c r="FX253"/>
  <c r="FY253"/>
  <c r="FZ253"/>
  <c r="GA253"/>
  <c r="GB253"/>
  <c r="GC253"/>
  <c r="GD253"/>
  <c r="GE253"/>
  <c r="GF253"/>
  <c r="GG253"/>
  <c r="GH253"/>
  <c r="GI253"/>
  <c r="GJ253"/>
  <c r="GK253"/>
  <c r="GL253"/>
  <c r="GM253"/>
  <c r="GN253"/>
  <c r="GO253"/>
  <c r="GP253"/>
  <c r="GQ253"/>
  <c r="GR253"/>
  <c r="GS253"/>
  <c r="GT253"/>
  <c r="GU253"/>
  <c r="GV253"/>
  <c r="GW253"/>
  <c r="GX253"/>
  <c r="GY253"/>
  <c r="GZ253"/>
  <c r="HA253"/>
  <c r="HB253"/>
  <c r="HC253"/>
  <c r="HD253"/>
  <c r="HE253"/>
  <c r="HF253"/>
  <c r="HG253"/>
  <c r="HH253"/>
  <c r="HI253"/>
  <c r="HJ253"/>
  <c r="HK253"/>
  <c r="HL253"/>
  <c r="HM253"/>
  <c r="HN253"/>
  <c r="HO253"/>
  <c r="HP253"/>
  <c r="HQ253"/>
  <c r="HR253"/>
  <c r="HS253"/>
  <c r="HT253"/>
  <c r="HU253"/>
  <c r="HV253"/>
  <c r="HW253"/>
  <c r="HX253"/>
  <c r="HY253"/>
  <c r="HZ253"/>
  <c r="IA253"/>
  <c r="IB253"/>
  <c r="IC253"/>
  <c r="ID253"/>
  <c r="IE253"/>
  <c r="IF253"/>
  <c r="IG253"/>
  <c r="IH253"/>
  <c r="II253"/>
  <c r="IJ253"/>
  <c r="IK253"/>
  <c r="IL253"/>
  <c r="IM253"/>
  <c r="IN253"/>
  <c r="IO253"/>
  <c r="IP253"/>
  <c r="IQ253"/>
  <c r="IR253"/>
  <c r="IS253"/>
  <c r="IT253"/>
  <c r="IU253"/>
  <c r="IV253"/>
  <c r="A254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Z254"/>
  <c r="AA254"/>
  <c r="AB254"/>
  <c r="AC254"/>
  <c r="AD254"/>
  <c r="AE254"/>
  <c r="AF254"/>
  <c r="AG254"/>
  <c r="AH254"/>
  <c r="AI254"/>
  <c r="AJ254"/>
  <c r="AK254"/>
  <c r="AL254"/>
  <c r="AM254"/>
  <c r="AN254"/>
  <c r="AO254"/>
  <c r="AP254"/>
  <c r="AQ254"/>
  <c r="AR254"/>
  <c r="AS254"/>
  <c r="AT254"/>
  <c r="AU254"/>
  <c r="AV254"/>
  <c r="AW254"/>
  <c r="AX254"/>
  <c r="AY254"/>
  <c r="AZ254"/>
  <c r="BA254"/>
  <c r="BB254"/>
  <c r="BC254"/>
  <c r="BD254"/>
  <c r="BE254"/>
  <c r="BF254"/>
  <c r="BG254"/>
  <c r="BH254"/>
  <c r="BI254"/>
  <c r="BJ254"/>
  <c r="BK254"/>
  <c r="BL254"/>
  <c r="BM254"/>
  <c r="BN254"/>
  <c r="BO254"/>
  <c r="BP254"/>
  <c r="BQ254"/>
  <c r="BR254"/>
  <c r="BS254"/>
  <c r="BT254"/>
  <c r="BU254"/>
  <c r="BV254"/>
  <c r="BW254"/>
  <c r="BX254"/>
  <c r="BY254"/>
  <c r="BZ254"/>
  <c r="CA254"/>
  <c r="CB254"/>
  <c r="CC254"/>
  <c r="CD254"/>
  <c r="CE254"/>
  <c r="CF254"/>
  <c r="CG254"/>
  <c r="CH254"/>
  <c r="CI254"/>
  <c r="CJ254"/>
  <c r="CK254"/>
  <c r="CL254"/>
  <c r="CM254"/>
  <c r="CN254"/>
  <c r="CO254"/>
  <c r="CP254"/>
  <c r="CQ254"/>
  <c r="CR254"/>
  <c r="CS254"/>
  <c r="CT254"/>
  <c r="CU254"/>
  <c r="CV254"/>
  <c r="CW254"/>
  <c r="CX254"/>
  <c r="CY254"/>
  <c r="CZ254"/>
  <c r="DA254"/>
  <c r="DB254"/>
  <c r="DC254"/>
  <c r="DD254"/>
  <c r="DE254"/>
  <c r="DF254"/>
  <c r="DG254"/>
  <c r="DH254"/>
  <c r="DI254"/>
  <c r="DJ254"/>
  <c r="DK254"/>
  <c r="DL254"/>
  <c r="DM254"/>
  <c r="DN254"/>
  <c r="DO254"/>
  <c r="DP254"/>
  <c r="DQ254"/>
  <c r="DR254"/>
  <c r="DS254"/>
  <c r="DT254"/>
  <c r="DU254"/>
  <c r="DV254"/>
  <c r="DW254"/>
  <c r="DX254"/>
  <c r="DY254"/>
  <c r="DZ254"/>
  <c r="EA254"/>
  <c r="EB254"/>
  <c r="EC254"/>
  <c r="ED254"/>
  <c r="EE254"/>
  <c r="EF254"/>
  <c r="EG254"/>
  <c r="EH254"/>
  <c r="EI254"/>
  <c r="EJ254"/>
  <c r="EK254"/>
  <c r="EL254"/>
  <c r="EM254"/>
  <c r="EN254"/>
  <c r="EO254"/>
  <c r="EP254"/>
  <c r="EQ254"/>
  <c r="ER254"/>
  <c r="ES254"/>
  <c r="ET254"/>
  <c r="EU254"/>
  <c r="EV254"/>
  <c r="EW254"/>
  <c r="EX254"/>
  <c r="EY254"/>
  <c r="EZ254"/>
  <c r="FA254"/>
  <c r="FB254"/>
  <c r="FC254"/>
  <c r="FD254"/>
  <c r="FE254"/>
  <c r="FF254"/>
  <c r="FG254"/>
  <c r="FH254"/>
  <c r="FI254"/>
  <c r="FJ254"/>
  <c r="FK254"/>
  <c r="FL254"/>
  <c r="FM254"/>
  <c r="FN254"/>
  <c r="FO254"/>
  <c r="FP254"/>
  <c r="FQ254"/>
  <c r="FR254"/>
  <c r="FS254"/>
  <c r="FT254"/>
  <c r="FU254"/>
  <c r="FV254"/>
  <c r="FW254"/>
  <c r="FX254"/>
  <c r="FY254"/>
  <c r="FZ254"/>
  <c r="GA254"/>
  <c r="GB254"/>
  <c r="GC254"/>
  <c r="GD254"/>
  <c r="GE254"/>
  <c r="GF254"/>
  <c r="GG254"/>
  <c r="GH254"/>
  <c r="GI254"/>
  <c r="GJ254"/>
  <c r="GK254"/>
  <c r="GL254"/>
  <c r="GM254"/>
  <c r="GN254"/>
  <c r="GO254"/>
  <c r="GP254"/>
  <c r="GQ254"/>
  <c r="GR254"/>
  <c r="GS254"/>
  <c r="GT254"/>
  <c r="GU254"/>
  <c r="GV254"/>
  <c r="GW254"/>
  <c r="GX254"/>
  <c r="GY254"/>
  <c r="GZ254"/>
  <c r="HA254"/>
  <c r="HB254"/>
  <c r="HC254"/>
  <c r="HD254"/>
  <c r="HE254"/>
  <c r="HF254"/>
  <c r="HG254"/>
  <c r="HH254"/>
  <c r="HI254"/>
  <c r="HJ254"/>
  <c r="HK254"/>
  <c r="HL254"/>
  <c r="HM254"/>
  <c r="HN254"/>
  <c r="HO254"/>
  <c r="HP254"/>
  <c r="HQ254"/>
  <c r="HR254"/>
  <c r="HS254"/>
  <c r="HT254"/>
  <c r="HU254"/>
  <c r="HV254"/>
  <c r="HW254"/>
  <c r="HX254"/>
  <c r="HY254"/>
  <c r="HZ254"/>
  <c r="IA254"/>
  <c r="IB254"/>
  <c r="IC254"/>
  <c r="ID254"/>
  <c r="IE254"/>
  <c r="IF254"/>
  <c r="IG254"/>
  <c r="IH254"/>
  <c r="II254"/>
  <c r="IJ254"/>
  <c r="IK254"/>
  <c r="IL254"/>
  <c r="IM254"/>
  <c r="IN254"/>
  <c r="IO254"/>
  <c r="IP254"/>
  <c r="IQ254"/>
  <c r="IR254"/>
  <c r="IS254"/>
  <c r="IT254"/>
  <c r="IU254"/>
  <c r="IV254"/>
  <c r="A255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Z255"/>
  <c r="AA255"/>
  <c r="AB255"/>
  <c r="AC255"/>
  <c r="AD255"/>
  <c r="AE255"/>
  <c r="AF255"/>
  <c r="AG255"/>
  <c r="AH255"/>
  <c r="AI255"/>
  <c r="AJ255"/>
  <c r="AK255"/>
  <c r="AL255"/>
  <c r="AM255"/>
  <c r="AN255"/>
  <c r="AO255"/>
  <c r="AP255"/>
  <c r="AQ255"/>
  <c r="AR255"/>
  <c r="AS255"/>
  <c r="AT255"/>
  <c r="AU255"/>
  <c r="AV255"/>
  <c r="AW255"/>
  <c r="AX255"/>
  <c r="AY255"/>
  <c r="AZ255"/>
  <c r="BA255"/>
  <c r="BB255"/>
  <c r="BC255"/>
  <c r="BD255"/>
  <c r="BE255"/>
  <c r="BF255"/>
  <c r="BG255"/>
  <c r="BH255"/>
  <c r="BI255"/>
  <c r="BJ255"/>
  <c r="BK255"/>
  <c r="BL255"/>
  <c r="BM255"/>
  <c r="BN255"/>
  <c r="BO255"/>
  <c r="BP255"/>
  <c r="BQ255"/>
  <c r="BR255"/>
  <c r="BS255"/>
  <c r="BT255"/>
  <c r="BU255"/>
  <c r="BV255"/>
  <c r="BW255"/>
  <c r="BX255"/>
  <c r="BY255"/>
  <c r="BZ255"/>
  <c r="CA255"/>
  <c r="CB255"/>
  <c r="CC255"/>
  <c r="CD255"/>
  <c r="CE255"/>
  <c r="CF255"/>
  <c r="CG255"/>
  <c r="CH255"/>
  <c r="CI255"/>
  <c r="CJ255"/>
  <c r="CK255"/>
  <c r="CL255"/>
  <c r="CM255"/>
  <c r="CN255"/>
  <c r="CO255"/>
  <c r="CP255"/>
  <c r="CQ255"/>
  <c r="CR255"/>
  <c r="CS255"/>
  <c r="CT255"/>
  <c r="CU255"/>
  <c r="CV255"/>
  <c r="CW255"/>
  <c r="CX255"/>
  <c r="CY255"/>
  <c r="CZ255"/>
  <c r="DA255"/>
  <c r="DB255"/>
  <c r="DC255"/>
  <c r="DD255"/>
  <c r="DE255"/>
  <c r="DF255"/>
  <c r="DG255"/>
  <c r="DH255"/>
  <c r="DI255"/>
  <c r="DJ255"/>
  <c r="DK255"/>
  <c r="DL255"/>
  <c r="DM255"/>
  <c r="DN255"/>
  <c r="DO255"/>
  <c r="DP255"/>
  <c r="DQ255"/>
  <c r="DR255"/>
  <c r="DS255"/>
  <c r="DT255"/>
  <c r="DU255"/>
  <c r="DV255"/>
  <c r="DW255"/>
  <c r="DX255"/>
  <c r="DY255"/>
  <c r="DZ255"/>
  <c r="EA255"/>
  <c r="EB255"/>
  <c r="EC255"/>
  <c r="ED255"/>
  <c r="EE255"/>
  <c r="EF255"/>
  <c r="EG255"/>
  <c r="EH255"/>
  <c r="EI255"/>
  <c r="EJ255"/>
  <c r="EK255"/>
  <c r="EL255"/>
  <c r="EM255"/>
  <c r="EN255"/>
  <c r="EO255"/>
  <c r="EP255"/>
  <c r="EQ255"/>
  <c r="ER255"/>
  <c r="ES255"/>
  <c r="ET255"/>
  <c r="EU255"/>
  <c r="EV255"/>
  <c r="EW255"/>
  <c r="EX255"/>
  <c r="EY255"/>
  <c r="EZ255"/>
  <c r="FA255"/>
  <c r="FB255"/>
  <c r="FC255"/>
  <c r="FD255"/>
  <c r="FE255"/>
  <c r="FF255"/>
  <c r="FG255"/>
  <c r="FH255"/>
  <c r="FI255"/>
  <c r="FJ255"/>
  <c r="FK255"/>
  <c r="FL255"/>
  <c r="FM255"/>
  <c r="FN255"/>
  <c r="FO255"/>
  <c r="FP255"/>
  <c r="FQ255"/>
  <c r="FR255"/>
  <c r="FS255"/>
  <c r="FT255"/>
  <c r="FU255"/>
  <c r="FV255"/>
  <c r="FW255"/>
  <c r="FX255"/>
  <c r="FY255"/>
  <c r="FZ255"/>
  <c r="GA255"/>
  <c r="GB255"/>
  <c r="GC255"/>
  <c r="GD255"/>
  <c r="GE255"/>
  <c r="GF255"/>
  <c r="GG255"/>
  <c r="GH255"/>
  <c r="GI255"/>
  <c r="GJ255"/>
  <c r="GK255"/>
  <c r="GL255"/>
  <c r="GM255"/>
  <c r="GN255"/>
  <c r="GO255"/>
  <c r="GP255"/>
  <c r="GQ255"/>
  <c r="GR255"/>
  <c r="GS255"/>
  <c r="GT255"/>
  <c r="GU255"/>
  <c r="GV255"/>
  <c r="GW255"/>
  <c r="GX255"/>
  <c r="GY255"/>
  <c r="GZ255"/>
  <c r="HA255"/>
  <c r="HB255"/>
  <c r="HC255"/>
  <c r="HD255"/>
  <c r="HE255"/>
  <c r="HF255"/>
  <c r="HG255"/>
  <c r="HH255"/>
  <c r="HI255"/>
  <c r="HJ255"/>
  <c r="HK255"/>
  <c r="HL255"/>
  <c r="HM255"/>
  <c r="HN255"/>
  <c r="HO255"/>
  <c r="HP255"/>
  <c r="HQ255"/>
  <c r="HR255"/>
  <c r="HS255"/>
  <c r="HT255"/>
  <c r="HU255"/>
  <c r="HV255"/>
  <c r="HW255"/>
  <c r="HX255"/>
  <c r="HY255"/>
  <c r="HZ255"/>
  <c r="IA255"/>
  <c r="IB255"/>
  <c r="IC255"/>
  <c r="ID255"/>
  <c r="IE255"/>
  <c r="IF255"/>
  <c r="IG255"/>
  <c r="IH255"/>
  <c r="II255"/>
  <c r="IJ255"/>
  <c r="IK255"/>
  <c r="IL255"/>
  <c r="IM255"/>
  <c r="IN255"/>
  <c r="IO255"/>
  <c r="IP255"/>
  <c r="IQ255"/>
  <c r="IR255"/>
  <c r="IS255"/>
  <c r="IT255"/>
  <c r="IU255"/>
  <c r="IV255"/>
  <c r="A256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Z256"/>
  <c r="AA256"/>
  <c r="AB256"/>
  <c r="AC256"/>
  <c r="AD256"/>
  <c r="AE256"/>
  <c r="AF256"/>
  <c r="AG256"/>
  <c r="AH256"/>
  <c r="AI256"/>
  <c r="AJ256"/>
  <c r="AK256"/>
  <c r="AL256"/>
  <c r="AM256"/>
  <c r="AN256"/>
  <c r="AO256"/>
  <c r="AP256"/>
  <c r="AQ256"/>
  <c r="AR256"/>
  <c r="AS256"/>
  <c r="AT256"/>
  <c r="AU256"/>
  <c r="AV256"/>
  <c r="AW256"/>
  <c r="AX256"/>
  <c r="AY256"/>
  <c r="AZ256"/>
  <c r="BA256"/>
  <c r="BB256"/>
  <c r="BC256"/>
  <c r="BD256"/>
  <c r="BE256"/>
  <c r="BF256"/>
  <c r="BG256"/>
  <c r="BH256"/>
  <c r="BI256"/>
  <c r="BJ256"/>
  <c r="BK256"/>
  <c r="BL256"/>
  <c r="BM256"/>
  <c r="BN256"/>
  <c r="BO256"/>
  <c r="BP256"/>
  <c r="BQ256"/>
  <c r="BR256"/>
  <c r="BS256"/>
  <c r="BT256"/>
  <c r="BU256"/>
  <c r="BV256"/>
  <c r="BW256"/>
  <c r="BX256"/>
  <c r="BY256"/>
  <c r="BZ256"/>
  <c r="CA256"/>
  <c r="CB256"/>
  <c r="CC256"/>
  <c r="CD256"/>
  <c r="CE256"/>
  <c r="CF256"/>
  <c r="CG256"/>
  <c r="CH256"/>
  <c r="CI256"/>
  <c r="CJ256"/>
  <c r="CK256"/>
  <c r="CL256"/>
  <c r="CM256"/>
  <c r="CN256"/>
  <c r="CO256"/>
  <c r="CP256"/>
  <c r="CQ256"/>
  <c r="CR256"/>
  <c r="CS256"/>
  <c r="CT256"/>
  <c r="CU256"/>
  <c r="CV256"/>
  <c r="CW256"/>
  <c r="CX256"/>
  <c r="CY256"/>
  <c r="CZ256"/>
  <c r="DA256"/>
  <c r="DB256"/>
  <c r="DC256"/>
  <c r="DD256"/>
  <c r="DE256"/>
  <c r="DF256"/>
  <c r="DG256"/>
  <c r="DH256"/>
  <c r="DI256"/>
  <c r="DJ256"/>
  <c r="DK256"/>
  <c r="DL256"/>
  <c r="DM256"/>
  <c r="DN256"/>
  <c r="DO256"/>
  <c r="DP256"/>
  <c r="DQ256"/>
  <c r="DR256"/>
  <c r="DS256"/>
  <c r="DT256"/>
  <c r="DU256"/>
  <c r="DV256"/>
  <c r="DW256"/>
  <c r="DX256"/>
  <c r="DY256"/>
  <c r="DZ256"/>
  <c r="EA256"/>
  <c r="EB256"/>
  <c r="EC256"/>
  <c r="ED256"/>
  <c r="EE256"/>
  <c r="EF256"/>
  <c r="EG256"/>
  <c r="EH256"/>
  <c r="EI256"/>
  <c r="EJ256"/>
  <c r="EK256"/>
  <c r="EL256"/>
  <c r="EM256"/>
  <c r="EN256"/>
  <c r="EO256"/>
  <c r="EP256"/>
  <c r="EQ256"/>
  <c r="ER256"/>
  <c r="ES256"/>
  <c r="ET256"/>
  <c r="EU256"/>
  <c r="EV256"/>
  <c r="EW256"/>
  <c r="EX256"/>
  <c r="EY256"/>
  <c r="EZ256"/>
  <c r="FA256"/>
  <c r="FB256"/>
  <c r="FC256"/>
  <c r="FD256"/>
  <c r="FE256"/>
  <c r="FF256"/>
  <c r="FG256"/>
  <c r="FH256"/>
  <c r="FI256"/>
  <c r="FJ256"/>
  <c r="FK256"/>
  <c r="FL256"/>
  <c r="FM256"/>
  <c r="FN256"/>
  <c r="FO256"/>
  <c r="FP256"/>
  <c r="FQ256"/>
  <c r="FR256"/>
  <c r="FS256"/>
  <c r="FT256"/>
  <c r="FU256"/>
  <c r="FV256"/>
  <c r="FW256"/>
  <c r="FX256"/>
  <c r="FY256"/>
  <c r="FZ256"/>
  <c r="GA256"/>
  <c r="GB256"/>
  <c r="GC256"/>
  <c r="GD256"/>
  <c r="GE256"/>
  <c r="GF256"/>
  <c r="GG256"/>
  <c r="GH256"/>
  <c r="GI256"/>
  <c r="GJ256"/>
  <c r="GK256"/>
  <c r="GL256"/>
  <c r="GM256"/>
  <c r="GN256"/>
  <c r="GO256"/>
  <c r="GP256"/>
  <c r="GQ256"/>
  <c r="GR256"/>
  <c r="GS256"/>
  <c r="GT256"/>
  <c r="GU256"/>
  <c r="GV256"/>
  <c r="GW256"/>
  <c r="GX256"/>
  <c r="GY256"/>
  <c r="GZ256"/>
  <c r="HA256"/>
  <c r="HB256"/>
  <c r="HC256"/>
  <c r="HD256"/>
  <c r="HE256"/>
  <c r="HF256"/>
  <c r="HG256"/>
  <c r="HH256"/>
  <c r="HI256"/>
  <c r="HJ256"/>
  <c r="HK256"/>
  <c r="HL256"/>
  <c r="HM256"/>
  <c r="HN256"/>
  <c r="HO256"/>
  <c r="HP256"/>
  <c r="HQ256"/>
  <c r="HR256"/>
  <c r="HS256"/>
  <c r="HT256"/>
  <c r="HU256"/>
  <c r="HV256"/>
  <c r="HW256"/>
  <c r="HX256"/>
  <c r="HY256"/>
  <c r="HZ256"/>
  <c r="IA256"/>
  <c r="IB256"/>
  <c r="IC256"/>
  <c r="ID256"/>
  <c r="IE256"/>
  <c r="IF256"/>
  <c r="IG256"/>
  <c r="IH256"/>
  <c r="II256"/>
  <c r="IJ256"/>
  <c r="IK256"/>
  <c r="IL256"/>
  <c r="IM256"/>
  <c r="IN256"/>
  <c r="IO256"/>
  <c r="IP256"/>
  <c r="IQ256"/>
  <c r="IR256"/>
  <c r="IS256"/>
  <c r="IT256"/>
  <c r="IU256"/>
  <c r="IV256"/>
  <c r="A257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Z257"/>
  <c r="AA257"/>
  <c r="AB257"/>
  <c r="AC257"/>
  <c r="AD257"/>
  <c r="AE257"/>
  <c r="AF257"/>
  <c r="AG257"/>
  <c r="AH257"/>
  <c r="AI257"/>
  <c r="AJ257"/>
  <c r="AK257"/>
  <c r="AL257"/>
  <c r="AM257"/>
  <c r="AN257"/>
  <c r="AO257"/>
  <c r="AP257"/>
  <c r="AQ257"/>
  <c r="AR257"/>
  <c r="AS257"/>
  <c r="AT257"/>
  <c r="AU257"/>
  <c r="AV257"/>
  <c r="AW257"/>
  <c r="AX257"/>
  <c r="AY257"/>
  <c r="AZ257"/>
  <c r="BA257"/>
  <c r="BB257"/>
  <c r="BC257"/>
  <c r="BD257"/>
  <c r="BE257"/>
  <c r="BF257"/>
  <c r="BG257"/>
  <c r="BH257"/>
  <c r="BI257"/>
  <c r="BJ257"/>
  <c r="BK257"/>
  <c r="BL257"/>
  <c r="BM257"/>
  <c r="BN257"/>
  <c r="BO257"/>
  <c r="BP257"/>
  <c r="BQ257"/>
  <c r="BR257"/>
  <c r="BS257"/>
  <c r="BT257"/>
  <c r="BU257"/>
  <c r="BV257"/>
  <c r="BW257"/>
  <c r="BX257"/>
  <c r="BY257"/>
  <c r="BZ257"/>
  <c r="CA257"/>
  <c r="CB257"/>
  <c r="CC257"/>
  <c r="CD257"/>
  <c r="CE257"/>
  <c r="CF257"/>
  <c r="CG257"/>
  <c r="CH257"/>
  <c r="CI257"/>
  <c r="CJ257"/>
  <c r="CK257"/>
  <c r="CL257"/>
  <c r="CM257"/>
  <c r="CN257"/>
  <c r="CO257"/>
  <c r="CP257"/>
  <c r="CQ257"/>
  <c r="CR257"/>
  <c r="CS257"/>
  <c r="CT257"/>
  <c r="CU257"/>
  <c r="CV257"/>
  <c r="CW257"/>
  <c r="CX257"/>
  <c r="CY257"/>
  <c r="CZ257"/>
  <c r="DA257"/>
  <c r="DB257"/>
  <c r="DC257"/>
  <c r="DD257"/>
  <c r="DE257"/>
  <c r="DF257"/>
  <c r="DG257"/>
  <c r="DH257"/>
  <c r="DI257"/>
  <c r="DJ257"/>
  <c r="DK257"/>
  <c r="DL257"/>
  <c r="DM257"/>
  <c r="DN257"/>
  <c r="DO257"/>
  <c r="DP257"/>
  <c r="DQ257"/>
  <c r="DR257"/>
  <c r="DS257"/>
  <c r="DT257"/>
  <c r="DU257"/>
  <c r="DV257"/>
  <c r="DW257"/>
  <c r="DX257"/>
  <c r="DY257"/>
  <c r="DZ257"/>
  <c r="EA257"/>
  <c r="EB257"/>
  <c r="EC257"/>
  <c r="ED257"/>
  <c r="EE257"/>
  <c r="EF257"/>
  <c r="EG257"/>
  <c r="EH257"/>
  <c r="EI257"/>
  <c r="EJ257"/>
  <c r="EK257"/>
  <c r="EL257"/>
  <c r="EM257"/>
  <c r="EN257"/>
  <c r="EO257"/>
  <c r="EP257"/>
  <c r="EQ257"/>
  <c r="ER257"/>
  <c r="ES257"/>
  <c r="ET257"/>
  <c r="EU257"/>
  <c r="EV257"/>
  <c r="EW257"/>
  <c r="EX257"/>
  <c r="EY257"/>
  <c r="EZ257"/>
  <c r="FA257"/>
  <c r="FB257"/>
  <c r="FC257"/>
  <c r="FD257"/>
  <c r="FE257"/>
  <c r="FF257"/>
  <c r="FG257"/>
  <c r="FH257"/>
  <c r="FI257"/>
  <c r="FJ257"/>
  <c r="FK257"/>
  <c r="FL257"/>
  <c r="FM257"/>
  <c r="FN257"/>
  <c r="FO257"/>
  <c r="FP257"/>
  <c r="FQ257"/>
  <c r="FR257"/>
  <c r="FS257"/>
  <c r="FT257"/>
  <c r="FU257"/>
  <c r="FV257"/>
  <c r="FW257"/>
  <c r="FX257"/>
  <c r="FY257"/>
  <c r="FZ257"/>
  <c r="GA257"/>
  <c r="GB257"/>
  <c r="GC257"/>
  <c r="GD257"/>
  <c r="GE257"/>
  <c r="GF257"/>
  <c r="GG257"/>
  <c r="GH257"/>
  <c r="GI257"/>
  <c r="GJ257"/>
  <c r="GK257"/>
  <c r="GL257"/>
  <c r="GM257"/>
  <c r="GN257"/>
  <c r="GO257"/>
  <c r="GP257"/>
  <c r="GQ257"/>
  <c r="GR257"/>
  <c r="GS257"/>
  <c r="GT257"/>
  <c r="GU257"/>
  <c r="GV257"/>
  <c r="GW257"/>
  <c r="GX257"/>
  <c r="GY257"/>
  <c r="GZ257"/>
  <c r="HA257"/>
  <c r="HB257"/>
  <c r="HC257"/>
  <c r="HD257"/>
  <c r="HE257"/>
  <c r="HF257"/>
  <c r="HG257"/>
  <c r="HH257"/>
  <c r="HI257"/>
  <c r="HJ257"/>
  <c r="HK257"/>
  <c r="HL257"/>
  <c r="HM257"/>
  <c r="HN257"/>
  <c r="HO257"/>
  <c r="HP257"/>
  <c r="HQ257"/>
  <c r="HR257"/>
  <c r="HS257"/>
  <c r="HT257"/>
  <c r="HU257"/>
  <c r="HV257"/>
  <c r="HW257"/>
  <c r="HX257"/>
  <c r="HY257"/>
  <c r="HZ257"/>
  <c r="IA257"/>
  <c r="IB257"/>
  <c r="IC257"/>
  <c r="ID257"/>
  <c r="IE257"/>
  <c r="IF257"/>
  <c r="IG257"/>
  <c r="IH257"/>
  <c r="II257"/>
  <c r="IJ257"/>
  <c r="IK257"/>
  <c r="IL257"/>
  <c r="IM257"/>
  <c r="IN257"/>
  <c r="IO257"/>
  <c r="IP257"/>
  <c r="IQ257"/>
  <c r="IR257"/>
  <c r="IS257"/>
  <c r="IT257"/>
  <c r="IU257"/>
  <c r="IV257"/>
  <c r="A258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Z258"/>
  <c r="AA258"/>
  <c r="AB258"/>
  <c r="AC258"/>
  <c r="AD258"/>
  <c r="AE258"/>
  <c r="AF258"/>
  <c r="AG258"/>
  <c r="AH258"/>
  <c r="AI258"/>
  <c r="AJ258"/>
  <c r="AK258"/>
  <c r="AL258"/>
  <c r="AM258"/>
  <c r="AN258"/>
  <c r="AO258"/>
  <c r="AP258"/>
  <c r="AQ258"/>
  <c r="AR258"/>
  <c r="AS258"/>
  <c r="AT258"/>
  <c r="AU258"/>
  <c r="AV258"/>
  <c r="AW258"/>
  <c r="AX258"/>
  <c r="AY258"/>
  <c r="AZ258"/>
  <c r="BA258"/>
  <c r="BB258"/>
  <c r="BC258"/>
  <c r="BD258"/>
  <c r="BE258"/>
  <c r="BF258"/>
  <c r="BG258"/>
  <c r="BH258"/>
  <c r="BI258"/>
  <c r="BJ258"/>
  <c r="BK258"/>
  <c r="BL258"/>
  <c r="BM258"/>
  <c r="BN258"/>
  <c r="BO258"/>
  <c r="BP258"/>
  <c r="BQ258"/>
  <c r="BR258"/>
  <c r="BS258"/>
  <c r="BT258"/>
  <c r="BU258"/>
  <c r="BV258"/>
  <c r="BW258"/>
  <c r="BX258"/>
  <c r="BY258"/>
  <c r="BZ258"/>
  <c r="CA258"/>
  <c r="CB258"/>
  <c r="CC258"/>
  <c r="CD258"/>
  <c r="CE258"/>
  <c r="CF258"/>
  <c r="CG258"/>
  <c r="CH258"/>
  <c r="CI258"/>
  <c r="CJ258"/>
  <c r="CK258"/>
  <c r="CL258"/>
  <c r="CM258"/>
  <c r="CN258"/>
  <c r="CO258"/>
  <c r="CP258"/>
  <c r="CQ258"/>
  <c r="CR258"/>
  <c r="CS258"/>
  <c r="CT258"/>
  <c r="CU258"/>
  <c r="CV258"/>
  <c r="CW258"/>
  <c r="CX258"/>
  <c r="CY258"/>
  <c r="CZ258"/>
  <c r="DA258"/>
  <c r="DB258"/>
  <c r="DC258"/>
  <c r="DD258"/>
  <c r="DE258"/>
  <c r="DF258"/>
  <c r="DG258"/>
  <c r="DH258"/>
  <c r="DI258"/>
  <c r="DJ258"/>
  <c r="DK258"/>
  <c r="DL258"/>
  <c r="DM258"/>
  <c r="DN258"/>
  <c r="DO258"/>
  <c r="DP258"/>
  <c r="DQ258"/>
  <c r="DR258"/>
  <c r="DS258"/>
  <c r="DT258"/>
  <c r="DU258"/>
  <c r="DV258"/>
  <c r="DW258"/>
  <c r="DX258"/>
  <c r="DY258"/>
  <c r="DZ258"/>
  <c r="EA258"/>
  <c r="EB258"/>
  <c r="EC258"/>
  <c r="ED258"/>
  <c r="EE258"/>
  <c r="EF258"/>
  <c r="EG258"/>
  <c r="EH258"/>
  <c r="EI258"/>
  <c r="EJ258"/>
  <c r="EK258"/>
  <c r="EL258"/>
  <c r="EM258"/>
  <c r="EN258"/>
  <c r="EO258"/>
  <c r="EP258"/>
  <c r="EQ258"/>
  <c r="ER258"/>
  <c r="ES258"/>
  <c r="ET258"/>
  <c r="EU258"/>
  <c r="EV258"/>
  <c r="EW258"/>
  <c r="EX258"/>
  <c r="EY258"/>
  <c r="EZ258"/>
  <c r="FA258"/>
  <c r="FB258"/>
  <c r="FC258"/>
  <c r="FD258"/>
  <c r="FE258"/>
  <c r="FF258"/>
  <c r="FG258"/>
  <c r="FH258"/>
  <c r="FI258"/>
  <c r="FJ258"/>
  <c r="FK258"/>
  <c r="FL258"/>
  <c r="FM258"/>
  <c r="FN258"/>
  <c r="FO258"/>
  <c r="FP258"/>
  <c r="FQ258"/>
  <c r="FR258"/>
  <c r="FS258"/>
  <c r="FT258"/>
  <c r="FU258"/>
  <c r="FV258"/>
  <c r="FW258"/>
  <c r="FX258"/>
  <c r="FY258"/>
  <c r="FZ258"/>
  <c r="GA258"/>
  <c r="GB258"/>
  <c r="GC258"/>
  <c r="GD258"/>
  <c r="GE258"/>
  <c r="GF258"/>
  <c r="GG258"/>
  <c r="GH258"/>
  <c r="GI258"/>
  <c r="GJ258"/>
  <c r="GK258"/>
  <c r="GL258"/>
  <c r="GM258"/>
  <c r="GN258"/>
  <c r="GO258"/>
  <c r="GP258"/>
  <c r="GQ258"/>
  <c r="GR258"/>
  <c r="GS258"/>
  <c r="GT258"/>
  <c r="GU258"/>
  <c r="GV258"/>
  <c r="GW258"/>
  <c r="GX258"/>
  <c r="GY258"/>
  <c r="GZ258"/>
  <c r="HA258"/>
  <c r="HB258"/>
  <c r="HC258"/>
  <c r="HD258"/>
  <c r="HE258"/>
  <c r="HF258"/>
  <c r="HG258"/>
  <c r="HH258"/>
  <c r="HI258"/>
  <c r="HJ258"/>
  <c r="HK258"/>
  <c r="HL258"/>
  <c r="HM258"/>
  <c r="HN258"/>
  <c r="HO258"/>
  <c r="HP258"/>
  <c r="HQ258"/>
  <c r="HR258"/>
  <c r="HS258"/>
  <c r="HT258"/>
  <c r="HU258"/>
  <c r="HV258"/>
  <c r="HW258"/>
  <c r="HX258"/>
  <c r="HY258"/>
  <c r="HZ258"/>
  <c r="IA258"/>
  <c r="IB258"/>
  <c r="IC258"/>
  <c r="ID258"/>
  <c r="IE258"/>
  <c r="IF258"/>
  <c r="IG258"/>
  <c r="IH258"/>
  <c r="II258"/>
  <c r="IJ258"/>
  <c r="IK258"/>
  <c r="IL258"/>
  <c r="IM258"/>
  <c r="IN258"/>
  <c r="IO258"/>
  <c r="IP258"/>
  <c r="IQ258"/>
  <c r="IR258"/>
  <c r="IS258"/>
  <c r="IT258"/>
  <c r="IU258"/>
  <c r="IV258"/>
  <c r="A259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Z259"/>
  <c r="AA259"/>
  <c r="AB259"/>
  <c r="AC259"/>
  <c r="AD259"/>
  <c r="AE259"/>
  <c r="AF259"/>
  <c r="AG259"/>
  <c r="AH259"/>
  <c r="AI259"/>
  <c r="AJ259"/>
  <c r="AK259"/>
  <c r="AL259"/>
  <c r="AM259"/>
  <c r="AN259"/>
  <c r="AO259"/>
  <c r="AP259"/>
  <c r="AQ259"/>
  <c r="AR259"/>
  <c r="AS259"/>
  <c r="AT259"/>
  <c r="AU259"/>
  <c r="AV259"/>
  <c r="AW259"/>
  <c r="AX259"/>
  <c r="AY259"/>
  <c r="AZ259"/>
  <c r="BA259"/>
  <c r="BB259"/>
  <c r="BC259"/>
  <c r="BD259"/>
  <c r="BE259"/>
  <c r="BF259"/>
  <c r="BG259"/>
  <c r="BH259"/>
  <c r="BI259"/>
  <c r="BJ259"/>
  <c r="BK259"/>
  <c r="BL259"/>
  <c r="BM259"/>
  <c r="BN259"/>
  <c r="BO259"/>
  <c r="BP259"/>
  <c r="BQ259"/>
  <c r="BR259"/>
  <c r="BS259"/>
  <c r="BT259"/>
  <c r="BU259"/>
  <c r="BV259"/>
  <c r="BW259"/>
  <c r="BX259"/>
  <c r="BY259"/>
  <c r="BZ259"/>
  <c r="CA259"/>
  <c r="CB259"/>
  <c r="CC259"/>
  <c r="CD259"/>
  <c r="CE259"/>
  <c r="CF259"/>
  <c r="CG259"/>
  <c r="CH259"/>
  <c r="CI259"/>
  <c r="CJ259"/>
  <c r="CK259"/>
  <c r="CL259"/>
  <c r="CM259"/>
  <c r="CN259"/>
  <c r="CO259"/>
  <c r="CP259"/>
  <c r="CQ259"/>
  <c r="CR259"/>
  <c r="CS259"/>
  <c r="CT259"/>
  <c r="CU259"/>
  <c r="CV259"/>
  <c r="CW259"/>
  <c r="CX259"/>
  <c r="CY259"/>
  <c r="CZ259"/>
  <c r="DA259"/>
  <c r="DB259"/>
  <c r="DC259"/>
  <c r="DD259"/>
  <c r="DE259"/>
  <c r="DF259"/>
  <c r="DG259"/>
  <c r="DH259"/>
  <c r="DI259"/>
  <c r="DJ259"/>
  <c r="DK259"/>
  <c r="DL259"/>
  <c r="DM259"/>
  <c r="DN259"/>
  <c r="DO259"/>
  <c r="DP259"/>
  <c r="DQ259"/>
  <c r="DR259"/>
  <c r="DS259"/>
  <c r="DT259"/>
  <c r="DU259"/>
  <c r="DV259"/>
  <c r="DW259"/>
  <c r="DX259"/>
  <c r="DY259"/>
  <c r="DZ259"/>
  <c r="EA259"/>
  <c r="EB259"/>
  <c r="EC259"/>
  <c r="ED259"/>
  <c r="EE259"/>
  <c r="EF259"/>
  <c r="EG259"/>
  <c r="EH259"/>
  <c r="EI259"/>
  <c r="EJ259"/>
  <c r="EK259"/>
  <c r="EL259"/>
  <c r="EM259"/>
  <c r="EN259"/>
  <c r="EO259"/>
  <c r="EP259"/>
  <c r="EQ259"/>
  <c r="ER259"/>
  <c r="ES259"/>
  <c r="ET259"/>
  <c r="EU259"/>
  <c r="EV259"/>
  <c r="EW259"/>
  <c r="EX259"/>
  <c r="EY259"/>
  <c r="EZ259"/>
  <c r="FA259"/>
  <c r="FB259"/>
  <c r="FC259"/>
  <c r="FD259"/>
  <c r="FE259"/>
  <c r="FF259"/>
  <c r="FG259"/>
  <c r="FH259"/>
  <c r="FI259"/>
  <c r="FJ259"/>
  <c r="FK259"/>
  <c r="FL259"/>
  <c r="FM259"/>
  <c r="FN259"/>
  <c r="FO259"/>
  <c r="FP259"/>
  <c r="FQ259"/>
  <c r="FR259"/>
  <c r="FS259"/>
  <c r="FT259"/>
  <c r="FU259"/>
  <c r="FV259"/>
  <c r="FW259"/>
  <c r="FX259"/>
  <c r="FY259"/>
  <c r="FZ259"/>
  <c r="GA259"/>
  <c r="GB259"/>
  <c r="GC259"/>
  <c r="GD259"/>
  <c r="GE259"/>
  <c r="GF259"/>
  <c r="GG259"/>
  <c r="GH259"/>
  <c r="GI259"/>
  <c r="GJ259"/>
  <c r="GK259"/>
  <c r="GL259"/>
  <c r="GM259"/>
  <c r="GN259"/>
  <c r="GO259"/>
  <c r="GP259"/>
  <c r="GQ259"/>
  <c r="GR259"/>
  <c r="GS259"/>
  <c r="GT259"/>
  <c r="GU259"/>
  <c r="GV259"/>
  <c r="GW259"/>
  <c r="GX259"/>
  <c r="GY259"/>
  <c r="GZ259"/>
  <c r="HA259"/>
  <c r="HB259"/>
  <c r="HC259"/>
  <c r="HD259"/>
  <c r="HE259"/>
  <c r="HF259"/>
  <c r="HG259"/>
  <c r="HH259"/>
  <c r="HI259"/>
  <c r="HJ259"/>
  <c r="HK259"/>
  <c r="HL259"/>
  <c r="HM259"/>
  <c r="HN259"/>
  <c r="HO259"/>
  <c r="HP259"/>
  <c r="HQ259"/>
  <c r="HR259"/>
  <c r="HS259"/>
  <c r="HT259"/>
  <c r="HU259"/>
  <c r="HV259"/>
  <c r="HW259"/>
  <c r="HX259"/>
  <c r="HY259"/>
  <c r="HZ259"/>
  <c r="IA259"/>
  <c r="IB259"/>
  <c r="IC259"/>
  <c r="ID259"/>
  <c r="IE259"/>
  <c r="IF259"/>
  <c r="IG259"/>
  <c r="IH259"/>
  <c r="II259"/>
  <c r="IJ259"/>
  <c r="IK259"/>
  <c r="IL259"/>
  <c r="IM259"/>
  <c r="IN259"/>
  <c r="IO259"/>
  <c r="IP259"/>
  <c r="IQ259"/>
  <c r="IR259"/>
  <c r="IS259"/>
  <c r="IT259"/>
  <c r="IU259"/>
  <c r="IV259"/>
  <c r="A260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Z260"/>
  <c r="AA260"/>
  <c r="AB260"/>
  <c r="AC260"/>
  <c r="AD260"/>
  <c r="AE260"/>
  <c r="AF260"/>
  <c r="AG260"/>
  <c r="AH260"/>
  <c r="AI260"/>
  <c r="AJ260"/>
  <c r="AK260"/>
  <c r="AL260"/>
  <c r="AM260"/>
  <c r="AN260"/>
  <c r="AO260"/>
  <c r="AP260"/>
  <c r="AQ260"/>
  <c r="AR260"/>
  <c r="AS260"/>
  <c r="AT260"/>
  <c r="AU260"/>
  <c r="AV260"/>
  <c r="AW260"/>
  <c r="AX260"/>
  <c r="AY260"/>
  <c r="AZ260"/>
  <c r="BA260"/>
  <c r="BB260"/>
  <c r="BC260"/>
  <c r="BD260"/>
  <c r="BE260"/>
  <c r="BF260"/>
  <c r="BG260"/>
  <c r="BH260"/>
  <c r="BI260"/>
  <c r="BJ260"/>
  <c r="BK260"/>
  <c r="BL260"/>
  <c r="BM260"/>
  <c r="BN260"/>
  <c r="BO260"/>
  <c r="BP260"/>
  <c r="BQ260"/>
  <c r="BR260"/>
  <c r="BS260"/>
  <c r="BT260"/>
  <c r="BU260"/>
  <c r="BV260"/>
  <c r="BW260"/>
  <c r="BX260"/>
  <c r="BY260"/>
  <c r="BZ260"/>
  <c r="CA260"/>
  <c r="CB260"/>
  <c r="CC260"/>
  <c r="CD260"/>
  <c r="CE260"/>
  <c r="CF260"/>
  <c r="CG260"/>
  <c r="CH260"/>
  <c r="CI260"/>
  <c r="CJ260"/>
  <c r="CK260"/>
  <c r="CL260"/>
  <c r="CM260"/>
  <c r="CN260"/>
  <c r="CO260"/>
  <c r="CP260"/>
  <c r="CQ260"/>
  <c r="CR260"/>
  <c r="CS260"/>
  <c r="CT260"/>
  <c r="CU260"/>
  <c r="CV260"/>
  <c r="CW260"/>
  <c r="CX260"/>
  <c r="CY260"/>
  <c r="CZ260"/>
  <c r="DA260"/>
  <c r="DB260"/>
  <c r="DC260"/>
  <c r="DD260"/>
  <c r="DE260"/>
  <c r="DF260"/>
  <c r="DG260"/>
  <c r="DH260"/>
  <c r="DI260"/>
  <c r="DJ260"/>
  <c r="DK260"/>
  <c r="DL260"/>
  <c r="DM260"/>
  <c r="DN260"/>
  <c r="DO260"/>
  <c r="DP260"/>
  <c r="DQ260"/>
  <c r="DR260"/>
  <c r="DS260"/>
  <c r="DT260"/>
  <c r="DU260"/>
  <c r="DV260"/>
  <c r="DW260"/>
  <c r="DX260"/>
  <c r="DY260"/>
  <c r="DZ260"/>
  <c r="EA260"/>
  <c r="EB260"/>
  <c r="EC260"/>
  <c r="ED260"/>
  <c r="EE260"/>
  <c r="EF260"/>
  <c r="EG260"/>
  <c r="EH260"/>
  <c r="EI260"/>
  <c r="EJ260"/>
  <c r="EK260"/>
  <c r="EL260"/>
  <c r="EM260"/>
  <c r="EN260"/>
  <c r="EO260"/>
  <c r="EP260"/>
  <c r="EQ260"/>
  <c r="ER260"/>
  <c r="ES260"/>
  <c r="ET260"/>
  <c r="EU260"/>
  <c r="EV260"/>
  <c r="EW260"/>
  <c r="EX260"/>
  <c r="EY260"/>
  <c r="EZ260"/>
  <c r="FA260"/>
  <c r="FB260"/>
  <c r="FC260"/>
  <c r="FD260"/>
  <c r="FE260"/>
  <c r="FF260"/>
  <c r="FG260"/>
  <c r="FH260"/>
  <c r="FI260"/>
  <c r="FJ260"/>
  <c r="FK260"/>
  <c r="FL260"/>
  <c r="FM260"/>
  <c r="FN260"/>
  <c r="FO260"/>
  <c r="FP260"/>
  <c r="FQ260"/>
  <c r="FR260"/>
  <c r="FS260"/>
  <c r="FT260"/>
  <c r="FU260"/>
  <c r="FV260"/>
  <c r="FW260"/>
  <c r="FX260"/>
  <c r="FY260"/>
  <c r="FZ260"/>
  <c r="GA260"/>
  <c r="GB260"/>
  <c r="GC260"/>
  <c r="GD260"/>
  <c r="GE260"/>
  <c r="GF260"/>
  <c r="GG260"/>
  <c r="GH260"/>
  <c r="GI260"/>
  <c r="GJ260"/>
  <c r="GK260"/>
  <c r="GL260"/>
  <c r="GM260"/>
  <c r="GN260"/>
  <c r="GO260"/>
  <c r="GP260"/>
  <c r="GQ260"/>
  <c r="GR260"/>
  <c r="GS260"/>
  <c r="GT260"/>
  <c r="GU260"/>
  <c r="GV260"/>
  <c r="GW260"/>
  <c r="GX260"/>
  <c r="GY260"/>
  <c r="GZ260"/>
  <c r="HA260"/>
  <c r="HB260"/>
  <c r="HC260"/>
  <c r="HD260"/>
  <c r="HE260"/>
  <c r="HF260"/>
  <c r="HG260"/>
  <c r="HH260"/>
  <c r="HI260"/>
  <c r="HJ260"/>
  <c r="HK260"/>
  <c r="HL260"/>
  <c r="HM260"/>
  <c r="HN260"/>
  <c r="HO260"/>
  <c r="HP260"/>
  <c r="HQ260"/>
  <c r="HR260"/>
  <c r="HS260"/>
  <c r="HT260"/>
  <c r="HU260"/>
  <c r="HV260"/>
  <c r="HW260"/>
  <c r="HX260"/>
  <c r="HY260"/>
  <c r="HZ260"/>
  <c r="IA260"/>
  <c r="IB260"/>
  <c r="IC260"/>
  <c r="ID260"/>
  <c r="IE260"/>
  <c r="IF260"/>
  <c r="IG260"/>
  <c r="IH260"/>
  <c r="II260"/>
  <c r="IJ260"/>
  <c r="IK260"/>
  <c r="IL260"/>
  <c r="IM260"/>
  <c r="IN260"/>
  <c r="IO260"/>
  <c r="IP260"/>
  <c r="IQ260"/>
  <c r="IR260"/>
  <c r="IS260"/>
  <c r="IT260"/>
  <c r="IU260"/>
  <c r="IV260"/>
  <c r="A261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Z261"/>
  <c r="AA261"/>
  <c r="AB261"/>
  <c r="AC261"/>
  <c r="AD261"/>
  <c r="AE261"/>
  <c r="AF261"/>
  <c r="AG261"/>
  <c r="AH261"/>
  <c r="AI261"/>
  <c r="AJ261"/>
  <c r="AK261"/>
  <c r="AL261"/>
  <c r="AM261"/>
  <c r="AN261"/>
  <c r="AO261"/>
  <c r="AP261"/>
  <c r="AQ261"/>
  <c r="AR261"/>
  <c r="AS261"/>
  <c r="AT261"/>
  <c r="AU261"/>
  <c r="AV261"/>
  <c r="AW261"/>
  <c r="AX261"/>
  <c r="AY261"/>
  <c r="AZ261"/>
  <c r="BA261"/>
  <c r="BB261"/>
  <c r="BC261"/>
  <c r="BD261"/>
  <c r="BE261"/>
  <c r="BF261"/>
  <c r="BG261"/>
  <c r="BH261"/>
  <c r="BI261"/>
  <c r="BJ261"/>
  <c r="BK261"/>
  <c r="BL261"/>
  <c r="BM261"/>
  <c r="BN261"/>
  <c r="BO261"/>
  <c r="BP261"/>
  <c r="BQ261"/>
  <c r="BR261"/>
  <c r="BS261"/>
  <c r="BT261"/>
  <c r="BU261"/>
  <c r="BV261"/>
  <c r="BW261"/>
  <c r="BX261"/>
  <c r="BY261"/>
  <c r="BZ261"/>
  <c r="CA261"/>
  <c r="CB261"/>
  <c r="CC261"/>
  <c r="CD261"/>
  <c r="CE261"/>
  <c r="CF261"/>
  <c r="CG261"/>
  <c r="CH261"/>
  <c r="CI261"/>
  <c r="CJ261"/>
  <c r="CK261"/>
  <c r="CL261"/>
  <c r="CM261"/>
  <c r="CN261"/>
  <c r="CO261"/>
  <c r="CP261"/>
  <c r="CQ261"/>
  <c r="CR261"/>
  <c r="CS261"/>
  <c r="CT261"/>
  <c r="CU261"/>
  <c r="CV261"/>
  <c r="CW261"/>
  <c r="CX261"/>
  <c r="CY261"/>
  <c r="CZ261"/>
  <c r="DA261"/>
  <c r="DB261"/>
  <c r="DC261"/>
  <c r="DD261"/>
  <c r="DE261"/>
  <c r="DF261"/>
  <c r="DG261"/>
  <c r="DH261"/>
  <c r="DI261"/>
  <c r="DJ261"/>
  <c r="DK261"/>
  <c r="DL261"/>
  <c r="DM261"/>
  <c r="DN261"/>
  <c r="DO261"/>
  <c r="DP261"/>
  <c r="DQ261"/>
  <c r="DR261"/>
  <c r="DS261"/>
  <c r="DT261"/>
  <c r="DU261"/>
  <c r="DV261"/>
  <c r="DW261"/>
  <c r="DX261"/>
  <c r="DY261"/>
  <c r="DZ261"/>
  <c r="EA261"/>
  <c r="EB261"/>
  <c r="EC261"/>
  <c r="ED261"/>
  <c r="EE261"/>
  <c r="EF261"/>
  <c r="EG261"/>
  <c r="EH261"/>
  <c r="EI261"/>
  <c r="EJ261"/>
  <c r="EK261"/>
  <c r="EL261"/>
  <c r="EM261"/>
  <c r="EN261"/>
  <c r="EO261"/>
  <c r="EP261"/>
  <c r="EQ261"/>
  <c r="ER261"/>
  <c r="ES261"/>
  <c r="ET261"/>
  <c r="EU261"/>
  <c r="EV261"/>
  <c r="EW261"/>
  <c r="EX261"/>
  <c r="EY261"/>
  <c r="EZ261"/>
  <c r="FA261"/>
  <c r="FB261"/>
  <c r="FC261"/>
  <c r="FD261"/>
  <c r="FE261"/>
  <c r="FF261"/>
  <c r="FG261"/>
  <c r="FH261"/>
  <c r="FI261"/>
  <c r="FJ261"/>
  <c r="FK261"/>
  <c r="FL261"/>
  <c r="FM261"/>
  <c r="FN261"/>
  <c r="FO261"/>
  <c r="FP261"/>
  <c r="FQ261"/>
  <c r="FR261"/>
  <c r="FS261"/>
  <c r="FT261"/>
  <c r="FU261"/>
  <c r="FV261"/>
  <c r="FW261"/>
  <c r="FX261"/>
  <c r="FY261"/>
  <c r="FZ261"/>
  <c r="GA261"/>
  <c r="GB261"/>
  <c r="GC261"/>
  <c r="GD261"/>
  <c r="GE261"/>
  <c r="GF261"/>
  <c r="GG261"/>
  <c r="GH261"/>
  <c r="GI261"/>
  <c r="GJ261"/>
  <c r="GK261"/>
  <c r="GL261"/>
  <c r="GM261"/>
  <c r="GN261"/>
  <c r="GO261"/>
  <c r="GP261"/>
  <c r="GQ261"/>
  <c r="GR261"/>
  <c r="GS261"/>
  <c r="GT261"/>
  <c r="GU261"/>
  <c r="GV261"/>
  <c r="GW261"/>
  <c r="GX261"/>
  <c r="GY261"/>
  <c r="GZ261"/>
  <c r="HA261"/>
  <c r="HB261"/>
  <c r="HC261"/>
  <c r="HD261"/>
  <c r="HE261"/>
  <c r="HF261"/>
  <c r="HG261"/>
  <c r="HH261"/>
  <c r="HI261"/>
  <c r="HJ261"/>
  <c r="HK261"/>
  <c r="HL261"/>
  <c r="HM261"/>
  <c r="HN261"/>
  <c r="HO261"/>
  <c r="HP261"/>
  <c r="HQ261"/>
  <c r="HR261"/>
  <c r="HS261"/>
  <c r="HT261"/>
  <c r="HU261"/>
  <c r="HV261"/>
  <c r="HW261"/>
  <c r="HX261"/>
  <c r="HY261"/>
  <c r="HZ261"/>
  <c r="IA261"/>
  <c r="IB261"/>
  <c r="IC261"/>
  <c r="ID261"/>
  <c r="IE261"/>
  <c r="IF261"/>
  <c r="IG261"/>
  <c r="IH261"/>
  <c r="II261"/>
  <c r="IJ261"/>
  <c r="IK261"/>
  <c r="IL261"/>
  <c r="IM261"/>
  <c r="IN261"/>
  <c r="IO261"/>
  <c r="IP261"/>
  <c r="IQ261"/>
  <c r="IR261"/>
  <c r="IS261"/>
  <c r="IT261"/>
  <c r="IU261"/>
  <c r="IV261"/>
  <c r="A262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Z262"/>
  <c r="AA262"/>
  <c r="AB262"/>
  <c r="AC262"/>
  <c r="AD262"/>
  <c r="AE262"/>
  <c r="AF262"/>
  <c r="AG262"/>
  <c r="AH262"/>
  <c r="AI262"/>
  <c r="AJ262"/>
  <c r="AK262"/>
  <c r="AL262"/>
  <c r="AM262"/>
  <c r="AN262"/>
  <c r="AO262"/>
  <c r="AP262"/>
  <c r="AQ262"/>
  <c r="AR262"/>
  <c r="AS262"/>
  <c r="AT262"/>
  <c r="AU262"/>
  <c r="AV262"/>
  <c r="AW262"/>
  <c r="AX262"/>
  <c r="AY262"/>
  <c r="AZ262"/>
  <c r="BA262"/>
  <c r="BB262"/>
  <c r="BC262"/>
  <c r="BD262"/>
  <c r="BE262"/>
  <c r="BF262"/>
  <c r="BG262"/>
  <c r="BH262"/>
  <c r="BI262"/>
  <c r="BJ262"/>
  <c r="BK262"/>
  <c r="BL262"/>
  <c r="BM262"/>
  <c r="BN262"/>
  <c r="BO262"/>
  <c r="BP262"/>
  <c r="BQ262"/>
  <c r="BR262"/>
  <c r="BS262"/>
  <c r="BT262"/>
  <c r="BU262"/>
  <c r="BV262"/>
  <c r="BW262"/>
  <c r="BX262"/>
  <c r="BY262"/>
  <c r="BZ262"/>
  <c r="CA262"/>
  <c r="CB262"/>
  <c r="CC262"/>
  <c r="CD262"/>
  <c r="CE262"/>
  <c r="CF262"/>
  <c r="CG262"/>
  <c r="CH262"/>
  <c r="CI262"/>
  <c r="CJ262"/>
  <c r="CK262"/>
  <c r="CL262"/>
  <c r="CM262"/>
  <c r="CN262"/>
  <c r="CO262"/>
  <c r="CP262"/>
  <c r="CQ262"/>
  <c r="CR262"/>
  <c r="CS262"/>
  <c r="CT262"/>
  <c r="CU262"/>
  <c r="CV262"/>
  <c r="CW262"/>
  <c r="CX262"/>
  <c r="CY262"/>
  <c r="CZ262"/>
  <c r="DA262"/>
  <c r="DB262"/>
  <c r="DC262"/>
  <c r="DD262"/>
  <c r="DE262"/>
  <c r="DF262"/>
  <c r="DG262"/>
  <c r="DH262"/>
  <c r="DI262"/>
  <c r="DJ262"/>
  <c r="DK262"/>
  <c r="DL262"/>
  <c r="DM262"/>
  <c r="DN262"/>
  <c r="DO262"/>
  <c r="DP262"/>
  <c r="DQ262"/>
  <c r="DR262"/>
  <c r="DS262"/>
  <c r="DT262"/>
  <c r="DU262"/>
  <c r="DV262"/>
  <c r="DW262"/>
  <c r="DX262"/>
  <c r="DY262"/>
  <c r="DZ262"/>
  <c r="EA262"/>
  <c r="EB262"/>
  <c r="EC262"/>
  <c r="ED262"/>
  <c r="EE262"/>
  <c r="EF262"/>
  <c r="EG262"/>
  <c r="EH262"/>
  <c r="EI262"/>
  <c r="EJ262"/>
  <c r="EK262"/>
  <c r="EL262"/>
  <c r="EM262"/>
  <c r="EN262"/>
  <c r="EO262"/>
  <c r="EP262"/>
  <c r="EQ262"/>
  <c r="ER262"/>
  <c r="ES262"/>
  <c r="ET262"/>
  <c r="EU262"/>
  <c r="EV262"/>
  <c r="EW262"/>
  <c r="EX262"/>
  <c r="EY262"/>
  <c r="EZ262"/>
  <c r="FA262"/>
  <c r="FB262"/>
  <c r="FC262"/>
  <c r="FD262"/>
  <c r="FE262"/>
  <c r="FF262"/>
  <c r="FG262"/>
  <c r="FH262"/>
  <c r="FI262"/>
  <c r="FJ262"/>
  <c r="FK262"/>
  <c r="FL262"/>
  <c r="FM262"/>
  <c r="FN262"/>
  <c r="FO262"/>
  <c r="FP262"/>
  <c r="FQ262"/>
  <c r="FR262"/>
  <c r="FS262"/>
  <c r="FT262"/>
  <c r="FU262"/>
  <c r="FV262"/>
  <c r="FW262"/>
  <c r="FX262"/>
  <c r="FY262"/>
  <c r="FZ262"/>
  <c r="GA262"/>
  <c r="GB262"/>
  <c r="GC262"/>
  <c r="GD262"/>
  <c r="GE262"/>
  <c r="GF262"/>
  <c r="GG262"/>
  <c r="GH262"/>
  <c r="GI262"/>
  <c r="GJ262"/>
  <c r="GK262"/>
  <c r="GL262"/>
  <c r="GM262"/>
  <c r="GN262"/>
  <c r="GO262"/>
  <c r="GP262"/>
  <c r="GQ262"/>
  <c r="GR262"/>
  <c r="GS262"/>
  <c r="GT262"/>
  <c r="GU262"/>
  <c r="GV262"/>
  <c r="GW262"/>
  <c r="GX262"/>
  <c r="GY262"/>
  <c r="GZ262"/>
  <c r="HA262"/>
  <c r="HB262"/>
  <c r="HC262"/>
  <c r="HD262"/>
  <c r="HE262"/>
  <c r="HF262"/>
  <c r="HG262"/>
  <c r="HH262"/>
  <c r="HI262"/>
  <c r="HJ262"/>
  <c r="HK262"/>
  <c r="HL262"/>
  <c r="HM262"/>
  <c r="HN262"/>
  <c r="HO262"/>
  <c r="HP262"/>
  <c r="HQ262"/>
  <c r="HR262"/>
  <c r="HS262"/>
  <c r="HT262"/>
  <c r="HU262"/>
  <c r="HV262"/>
  <c r="HW262"/>
  <c r="HX262"/>
  <c r="HY262"/>
  <c r="HZ262"/>
  <c r="IA262"/>
  <c r="IB262"/>
  <c r="IC262"/>
  <c r="ID262"/>
  <c r="IE262"/>
  <c r="IF262"/>
  <c r="IG262"/>
  <c r="IH262"/>
  <c r="II262"/>
  <c r="IJ262"/>
  <c r="IK262"/>
  <c r="IL262"/>
  <c r="IM262"/>
  <c r="IN262"/>
  <c r="IO262"/>
  <c r="IP262"/>
  <c r="IQ262"/>
  <c r="IR262"/>
  <c r="IS262"/>
  <c r="IT262"/>
  <c r="IU262"/>
  <c r="IV262"/>
  <c r="A263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Z263"/>
  <c r="AA263"/>
  <c r="AB263"/>
  <c r="AC263"/>
  <c r="AD263"/>
  <c r="AE263"/>
  <c r="AF263"/>
  <c r="AG263"/>
  <c r="AH263"/>
  <c r="AI263"/>
  <c r="AJ263"/>
  <c r="AK263"/>
  <c r="AL263"/>
  <c r="AM263"/>
  <c r="AN263"/>
  <c r="AO263"/>
  <c r="AP263"/>
  <c r="AQ263"/>
  <c r="AR263"/>
  <c r="AS263"/>
  <c r="AT263"/>
  <c r="AU263"/>
  <c r="AV263"/>
  <c r="AW263"/>
  <c r="AX263"/>
  <c r="AY263"/>
  <c r="AZ263"/>
  <c r="BA263"/>
  <c r="BB263"/>
  <c r="BC263"/>
  <c r="BD263"/>
  <c r="BE263"/>
  <c r="BF263"/>
  <c r="BG263"/>
  <c r="BH263"/>
  <c r="BI263"/>
  <c r="BJ263"/>
  <c r="BK263"/>
  <c r="BL263"/>
  <c r="BM263"/>
  <c r="BN263"/>
  <c r="BO263"/>
  <c r="BP263"/>
  <c r="BQ263"/>
  <c r="BR263"/>
  <c r="BS263"/>
  <c r="BT263"/>
  <c r="BU263"/>
  <c r="BV263"/>
  <c r="BW263"/>
  <c r="BX263"/>
  <c r="BY263"/>
  <c r="BZ263"/>
  <c r="CA263"/>
  <c r="CB263"/>
  <c r="CC263"/>
  <c r="CD263"/>
  <c r="CE263"/>
  <c r="CF263"/>
  <c r="CG263"/>
  <c r="CH263"/>
  <c r="CI263"/>
  <c r="CJ263"/>
  <c r="CK263"/>
  <c r="CL263"/>
  <c r="CM263"/>
  <c r="CN263"/>
  <c r="CO263"/>
  <c r="CP263"/>
  <c r="CQ263"/>
  <c r="CR263"/>
  <c r="CS263"/>
  <c r="CT263"/>
  <c r="CU263"/>
  <c r="CV263"/>
  <c r="CW263"/>
  <c r="CX263"/>
  <c r="CY263"/>
  <c r="CZ263"/>
  <c r="DA263"/>
  <c r="DB263"/>
  <c r="DC263"/>
  <c r="DD263"/>
  <c r="DE263"/>
  <c r="DF263"/>
  <c r="DG263"/>
  <c r="DH263"/>
  <c r="DI263"/>
  <c r="DJ263"/>
  <c r="DK263"/>
  <c r="DL263"/>
  <c r="DM263"/>
  <c r="DN263"/>
  <c r="DO263"/>
  <c r="DP263"/>
  <c r="DQ263"/>
  <c r="DR263"/>
  <c r="DS263"/>
  <c r="DT263"/>
  <c r="DU263"/>
  <c r="DV263"/>
  <c r="DW263"/>
  <c r="DX263"/>
  <c r="DY263"/>
  <c r="DZ263"/>
  <c r="EA263"/>
  <c r="EB263"/>
  <c r="EC263"/>
  <c r="ED263"/>
  <c r="EE263"/>
  <c r="EF263"/>
  <c r="EG263"/>
  <c r="EH263"/>
  <c r="EI263"/>
  <c r="EJ263"/>
  <c r="EK263"/>
  <c r="EL263"/>
  <c r="EM263"/>
  <c r="EN263"/>
  <c r="EO263"/>
  <c r="EP263"/>
  <c r="EQ263"/>
  <c r="ER263"/>
  <c r="ES263"/>
  <c r="ET263"/>
  <c r="EU263"/>
  <c r="EV263"/>
  <c r="EW263"/>
  <c r="EX263"/>
  <c r="EY263"/>
  <c r="EZ263"/>
  <c r="FA263"/>
  <c r="FB263"/>
  <c r="FC263"/>
  <c r="FD263"/>
  <c r="FE263"/>
  <c r="FF263"/>
  <c r="FG263"/>
  <c r="FH263"/>
  <c r="FI263"/>
  <c r="FJ263"/>
  <c r="FK263"/>
  <c r="FL263"/>
  <c r="FM263"/>
  <c r="FN263"/>
  <c r="FO263"/>
  <c r="FP263"/>
  <c r="FQ263"/>
  <c r="FR263"/>
  <c r="FS263"/>
  <c r="FT263"/>
  <c r="FU263"/>
  <c r="FV263"/>
  <c r="FW263"/>
  <c r="FX263"/>
  <c r="FY263"/>
  <c r="FZ263"/>
  <c r="GA263"/>
  <c r="GB263"/>
  <c r="GC263"/>
  <c r="GD263"/>
  <c r="GE263"/>
  <c r="GF263"/>
  <c r="GG263"/>
  <c r="GH263"/>
  <c r="GI263"/>
  <c r="GJ263"/>
  <c r="GK263"/>
  <c r="GL263"/>
  <c r="GM263"/>
  <c r="GN263"/>
  <c r="GO263"/>
  <c r="GP263"/>
  <c r="GQ263"/>
  <c r="GR263"/>
  <c r="GS263"/>
  <c r="GT263"/>
  <c r="GU263"/>
  <c r="GV263"/>
  <c r="GW263"/>
  <c r="GX263"/>
  <c r="GY263"/>
  <c r="GZ263"/>
  <c r="HA263"/>
  <c r="HB263"/>
  <c r="HC263"/>
  <c r="HD263"/>
  <c r="HE263"/>
  <c r="HF263"/>
  <c r="HG263"/>
  <c r="HH263"/>
  <c r="HI263"/>
  <c r="HJ263"/>
  <c r="HK263"/>
  <c r="HL263"/>
  <c r="HM263"/>
  <c r="HN263"/>
  <c r="HO263"/>
  <c r="HP263"/>
  <c r="HQ263"/>
  <c r="HR263"/>
  <c r="HS263"/>
  <c r="HT263"/>
  <c r="HU263"/>
  <c r="HV263"/>
  <c r="HW263"/>
  <c r="HX263"/>
  <c r="HY263"/>
  <c r="HZ263"/>
  <c r="IA263"/>
  <c r="IB263"/>
  <c r="IC263"/>
  <c r="ID263"/>
  <c r="IE263"/>
  <c r="IF263"/>
  <c r="IG263"/>
  <c r="IH263"/>
  <c r="II263"/>
  <c r="IJ263"/>
  <c r="IK263"/>
  <c r="IL263"/>
  <c r="IM263"/>
  <c r="IN263"/>
  <c r="IO263"/>
  <c r="IP263"/>
  <c r="IQ263"/>
  <c r="IR263"/>
  <c r="IS263"/>
  <c r="IT263"/>
  <c r="IU263"/>
  <c r="IV263"/>
  <c r="A264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Z264"/>
  <c r="AA264"/>
  <c r="AB264"/>
  <c r="AC264"/>
  <c r="AD264"/>
  <c r="AE264"/>
  <c r="AF264"/>
  <c r="AG264"/>
  <c r="AH264"/>
  <c r="AI264"/>
  <c r="AJ264"/>
  <c r="AK264"/>
  <c r="AL264"/>
  <c r="AM264"/>
  <c r="AN264"/>
  <c r="AO264"/>
  <c r="AP264"/>
  <c r="AQ264"/>
  <c r="AR264"/>
  <c r="AS264"/>
  <c r="AT264"/>
  <c r="AU264"/>
  <c r="AV264"/>
  <c r="AW264"/>
  <c r="AX264"/>
  <c r="AY264"/>
  <c r="AZ264"/>
  <c r="BA264"/>
  <c r="BB264"/>
  <c r="BC264"/>
  <c r="BD264"/>
  <c r="BE264"/>
  <c r="BF264"/>
  <c r="BG264"/>
  <c r="BH264"/>
  <c r="BI264"/>
  <c r="BJ264"/>
  <c r="BK264"/>
  <c r="BL264"/>
  <c r="BM264"/>
  <c r="BN264"/>
  <c r="BO264"/>
  <c r="BP264"/>
  <c r="BQ264"/>
  <c r="BR264"/>
  <c r="BS264"/>
  <c r="BT264"/>
  <c r="BU264"/>
  <c r="BV264"/>
  <c r="BW264"/>
  <c r="BX264"/>
  <c r="BY264"/>
  <c r="BZ264"/>
  <c r="CA264"/>
  <c r="CB264"/>
  <c r="CC264"/>
  <c r="CD264"/>
  <c r="CE264"/>
  <c r="CF264"/>
  <c r="CG264"/>
  <c r="CH264"/>
  <c r="CI264"/>
  <c r="CJ264"/>
  <c r="CK264"/>
  <c r="CL264"/>
  <c r="CM264"/>
  <c r="CN264"/>
  <c r="CO264"/>
  <c r="CP264"/>
  <c r="CQ264"/>
  <c r="CR264"/>
  <c r="CS264"/>
  <c r="CT264"/>
  <c r="CU264"/>
  <c r="CV264"/>
  <c r="CW264"/>
  <c r="CX264"/>
  <c r="CY264"/>
  <c r="CZ264"/>
  <c r="DA264"/>
  <c r="DB264"/>
  <c r="DC264"/>
  <c r="DD264"/>
  <c r="DE264"/>
  <c r="DF264"/>
  <c r="DG264"/>
  <c r="DH264"/>
  <c r="DI264"/>
  <c r="DJ264"/>
  <c r="DK264"/>
  <c r="DL264"/>
  <c r="DM264"/>
  <c r="DN264"/>
  <c r="DO264"/>
  <c r="DP264"/>
  <c r="DQ264"/>
  <c r="DR264"/>
  <c r="DS264"/>
  <c r="DT264"/>
  <c r="DU264"/>
  <c r="DV264"/>
  <c r="DW264"/>
  <c r="DX264"/>
  <c r="DY264"/>
  <c r="DZ264"/>
  <c r="EA264"/>
  <c r="EB264"/>
  <c r="EC264"/>
  <c r="ED264"/>
  <c r="EE264"/>
  <c r="EF264"/>
  <c r="EG264"/>
  <c r="EH264"/>
  <c r="EI264"/>
  <c r="EJ264"/>
  <c r="EK264"/>
  <c r="EL264"/>
  <c r="EM264"/>
  <c r="EN264"/>
  <c r="EO264"/>
  <c r="EP264"/>
  <c r="EQ264"/>
  <c r="ER264"/>
  <c r="ES264"/>
  <c r="ET264"/>
  <c r="EU264"/>
  <c r="EV264"/>
  <c r="EW264"/>
  <c r="EX264"/>
  <c r="EY264"/>
  <c r="EZ264"/>
  <c r="FA264"/>
  <c r="FB264"/>
  <c r="FC264"/>
  <c r="FD264"/>
  <c r="FE264"/>
  <c r="FF264"/>
  <c r="FG264"/>
  <c r="FH264"/>
  <c r="FI264"/>
  <c r="FJ264"/>
  <c r="FK264"/>
  <c r="FL264"/>
  <c r="FM264"/>
  <c r="FN264"/>
  <c r="FO264"/>
  <c r="FP264"/>
  <c r="FQ264"/>
  <c r="FR264"/>
  <c r="FS264"/>
  <c r="FT264"/>
  <c r="FU264"/>
  <c r="FV264"/>
  <c r="FW264"/>
  <c r="FX264"/>
  <c r="FY264"/>
  <c r="FZ264"/>
  <c r="GA264"/>
  <c r="GB264"/>
  <c r="GC264"/>
  <c r="GD264"/>
  <c r="GE264"/>
  <c r="GF264"/>
  <c r="GG264"/>
  <c r="GH264"/>
  <c r="GI264"/>
  <c r="GJ264"/>
  <c r="GK264"/>
  <c r="GL264"/>
  <c r="GM264"/>
  <c r="GN264"/>
  <c r="GO264"/>
  <c r="GP264"/>
  <c r="GQ264"/>
  <c r="GR264"/>
  <c r="GS264"/>
  <c r="GT264"/>
  <c r="GU264"/>
  <c r="GV264"/>
  <c r="GW264"/>
  <c r="GX264"/>
  <c r="GY264"/>
  <c r="GZ264"/>
  <c r="HA264"/>
  <c r="HB264"/>
  <c r="HC264"/>
  <c r="HD264"/>
  <c r="HE264"/>
  <c r="HF264"/>
  <c r="HG264"/>
  <c r="HH264"/>
  <c r="HI264"/>
  <c r="HJ264"/>
  <c r="HK264"/>
  <c r="HL264"/>
  <c r="HM264"/>
  <c r="HN264"/>
  <c r="HO264"/>
  <c r="HP264"/>
  <c r="HQ264"/>
  <c r="HR264"/>
  <c r="HS264"/>
  <c r="HT264"/>
  <c r="HU264"/>
  <c r="HV264"/>
  <c r="HW264"/>
  <c r="HX264"/>
  <c r="HY264"/>
  <c r="HZ264"/>
  <c r="IA264"/>
  <c r="IB264"/>
  <c r="IC264"/>
  <c r="ID264"/>
  <c r="IE264"/>
  <c r="IF264"/>
  <c r="IG264"/>
  <c r="IH264"/>
  <c r="II264"/>
  <c r="IJ264"/>
  <c r="IK264"/>
  <c r="IL264"/>
  <c r="IM264"/>
  <c r="IN264"/>
  <c r="IO264"/>
  <c r="IP264"/>
  <c r="IQ264"/>
  <c r="IR264"/>
  <c r="IS264"/>
  <c r="IT264"/>
  <c r="IU264"/>
  <c r="IV264"/>
  <c r="A265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Z265"/>
  <c r="AA265"/>
  <c r="AB265"/>
  <c r="AC265"/>
  <c r="AD265"/>
  <c r="AE265"/>
  <c r="AF265"/>
  <c r="AG265"/>
  <c r="AH265"/>
  <c r="AI265"/>
  <c r="AJ265"/>
  <c r="AK265"/>
  <c r="AL265"/>
  <c r="AM265"/>
  <c r="AN265"/>
  <c r="AO265"/>
  <c r="AP265"/>
  <c r="AQ265"/>
  <c r="AR265"/>
  <c r="AS265"/>
  <c r="AT265"/>
  <c r="AU265"/>
  <c r="AV265"/>
  <c r="AW265"/>
  <c r="AX265"/>
  <c r="AY265"/>
  <c r="AZ265"/>
  <c r="BA265"/>
  <c r="BB265"/>
  <c r="BC265"/>
  <c r="BD265"/>
  <c r="BE265"/>
  <c r="BF265"/>
  <c r="BG265"/>
  <c r="BH265"/>
  <c r="BI265"/>
  <c r="BJ265"/>
  <c r="BK265"/>
  <c r="BL265"/>
  <c r="BM265"/>
  <c r="BN265"/>
  <c r="BO265"/>
  <c r="BP265"/>
  <c r="BQ265"/>
  <c r="BR265"/>
  <c r="BS265"/>
  <c r="BT265"/>
  <c r="BU265"/>
  <c r="BV265"/>
  <c r="BW265"/>
  <c r="BX265"/>
  <c r="BY265"/>
  <c r="BZ265"/>
  <c r="CA265"/>
  <c r="CB265"/>
  <c r="CC265"/>
  <c r="CD265"/>
  <c r="CE265"/>
  <c r="CF265"/>
  <c r="CG265"/>
  <c r="CH265"/>
  <c r="CI265"/>
  <c r="CJ265"/>
  <c r="CK265"/>
  <c r="CL265"/>
  <c r="CM265"/>
  <c r="CN265"/>
  <c r="CO265"/>
  <c r="CP265"/>
  <c r="CQ265"/>
  <c r="CR265"/>
  <c r="CS265"/>
  <c r="CT265"/>
  <c r="CU265"/>
  <c r="CV265"/>
  <c r="CW265"/>
  <c r="CX265"/>
  <c r="CY265"/>
  <c r="CZ265"/>
  <c r="DA265"/>
  <c r="DB265"/>
  <c r="DC265"/>
  <c r="DD265"/>
  <c r="DE265"/>
  <c r="DF265"/>
  <c r="DG265"/>
  <c r="DH265"/>
  <c r="DI265"/>
  <c r="DJ265"/>
  <c r="DK265"/>
  <c r="DL265"/>
  <c r="DM265"/>
  <c r="DN265"/>
  <c r="DO265"/>
  <c r="DP265"/>
  <c r="DQ265"/>
  <c r="DR265"/>
  <c r="DS265"/>
  <c r="DT265"/>
  <c r="DU265"/>
  <c r="DV265"/>
  <c r="DW265"/>
  <c r="DX265"/>
  <c r="DY265"/>
  <c r="DZ265"/>
  <c r="EA265"/>
  <c r="EB265"/>
  <c r="EC265"/>
  <c r="ED265"/>
  <c r="EE265"/>
  <c r="EF265"/>
  <c r="EG265"/>
  <c r="EH265"/>
  <c r="EI265"/>
  <c r="EJ265"/>
  <c r="EK265"/>
  <c r="EL265"/>
  <c r="EM265"/>
  <c r="EN265"/>
  <c r="EO265"/>
  <c r="EP265"/>
  <c r="EQ265"/>
  <c r="ER265"/>
  <c r="ES265"/>
  <c r="ET265"/>
  <c r="EU265"/>
  <c r="EV265"/>
  <c r="EW265"/>
  <c r="EX265"/>
  <c r="EY265"/>
  <c r="EZ265"/>
  <c r="FA265"/>
  <c r="FB265"/>
  <c r="FC265"/>
  <c r="FD265"/>
  <c r="FE265"/>
  <c r="FF265"/>
  <c r="FG265"/>
  <c r="FH265"/>
  <c r="FI265"/>
  <c r="FJ265"/>
  <c r="FK265"/>
  <c r="FL265"/>
  <c r="FM265"/>
  <c r="FN265"/>
  <c r="FO265"/>
  <c r="FP265"/>
  <c r="FQ265"/>
  <c r="FR265"/>
  <c r="FS265"/>
  <c r="FT265"/>
  <c r="FU265"/>
  <c r="FV265"/>
  <c r="FW265"/>
  <c r="FX265"/>
  <c r="FY265"/>
  <c r="FZ265"/>
  <c r="GA265"/>
  <c r="GB265"/>
  <c r="GC265"/>
  <c r="GD265"/>
  <c r="GE265"/>
  <c r="GF265"/>
  <c r="GG265"/>
  <c r="GH265"/>
  <c r="GI265"/>
  <c r="GJ265"/>
  <c r="GK265"/>
  <c r="GL265"/>
  <c r="GM265"/>
  <c r="GN265"/>
  <c r="GO265"/>
  <c r="GP265"/>
  <c r="GQ265"/>
  <c r="GR265"/>
  <c r="GS265"/>
  <c r="GT265"/>
  <c r="GU265"/>
  <c r="GV265"/>
  <c r="GW265"/>
  <c r="GX265"/>
  <c r="GY265"/>
  <c r="GZ265"/>
  <c r="HA265"/>
  <c r="HB265"/>
  <c r="HC265"/>
  <c r="HD265"/>
  <c r="HE265"/>
  <c r="HF265"/>
  <c r="HG265"/>
  <c r="HH265"/>
  <c r="HI265"/>
  <c r="HJ265"/>
  <c r="HK265"/>
  <c r="HL265"/>
  <c r="HM265"/>
  <c r="HN265"/>
  <c r="HO265"/>
  <c r="HP265"/>
  <c r="HQ265"/>
  <c r="HR265"/>
  <c r="HS265"/>
  <c r="HT265"/>
  <c r="HU265"/>
  <c r="HV265"/>
  <c r="HW265"/>
  <c r="HX265"/>
  <c r="HY265"/>
  <c r="HZ265"/>
  <c r="IA265"/>
  <c r="IB265"/>
  <c r="IC265"/>
  <c r="ID265"/>
  <c r="IE265"/>
  <c r="IF265"/>
  <c r="IG265"/>
  <c r="IH265"/>
  <c r="II265"/>
  <c r="IJ265"/>
  <c r="IK265"/>
  <c r="IL265"/>
  <c r="IM265"/>
  <c r="IN265"/>
  <c r="IO265"/>
  <c r="IP265"/>
  <c r="IQ265"/>
  <c r="IR265"/>
  <c r="IS265"/>
  <c r="IT265"/>
  <c r="IU265"/>
  <c r="IV265"/>
  <c r="A266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Z266"/>
  <c r="AA266"/>
  <c r="AB266"/>
  <c r="AC266"/>
  <c r="AD266"/>
  <c r="AE266"/>
  <c r="AF266"/>
  <c r="AG266"/>
  <c r="AH266"/>
  <c r="AI266"/>
  <c r="AJ266"/>
  <c r="AK266"/>
  <c r="AL266"/>
  <c r="AM266"/>
  <c r="AN266"/>
  <c r="AO266"/>
  <c r="AP266"/>
  <c r="AQ266"/>
  <c r="AR266"/>
  <c r="AS266"/>
  <c r="AT266"/>
  <c r="AU266"/>
  <c r="AV266"/>
  <c r="AW266"/>
  <c r="AX266"/>
  <c r="AY266"/>
  <c r="AZ266"/>
  <c r="BA266"/>
  <c r="BB266"/>
  <c r="BC266"/>
  <c r="BD266"/>
  <c r="BE266"/>
  <c r="BF266"/>
  <c r="BG266"/>
  <c r="BH266"/>
  <c r="BI266"/>
  <c r="BJ266"/>
  <c r="BK266"/>
  <c r="BL266"/>
  <c r="BM266"/>
  <c r="BN266"/>
  <c r="BO266"/>
  <c r="BP266"/>
  <c r="BQ266"/>
  <c r="BR266"/>
  <c r="BS266"/>
  <c r="BT266"/>
  <c r="BU266"/>
  <c r="BV266"/>
  <c r="BW266"/>
  <c r="BX266"/>
  <c r="BY266"/>
  <c r="BZ266"/>
  <c r="CA266"/>
  <c r="CB266"/>
  <c r="CC266"/>
  <c r="CD266"/>
  <c r="CE266"/>
  <c r="CF266"/>
  <c r="CG266"/>
  <c r="CH266"/>
  <c r="CI266"/>
  <c r="CJ266"/>
  <c r="CK266"/>
  <c r="CL266"/>
  <c r="CM266"/>
  <c r="CN266"/>
  <c r="CO266"/>
  <c r="CP266"/>
  <c r="CQ266"/>
  <c r="CR266"/>
  <c r="CS266"/>
  <c r="CT266"/>
  <c r="CU266"/>
  <c r="CV266"/>
  <c r="CW266"/>
  <c r="CX266"/>
  <c r="CY266"/>
  <c r="CZ266"/>
  <c r="DA266"/>
  <c r="DB266"/>
  <c r="DC266"/>
  <c r="DD266"/>
  <c r="DE266"/>
  <c r="DF266"/>
  <c r="DG266"/>
  <c r="DH266"/>
  <c r="DI266"/>
  <c r="DJ266"/>
  <c r="DK266"/>
  <c r="DL266"/>
  <c r="DM266"/>
  <c r="DN266"/>
  <c r="DO266"/>
  <c r="DP266"/>
  <c r="DQ266"/>
  <c r="DR266"/>
  <c r="DS266"/>
  <c r="DT266"/>
  <c r="DU266"/>
  <c r="DV266"/>
  <c r="DW266"/>
  <c r="DX266"/>
  <c r="DY266"/>
  <c r="DZ266"/>
  <c r="EA266"/>
  <c r="EB266"/>
  <c r="EC266"/>
  <c r="ED266"/>
  <c r="EE266"/>
  <c r="EF266"/>
  <c r="EG266"/>
  <c r="EH266"/>
  <c r="EI266"/>
  <c r="EJ266"/>
  <c r="EK266"/>
  <c r="EL266"/>
  <c r="EM266"/>
  <c r="EN266"/>
  <c r="EO266"/>
  <c r="EP266"/>
  <c r="EQ266"/>
  <c r="ER266"/>
  <c r="ES266"/>
  <c r="ET266"/>
  <c r="EU266"/>
  <c r="EV266"/>
  <c r="EW266"/>
  <c r="EX266"/>
  <c r="EY266"/>
  <c r="EZ266"/>
  <c r="FA266"/>
  <c r="FB266"/>
  <c r="FC266"/>
  <c r="FD266"/>
  <c r="FE266"/>
  <c r="FF266"/>
  <c r="FG266"/>
  <c r="FH266"/>
  <c r="FI266"/>
  <c r="FJ266"/>
  <c r="FK266"/>
  <c r="FL266"/>
  <c r="FM266"/>
  <c r="FN266"/>
  <c r="FO266"/>
  <c r="FP266"/>
  <c r="FQ266"/>
  <c r="FR266"/>
  <c r="FS266"/>
  <c r="FT266"/>
  <c r="FU266"/>
  <c r="FV266"/>
  <c r="FW266"/>
  <c r="FX266"/>
  <c r="FY266"/>
  <c r="FZ266"/>
  <c r="GA266"/>
  <c r="GB266"/>
  <c r="GC266"/>
  <c r="GD266"/>
  <c r="GE266"/>
  <c r="GF266"/>
  <c r="GG266"/>
  <c r="GH266"/>
  <c r="GI266"/>
  <c r="GJ266"/>
  <c r="GK266"/>
  <c r="GL266"/>
  <c r="GM266"/>
  <c r="GN266"/>
  <c r="GO266"/>
  <c r="GP266"/>
  <c r="GQ266"/>
  <c r="GR266"/>
  <c r="GS266"/>
  <c r="GT266"/>
  <c r="GU266"/>
  <c r="GV266"/>
  <c r="GW266"/>
  <c r="GX266"/>
  <c r="GY266"/>
  <c r="GZ266"/>
  <c r="HA266"/>
  <c r="HB266"/>
  <c r="HC266"/>
  <c r="HD266"/>
  <c r="HE266"/>
  <c r="HF266"/>
  <c r="HG266"/>
  <c r="HH266"/>
  <c r="HI266"/>
  <c r="HJ266"/>
  <c r="HK266"/>
  <c r="HL266"/>
  <c r="HM266"/>
  <c r="HN266"/>
  <c r="HO266"/>
  <c r="HP266"/>
  <c r="HQ266"/>
  <c r="HR266"/>
  <c r="HS266"/>
  <c r="HT266"/>
  <c r="HU266"/>
  <c r="HV266"/>
  <c r="HW266"/>
  <c r="HX266"/>
  <c r="HY266"/>
  <c r="HZ266"/>
  <c r="IA266"/>
  <c r="IB266"/>
  <c r="IC266"/>
  <c r="ID266"/>
  <c r="IE266"/>
  <c r="IF266"/>
  <c r="IG266"/>
  <c r="IH266"/>
  <c r="II266"/>
  <c r="IJ266"/>
  <c r="IK266"/>
  <c r="IL266"/>
  <c r="IM266"/>
  <c r="IN266"/>
  <c r="IO266"/>
  <c r="IP266"/>
  <c r="IQ266"/>
  <c r="IR266"/>
  <c r="IS266"/>
  <c r="IT266"/>
  <c r="IU266"/>
  <c r="IV266"/>
  <c r="A267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Z267"/>
  <c r="AA267"/>
  <c r="AB267"/>
  <c r="AC267"/>
  <c r="AD267"/>
  <c r="AE267"/>
  <c r="AF267"/>
  <c r="AG267"/>
  <c r="AH267"/>
  <c r="AI267"/>
  <c r="AJ267"/>
  <c r="AK267"/>
  <c r="AL267"/>
  <c r="AM267"/>
  <c r="AN267"/>
  <c r="AO267"/>
  <c r="AP267"/>
  <c r="AQ267"/>
  <c r="AR267"/>
  <c r="AS267"/>
  <c r="AT267"/>
  <c r="AU267"/>
  <c r="AV267"/>
  <c r="AW267"/>
  <c r="AX267"/>
  <c r="AY267"/>
  <c r="AZ267"/>
  <c r="BA267"/>
  <c r="BB267"/>
  <c r="BC267"/>
  <c r="BD267"/>
  <c r="BE267"/>
  <c r="BF267"/>
  <c r="BG267"/>
  <c r="BH267"/>
  <c r="BI267"/>
  <c r="BJ267"/>
  <c r="BK267"/>
  <c r="BL267"/>
  <c r="BM267"/>
  <c r="BN267"/>
  <c r="BO267"/>
  <c r="BP267"/>
  <c r="BQ267"/>
  <c r="BR267"/>
  <c r="BS267"/>
  <c r="BT267"/>
  <c r="BU267"/>
  <c r="BV267"/>
  <c r="BW267"/>
  <c r="BX267"/>
  <c r="BY267"/>
  <c r="BZ267"/>
  <c r="CA267"/>
  <c r="CB267"/>
  <c r="CC267"/>
  <c r="CD267"/>
  <c r="CE267"/>
  <c r="CF267"/>
  <c r="CG267"/>
  <c r="CH267"/>
  <c r="CI267"/>
  <c r="CJ267"/>
  <c r="CK267"/>
  <c r="CL267"/>
  <c r="CM267"/>
  <c r="CN267"/>
  <c r="CO267"/>
  <c r="CP267"/>
  <c r="CQ267"/>
  <c r="CR267"/>
  <c r="CS267"/>
  <c r="CT267"/>
  <c r="CU267"/>
  <c r="CV267"/>
  <c r="CW267"/>
  <c r="CX267"/>
  <c r="CY267"/>
  <c r="CZ267"/>
  <c r="DA267"/>
  <c r="DB267"/>
  <c r="DC267"/>
  <c r="DD267"/>
  <c r="DE267"/>
  <c r="DF267"/>
  <c r="DG267"/>
  <c r="DH267"/>
  <c r="DI267"/>
  <c r="DJ267"/>
  <c r="DK267"/>
  <c r="DL267"/>
  <c r="DM267"/>
  <c r="DN267"/>
  <c r="DO267"/>
  <c r="DP267"/>
  <c r="DQ267"/>
  <c r="DR267"/>
  <c r="DS267"/>
  <c r="DT267"/>
  <c r="DU267"/>
  <c r="DV267"/>
  <c r="DW267"/>
  <c r="DX267"/>
  <c r="DY267"/>
  <c r="DZ267"/>
  <c r="EA267"/>
  <c r="EB267"/>
  <c r="EC267"/>
  <c r="ED267"/>
  <c r="EE267"/>
  <c r="EF267"/>
  <c r="EG267"/>
  <c r="EH267"/>
  <c r="EI267"/>
  <c r="EJ267"/>
  <c r="EK267"/>
  <c r="EL267"/>
  <c r="EM267"/>
  <c r="EN267"/>
  <c r="EO267"/>
  <c r="EP267"/>
  <c r="EQ267"/>
  <c r="ER267"/>
  <c r="ES267"/>
  <c r="ET267"/>
  <c r="EU267"/>
  <c r="EV267"/>
  <c r="EW267"/>
  <c r="EX267"/>
  <c r="EY267"/>
  <c r="EZ267"/>
  <c r="FA267"/>
  <c r="FB267"/>
  <c r="FC267"/>
  <c r="FD267"/>
  <c r="FE267"/>
  <c r="FF267"/>
  <c r="FG267"/>
  <c r="FH267"/>
  <c r="FI267"/>
  <c r="FJ267"/>
  <c r="FK267"/>
  <c r="FL267"/>
  <c r="FM267"/>
  <c r="FN267"/>
  <c r="FO267"/>
  <c r="FP267"/>
  <c r="FQ267"/>
  <c r="FR267"/>
  <c r="FS267"/>
  <c r="FT267"/>
  <c r="FU267"/>
  <c r="FV267"/>
  <c r="FW267"/>
  <c r="FX267"/>
  <c r="FY267"/>
  <c r="FZ267"/>
  <c r="GA267"/>
  <c r="GB267"/>
  <c r="GC267"/>
  <c r="GD267"/>
  <c r="GE267"/>
  <c r="GF267"/>
  <c r="GG267"/>
  <c r="GH267"/>
  <c r="GI267"/>
  <c r="GJ267"/>
  <c r="GK267"/>
  <c r="GL267"/>
  <c r="GM267"/>
  <c r="GN267"/>
  <c r="GO267"/>
  <c r="GP267"/>
  <c r="GQ267"/>
  <c r="GR267"/>
  <c r="GS267"/>
  <c r="GT267"/>
  <c r="GU267"/>
  <c r="GV267"/>
  <c r="GW267"/>
  <c r="GX267"/>
  <c r="GY267"/>
  <c r="GZ267"/>
  <c r="HA267"/>
  <c r="HB267"/>
  <c r="HC267"/>
  <c r="HD267"/>
  <c r="HE267"/>
  <c r="HF267"/>
  <c r="HG267"/>
  <c r="HH267"/>
  <c r="HI267"/>
  <c r="HJ267"/>
  <c r="HK267"/>
  <c r="HL267"/>
  <c r="HM267"/>
  <c r="HN267"/>
  <c r="HO267"/>
  <c r="HP267"/>
  <c r="HQ267"/>
  <c r="HR267"/>
  <c r="HS267"/>
  <c r="HT267"/>
  <c r="HU267"/>
  <c r="HV267"/>
  <c r="HW267"/>
  <c r="HX267"/>
  <c r="HY267"/>
  <c r="HZ267"/>
  <c r="IA267"/>
  <c r="IB267"/>
  <c r="IC267"/>
  <c r="ID267"/>
  <c r="IE267"/>
  <c r="IF267"/>
  <c r="IG267"/>
  <c r="IH267"/>
  <c r="II267"/>
  <c r="IJ267"/>
  <c r="IK267"/>
  <c r="IL267"/>
  <c r="IM267"/>
  <c r="IN267"/>
  <c r="IO267"/>
  <c r="IP267"/>
  <c r="IQ267"/>
  <c r="IR267"/>
  <c r="IS267"/>
  <c r="IT267"/>
  <c r="IU267"/>
  <c r="IV267"/>
  <c r="A268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Z268"/>
  <c r="AA268"/>
  <c r="AB268"/>
  <c r="AC268"/>
  <c r="AD268"/>
  <c r="AE268"/>
  <c r="AF268"/>
  <c r="AG268"/>
  <c r="AH268"/>
  <c r="AI268"/>
  <c r="AJ268"/>
  <c r="AK268"/>
  <c r="AL268"/>
  <c r="AM268"/>
  <c r="AN268"/>
  <c r="AO268"/>
  <c r="AP268"/>
  <c r="AQ268"/>
  <c r="AR268"/>
  <c r="AS268"/>
  <c r="AT268"/>
  <c r="AU268"/>
  <c r="AV268"/>
  <c r="AW268"/>
  <c r="AX268"/>
  <c r="AY268"/>
  <c r="AZ268"/>
  <c r="BA268"/>
  <c r="BB268"/>
  <c r="BC268"/>
  <c r="BD268"/>
  <c r="BE268"/>
  <c r="BF268"/>
  <c r="BG268"/>
  <c r="BH268"/>
  <c r="BI268"/>
  <c r="BJ268"/>
  <c r="BK268"/>
  <c r="BL268"/>
  <c r="BM268"/>
  <c r="BN268"/>
  <c r="BO268"/>
  <c r="BP268"/>
  <c r="BQ268"/>
  <c r="BR268"/>
  <c r="BS268"/>
  <c r="BT268"/>
  <c r="BU268"/>
  <c r="BV268"/>
  <c r="BW268"/>
  <c r="BX268"/>
  <c r="BY268"/>
  <c r="BZ268"/>
  <c r="CA268"/>
  <c r="CB268"/>
  <c r="CC268"/>
  <c r="CD268"/>
  <c r="CE268"/>
  <c r="CF268"/>
  <c r="CG268"/>
  <c r="CH268"/>
  <c r="CI268"/>
  <c r="CJ268"/>
  <c r="CK268"/>
  <c r="CL268"/>
  <c r="CM268"/>
  <c r="CN268"/>
  <c r="CO268"/>
  <c r="CP268"/>
  <c r="CQ268"/>
  <c r="CR268"/>
  <c r="CS268"/>
  <c r="CT268"/>
  <c r="CU268"/>
  <c r="CV268"/>
  <c r="CW268"/>
  <c r="CX268"/>
  <c r="CY268"/>
  <c r="CZ268"/>
  <c r="DA268"/>
  <c r="DB268"/>
  <c r="DC268"/>
  <c r="DD268"/>
  <c r="DE268"/>
  <c r="DF268"/>
  <c r="DG268"/>
  <c r="DH268"/>
  <c r="DI268"/>
  <c r="DJ268"/>
  <c r="DK268"/>
  <c r="DL268"/>
  <c r="DM268"/>
  <c r="DN268"/>
  <c r="DO268"/>
  <c r="DP268"/>
  <c r="DQ268"/>
  <c r="DR268"/>
  <c r="DS268"/>
  <c r="DT268"/>
  <c r="DU268"/>
  <c r="DV268"/>
  <c r="DW268"/>
  <c r="DX268"/>
  <c r="DY268"/>
  <c r="DZ268"/>
  <c r="EA268"/>
  <c r="EB268"/>
  <c r="EC268"/>
  <c r="ED268"/>
  <c r="EE268"/>
  <c r="EF268"/>
  <c r="EG268"/>
  <c r="EH268"/>
  <c r="EI268"/>
  <c r="EJ268"/>
  <c r="EK268"/>
  <c r="EL268"/>
  <c r="EM268"/>
  <c r="EN268"/>
  <c r="EO268"/>
  <c r="EP268"/>
  <c r="EQ268"/>
  <c r="ER268"/>
  <c r="ES268"/>
  <c r="ET268"/>
  <c r="EU268"/>
  <c r="EV268"/>
  <c r="EW268"/>
  <c r="EX268"/>
  <c r="EY268"/>
  <c r="EZ268"/>
  <c r="FA268"/>
  <c r="FB268"/>
  <c r="FC268"/>
  <c r="FD268"/>
  <c r="FE268"/>
  <c r="FF268"/>
  <c r="FG268"/>
  <c r="FH268"/>
  <c r="FI268"/>
  <c r="FJ268"/>
  <c r="FK268"/>
  <c r="FL268"/>
  <c r="FM268"/>
  <c r="FN268"/>
  <c r="FO268"/>
  <c r="FP268"/>
  <c r="FQ268"/>
  <c r="FR268"/>
  <c r="FS268"/>
  <c r="FT268"/>
  <c r="FU268"/>
  <c r="FV268"/>
  <c r="FW268"/>
  <c r="FX268"/>
  <c r="FY268"/>
  <c r="FZ268"/>
  <c r="GA268"/>
  <c r="GB268"/>
  <c r="GC268"/>
  <c r="GD268"/>
  <c r="GE268"/>
  <c r="GF268"/>
  <c r="GG268"/>
  <c r="GH268"/>
  <c r="GI268"/>
  <c r="GJ268"/>
  <c r="GK268"/>
  <c r="GL268"/>
  <c r="GM268"/>
  <c r="GN268"/>
  <c r="GO268"/>
  <c r="GP268"/>
  <c r="GQ268"/>
  <c r="GR268"/>
  <c r="GS268"/>
  <c r="GT268"/>
  <c r="GU268"/>
  <c r="GV268"/>
  <c r="GW268"/>
  <c r="GX268"/>
  <c r="GY268"/>
  <c r="GZ268"/>
  <c r="HA268"/>
  <c r="HB268"/>
  <c r="HC268"/>
  <c r="HD268"/>
  <c r="HE268"/>
  <c r="HF268"/>
  <c r="HG268"/>
  <c r="HH268"/>
  <c r="HI268"/>
  <c r="HJ268"/>
  <c r="HK268"/>
  <c r="HL268"/>
  <c r="HM268"/>
  <c r="HN268"/>
  <c r="HO268"/>
  <c r="HP268"/>
  <c r="HQ268"/>
  <c r="HR268"/>
  <c r="HS268"/>
  <c r="HT268"/>
  <c r="HU268"/>
  <c r="HV268"/>
  <c r="HW268"/>
  <c r="HX268"/>
  <c r="HY268"/>
  <c r="HZ268"/>
  <c r="IA268"/>
  <c r="IB268"/>
  <c r="IC268"/>
  <c r="ID268"/>
  <c r="IE268"/>
  <c r="IF268"/>
  <c r="IG268"/>
  <c r="IH268"/>
  <c r="II268"/>
  <c r="IJ268"/>
  <c r="IK268"/>
  <c r="IL268"/>
  <c r="IM268"/>
  <c r="IN268"/>
  <c r="IO268"/>
  <c r="IP268"/>
  <c r="IQ268"/>
  <c r="IR268"/>
  <c r="IS268"/>
  <c r="IT268"/>
  <c r="IU268"/>
  <c r="IV268"/>
  <c r="A269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Z269"/>
  <c r="AA269"/>
  <c r="AB269"/>
  <c r="AC269"/>
  <c r="AD269"/>
  <c r="AE269"/>
  <c r="AF269"/>
  <c r="AG269"/>
  <c r="AH269"/>
  <c r="AI269"/>
  <c r="AJ269"/>
  <c r="AK269"/>
  <c r="AL269"/>
  <c r="AM269"/>
  <c r="AN269"/>
  <c r="AO269"/>
  <c r="AP269"/>
  <c r="AQ269"/>
  <c r="AR269"/>
  <c r="AS269"/>
  <c r="AT269"/>
  <c r="AU269"/>
  <c r="AV269"/>
  <c r="AW269"/>
  <c r="AX269"/>
  <c r="AY269"/>
  <c r="AZ269"/>
  <c r="BA269"/>
  <c r="BB269"/>
  <c r="BC269"/>
  <c r="BD269"/>
  <c r="BE269"/>
  <c r="BF269"/>
  <c r="BG269"/>
  <c r="BH269"/>
  <c r="BI269"/>
  <c r="BJ269"/>
  <c r="BK269"/>
  <c r="BL269"/>
  <c r="BM269"/>
  <c r="BN269"/>
  <c r="BO269"/>
  <c r="BP269"/>
  <c r="BQ269"/>
  <c r="BR269"/>
  <c r="BS269"/>
  <c r="BT269"/>
  <c r="BU269"/>
  <c r="BV269"/>
  <c r="BW269"/>
  <c r="BX269"/>
  <c r="BY269"/>
  <c r="BZ269"/>
  <c r="CA269"/>
  <c r="CB269"/>
  <c r="CC269"/>
  <c r="CD269"/>
  <c r="CE269"/>
  <c r="CF269"/>
  <c r="CG269"/>
  <c r="CH269"/>
  <c r="CI269"/>
  <c r="CJ269"/>
  <c r="CK269"/>
  <c r="CL269"/>
  <c r="CM269"/>
  <c r="CN269"/>
  <c r="CO269"/>
  <c r="CP269"/>
  <c r="CQ269"/>
  <c r="CR269"/>
  <c r="CS269"/>
  <c r="CT269"/>
  <c r="CU269"/>
  <c r="CV269"/>
  <c r="CW269"/>
  <c r="CX269"/>
  <c r="CY269"/>
  <c r="CZ269"/>
  <c r="DA269"/>
  <c r="DB269"/>
  <c r="DC269"/>
  <c r="DD269"/>
  <c r="DE269"/>
  <c r="DF269"/>
  <c r="DG269"/>
  <c r="DH269"/>
  <c r="DI269"/>
  <c r="DJ269"/>
  <c r="DK269"/>
  <c r="DL269"/>
  <c r="DM269"/>
  <c r="DN269"/>
  <c r="DO269"/>
  <c r="DP269"/>
  <c r="DQ269"/>
  <c r="DR269"/>
  <c r="DS269"/>
  <c r="DT269"/>
  <c r="DU269"/>
  <c r="DV269"/>
  <c r="DW269"/>
  <c r="DX269"/>
  <c r="DY269"/>
  <c r="DZ269"/>
  <c r="EA269"/>
  <c r="EB269"/>
  <c r="EC269"/>
  <c r="ED269"/>
  <c r="EE269"/>
  <c r="EF269"/>
  <c r="EG269"/>
  <c r="EH269"/>
  <c r="EI269"/>
  <c r="EJ269"/>
  <c r="EK269"/>
  <c r="EL269"/>
  <c r="EM269"/>
  <c r="EN269"/>
  <c r="EO269"/>
  <c r="EP269"/>
  <c r="EQ269"/>
  <c r="ER269"/>
  <c r="ES269"/>
  <c r="ET269"/>
  <c r="EU269"/>
  <c r="EV269"/>
  <c r="EW269"/>
  <c r="EX269"/>
  <c r="EY269"/>
  <c r="EZ269"/>
  <c r="FA269"/>
  <c r="FB269"/>
  <c r="FC269"/>
  <c r="FD269"/>
  <c r="FE269"/>
  <c r="FF269"/>
  <c r="FG269"/>
  <c r="FH269"/>
  <c r="FI269"/>
  <c r="FJ269"/>
  <c r="FK269"/>
  <c r="FL269"/>
  <c r="FM269"/>
  <c r="FN269"/>
  <c r="FO269"/>
  <c r="FP269"/>
  <c r="FQ269"/>
  <c r="FR269"/>
  <c r="FS269"/>
  <c r="FT269"/>
  <c r="FU269"/>
  <c r="FV269"/>
  <c r="FW269"/>
  <c r="FX269"/>
  <c r="FY269"/>
  <c r="FZ269"/>
  <c r="GA269"/>
  <c r="GB269"/>
  <c r="GC269"/>
  <c r="GD269"/>
  <c r="GE269"/>
  <c r="GF269"/>
  <c r="GG269"/>
  <c r="GH269"/>
  <c r="GI269"/>
  <c r="GJ269"/>
  <c r="GK269"/>
  <c r="GL269"/>
  <c r="GM269"/>
  <c r="GN269"/>
  <c r="GO269"/>
  <c r="GP269"/>
  <c r="GQ269"/>
  <c r="GR269"/>
  <c r="GS269"/>
  <c r="GT269"/>
  <c r="GU269"/>
  <c r="GV269"/>
  <c r="GW269"/>
  <c r="GX269"/>
  <c r="GY269"/>
  <c r="GZ269"/>
  <c r="HA269"/>
  <c r="HB269"/>
  <c r="HC269"/>
  <c r="HD269"/>
  <c r="HE269"/>
  <c r="HF269"/>
  <c r="HG269"/>
  <c r="HH269"/>
  <c r="HI269"/>
  <c r="HJ269"/>
  <c r="HK269"/>
  <c r="HL269"/>
  <c r="HM269"/>
  <c r="HN269"/>
  <c r="HO269"/>
  <c r="HP269"/>
  <c r="HQ269"/>
  <c r="HR269"/>
  <c r="HS269"/>
  <c r="HT269"/>
  <c r="HU269"/>
  <c r="HV269"/>
  <c r="HW269"/>
  <c r="HX269"/>
  <c r="HY269"/>
  <c r="HZ269"/>
  <c r="IA269"/>
  <c r="IB269"/>
  <c r="IC269"/>
  <c r="ID269"/>
  <c r="IE269"/>
  <c r="IF269"/>
  <c r="IG269"/>
  <c r="IH269"/>
  <c r="II269"/>
  <c r="IJ269"/>
  <c r="IK269"/>
  <c r="IL269"/>
  <c r="IM269"/>
  <c r="IN269"/>
  <c r="IO269"/>
  <c r="IP269"/>
  <c r="IQ269"/>
  <c r="IR269"/>
  <c r="IS269"/>
  <c r="IT269"/>
  <c r="IU269"/>
  <c r="IV269"/>
  <c r="A270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Z270"/>
  <c r="AA270"/>
  <c r="AB270"/>
  <c r="AC270"/>
  <c r="AD270"/>
  <c r="AE270"/>
  <c r="AF270"/>
  <c r="AG270"/>
  <c r="AH270"/>
  <c r="AI270"/>
  <c r="AJ270"/>
  <c r="AK270"/>
  <c r="AL270"/>
  <c r="AM270"/>
  <c r="AN270"/>
  <c r="AO270"/>
  <c r="AP270"/>
  <c r="AQ270"/>
  <c r="AR270"/>
  <c r="AS270"/>
  <c r="AT270"/>
  <c r="AU270"/>
  <c r="AV270"/>
  <c r="AW270"/>
  <c r="AX270"/>
  <c r="AY270"/>
  <c r="AZ270"/>
  <c r="BA270"/>
  <c r="BB270"/>
  <c r="BC270"/>
  <c r="BD270"/>
  <c r="BE270"/>
  <c r="BF270"/>
  <c r="BG270"/>
  <c r="BH270"/>
  <c r="BI270"/>
  <c r="BJ270"/>
  <c r="BK270"/>
  <c r="BL270"/>
  <c r="BM270"/>
  <c r="BN270"/>
  <c r="BO270"/>
  <c r="BP270"/>
  <c r="BQ270"/>
  <c r="BR270"/>
  <c r="BS270"/>
  <c r="BT270"/>
  <c r="BU270"/>
  <c r="BV270"/>
  <c r="BW270"/>
  <c r="BX270"/>
  <c r="BY270"/>
  <c r="BZ270"/>
  <c r="CA270"/>
  <c r="CB270"/>
  <c r="CC270"/>
  <c r="CD270"/>
  <c r="CE270"/>
  <c r="CF270"/>
  <c r="CG270"/>
  <c r="CH270"/>
  <c r="CI270"/>
  <c r="CJ270"/>
  <c r="CK270"/>
  <c r="CL270"/>
  <c r="CM270"/>
  <c r="CN270"/>
  <c r="CO270"/>
  <c r="CP270"/>
  <c r="CQ270"/>
  <c r="CR270"/>
  <c r="CS270"/>
  <c r="CT270"/>
  <c r="CU270"/>
  <c r="CV270"/>
  <c r="CW270"/>
  <c r="CX270"/>
  <c r="CY270"/>
  <c r="CZ270"/>
  <c r="DA270"/>
  <c r="DB270"/>
  <c r="DC270"/>
  <c r="DD270"/>
  <c r="DE270"/>
  <c r="DF270"/>
  <c r="DG270"/>
  <c r="DH270"/>
  <c r="DI270"/>
  <c r="DJ270"/>
  <c r="DK270"/>
  <c r="DL270"/>
  <c r="DM270"/>
  <c r="DN270"/>
  <c r="DO270"/>
  <c r="DP270"/>
  <c r="DQ270"/>
  <c r="DR270"/>
  <c r="DS270"/>
  <c r="DT270"/>
  <c r="DU270"/>
  <c r="DV270"/>
  <c r="DW270"/>
  <c r="DX270"/>
  <c r="DY270"/>
  <c r="DZ270"/>
  <c r="EA270"/>
  <c r="EB270"/>
  <c r="EC270"/>
  <c r="ED270"/>
  <c r="EE270"/>
  <c r="EF270"/>
  <c r="EG270"/>
  <c r="EH270"/>
  <c r="EI270"/>
  <c r="EJ270"/>
  <c r="EK270"/>
  <c r="EL270"/>
  <c r="EM270"/>
  <c r="EN270"/>
  <c r="EO270"/>
  <c r="EP270"/>
  <c r="EQ270"/>
  <c r="ER270"/>
  <c r="ES270"/>
  <c r="ET270"/>
  <c r="EU270"/>
  <c r="EV270"/>
  <c r="EW270"/>
  <c r="EX270"/>
  <c r="EY270"/>
  <c r="EZ270"/>
  <c r="FA270"/>
  <c r="FB270"/>
  <c r="FC270"/>
  <c r="FD270"/>
  <c r="FE270"/>
  <c r="FF270"/>
  <c r="FG270"/>
  <c r="FH270"/>
  <c r="FI270"/>
  <c r="FJ270"/>
  <c r="FK270"/>
  <c r="FL270"/>
  <c r="FM270"/>
  <c r="FN270"/>
  <c r="FO270"/>
  <c r="FP270"/>
  <c r="FQ270"/>
  <c r="FR270"/>
  <c r="FS270"/>
  <c r="FT270"/>
  <c r="FU270"/>
  <c r="FV270"/>
  <c r="FW270"/>
  <c r="FX270"/>
  <c r="FY270"/>
  <c r="FZ270"/>
  <c r="GA270"/>
  <c r="GB270"/>
  <c r="GC270"/>
  <c r="GD270"/>
  <c r="GE270"/>
  <c r="GF270"/>
  <c r="GG270"/>
  <c r="GH270"/>
  <c r="GI270"/>
  <c r="GJ270"/>
  <c r="GK270"/>
  <c r="GL270"/>
  <c r="GM270"/>
  <c r="GN270"/>
  <c r="GO270"/>
  <c r="GP270"/>
  <c r="GQ270"/>
  <c r="GR270"/>
  <c r="GS270"/>
  <c r="GT270"/>
  <c r="GU270"/>
  <c r="GV270"/>
  <c r="GW270"/>
  <c r="GX270"/>
  <c r="GY270"/>
  <c r="GZ270"/>
  <c r="HA270"/>
  <c r="HB270"/>
  <c r="HC270"/>
  <c r="HD270"/>
  <c r="HE270"/>
  <c r="HF270"/>
  <c r="HG270"/>
  <c r="HH270"/>
  <c r="HI270"/>
  <c r="HJ270"/>
  <c r="HK270"/>
  <c r="HL270"/>
  <c r="HM270"/>
  <c r="HN270"/>
  <c r="HO270"/>
  <c r="HP270"/>
  <c r="HQ270"/>
  <c r="HR270"/>
  <c r="HS270"/>
  <c r="HT270"/>
  <c r="HU270"/>
  <c r="HV270"/>
  <c r="HW270"/>
  <c r="HX270"/>
  <c r="HY270"/>
  <c r="HZ270"/>
  <c r="IA270"/>
  <c r="IB270"/>
  <c r="IC270"/>
  <c r="ID270"/>
  <c r="IE270"/>
  <c r="IF270"/>
  <c r="IG270"/>
  <c r="IH270"/>
  <c r="II270"/>
  <c r="IJ270"/>
  <c r="IK270"/>
  <c r="IL270"/>
  <c r="IM270"/>
  <c r="IN270"/>
  <c r="IO270"/>
  <c r="IP270"/>
  <c r="IQ270"/>
  <c r="IR270"/>
  <c r="IS270"/>
  <c r="IT270"/>
  <c r="IU270"/>
  <c r="IV270"/>
  <c r="A271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Z271"/>
  <c r="AA271"/>
  <c r="AB271"/>
  <c r="AC271"/>
  <c r="AD271"/>
  <c r="AE271"/>
  <c r="AF271"/>
  <c r="AG271"/>
  <c r="AH271"/>
  <c r="AI271"/>
  <c r="AJ271"/>
  <c r="AK271"/>
  <c r="AL271"/>
  <c r="AM271"/>
  <c r="AN271"/>
  <c r="AO271"/>
  <c r="AP271"/>
  <c r="AQ271"/>
  <c r="AR271"/>
  <c r="AS271"/>
  <c r="AT271"/>
  <c r="AU271"/>
  <c r="AV271"/>
  <c r="AW271"/>
  <c r="AX271"/>
  <c r="AY271"/>
  <c r="AZ271"/>
  <c r="BA271"/>
  <c r="BB271"/>
  <c r="BC271"/>
  <c r="BD271"/>
  <c r="BE271"/>
  <c r="BF271"/>
  <c r="BG271"/>
  <c r="BH271"/>
  <c r="BI271"/>
  <c r="BJ271"/>
  <c r="BK271"/>
  <c r="BL271"/>
  <c r="BM271"/>
  <c r="BN271"/>
  <c r="BO271"/>
  <c r="BP271"/>
  <c r="BQ271"/>
  <c r="BR271"/>
  <c r="BS271"/>
  <c r="BT271"/>
  <c r="BU271"/>
  <c r="BV271"/>
  <c r="BW271"/>
  <c r="BX271"/>
  <c r="BY271"/>
  <c r="BZ271"/>
  <c r="CA271"/>
  <c r="CB271"/>
  <c r="CC271"/>
  <c r="CD271"/>
  <c r="CE271"/>
  <c r="CF271"/>
  <c r="CG271"/>
  <c r="CH271"/>
  <c r="CI271"/>
  <c r="CJ271"/>
  <c r="CK271"/>
  <c r="CL271"/>
  <c r="CM271"/>
  <c r="CN271"/>
  <c r="CO271"/>
  <c r="CP271"/>
  <c r="CQ271"/>
  <c r="CR271"/>
  <c r="CS271"/>
  <c r="CT271"/>
  <c r="CU271"/>
  <c r="CV271"/>
  <c r="CW271"/>
  <c r="CX271"/>
  <c r="CY271"/>
  <c r="CZ271"/>
  <c r="DA271"/>
  <c r="DB271"/>
  <c r="DC271"/>
  <c r="DD271"/>
  <c r="DE271"/>
  <c r="DF271"/>
  <c r="DG271"/>
  <c r="DH271"/>
  <c r="DI271"/>
  <c r="DJ271"/>
  <c r="DK271"/>
  <c r="DL271"/>
  <c r="DM271"/>
  <c r="DN271"/>
  <c r="DO271"/>
  <c r="DP271"/>
  <c r="DQ271"/>
  <c r="DR271"/>
  <c r="DS271"/>
  <c r="DT271"/>
  <c r="DU271"/>
  <c r="DV271"/>
  <c r="DW271"/>
  <c r="DX271"/>
  <c r="DY271"/>
  <c r="DZ271"/>
  <c r="EA271"/>
  <c r="EB271"/>
  <c r="EC271"/>
  <c r="ED271"/>
  <c r="EE271"/>
  <c r="EF271"/>
  <c r="EG271"/>
  <c r="EH271"/>
  <c r="EI271"/>
  <c r="EJ271"/>
  <c r="EK271"/>
  <c r="EL271"/>
  <c r="EM271"/>
  <c r="EN271"/>
  <c r="EO271"/>
  <c r="EP271"/>
  <c r="EQ271"/>
  <c r="ER271"/>
  <c r="ES271"/>
  <c r="ET271"/>
  <c r="EU271"/>
  <c r="EV271"/>
  <c r="EW271"/>
  <c r="EX271"/>
  <c r="EY271"/>
  <c r="EZ271"/>
  <c r="FA271"/>
  <c r="FB271"/>
  <c r="FC271"/>
  <c r="FD271"/>
  <c r="FE271"/>
  <c r="FF271"/>
  <c r="FG271"/>
  <c r="FH271"/>
  <c r="FI271"/>
  <c r="FJ271"/>
  <c r="FK271"/>
  <c r="FL271"/>
  <c r="FM271"/>
  <c r="FN271"/>
  <c r="FO271"/>
  <c r="FP271"/>
  <c r="FQ271"/>
  <c r="FR271"/>
  <c r="FS271"/>
  <c r="FT271"/>
  <c r="FU271"/>
  <c r="FV271"/>
  <c r="FW271"/>
  <c r="FX271"/>
  <c r="FY271"/>
  <c r="FZ271"/>
  <c r="GA271"/>
  <c r="GB271"/>
  <c r="GC271"/>
  <c r="GD271"/>
  <c r="GE271"/>
  <c r="GF271"/>
  <c r="GG271"/>
  <c r="GH271"/>
  <c r="GI271"/>
  <c r="GJ271"/>
  <c r="GK271"/>
  <c r="GL271"/>
  <c r="GM271"/>
  <c r="GN271"/>
  <c r="GO271"/>
  <c r="GP271"/>
  <c r="GQ271"/>
  <c r="GR271"/>
  <c r="GS271"/>
  <c r="GT271"/>
  <c r="GU271"/>
  <c r="GV271"/>
  <c r="GW271"/>
  <c r="GX271"/>
  <c r="GY271"/>
  <c r="GZ271"/>
  <c r="HA271"/>
  <c r="HB271"/>
  <c r="HC271"/>
  <c r="HD271"/>
  <c r="HE271"/>
  <c r="HF271"/>
  <c r="HG271"/>
  <c r="HH271"/>
  <c r="HI271"/>
  <c r="HJ271"/>
  <c r="HK271"/>
  <c r="HL271"/>
  <c r="HM271"/>
  <c r="HN271"/>
  <c r="HO271"/>
  <c r="HP271"/>
  <c r="HQ271"/>
  <c r="HR271"/>
  <c r="HS271"/>
  <c r="HT271"/>
  <c r="HU271"/>
  <c r="HV271"/>
  <c r="HW271"/>
  <c r="HX271"/>
  <c r="HY271"/>
  <c r="HZ271"/>
  <c r="IA271"/>
  <c r="IB271"/>
  <c r="IC271"/>
  <c r="ID271"/>
  <c r="IE271"/>
  <c r="IF271"/>
  <c r="IG271"/>
  <c r="IH271"/>
  <c r="II271"/>
  <c r="IJ271"/>
  <c r="IK271"/>
  <c r="IL271"/>
  <c r="IM271"/>
  <c r="IN271"/>
  <c r="IO271"/>
  <c r="IP271"/>
  <c r="IQ271"/>
  <c r="IR271"/>
  <c r="IS271"/>
  <c r="IT271"/>
  <c r="IU271"/>
  <c r="IV271"/>
  <c r="A272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Z272"/>
  <c r="AA272"/>
  <c r="AB272"/>
  <c r="AC272"/>
  <c r="AD272"/>
  <c r="AE272"/>
  <c r="AF272"/>
  <c r="AG272"/>
  <c r="AH272"/>
  <c r="AI272"/>
  <c r="AJ272"/>
  <c r="AK272"/>
  <c r="AL272"/>
  <c r="AM272"/>
  <c r="AN272"/>
  <c r="AO272"/>
  <c r="AP272"/>
  <c r="AQ272"/>
  <c r="AR272"/>
  <c r="AS272"/>
  <c r="AT272"/>
  <c r="AU272"/>
  <c r="AV272"/>
  <c r="AW272"/>
  <c r="AX272"/>
  <c r="AY272"/>
  <c r="AZ272"/>
  <c r="BA272"/>
  <c r="BB272"/>
  <c r="BC272"/>
  <c r="BD272"/>
  <c r="BE272"/>
  <c r="BF272"/>
  <c r="BG272"/>
  <c r="BH272"/>
  <c r="BI272"/>
  <c r="BJ272"/>
  <c r="BK272"/>
  <c r="BL272"/>
  <c r="BM272"/>
  <c r="BN272"/>
  <c r="BO272"/>
  <c r="BP272"/>
  <c r="BQ272"/>
  <c r="BR272"/>
  <c r="BS272"/>
  <c r="BT272"/>
  <c r="BU272"/>
  <c r="BV272"/>
  <c r="BW272"/>
  <c r="BX272"/>
  <c r="BY272"/>
  <c r="BZ272"/>
  <c r="CA272"/>
  <c r="CB272"/>
  <c r="CC272"/>
  <c r="CD272"/>
  <c r="CE272"/>
  <c r="CF272"/>
  <c r="CG272"/>
  <c r="CH272"/>
  <c r="CI272"/>
  <c r="CJ272"/>
  <c r="CK272"/>
  <c r="CL272"/>
  <c r="CM272"/>
  <c r="CN272"/>
  <c r="CO272"/>
  <c r="CP272"/>
  <c r="CQ272"/>
  <c r="CR272"/>
  <c r="CS272"/>
  <c r="CT272"/>
  <c r="CU272"/>
  <c r="CV272"/>
  <c r="CW272"/>
  <c r="CX272"/>
  <c r="CY272"/>
  <c r="CZ272"/>
  <c r="DA272"/>
  <c r="DB272"/>
  <c r="DC272"/>
  <c r="DD272"/>
  <c r="DE272"/>
  <c r="DF272"/>
  <c r="DG272"/>
  <c r="DH272"/>
  <c r="DI272"/>
  <c r="DJ272"/>
  <c r="DK272"/>
  <c r="DL272"/>
  <c r="DM272"/>
  <c r="DN272"/>
  <c r="DO272"/>
  <c r="DP272"/>
  <c r="DQ272"/>
  <c r="DR272"/>
  <c r="DS272"/>
  <c r="DT272"/>
  <c r="DU272"/>
  <c r="DV272"/>
  <c r="DW272"/>
  <c r="DX272"/>
  <c r="DY272"/>
  <c r="DZ272"/>
  <c r="EA272"/>
  <c r="EB272"/>
  <c r="EC272"/>
  <c r="ED272"/>
  <c r="EE272"/>
  <c r="EF272"/>
  <c r="EG272"/>
  <c r="EH272"/>
  <c r="EI272"/>
  <c r="EJ272"/>
  <c r="EK272"/>
  <c r="EL272"/>
  <c r="EM272"/>
  <c r="EN272"/>
  <c r="EO272"/>
  <c r="EP272"/>
  <c r="EQ272"/>
  <c r="ER272"/>
  <c r="ES272"/>
  <c r="ET272"/>
  <c r="EU272"/>
  <c r="EV272"/>
  <c r="EW272"/>
  <c r="EX272"/>
  <c r="EY272"/>
  <c r="EZ272"/>
  <c r="FA272"/>
  <c r="FB272"/>
  <c r="FC272"/>
  <c r="FD272"/>
  <c r="FE272"/>
  <c r="FF272"/>
  <c r="FG272"/>
  <c r="FH272"/>
  <c r="FI272"/>
  <c r="FJ272"/>
  <c r="FK272"/>
  <c r="FL272"/>
  <c r="FM272"/>
  <c r="FN272"/>
  <c r="FO272"/>
  <c r="FP272"/>
  <c r="FQ272"/>
  <c r="FR272"/>
  <c r="FS272"/>
  <c r="FT272"/>
  <c r="FU272"/>
  <c r="FV272"/>
  <c r="FW272"/>
  <c r="FX272"/>
  <c r="FY272"/>
  <c r="FZ272"/>
  <c r="GA272"/>
  <c r="GB272"/>
  <c r="GC272"/>
  <c r="GD272"/>
  <c r="GE272"/>
  <c r="GF272"/>
  <c r="GG272"/>
  <c r="GH272"/>
  <c r="GI272"/>
  <c r="GJ272"/>
  <c r="GK272"/>
  <c r="GL272"/>
  <c r="GM272"/>
  <c r="GN272"/>
  <c r="GO272"/>
  <c r="GP272"/>
  <c r="GQ272"/>
  <c r="GR272"/>
  <c r="GS272"/>
  <c r="GT272"/>
  <c r="GU272"/>
  <c r="GV272"/>
  <c r="GW272"/>
  <c r="GX272"/>
  <c r="GY272"/>
  <c r="GZ272"/>
  <c r="HA272"/>
  <c r="HB272"/>
  <c r="HC272"/>
  <c r="HD272"/>
  <c r="HE272"/>
  <c r="HF272"/>
  <c r="HG272"/>
  <c r="HH272"/>
  <c r="HI272"/>
  <c r="HJ272"/>
  <c r="HK272"/>
  <c r="HL272"/>
  <c r="HM272"/>
  <c r="HN272"/>
  <c r="HO272"/>
  <c r="HP272"/>
  <c r="HQ272"/>
  <c r="HR272"/>
  <c r="HS272"/>
  <c r="HT272"/>
  <c r="HU272"/>
  <c r="HV272"/>
  <c r="HW272"/>
  <c r="HX272"/>
  <c r="HY272"/>
  <c r="HZ272"/>
  <c r="IA272"/>
  <c r="IB272"/>
  <c r="IC272"/>
  <c r="ID272"/>
  <c r="IE272"/>
  <c r="IF272"/>
  <c r="IG272"/>
  <c r="IH272"/>
  <c r="II272"/>
  <c r="IJ272"/>
  <c r="IK272"/>
  <c r="IL272"/>
  <c r="IM272"/>
  <c r="IN272"/>
  <c r="IO272"/>
  <c r="IP272"/>
  <c r="IQ272"/>
  <c r="IR272"/>
  <c r="IS272"/>
  <c r="IT272"/>
  <c r="IU272"/>
  <c r="IV272"/>
  <c r="A273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Z273"/>
  <c r="AA273"/>
  <c r="AB273"/>
  <c r="AC273"/>
  <c r="AD273"/>
  <c r="AE273"/>
  <c r="AF273"/>
  <c r="AG273"/>
  <c r="AH273"/>
  <c r="AI273"/>
  <c r="AJ273"/>
  <c r="AK273"/>
  <c r="AL273"/>
  <c r="AM273"/>
  <c r="AN273"/>
  <c r="AO273"/>
  <c r="AP273"/>
  <c r="AQ273"/>
  <c r="AR273"/>
  <c r="AS273"/>
  <c r="AT273"/>
  <c r="AU273"/>
  <c r="AV273"/>
  <c r="AW273"/>
  <c r="AX273"/>
  <c r="AY273"/>
  <c r="AZ273"/>
  <c r="BA273"/>
  <c r="BB273"/>
  <c r="BC273"/>
  <c r="BD273"/>
  <c r="BE273"/>
  <c r="BF273"/>
  <c r="BG273"/>
  <c r="BH273"/>
  <c r="BI273"/>
  <c r="BJ273"/>
  <c r="BK273"/>
  <c r="BL273"/>
  <c r="BM273"/>
  <c r="BN273"/>
  <c r="BO273"/>
  <c r="BP273"/>
  <c r="BQ273"/>
  <c r="BR273"/>
  <c r="BS273"/>
  <c r="BT273"/>
  <c r="BU273"/>
  <c r="BV273"/>
  <c r="BW273"/>
  <c r="BX273"/>
  <c r="BY273"/>
  <c r="BZ273"/>
  <c r="CA273"/>
  <c r="CB273"/>
  <c r="CC273"/>
  <c r="CD273"/>
  <c r="CE273"/>
  <c r="CF273"/>
  <c r="CG273"/>
  <c r="CH273"/>
  <c r="CI273"/>
  <c r="CJ273"/>
  <c r="CK273"/>
  <c r="CL273"/>
  <c r="CM273"/>
  <c r="CN273"/>
  <c r="CO273"/>
  <c r="CP273"/>
  <c r="CQ273"/>
  <c r="CR273"/>
  <c r="CS273"/>
  <c r="CT273"/>
  <c r="CU273"/>
  <c r="CV273"/>
  <c r="CW273"/>
  <c r="CX273"/>
  <c r="CY273"/>
  <c r="CZ273"/>
  <c r="DA273"/>
  <c r="DB273"/>
  <c r="DC273"/>
  <c r="DD273"/>
  <c r="DE273"/>
  <c r="DF273"/>
  <c r="DG273"/>
  <c r="DH273"/>
  <c r="DI273"/>
  <c r="DJ273"/>
  <c r="DK273"/>
  <c r="DL273"/>
  <c r="DM273"/>
  <c r="DN273"/>
  <c r="DO273"/>
  <c r="DP273"/>
  <c r="DQ273"/>
  <c r="DR273"/>
  <c r="DS273"/>
  <c r="DT273"/>
  <c r="DU273"/>
  <c r="DV273"/>
  <c r="DW273"/>
  <c r="DX273"/>
  <c r="DY273"/>
  <c r="DZ273"/>
  <c r="EA273"/>
  <c r="EB273"/>
  <c r="EC273"/>
  <c r="ED273"/>
  <c r="EE273"/>
  <c r="EF273"/>
  <c r="EG273"/>
  <c r="EH273"/>
  <c r="EI273"/>
  <c r="EJ273"/>
  <c r="EK273"/>
  <c r="EL273"/>
  <c r="EM273"/>
  <c r="EN273"/>
  <c r="EO273"/>
  <c r="EP273"/>
  <c r="EQ273"/>
  <c r="ER273"/>
  <c r="ES273"/>
  <c r="ET273"/>
  <c r="EU273"/>
  <c r="EV273"/>
  <c r="EW273"/>
  <c r="EX273"/>
  <c r="EY273"/>
  <c r="EZ273"/>
  <c r="FA273"/>
  <c r="FB273"/>
  <c r="FC273"/>
  <c r="FD273"/>
  <c r="FE273"/>
  <c r="FF273"/>
  <c r="FG273"/>
  <c r="FH273"/>
  <c r="FI273"/>
  <c r="FJ273"/>
  <c r="FK273"/>
  <c r="FL273"/>
  <c r="FM273"/>
  <c r="FN273"/>
  <c r="FO273"/>
  <c r="FP273"/>
  <c r="FQ273"/>
  <c r="FR273"/>
  <c r="FS273"/>
  <c r="FT273"/>
  <c r="FU273"/>
  <c r="FV273"/>
  <c r="FW273"/>
  <c r="FX273"/>
  <c r="FY273"/>
  <c r="FZ273"/>
  <c r="GA273"/>
  <c r="GB273"/>
  <c r="GC273"/>
  <c r="GD273"/>
  <c r="GE273"/>
  <c r="GF273"/>
  <c r="GG273"/>
  <c r="GH273"/>
  <c r="GI273"/>
  <c r="GJ273"/>
  <c r="GK273"/>
  <c r="GL273"/>
  <c r="GM273"/>
  <c r="GN273"/>
  <c r="GO273"/>
  <c r="GP273"/>
  <c r="GQ273"/>
  <c r="GR273"/>
  <c r="GS273"/>
  <c r="GT273"/>
  <c r="GU273"/>
  <c r="GV273"/>
  <c r="GW273"/>
  <c r="GX273"/>
  <c r="GY273"/>
  <c r="GZ273"/>
  <c r="HA273"/>
  <c r="HB273"/>
  <c r="HC273"/>
  <c r="HD273"/>
  <c r="HE273"/>
  <c r="HF273"/>
  <c r="HG273"/>
  <c r="HH273"/>
  <c r="HI273"/>
  <c r="HJ273"/>
  <c r="HK273"/>
  <c r="HL273"/>
  <c r="HM273"/>
  <c r="HN273"/>
  <c r="HO273"/>
  <c r="HP273"/>
  <c r="HQ273"/>
  <c r="HR273"/>
  <c r="HS273"/>
  <c r="HT273"/>
  <c r="HU273"/>
  <c r="HV273"/>
  <c r="HW273"/>
  <c r="HX273"/>
  <c r="HY273"/>
  <c r="HZ273"/>
  <c r="IA273"/>
  <c r="IB273"/>
  <c r="IC273"/>
  <c r="ID273"/>
  <c r="IE273"/>
  <c r="IF273"/>
  <c r="IG273"/>
  <c r="IH273"/>
  <c r="II273"/>
  <c r="IJ273"/>
  <c r="IK273"/>
  <c r="IL273"/>
  <c r="IM273"/>
  <c r="IN273"/>
  <c r="IO273"/>
  <c r="IP273"/>
  <c r="IQ273"/>
  <c r="IR273"/>
  <c r="IS273"/>
  <c r="IT273"/>
  <c r="IU273"/>
  <c r="IV273"/>
  <c r="A274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Z274"/>
  <c r="AA274"/>
  <c r="AB274"/>
  <c r="AC274"/>
  <c r="AD274"/>
  <c r="AE274"/>
  <c r="AF274"/>
  <c r="AG274"/>
  <c r="AH274"/>
  <c r="AI274"/>
  <c r="AJ274"/>
  <c r="AK274"/>
  <c r="AL274"/>
  <c r="AM274"/>
  <c r="AN274"/>
  <c r="AO274"/>
  <c r="AP274"/>
  <c r="AQ274"/>
  <c r="AR274"/>
  <c r="AS274"/>
  <c r="AT274"/>
  <c r="AU274"/>
  <c r="AV274"/>
  <c r="AW274"/>
  <c r="AX274"/>
  <c r="AY274"/>
  <c r="AZ274"/>
  <c r="BA274"/>
  <c r="BB274"/>
  <c r="BC274"/>
  <c r="BD274"/>
  <c r="BE274"/>
  <c r="BF274"/>
  <c r="BG274"/>
  <c r="BH274"/>
  <c r="BI274"/>
  <c r="BJ274"/>
  <c r="BK274"/>
  <c r="BL274"/>
  <c r="BM274"/>
  <c r="BN274"/>
  <c r="BO274"/>
  <c r="BP274"/>
  <c r="BQ274"/>
  <c r="BR274"/>
  <c r="BS274"/>
  <c r="BT274"/>
  <c r="BU274"/>
  <c r="BV274"/>
  <c r="BW274"/>
  <c r="BX274"/>
  <c r="BY274"/>
  <c r="BZ274"/>
  <c r="CA274"/>
  <c r="CB274"/>
  <c r="CC274"/>
  <c r="CD274"/>
  <c r="CE274"/>
  <c r="CF274"/>
  <c r="CG274"/>
  <c r="CH274"/>
  <c r="CI274"/>
  <c r="CJ274"/>
  <c r="CK274"/>
  <c r="CL274"/>
  <c r="CM274"/>
  <c r="CN274"/>
  <c r="CO274"/>
  <c r="CP274"/>
  <c r="CQ274"/>
  <c r="CR274"/>
  <c r="CS274"/>
  <c r="CT274"/>
  <c r="CU274"/>
  <c r="CV274"/>
  <c r="CW274"/>
  <c r="CX274"/>
  <c r="CY274"/>
  <c r="CZ274"/>
  <c r="DA274"/>
  <c r="DB274"/>
  <c r="DC274"/>
  <c r="DD274"/>
  <c r="DE274"/>
  <c r="DF274"/>
  <c r="DG274"/>
  <c r="DH274"/>
  <c r="DI274"/>
  <c r="DJ274"/>
  <c r="DK274"/>
  <c r="DL274"/>
  <c r="DM274"/>
  <c r="DN274"/>
  <c r="DO274"/>
  <c r="DP274"/>
  <c r="DQ274"/>
  <c r="DR274"/>
  <c r="DS274"/>
  <c r="DT274"/>
  <c r="DU274"/>
  <c r="DV274"/>
  <c r="DW274"/>
  <c r="DX274"/>
  <c r="DY274"/>
  <c r="DZ274"/>
  <c r="EA274"/>
  <c r="EB274"/>
  <c r="EC274"/>
  <c r="ED274"/>
  <c r="EE274"/>
  <c r="EF274"/>
  <c r="EG274"/>
  <c r="EH274"/>
  <c r="EI274"/>
  <c r="EJ274"/>
  <c r="EK274"/>
  <c r="EL274"/>
  <c r="EM274"/>
  <c r="EN274"/>
  <c r="EO274"/>
  <c r="EP274"/>
  <c r="EQ274"/>
  <c r="ER274"/>
  <c r="ES274"/>
  <c r="ET274"/>
  <c r="EU274"/>
  <c r="EV274"/>
  <c r="EW274"/>
  <c r="EX274"/>
  <c r="EY274"/>
  <c r="EZ274"/>
  <c r="FA274"/>
  <c r="FB274"/>
  <c r="FC274"/>
  <c r="FD274"/>
  <c r="FE274"/>
  <c r="FF274"/>
  <c r="FG274"/>
  <c r="FH274"/>
  <c r="FI274"/>
  <c r="FJ274"/>
  <c r="FK274"/>
  <c r="FL274"/>
  <c r="FM274"/>
  <c r="FN274"/>
  <c r="FO274"/>
  <c r="FP274"/>
  <c r="FQ274"/>
  <c r="FR274"/>
  <c r="FS274"/>
  <c r="FT274"/>
  <c r="FU274"/>
  <c r="FV274"/>
  <c r="FW274"/>
  <c r="FX274"/>
  <c r="FY274"/>
  <c r="FZ274"/>
  <c r="GA274"/>
  <c r="GB274"/>
  <c r="GC274"/>
  <c r="GD274"/>
  <c r="GE274"/>
  <c r="GF274"/>
  <c r="GG274"/>
  <c r="GH274"/>
  <c r="GI274"/>
  <c r="GJ274"/>
  <c r="GK274"/>
  <c r="GL274"/>
  <c r="GM274"/>
  <c r="GN274"/>
  <c r="GO274"/>
  <c r="GP274"/>
  <c r="GQ274"/>
  <c r="GR274"/>
  <c r="GS274"/>
  <c r="GT274"/>
  <c r="GU274"/>
  <c r="GV274"/>
  <c r="GW274"/>
  <c r="GX274"/>
  <c r="GY274"/>
  <c r="GZ274"/>
  <c r="HA274"/>
  <c r="HB274"/>
  <c r="HC274"/>
  <c r="HD274"/>
  <c r="HE274"/>
  <c r="HF274"/>
  <c r="HG274"/>
  <c r="HH274"/>
  <c r="HI274"/>
  <c r="HJ274"/>
  <c r="HK274"/>
  <c r="HL274"/>
  <c r="HM274"/>
  <c r="HN274"/>
  <c r="HO274"/>
  <c r="HP274"/>
  <c r="HQ274"/>
  <c r="HR274"/>
  <c r="HS274"/>
  <c r="HT274"/>
  <c r="HU274"/>
  <c r="HV274"/>
  <c r="HW274"/>
  <c r="HX274"/>
  <c r="HY274"/>
  <c r="HZ274"/>
  <c r="IA274"/>
  <c r="IB274"/>
  <c r="IC274"/>
  <c r="ID274"/>
  <c r="IE274"/>
  <c r="IF274"/>
  <c r="IG274"/>
  <c r="IH274"/>
  <c r="II274"/>
  <c r="IJ274"/>
  <c r="IK274"/>
  <c r="IL274"/>
  <c r="IM274"/>
  <c r="IN274"/>
  <c r="IO274"/>
  <c r="IP274"/>
  <c r="IQ274"/>
  <c r="IR274"/>
  <c r="IS274"/>
  <c r="IT274"/>
  <c r="IU274"/>
  <c r="IV274"/>
  <c r="A275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Z275"/>
  <c r="AA275"/>
  <c r="AB275"/>
  <c r="AC275"/>
  <c r="AD275"/>
  <c r="AE275"/>
  <c r="AF275"/>
  <c r="AG275"/>
  <c r="AH275"/>
  <c r="AI275"/>
  <c r="AJ275"/>
  <c r="AK275"/>
  <c r="AL275"/>
  <c r="AM275"/>
  <c r="AN275"/>
  <c r="AO275"/>
  <c r="AP275"/>
  <c r="AQ275"/>
  <c r="AR275"/>
  <c r="AS275"/>
  <c r="AT275"/>
  <c r="AU275"/>
  <c r="AV275"/>
  <c r="AW275"/>
  <c r="AX275"/>
  <c r="AY275"/>
  <c r="AZ275"/>
  <c r="BA275"/>
  <c r="BB275"/>
  <c r="BC275"/>
  <c r="BD275"/>
  <c r="BE275"/>
  <c r="BF275"/>
  <c r="BG275"/>
  <c r="BH275"/>
  <c r="BI275"/>
  <c r="BJ275"/>
  <c r="BK275"/>
  <c r="BL275"/>
  <c r="BM275"/>
  <c r="BN275"/>
  <c r="BO275"/>
  <c r="BP275"/>
  <c r="BQ275"/>
  <c r="BR275"/>
  <c r="BS275"/>
  <c r="BT275"/>
  <c r="BU275"/>
  <c r="BV275"/>
  <c r="BW275"/>
  <c r="BX275"/>
  <c r="BY275"/>
  <c r="BZ275"/>
  <c r="CA275"/>
  <c r="CB275"/>
  <c r="CC275"/>
  <c r="CD275"/>
  <c r="CE275"/>
  <c r="CF275"/>
  <c r="CG275"/>
  <c r="CH275"/>
  <c r="CI275"/>
  <c r="CJ275"/>
  <c r="CK275"/>
  <c r="CL275"/>
  <c r="CM275"/>
  <c r="CN275"/>
  <c r="CO275"/>
  <c r="CP275"/>
  <c r="CQ275"/>
  <c r="CR275"/>
  <c r="CS275"/>
  <c r="CT275"/>
  <c r="CU275"/>
  <c r="CV275"/>
  <c r="CW275"/>
  <c r="CX275"/>
  <c r="CY275"/>
  <c r="CZ275"/>
  <c r="DA275"/>
  <c r="DB275"/>
  <c r="DC275"/>
  <c r="DD275"/>
  <c r="DE275"/>
  <c r="DF275"/>
  <c r="DG275"/>
  <c r="DH275"/>
  <c r="DI275"/>
  <c r="DJ275"/>
  <c r="DK275"/>
  <c r="DL275"/>
  <c r="DM275"/>
  <c r="DN275"/>
  <c r="DO275"/>
  <c r="DP275"/>
  <c r="DQ275"/>
  <c r="DR275"/>
  <c r="DS275"/>
  <c r="DT275"/>
  <c r="DU275"/>
  <c r="DV275"/>
  <c r="DW275"/>
  <c r="DX275"/>
  <c r="DY275"/>
  <c r="DZ275"/>
  <c r="EA275"/>
  <c r="EB275"/>
  <c r="EC275"/>
  <c r="ED275"/>
  <c r="EE275"/>
  <c r="EF275"/>
  <c r="EG275"/>
  <c r="EH275"/>
  <c r="EI275"/>
  <c r="EJ275"/>
  <c r="EK275"/>
  <c r="EL275"/>
  <c r="EM275"/>
  <c r="EN275"/>
  <c r="EO275"/>
  <c r="EP275"/>
  <c r="EQ275"/>
  <c r="ER275"/>
  <c r="ES275"/>
  <c r="ET275"/>
  <c r="EU275"/>
  <c r="EV275"/>
  <c r="EW275"/>
  <c r="EX275"/>
  <c r="EY275"/>
  <c r="EZ275"/>
  <c r="FA275"/>
  <c r="FB275"/>
  <c r="FC275"/>
  <c r="FD275"/>
  <c r="FE275"/>
  <c r="FF275"/>
  <c r="FG275"/>
  <c r="FH275"/>
  <c r="FI275"/>
  <c r="FJ275"/>
  <c r="FK275"/>
  <c r="FL275"/>
  <c r="FM275"/>
  <c r="FN275"/>
  <c r="FO275"/>
  <c r="FP275"/>
  <c r="FQ275"/>
  <c r="FR275"/>
  <c r="FS275"/>
  <c r="FT275"/>
  <c r="FU275"/>
  <c r="FV275"/>
  <c r="FW275"/>
  <c r="FX275"/>
  <c r="FY275"/>
  <c r="FZ275"/>
  <c r="GA275"/>
  <c r="GB275"/>
  <c r="GC275"/>
  <c r="GD275"/>
  <c r="GE275"/>
  <c r="GF275"/>
  <c r="GG275"/>
  <c r="GH275"/>
  <c r="GI275"/>
  <c r="GJ275"/>
  <c r="GK275"/>
  <c r="GL275"/>
  <c r="GM275"/>
  <c r="GN275"/>
  <c r="GO275"/>
  <c r="GP275"/>
  <c r="GQ275"/>
  <c r="GR275"/>
  <c r="GS275"/>
  <c r="GT275"/>
  <c r="GU275"/>
  <c r="GV275"/>
  <c r="GW275"/>
  <c r="GX275"/>
  <c r="GY275"/>
  <c r="GZ275"/>
  <c r="HA275"/>
  <c r="HB275"/>
  <c r="HC275"/>
  <c r="HD275"/>
  <c r="HE275"/>
  <c r="HF275"/>
  <c r="HG275"/>
  <c r="HH275"/>
  <c r="HI275"/>
  <c r="HJ275"/>
  <c r="HK275"/>
  <c r="HL275"/>
  <c r="HM275"/>
  <c r="HN275"/>
  <c r="HO275"/>
  <c r="HP275"/>
  <c r="HQ275"/>
  <c r="HR275"/>
  <c r="HS275"/>
  <c r="HT275"/>
  <c r="HU275"/>
  <c r="HV275"/>
  <c r="HW275"/>
  <c r="HX275"/>
  <c r="HY275"/>
  <c r="HZ275"/>
  <c r="IA275"/>
  <c r="IB275"/>
  <c r="IC275"/>
  <c r="ID275"/>
  <c r="IE275"/>
  <c r="IF275"/>
  <c r="IG275"/>
  <c r="IH275"/>
  <c r="II275"/>
  <c r="IJ275"/>
  <c r="IK275"/>
  <c r="IL275"/>
  <c r="IM275"/>
  <c r="IN275"/>
  <c r="IO275"/>
  <c r="IP275"/>
  <c r="IQ275"/>
  <c r="IR275"/>
  <c r="IS275"/>
  <c r="IT275"/>
  <c r="IU275"/>
  <c r="IV275"/>
  <c r="A276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Z276"/>
  <c r="AA276"/>
  <c r="AB276"/>
  <c r="AC276"/>
  <c r="AD276"/>
  <c r="AE276"/>
  <c r="AF276"/>
  <c r="AG276"/>
  <c r="AH276"/>
  <c r="AI276"/>
  <c r="AJ276"/>
  <c r="AK276"/>
  <c r="AL276"/>
  <c r="AM276"/>
  <c r="AN276"/>
  <c r="AO276"/>
  <c r="AP276"/>
  <c r="AQ276"/>
  <c r="AR276"/>
  <c r="AS276"/>
  <c r="AT276"/>
  <c r="AU276"/>
  <c r="AV276"/>
  <c r="AW276"/>
  <c r="AX276"/>
  <c r="AY276"/>
  <c r="AZ276"/>
  <c r="BA276"/>
  <c r="BB276"/>
  <c r="BC276"/>
  <c r="BD276"/>
  <c r="BE276"/>
  <c r="BF276"/>
  <c r="BG276"/>
  <c r="BH276"/>
  <c r="BI276"/>
  <c r="BJ276"/>
  <c r="BK276"/>
  <c r="BL276"/>
  <c r="BM276"/>
  <c r="BN276"/>
  <c r="BO276"/>
  <c r="BP276"/>
  <c r="BQ276"/>
  <c r="BR276"/>
  <c r="BS276"/>
  <c r="BT276"/>
  <c r="BU276"/>
  <c r="BV276"/>
  <c r="BW276"/>
  <c r="BX276"/>
  <c r="BY276"/>
  <c r="BZ276"/>
  <c r="CA276"/>
  <c r="CB276"/>
  <c r="CC276"/>
  <c r="CD276"/>
  <c r="CE276"/>
  <c r="CF276"/>
  <c r="CG276"/>
  <c r="CH276"/>
  <c r="CI276"/>
  <c r="CJ276"/>
  <c r="CK276"/>
  <c r="CL276"/>
  <c r="CM276"/>
  <c r="CN276"/>
  <c r="CO276"/>
  <c r="CP276"/>
  <c r="CQ276"/>
  <c r="CR276"/>
  <c r="CS276"/>
  <c r="CT276"/>
  <c r="CU276"/>
  <c r="CV276"/>
  <c r="CW276"/>
  <c r="CX276"/>
  <c r="CY276"/>
  <c r="CZ276"/>
  <c r="DA276"/>
  <c r="DB276"/>
  <c r="DC276"/>
  <c r="DD276"/>
  <c r="DE276"/>
  <c r="DF276"/>
  <c r="DG276"/>
  <c r="DH276"/>
  <c r="DI276"/>
  <c r="DJ276"/>
  <c r="DK276"/>
  <c r="DL276"/>
  <c r="DM276"/>
  <c r="DN276"/>
  <c r="DO276"/>
  <c r="DP276"/>
  <c r="DQ276"/>
  <c r="DR276"/>
  <c r="DS276"/>
  <c r="DT276"/>
  <c r="DU276"/>
  <c r="DV276"/>
  <c r="DW276"/>
  <c r="DX276"/>
  <c r="DY276"/>
  <c r="DZ276"/>
  <c r="EA276"/>
  <c r="EB276"/>
  <c r="EC276"/>
  <c r="ED276"/>
  <c r="EE276"/>
  <c r="EF276"/>
  <c r="EG276"/>
  <c r="EH276"/>
  <c r="EI276"/>
  <c r="EJ276"/>
  <c r="EK276"/>
  <c r="EL276"/>
  <c r="EM276"/>
  <c r="EN276"/>
  <c r="EO276"/>
  <c r="EP276"/>
  <c r="EQ276"/>
  <c r="ER276"/>
  <c r="ES276"/>
  <c r="ET276"/>
  <c r="EU276"/>
  <c r="EV276"/>
  <c r="EW276"/>
  <c r="EX276"/>
  <c r="EY276"/>
  <c r="EZ276"/>
  <c r="FA276"/>
  <c r="FB276"/>
  <c r="FC276"/>
  <c r="FD276"/>
  <c r="FE276"/>
  <c r="FF276"/>
  <c r="FG276"/>
  <c r="FH276"/>
  <c r="FI276"/>
  <c r="FJ276"/>
  <c r="FK276"/>
  <c r="FL276"/>
  <c r="FM276"/>
  <c r="FN276"/>
  <c r="FO276"/>
  <c r="FP276"/>
  <c r="FQ276"/>
  <c r="FR276"/>
  <c r="FS276"/>
  <c r="FT276"/>
  <c r="FU276"/>
  <c r="FV276"/>
  <c r="FW276"/>
  <c r="FX276"/>
  <c r="FY276"/>
  <c r="FZ276"/>
  <c r="GA276"/>
  <c r="GB276"/>
  <c r="GC276"/>
  <c r="GD276"/>
  <c r="GE276"/>
  <c r="GF276"/>
  <c r="GG276"/>
  <c r="GH276"/>
  <c r="GI276"/>
  <c r="GJ276"/>
  <c r="GK276"/>
  <c r="GL276"/>
  <c r="GM276"/>
  <c r="GN276"/>
  <c r="GO276"/>
  <c r="GP276"/>
  <c r="GQ276"/>
  <c r="GR276"/>
  <c r="GS276"/>
  <c r="GT276"/>
  <c r="GU276"/>
  <c r="GV276"/>
  <c r="GW276"/>
  <c r="GX276"/>
  <c r="GY276"/>
  <c r="GZ276"/>
  <c r="HA276"/>
  <c r="HB276"/>
  <c r="HC276"/>
  <c r="HD276"/>
  <c r="HE276"/>
  <c r="HF276"/>
  <c r="HG276"/>
  <c r="HH276"/>
  <c r="HI276"/>
  <c r="HJ276"/>
  <c r="HK276"/>
  <c r="HL276"/>
  <c r="HM276"/>
  <c r="HN276"/>
  <c r="HO276"/>
  <c r="HP276"/>
  <c r="HQ276"/>
  <c r="HR276"/>
  <c r="HS276"/>
  <c r="HT276"/>
  <c r="HU276"/>
  <c r="HV276"/>
  <c r="HW276"/>
  <c r="HX276"/>
  <c r="HY276"/>
  <c r="HZ276"/>
  <c r="IA276"/>
  <c r="IB276"/>
  <c r="IC276"/>
  <c r="ID276"/>
  <c r="IE276"/>
  <c r="IF276"/>
  <c r="IG276"/>
  <c r="IH276"/>
  <c r="II276"/>
  <c r="IJ276"/>
  <c r="IK276"/>
  <c r="IL276"/>
  <c r="IM276"/>
  <c r="IN276"/>
  <c r="IO276"/>
  <c r="IP276"/>
  <c r="IQ276"/>
  <c r="IR276"/>
  <c r="IS276"/>
  <c r="IT276"/>
  <c r="IU276"/>
  <c r="IV276"/>
  <c r="A277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Z277"/>
  <c r="AA277"/>
  <c r="AB277"/>
  <c r="AC277"/>
  <c r="AD277"/>
  <c r="AE277"/>
  <c r="AF277"/>
  <c r="AG277"/>
  <c r="AH277"/>
  <c r="AI277"/>
  <c r="AJ277"/>
  <c r="AK277"/>
  <c r="AL277"/>
  <c r="AM277"/>
  <c r="AN277"/>
  <c r="AO277"/>
  <c r="AP277"/>
  <c r="AQ277"/>
  <c r="AR277"/>
  <c r="AS277"/>
  <c r="AT277"/>
  <c r="AU277"/>
  <c r="AV277"/>
  <c r="AW277"/>
  <c r="AX277"/>
  <c r="AY277"/>
  <c r="AZ277"/>
  <c r="BA277"/>
  <c r="BB277"/>
  <c r="BC277"/>
  <c r="BD277"/>
  <c r="BE277"/>
  <c r="BF277"/>
  <c r="BG277"/>
  <c r="BH277"/>
  <c r="BI277"/>
  <c r="BJ277"/>
  <c r="BK277"/>
  <c r="BL277"/>
  <c r="BM277"/>
  <c r="BN277"/>
  <c r="BO277"/>
  <c r="BP277"/>
  <c r="BQ277"/>
  <c r="BR277"/>
  <c r="BS277"/>
  <c r="BT277"/>
  <c r="BU277"/>
  <c r="BV277"/>
  <c r="BW277"/>
  <c r="BX277"/>
  <c r="BY277"/>
  <c r="BZ277"/>
  <c r="CA277"/>
  <c r="CB277"/>
  <c r="CC277"/>
  <c r="CD277"/>
  <c r="CE277"/>
  <c r="CF277"/>
  <c r="CG277"/>
  <c r="CH277"/>
  <c r="CI277"/>
  <c r="CJ277"/>
  <c r="CK277"/>
  <c r="CL277"/>
  <c r="CM277"/>
  <c r="CN277"/>
  <c r="CO277"/>
  <c r="CP277"/>
  <c r="CQ277"/>
  <c r="CR277"/>
  <c r="CS277"/>
  <c r="CT277"/>
  <c r="CU277"/>
  <c r="CV277"/>
  <c r="CW277"/>
  <c r="CX277"/>
  <c r="CY277"/>
  <c r="CZ277"/>
  <c r="DA277"/>
  <c r="DB277"/>
  <c r="DC277"/>
  <c r="DD277"/>
  <c r="DE277"/>
  <c r="DF277"/>
  <c r="DG277"/>
  <c r="DH277"/>
  <c r="DI277"/>
  <c r="DJ277"/>
  <c r="DK277"/>
  <c r="DL277"/>
  <c r="DM277"/>
  <c r="DN277"/>
  <c r="DO277"/>
  <c r="DP277"/>
  <c r="DQ277"/>
  <c r="DR277"/>
  <c r="DS277"/>
  <c r="DT277"/>
  <c r="DU277"/>
  <c r="DV277"/>
  <c r="DW277"/>
  <c r="DX277"/>
  <c r="DY277"/>
  <c r="DZ277"/>
  <c r="EA277"/>
  <c r="EB277"/>
  <c r="EC277"/>
  <c r="ED277"/>
  <c r="EE277"/>
  <c r="EF277"/>
  <c r="EG277"/>
  <c r="EH277"/>
  <c r="EI277"/>
  <c r="EJ277"/>
  <c r="EK277"/>
  <c r="EL277"/>
  <c r="EM277"/>
  <c r="EN277"/>
  <c r="EO277"/>
  <c r="EP277"/>
  <c r="EQ277"/>
  <c r="ER277"/>
  <c r="ES277"/>
  <c r="ET277"/>
  <c r="EU277"/>
  <c r="EV277"/>
  <c r="EW277"/>
  <c r="EX277"/>
  <c r="EY277"/>
  <c r="EZ277"/>
  <c r="FA277"/>
  <c r="FB277"/>
  <c r="FC277"/>
  <c r="FD277"/>
  <c r="FE277"/>
  <c r="FF277"/>
  <c r="FG277"/>
  <c r="FH277"/>
  <c r="FI277"/>
  <c r="FJ277"/>
  <c r="FK277"/>
  <c r="FL277"/>
  <c r="FM277"/>
  <c r="FN277"/>
  <c r="FO277"/>
  <c r="FP277"/>
  <c r="FQ277"/>
  <c r="FR277"/>
  <c r="FS277"/>
  <c r="FT277"/>
  <c r="FU277"/>
  <c r="FV277"/>
  <c r="FW277"/>
  <c r="FX277"/>
  <c r="FY277"/>
  <c r="FZ277"/>
  <c r="GA277"/>
  <c r="GB277"/>
  <c r="GC277"/>
  <c r="GD277"/>
  <c r="GE277"/>
  <c r="GF277"/>
  <c r="GG277"/>
  <c r="GH277"/>
  <c r="GI277"/>
  <c r="GJ277"/>
  <c r="GK277"/>
  <c r="GL277"/>
  <c r="GM277"/>
  <c r="GN277"/>
  <c r="GO277"/>
  <c r="GP277"/>
  <c r="GQ277"/>
  <c r="GR277"/>
  <c r="GS277"/>
  <c r="GT277"/>
  <c r="GU277"/>
  <c r="GV277"/>
  <c r="GW277"/>
  <c r="GX277"/>
  <c r="GY277"/>
  <c r="GZ277"/>
  <c r="HA277"/>
  <c r="HB277"/>
  <c r="HC277"/>
  <c r="HD277"/>
  <c r="HE277"/>
  <c r="HF277"/>
  <c r="HG277"/>
  <c r="HH277"/>
  <c r="HI277"/>
  <c r="HJ277"/>
  <c r="HK277"/>
  <c r="HL277"/>
  <c r="HM277"/>
  <c r="HN277"/>
  <c r="HO277"/>
  <c r="HP277"/>
  <c r="HQ277"/>
  <c r="HR277"/>
  <c r="HS277"/>
  <c r="HT277"/>
  <c r="HU277"/>
  <c r="HV277"/>
  <c r="HW277"/>
  <c r="HX277"/>
  <c r="HY277"/>
  <c r="HZ277"/>
  <c r="IA277"/>
  <c r="IB277"/>
  <c r="IC277"/>
  <c r="ID277"/>
  <c r="IE277"/>
  <c r="IF277"/>
  <c r="IG277"/>
  <c r="IH277"/>
  <c r="II277"/>
  <c r="IJ277"/>
  <c r="IK277"/>
  <c r="IL277"/>
  <c r="IM277"/>
  <c r="IN277"/>
  <c r="IO277"/>
  <c r="IP277"/>
  <c r="IQ277"/>
  <c r="IR277"/>
  <c r="IS277"/>
  <c r="IT277"/>
  <c r="IU277"/>
  <c r="IV277"/>
  <c r="A278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Z278"/>
  <c r="AA278"/>
  <c r="AB278"/>
  <c r="AC278"/>
  <c r="AD278"/>
  <c r="AE278"/>
  <c r="AF278"/>
  <c r="AG278"/>
  <c r="AH278"/>
  <c r="AI278"/>
  <c r="AJ278"/>
  <c r="AK278"/>
  <c r="AL278"/>
  <c r="AM278"/>
  <c r="AN278"/>
  <c r="AO278"/>
  <c r="AP278"/>
  <c r="AQ278"/>
  <c r="AR278"/>
  <c r="AS278"/>
  <c r="AT278"/>
  <c r="AU278"/>
  <c r="AV278"/>
  <c r="AW278"/>
  <c r="AX278"/>
  <c r="AY278"/>
  <c r="AZ278"/>
  <c r="BA278"/>
  <c r="BB278"/>
  <c r="BC278"/>
  <c r="BD278"/>
  <c r="BE278"/>
  <c r="BF278"/>
  <c r="BG278"/>
  <c r="BH278"/>
  <c r="BI278"/>
  <c r="BJ278"/>
  <c r="BK278"/>
  <c r="BL278"/>
  <c r="BM278"/>
  <c r="BN278"/>
  <c r="BO278"/>
  <c r="BP278"/>
  <c r="BQ278"/>
  <c r="BR278"/>
  <c r="BS278"/>
  <c r="BT278"/>
  <c r="BU278"/>
  <c r="BV278"/>
  <c r="BW278"/>
  <c r="BX278"/>
  <c r="BY278"/>
  <c r="BZ278"/>
  <c r="CA278"/>
  <c r="CB278"/>
  <c r="CC278"/>
  <c r="CD278"/>
  <c r="CE278"/>
  <c r="CF278"/>
  <c r="CG278"/>
  <c r="CH278"/>
  <c r="CI278"/>
  <c r="CJ278"/>
  <c r="CK278"/>
  <c r="CL278"/>
  <c r="CM278"/>
  <c r="CN278"/>
  <c r="CO278"/>
  <c r="CP278"/>
  <c r="CQ278"/>
  <c r="CR278"/>
  <c r="CS278"/>
  <c r="CT278"/>
  <c r="CU278"/>
  <c r="CV278"/>
  <c r="CW278"/>
  <c r="CX278"/>
  <c r="CY278"/>
  <c r="CZ278"/>
  <c r="DA278"/>
  <c r="DB278"/>
  <c r="DC278"/>
  <c r="DD278"/>
  <c r="DE278"/>
  <c r="DF278"/>
  <c r="DG278"/>
  <c r="DH278"/>
  <c r="DI278"/>
  <c r="DJ278"/>
  <c r="DK278"/>
  <c r="DL278"/>
  <c r="DM278"/>
  <c r="DN278"/>
  <c r="DO278"/>
  <c r="DP278"/>
  <c r="DQ278"/>
  <c r="DR278"/>
  <c r="DS278"/>
  <c r="DT278"/>
  <c r="DU278"/>
  <c r="DV278"/>
  <c r="DW278"/>
  <c r="DX278"/>
  <c r="DY278"/>
  <c r="DZ278"/>
  <c r="EA278"/>
  <c r="EB278"/>
  <c r="EC278"/>
  <c r="ED278"/>
  <c r="EE278"/>
  <c r="EF278"/>
  <c r="EG278"/>
  <c r="EH278"/>
  <c r="EI278"/>
  <c r="EJ278"/>
  <c r="EK278"/>
  <c r="EL278"/>
  <c r="EM278"/>
  <c r="EN278"/>
  <c r="EO278"/>
  <c r="EP278"/>
  <c r="EQ278"/>
  <c r="ER278"/>
  <c r="ES278"/>
  <c r="ET278"/>
  <c r="EU278"/>
  <c r="EV278"/>
  <c r="EW278"/>
  <c r="EX278"/>
  <c r="EY278"/>
  <c r="EZ278"/>
  <c r="FA278"/>
  <c r="FB278"/>
  <c r="FC278"/>
  <c r="FD278"/>
  <c r="FE278"/>
  <c r="FF278"/>
  <c r="FG278"/>
  <c r="FH278"/>
  <c r="FI278"/>
  <c r="FJ278"/>
  <c r="FK278"/>
  <c r="FL278"/>
  <c r="FM278"/>
  <c r="FN278"/>
  <c r="FO278"/>
  <c r="FP278"/>
  <c r="FQ278"/>
  <c r="FR278"/>
  <c r="FS278"/>
  <c r="FT278"/>
  <c r="FU278"/>
  <c r="FV278"/>
  <c r="FW278"/>
  <c r="FX278"/>
  <c r="FY278"/>
  <c r="FZ278"/>
  <c r="GA278"/>
  <c r="GB278"/>
  <c r="GC278"/>
  <c r="GD278"/>
  <c r="GE278"/>
  <c r="GF278"/>
  <c r="GG278"/>
  <c r="GH278"/>
  <c r="GI278"/>
  <c r="GJ278"/>
  <c r="GK278"/>
  <c r="GL278"/>
  <c r="GM278"/>
  <c r="GN278"/>
  <c r="GO278"/>
  <c r="GP278"/>
  <c r="GQ278"/>
  <c r="GR278"/>
  <c r="GS278"/>
  <c r="GT278"/>
  <c r="GU278"/>
  <c r="GV278"/>
  <c r="GW278"/>
  <c r="GX278"/>
  <c r="GY278"/>
  <c r="GZ278"/>
  <c r="HA278"/>
  <c r="HB278"/>
  <c r="HC278"/>
  <c r="HD278"/>
  <c r="HE278"/>
  <c r="HF278"/>
  <c r="HG278"/>
  <c r="HH278"/>
  <c r="HI278"/>
  <c r="HJ278"/>
  <c r="HK278"/>
  <c r="HL278"/>
  <c r="HM278"/>
  <c r="HN278"/>
  <c r="HO278"/>
  <c r="HP278"/>
  <c r="HQ278"/>
  <c r="HR278"/>
  <c r="HS278"/>
  <c r="HT278"/>
  <c r="HU278"/>
  <c r="HV278"/>
  <c r="HW278"/>
  <c r="HX278"/>
  <c r="HY278"/>
  <c r="HZ278"/>
  <c r="IA278"/>
  <c r="IB278"/>
  <c r="IC278"/>
  <c r="ID278"/>
  <c r="IE278"/>
  <c r="IF278"/>
  <c r="IG278"/>
  <c r="IH278"/>
  <c r="II278"/>
  <c r="IJ278"/>
  <c r="IK278"/>
  <c r="IL278"/>
  <c r="IM278"/>
  <c r="IN278"/>
  <c r="IO278"/>
  <c r="IP278"/>
  <c r="IQ278"/>
  <c r="IR278"/>
  <c r="IS278"/>
  <c r="IT278"/>
  <c r="IU278"/>
  <c r="IV278"/>
  <c r="A279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Z279"/>
  <c r="AA279"/>
  <c r="AB279"/>
  <c r="AC279"/>
  <c r="AD279"/>
  <c r="AE279"/>
  <c r="AF279"/>
  <c r="AG279"/>
  <c r="AH279"/>
  <c r="AI279"/>
  <c r="AJ279"/>
  <c r="AK279"/>
  <c r="AL279"/>
  <c r="AM279"/>
  <c r="AN279"/>
  <c r="AO279"/>
  <c r="AP279"/>
  <c r="AQ279"/>
  <c r="AR279"/>
  <c r="AS279"/>
  <c r="AT279"/>
  <c r="AU279"/>
  <c r="AV279"/>
  <c r="AW279"/>
  <c r="AX279"/>
  <c r="AY279"/>
  <c r="AZ279"/>
  <c r="BA279"/>
  <c r="BB279"/>
  <c r="BC279"/>
  <c r="BD279"/>
  <c r="BE279"/>
  <c r="BF279"/>
  <c r="BG279"/>
  <c r="BH279"/>
  <c r="BI279"/>
  <c r="BJ279"/>
  <c r="BK279"/>
  <c r="BL279"/>
  <c r="BM279"/>
  <c r="BN279"/>
  <c r="BO279"/>
  <c r="BP279"/>
  <c r="BQ279"/>
  <c r="BR279"/>
  <c r="BS279"/>
  <c r="BT279"/>
  <c r="BU279"/>
  <c r="BV279"/>
  <c r="BW279"/>
  <c r="BX279"/>
  <c r="BY279"/>
  <c r="BZ279"/>
  <c r="CA279"/>
  <c r="CB279"/>
  <c r="CC279"/>
  <c r="CD279"/>
  <c r="CE279"/>
  <c r="CF279"/>
  <c r="CG279"/>
  <c r="CH279"/>
  <c r="CI279"/>
  <c r="CJ279"/>
  <c r="CK279"/>
  <c r="CL279"/>
  <c r="CM279"/>
  <c r="CN279"/>
  <c r="CO279"/>
  <c r="CP279"/>
  <c r="CQ279"/>
  <c r="CR279"/>
  <c r="CS279"/>
  <c r="CT279"/>
  <c r="CU279"/>
  <c r="CV279"/>
  <c r="CW279"/>
  <c r="CX279"/>
  <c r="CY279"/>
  <c r="CZ279"/>
  <c r="DA279"/>
  <c r="DB279"/>
  <c r="DC279"/>
  <c r="DD279"/>
  <c r="DE279"/>
  <c r="DF279"/>
  <c r="DG279"/>
  <c r="DH279"/>
  <c r="DI279"/>
  <c r="DJ279"/>
  <c r="DK279"/>
  <c r="DL279"/>
  <c r="DM279"/>
  <c r="DN279"/>
  <c r="DO279"/>
  <c r="DP279"/>
  <c r="DQ279"/>
  <c r="DR279"/>
  <c r="DS279"/>
  <c r="DT279"/>
  <c r="DU279"/>
  <c r="DV279"/>
  <c r="DW279"/>
  <c r="DX279"/>
  <c r="DY279"/>
  <c r="DZ279"/>
  <c r="EA279"/>
  <c r="EB279"/>
  <c r="EC279"/>
  <c r="ED279"/>
  <c r="EE279"/>
  <c r="EF279"/>
  <c r="EG279"/>
  <c r="EH279"/>
  <c r="EI279"/>
  <c r="EJ279"/>
  <c r="EK279"/>
  <c r="EL279"/>
  <c r="EM279"/>
  <c r="EN279"/>
  <c r="EO279"/>
  <c r="EP279"/>
  <c r="EQ279"/>
  <c r="ER279"/>
  <c r="ES279"/>
  <c r="ET279"/>
  <c r="EU279"/>
  <c r="EV279"/>
  <c r="EW279"/>
  <c r="EX279"/>
  <c r="EY279"/>
  <c r="EZ279"/>
  <c r="FA279"/>
  <c r="FB279"/>
  <c r="FC279"/>
  <c r="FD279"/>
  <c r="FE279"/>
  <c r="FF279"/>
  <c r="FG279"/>
  <c r="FH279"/>
  <c r="FI279"/>
  <c r="FJ279"/>
  <c r="FK279"/>
  <c r="FL279"/>
  <c r="FM279"/>
  <c r="FN279"/>
  <c r="FO279"/>
  <c r="FP279"/>
  <c r="FQ279"/>
  <c r="FR279"/>
  <c r="FS279"/>
  <c r="FT279"/>
  <c r="FU279"/>
  <c r="FV279"/>
  <c r="FW279"/>
  <c r="FX279"/>
  <c r="FY279"/>
  <c r="FZ279"/>
  <c r="GA279"/>
  <c r="GB279"/>
  <c r="GC279"/>
  <c r="GD279"/>
  <c r="GE279"/>
  <c r="GF279"/>
  <c r="GG279"/>
  <c r="GH279"/>
  <c r="GI279"/>
  <c r="GJ279"/>
  <c r="GK279"/>
  <c r="GL279"/>
  <c r="GM279"/>
  <c r="GN279"/>
  <c r="GO279"/>
  <c r="GP279"/>
  <c r="GQ279"/>
  <c r="GR279"/>
  <c r="GS279"/>
  <c r="GT279"/>
  <c r="GU279"/>
  <c r="GV279"/>
  <c r="GW279"/>
  <c r="GX279"/>
  <c r="GY279"/>
  <c r="GZ279"/>
  <c r="HA279"/>
  <c r="HB279"/>
  <c r="HC279"/>
  <c r="HD279"/>
  <c r="HE279"/>
  <c r="HF279"/>
  <c r="HG279"/>
  <c r="HH279"/>
  <c r="HI279"/>
  <c r="HJ279"/>
  <c r="HK279"/>
  <c r="HL279"/>
  <c r="HM279"/>
  <c r="HN279"/>
  <c r="HO279"/>
  <c r="HP279"/>
  <c r="HQ279"/>
  <c r="HR279"/>
  <c r="HS279"/>
  <c r="HT279"/>
  <c r="HU279"/>
  <c r="HV279"/>
  <c r="HW279"/>
  <c r="HX279"/>
  <c r="HY279"/>
  <c r="HZ279"/>
  <c r="IA279"/>
  <c r="IB279"/>
  <c r="IC279"/>
  <c r="ID279"/>
  <c r="IE279"/>
  <c r="IF279"/>
  <c r="IG279"/>
  <c r="IH279"/>
  <c r="II279"/>
  <c r="IJ279"/>
  <c r="IK279"/>
  <c r="IL279"/>
  <c r="IM279"/>
  <c r="IN279"/>
  <c r="IO279"/>
  <c r="IP279"/>
  <c r="IQ279"/>
  <c r="IR279"/>
  <c r="IS279"/>
  <c r="IT279"/>
  <c r="IU279"/>
  <c r="IV279"/>
  <c r="A280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Z280"/>
  <c r="AA280"/>
  <c r="AB280"/>
  <c r="AC280"/>
  <c r="AD280"/>
  <c r="AE280"/>
  <c r="AF280"/>
  <c r="AG280"/>
  <c r="AH280"/>
  <c r="AI280"/>
  <c r="AJ280"/>
  <c r="AK280"/>
  <c r="AL280"/>
  <c r="AM280"/>
  <c r="AN280"/>
  <c r="AO280"/>
  <c r="AP280"/>
  <c r="AQ280"/>
  <c r="AR280"/>
  <c r="AS280"/>
  <c r="AT280"/>
  <c r="AU280"/>
  <c r="AV280"/>
  <c r="AW280"/>
  <c r="AX280"/>
  <c r="AY280"/>
  <c r="AZ280"/>
  <c r="BA280"/>
  <c r="BB280"/>
  <c r="BC280"/>
  <c r="BD280"/>
  <c r="BE280"/>
  <c r="BF280"/>
  <c r="BG280"/>
  <c r="BH280"/>
  <c r="BI280"/>
  <c r="BJ280"/>
  <c r="BK280"/>
  <c r="BL280"/>
  <c r="BM280"/>
  <c r="BN280"/>
  <c r="BO280"/>
  <c r="BP280"/>
  <c r="BQ280"/>
  <c r="BR280"/>
  <c r="BS280"/>
  <c r="BT280"/>
  <c r="BU280"/>
  <c r="BV280"/>
  <c r="BW280"/>
  <c r="BX280"/>
  <c r="BY280"/>
  <c r="BZ280"/>
  <c r="CA280"/>
  <c r="CB280"/>
  <c r="CC280"/>
  <c r="CD280"/>
  <c r="CE280"/>
  <c r="CF280"/>
  <c r="CG280"/>
  <c r="CH280"/>
  <c r="CI280"/>
  <c r="CJ280"/>
  <c r="CK280"/>
  <c r="CL280"/>
  <c r="CM280"/>
  <c r="CN280"/>
  <c r="CO280"/>
  <c r="CP280"/>
  <c r="CQ280"/>
  <c r="CR280"/>
  <c r="CS280"/>
  <c r="CT280"/>
  <c r="CU280"/>
  <c r="CV280"/>
  <c r="CW280"/>
  <c r="CX280"/>
  <c r="CY280"/>
  <c r="CZ280"/>
  <c r="DA280"/>
  <c r="DB280"/>
  <c r="DC280"/>
  <c r="DD280"/>
  <c r="DE280"/>
  <c r="DF280"/>
  <c r="DG280"/>
  <c r="DH280"/>
  <c r="DI280"/>
  <c r="DJ280"/>
  <c r="DK280"/>
  <c r="DL280"/>
  <c r="DM280"/>
  <c r="DN280"/>
  <c r="DO280"/>
  <c r="DP280"/>
  <c r="DQ280"/>
  <c r="DR280"/>
  <c r="DS280"/>
  <c r="DT280"/>
  <c r="DU280"/>
  <c r="DV280"/>
  <c r="DW280"/>
  <c r="DX280"/>
  <c r="DY280"/>
  <c r="DZ280"/>
  <c r="EA280"/>
  <c r="EB280"/>
  <c r="EC280"/>
  <c r="ED280"/>
  <c r="EE280"/>
  <c r="EF280"/>
  <c r="EG280"/>
  <c r="EH280"/>
  <c r="EI280"/>
  <c r="EJ280"/>
  <c r="EK280"/>
  <c r="EL280"/>
  <c r="EM280"/>
  <c r="EN280"/>
  <c r="EO280"/>
  <c r="EP280"/>
  <c r="EQ280"/>
  <c r="ER280"/>
  <c r="ES280"/>
  <c r="ET280"/>
  <c r="EU280"/>
  <c r="EV280"/>
  <c r="EW280"/>
  <c r="EX280"/>
  <c r="EY280"/>
  <c r="EZ280"/>
  <c r="FA280"/>
  <c r="FB280"/>
  <c r="FC280"/>
  <c r="FD280"/>
  <c r="FE280"/>
  <c r="FF280"/>
  <c r="FG280"/>
  <c r="FH280"/>
  <c r="FI280"/>
  <c r="FJ280"/>
  <c r="FK280"/>
  <c r="FL280"/>
  <c r="FM280"/>
  <c r="FN280"/>
  <c r="FO280"/>
  <c r="FP280"/>
  <c r="FQ280"/>
  <c r="FR280"/>
  <c r="FS280"/>
  <c r="FT280"/>
  <c r="FU280"/>
  <c r="FV280"/>
  <c r="FW280"/>
  <c r="FX280"/>
  <c r="FY280"/>
  <c r="FZ280"/>
  <c r="GA280"/>
  <c r="GB280"/>
  <c r="GC280"/>
  <c r="GD280"/>
  <c r="GE280"/>
  <c r="GF280"/>
  <c r="GG280"/>
  <c r="GH280"/>
  <c r="GI280"/>
  <c r="GJ280"/>
  <c r="GK280"/>
  <c r="GL280"/>
  <c r="GM280"/>
  <c r="GN280"/>
  <c r="GO280"/>
  <c r="GP280"/>
  <c r="GQ280"/>
  <c r="GR280"/>
  <c r="GS280"/>
  <c r="GT280"/>
  <c r="GU280"/>
  <c r="GV280"/>
  <c r="GW280"/>
  <c r="GX280"/>
  <c r="GY280"/>
  <c r="GZ280"/>
  <c r="HA280"/>
  <c r="HB280"/>
  <c r="HC280"/>
  <c r="HD280"/>
  <c r="HE280"/>
  <c r="HF280"/>
  <c r="HG280"/>
  <c r="HH280"/>
  <c r="HI280"/>
  <c r="HJ280"/>
  <c r="HK280"/>
  <c r="HL280"/>
  <c r="HM280"/>
  <c r="HN280"/>
  <c r="HO280"/>
  <c r="HP280"/>
  <c r="HQ280"/>
  <c r="HR280"/>
  <c r="HS280"/>
  <c r="HT280"/>
  <c r="HU280"/>
  <c r="HV280"/>
  <c r="HW280"/>
  <c r="HX280"/>
  <c r="HY280"/>
  <c r="HZ280"/>
  <c r="IA280"/>
  <c r="IB280"/>
  <c r="IC280"/>
  <c r="ID280"/>
  <c r="IE280"/>
  <c r="IF280"/>
  <c r="IG280"/>
  <c r="IH280"/>
  <c r="II280"/>
  <c r="IJ280"/>
  <c r="IK280"/>
  <c r="IL280"/>
  <c r="IM280"/>
  <c r="IN280"/>
  <c r="IO280"/>
  <c r="IP280"/>
  <c r="IQ280"/>
  <c r="IR280"/>
  <c r="IS280"/>
  <c r="IT280"/>
  <c r="IU280"/>
  <c r="IV280"/>
  <c r="A281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Z281"/>
  <c r="AA281"/>
  <c r="AB281"/>
  <c r="AC281"/>
  <c r="AD281"/>
  <c r="AE281"/>
  <c r="AF281"/>
  <c r="AG281"/>
  <c r="AH281"/>
  <c r="AI281"/>
  <c r="AJ281"/>
  <c r="AK281"/>
  <c r="AL281"/>
  <c r="AM281"/>
  <c r="AN281"/>
  <c r="AO281"/>
  <c r="AP281"/>
  <c r="AQ281"/>
  <c r="AR281"/>
  <c r="AS281"/>
  <c r="AT281"/>
  <c r="AU281"/>
  <c r="AV281"/>
  <c r="AW281"/>
  <c r="AX281"/>
  <c r="AY281"/>
  <c r="AZ281"/>
  <c r="BA281"/>
  <c r="BB281"/>
  <c r="BC281"/>
  <c r="BD281"/>
  <c r="BE281"/>
  <c r="BF281"/>
  <c r="BG281"/>
  <c r="BH281"/>
  <c r="BI281"/>
  <c r="BJ281"/>
  <c r="BK281"/>
  <c r="BL281"/>
  <c r="BM281"/>
  <c r="BN281"/>
  <c r="BO281"/>
  <c r="BP281"/>
  <c r="BQ281"/>
  <c r="BR281"/>
  <c r="BS281"/>
  <c r="BT281"/>
  <c r="BU281"/>
  <c r="BV281"/>
  <c r="BW281"/>
  <c r="BX281"/>
  <c r="BY281"/>
  <c r="BZ281"/>
  <c r="CA281"/>
  <c r="CB281"/>
  <c r="CC281"/>
  <c r="CD281"/>
  <c r="CE281"/>
  <c r="CF281"/>
  <c r="CG281"/>
  <c r="CH281"/>
  <c r="CI281"/>
  <c r="CJ281"/>
  <c r="CK281"/>
  <c r="CL281"/>
  <c r="CM281"/>
  <c r="CN281"/>
  <c r="CO281"/>
  <c r="CP281"/>
  <c r="CQ281"/>
  <c r="CR281"/>
  <c r="CS281"/>
  <c r="CT281"/>
  <c r="CU281"/>
  <c r="CV281"/>
  <c r="CW281"/>
  <c r="CX281"/>
  <c r="CY281"/>
  <c r="CZ281"/>
  <c r="DA281"/>
  <c r="DB281"/>
  <c r="DC281"/>
  <c r="DD281"/>
  <c r="DE281"/>
  <c r="DF281"/>
  <c r="DG281"/>
  <c r="DH281"/>
  <c r="DI281"/>
  <c r="DJ281"/>
  <c r="DK281"/>
  <c r="DL281"/>
  <c r="DM281"/>
  <c r="DN281"/>
  <c r="DO281"/>
  <c r="DP281"/>
  <c r="DQ281"/>
  <c r="DR281"/>
  <c r="DS281"/>
  <c r="DT281"/>
  <c r="DU281"/>
  <c r="DV281"/>
  <c r="DW281"/>
  <c r="DX281"/>
  <c r="DY281"/>
  <c r="DZ281"/>
  <c r="EA281"/>
  <c r="EB281"/>
  <c r="EC281"/>
  <c r="ED281"/>
  <c r="EE281"/>
  <c r="EF281"/>
  <c r="EG281"/>
  <c r="EH281"/>
  <c r="EI281"/>
  <c r="EJ281"/>
  <c r="EK281"/>
  <c r="EL281"/>
  <c r="EM281"/>
  <c r="EN281"/>
  <c r="EO281"/>
  <c r="EP281"/>
  <c r="EQ281"/>
  <c r="ER281"/>
  <c r="ES281"/>
  <c r="ET281"/>
  <c r="EU281"/>
  <c r="EV281"/>
  <c r="EW281"/>
  <c r="EX281"/>
  <c r="EY281"/>
  <c r="EZ281"/>
  <c r="FA281"/>
  <c r="FB281"/>
  <c r="FC281"/>
  <c r="FD281"/>
  <c r="FE281"/>
  <c r="FF281"/>
  <c r="FG281"/>
  <c r="FH281"/>
  <c r="FI281"/>
  <c r="FJ281"/>
  <c r="FK281"/>
  <c r="FL281"/>
  <c r="FM281"/>
  <c r="FN281"/>
  <c r="FO281"/>
  <c r="FP281"/>
  <c r="FQ281"/>
  <c r="FR281"/>
  <c r="FS281"/>
  <c r="FT281"/>
  <c r="FU281"/>
  <c r="FV281"/>
  <c r="FW281"/>
  <c r="FX281"/>
  <c r="FY281"/>
  <c r="FZ281"/>
  <c r="GA281"/>
  <c r="GB281"/>
  <c r="GC281"/>
  <c r="GD281"/>
  <c r="GE281"/>
  <c r="GF281"/>
  <c r="GG281"/>
  <c r="GH281"/>
  <c r="GI281"/>
  <c r="GJ281"/>
  <c r="GK281"/>
  <c r="GL281"/>
  <c r="GM281"/>
  <c r="GN281"/>
  <c r="GO281"/>
  <c r="GP281"/>
  <c r="GQ281"/>
  <c r="GR281"/>
  <c r="GS281"/>
  <c r="GT281"/>
  <c r="GU281"/>
  <c r="GV281"/>
  <c r="GW281"/>
  <c r="GX281"/>
  <c r="GY281"/>
  <c r="GZ281"/>
  <c r="HA281"/>
  <c r="HB281"/>
  <c r="HC281"/>
  <c r="HD281"/>
  <c r="HE281"/>
  <c r="HF281"/>
  <c r="HG281"/>
  <c r="HH281"/>
  <c r="HI281"/>
  <c r="HJ281"/>
  <c r="HK281"/>
  <c r="HL281"/>
  <c r="HM281"/>
  <c r="HN281"/>
  <c r="HO281"/>
  <c r="HP281"/>
  <c r="HQ281"/>
  <c r="HR281"/>
  <c r="HS281"/>
  <c r="HT281"/>
  <c r="HU281"/>
  <c r="HV281"/>
  <c r="HW281"/>
  <c r="HX281"/>
  <c r="HY281"/>
  <c r="HZ281"/>
  <c r="IA281"/>
  <c r="IB281"/>
  <c r="IC281"/>
  <c r="ID281"/>
  <c r="IE281"/>
  <c r="IF281"/>
  <c r="IG281"/>
  <c r="IH281"/>
  <c r="II281"/>
  <c r="IJ281"/>
  <c r="IK281"/>
  <c r="IL281"/>
  <c r="IM281"/>
  <c r="IN281"/>
  <c r="IO281"/>
  <c r="IP281"/>
  <c r="IQ281"/>
  <c r="IR281"/>
  <c r="IS281"/>
  <c r="IT281"/>
  <c r="IU281"/>
  <c r="IV281"/>
  <c r="A282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Z282"/>
  <c r="AA282"/>
  <c r="AB282"/>
  <c r="AC282"/>
  <c r="AD282"/>
  <c r="AE282"/>
  <c r="AF282"/>
  <c r="AG282"/>
  <c r="AH282"/>
  <c r="AI282"/>
  <c r="AJ282"/>
  <c r="AK282"/>
  <c r="AL282"/>
  <c r="AM282"/>
  <c r="AN282"/>
  <c r="AO282"/>
  <c r="AP282"/>
  <c r="AQ282"/>
  <c r="AR282"/>
  <c r="AS282"/>
  <c r="AT282"/>
  <c r="AU282"/>
  <c r="AV282"/>
  <c r="AW282"/>
  <c r="AX282"/>
  <c r="AY282"/>
  <c r="AZ282"/>
  <c r="BA282"/>
  <c r="BB282"/>
  <c r="BC282"/>
  <c r="BD282"/>
  <c r="BE282"/>
  <c r="BF282"/>
  <c r="BG282"/>
  <c r="BH282"/>
  <c r="BI282"/>
  <c r="BJ282"/>
  <c r="BK282"/>
  <c r="BL282"/>
  <c r="BM282"/>
  <c r="BN282"/>
  <c r="BO282"/>
  <c r="BP282"/>
  <c r="BQ282"/>
  <c r="BR282"/>
  <c r="BS282"/>
  <c r="BT282"/>
  <c r="BU282"/>
  <c r="BV282"/>
  <c r="BW282"/>
  <c r="BX282"/>
  <c r="BY282"/>
  <c r="BZ282"/>
  <c r="CA282"/>
  <c r="CB282"/>
  <c r="CC282"/>
  <c r="CD282"/>
  <c r="CE282"/>
  <c r="CF282"/>
  <c r="CG282"/>
  <c r="CH282"/>
  <c r="CI282"/>
  <c r="CJ282"/>
  <c r="CK282"/>
  <c r="CL282"/>
  <c r="CM282"/>
  <c r="CN282"/>
  <c r="CO282"/>
  <c r="CP282"/>
  <c r="CQ282"/>
  <c r="CR282"/>
  <c r="CS282"/>
  <c r="CT282"/>
  <c r="CU282"/>
  <c r="CV282"/>
  <c r="CW282"/>
  <c r="CX282"/>
  <c r="CY282"/>
  <c r="CZ282"/>
  <c r="DA282"/>
  <c r="DB282"/>
  <c r="DC282"/>
  <c r="DD282"/>
  <c r="DE282"/>
  <c r="DF282"/>
  <c r="DG282"/>
  <c r="DH282"/>
  <c r="DI282"/>
  <c r="DJ282"/>
  <c r="DK282"/>
  <c r="DL282"/>
  <c r="DM282"/>
  <c r="DN282"/>
  <c r="DO282"/>
  <c r="DP282"/>
  <c r="DQ282"/>
  <c r="DR282"/>
  <c r="DS282"/>
  <c r="DT282"/>
  <c r="DU282"/>
  <c r="DV282"/>
  <c r="DW282"/>
  <c r="DX282"/>
  <c r="DY282"/>
  <c r="DZ282"/>
  <c r="EA282"/>
  <c r="EB282"/>
  <c r="EC282"/>
  <c r="ED282"/>
  <c r="EE282"/>
  <c r="EF282"/>
  <c r="EG282"/>
  <c r="EH282"/>
  <c r="EI282"/>
  <c r="EJ282"/>
  <c r="EK282"/>
  <c r="EL282"/>
  <c r="EM282"/>
  <c r="EN282"/>
  <c r="EO282"/>
  <c r="EP282"/>
  <c r="EQ282"/>
  <c r="ER282"/>
  <c r="ES282"/>
  <c r="ET282"/>
  <c r="EU282"/>
  <c r="EV282"/>
  <c r="EW282"/>
  <c r="EX282"/>
  <c r="EY282"/>
  <c r="EZ282"/>
  <c r="FA282"/>
  <c r="FB282"/>
  <c r="FC282"/>
  <c r="FD282"/>
  <c r="FE282"/>
  <c r="FF282"/>
  <c r="FG282"/>
  <c r="FH282"/>
  <c r="FI282"/>
  <c r="FJ282"/>
  <c r="FK282"/>
  <c r="FL282"/>
  <c r="FM282"/>
  <c r="FN282"/>
  <c r="FO282"/>
  <c r="FP282"/>
  <c r="FQ282"/>
  <c r="FR282"/>
  <c r="FS282"/>
  <c r="FT282"/>
  <c r="FU282"/>
  <c r="FV282"/>
  <c r="FW282"/>
  <c r="FX282"/>
  <c r="FY282"/>
  <c r="FZ282"/>
  <c r="GA282"/>
  <c r="GB282"/>
  <c r="GC282"/>
  <c r="GD282"/>
  <c r="GE282"/>
  <c r="GF282"/>
  <c r="GG282"/>
  <c r="GH282"/>
  <c r="GI282"/>
  <c r="GJ282"/>
  <c r="GK282"/>
  <c r="GL282"/>
  <c r="GM282"/>
  <c r="GN282"/>
  <c r="GO282"/>
  <c r="GP282"/>
  <c r="GQ282"/>
  <c r="GR282"/>
  <c r="GS282"/>
  <c r="GT282"/>
  <c r="GU282"/>
  <c r="GV282"/>
  <c r="GW282"/>
  <c r="GX282"/>
  <c r="GY282"/>
  <c r="GZ282"/>
  <c r="HA282"/>
  <c r="HB282"/>
  <c r="HC282"/>
  <c r="HD282"/>
  <c r="HE282"/>
  <c r="HF282"/>
  <c r="HG282"/>
  <c r="HH282"/>
  <c r="HI282"/>
  <c r="HJ282"/>
  <c r="HK282"/>
  <c r="HL282"/>
  <c r="HM282"/>
  <c r="HN282"/>
  <c r="HO282"/>
  <c r="HP282"/>
  <c r="HQ282"/>
  <c r="HR282"/>
  <c r="HS282"/>
  <c r="HT282"/>
  <c r="HU282"/>
  <c r="HV282"/>
  <c r="HW282"/>
  <c r="HX282"/>
  <c r="HY282"/>
  <c r="HZ282"/>
  <c r="IA282"/>
  <c r="IB282"/>
  <c r="IC282"/>
  <c r="ID282"/>
  <c r="IE282"/>
  <c r="IF282"/>
  <c r="IG282"/>
  <c r="IH282"/>
  <c r="II282"/>
  <c r="IJ282"/>
  <c r="IK282"/>
  <c r="IL282"/>
  <c r="IM282"/>
  <c r="IN282"/>
  <c r="IO282"/>
  <c r="IP282"/>
  <c r="IQ282"/>
  <c r="IR282"/>
  <c r="IS282"/>
  <c r="IT282"/>
  <c r="IU282"/>
  <c r="IV282"/>
  <c r="A283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Z283"/>
  <c r="AA283"/>
  <c r="AB283"/>
  <c r="AC283"/>
  <c r="AD283"/>
  <c r="AE283"/>
  <c r="AF283"/>
  <c r="AG283"/>
  <c r="AH283"/>
  <c r="AI283"/>
  <c r="AJ283"/>
  <c r="AK283"/>
  <c r="AL283"/>
  <c r="AM283"/>
  <c r="AN283"/>
  <c r="AO283"/>
  <c r="AP283"/>
  <c r="AQ283"/>
  <c r="AR283"/>
  <c r="AS283"/>
  <c r="AT283"/>
  <c r="AU283"/>
  <c r="AV283"/>
  <c r="AW283"/>
  <c r="AX283"/>
  <c r="AY283"/>
  <c r="AZ283"/>
  <c r="BA283"/>
  <c r="BB283"/>
  <c r="BC283"/>
  <c r="BD283"/>
  <c r="BE283"/>
  <c r="BF283"/>
  <c r="BG283"/>
  <c r="BH283"/>
  <c r="BI283"/>
  <c r="BJ283"/>
  <c r="BK283"/>
  <c r="BL283"/>
  <c r="BM283"/>
  <c r="BN283"/>
  <c r="BO283"/>
  <c r="BP283"/>
  <c r="BQ283"/>
  <c r="BR283"/>
  <c r="BS283"/>
  <c r="BT283"/>
  <c r="BU283"/>
  <c r="BV283"/>
  <c r="BW283"/>
  <c r="BX283"/>
  <c r="BY283"/>
  <c r="BZ283"/>
  <c r="CA283"/>
  <c r="CB283"/>
  <c r="CC283"/>
  <c r="CD283"/>
  <c r="CE283"/>
  <c r="CF283"/>
  <c r="CG283"/>
  <c r="CH283"/>
  <c r="CI283"/>
  <c r="CJ283"/>
  <c r="CK283"/>
  <c r="CL283"/>
  <c r="CM283"/>
  <c r="CN283"/>
  <c r="CO283"/>
  <c r="CP283"/>
  <c r="CQ283"/>
  <c r="CR283"/>
  <c r="CS283"/>
  <c r="CT283"/>
  <c r="CU283"/>
  <c r="CV283"/>
  <c r="CW283"/>
  <c r="CX283"/>
  <c r="CY283"/>
  <c r="CZ283"/>
  <c r="DA283"/>
  <c r="DB283"/>
  <c r="DC283"/>
  <c r="DD283"/>
  <c r="DE283"/>
  <c r="DF283"/>
  <c r="DG283"/>
  <c r="DH283"/>
  <c r="DI283"/>
  <c r="DJ283"/>
  <c r="DK283"/>
  <c r="DL283"/>
  <c r="DM283"/>
  <c r="DN283"/>
  <c r="DO283"/>
  <c r="DP283"/>
  <c r="DQ283"/>
  <c r="DR283"/>
  <c r="DS283"/>
  <c r="DT283"/>
  <c r="DU283"/>
  <c r="DV283"/>
  <c r="DW283"/>
  <c r="DX283"/>
  <c r="DY283"/>
  <c r="DZ283"/>
  <c r="EA283"/>
  <c r="EB283"/>
  <c r="EC283"/>
  <c r="ED283"/>
  <c r="EE283"/>
  <c r="EF283"/>
  <c r="EG283"/>
  <c r="EH283"/>
  <c r="EI283"/>
  <c r="EJ283"/>
  <c r="EK283"/>
  <c r="EL283"/>
  <c r="EM283"/>
  <c r="EN283"/>
  <c r="EO283"/>
  <c r="EP283"/>
  <c r="EQ283"/>
  <c r="ER283"/>
  <c r="ES283"/>
  <c r="ET283"/>
  <c r="EU283"/>
  <c r="EV283"/>
  <c r="EW283"/>
  <c r="EX283"/>
  <c r="EY283"/>
  <c r="EZ283"/>
  <c r="FA283"/>
  <c r="FB283"/>
  <c r="FC283"/>
  <c r="FD283"/>
  <c r="FE283"/>
  <c r="FF283"/>
  <c r="FG283"/>
  <c r="FH283"/>
  <c r="FI283"/>
  <c r="FJ283"/>
  <c r="FK283"/>
  <c r="FL283"/>
  <c r="FM283"/>
  <c r="FN283"/>
  <c r="FO283"/>
  <c r="FP283"/>
  <c r="FQ283"/>
  <c r="FR283"/>
  <c r="FS283"/>
  <c r="FT283"/>
  <c r="FU283"/>
  <c r="FV283"/>
  <c r="FW283"/>
  <c r="FX283"/>
  <c r="FY283"/>
  <c r="FZ283"/>
  <c r="GA283"/>
  <c r="GB283"/>
  <c r="GC283"/>
  <c r="GD283"/>
  <c r="GE283"/>
  <c r="GF283"/>
  <c r="GG283"/>
  <c r="GH283"/>
  <c r="GI283"/>
  <c r="GJ283"/>
  <c r="GK283"/>
  <c r="GL283"/>
  <c r="GM283"/>
  <c r="GN283"/>
  <c r="GO283"/>
  <c r="GP283"/>
  <c r="GQ283"/>
  <c r="GR283"/>
  <c r="GS283"/>
  <c r="GT283"/>
  <c r="GU283"/>
  <c r="GV283"/>
  <c r="GW283"/>
  <c r="GX283"/>
  <c r="GY283"/>
  <c r="GZ283"/>
  <c r="HA283"/>
  <c r="HB283"/>
  <c r="HC283"/>
  <c r="HD283"/>
  <c r="HE283"/>
  <c r="HF283"/>
  <c r="HG283"/>
  <c r="HH283"/>
  <c r="HI283"/>
  <c r="HJ283"/>
  <c r="HK283"/>
  <c r="HL283"/>
  <c r="HM283"/>
  <c r="HN283"/>
  <c r="HO283"/>
  <c r="HP283"/>
  <c r="HQ283"/>
  <c r="HR283"/>
  <c r="HS283"/>
  <c r="HT283"/>
  <c r="HU283"/>
  <c r="HV283"/>
  <c r="HW283"/>
  <c r="HX283"/>
  <c r="HY283"/>
  <c r="HZ283"/>
  <c r="IA283"/>
  <c r="IB283"/>
  <c r="IC283"/>
  <c r="ID283"/>
  <c r="IE283"/>
  <c r="IF283"/>
  <c r="IG283"/>
  <c r="IH283"/>
  <c r="II283"/>
  <c r="IJ283"/>
  <c r="IK283"/>
  <c r="IL283"/>
  <c r="IM283"/>
  <c r="IN283"/>
  <c r="IO283"/>
  <c r="IP283"/>
  <c r="IQ283"/>
  <c r="IR283"/>
  <c r="IS283"/>
  <c r="IT283"/>
  <c r="IU283"/>
  <c r="IV283"/>
  <c r="A284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Z284"/>
  <c r="AA284"/>
  <c r="AB284"/>
  <c r="AC284"/>
  <c r="AD284"/>
  <c r="AE284"/>
  <c r="AF284"/>
  <c r="AG284"/>
  <c r="AH284"/>
  <c r="AI284"/>
  <c r="AJ284"/>
  <c r="AK284"/>
  <c r="AL284"/>
  <c r="AM284"/>
  <c r="AN284"/>
  <c r="AO284"/>
  <c r="AP284"/>
  <c r="AQ284"/>
  <c r="AR284"/>
  <c r="AS284"/>
  <c r="AT284"/>
  <c r="AU284"/>
  <c r="AV284"/>
  <c r="AW284"/>
  <c r="AX284"/>
  <c r="AY284"/>
  <c r="AZ284"/>
  <c r="BA284"/>
  <c r="BB284"/>
  <c r="BC284"/>
  <c r="BD284"/>
  <c r="BE284"/>
  <c r="BF284"/>
  <c r="BG284"/>
  <c r="BH284"/>
  <c r="BI284"/>
  <c r="BJ284"/>
  <c r="BK284"/>
  <c r="BL284"/>
  <c r="BM284"/>
  <c r="BN284"/>
  <c r="BO284"/>
  <c r="BP284"/>
  <c r="BQ284"/>
  <c r="BR284"/>
  <c r="BS284"/>
  <c r="BT284"/>
  <c r="BU284"/>
  <c r="BV284"/>
  <c r="BW284"/>
  <c r="BX284"/>
  <c r="BY284"/>
  <c r="BZ284"/>
  <c r="CA284"/>
  <c r="CB284"/>
  <c r="CC284"/>
  <c r="CD284"/>
  <c r="CE284"/>
  <c r="CF284"/>
  <c r="CG284"/>
  <c r="CH284"/>
  <c r="CI284"/>
  <c r="CJ284"/>
  <c r="CK284"/>
  <c r="CL284"/>
  <c r="CM284"/>
  <c r="CN284"/>
  <c r="CO284"/>
  <c r="CP284"/>
  <c r="CQ284"/>
  <c r="CR284"/>
  <c r="CS284"/>
  <c r="CT284"/>
  <c r="CU284"/>
  <c r="CV284"/>
  <c r="CW284"/>
  <c r="CX284"/>
  <c r="CY284"/>
  <c r="CZ284"/>
  <c r="DA284"/>
  <c r="DB284"/>
  <c r="DC284"/>
  <c r="DD284"/>
  <c r="DE284"/>
  <c r="DF284"/>
  <c r="DG284"/>
  <c r="DH284"/>
  <c r="DI284"/>
  <c r="DJ284"/>
  <c r="DK284"/>
  <c r="DL284"/>
  <c r="DM284"/>
  <c r="DN284"/>
  <c r="DO284"/>
  <c r="DP284"/>
  <c r="DQ284"/>
  <c r="DR284"/>
  <c r="DS284"/>
  <c r="DT284"/>
  <c r="DU284"/>
  <c r="DV284"/>
  <c r="DW284"/>
  <c r="DX284"/>
  <c r="DY284"/>
  <c r="DZ284"/>
  <c r="EA284"/>
  <c r="EB284"/>
  <c r="EC284"/>
  <c r="ED284"/>
  <c r="EE284"/>
  <c r="EF284"/>
  <c r="EG284"/>
  <c r="EH284"/>
  <c r="EI284"/>
  <c r="EJ284"/>
  <c r="EK284"/>
  <c r="EL284"/>
  <c r="EM284"/>
  <c r="EN284"/>
  <c r="EO284"/>
  <c r="EP284"/>
  <c r="EQ284"/>
  <c r="ER284"/>
  <c r="ES284"/>
  <c r="ET284"/>
  <c r="EU284"/>
  <c r="EV284"/>
  <c r="EW284"/>
  <c r="EX284"/>
  <c r="EY284"/>
  <c r="EZ284"/>
  <c r="FA284"/>
  <c r="FB284"/>
  <c r="FC284"/>
  <c r="FD284"/>
  <c r="FE284"/>
  <c r="FF284"/>
  <c r="FG284"/>
  <c r="FH284"/>
  <c r="FI284"/>
  <c r="FJ284"/>
  <c r="FK284"/>
  <c r="FL284"/>
  <c r="FM284"/>
  <c r="FN284"/>
  <c r="FO284"/>
  <c r="FP284"/>
  <c r="FQ284"/>
  <c r="FR284"/>
  <c r="FS284"/>
  <c r="FT284"/>
  <c r="FU284"/>
  <c r="FV284"/>
  <c r="FW284"/>
  <c r="FX284"/>
  <c r="FY284"/>
  <c r="FZ284"/>
  <c r="GA284"/>
  <c r="GB284"/>
  <c r="GC284"/>
  <c r="GD284"/>
  <c r="GE284"/>
  <c r="GF284"/>
  <c r="GG284"/>
  <c r="GH284"/>
  <c r="GI284"/>
  <c r="GJ284"/>
  <c r="GK284"/>
  <c r="GL284"/>
  <c r="GM284"/>
  <c r="GN284"/>
  <c r="GO284"/>
  <c r="GP284"/>
  <c r="GQ284"/>
  <c r="GR284"/>
  <c r="GS284"/>
  <c r="GT284"/>
  <c r="GU284"/>
  <c r="GV284"/>
  <c r="GW284"/>
  <c r="GX284"/>
  <c r="GY284"/>
  <c r="GZ284"/>
  <c r="HA284"/>
  <c r="HB284"/>
  <c r="HC284"/>
  <c r="HD284"/>
  <c r="HE284"/>
  <c r="HF284"/>
  <c r="HG284"/>
  <c r="HH284"/>
  <c r="HI284"/>
  <c r="HJ284"/>
  <c r="HK284"/>
  <c r="HL284"/>
  <c r="HM284"/>
  <c r="HN284"/>
  <c r="HO284"/>
  <c r="HP284"/>
  <c r="HQ284"/>
  <c r="HR284"/>
  <c r="HS284"/>
  <c r="HT284"/>
  <c r="HU284"/>
  <c r="HV284"/>
  <c r="HW284"/>
  <c r="HX284"/>
  <c r="HY284"/>
  <c r="HZ284"/>
  <c r="IA284"/>
  <c r="IB284"/>
  <c r="IC284"/>
  <c r="ID284"/>
  <c r="IE284"/>
  <c r="IF284"/>
  <c r="IG284"/>
  <c r="IH284"/>
  <c r="II284"/>
  <c r="IJ284"/>
  <c r="IK284"/>
  <c r="IL284"/>
  <c r="IM284"/>
  <c r="IN284"/>
  <c r="IO284"/>
  <c r="IP284"/>
  <c r="IQ284"/>
  <c r="IR284"/>
  <c r="IS284"/>
  <c r="IT284"/>
  <c r="IU284"/>
  <c r="IV284"/>
  <c r="A285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Z285"/>
  <c r="AA285"/>
  <c r="AB285"/>
  <c r="AC285"/>
  <c r="AD285"/>
  <c r="AE285"/>
  <c r="AF285"/>
  <c r="AG285"/>
  <c r="AH285"/>
  <c r="AI285"/>
  <c r="AJ285"/>
  <c r="AK285"/>
  <c r="AL285"/>
  <c r="AM285"/>
  <c r="AN285"/>
  <c r="AO285"/>
  <c r="AP285"/>
  <c r="AQ285"/>
  <c r="AR285"/>
  <c r="AS285"/>
  <c r="AT285"/>
  <c r="AU285"/>
  <c r="AV285"/>
  <c r="AW285"/>
  <c r="AX285"/>
  <c r="AY285"/>
  <c r="AZ285"/>
  <c r="BA285"/>
  <c r="BB285"/>
  <c r="BC285"/>
  <c r="BD285"/>
  <c r="BE285"/>
  <c r="BF285"/>
  <c r="BG285"/>
  <c r="BH285"/>
  <c r="BI285"/>
  <c r="BJ285"/>
  <c r="BK285"/>
  <c r="BL285"/>
  <c r="BM285"/>
  <c r="BN285"/>
  <c r="BO285"/>
  <c r="BP285"/>
  <c r="BQ285"/>
  <c r="BR285"/>
  <c r="BS285"/>
  <c r="BT285"/>
  <c r="BU285"/>
  <c r="BV285"/>
  <c r="BW285"/>
  <c r="BX285"/>
  <c r="BY285"/>
  <c r="BZ285"/>
  <c r="CA285"/>
  <c r="CB285"/>
  <c r="CC285"/>
  <c r="CD285"/>
  <c r="CE285"/>
  <c r="CF285"/>
  <c r="CG285"/>
  <c r="CH285"/>
  <c r="CI285"/>
  <c r="CJ285"/>
  <c r="CK285"/>
  <c r="CL285"/>
  <c r="CM285"/>
  <c r="CN285"/>
  <c r="CO285"/>
  <c r="CP285"/>
  <c r="CQ285"/>
  <c r="CR285"/>
  <c r="CS285"/>
  <c r="CT285"/>
  <c r="CU285"/>
  <c r="CV285"/>
  <c r="CW285"/>
  <c r="CX285"/>
  <c r="CY285"/>
  <c r="CZ285"/>
  <c r="DA285"/>
  <c r="DB285"/>
  <c r="DC285"/>
  <c r="DD285"/>
  <c r="DE285"/>
  <c r="DF285"/>
  <c r="DG285"/>
  <c r="DH285"/>
  <c r="DI285"/>
  <c r="DJ285"/>
  <c r="DK285"/>
  <c r="DL285"/>
  <c r="DM285"/>
  <c r="DN285"/>
  <c r="DO285"/>
  <c r="DP285"/>
  <c r="DQ285"/>
  <c r="DR285"/>
  <c r="DS285"/>
  <c r="DT285"/>
  <c r="DU285"/>
  <c r="DV285"/>
  <c r="DW285"/>
  <c r="DX285"/>
  <c r="DY285"/>
  <c r="DZ285"/>
  <c r="EA285"/>
  <c r="EB285"/>
  <c r="EC285"/>
  <c r="ED285"/>
  <c r="EE285"/>
  <c r="EF285"/>
  <c r="EG285"/>
  <c r="EH285"/>
  <c r="EI285"/>
  <c r="EJ285"/>
  <c r="EK285"/>
  <c r="EL285"/>
  <c r="EM285"/>
  <c r="EN285"/>
  <c r="EO285"/>
  <c r="EP285"/>
  <c r="EQ285"/>
  <c r="ER285"/>
  <c r="ES285"/>
  <c r="ET285"/>
  <c r="EU285"/>
  <c r="EV285"/>
  <c r="EW285"/>
  <c r="EX285"/>
  <c r="EY285"/>
  <c r="EZ285"/>
  <c r="FA285"/>
  <c r="FB285"/>
  <c r="FC285"/>
  <c r="FD285"/>
  <c r="FE285"/>
  <c r="FF285"/>
  <c r="FG285"/>
  <c r="FH285"/>
  <c r="FI285"/>
  <c r="FJ285"/>
  <c r="FK285"/>
  <c r="FL285"/>
  <c r="FM285"/>
  <c r="FN285"/>
  <c r="FO285"/>
  <c r="FP285"/>
  <c r="FQ285"/>
  <c r="FR285"/>
  <c r="FS285"/>
  <c r="FT285"/>
  <c r="FU285"/>
  <c r="FV285"/>
  <c r="FW285"/>
  <c r="FX285"/>
  <c r="FY285"/>
  <c r="FZ285"/>
  <c r="GA285"/>
  <c r="GB285"/>
  <c r="GC285"/>
  <c r="GD285"/>
  <c r="GE285"/>
  <c r="GF285"/>
  <c r="GG285"/>
  <c r="GH285"/>
  <c r="GI285"/>
  <c r="GJ285"/>
  <c r="GK285"/>
  <c r="GL285"/>
  <c r="GM285"/>
  <c r="GN285"/>
  <c r="GO285"/>
  <c r="GP285"/>
  <c r="GQ285"/>
  <c r="GR285"/>
  <c r="GS285"/>
  <c r="GT285"/>
  <c r="GU285"/>
  <c r="GV285"/>
  <c r="GW285"/>
  <c r="GX285"/>
  <c r="GY285"/>
  <c r="GZ285"/>
  <c r="HA285"/>
  <c r="HB285"/>
  <c r="HC285"/>
  <c r="HD285"/>
  <c r="HE285"/>
  <c r="HF285"/>
  <c r="HG285"/>
  <c r="HH285"/>
  <c r="HI285"/>
  <c r="HJ285"/>
  <c r="HK285"/>
  <c r="HL285"/>
  <c r="HM285"/>
  <c r="HN285"/>
  <c r="HO285"/>
  <c r="HP285"/>
  <c r="HQ285"/>
  <c r="HR285"/>
  <c r="HS285"/>
  <c r="HT285"/>
  <c r="HU285"/>
  <c r="HV285"/>
  <c r="HW285"/>
  <c r="HX285"/>
  <c r="HY285"/>
  <c r="HZ285"/>
  <c r="IA285"/>
  <c r="IB285"/>
  <c r="IC285"/>
  <c r="ID285"/>
  <c r="IE285"/>
  <c r="IF285"/>
  <c r="IG285"/>
  <c r="IH285"/>
  <c r="II285"/>
  <c r="IJ285"/>
  <c r="IK285"/>
  <c r="IL285"/>
  <c r="IM285"/>
  <c r="IN285"/>
  <c r="IO285"/>
  <c r="IP285"/>
  <c r="IQ285"/>
  <c r="IR285"/>
  <c r="IS285"/>
  <c r="IT285"/>
  <c r="IU285"/>
  <c r="IV285"/>
  <c r="A286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Z286"/>
  <c r="AA286"/>
  <c r="AB286"/>
  <c r="AC286"/>
  <c r="AD286"/>
  <c r="AE286"/>
  <c r="AF286"/>
  <c r="AG286"/>
  <c r="AH286"/>
  <c r="AI286"/>
  <c r="AJ286"/>
  <c r="AK286"/>
  <c r="AL286"/>
  <c r="AM286"/>
  <c r="AN286"/>
  <c r="AO286"/>
  <c r="AP286"/>
  <c r="AQ286"/>
  <c r="AR286"/>
  <c r="AS286"/>
  <c r="AT286"/>
  <c r="AU286"/>
  <c r="AV286"/>
  <c r="AW286"/>
  <c r="AX286"/>
  <c r="AY286"/>
  <c r="AZ286"/>
  <c r="BA286"/>
  <c r="BB286"/>
  <c r="BC286"/>
  <c r="BD286"/>
  <c r="BE286"/>
  <c r="BF286"/>
  <c r="BG286"/>
  <c r="BH286"/>
  <c r="BI286"/>
  <c r="BJ286"/>
  <c r="BK286"/>
  <c r="BL286"/>
  <c r="BM286"/>
  <c r="BN286"/>
  <c r="BO286"/>
  <c r="BP286"/>
  <c r="BQ286"/>
  <c r="BR286"/>
  <c r="BS286"/>
  <c r="BT286"/>
  <c r="BU286"/>
  <c r="BV286"/>
  <c r="BW286"/>
  <c r="BX286"/>
  <c r="BY286"/>
  <c r="BZ286"/>
  <c r="CA286"/>
  <c r="CB286"/>
  <c r="CC286"/>
  <c r="CD286"/>
  <c r="CE286"/>
  <c r="CF286"/>
  <c r="CG286"/>
  <c r="CH286"/>
  <c r="CI286"/>
  <c r="CJ286"/>
  <c r="CK286"/>
  <c r="CL286"/>
  <c r="CM286"/>
  <c r="CN286"/>
  <c r="CO286"/>
  <c r="CP286"/>
  <c r="CQ286"/>
  <c r="CR286"/>
  <c r="CS286"/>
  <c r="CT286"/>
  <c r="CU286"/>
  <c r="CV286"/>
  <c r="CW286"/>
  <c r="CX286"/>
  <c r="CY286"/>
  <c r="CZ286"/>
  <c r="DA286"/>
  <c r="DB286"/>
  <c r="DC286"/>
  <c r="DD286"/>
  <c r="DE286"/>
  <c r="DF286"/>
  <c r="DG286"/>
  <c r="DH286"/>
  <c r="DI286"/>
  <c r="DJ286"/>
  <c r="DK286"/>
  <c r="DL286"/>
  <c r="DM286"/>
  <c r="DN286"/>
  <c r="DO286"/>
  <c r="DP286"/>
  <c r="DQ286"/>
  <c r="DR286"/>
  <c r="DS286"/>
  <c r="DT286"/>
  <c r="DU286"/>
  <c r="DV286"/>
  <c r="DW286"/>
  <c r="DX286"/>
  <c r="DY286"/>
  <c r="DZ286"/>
  <c r="EA286"/>
  <c r="EB286"/>
  <c r="EC286"/>
  <c r="ED286"/>
  <c r="EE286"/>
  <c r="EF286"/>
  <c r="EG286"/>
  <c r="EH286"/>
  <c r="EI286"/>
  <c r="EJ286"/>
  <c r="EK286"/>
  <c r="EL286"/>
  <c r="EM286"/>
  <c r="EN286"/>
  <c r="EO286"/>
  <c r="EP286"/>
  <c r="EQ286"/>
  <c r="ER286"/>
  <c r="ES286"/>
  <c r="ET286"/>
  <c r="EU286"/>
  <c r="EV286"/>
  <c r="EW286"/>
  <c r="EX286"/>
  <c r="EY286"/>
  <c r="EZ286"/>
  <c r="FA286"/>
  <c r="FB286"/>
  <c r="FC286"/>
  <c r="FD286"/>
  <c r="FE286"/>
  <c r="FF286"/>
  <c r="FG286"/>
  <c r="FH286"/>
  <c r="FI286"/>
  <c r="FJ286"/>
  <c r="FK286"/>
  <c r="FL286"/>
  <c r="FM286"/>
  <c r="FN286"/>
  <c r="FO286"/>
  <c r="FP286"/>
  <c r="FQ286"/>
  <c r="FR286"/>
  <c r="FS286"/>
  <c r="FT286"/>
  <c r="FU286"/>
  <c r="FV286"/>
  <c r="FW286"/>
  <c r="FX286"/>
  <c r="FY286"/>
  <c r="FZ286"/>
  <c r="GA286"/>
  <c r="GB286"/>
  <c r="GC286"/>
  <c r="GD286"/>
  <c r="GE286"/>
  <c r="GF286"/>
  <c r="GG286"/>
  <c r="GH286"/>
  <c r="GI286"/>
  <c r="GJ286"/>
  <c r="GK286"/>
  <c r="GL286"/>
  <c r="GM286"/>
  <c r="GN286"/>
  <c r="GO286"/>
  <c r="GP286"/>
  <c r="GQ286"/>
  <c r="GR286"/>
  <c r="GS286"/>
  <c r="GT286"/>
  <c r="GU286"/>
  <c r="GV286"/>
  <c r="GW286"/>
  <c r="GX286"/>
  <c r="GY286"/>
  <c r="GZ286"/>
  <c r="HA286"/>
  <c r="HB286"/>
  <c r="HC286"/>
  <c r="HD286"/>
  <c r="HE286"/>
  <c r="HF286"/>
  <c r="HG286"/>
  <c r="HH286"/>
  <c r="HI286"/>
  <c r="HJ286"/>
  <c r="HK286"/>
  <c r="HL286"/>
  <c r="HM286"/>
  <c r="HN286"/>
  <c r="HO286"/>
  <c r="HP286"/>
  <c r="HQ286"/>
  <c r="HR286"/>
  <c r="HS286"/>
  <c r="HT286"/>
  <c r="HU286"/>
  <c r="HV286"/>
  <c r="HW286"/>
  <c r="HX286"/>
  <c r="HY286"/>
  <c r="HZ286"/>
  <c r="IA286"/>
  <c r="IB286"/>
  <c r="IC286"/>
  <c r="ID286"/>
  <c r="IE286"/>
  <c r="IF286"/>
  <c r="IG286"/>
  <c r="IH286"/>
  <c r="II286"/>
  <c r="IJ286"/>
  <c r="IK286"/>
  <c r="IL286"/>
  <c r="IM286"/>
  <c r="IN286"/>
  <c r="IO286"/>
  <c r="IP286"/>
  <c r="IQ286"/>
  <c r="IR286"/>
  <c r="IS286"/>
  <c r="IT286"/>
  <c r="IU286"/>
  <c r="IV286"/>
  <c r="A287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Z287"/>
  <c r="AA287"/>
  <c r="AB287"/>
  <c r="AC287"/>
  <c r="AD287"/>
  <c r="AE287"/>
  <c r="AF287"/>
  <c r="AG287"/>
  <c r="AH287"/>
  <c r="AI287"/>
  <c r="AJ287"/>
  <c r="AK287"/>
  <c r="AL287"/>
  <c r="AM287"/>
  <c r="AN287"/>
  <c r="AO287"/>
  <c r="AP287"/>
  <c r="AQ287"/>
  <c r="AR287"/>
  <c r="AS287"/>
  <c r="AT287"/>
  <c r="AU287"/>
  <c r="AV287"/>
  <c r="AW287"/>
  <c r="AX287"/>
  <c r="AY287"/>
  <c r="AZ287"/>
  <c r="BA287"/>
  <c r="BB287"/>
  <c r="BC287"/>
  <c r="BD287"/>
  <c r="BE287"/>
  <c r="BF287"/>
  <c r="BG287"/>
  <c r="BH287"/>
  <c r="BI287"/>
  <c r="BJ287"/>
  <c r="BK287"/>
  <c r="BL287"/>
  <c r="BM287"/>
  <c r="BN287"/>
  <c r="BO287"/>
  <c r="BP287"/>
  <c r="BQ287"/>
  <c r="BR287"/>
  <c r="BS287"/>
  <c r="BT287"/>
  <c r="BU287"/>
  <c r="BV287"/>
  <c r="BW287"/>
  <c r="BX287"/>
  <c r="BY287"/>
  <c r="BZ287"/>
  <c r="CA287"/>
  <c r="CB287"/>
  <c r="CC287"/>
  <c r="CD287"/>
  <c r="CE287"/>
  <c r="CF287"/>
  <c r="CG287"/>
  <c r="CH287"/>
  <c r="CI287"/>
  <c r="CJ287"/>
  <c r="CK287"/>
  <c r="CL287"/>
  <c r="CM287"/>
  <c r="CN287"/>
  <c r="CO287"/>
  <c r="CP287"/>
  <c r="CQ287"/>
  <c r="CR287"/>
  <c r="CS287"/>
  <c r="CT287"/>
  <c r="CU287"/>
  <c r="CV287"/>
  <c r="CW287"/>
  <c r="CX287"/>
  <c r="CY287"/>
  <c r="CZ287"/>
  <c r="DA287"/>
  <c r="DB287"/>
  <c r="DC287"/>
  <c r="DD287"/>
  <c r="DE287"/>
  <c r="DF287"/>
  <c r="DG287"/>
  <c r="DH287"/>
  <c r="DI287"/>
  <c r="DJ287"/>
  <c r="DK287"/>
  <c r="DL287"/>
  <c r="DM287"/>
  <c r="DN287"/>
  <c r="DO287"/>
  <c r="DP287"/>
  <c r="DQ287"/>
  <c r="DR287"/>
  <c r="DS287"/>
  <c r="DT287"/>
  <c r="DU287"/>
  <c r="DV287"/>
  <c r="DW287"/>
  <c r="DX287"/>
  <c r="DY287"/>
  <c r="DZ287"/>
  <c r="EA287"/>
  <c r="EB287"/>
  <c r="EC287"/>
  <c r="ED287"/>
  <c r="EE287"/>
  <c r="EF287"/>
  <c r="EG287"/>
  <c r="EH287"/>
  <c r="EI287"/>
  <c r="EJ287"/>
  <c r="EK287"/>
  <c r="EL287"/>
  <c r="EM287"/>
  <c r="EN287"/>
  <c r="EO287"/>
  <c r="EP287"/>
  <c r="EQ287"/>
  <c r="ER287"/>
  <c r="ES287"/>
  <c r="ET287"/>
  <c r="EU287"/>
  <c r="EV287"/>
  <c r="EW287"/>
  <c r="EX287"/>
  <c r="EY287"/>
  <c r="EZ287"/>
  <c r="FA287"/>
  <c r="FB287"/>
  <c r="FC287"/>
  <c r="FD287"/>
  <c r="FE287"/>
  <c r="FF287"/>
  <c r="FG287"/>
  <c r="FH287"/>
  <c r="FI287"/>
  <c r="FJ287"/>
  <c r="FK287"/>
  <c r="FL287"/>
  <c r="FM287"/>
  <c r="FN287"/>
  <c r="FO287"/>
  <c r="FP287"/>
  <c r="FQ287"/>
  <c r="FR287"/>
  <c r="FS287"/>
  <c r="FT287"/>
  <c r="FU287"/>
  <c r="FV287"/>
  <c r="FW287"/>
  <c r="FX287"/>
  <c r="FY287"/>
  <c r="FZ287"/>
  <c r="GA287"/>
  <c r="GB287"/>
  <c r="GC287"/>
  <c r="GD287"/>
  <c r="GE287"/>
  <c r="GF287"/>
  <c r="GG287"/>
  <c r="GH287"/>
  <c r="GI287"/>
  <c r="GJ287"/>
  <c r="GK287"/>
  <c r="GL287"/>
  <c r="GM287"/>
  <c r="GN287"/>
  <c r="GO287"/>
  <c r="GP287"/>
  <c r="GQ287"/>
  <c r="GR287"/>
  <c r="GS287"/>
  <c r="GT287"/>
  <c r="GU287"/>
  <c r="GV287"/>
  <c r="GW287"/>
  <c r="GX287"/>
  <c r="GY287"/>
  <c r="GZ287"/>
  <c r="HA287"/>
  <c r="HB287"/>
  <c r="HC287"/>
  <c r="HD287"/>
  <c r="HE287"/>
  <c r="HF287"/>
  <c r="HG287"/>
  <c r="HH287"/>
  <c r="HI287"/>
  <c r="HJ287"/>
  <c r="HK287"/>
  <c r="HL287"/>
  <c r="HM287"/>
  <c r="HN287"/>
  <c r="HO287"/>
  <c r="HP287"/>
  <c r="HQ287"/>
  <c r="HR287"/>
  <c r="HS287"/>
  <c r="HT287"/>
  <c r="HU287"/>
  <c r="HV287"/>
  <c r="HW287"/>
  <c r="HX287"/>
  <c r="HY287"/>
  <c r="HZ287"/>
  <c r="IA287"/>
  <c r="IB287"/>
  <c r="IC287"/>
  <c r="ID287"/>
  <c r="IE287"/>
  <c r="IF287"/>
  <c r="IG287"/>
  <c r="IH287"/>
  <c r="II287"/>
  <c r="IJ287"/>
  <c r="IK287"/>
  <c r="IL287"/>
  <c r="IM287"/>
  <c r="IN287"/>
  <c r="IO287"/>
  <c r="IP287"/>
  <c r="IQ287"/>
  <c r="IR287"/>
  <c r="IS287"/>
  <c r="IT287"/>
  <c r="IU287"/>
  <c r="IV287"/>
  <c r="A288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Z288"/>
  <c r="AA288"/>
  <c r="AB288"/>
  <c r="AC288"/>
  <c r="AD288"/>
  <c r="AE288"/>
  <c r="AF288"/>
  <c r="AG288"/>
  <c r="AH288"/>
  <c r="AI288"/>
  <c r="AJ288"/>
  <c r="AK288"/>
  <c r="AL288"/>
  <c r="AM288"/>
  <c r="AN288"/>
  <c r="AO288"/>
  <c r="AP288"/>
  <c r="AQ288"/>
  <c r="AR288"/>
  <c r="AS288"/>
  <c r="AT288"/>
  <c r="AU288"/>
  <c r="AV288"/>
  <c r="AW288"/>
  <c r="AX288"/>
  <c r="AY288"/>
  <c r="AZ288"/>
  <c r="BA288"/>
  <c r="BB288"/>
  <c r="BC288"/>
  <c r="BD288"/>
  <c r="BE288"/>
  <c r="BF288"/>
  <c r="BG288"/>
  <c r="BH288"/>
  <c r="BI288"/>
  <c r="BJ288"/>
  <c r="BK288"/>
  <c r="BL288"/>
  <c r="BM288"/>
  <c r="BN288"/>
  <c r="BO288"/>
  <c r="BP288"/>
  <c r="BQ288"/>
  <c r="BR288"/>
  <c r="BS288"/>
  <c r="BT288"/>
  <c r="BU288"/>
  <c r="BV288"/>
  <c r="BW288"/>
  <c r="BX288"/>
  <c r="BY288"/>
  <c r="BZ288"/>
  <c r="CA288"/>
  <c r="CB288"/>
  <c r="CC288"/>
  <c r="CD288"/>
  <c r="CE288"/>
  <c r="CF288"/>
  <c r="CG288"/>
  <c r="CH288"/>
  <c r="CI288"/>
  <c r="CJ288"/>
  <c r="CK288"/>
  <c r="CL288"/>
  <c r="CM288"/>
  <c r="CN288"/>
  <c r="CO288"/>
  <c r="CP288"/>
  <c r="CQ288"/>
  <c r="CR288"/>
  <c r="CS288"/>
  <c r="CT288"/>
  <c r="CU288"/>
  <c r="CV288"/>
  <c r="CW288"/>
  <c r="CX288"/>
  <c r="CY288"/>
  <c r="CZ288"/>
  <c r="DA288"/>
  <c r="DB288"/>
  <c r="DC288"/>
  <c r="DD288"/>
  <c r="DE288"/>
  <c r="DF288"/>
  <c r="DG288"/>
  <c r="DH288"/>
  <c r="DI288"/>
  <c r="DJ288"/>
  <c r="DK288"/>
  <c r="DL288"/>
  <c r="DM288"/>
  <c r="DN288"/>
  <c r="DO288"/>
  <c r="DP288"/>
  <c r="DQ288"/>
  <c r="DR288"/>
  <c r="DS288"/>
  <c r="DT288"/>
  <c r="DU288"/>
  <c r="DV288"/>
  <c r="DW288"/>
  <c r="DX288"/>
  <c r="DY288"/>
  <c r="DZ288"/>
  <c r="EA288"/>
  <c r="EB288"/>
  <c r="EC288"/>
  <c r="ED288"/>
  <c r="EE288"/>
  <c r="EF288"/>
  <c r="EG288"/>
  <c r="EH288"/>
  <c r="EI288"/>
  <c r="EJ288"/>
  <c r="EK288"/>
  <c r="EL288"/>
  <c r="EM288"/>
  <c r="EN288"/>
  <c r="EO288"/>
  <c r="EP288"/>
  <c r="EQ288"/>
  <c r="ER288"/>
  <c r="ES288"/>
  <c r="ET288"/>
  <c r="EU288"/>
  <c r="EV288"/>
  <c r="EW288"/>
  <c r="EX288"/>
  <c r="EY288"/>
  <c r="EZ288"/>
  <c r="FA288"/>
  <c r="FB288"/>
  <c r="FC288"/>
  <c r="FD288"/>
  <c r="FE288"/>
  <c r="FF288"/>
  <c r="FG288"/>
  <c r="FH288"/>
  <c r="FI288"/>
  <c r="FJ288"/>
  <c r="FK288"/>
  <c r="FL288"/>
  <c r="FM288"/>
  <c r="FN288"/>
  <c r="FO288"/>
  <c r="FP288"/>
  <c r="FQ288"/>
  <c r="FR288"/>
  <c r="FS288"/>
  <c r="FT288"/>
  <c r="FU288"/>
  <c r="FV288"/>
  <c r="FW288"/>
  <c r="FX288"/>
  <c r="FY288"/>
  <c r="FZ288"/>
  <c r="GA288"/>
  <c r="GB288"/>
  <c r="GC288"/>
  <c r="GD288"/>
  <c r="GE288"/>
  <c r="GF288"/>
  <c r="GG288"/>
  <c r="GH288"/>
  <c r="GI288"/>
  <c r="GJ288"/>
  <c r="GK288"/>
  <c r="GL288"/>
  <c r="GM288"/>
  <c r="GN288"/>
  <c r="GO288"/>
  <c r="GP288"/>
  <c r="GQ288"/>
  <c r="GR288"/>
  <c r="GS288"/>
  <c r="GT288"/>
  <c r="GU288"/>
  <c r="GV288"/>
  <c r="GW288"/>
  <c r="GX288"/>
  <c r="GY288"/>
  <c r="GZ288"/>
  <c r="HA288"/>
  <c r="HB288"/>
  <c r="HC288"/>
  <c r="HD288"/>
  <c r="HE288"/>
  <c r="HF288"/>
  <c r="HG288"/>
  <c r="HH288"/>
  <c r="HI288"/>
  <c r="HJ288"/>
  <c r="HK288"/>
  <c r="HL288"/>
  <c r="HM288"/>
  <c r="HN288"/>
  <c r="HO288"/>
  <c r="HP288"/>
  <c r="HQ288"/>
  <c r="HR288"/>
  <c r="HS288"/>
  <c r="HT288"/>
  <c r="HU288"/>
  <c r="HV288"/>
  <c r="HW288"/>
  <c r="HX288"/>
  <c r="HY288"/>
  <c r="HZ288"/>
  <c r="IA288"/>
  <c r="IB288"/>
  <c r="IC288"/>
  <c r="ID288"/>
  <c r="IE288"/>
  <c r="IF288"/>
  <c r="IG288"/>
  <c r="IH288"/>
  <c r="II288"/>
  <c r="IJ288"/>
  <c r="IK288"/>
  <c r="IL288"/>
  <c r="IM288"/>
  <c r="IN288"/>
  <c r="IO288"/>
  <c r="IP288"/>
  <c r="IQ288"/>
  <c r="IR288"/>
  <c r="IS288"/>
  <c r="IT288"/>
  <c r="IU288"/>
  <c r="IV288"/>
  <c r="A289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Z289"/>
  <c r="AA289"/>
  <c r="AB289"/>
  <c r="AC289"/>
  <c r="AD289"/>
  <c r="AE289"/>
  <c r="AF289"/>
  <c r="AG289"/>
  <c r="AH289"/>
  <c r="AI289"/>
  <c r="AJ289"/>
  <c r="AK289"/>
  <c r="AL289"/>
  <c r="AM289"/>
  <c r="AN289"/>
  <c r="AO289"/>
  <c r="AP289"/>
  <c r="AQ289"/>
  <c r="AR289"/>
  <c r="AS289"/>
  <c r="AT289"/>
  <c r="AU289"/>
  <c r="AV289"/>
  <c r="AW289"/>
  <c r="AX289"/>
  <c r="AY289"/>
  <c r="AZ289"/>
  <c r="BA289"/>
  <c r="BB289"/>
  <c r="BC289"/>
  <c r="BD289"/>
  <c r="BE289"/>
  <c r="BF289"/>
  <c r="BG289"/>
  <c r="BH289"/>
  <c r="BI289"/>
  <c r="BJ289"/>
  <c r="BK289"/>
  <c r="BL289"/>
  <c r="BM289"/>
  <c r="BN289"/>
  <c r="BO289"/>
  <c r="BP289"/>
  <c r="BQ289"/>
  <c r="BR289"/>
  <c r="BS289"/>
  <c r="BT289"/>
  <c r="BU289"/>
  <c r="BV289"/>
  <c r="BW289"/>
  <c r="BX289"/>
  <c r="BY289"/>
  <c r="BZ289"/>
  <c r="CA289"/>
  <c r="CB289"/>
  <c r="CC289"/>
  <c r="CD289"/>
  <c r="CE289"/>
  <c r="CF289"/>
  <c r="CG289"/>
  <c r="CH289"/>
  <c r="CI289"/>
  <c r="CJ289"/>
  <c r="CK289"/>
  <c r="CL289"/>
  <c r="CM289"/>
  <c r="CN289"/>
  <c r="CO289"/>
  <c r="CP289"/>
  <c r="CQ289"/>
  <c r="CR289"/>
  <c r="CS289"/>
  <c r="CT289"/>
  <c r="CU289"/>
  <c r="CV289"/>
  <c r="CW289"/>
  <c r="CX289"/>
  <c r="CY289"/>
  <c r="CZ289"/>
  <c r="DA289"/>
  <c r="DB289"/>
  <c r="DC289"/>
  <c r="DD289"/>
  <c r="DE289"/>
  <c r="DF289"/>
  <c r="DG289"/>
  <c r="DH289"/>
  <c r="DI289"/>
  <c r="DJ289"/>
  <c r="DK289"/>
  <c r="DL289"/>
  <c r="DM289"/>
  <c r="DN289"/>
  <c r="DO289"/>
  <c r="DP289"/>
  <c r="DQ289"/>
  <c r="DR289"/>
  <c r="DS289"/>
  <c r="DT289"/>
  <c r="DU289"/>
  <c r="DV289"/>
  <c r="DW289"/>
  <c r="DX289"/>
  <c r="DY289"/>
  <c r="DZ289"/>
  <c r="EA289"/>
  <c r="EB289"/>
  <c r="EC289"/>
  <c r="ED289"/>
  <c r="EE289"/>
  <c r="EF289"/>
  <c r="EG289"/>
  <c r="EH289"/>
  <c r="EI289"/>
  <c r="EJ289"/>
  <c r="EK289"/>
  <c r="EL289"/>
  <c r="EM289"/>
  <c r="EN289"/>
  <c r="EO289"/>
  <c r="EP289"/>
  <c r="EQ289"/>
  <c r="ER289"/>
  <c r="ES289"/>
  <c r="ET289"/>
  <c r="EU289"/>
  <c r="EV289"/>
  <c r="EW289"/>
  <c r="EX289"/>
  <c r="EY289"/>
  <c r="EZ289"/>
  <c r="FA289"/>
  <c r="FB289"/>
  <c r="FC289"/>
  <c r="FD289"/>
  <c r="FE289"/>
  <c r="FF289"/>
  <c r="FG289"/>
  <c r="FH289"/>
  <c r="FI289"/>
  <c r="FJ289"/>
  <c r="FK289"/>
  <c r="FL289"/>
  <c r="FM289"/>
  <c r="FN289"/>
  <c r="FO289"/>
  <c r="FP289"/>
  <c r="FQ289"/>
  <c r="FR289"/>
  <c r="FS289"/>
  <c r="FT289"/>
  <c r="FU289"/>
  <c r="FV289"/>
  <c r="FW289"/>
  <c r="FX289"/>
  <c r="FY289"/>
  <c r="FZ289"/>
  <c r="GA289"/>
  <c r="GB289"/>
  <c r="GC289"/>
  <c r="GD289"/>
  <c r="GE289"/>
  <c r="GF289"/>
  <c r="GG289"/>
  <c r="GH289"/>
  <c r="GI289"/>
  <c r="GJ289"/>
  <c r="GK289"/>
  <c r="GL289"/>
  <c r="GM289"/>
  <c r="GN289"/>
  <c r="GO289"/>
  <c r="GP289"/>
  <c r="GQ289"/>
  <c r="GR289"/>
  <c r="GS289"/>
  <c r="GT289"/>
  <c r="GU289"/>
  <c r="GV289"/>
  <c r="GW289"/>
  <c r="GX289"/>
  <c r="GY289"/>
  <c r="GZ289"/>
  <c r="HA289"/>
  <c r="HB289"/>
  <c r="HC289"/>
  <c r="HD289"/>
  <c r="HE289"/>
  <c r="HF289"/>
  <c r="HG289"/>
  <c r="HH289"/>
  <c r="HI289"/>
  <c r="HJ289"/>
  <c r="HK289"/>
  <c r="HL289"/>
  <c r="HM289"/>
  <c r="HN289"/>
  <c r="HO289"/>
  <c r="HP289"/>
  <c r="HQ289"/>
  <c r="HR289"/>
  <c r="HS289"/>
  <c r="HT289"/>
  <c r="HU289"/>
  <c r="HV289"/>
  <c r="HW289"/>
  <c r="HX289"/>
  <c r="HY289"/>
  <c r="HZ289"/>
  <c r="IA289"/>
  <c r="IB289"/>
  <c r="IC289"/>
  <c r="ID289"/>
  <c r="IE289"/>
  <c r="IF289"/>
  <c r="IG289"/>
  <c r="IH289"/>
  <c r="II289"/>
  <c r="IJ289"/>
  <c r="IK289"/>
  <c r="IL289"/>
  <c r="IM289"/>
  <c r="IN289"/>
  <c r="IO289"/>
  <c r="IP289"/>
  <c r="IQ289"/>
  <c r="IR289"/>
  <c r="IS289"/>
  <c r="IT289"/>
  <c r="IU289"/>
  <c r="IV289"/>
  <c r="A290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Z290"/>
  <c r="AA290"/>
  <c r="AB290"/>
  <c r="AC290"/>
  <c r="AD290"/>
  <c r="AE290"/>
  <c r="AF290"/>
  <c r="AG290"/>
  <c r="AH290"/>
  <c r="AI290"/>
  <c r="AJ290"/>
  <c r="AK290"/>
  <c r="AL290"/>
  <c r="AM290"/>
  <c r="AN290"/>
  <c r="AO290"/>
  <c r="AP290"/>
  <c r="AQ290"/>
  <c r="AR290"/>
  <c r="AS290"/>
  <c r="AT290"/>
  <c r="AU290"/>
  <c r="AV290"/>
  <c r="AW290"/>
  <c r="AX290"/>
  <c r="AY290"/>
  <c r="AZ290"/>
  <c r="BA290"/>
  <c r="BB290"/>
  <c r="BC290"/>
  <c r="BD290"/>
  <c r="BE290"/>
  <c r="BF290"/>
  <c r="BG290"/>
  <c r="BH290"/>
  <c r="BI290"/>
  <c r="BJ290"/>
  <c r="BK290"/>
  <c r="BL290"/>
  <c r="BM290"/>
  <c r="BN290"/>
  <c r="BO290"/>
  <c r="BP290"/>
  <c r="BQ290"/>
  <c r="BR290"/>
  <c r="BS290"/>
  <c r="BT290"/>
  <c r="BU290"/>
  <c r="BV290"/>
  <c r="BW290"/>
  <c r="BX290"/>
  <c r="BY290"/>
  <c r="BZ290"/>
  <c r="CA290"/>
  <c r="CB290"/>
  <c r="CC290"/>
  <c r="CD290"/>
  <c r="CE290"/>
  <c r="CF290"/>
  <c r="CG290"/>
  <c r="CH290"/>
  <c r="CI290"/>
  <c r="CJ290"/>
  <c r="CK290"/>
  <c r="CL290"/>
  <c r="CM290"/>
  <c r="CN290"/>
  <c r="CO290"/>
  <c r="CP290"/>
  <c r="CQ290"/>
  <c r="CR290"/>
  <c r="CS290"/>
  <c r="CT290"/>
  <c r="CU290"/>
  <c r="CV290"/>
  <c r="CW290"/>
  <c r="CX290"/>
  <c r="CY290"/>
  <c r="CZ290"/>
  <c r="DA290"/>
  <c r="DB290"/>
  <c r="DC290"/>
  <c r="DD290"/>
  <c r="DE290"/>
  <c r="DF290"/>
  <c r="DG290"/>
  <c r="DH290"/>
  <c r="DI290"/>
  <c r="DJ290"/>
  <c r="DK290"/>
  <c r="DL290"/>
  <c r="DM290"/>
  <c r="DN290"/>
  <c r="DO290"/>
  <c r="DP290"/>
  <c r="DQ290"/>
  <c r="DR290"/>
  <c r="DS290"/>
  <c r="DT290"/>
  <c r="DU290"/>
  <c r="DV290"/>
  <c r="DW290"/>
  <c r="DX290"/>
  <c r="DY290"/>
  <c r="DZ290"/>
  <c r="EA290"/>
  <c r="EB290"/>
  <c r="EC290"/>
  <c r="ED290"/>
  <c r="EE290"/>
  <c r="EF290"/>
  <c r="EG290"/>
  <c r="EH290"/>
  <c r="EI290"/>
  <c r="EJ290"/>
  <c r="EK290"/>
  <c r="EL290"/>
  <c r="EM290"/>
  <c r="EN290"/>
  <c r="EO290"/>
  <c r="EP290"/>
  <c r="EQ290"/>
  <c r="ER290"/>
  <c r="ES290"/>
  <c r="ET290"/>
  <c r="EU290"/>
  <c r="EV290"/>
  <c r="EW290"/>
  <c r="EX290"/>
  <c r="EY290"/>
  <c r="EZ290"/>
  <c r="FA290"/>
  <c r="FB290"/>
  <c r="FC290"/>
  <c r="FD290"/>
  <c r="FE290"/>
  <c r="FF290"/>
  <c r="FG290"/>
  <c r="FH290"/>
  <c r="FI290"/>
  <c r="FJ290"/>
  <c r="FK290"/>
  <c r="FL290"/>
  <c r="FM290"/>
  <c r="FN290"/>
  <c r="FO290"/>
  <c r="FP290"/>
  <c r="FQ290"/>
  <c r="FR290"/>
  <c r="FS290"/>
  <c r="FT290"/>
  <c r="FU290"/>
  <c r="FV290"/>
  <c r="FW290"/>
  <c r="FX290"/>
  <c r="FY290"/>
  <c r="FZ290"/>
  <c r="GA290"/>
  <c r="GB290"/>
  <c r="GC290"/>
  <c r="GD290"/>
  <c r="GE290"/>
  <c r="GF290"/>
  <c r="GG290"/>
  <c r="GH290"/>
  <c r="GI290"/>
  <c r="GJ290"/>
  <c r="GK290"/>
  <c r="GL290"/>
  <c r="GM290"/>
  <c r="GN290"/>
  <c r="GO290"/>
  <c r="GP290"/>
  <c r="GQ290"/>
  <c r="GR290"/>
  <c r="GS290"/>
  <c r="GT290"/>
  <c r="GU290"/>
  <c r="GV290"/>
  <c r="GW290"/>
  <c r="GX290"/>
  <c r="GY290"/>
  <c r="GZ290"/>
  <c r="HA290"/>
  <c r="HB290"/>
  <c r="HC290"/>
  <c r="HD290"/>
  <c r="HE290"/>
  <c r="HF290"/>
  <c r="HG290"/>
  <c r="HH290"/>
  <c r="HI290"/>
  <c r="HJ290"/>
  <c r="HK290"/>
  <c r="HL290"/>
  <c r="HM290"/>
  <c r="HN290"/>
  <c r="HO290"/>
  <c r="HP290"/>
  <c r="HQ290"/>
  <c r="HR290"/>
  <c r="HS290"/>
  <c r="HT290"/>
  <c r="HU290"/>
  <c r="HV290"/>
  <c r="HW290"/>
  <c r="HX290"/>
  <c r="HY290"/>
  <c r="HZ290"/>
  <c r="IA290"/>
  <c r="IB290"/>
  <c r="IC290"/>
  <c r="ID290"/>
  <c r="IE290"/>
  <c r="IF290"/>
  <c r="IG290"/>
  <c r="IH290"/>
  <c r="II290"/>
  <c r="IJ290"/>
  <c r="IK290"/>
  <c r="IL290"/>
  <c r="IM290"/>
  <c r="IN290"/>
  <c r="IO290"/>
  <c r="IP290"/>
  <c r="IQ290"/>
  <c r="IR290"/>
  <c r="IS290"/>
  <c r="IT290"/>
  <c r="IU290"/>
  <c r="IV290"/>
  <c r="A291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Z291"/>
  <c r="AA291"/>
  <c r="AB291"/>
  <c r="AC291"/>
  <c r="AD291"/>
  <c r="AE291"/>
  <c r="AF291"/>
  <c r="AG291"/>
  <c r="AH291"/>
  <c r="AI291"/>
  <c r="AJ291"/>
  <c r="AK291"/>
  <c r="AL291"/>
  <c r="AM291"/>
  <c r="AN291"/>
  <c r="AO291"/>
  <c r="AP291"/>
  <c r="AQ291"/>
  <c r="AR291"/>
  <c r="AS291"/>
  <c r="AT291"/>
  <c r="AU291"/>
  <c r="AV291"/>
  <c r="AW291"/>
  <c r="AX291"/>
  <c r="AY291"/>
  <c r="AZ291"/>
  <c r="BA291"/>
  <c r="BB291"/>
  <c r="BC291"/>
  <c r="BD291"/>
  <c r="BE291"/>
  <c r="BF291"/>
  <c r="BG291"/>
  <c r="BH291"/>
  <c r="BI291"/>
  <c r="BJ291"/>
  <c r="BK291"/>
  <c r="BL291"/>
  <c r="BM291"/>
  <c r="BN291"/>
  <c r="BO291"/>
  <c r="BP291"/>
  <c r="BQ291"/>
  <c r="BR291"/>
  <c r="BS291"/>
  <c r="BT291"/>
  <c r="BU291"/>
  <c r="BV291"/>
  <c r="BW291"/>
  <c r="BX291"/>
  <c r="BY291"/>
  <c r="BZ291"/>
  <c r="CA291"/>
  <c r="CB291"/>
  <c r="CC291"/>
  <c r="CD291"/>
  <c r="CE291"/>
  <c r="CF291"/>
  <c r="CG291"/>
  <c r="CH291"/>
  <c r="CI291"/>
  <c r="CJ291"/>
  <c r="CK291"/>
  <c r="CL291"/>
  <c r="CM291"/>
  <c r="CN291"/>
  <c r="CO291"/>
  <c r="CP291"/>
  <c r="CQ291"/>
  <c r="CR291"/>
  <c r="CS291"/>
  <c r="CT291"/>
  <c r="CU291"/>
  <c r="CV291"/>
  <c r="CW291"/>
  <c r="CX291"/>
  <c r="CY291"/>
  <c r="CZ291"/>
  <c r="DA291"/>
  <c r="DB291"/>
  <c r="DC291"/>
  <c r="DD291"/>
  <c r="DE291"/>
  <c r="DF291"/>
  <c r="DG291"/>
  <c r="DH291"/>
  <c r="DI291"/>
  <c r="DJ291"/>
  <c r="DK291"/>
  <c r="DL291"/>
  <c r="DM291"/>
  <c r="DN291"/>
  <c r="DO291"/>
  <c r="DP291"/>
  <c r="DQ291"/>
  <c r="DR291"/>
  <c r="DS291"/>
  <c r="DT291"/>
  <c r="DU291"/>
  <c r="DV291"/>
  <c r="DW291"/>
  <c r="DX291"/>
  <c r="DY291"/>
  <c r="DZ291"/>
  <c r="EA291"/>
  <c r="EB291"/>
  <c r="EC291"/>
  <c r="ED291"/>
  <c r="EE291"/>
  <c r="EF291"/>
  <c r="EG291"/>
  <c r="EH291"/>
  <c r="EI291"/>
  <c r="EJ291"/>
  <c r="EK291"/>
  <c r="EL291"/>
  <c r="EM291"/>
  <c r="EN291"/>
  <c r="EO291"/>
  <c r="EP291"/>
  <c r="EQ291"/>
  <c r="ER291"/>
  <c r="ES291"/>
  <c r="ET291"/>
  <c r="EU291"/>
  <c r="EV291"/>
  <c r="EW291"/>
  <c r="EX291"/>
  <c r="EY291"/>
  <c r="EZ291"/>
  <c r="FA291"/>
  <c r="FB291"/>
  <c r="FC291"/>
  <c r="FD291"/>
  <c r="FE291"/>
  <c r="FF291"/>
  <c r="FG291"/>
  <c r="FH291"/>
  <c r="FI291"/>
  <c r="FJ291"/>
  <c r="FK291"/>
  <c r="FL291"/>
  <c r="FM291"/>
  <c r="FN291"/>
  <c r="FO291"/>
  <c r="FP291"/>
  <c r="FQ291"/>
  <c r="FR291"/>
  <c r="FS291"/>
  <c r="FT291"/>
  <c r="FU291"/>
  <c r="FV291"/>
  <c r="FW291"/>
  <c r="FX291"/>
  <c r="FY291"/>
  <c r="FZ291"/>
  <c r="GA291"/>
  <c r="GB291"/>
  <c r="GC291"/>
  <c r="GD291"/>
  <c r="GE291"/>
  <c r="GF291"/>
  <c r="GG291"/>
  <c r="GH291"/>
  <c r="GI291"/>
  <c r="GJ291"/>
  <c r="GK291"/>
  <c r="GL291"/>
  <c r="GM291"/>
  <c r="GN291"/>
  <c r="GO291"/>
  <c r="GP291"/>
  <c r="GQ291"/>
  <c r="GR291"/>
  <c r="GS291"/>
  <c r="GT291"/>
  <c r="GU291"/>
  <c r="GV291"/>
  <c r="GW291"/>
  <c r="GX291"/>
  <c r="GY291"/>
  <c r="GZ291"/>
  <c r="HA291"/>
  <c r="HB291"/>
  <c r="HC291"/>
  <c r="HD291"/>
  <c r="HE291"/>
  <c r="HF291"/>
  <c r="HG291"/>
  <c r="HH291"/>
  <c r="HI291"/>
  <c r="HJ291"/>
  <c r="HK291"/>
  <c r="HL291"/>
  <c r="HM291"/>
  <c r="HN291"/>
  <c r="HO291"/>
  <c r="HP291"/>
  <c r="HQ291"/>
  <c r="HR291"/>
  <c r="HS291"/>
  <c r="HT291"/>
  <c r="HU291"/>
  <c r="HV291"/>
  <c r="HW291"/>
  <c r="HX291"/>
  <c r="HY291"/>
  <c r="HZ291"/>
  <c r="IA291"/>
  <c r="IB291"/>
  <c r="IC291"/>
  <c r="ID291"/>
  <c r="IE291"/>
  <c r="IF291"/>
  <c r="IG291"/>
  <c r="IH291"/>
  <c r="II291"/>
  <c r="IJ291"/>
  <c r="IK291"/>
  <c r="IL291"/>
  <c r="IM291"/>
  <c r="IN291"/>
  <c r="IO291"/>
  <c r="IP291"/>
  <c r="IQ291"/>
  <c r="IR291"/>
  <c r="IS291"/>
  <c r="IT291"/>
  <c r="IU291"/>
  <c r="IV291"/>
  <c r="A292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Z292"/>
  <c r="AA292"/>
  <c r="AB292"/>
  <c r="AC292"/>
  <c r="AD292"/>
  <c r="AE292"/>
  <c r="AF292"/>
  <c r="AG292"/>
  <c r="AH292"/>
  <c r="AI292"/>
  <c r="AJ292"/>
  <c r="AK292"/>
  <c r="AL292"/>
  <c r="AM292"/>
  <c r="AN292"/>
  <c r="AO292"/>
  <c r="AP292"/>
  <c r="AQ292"/>
  <c r="AR292"/>
  <c r="AS292"/>
  <c r="AT292"/>
  <c r="AU292"/>
  <c r="AV292"/>
  <c r="AW292"/>
  <c r="AX292"/>
  <c r="AY292"/>
  <c r="AZ292"/>
  <c r="BA292"/>
  <c r="BB292"/>
  <c r="BC292"/>
  <c r="BD292"/>
  <c r="BE292"/>
  <c r="BF292"/>
  <c r="BG292"/>
  <c r="BH292"/>
  <c r="BI292"/>
  <c r="BJ292"/>
  <c r="BK292"/>
  <c r="BL292"/>
  <c r="BM292"/>
  <c r="BN292"/>
  <c r="BO292"/>
  <c r="BP292"/>
  <c r="BQ292"/>
  <c r="BR292"/>
  <c r="BS292"/>
  <c r="BT292"/>
  <c r="BU292"/>
  <c r="BV292"/>
  <c r="BW292"/>
  <c r="BX292"/>
  <c r="BY292"/>
  <c r="BZ292"/>
  <c r="CA292"/>
  <c r="CB292"/>
  <c r="CC292"/>
  <c r="CD292"/>
  <c r="CE292"/>
  <c r="CF292"/>
  <c r="CG292"/>
  <c r="CH292"/>
  <c r="CI292"/>
  <c r="CJ292"/>
  <c r="CK292"/>
  <c r="CL292"/>
  <c r="CM292"/>
  <c r="CN292"/>
  <c r="CO292"/>
  <c r="CP292"/>
  <c r="CQ292"/>
  <c r="CR292"/>
  <c r="CS292"/>
  <c r="CT292"/>
  <c r="CU292"/>
  <c r="CV292"/>
  <c r="CW292"/>
  <c r="CX292"/>
  <c r="CY292"/>
  <c r="CZ292"/>
  <c r="DA292"/>
  <c r="DB292"/>
  <c r="DC292"/>
  <c r="DD292"/>
  <c r="DE292"/>
  <c r="DF292"/>
  <c r="DG292"/>
  <c r="DH292"/>
  <c r="DI292"/>
  <c r="DJ292"/>
  <c r="DK292"/>
  <c r="DL292"/>
  <c r="DM292"/>
  <c r="DN292"/>
  <c r="DO292"/>
  <c r="DP292"/>
  <c r="DQ292"/>
  <c r="DR292"/>
  <c r="DS292"/>
  <c r="DT292"/>
  <c r="DU292"/>
  <c r="DV292"/>
  <c r="DW292"/>
  <c r="DX292"/>
  <c r="DY292"/>
  <c r="DZ292"/>
  <c r="EA292"/>
  <c r="EB292"/>
  <c r="EC292"/>
  <c r="ED292"/>
  <c r="EE292"/>
  <c r="EF292"/>
  <c r="EG292"/>
  <c r="EH292"/>
  <c r="EI292"/>
  <c r="EJ292"/>
  <c r="EK292"/>
  <c r="EL292"/>
  <c r="EM292"/>
  <c r="EN292"/>
  <c r="EO292"/>
  <c r="EP292"/>
  <c r="EQ292"/>
  <c r="ER292"/>
  <c r="ES292"/>
  <c r="ET292"/>
  <c r="EU292"/>
  <c r="EV292"/>
  <c r="EW292"/>
  <c r="EX292"/>
  <c r="EY292"/>
  <c r="EZ292"/>
  <c r="FA292"/>
  <c r="FB292"/>
  <c r="FC292"/>
  <c r="FD292"/>
  <c r="FE292"/>
  <c r="FF292"/>
  <c r="FG292"/>
  <c r="FH292"/>
  <c r="FI292"/>
  <c r="FJ292"/>
  <c r="FK292"/>
  <c r="FL292"/>
  <c r="FM292"/>
  <c r="FN292"/>
  <c r="FO292"/>
  <c r="FP292"/>
  <c r="FQ292"/>
  <c r="FR292"/>
  <c r="FS292"/>
  <c r="FT292"/>
  <c r="FU292"/>
  <c r="FV292"/>
  <c r="FW292"/>
  <c r="FX292"/>
  <c r="FY292"/>
  <c r="FZ292"/>
  <c r="GA292"/>
  <c r="GB292"/>
  <c r="GC292"/>
  <c r="GD292"/>
  <c r="GE292"/>
  <c r="GF292"/>
  <c r="GG292"/>
  <c r="GH292"/>
  <c r="GI292"/>
  <c r="GJ292"/>
  <c r="GK292"/>
  <c r="GL292"/>
  <c r="GM292"/>
  <c r="GN292"/>
  <c r="GO292"/>
  <c r="GP292"/>
  <c r="GQ292"/>
  <c r="GR292"/>
  <c r="GS292"/>
  <c r="GT292"/>
  <c r="GU292"/>
  <c r="GV292"/>
  <c r="GW292"/>
  <c r="GX292"/>
  <c r="GY292"/>
  <c r="GZ292"/>
  <c r="HA292"/>
  <c r="HB292"/>
  <c r="HC292"/>
  <c r="HD292"/>
  <c r="HE292"/>
  <c r="HF292"/>
  <c r="HG292"/>
  <c r="HH292"/>
  <c r="HI292"/>
  <c r="HJ292"/>
  <c r="HK292"/>
  <c r="HL292"/>
  <c r="HM292"/>
  <c r="HN292"/>
  <c r="HO292"/>
  <c r="HP292"/>
  <c r="HQ292"/>
  <c r="HR292"/>
  <c r="HS292"/>
  <c r="HT292"/>
  <c r="HU292"/>
  <c r="HV292"/>
  <c r="HW292"/>
  <c r="HX292"/>
  <c r="HY292"/>
  <c r="HZ292"/>
  <c r="IA292"/>
  <c r="IB292"/>
  <c r="IC292"/>
  <c r="ID292"/>
  <c r="IE292"/>
  <c r="IF292"/>
  <c r="IG292"/>
  <c r="IH292"/>
  <c r="II292"/>
  <c r="IJ292"/>
  <c r="IK292"/>
  <c r="IL292"/>
  <c r="IM292"/>
  <c r="IN292"/>
  <c r="IO292"/>
  <c r="IP292"/>
  <c r="IQ292"/>
  <c r="IR292"/>
  <c r="IS292"/>
  <c r="IT292"/>
  <c r="IU292"/>
  <c r="IV292"/>
  <c r="A293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Z293"/>
  <c r="AA293"/>
  <c r="AB293"/>
  <c r="AC293"/>
  <c r="AD293"/>
  <c r="AE293"/>
  <c r="AF293"/>
  <c r="AG293"/>
  <c r="AH293"/>
  <c r="AI293"/>
  <c r="AJ293"/>
  <c r="AK293"/>
  <c r="AL293"/>
  <c r="AM293"/>
  <c r="AN293"/>
  <c r="AO293"/>
  <c r="AP293"/>
  <c r="AQ293"/>
  <c r="AR293"/>
  <c r="AS293"/>
  <c r="AT293"/>
  <c r="AU293"/>
  <c r="AV293"/>
  <c r="AW293"/>
  <c r="AX293"/>
  <c r="AY293"/>
  <c r="AZ293"/>
  <c r="BA293"/>
  <c r="BB293"/>
  <c r="BC293"/>
  <c r="BD293"/>
  <c r="BE293"/>
  <c r="BF293"/>
  <c r="BG293"/>
  <c r="BH293"/>
  <c r="BI293"/>
  <c r="BJ293"/>
  <c r="BK293"/>
  <c r="BL293"/>
  <c r="BM293"/>
  <c r="BN293"/>
  <c r="BO293"/>
  <c r="BP293"/>
  <c r="BQ293"/>
  <c r="BR293"/>
  <c r="BS293"/>
  <c r="BT293"/>
  <c r="BU293"/>
  <c r="BV293"/>
  <c r="BW293"/>
  <c r="BX293"/>
  <c r="BY293"/>
  <c r="BZ293"/>
  <c r="CA293"/>
  <c r="CB293"/>
  <c r="CC293"/>
  <c r="CD293"/>
  <c r="CE293"/>
  <c r="CF293"/>
  <c r="CG293"/>
  <c r="CH293"/>
  <c r="CI293"/>
  <c r="CJ293"/>
  <c r="CK293"/>
  <c r="CL293"/>
  <c r="CM293"/>
  <c r="CN293"/>
  <c r="CO293"/>
  <c r="CP293"/>
  <c r="CQ293"/>
  <c r="CR293"/>
  <c r="CS293"/>
  <c r="CT293"/>
  <c r="CU293"/>
  <c r="CV293"/>
  <c r="CW293"/>
  <c r="CX293"/>
  <c r="CY293"/>
  <c r="CZ293"/>
  <c r="DA293"/>
  <c r="DB293"/>
  <c r="DC293"/>
  <c r="DD293"/>
  <c r="DE293"/>
  <c r="DF293"/>
  <c r="DG293"/>
  <c r="DH293"/>
  <c r="DI293"/>
  <c r="DJ293"/>
  <c r="DK293"/>
  <c r="DL293"/>
  <c r="DM293"/>
  <c r="DN293"/>
  <c r="DO293"/>
  <c r="DP293"/>
  <c r="DQ293"/>
  <c r="DR293"/>
  <c r="DS293"/>
  <c r="DT293"/>
  <c r="DU293"/>
  <c r="DV293"/>
  <c r="DW293"/>
  <c r="DX293"/>
  <c r="DY293"/>
  <c r="DZ293"/>
  <c r="EA293"/>
  <c r="EB293"/>
  <c r="EC293"/>
  <c r="ED293"/>
  <c r="EE293"/>
  <c r="EF293"/>
  <c r="EG293"/>
  <c r="EH293"/>
  <c r="EI293"/>
  <c r="EJ293"/>
  <c r="EK293"/>
  <c r="EL293"/>
  <c r="EM293"/>
  <c r="EN293"/>
  <c r="EO293"/>
  <c r="EP293"/>
  <c r="EQ293"/>
  <c r="ER293"/>
  <c r="ES293"/>
  <c r="ET293"/>
  <c r="EU293"/>
  <c r="EV293"/>
  <c r="EW293"/>
  <c r="EX293"/>
  <c r="EY293"/>
  <c r="EZ293"/>
  <c r="FA293"/>
  <c r="FB293"/>
  <c r="FC293"/>
  <c r="FD293"/>
  <c r="FE293"/>
  <c r="FF293"/>
  <c r="FG293"/>
  <c r="FH293"/>
  <c r="FI293"/>
  <c r="FJ293"/>
  <c r="FK293"/>
  <c r="FL293"/>
  <c r="FM293"/>
  <c r="FN293"/>
  <c r="FO293"/>
  <c r="FP293"/>
  <c r="FQ293"/>
  <c r="FR293"/>
  <c r="FS293"/>
  <c r="FT293"/>
  <c r="FU293"/>
  <c r="FV293"/>
  <c r="FW293"/>
  <c r="FX293"/>
  <c r="FY293"/>
  <c r="FZ293"/>
  <c r="GA293"/>
  <c r="GB293"/>
  <c r="GC293"/>
  <c r="GD293"/>
  <c r="GE293"/>
  <c r="GF293"/>
  <c r="GG293"/>
  <c r="GH293"/>
  <c r="GI293"/>
  <c r="GJ293"/>
  <c r="GK293"/>
  <c r="GL293"/>
  <c r="GM293"/>
  <c r="GN293"/>
  <c r="GO293"/>
  <c r="GP293"/>
  <c r="GQ293"/>
  <c r="GR293"/>
  <c r="GS293"/>
  <c r="GT293"/>
  <c r="GU293"/>
  <c r="GV293"/>
  <c r="GW293"/>
  <c r="GX293"/>
  <c r="GY293"/>
  <c r="GZ293"/>
  <c r="HA293"/>
  <c r="HB293"/>
  <c r="HC293"/>
  <c r="HD293"/>
  <c r="HE293"/>
  <c r="HF293"/>
  <c r="HG293"/>
  <c r="HH293"/>
  <c r="HI293"/>
  <c r="HJ293"/>
  <c r="HK293"/>
  <c r="HL293"/>
  <c r="HM293"/>
  <c r="HN293"/>
  <c r="HO293"/>
  <c r="HP293"/>
  <c r="HQ293"/>
  <c r="HR293"/>
  <c r="HS293"/>
  <c r="HT293"/>
  <c r="HU293"/>
  <c r="HV293"/>
  <c r="HW293"/>
  <c r="HX293"/>
  <c r="HY293"/>
  <c r="HZ293"/>
  <c r="IA293"/>
  <c r="IB293"/>
  <c r="IC293"/>
  <c r="ID293"/>
  <c r="IE293"/>
  <c r="IF293"/>
  <c r="IG293"/>
  <c r="IH293"/>
  <c r="II293"/>
  <c r="IJ293"/>
  <c r="IK293"/>
  <c r="IL293"/>
  <c r="IM293"/>
  <c r="IN293"/>
  <c r="IO293"/>
  <c r="IP293"/>
  <c r="IQ293"/>
  <c r="IR293"/>
  <c r="IS293"/>
  <c r="IT293"/>
  <c r="IU293"/>
  <c r="IV293"/>
  <c r="A294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Z294"/>
  <c r="AA294"/>
  <c r="AB294"/>
  <c r="AC294"/>
  <c r="AD294"/>
  <c r="AE294"/>
  <c r="AF294"/>
  <c r="AG294"/>
  <c r="AH294"/>
  <c r="AI294"/>
  <c r="AJ294"/>
  <c r="AK294"/>
  <c r="AL294"/>
  <c r="AM294"/>
  <c r="AN294"/>
  <c r="AO294"/>
  <c r="AP294"/>
  <c r="AQ294"/>
  <c r="AR294"/>
  <c r="AS294"/>
  <c r="AT294"/>
  <c r="AU294"/>
  <c r="AV294"/>
  <c r="AW294"/>
  <c r="AX294"/>
  <c r="AY294"/>
  <c r="AZ294"/>
  <c r="BA294"/>
  <c r="BB294"/>
  <c r="BC294"/>
  <c r="BD294"/>
  <c r="BE294"/>
  <c r="BF294"/>
  <c r="BG294"/>
  <c r="BH294"/>
  <c r="BI294"/>
  <c r="BJ294"/>
  <c r="BK294"/>
  <c r="BL294"/>
  <c r="BM294"/>
  <c r="BN294"/>
  <c r="BO294"/>
  <c r="BP294"/>
  <c r="BQ294"/>
  <c r="BR294"/>
  <c r="BS294"/>
  <c r="BT294"/>
  <c r="BU294"/>
  <c r="BV294"/>
  <c r="BW294"/>
  <c r="BX294"/>
  <c r="BY294"/>
  <c r="BZ294"/>
  <c r="CA294"/>
  <c r="CB294"/>
  <c r="CC294"/>
  <c r="CD294"/>
  <c r="CE294"/>
  <c r="CF294"/>
  <c r="CG294"/>
  <c r="CH294"/>
  <c r="CI294"/>
  <c r="CJ294"/>
  <c r="CK294"/>
  <c r="CL294"/>
  <c r="CM294"/>
  <c r="CN294"/>
  <c r="CO294"/>
  <c r="CP294"/>
  <c r="CQ294"/>
  <c r="CR294"/>
  <c r="CS294"/>
  <c r="CT294"/>
  <c r="CU294"/>
  <c r="CV294"/>
  <c r="CW294"/>
  <c r="CX294"/>
  <c r="CY294"/>
  <c r="CZ294"/>
  <c r="DA294"/>
  <c r="DB294"/>
  <c r="DC294"/>
  <c r="DD294"/>
  <c r="DE294"/>
  <c r="DF294"/>
  <c r="DG294"/>
  <c r="DH294"/>
  <c r="DI294"/>
  <c r="DJ294"/>
  <c r="DK294"/>
  <c r="DL294"/>
  <c r="DM294"/>
  <c r="DN294"/>
  <c r="DO294"/>
  <c r="DP294"/>
  <c r="DQ294"/>
  <c r="DR294"/>
  <c r="DS294"/>
  <c r="DT294"/>
  <c r="DU294"/>
  <c r="DV294"/>
  <c r="DW294"/>
  <c r="DX294"/>
  <c r="DY294"/>
  <c r="DZ294"/>
  <c r="EA294"/>
  <c r="EB294"/>
  <c r="EC294"/>
  <c r="ED294"/>
  <c r="EE294"/>
  <c r="EF294"/>
  <c r="EG294"/>
  <c r="EH294"/>
  <c r="EI294"/>
  <c r="EJ294"/>
  <c r="EK294"/>
  <c r="EL294"/>
  <c r="EM294"/>
  <c r="EN294"/>
  <c r="EO294"/>
  <c r="EP294"/>
  <c r="EQ294"/>
  <c r="ER294"/>
  <c r="ES294"/>
  <c r="ET294"/>
  <c r="EU294"/>
  <c r="EV294"/>
  <c r="EW294"/>
  <c r="EX294"/>
  <c r="EY294"/>
  <c r="EZ294"/>
  <c r="FA294"/>
  <c r="FB294"/>
  <c r="FC294"/>
  <c r="FD294"/>
  <c r="FE294"/>
  <c r="FF294"/>
  <c r="FG294"/>
  <c r="FH294"/>
  <c r="FI294"/>
  <c r="FJ294"/>
  <c r="FK294"/>
  <c r="FL294"/>
  <c r="FM294"/>
  <c r="FN294"/>
  <c r="FO294"/>
  <c r="FP294"/>
  <c r="FQ294"/>
  <c r="FR294"/>
  <c r="FS294"/>
  <c r="FT294"/>
  <c r="FU294"/>
  <c r="FV294"/>
  <c r="FW294"/>
  <c r="FX294"/>
  <c r="FY294"/>
  <c r="FZ294"/>
  <c r="GA294"/>
  <c r="GB294"/>
  <c r="GC294"/>
  <c r="GD294"/>
  <c r="GE294"/>
  <c r="GF294"/>
  <c r="GG294"/>
  <c r="GH294"/>
  <c r="GI294"/>
  <c r="GJ294"/>
  <c r="GK294"/>
  <c r="GL294"/>
  <c r="GM294"/>
  <c r="GN294"/>
  <c r="GO294"/>
  <c r="GP294"/>
  <c r="GQ294"/>
  <c r="GR294"/>
  <c r="GS294"/>
  <c r="GT294"/>
  <c r="GU294"/>
  <c r="GV294"/>
  <c r="GW294"/>
  <c r="GX294"/>
  <c r="GY294"/>
  <c r="GZ294"/>
  <c r="HA294"/>
  <c r="HB294"/>
  <c r="HC294"/>
  <c r="HD294"/>
  <c r="HE294"/>
  <c r="HF294"/>
  <c r="HG294"/>
  <c r="HH294"/>
  <c r="HI294"/>
  <c r="HJ294"/>
  <c r="HK294"/>
  <c r="HL294"/>
  <c r="HM294"/>
  <c r="HN294"/>
  <c r="HO294"/>
  <c r="HP294"/>
  <c r="HQ294"/>
  <c r="HR294"/>
  <c r="HS294"/>
  <c r="HT294"/>
  <c r="HU294"/>
  <c r="HV294"/>
  <c r="HW294"/>
  <c r="HX294"/>
  <c r="HY294"/>
  <c r="HZ294"/>
  <c r="IA294"/>
  <c r="IB294"/>
  <c r="IC294"/>
  <c r="ID294"/>
  <c r="IE294"/>
  <c r="IF294"/>
  <c r="IG294"/>
  <c r="IH294"/>
  <c r="II294"/>
  <c r="IJ294"/>
  <c r="IK294"/>
  <c r="IL294"/>
  <c r="IM294"/>
  <c r="IN294"/>
  <c r="IO294"/>
  <c r="IP294"/>
  <c r="IQ294"/>
  <c r="IR294"/>
  <c r="IS294"/>
  <c r="IT294"/>
  <c r="IU294"/>
  <c r="IV294"/>
  <c r="A295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Z295"/>
  <c r="AA295"/>
  <c r="AB295"/>
  <c r="AC295"/>
  <c r="AD295"/>
  <c r="AE295"/>
  <c r="AF295"/>
  <c r="AG295"/>
  <c r="AH295"/>
  <c r="AI295"/>
  <c r="AJ295"/>
  <c r="AK295"/>
  <c r="AL295"/>
  <c r="AM295"/>
  <c r="AN295"/>
  <c r="AO295"/>
  <c r="AP295"/>
  <c r="AQ295"/>
  <c r="AR295"/>
  <c r="AS295"/>
  <c r="AT295"/>
  <c r="AU295"/>
  <c r="AV295"/>
  <c r="AW295"/>
  <c r="AX295"/>
  <c r="AY295"/>
  <c r="AZ295"/>
  <c r="BA295"/>
  <c r="BB295"/>
  <c r="BC295"/>
  <c r="BD295"/>
  <c r="BE295"/>
  <c r="BF295"/>
  <c r="BG295"/>
  <c r="BH295"/>
  <c r="BI295"/>
  <c r="BJ295"/>
  <c r="BK295"/>
  <c r="BL295"/>
  <c r="BM295"/>
  <c r="BN295"/>
  <c r="BO295"/>
  <c r="BP295"/>
  <c r="BQ295"/>
  <c r="BR295"/>
  <c r="BS295"/>
  <c r="BT295"/>
  <c r="BU295"/>
  <c r="BV295"/>
  <c r="BW295"/>
  <c r="BX295"/>
  <c r="BY295"/>
  <c r="BZ295"/>
  <c r="CA295"/>
  <c r="CB295"/>
  <c r="CC295"/>
  <c r="CD295"/>
  <c r="CE295"/>
  <c r="CF295"/>
  <c r="CG295"/>
  <c r="CH295"/>
  <c r="CI295"/>
  <c r="CJ295"/>
  <c r="CK295"/>
  <c r="CL295"/>
  <c r="CM295"/>
  <c r="CN295"/>
  <c r="CO295"/>
  <c r="CP295"/>
  <c r="CQ295"/>
  <c r="CR295"/>
  <c r="CS295"/>
  <c r="CT295"/>
  <c r="CU295"/>
  <c r="CV295"/>
  <c r="CW295"/>
  <c r="CX295"/>
  <c r="CY295"/>
  <c r="CZ295"/>
  <c r="DA295"/>
  <c r="DB295"/>
  <c r="DC295"/>
  <c r="DD295"/>
  <c r="DE295"/>
  <c r="DF295"/>
  <c r="DG295"/>
  <c r="DH295"/>
  <c r="DI295"/>
  <c r="DJ295"/>
  <c r="DK295"/>
  <c r="DL295"/>
  <c r="DM295"/>
  <c r="DN295"/>
  <c r="DO295"/>
  <c r="DP295"/>
  <c r="DQ295"/>
  <c r="DR295"/>
  <c r="DS295"/>
  <c r="DT295"/>
  <c r="DU295"/>
  <c r="DV295"/>
  <c r="DW295"/>
  <c r="DX295"/>
  <c r="DY295"/>
  <c r="DZ295"/>
  <c r="EA295"/>
  <c r="EB295"/>
  <c r="EC295"/>
  <c r="ED295"/>
  <c r="EE295"/>
  <c r="EF295"/>
  <c r="EG295"/>
  <c r="EH295"/>
  <c r="EI295"/>
  <c r="EJ295"/>
  <c r="EK295"/>
  <c r="EL295"/>
  <c r="EM295"/>
  <c r="EN295"/>
  <c r="EO295"/>
  <c r="EP295"/>
  <c r="EQ295"/>
  <c r="ER295"/>
  <c r="ES295"/>
  <c r="ET295"/>
  <c r="EU295"/>
  <c r="EV295"/>
  <c r="EW295"/>
  <c r="EX295"/>
  <c r="EY295"/>
  <c r="EZ295"/>
  <c r="FA295"/>
  <c r="FB295"/>
  <c r="FC295"/>
  <c r="FD295"/>
  <c r="FE295"/>
  <c r="FF295"/>
  <c r="FG295"/>
  <c r="FH295"/>
  <c r="FI295"/>
  <c r="FJ295"/>
  <c r="FK295"/>
  <c r="FL295"/>
  <c r="FM295"/>
  <c r="FN295"/>
  <c r="FO295"/>
  <c r="FP295"/>
  <c r="FQ295"/>
  <c r="FR295"/>
  <c r="FS295"/>
  <c r="FT295"/>
  <c r="FU295"/>
  <c r="FV295"/>
  <c r="FW295"/>
  <c r="FX295"/>
  <c r="FY295"/>
  <c r="FZ295"/>
  <c r="GA295"/>
  <c r="GB295"/>
  <c r="GC295"/>
  <c r="GD295"/>
  <c r="GE295"/>
  <c r="GF295"/>
  <c r="GG295"/>
  <c r="GH295"/>
  <c r="GI295"/>
  <c r="GJ295"/>
  <c r="GK295"/>
  <c r="GL295"/>
  <c r="GM295"/>
  <c r="GN295"/>
  <c r="GO295"/>
  <c r="GP295"/>
  <c r="GQ295"/>
  <c r="GR295"/>
  <c r="GS295"/>
  <c r="GT295"/>
  <c r="GU295"/>
  <c r="GV295"/>
  <c r="GW295"/>
  <c r="GX295"/>
  <c r="GY295"/>
  <c r="GZ295"/>
  <c r="HA295"/>
  <c r="HB295"/>
  <c r="HC295"/>
  <c r="HD295"/>
  <c r="HE295"/>
  <c r="HF295"/>
  <c r="HG295"/>
  <c r="HH295"/>
  <c r="HI295"/>
  <c r="HJ295"/>
  <c r="HK295"/>
  <c r="HL295"/>
  <c r="HM295"/>
  <c r="HN295"/>
  <c r="HO295"/>
  <c r="HP295"/>
  <c r="HQ295"/>
  <c r="HR295"/>
  <c r="HS295"/>
  <c r="HT295"/>
  <c r="HU295"/>
  <c r="HV295"/>
  <c r="HW295"/>
  <c r="HX295"/>
  <c r="HY295"/>
  <c r="HZ295"/>
  <c r="IA295"/>
  <c r="IB295"/>
  <c r="IC295"/>
  <c r="ID295"/>
  <c r="IE295"/>
  <c r="IF295"/>
  <c r="IG295"/>
  <c r="IH295"/>
  <c r="II295"/>
  <c r="IJ295"/>
  <c r="IK295"/>
  <c r="IL295"/>
  <c r="IM295"/>
  <c r="IN295"/>
  <c r="IO295"/>
  <c r="IP295"/>
  <c r="IQ295"/>
  <c r="IR295"/>
  <c r="IS295"/>
  <c r="IT295"/>
  <c r="IU295"/>
  <c r="IV295"/>
  <c r="A296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Z296"/>
  <c r="AA296"/>
  <c r="AB296"/>
  <c r="AC296"/>
  <c r="AD296"/>
  <c r="AE296"/>
  <c r="AF296"/>
  <c r="AG296"/>
  <c r="AH296"/>
  <c r="AI296"/>
  <c r="AJ296"/>
  <c r="AK296"/>
  <c r="AL296"/>
  <c r="AM296"/>
  <c r="AN296"/>
  <c r="AO296"/>
  <c r="AP296"/>
  <c r="AQ296"/>
  <c r="AR296"/>
  <c r="AS296"/>
  <c r="AT296"/>
  <c r="AU296"/>
  <c r="AV296"/>
  <c r="AW296"/>
  <c r="AX296"/>
  <c r="AY296"/>
  <c r="AZ296"/>
  <c r="BA296"/>
  <c r="BB296"/>
  <c r="BC296"/>
  <c r="BD296"/>
  <c r="BE296"/>
  <c r="BF296"/>
  <c r="BG296"/>
  <c r="BH296"/>
  <c r="BI296"/>
  <c r="BJ296"/>
  <c r="BK296"/>
  <c r="BL296"/>
  <c r="BM296"/>
  <c r="BN296"/>
  <c r="BO296"/>
  <c r="BP296"/>
  <c r="BQ296"/>
  <c r="BR296"/>
  <c r="BS296"/>
  <c r="BT296"/>
  <c r="BU296"/>
  <c r="BV296"/>
  <c r="BW296"/>
  <c r="BX296"/>
  <c r="BY296"/>
  <c r="BZ296"/>
  <c r="CA296"/>
  <c r="CB296"/>
  <c r="CC296"/>
  <c r="CD296"/>
  <c r="CE296"/>
  <c r="CF296"/>
  <c r="CG296"/>
  <c r="CH296"/>
  <c r="CI296"/>
  <c r="CJ296"/>
  <c r="CK296"/>
  <c r="CL296"/>
  <c r="CM296"/>
  <c r="CN296"/>
  <c r="CO296"/>
  <c r="CP296"/>
  <c r="CQ296"/>
  <c r="CR296"/>
  <c r="CS296"/>
  <c r="CT296"/>
  <c r="CU296"/>
  <c r="CV296"/>
  <c r="CW296"/>
  <c r="CX296"/>
  <c r="CY296"/>
  <c r="CZ296"/>
  <c r="DA296"/>
  <c r="DB296"/>
  <c r="DC296"/>
  <c r="DD296"/>
  <c r="DE296"/>
  <c r="DF296"/>
  <c r="DG296"/>
  <c r="DH296"/>
  <c r="DI296"/>
  <c r="DJ296"/>
  <c r="DK296"/>
  <c r="DL296"/>
  <c r="DM296"/>
  <c r="DN296"/>
  <c r="DO296"/>
  <c r="DP296"/>
  <c r="DQ296"/>
  <c r="DR296"/>
  <c r="DS296"/>
  <c r="DT296"/>
  <c r="DU296"/>
  <c r="DV296"/>
  <c r="DW296"/>
  <c r="DX296"/>
  <c r="DY296"/>
  <c r="DZ296"/>
  <c r="EA296"/>
  <c r="EB296"/>
  <c r="EC296"/>
  <c r="ED296"/>
  <c r="EE296"/>
  <c r="EF296"/>
  <c r="EG296"/>
  <c r="EH296"/>
  <c r="EI296"/>
  <c r="EJ296"/>
  <c r="EK296"/>
  <c r="EL296"/>
  <c r="EM296"/>
  <c r="EN296"/>
  <c r="EO296"/>
  <c r="EP296"/>
  <c r="EQ296"/>
  <c r="ER296"/>
  <c r="ES296"/>
  <c r="ET296"/>
  <c r="EU296"/>
  <c r="EV296"/>
  <c r="EW296"/>
  <c r="EX296"/>
  <c r="EY296"/>
  <c r="EZ296"/>
  <c r="FA296"/>
  <c r="FB296"/>
  <c r="FC296"/>
  <c r="FD296"/>
  <c r="FE296"/>
  <c r="FF296"/>
  <c r="FG296"/>
  <c r="FH296"/>
  <c r="FI296"/>
  <c r="FJ296"/>
  <c r="FK296"/>
  <c r="FL296"/>
  <c r="FM296"/>
  <c r="FN296"/>
  <c r="FO296"/>
  <c r="FP296"/>
  <c r="FQ296"/>
  <c r="FR296"/>
  <c r="FS296"/>
  <c r="FT296"/>
  <c r="FU296"/>
  <c r="FV296"/>
  <c r="FW296"/>
  <c r="FX296"/>
  <c r="FY296"/>
  <c r="FZ296"/>
  <c r="GA296"/>
  <c r="GB296"/>
  <c r="GC296"/>
  <c r="GD296"/>
  <c r="GE296"/>
  <c r="GF296"/>
  <c r="GG296"/>
  <c r="GH296"/>
  <c r="GI296"/>
  <c r="GJ296"/>
  <c r="GK296"/>
  <c r="GL296"/>
  <c r="GM296"/>
  <c r="GN296"/>
  <c r="GO296"/>
  <c r="GP296"/>
  <c r="GQ296"/>
  <c r="GR296"/>
  <c r="GS296"/>
  <c r="GT296"/>
  <c r="GU296"/>
  <c r="GV296"/>
  <c r="GW296"/>
  <c r="GX296"/>
  <c r="GY296"/>
  <c r="GZ296"/>
  <c r="HA296"/>
  <c r="HB296"/>
  <c r="HC296"/>
  <c r="HD296"/>
  <c r="HE296"/>
  <c r="HF296"/>
  <c r="HG296"/>
  <c r="HH296"/>
  <c r="HI296"/>
  <c r="HJ296"/>
  <c r="HK296"/>
  <c r="HL296"/>
  <c r="HM296"/>
  <c r="HN296"/>
  <c r="HO296"/>
  <c r="HP296"/>
  <c r="HQ296"/>
  <c r="HR296"/>
  <c r="HS296"/>
  <c r="HT296"/>
  <c r="HU296"/>
  <c r="HV296"/>
  <c r="HW296"/>
  <c r="HX296"/>
  <c r="HY296"/>
  <c r="HZ296"/>
  <c r="IA296"/>
  <c r="IB296"/>
  <c r="IC296"/>
  <c r="ID296"/>
  <c r="IE296"/>
  <c r="IF296"/>
  <c r="IG296"/>
  <c r="IH296"/>
  <c r="II296"/>
  <c r="IJ296"/>
  <c r="IK296"/>
  <c r="IL296"/>
  <c r="IM296"/>
  <c r="IN296"/>
  <c r="IO296"/>
  <c r="IP296"/>
  <c r="IQ296"/>
  <c r="IR296"/>
  <c r="IS296"/>
  <c r="IT296"/>
  <c r="IU296"/>
  <c r="IV296"/>
  <c r="A297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Z297"/>
  <c r="AA297"/>
  <c r="AB297"/>
  <c r="AC297"/>
  <c r="AD297"/>
  <c r="AE297"/>
  <c r="AF297"/>
  <c r="AG297"/>
  <c r="AH297"/>
  <c r="AI297"/>
  <c r="AJ297"/>
  <c r="AK297"/>
  <c r="AL297"/>
  <c r="AM297"/>
  <c r="AN297"/>
  <c r="AO297"/>
  <c r="AP297"/>
  <c r="AQ297"/>
  <c r="AR297"/>
  <c r="AS297"/>
  <c r="AT297"/>
  <c r="AU297"/>
  <c r="AV297"/>
  <c r="AW297"/>
  <c r="AX297"/>
  <c r="AY297"/>
  <c r="AZ297"/>
  <c r="BA297"/>
  <c r="BB297"/>
  <c r="BC297"/>
  <c r="BD297"/>
  <c r="BE297"/>
  <c r="BF297"/>
  <c r="BG297"/>
  <c r="BH297"/>
  <c r="BI297"/>
  <c r="BJ297"/>
  <c r="BK297"/>
  <c r="BL297"/>
  <c r="BM297"/>
  <c r="BN297"/>
  <c r="BO297"/>
  <c r="BP297"/>
  <c r="BQ297"/>
  <c r="BR297"/>
  <c r="BS297"/>
  <c r="BT297"/>
  <c r="BU297"/>
  <c r="BV297"/>
  <c r="BW297"/>
  <c r="BX297"/>
  <c r="BY297"/>
  <c r="BZ297"/>
  <c r="CA297"/>
  <c r="CB297"/>
  <c r="CC297"/>
  <c r="CD297"/>
  <c r="CE297"/>
  <c r="CF297"/>
  <c r="CG297"/>
  <c r="CH297"/>
  <c r="CI297"/>
  <c r="CJ297"/>
  <c r="CK297"/>
  <c r="CL297"/>
  <c r="CM297"/>
  <c r="CN297"/>
  <c r="CO297"/>
  <c r="CP297"/>
  <c r="CQ297"/>
  <c r="CR297"/>
  <c r="CS297"/>
  <c r="CT297"/>
  <c r="CU297"/>
  <c r="CV297"/>
  <c r="CW297"/>
  <c r="CX297"/>
  <c r="CY297"/>
  <c r="CZ297"/>
  <c r="DA297"/>
  <c r="DB297"/>
  <c r="DC297"/>
  <c r="DD297"/>
  <c r="DE297"/>
  <c r="DF297"/>
  <c r="DG297"/>
  <c r="DH297"/>
  <c r="DI297"/>
  <c r="DJ297"/>
  <c r="DK297"/>
  <c r="DL297"/>
  <c r="DM297"/>
  <c r="DN297"/>
  <c r="DO297"/>
  <c r="DP297"/>
  <c r="DQ297"/>
  <c r="DR297"/>
  <c r="DS297"/>
  <c r="DT297"/>
  <c r="DU297"/>
  <c r="DV297"/>
  <c r="DW297"/>
  <c r="DX297"/>
  <c r="DY297"/>
  <c r="DZ297"/>
  <c r="EA297"/>
  <c r="EB297"/>
  <c r="EC297"/>
  <c r="ED297"/>
  <c r="EE297"/>
  <c r="EF297"/>
  <c r="EG297"/>
  <c r="EH297"/>
  <c r="EI297"/>
  <c r="EJ297"/>
  <c r="EK297"/>
  <c r="EL297"/>
  <c r="EM297"/>
  <c r="EN297"/>
  <c r="EO297"/>
  <c r="EP297"/>
  <c r="EQ297"/>
  <c r="ER297"/>
  <c r="ES297"/>
  <c r="ET297"/>
  <c r="EU297"/>
  <c r="EV297"/>
  <c r="EW297"/>
  <c r="EX297"/>
  <c r="EY297"/>
  <c r="EZ297"/>
  <c r="FA297"/>
  <c r="FB297"/>
  <c r="FC297"/>
  <c r="FD297"/>
  <c r="FE297"/>
  <c r="FF297"/>
  <c r="FG297"/>
  <c r="FH297"/>
  <c r="FI297"/>
  <c r="FJ297"/>
  <c r="FK297"/>
  <c r="FL297"/>
  <c r="FM297"/>
  <c r="FN297"/>
  <c r="FO297"/>
  <c r="FP297"/>
  <c r="FQ297"/>
  <c r="FR297"/>
  <c r="FS297"/>
  <c r="FT297"/>
  <c r="FU297"/>
  <c r="FV297"/>
  <c r="FW297"/>
  <c r="FX297"/>
  <c r="FY297"/>
  <c r="FZ297"/>
  <c r="GA297"/>
  <c r="GB297"/>
  <c r="GC297"/>
  <c r="GD297"/>
  <c r="GE297"/>
  <c r="GF297"/>
  <c r="GG297"/>
  <c r="GH297"/>
  <c r="GI297"/>
  <c r="GJ297"/>
  <c r="GK297"/>
  <c r="GL297"/>
  <c r="GM297"/>
  <c r="GN297"/>
  <c r="GO297"/>
  <c r="GP297"/>
  <c r="GQ297"/>
  <c r="GR297"/>
  <c r="GS297"/>
  <c r="GT297"/>
  <c r="GU297"/>
  <c r="GV297"/>
  <c r="GW297"/>
  <c r="GX297"/>
  <c r="GY297"/>
  <c r="GZ297"/>
  <c r="HA297"/>
  <c r="HB297"/>
  <c r="HC297"/>
  <c r="HD297"/>
  <c r="HE297"/>
  <c r="HF297"/>
  <c r="HG297"/>
  <c r="HH297"/>
  <c r="HI297"/>
  <c r="HJ297"/>
  <c r="HK297"/>
  <c r="HL297"/>
  <c r="HM297"/>
  <c r="HN297"/>
  <c r="HO297"/>
  <c r="HP297"/>
  <c r="HQ297"/>
  <c r="HR297"/>
  <c r="HS297"/>
  <c r="HT297"/>
  <c r="HU297"/>
  <c r="HV297"/>
  <c r="HW297"/>
  <c r="HX297"/>
  <c r="HY297"/>
  <c r="HZ297"/>
  <c r="IA297"/>
  <c r="IB297"/>
  <c r="IC297"/>
  <c r="ID297"/>
  <c r="IE297"/>
  <c r="IF297"/>
  <c r="IG297"/>
  <c r="IH297"/>
  <c r="II297"/>
  <c r="IJ297"/>
  <c r="IK297"/>
  <c r="IL297"/>
  <c r="IM297"/>
  <c r="IN297"/>
  <c r="IO297"/>
  <c r="IP297"/>
  <c r="IQ297"/>
  <c r="IR297"/>
  <c r="IS297"/>
  <c r="IT297"/>
  <c r="IU297"/>
  <c r="IV297"/>
  <c r="A298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Z298"/>
  <c r="AA298"/>
  <c r="AB298"/>
  <c r="AC298"/>
  <c r="AD298"/>
  <c r="AE298"/>
  <c r="AF298"/>
  <c r="AG298"/>
  <c r="AH298"/>
  <c r="AI298"/>
  <c r="AJ298"/>
  <c r="AK298"/>
  <c r="AL298"/>
  <c r="AM298"/>
  <c r="AN298"/>
  <c r="AO298"/>
  <c r="AP298"/>
  <c r="AQ298"/>
  <c r="AR298"/>
  <c r="AS298"/>
  <c r="AT298"/>
  <c r="AU298"/>
  <c r="AV298"/>
  <c r="AW298"/>
  <c r="AX298"/>
  <c r="AY298"/>
  <c r="AZ298"/>
  <c r="BA298"/>
  <c r="BB298"/>
  <c r="BC298"/>
  <c r="BD298"/>
  <c r="BE298"/>
  <c r="BF298"/>
  <c r="BG298"/>
  <c r="BH298"/>
  <c r="BI298"/>
  <c r="BJ298"/>
  <c r="BK298"/>
  <c r="BL298"/>
  <c r="BM298"/>
  <c r="BN298"/>
  <c r="BO298"/>
  <c r="BP298"/>
  <c r="BQ298"/>
  <c r="BR298"/>
  <c r="BS298"/>
  <c r="BT298"/>
  <c r="BU298"/>
  <c r="BV298"/>
  <c r="BW298"/>
  <c r="BX298"/>
  <c r="BY298"/>
  <c r="BZ298"/>
  <c r="CA298"/>
  <c r="CB298"/>
  <c r="CC298"/>
  <c r="CD298"/>
  <c r="CE298"/>
  <c r="CF298"/>
  <c r="CG298"/>
  <c r="CH298"/>
  <c r="CI298"/>
  <c r="CJ298"/>
  <c r="CK298"/>
  <c r="CL298"/>
  <c r="CM298"/>
  <c r="CN298"/>
  <c r="CO298"/>
  <c r="CP298"/>
  <c r="CQ298"/>
  <c r="CR298"/>
  <c r="CS298"/>
  <c r="CT298"/>
  <c r="CU298"/>
  <c r="CV298"/>
  <c r="CW298"/>
  <c r="CX298"/>
  <c r="CY298"/>
  <c r="CZ298"/>
  <c r="DA298"/>
  <c r="DB298"/>
  <c r="DC298"/>
  <c r="DD298"/>
  <c r="DE298"/>
  <c r="DF298"/>
  <c r="DG298"/>
  <c r="DH298"/>
  <c r="DI298"/>
  <c r="DJ298"/>
  <c r="DK298"/>
  <c r="DL298"/>
  <c r="DM298"/>
  <c r="DN298"/>
  <c r="DO298"/>
  <c r="DP298"/>
  <c r="DQ298"/>
  <c r="DR298"/>
  <c r="DS298"/>
  <c r="DT298"/>
  <c r="DU298"/>
  <c r="DV298"/>
  <c r="DW298"/>
  <c r="DX298"/>
  <c r="DY298"/>
  <c r="DZ298"/>
  <c r="EA298"/>
  <c r="EB298"/>
  <c r="EC298"/>
  <c r="ED298"/>
  <c r="EE298"/>
  <c r="EF298"/>
  <c r="EG298"/>
  <c r="EH298"/>
  <c r="EI298"/>
  <c r="EJ298"/>
  <c r="EK298"/>
  <c r="EL298"/>
  <c r="EM298"/>
  <c r="EN298"/>
  <c r="EO298"/>
  <c r="EP298"/>
  <c r="EQ298"/>
  <c r="ER298"/>
  <c r="ES298"/>
  <c r="ET298"/>
  <c r="EU298"/>
  <c r="EV298"/>
  <c r="EW298"/>
  <c r="EX298"/>
  <c r="EY298"/>
  <c r="EZ298"/>
  <c r="FA298"/>
  <c r="FB298"/>
  <c r="FC298"/>
  <c r="FD298"/>
  <c r="FE298"/>
  <c r="FF298"/>
  <c r="FG298"/>
  <c r="FH298"/>
  <c r="FI298"/>
  <c r="FJ298"/>
  <c r="FK298"/>
  <c r="FL298"/>
  <c r="FM298"/>
  <c r="FN298"/>
  <c r="FO298"/>
  <c r="FP298"/>
  <c r="FQ298"/>
  <c r="FR298"/>
  <c r="FS298"/>
  <c r="FT298"/>
  <c r="FU298"/>
  <c r="FV298"/>
  <c r="FW298"/>
  <c r="FX298"/>
  <c r="FY298"/>
  <c r="FZ298"/>
  <c r="GA298"/>
  <c r="GB298"/>
  <c r="GC298"/>
  <c r="GD298"/>
  <c r="GE298"/>
  <c r="GF298"/>
  <c r="GG298"/>
  <c r="GH298"/>
  <c r="GI298"/>
  <c r="GJ298"/>
  <c r="GK298"/>
  <c r="GL298"/>
  <c r="GM298"/>
  <c r="GN298"/>
  <c r="GO298"/>
  <c r="GP298"/>
  <c r="GQ298"/>
  <c r="GR298"/>
  <c r="GS298"/>
  <c r="GT298"/>
  <c r="GU298"/>
  <c r="GV298"/>
  <c r="GW298"/>
  <c r="GX298"/>
  <c r="GY298"/>
  <c r="GZ298"/>
  <c r="HA298"/>
  <c r="HB298"/>
  <c r="HC298"/>
  <c r="HD298"/>
  <c r="HE298"/>
  <c r="HF298"/>
  <c r="HG298"/>
  <c r="HH298"/>
  <c r="HI298"/>
  <c r="HJ298"/>
  <c r="HK298"/>
  <c r="HL298"/>
  <c r="HM298"/>
  <c r="HN298"/>
  <c r="HO298"/>
  <c r="HP298"/>
  <c r="HQ298"/>
  <c r="HR298"/>
  <c r="HS298"/>
  <c r="HT298"/>
  <c r="HU298"/>
  <c r="HV298"/>
  <c r="HW298"/>
  <c r="HX298"/>
  <c r="HY298"/>
  <c r="HZ298"/>
  <c r="IA298"/>
  <c r="IB298"/>
  <c r="IC298"/>
  <c r="ID298"/>
  <c r="IE298"/>
  <c r="IF298"/>
  <c r="IG298"/>
  <c r="IH298"/>
  <c r="II298"/>
  <c r="IJ298"/>
  <c r="IK298"/>
  <c r="IL298"/>
  <c r="IM298"/>
  <c r="IN298"/>
  <c r="IO298"/>
  <c r="IP298"/>
  <c r="IQ298"/>
  <c r="IR298"/>
  <c r="IS298"/>
  <c r="IT298"/>
  <c r="IU298"/>
  <c r="IV298"/>
  <c r="A299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Z299"/>
  <c r="AA299"/>
  <c r="AB299"/>
  <c r="AC299"/>
  <c r="AD299"/>
  <c r="AE299"/>
  <c r="AF299"/>
  <c r="AG299"/>
  <c r="AH299"/>
  <c r="AI299"/>
  <c r="AJ299"/>
  <c r="AK299"/>
  <c r="AL299"/>
  <c r="AM299"/>
  <c r="AN299"/>
  <c r="AO299"/>
  <c r="AP299"/>
  <c r="AQ299"/>
  <c r="AR299"/>
  <c r="AS299"/>
  <c r="AT299"/>
  <c r="AU299"/>
  <c r="AV299"/>
  <c r="AW299"/>
  <c r="AX299"/>
  <c r="AY299"/>
  <c r="AZ299"/>
  <c r="BA299"/>
  <c r="BB299"/>
  <c r="BC299"/>
  <c r="BD299"/>
  <c r="BE299"/>
  <c r="BF299"/>
  <c r="BG299"/>
  <c r="BH299"/>
  <c r="BI299"/>
  <c r="BJ299"/>
  <c r="BK299"/>
  <c r="BL299"/>
  <c r="BM299"/>
  <c r="BN299"/>
  <c r="BO299"/>
  <c r="BP299"/>
  <c r="BQ299"/>
  <c r="BR299"/>
  <c r="BS299"/>
  <c r="BT299"/>
  <c r="BU299"/>
  <c r="BV299"/>
  <c r="BW299"/>
  <c r="BX299"/>
  <c r="BY299"/>
  <c r="BZ299"/>
  <c r="CA299"/>
  <c r="CB299"/>
  <c r="CC299"/>
  <c r="CD299"/>
  <c r="CE299"/>
  <c r="CF299"/>
  <c r="CG299"/>
  <c r="CH299"/>
  <c r="CI299"/>
  <c r="CJ299"/>
  <c r="CK299"/>
  <c r="CL299"/>
  <c r="CM299"/>
  <c r="CN299"/>
  <c r="CO299"/>
  <c r="CP299"/>
  <c r="CQ299"/>
  <c r="CR299"/>
  <c r="CS299"/>
  <c r="CT299"/>
  <c r="CU299"/>
  <c r="CV299"/>
  <c r="CW299"/>
  <c r="CX299"/>
  <c r="CY299"/>
  <c r="CZ299"/>
  <c r="DA299"/>
  <c r="DB299"/>
  <c r="DC299"/>
  <c r="DD299"/>
  <c r="DE299"/>
  <c r="DF299"/>
  <c r="DG299"/>
  <c r="DH299"/>
  <c r="DI299"/>
  <c r="DJ299"/>
  <c r="DK299"/>
  <c r="DL299"/>
  <c r="DM299"/>
  <c r="DN299"/>
  <c r="DO299"/>
  <c r="DP299"/>
  <c r="DQ299"/>
  <c r="DR299"/>
  <c r="DS299"/>
  <c r="DT299"/>
  <c r="DU299"/>
  <c r="DV299"/>
  <c r="DW299"/>
  <c r="DX299"/>
  <c r="DY299"/>
  <c r="DZ299"/>
  <c r="EA299"/>
  <c r="EB299"/>
  <c r="EC299"/>
  <c r="ED299"/>
  <c r="EE299"/>
  <c r="EF299"/>
  <c r="EG299"/>
  <c r="EH299"/>
  <c r="EI299"/>
  <c r="EJ299"/>
  <c r="EK299"/>
  <c r="EL299"/>
  <c r="EM299"/>
  <c r="EN299"/>
  <c r="EO299"/>
  <c r="EP299"/>
  <c r="EQ299"/>
  <c r="ER299"/>
  <c r="ES299"/>
  <c r="ET299"/>
  <c r="EU299"/>
  <c r="EV299"/>
  <c r="EW299"/>
  <c r="EX299"/>
  <c r="EY299"/>
  <c r="EZ299"/>
  <c r="FA299"/>
  <c r="FB299"/>
  <c r="FC299"/>
  <c r="FD299"/>
  <c r="FE299"/>
  <c r="FF299"/>
  <c r="FG299"/>
  <c r="FH299"/>
  <c r="FI299"/>
  <c r="FJ299"/>
  <c r="FK299"/>
  <c r="FL299"/>
  <c r="FM299"/>
  <c r="FN299"/>
  <c r="FO299"/>
  <c r="FP299"/>
  <c r="FQ299"/>
  <c r="FR299"/>
  <c r="FS299"/>
  <c r="FT299"/>
  <c r="FU299"/>
  <c r="FV299"/>
  <c r="FW299"/>
  <c r="FX299"/>
  <c r="FY299"/>
  <c r="FZ299"/>
  <c r="GA299"/>
  <c r="GB299"/>
  <c r="GC299"/>
  <c r="GD299"/>
  <c r="GE299"/>
  <c r="GF299"/>
  <c r="GG299"/>
  <c r="GH299"/>
  <c r="GI299"/>
  <c r="GJ299"/>
  <c r="GK299"/>
  <c r="GL299"/>
  <c r="GM299"/>
  <c r="GN299"/>
  <c r="GO299"/>
  <c r="GP299"/>
  <c r="GQ299"/>
  <c r="GR299"/>
  <c r="GS299"/>
  <c r="GT299"/>
  <c r="GU299"/>
  <c r="GV299"/>
  <c r="GW299"/>
  <c r="GX299"/>
  <c r="GY299"/>
  <c r="GZ299"/>
  <c r="HA299"/>
  <c r="HB299"/>
  <c r="HC299"/>
  <c r="HD299"/>
  <c r="HE299"/>
  <c r="HF299"/>
  <c r="HG299"/>
  <c r="HH299"/>
  <c r="HI299"/>
  <c r="HJ299"/>
  <c r="HK299"/>
  <c r="HL299"/>
  <c r="HM299"/>
  <c r="HN299"/>
  <c r="HO299"/>
  <c r="HP299"/>
  <c r="HQ299"/>
  <c r="HR299"/>
  <c r="HS299"/>
  <c r="HT299"/>
  <c r="HU299"/>
  <c r="HV299"/>
  <c r="HW299"/>
  <c r="HX299"/>
  <c r="HY299"/>
  <c r="HZ299"/>
  <c r="IA299"/>
  <c r="IB299"/>
  <c r="IC299"/>
  <c r="ID299"/>
  <c r="IE299"/>
  <c r="IF299"/>
  <c r="IG299"/>
  <c r="IH299"/>
  <c r="II299"/>
  <c r="IJ299"/>
  <c r="IK299"/>
  <c r="IL299"/>
  <c r="IM299"/>
  <c r="IN299"/>
  <c r="IO299"/>
  <c r="IP299"/>
  <c r="IQ299"/>
  <c r="IR299"/>
  <c r="IS299"/>
  <c r="IT299"/>
  <c r="IU299"/>
  <c r="IV299"/>
  <c r="A300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Z300"/>
  <c r="AA300"/>
  <c r="AB300"/>
  <c r="AC300"/>
  <c r="AD300"/>
  <c r="AE300"/>
  <c r="AF300"/>
  <c r="AG300"/>
  <c r="AH300"/>
  <c r="AI300"/>
  <c r="AJ300"/>
  <c r="AK300"/>
  <c r="AL300"/>
  <c r="AM300"/>
  <c r="AN300"/>
  <c r="AO300"/>
  <c r="AP300"/>
  <c r="AQ300"/>
  <c r="AR300"/>
  <c r="AS300"/>
  <c r="AT300"/>
  <c r="AU300"/>
  <c r="AV300"/>
  <c r="AW300"/>
  <c r="AX300"/>
  <c r="AY300"/>
  <c r="AZ300"/>
  <c r="BA300"/>
  <c r="BB300"/>
  <c r="BC300"/>
  <c r="BD300"/>
  <c r="BE300"/>
  <c r="BF300"/>
  <c r="BG300"/>
  <c r="BH300"/>
  <c r="BI300"/>
  <c r="BJ300"/>
  <c r="BK300"/>
  <c r="BL300"/>
  <c r="BM300"/>
  <c r="BN300"/>
  <c r="BO300"/>
  <c r="BP300"/>
  <c r="BQ300"/>
  <c r="BR300"/>
  <c r="BS300"/>
  <c r="BT300"/>
  <c r="BU300"/>
  <c r="BV300"/>
  <c r="BW300"/>
  <c r="BX300"/>
  <c r="BY300"/>
  <c r="BZ300"/>
  <c r="CA300"/>
  <c r="CB300"/>
  <c r="CC300"/>
  <c r="CD300"/>
  <c r="CE300"/>
  <c r="CF300"/>
  <c r="CG300"/>
  <c r="CH300"/>
  <c r="CI300"/>
  <c r="CJ300"/>
  <c r="CK300"/>
  <c r="CL300"/>
  <c r="CM300"/>
  <c r="CN300"/>
  <c r="CO300"/>
  <c r="CP300"/>
  <c r="CQ300"/>
  <c r="CR300"/>
  <c r="CS300"/>
  <c r="CT300"/>
  <c r="CU300"/>
  <c r="CV300"/>
  <c r="CW300"/>
  <c r="CX300"/>
  <c r="CY300"/>
  <c r="CZ300"/>
  <c r="DA300"/>
  <c r="DB300"/>
  <c r="DC300"/>
  <c r="DD300"/>
  <c r="DE300"/>
  <c r="DF300"/>
  <c r="DG300"/>
  <c r="DH300"/>
  <c r="DI300"/>
  <c r="DJ300"/>
  <c r="DK300"/>
  <c r="DL300"/>
  <c r="DM300"/>
  <c r="DN300"/>
  <c r="DO300"/>
  <c r="DP300"/>
  <c r="DQ300"/>
  <c r="DR300"/>
  <c r="DS300"/>
  <c r="DT300"/>
  <c r="DU300"/>
  <c r="DV300"/>
  <c r="DW300"/>
  <c r="DX300"/>
  <c r="DY300"/>
  <c r="DZ300"/>
  <c r="EA300"/>
  <c r="EB300"/>
  <c r="EC300"/>
  <c r="ED300"/>
  <c r="EE300"/>
  <c r="EF300"/>
  <c r="EG300"/>
  <c r="EH300"/>
  <c r="EI300"/>
  <c r="EJ300"/>
  <c r="EK300"/>
  <c r="EL300"/>
  <c r="EM300"/>
  <c r="EN300"/>
  <c r="EO300"/>
  <c r="EP300"/>
  <c r="EQ300"/>
  <c r="ER300"/>
  <c r="ES300"/>
  <c r="ET300"/>
  <c r="EU300"/>
  <c r="EV300"/>
  <c r="EW300"/>
  <c r="EX300"/>
  <c r="EY300"/>
  <c r="EZ300"/>
  <c r="FA300"/>
  <c r="FB300"/>
  <c r="FC300"/>
  <c r="FD300"/>
  <c r="FE300"/>
  <c r="FF300"/>
  <c r="FG300"/>
  <c r="FH300"/>
  <c r="FI300"/>
  <c r="FJ300"/>
  <c r="FK300"/>
  <c r="FL300"/>
  <c r="FM300"/>
  <c r="FN300"/>
  <c r="FO300"/>
  <c r="FP300"/>
  <c r="FQ300"/>
  <c r="FR300"/>
  <c r="FS300"/>
  <c r="FT300"/>
  <c r="FU300"/>
  <c r="FV300"/>
  <c r="FW300"/>
  <c r="FX300"/>
  <c r="FY300"/>
  <c r="FZ300"/>
  <c r="GA300"/>
  <c r="GB300"/>
  <c r="GC300"/>
  <c r="GD300"/>
  <c r="GE300"/>
  <c r="GF300"/>
  <c r="GG300"/>
  <c r="GH300"/>
  <c r="GI300"/>
  <c r="GJ300"/>
  <c r="GK300"/>
  <c r="GL300"/>
  <c r="GM300"/>
  <c r="GN300"/>
  <c r="GO300"/>
  <c r="GP300"/>
  <c r="GQ300"/>
  <c r="GR300"/>
  <c r="GS300"/>
  <c r="GT300"/>
  <c r="GU300"/>
  <c r="GV300"/>
  <c r="GW300"/>
  <c r="GX300"/>
  <c r="GY300"/>
  <c r="GZ300"/>
  <c r="HA300"/>
  <c r="HB300"/>
  <c r="HC300"/>
  <c r="HD300"/>
  <c r="HE300"/>
  <c r="HF300"/>
  <c r="HG300"/>
  <c r="HH300"/>
  <c r="HI300"/>
  <c r="HJ300"/>
  <c r="HK300"/>
  <c r="HL300"/>
  <c r="HM300"/>
  <c r="HN300"/>
  <c r="HO300"/>
  <c r="HP300"/>
  <c r="HQ300"/>
  <c r="HR300"/>
  <c r="HS300"/>
  <c r="HT300"/>
  <c r="HU300"/>
  <c r="HV300"/>
  <c r="HW300"/>
  <c r="HX300"/>
  <c r="HY300"/>
  <c r="HZ300"/>
  <c r="IA300"/>
  <c r="IB300"/>
  <c r="IC300"/>
  <c r="ID300"/>
  <c r="IE300"/>
  <c r="IF300"/>
  <c r="IG300"/>
  <c r="IH300"/>
  <c r="II300"/>
  <c r="IJ300"/>
  <c r="IK300"/>
  <c r="IL300"/>
  <c r="IM300"/>
  <c r="IN300"/>
  <c r="IO300"/>
  <c r="IP300"/>
  <c r="IQ300"/>
  <c r="IR300"/>
  <c r="IS300"/>
  <c r="IT300"/>
  <c r="IU300"/>
  <c r="IV300"/>
  <c r="A301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Z301"/>
  <c r="AA301"/>
  <c r="AB301"/>
  <c r="AC301"/>
  <c r="AD301"/>
  <c r="AE301"/>
  <c r="AF301"/>
  <c r="AG301"/>
  <c r="AH301"/>
  <c r="AI301"/>
  <c r="AJ301"/>
  <c r="AK301"/>
  <c r="AL301"/>
  <c r="AM301"/>
  <c r="AN301"/>
  <c r="AO301"/>
  <c r="AP301"/>
  <c r="AQ301"/>
  <c r="AR301"/>
  <c r="AS301"/>
  <c r="AT301"/>
  <c r="AU301"/>
  <c r="AV301"/>
  <c r="AW301"/>
  <c r="AX301"/>
  <c r="AY301"/>
  <c r="AZ301"/>
  <c r="BA301"/>
  <c r="BB301"/>
  <c r="BC301"/>
  <c r="BD301"/>
  <c r="BE301"/>
  <c r="BF301"/>
  <c r="BG301"/>
  <c r="BH301"/>
  <c r="BI301"/>
  <c r="BJ301"/>
  <c r="BK301"/>
  <c r="BL301"/>
  <c r="BM301"/>
  <c r="BN301"/>
  <c r="BO301"/>
  <c r="BP301"/>
  <c r="BQ301"/>
  <c r="BR301"/>
  <c r="BS301"/>
  <c r="BT301"/>
  <c r="BU301"/>
  <c r="BV301"/>
  <c r="BW301"/>
  <c r="BX301"/>
  <c r="BY301"/>
  <c r="BZ301"/>
  <c r="CA301"/>
  <c r="CB301"/>
  <c r="CC301"/>
  <c r="CD301"/>
  <c r="CE301"/>
  <c r="CF301"/>
  <c r="CG301"/>
  <c r="CH301"/>
  <c r="CI301"/>
  <c r="CJ301"/>
  <c r="CK301"/>
  <c r="CL301"/>
  <c r="CM301"/>
  <c r="CN301"/>
  <c r="CO301"/>
  <c r="CP301"/>
  <c r="CQ301"/>
  <c r="CR301"/>
  <c r="CS301"/>
  <c r="CT301"/>
  <c r="CU301"/>
  <c r="CV301"/>
  <c r="CW301"/>
  <c r="CX301"/>
  <c r="CY301"/>
  <c r="CZ301"/>
  <c r="DA301"/>
  <c r="DB301"/>
  <c r="DC301"/>
  <c r="DD301"/>
  <c r="DE301"/>
  <c r="DF301"/>
  <c r="DG301"/>
  <c r="DH301"/>
  <c r="DI301"/>
  <c r="DJ301"/>
  <c r="DK301"/>
  <c r="DL301"/>
  <c r="DM301"/>
  <c r="DN301"/>
  <c r="DO301"/>
  <c r="DP301"/>
  <c r="DQ301"/>
  <c r="DR301"/>
  <c r="DS301"/>
  <c r="DT301"/>
  <c r="DU301"/>
  <c r="DV301"/>
  <c r="DW301"/>
  <c r="DX301"/>
  <c r="DY301"/>
  <c r="DZ301"/>
  <c r="EA301"/>
  <c r="EB301"/>
  <c r="EC301"/>
  <c r="ED301"/>
  <c r="EE301"/>
  <c r="EF301"/>
  <c r="EG301"/>
  <c r="EH301"/>
  <c r="EI301"/>
  <c r="EJ301"/>
  <c r="EK301"/>
  <c r="EL301"/>
  <c r="EM301"/>
  <c r="EN301"/>
  <c r="EO301"/>
  <c r="EP301"/>
  <c r="EQ301"/>
  <c r="ER301"/>
  <c r="ES301"/>
  <c r="ET301"/>
  <c r="EU301"/>
  <c r="EV301"/>
  <c r="EW301"/>
  <c r="EX301"/>
  <c r="EY301"/>
  <c r="EZ301"/>
  <c r="FA301"/>
  <c r="FB301"/>
  <c r="FC301"/>
  <c r="FD301"/>
  <c r="FE301"/>
  <c r="FF301"/>
  <c r="FG301"/>
  <c r="FH301"/>
  <c r="FI301"/>
  <c r="FJ301"/>
  <c r="FK301"/>
  <c r="FL301"/>
  <c r="FM301"/>
  <c r="FN301"/>
  <c r="FO301"/>
  <c r="FP301"/>
  <c r="FQ301"/>
  <c r="FR301"/>
  <c r="FS301"/>
  <c r="FT301"/>
  <c r="FU301"/>
  <c r="FV301"/>
  <c r="FW301"/>
  <c r="FX301"/>
  <c r="FY301"/>
  <c r="FZ301"/>
  <c r="GA301"/>
  <c r="GB301"/>
  <c r="GC301"/>
  <c r="GD301"/>
  <c r="GE301"/>
  <c r="GF301"/>
  <c r="GG301"/>
  <c r="GH301"/>
  <c r="GI301"/>
  <c r="GJ301"/>
  <c r="GK301"/>
  <c r="GL301"/>
  <c r="GM301"/>
  <c r="GN301"/>
  <c r="GO301"/>
  <c r="GP301"/>
  <c r="GQ301"/>
  <c r="GR301"/>
  <c r="GS301"/>
  <c r="GT301"/>
  <c r="GU301"/>
  <c r="GV301"/>
  <c r="GW301"/>
  <c r="GX301"/>
  <c r="GY301"/>
  <c r="GZ301"/>
  <c r="HA301"/>
  <c r="HB301"/>
  <c r="HC301"/>
  <c r="HD301"/>
  <c r="HE301"/>
  <c r="HF301"/>
  <c r="HG301"/>
  <c r="HH301"/>
  <c r="HI301"/>
  <c r="HJ301"/>
  <c r="HK301"/>
  <c r="HL301"/>
  <c r="HM301"/>
  <c r="HN301"/>
  <c r="HO301"/>
  <c r="HP301"/>
  <c r="HQ301"/>
  <c r="HR301"/>
  <c r="HS301"/>
  <c r="HT301"/>
  <c r="HU301"/>
  <c r="HV301"/>
  <c r="HW301"/>
  <c r="HX301"/>
  <c r="HY301"/>
  <c r="HZ301"/>
  <c r="IA301"/>
  <c r="IB301"/>
  <c r="IC301"/>
  <c r="ID301"/>
  <c r="IE301"/>
  <c r="IF301"/>
  <c r="IG301"/>
  <c r="IH301"/>
  <c r="II301"/>
  <c r="IJ301"/>
  <c r="IK301"/>
  <c r="IL301"/>
  <c r="IM301"/>
  <c r="IN301"/>
  <c r="IO301"/>
  <c r="IP301"/>
  <c r="IQ301"/>
  <c r="IR301"/>
  <c r="IS301"/>
  <c r="IT301"/>
  <c r="IU301"/>
  <c r="IV301"/>
  <c r="A302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Z302"/>
  <c r="AA302"/>
  <c r="AB302"/>
  <c r="AC302"/>
  <c r="AD302"/>
  <c r="AE302"/>
  <c r="AF302"/>
  <c r="AG302"/>
  <c r="AH302"/>
  <c r="AI302"/>
  <c r="AJ302"/>
  <c r="AK302"/>
  <c r="AL302"/>
  <c r="AM302"/>
  <c r="AN302"/>
  <c r="AO302"/>
  <c r="AP302"/>
  <c r="AQ302"/>
  <c r="AR302"/>
  <c r="AS302"/>
  <c r="AT302"/>
  <c r="AU302"/>
  <c r="AV302"/>
  <c r="AW302"/>
  <c r="AX302"/>
  <c r="AY302"/>
  <c r="AZ302"/>
  <c r="BA302"/>
  <c r="BB302"/>
  <c r="BC302"/>
  <c r="BD302"/>
  <c r="BE302"/>
  <c r="BF302"/>
  <c r="BG302"/>
  <c r="BH302"/>
  <c r="BI302"/>
  <c r="BJ302"/>
  <c r="BK302"/>
  <c r="BL302"/>
  <c r="BM302"/>
  <c r="BN302"/>
  <c r="BO302"/>
  <c r="BP302"/>
  <c r="BQ302"/>
  <c r="BR302"/>
  <c r="BS302"/>
  <c r="BT302"/>
  <c r="BU302"/>
  <c r="BV302"/>
  <c r="BW302"/>
  <c r="BX302"/>
  <c r="BY302"/>
  <c r="BZ302"/>
  <c r="CA302"/>
  <c r="CB302"/>
  <c r="CC302"/>
  <c r="CD302"/>
  <c r="CE302"/>
  <c r="CF302"/>
  <c r="CG302"/>
  <c r="CH302"/>
  <c r="CI302"/>
  <c r="CJ302"/>
  <c r="CK302"/>
  <c r="CL302"/>
  <c r="CM302"/>
  <c r="CN302"/>
  <c r="CO302"/>
  <c r="CP302"/>
  <c r="CQ302"/>
  <c r="CR302"/>
  <c r="CS302"/>
  <c r="CT302"/>
  <c r="CU302"/>
  <c r="CV302"/>
  <c r="CW302"/>
  <c r="CX302"/>
  <c r="CY302"/>
  <c r="CZ302"/>
  <c r="DA302"/>
  <c r="DB302"/>
  <c r="DC302"/>
  <c r="DD302"/>
  <c r="DE302"/>
  <c r="DF302"/>
  <c r="DG302"/>
  <c r="DH302"/>
  <c r="DI302"/>
  <c r="DJ302"/>
  <c r="DK302"/>
  <c r="DL302"/>
  <c r="DM302"/>
  <c r="DN302"/>
  <c r="DO302"/>
  <c r="DP302"/>
  <c r="DQ302"/>
  <c r="DR302"/>
  <c r="DS302"/>
  <c r="DT302"/>
  <c r="DU302"/>
  <c r="DV302"/>
  <c r="DW302"/>
  <c r="DX302"/>
  <c r="DY302"/>
  <c r="DZ302"/>
  <c r="EA302"/>
  <c r="EB302"/>
  <c r="EC302"/>
  <c r="ED302"/>
  <c r="EE302"/>
  <c r="EF302"/>
  <c r="EG302"/>
  <c r="EH302"/>
  <c r="EI302"/>
  <c r="EJ302"/>
  <c r="EK302"/>
  <c r="EL302"/>
  <c r="EM302"/>
  <c r="EN302"/>
  <c r="EO302"/>
  <c r="EP302"/>
  <c r="EQ302"/>
  <c r="ER302"/>
  <c r="ES302"/>
  <c r="ET302"/>
  <c r="EU302"/>
  <c r="EV302"/>
  <c r="EW302"/>
  <c r="EX302"/>
  <c r="EY302"/>
  <c r="EZ302"/>
  <c r="FA302"/>
  <c r="FB302"/>
  <c r="FC302"/>
  <c r="FD302"/>
  <c r="FE302"/>
  <c r="FF302"/>
  <c r="FG302"/>
  <c r="FH302"/>
  <c r="FI302"/>
  <c r="FJ302"/>
  <c r="FK302"/>
  <c r="FL302"/>
  <c r="FM302"/>
  <c r="FN302"/>
  <c r="FO302"/>
  <c r="FP302"/>
  <c r="FQ302"/>
  <c r="FR302"/>
  <c r="FS302"/>
  <c r="FT302"/>
  <c r="FU302"/>
  <c r="FV302"/>
  <c r="FW302"/>
  <c r="FX302"/>
  <c r="FY302"/>
  <c r="FZ302"/>
  <c r="GA302"/>
  <c r="GB302"/>
  <c r="GC302"/>
  <c r="GD302"/>
  <c r="GE302"/>
  <c r="GF302"/>
  <c r="GG302"/>
  <c r="GH302"/>
  <c r="GI302"/>
  <c r="GJ302"/>
  <c r="GK302"/>
  <c r="GL302"/>
  <c r="GM302"/>
  <c r="GN302"/>
  <c r="GO302"/>
  <c r="GP302"/>
  <c r="GQ302"/>
  <c r="GR302"/>
  <c r="GS302"/>
  <c r="GT302"/>
  <c r="GU302"/>
  <c r="GV302"/>
  <c r="GW302"/>
  <c r="GX302"/>
  <c r="GY302"/>
  <c r="GZ302"/>
  <c r="HA302"/>
  <c r="HB302"/>
  <c r="HC302"/>
  <c r="HD302"/>
  <c r="HE302"/>
  <c r="HF302"/>
  <c r="HG302"/>
  <c r="HH302"/>
  <c r="HI302"/>
  <c r="HJ302"/>
  <c r="HK302"/>
  <c r="HL302"/>
  <c r="HM302"/>
  <c r="HN302"/>
  <c r="HO302"/>
  <c r="HP302"/>
  <c r="HQ302"/>
  <c r="HR302"/>
  <c r="HS302"/>
  <c r="HT302"/>
  <c r="HU302"/>
  <c r="HV302"/>
  <c r="HW302"/>
  <c r="HX302"/>
  <c r="HY302"/>
  <c r="HZ302"/>
  <c r="IA302"/>
  <c r="IB302"/>
  <c r="IC302"/>
  <c r="ID302"/>
  <c r="IE302"/>
  <c r="IF302"/>
  <c r="IG302"/>
  <c r="IH302"/>
  <c r="II302"/>
  <c r="IJ302"/>
  <c r="IK302"/>
  <c r="IL302"/>
  <c r="IM302"/>
  <c r="IN302"/>
  <c r="IO302"/>
  <c r="IP302"/>
  <c r="IQ302"/>
  <c r="IR302"/>
  <c r="IS302"/>
  <c r="IT302"/>
  <c r="IU302"/>
  <c r="IV302"/>
  <c r="A303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Z303"/>
  <c r="AA303"/>
  <c r="AB303"/>
  <c r="AC303"/>
  <c r="AD303"/>
  <c r="AE303"/>
  <c r="AF303"/>
  <c r="AG303"/>
  <c r="AH303"/>
  <c r="AI303"/>
  <c r="AJ303"/>
  <c r="AK303"/>
  <c r="AL303"/>
  <c r="AM303"/>
  <c r="AN303"/>
  <c r="AO303"/>
  <c r="AP303"/>
  <c r="AQ303"/>
  <c r="AR303"/>
  <c r="AS303"/>
  <c r="AT303"/>
  <c r="AU303"/>
  <c r="AV303"/>
  <c r="AW303"/>
  <c r="AX303"/>
  <c r="AY303"/>
  <c r="AZ303"/>
  <c r="BA303"/>
  <c r="BB303"/>
  <c r="BC303"/>
  <c r="BD303"/>
  <c r="BE303"/>
  <c r="BF303"/>
  <c r="BG303"/>
  <c r="BH303"/>
  <c r="BI303"/>
  <c r="BJ303"/>
  <c r="BK303"/>
  <c r="BL303"/>
  <c r="BM303"/>
  <c r="BN303"/>
  <c r="BO303"/>
  <c r="BP303"/>
  <c r="BQ303"/>
  <c r="BR303"/>
  <c r="BS303"/>
  <c r="BT303"/>
  <c r="BU303"/>
  <c r="BV303"/>
  <c r="BW303"/>
  <c r="BX303"/>
  <c r="BY303"/>
  <c r="BZ303"/>
  <c r="CA303"/>
  <c r="CB303"/>
  <c r="CC303"/>
  <c r="CD303"/>
  <c r="CE303"/>
  <c r="CF303"/>
  <c r="CG303"/>
  <c r="CH303"/>
  <c r="CI303"/>
  <c r="CJ303"/>
  <c r="CK303"/>
  <c r="CL303"/>
  <c r="CM303"/>
  <c r="CN303"/>
  <c r="CO303"/>
  <c r="CP303"/>
  <c r="CQ303"/>
  <c r="CR303"/>
  <c r="CS303"/>
  <c r="CT303"/>
  <c r="CU303"/>
  <c r="CV303"/>
  <c r="CW303"/>
  <c r="CX303"/>
  <c r="CY303"/>
  <c r="CZ303"/>
  <c r="DA303"/>
  <c r="DB303"/>
  <c r="DC303"/>
  <c r="DD303"/>
  <c r="DE303"/>
  <c r="DF303"/>
  <c r="DG303"/>
  <c r="DH303"/>
  <c r="DI303"/>
  <c r="DJ303"/>
  <c r="DK303"/>
  <c r="DL303"/>
  <c r="DM303"/>
  <c r="DN303"/>
  <c r="DO303"/>
  <c r="DP303"/>
  <c r="DQ303"/>
  <c r="DR303"/>
  <c r="DS303"/>
  <c r="DT303"/>
  <c r="DU303"/>
  <c r="DV303"/>
  <c r="DW303"/>
  <c r="DX303"/>
  <c r="DY303"/>
  <c r="DZ303"/>
  <c r="EA303"/>
  <c r="EB303"/>
  <c r="EC303"/>
  <c r="ED303"/>
  <c r="EE303"/>
  <c r="EF303"/>
  <c r="EG303"/>
  <c r="EH303"/>
  <c r="EI303"/>
  <c r="EJ303"/>
  <c r="EK303"/>
  <c r="EL303"/>
  <c r="EM303"/>
  <c r="EN303"/>
  <c r="EO303"/>
  <c r="EP303"/>
  <c r="EQ303"/>
  <c r="ER303"/>
  <c r="ES303"/>
  <c r="ET303"/>
  <c r="EU303"/>
  <c r="EV303"/>
  <c r="EW303"/>
  <c r="EX303"/>
  <c r="EY303"/>
  <c r="EZ303"/>
  <c r="FA303"/>
  <c r="FB303"/>
  <c r="FC303"/>
  <c r="FD303"/>
  <c r="FE303"/>
  <c r="FF303"/>
  <c r="FG303"/>
  <c r="FH303"/>
  <c r="FI303"/>
  <c r="FJ303"/>
  <c r="FK303"/>
  <c r="FL303"/>
  <c r="FM303"/>
  <c r="FN303"/>
  <c r="FO303"/>
  <c r="FP303"/>
  <c r="FQ303"/>
  <c r="FR303"/>
  <c r="FS303"/>
  <c r="FT303"/>
  <c r="FU303"/>
  <c r="FV303"/>
  <c r="FW303"/>
  <c r="FX303"/>
  <c r="FY303"/>
  <c r="FZ303"/>
  <c r="GA303"/>
  <c r="GB303"/>
  <c r="GC303"/>
  <c r="GD303"/>
  <c r="GE303"/>
  <c r="GF303"/>
  <c r="GG303"/>
  <c r="GH303"/>
  <c r="GI303"/>
  <c r="GJ303"/>
  <c r="GK303"/>
  <c r="GL303"/>
  <c r="GM303"/>
  <c r="GN303"/>
  <c r="GO303"/>
  <c r="GP303"/>
  <c r="GQ303"/>
  <c r="GR303"/>
  <c r="GS303"/>
  <c r="GT303"/>
  <c r="GU303"/>
  <c r="GV303"/>
  <c r="GW303"/>
  <c r="GX303"/>
  <c r="GY303"/>
  <c r="GZ303"/>
  <c r="HA303"/>
  <c r="HB303"/>
  <c r="HC303"/>
  <c r="HD303"/>
  <c r="HE303"/>
  <c r="HF303"/>
  <c r="HG303"/>
  <c r="HH303"/>
  <c r="HI303"/>
  <c r="HJ303"/>
  <c r="HK303"/>
  <c r="HL303"/>
  <c r="HM303"/>
  <c r="HN303"/>
  <c r="HO303"/>
  <c r="HP303"/>
  <c r="HQ303"/>
  <c r="HR303"/>
  <c r="HS303"/>
  <c r="HT303"/>
  <c r="HU303"/>
  <c r="HV303"/>
  <c r="HW303"/>
  <c r="HX303"/>
  <c r="HY303"/>
  <c r="HZ303"/>
  <c r="IA303"/>
  <c r="IB303"/>
  <c r="IC303"/>
  <c r="ID303"/>
  <c r="IE303"/>
  <c r="IF303"/>
  <c r="IG303"/>
  <c r="IH303"/>
  <c r="II303"/>
  <c r="IJ303"/>
  <c r="IK303"/>
  <c r="IL303"/>
  <c r="IM303"/>
  <c r="IN303"/>
  <c r="IO303"/>
  <c r="IP303"/>
  <c r="IQ303"/>
  <c r="IR303"/>
  <c r="IS303"/>
  <c r="IT303"/>
  <c r="IU303"/>
  <c r="IV303"/>
  <c r="A304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Z304"/>
  <c r="AA304"/>
  <c r="AB304"/>
  <c r="AC304"/>
  <c r="AD304"/>
  <c r="AE304"/>
  <c r="AF304"/>
  <c r="AG304"/>
  <c r="AH304"/>
  <c r="AI304"/>
  <c r="AJ304"/>
  <c r="AK304"/>
  <c r="AL304"/>
  <c r="AM304"/>
  <c r="AN304"/>
  <c r="AO304"/>
  <c r="AP304"/>
  <c r="AQ304"/>
  <c r="AR304"/>
  <c r="AS304"/>
  <c r="AT304"/>
  <c r="AU304"/>
  <c r="AV304"/>
  <c r="AW304"/>
  <c r="AX304"/>
  <c r="AY304"/>
  <c r="AZ304"/>
  <c r="BA304"/>
  <c r="BB304"/>
  <c r="BC304"/>
  <c r="BD304"/>
  <c r="BE304"/>
  <c r="BF304"/>
  <c r="BG304"/>
  <c r="BH304"/>
  <c r="BI304"/>
  <c r="BJ304"/>
  <c r="BK304"/>
  <c r="BL304"/>
  <c r="BM304"/>
  <c r="BN304"/>
  <c r="BO304"/>
  <c r="BP304"/>
  <c r="BQ304"/>
  <c r="BR304"/>
  <c r="BS304"/>
  <c r="BT304"/>
  <c r="BU304"/>
  <c r="BV304"/>
  <c r="BW304"/>
  <c r="BX304"/>
  <c r="BY304"/>
  <c r="BZ304"/>
  <c r="CA304"/>
  <c r="CB304"/>
  <c r="CC304"/>
  <c r="CD304"/>
  <c r="CE304"/>
  <c r="CF304"/>
  <c r="CG304"/>
  <c r="CH304"/>
  <c r="CI304"/>
  <c r="CJ304"/>
  <c r="CK304"/>
  <c r="CL304"/>
  <c r="CM304"/>
  <c r="CN304"/>
  <c r="CO304"/>
  <c r="CP304"/>
  <c r="CQ304"/>
  <c r="CR304"/>
  <c r="CS304"/>
  <c r="CT304"/>
  <c r="CU304"/>
  <c r="CV304"/>
  <c r="CW304"/>
  <c r="CX304"/>
  <c r="CY304"/>
  <c r="CZ304"/>
  <c r="DA304"/>
  <c r="DB304"/>
  <c r="DC304"/>
  <c r="DD304"/>
  <c r="DE304"/>
  <c r="DF304"/>
  <c r="DG304"/>
  <c r="DH304"/>
  <c r="DI304"/>
  <c r="DJ304"/>
  <c r="DK304"/>
  <c r="DL304"/>
  <c r="DM304"/>
  <c r="DN304"/>
  <c r="DO304"/>
  <c r="DP304"/>
  <c r="DQ304"/>
  <c r="DR304"/>
  <c r="DS304"/>
  <c r="DT304"/>
  <c r="DU304"/>
  <c r="DV304"/>
  <c r="DW304"/>
  <c r="DX304"/>
  <c r="DY304"/>
  <c r="DZ304"/>
  <c r="EA304"/>
  <c r="EB304"/>
  <c r="EC304"/>
  <c r="ED304"/>
  <c r="EE304"/>
  <c r="EF304"/>
  <c r="EG304"/>
  <c r="EH304"/>
  <c r="EI304"/>
  <c r="EJ304"/>
  <c r="EK304"/>
  <c r="EL304"/>
  <c r="EM304"/>
  <c r="EN304"/>
  <c r="EO304"/>
  <c r="EP304"/>
  <c r="EQ304"/>
  <c r="ER304"/>
  <c r="ES304"/>
  <c r="ET304"/>
  <c r="EU304"/>
  <c r="EV304"/>
  <c r="EW304"/>
  <c r="EX304"/>
  <c r="EY304"/>
  <c r="EZ304"/>
  <c r="FA304"/>
  <c r="FB304"/>
  <c r="FC304"/>
  <c r="FD304"/>
  <c r="FE304"/>
  <c r="FF304"/>
  <c r="FG304"/>
  <c r="FH304"/>
  <c r="FI304"/>
  <c r="FJ304"/>
  <c r="FK304"/>
  <c r="FL304"/>
  <c r="FM304"/>
  <c r="FN304"/>
  <c r="FO304"/>
  <c r="FP304"/>
  <c r="FQ304"/>
  <c r="FR304"/>
  <c r="FS304"/>
  <c r="FT304"/>
  <c r="FU304"/>
  <c r="FV304"/>
  <c r="FW304"/>
  <c r="FX304"/>
  <c r="FY304"/>
  <c r="FZ304"/>
  <c r="GA304"/>
  <c r="GB304"/>
  <c r="GC304"/>
  <c r="GD304"/>
  <c r="GE304"/>
  <c r="GF304"/>
  <c r="GG304"/>
  <c r="GH304"/>
  <c r="GI304"/>
  <c r="GJ304"/>
  <c r="GK304"/>
  <c r="GL304"/>
  <c r="GM304"/>
  <c r="GN304"/>
  <c r="GO304"/>
  <c r="GP304"/>
  <c r="GQ304"/>
  <c r="GR304"/>
  <c r="GS304"/>
  <c r="GT304"/>
  <c r="GU304"/>
  <c r="GV304"/>
  <c r="GW304"/>
  <c r="GX304"/>
  <c r="GY304"/>
  <c r="GZ304"/>
  <c r="HA304"/>
  <c r="HB304"/>
  <c r="HC304"/>
  <c r="HD304"/>
  <c r="HE304"/>
  <c r="HF304"/>
  <c r="HG304"/>
  <c r="HH304"/>
  <c r="HI304"/>
  <c r="HJ304"/>
  <c r="HK304"/>
  <c r="HL304"/>
  <c r="HM304"/>
  <c r="HN304"/>
  <c r="HO304"/>
  <c r="HP304"/>
  <c r="HQ304"/>
  <c r="HR304"/>
  <c r="HS304"/>
  <c r="HT304"/>
  <c r="HU304"/>
  <c r="HV304"/>
  <c r="HW304"/>
  <c r="HX304"/>
  <c r="HY304"/>
  <c r="HZ304"/>
  <c r="IA304"/>
  <c r="IB304"/>
  <c r="IC304"/>
  <c r="ID304"/>
  <c r="IE304"/>
  <c r="IF304"/>
  <c r="IG304"/>
  <c r="IH304"/>
  <c r="II304"/>
  <c r="IJ304"/>
  <c r="IK304"/>
  <c r="IL304"/>
  <c r="IM304"/>
  <c r="IN304"/>
  <c r="IO304"/>
  <c r="IP304"/>
  <c r="IQ304"/>
  <c r="IR304"/>
  <c r="IS304"/>
  <c r="IT304"/>
  <c r="IU304"/>
  <c r="IV304"/>
  <c r="A305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Z305"/>
  <c r="AA305"/>
  <c r="AB305"/>
  <c r="AC305"/>
  <c r="AD305"/>
  <c r="AE305"/>
  <c r="AF305"/>
  <c r="AG305"/>
  <c r="AH305"/>
  <c r="AI305"/>
  <c r="AJ305"/>
  <c r="AK305"/>
  <c r="AL305"/>
  <c r="AM305"/>
  <c r="AN305"/>
  <c r="AO305"/>
  <c r="AP305"/>
  <c r="AQ305"/>
  <c r="AR305"/>
  <c r="AS305"/>
  <c r="AT305"/>
  <c r="AU305"/>
  <c r="AV305"/>
  <c r="AW305"/>
  <c r="AX305"/>
  <c r="AY305"/>
  <c r="AZ305"/>
  <c r="BA305"/>
  <c r="BB305"/>
  <c r="BC305"/>
  <c r="BD305"/>
  <c r="BE305"/>
  <c r="BF305"/>
  <c r="BG305"/>
  <c r="BH305"/>
  <c r="BI305"/>
  <c r="BJ305"/>
  <c r="BK305"/>
  <c r="BL305"/>
  <c r="BM305"/>
  <c r="BN305"/>
  <c r="BO305"/>
  <c r="BP305"/>
  <c r="BQ305"/>
  <c r="BR305"/>
  <c r="BS305"/>
  <c r="BT305"/>
  <c r="BU305"/>
  <c r="BV305"/>
  <c r="BW305"/>
  <c r="BX305"/>
  <c r="BY305"/>
  <c r="BZ305"/>
  <c r="CA305"/>
  <c r="CB305"/>
  <c r="CC305"/>
  <c r="CD305"/>
  <c r="CE305"/>
  <c r="CF305"/>
  <c r="CG305"/>
  <c r="CH305"/>
  <c r="CI305"/>
  <c r="CJ305"/>
  <c r="CK305"/>
  <c r="CL305"/>
  <c r="CM305"/>
  <c r="CN305"/>
  <c r="CO305"/>
  <c r="CP305"/>
  <c r="CQ305"/>
  <c r="CR305"/>
  <c r="CS305"/>
  <c r="CT305"/>
  <c r="CU305"/>
  <c r="CV305"/>
  <c r="CW305"/>
  <c r="CX305"/>
  <c r="CY305"/>
  <c r="CZ305"/>
  <c r="DA305"/>
  <c r="DB305"/>
  <c r="DC305"/>
  <c r="DD305"/>
  <c r="DE305"/>
  <c r="DF305"/>
  <c r="DG305"/>
  <c r="DH305"/>
  <c r="DI305"/>
  <c r="DJ305"/>
  <c r="DK305"/>
  <c r="DL305"/>
  <c r="DM305"/>
  <c r="DN305"/>
  <c r="DO305"/>
  <c r="DP305"/>
  <c r="DQ305"/>
  <c r="DR305"/>
  <c r="DS305"/>
  <c r="DT305"/>
  <c r="DU305"/>
  <c r="DV305"/>
  <c r="DW305"/>
  <c r="DX305"/>
  <c r="DY305"/>
  <c r="DZ305"/>
  <c r="EA305"/>
  <c r="EB305"/>
  <c r="EC305"/>
  <c r="ED305"/>
  <c r="EE305"/>
  <c r="EF305"/>
  <c r="EG305"/>
  <c r="EH305"/>
  <c r="EI305"/>
  <c r="EJ305"/>
  <c r="EK305"/>
  <c r="EL305"/>
  <c r="EM305"/>
  <c r="EN305"/>
  <c r="EO305"/>
  <c r="EP305"/>
  <c r="EQ305"/>
  <c r="ER305"/>
  <c r="ES305"/>
  <c r="ET305"/>
  <c r="EU305"/>
  <c r="EV305"/>
  <c r="EW305"/>
  <c r="EX305"/>
  <c r="EY305"/>
  <c r="EZ305"/>
  <c r="FA305"/>
  <c r="FB305"/>
  <c r="FC305"/>
  <c r="FD305"/>
  <c r="FE305"/>
  <c r="FF305"/>
  <c r="FG305"/>
  <c r="FH305"/>
  <c r="FI305"/>
  <c r="FJ305"/>
  <c r="FK305"/>
  <c r="FL305"/>
  <c r="FM305"/>
  <c r="FN305"/>
  <c r="FO305"/>
  <c r="FP305"/>
  <c r="FQ305"/>
  <c r="FR305"/>
  <c r="FS305"/>
  <c r="FT305"/>
  <c r="FU305"/>
  <c r="FV305"/>
  <c r="FW305"/>
  <c r="FX305"/>
  <c r="FY305"/>
  <c r="FZ305"/>
  <c r="GA305"/>
  <c r="GB305"/>
  <c r="GC305"/>
  <c r="GD305"/>
  <c r="GE305"/>
  <c r="GF305"/>
  <c r="GG305"/>
  <c r="GH305"/>
  <c r="GI305"/>
  <c r="GJ305"/>
  <c r="GK305"/>
  <c r="GL305"/>
  <c r="GM305"/>
  <c r="GN305"/>
  <c r="GO305"/>
  <c r="GP305"/>
  <c r="GQ305"/>
  <c r="GR305"/>
  <c r="GS305"/>
  <c r="GT305"/>
  <c r="GU305"/>
  <c r="GV305"/>
  <c r="GW305"/>
  <c r="GX305"/>
  <c r="GY305"/>
  <c r="GZ305"/>
  <c r="HA305"/>
  <c r="HB305"/>
  <c r="HC305"/>
  <c r="HD305"/>
  <c r="HE305"/>
  <c r="HF305"/>
  <c r="HG305"/>
  <c r="HH305"/>
  <c r="HI305"/>
  <c r="HJ305"/>
  <c r="HK305"/>
  <c r="HL305"/>
  <c r="HM305"/>
  <c r="HN305"/>
  <c r="HO305"/>
  <c r="HP305"/>
  <c r="HQ305"/>
  <c r="HR305"/>
  <c r="HS305"/>
  <c r="HT305"/>
  <c r="HU305"/>
  <c r="HV305"/>
  <c r="HW305"/>
  <c r="HX305"/>
  <c r="HY305"/>
  <c r="HZ305"/>
  <c r="IA305"/>
  <c r="IB305"/>
  <c r="IC305"/>
  <c r="ID305"/>
  <c r="IE305"/>
  <c r="IF305"/>
  <c r="IG305"/>
  <c r="IH305"/>
  <c r="II305"/>
  <c r="IJ305"/>
  <c r="IK305"/>
  <c r="IL305"/>
  <c r="IM305"/>
  <c r="IN305"/>
  <c r="IO305"/>
  <c r="IP305"/>
  <c r="IQ305"/>
  <c r="IR305"/>
  <c r="IS305"/>
  <c r="IT305"/>
  <c r="IU305"/>
  <c r="IV305"/>
  <c r="A306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Z306"/>
  <c r="AA306"/>
  <c r="AB306"/>
  <c r="AC306"/>
  <c r="AD306"/>
  <c r="AE306"/>
  <c r="AF306"/>
  <c r="AG306"/>
  <c r="AH306"/>
  <c r="AI306"/>
  <c r="AJ306"/>
  <c r="AK306"/>
  <c r="AL306"/>
  <c r="AM306"/>
  <c r="AN306"/>
  <c r="AO306"/>
  <c r="AP306"/>
  <c r="AQ306"/>
  <c r="AR306"/>
  <c r="AS306"/>
  <c r="AT306"/>
  <c r="AU306"/>
  <c r="AV306"/>
  <c r="AW306"/>
  <c r="AX306"/>
  <c r="AY306"/>
  <c r="AZ306"/>
  <c r="BA306"/>
  <c r="BB306"/>
  <c r="BC306"/>
  <c r="BD306"/>
  <c r="BE306"/>
  <c r="BF306"/>
  <c r="BG306"/>
  <c r="BH306"/>
  <c r="BI306"/>
  <c r="BJ306"/>
  <c r="BK306"/>
  <c r="BL306"/>
  <c r="BM306"/>
  <c r="BN306"/>
  <c r="BO306"/>
  <c r="BP306"/>
  <c r="BQ306"/>
  <c r="BR306"/>
  <c r="BS306"/>
  <c r="BT306"/>
  <c r="BU306"/>
  <c r="BV306"/>
  <c r="BW306"/>
  <c r="BX306"/>
  <c r="BY306"/>
  <c r="BZ306"/>
  <c r="CA306"/>
  <c r="CB306"/>
  <c r="CC306"/>
  <c r="CD306"/>
  <c r="CE306"/>
  <c r="CF306"/>
  <c r="CG306"/>
  <c r="CH306"/>
  <c r="CI306"/>
  <c r="CJ306"/>
  <c r="CK306"/>
  <c r="CL306"/>
  <c r="CM306"/>
  <c r="CN306"/>
  <c r="CO306"/>
  <c r="CP306"/>
  <c r="CQ306"/>
  <c r="CR306"/>
  <c r="CS306"/>
  <c r="CT306"/>
  <c r="CU306"/>
  <c r="CV306"/>
  <c r="CW306"/>
  <c r="CX306"/>
  <c r="CY306"/>
  <c r="CZ306"/>
  <c r="DA306"/>
  <c r="DB306"/>
  <c r="DC306"/>
  <c r="DD306"/>
  <c r="DE306"/>
  <c r="DF306"/>
  <c r="DG306"/>
  <c r="DH306"/>
  <c r="DI306"/>
  <c r="DJ306"/>
  <c r="DK306"/>
  <c r="DL306"/>
  <c r="DM306"/>
  <c r="DN306"/>
  <c r="DO306"/>
  <c r="DP306"/>
  <c r="DQ306"/>
  <c r="DR306"/>
  <c r="DS306"/>
  <c r="DT306"/>
  <c r="DU306"/>
  <c r="DV306"/>
  <c r="DW306"/>
  <c r="DX306"/>
  <c r="DY306"/>
  <c r="DZ306"/>
  <c r="EA306"/>
  <c r="EB306"/>
  <c r="EC306"/>
  <c r="ED306"/>
  <c r="EE306"/>
  <c r="EF306"/>
  <c r="EG306"/>
  <c r="EH306"/>
  <c r="EI306"/>
  <c r="EJ306"/>
  <c r="EK306"/>
  <c r="EL306"/>
  <c r="EM306"/>
  <c r="EN306"/>
  <c r="EO306"/>
  <c r="EP306"/>
  <c r="EQ306"/>
  <c r="ER306"/>
  <c r="ES306"/>
  <c r="ET306"/>
  <c r="EU306"/>
  <c r="EV306"/>
  <c r="EW306"/>
  <c r="EX306"/>
  <c r="EY306"/>
  <c r="EZ306"/>
  <c r="FA306"/>
  <c r="FB306"/>
  <c r="FC306"/>
  <c r="FD306"/>
  <c r="FE306"/>
  <c r="FF306"/>
  <c r="FG306"/>
  <c r="FH306"/>
  <c r="FI306"/>
  <c r="FJ306"/>
  <c r="FK306"/>
  <c r="FL306"/>
  <c r="FM306"/>
  <c r="FN306"/>
  <c r="FO306"/>
  <c r="FP306"/>
  <c r="FQ306"/>
  <c r="FR306"/>
  <c r="FS306"/>
  <c r="FT306"/>
  <c r="FU306"/>
  <c r="FV306"/>
  <c r="FW306"/>
  <c r="FX306"/>
  <c r="FY306"/>
  <c r="FZ306"/>
  <c r="GA306"/>
  <c r="GB306"/>
  <c r="GC306"/>
  <c r="GD306"/>
  <c r="GE306"/>
  <c r="GF306"/>
  <c r="GG306"/>
  <c r="GH306"/>
  <c r="GI306"/>
  <c r="GJ306"/>
  <c r="GK306"/>
  <c r="GL306"/>
  <c r="GM306"/>
  <c r="GN306"/>
  <c r="GO306"/>
  <c r="GP306"/>
  <c r="GQ306"/>
  <c r="GR306"/>
  <c r="GS306"/>
  <c r="GT306"/>
  <c r="GU306"/>
  <c r="GV306"/>
  <c r="GW306"/>
  <c r="GX306"/>
  <c r="GY306"/>
  <c r="GZ306"/>
  <c r="HA306"/>
  <c r="HB306"/>
  <c r="HC306"/>
  <c r="HD306"/>
  <c r="HE306"/>
  <c r="HF306"/>
  <c r="HG306"/>
  <c r="HH306"/>
  <c r="HI306"/>
  <c r="HJ306"/>
  <c r="HK306"/>
  <c r="HL306"/>
  <c r="HM306"/>
  <c r="HN306"/>
  <c r="HO306"/>
  <c r="HP306"/>
  <c r="HQ306"/>
  <c r="HR306"/>
  <c r="HS306"/>
  <c r="HT306"/>
  <c r="HU306"/>
  <c r="HV306"/>
  <c r="HW306"/>
  <c r="HX306"/>
  <c r="HY306"/>
  <c r="HZ306"/>
  <c r="IA306"/>
  <c r="IB306"/>
  <c r="IC306"/>
  <c r="ID306"/>
  <c r="IE306"/>
  <c r="IF306"/>
  <c r="IG306"/>
  <c r="IH306"/>
  <c r="II306"/>
  <c r="IJ306"/>
  <c r="IK306"/>
  <c r="IL306"/>
  <c r="IM306"/>
  <c r="IN306"/>
  <c r="IO306"/>
  <c r="IP306"/>
  <c r="IQ306"/>
  <c r="IR306"/>
  <c r="IS306"/>
  <c r="IT306"/>
  <c r="IU306"/>
  <c r="IV306"/>
  <c r="A307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Z307"/>
  <c r="AA307"/>
  <c r="AB307"/>
  <c r="AC307"/>
  <c r="AD307"/>
  <c r="AE307"/>
  <c r="AF307"/>
  <c r="AG307"/>
  <c r="AH307"/>
  <c r="AI307"/>
  <c r="AJ307"/>
  <c r="AK307"/>
  <c r="AL307"/>
  <c r="AM307"/>
  <c r="AN307"/>
  <c r="AO307"/>
  <c r="AP307"/>
  <c r="AQ307"/>
  <c r="AR307"/>
  <c r="AS307"/>
  <c r="AT307"/>
  <c r="AU307"/>
  <c r="AV307"/>
  <c r="AW307"/>
  <c r="AX307"/>
  <c r="AY307"/>
  <c r="AZ307"/>
  <c r="BA307"/>
  <c r="BB307"/>
  <c r="BC307"/>
  <c r="BD307"/>
  <c r="BE307"/>
  <c r="BF307"/>
  <c r="BG307"/>
  <c r="BH307"/>
  <c r="BI307"/>
  <c r="BJ307"/>
  <c r="BK307"/>
  <c r="BL307"/>
  <c r="BM307"/>
  <c r="BN307"/>
  <c r="BO307"/>
  <c r="BP307"/>
  <c r="BQ307"/>
  <c r="BR307"/>
  <c r="BS307"/>
  <c r="BT307"/>
  <c r="BU307"/>
  <c r="BV307"/>
  <c r="BW307"/>
  <c r="BX307"/>
  <c r="BY307"/>
  <c r="BZ307"/>
  <c r="CA307"/>
  <c r="CB307"/>
  <c r="CC307"/>
  <c r="CD307"/>
  <c r="CE307"/>
  <c r="CF307"/>
  <c r="CG307"/>
  <c r="CH307"/>
  <c r="CI307"/>
  <c r="CJ307"/>
  <c r="CK307"/>
  <c r="CL307"/>
  <c r="CM307"/>
  <c r="CN307"/>
  <c r="CO307"/>
  <c r="CP307"/>
  <c r="CQ307"/>
  <c r="CR307"/>
  <c r="CS307"/>
  <c r="CT307"/>
  <c r="CU307"/>
  <c r="CV307"/>
  <c r="CW307"/>
  <c r="CX307"/>
  <c r="CY307"/>
  <c r="CZ307"/>
  <c r="DA307"/>
  <c r="DB307"/>
  <c r="DC307"/>
  <c r="DD307"/>
  <c r="DE307"/>
  <c r="DF307"/>
  <c r="DG307"/>
  <c r="DH307"/>
  <c r="DI307"/>
  <c r="DJ307"/>
  <c r="DK307"/>
  <c r="DL307"/>
  <c r="DM307"/>
  <c r="DN307"/>
  <c r="DO307"/>
  <c r="DP307"/>
  <c r="DQ307"/>
  <c r="DR307"/>
  <c r="DS307"/>
  <c r="DT307"/>
  <c r="DU307"/>
  <c r="DV307"/>
  <c r="DW307"/>
  <c r="DX307"/>
  <c r="DY307"/>
  <c r="DZ307"/>
  <c r="EA307"/>
  <c r="EB307"/>
  <c r="EC307"/>
  <c r="ED307"/>
  <c r="EE307"/>
  <c r="EF307"/>
  <c r="EG307"/>
  <c r="EH307"/>
  <c r="EI307"/>
  <c r="EJ307"/>
  <c r="EK307"/>
  <c r="EL307"/>
  <c r="EM307"/>
  <c r="EN307"/>
  <c r="EO307"/>
  <c r="EP307"/>
  <c r="EQ307"/>
  <c r="ER307"/>
  <c r="ES307"/>
  <c r="ET307"/>
  <c r="EU307"/>
  <c r="EV307"/>
  <c r="EW307"/>
  <c r="EX307"/>
  <c r="EY307"/>
  <c r="EZ307"/>
  <c r="FA307"/>
  <c r="FB307"/>
  <c r="FC307"/>
  <c r="FD307"/>
  <c r="FE307"/>
  <c r="FF307"/>
  <c r="FG307"/>
  <c r="FH307"/>
  <c r="FI307"/>
  <c r="FJ307"/>
  <c r="FK307"/>
  <c r="FL307"/>
  <c r="FM307"/>
  <c r="FN307"/>
  <c r="FO307"/>
  <c r="FP307"/>
  <c r="FQ307"/>
  <c r="FR307"/>
  <c r="FS307"/>
  <c r="FT307"/>
  <c r="FU307"/>
  <c r="FV307"/>
  <c r="FW307"/>
  <c r="FX307"/>
  <c r="FY307"/>
  <c r="FZ307"/>
  <c r="GA307"/>
  <c r="GB307"/>
  <c r="GC307"/>
  <c r="GD307"/>
  <c r="GE307"/>
  <c r="GF307"/>
  <c r="GG307"/>
  <c r="GH307"/>
  <c r="GI307"/>
  <c r="GJ307"/>
  <c r="GK307"/>
  <c r="GL307"/>
  <c r="GM307"/>
  <c r="GN307"/>
  <c r="GO307"/>
  <c r="GP307"/>
  <c r="GQ307"/>
  <c r="GR307"/>
  <c r="GS307"/>
  <c r="GT307"/>
  <c r="GU307"/>
  <c r="GV307"/>
  <c r="GW307"/>
  <c r="GX307"/>
  <c r="GY307"/>
  <c r="GZ307"/>
  <c r="HA307"/>
  <c r="HB307"/>
  <c r="HC307"/>
  <c r="HD307"/>
  <c r="HE307"/>
  <c r="HF307"/>
  <c r="HG307"/>
  <c r="HH307"/>
  <c r="HI307"/>
  <c r="HJ307"/>
  <c r="HK307"/>
  <c r="HL307"/>
  <c r="HM307"/>
  <c r="HN307"/>
  <c r="HO307"/>
  <c r="HP307"/>
  <c r="HQ307"/>
  <c r="HR307"/>
  <c r="HS307"/>
  <c r="HT307"/>
  <c r="HU307"/>
  <c r="HV307"/>
  <c r="HW307"/>
  <c r="HX307"/>
  <c r="HY307"/>
  <c r="HZ307"/>
  <c r="IA307"/>
  <c r="IB307"/>
  <c r="IC307"/>
  <c r="ID307"/>
  <c r="IE307"/>
  <c r="IF307"/>
  <c r="IG307"/>
  <c r="IH307"/>
  <c r="II307"/>
  <c r="IJ307"/>
  <c r="IK307"/>
  <c r="IL307"/>
  <c r="IM307"/>
  <c r="IN307"/>
  <c r="IO307"/>
  <c r="IP307"/>
  <c r="IQ307"/>
  <c r="IR307"/>
  <c r="IS307"/>
  <c r="IT307"/>
  <c r="IU307"/>
  <c r="IV307"/>
  <c r="A308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Z308"/>
  <c r="AA308"/>
  <c r="AB308"/>
  <c r="AC308"/>
  <c r="AD308"/>
  <c r="AE308"/>
  <c r="AF308"/>
  <c r="AG308"/>
  <c r="AH308"/>
  <c r="AI308"/>
  <c r="AJ308"/>
  <c r="AK308"/>
  <c r="AL308"/>
  <c r="AM308"/>
  <c r="AN308"/>
  <c r="AO308"/>
  <c r="AP308"/>
  <c r="AQ308"/>
  <c r="AR308"/>
  <c r="AS308"/>
  <c r="AT308"/>
  <c r="AU308"/>
  <c r="AV308"/>
  <c r="AW308"/>
  <c r="AX308"/>
  <c r="AY308"/>
  <c r="AZ308"/>
  <c r="BA308"/>
  <c r="BB308"/>
  <c r="BC308"/>
  <c r="BD308"/>
  <c r="BE308"/>
  <c r="BF308"/>
  <c r="BG308"/>
  <c r="BH308"/>
  <c r="BI308"/>
  <c r="BJ308"/>
  <c r="BK308"/>
  <c r="BL308"/>
  <c r="BM308"/>
  <c r="BN308"/>
  <c r="BO308"/>
  <c r="BP308"/>
  <c r="BQ308"/>
  <c r="BR308"/>
  <c r="BS308"/>
  <c r="BT308"/>
  <c r="BU308"/>
  <c r="BV308"/>
  <c r="BW308"/>
  <c r="BX308"/>
  <c r="BY308"/>
  <c r="BZ308"/>
  <c r="CA308"/>
  <c r="CB308"/>
  <c r="CC308"/>
  <c r="CD308"/>
  <c r="CE308"/>
  <c r="CF308"/>
  <c r="CG308"/>
  <c r="CH308"/>
  <c r="CI308"/>
  <c r="CJ308"/>
  <c r="CK308"/>
  <c r="CL308"/>
  <c r="CM308"/>
  <c r="CN308"/>
  <c r="CO308"/>
  <c r="CP308"/>
  <c r="CQ308"/>
  <c r="CR308"/>
  <c r="CS308"/>
  <c r="CT308"/>
  <c r="CU308"/>
  <c r="CV308"/>
  <c r="CW308"/>
  <c r="CX308"/>
  <c r="CY308"/>
  <c r="CZ308"/>
  <c r="DA308"/>
  <c r="DB308"/>
  <c r="DC308"/>
  <c r="DD308"/>
  <c r="DE308"/>
  <c r="DF308"/>
  <c r="DG308"/>
  <c r="DH308"/>
  <c r="DI308"/>
  <c r="DJ308"/>
  <c r="DK308"/>
  <c r="DL308"/>
  <c r="DM308"/>
  <c r="DN308"/>
  <c r="DO308"/>
  <c r="DP308"/>
  <c r="DQ308"/>
  <c r="DR308"/>
  <c r="DS308"/>
  <c r="DT308"/>
  <c r="DU308"/>
  <c r="DV308"/>
  <c r="DW308"/>
  <c r="DX308"/>
  <c r="DY308"/>
  <c r="DZ308"/>
  <c r="EA308"/>
  <c r="EB308"/>
  <c r="EC308"/>
  <c r="ED308"/>
  <c r="EE308"/>
  <c r="EF308"/>
  <c r="EG308"/>
  <c r="EH308"/>
  <c r="EI308"/>
  <c r="EJ308"/>
  <c r="EK308"/>
  <c r="EL308"/>
  <c r="EM308"/>
  <c r="EN308"/>
  <c r="EO308"/>
  <c r="EP308"/>
  <c r="EQ308"/>
  <c r="ER308"/>
  <c r="ES308"/>
  <c r="ET308"/>
  <c r="EU308"/>
  <c r="EV308"/>
  <c r="EW308"/>
  <c r="EX308"/>
  <c r="EY308"/>
  <c r="EZ308"/>
  <c r="FA308"/>
  <c r="FB308"/>
  <c r="FC308"/>
  <c r="FD308"/>
  <c r="FE308"/>
  <c r="FF308"/>
  <c r="FG308"/>
  <c r="FH308"/>
  <c r="FI308"/>
  <c r="FJ308"/>
  <c r="FK308"/>
  <c r="FL308"/>
  <c r="FM308"/>
  <c r="FN308"/>
  <c r="FO308"/>
  <c r="FP308"/>
  <c r="FQ308"/>
  <c r="FR308"/>
  <c r="FS308"/>
  <c r="FT308"/>
  <c r="FU308"/>
  <c r="FV308"/>
  <c r="FW308"/>
  <c r="FX308"/>
  <c r="FY308"/>
  <c r="FZ308"/>
  <c r="GA308"/>
  <c r="GB308"/>
  <c r="GC308"/>
  <c r="GD308"/>
  <c r="GE308"/>
  <c r="GF308"/>
  <c r="GG308"/>
  <c r="GH308"/>
  <c r="GI308"/>
  <c r="GJ308"/>
  <c r="GK308"/>
  <c r="GL308"/>
  <c r="GM308"/>
  <c r="GN308"/>
  <c r="GO308"/>
  <c r="GP308"/>
  <c r="GQ308"/>
  <c r="GR308"/>
  <c r="GS308"/>
  <c r="GT308"/>
  <c r="GU308"/>
  <c r="GV308"/>
  <c r="GW308"/>
  <c r="GX308"/>
  <c r="GY308"/>
  <c r="GZ308"/>
  <c r="HA308"/>
  <c r="HB308"/>
  <c r="HC308"/>
  <c r="HD308"/>
  <c r="HE308"/>
  <c r="HF308"/>
  <c r="HG308"/>
  <c r="HH308"/>
  <c r="HI308"/>
  <c r="HJ308"/>
  <c r="HK308"/>
  <c r="HL308"/>
  <c r="HM308"/>
  <c r="HN308"/>
  <c r="HO308"/>
  <c r="HP308"/>
  <c r="HQ308"/>
  <c r="HR308"/>
  <c r="HS308"/>
  <c r="HT308"/>
  <c r="HU308"/>
  <c r="HV308"/>
  <c r="HW308"/>
  <c r="HX308"/>
  <c r="HY308"/>
  <c r="HZ308"/>
  <c r="IA308"/>
  <c r="IB308"/>
  <c r="IC308"/>
  <c r="ID308"/>
  <c r="IE308"/>
  <c r="IF308"/>
  <c r="IG308"/>
  <c r="IH308"/>
  <c r="II308"/>
  <c r="IJ308"/>
  <c r="IK308"/>
  <c r="IL308"/>
  <c r="IM308"/>
  <c r="IN308"/>
  <c r="IO308"/>
  <c r="IP308"/>
  <c r="IQ308"/>
  <c r="IR308"/>
  <c r="IS308"/>
  <c r="IT308"/>
  <c r="IU308"/>
  <c r="IV308"/>
  <c r="A309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Z309"/>
  <c r="AA309"/>
  <c r="AB309"/>
  <c r="AC309"/>
  <c r="AD309"/>
  <c r="AE309"/>
  <c r="AF309"/>
  <c r="AG309"/>
  <c r="AH309"/>
  <c r="AI309"/>
  <c r="AJ309"/>
  <c r="AK309"/>
  <c r="AL309"/>
  <c r="AM309"/>
  <c r="AN309"/>
  <c r="AO309"/>
  <c r="AP309"/>
  <c r="AQ309"/>
  <c r="AR309"/>
  <c r="AS309"/>
  <c r="AT309"/>
  <c r="AU309"/>
  <c r="AV309"/>
  <c r="AW309"/>
  <c r="AX309"/>
  <c r="AY309"/>
  <c r="AZ309"/>
  <c r="BA309"/>
  <c r="BB309"/>
  <c r="BC309"/>
  <c r="BD309"/>
  <c r="BE309"/>
  <c r="BF309"/>
  <c r="BG309"/>
  <c r="BH309"/>
  <c r="BI309"/>
  <c r="BJ309"/>
  <c r="BK309"/>
  <c r="BL309"/>
  <c r="BM309"/>
  <c r="BN309"/>
  <c r="BO309"/>
  <c r="BP309"/>
  <c r="BQ309"/>
  <c r="BR309"/>
  <c r="BS309"/>
  <c r="BT309"/>
  <c r="BU309"/>
  <c r="BV309"/>
  <c r="BW309"/>
  <c r="BX309"/>
  <c r="BY309"/>
  <c r="BZ309"/>
  <c r="CA309"/>
  <c r="CB309"/>
  <c r="CC309"/>
  <c r="CD309"/>
  <c r="CE309"/>
  <c r="CF309"/>
  <c r="CG309"/>
  <c r="CH309"/>
  <c r="CI309"/>
  <c r="CJ309"/>
  <c r="CK309"/>
  <c r="CL309"/>
  <c r="CM309"/>
  <c r="CN309"/>
  <c r="CO309"/>
  <c r="CP309"/>
  <c r="CQ309"/>
  <c r="CR309"/>
  <c r="CS309"/>
  <c r="CT309"/>
  <c r="CU309"/>
  <c r="CV309"/>
  <c r="CW309"/>
  <c r="CX309"/>
  <c r="CY309"/>
  <c r="CZ309"/>
  <c r="DA309"/>
  <c r="DB309"/>
  <c r="DC309"/>
  <c r="DD309"/>
  <c r="DE309"/>
  <c r="DF309"/>
  <c r="DG309"/>
  <c r="DH309"/>
  <c r="DI309"/>
  <c r="DJ309"/>
  <c r="DK309"/>
  <c r="DL309"/>
  <c r="DM309"/>
  <c r="DN309"/>
  <c r="DO309"/>
  <c r="DP309"/>
  <c r="DQ309"/>
  <c r="DR309"/>
  <c r="DS309"/>
  <c r="DT309"/>
  <c r="DU309"/>
  <c r="DV309"/>
  <c r="DW309"/>
  <c r="DX309"/>
  <c r="DY309"/>
  <c r="DZ309"/>
  <c r="EA309"/>
  <c r="EB309"/>
  <c r="EC309"/>
  <c r="ED309"/>
  <c r="EE309"/>
  <c r="EF309"/>
  <c r="EG309"/>
  <c r="EH309"/>
  <c r="EI309"/>
  <c r="EJ309"/>
  <c r="EK309"/>
  <c r="EL309"/>
  <c r="EM309"/>
  <c r="EN309"/>
  <c r="EO309"/>
  <c r="EP309"/>
  <c r="EQ309"/>
  <c r="ER309"/>
  <c r="ES309"/>
  <c r="ET309"/>
  <c r="EU309"/>
  <c r="EV309"/>
  <c r="EW309"/>
  <c r="EX309"/>
  <c r="EY309"/>
  <c r="EZ309"/>
  <c r="FA309"/>
  <c r="FB309"/>
  <c r="FC309"/>
  <c r="FD309"/>
  <c r="FE309"/>
  <c r="FF309"/>
  <c r="FG309"/>
  <c r="FH309"/>
  <c r="FI309"/>
  <c r="FJ309"/>
  <c r="FK309"/>
  <c r="FL309"/>
  <c r="FM309"/>
  <c r="FN309"/>
  <c r="FO309"/>
  <c r="FP309"/>
  <c r="FQ309"/>
  <c r="FR309"/>
  <c r="FS309"/>
  <c r="FT309"/>
  <c r="FU309"/>
  <c r="FV309"/>
  <c r="FW309"/>
  <c r="FX309"/>
  <c r="FY309"/>
  <c r="FZ309"/>
  <c r="GA309"/>
  <c r="GB309"/>
  <c r="GC309"/>
  <c r="GD309"/>
  <c r="GE309"/>
  <c r="GF309"/>
  <c r="GG309"/>
  <c r="GH309"/>
  <c r="GI309"/>
  <c r="GJ309"/>
  <c r="GK309"/>
  <c r="GL309"/>
  <c r="GM309"/>
  <c r="GN309"/>
  <c r="GO309"/>
  <c r="GP309"/>
  <c r="GQ309"/>
  <c r="GR309"/>
  <c r="GS309"/>
  <c r="GT309"/>
  <c r="GU309"/>
  <c r="GV309"/>
  <c r="GW309"/>
  <c r="GX309"/>
  <c r="GY309"/>
  <c r="GZ309"/>
  <c r="HA309"/>
  <c r="HB309"/>
  <c r="HC309"/>
  <c r="HD309"/>
  <c r="HE309"/>
  <c r="HF309"/>
  <c r="HG309"/>
  <c r="HH309"/>
  <c r="HI309"/>
  <c r="HJ309"/>
  <c r="HK309"/>
  <c r="HL309"/>
  <c r="HM309"/>
  <c r="HN309"/>
  <c r="HO309"/>
  <c r="HP309"/>
  <c r="HQ309"/>
  <c r="HR309"/>
  <c r="HS309"/>
  <c r="HT309"/>
  <c r="HU309"/>
  <c r="HV309"/>
  <c r="HW309"/>
  <c r="HX309"/>
  <c r="HY309"/>
  <c r="HZ309"/>
  <c r="IA309"/>
  <c r="IB309"/>
  <c r="IC309"/>
  <c r="ID309"/>
  <c r="IE309"/>
  <c r="IF309"/>
  <c r="IG309"/>
  <c r="IH309"/>
  <c r="II309"/>
  <c r="IJ309"/>
  <c r="IK309"/>
  <c r="IL309"/>
  <c r="IM309"/>
  <c r="IN309"/>
  <c r="IO309"/>
  <c r="IP309"/>
  <c r="IQ309"/>
  <c r="IR309"/>
  <c r="IS309"/>
  <c r="IT309"/>
  <c r="IU309"/>
  <c r="IV309"/>
  <c r="A310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Z310"/>
  <c r="AA310"/>
  <c r="AB310"/>
  <c r="AC310"/>
  <c r="AD310"/>
  <c r="AE310"/>
  <c r="AF310"/>
  <c r="AG310"/>
  <c r="AH310"/>
  <c r="AI310"/>
  <c r="AJ310"/>
  <c r="AK310"/>
  <c r="AL310"/>
  <c r="AM310"/>
  <c r="AN310"/>
  <c r="AO310"/>
  <c r="AP310"/>
  <c r="AQ310"/>
  <c r="AR310"/>
  <c r="AS310"/>
  <c r="AT310"/>
  <c r="AU310"/>
  <c r="AV310"/>
  <c r="AW310"/>
  <c r="AX310"/>
  <c r="AY310"/>
  <c r="AZ310"/>
  <c r="BA310"/>
  <c r="BB310"/>
  <c r="BC310"/>
  <c r="BD310"/>
  <c r="BE310"/>
  <c r="BF310"/>
  <c r="BG310"/>
  <c r="BH310"/>
  <c r="BI310"/>
  <c r="BJ310"/>
  <c r="BK310"/>
  <c r="BL310"/>
  <c r="BM310"/>
  <c r="BN310"/>
  <c r="BO310"/>
  <c r="BP310"/>
  <c r="BQ310"/>
  <c r="BR310"/>
  <c r="BS310"/>
  <c r="BT310"/>
  <c r="BU310"/>
  <c r="BV310"/>
  <c r="BW310"/>
  <c r="BX310"/>
  <c r="BY310"/>
  <c r="BZ310"/>
  <c r="CA310"/>
  <c r="CB310"/>
  <c r="CC310"/>
  <c r="CD310"/>
  <c r="CE310"/>
  <c r="CF310"/>
  <c r="CG310"/>
  <c r="CH310"/>
  <c r="CI310"/>
  <c r="CJ310"/>
  <c r="CK310"/>
  <c r="CL310"/>
  <c r="CM310"/>
  <c r="CN310"/>
  <c r="CO310"/>
  <c r="CP310"/>
  <c r="CQ310"/>
  <c r="CR310"/>
  <c r="CS310"/>
  <c r="CT310"/>
  <c r="CU310"/>
  <c r="CV310"/>
  <c r="CW310"/>
  <c r="CX310"/>
  <c r="CY310"/>
  <c r="CZ310"/>
  <c r="DA310"/>
  <c r="DB310"/>
  <c r="DC310"/>
  <c r="DD310"/>
  <c r="DE310"/>
  <c r="DF310"/>
  <c r="DG310"/>
  <c r="DH310"/>
  <c r="DI310"/>
  <c r="DJ310"/>
  <c r="DK310"/>
  <c r="DL310"/>
  <c r="DM310"/>
  <c r="DN310"/>
  <c r="DO310"/>
  <c r="DP310"/>
  <c r="DQ310"/>
  <c r="DR310"/>
  <c r="DS310"/>
  <c r="DT310"/>
  <c r="DU310"/>
  <c r="DV310"/>
  <c r="DW310"/>
  <c r="DX310"/>
  <c r="DY310"/>
  <c r="DZ310"/>
  <c r="EA310"/>
  <c r="EB310"/>
  <c r="EC310"/>
  <c r="ED310"/>
  <c r="EE310"/>
  <c r="EF310"/>
  <c r="EG310"/>
  <c r="EH310"/>
  <c r="EI310"/>
  <c r="EJ310"/>
  <c r="EK310"/>
  <c r="EL310"/>
  <c r="EM310"/>
  <c r="EN310"/>
  <c r="EO310"/>
  <c r="EP310"/>
  <c r="EQ310"/>
  <c r="ER310"/>
  <c r="ES310"/>
  <c r="ET310"/>
  <c r="EU310"/>
  <c r="EV310"/>
  <c r="EW310"/>
  <c r="EX310"/>
  <c r="EY310"/>
  <c r="EZ310"/>
  <c r="FA310"/>
  <c r="FB310"/>
  <c r="FC310"/>
  <c r="FD310"/>
  <c r="FE310"/>
  <c r="FF310"/>
  <c r="FG310"/>
  <c r="FH310"/>
  <c r="FI310"/>
  <c r="FJ310"/>
  <c r="FK310"/>
  <c r="FL310"/>
  <c r="FM310"/>
  <c r="FN310"/>
  <c r="FO310"/>
  <c r="FP310"/>
  <c r="FQ310"/>
  <c r="FR310"/>
  <c r="FS310"/>
  <c r="FT310"/>
  <c r="FU310"/>
  <c r="FV310"/>
  <c r="FW310"/>
  <c r="FX310"/>
  <c r="FY310"/>
  <c r="FZ310"/>
  <c r="GA310"/>
  <c r="GB310"/>
  <c r="GC310"/>
  <c r="GD310"/>
  <c r="GE310"/>
  <c r="GF310"/>
  <c r="GG310"/>
  <c r="GH310"/>
  <c r="GI310"/>
  <c r="GJ310"/>
  <c r="GK310"/>
  <c r="GL310"/>
  <c r="GM310"/>
  <c r="GN310"/>
  <c r="GO310"/>
  <c r="GP310"/>
  <c r="GQ310"/>
  <c r="GR310"/>
  <c r="GS310"/>
  <c r="GT310"/>
  <c r="GU310"/>
  <c r="GV310"/>
  <c r="GW310"/>
  <c r="GX310"/>
  <c r="GY310"/>
  <c r="GZ310"/>
  <c r="HA310"/>
  <c r="HB310"/>
  <c r="HC310"/>
  <c r="HD310"/>
  <c r="HE310"/>
  <c r="HF310"/>
  <c r="HG310"/>
  <c r="HH310"/>
  <c r="HI310"/>
  <c r="HJ310"/>
  <c r="HK310"/>
  <c r="HL310"/>
  <c r="HM310"/>
  <c r="HN310"/>
  <c r="HO310"/>
  <c r="HP310"/>
  <c r="HQ310"/>
  <c r="HR310"/>
  <c r="HS310"/>
  <c r="HT310"/>
  <c r="HU310"/>
  <c r="HV310"/>
  <c r="HW310"/>
  <c r="HX310"/>
  <c r="HY310"/>
  <c r="HZ310"/>
  <c r="IA310"/>
  <c r="IB310"/>
  <c r="IC310"/>
  <c r="ID310"/>
  <c r="IE310"/>
  <c r="IF310"/>
  <c r="IG310"/>
  <c r="IH310"/>
  <c r="II310"/>
  <c r="IJ310"/>
  <c r="IK310"/>
  <c r="IL310"/>
  <c r="IM310"/>
  <c r="IN310"/>
  <c r="IO310"/>
  <c r="IP310"/>
  <c r="IQ310"/>
  <c r="IR310"/>
  <c r="IS310"/>
  <c r="IT310"/>
  <c r="IU310"/>
  <c r="IV310"/>
  <c r="A311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Z311"/>
  <c r="AA311"/>
  <c r="AB311"/>
  <c r="AC311"/>
  <c r="AD311"/>
  <c r="AE311"/>
  <c r="AF311"/>
  <c r="AG311"/>
  <c r="AH311"/>
  <c r="AI311"/>
  <c r="AJ311"/>
  <c r="AK311"/>
  <c r="AL311"/>
  <c r="AM311"/>
  <c r="AN311"/>
  <c r="AO311"/>
  <c r="AP311"/>
  <c r="AQ311"/>
  <c r="AR311"/>
  <c r="AS311"/>
  <c r="AT311"/>
  <c r="AU311"/>
  <c r="AV311"/>
  <c r="AW311"/>
  <c r="AX311"/>
  <c r="AY311"/>
  <c r="AZ311"/>
  <c r="BA311"/>
  <c r="BB311"/>
  <c r="BC311"/>
  <c r="BD311"/>
  <c r="BE311"/>
  <c r="BF311"/>
  <c r="BG311"/>
  <c r="BH311"/>
  <c r="BI311"/>
  <c r="BJ311"/>
  <c r="BK311"/>
  <c r="BL311"/>
  <c r="BM311"/>
  <c r="BN311"/>
  <c r="BO311"/>
  <c r="BP311"/>
  <c r="BQ311"/>
  <c r="BR311"/>
  <c r="BS311"/>
  <c r="BT311"/>
  <c r="BU311"/>
  <c r="BV311"/>
  <c r="BW311"/>
  <c r="BX311"/>
  <c r="BY311"/>
  <c r="BZ311"/>
  <c r="CA311"/>
  <c r="CB311"/>
  <c r="CC311"/>
  <c r="CD311"/>
  <c r="CE311"/>
  <c r="CF311"/>
  <c r="CG311"/>
  <c r="CH311"/>
  <c r="CI311"/>
  <c r="CJ311"/>
  <c r="CK311"/>
  <c r="CL311"/>
  <c r="CM311"/>
  <c r="CN311"/>
  <c r="CO311"/>
  <c r="CP311"/>
  <c r="CQ311"/>
  <c r="CR311"/>
  <c r="CS311"/>
  <c r="CT311"/>
  <c r="CU311"/>
  <c r="CV311"/>
  <c r="CW311"/>
  <c r="CX311"/>
  <c r="CY311"/>
  <c r="CZ311"/>
  <c r="DA311"/>
  <c r="DB311"/>
  <c r="DC311"/>
  <c r="DD311"/>
  <c r="DE311"/>
  <c r="DF311"/>
  <c r="DG311"/>
  <c r="DH311"/>
  <c r="DI311"/>
  <c r="DJ311"/>
  <c r="DK311"/>
  <c r="DL311"/>
  <c r="DM311"/>
  <c r="DN311"/>
  <c r="DO311"/>
  <c r="DP311"/>
  <c r="DQ311"/>
  <c r="DR311"/>
  <c r="DS311"/>
  <c r="DT311"/>
  <c r="DU311"/>
  <c r="DV311"/>
  <c r="DW311"/>
  <c r="DX311"/>
  <c r="DY311"/>
  <c r="DZ311"/>
  <c r="EA311"/>
  <c r="EB311"/>
  <c r="EC311"/>
  <c r="ED311"/>
  <c r="EE311"/>
  <c r="EF311"/>
  <c r="EG311"/>
  <c r="EH311"/>
  <c r="EI311"/>
  <c r="EJ311"/>
  <c r="EK311"/>
  <c r="EL311"/>
  <c r="EM311"/>
  <c r="EN311"/>
  <c r="EO311"/>
  <c r="EP311"/>
  <c r="EQ311"/>
  <c r="ER311"/>
  <c r="ES311"/>
  <c r="ET311"/>
  <c r="EU311"/>
  <c r="EV311"/>
  <c r="EW311"/>
  <c r="EX311"/>
  <c r="EY311"/>
  <c r="EZ311"/>
  <c r="FA311"/>
  <c r="FB311"/>
  <c r="FC311"/>
  <c r="FD311"/>
  <c r="FE311"/>
  <c r="FF311"/>
  <c r="FG311"/>
  <c r="FH311"/>
  <c r="FI311"/>
  <c r="FJ311"/>
  <c r="FK311"/>
  <c r="FL311"/>
  <c r="FM311"/>
  <c r="FN311"/>
  <c r="FO311"/>
  <c r="FP311"/>
  <c r="FQ311"/>
  <c r="FR311"/>
  <c r="FS311"/>
  <c r="FT311"/>
  <c r="FU311"/>
  <c r="FV311"/>
  <c r="FW311"/>
  <c r="FX311"/>
  <c r="FY311"/>
  <c r="FZ311"/>
  <c r="GA311"/>
  <c r="GB311"/>
  <c r="GC311"/>
  <c r="GD311"/>
  <c r="GE311"/>
  <c r="GF311"/>
  <c r="GG311"/>
  <c r="GH311"/>
  <c r="GI311"/>
  <c r="GJ311"/>
  <c r="GK311"/>
  <c r="GL311"/>
  <c r="GM311"/>
  <c r="GN311"/>
  <c r="GO311"/>
  <c r="GP311"/>
  <c r="GQ311"/>
  <c r="GR311"/>
  <c r="GS311"/>
  <c r="GT311"/>
  <c r="GU311"/>
  <c r="GV311"/>
  <c r="GW311"/>
  <c r="GX311"/>
  <c r="GY311"/>
  <c r="GZ311"/>
  <c r="HA311"/>
  <c r="HB311"/>
  <c r="HC311"/>
  <c r="HD311"/>
  <c r="HE311"/>
  <c r="HF311"/>
  <c r="HG311"/>
  <c r="HH311"/>
  <c r="HI311"/>
  <c r="HJ311"/>
  <c r="HK311"/>
  <c r="HL311"/>
  <c r="HM311"/>
  <c r="HN311"/>
  <c r="HO311"/>
  <c r="HP311"/>
  <c r="HQ311"/>
  <c r="HR311"/>
  <c r="HS311"/>
  <c r="HT311"/>
  <c r="HU311"/>
  <c r="HV311"/>
  <c r="HW311"/>
  <c r="HX311"/>
  <c r="HY311"/>
  <c r="HZ311"/>
  <c r="IA311"/>
  <c r="IB311"/>
  <c r="IC311"/>
  <c r="ID311"/>
  <c r="IE311"/>
  <c r="IF311"/>
  <c r="IG311"/>
  <c r="IH311"/>
  <c r="II311"/>
  <c r="IJ311"/>
  <c r="IK311"/>
  <c r="IL311"/>
  <c r="IM311"/>
  <c r="IN311"/>
  <c r="IO311"/>
  <c r="IP311"/>
  <c r="IQ311"/>
  <c r="IR311"/>
  <c r="IS311"/>
  <c r="IT311"/>
  <c r="IU311"/>
  <c r="IV311"/>
  <c r="A312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Z312"/>
  <c r="AA312"/>
  <c r="AB312"/>
  <c r="AC312"/>
  <c r="AD312"/>
  <c r="AE312"/>
  <c r="AF312"/>
  <c r="AG312"/>
  <c r="AH312"/>
  <c r="AI312"/>
  <c r="AJ312"/>
  <c r="AK312"/>
  <c r="AL312"/>
  <c r="AM312"/>
  <c r="AN312"/>
  <c r="AO312"/>
  <c r="AP312"/>
  <c r="AQ312"/>
  <c r="AR312"/>
  <c r="AS312"/>
  <c r="AT312"/>
  <c r="AU312"/>
  <c r="AV312"/>
  <c r="AW312"/>
  <c r="AX312"/>
  <c r="AY312"/>
  <c r="AZ312"/>
  <c r="BA312"/>
  <c r="BB312"/>
  <c r="BC312"/>
  <c r="BD312"/>
  <c r="BE312"/>
  <c r="BF312"/>
  <c r="BG312"/>
  <c r="BH312"/>
  <c r="BI312"/>
  <c r="BJ312"/>
  <c r="BK312"/>
  <c r="BL312"/>
  <c r="BM312"/>
  <c r="BN312"/>
  <c r="BO312"/>
  <c r="BP312"/>
  <c r="BQ312"/>
  <c r="BR312"/>
  <c r="BS312"/>
  <c r="BT312"/>
  <c r="BU312"/>
  <c r="BV312"/>
  <c r="BW312"/>
  <c r="BX312"/>
  <c r="BY312"/>
  <c r="BZ312"/>
  <c r="CA312"/>
  <c r="CB312"/>
  <c r="CC312"/>
  <c r="CD312"/>
  <c r="CE312"/>
  <c r="CF312"/>
  <c r="CG312"/>
  <c r="CH312"/>
  <c r="CI312"/>
  <c r="CJ312"/>
  <c r="CK312"/>
  <c r="CL312"/>
  <c r="CM312"/>
  <c r="CN312"/>
  <c r="CO312"/>
  <c r="CP312"/>
  <c r="CQ312"/>
  <c r="CR312"/>
  <c r="CS312"/>
  <c r="CT312"/>
  <c r="CU312"/>
  <c r="CV312"/>
  <c r="CW312"/>
  <c r="CX312"/>
  <c r="CY312"/>
  <c r="CZ312"/>
  <c r="DA312"/>
  <c r="DB312"/>
  <c r="DC312"/>
  <c r="DD312"/>
  <c r="DE312"/>
  <c r="DF312"/>
  <c r="DG312"/>
  <c r="DH312"/>
  <c r="DI312"/>
  <c r="DJ312"/>
  <c r="DK312"/>
  <c r="DL312"/>
  <c r="DM312"/>
  <c r="DN312"/>
  <c r="DO312"/>
  <c r="DP312"/>
  <c r="DQ312"/>
  <c r="DR312"/>
  <c r="DS312"/>
  <c r="DT312"/>
  <c r="DU312"/>
  <c r="DV312"/>
  <c r="DW312"/>
  <c r="DX312"/>
  <c r="DY312"/>
  <c r="DZ312"/>
  <c r="EA312"/>
  <c r="EB312"/>
  <c r="EC312"/>
  <c r="ED312"/>
  <c r="EE312"/>
  <c r="EF312"/>
  <c r="EG312"/>
  <c r="EH312"/>
  <c r="EI312"/>
  <c r="EJ312"/>
  <c r="EK312"/>
  <c r="EL312"/>
  <c r="EM312"/>
  <c r="EN312"/>
  <c r="EO312"/>
  <c r="EP312"/>
  <c r="EQ312"/>
  <c r="ER312"/>
  <c r="ES312"/>
  <c r="ET312"/>
  <c r="EU312"/>
  <c r="EV312"/>
  <c r="EW312"/>
  <c r="EX312"/>
  <c r="EY312"/>
  <c r="EZ312"/>
  <c r="FA312"/>
  <c r="FB312"/>
  <c r="FC312"/>
  <c r="FD312"/>
  <c r="FE312"/>
  <c r="FF312"/>
  <c r="FG312"/>
  <c r="FH312"/>
  <c r="FI312"/>
  <c r="FJ312"/>
  <c r="FK312"/>
  <c r="FL312"/>
  <c r="FM312"/>
  <c r="FN312"/>
  <c r="FO312"/>
  <c r="FP312"/>
  <c r="FQ312"/>
  <c r="FR312"/>
  <c r="FS312"/>
  <c r="FT312"/>
  <c r="FU312"/>
  <c r="FV312"/>
  <c r="FW312"/>
  <c r="FX312"/>
  <c r="FY312"/>
  <c r="FZ312"/>
  <c r="GA312"/>
  <c r="GB312"/>
  <c r="GC312"/>
  <c r="GD312"/>
  <c r="GE312"/>
  <c r="GF312"/>
  <c r="GG312"/>
  <c r="GH312"/>
  <c r="GI312"/>
  <c r="GJ312"/>
  <c r="GK312"/>
  <c r="GL312"/>
  <c r="GM312"/>
  <c r="GN312"/>
  <c r="GO312"/>
  <c r="GP312"/>
  <c r="GQ312"/>
  <c r="GR312"/>
  <c r="GS312"/>
  <c r="GT312"/>
  <c r="GU312"/>
  <c r="GV312"/>
  <c r="GW312"/>
  <c r="GX312"/>
  <c r="GY312"/>
  <c r="GZ312"/>
  <c r="HA312"/>
  <c r="HB312"/>
  <c r="HC312"/>
  <c r="HD312"/>
  <c r="HE312"/>
  <c r="HF312"/>
  <c r="HG312"/>
  <c r="HH312"/>
  <c r="HI312"/>
  <c r="HJ312"/>
  <c r="HK312"/>
  <c r="HL312"/>
  <c r="HM312"/>
  <c r="HN312"/>
  <c r="HO312"/>
  <c r="HP312"/>
  <c r="HQ312"/>
  <c r="HR312"/>
  <c r="HS312"/>
  <c r="HT312"/>
  <c r="HU312"/>
  <c r="HV312"/>
  <c r="HW312"/>
  <c r="HX312"/>
  <c r="HY312"/>
  <c r="HZ312"/>
  <c r="IA312"/>
  <c r="IB312"/>
  <c r="IC312"/>
  <c r="ID312"/>
  <c r="IE312"/>
  <c r="IF312"/>
  <c r="IG312"/>
  <c r="IH312"/>
  <c r="II312"/>
  <c r="IJ312"/>
  <c r="IK312"/>
  <c r="IL312"/>
  <c r="IM312"/>
  <c r="IN312"/>
  <c r="IO312"/>
  <c r="IP312"/>
  <c r="IQ312"/>
  <c r="IR312"/>
  <c r="IS312"/>
  <c r="IT312"/>
  <c r="IU312"/>
  <c r="IV312"/>
  <c r="A313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Z313"/>
  <c r="AA313"/>
  <c r="AB313"/>
  <c r="AC313"/>
  <c r="AD313"/>
  <c r="AE313"/>
  <c r="AF313"/>
  <c r="AG313"/>
  <c r="AH313"/>
  <c r="AI313"/>
  <c r="AJ313"/>
  <c r="AK313"/>
  <c r="AL313"/>
  <c r="AM313"/>
  <c r="AN313"/>
  <c r="AO313"/>
  <c r="AP313"/>
  <c r="AQ313"/>
  <c r="AR313"/>
  <c r="AS313"/>
  <c r="AT313"/>
  <c r="AU313"/>
  <c r="AV313"/>
  <c r="AW313"/>
  <c r="AX313"/>
  <c r="AY313"/>
  <c r="AZ313"/>
  <c r="BA313"/>
  <c r="BB313"/>
  <c r="BC313"/>
  <c r="BD313"/>
  <c r="BE313"/>
  <c r="BF313"/>
  <c r="BG313"/>
  <c r="BH313"/>
  <c r="BI313"/>
  <c r="BJ313"/>
  <c r="BK313"/>
  <c r="BL313"/>
  <c r="BM313"/>
  <c r="BN313"/>
  <c r="BO313"/>
  <c r="BP313"/>
  <c r="BQ313"/>
  <c r="BR313"/>
  <c r="BS313"/>
  <c r="BT313"/>
  <c r="BU313"/>
  <c r="BV313"/>
  <c r="BW313"/>
  <c r="BX313"/>
  <c r="BY313"/>
  <c r="BZ313"/>
  <c r="CA313"/>
  <c r="CB313"/>
  <c r="CC313"/>
  <c r="CD313"/>
  <c r="CE313"/>
  <c r="CF313"/>
  <c r="CG313"/>
  <c r="CH313"/>
  <c r="CI313"/>
  <c r="CJ313"/>
  <c r="CK313"/>
  <c r="CL313"/>
  <c r="CM313"/>
  <c r="CN313"/>
  <c r="CO313"/>
  <c r="CP313"/>
  <c r="CQ313"/>
  <c r="CR313"/>
  <c r="CS313"/>
  <c r="CT313"/>
  <c r="CU313"/>
  <c r="CV313"/>
  <c r="CW313"/>
  <c r="CX313"/>
  <c r="CY313"/>
  <c r="CZ313"/>
  <c r="DA313"/>
  <c r="DB313"/>
  <c r="DC313"/>
  <c r="DD313"/>
  <c r="DE313"/>
  <c r="DF313"/>
  <c r="DG313"/>
  <c r="DH313"/>
  <c r="DI313"/>
  <c r="DJ313"/>
  <c r="DK313"/>
  <c r="DL313"/>
  <c r="DM313"/>
  <c r="DN313"/>
  <c r="DO313"/>
  <c r="DP313"/>
  <c r="DQ313"/>
  <c r="DR313"/>
  <c r="DS313"/>
  <c r="DT313"/>
  <c r="DU313"/>
  <c r="DV313"/>
  <c r="DW313"/>
  <c r="DX313"/>
  <c r="DY313"/>
  <c r="DZ313"/>
  <c r="EA313"/>
  <c r="EB313"/>
  <c r="EC313"/>
  <c r="ED313"/>
  <c r="EE313"/>
  <c r="EF313"/>
  <c r="EG313"/>
  <c r="EH313"/>
  <c r="EI313"/>
  <c r="EJ313"/>
  <c r="EK313"/>
  <c r="EL313"/>
  <c r="EM313"/>
  <c r="EN313"/>
  <c r="EO313"/>
  <c r="EP313"/>
  <c r="EQ313"/>
  <c r="ER313"/>
  <c r="ES313"/>
  <c r="ET313"/>
  <c r="EU313"/>
  <c r="EV313"/>
  <c r="EW313"/>
  <c r="EX313"/>
  <c r="EY313"/>
  <c r="EZ313"/>
  <c r="FA313"/>
  <c r="FB313"/>
  <c r="FC313"/>
  <c r="FD313"/>
  <c r="FE313"/>
  <c r="FF313"/>
  <c r="FG313"/>
  <c r="FH313"/>
  <c r="FI313"/>
  <c r="FJ313"/>
  <c r="FK313"/>
  <c r="FL313"/>
  <c r="FM313"/>
  <c r="FN313"/>
  <c r="FO313"/>
  <c r="FP313"/>
  <c r="FQ313"/>
  <c r="FR313"/>
  <c r="FS313"/>
  <c r="FT313"/>
  <c r="FU313"/>
  <c r="FV313"/>
  <c r="FW313"/>
  <c r="FX313"/>
  <c r="FY313"/>
  <c r="FZ313"/>
  <c r="GA313"/>
  <c r="GB313"/>
  <c r="GC313"/>
  <c r="GD313"/>
  <c r="GE313"/>
  <c r="GF313"/>
  <c r="GG313"/>
  <c r="GH313"/>
  <c r="GI313"/>
  <c r="GJ313"/>
  <c r="GK313"/>
  <c r="GL313"/>
  <c r="GM313"/>
  <c r="GN313"/>
  <c r="GO313"/>
  <c r="GP313"/>
  <c r="GQ313"/>
  <c r="GR313"/>
  <c r="GS313"/>
  <c r="GT313"/>
  <c r="GU313"/>
  <c r="GV313"/>
  <c r="GW313"/>
  <c r="GX313"/>
  <c r="GY313"/>
  <c r="GZ313"/>
  <c r="HA313"/>
  <c r="HB313"/>
  <c r="HC313"/>
  <c r="HD313"/>
  <c r="HE313"/>
  <c r="HF313"/>
  <c r="HG313"/>
  <c r="HH313"/>
  <c r="HI313"/>
  <c r="HJ313"/>
  <c r="HK313"/>
  <c r="HL313"/>
  <c r="HM313"/>
  <c r="HN313"/>
  <c r="HO313"/>
  <c r="HP313"/>
  <c r="HQ313"/>
  <c r="HR313"/>
  <c r="HS313"/>
  <c r="HT313"/>
  <c r="HU313"/>
  <c r="HV313"/>
  <c r="HW313"/>
  <c r="HX313"/>
  <c r="HY313"/>
  <c r="HZ313"/>
  <c r="IA313"/>
  <c r="IB313"/>
  <c r="IC313"/>
  <c r="ID313"/>
  <c r="IE313"/>
  <c r="IF313"/>
  <c r="IG313"/>
  <c r="IH313"/>
  <c r="II313"/>
  <c r="IJ313"/>
  <c r="IK313"/>
  <c r="IL313"/>
  <c r="IM313"/>
  <c r="IN313"/>
  <c r="IO313"/>
  <c r="IP313"/>
  <c r="IQ313"/>
  <c r="IR313"/>
  <c r="IS313"/>
  <c r="IT313"/>
  <c r="IU313"/>
  <c r="IV313"/>
  <c r="A314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Z314"/>
  <c r="AA314"/>
  <c r="AB314"/>
  <c r="AC314"/>
  <c r="AD314"/>
  <c r="AE314"/>
  <c r="AF314"/>
  <c r="AG314"/>
  <c r="AH314"/>
  <c r="AI314"/>
  <c r="AJ314"/>
  <c r="AK314"/>
  <c r="AL314"/>
  <c r="AM314"/>
  <c r="AN314"/>
  <c r="AO314"/>
  <c r="AP314"/>
  <c r="AQ314"/>
  <c r="AR314"/>
  <c r="AS314"/>
  <c r="AT314"/>
  <c r="AU314"/>
  <c r="AV314"/>
  <c r="AW314"/>
  <c r="AX314"/>
  <c r="AY314"/>
  <c r="AZ314"/>
  <c r="BA314"/>
  <c r="BB314"/>
  <c r="BC314"/>
  <c r="BD314"/>
  <c r="BE314"/>
  <c r="BF314"/>
  <c r="BG314"/>
  <c r="BH314"/>
  <c r="BI314"/>
  <c r="BJ314"/>
  <c r="BK314"/>
  <c r="BL314"/>
  <c r="BM314"/>
  <c r="BN314"/>
  <c r="BO314"/>
  <c r="BP314"/>
  <c r="BQ314"/>
  <c r="BR314"/>
  <c r="BS314"/>
  <c r="BT314"/>
  <c r="BU314"/>
  <c r="BV314"/>
  <c r="BW314"/>
  <c r="BX314"/>
  <c r="BY314"/>
  <c r="BZ314"/>
  <c r="CA314"/>
  <c r="CB314"/>
  <c r="CC314"/>
  <c r="CD314"/>
  <c r="CE314"/>
  <c r="CF314"/>
  <c r="CG314"/>
  <c r="CH314"/>
  <c r="CI314"/>
  <c r="CJ314"/>
  <c r="CK314"/>
  <c r="CL314"/>
  <c r="CM314"/>
  <c r="CN314"/>
  <c r="CO314"/>
  <c r="CP314"/>
  <c r="CQ314"/>
  <c r="CR314"/>
  <c r="CS314"/>
  <c r="CT314"/>
  <c r="CU314"/>
  <c r="CV314"/>
  <c r="CW314"/>
  <c r="CX314"/>
  <c r="CY314"/>
  <c r="CZ314"/>
  <c r="DA314"/>
  <c r="DB314"/>
  <c r="DC314"/>
  <c r="DD314"/>
  <c r="DE314"/>
  <c r="DF314"/>
  <c r="DG314"/>
  <c r="DH314"/>
  <c r="DI314"/>
  <c r="DJ314"/>
  <c r="DK314"/>
  <c r="DL314"/>
  <c r="DM314"/>
  <c r="DN314"/>
  <c r="DO314"/>
  <c r="DP314"/>
  <c r="DQ314"/>
  <c r="DR314"/>
  <c r="DS314"/>
  <c r="DT314"/>
  <c r="DU314"/>
  <c r="DV314"/>
  <c r="DW314"/>
  <c r="DX314"/>
  <c r="DY314"/>
  <c r="DZ314"/>
  <c r="EA314"/>
  <c r="EB314"/>
  <c r="EC314"/>
  <c r="ED314"/>
  <c r="EE314"/>
  <c r="EF314"/>
  <c r="EG314"/>
  <c r="EH314"/>
  <c r="EI314"/>
  <c r="EJ314"/>
  <c r="EK314"/>
  <c r="EL314"/>
  <c r="EM314"/>
  <c r="EN314"/>
  <c r="EO314"/>
  <c r="EP314"/>
  <c r="EQ314"/>
  <c r="ER314"/>
  <c r="ES314"/>
  <c r="ET314"/>
  <c r="EU314"/>
  <c r="EV314"/>
  <c r="EW314"/>
  <c r="EX314"/>
  <c r="EY314"/>
  <c r="EZ314"/>
  <c r="FA314"/>
  <c r="FB314"/>
  <c r="FC314"/>
  <c r="FD314"/>
  <c r="FE314"/>
  <c r="FF314"/>
  <c r="FG314"/>
  <c r="FH314"/>
  <c r="FI314"/>
  <c r="FJ314"/>
  <c r="FK314"/>
  <c r="FL314"/>
  <c r="FM314"/>
  <c r="FN314"/>
  <c r="FO314"/>
  <c r="FP314"/>
  <c r="FQ314"/>
  <c r="FR314"/>
  <c r="FS314"/>
  <c r="FT314"/>
  <c r="FU314"/>
  <c r="FV314"/>
  <c r="FW314"/>
  <c r="FX314"/>
  <c r="FY314"/>
  <c r="FZ314"/>
  <c r="GA314"/>
  <c r="GB314"/>
  <c r="GC314"/>
  <c r="GD314"/>
  <c r="GE314"/>
  <c r="GF314"/>
  <c r="GG314"/>
  <c r="GH314"/>
  <c r="GI314"/>
  <c r="GJ314"/>
  <c r="GK314"/>
  <c r="GL314"/>
  <c r="GM314"/>
  <c r="GN314"/>
  <c r="GO314"/>
  <c r="GP314"/>
  <c r="GQ314"/>
  <c r="GR314"/>
  <c r="GS314"/>
  <c r="GT314"/>
  <c r="GU314"/>
  <c r="GV314"/>
  <c r="GW314"/>
  <c r="GX314"/>
  <c r="GY314"/>
  <c r="GZ314"/>
  <c r="HA314"/>
  <c r="HB314"/>
  <c r="HC314"/>
  <c r="HD314"/>
  <c r="HE314"/>
  <c r="HF314"/>
  <c r="HG314"/>
  <c r="HH314"/>
  <c r="HI314"/>
  <c r="HJ314"/>
  <c r="HK314"/>
  <c r="HL314"/>
  <c r="HM314"/>
  <c r="HN314"/>
  <c r="HO314"/>
  <c r="HP314"/>
  <c r="HQ314"/>
  <c r="HR314"/>
  <c r="HS314"/>
  <c r="HT314"/>
  <c r="HU314"/>
  <c r="HV314"/>
  <c r="HW314"/>
  <c r="HX314"/>
  <c r="HY314"/>
  <c r="HZ314"/>
  <c r="IA314"/>
  <c r="IB314"/>
  <c r="IC314"/>
  <c r="ID314"/>
  <c r="IE314"/>
  <c r="IF314"/>
  <c r="IG314"/>
  <c r="IH314"/>
  <c r="II314"/>
  <c r="IJ314"/>
  <c r="IK314"/>
  <c r="IL314"/>
  <c r="IM314"/>
  <c r="IN314"/>
  <c r="IO314"/>
  <c r="IP314"/>
  <c r="IQ314"/>
  <c r="IR314"/>
  <c r="IS314"/>
  <c r="IT314"/>
  <c r="IU314"/>
  <c r="IV314"/>
  <c r="A315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Z315"/>
  <c r="AA315"/>
  <c r="AB315"/>
  <c r="AC315"/>
  <c r="AD315"/>
  <c r="AE315"/>
  <c r="AF315"/>
  <c r="AG315"/>
  <c r="AH315"/>
  <c r="AI315"/>
  <c r="AJ315"/>
  <c r="AK315"/>
  <c r="AL315"/>
  <c r="AM315"/>
  <c r="AN315"/>
  <c r="AO315"/>
  <c r="AP315"/>
  <c r="AQ315"/>
  <c r="AR315"/>
  <c r="AS315"/>
  <c r="AT315"/>
  <c r="AU315"/>
  <c r="AV315"/>
  <c r="AW315"/>
  <c r="AX315"/>
  <c r="AY315"/>
  <c r="AZ315"/>
  <c r="BA315"/>
  <c r="BB315"/>
  <c r="BC315"/>
  <c r="BD315"/>
  <c r="BE315"/>
  <c r="BF315"/>
  <c r="BG315"/>
  <c r="BH315"/>
  <c r="BI315"/>
  <c r="BJ315"/>
  <c r="BK315"/>
  <c r="BL315"/>
  <c r="BM315"/>
  <c r="BN315"/>
  <c r="BO315"/>
  <c r="BP315"/>
  <c r="BQ315"/>
  <c r="BR315"/>
  <c r="BS315"/>
  <c r="BT315"/>
  <c r="BU315"/>
  <c r="BV315"/>
  <c r="BW315"/>
  <c r="BX315"/>
  <c r="BY315"/>
  <c r="BZ315"/>
  <c r="CA315"/>
  <c r="CB315"/>
  <c r="CC315"/>
  <c r="CD315"/>
  <c r="CE315"/>
  <c r="CF315"/>
  <c r="CG315"/>
  <c r="CH315"/>
  <c r="CI315"/>
  <c r="CJ315"/>
  <c r="CK315"/>
  <c r="CL315"/>
  <c r="CM315"/>
  <c r="CN315"/>
  <c r="CO315"/>
  <c r="CP315"/>
  <c r="CQ315"/>
  <c r="CR315"/>
  <c r="CS315"/>
  <c r="CT315"/>
  <c r="CU315"/>
  <c r="CV315"/>
  <c r="CW315"/>
  <c r="CX315"/>
  <c r="CY315"/>
  <c r="CZ315"/>
  <c r="DA315"/>
  <c r="DB315"/>
  <c r="DC315"/>
  <c r="DD315"/>
  <c r="DE315"/>
  <c r="DF315"/>
  <c r="DG315"/>
  <c r="DH315"/>
  <c r="DI315"/>
  <c r="DJ315"/>
  <c r="DK315"/>
  <c r="DL315"/>
  <c r="DM315"/>
  <c r="DN315"/>
  <c r="DO315"/>
  <c r="DP315"/>
  <c r="DQ315"/>
  <c r="DR315"/>
  <c r="DS315"/>
  <c r="DT315"/>
  <c r="DU315"/>
  <c r="DV315"/>
  <c r="DW315"/>
  <c r="DX315"/>
  <c r="DY315"/>
  <c r="DZ315"/>
  <c r="EA315"/>
  <c r="EB315"/>
  <c r="EC315"/>
  <c r="ED315"/>
  <c r="EE315"/>
  <c r="EF315"/>
  <c r="EG315"/>
  <c r="EH315"/>
  <c r="EI315"/>
  <c r="EJ315"/>
  <c r="EK315"/>
  <c r="EL315"/>
  <c r="EM315"/>
  <c r="EN315"/>
  <c r="EO315"/>
  <c r="EP315"/>
  <c r="EQ315"/>
  <c r="ER315"/>
  <c r="ES315"/>
  <c r="ET315"/>
  <c r="EU315"/>
  <c r="EV315"/>
  <c r="EW315"/>
  <c r="EX315"/>
  <c r="EY315"/>
  <c r="EZ315"/>
  <c r="FA315"/>
  <c r="FB315"/>
  <c r="FC315"/>
  <c r="FD315"/>
  <c r="FE315"/>
  <c r="FF315"/>
  <c r="FG315"/>
  <c r="FH315"/>
  <c r="FI315"/>
  <c r="FJ315"/>
  <c r="FK315"/>
  <c r="FL315"/>
  <c r="FM315"/>
  <c r="FN315"/>
  <c r="FO315"/>
  <c r="FP315"/>
  <c r="FQ315"/>
  <c r="FR315"/>
  <c r="FS315"/>
  <c r="FT315"/>
  <c r="FU315"/>
  <c r="FV315"/>
  <c r="FW315"/>
  <c r="FX315"/>
  <c r="FY315"/>
  <c r="FZ315"/>
  <c r="GA315"/>
  <c r="GB315"/>
  <c r="GC315"/>
  <c r="GD315"/>
  <c r="GE315"/>
  <c r="GF315"/>
  <c r="GG315"/>
  <c r="GH315"/>
  <c r="GI315"/>
  <c r="GJ315"/>
  <c r="GK315"/>
  <c r="GL315"/>
  <c r="GM315"/>
  <c r="GN315"/>
  <c r="GO315"/>
  <c r="GP315"/>
  <c r="GQ315"/>
  <c r="GR315"/>
  <c r="GS315"/>
  <c r="GT315"/>
  <c r="GU315"/>
  <c r="GV315"/>
  <c r="GW315"/>
  <c r="GX315"/>
  <c r="GY315"/>
  <c r="GZ315"/>
  <c r="HA315"/>
  <c r="HB315"/>
  <c r="HC315"/>
  <c r="HD315"/>
  <c r="HE315"/>
  <c r="HF315"/>
  <c r="HG315"/>
  <c r="HH315"/>
  <c r="HI315"/>
  <c r="HJ315"/>
  <c r="HK315"/>
  <c r="HL315"/>
  <c r="HM315"/>
  <c r="HN315"/>
  <c r="HO315"/>
  <c r="HP315"/>
  <c r="HQ315"/>
  <c r="HR315"/>
  <c r="HS315"/>
  <c r="HT315"/>
  <c r="HU315"/>
  <c r="HV315"/>
  <c r="HW315"/>
  <c r="HX315"/>
  <c r="HY315"/>
  <c r="HZ315"/>
  <c r="IA315"/>
  <c r="IB315"/>
  <c r="IC315"/>
  <c r="ID315"/>
  <c r="IE315"/>
  <c r="IF315"/>
  <c r="IG315"/>
  <c r="IH315"/>
  <c r="II315"/>
  <c r="IJ315"/>
  <c r="IK315"/>
  <c r="IL315"/>
  <c r="IM315"/>
  <c r="IN315"/>
  <c r="IO315"/>
  <c r="IP315"/>
  <c r="IQ315"/>
  <c r="IR315"/>
  <c r="IS315"/>
  <c r="IT315"/>
  <c r="IU315"/>
  <c r="IV315"/>
  <c r="A316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Z316"/>
  <c r="AA316"/>
  <c r="AB316"/>
  <c r="AC316"/>
  <c r="AD316"/>
  <c r="AE316"/>
  <c r="AF316"/>
  <c r="AG316"/>
  <c r="AH316"/>
  <c r="AI316"/>
  <c r="AJ316"/>
  <c r="AK316"/>
  <c r="AL316"/>
  <c r="AM316"/>
  <c r="AN316"/>
  <c r="AO316"/>
  <c r="AP316"/>
  <c r="AQ316"/>
  <c r="AR316"/>
  <c r="AS316"/>
  <c r="AT316"/>
  <c r="AU316"/>
  <c r="AV316"/>
  <c r="AW316"/>
  <c r="AX316"/>
  <c r="AY316"/>
  <c r="AZ316"/>
  <c r="BA316"/>
  <c r="BB316"/>
  <c r="BC316"/>
  <c r="BD316"/>
  <c r="BE316"/>
  <c r="BF316"/>
  <c r="BG316"/>
  <c r="BH316"/>
  <c r="BI316"/>
  <c r="BJ316"/>
  <c r="BK316"/>
  <c r="BL316"/>
  <c r="BM316"/>
  <c r="BN316"/>
  <c r="BO316"/>
  <c r="BP316"/>
  <c r="BQ316"/>
  <c r="BR316"/>
  <c r="BS316"/>
  <c r="BT316"/>
  <c r="BU316"/>
  <c r="BV316"/>
  <c r="BW316"/>
  <c r="BX316"/>
  <c r="BY316"/>
  <c r="BZ316"/>
  <c r="CA316"/>
  <c r="CB316"/>
  <c r="CC316"/>
  <c r="CD316"/>
  <c r="CE316"/>
  <c r="CF316"/>
  <c r="CG316"/>
  <c r="CH316"/>
  <c r="CI316"/>
  <c r="CJ316"/>
  <c r="CK316"/>
  <c r="CL316"/>
  <c r="CM316"/>
  <c r="CN316"/>
  <c r="CO316"/>
  <c r="CP316"/>
  <c r="CQ316"/>
  <c r="CR316"/>
  <c r="CS316"/>
  <c r="CT316"/>
  <c r="CU316"/>
  <c r="CV316"/>
  <c r="CW316"/>
  <c r="CX316"/>
  <c r="CY316"/>
  <c r="CZ316"/>
  <c r="DA316"/>
  <c r="DB316"/>
  <c r="DC316"/>
  <c r="DD316"/>
  <c r="DE316"/>
  <c r="DF316"/>
  <c r="DG316"/>
  <c r="DH316"/>
  <c r="DI316"/>
  <c r="DJ316"/>
  <c r="DK316"/>
  <c r="DL316"/>
  <c r="DM316"/>
  <c r="DN316"/>
  <c r="DO316"/>
  <c r="DP316"/>
  <c r="DQ316"/>
  <c r="DR316"/>
  <c r="DS316"/>
  <c r="DT316"/>
  <c r="DU316"/>
  <c r="DV316"/>
  <c r="DW316"/>
  <c r="DX316"/>
  <c r="DY316"/>
  <c r="DZ316"/>
  <c r="EA316"/>
  <c r="EB316"/>
  <c r="EC316"/>
  <c r="ED316"/>
  <c r="EE316"/>
  <c r="EF316"/>
  <c r="EG316"/>
  <c r="EH316"/>
  <c r="EI316"/>
  <c r="EJ316"/>
  <c r="EK316"/>
  <c r="EL316"/>
  <c r="EM316"/>
  <c r="EN316"/>
  <c r="EO316"/>
  <c r="EP316"/>
  <c r="EQ316"/>
  <c r="ER316"/>
  <c r="ES316"/>
  <c r="ET316"/>
  <c r="EU316"/>
  <c r="EV316"/>
  <c r="EW316"/>
  <c r="EX316"/>
  <c r="EY316"/>
  <c r="EZ316"/>
  <c r="FA316"/>
  <c r="FB316"/>
  <c r="FC316"/>
  <c r="FD316"/>
  <c r="FE316"/>
  <c r="FF316"/>
  <c r="FG316"/>
  <c r="FH316"/>
  <c r="FI316"/>
  <c r="FJ316"/>
  <c r="FK316"/>
  <c r="FL316"/>
  <c r="FM316"/>
  <c r="FN316"/>
  <c r="FO316"/>
  <c r="FP316"/>
  <c r="FQ316"/>
  <c r="FR316"/>
  <c r="FS316"/>
  <c r="FT316"/>
  <c r="FU316"/>
  <c r="FV316"/>
  <c r="FW316"/>
  <c r="FX316"/>
  <c r="FY316"/>
  <c r="FZ316"/>
  <c r="GA316"/>
  <c r="GB316"/>
  <c r="GC316"/>
  <c r="GD316"/>
  <c r="GE316"/>
  <c r="GF316"/>
  <c r="GG316"/>
  <c r="GH316"/>
  <c r="GI316"/>
  <c r="GJ316"/>
  <c r="GK316"/>
  <c r="GL316"/>
  <c r="GM316"/>
  <c r="GN316"/>
  <c r="GO316"/>
  <c r="GP316"/>
  <c r="GQ316"/>
  <c r="GR316"/>
  <c r="GS316"/>
  <c r="GT316"/>
  <c r="GU316"/>
  <c r="GV316"/>
  <c r="GW316"/>
  <c r="GX316"/>
  <c r="GY316"/>
  <c r="GZ316"/>
  <c r="HA316"/>
  <c r="HB316"/>
  <c r="HC316"/>
  <c r="HD316"/>
  <c r="HE316"/>
  <c r="HF316"/>
  <c r="HG316"/>
  <c r="HH316"/>
  <c r="HI316"/>
  <c r="HJ316"/>
  <c r="HK316"/>
  <c r="HL316"/>
  <c r="HM316"/>
  <c r="HN316"/>
  <c r="HO316"/>
  <c r="HP316"/>
  <c r="HQ316"/>
  <c r="HR316"/>
  <c r="HS316"/>
  <c r="HT316"/>
  <c r="HU316"/>
  <c r="HV316"/>
  <c r="HW316"/>
  <c r="HX316"/>
  <c r="HY316"/>
  <c r="HZ316"/>
  <c r="IA316"/>
  <c r="IB316"/>
  <c r="IC316"/>
  <c r="ID316"/>
  <c r="IE316"/>
  <c r="IF316"/>
  <c r="IG316"/>
  <c r="IH316"/>
  <c r="II316"/>
  <c r="IJ316"/>
  <c r="IK316"/>
  <c r="IL316"/>
  <c r="IM316"/>
  <c r="IN316"/>
  <c r="IO316"/>
  <c r="IP316"/>
  <c r="IQ316"/>
  <c r="IR316"/>
  <c r="IS316"/>
  <c r="IT316"/>
  <c r="IU316"/>
  <c r="IV316"/>
  <c r="A317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Z317"/>
  <c r="AA317"/>
  <c r="AB317"/>
  <c r="AC317"/>
  <c r="AD317"/>
  <c r="AE317"/>
  <c r="AF317"/>
  <c r="AG317"/>
  <c r="AH317"/>
  <c r="AI317"/>
  <c r="AJ317"/>
  <c r="AK317"/>
  <c r="AL317"/>
  <c r="AM317"/>
  <c r="AN317"/>
  <c r="AO317"/>
  <c r="AP317"/>
  <c r="AQ317"/>
  <c r="AR317"/>
  <c r="AS317"/>
  <c r="AT317"/>
  <c r="AU317"/>
  <c r="AV317"/>
  <c r="AW317"/>
  <c r="AX317"/>
  <c r="AY317"/>
  <c r="AZ317"/>
  <c r="BA317"/>
  <c r="BB317"/>
  <c r="BC317"/>
  <c r="BD317"/>
  <c r="BE317"/>
  <c r="BF317"/>
  <c r="BG317"/>
  <c r="BH317"/>
  <c r="BI317"/>
  <c r="BJ317"/>
  <c r="BK317"/>
  <c r="BL317"/>
  <c r="BM317"/>
  <c r="BN317"/>
  <c r="BO317"/>
  <c r="BP317"/>
  <c r="BQ317"/>
  <c r="BR317"/>
  <c r="BS317"/>
  <c r="BT317"/>
  <c r="BU317"/>
  <c r="BV317"/>
  <c r="BW317"/>
  <c r="BX317"/>
  <c r="BY317"/>
  <c r="BZ317"/>
  <c r="CA317"/>
  <c r="CB317"/>
  <c r="CC317"/>
  <c r="CD317"/>
  <c r="CE317"/>
  <c r="CF317"/>
  <c r="CG317"/>
  <c r="CH317"/>
  <c r="CI317"/>
  <c r="CJ317"/>
  <c r="CK317"/>
  <c r="CL317"/>
  <c r="CM317"/>
  <c r="CN317"/>
  <c r="CO317"/>
  <c r="CP317"/>
  <c r="CQ317"/>
  <c r="CR317"/>
  <c r="CS317"/>
  <c r="CT317"/>
  <c r="CU317"/>
  <c r="CV317"/>
  <c r="CW317"/>
  <c r="CX317"/>
  <c r="CY317"/>
  <c r="CZ317"/>
  <c r="DA317"/>
  <c r="DB317"/>
  <c r="DC317"/>
  <c r="DD317"/>
  <c r="DE317"/>
  <c r="DF317"/>
  <c r="DG317"/>
  <c r="DH317"/>
  <c r="DI317"/>
  <c r="DJ317"/>
  <c r="DK317"/>
  <c r="DL317"/>
  <c r="DM317"/>
  <c r="DN317"/>
  <c r="DO317"/>
  <c r="DP317"/>
  <c r="DQ317"/>
  <c r="DR317"/>
  <c r="DS317"/>
  <c r="DT317"/>
  <c r="DU317"/>
  <c r="DV317"/>
  <c r="DW317"/>
  <c r="DX317"/>
  <c r="DY317"/>
  <c r="DZ317"/>
  <c r="EA317"/>
  <c r="EB317"/>
  <c r="EC317"/>
  <c r="ED317"/>
  <c r="EE317"/>
  <c r="EF317"/>
  <c r="EG317"/>
  <c r="EH317"/>
  <c r="EI317"/>
  <c r="EJ317"/>
  <c r="EK317"/>
  <c r="EL317"/>
  <c r="EM317"/>
  <c r="EN317"/>
  <c r="EO317"/>
  <c r="EP317"/>
  <c r="EQ317"/>
  <c r="ER317"/>
  <c r="ES317"/>
  <c r="ET317"/>
  <c r="EU317"/>
  <c r="EV317"/>
  <c r="EW317"/>
  <c r="EX317"/>
  <c r="EY317"/>
  <c r="EZ317"/>
  <c r="FA317"/>
  <c r="FB317"/>
  <c r="FC317"/>
  <c r="FD317"/>
  <c r="FE317"/>
  <c r="FF317"/>
  <c r="FG317"/>
  <c r="FH317"/>
  <c r="FI317"/>
  <c r="FJ317"/>
  <c r="FK317"/>
  <c r="FL317"/>
  <c r="FM317"/>
  <c r="FN317"/>
  <c r="FO317"/>
  <c r="FP317"/>
  <c r="FQ317"/>
  <c r="FR317"/>
  <c r="FS317"/>
  <c r="FT317"/>
  <c r="FU317"/>
  <c r="FV317"/>
  <c r="FW317"/>
  <c r="FX317"/>
  <c r="FY317"/>
  <c r="FZ317"/>
  <c r="GA317"/>
  <c r="GB317"/>
  <c r="GC317"/>
  <c r="GD317"/>
  <c r="GE317"/>
  <c r="GF317"/>
  <c r="GG317"/>
  <c r="GH317"/>
  <c r="GI317"/>
  <c r="GJ317"/>
  <c r="GK317"/>
  <c r="GL317"/>
  <c r="GM317"/>
  <c r="GN317"/>
  <c r="GO317"/>
  <c r="GP317"/>
  <c r="GQ317"/>
  <c r="GR317"/>
  <c r="GS317"/>
  <c r="GT317"/>
  <c r="GU317"/>
  <c r="GV317"/>
  <c r="GW317"/>
  <c r="GX317"/>
  <c r="GY317"/>
  <c r="GZ317"/>
  <c r="HA317"/>
  <c r="HB317"/>
  <c r="HC317"/>
  <c r="HD317"/>
  <c r="HE317"/>
  <c r="HF317"/>
  <c r="HG317"/>
  <c r="HH317"/>
  <c r="HI317"/>
  <c r="HJ317"/>
  <c r="HK317"/>
  <c r="HL317"/>
  <c r="HM317"/>
  <c r="HN317"/>
  <c r="HO317"/>
  <c r="HP317"/>
  <c r="HQ317"/>
  <c r="HR317"/>
  <c r="HS317"/>
  <c r="HT317"/>
  <c r="HU317"/>
  <c r="HV317"/>
  <c r="HW317"/>
  <c r="HX317"/>
  <c r="HY317"/>
  <c r="HZ317"/>
  <c r="IA317"/>
  <c r="IB317"/>
  <c r="IC317"/>
  <c r="ID317"/>
  <c r="IE317"/>
  <c r="IF317"/>
  <c r="IG317"/>
  <c r="IH317"/>
  <c r="II317"/>
  <c r="IJ317"/>
  <c r="IK317"/>
  <c r="IL317"/>
  <c r="IM317"/>
  <c r="IN317"/>
  <c r="IO317"/>
  <c r="IP317"/>
  <c r="IQ317"/>
  <c r="IR317"/>
  <c r="IS317"/>
  <c r="IT317"/>
  <c r="IU317"/>
  <c r="IV317"/>
  <c r="A318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Z318"/>
  <c r="AA318"/>
  <c r="AB318"/>
  <c r="AC318"/>
  <c r="AD318"/>
  <c r="AE318"/>
  <c r="AF318"/>
  <c r="AG318"/>
  <c r="AH318"/>
  <c r="AI318"/>
  <c r="AJ318"/>
  <c r="AK318"/>
  <c r="AL318"/>
  <c r="AM318"/>
  <c r="AN318"/>
  <c r="AO318"/>
  <c r="AP318"/>
  <c r="AQ318"/>
  <c r="AR318"/>
  <c r="AS318"/>
  <c r="AT318"/>
  <c r="AU318"/>
  <c r="AV318"/>
  <c r="AW318"/>
  <c r="AX318"/>
  <c r="AY318"/>
  <c r="AZ318"/>
  <c r="BA318"/>
  <c r="BB318"/>
  <c r="BC318"/>
  <c r="BD318"/>
  <c r="BE318"/>
  <c r="BF318"/>
  <c r="BG318"/>
  <c r="BH318"/>
  <c r="BI318"/>
  <c r="BJ318"/>
  <c r="BK318"/>
  <c r="BL318"/>
  <c r="BM318"/>
  <c r="BN318"/>
  <c r="BO318"/>
  <c r="BP318"/>
  <c r="BQ318"/>
  <c r="BR318"/>
  <c r="BS318"/>
  <c r="BT318"/>
  <c r="BU318"/>
  <c r="BV318"/>
  <c r="BW318"/>
  <c r="BX318"/>
  <c r="BY318"/>
  <c r="BZ318"/>
  <c r="CA318"/>
  <c r="CB318"/>
  <c r="CC318"/>
  <c r="CD318"/>
  <c r="CE318"/>
  <c r="CF318"/>
  <c r="CG318"/>
  <c r="CH318"/>
  <c r="CI318"/>
  <c r="CJ318"/>
  <c r="CK318"/>
  <c r="CL318"/>
  <c r="CM318"/>
  <c r="CN318"/>
  <c r="CO318"/>
  <c r="CP318"/>
  <c r="CQ318"/>
  <c r="CR318"/>
  <c r="CS318"/>
  <c r="CT318"/>
  <c r="CU318"/>
  <c r="CV318"/>
  <c r="CW318"/>
  <c r="CX318"/>
  <c r="CY318"/>
  <c r="CZ318"/>
  <c r="DA318"/>
  <c r="DB318"/>
  <c r="DC318"/>
  <c r="DD318"/>
  <c r="DE318"/>
  <c r="DF318"/>
  <c r="DG318"/>
  <c r="DH318"/>
  <c r="DI318"/>
  <c r="DJ318"/>
  <c r="DK318"/>
  <c r="DL318"/>
  <c r="DM318"/>
  <c r="DN318"/>
  <c r="DO318"/>
  <c r="DP318"/>
  <c r="DQ318"/>
  <c r="DR318"/>
  <c r="DS318"/>
  <c r="DT318"/>
  <c r="DU318"/>
  <c r="DV318"/>
  <c r="DW318"/>
  <c r="DX318"/>
  <c r="DY318"/>
  <c r="DZ318"/>
  <c r="EA318"/>
  <c r="EB318"/>
  <c r="EC318"/>
  <c r="ED318"/>
  <c r="EE318"/>
  <c r="EF318"/>
  <c r="EG318"/>
  <c r="EH318"/>
  <c r="EI318"/>
  <c r="EJ318"/>
  <c r="EK318"/>
  <c r="EL318"/>
  <c r="EM318"/>
  <c r="EN318"/>
  <c r="EO318"/>
  <c r="EP318"/>
  <c r="EQ318"/>
  <c r="ER318"/>
  <c r="ES318"/>
  <c r="ET318"/>
  <c r="EU318"/>
  <c r="EV318"/>
  <c r="EW318"/>
  <c r="EX318"/>
  <c r="EY318"/>
  <c r="EZ318"/>
  <c r="FA318"/>
  <c r="FB318"/>
  <c r="FC318"/>
  <c r="FD318"/>
  <c r="FE318"/>
  <c r="FF318"/>
  <c r="FG318"/>
  <c r="FH318"/>
  <c r="FI318"/>
  <c r="FJ318"/>
  <c r="FK318"/>
  <c r="FL318"/>
  <c r="FM318"/>
  <c r="FN318"/>
  <c r="FO318"/>
  <c r="FP318"/>
  <c r="FQ318"/>
  <c r="FR318"/>
  <c r="FS318"/>
  <c r="FT318"/>
  <c r="FU318"/>
  <c r="FV318"/>
  <c r="FW318"/>
  <c r="FX318"/>
  <c r="FY318"/>
  <c r="FZ318"/>
  <c r="GA318"/>
  <c r="GB318"/>
  <c r="GC318"/>
  <c r="GD318"/>
  <c r="GE318"/>
  <c r="GF318"/>
  <c r="GG318"/>
  <c r="GH318"/>
  <c r="GI318"/>
  <c r="GJ318"/>
  <c r="GK318"/>
  <c r="GL318"/>
  <c r="GM318"/>
  <c r="GN318"/>
  <c r="GO318"/>
  <c r="GP318"/>
  <c r="GQ318"/>
  <c r="GR318"/>
  <c r="GS318"/>
  <c r="GT318"/>
  <c r="GU318"/>
  <c r="GV318"/>
  <c r="GW318"/>
  <c r="GX318"/>
  <c r="GY318"/>
  <c r="GZ318"/>
  <c r="HA318"/>
  <c r="HB318"/>
  <c r="HC318"/>
  <c r="HD318"/>
  <c r="HE318"/>
  <c r="HF318"/>
  <c r="HG318"/>
  <c r="HH318"/>
  <c r="HI318"/>
  <c r="HJ318"/>
  <c r="HK318"/>
  <c r="HL318"/>
  <c r="HM318"/>
  <c r="HN318"/>
  <c r="HO318"/>
  <c r="HP318"/>
  <c r="HQ318"/>
  <c r="HR318"/>
  <c r="HS318"/>
  <c r="HT318"/>
  <c r="HU318"/>
  <c r="HV318"/>
  <c r="HW318"/>
  <c r="HX318"/>
  <c r="HY318"/>
  <c r="HZ318"/>
  <c r="IA318"/>
  <c r="IB318"/>
  <c r="IC318"/>
  <c r="ID318"/>
  <c r="IE318"/>
  <c r="IF318"/>
  <c r="IG318"/>
  <c r="IH318"/>
  <c r="II318"/>
  <c r="IJ318"/>
  <c r="IK318"/>
  <c r="IL318"/>
  <c r="IM318"/>
  <c r="IN318"/>
  <c r="IO318"/>
  <c r="IP318"/>
  <c r="IQ318"/>
  <c r="IR318"/>
  <c r="IS318"/>
  <c r="IT318"/>
  <c r="IU318"/>
  <c r="IV318"/>
  <c r="A319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Z319"/>
  <c r="AA319"/>
  <c r="AB319"/>
  <c r="AC319"/>
  <c r="AD319"/>
  <c r="AE319"/>
  <c r="AF319"/>
  <c r="AG319"/>
  <c r="AH319"/>
  <c r="AI319"/>
  <c r="AJ319"/>
  <c r="AK319"/>
  <c r="AL319"/>
  <c r="AM319"/>
  <c r="AN319"/>
  <c r="AO319"/>
  <c r="AP319"/>
  <c r="AQ319"/>
  <c r="AR319"/>
  <c r="AS319"/>
  <c r="AT319"/>
  <c r="AU319"/>
  <c r="AV319"/>
  <c r="AW319"/>
  <c r="AX319"/>
  <c r="AY319"/>
  <c r="AZ319"/>
  <c r="BA319"/>
  <c r="BB319"/>
  <c r="BC319"/>
  <c r="BD319"/>
  <c r="BE319"/>
  <c r="BF319"/>
  <c r="BG319"/>
  <c r="BH319"/>
  <c r="BI319"/>
  <c r="BJ319"/>
  <c r="BK319"/>
  <c r="BL319"/>
  <c r="BM319"/>
  <c r="BN319"/>
  <c r="BO319"/>
  <c r="BP319"/>
  <c r="BQ319"/>
  <c r="BR319"/>
  <c r="BS319"/>
  <c r="BT319"/>
  <c r="BU319"/>
  <c r="BV319"/>
  <c r="BW319"/>
  <c r="BX319"/>
  <c r="BY319"/>
  <c r="BZ319"/>
  <c r="CA319"/>
  <c r="CB319"/>
  <c r="CC319"/>
  <c r="CD319"/>
  <c r="CE319"/>
  <c r="CF319"/>
  <c r="CG319"/>
  <c r="CH319"/>
  <c r="CI319"/>
  <c r="CJ319"/>
  <c r="CK319"/>
  <c r="CL319"/>
  <c r="CM319"/>
  <c r="CN319"/>
  <c r="CO319"/>
  <c r="CP319"/>
  <c r="CQ319"/>
  <c r="CR319"/>
  <c r="CS319"/>
  <c r="CT319"/>
  <c r="CU319"/>
  <c r="CV319"/>
  <c r="CW319"/>
  <c r="CX319"/>
  <c r="CY319"/>
  <c r="CZ319"/>
  <c r="DA319"/>
  <c r="DB319"/>
  <c r="DC319"/>
  <c r="DD319"/>
  <c r="DE319"/>
  <c r="DF319"/>
  <c r="DG319"/>
  <c r="DH319"/>
  <c r="DI319"/>
  <c r="DJ319"/>
  <c r="DK319"/>
  <c r="DL319"/>
  <c r="DM319"/>
  <c r="DN319"/>
  <c r="DO319"/>
  <c r="DP319"/>
  <c r="DQ319"/>
  <c r="DR319"/>
  <c r="DS319"/>
  <c r="DT319"/>
  <c r="DU319"/>
  <c r="DV319"/>
  <c r="DW319"/>
  <c r="DX319"/>
  <c r="DY319"/>
  <c r="DZ319"/>
  <c r="EA319"/>
  <c r="EB319"/>
  <c r="EC319"/>
  <c r="ED319"/>
  <c r="EE319"/>
  <c r="EF319"/>
  <c r="EG319"/>
  <c r="EH319"/>
  <c r="EI319"/>
  <c r="EJ319"/>
  <c r="EK319"/>
  <c r="EL319"/>
  <c r="EM319"/>
  <c r="EN319"/>
  <c r="EO319"/>
  <c r="EP319"/>
  <c r="EQ319"/>
  <c r="ER319"/>
  <c r="ES319"/>
  <c r="ET319"/>
  <c r="EU319"/>
  <c r="EV319"/>
  <c r="EW319"/>
  <c r="EX319"/>
  <c r="EY319"/>
  <c r="EZ319"/>
  <c r="FA319"/>
  <c r="FB319"/>
  <c r="FC319"/>
  <c r="FD319"/>
  <c r="FE319"/>
  <c r="FF319"/>
  <c r="FG319"/>
  <c r="FH319"/>
  <c r="FI319"/>
  <c r="FJ319"/>
  <c r="FK319"/>
  <c r="FL319"/>
  <c r="FM319"/>
  <c r="FN319"/>
  <c r="FO319"/>
  <c r="FP319"/>
  <c r="FQ319"/>
  <c r="FR319"/>
  <c r="FS319"/>
  <c r="FT319"/>
  <c r="FU319"/>
  <c r="FV319"/>
  <c r="FW319"/>
  <c r="FX319"/>
  <c r="FY319"/>
  <c r="FZ319"/>
  <c r="GA319"/>
  <c r="GB319"/>
  <c r="GC319"/>
  <c r="GD319"/>
  <c r="GE319"/>
  <c r="GF319"/>
  <c r="GG319"/>
  <c r="GH319"/>
  <c r="GI319"/>
  <c r="GJ319"/>
  <c r="GK319"/>
  <c r="GL319"/>
  <c r="GM319"/>
  <c r="GN319"/>
  <c r="GO319"/>
  <c r="GP319"/>
  <c r="GQ319"/>
  <c r="GR319"/>
  <c r="GS319"/>
  <c r="GT319"/>
  <c r="GU319"/>
  <c r="GV319"/>
  <c r="GW319"/>
  <c r="GX319"/>
  <c r="GY319"/>
  <c r="GZ319"/>
  <c r="HA319"/>
  <c r="HB319"/>
  <c r="HC319"/>
  <c r="HD319"/>
  <c r="HE319"/>
  <c r="HF319"/>
  <c r="HG319"/>
  <c r="HH319"/>
  <c r="HI319"/>
  <c r="HJ319"/>
  <c r="HK319"/>
  <c r="HL319"/>
  <c r="HM319"/>
  <c r="HN319"/>
  <c r="HO319"/>
  <c r="HP319"/>
  <c r="HQ319"/>
  <c r="HR319"/>
  <c r="HS319"/>
  <c r="HT319"/>
  <c r="HU319"/>
  <c r="HV319"/>
  <c r="HW319"/>
  <c r="HX319"/>
  <c r="HY319"/>
  <c r="HZ319"/>
  <c r="IA319"/>
  <c r="IB319"/>
  <c r="IC319"/>
  <c r="ID319"/>
  <c r="IE319"/>
  <c r="IF319"/>
  <c r="IG319"/>
  <c r="IH319"/>
  <c r="II319"/>
  <c r="IJ319"/>
  <c r="IK319"/>
  <c r="IL319"/>
  <c r="IM319"/>
  <c r="IN319"/>
  <c r="IO319"/>
  <c r="IP319"/>
  <c r="IQ319"/>
  <c r="IR319"/>
  <c r="IS319"/>
  <c r="IT319"/>
  <c r="IU319"/>
  <c r="IV319"/>
  <c r="A320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Z320"/>
  <c r="AA320"/>
  <c r="AB320"/>
  <c r="AC320"/>
  <c r="AD320"/>
  <c r="AE320"/>
  <c r="AF320"/>
  <c r="AG320"/>
  <c r="AH320"/>
  <c r="AI320"/>
  <c r="AJ320"/>
  <c r="AK320"/>
  <c r="AL320"/>
  <c r="AM320"/>
  <c r="AN320"/>
  <c r="AO320"/>
  <c r="AP320"/>
  <c r="AQ320"/>
  <c r="AR320"/>
  <c r="AS320"/>
  <c r="AT320"/>
  <c r="AU320"/>
  <c r="AV320"/>
  <c r="AW320"/>
  <c r="AX320"/>
  <c r="AY320"/>
  <c r="AZ320"/>
  <c r="BA320"/>
  <c r="BB320"/>
  <c r="BC320"/>
  <c r="BD320"/>
  <c r="BE320"/>
  <c r="BF320"/>
  <c r="BG320"/>
  <c r="BH320"/>
  <c r="BI320"/>
  <c r="BJ320"/>
  <c r="BK320"/>
  <c r="BL320"/>
  <c r="BM320"/>
  <c r="BN320"/>
  <c r="BO320"/>
  <c r="BP320"/>
  <c r="BQ320"/>
  <c r="BR320"/>
  <c r="BS320"/>
  <c r="BT320"/>
  <c r="BU320"/>
  <c r="BV320"/>
  <c r="BW320"/>
  <c r="BX320"/>
  <c r="BY320"/>
  <c r="BZ320"/>
  <c r="CA320"/>
  <c r="CB320"/>
  <c r="CC320"/>
  <c r="CD320"/>
  <c r="CE320"/>
  <c r="CF320"/>
  <c r="CG320"/>
  <c r="CH320"/>
  <c r="CI320"/>
  <c r="CJ320"/>
  <c r="CK320"/>
  <c r="CL320"/>
  <c r="CM320"/>
  <c r="CN320"/>
  <c r="CO320"/>
  <c r="CP320"/>
  <c r="CQ320"/>
  <c r="CR320"/>
  <c r="CS320"/>
  <c r="CT320"/>
  <c r="CU320"/>
  <c r="CV320"/>
  <c r="CW320"/>
  <c r="CX320"/>
  <c r="CY320"/>
  <c r="CZ320"/>
  <c r="DA320"/>
  <c r="DB320"/>
  <c r="DC320"/>
  <c r="DD320"/>
  <c r="DE320"/>
  <c r="DF320"/>
  <c r="DG320"/>
  <c r="DH320"/>
  <c r="DI320"/>
  <c r="DJ320"/>
  <c r="DK320"/>
  <c r="DL320"/>
  <c r="DM320"/>
  <c r="DN320"/>
  <c r="DO320"/>
  <c r="DP320"/>
  <c r="DQ320"/>
  <c r="DR320"/>
  <c r="DS320"/>
  <c r="DT320"/>
  <c r="DU320"/>
  <c r="DV320"/>
  <c r="DW320"/>
  <c r="DX320"/>
  <c r="DY320"/>
  <c r="DZ320"/>
  <c r="EA320"/>
  <c r="EB320"/>
  <c r="EC320"/>
  <c r="ED320"/>
  <c r="EE320"/>
  <c r="EF320"/>
  <c r="EG320"/>
  <c r="EH320"/>
  <c r="EI320"/>
  <c r="EJ320"/>
  <c r="EK320"/>
  <c r="EL320"/>
  <c r="EM320"/>
  <c r="EN320"/>
  <c r="EO320"/>
  <c r="EP320"/>
  <c r="EQ320"/>
  <c r="ER320"/>
  <c r="ES320"/>
  <c r="ET320"/>
  <c r="EU320"/>
  <c r="EV320"/>
  <c r="EW320"/>
  <c r="EX320"/>
  <c r="EY320"/>
  <c r="EZ320"/>
  <c r="FA320"/>
  <c r="FB320"/>
  <c r="FC320"/>
  <c r="FD320"/>
  <c r="FE320"/>
  <c r="FF320"/>
  <c r="FG320"/>
  <c r="FH320"/>
  <c r="FI320"/>
  <c r="FJ320"/>
  <c r="FK320"/>
  <c r="FL320"/>
  <c r="FM320"/>
  <c r="FN320"/>
  <c r="FO320"/>
  <c r="FP320"/>
  <c r="FQ320"/>
  <c r="FR320"/>
  <c r="FS320"/>
  <c r="FT320"/>
  <c r="FU320"/>
  <c r="FV320"/>
  <c r="FW320"/>
  <c r="FX320"/>
  <c r="FY320"/>
  <c r="FZ320"/>
  <c r="GA320"/>
  <c r="GB320"/>
  <c r="GC320"/>
  <c r="GD320"/>
  <c r="GE320"/>
  <c r="GF320"/>
  <c r="GG320"/>
  <c r="GH320"/>
  <c r="GI320"/>
  <c r="GJ320"/>
  <c r="GK320"/>
  <c r="GL320"/>
  <c r="GM320"/>
  <c r="GN320"/>
  <c r="GO320"/>
  <c r="GP320"/>
  <c r="GQ320"/>
  <c r="GR320"/>
  <c r="GS320"/>
  <c r="GT320"/>
  <c r="GU320"/>
  <c r="GV320"/>
  <c r="GW320"/>
  <c r="GX320"/>
  <c r="GY320"/>
  <c r="GZ320"/>
  <c r="HA320"/>
  <c r="HB320"/>
  <c r="HC320"/>
  <c r="HD320"/>
  <c r="HE320"/>
  <c r="HF320"/>
  <c r="HG320"/>
  <c r="HH320"/>
  <c r="HI320"/>
  <c r="HJ320"/>
  <c r="HK320"/>
  <c r="HL320"/>
  <c r="HM320"/>
  <c r="HN320"/>
  <c r="HO320"/>
  <c r="HP320"/>
  <c r="HQ320"/>
  <c r="HR320"/>
  <c r="HS320"/>
  <c r="HT320"/>
  <c r="HU320"/>
  <c r="HV320"/>
  <c r="HW320"/>
  <c r="HX320"/>
  <c r="HY320"/>
  <c r="HZ320"/>
  <c r="IA320"/>
  <c r="IB320"/>
  <c r="IC320"/>
  <c r="ID320"/>
  <c r="IE320"/>
  <c r="IF320"/>
  <c r="IG320"/>
  <c r="IH320"/>
  <c r="II320"/>
  <c r="IJ320"/>
  <c r="IK320"/>
  <c r="IL320"/>
  <c r="IM320"/>
  <c r="IN320"/>
  <c r="IO320"/>
  <c r="IP320"/>
  <c r="IQ320"/>
  <c r="IR320"/>
  <c r="IS320"/>
  <c r="IT320"/>
  <c r="IU320"/>
  <c r="IV320"/>
  <c r="A321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Z321"/>
  <c r="AA321"/>
  <c r="AB321"/>
  <c r="AC321"/>
  <c r="AD321"/>
  <c r="AE321"/>
  <c r="AF321"/>
  <c r="AG321"/>
  <c r="AH321"/>
  <c r="AI321"/>
  <c r="AJ321"/>
  <c r="AK321"/>
  <c r="AL321"/>
  <c r="AM321"/>
  <c r="AN321"/>
  <c r="AO321"/>
  <c r="AP321"/>
  <c r="AQ321"/>
  <c r="AR321"/>
  <c r="AS321"/>
  <c r="AT321"/>
  <c r="AU321"/>
  <c r="AV321"/>
  <c r="AW321"/>
  <c r="AX321"/>
  <c r="AY321"/>
  <c r="AZ321"/>
  <c r="BA321"/>
  <c r="BB321"/>
  <c r="BC321"/>
  <c r="BD321"/>
  <c r="BE321"/>
  <c r="BF321"/>
  <c r="BG321"/>
  <c r="BH321"/>
  <c r="BI321"/>
  <c r="BJ321"/>
  <c r="BK321"/>
  <c r="BL321"/>
  <c r="BM321"/>
  <c r="BN321"/>
  <c r="BO321"/>
  <c r="BP321"/>
  <c r="BQ321"/>
  <c r="BR321"/>
  <c r="BS321"/>
  <c r="BT321"/>
  <c r="BU321"/>
  <c r="BV321"/>
  <c r="BW321"/>
  <c r="BX321"/>
  <c r="BY321"/>
  <c r="BZ321"/>
  <c r="CA321"/>
  <c r="CB321"/>
  <c r="CC321"/>
  <c r="CD321"/>
  <c r="CE321"/>
  <c r="CF321"/>
  <c r="CG321"/>
  <c r="CH321"/>
  <c r="CI321"/>
  <c r="CJ321"/>
  <c r="CK321"/>
  <c r="CL321"/>
  <c r="CM321"/>
  <c r="CN321"/>
  <c r="CO321"/>
  <c r="CP321"/>
  <c r="CQ321"/>
  <c r="CR321"/>
  <c r="CS321"/>
  <c r="CT321"/>
  <c r="CU321"/>
  <c r="CV321"/>
  <c r="CW321"/>
  <c r="CX321"/>
  <c r="CY321"/>
  <c r="CZ321"/>
  <c r="DA321"/>
  <c r="DB321"/>
  <c r="DC321"/>
  <c r="DD321"/>
  <c r="DE321"/>
  <c r="DF321"/>
  <c r="DG321"/>
  <c r="DH321"/>
  <c r="DI321"/>
  <c r="DJ321"/>
  <c r="DK321"/>
  <c r="DL321"/>
  <c r="DM321"/>
  <c r="DN321"/>
  <c r="DO321"/>
  <c r="DP321"/>
  <c r="DQ321"/>
  <c r="DR321"/>
  <c r="DS321"/>
  <c r="DT321"/>
  <c r="DU321"/>
  <c r="DV321"/>
  <c r="DW321"/>
  <c r="DX321"/>
  <c r="DY321"/>
  <c r="DZ321"/>
  <c r="EA321"/>
  <c r="EB321"/>
  <c r="EC321"/>
  <c r="ED321"/>
  <c r="EE321"/>
  <c r="EF321"/>
  <c r="EG321"/>
  <c r="EH321"/>
  <c r="EI321"/>
  <c r="EJ321"/>
  <c r="EK321"/>
  <c r="EL321"/>
  <c r="EM321"/>
  <c r="EN321"/>
  <c r="EO321"/>
  <c r="EP321"/>
  <c r="EQ321"/>
  <c r="ER321"/>
  <c r="ES321"/>
  <c r="ET321"/>
  <c r="EU321"/>
  <c r="EV321"/>
  <c r="EW321"/>
  <c r="EX321"/>
  <c r="EY321"/>
  <c r="EZ321"/>
  <c r="FA321"/>
  <c r="FB321"/>
  <c r="FC321"/>
  <c r="FD321"/>
  <c r="FE321"/>
  <c r="FF321"/>
  <c r="FG321"/>
  <c r="FH321"/>
  <c r="FI321"/>
  <c r="FJ321"/>
  <c r="FK321"/>
  <c r="FL321"/>
  <c r="FM321"/>
  <c r="FN321"/>
  <c r="FO321"/>
  <c r="FP321"/>
  <c r="FQ321"/>
  <c r="FR321"/>
  <c r="FS321"/>
  <c r="FT321"/>
  <c r="FU321"/>
  <c r="FV321"/>
  <c r="FW321"/>
  <c r="FX321"/>
  <c r="FY321"/>
  <c r="FZ321"/>
  <c r="GA321"/>
  <c r="GB321"/>
  <c r="GC321"/>
  <c r="GD321"/>
  <c r="GE321"/>
  <c r="GF321"/>
  <c r="GG321"/>
  <c r="GH321"/>
  <c r="GI321"/>
  <c r="GJ321"/>
  <c r="GK321"/>
  <c r="GL321"/>
  <c r="GM321"/>
  <c r="GN321"/>
  <c r="GO321"/>
  <c r="GP321"/>
  <c r="GQ321"/>
  <c r="GR321"/>
  <c r="GS321"/>
  <c r="GT321"/>
  <c r="GU321"/>
  <c r="GV321"/>
  <c r="GW321"/>
  <c r="GX321"/>
  <c r="GY321"/>
  <c r="GZ321"/>
  <c r="HA321"/>
  <c r="HB321"/>
  <c r="HC321"/>
  <c r="HD321"/>
  <c r="HE321"/>
  <c r="HF321"/>
  <c r="HG321"/>
  <c r="HH321"/>
  <c r="HI321"/>
  <c r="HJ321"/>
  <c r="HK321"/>
  <c r="HL321"/>
  <c r="HM321"/>
  <c r="HN321"/>
  <c r="HO321"/>
  <c r="HP321"/>
  <c r="HQ321"/>
  <c r="HR321"/>
  <c r="HS321"/>
  <c r="HT321"/>
  <c r="HU321"/>
  <c r="HV321"/>
  <c r="HW321"/>
  <c r="HX321"/>
  <c r="HY321"/>
  <c r="HZ321"/>
  <c r="IA321"/>
  <c r="IB321"/>
  <c r="IC321"/>
  <c r="ID321"/>
  <c r="IE321"/>
  <c r="IF321"/>
  <c r="IG321"/>
  <c r="IH321"/>
  <c r="II321"/>
  <c r="IJ321"/>
  <c r="IK321"/>
  <c r="IL321"/>
  <c r="IM321"/>
  <c r="IN321"/>
  <c r="IO321"/>
  <c r="IP321"/>
  <c r="IQ321"/>
  <c r="IR321"/>
  <c r="IS321"/>
  <c r="IT321"/>
  <c r="IU321"/>
  <c r="IV321"/>
  <c r="A322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Z322"/>
  <c r="AA322"/>
  <c r="AB322"/>
  <c r="AC322"/>
  <c r="AD322"/>
  <c r="AE322"/>
  <c r="AF322"/>
  <c r="AG322"/>
  <c r="AH322"/>
  <c r="AI322"/>
  <c r="AJ322"/>
  <c r="AK322"/>
  <c r="AL322"/>
  <c r="AM322"/>
  <c r="AN322"/>
  <c r="AO322"/>
  <c r="AP322"/>
  <c r="AQ322"/>
  <c r="AR322"/>
  <c r="AS322"/>
  <c r="AT322"/>
  <c r="AU322"/>
  <c r="AV322"/>
  <c r="AW322"/>
  <c r="AX322"/>
  <c r="AY322"/>
  <c r="AZ322"/>
  <c r="BA322"/>
  <c r="BB322"/>
  <c r="BC322"/>
  <c r="BD322"/>
  <c r="BE322"/>
  <c r="BF322"/>
  <c r="BG322"/>
  <c r="BH322"/>
  <c r="BI322"/>
  <c r="BJ322"/>
  <c r="BK322"/>
  <c r="BL322"/>
  <c r="BM322"/>
  <c r="BN322"/>
  <c r="BO322"/>
  <c r="BP322"/>
  <c r="BQ322"/>
  <c r="BR322"/>
  <c r="BS322"/>
  <c r="BT322"/>
  <c r="BU322"/>
  <c r="BV322"/>
  <c r="BW322"/>
  <c r="BX322"/>
  <c r="BY322"/>
  <c r="BZ322"/>
  <c r="CA322"/>
  <c r="CB322"/>
  <c r="CC322"/>
  <c r="CD322"/>
  <c r="CE322"/>
  <c r="CF322"/>
  <c r="CG322"/>
  <c r="CH322"/>
  <c r="CI322"/>
  <c r="CJ322"/>
  <c r="CK322"/>
  <c r="CL322"/>
  <c r="CM322"/>
  <c r="CN322"/>
  <c r="CO322"/>
  <c r="CP322"/>
  <c r="CQ322"/>
  <c r="CR322"/>
  <c r="CS322"/>
  <c r="CT322"/>
  <c r="CU322"/>
  <c r="CV322"/>
  <c r="CW322"/>
  <c r="CX322"/>
  <c r="CY322"/>
  <c r="CZ322"/>
  <c r="DA322"/>
  <c r="DB322"/>
  <c r="DC322"/>
  <c r="DD322"/>
  <c r="DE322"/>
  <c r="DF322"/>
  <c r="DG322"/>
  <c r="DH322"/>
  <c r="DI322"/>
  <c r="DJ322"/>
  <c r="DK322"/>
  <c r="DL322"/>
  <c r="DM322"/>
  <c r="DN322"/>
  <c r="DO322"/>
  <c r="DP322"/>
  <c r="DQ322"/>
  <c r="DR322"/>
  <c r="DS322"/>
  <c r="DT322"/>
  <c r="DU322"/>
  <c r="DV322"/>
  <c r="DW322"/>
  <c r="DX322"/>
  <c r="DY322"/>
  <c r="DZ322"/>
  <c r="EA322"/>
  <c r="EB322"/>
  <c r="EC322"/>
  <c r="ED322"/>
  <c r="EE322"/>
  <c r="EF322"/>
  <c r="EG322"/>
  <c r="EH322"/>
  <c r="EI322"/>
  <c r="EJ322"/>
  <c r="EK322"/>
  <c r="EL322"/>
  <c r="EM322"/>
  <c r="EN322"/>
  <c r="EO322"/>
  <c r="EP322"/>
  <c r="EQ322"/>
  <c r="ER322"/>
  <c r="ES322"/>
  <c r="ET322"/>
  <c r="EU322"/>
  <c r="EV322"/>
  <c r="EW322"/>
  <c r="EX322"/>
  <c r="EY322"/>
  <c r="EZ322"/>
  <c r="FA322"/>
  <c r="FB322"/>
  <c r="FC322"/>
  <c r="FD322"/>
  <c r="FE322"/>
  <c r="FF322"/>
  <c r="FG322"/>
  <c r="FH322"/>
  <c r="FI322"/>
  <c r="FJ322"/>
  <c r="FK322"/>
  <c r="FL322"/>
  <c r="FM322"/>
  <c r="FN322"/>
  <c r="FO322"/>
  <c r="FP322"/>
  <c r="FQ322"/>
  <c r="FR322"/>
  <c r="FS322"/>
  <c r="FT322"/>
  <c r="FU322"/>
  <c r="FV322"/>
  <c r="FW322"/>
  <c r="FX322"/>
  <c r="FY322"/>
  <c r="FZ322"/>
  <c r="GA322"/>
  <c r="GB322"/>
  <c r="GC322"/>
  <c r="GD322"/>
  <c r="GE322"/>
  <c r="GF322"/>
  <c r="GG322"/>
  <c r="GH322"/>
  <c r="GI322"/>
  <c r="GJ322"/>
  <c r="GK322"/>
  <c r="GL322"/>
  <c r="GM322"/>
  <c r="GN322"/>
  <c r="GO322"/>
  <c r="GP322"/>
  <c r="GQ322"/>
  <c r="GR322"/>
  <c r="GS322"/>
  <c r="GT322"/>
  <c r="GU322"/>
  <c r="GV322"/>
  <c r="GW322"/>
  <c r="GX322"/>
  <c r="GY322"/>
  <c r="GZ322"/>
  <c r="HA322"/>
  <c r="HB322"/>
  <c r="HC322"/>
  <c r="HD322"/>
  <c r="HE322"/>
  <c r="HF322"/>
  <c r="HG322"/>
  <c r="HH322"/>
  <c r="HI322"/>
  <c r="HJ322"/>
  <c r="HK322"/>
  <c r="HL322"/>
  <c r="HM322"/>
  <c r="HN322"/>
  <c r="HO322"/>
  <c r="HP322"/>
  <c r="HQ322"/>
  <c r="HR322"/>
  <c r="HS322"/>
  <c r="HT322"/>
  <c r="HU322"/>
  <c r="HV322"/>
  <c r="HW322"/>
  <c r="HX322"/>
  <c r="HY322"/>
  <c r="HZ322"/>
  <c r="IA322"/>
  <c r="IB322"/>
  <c r="IC322"/>
  <c r="ID322"/>
  <c r="IE322"/>
  <c r="IF322"/>
  <c r="IG322"/>
  <c r="IH322"/>
  <c r="II322"/>
  <c r="IJ322"/>
  <c r="IK322"/>
  <c r="IL322"/>
  <c r="IM322"/>
  <c r="IN322"/>
  <c r="IO322"/>
  <c r="IP322"/>
  <c r="IQ322"/>
  <c r="IR322"/>
  <c r="IS322"/>
  <c r="IT322"/>
  <c r="IU322"/>
  <c r="IV322"/>
  <c r="A323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Z323"/>
  <c r="AA323"/>
  <c r="AB323"/>
  <c r="AC323"/>
  <c r="AD323"/>
  <c r="AE323"/>
  <c r="AF323"/>
  <c r="AG323"/>
  <c r="AH323"/>
  <c r="AI323"/>
  <c r="AJ323"/>
  <c r="AK323"/>
  <c r="AL323"/>
  <c r="AM323"/>
  <c r="AN323"/>
  <c r="AO323"/>
  <c r="AP323"/>
  <c r="AQ323"/>
  <c r="AR323"/>
  <c r="AS323"/>
  <c r="AT323"/>
  <c r="AU323"/>
  <c r="AV323"/>
  <c r="AW323"/>
  <c r="AX323"/>
  <c r="AY323"/>
  <c r="AZ323"/>
  <c r="BA323"/>
  <c r="BB323"/>
  <c r="BC323"/>
  <c r="BD323"/>
  <c r="BE323"/>
  <c r="BF323"/>
  <c r="BG323"/>
  <c r="BH323"/>
  <c r="BI323"/>
  <c r="BJ323"/>
  <c r="BK323"/>
  <c r="BL323"/>
  <c r="BM323"/>
  <c r="BN323"/>
  <c r="BO323"/>
  <c r="BP323"/>
  <c r="BQ323"/>
  <c r="BR323"/>
  <c r="BS323"/>
  <c r="BT323"/>
  <c r="BU323"/>
  <c r="BV323"/>
  <c r="BW323"/>
  <c r="BX323"/>
  <c r="BY323"/>
  <c r="BZ323"/>
  <c r="CA323"/>
  <c r="CB323"/>
  <c r="CC323"/>
  <c r="CD323"/>
  <c r="CE323"/>
  <c r="CF323"/>
  <c r="CG323"/>
  <c r="CH323"/>
  <c r="CI323"/>
  <c r="CJ323"/>
  <c r="CK323"/>
  <c r="CL323"/>
  <c r="CM323"/>
  <c r="CN323"/>
  <c r="CO323"/>
  <c r="CP323"/>
  <c r="CQ323"/>
  <c r="CR323"/>
  <c r="CS323"/>
  <c r="CT323"/>
  <c r="CU323"/>
  <c r="CV323"/>
  <c r="CW323"/>
  <c r="CX323"/>
  <c r="CY323"/>
  <c r="CZ323"/>
  <c r="DA323"/>
  <c r="DB323"/>
  <c r="DC323"/>
  <c r="DD323"/>
  <c r="DE323"/>
  <c r="DF323"/>
  <c r="DG323"/>
  <c r="DH323"/>
  <c r="DI323"/>
  <c r="DJ323"/>
  <c r="DK323"/>
  <c r="DL323"/>
  <c r="DM323"/>
  <c r="DN323"/>
  <c r="DO323"/>
  <c r="DP323"/>
  <c r="DQ323"/>
  <c r="DR323"/>
  <c r="DS323"/>
  <c r="DT323"/>
  <c r="DU323"/>
  <c r="DV323"/>
  <c r="DW323"/>
  <c r="DX323"/>
  <c r="DY323"/>
  <c r="DZ323"/>
  <c r="EA323"/>
  <c r="EB323"/>
  <c r="EC323"/>
  <c r="ED323"/>
  <c r="EE323"/>
  <c r="EF323"/>
  <c r="EG323"/>
  <c r="EH323"/>
  <c r="EI323"/>
  <c r="EJ323"/>
  <c r="EK323"/>
  <c r="EL323"/>
  <c r="EM323"/>
  <c r="EN323"/>
  <c r="EO323"/>
  <c r="EP323"/>
  <c r="EQ323"/>
  <c r="ER323"/>
  <c r="ES323"/>
  <c r="ET323"/>
  <c r="EU323"/>
  <c r="EV323"/>
  <c r="EW323"/>
  <c r="EX323"/>
  <c r="EY323"/>
  <c r="EZ323"/>
  <c r="FA323"/>
  <c r="FB323"/>
  <c r="FC323"/>
  <c r="FD323"/>
  <c r="FE323"/>
  <c r="FF323"/>
  <c r="FG323"/>
  <c r="FH323"/>
  <c r="FI323"/>
  <c r="FJ323"/>
  <c r="FK323"/>
  <c r="FL323"/>
  <c r="FM323"/>
  <c r="FN323"/>
  <c r="FO323"/>
  <c r="FP323"/>
  <c r="FQ323"/>
  <c r="FR323"/>
  <c r="FS323"/>
  <c r="FT323"/>
  <c r="FU323"/>
  <c r="FV323"/>
  <c r="FW323"/>
  <c r="FX323"/>
  <c r="FY323"/>
  <c r="FZ323"/>
  <c r="GA323"/>
  <c r="GB323"/>
  <c r="GC323"/>
  <c r="GD323"/>
  <c r="GE323"/>
  <c r="GF323"/>
  <c r="GG323"/>
  <c r="GH323"/>
  <c r="GI323"/>
  <c r="GJ323"/>
  <c r="GK323"/>
  <c r="GL323"/>
  <c r="GM323"/>
  <c r="GN323"/>
  <c r="GO323"/>
  <c r="GP323"/>
  <c r="GQ323"/>
  <c r="GR323"/>
  <c r="GS323"/>
  <c r="GT323"/>
  <c r="GU323"/>
  <c r="GV323"/>
  <c r="GW323"/>
  <c r="GX323"/>
  <c r="GY323"/>
  <c r="GZ323"/>
  <c r="HA323"/>
  <c r="HB323"/>
  <c r="HC323"/>
  <c r="HD323"/>
  <c r="HE323"/>
  <c r="HF323"/>
  <c r="HG323"/>
  <c r="HH323"/>
  <c r="HI323"/>
  <c r="HJ323"/>
  <c r="HK323"/>
  <c r="HL323"/>
  <c r="HM323"/>
  <c r="HN323"/>
  <c r="HO323"/>
  <c r="HP323"/>
  <c r="HQ323"/>
  <c r="HR323"/>
  <c r="HS323"/>
  <c r="HT323"/>
  <c r="HU323"/>
  <c r="HV323"/>
  <c r="HW323"/>
  <c r="HX323"/>
  <c r="HY323"/>
  <c r="HZ323"/>
  <c r="IA323"/>
  <c r="IB323"/>
  <c r="IC323"/>
  <c r="ID323"/>
  <c r="IE323"/>
  <c r="IF323"/>
  <c r="IG323"/>
  <c r="IH323"/>
  <c r="II323"/>
  <c r="IJ323"/>
  <c r="IK323"/>
  <c r="IL323"/>
  <c r="IM323"/>
  <c r="IN323"/>
  <c r="IO323"/>
  <c r="IP323"/>
  <c r="IQ323"/>
  <c r="IR323"/>
  <c r="IS323"/>
  <c r="IT323"/>
  <c r="IU323"/>
  <c r="IV323"/>
  <c r="A324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Z324"/>
  <c r="AA324"/>
  <c r="AB324"/>
  <c r="AC324"/>
  <c r="AD324"/>
  <c r="AE324"/>
  <c r="AF324"/>
  <c r="AG324"/>
  <c r="AH324"/>
  <c r="AI324"/>
  <c r="AJ324"/>
  <c r="AK324"/>
  <c r="AL324"/>
  <c r="AM324"/>
  <c r="AN324"/>
  <c r="AO324"/>
  <c r="AP324"/>
  <c r="AQ324"/>
  <c r="AR324"/>
  <c r="AS324"/>
  <c r="AT324"/>
  <c r="AU324"/>
  <c r="AV324"/>
  <c r="AW324"/>
  <c r="AX324"/>
  <c r="AY324"/>
  <c r="AZ324"/>
  <c r="BA324"/>
  <c r="BB324"/>
  <c r="BC324"/>
  <c r="BD324"/>
  <c r="BE324"/>
  <c r="BF324"/>
  <c r="BG324"/>
  <c r="BH324"/>
  <c r="BI324"/>
  <c r="BJ324"/>
  <c r="BK324"/>
  <c r="BL324"/>
  <c r="BM324"/>
  <c r="BN324"/>
  <c r="BO324"/>
  <c r="BP324"/>
  <c r="BQ324"/>
  <c r="BR324"/>
  <c r="BS324"/>
  <c r="BT324"/>
  <c r="BU324"/>
  <c r="BV324"/>
  <c r="BW324"/>
  <c r="BX324"/>
  <c r="BY324"/>
  <c r="BZ324"/>
  <c r="CA324"/>
  <c r="CB324"/>
  <c r="CC324"/>
  <c r="CD324"/>
  <c r="CE324"/>
  <c r="CF324"/>
  <c r="CG324"/>
  <c r="CH324"/>
  <c r="CI324"/>
  <c r="CJ324"/>
  <c r="CK324"/>
  <c r="CL324"/>
  <c r="CM324"/>
  <c r="CN324"/>
  <c r="CO324"/>
  <c r="CP324"/>
  <c r="CQ324"/>
  <c r="CR324"/>
  <c r="CS324"/>
  <c r="CT324"/>
  <c r="CU324"/>
  <c r="CV324"/>
  <c r="CW324"/>
  <c r="CX324"/>
  <c r="CY324"/>
  <c r="CZ324"/>
  <c r="DA324"/>
  <c r="DB324"/>
  <c r="DC324"/>
  <c r="DD324"/>
  <c r="DE324"/>
  <c r="DF324"/>
  <c r="DG324"/>
  <c r="DH324"/>
  <c r="DI324"/>
  <c r="DJ324"/>
  <c r="DK324"/>
  <c r="DL324"/>
  <c r="DM324"/>
  <c r="DN324"/>
  <c r="DO324"/>
  <c r="DP324"/>
  <c r="DQ324"/>
  <c r="DR324"/>
  <c r="DS324"/>
  <c r="DT324"/>
  <c r="DU324"/>
  <c r="DV324"/>
  <c r="DW324"/>
  <c r="DX324"/>
  <c r="DY324"/>
  <c r="DZ324"/>
  <c r="EA324"/>
  <c r="EB324"/>
  <c r="EC324"/>
  <c r="ED324"/>
  <c r="EE324"/>
  <c r="EF324"/>
  <c r="EG324"/>
  <c r="EH324"/>
  <c r="EI324"/>
  <c r="EJ324"/>
  <c r="EK324"/>
  <c r="EL324"/>
  <c r="EM324"/>
  <c r="EN324"/>
  <c r="EO324"/>
  <c r="EP324"/>
  <c r="EQ324"/>
  <c r="ER324"/>
  <c r="ES324"/>
  <c r="ET324"/>
  <c r="EU324"/>
  <c r="EV324"/>
  <c r="EW324"/>
  <c r="EX324"/>
  <c r="EY324"/>
  <c r="EZ324"/>
  <c r="FA324"/>
  <c r="FB324"/>
  <c r="FC324"/>
  <c r="FD324"/>
  <c r="FE324"/>
  <c r="FF324"/>
  <c r="FG324"/>
  <c r="FH324"/>
  <c r="FI324"/>
  <c r="FJ324"/>
  <c r="FK324"/>
  <c r="FL324"/>
  <c r="FM324"/>
  <c r="FN324"/>
  <c r="FO324"/>
  <c r="FP324"/>
  <c r="FQ324"/>
  <c r="FR324"/>
  <c r="FS324"/>
  <c r="FT324"/>
  <c r="FU324"/>
  <c r="FV324"/>
  <c r="FW324"/>
  <c r="FX324"/>
  <c r="FY324"/>
  <c r="FZ324"/>
  <c r="GA324"/>
  <c r="GB324"/>
  <c r="GC324"/>
  <c r="GD324"/>
  <c r="GE324"/>
  <c r="GF324"/>
  <c r="GG324"/>
  <c r="GH324"/>
  <c r="GI324"/>
  <c r="GJ324"/>
  <c r="GK324"/>
  <c r="GL324"/>
  <c r="GM324"/>
  <c r="GN324"/>
  <c r="GO324"/>
  <c r="GP324"/>
  <c r="GQ324"/>
  <c r="GR324"/>
  <c r="GS324"/>
  <c r="GT324"/>
  <c r="GU324"/>
  <c r="GV324"/>
  <c r="GW324"/>
  <c r="GX324"/>
  <c r="GY324"/>
  <c r="GZ324"/>
  <c r="HA324"/>
  <c r="HB324"/>
  <c r="HC324"/>
  <c r="HD324"/>
  <c r="HE324"/>
  <c r="HF324"/>
  <c r="HG324"/>
  <c r="HH324"/>
  <c r="HI324"/>
  <c r="HJ324"/>
  <c r="HK324"/>
  <c r="HL324"/>
  <c r="HM324"/>
  <c r="HN324"/>
  <c r="HO324"/>
  <c r="HP324"/>
  <c r="HQ324"/>
  <c r="HR324"/>
  <c r="HS324"/>
  <c r="HT324"/>
  <c r="HU324"/>
  <c r="HV324"/>
  <c r="HW324"/>
  <c r="HX324"/>
  <c r="HY324"/>
  <c r="HZ324"/>
  <c r="IA324"/>
  <c r="IB324"/>
  <c r="IC324"/>
  <c r="ID324"/>
  <c r="IE324"/>
  <c r="IF324"/>
  <c r="IG324"/>
  <c r="IH324"/>
  <c r="II324"/>
  <c r="IJ324"/>
  <c r="IK324"/>
  <c r="IL324"/>
  <c r="IM324"/>
  <c r="IN324"/>
  <c r="IO324"/>
  <c r="IP324"/>
  <c r="IQ324"/>
  <c r="IR324"/>
  <c r="IS324"/>
  <c r="IT324"/>
  <c r="IU324"/>
  <c r="IV324"/>
  <c r="A325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Z325"/>
  <c r="AA325"/>
  <c r="AB325"/>
  <c r="AC325"/>
  <c r="AD325"/>
  <c r="AE325"/>
  <c r="AF325"/>
  <c r="AG325"/>
  <c r="AH325"/>
  <c r="AI325"/>
  <c r="AJ325"/>
  <c r="AK325"/>
  <c r="AL325"/>
  <c r="AM325"/>
  <c r="AN325"/>
  <c r="AO325"/>
  <c r="AP325"/>
  <c r="AQ325"/>
  <c r="AR325"/>
  <c r="AS325"/>
  <c r="AT325"/>
  <c r="AU325"/>
  <c r="AV325"/>
  <c r="AW325"/>
  <c r="AX325"/>
  <c r="AY325"/>
  <c r="AZ325"/>
  <c r="BA325"/>
  <c r="BB325"/>
  <c r="BC325"/>
  <c r="BD325"/>
  <c r="BE325"/>
  <c r="BF325"/>
  <c r="BG325"/>
  <c r="BH325"/>
  <c r="BI325"/>
  <c r="BJ325"/>
  <c r="BK325"/>
  <c r="BL325"/>
  <c r="BM325"/>
  <c r="BN325"/>
  <c r="BO325"/>
  <c r="BP325"/>
  <c r="BQ325"/>
  <c r="BR325"/>
  <c r="BS325"/>
  <c r="BT325"/>
  <c r="BU325"/>
  <c r="BV325"/>
  <c r="BW325"/>
  <c r="BX325"/>
  <c r="BY325"/>
  <c r="BZ325"/>
  <c r="CA325"/>
  <c r="CB325"/>
  <c r="CC325"/>
  <c r="CD325"/>
  <c r="CE325"/>
  <c r="CF325"/>
  <c r="CG325"/>
  <c r="CH325"/>
  <c r="CI325"/>
  <c r="CJ325"/>
  <c r="CK325"/>
  <c r="CL325"/>
  <c r="CM325"/>
  <c r="CN325"/>
  <c r="CO325"/>
  <c r="CP325"/>
  <c r="CQ325"/>
  <c r="CR325"/>
  <c r="CS325"/>
  <c r="CT325"/>
  <c r="CU325"/>
  <c r="CV325"/>
  <c r="CW325"/>
  <c r="CX325"/>
  <c r="CY325"/>
  <c r="CZ325"/>
  <c r="DA325"/>
  <c r="DB325"/>
  <c r="DC325"/>
  <c r="DD325"/>
  <c r="DE325"/>
  <c r="DF325"/>
  <c r="DG325"/>
  <c r="DH325"/>
  <c r="DI325"/>
  <c r="DJ325"/>
  <c r="DK325"/>
  <c r="DL325"/>
  <c r="DM325"/>
  <c r="DN325"/>
  <c r="DO325"/>
  <c r="DP325"/>
  <c r="DQ325"/>
  <c r="DR325"/>
  <c r="DS325"/>
  <c r="DT325"/>
  <c r="DU325"/>
  <c r="DV325"/>
  <c r="DW325"/>
  <c r="DX325"/>
  <c r="DY325"/>
  <c r="DZ325"/>
  <c r="EA325"/>
  <c r="EB325"/>
  <c r="EC325"/>
  <c r="ED325"/>
  <c r="EE325"/>
  <c r="EF325"/>
  <c r="EG325"/>
  <c r="EH325"/>
  <c r="EI325"/>
  <c r="EJ325"/>
  <c r="EK325"/>
  <c r="EL325"/>
  <c r="EM325"/>
  <c r="EN325"/>
  <c r="EO325"/>
  <c r="EP325"/>
  <c r="EQ325"/>
  <c r="ER325"/>
  <c r="ES325"/>
  <c r="ET325"/>
  <c r="EU325"/>
  <c r="EV325"/>
  <c r="EW325"/>
  <c r="EX325"/>
  <c r="EY325"/>
  <c r="EZ325"/>
  <c r="FA325"/>
  <c r="FB325"/>
  <c r="FC325"/>
  <c r="FD325"/>
  <c r="FE325"/>
  <c r="FF325"/>
  <c r="FG325"/>
  <c r="FH325"/>
  <c r="FI325"/>
  <c r="FJ325"/>
  <c r="FK325"/>
  <c r="FL325"/>
  <c r="FM325"/>
  <c r="FN325"/>
  <c r="FO325"/>
  <c r="FP325"/>
  <c r="FQ325"/>
  <c r="FR325"/>
  <c r="FS325"/>
  <c r="FT325"/>
  <c r="FU325"/>
  <c r="FV325"/>
  <c r="FW325"/>
  <c r="FX325"/>
  <c r="FY325"/>
  <c r="FZ325"/>
  <c r="GA325"/>
  <c r="GB325"/>
  <c r="GC325"/>
  <c r="GD325"/>
  <c r="GE325"/>
  <c r="GF325"/>
  <c r="GG325"/>
  <c r="GH325"/>
  <c r="GI325"/>
  <c r="GJ325"/>
  <c r="GK325"/>
  <c r="GL325"/>
  <c r="GM325"/>
  <c r="GN325"/>
  <c r="GO325"/>
  <c r="GP325"/>
  <c r="GQ325"/>
  <c r="GR325"/>
  <c r="GS325"/>
  <c r="GT325"/>
  <c r="GU325"/>
  <c r="GV325"/>
  <c r="GW325"/>
  <c r="GX325"/>
  <c r="GY325"/>
  <c r="GZ325"/>
  <c r="HA325"/>
  <c r="HB325"/>
  <c r="HC325"/>
  <c r="HD325"/>
  <c r="HE325"/>
  <c r="HF325"/>
  <c r="HG325"/>
  <c r="HH325"/>
  <c r="HI325"/>
  <c r="HJ325"/>
  <c r="HK325"/>
  <c r="HL325"/>
  <c r="HM325"/>
  <c r="HN325"/>
  <c r="HO325"/>
  <c r="HP325"/>
  <c r="HQ325"/>
  <c r="HR325"/>
  <c r="HS325"/>
  <c r="HT325"/>
  <c r="HU325"/>
  <c r="HV325"/>
  <c r="HW325"/>
  <c r="HX325"/>
  <c r="HY325"/>
  <c r="HZ325"/>
  <c r="IA325"/>
  <c r="IB325"/>
  <c r="IC325"/>
  <c r="ID325"/>
  <c r="IE325"/>
  <c r="IF325"/>
  <c r="IG325"/>
  <c r="IH325"/>
  <c r="II325"/>
  <c r="IJ325"/>
  <c r="IK325"/>
  <c r="IL325"/>
  <c r="IM325"/>
  <c r="IN325"/>
  <c r="IO325"/>
  <c r="IP325"/>
  <c r="IQ325"/>
  <c r="IR325"/>
  <c r="IS325"/>
  <c r="IT325"/>
  <c r="IU325"/>
  <c r="IV325"/>
  <c r="A326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Z326"/>
  <c r="AA326"/>
  <c r="AB326"/>
  <c r="AC326"/>
  <c r="AD326"/>
  <c r="AE326"/>
  <c r="AF326"/>
  <c r="AG326"/>
  <c r="AH326"/>
  <c r="AI326"/>
  <c r="AJ326"/>
  <c r="AK326"/>
  <c r="AL326"/>
  <c r="AM326"/>
  <c r="AN326"/>
  <c r="AO326"/>
  <c r="AP326"/>
  <c r="AQ326"/>
  <c r="AR326"/>
  <c r="AS326"/>
  <c r="AT326"/>
  <c r="AU326"/>
  <c r="AV326"/>
  <c r="AW326"/>
  <c r="AX326"/>
  <c r="AY326"/>
  <c r="AZ326"/>
  <c r="BA326"/>
  <c r="BB326"/>
  <c r="BC326"/>
  <c r="BD326"/>
  <c r="BE326"/>
  <c r="BF326"/>
  <c r="BG326"/>
  <c r="BH326"/>
  <c r="BI326"/>
  <c r="BJ326"/>
  <c r="BK326"/>
  <c r="BL326"/>
  <c r="BM326"/>
  <c r="BN326"/>
  <c r="BO326"/>
  <c r="BP326"/>
  <c r="BQ326"/>
  <c r="BR326"/>
  <c r="BS326"/>
  <c r="BT326"/>
  <c r="BU326"/>
  <c r="BV326"/>
  <c r="BW326"/>
  <c r="BX326"/>
  <c r="BY326"/>
  <c r="BZ326"/>
  <c r="CA326"/>
  <c r="CB326"/>
  <c r="CC326"/>
  <c r="CD326"/>
  <c r="CE326"/>
  <c r="CF326"/>
  <c r="CG326"/>
  <c r="CH326"/>
  <c r="CI326"/>
  <c r="CJ326"/>
  <c r="CK326"/>
  <c r="CL326"/>
  <c r="CM326"/>
  <c r="CN326"/>
  <c r="CO326"/>
  <c r="CP326"/>
  <c r="CQ326"/>
  <c r="CR326"/>
  <c r="CS326"/>
  <c r="CT326"/>
  <c r="CU326"/>
  <c r="CV326"/>
  <c r="CW326"/>
  <c r="CX326"/>
  <c r="CY326"/>
  <c r="CZ326"/>
  <c r="DA326"/>
  <c r="DB326"/>
  <c r="DC326"/>
  <c r="DD326"/>
  <c r="DE326"/>
  <c r="DF326"/>
  <c r="DG326"/>
  <c r="DH326"/>
  <c r="DI326"/>
  <c r="DJ326"/>
  <c r="DK326"/>
  <c r="DL326"/>
  <c r="DM326"/>
  <c r="DN326"/>
  <c r="DO326"/>
  <c r="DP326"/>
  <c r="DQ326"/>
  <c r="DR326"/>
  <c r="DS326"/>
  <c r="DT326"/>
  <c r="DU326"/>
  <c r="DV326"/>
  <c r="DW326"/>
  <c r="DX326"/>
  <c r="DY326"/>
  <c r="DZ326"/>
  <c r="EA326"/>
  <c r="EB326"/>
  <c r="EC326"/>
  <c r="ED326"/>
  <c r="EE326"/>
  <c r="EF326"/>
  <c r="EG326"/>
  <c r="EH326"/>
  <c r="EI326"/>
  <c r="EJ326"/>
  <c r="EK326"/>
  <c r="EL326"/>
  <c r="EM326"/>
  <c r="EN326"/>
  <c r="EO326"/>
  <c r="EP326"/>
  <c r="EQ326"/>
  <c r="ER326"/>
  <c r="ES326"/>
  <c r="ET326"/>
  <c r="EU326"/>
  <c r="EV326"/>
  <c r="EW326"/>
  <c r="EX326"/>
  <c r="EY326"/>
  <c r="EZ326"/>
  <c r="FA326"/>
  <c r="FB326"/>
  <c r="FC326"/>
  <c r="FD326"/>
  <c r="FE326"/>
  <c r="FF326"/>
  <c r="FG326"/>
  <c r="FH326"/>
  <c r="FI326"/>
  <c r="FJ326"/>
  <c r="FK326"/>
  <c r="FL326"/>
  <c r="FM326"/>
  <c r="FN326"/>
  <c r="FO326"/>
  <c r="FP326"/>
  <c r="FQ326"/>
  <c r="FR326"/>
  <c r="FS326"/>
  <c r="FT326"/>
  <c r="FU326"/>
  <c r="FV326"/>
  <c r="FW326"/>
  <c r="FX326"/>
  <c r="FY326"/>
  <c r="FZ326"/>
  <c r="GA326"/>
  <c r="GB326"/>
  <c r="GC326"/>
  <c r="GD326"/>
  <c r="GE326"/>
  <c r="GF326"/>
  <c r="GG326"/>
  <c r="GH326"/>
  <c r="GI326"/>
  <c r="GJ326"/>
  <c r="GK326"/>
  <c r="GL326"/>
  <c r="GM326"/>
  <c r="GN326"/>
  <c r="GO326"/>
  <c r="GP326"/>
  <c r="GQ326"/>
  <c r="GR326"/>
  <c r="GS326"/>
  <c r="GT326"/>
  <c r="GU326"/>
  <c r="GV326"/>
  <c r="GW326"/>
  <c r="GX326"/>
  <c r="GY326"/>
  <c r="GZ326"/>
  <c r="HA326"/>
  <c r="HB326"/>
  <c r="HC326"/>
  <c r="HD326"/>
  <c r="HE326"/>
  <c r="HF326"/>
  <c r="HG326"/>
  <c r="HH326"/>
  <c r="HI326"/>
  <c r="HJ326"/>
  <c r="HK326"/>
  <c r="HL326"/>
  <c r="HM326"/>
  <c r="HN326"/>
  <c r="HO326"/>
  <c r="HP326"/>
  <c r="HQ326"/>
  <c r="HR326"/>
  <c r="HS326"/>
  <c r="HT326"/>
  <c r="HU326"/>
  <c r="HV326"/>
  <c r="HW326"/>
  <c r="HX326"/>
  <c r="HY326"/>
  <c r="HZ326"/>
  <c r="IA326"/>
  <c r="IB326"/>
  <c r="IC326"/>
  <c r="ID326"/>
  <c r="IE326"/>
  <c r="IF326"/>
  <c r="IG326"/>
  <c r="IH326"/>
  <c r="II326"/>
  <c r="IJ326"/>
  <c r="IK326"/>
  <c r="IL326"/>
  <c r="IM326"/>
  <c r="IN326"/>
  <c r="IO326"/>
  <c r="IP326"/>
  <c r="IQ326"/>
  <c r="IR326"/>
  <c r="IS326"/>
  <c r="IT326"/>
  <c r="IU326"/>
  <c r="IV326"/>
  <c r="A327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Z327"/>
  <c r="AA327"/>
  <c r="AB327"/>
  <c r="AC327"/>
  <c r="AD327"/>
  <c r="AE327"/>
  <c r="AF327"/>
  <c r="AG327"/>
  <c r="AH327"/>
  <c r="AI327"/>
  <c r="AJ327"/>
  <c r="AK327"/>
  <c r="AL327"/>
  <c r="AM327"/>
  <c r="AN327"/>
  <c r="AO327"/>
  <c r="AP327"/>
  <c r="AQ327"/>
  <c r="AR327"/>
  <c r="AS327"/>
  <c r="AT327"/>
  <c r="AU327"/>
  <c r="AV327"/>
  <c r="AW327"/>
  <c r="AX327"/>
  <c r="AY327"/>
  <c r="AZ327"/>
  <c r="BA327"/>
  <c r="BB327"/>
  <c r="BC327"/>
  <c r="BD327"/>
  <c r="BE327"/>
  <c r="BF327"/>
  <c r="BG327"/>
  <c r="BH327"/>
  <c r="BI327"/>
  <c r="BJ327"/>
  <c r="BK327"/>
  <c r="BL327"/>
  <c r="BM327"/>
  <c r="BN327"/>
  <c r="BO327"/>
  <c r="BP327"/>
  <c r="BQ327"/>
  <c r="BR327"/>
  <c r="BS327"/>
  <c r="BT327"/>
  <c r="BU327"/>
  <c r="BV327"/>
  <c r="BW327"/>
  <c r="BX327"/>
  <c r="BY327"/>
  <c r="BZ327"/>
  <c r="CA327"/>
  <c r="CB327"/>
  <c r="CC327"/>
  <c r="CD327"/>
  <c r="CE327"/>
  <c r="CF327"/>
  <c r="CG327"/>
  <c r="CH327"/>
  <c r="CI327"/>
  <c r="CJ327"/>
  <c r="CK327"/>
  <c r="CL327"/>
  <c r="CM327"/>
  <c r="CN327"/>
  <c r="CO327"/>
  <c r="CP327"/>
  <c r="CQ327"/>
  <c r="CR327"/>
  <c r="CS327"/>
  <c r="CT327"/>
  <c r="CU327"/>
  <c r="CV327"/>
  <c r="CW327"/>
  <c r="CX327"/>
  <c r="CY327"/>
  <c r="CZ327"/>
  <c r="DA327"/>
  <c r="DB327"/>
  <c r="DC327"/>
  <c r="DD327"/>
  <c r="DE327"/>
  <c r="DF327"/>
  <c r="DG327"/>
  <c r="DH327"/>
  <c r="DI327"/>
  <c r="DJ327"/>
  <c r="DK327"/>
  <c r="DL327"/>
  <c r="DM327"/>
  <c r="DN327"/>
  <c r="DO327"/>
  <c r="DP327"/>
  <c r="DQ327"/>
  <c r="DR327"/>
  <c r="DS327"/>
  <c r="DT327"/>
  <c r="DU327"/>
  <c r="DV327"/>
  <c r="DW327"/>
  <c r="DX327"/>
  <c r="DY327"/>
  <c r="DZ327"/>
  <c r="EA327"/>
  <c r="EB327"/>
  <c r="EC327"/>
  <c r="ED327"/>
  <c r="EE327"/>
  <c r="EF327"/>
  <c r="EG327"/>
  <c r="EH327"/>
  <c r="EI327"/>
  <c r="EJ327"/>
  <c r="EK327"/>
  <c r="EL327"/>
  <c r="EM327"/>
  <c r="EN327"/>
  <c r="EO327"/>
  <c r="EP327"/>
  <c r="EQ327"/>
  <c r="ER327"/>
  <c r="ES327"/>
  <c r="ET327"/>
  <c r="EU327"/>
  <c r="EV327"/>
  <c r="EW327"/>
  <c r="EX327"/>
  <c r="EY327"/>
  <c r="EZ327"/>
  <c r="FA327"/>
  <c r="FB327"/>
  <c r="FC327"/>
  <c r="FD327"/>
  <c r="FE327"/>
  <c r="FF327"/>
  <c r="FG327"/>
  <c r="FH327"/>
  <c r="FI327"/>
  <c r="FJ327"/>
  <c r="FK327"/>
  <c r="FL327"/>
  <c r="FM327"/>
  <c r="FN327"/>
  <c r="FO327"/>
  <c r="FP327"/>
  <c r="FQ327"/>
  <c r="FR327"/>
  <c r="FS327"/>
  <c r="FT327"/>
  <c r="FU327"/>
  <c r="FV327"/>
  <c r="FW327"/>
  <c r="FX327"/>
  <c r="FY327"/>
  <c r="FZ327"/>
  <c r="GA327"/>
  <c r="GB327"/>
  <c r="GC327"/>
  <c r="GD327"/>
  <c r="GE327"/>
  <c r="GF327"/>
  <c r="GG327"/>
  <c r="GH327"/>
  <c r="GI327"/>
  <c r="GJ327"/>
  <c r="GK327"/>
  <c r="GL327"/>
  <c r="GM327"/>
  <c r="GN327"/>
  <c r="GO327"/>
  <c r="GP327"/>
  <c r="GQ327"/>
  <c r="GR327"/>
  <c r="GS327"/>
  <c r="GT327"/>
  <c r="GU327"/>
  <c r="GV327"/>
  <c r="GW327"/>
  <c r="GX327"/>
  <c r="GY327"/>
  <c r="GZ327"/>
  <c r="HA327"/>
  <c r="HB327"/>
  <c r="HC327"/>
  <c r="HD327"/>
  <c r="HE327"/>
  <c r="HF327"/>
  <c r="HG327"/>
  <c r="HH327"/>
  <c r="HI327"/>
  <c r="HJ327"/>
  <c r="HK327"/>
  <c r="HL327"/>
  <c r="HM327"/>
  <c r="HN327"/>
  <c r="HO327"/>
  <c r="HP327"/>
  <c r="HQ327"/>
  <c r="HR327"/>
  <c r="HS327"/>
  <c r="HT327"/>
  <c r="HU327"/>
  <c r="HV327"/>
  <c r="HW327"/>
  <c r="HX327"/>
  <c r="HY327"/>
  <c r="HZ327"/>
  <c r="IA327"/>
  <c r="IB327"/>
  <c r="IC327"/>
  <c r="ID327"/>
  <c r="IE327"/>
  <c r="IF327"/>
  <c r="IG327"/>
  <c r="IH327"/>
  <c r="II327"/>
  <c r="IJ327"/>
  <c r="IK327"/>
  <c r="IL327"/>
  <c r="IM327"/>
  <c r="IN327"/>
  <c r="IO327"/>
  <c r="IP327"/>
  <c r="IQ327"/>
  <c r="IR327"/>
  <c r="IS327"/>
  <c r="IT327"/>
  <c r="IU327"/>
  <c r="IV327"/>
  <c r="A328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Z328"/>
  <c r="AA328"/>
  <c r="AB328"/>
  <c r="AC328"/>
  <c r="AD328"/>
  <c r="AE328"/>
  <c r="AF328"/>
  <c r="AG328"/>
  <c r="AH328"/>
  <c r="AI328"/>
  <c r="AJ328"/>
  <c r="AK328"/>
  <c r="AL328"/>
  <c r="AM328"/>
  <c r="AN328"/>
  <c r="AO328"/>
  <c r="AP328"/>
  <c r="AQ328"/>
  <c r="AR328"/>
  <c r="AS328"/>
  <c r="AT328"/>
  <c r="AU328"/>
  <c r="AV328"/>
  <c r="AW328"/>
  <c r="AX328"/>
  <c r="AY328"/>
  <c r="AZ328"/>
  <c r="BA328"/>
  <c r="BB328"/>
  <c r="BC328"/>
  <c r="BD328"/>
  <c r="BE328"/>
  <c r="BF328"/>
  <c r="BG328"/>
  <c r="BH328"/>
  <c r="BI328"/>
  <c r="BJ328"/>
  <c r="BK328"/>
  <c r="BL328"/>
  <c r="BM328"/>
  <c r="BN328"/>
  <c r="BO328"/>
  <c r="BP328"/>
  <c r="BQ328"/>
  <c r="BR328"/>
  <c r="BS328"/>
  <c r="BT328"/>
  <c r="BU328"/>
  <c r="BV328"/>
  <c r="BW328"/>
  <c r="BX328"/>
  <c r="BY328"/>
  <c r="BZ328"/>
  <c r="CA328"/>
  <c r="CB328"/>
  <c r="CC328"/>
  <c r="CD328"/>
  <c r="CE328"/>
  <c r="CF328"/>
  <c r="CG328"/>
  <c r="CH328"/>
  <c r="CI328"/>
  <c r="CJ328"/>
  <c r="CK328"/>
  <c r="CL328"/>
  <c r="CM328"/>
  <c r="CN328"/>
  <c r="CO328"/>
  <c r="CP328"/>
  <c r="CQ328"/>
  <c r="CR328"/>
  <c r="CS328"/>
  <c r="CT328"/>
  <c r="CU328"/>
  <c r="CV328"/>
  <c r="CW328"/>
  <c r="CX328"/>
  <c r="CY328"/>
  <c r="CZ328"/>
  <c r="DA328"/>
  <c r="DB328"/>
  <c r="DC328"/>
  <c r="DD328"/>
  <c r="DE328"/>
  <c r="DF328"/>
  <c r="DG328"/>
  <c r="DH328"/>
  <c r="DI328"/>
  <c r="DJ328"/>
  <c r="DK328"/>
  <c r="DL328"/>
  <c r="DM328"/>
  <c r="DN328"/>
  <c r="DO328"/>
  <c r="DP328"/>
  <c r="DQ328"/>
  <c r="DR328"/>
  <c r="DS328"/>
  <c r="DT328"/>
  <c r="DU328"/>
  <c r="DV328"/>
  <c r="DW328"/>
  <c r="DX328"/>
  <c r="DY328"/>
  <c r="DZ328"/>
  <c r="EA328"/>
  <c r="EB328"/>
  <c r="EC328"/>
  <c r="ED328"/>
  <c r="EE328"/>
  <c r="EF328"/>
  <c r="EG328"/>
  <c r="EH328"/>
  <c r="EI328"/>
  <c r="EJ328"/>
  <c r="EK328"/>
  <c r="EL328"/>
  <c r="EM328"/>
  <c r="EN328"/>
  <c r="EO328"/>
  <c r="EP328"/>
  <c r="EQ328"/>
  <c r="ER328"/>
  <c r="ES328"/>
  <c r="ET328"/>
  <c r="EU328"/>
  <c r="EV328"/>
  <c r="EW328"/>
  <c r="EX328"/>
  <c r="EY328"/>
  <c r="EZ328"/>
  <c r="FA328"/>
  <c r="FB328"/>
  <c r="FC328"/>
  <c r="FD328"/>
  <c r="FE328"/>
  <c r="FF328"/>
  <c r="FG328"/>
  <c r="FH328"/>
  <c r="FI328"/>
  <c r="FJ328"/>
  <c r="FK328"/>
  <c r="FL328"/>
  <c r="FM328"/>
  <c r="FN328"/>
  <c r="FO328"/>
  <c r="FP328"/>
  <c r="FQ328"/>
  <c r="FR328"/>
  <c r="FS328"/>
  <c r="FT328"/>
  <c r="FU328"/>
  <c r="FV328"/>
  <c r="FW328"/>
  <c r="FX328"/>
  <c r="FY328"/>
  <c r="FZ328"/>
  <c r="GA328"/>
  <c r="GB328"/>
  <c r="GC328"/>
  <c r="GD328"/>
  <c r="GE328"/>
  <c r="GF328"/>
  <c r="GG328"/>
  <c r="GH328"/>
  <c r="GI328"/>
  <c r="GJ328"/>
  <c r="GK328"/>
  <c r="GL328"/>
  <c r="GM328"/>
  <c r="GN328"/>
  <c r="GO328"/>
  <c r="GP328"/>
  <c r="GQ328"/>
  <c r="GR328"/>
  <c r="GS328"/>
  <c r="GT328"/>
  <c r="GU328"/>
  <c r="GV328"/>
  <c r="GW328"/>
  <c r="GX328"/>
  <c r="GY328"/>
  <c r="GZ328"/>
  <c r="HA328"/>
  <c r="HB328"/>
  <c r="HC328"/>
  <c r="HD328"/>
  <c r="HE328"/>
  <c r="HF328"/>
  <c r="HG328"/>
  <c r="HH328"/>
  <c r="HI328"/>
  <c r="HJ328"/>
  <c r="HK328"/>
  <c r="HL328"/>
  <c r="HM328"/>
  <c r="HN328"/>
  <c r="HO328"/>
  <c r="HP328"/>
  <c r="HQ328"/>
  <c r="HR328"/>
  <c r="HS328"/>
  <c r="HT328"/>
  <c r="HU328"/>
  <c r="HV328"/>
  <c r="HW328"/>
  <c r="HX328"/>
  <c r="HY328"/>
  <c r="HZ328"/>
  <c r="IA328"/>
  <c r="IB328"/>
  <c r="IC328"/>
  <c r="ID328"/>
  <c r="IE328"/>
  <c r="IF328"/>
  <c r="IG328"/>
  <c r="IH328"/>
  <c r="II328"/>
  <c r="IJ328"/>
  <c r="IK328"/>
  <c r="IL328"/>
  <c r="IM328"/>
  <c r="IN328"/>
  <c r="IO328"/>
  <c r="IP328"/>
  <c r="IQ328"/>
  <c r="IR328"/>
  <c r="IS328"/>
  <c r="IT328"/>
  <c r="IU328"/>
  <c r="IV328"/>
  <c r="A329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Z329"/>
  <c r="AA329"/>
  <c r="AB329"/>
  <c r="AC329"/>
  <c r="AD329"/>
  <c r="AE329"/>
  <c r="AF329"/>
  <c r="AG329"/>
  <c r="AH329"/>
  <c r="AI329"/>
  <c r="AJ329"/>
  <c r="AK329"/>
  <c r="AL329"/>
  <c r="AM329"/>
  <c r="AN329"/>
  <c r="AO329"/>
  <c r="AP329"/>
  <c r="AQ329"/>
  <c r="AR329"/>
  <c r="AS329"/>
  <c r="AT329"/>
  <c r="AU329"/>
  <c r="AV329"/>
  <c r="AW329"/>
  <c r="AX329"/>
  <c r="AY329"/>
  <c r="AZ329"/>
  <c r="BA329"/>
  <c r="BB329"/>
  <c r="BC329"/>
  <c r="BD329"/>
  <c r="BE329"/>
  <c r="BF329"/>
  <c r="BG329"/>
  <c r="BH329"/>
  <c r="BI329"/>
  <c r="BJ329"/>
  <c r="BK329"/>
  <c r="BL329"/>
  <c r="BM329"/>
  <c r="BN329"/>
  <c r="BO329"/>
  <c r="BP329"/>
  <c r="BQ329"/>
  <c r="BR329"/>
  <c r="BS329"/>
  <c r="BT329"/>
  <c r="BU329"/>
  <c r="BV329"/>
  <c r="BW329"/>
  <c r="BX329"/>
  <c r="BY329"/>
  <c r="BZ329"/>
  <c r="CA329"/>
  <c r="CB329"/>
  <c r="CC329"/>
  <c r="CD329"/>
  <c r="CE329"/>
  <c r="CF329"/>
  <c r="CG329"/>
  <c r="CH329"/>
  <c r="CI329"/>
  <c r="CJ329"/>
  <c r="CK329"/>
  <c r="CL329"/>
  <c r="CM329"/>
  <c r="CN329"/>
  <c r="CO329"/>
  <c r="CP329"/>
  <c r="CQ329"/>
  <c r="CR329"/>
  <c r="CS329"/>
  <c r="CT329"/>
  <c r="CU329"/>
  <c r="CV329"/>
  <c r="CW329"/>
  <c r="CX329"/>
  <c r="CY329"/>
  <c r="CZ329"/>
  <c r="DA329"/>
  <c r="DB329"/>
  <c r="DC329"/>
  <c r="DD329"/>
  <c r="DE329"/>
  <c r="DF329"/>
  <c r="DG329"/>
  <c r="DH329"/>
  <c r="DI329"/>
  <c r="DJ329"/>
  <c r="DK329"/>
  <c r="DL329"/>
  <c r="DM329"/>
  <c r="DN329"/>
  <c r="DO329"/>
  <c r="DP329"/>
  <c r="DQ329"/>
  <c r="DR329"/>
  <c r="DS329"/>
  <c r="DT329"/>
  <c r="DU329"/>
  <c r="DV329"/>
  <c r="DW329"/>
  <c r="DX329"/>
  <c r="DY329"/>
  <c r="DZ329"/>
  <c r="EA329"/>
  <c r="EB329"/>
  <c r="EC329"/>
  <c r="ED329"/>
  <c r="EE329"/>
  <c r="EF329"/>
  <c r="EG329"/>
  <c r="EH329"/>
  <c r="EI329"/>
  <c r="EJ329"/>
  <c r="EK329"/>
  <c r="EL329"/>
  <c r="EM329"/>
  <c r="EN329"/>
  <c r="EO329"/>
  <c r="EP329"/>
  <c r="EQ329"/>
  <c r="ER329"/>
  <c r="ES329"/>
  <c r="ET329"/>
  <c r="EU329"/>
  <c r="EV329"/>
  <c r="EW329"/>
  <c r="EX329"/>
  <c r="EY329"/>
  <c r="EZ329"/>
  <c r="FA329"/>
  <c r="FB329"/>
  <c r="FC329"/>
  <c r="FD329"/>
  <c r="FE329"/>
  <c r="FF329"/>
  <c r="FG329"/>
  <c r="FH329"/>
  <c r="FI329"/>
  <c r="FJ329"/>
  <c r="FK329"/>
  <c r="FL329"/>
  <c r="FM329"/>
  <c r="FN329"/>
  <c r="FO329"/>
  <c r="FP329"/>
  <c r="FQ329"/>
  <c r="FR329"/>
  <c r="FS329"/>
  <c r="FT329"/>
  <c r="FU329"/>
  <c r="FV329"/>
  <c r="FW329"/>
  <c r="FX329"/>
  <c r="FY329"/>
  <c r="FZ329"/>
  <c r="GA329"/>
  <c r="GB329"/>
  <c r="GC329"/>
  <c r="GD329"/>
  <c r="GE329"/>
  <c r="GF329"/>
  <c r="GG329"/>
  <c r="GH329"/>
  <c r="GI329"/>
  <c r="GJ329"/>
  <c r="GK329"/>
  <c r="GL329"/>
  <c r="GM329"/>
  <c r="GN329"/>
  <c r="GO329"/>
  <c r="GP329"/>
  <c r="GQ329"/>
  <c r="GR329"/>
  <c r="GS329"/>
  <c r="GT329"/>
  <c r="GU329"/>
  <c r="GV329"/>
  <c r="GW329"/>
  <c r="GX329"/>
  <c r="GY329"/>
  <c r="GZ329"/>
  <c r="HA329"/>
  <c r="HB329"/>
  <c r="HC329"/>
  <c r="HD329"/>
  <c r="HE329"/>
  <c r="HF329"/>
  <c r="HG329"/>
  <c r="HH329"/>
  <c r="HI329"/>
  <c r="HJ329"/>
  <c r="HK329"/>
  <c r="HL329"/>
  <c r="HM329"/>
  <c r="HN329"/>
  <c r="HO329"/>
  <c r="HP329"/>
  <c r="HQ329"/>
  <c r="HR329"/>
  <c r="HS329"/>
  <c r="HT329"/>
  <c r="HU329"/>
  <c r="HV329"/>
  <c r="HW329"/>
  <c r="HX329"/>
  <c r="HY329"/>
  <c r="HZ329"/>
  <c r="IA329"/>
  <c r="IB329"/>
  <c r="IC329"/>
  <c r="ID329"/>
  <c r="IE329"/>
  <c r="IF329"/>
  <c r="IG329"/>
  <c r="IH329"/>
  <c r="II329"/>
  <c r="IJ329"/>
  <c r="IK329"/>
  <c r="IL329"/>
  <c r="IM329"/>
  <c r="IN329"/>
  <c r="IO329"/>
  <c r="IP329"/>
  <c r="IQ329"/>
  <c r="IR329"/>
  <c r="IS329"/>
  <c r="IT329"/>
  <c r="IU329"/>
  <c r="IV329"/>
  <c r="A330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Z330"/>
  <c r="AA330"/>
  <c r="AB330"/>
  <c r="AC330"/>
  <c r="AD330"/>
  <c r="AE330"/>
  <c r="AF330"/>
  <c r="AG330"/>
  <c r="AH330"/>
  <c r="AI330"/>
  <c r="AJ330"/>
  <c r="AK330"/>
  <c r="AL330"/>
  <c r="AM330"/>
  <c r="AN330"/>
  <c r="AO330"/>
  <c r="AP330"/>
  <c r="AQ330"/>
  <c r="AR330"/>
  <c r="AS330"/>
  <c r="AT330"/>
  <c r="AU330"/>
  <c r="AV330"/>
  <c r="AW330"/>
  <c r="AX330"/>
  <c r="AY330"/>
  <c r="AZ330"/>
  <c r="BA330"/>
  <c r="BB330"/>
  <c r="BC330"/>
  <c r="BD330"/>
  <c r="BE330"/>
  <c r="BF330"/>
  <c r="BG330"/>
  <c r="BH330"/>
  <c r="BI330"/>
  <c r="BJ330"/>
  <c r="BK330"/>
  <c r="BL330"/>
  <c r="BM330"/>
  <c r="BN330"/>
  <c r="BO330"/>
  <c r="BP330"/>
  <c r="BQ330"/>
  <c r="BR330"/>
  <c r="BS330"/>
  <c r="BT330"/>
  <c r="BU330"/>
  <c r="BV330"/>
  <c r="BW330"/>
  <c r="BX330"/>
  <c r="BY330"/>
  <c r="BZ330"/>
  <c r="CA330"/>
  <c r="CB330"/>
  <c r="CC330"/>
  <c r="CD330"/>
  <c r="CE330"/>
  <c r="CF330"/>
  <c r="CG330"/>
  <c r="CH330"/>
  <c r="CI330"/>
  <c r="CJ330"/>
  <c r="CK330"/>
  <c r="CL330"/>
  <c r="CM330"/>
  <c r="CN330"/>
  <c r="CO330"/>
  <c r="CP330"/>
  <c r="CQ330"/>
  <c r="CR330"/>
  <c r="CS330"/>
  <c r="CT330"/>
  <c r="CU330"/>
  <c r="CV330"/>
  <c r="CW330"/>
  <c r="CX330"/>
  <c r="CY330"/>
  <c r="CZ330"/>
  <c r="DA330"/>
  <c r="DB330"/>
  <c r="DC330"/>
  <c r="DD330"/>
  <c r="DE330"/>
  <c r="DF330"/>
  <c r="DG330"/>
  <c r="DH330"/>
  <c r="DI330"/>
  <c r="DJ330"/>
  <c r="DK330"/>
  <c r="DL330"/>
  <c r="DM330"/>
  <c r="DN330"/>
  <c r="DO330"/>
  <c r="DP330"/>
  <c r="DQ330"/>
  <c r="DR330"/>
  <c r="DS330"/>
  <c r="DT330"/>
  <c r="DU330"/>
  <c r="DV330"/>
  <c r="DW330"/>
  <c r="DX330"/>
  <c r="DY330"/>
  <c r="DZ330"/>
  <c r="EA330"/>
  <c r="EB330"/>
  <c r="EC330"/>
  <c r="ED330"/>
  <c r="EE330"/>
  <c r="EF330"/>
  <c r="EG330"/>
  <c r="EH330"/>
  <c r="EI330"/>
  <c r="EJ330"/>
  <c r="EK330"/>
  <c r="EL330"/>
  <c r="EM330"/>
  <c r="EN330"/>
  <c r="EO330"/>
  <c r="EP330"/>
  <c r="EQ330"/>
  <c r="ER330"/>
  <c r="ES330"/>
  <c r="ET330"/>
  <c r="EU330"/>
  <c r="EV330"/>
  <c r="EW330"/>
  <c r="EX330"/>
  <c r="EY330"/>
  <c r="EZ330"/>
  <c r="FA330"/>
  <c r="FB330"/>
  <c r="FC330"/>
  <c r="FD330"/>
  <c r="FE330"/>
  <c r="FF330"/>
  <c r="FG330"/>
  <c r="FH330"/>
  <c r="FI330"/>
  <c r="FJ330"/>
  <c r="FK330"/>
  <c r="FL330"/>
  <c r="FM330"/>
  <c r="FN330"/>
  <c r="FO330"/>
  <c r="FP330"/>
  <c r="FQ330"/>
  <c r="FR330"/>
  <c r="FS330"/>
  <c r="FT330"/>
  <c r="FU330"/>
  <c r="FV330"/>
  <c r="FW330"/>
  <c r="FX330"/>
  <c r="FY330"/>
  <c r="FZ330"/>
  <c r="GA330"/>
  <c r="GB330"/>
  <c r="GC330"/>
  <c r="GD330"/>
  <c r="GE330"/>
  <c r="GF330"/>
  <c r="GG330"/>
  <c r="GH330"/>
  <c r="GI330"/>
  <c r="GJ330"/>
  <c r="GK330"/>
  <c r="GL330"/>
  <c r="GM330"/>
  <c r="GN330"/>
  <c r="GO330"/>
  <c r="GP330"/>
  <c r="GQ330"/>
  <c r="GR330"/>
  <c r="GS330"/>
  <c r="GT330"/>
  <c r="GU330"/>
  <c r="GV330"/>
  <c r="GW330"/>
  <c r="GX330"/>
  <c r="GY330"/>
  <c r="GZ330"/>
  <c r="HA330"/>
  <c r="HB330"/>
  <c r="HC330"/>
  <c r="HD330"/>
  <c r="HE330"/>
  <c r="HF330"/>
  <c r="HG330"/>
  <c r="HH330"/>
  <c r="HI330"/>
  <c r="HJ330"/>
  <c r="HK330"/>
  <c r="HL330"/>
  <c r="HM330"/>
  <c r="HN330"/>
  <c r="HO330"/>
  <c r="HP330"/>
  <c r="HQ330"/>
  <c r="HR330"/>
  <c r="HS330"/>
  <c r="HT330"/>
  <c r="HU330"/>
  <c r="HV330"/>
  <c r="HW330"/>
  <c r="HX330"/>
  <c r="HY330"/>
  <c r="HZ330"/>
  <c r="IA330"/>
  <c r="IB330"/>
  <c r="IC330"/>
  <c r="ID330"/>
  <c r="IE330"/>
  <c r="IF330"/>
  <c r="IG330"/>
  <c r="IH330"/>
  <c r="II330"/>
  <c r="IJ330"/>
  <c r="IK330"/>
  <c r="IL330"/>
  <c r="IM330"/>
  <c r="IN330"/>
  <c r="IO330"/>
  <c r="IP330"/>
  <c r="IQ330"/>
  <c r="IR330"/>
  <c r="IS330"/>
  <c r="IT330"/>
  <c r="IU330"/>
  <c r="IV330"/>
  <c r="A331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Z331"/>
  <c r="AA331"/>
  <c r="AB331"/>
  <c r="AC331"/>
  <c r="AD331"/>
  <c r="AE331"/>
  <c r="AF331"/>
  <c r="AG331"/>
  <c r="AH331"/>
  <c r="AI331"/>
  <c r="AJ331"/>
  <c r="AK331"/>
  <c r="AL331"/>
  <c r="AM331"/>
  <c r="AN331"/>
  <c r="AO331"/>
  <c r="AP331"/>
  <c r="AQ331"/>
  <c r="AR331"/>
  <c r="AS331"/>
  <c r="AT331"/>
  <c r="AU331"/>
  <c r="AV331"/>
  <c r="AW331"/>
  <c r="AX331"/>
  <c r="AY331"/>
  <c r="AZ331"/>
  <c r="BA331"/>
  <c r="BB331"/>
  <c r="BC331"/>
  <c r="BD331"/>
  <c r="BE331"/>
  <c r="BF331"/>
  <c r="BG331"/>
  <c r="BH331"/>
  <c r="BI331"/>
  <c r="BJ331"/>
  <c r="BK331"/>
  <c r="BL331"/>
  <c r="BM331"/>
  <c r="BN331"/>
  <c r="BO331"/>
  <c r="BP331"/>
  <c r="BQ331"/>
  <c r="BR331"/>
  <c r="BS331"/>
  <c r="BT331"/>
  <c r="BU331"/>
  <c r="BV331"/>
  <c r="BW331"/>
  <c r="BX331"/>
  <c r="BY331"/>
  <c r="BZ331"/>
  <c r="CA331"/>
  <c r="CB331"/>
  <c r="CC331"/>
  <c r="CD331"/>
  <c r="CE331"/>
  <c r="CF331"/>
  <c r="CG331"/>
  <c r="CH331"/>
  <c r="CI331"/>
  <c r="CJ331"/>
  <c r="CK331"/>
  <c r="CL331"/>
  <c r="CM331"/>
  <c r="CN331"/>
  <c r="CO331"/>
  <c r="CP331"/>
  <c r="CQ331"/>
  <c r="CR331"/>
  <c r="CS331"/>
  <c r="CT331"/>
  <c r="CU331"/>
  <c r="CV331"/>
  <c r="CW331"/>
  <c r="CX331"/>
  <c r="CY331"/>
  <c r="CZ331"/>
  <c r="DA331"/>
  <c r="DB331"/>
  <c r="DC331"/>
  <c r="DD331"/>
  <c r="DE331"/>
  <c r="DF331"/>
  <c r="DG331"/>
  <c r="DH331"/>
  <c r="DI331"/>
  <c r="DJ331"/>
  <c r="DK331"/>
  <c r="DL331"/>
  <c r="DM331"/>
  <c r="DN331"/>
  <c r="DO331"/>
  <c r="DP331"/>
  <c r="DQ331"/>
  <c r="DR331"/>
  <c r="DS331"/>
  <c r="DT331"/>
  <c r="DU331"/>
  <c r="DV331"/>
  <c r="DW331"/>
  <c r="DX331"/>
  <c r="DY331"/>
  <c r="DZ331"/>
  <c r="EA331"/>
  <c r="EB331"/>
  <c r="EC331"/>
  <c r="ED331"/>
  <c r="EE331"/>
  <c r="EF331"/>
  <c r="EG331"/>
  <c r="EH331"/>
  <c r="EI331"/>
  <c r="EJ331"/>
  <c r="EK331"/>
  <c r="EL331"/>
  <c r="EM331"/>
  <c r="EN331"/>
  <c r="EO331"/>
  <c r="EP331"/>
  <c r="EQ331"/>
  <c r="ER331"/>
  <c r="ES331"/>
  <c r="ET331"/>
  <c r="EU331"/>
  <c r="EV331"/>
  <c r="EW331"/>
  <c r="EX331"/>
  <c r="EY331"/>
  <c r="EZ331"/>
  <c r="FA331"/>
  <c r="FB331"/>
  <c r="FC331"/>
  <c r="FD331"/>
  <c r="FE331"/>
  <c r="FF331"/>
  <c r="FG331"/>
  <c r="FH331"/>
  <c r="FI331"/>
  <c r="FJ331"/>
  <c r="FK331"/>
  <c r="FL331"/>
  <c r="FM331"/>
  <c r="FN331"/>
  <c r="FO331"/>
  <c r="FP331"/>
  <c r="FQ331"/>
  <c r="FR331"/>
  <c r="FS331"/>
  <c r="FT331"/>
  <c r="FU331"/>
  <c r="FV331"/>
  <c r="FW331"/>
  <c r="FX331"/>
  <c r="FY331"/>
  <c r="FZ331"/>
  <c r="GA331"/>
  <c r="GB331"/>
  <c r="GC331"/>
  <c r="GD331"/>
  <c r="GE331"/>
  <c r="GF331"/>
  <c r="GG331"/>
  <c r="GH331"/>
  <c r="GI331"/>
  <c r="GJ331"/>
  <c r="GK331"/>
  <c r="GL331"/>
  <c r="GM331"/>
  <c r="GN331"/>
  <c r="GO331"/>
  <c r="GP331"/>
  <c r="GQ331"/>
  <c r="GR331"/>
  <c r="GS331"/>
  <c r="GT331"/>
  <c r="GU331"/>
  <c r="GV331"/>
  <c r="GW331"/>
  <c r="GX331"/>
  <c r="GY331"/>
  <c r="GZ331"/>
  <c r="HA331"/>
  <c r="HB331"/>
  <c r="HC331"/>
  <c r="HD331"/>
  <c r="HE331"/>
  <c r="HF331"/>
  <c r="HG331"/>
  <c r="HH331"/>
  <c r="HI331"/>
  <c r="HJ331"/>
  <c r="HK331"/>
  <c r="HL331"/>
  <c r="HM331"/>
  <c r="HN331"/>
  <c r="HO331"/>
  <c r="HP331"/>
  <c r="HQ331"/>
  <c r="HR331"/>
  <c r="HS331"/>
  <c r="HT331"/>
  <c r="HU331"/>
  <c r="HV331"/>
  <c r="HW331"/>
  <c r="HX331"/>
  <c r="HY331"/>
  <c r="HZ331"/>
  <c r="IA331"/>
  <c r="IB331"/>
  <c r="IC331"/>
  <c r="ID331"/>
  <c r="IE331"/>
  <c r="IF331"/>
  <c r="IG331"/>
  <c r="IH331"/>
  <c r="II331"/>
  <c r="IJ331"/>
  <c r="IK331"/>
  <c r="IL331"/>
  <c r="IM331"/>
  <c r="IN331"/>
  <c r="IO331"/>
  <c r="IP331"/>
  <c r="IQ331"/>
  <c r="IR331"/>
  <c r="IS331"/>
  <c r="IT331"/>
  <c r="IU331"/>
  <c r="IV331"/>
  <c r="A332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Z332"/>
  <c r="AA332"/>
  <c r="AB332"/>
  <c r="AC332"/>
  <c r="AD332"/>
  <c r="AE332"/>
  <c r="AF332"/>
  <c r="AG332"/>
  <c r="AH332"/>
  <c r="AI332"/>
  <c r="AJ332"/>
  <c r="AK332"/>
  <c r="AL332"/>
  <c r="AM332"/>
  <c r="AN332"/>
  <c r="AO332"/>
  <c r="AP332"/>
  <c r="AQ332"/>
  <c r="AR332"/>
  <c r="AS332"/>
  <c r="AT332"/>
  <c r="AU332"/>
  <c r="AV332"/>
  <c r="AW332"/>
  <c r="AX332"/>
  <c r="AY332"/>
  <c r="AZ332"/>
  <c r="BA332"/>
  <c r="BB332"/>
  <c r="BC332"/>
  <c r="BD332"/>
  <c r="BE332"/>
  <c r="BF332"/>
  <c r="BG332"/>
  <c r="BH332"/>
  <c r="BI332"/>
  <c r="BJ332"/>
  <c r="BK332"/>
  <c r="BL332"/>
  <c r="BM332"/>
  <c r="BN332"/>
  <c r="BO332"/>
  <c r="BP332"/>
  <c r="BQ332"/>
  <c r="BR332"/>
  <c r="BS332"/>
  <c r="BT332"/>
  <c r="BU332"/>
  <c r="BV332"/>
  <c r="BW332"/>
  <c r="BX332"/>
  <c r="BY332"/>
  <c r="BZ332"/>
  <c r="CA332"/>
  <c r="CB332"/>
  <c r="CC332"/>
  <c r="CD332"/>
  <c r="CE332"/>
  <c r="CF332"/>
  <c r="CG332"/>
  <c r="CH332"/>
  <c r="CI332"/>
  <c r="CJ332"/>
  <c r="CK332"/>
  <c r="CL332"/>
  <c r="CM332"/>
  <c r="CN332"/>
  <c r="CO332"/>
  <c r="CP332"/>
  <c r="CQ332"/>
  <c r="CR332"/>
  <c r="CS332"/>
  <c r="CT332"/>
  <c r="CU332"/>
  <c r="CV332"/>
  <c r="CW332"/>
  <c r="CX332"/>
  <c r="CY332"/>
  <c r="CZ332"/>
  <c r="DA332"/>
  <c r="DB332"/>
  <c r="DC332"/>
  <c r="DD332"/>
  <c r="DE332"/>
  <c r="DF332"/>
  <c r="DG332"/>
  <c r="DH332"/>
  <c r="DI332"/>
  <c r="DJ332"/>
  <c r="DK332"/>
  <c r="DL332"/>
  <c r="DM332"/>
  <c r="DN332"/>
  <c r="DO332"/>
  <c r="DP332"/>
  <c r="DQ332"/>
  <c r="DR332"/>
  <c r="DS332"/>
  <c r="DT332"/>
  <c r="DU332"/>
  <c r="DV332"/>
  <c r="DW332"/>
  <c r="DX332"/>
  <c r="DY332"/>
  <c r="DZ332"/>
  <c r="EA332"/>
  <c r="EB332"/>
  <c r="EC332"/>
  <c r="ED332"/>
  <c r="EE332"/>
  <c r="EF332"/>
  <c r="EG332"/>
  <c r="EH332"/>
  <c r="EI332"/>
  <c r="EJ332"/>
  <c r="EK332"/>
  <c r="EL332"/>
  <c r="EM332"/>
  <c r="EN332"/>
  <c r="EO332"/>
  <c r="EP332"/>
  <c r="EQ332"/>
  <c r="ER332"/>
  <c r="ES332"/>
  <c r="ET332"/>
  <c r="EU332"/>
  <c r="EV332"/>
  <c r="EW332"/>
  <c r="EX332"/>
  <c r="EY332"/>
  <c r="EZ332"/>
  <c r="FA332"/>
  <c r="FB332"/>
  <c r="FC332"/>
  <c r="FD332"/>
  <c r="FE332"/>
  <c r="FF332"/>
  <c r="FG332"/>
  <c r="FH332"/>
  <c r="FI332"/>
  <c r="FJ332"/>
  <c r="FK332"/>
  <c r="FL332"/>
  <c r="FM332"/>
  <c r="FN332"/>
  <c r="FO332"/>
  <c r="FP332"/>
  <c r="FQ332"/>
  <c r="FR332"/>
  <c r="FS332"/>
  <c r="FT332"/>
  <c r="FU332"/>
  <c r="FV332"/>
  <c r="FW332"/>
  <c r="FX332"/>
  <c r="FY332"/>
  <c r="FZ332"/>
  <c r="GA332"/>
  <c r="GB332"/>
  <c r="GC332"/>
  <c r="GD332"/>
  <c r="GE332"/>
  <c r="GF332"/>
  <c r="GG332"/>
  <c r="GH332"/>
  <c r="GI332"/>
  <c r="GJ332"/>
  <c r="GK332"/>
  <c r="GL332"/>
  <c r="GM332"/>
  <c r="GN332"/>
  <c r="GO332"/>
  <c r="GP332"/>
  <c r="GQ332"/>
  <c r="GR332"/>
  <c r="GS332"/>
  <c r="GT332"/>
  <c r="GU332"/>
  <c r="GV332"/>
  <c r="GW332"/>
  <c r="GX332"/>
  <c r="GY332"/>
  <c r="GZ332"/>
  <c r="HA332"/>
  <c r="HB332"/>
  <c r="HC332"/>
  <c r="HD332"/>
  <c r="HE332"/>
  <c r="HF332"/>
  <c r="HG332"/>
  <c r="HH332"/>
  <c r="HI332"/>
  <c r="HJ332"/>
  <c r="HK332"/>
  <c r="HL332"/>
  <c r="HM332"/>
  <c r="HN332"/>
  <c r="HO332"/>
  <c r="HP332"/>
  <c r="HQ332"/>
  <c r="HR332"/>
  <c r="HS332"/>
  <c r="HT332"/>
  <c r="HU332"/>
  <c r="HV332"/>
  <c r="HW332"/>
  <c r="HX332"/>
  <c r="HY332"/>
  <c r="HZ332"/>
  <c r="IA332"/>
  <c r="IB332"/>
  <c r="IC332"/>
  <c r="ID332"/>
  <c r="IE332"/>
  <c r="IF332"/>
  <c r="IG332"/>
  <c r="IH332"/>
  <c r="II332"/>
  <c r="IJ332"/>
  <c r="IK332"/>
  <c r="IL332"/>
  <c r="IM332"/>
  <c r="IN332"/>
  <c r="IO332"/>
  <c r="IP332"/>
  <c r="IQ332"/>
  <c r="IR332"/>
  <c r="IS332"/>
  <c r="IT332"/>
  <c r="IU332"/>
  <c r="IV332"/>
  <c r="A333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Z333"/>
  <c r="AA333"/>
  <c r="AB333"/>
  <c r="AC333"/>
  <c r="AD333"/>
  <c r="AE333"/>
  <c r="AF333"/>
  <c r="AG333"/>
  <c r="AH333"/>
  <c r="AI333"/>
  <c r="AJ333"/>
  <c r="AK333"/>
  <c r="AL333"/>
  <c r="AM333"/>
  <c r="AN333"/>
  <c r="AO333"/>
  <c r="AP333"/>
  <c r="AQ333"/>
  <c r="AR333"/>
  <c r="AS333"/>
  <c r="AT333"/>
  <c r="AU333"/>
  <c r="AV333"/>
  <c r="AW333"/>
  <c r="AX333"/>
  <c r="AY333"/>
  <c r="AZ333"/>
  <c r="BA333"/>
  <c r="BB333"/>
  <c r="BC333"/>
  <c r="BD333"/>
  <c r="BE333"/>
  <c r="BF333"/>
  <c r="BG333"/>
  <c r="BH333"/>
  <c r="BI333"/>
  <c r="BJ333"/>
  <c r="BK333"/>
  <c r="BL333"/>
  <c r="BM333"/>
  <c r="BN333"/>
  <c r="BO333"/>
  <c r="BP333"/>
  <c r="BQ333"/>
  <c r="BR333"/>
  <c r="BS333"/>
  <c r="BT333"/>
  <c r="BU333"/>
  <c r="BV333"/>
  <c r="BW333"/>
  <c r="BX333"/>
  <c r="BY333"/>
  <c r="BZ333"/>
  <c r="CA333"/>
  <c r="CB333"/>
  <c r="CC333"/>
  <c r="CD333"/>
  <c r="CE333"/>
  <c r="CF333"/>
  <c r="CG333"/>
  <c r="CH333"/>
  <c r="CI333"/>
  <c r="CJ333"/>
  <c r="CK333"/>
  <c r="CL333"/>
  <c r="CM333"/>
  <c r="CN333"/>
  <c r="CO333"/>
  <c r="CP333"/>
  <c r="CQ333"/>
  <c r="CR333"/>
  <c r="CS333"/>
  <c r="CT333"/>
  <c r="CU333"/>
  <c r="CV333"/>
  <c r="CW333"/>
  <c r="CX333"/>
  <c r="CY333"/>
  <c r="CZ333"/>
  <c r="DA333"/>
  <c r="DB333"/>
  <c r="DC333"/>
  <c r="DD333"/>
  <c r="DE333"/>
  <c r="DF333"/>
  <c r="DG333"/>
  <c r="DH333"/>
  <c r="DI333"/>
  <c r="DJ333"/>
  <c r="DK333"/>
  <c r="DL333"/>
  <c r="DM333"/>
  <c r="DN333"/>
  <c r="DO333"/>
  <c r="DP333"/>
  <c r="DQ333"/>
  <c r="DR333"/>
  <c r="DS333"/>
  <c r="DT333"/>
  <c r="DU333"/>
  <c r="DV333"/>
  <c r="DW333"/>
  <c r="DX333"/>
  <c r="DY333"/>
  <c r="DZ333"/>
  <c r="EA333"/>
  <c r="EB333"/>
  <c r="EC333"/>
  <c r="ED333"/>
  <c r="EE333"/>
  <c r="EF333"/>
  <c r="EG333"/>
  <c r="EH333"/>
  <c r="EI333"/>
  <c r="EJ333"/>
  <c r="EK333"/>
  <c r="EL333"/>
  <c r="EM333"/>
  <c r="EN333"/>
  <c r="EO333"/>
  <c r="EP333"/>
  <c r="EQ333"/>
  <c r="ER333"/>
  <c r="ES333"/>
  <c r="ET333"/>
  <c r="EU333"/>
  <c r="EV333"/>
  <c r="EW333"/>
  <c r="EX333"/>
  <c r="EY333"/>
  <c r="EZ333"/>
  <c r="FA333"/>
  <c r="FB333"/>
  <c r="FC333"/>
  <c r="FD333"/>
  <c r="FE333"/>
  <c r="FF333"/>
  <c r="FG333"/>
  <c r="FH333"/>
  <c r="FI333"/>
  <c r="FJ333"/>
  <c r="FK333"/>
  <c r="FL333"/>
  <c r="FM333"/>
  <c r="FN333"/>
  <c r="FO333"/>
  <c r="FP333"/>
  <c r="FQ333"/>
  <c r="FR333"/>
  <c r="FS333"/>
  <c r="FT333"/>
  <c r="FU333"/>
  <c r="FV333"/>
  <c r="FW333"/>
  <c r="FX333"/>
  <c r="FY333"/>
  <c r="FZ333"/>
  <c r="GA333"/>
  <c r="GB333"/>
  <c r="GC333"/>
  <c r="GD333"/>
  <c r="GE333"/>
  <c r="GF333"/>
  <c r="GG333"/>
  <c r="GH333"/>
  <c r="GI333"/>
  <c r="GJ333"/>
  <c r="GK333"/>
  <c r="GL333"/>
  <c r="GM333"/>
  <c r="GN333"/>
  <c r="GO333"/>
  <c r="GP333"/>
  <c r="GQ333"/>
  <c r="GR333"/>
  <c r="GS333"/>
  <c r="GT333"/>
  <c r="GU333"/>
  <c r="GV333"/>
  <c r="GW333"/>
  <c r="GX333"/>
  <c r="GY333"/>
  <c r="GZ333"/>
  <c r="HA333"/>
  <c r="HB333"/>
  <c r="HC333"/>
  <c r="HD333"/>
  <c r="HE333"/>
  <c r="HF333"/>
  <c r="HG333"/>
  <c r="HH333"/>
  <c r="HI333"/>
  <c r="HJ333"/>
  <c r="HK333"/>
  <c r="HL333"/>
  <c r="HM333"/>
  <c r="HN333"/>
  <c r="HO333"/>
  <c r="HP333"/>
  <c r="HQ333"/>
  <c r="HR333"/>
  <c r="HS333"/>
  <c r="HT333"/>
  <c r="HU333"/>
  <c r="HV333"/>
  <c r="HW333"/>
  <c r="HX333"/>
  <c r="HY333"/>
  <c r="HZ333"/>
  <c r="IA333"/>
  <c r="IB333"/>
  <c r="IC333"/>
  <c r="ID333"/>
  <c r="IE333"/>
  <c r="IF333"/>
  <c r="IG333"/>
  <c r="IH333"/>
  <c r="II333"/>
  <c r="IJ333"/>
  <c r="IK333"/>
  <c r="IL333"/>
  <c r="IM333"/>
  <c r="IN333"/>
  <c r="IO333"/>
  <c r="IP333"/>
  <c r="IQ333"/>
  <c r="IR333"/>
  <c r="IS333"/>
  <c r="IT333"/>
  <c r="IU333"/>
  <c r="IV333"/>
  <c r="A334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Z334"/>
  <c r="AA334"/>
  <c r="AB334"/>
  <c r="AC334"/>
  <c r="AD334"/>
  <c r="AE334"/>
  <c r="AF334"/>
  <c r="AG334"/>
  <c r="AH334"/>
  <c r="AI334"/>
  <c r="AJ334"/>
  <c r="AK334"/>
  <c r="AL334"/>
  <c r="AM334"/>
  <c r="AN334"/>
  <c r="AO334"/>
  <c r="AP334"/>
  <c r="AQ334"/>
  <c r="AR334"/>
  <c r="AS334"/>
  <c r="AT334"/>
  <c r="AU334"/>
  <c r="AV334"/>
  <c r="AW334"/>
  <c r="AX334"/>
  <c r="AY334"/>
  <c r="AZ334"/>
  <c r="BA334"/>
  <c r="BB334"/>
  <c r="BC334"/>
  <c r="BD334"/>
  <c r="BE334"/>
  <c r="BF334"/>
  <c r="BG334"/>
  <c r="BH334"/>
  <c r="BI334"/>
  <c r="BJ334"/>
  <c r="BK334"/>
  <c r="BL334"/>
  <c r="BM334"/>
  <c r="BN334"/>
  <c r="BO334"/>
  <c r="BP334"/>
  <c r="BQ334"/>
  <c r="BR334"/>
  <c r="BS334"/>
  <c r="BT334"/>
  <c r="BU334"/>
  <c r="BV334"/>
  <c r="BW334"/>
  <c r="BX334"/>
  <c r="BY334"/>
  <c r="BZ334"/>
  <c r="CA334"/>
  <c r="CB334"/>
  <c r="CC334"/>
  <c r="CD334"/>
  <c r="CE334"/>
  <c r="CF334"/>
  <c r="CG334"/>
  <c r="CH334"/>
  <c r="CI334"/>
  <c r="CJ334"/>
  <c r="CK334"/>
  <c r="CL334"/>
  <c r="CM334"/>
  <c r="CN334"/>
  <c r="CO334"/>
  <c r="CP334"/>
  <c r="CQ334"/>
  <c r="CR334"/>
  <c r="CS334"/>
  <c r="CT334"/>
  <c r="CU334"/>
  <c r="CV334"/>
  <c r="CW334"/>
  <c r="CX334"/>
  <c r="CY334"/>
  <c r="CZ334"/>
  <c r="DA334"/>
  <c r="DB334"/>
  <c r="DC334"/>
  <c r="DD334"/>
  <c r="DE334"/>
  <c r="DF334"/>
  <c r="DG334"/>
  <c r="DH334"/>
  <c r="DI334"/>
  <c r="DJ334"/>
  <c r="DK334"/>
  <c r="DL334"/>
  <c r="DM334"/>
  <c r="DN334"/>
  <c r="DO334"/>
  <c r="DP334"/>
  <c r="DQ334"/>
  <c r="DR334"/>
  <c r="DS334"/>
  <c r="DT334"/>
  <c r="DU334"/>
  <c r="DV334"/>
  <c r="DW334"/>
  <c r="DX334"/>
  <c r="DY334"/>
  <c r="DZ334"/>
  <c r="EA334"/>
  <c r="EB334"/>
  <c r="EC334"/>
  <c r="ED334"/>
  <c r="EE334"/>
  <c r="EF334"/>
  <c r="EG334"/>
  <c r="EH334"/>
  <c r="EI334"/>
  <c r="EJ334"/>
  <c r="EK334"/>
  <c r="EL334"/>
  <c r="EM334"/>
  <c r="EN334"/>
  <c r="EO334"/>
  <c r="EP334"/>
  <c r="EQ334"/>
  <c r="ER334"/>
  <c r="ES334"/>
  <c r="ET334"/>
  <c r="EU334"/>
  <c r="EV334"/>
  <c r="EW334"/>
  <c r="EX334"/>
  <c r="EY334"/>
  <c r="EZ334"/>
  <c r="FA334"/>
  <c r="FB334"/>
  <c r="FC334"/>
  <c r="FD334"/>
  <c r="FE334"/>
  <c r="FF334"/>
  <c r="FG334"/>
  <c r="FH334"/>
  <c r="FI334"/>
  <c r="FJ334"/>
  <c r="FK334"/>
  <c r="FL334"/>
  <c r="FM334"/>
  <c r="FN334"/>
  <c r="FO334"/>
  <c r="FP334"/>
  <c r="FQ334"/>
  <c r="FR334"/>
  <c r="FS334"/>
  <c r="FT334"/>
  <c r="FU334"/>
  <c r="FV334"/>
  <c r="FW334"/>
  <c r="FX334"/>
  <c r="FY334"/>
  <c r="FZ334"/>
  <c r="GA334"/>
  <c r="GB334"/>
  <c r="GC334"/>
  <c r="GD334"/>
  <c r="GE334"/>
  <c r="GF334"/>
  <c r="GG334"/>
  <c r="GH334"/>
  <c r="GI334"/>
  <c r="GJ334"/>
  <c r="GK334"/>
  <c r="GL334"/>
  <c r="GM334"/>
  <c r="GN334"/>
  <c r="GO334"/>
  <c r="GP334"/>
  <c r="GQ334"/>
  <c r="GR334"/>
  <c r="GS334"/>
  <c r="GT334"/>
  <c r="GU334"/>
  <c r="GV334"/>
  <c r="GW334"/>
  <c r="GX334"/>
  <c r="GY334"/>
  <c r="GZ334"/>
  <c r="HA334"/>
  <c r="HB334"/>
  <c r="HC334"/>
  <c r="HD334"/>
  <c r="HE334"/>
  <c r="HF334"/>
  <c r="HG334"/>
  <c r="HH334"/>
  <c r="HI334"/>
  <c r="HJ334"/>
  <c r="HK334"/>
  <c r="HL334"/>
  <c r="HM334"/>
  <c r="HN334"/>
  <c r="HO334"/>
  <c r="HP334"/>
  <c r="HQ334"/>
  <c r="HR334"/>
  <c r="HS334"/>
  <c r="HT334"/>
  <c r="HU334"/>
  <c r="HV334"/>
  <c r="HW334"/>
  <c r="HX334"/>
  <c r="HY334"/>
  <c r="HZ334"/>
  <c r="IA334"/>
  <c r="IB334"/>
  <c r="IC334"/>
  <c r="ID334"/>
  <c r="IE334"/>
  <c r="IF334"/>
  <c r="IG334"/>
  <c r="IH334"/>
  <c r="II334"/>
  <c r="IJ334"/>
  <c r="IK334"/>
  <c r="IL334"/>
  <c r="IM334"/>
  <c r="IN334"/>
  <c r="IO334"/>
  <c r="IP334"/>
  <c r="IQ334"/>
  <c r="IR334"/>
  <c r="IS334"/>
  <c r="IT334"/>
  <c r="IU334"/>
  <c r="IV334"/>
  <c r="A335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Z335"/>
  <c r="AA335"/>
  <c r="AB335"/>
  <c r="AC335"/>
  <c r="AD335"/>
  <c r="AE335"/>
  <c r="AF335"/>
  <c r="AG335"/>
  <c r="AH335"/>
  <c r="AI335"/>
  <c r="AJ335"/>
  <c r="AK335"/>
  <c r="AL335"/>
  <c r="AM335"/>
  <c r="AN335"/>
  <c r="AO335"/>
  <c r="AP335"/>
  <c r="AQ335"/>
  <c r="AR335"/>
  <c r="AS335"/>
  <c r="AT335"/>
  <c r="AU335"/>
  <c r="AV335"/>
  <c r="AW335"/>
  <c r="AX335"/>
  <c r="AY335"/>
  <c r="AZ335"/>
  <c r="BA335"/>
  <c r="BB335"/>
  <c r="BC335"/>
  <c r="BD335"/>
  <c r="BE335"/>
  <c r="BF335"/>
  <c r="BG335"/>
  <c r="BH335"/>
  <c r="BI335"/>
  <c r="BJ335"/>
  <c r="BK335"/>
  <c r="BL335"/>
  <c r="BM335"/>
  <c r="BN335"/>
  <c r="BO335"/>
  <c r="BP335"/>
  <c r="BQ335"/>
  <c r="BR335"/>
  <c r="BS335"/>
  <c r="BT335"/>
  <c r="BU335"/>
  <c r="BV335"/>
  <c r="BW335"/>
  <c r="BX335"/>
  <c r="BY335"/>
  <c r="BZ335"/>
  <c r="CA335"/>
  <c r="CB335"/>
  <c r="CC335"/>
  <c r="CD335"/>
  <c r="CE335"/>
  <c r="CF335"/>
  <c r="CG335"/>
  <c r="CH335"/>
  <c r="CI335"/>
  <c r="CJ335"/>
  <c r="CK335"/>
  <c r="CL335"/>
  <c r="CM335"/>
  <c r="CN335"/>
  <c r="CO335"/>
  <c r="CP335"/>
  <c r="CQ335"/>
  <c r="CR335"/>
  <c r="CS335"/>
  <c r="CT335"/>
  <c r="CU335"/>
  <c r="CV335"/>
  <c r="CW335"/>
  <c r="CX335"/>
  <c r="CY335"/>
  <c r="CZ335"/>
  <c r="DA335"/>
  <c r="DB335"/>
  <c r="DC335"/>
  <c r="DD335"/>
  <c r="DE335"/>
  <c r="DF335"/>
  <c r="DG335"/>
  <c r="DH335"/>
  <c r="DI335"/>
  <c r="DJ335"/>
  <c r="DK335"/>
  <c r="DL335"/>
  <c r="DM335"/>
  <c r="DN335"/>
  <c r="DO335"/>
  <c r="DP335"/>
  <c r="DQ335"/>
  <c r="DR335"/>
  <c r="DS335"/>
  <c r="DT335"/>
  <c r="DU335"/>
  <c r="DV335"/>
  <c r="DW335"/>
  <c r="DX335"/>
  <c r="DY335"/>
  <c r="DZ335"/>
  <c r="EA335"/>
  <c r="EB335"/>
  <c r="EC335"/>
  <c r="ED335"/>
  <c r="EE335"/>
  <c r="EF335"/>
  <c r="EG335"/>
  <c r="EH335"/>
  <c r="EI335"/>
  <c r="EJ335"/>
  <c r="EK335"/>
  <c r="EL335"/>
  <c r="EM335"/>
  <c r="EN335"/>
  <c r="EO335"/>
  <c r="EP335"/>
  <c r="EQ335"/>
  <c r="ER335"/>
  <c r="ES335"/>
  <c r="ET335"/>
  <c r="EU335"/>
  <c r="EV335"/>
  <c r="EW335"/>
  <c r="EX335"/>
  <c r="EY335"/>
  <c r="EZ335"/>
  <c r="FA335"/>
  <c r="FB335"/>
  <c r="FC335"/>
  <c r="FD335"/>
  <c r="FE335"/>
  <c r="FF335"/>
  <c r="FG335"/>
  <c r="FH335"/>
  <c r="FI335"/>
  <c r="FJ335"/>
  <c r="FK335"/>
  <c r="FL335"/>
  <c r="FM335"/>
  <c r="FN335"/>
  <c r="FO335"/>
  <c r="FP335"/>
  <c r="FQ335"/>
  <c r="FR335"/>
  <c r="FS335"/>
  <c r="FT335"/>
  <c r="FU335"/>
  <c r="FV335"/>
  <c r="FW335"/>
  <c r="FX335"/>
  <c r="FY335"/>
  <c r="FZ335"/>
  <c r="GA335"/>
  <c r="GB335"/>
  <c r="GC335"/>
  <c r="GD335"/>
  <c r="GE335"/>
  <c r="GF335"/>
  <c r="GG335"/>
  <c r="GH335"/>
  <c r="GI335"/>
  <c r="GJ335"/>
  <c r="GK335"/>
  <c r="GL335"/>
  <c r="GM335"/>
  <c r="GN335"/>
  <c r="GO335"/>
  <c r="GP335"/>
  <c r="GQ335"/>
  <c r="GR335"/>
  <c r="GS335"/>
  <c r="GT335"/>
  <c r="GU335"/>
  <c r="GV335"/>
  <c r="GW335"/>
  <c r="GX335"/>
  <c r="GY335"/>
  <c r="GZ335"/>
  <c r="HA335"/>
  <c r="HB335"/>
  <c r="HC335"/>
  <c r="HD335"/>
  <c r="HE335"/>
  <c r="HF335"/>
  <c r="HG335"/>
  <c r="HH335"/>
  <c r="HI335"/>
  <c r="HJ335"/>
  <c r="HK335"/>
  <c r="HL335"/>
  <c r="HM335"/>
  <c r="HN335"/>
  <c r="HO335"/>
  <c r="HP335"/>
  <c r="HQ335"/>
  <c r="HR335"/>
  <c r="HS335"/>
  <c r="HT335"/>
  <c r="HU335"/>
  <c r="HV335"/>
  <c r="HW335"/>
  <c r="HX335"/>
  <c r="HY335"/>
  <c r="HZ335"/>
  <c r="IA335"/>
  <c r="IB335"/>
  <c r="IC335"/>
  <c r="ID335"/>
  <c r="IE335"/>
  <c r="IF335"/>
  <c r="IG335"/>
  <c r="IH335"/>
  <c r="II335"/>
  <c r="IJ335"/>
  <c r="IK335"/>
  <c r="IL335"/>
  <c r="IM335"/>
  <c r="IN335"/>
  <c r="IO335"/>
  <c r="IP335"/>
  <c r="IQ335"/>
  <c r="IR335"/>
  <c r="IS335"/>
  <c r="IT335"/>
  <c r="IU335"/>
  <c r="IV335"/>
  <c r="A336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Z336"/>
  <c r="AA336"/>
  <c r="AB336"/>
  <c r="AC336"/>
  <c r="AD336"/>
  <c r="AE336"/>
  <c r="AF336"/>
  <c r="AG336"/>
  <c r="AH336"/>
  <c r="AI336"/>
  <c r="AJ336"/>
  <c r="AK336"/>
  <c r="AL336"/>
  <c r="AM336"/>
  <c r="AN336"/>
  <c r="AO336"/>
  <c r="AP336"/>
  <c r="AQ336"/>
  <c r="AR336"/>
  <c r="AS336"/>
  <c r="AT336"/>
  <c r="AU336"/>
  <c r="AV336"/>
  <c r="AW336"/>
  <c r="AX336"/>
  <c r="AY336"/>
  <c r="AZ336"/>
  <c r="BA336"/>
  <c r="BB336"/>
  <c r="BC336"/>
  <c r="BD336"/>
  <c r="BE336"/>
  <c r="BF336"/>
  <c r="BG336"/>
  <c r="BH336"/>
  <c r="BI336"/>
  <c r="BJ336"/>
  <c r="BK336"/>
  <c r="BL336"/>
  <c r="BM336"/>
  <c r="BN336"/>
  <c r="BO336"/>
  <c r="BP336"/>
  <c r="BQ336"/>
  <c r="BR336"/>
  <c r="BS336"/>
  <c r="BT336"/>
  <c r="BU336"/>
  <c r="BV336"/>
  <c r="BW336"/>
  <c r="BX336"/>
  <c r="BY336"/>
  <c r="BZ336"/>
  <c r="CA336"/>
  <c r="CB336"/>
  <c r="CC336"/>
  <c r="CD336"/>
  <c r="CE336"/>
  <c r="CF336"/>
  <c r="CG336"/>
  <c r="CH336"/>
  <c r="CI336"/>
  <c r="CJ336"/>
  <c r="CK336"/>
  <c r="CL336"/>
  <c r="CM336"/>
  <c r="CN336"/>
  <c r="CO336"/>
  <c r="CP336"/>
  <c r="CQ336"/>
  <c r="CR336"/>
  <c r="CS336"/>
  <c r="CT336"/>
  <c r="CU336"/>
  <c r="CV336"/>
  <c r="CW336"/>
  <c r="CX336"/>
  <c r="CY336"/>
  <c r="CZ336"/>
  <c r="DA336"/>
  <c r="DB336"/>
  <c r="DC336"/>
  <c r="DD336"/>
  <c r="DE336"/>
  <c r="DF336"/>
  <c r="DG336"/>
  <c r="DH336"/>
  <c r="DI336"/>
  <c r="DJ336"/>
  <c r="DK336"/>
  <c r="DL336"/>
  <c r="DM336"/>
  <c r="DN336"/>
  <c r="DO336"/>
  <c r="DP336"/>
  <c r="DQ336"/>
  <c r="DR336"/>
  <c r="DS336"/>
  <c r="DT336"/>
  <c r="DU336"/>
  <c r="DV336"/>
  <c r="DW336"/>
  <c r="DX336"/>
  <c r="DY336"/>
  <c r="DZ336"/>
  <c r="EA336"/>
  <c r="EB336"/>
  <c r="EC336"/>
  <c r="ED336"/>
  <c r="EE336"/>
  <c r="EF336"/>
  <c r="EG336"/>
  <c r="EH336"/>
  <c r="EI336"/>
  <c r="EJ336"/>
  <c r="EK336"/>
  <c r="EL336"/>
  <c r="EM336"/>
  <c r="EN336"/>
  <c r="EO336"/>
  <c r="EP336"/>
  <c r="EQ336"/>
  <c r="ER336"/>
  <c r="ES336"/>
  <c r="ET336"/>
  <c r="EU336"/>
  <c r="EV336"/>
  <c r="EW336"/>
  <c r="EX336"/>
  <c r="EY336"/>
  <c r="EZ336"/>
  <c r="FA336"/>
  <c r="FB336"/>
  <c r="FC336"/>
  <c r="FD336"/>
  <c r="FE336"/>
  <c r="FF336"/>
  <c r="FG336"/>
  <c r="FH336"/>
  <c r="FI336"/>
  <c r="FJ336"/>
  <c r="FK336"/>
  <c r="FL336"/>
  <c r="FM336"/>
  <c r="FN336"/>
  <c r="FO336"/>
  <c r="FP336"/>
  <c r="FQ336"/>
  <c r="FR336"/>
  <c r="FS336"/>
  <c r="FT336"/>
  <c r="FU336"/>
  <c r="FV336"/>
  <c r="FW336"/>
  <c r="FX336"/>
  <c r="FY336"/>
  <c r="FZ336"/>
  <c r="GA336"/>
  <c r="GB336"/>
  <c r="GC336"/>
  <c r="GD336"/>
  <c r="GE336"/>
  <c r="GF336"/>
  <c r="GG336"/>
  <c r="GH336"/>
  <c r="GI336"/>
  <c r="GJ336"/>
  <c r="GK336"/>
  <c r="GL336"/>
  <c r="GM336"/>
  <c r="GN336"/>
  <c r="GO336"/>
  <c r="GP336"/>
  <c r="GQ336"/>
  <c r="GR336"/>
  <c r="GS336"/>
  <c r="GT336"/>
  <c r="GU336"/>
  <c r="GV336"/>
  <c r="GW336"/>
  <c r="GX336"/>
  <c r="GY336"/>
  <c r="GZ336"/>
  <c r="HA336"/>
  <c r="HB336"/>
  <c r="HC336"/>
  <c r="HD336"/>
  <c r="HE336"/>
  <c r="HF336"/>
  <c r="HG336"/>
  <c r="HH336"/>
  <c r="HI336"/>
  <c r="HJ336"/>
  <c r="HK336"/>
  <c r="HL336"/>
  <c r="HM336"/>
  <c r="HN336"/>
  <c r="HO336"/>
  <c r="HP336"/>
  <c r="HQ336"/>
  <c r="HR336"/>
  <c r="HS336"/>
  <c r="HT336"/>
  <c r="HU336"/>
  <c r="HV336"/>
  <c r="HW336"/>
  <c r="HX336"/>
  <c r="HY336"/>
  <c r="HZ336"/>
  <c r="IA336"/>
  <c r="IB336"/>
  <c r="IC336"/>
  <c r="ID336"/>
  <c r="IE336"/>
  <c r="IF336"/>
  <c r="IG336"/>
  <c r="IH336"/>
  <c r="II336"/>
  <c r="IJ336"/>
  <c r="IK336"/>
  <c r="IL336"/>
  <c r="IM336"/>
  <c r="IN336"/>
  <c r="IO336"/>
  <c r="IP336"/>
  <c r="IQ336"/>
  <c r="IR336"/>
  <c r="IS336"/>
  <c r="IT336"/>
  <c r="IU336"/>
  <c r="IV336"/>
  <c r="A337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Z337"/>
  <c r="AA337"/>
  <c r="AB337"/>
  <c r="AC337"/>
  <c r="AD337"/>
  <c r="AE337"/>
  <c r="AF337"/>
  <c r="AG337"/>
  <c r="AH337"/>
  <c r="AI337"/>
  <c r="AJ337"/>
  <c r="AK337"/>
  <c r="AL337"/>
  <c r="AM337"/>
  <c r="AN337"/>
  <c r="AO337"/>
  <c r="AP337"/>
  <c r="AQ337"/>
  <c r="AR337"/>
  <c r="AS337"/>
  <c r="AT337"/>
  <c r="AU337"/>
  <c r="AV337"/>
  <c r="AW337"/>
  <c r="AX337"/>
  <c r="AY337"/>
  <c r="AZ337"/>
  <c r="BA337"/>
  <c r="BB337"/>
  <c r="BC337"/>
  <c r="BD337"/>
  <c r="BE337"/>
  <c r="BF337"/>
  <c r="BG337"/>
  <c r="BH337"/>
  <c r="BI337"/>
  <c r="BJ337"/>
  <c r="BK337"/>
  <c r="BL337"/>
  <c r="BM337"/>
  <c r="BN337"/>
  <c r="BO337"/>
  <c r="BP337"/>
  <c r="BQ337"/>
  <c r="BR337"/>
  <c r="BS337"/>
  <c r="BT337"/>
  <c r="BU337"/>
  <c r="BV337"/>
  <c r="BW337"/>
  <c r="BX337"/>
  <c r="BY337"/>
  <c r="BZ337"/>
  <c r="CA337"/>
  <c r="CB337"/>
  <c r="CC337"/>
  <c r="CD337"/>
  <c r="CE337"/>
  <c r="CF337"/>
  <c r="CG337"/>
  <c r="CH337"/>
  <c r="CI337"/>
  <c r="CJ337"/>
  <c r="CK337"/>
  <c r="CL337"/>
  <c r="CM337"/>
  <c r="CN337"/>
  <c r="CO337"/>
  <c r="CP337"/>
  <c r="CQ337"/>
  <c r="CR337"/>
  <c r="CS337"/>
  <c r="CT337"/>
  <c r="CU337"/>
  <c r="CV337"/>
  <c r="CW337"/>
  <c r="CX337"/>
  <c r="CY337"/>
  <c r="CZ337"/>
  <c r="DA337"/>
  <c r="DB337"/>
  <c r="DC337"/>
  <c r="DD337"/>
  <c r="DE337"/>
  <c r="DF337"/>
  <c r="DG337"/>
  <c r="DH337"/>
  <c r="DI337"/>
  <c r="DJ337"/>
  <c r="DK337"/>
  <c r="DL337"/>
  <c r="DM337"/>
  <c r="DN337"/>
  <c r="DO337"/>
  <c r="DP337"/>
  <c r="DQ337"/>
  <c r="DR337"/>
  <c r="DS337"/>
  <c r="DT337"/>
  <c r="DU337"/>
  <c r="DV337"/>
  <c r="DW337"/>
  <c r="DX337"/>
  <c r="DY337"/>
  <c r="DZ337"/>
  <c r="EA337"/>
  <c r="EB337"/>
  <c r="EC337"/>
  <c r="ED337"/>
  <c r="EE337"/>
  <c r="EF337"/>
  <c r="EG337"/>
  <c r="EH337"/>
  <c r="EI337"/>
  <c r="EJ337"/>
  <c r="EK337"/>
  <c r="EL337"/>
  <c r="EM337"/>
  <c r="EN337"/>
  <c r="EO337"/>
  <c r="EP337"/>
  <c r="EQ337"/>
  <c r="ER337"/>
  <c r="ES337"/>
  <c r="ET337"/>
  <c r="EU337"/>
  <c r="EV337"/>
  <c r="EW337"/>
  <c r="EX337"/>
  <c r="EY337"/>
  <c r="EZ337"/>
  <c r="FA337"/>
  <c r="FB337"/>
  <c r="FC337"/>
  <c r="FD337"/>
  <c r="FE337"/>
  <c r="FF337"/>
  <c r="FG337"/>
  <c r="FH337"/>
  <c r="FI337"/>
  <c r="FJ337"/>
  <c r="FK337"/>
  <c r="FL337"/>
  <c r="FM337"/>
  <c r="FN337"/>
  <c r="FO337"/>
  <c r="FP337"/>
  <c r="FQ337"/>
  <c r="FR337"/>
  <c r="FS337"/>
  <c r="FT337"/>
  <c r="FU337"/>
  <c r="FV337"/>
  <c r="FW337"/>
  <c r="FX337"/>
  <c r="FY337"/>
  <c r="FZ337"/>
  <c r="GA337"/>
  <c r="GB337"/>
  <c r="GC337"/>
  <c r="GD337"/>
  <c r="GE337"/>
  <c r="GF337"/>
  <c r="GG337"/>
  <c r="GH337"/>
  <c r="GI337"/>
  <c r="GJ337"/>
  <c r="GK337"/>
  <c r="GL337"/>
  <c r="GM337"/>
  <c r="GN337"/>
  <c r="GO337"/>
  <c r="GP337"/>
  <c r="GQ337"/>
  <c r="GR337"/>
  <c r="GS337"/>
  <c r="GT337"/>
  <c r="GU337"/>
  <c r="GV337"/>
  <c r="GW337"/>
  <c r="GX337"/>
  <c r="GY337"/>
  <c r="GZ337"/>
  <c r="HA337"/>
  <c r="HB337"/>
  <c r="HC337"/>
  <c r="HD337"/>
  <c r="HE337"/>
  <c r="HF337"/>
  <c r="HG337"/>
  <c r="HH337"/>
  <c r="HI337"/>
  <c r="HJ337"/>
  <c r="HK337"/>
  <c r="HL337"/>
  <c r="HM337"/>
  <c r="HN337"/>
  <c r="HO337"/>
  <c r="HP337"/>
  <c r="HQ337"/>
  <c r="HR337"/>
  <c r="HS337"/>
  <c r="HT337"/>
  <c r="HU337"/>
  <c r="HV337"/>
  <c r="HW337"/>
  <c r="HX337"/>
  <c r="HY337"/>
  <c r="HZ337"/>
  <c r="IA337"/>
  <c r="IB337"/>
  <c r="IC337"/>
  <c r="ID337"/>
  <c r="IE337"/>
  <c r="IF337"/>
  <c r="IG337"/>
  <c r="IH337"/>
  <c r="II337"/>
  <c r="IJ337"/>
  <c r="IK337"/>
  <c r="IL337"/>
  <c r="IM337"/>
  <c r="IN337"/>
  <c r="IO337"/>
  <c r="IP337"/>
  <c r="IQ337"/>
  <c r="IR337"/>
  <c r="IS337"/>
  <c r="IT337"/>
  <c r="IU337"/>
  <c r="IV337"/>
  <c r="A338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Z338"/>
  <c r="AA338"/>
  <c r="AB338"/>
  <c r="AC338"/>
  <c r="AD338"/>
  <c r="AE338"/>
  <c r="AF338"/>
  <c r="AG338"/>
  <c r="AH338"/>
  <c r="AI338"/>
  <c r="AJ338"/>
  <c r="AK338"/>
  <c r="AL338"/>
  <c r="AM338"/>
  <c r="AN338"/>
  <c r="AO338"/>
  <c r="AP338"/>
  <c r="AQ338"/>
  <c r="AR338"/>
  <c r="AS338"/>
  <c r="AT338"/>
  <c r="AU338"/>
  <c r="AV338"/>
  <c r="AW338"/>
  <c r="AX338"/>
  <c r="AY338"/>
  <c r="AZ338"/>
  <c r="BA338"/>
  <c r="BB338"/>
  <c r="BC338"/>
  <c r="BD338"/>
  <c r="BE338"/>
  <c r="BF338"/>
  <c r="BG338"/>
  <c r="BH338"/>
  <c r="BI338"/>
  <c r="BJ338"/>
  <c r="BK338"/>
  <c r="BL338"/>
  <c r="BM338"/>
  <c r="BN338"/>
  <c r="BO338"/>
  <c r="BP338"/>
  <c r="BQ338"/>
  <c r="BR338"/>
  <c r="BS338"/>
  <c r="BT338"/>
  <c r="BU338"/>
  <c r="BV338"/>
  <c r="BW338"/>
  <c r="BX338"/>
  <c r="BY338"/>
  <c r="BZ338"/>
  <c r="CA338"/>
  <c r="CB338"/>
  <c r="CC338"/>
  <c r="CD338"/>
  <c r="CE338"/>
  <c r="CF338"/>
  <c r="CG338"/>
  <c r="CH338"/>
  <c r="CI338"/>
  <c r="CJ338"/>
  <c r="CK338"/>
  <c r="CL338"/>
  <c r="CM338"/>
  <c r="CN338"/>
  <c r="CO338"/>
  <c r="CP338"/>
  <c r="CQ338"/>
  <c r="CR338"/>
  <c r="CS338"/>
  <c r="CT338"/>
  <c r="CU338"/>
  <c r="CV338"/>
  <c r="CW338"/>
  <c r="CX338"/>
  <c r="CY338"/>
  <c r="CZ338"/>
  <c r="DA338"/>
  <c r="DB338"/>
  <c r="DC338"/>
  <c r="DD338"/>
  <c r="DE338"/>
  <c r="DF338"/>
  <c r="DG338"/>
  <c r="DH338"/>
  <c r="DI338"/>
  <c r="DJ338"/>
  <c r="DK338"/>
  <c r="DL338"/>
  <c r="DM338"/>
  <c r="DN338"/>
  <c r="DO338"/>
  <c r="DP338"/>
  <c r="DQ338"/>
  <c r="DR338"/>
  <c r="DS338"/>
  <c r="DT338"/>
  <c r="DU338"/>
  <c r="DV338"/>
  <c r="DW338"/>
  <c r="DX338"/>
  <c r="DY338"/>
  <c r="DZ338"/>
  <c r="EA338"/>
  <c r="EB338"/>
  <c r="EC338"/>
  <c r="ED338"/>
  <c r="EE338"/>
  <c r="EF338"/>
  <c r="EG338"/>
  <c r="EH338"/>
  <c r="EI338"/>
  <c r="EJ338"/>
  <c r="EK338"/>
  <c r="EL338"/>
  <c r="EM338"/>
  <c r="EN338"/>
  <c r="EO338"/>
  <c r="EP338"/>
  <c r="EQ338"/>
  <c r="ER338"/>
  <c r="ES338"/>
  <c r="ET338"/>
  <c r="EU338"/>
  <c r="EV338"/>
  <c r="EW338"/>
  <c r="EX338"/>
  <c r="EY338"/>
  <c r="EZ338"/>
  <c r="FA338"/>
  <c r="FB338"/>
  <c r="FC338"/>
  <c r="FD338"/>
  <c r="FE338"/>
  <c r="FF338"/>
  <c r="FG338"/>
  <c r="FH338"/>
  <c r="FI338"/>
  <c r="FJ338"/>
  <c r="FK338"/>
  <c r="FL338"/>
  <c r="FM338"/>
  <c r="FN338"/>
  <c r="FO338"/>
  <c r="FP338"/>
  <c r="FQ338"/>
  <c r="FR338"/>
  <c r="FS338"/>
  <c r="FT338"/>
  <c r="FU338"/>
  <c r="FV338"/>
  <c r="FW338"/>
  <c r="FX338"/>
  <c r="FY338"/>
  <c r="FZ338"/>
  <c r="GA338"/>
  <c r="GB338"/>
  <c r="GC338"/>
  <c r="GD338"/>
  <c r="GE338"/>
  <c r="GF338"/>
  <c r="GG338"/>
  <c r="GH338"/>
  <c r="GI338"/>
  <c r="GJ338"/>
  <c r="GK338"/>
  <c r="GL338"/>
  <c r="GM338"/>
  <c r="GN338"/>
  <c r="GO338"/>
  <c r="GP338"/>
  <c r="GQ338"/>
  <c r="GR338"/>
  <c r="GS338"/>
  <c r="GT338"/>
  <c r="GU338"/>
  <c r="GV338"/>
  <c r="GW338"/>
  <c r="GX338"/>
  <c r="GY338"/>
  <c r="GZ338"/>
  <c r="HA338"/>
  <c r="HB338"/>
  <c r="HC338"/>
  <c r="HD338"/>
  <c r="HE338"/>
  <c r="HF338"/>
  <c r="HG338"/>
  <c r="HH338"/>
  <c r="HI338"/>
  <c r="HJ338"/>
  <c r="HK338"/>
  <c r="HL338"/>
  <c r="HM338"/>
  <c r="HN338"/>
  <c r="HO338"/>
  <c r="HP338"/>
  <c r="HQ338"/>
  <c r="HR338"/>
  <c r="HS338"/>
  <c r="HT338"/>
  <c r="HU338"/>
  <c r="HV338"/>
  <c r="HW338"/>
  <c r="HX338"/>
  <c r="HY338"/>
  <c r="HZ338"/>
  <c r="IA338"/>
  <c r="IB338"/>
  <c r="IC338"/>
  <c r="ID338"/>
  <c r="IE338"/>
  <c r="IF338"/>
  <c r="IG338"/>
  <c r="IH338"/>
  <c r="II338"/>
  <c r="IJ338"/>
  <c r="IK338"/>
  <c r="IL338"/>
  <c r="IM338"/>
  <c r="IN338"/>
  <c r="IO338"/>
  <c r="IP338"/>
  <c r="IQ338"/>
  <c r="IR338"/>
  <c r="IS338"/>
  <c r="IT338"/>
  <c r="IU338"/>
  <c r="IV338"/>
  <c r="A339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Z339"/>
  <c r="AA339"/>
  <c r="AB339"/>
  <c r="AC339"/>
  <c r="AD339"/>
  <c r="AE339"/>
  <c r="AF339"/>
  <c r="AG339"/>
  <c r="AH339"/>
  <c r="AI339"/>
  <c r="AJ339"/>
  <c r="AK339"/>
  <c r="AL339"/>
  <c r="AM339"/>
  <c r="AN339"/>
  <c r="AO339"/>
  <c r="AP339"/>
  <c r="AQ339"/>
  <c r="AR339"/>
  <c r="AS339"/>
  <c r="AT339"/>
  <c r="AU339"/>
  <c r="AV339"/>
  <c r="AW339"/>
  <c r="AX339"/>
  <c r="AY339"/>
  <c r="AZ339"/>
  <c r="BA339"/>
  <c r="BB339"/>
  <c r="BC339"/>
  <c r="BD339"/>
  <c r="BE339"/>
  <c r="BF339"/>
  <c r="BG339"/>
  <c r="BH339"/>
  <c r="BI339"/>
  <c r="BJ339"/>
  <c r="BK339"/>
  <c r="BL339"/>
  <c r="BM339"/>
  <c r="BN339"/>
  <c r="BO339"/>
  <c r="BP339"/>
  <c r="BQ339"/>
  <c r="BR339"/>
  <c r="BS339"/>
  <c r="BT339"/>
  <c r="BU339"/>
  <c r="BV339"/>
  <c r="BW339"/>
  <c r="BX339"/>
  <c r="BY339"/>
  <c r="BZ339"/>
  <c r="CA339"/>
  <c r="CB339"/>
  <c r="CC339"/>
  <c r="CD339"/>
  <c r="CE339"/>
  <c r="CF339"/>
  <c r="CG339"/>
  <c r="CH339"/>
  <c r="CI339"/>
  <c r="CJ339"/>
  <c r="CK339"/>
  <c r="CL339"/>
  <c r="CM339"/>
  <c r="CN339"/>
  <c r="CO339"/>
  <c r="CP339"/>
  <c r="CQ339"/>
  <c r="CR339"/>
  <c r="CS339"/>
  <c r="CT339"/>
  <c r="CU339"/>
  <c r="CV339"/>
  <c r="CW339"/>
  <c r="CX339"/>
  <c r="CY339"/>
  <c r="CZ339"/>
  <c r="DA339"/>
  <c r="DB339"/>
  <c r="DC339"/>
  <c r="DD339"/>
  <c r="DE339"/>
  <c r="DF339"/>
  <c r="DG339"/>
  <c r="DH339"/>
  <c r="DI339"/>
  <c r="DJ339"/>
  <c r="DK339"/>
  <c r="DL339"/>
  <c r="DM339"/>
  <c r="DN339"/>
  <c r="DO339"/>
  <c r="DP339"/>
  <c r="DQ339"/>
  <c r="DR339"/>
  <c r="DS339"/>
  <c r="DT339"/>
  <c r="DU339"/>
  <c r="DV339"/>
  <c r="DW339"/>
  <c r="DX339"/>
  <c r="DY339"/>
  <c r="DZ339"/>
  <c r="EA339"/>
  <c r="EB339"/>
  <c r="EC339"/>
  <c r="ED339"/>
  <c r="EE339"/>
  <c r="EF339"/>
  <c r="EG339"/>
  <c r="EH339"/>
  <c r="EI339"/>
  <c r="EJ339"/>
  <c r="EK339"/>
  <c r="EL339"/>
  <c r="EM339"/>
  <c r="EN339"/>
  <c r="EO339"/>
  <c r="EP339"/>
  <c r="EQ339"/>
  <c r="ER339"/>
  <c r="ES339"/>
  <c r="ET339"/>
  <c r="EU339"/>
  <c r="EV339"/>
  <c r="EW339"/>
  <c r="EX339"/>
  <c r="EY339"/>
  <c r="EZ339"/>
  <c r="FA339"/>
  <c r="FB339"/>
  <c r="FC339"/>
  <c r="FD339"/>
  <c r="FE339"/>
  <c r="FF339"/>
  <c r="FG339"/>
  <c r="FH339"/>
  <c r="FI339"/>
  <c r="FJ339"/>
  <c r="FK339"/>
  <c r="FL339"/>
  <c r="FM339"/>
  <c r="FN339"/>
  <c r="FO339"/>
  <c r="FP339"/>
  <c r="FQ339"/>
  <c r="FR339"/>
  <c r="FS339"/>
  <c r="FT339"/>
  <c r="FU339"/>
  <c r="FV339"/>
  <c r="FW339"/>
  <c r="FX339"/>
  <c r="FY339"/>
  <c r="FZ339"/>
  <c r="GA339"/>
  <c r="GB339"/>
  <c r="GC339"/>
  <c r="GD339"/>
  <c r="GE339"/>
  <c r="GF339"/>
  <c r="GG339"/>
  <c r="GH339"/>
  <c r="GI339"/>
  <c r="GJ339"/>
  <c r="GK339"/>
  <c r="GL339"/>
  <c r="GM339"/>
  <c r="GN339"/>
  <c r="GO339"/>
  <c r="GP339"/>
  <c r="GQ339"/>
  <c r="GR339"/>
  <c r="GS339"/>
  <c r="GT339"/>
  <c r="GU339"/>
  <c r="GV339"/>
  <c r="GW339"/>
  <c r="GX339"/>
  <c r="GY339"/>
  <c r="GZ339"/>
  <c r="HA339"/>
  <c r="HB339"/>
  <c r="HC339"/>
  <c r="HD339"/>
  <c r="HE339"/>
  <c r="HF339"/>
  <c r="HG339"/>
  <c r="HH339"/>
  <c r="HI339"/>
  <c r="HJ339"/>
  <c r="HK339"/>
  <c r="HL339"/>
  <c r="HM339"/>
  <c r="HN339"/>
  <c r="HO339"/>
  <c r="HP339"/>
  <c r="HQ339"/>
  <c r="HR339"/>
  <c r="HS339"/>
  <c r="HT339"/>
  <c r="HU339"/>
  <c r="HV339"/>
  <c r="HW339"/>
  <c r="HX339"/>
  <c r="HY339"/>
  <c r="HZ339"/>
  <c r="IA339"/>
  <c r="IB339"/>
  <c r="IC339"/>
  <c r="ID339"/>
  <c r="IE339"/>
  <c r="IF339"/>
  <c r="IG339"/>
  <c r="IH339"/>
  <c r="II339"/>
  <c r="IJ339"/>
  <c r="IK339"/>
  <c r="IL339"/>
  <c r="IM339"/>
  <c r="IN339"/>
  <c r="IO339"/>
  <c r="IP339"/>
  <c r="IQ339"/>
  <c r="IR339"/>
  <c r="IS339"/>
  <c r="IT339"/>
  <c r="IU339"/>
  <c r="IV339"/>
  <c r="A340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Z340"/>
  <c r="AA340"/>
  <c r="AB340"/>
  <c r="AC340"/>
  <c r="AD340"/>
  <c r="AE340"/>
  <c r="AF340"/>
  <c r="AG340"/>
  <c r="AH340"/>
  <c r="AI340"/>
  <c r="AJ340"/>
  <c r="AK340"/>
  <c r="AL340"/>
  <c r="AM340"/>
  <c r="AN340"/>
  <c r="AO340"/>
  <c r="AP340"/>
  <c r="AQ340"/>
  <c r="AR340"/>
  <c r="AS340"/>
  <c r="AT340"/>
  <c r="AU340"/>
  <c r="AV340"/>
  <c r="AW340"/>
  <c r="AX340"/>
  <c r="AY340"/>
  <c r="AZ340"/>
  <c r="BA340"/>
  <c r="BB340"/>
  <c r="BC340"/>
  <c r="BD340"/>
  <c r="BE340"/>
  <c r="BF340"/>
  <c r="BG340"/>
  <c r="BH340"/>
  <c r="BI340"/>
  <c r="BJ340"/>
  <c r="BK340"/>
  <c r="BL340"/>
  <c r="BM340"/>
  <c r="BN340"/>
  <c r="BO340"/>
  <c r="BP340"/>
  <c r="BQ340"/>
  <c r="BR340"/>
  <c r="BS340"/>
  <c r="BT340"/>
  <c r="BU340"/>
  <c r="BV340"/>
  <c r="BW340"/>
  <c r="BX340"/>
  <c r="BY340"/>
  <c r="BZ340"/>
  <c r="CA340"/>
  <c r="CB340"/>
  <c r="CC340"/>
  <c r="CD340"/>
  <c r="CE340"/>
  <c r="CF340"/>
  <c r="CG340"/>
  <c r="CH340"/>
  <c r="CI340"/>
  <c r="CJ340"/>
  <c r="CK340"/>
  <c r="CL340"/>
  <c r="CM340"/>
  <c r="CN340"/>
  <c r="CO340"/>
  <c r="CP340"/>
  <c r="CQ340"/>
  <c r="CR340"/>
  <c r="CS340"/>
  <c r="CT340"/>
  <c r="CU340"/>
  <c r="CV340"/>
  <c r="CW340"/>
  <c r="CX340"/>
  <c r="CY340"/>
  <c r="CZ340"/>
  <c r="DA340"/>
  <c r="DB340"/>
  <c r="DC340"/>
  <c r="DD340"/>
  <c r="DE340"/>
  <c r="DF340"/>
  <c r="DG340"/>
  <c r="DH340"/>
  <c r="DI340"/>
  <c r="DJ340"/>
  <c r="DK340"/>
  <c r="DL340"/>
  <c r="DM340"/>
  <c r="DN340"/>
  <c r="DO340"/>
  <c r="DP340"/>
  <c r="DQ340"/>
  <c r="DR340"/>
  <c r="DS340"/>
  <c r="DT340"/>
  <c r="DU340"/>
  <c r="DV340"/>
  <c r="DW340"/>
  <c r="DX340"/>
  <c r="DY340"/>
  <c r="DZ340"/>
  <c r="EA340"/>
  <c r="EB340"/>
  <c r="EC340"/>
  <c r="ED340"/>
  <c r="EE340"/>
  <c r="EF340"/>
  <c r="EG340"/>
  <c r="EH340"/>
  <c r="EI340"/>
  <c r="EJ340"/>
  <c r="EK340"/>
  <c r="EL340"/>
  <c r="EM340"/>
  <c r="EN340"/>
  <c r="EO340"/>
  <c r="EP340"/>
  <c r="EQ340"/>
  <c r="ER340"/>
  <c r="ES340"/>
  <c r="ET340"/>
  <c r="EU340"/>
  <c r="EV340"/>
  <c r="EW340"/>
  <c r="EX340"/>
  <c r="EY340"/>
  <c r="EZ340"/>
  <c r="FA340"/>
  <c r="FB340"/>
  <c r="FC340"/>
  <c r="FD340"/>
  <c r="FE340"/>
  <c r="FF340"/>
  <c r="FG340"/>
  <c r="FH340"/>
  <c r="FI340"/>
  <c r="FJ340"/>
  <c r="FK340"/>
  <c r="FL340"/>
  <c r="FM340"/>
  <c r="FN340"/>
  <c r="FO340"/>
  <c r="FP340"/>
  <c r="FQ340"/>
  <c r="FR340"/>
  <c r="FS340"/>
  <c r="FT340"/>
  <c r="FU340"/>
  <c r="FV340"/>
  <c r="FW340"/>
  <c r="FX340"/>
  <c r="FY340"/>
  <c r="FZ340"/>
  <c r="GA340"/>
  <c r="GB340"/>
  <c r="GC340"/>
  <c r="GD340"/>
  <c r="GE340"/>
  <c r="GF340"/>
  <c r="GG340"/>
  <c r="GH340"/>
  <c r="GI340"/>
  <c r="GJ340"/>
  <c r="GK340"/>
  <c r="GL340"/>
  <c r="GM340"/>
  <c r="GN340"/>
  <c r="GO340"/>
  <c r="GP340"/>
  <c r="GQ340"/>
  <c r="GR340"/>
  <c r="GS340"/>
  <c r="GT340"/>
  <c r="GU340"/>
  <c r="GV340"/>
  <c r="GW340"/>
  <c r="GX340"/>
  <c r="GY340"/>
  <c r="GZ340"/>
  <c r="HA340"/>
  <c r="HB340"/>
  <c r="HC340"/>
  <c r="HD340"/>
  <c r="HE340"/>
  <c r="HF340"/>
  <c r="HG340"/>
  <c r="HH340"/>
  <c r="HI340"/>
  <c r="HJ340"/>
  <c r="HK340"/>
  <c r="HL340"/>
  <c r="HM340"/>
  <c r="HN340"/>
  <c r="HO340"/>
  <c r="HP340"/>
  <c r="HQ340"/>
  <c r="HR340"/>
  <c r="HS340"/>
  <c r="HT340"/>
  <c r="HU340"/>
  <c r="HV340"/>
  <c r="HW340"/>
  <c r="HX340"/>
  <c r="HY340"/>
  <c r="HZ340"/>
  <c r="IA340"/>
  <c r="IB340"/>
  <c r="IC340"/>
  <c r="ID340"/>
  <c r="IE340"/>
  <c r="IF340"/>
  <c r="IG340"/>
  <c r="IH340"/>
  <c r="II340"/>
  <c r="IJ340"/>
  <c r="IK340"/>
  <c r="IL340"/>
  <c r="IM340"/>
  <c r="IN340"/>
  <c r="IO340"/>
  <c r="IP340"/>
  <c r="IQ340"/>
  <c r="IR340"/>
  <c r="IS340"/>
  <c r="IT340"/>
  <c r="IU340"/>
  <c r="IV340"/>
  <c r="A341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Z341"/>
  <c r="AA341"/>
  <c r="AB341"/>
  <c r="AC341"/>
  <c r="AD341"/>
  <c r="AE341"/>
  <c r="AF341"/>
  <c r="AG341"/>
  <c r="AH341"/>
  <c r="AI341"/>
  <c r="AJ341"/>
  <c r="AK341"/>
  <c r="AL341"/>
  <c r="AM341"/>
  <c r="AN341"/>
  <c r="AO341"/>
  <c r="AP341"/>
  <c r="AQ341"/>
  <c r="AR341"/>
  <c r="AS341"/>
  <c r="AT341"/>
  <c r="AU341"/>
  <c r="AV341"/>
  <c r="AW341"/>
  <c r="AX341"/>
  <c r="AY341"/>
  <c r="AZ341"/>
  <c r="BA341"/>
  <c r="BB341"/>
  <c r="BC341"/>
  <c r="BD341"/>
  <c r="BE341"/>
  <c r="BF341"/>
  <c r="BG341"/>
  <c r="BH341"/>
  <c r="BI341"/>
  <c r="BJ341"/>
  <c r="BK341"/>
  <c r="BL341"/>
  <c r="BM341"/>
  <c r="BN341"/>
  <c r="BO341"/>
  <c r="BP341"/>
  <c r="BQ341"/>
  <c r="BR341"/>
  <c r="BS341"/>
  <c r="BT341"/>
  <c r="BU341"/>
  <c r="BV341"/>
  <c r="BW341"/>
  <c r="BX341"/>
  <c r="BY341"/>
  <c r="BZ341"/>
  <c r="CA341"/>
  <c r="CB341"/>
  <c r="CC341"/>
  <c r="CD341"/>
  <c r="CE341"/>
  <c r="CF341"/>
  <c r="CG341"/>
  <c r="CH341"/>
  <c r="CI341"/>
  <c r="CJ341"/>
  <c r="CK341"/>
  <c r="CL341"/>
  <c r="CM341"/>
  <c r="CN341"/>
  <c r="CO341"/>
  <c r="CP341"/>
  <c r="CQ341"/>
  <c r="CR341"/>
  <c r="CS341"/>
  <c r="CT341"/>
  <c r="CU341"/>
  <c r="CV341"/>
  <c r="CW341"/>
  <c r="CX341"/>
  <c r="CY341"/>
  <c r="CZ341"/>
  <c r="DA341"/>
  <c r="DB341"/>
  <c r="DC341"/>
  <c r="DD341"/>
  <c r="DE341"/>
  <c r="DF341"/>
  <c r="DG341"/>
  <c r="DH341"/>
  <c r="DI341"/>
  <c r="DJ341"/>
  <c r="DK341"/>
  <c r="DL341"/>
  <c r="DM341"/>
  <c r="DN341"/>
  <c r="DO341"/>
  <c r="DP341"/>
  <c r="DQ341"/>
  <c r="DR341"/>
  <c r="DS341"/>
  <c r="DT341"/>
  <c r="DU341"/>
  <c r="DV341"/>
  <c r="DW341"/>
  <c r="DX341"/>
  <c r="DY341"/>
  <c r="DZ341"/>
  <c r="EA341"/>
  <c r="EB341"/>
  <c r="EC341"/>
  <c r="ED341"/>
  <c r="EE341"/>
  <c r="EF341"/>
  <c r="EG341"/>
  <c r="EH341"/>
  <c r="EI341"/>
  <c r="EJ341"/>
  <c r="EK341"/>
  <c r="EL341"/>
  <c r="EM341"/>
  <c r="EN341"/>
  <c r="EO341"/>
  <c r="EP341"/>
  <c r="EQ341"/>
  <c r="ER341"/>
  <c r="ES341"/>
  <c r="ET341"/>
  <c r="EU341"/>
  <c r="EV341"/>
  <c r="EW341"/>
  <c r="EX341"/>
  <c r="EY341"/>
  <c r="EZ341"/>
  <c r="FA341"/>
  <c r="FB341"/>
  <c r="FC341"/>
  <c r="FD341"/>
  <c r="FE341"/>
  <c r="FF341"/>
  <c r="FG341"/>
  <c r="FH341"/>
  <c r="FI341"/>
  <c r="FJ341"/>
  <c r="FK341"/>
  <c r="FL341"/>
  <c r="FM341"/>
  <c r="FN341"/>
  <c r="FO341"/>
  <c r="FP341"/>
  <c r="FQ341"/>
  <c r="FR341"/>
  <c r="FS341"/>
  <c r="FT341"/>
  <c r="FU341"/>
  <c r="FV341"/>
  <c r="FW341"/>
  <c r="FX341"/>
  <c r="FY341"/>
  <c r="FZ341"/>
  <c r="GA341"/>
  <c r="GB341"/>
  <c r="GC341"/>
  <c r="GD341"/>
  <c r="GE341"/>
  <c r="GF341"/>
  <c r="GG341"/>
  <c r="GH341"/>
  <c r="GI341"/>
  <c r="GJ341"/>
  <c r="GK341"/>
  <c r="GL341"/>
  <c r="GM341"/>
  <c r="GN341"/>
  <c r="GO341"/>
  <c r="GP341"/>
  <c r="GQ341"/>
  <c r="GR341"/>
  <c r="GS341"/>
  <c r="GT341"/>
  <c r="GU341"/>
  <c r="GV341"/>
  <c r="GW341"/>
  <c r="GX341"/>
  <c r="GY341"/>
  <c r="GZ341"/>
  <c r="HA341"/>
  <c r="HB341"/>
  <c r="HC341"/>
  <c r="HD341"/>
  <c r="HE341"/>
  <c r="HF341"/>
  <c r="HG341"/>
  <c r="HH341"/>
  <c r="HI341"/>
  <c r="HJ341"/>
  <c r="HK341"/>
  <c r="HL341"/>
  <c r="HM341"/>
  <c r="HN341"/>
  <c r="HO341"/>
  <c r="HP341"/>
  <c r="HQ341"/>
  <c r="HR341"/>
  <c r="HS341"/>
  <c r="HT341"/>
  <c r="HU341"/>
  <c r="HV341"/>
  <c r="HW341"/>
  <c r="HX341"/>
  <c r="HY341"/>
  <c r="HZ341"/>
  <c r="IA341"/>
  <c r="IB341"/>
  <c r="IC341"/>
  <c r="ID341"/>
  <c r="IE341"/>
  <c r="IF341"/>
  <c r="IG341"/>
  <c r="IH341"/>
  <c r="II341"/>
  <c r="IJ341"/>
  <c r="IK341"/>
  <c r="IL341"/>
  <c r="IM341"/>
  <c r="IN341"/>
  <c r="IO341"/>
  <c r="IP341"/>
  <c r="IQ341"/>
  <c r="IR341"/>
  <c r="IS341"/>
  <c r="IT341"/>
  <c r="IU341"/>
  <c r="IV341"/>
  <c r="A342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Z342"/>
  <c r="AA342"/>
  <c r="AB342"/>
  <c r="AC342"/>
  <c r="AD342"/>
  <c r="AE342"/>
  <c r="AF342"/>
  <c r="AG342"/>
  <c r="AH342"/>
  <c r="AI342"/>
  <c r="AJ342"/>
  <c r="AK342"/>
  <c r="AL342"/>
  <c r="AM342"/>
  <c r="AN342"/>
  <c r="AO342"/>
  <c r="AP342"/>
  <c r="AQ342"/>
  <c r="AR342"/>
  <c r="AS342"/>
  <c r="AT342"/>
  <c r="AU342"/>
  <c r="AV342"/>
  <c r="AW342"/>
  <c r="AX342"/>
  <c r="AY342"/>
  <c r="AZ342"/>
  <c r="BA342"/>
  <c r="BB342"/>
  <c r="BC342"/>
  <c r="BD342"/>
  <c r="BE342"/>
  <c r="BF342"/>
  <c r="BG342"/>
  <c r="BH342"/>
  <c r="BI342"/>
  <c r="BJ342"/>
  <c r="BK342"/>
  <c r="BL342"/>
  <c r="BM342"/>
  <c r="BN342"/>
  <c r="BO342"/>
  <c r="BP342"/>
  <c r="BQ342"/>
  <c r="BR342"/>
  <c r="BS342"/>
  <c r="BT342"/>
  <c r="BU342"/>
  <c r="BV342"/>
  <c r="BW342"/>
  <c r="BX342"/>
  <c r="BY342"/>
  <c r="BZ342"/>
  <c r="CA342"/>
  <c r="CB342"/>
  <c r="CC342"/>
  <c r="CD342"/>
  <c r="CE342"/>
  <c r="CF342"/>
  <c r="CG342"/>
  <c r="CH342"/>
  <c r="CI342"/>
  <c r="CJ342"/>
  <c r="CK342"/>
  <c r="CL342"/>
  <c r="CM342"/>
  <c r="CN342"/>
  <c r="CO342"/>
  <c r="CP342"/>
  <c r="CQ342"/>
  <c r="CR342"/>
  <c r="CS342"/>
  <c r="CT342"/>
  <c r="CU342"/>
  <c r="CV342"/>
  <c r="CW342"/>
  <c r="CX342"/>
  <c r="CY342"/>
  <c r="CZ342"/>
  <c r="DA342"/>
  <c r="DB342"/>
  <c r="DC342"/>
  <c r="DD342"/>
  <c r="DE342"/>
  <c r="DF342"/>
  <c r="DG342"/>
  <c r="DH342"/>
  <c r="DI342"/>
  <c r="DJ342"/>
  <c r="DK342"/>
  <c r="DL342"/>
  <c r="DM342"/>
  <c r="DN342"/>
  <c r="DO342"/>
  <c r="DP342"/>
  <c r="DQ342"/>
  <c r="DR342"/>
  <c r="DS342"/>
  <c r="DT342"/>
  <c r="DU342"/>
  <c r="DV342"/>
  <c r="DW342"/>
  <c r="DX342"/>
  <c r="DY342"/>
  <c r="DZ342"/>
  <c r="EA342"/>
  <c r="EB342"/>
  <c r="EC342"/>
  <c r="ED342"/>
  <c r="EE342"/>
  <c r="EF342"/>
  <c r="EG342"/>
  <c r="EH342"/>
  <c r="EI342"/>
  <c r="EJ342"/>
  <c r="EK342"/>
  <c r="EL342"/>
  <c r="EM342"/>
  <c r="EN342"/>
  <c r="EO342"/>
  <c r="EP342"/>
  <c r="EQ342"/>
  <c r="ER342"/>
  <c r="ES342"/>
  <c r="ET342"/>
  <c r="EU342"/>
  <c r="EV342"/>
  <c r="EW342"/>
  <c r="EX342"/>
  <c r="EY342"/>
  <c r="EZ342"/>
  <c r="FA342"/>
  <c r="FB342"/>
  <c r="FC342"/>
  <c r="FD342"/>
  <c r="FE342"/>
  <c r="FF342"/>
  <c r="FG342"/>
  <c r="FH342"/>
  <c r="FI342"/>
  <c r="FJ342"/>
  <c r="FK342"/>
  <c r="FL342"/>
  <c r="FM342"/>
  <c r="FN342"/>
  <c r="FO342"/>
  <c r="FP342"/>
  <c r="FQ342"/>
  <c r="FR342"/>
  <c r="FS342"/>
  <c r="FT342"/>
  <c r="FU342"/>
  <c r="FV342"/>
  <c r="FW342"/>
  <c r="FX342"/>
  <c r="FY342"/>
  <c r="FZ342"/>
  <c r="GA342"/>
  <c r="GB342"/>
  <c r="GC342"/>
  <c r="GD342"/>
  <c r="GE342"/>
  <c r="GF342"/>
  <c r="GG342"/>
  <c r="GH342"/>
  <c r="GI342"/>
  <c r="GJ342"/>
  <c r="GK342"/>
  <c r="GL342"/>
  <c r="GM342"/>
  <c r="GN342"/>
  <c r="GO342"/>
  <c r="GP342"/>
  <c r="GQ342"/>
  <c r="GR342"/>
  <c r="GS342"/>
  <c r="GT342"/>
  <c r="GU342"/>
  <c r="GV342"/>
  <c r="GW342"/>
  <c r="GX342"/>
  <c r="GY342"/>
  <c r="GZ342"/>
  <c r="HA342"/>
  <c r="HB342"/>
  <c r="HC342"/>
  <c r="HD342"/>
  <c r="HE342"/>
  <c r="HF342"/>
  <c r="HG342"/>
  <c r="HH342"/>
  <c r="HI342"/>
  <c r="HJ342"/>
  <c r="HK342"/>
  <c r="HL342"/>
  <c r="HM342"/>
  <c r="HN342"/>
  <c r="HO342"/>
  <c r="HP342"/>
  <c r="HQ342"/>
  <c r="HR342"/>
  <c r="HS342"/>
  <c r="HT342"/>
  <c r="HU342"/>
  <c r="HV342"/>
  <c r="HW342"/>
  <c r="HX342"/>
  <c r="HY342"/>
  <c r="HZ342"/>
  <c r="IA342"/>
  <c r="IB342"/>
  <c r="IC342"/>
  <c r="ID342"/>
  <c r="IE342"/>
  <c r="IF342"/>
  <c r="IG342"/>
  <c r="IH342"/>
  <c r="II342"/>
  <c r="IJ342"/>
  <c r="IK342"/>
  <c r="IL342"/>
  <c r="IM342"/>
  <c r="IN342"/>
  <c r="IO342"/>
  <c r="IP342"/>
  <c r="IQ342"/>
  <c r="IR342"/>
  <c r="IS342"/>
  <c r="IT342"/>
  <c r="IU342"/>
  <c r="IV342"/>
  <c r="A343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Z343"/>
  <c r="AA343"/>
  <c r="AB343"/>
  <c r="AC343"/>
  <c r="AD343"/>
  <c r="AE343"/>
  <c r="AF343"/>
  <c r="AG343"/>
  <c r="AH343"/>
  <c r="AI343"/>
  <c r="AJ343"/>
  <c r="AK343"/>
  <c r="AL343"/>
  <c r="AM343"/>
  <c r="AN343"/>
  <c r="AO343"/>
  <c r="AP343"/>
  <c r="AQ343"/>
  <c r="AR343"/>
  <c r="AS343"/>
  <c r="AT343"/>
  <c r="AU343"/>
  <c r="AV343"/>
  <c r="AW343"/>
  <c r="AX343"/>
  <c r="AY343"/>
  <c r="AZ343"/>
  <c r="BA343"/>
  <c r="BB343"/>
  <c r="BC343"/>
  <c r="BD343"/>
  <c r="BE343"/>
  <c r="BF343"/>
  <c r="BG343"/>
  <c r="BH343"/>
  <c r="BI343"/>
  <c r="BJ343"/>
  <c r="BK343"/>
  <c r="BL343"/>
  <c r="BM343"/>
  <c r="BN343"/>
  <c r="BO343"/>
  <c r="BP343"/>
  <c r="BQ343"/>
  <c r="BR343"/>
  <c r="BS343"/>
  <c r="BT343"/>
  <c r="BU343"/>
  <c r="BV343"/>
  <c r="BW343"/>
  <c r="BX343"/>
  <c r="BY343"/>
  <c r="BZ343"/>
  <c r="CA343"/>
  <c r="CB343"/>
  <c r="CC343"/>
  <c r="CD343"/>
  <c r="CE343"/>
  <c r="CF343"/>
  <c r="CG343"/>
  <c r="CH343"/>
  <c r="CI343"/>
  <c r="CJ343"/>
  <c r="CK343"/>
  <c r="CL343"/>
  <c r="CM343"/>
  <c r="CN343"/>
  <c r="CO343"/>
  <c r="CP343"/>
  <c r="CQ343"/>
  <c r="CR343"/>
  <c r="CS343"/>
  <c r="CT343"/>
  <c r="CU343"/>
  <c r="CV343"/>
  <c r="CW343"/>
  <c r="CX343"/>
  <c r="CY343"/>
  <c r="CZ343"/>
  <c r="DA343"/>
  <c r="DB343"/>
  <c r="DC343"/>
  <c r="DD343"/>
  <c r="DE343"/>
  <c r="DF343"/>
  <c r="DG343"/>
  <c r="DH343"/>
  <c r="DI343"/>
  <c r="DJ343"/>
  <c r="DK343"/>
  <c r="DL343"/>
  <c r="DM343"/>
  <c r="DN343"/>
  <c r="DO343"/>
  <c r="DP343"/>
  <c r="DQ343"/>
  <c r="DR343"/>
  <c r="DS343"/>
  <c r="DT343"/>
  <c r="DU343"/>
  <c r="DV343"/>
  <c r="DW343"/>
  <c r="DX343"/>
  <c r="DY343"/>
  <c r="DZ343"/>
  <c r="EA343"/>
  <c r="EB343"/>
  <c r="EC343"/>
  <c r="ED343"/>
  <c r="EE343"/>
  <c r="EF343"/>
  <c r="EG343"/>
  <c r="EH343"/>
  <c r="EI343"/>
  <c r="EJ343"/>
  <c r="EK343"/>
  <c r="EL343"/>
  <c r="EM343"/>
  <c r="EN343"/>
  <c r="EO343"/>
  <c r="EP343"/>
  <c r="EQ343"/>
  <c r="ER343"/>
  <c r="ES343"/>
  <c r="ET343"/>
  <c r="EU343"/>
  <c r="EV343"/>
  <c r="EW343"/>
  <c r="EX343"/>
  <c r="EY343"/>
  <c r="EZ343"/>
  <c r="FA343"/>
  <c r="FB343"/>
  <c r="FC343"/>
  <c r="FD343"/>
  <c r="FE343"/>
  <c r="FF343"/>
  <c r="FG343"/>
  <c r="FH343"/>
  <c r="FI343"/>
  <c r="FJ343"/>
  <c r="FK343"/>
  <c r="FL343"/>
  <c r="FM343"/>
  <c r="FN343"/>
  <c r="FO343"/>
  <c r="FP343"/>
  <c r="FQ343"/>
  <c r="FR343"/>
  <c r="FS343"/>
  <c r="FT343"/>
  <c r="FU343"/>
  <c r="FV343"/>
  <c r="FW343"/>
  <c r="FX343"/>
  <c r="FY343"/>
  <c r="FZ343"/>
  <c r="GA343"/>
  <c r="GB343"/>
  <c r="GC343"/>
  <c r="GD343"/>
  <c r="GE343"/>
  <c r="GF343"/>
  <c r="GG343"/>
  <c r="GH343"/>
  <c r="GI343"/>
  <c r="GJ343"/>
  <c r="GK343"/>
  <c r="GL343"/>
  <c r="GM343"/>
  <c r="GN343"/>
  <c r="GO343"/>
  <c r="GP343"/>
  <c r="GQ343"/>
  <c r="GR343"/>
  <c r="GS343"/>
  <c r="GT343"/>
  <c r="GU343"/>
  <c r="GV343"/>
  <c r="GW343"/>
  <c r="GX343"/>
  <c r="GY343"/>
  <c r="GZ343"/>
  <c r="HA343"/>
  <c r="HB343"/>
  <c r="HC343"/>
  <c r="HD343"/>
  <c r="HE343"/>
  <c r="HF343"/>
  <c r="HG343"/>
  <c r="HH343"/>
  <c r="HI343"/>
  <c r="HJ343"/>
  <c r="HK343"/>
  <c r="HL343"/>
  <c r="HM343"/>
  <c r="HN343"/>
  <c r="HO343"/>
  <c r="HP343"/>
  <c r="HQ343"/>
  <c r="HR343"/>
  <c r="HS343"/>
  <c r="HT343"/>
  <c r="HU343"/>
  <c r="HV343"/>
  <c r="HW343"/>
  <c r="HX343"/>
  <c r="HY343"/>
  <c r="HZ343"/>
  <c r="IA343"/>
  <c r="IB343"/>
  <c r="IC343"/>
  <c r="ID343"/>
  <c r="IE343"/>
  <c r="IF343"/>
  <c r="IG343"/>
  <c r="IH343"/>
  <c r="II343"/>
  <c r="IJ343"/>
  <c r="IK343"/>
  <c r="IL343"/>
  <c r="IM343"/>
  <c r="IN343"/>
  <c r="IO343"/>
  <c r="IP343"/>
  <c r="IQ343"/>
  <c r="IR343"/>
  <c r="IS343"/>
  <c r="IT343"/>
  <c r="IU343"/>
  <c r="IV343"/>
  <c r="A344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Z344"/>
  <c r="AA344"/>
  <c r="AB344"/>
  <c r="AC344"/>
  <c r="AD344"/>
  <c r="AE344"/>
  <c r="AF344"/>
  <c r="AG344"/>
  <c r="AH344"/>
  <c r="AI344"/>
  <c r="AJ344"/>
  <c r="AK344"/>
  <c r="AL344"/>
  <c r="AM344"/>
  <c r="AN344"/>
  <c r="AO344"/>
  <c r="AP344"/>
  <c r="AQ344"/>
  <c r="AR344"/>
  <c r="AS344"/>
  <c r="AT344"/>
  <c r="AU344"/>
  <c r="AV344"/>
  <c r="AW344"/>
  <c r="AX344"/>
  <c r="AY344"/>
  <c r="AZ344"/>
  <c r="BA344"/>
  <c r="BB344"/>
  <c r="BC344"/>
  <c r="BD344"/>
  <c r="BE344"/>
  <c r="BF344"/>
  <c r="BG344"/>
  <c r="BH344"/>
  <c r="BI344"/>
  <c r="BJ344"/>
  <c r="BK344"/>
  <c r="BL344"/>
  <c r="BM344"/>
  <c r="BN344"/>
  <c r="BO344"/>
  <c r="BP344"/>
  <c r="BQ344"/>
  <c r="BR344"/>
  <c r="BS344"/>
  <c r="BT344"/>
  <c r="BU344"/>
  <c r="BV344"/>
  <c r="BW344"/>
  <c r="BX344"/>
  <c r="BY344"/>
  <c r="BZ344"/>
  <c r="CA344"/>
  <c r="CB344"/>
  <c r="CC344"/>
  <c r="CD344"/>
  <c r="CE344"/>
  <c r="CF344"/>
  <c r="CG344"/>
  <c r="CH344"/>
  <c r="CI344"/>
  <c r="CJ344"/>
  <c r="CK344"/>
  <c r="CL344"/>
  <c r="CM344"/>
  <c r="CN344"/>
  <c r="CO344"/>
  <c r="CP344"/>
  <c r="CQ344"/>
  <c r="CR344"/>
  <c r="CS344"/>
  <c r="CT344"/>
  <c r="CU344"/>
  <c r="CV344"/>
  <c r="CW344"/>
  <c r="CX344"/>
  <c r="CY344"/>
  <c r="CZ344"/>
  <c r="DA344"/>
  <c r="DB344"/>
  <c r="DC344"/>
  <c r="DD344"/>
  <c r="DE344"/>
  <c r="DF344"/>
  <c r="DG344"/>
  <c r="DH344"/>
  <c r="DI344"/>
  <c r="DJ344"/>
  <c r="DK344"/>
  <c r="DL344"/>
  <c r="DM344"/>
  <c r="DN344"/>
  <c r="DO344"/>
  <c r="DP344"/>
  <c r="DQ344"/>
  <c r="DR344"/>
  <c r="DS344"/>
  <c r="DT344"/>
  <c r="DU344"/>
  <c r="DV344"/>
  <c r="DW344"/>
  <c r="DX344"/>
  <c r="DY344"/>
  <c r="DZ344"/>
  <c r="EA344"/>
  <c r="EB344"/>
  <c r="EC344"/>
  <c r="ED344"/>
  <c r="EE344"/>
  <c r="EF344"/>
  <c r="EG344"/>
  <c r="EH344"/>
  <c r="EI344"/>
  <c r="EJ344"/>
  <c r="EK344"/>
  <c r="EL344"/>
  <c r="EM344"/>
  <c r="EN344"/>
  <c r="EO344"/>
  <c r="EP344"/>
  <c r="EQ344"/>
  <c r="ER344"/>
  <c r="ES344"/>
  <c r="ET344"/>
  <c r="EU344"/>
  <c r="EV344"/>
  <c r="EW344"/>
  <c r="EX344"/>
  <c r="EY344"/>
  <c r="EZ344"/>
  <c r="FA344"/>
  <c r="FB344"/>
  <c r="FC344"/>
  <c r="FD344"/>
  <c r="FE344"/>
  <c r="FF344"/>
  <c r="FG344"/>
  <c r="FH344"/>
  <c r="FI344"/>
  <c r="FJ344"/>
  <c r="FK344"/>
  <c r="FL344"/>
  <c r="FM344"/>
  <c r="FN344"/>
  <c r="FO344"/>
  <c r="FP344"/>
  <c r="FQ344"/>
  <c r="FR344"/>
  <c r="FS344"/>
  <c r="FT344"/>
  <c r="FU344"/>
  <c r="FV344"/>
  <c r="FW344"/>
  <c r="FX344"/>
  <c r="FY344"/>
  <c r="FZ344"/>
  <c r="GA344"/>
  <c r="GB344"/>
  <c r="GC344"/>
  <c r="GD344"/>
  <c r="GE344"/>
  <c r="GF344"/>
  <c r="GG344"/>
  <c r="GH344"/>
  <c r="GI344"/>
  <c r="GJ344"/>
  <c r="GK344"/>
  <c r="GL344"/>
  <c r="GM344"/>
  <c r="GN344"/>
  <c r="GO344"/>
  <c r="GP344"/>
  <c r="GQ344"/>
  <c r="GR344"/>
  <c r="GS344"/>
  <c r="GT344"/>
  <c r="GU344"/>
  <c r="GV344"/>
  <c r="GW344"/>
  <c r="GX344"/>
  <c r="GY344"/>
  <c r="GZ344"/>
  <c r="HA344"/>
  <c r="HB344"/>
  <c r="HC344"/>
  <c r="HD344"/>
  <c r="HE344"/>
  <c r="HF344"/>
  <c r="HG344"/>
  <c r="HH344"/>
  <c r="HI344"/>
  <c r="HJ344"/>
  <c r="HK344"/>
  <c r="HL344"/>
  <c r="HM344"/>
  <c r="HN344"/>
  <c r="HO344"/>
  <c r="HP344"/>
  <c r="HQ344"/>
  <c r="HR344"/>
  <c r="HS344"/>
  <c r="HT344"/>
  <c r="HU344"/>
  <c r="HV344"/>
  <c r="HW344"/>
  <c r="HX344"/>
  <c r="HY344"/>
  <c r="HZ344"/>
  <c r="IA344"/>
  <c r="IB344"/>
  <c r="IC344"/>
  <c r="ID344"/>
  <c r="IE344"/>
  <c r="IF344"/>
  <c r="IG344"/>
  <c r="IH344"/>
  <c r="II344"/>
  <c r="IJ344"/>
  <c r="IK344"/>
  <c r="IL344"/>
  <c r="IM344"/>
  <c r="IN344"/>
  <c r="IO344"/>
  <c r="IP344"/>
  <c r="IQ344"/>
  <c r="IR344"/>
  <c r="IS344"/>
  <c r="IT344"/>
  <c r="IU344"/>
  <c r="IV344"/>
  <c r="A345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Z345"/>
  <c r="AA345"/>
  <c r="AB345"/>
  <c r="AC345"/>
  <c r="AD345"/>
  <c r="AE345"/>
  <c r="AF345"/>
  <c r="AG345"/>
  <c r="AH345"/>
  <c r="AI345"/>
  <c r="AJ345"/>
  <c r="AK345"/>
  <c r="AL345"/>
  <c r="AM345"/>
  <c r="AN345"/>
  <c r="AO345"/>
  <c r="AP345"/>
  <c r="AQ345"/>
  <c r="AR345"/>
  <c r="AS345"/>
  <c r="AT345"/>
  <c r="AU345"/>
  <c r="AV345"/>
  <c r="AW345"/>
  <c r="AX345"/>
  <c r="AY345"/>
  <c r="AZ345"/>
  <c r="BA345"/>
  <c r="BB345"/>
  <c r="BC345"/>
  <c r="BD345"/>
  <c r="BE345"/>
  <c r="BF345"/>
  <c r="BG345"/>
  <c r="BH345"/>
  <c r="BI345"/>
  <c r="BJ345"/>
  <c r="BK345"/>
  <c r="BL345"/>
  <c r="BM345"/>
  <c r="BN345"/>
  <c r="BO345"/>
  <c r="BP345"/>
  <c r="BQ345"/>
  <c r="BR345"/>
  <c r="BS345"/>
  <c r="BT345"/>
  <c r="BU345"/>
  <c r="BV345"/>
  <c r="BW345"/>
  <c r="BX345"/>
  <c r="BY345"/>
  <c r="BZ345"/>
  <c r="CA345"/>
  <c r="CB345"/>
  <c r="CC345"/>
  <c r="CD345"/>
  <c r="CE345"/>
  <c r="CF345"/>
  <c r="CG345"/>
  <c r="CH345"/>
  <c r="CI345"/>
  <c r="CJ345"/>
  <c r="CK345"/>
  <c r="CL345"/>
  <c r="CM345"/>
  <c r="CN345"/>
  <c r="CO345"/>
  <c r="CP345"/>
  <c r="CQ345"/>
  <c r="CR345"/>
  <c r="CS345"/>
  <c r="CT345"/>
  <c r="CU345"/>
  <c r="CV345"/>
  <c r="CW345"/>
  <c r="CX345"/>
  <c r="CY345"/>
  <c r="CZ345"/>
  <c r="DA345"/>
  <c r="DB345"/>
  <c r="DC345"/>
  <c r="DD345"/>
  <c r="DE345"/>
  <c r="DF345"/>
  <c r="DG345"/>
  <c r="DH345"/>
  <c r="DI345"/>
  <c r="DJ345"/>
  <c r="DK345"/>
  <c r="DL345"/>
  <c r="DM345"/>
  <c r="DN345"/>
  <c r="DO345"/>
  <c r="DP345"/>
  <c r="DQ345"/>
  <c r="DR345"/>
  <c r="DS345"/>
  <c r="DT345"/>
  <c r="DU345"/>
  <c r="DV345"/>
  <c r="DW345"/>
  <c r="DX345"/>
  <c r="DY345"/>
  <c r="DZ345"/>
  <c r="EA345"/>
  <c r="EB345"/>
  <c r="EC345"/>
  <c r="ED345"/>
  <c r="EE345"/>
  <c r="EF345"/>
  <c r="EG345"/>
  <c r="EH345"/>
  <c r="EI345"/>
  <c r="EJ345"/>
  <c r="EK345"/>
  <c r="EL345"/>
  <c r="EM345"/>
  <c r="EN345"/>
  <c r="EO345"/>
  <c r="EP345"/>
  <c r="EQ345"/>
  <c r="ER345"/>
  <c r="ES345"/>
  <c r="ET345"/>
  <c r="EU345"/>
  <c r="EV345"/>
  <c r="EW345"/>
  <c r="EX345"/>
  <c r="EY345"/>
  <c r="EZ345"/>
  <c r="FA345"/>
  <c r="FB345"/>
  <c r="FC345"/>
  <c r="FD345"/>
  <c r="FE345"/>
  <c r="FF345"/>
  <c r="FG345"/>
  <c r="FH345"/>
  <c r="FI345"/>
  <c r="FJ345"/>
  <c r="FK345"/>
  <c r="FL345"/>
  <c r="FM345"/>
  <c r="FN345"/>
  <c r="FO345"/>
  <c r="FP345"/>
  <c r="FQ345"/>
  <c r="FR345"/>
  <c r="FS345"/>
  <c r="FT345"/>
  <c r="FU345"/>
  <c r="FV345"/>
  <c r="FW345"/>
  <c r="FX345"/>
  <c r="FY345"/>
  <c r="FZ345"/>
  <c r="GA345"/>
  <c r="GB345"/>
  <c r="GC345"/>
  <c r="GD345"/>
  <c r="GE345"/>
  <c r="GF345"/>
  <c r="GG345"/>
  <c r="GH345"/>
  <c r="GI345"/>
  <c r="GJ345"/>
  <c r="GK345"/>
  <c r="GL345"/>
  <c r="GM345"/>
  <c r="GN345"/>
  <c r="GO345"/>
  <c r="GP345"/>
  <c r="GQ345"/>
  <c r="GR345"/>
  <c r="GS345"/>
  <c r="GT345"/>
  <c r="GU345"/>
  <c r="GV345"/>
  <c r="GW345"/>
  <c r="GX345"/>
  <c r="GY345"/>
  <c r="GZ345"/>
  <c r="HA345"/>
  <c r="HB345"/>
  <c r="HC345"/>
  <c r="HD345"/>
  <c r="HE345"/>
  <c r="HF345"/>
  <c r="HG345"/>
  <c r="HH345"/>
  <c r="HI345"/>
  <c r="HJ345"/>
  <c r="HK345"/>
  <c r="HL345"/>
  <c r="HM345"/>
  <c r="HN345"/>
  <c r="HO345"/>
  <c r="HP345"/>
  <c r="HQ345"/>
  <c r="HR345"/>
  <c r="HS345"/>
  <c r="HT345"/>
  <c r="HU345"/>
  <c r="HV345"/>
  <c r="HW345"/>
  <c r="HX345"/>
  <c r="HY345"/>
  <c r="HZ345"/>
  <c r="IA345"/>
  <c r="IB345"/>
  <c r="IC345"/>
  <c r="ID345"/>
  <c r="IE345"/>
  <c r="IF345"/>
  <c r="IG345"/>
  <c r="IH345"/>
  <c r="II345"/>
  <c r="IJ345"/>
  <c r="IK345"/>
  <c r="IL345"/>
  <c r="IM345"/>
  <c r="IN345"/>
  <c r="IO345"/>
  <c r="IP345"/>
  <c r="IQ345"/>
  <c r="IR345"/>
  <c r="IS345"/>
  <c r="IT345"/>
  <c r="IU345"/>
  <c r="IV345"/>
  <c r="A346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Z346"/>
  <c r="AA346"/>
  <c r="AB346"/>
  <c r="AC346"/>
  <c r="AD346"/>
  <c r="AE346"/>
  <c r="AF346"/>
  <c r="AG346"/>
  <c r="AH346"/>
  <c r="AI346"/>
  <c r="AJ346"/>
  <c r="AK346"/>
  <c r="AL346"/>
  <c r="AM346"/>
  <c r="AN346"/>
  <c r="AO346"/>
  <c r="AP346"/>
  <c r="AQ346"/>
  <c r="AR346"/>
  <c r="AS346"/>
  <c r="AT346"/>
  <c r="AU346"/>
  <c r="AV346"/>
  <c r="AW346"/>
  <c r="AX346"/>
  <c r="AY346"/>
  <c r="AZ346"/>
  <c r="BA346"/>
  <c r="BB346"/>
  <c r="BC346"/>
  <c r="BD346"/>
  <c r="BE346"/>
  <c r="BF346"/>
  <c r="BG346"/>
  <c r="BH346"/>
  <c r="BI346"/>
  <c r="BJ346"/>
  <c r="BK346"/>
  <c r="BL346"/>
  <c r="BM346"/>
  <c r="BN346"/>
  <c r="BO346"/>
  <c r="BP346"/>
  <c r="BQ346"/>
  <c r="BR346"/>
  <c r="BS346"/>
  <c r="BT346"/>
  <c r="BU346"/>
  <c r="BV346"/>
  <c r="BW346"/>
  <c r="BX346"/>
  <c r="BY346"/>
  <c r="BZ346"/>
  <c r="CA346"/>
  <c r="CB346"/>
  <c r="CC346"/>
  <c r="CD346"/>
  <c r="CE346"/>
  <c r="CF346"/>
  <c r="CG346"/>
  <c r="CH346"/>
  <c r="CI346"/>
  <c r="CJ346"/>
  <c r="CK346"/>
  <c r="CL346"/>
  <c r="CM346"/>
  <c r="CN346"/>
  <c r="CO346"/>
  <c r="CP346"/>
  <c r="CQ346"/>
  <c r="CR346"/>
  <c r="CS346"/>
  <c r="CT346"/>
  <c r="CU346"/>
  <c r="CV346"/>
  <c r="CW346"/>
  <c r="CX346"/>
  <c r="CY346"/>
  <c r="CZ346"/>
  <c r="DA346"/>
  <c r="DB346"/>
  <c r="DC346"/>
  <c r="DD346"/>
  <c r="DE346"/>
  <c r="DF346"/>
  <c r="DG346"/>
  <c r="DH346"/>
  <c r="DI346"/>
  <c r="DJ346"/>
  <c r="DK346"/>
  <c r="DL346"/>
  <c r="DM346"/>
  <c r="DN346"/>
  <c r="DO346"/>
  <c r="DP346"/>
  <c r="DQ346"/>
  <c r="DR346"/>
  <c r="DS346"/>
  <c r="DT346"/>
  <c r="DU346"/>
  <c r="DV346"/>
  <c r="DW346"/>
  <c r="DX346"/>
  <c r="DY346"/>
  <c r="DZ346"/>
  <c r="EA346"/>
  <c r="EB346"/>
  <c r="EC346"/>
  <c r="ED346"/>
  <c r="EE346"/>
  <c r="EF346"/>
  <c r="EG346"/>
  <c r="EH346"/>
  <c r="EI346"/>
  <c r="EJ346"/>
  <c r="EK346"/>
  <c r="EL346"/>
  <c r="EM346"/>
  <c r="EN346"/>
  <c r="EO346"/>
  <c r="EP346"/>
  <c r="EQ346"/>
  <c r="ER346"/>
  <c r="ES346"/>
  <c r="ET346"/>
  <c r="EU346"/>
  <c r="EV346"/>
  <c r="EW346"/>
  <c r="EX346"/>
  <c r="EY346"/>
  <c r="EZ346"/>
  <c r="FA346"/>
  <c r="FB346"/>
  <c r="FC346"/>
  <c r="FD346"/>
  <c r="FE346"/>
  <c r="FF346"/>
  <c r="FG346"/>
  <c r="FH346"/>
  <c r="FI346"/>
  <c r="FJ346"/>
  <c r="FK346"/>
  <c r="FL346"/>
  <c r="FM346"/>
  <c r="FN346"/>
  <c r="FO346"/>
  <c r="FP346"/>
  <c r="FQ346"/>
  <c r="FR346"/>
  <c r="FS346"/>
  <c r="FT346"/>
  <c r="FU346"/>
  <c r="FV346"/>
  <c r="FW346"/>
  <c r="FX346"/>
  <c r="FY346"/>
  <c r="FZ346"/>
  <c r="GA346"/>
  <c r="GB346"/>
  <c r="GC346"/>
  <c r="GD346"/>
  <c r="GE346"/>
  <c r="GF346"/>
  <c r="GG346"/>
  <c r="GH346"/>
  <c r="GI346"/>
  <c r="GJ346"/>
  <c r="GK346"/>
  <c r="GL346"/>
  <c r="GM346"/>
  <c r="GN346"/>
  <c r="GO346"/>
  <c r="GP346"/>
  <c r="GQ346"/>
  <c r="GR346"/>
  <c r="GS346"/>
  <c r="GT346"/>
  <c r="GU346"/>
  <c r="GV346"/>
  <c r="GW346"/>
  <c r="GX346"/>
  <c r="GY346"/>
  <c r="GZ346"/>
  <c r="HA346"/>
  <c r="HB346"/>
  <c r="HC346"/>
  <c r="HD346"/>
  <c r="HE346"/>
  <c r="HF346"/>
  <c r="HG346"/>
  <c r="HH346"/>
  <c r="HI346"/>
  <c r="HJ346"/>
  <c r="HK346"/>
  <c r="HL346"/>
  <c r="HM346"/>
  <c r="HN346"/>
  <c r="HO346"/>
  <c r="HP346"/>
  <c r="HQ346"/>
  <c r="HR346"/>
  <c r="HS346"/>
  <c r="HT346"/>
  <c r="HU346"/>
  <c r="HV346"/>
  <c r="HW346"/>
  <c r="HX346"/>
  <c r="HY346"/>
  <c r="HZ346"/>
  <c r="IA346"/>
  <c r="IB346"/>
  <c r="IC346"/>
  <c r="ID346"/>
  <c r="IE346"/>
  <c r="IF346"/>
  <c r="IG346"/>
  <c r="IH346"/>
  <c r="II346"/>
  <c r="IJ346"/>
  <c r="IK346"/>
  <c r="IL346"/>
  <c r="IM346"/>
  <c r="IN346"/>
  <c r="IO346"/>
  <c r="IP346"/>
  <c r="IQ346"/>
  <c r="IR346"/>
  <c r="IS346"/>
  <c r="IT346"/>
  <c r="IU346"/>
  <c r="IV346"/>
  <c r="A347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Z347"/>
  <c r="AA347"/>
  <c r="AB347"/>
  <c r="AC347"/>
  <c r="AD347"/>
  <c r="AE347"/>
  <c r="AF347"/>
  <c r="AG347"/>
  <c r="AH347"/>
  <c r="AI347"/>
  <c r="AJ347"/>
  <c r="AK347"/>
  <c r="AL347"/>
  <c r="AM347"/>
  <c r="AN347"/>
  <c r="AO347"/>
  <c r="AP347"/>
  <c r="AQ347"/>
  <c r="AR347"/>
  <c r="AS347"/>
  <c r="AT347"/>
  <c r="AU347"/>
  <c r="AV347"/>
  <c r="AW347"/>
  <c r="AX347"/>
  <c r="AY347"/>
  <c r="AZ347"/>
  <c r="BA347"/>
  <c r="BB347"/>
  <c r="BC347"/>
  <c r="BD347"/>
  <c r="BE347"/>
  <c r="BF347"/>
  <c r="BG347"/>
  <c r="BH347"/>
  <c r="BI347"/>
  <c r="BJ347"/>
  <c r="BK347"/>
  <c r="BL347"/>
  <c r="BM347"/>
  <c r="BN347"/>
  <c r="BO347"/>
  <c r="BP347"/>
  <c r="BQ347"/>
  <c r="BR347"/>
  <c r="BS347"/>
  <c r="BT347"/>
  <c r="BU347"/>
  <c r="BV347"/>
  <c r="BW347"/>
  <c r="BX347"/>
  <c r="BY347"/>
  <c r="BZ347"/>
  <c r="CA347"/>
  <c r="CB347"/>
  <c r="CC347"/>
  <c r="CD347"/>
  <c r="CE347"/>
  <c r="CF347"/>
  <c r="CG347"/>
  <c r="CH347"/>
  <c r="CI347"/>
  <c r="CJ347"/>
  <c r="CK347"/>
  <c r="CL347"/>
  <c r="CM347"/>
  <c r="CN347"/>
  <c r="CO347"/>
  <c r="CP347"/>
  <c r="CQ347"/>
  <c r="CR347"/>
  <c r="CS347"/>
  <c r="CT347"/>
  <c r="CU347"/>
  <c r="CV347"/>
  <c r="CW347"/>
  <c r="CX347"/>
  <c r="CY347"/>
  <c r="CZ347"/>
  <c r="DA347"/>
  <c r="DB347"/>
  <c r="DC347"/>
  <c r="DD347"/>
  <c r="DE347"/>
  <c r="DF347"/>
  <c r="DG347"/>
  <c r="DH347"/>
  <c r="DI347"/>
  <c r="DJ347"/>
  <c r="DK347"/>
  <c r="DL347"/>
  <c r="DM347"/>
  <c r="DN347"/>
  <c r="DO347"/>
  <c r="DP347"/>
  <c r="DQ347"/>
  <c r="DR347"/>
  <c r="DS347"/>
  <c r="DT347"/>
  <c r="DU347"/>
  <c r="DV347"/>
  <c r="DW347"/>
  <c r="DX347"/>
  <c r="DY347"/>
  <c r="DZ347"/>
  <c r="EA347"/>
  <c r="EB347"/>
  <c r="EC347"/>
  <c r="ED347"/>
  <c r="EE347"/>
  <c r="EF347"/>
  <c r="EG347"/>
  <c r="EH347"/>
  <c r="EI347"/>
  <c r="EJ347"/>
  <c r="EK347"/>
  <c r="EL347"/>
  <c r="EM347"/>
  <c r="EN347"/>
  <c r="EO347"/>
  <c r="EP347"/>
  <c r="EQ347"/>
  <c r="ER347"/>
  <c r="ES347"/>
  <c r="ET347"/>
  <c r="EU347"/>
  <c r="EV347"/>
  <c r="EW347"/>
  <c r="EX347"/>
  <c r="EY347"/>
  <c r="EZ347"/>
  <c r="FA347"/>
  <c r="FB347"/>
  <c r="FC347"/>
  <c r="FD347"/>
  <c r="FE347"/>
  <c r="FF347"/>
  <c r="FG347"/>
  <c r="FH347"/>
  <c r="FI347"/>
  <c r="FJ347"/>
  <c r="FK347"/>
  <c r="FL347"/>
  <c r="FM347"/>
  <c r="FN347"/>
  <c r="FO347"/>
  <c r="FP347"/>
  <c r="FQ347"/>
  <c r="FR347"/>
  <c r="FS347"/>
  <c r="FT347"/>
  <c r="FU347"/>
  <c r="FV347"/>
  <c r="FW347"/>
  <c r="FX347"/>
  <c r="FY347"/>
  <c r="FZ347"/>
  <c r="GA347"/>
  <c r="GB347"/>
  <c r="GC347"/>
  <c r="GD347"/>
  <c r="GE347"/>
  <c r="GF347"/>
  <c r="GG347"/>
  <c r="GH347"/>
  <c r="GI347"/>
  <c r="GJ347"/>
  <c r="GK347"/>
  <c r="GL347"/>
  <c r="GM347"/>
  <c r="GN347"/>
  <c r="GO347"/>
  <c r="GP347"/>
  <c r="GQ347"/>
  <c r="GR347"/>
  <c r="GS347"/>
  <c r="GT347"/>
  <c r="GU347"/>
  <c r="GV347"/>
  <c r="GW347"/>
  <c r="GX347"/>
  <c r="GY347"/>
  <c r="GZ347"/>
  <c r="HA347"/>
  <c r="HB347"/>
  <c r="HC347"/>
  <c r="HD347"/>
  <c r="HE347"/>
  <c r="HF347"/>
  <c r="HG347"/>
  <c r="HH347"/>
  <c r="HI347"/>
  <c r="HJ347"/>
  <c r="HK347"/>
  <c r="HL347"/>
  <c r="HM347"/>
  <c r="HN347"/>
  <c r="HO347"/>
  <c r="HP347"/>
  <c r="HQ347"/>
  <c r="HR347"/>
  <c r="HS347"/>
  <c r="HT347"/>
  <c r="HU347"/>
  <c r="HV347"/>
  <c r="HW347"/>
  <c r="HX347"/>
  <c r="HY347"/>
  <c r="HZ347"/>
  <c r="IA347"/>
  <c r="IB347"/>
  <c r="IC347"/>
  <c r="ID347"/>
  <c r="IE347"/>
  <c r="IF347"/>
  <c r="IG347"/>
  <c r="IH347"/>
  <c r="II347"/>
  <c r="IJ347"/>
  <c r="IK347"/>
  <c r="IL347"/>
  <c r="IM347"/>
  <c r="IN347"/>
  <c r="IO347"/>
  <c r="IP347"/>
  <c r="IQ347"/>
  <c r="IR347"/>
  <c r="IS347"/>
  <c r="IT347"/>
  <c r="IU347"/>
  <c r="IV347"/>
  <c r="A348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Z348"/>
  <c r="AA348"/>
  <c r="AB348"/>
  <c r="AC348"/>
  <c r="AD348"/>
  <c r="AE348"/>
  <c r="AF348"/>
  <c r="AG348"/>
  <c r="AH348"/>
  <c r="AI348"/>
  <c r="AJ348"/>
  <c r="AK348"/>
  <c r="AL348"/>
  <c r="AM348"/>
  <c r="AN348"/>
  <c r="AO348"/>
  <c r="AP348"/>
  <c r="AQ348"/>
  <c r="AR348"/>
  <c r="AS348"/>
  <c r="AT348"/>
  <c r="AU348"/>
  <c r="AV348"/>
  <c r="AW348"/>
  <c r="AX348"/>
  <c r="AY348"/>
  <c r="AZ348"/>
  <c r="BA348"/>
  <c r="BB348"/>
  <c r="BC348"/>
  <c r="BD348"/>
  <c r="BE348"/>
  <c r="BF348"/>
  <c r="BG348"/>
  <c r="BH348"/>
  <c r="BI348"/>
  <c r="BJ348"/>
  <c r="BK348"/>
  <c r="BL348"/>
  <c r="BM348"/>
  <c r="BN348"/>
  <c r="BO348"/>
  <c r="BP348"/>
  <c r="BQ348"/>
  <c r="BR348"/>
  <c r="BS348"/>
  <c r="BT348"/>
  <c r="BU348"/>
  <c r="BV348"/>
  <c r="BW348"/>
  <c r="BX348"/>
  <c r="BY348"/>
  <c r="BZ348"/>
  <c r="CA348"/>
  <c r="CB348"/>
  <c r="CC348"/>
  <c r="CD348"/>
  <c r="CE348"/>
  <c r="CF348"/>
  <c r="CG348"/>
  <c r="CH348"/>
  <c r="CI348"/>
  <c r="CJ348"/>
  <c r="CK348"/>
  <c r="CL348"/>
  <c r="CM348"/>
  <c r="CN348"/>
  <c r="CO348"/>
  <c r="CP348"/>
  <c r="CQ348"/>
  <c r="CR348"/>
  <c r="CS348"/>
  <c r="CT348"/>
  <c r="CU348"/>
  <c r="CV348"/>
  <c r="CW348"/>
  <c r="CX348"/>
  <c r="CY348"/>
  <c r="CZ348"/>
  <c r="DA348"/>
  <c r="DB348"/>
  <c r="DC348"/>
  <c r="DD348"/>
  <c r="DE348"/>
  <c r="DF348"/>
  <c r="DG348"/>
  <c r="DH348"/>
  <c r="DI348"/>
  <c r="DJ348"/>
  <c r="DK348"/>
  <c r="DL348"/>
  <c r="DM348"/>
  <c r="DN348"/>
  <c r="DO348"/>
  <c r="DP348"/>
  <c r="DQ348"/>
  <c r="DR348"/>
  <c r="DS348"/>
  <c r="DT348"/>
  <c r="DU348"/>
  <c r="DV348"/>
  <c r="DW348"/>
  <c r="DX348"/>
  <c r="DY348"/>
  <c r="DZ348"/>
  <c r="EA348"/>
  <c r="EB348"/>
  <c r="EC348"/>
  <c r="ED348"/>
  <c r="EE348"/>
  <c r="EF348"/>
  <c r="EG348"/>
  <c r="EH348"/>
  <c r="EI348"/>
  <c r="EJ348"/>
  <c r="EK348"/>
  <c r="EL348"/>
  <c r="EM348"/>
  <c r="EN348"/>
  <c r="EO348"/>
  <c r="EP348"/>
  <c r="EQ348"/>
  <c r="ER348"/>
  <c r="ES348"/>
  <c r="ET348"/>
  <c r="EU348"/>
  <c r="EV348"/>
  <c r="EW348"/>
  <c r="EX348"/>
  <c r="EY348"/>
  <c r="EZ348"/>
  <c r="FA348"/>
  <c r="FB348"/>
  <c r="FC348"/>
  <c r="FD348"/>
  <c r="FE348"/>
  <c r="FF348"/>
  <c r="FG348"/>
  <c r="FH348"/>
  <c r="FI348"/>
  <c r="FJ348"/>
  <c r="FK348"/>
  <c r="FL348"/>
  <c r="FM348"/>
  <c r="FN348"/>
  <c r="FO348"/>
  <c r="FP348"/>
  <c r="FQ348"/>
  <c r="FR348"/>
  <c r="FS348"/>
  <c r="FT348"/>
  <c r="FU348"/>
  <c r="FV348"/>
  <c r="FW348"/>
  <c r="FX348"/>
  <c r="FY348"/>
  <c r="FZ348"/>
  <c r="GA348"/>
  <c r="GB348"/>
  <c r="GC348"/>
  <c r="GD348"/>
  <c r="GE348"/>
  <c r="GF348"/>
  <c r="GG348"/>
  <c r="GH348"/>
  <c r="GI348"/>
  <c r="GJ348"/>
  <c r="GK348"/>
  <c r="GL348"/>
  <c r="GM348"/>
  <c r="GN348"/>
  <c r="GO348"/>
  <c r="GP348"/>
  <c r="GQ348"/>
  <c r="GR348"/>
  <c r="GS348"/>
  <c r="GT348"/>
  <c r="GU348"/>
  <c r="GV348"/>
  <c r="GW348"/>
  <c r="GX348"/>
  <c r="GY348"/>
  <c r="GZ348"/>
  <c r="HA348"/>
  <c r="HB348"/>
  <c r="HC348"/>
  <c r="HD348"/>
  <c r="HE348"/>
  <c r="HF348"/>
  <c r="HG348"/>
  <c r="HH348"/>
  <c r="HI348"/>
  <c r="HJ348"/>
  <c r="HK348"/>
  <c r="HL348"/>
  <c r="HM348"/>
  <c r="HN348"/>
  <c r="HO348"/>
  <c r="HP348"/>
  <c r="HQ348"/>
  <c r="HR348"/>
  <c r="HS348"/>
  <c r="HT348"/>
  <c r="HU348"/>
  <c r="HV348"/>
  <c r="HW348"/>
  <c r="HX348"/>
  <c r="HY348"/>
  <c r="HZ348"/>
  <c r="IA348"/>
  <c r="IB348"/>
  <c r="IC348"/>
  <c r="ID348"/>
  <c r="IE348"/>
  <c r="IF348"/>
  <c r="IG348"/>
  <c r="IH348"/>
  <c r="II348"/>
  <c r="IJ348"/>
  <c r="IK348"/>
  <c r="IL348"/>
  <c r="IM348"/>
  <c r="IN348"/>
  <c r="IO348"/>
  <c r="IP348"/>
  <c r="IQ348"/>
  <c r="IR348"/>
  <c r="IS348"/>
  <c r="IT348"/>
  <c r="IU348"/>
  <c r="IV348"/>
  <c r="A349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Z349"/>
  <c r="AA349"/>
  <c r="AB349"/>
  <c r="AC349"/>
  <c r="AD349"/>
  <c r="AE349"/>
  <c r="AF349"/>
  <c r="AG349"/>
  <c r="AH349"/>
  <c r="AI349"/>
  <c r="AJ349"/>
  <c r="AK349"/>
  <c r="AL349"/>
  <c r="AM349"/>
  <c r="AN349"/>
  <c r="AO349"/>
  <c r="AP349"/>
  <c r="AQ349"/>
  <c r="AR349"/>
  <c r="AS349"/>
  <c r="AT349"/>
  <c r="AU349"/>
  <c r="AV349"/>
  <c r="AW349"/>
  <c r="AX349"/>
  <c r="AY349"/>
  <c r="AZ349"/>
  <c r="BA349"/>
  <c r="BB349"/>
  <c r="BC349"/>
  <c r="BD349"/>
  <c r="BE349"/>
  <c r="BF349"/>
  <c r="BG349"/>
  <c r="BH349"/>
  <c r="BI349"/>
  <c r="BJ349"/>
  <c r="BK349"/>
  <c r="BL349"/>
  <c r="BM349"/>
  <c r="BN349"/>
  <c r="BO349"/>
  <c r="BP349"/>
  <c r="BQ349"/>
  <c r="BR349"/>
  <c r="BS349"/>
  <c r="BT349"/>
  <c r="BU349"/>
  <c r="BV349"/>
  <c r="BW349"/>
  <c r="BX349"/>
  <c r="BY349"/>
  <c r="BZ349"/>
  <c r="CA349"/>
  <c r="CB349"/>
  <c r="CC349"/>
  <c r="CD349"/>
  <c r="CE349"/>
  <c r="CF349"/>
  <c r="CG349"/>
  <c r="CH349"/>
  <c r="CI349"/>
  <c r="CJ349"/>
  <c r="CK349"/>
  <c r="CL349"/>
  <c r="CM349"/>
  <c r="CN349"/>
  <c r="CO349"/>
  <c r="CP349"/>
  <c r="CQ349"/>
  <c r="CR349"/>
  <c r="CS349"/>
  <c r="CT349"/>
  <c r="CU349"/>
  <c r="CV349"/>
  <c r="CW349"/>
  <c r="CX349"/>
  <c r="CY349"/>
  <c r="CZ349"/>
  <c r="DA349"/>
  <c r="DB349"/>
  <c r="DC349"/>
  <c r="DD349"/>
  <c r="DE349"/>
  <c r="DF349"/>
  <c r="DG349"/>
  <c r="DH349"/>
  <c r="DI349"/>
  <c r="DJ349"/>
  <c r="DK349"/>
  <c r="DL349"/>
  <c r="DM349"/>
  <c r="DN349"/>
  <c r="DO349"/>
  <c r="DP349"/>
  <c r="DQ349"/>
  <c r="DR349"/>
  <c r="DS349"/>
  <c r="DT349"/>
  <c r="DU349"/>
  <c r="DV349"/>
  <c r="DW349"/>
  <c r="DX349"/>
  <c r="DY349"/>
  <c r="DZ349"/>
  <c r="EA349"/>
  <c r="EB349"/>
  <c r="EC349"/>
  <c r="ED349"/>
  <c r="EE349"/>
  <c r="EF349"/>
  <c r="EG349"/>
  <c r="EH349"/>
  <c r="EI349"/>
  <c r="EJ349"/>
  <c r="EK349"/>
  <c r="EL349"/>
  <c r="EM349"/>
  <c r="EN349"/>
  <c r="EO349"/>
  <c r="EP349"/>
  <c r="EQ349"/>
  <c r="ER349"/>
  <c r="ES349"/>
  <c r="ET349"/>
  <c r="EU349"/>
  <c r="EV349"/>
  <c r="EW349"/>
  <c r="EX349"/>
  <c r="EY349"/>
  <c r="EZ349"/>
  <c r="FA349"/>
  <c r="FB349"/>
  <c r="FC349"/>
  <c r="FD349"/>
  <c r="FE349"/>
  <c r="FF349"/>
  <c r="FG349"/>
  <c r="FH349"/>
  <c r="FI349"/>
  <c r="FJ349"/>
  <c r="FK349"/>
  <c r="FL349"/>
  <c r="FM349"/>
  <c r="FN349"/>
  <c r="FO349"/>
  <c r="FP349"/>
  <c r="FQ349"/>
  <c r="FR349"/>
  <c r="FS349"/>
  <c r="FT349"/>
  <c r="FU349"/>
  <c r="FV349"/>
  <c r="FW349"/>
  <c r="FX349"/>
  <c r="FY349"/>
  <c r="FZ349"/>
  <c r="GA349"/>
  <c r="GB349"/>
  <c r="GC349"/>
  <c r="GD349"/>
  <c r="GE349"/>
  <c r="GF349"/>
  <c r="GG349"/>
  <c r="GH349"/>
  <c r="GI349"/>
  <c r="GJ349"/>
  <c r="GK349"/>
  <c r="GL349"/>
  <c r="GM349"/>
  <c r="GN349"/>
  <c r="GO349"/>
  <c r="GP349"/>
  <c r="GQ349"/>
  <c r="GR349"/>
  <c r="GS349"/>
  <c r="GT349"/>
  <c r="GU349"/>
  <c r="GV349"/>
  <c r="GW349"/>
  <c r="GX349"/>
  <c r="GY349"/>
  <c r="GZ349"/>
  <c r="HA349"/>
  <c r="HB349"/>
  <c r="HC349"/>
  <c r="HD349"/>
  <c r="HE349"/>
  <c r="HF349"/>
  <c r="HG349"/>
  <c r="HH349"/>
  <c r="HI349"/>
  <c r="HJ349"/>
  <c r="HK349"/>
  <c r="HL349"/>
  <c r="HM349"/>
  <c r="HN349"/>
  <c r="HO349"/>
  <c r="HP349"/>
  <c r="HQ349"/>
  <c r="HR349"/>
  <c r="HS349"/>
  <c r="HT349"/>
  <c r="HU349"/>
  <c r="HV349"/>
  <c r="HW349"/>
  <c r="HX349"/>
  <c r="HY349"/>
  <c r="HZ349"/>
  <c r="IA349"/>
  <c r="IB349"/>
  <c r="IC349"/>
  <c r="ID349"/>
  <c r="IE349"/>
  <c r="IF349"/>
  <c r="IG349"/>
  <c r="IH349"/>
  <c r="II349"/>
  <c r="IJ349"/>
  <c r="IK349"/>
  <c r="IL349"/>
  <c r="IM349"/>
  <c r="IN349"/>
  <c r="IO349"/>
  <c r="IP349"/>
  <c r="IQ349"/>
  <c r="IR349"/>
  <c r="IS349"/>
  <c r="IT349"/>
  <c r="IU349"/>
  <c r="IV349"/>
  <c r="A350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Z350"/>
  <c r="AA350"/>
  <c r="AB350"/>
  <c r="AC350"/>
  <c r="AD350"/>
  <c r="AE350"/>
  <c r="AF350"/>
  <c r="AG350"/>
  <c r="AH350"/>
  <c r="AI350"/>
  <c r="AJ350"/>
  <c r="AK350"/>
  <c r="AL350"/>
  <c r="AM350"/>
  <c r="AN350"/>
  <c r="AO350"/>
  <c r="AP350"/>
  <c r="AQ350"/>
  <c r="AR350"/>
  <c r="AS350"/>
  <c r="AT350"/>
  <c r="AU350"/>
  <c r="AV350"/>
  <c r="AW350"/>
  <c r="AX350"/>
  <c r="AY350"/>
  <c r="AZ350"/>
  <c r="BA350"/>
  <c r="BB350"/>
  <c r="BC350"/>
  <c r="BD350"/>
  <c r="BE350"/>
  <c r="BF350"/>
  <c r="BG350"/>
  <c r="BH350"/>
  <c r="BI350"/>
  <c r="BJ350"/>
  <c r="BK350"/>
  <c r="BL350"/>
  <c r="BM350"/>
  <c r="BN350"/>
  <c r="BO350"/>
  <c r="BP350"/>
  <c r="BQ350"/>
  <c r="BR350"/>
  <c r="BS350"/>
  <c r="BT350"/>
  <c r="BU350"/>
  <c r="BV350"/>
  <c r="BW350"/>
  <c r="BX350"/>
  <c r="BY350"/>
  <c r="BZ350"/>
  <c r="CA350"/>
  <c r="CB350"/>
  <c r="CC350"/>
  <c r="CD350"/>
  <c r="CE350"/>
  <c r="CF350"/>
  <c r="CG350"/>
  <c r="CH350"/>
  <c r="CI350"/>
  <c r="CJ350"/>
  <c r="CK350"/>
  <c r="CL350"/>
  <c r="CM350"/>
  <c r="CN350"/>
  <c r="CO350"/>
  <c r="CP350"/>
  <c r="CQ350"/>
  <c r="CR350"/>
  <c r="CS350"/>
  <c r="CT350"/>
  <c r="CU350"/>
  <c r="CV350"/>
  <c r="CW350"/>
  <c r="CX350"/>
  <c r="CY350"/>
  <c r="CZ350"/>
  <c r="DA350"/>
  <c r="DB350"/>
  <c r="DC350"/>
  <c r="DD350"/>
  <c r="DE350"/>
  <c r="DF350"/>
  <c r="DG350"/>
  <c r="DH350"/>
  <c r="DI350"/>
  <c r="DJ350"/>
  <c r="DK350"/>
  <c r="DL350"/>
  <c r="DM350"/>
  <c r="DN350"/>
  <c r="DO350"/>
  <c r="DP350"/>
  <c r="DQ350"/>
  <c r="DR350"/>
  <c r="DS350"/>
  <c r="DT350"/>
  <c r="DU350"/>
  <c r="DV350"/>
  <c r="DW350"/>
  <c r="DX350"/>
  <c r="DY350"/>
  <c r="DZ350"/>
  <c r="EA350"/>
  <c r="EB350"/>
  <c r="EC350"/>
  <c r="ED350"/>
  <c r="EE350"/>
  <c r="EF350"/>
  <c r="EG350"/>
  <c r="EH350"/>
  <c r="EI350"/>
  <c r="EJ350"/>
  <c r="EK350"/>
  <c r="EL350"/>
  <c r="EM350"/>
  <c r="EN350"/>
  <c r="EO350"/>
  <c r="EP350"/>
  <c r="EQ350"/>
  <c r="ER350"/>
  <c r="ES350"/>
  <c r="ET350"/>
  <c r="EU350"/>
  <c r="EV350"/>
  <c r="EW350"/>
  <c r="EX350"/>
  <c r="EY350"/>
  <c r="EZ350"/>
  <c r="FA350"/>
  <c r="FB350"/>
  <c r="FC350"/>
  <c r="FD350"/>
  <c r="FE350"/>
  <c r="FF350"/>
  <c r="FG350"/>
  <c r="FH350"/>
  <c r="FI350"/>
  <c r="FJ350"/>
  <c r="FK350"/>
  <c r="FL350"/>
  <c r="FM350"/>
  <c r="FN350"/>
  <c r="FO350"/>
  <c r="FP350"/>
  <c r="FQ350"/>
  <c r="FR350"/>
  <c r="FS350"/>
  <c r="FT350"/>
  <c r="FU350"/>
  <c r="FV350"/>
  <c r="FW350"/>
  <c r="FX350"/>
  <c r="FY350"/>
  <c r="FZ350"/>
  <c r="GA350"/>
  <c r="GB350"/>
  <c r="GC350"/>
  <c r="GD350"/>
  <c r="GE350"/>
  <c r="GF350"/>
  <c r="GG350"/>
  <c r="GH350"/>
  <c r="GI350"/>
  <c r="GJ350"/>
  <c r="GK350"/>
  <c r="GL350"/>
  <c r="GM350"/>
  <c r="GN350"/>
  <c r="GO350"/>
  <c r="GP350"/>
  <c r="GQ350"/>
  <c r="GR350"/>
  <c r="GS350"/>
  <c r="GT350"/>
  <c r="GU350"/>
  <c r="GV350"/>
  <c r="GW350"/>
  <c r="GX350"/>
  <c r="GY350"/>
  <c r="GZ350"/>
  <c r="HA350"/>
  <c r="HB350"/>
  <c r="HC350"/>
  <c r="HD350"/>
  <c r="HE350"/>
  <c r="HF350"/>
  <c r="HG350"/>
  <c r="HH350"/>
  <c r="HI350"/>
  <c r="HJ350"/>
  <c r="HK350"/>
  <c r="HL350"/>
  <c r="HM350"/>
  <c r="HN350"/>
  <c r="HO350"/>
  <c r="HP350"/>
  <c r="HQ350"/>
  <c r="HR350"/>
  <c r="HS350"/>
  <c r="HT350"/>
  <c r="HU350"/>
  <c r="HV350"/>
  <c r="HW350"/>
  <c r="HX350"/>
  <c r="HY350"/>
  <c r="HZ350"/>
  <c r="IA350"/>
  <c r="IB350"/>
  <c r="IC350"/>
  <c r="ID350"/>
  <c r="IE350"/>
  <c r="IF350"/>
  <c r="IG350"/>
  <c r="IH350"/>
  <c r="II350"/>
  <c r="IJ350"/>
  <c r="IK350"/>
  <c r="IL350"/>
  <c r="IM350"/>
  <c r="IN350"/>
  <c r="IO350"/>
  <c r="IP350"/>
  <c r="IQ350"/>
  <c r="IR350"/>
  <c r="IS350"/>
  <c r="IT350"/>
  <c r="IU350"/>
  <c r="IV350"/>
  <c r="A351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Z351"/>
  <c r="AA351"/>
  <c r="AB351"/>
  <c r="AC351"/>
  <c r="AD351"/>
  <c r="AE351"/>
  <c r="AF351"/>
  <c r="AG351"/>
  <c r="AH351"/>
  <c r="AI351"/>
  <c r="AJ351"/>
  <c r="AK351"/>
  <c r="AL351"/>
  <c r="AM351"/>
  <c r="AN351"/>
  <c r="AO351"/>
  <c r="AP351"/>
  <c r="AQ351"/>
  <c r="AR351"/>
  <c r="AS351"/>
  <c r="AT351"/>
  <c r="AU351"/>
  <c r="AV351"/>
  <c r="AW351"/>
  <c r="AX351"/>
  <c r="AY351"/>
  <c r="AZ351"/>
  <c r="BA351"/>
  <c r="BB351"/>
  <c r="BC351"/>
  <c r="BD351"/>
  <c r="BE351"/>
  <c r="BF351"/>
  <c r="BG351"/>
  <c r="BH351"/>
  <c r="BI351"/>
  <c r="BJ351"/>
  <c r="BK351"/>
  <c r="BL351"/>
  <c r="BM351"/>
  <c r="BN351"/>
  <c r="BO351"/>
  <c r="BP351"/>
  <c r="BQ351"/>
  <c r="BR351"/>
  <c r="BS351"/>
  <c r="BT351"/>
  <c r="BU351"/>
  <c r="BV351"/>
  <c r="BW351"/>
  <c r="BX351"/>
  <c r="BY351"/>
  <c r="BZ351"/>
  <c r="CA351"/>
  <c r="CB351"/>
  <c r="CC351"/>
  <c r="CD351"/>
  <c r="CE351"/>
  <c r="CF351"/>
  <c r="CG351"/>
  <c r="CH351"/>
  <c r="CI351"/>
  <c r="CJ351"/>
  <c r="CK351"/>
  <c r="CL351"/>
  <c r="CM351"/>
  <c r="CN351"/>
  <c r="CO351"/>
  <c r="CP351"/>
  <c r="CQ351"/>
  <c r="CR351"/>
  <c r="CS351"/>
  <c r="CT351"/>
  <c r="CU351"/>
  <c r="CV351"/>
  <c r="CW351"/>
  <c r="CX351"/>
  <c r="CY351"/>
  <c r="CZ351"/>
  <c r="DA351"/>
  <c r="DB351"/>
  <c r="DC351"/>
  <c r="DD351"/>
  <c r="DE351"/>
  <c r="DF351"/>
  <c r="DG351"/>
  <c r="DH351"/>
  <c r="DI351"/>
  <c r="DJ351"/>
  <c r="DK351"/>
  <c r="DL351"/>
  <c r="DM351"/>
  <c r="DN351"/>
  <c r="DO351"/>
  <c r="DP351"/>
  <c r="DQ351"/>
  <c r="DR351"/>
  <c r="DS351"/>
  <c r="DT351"/>
  <c r="DU351"/>
  <c r="DV351"/>
  <c r="DW351"/>
  <c r="DX351"/>
  <c r="DY351"/>
  <c r="DZ351"/>
  <c r="EA351"/>
  <c r="EB351"/>
  <c r="EC351"/>
  <c r="ED351"/>
  <c r="EE351"/>
  <c r="EF351"/>
  <c r="EG351"/>
  <c r="EH351"/>
  <c r="EI351"/>
  <c r="EJ351"/>
  <c r="EK351"/>
  <c r="EL351"/>
  <c r="EM351"/>
  <c r="EN351"/>
  <c r="EO351"/>
  <c r="EP351"/>
  <c r="EQ351"/>
  <c r="ER351"/>
  <c r="ES351"/>
  <c r="ET351"/>
  <c r="EU351"/>
  <c r="EV351"/>
  <c r="EW351"/>
  <c r="EX351"/>
  <c r="EY351"/>
  <c r="EZ351"/>
  <c r="FA351"/>
  <c r="FB351"/>
  <c r="FC351"/>
  <c r="FD351"/>
  <c r="FE351"/>
  <c r="FF351"/>
  <c r="FG351"/>
  <c r="FH351"/>
  <c r="FI351"/>
  <c r="FJ351"/>
  <c r="FK351"/>
  <c r="FL351"/>
  <c r="FM351"/>
  <c r="FN351"/>
  <c r="FO351"/>
  <c r="FP351"/>
  <c r="FQ351"/>
  <c r="FR351"/>
  <c r="FS351"/>
  <c r="FT351"/>
  <c r="FU351"/>
  <c r="FV351"/>
  <c r="FW351"/>
  <c r="FX351"/>
  <c r="FY351"/>
  <c r="FZ351"/>
  <c r="GA351"/>
  <c r="GB351"/>
  <c r="GC351"/>
  <c r="GD351"/>
  <c r="GE351"/>
  <c r="GF351"/>
  <c r="GG351"/>
  <c r="GH351"/>
  <c r="GI351"/>
  <c r="GJ351"/>
  <c r="GK351"/>
  <c r="GL351"/>
  <c r="GM351"/>
  <c r="GN351"/>
  <c r="GO351"/>
  <c r="GP351"/>
  <c r="GQ351"/>
  <c r="GR351"/>
  <c r="GS351"/>
  <c r="GT351"/>
  <c r="GU351"/>
  <c r="GV351"/>
  <c r="GW351"/>
  <c r="GX351"/>
  <c r="GY351"/>
  <c r="GZ351"/>
  <c r="HA351"/>
  <c r="HB351"/>
  <c r="HC351"/>
  <c r="HD351"/>
  <c r="HE351"/>
  <c r="HF351"/>
  <c r="HG351"/>
  <c r="HH351"/>
  <c r="HI351"/>
  <c r="HJ351"/>
  <c r="HK351"/>
  <c r="HL351"/>
  <c r="HM351"/>
  <c r="HN351"/>
  <c r="HO351"/>
  <c r="HP351"/>
  <c r="HQ351"/>
  <c r="HR351"/>
  <c r="HS351"/>
  <c r="HT351"/>
  <c r="HU351"/>
  <c r="HV351"/>
  <c r="HW351"/>
  <c r="HX351"/>
  <c r="HY351"/>
  <c r="HZ351"/>
  <c r="IA351"/>
  <c r="IB351"/>
  <c r="IC351"/>
  <c r="ID351"/>
  <c r="IE351"/>
  <c r="IF351"/>
  <c r="IG351"/>
  <c r="IH351"/>
  <c r="II351"/>
  <c r="IJ351"/>
  <c r="IK351"/>
  <c r="IL351"/>
  <c r="IM351"/>
  <c r="IN351"/>
  <c r="IO351"/>
  <c r="IP351"/>
  <c r="IQ351"/>
  <c r="IR351"/>
  <c r="IS351"/>
  <c r="IT351"/>
  <c r="IU351"/>
  <c r="IV351"/>
  <c r="A352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Z352"/>
  <c r="AA352"/>
  <c r="AB352"/>
  <c r="AC352"/>
  <c r="AD352"/>
  <c r="AE352"/>
  <c r="AF352"/>
  <c r="AG352"/>
  <c r="AH352"/>
  <c r="AI352"/>
  <c r="AJ352"/>
  <c r="AK352"/>
  <c r="AL352"/>
  <c r="AM352"/>
  <c r="AN352"/>
  <c r="AO352"/>
  <c r="AP352"/>
  <c r="AQ352"/>
  <c r="AR352"/>
  <c r="AS352"/>
  <c r="AT352"/>
  <c r="AU352"/>
  <c r="AV352"/>
  <c r="AW352"/>
  <c r="AX352"/>
  <c r="AY352"/>
  <c r="AZ352"/>
  <c r="BA352"/>
  <c r="BB352"/>
  <c r="BC352"/>
  <c r="BD352"/>
  <c r="BE352"/>
  <c r="BF352"/>
  <c r="BG352"/>
  <c r="BH352"/>
  <c r="BI352"/>
  <c r="BJ352"/>
  <c r="BK352"/>
  <c r="BL352"/>
  <c r="BM352"/>
  <c r="BN352"/>
  <c r="BO352"/>
  <c r="BP352"/>
  <c r="BQ352"/>
  <c r="BR352"/>
  <c r="BS352"/>
  <c r="BT352"/>
  <c r="BU352"/>
  <c r="BV352"/>
  <c r="BW352"/>
  <c r="BX352"/>
  <c r="BY352"/>
  <c r="BZ352"/>
  <c r="CA352"/>
  <c r="CB352"/>
  <c r="CC352"/>
  <c r="CD352"/>
  <c r="CE352"/>
  <c r="CF352"/>
  <c r="CG352"/>
  <c r="CH352"/>
  <c r="CI352"/>
  <c r="CJ352"/>
  <c r="CK352"/>
  <c r="CL352"/>
  <c r="CM352"/>
  <c r="CN352"/>
  <c r="CO352"/>
  <c r="CP352"/>
  <c r="CQ352"/>
  <c r="CR352"/>
  <c r="CS352"/>
  <c r="CT352"/>
  <c r="CU352"/>
  <c r="CV352"/>
  <c r="CW352"/>
  <c r="CX352"/>
  <c r="CY352"/>
  <c r="CZ352"/>
  <c r="DA352"/>
  <c r="DB352"/>
  <c r="DC352"/>
  <c r="DD352"/>
  <c r="DE352"/>
  <c r="DF352"/>
  <c r="DG352"/>
  <c r="DH352"/>
  <c r="DI352"/>
  <c r="DJ352"/>
  <c r="DK352"/>
  <c r="DL352"/>
  <c r="DM352"/>
  <c r="DN352"/>
  <c r="DO352"/>
  <c r="DP352"/>
  <c r="DQ352"/>
  <c r="DR352"/>
  <c r="DS352"/>
  <c r="DT352"/>
  <c r="DU352"/>
  <c r="DV352"/>
  <c r="DW352"/>
  <c r="DX352"/>
  <c r="DY352"/>
  <c r="DZ352"/>
  <c r="EA352"/>
  <c r="EB352"/>
  <c r="EC352"/>
  <c r="ED352"/>
  <c r="EE352"/>
  <c r="EF352"/>
  <c r="EG352"/>
  <c r="EH352"/>
  <c r="EI352"/>
  <c r="EJ352"/>
  <c r="EK352"/>
  <c r="EL352"/>
  <c r="EM352"/>
  <c r="EN352"/>
  <c r="EO352"/>
  <c r="EP352"/>
  <c r="EQ352"/>
  <c r="ER352"/>
  <c r="ES352"/>
  <c r="ET352"/>
  <c r="EU352"/>
  <c r="EV352"/>
  <c r="EW352"/>
  <c r="EX352"/>
  <c r="EY352"/>
  <c r="EZ352"/>
  <c r="FA352"/>
  <c r="FB352"/>
  <c r="FC352"/>
  <c r="FD352"/>
  <c r="FE352"/>
  <c r="FF352"/>
  <c r="FG352"/>
  <c r="FH352"/>
  <c r="FI352"/>
  <c r="FJ352"/>
  <c r="FK352"/>
  <c r="FL352"/>
  <c r="FM352"/>
  <c r="FN352"/>
  <c r="FO352"/>
  <c r="FP352"/>
  <c r="FQ352"/>
  <c r="FR352"/>
  <c r="FS352"/>
  <c r="FT352"/>
  <c r="FU352"/>
  <c r="FV352"/>
  <c r="FW352"/>
  <c r="FX352"/>
  <c r="FY352"/>
  <c r="FZ352"/>
  <c r="GA352"/>
  <c r="GB352"/>
  <c r="GC352"/>
  <c r="GD352"/>
  <c r="GE352"/>
  <c r="GF352"/>
  <c r="GG352"/>
  <c r="GH352"/>
  <c r="GI352"/>
  <c r="GJ352"/>
  <c r="GK352"/>
  <c r="GL352"/>
  <c r="GM352"/>
  <c r="GN352"/>
  <c r="GO352"/>
  <c r="GP352"/>
  <c r="GQ352"/>
  <c r="GR352"/>
  <c r="GS352"/>
  <c r="GT352"/>
  <c r="GU352"/>
  <c r="GV352"/>
  <c r="GW352"/>
  <c r="GX352"/>
  <c r="GY352"/>
  <c r="GZ352"/>
  <c r="HA352"/>
  <c r="HB352"/>
  <c r="HC352"/>
  <c r="HD352"/>
  <c r="HE352"/>
  <c r="HF352"/>
  <c r="HG352"/>
  <c r="HH352"/>
  <c r="HI352"/>
  <c r="HJ352"/>
  <c r="HK352"/>
  <c r="HL352"/>
  <c r="HM352"/>
  <c r="HN352"/>
  <c r="HO352"/>
  <c r="HP352"/>
  <c r="HQ352"/>
  <c r="HR352"/>
  <c r="HS352"/>
  <c r="HT352"/>
  <c r="HU352"/>
  <c r="HV352"/>
  <c r="HW352"/>
  <c r="HX352"/>
  <c r="HY352"/>
  <c r="HZ352"/>
  <c r="IA352"/>
  <c r="IB352"/>
  <c r="IC352"/>
  <c r="ID352"/>
  <c r="IE352"/>
  <c r="IF352"/>
  <c r="IG352"/>
  <c r="IH352"/>
  <c r="II352"/>
  <c r="IJ352"/>
  <c r="IK352"/>
  <c r="IL352"/>
  <c r="IM352"/>
  <c r="IN352"/>
  <c r="IO352"/>
  <c r="IP352"/>
  <c r="IQ352"/>
  <c r="IR352"/>
  <c r="IS352"/>
  <c r="IT352"/>
  <c r="IU352"/>
  <c r="IV352"/>
  <c r="A353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Z353"/>
  <c r="AA353"/>
  <c r="AB353"/>
  <c r="AC353"/>
  <c r="AD353"/>
  <c r="AE353"/>
  <c r="AF353"/>
  <c r="AG353"/>
  <c r="AH353"/>
  <c r="AI353"/>
  <c r="AJ353"/>
  <c r="AK353"/>
  <c r="AL353"/>
  <c r="AM353"/>
  <c r="AN353"/>
  <c r="AO353"/>
  <c r="AP353"/>
  <c r="AQ353"/>
  <c r="AR353"/>
  <c r="AS353"/>
  <c r="AT353"/>
  <c r="AU353"/>
  <c r="AV353"/>
  <c r="AW353"/>
  <c r="AX353"/>
  <c r="AY353"/>
  <c r="AZ353"/>
  <c r="BA353"/>
  <c r="BB353"/>
  <c r="BC353"/>
  <c r="BD353"/>
  <c r="BE353"/>
  <c r="BF353"/>
  <c r="BG353"/>
  <c r="BH353"/>
  <c r="BI353"/>
  <c r="BJ353"/>
  <c r="BK353"/>
  <c r="BL353"/>
  <c r="BM353"/>
  <c r="BN353"/>
  <c r="BO353"/>
  <c r="BP353"/>
  <c r="BQ353"/>
  <c r="BR353"/>
  <c r="BS353"/>
  <c r="BT353"/>
  <c r="BU353"/>
  <c r="BV353"/>
  <c r="BW353"/>
  <c r="BX353"/>
  <c r="BY353"/>
  <c r="BZ353"/>
  <c r="CA353"/>
  <c r="CB353"/>
  <c r="CC353"/>
  <c r="CD353"/>
  <c r="CE353"/>
  <c r="CF353"/>
  <c r="CG353"/>
  <c r="CH353"/>
  <c r="CI353"/>
  <c r="CJ353"/>
  <c r="CK353"/>
  <c r="CL353"/>
  <c r="CM353"/>
  <c r="CN353"/>
  <c r="CO353"/>
  <c r="CP353"/>
  <c r="CQ353"/>
  <c r="CR353"/>
  <c r="CS353"/>
  <c r="CT353"/>
  <c r="CU353"/>
  <c r="CV353"/>
  <c r="CW353"/>
  <c r="CX353"/>
  <c r="CY353"/>
  <c r="CZ353"/>
  <c r="DA353"/>
  <c r="DB353"/>
  <c r="DC353"/>
  <c r="DD353"/>
  <c r="DE353"/>
  <c r="DF353"/>
  <c r="DG353"/>
  <c r="DH353"/>
  <c r="DI353"/>
  <c r="DJ353"/>
  <c r="DK353"/>
  <c r="DL353"/>
  <c r="DM353"/>
  <c r="DN353"/>
  <c r="DO353"/>
  <c r="DP353"/>
  <c r="DQ353"/>
  <c r="DR353"/>
  <c r="DS353"/>
  <c r="DT353"/>
  <c r="DU353"/>
  <c r="DV353"/>
  <c r="DW353"/>
  <c r="DX353"/>
  <c r="DY353"/>
  <c r="DZ353"/>
  <c r="EA353"/>
  <c r="EB353"/>
  <c r="EC353"/>
  <c r="ED353"/>
  <c r="EE353"/>
  <c r="EF353"/>
  <c r="EG353"/>
  <c r="EH353"/>
  <c r="EI353"/>
  <c r="EJ353"/>
  <c r="EK353"/>
  <c r="EL353"/>
  <c r="EM353"/>
  <c r="EN353"/>
  <c r="EO353"/>
  <c r="EP353"/>
  <c r="EQ353"/>
  <c r="ER353"/>
  <c r="ES353"/>
  <c r="ET353"/>
  <c r="EU353"/>
  <c r="EV353"/>
  <c r="EW353"/>
  <c r="EX353"/>
  <c r="EY353"/>
  <c r="EZ353"/>
  <c r="FA353"/>
  <c r="FB353"/>
  <c r="FC353"/>
  <c r="FD353"/>
  <c r="FE353"/>
  <c r="FF353"/>
  <c r="FG353"/>
  <c r="FH353"/>
  <c r="FI353"/>
  <c r="FJ353"/>
  <c r="FK353"/>
  <c r="FL353"/>
  <c r="FM353"/>
  <c r="FN353"/>
  <c r="FO353"/>
  <c r="FP353"/>
  <c r="FQ353"/>
  <c r="FR353"/>
  <c r="FS353"/>
  <c r="FT353"/>
  <c r="FU353"/>
  <c r="FV353"/>
  <c r="FW353"/>
  <c r="FX353"/>
  <c r="FY353"/>
  <c r="FZ353"/>
  <c r="GA353"/>
  <c r="GB353"/>
  <c r="GC353"/>
  <c r="GD353"/>
  <c r="GE353"/>
  <c r="GF353"/>
  <c r="GG353"/>
  <c r="GH353"/>
  <c r="GI353"/>
  <c r="GJ353"/>
  <c r="GK353"/>
  <c r="GL353"/>
  <c r="GM353"/>
  <c r="GN353"/>
  <c r="GO353"/>
  <c r="GP353"/>
  <c r="GQ353"/>
  <c r="GR353"/>
  <c r="GS353"/>
  <c r="GT353"/>
  <c r="GU353"/>
  <c r="GV353"/>
  <c r="GW353"/>
  <c r="GX353"/>
  <c r="GY353"/>
  <c r="GZ353"/>
  <c r="HA353"/>
  <c r="HB353"/>
  <c r="HC353"/>
  <c r="HD353"/>
  <c r="HE353"/>
  <c r="HF353"/>
  <c r="HG353"/>
  <c r="HH353"/>
  <c r="HI353"/>
  <c r="HJ353"/>
  <c r="HK353"/>
  <c r="HL353"/>
  <c r="HM353"/>
  <c r="HN353"/>
  <c r="HO353"/>
  <c r="HP353"/>
  <c r="HQ353"/>
  <c r="HR353"/>
  <c r="HS353"/>
  <c r="HT353"/>
  <c r="HU353"/>
  <c r="HV353"/>
  <c r="HW353"/>
  <c r="HX353"/>
  <c r="HY353"/>
  <c r="HZ353"/>
  <c r="IA353"/>
  <c r="IB353"/>
  <c r="IC353"/>
  <c r="ID353"/>
  <c r="IE353"/>
  <c r="IF353"/>
  <c r="IG353"/>
  <c r="IH353"/>
  <c r="II353"/>
  <c r="IJ353"/>
  <c r="IK353"/>
  <c r="IL353"/>
  <c r="IM353"/>
  <c r="IN353"/>
  <c r="IO353"/>
  <c r="IP353"/>
  <c r="IQ353"/>
  <c r="IR353"/>
  <c r="IS353"/>
  <c r="IT353"/>
  <c r="IU353"/>
  <c r="IV353"/>
  <c r="A354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Z354"/>
  <c r="AA354"/>
  <c r="AB354"/>
  <c r="AC354"/>
  <c r="AD354"/>
  <c r="AE354"/>
  <c r="AF354"/>
  <c r="AG354"/>
  <c r="AH354"/>
  <c r="AI354"/>
  <c r="AJ354"/>
  <c r="AK354"/>
  <c r="AL354"/>
  <c r="AM354"/>
  <c r="AN354"/>
  <c r="AO354"/>
  <c r="AP354"/>
  <c r="AQ354"/>
  <c r="AR354"/>
  <c r="AS354"/>
  <c r="AT354"/>
  <c r="AU354"/>
  <c r="AV354"/>
  <c r="AW354"/>
  <c r="AX354"/>
  <c r="AY354"/>
  <c r="AZ354"/>
  <c r="BA354"/>
  <c r="BB354"/>
  <c r="BC354"/>
  <c r="BD354"/>
  <c r="BE354"/>
  <c r="BF354"/>
  <c r="BG354"/>
  <c r="BH354"/>
  <c r="BI354"/>
  <c r="BJ354"/>
  <c r="BK354"/>
  <c r="BL354"/>
  <c r="BM354"/>
  <c r="BN354"/>
  <c r="BO354"/>
  <c r="BP354"/>
  <c r="BQ354"/>
  <c r="BR354"/>
  <c r="BS354"/>
  <c r="BT354"/>
  <c r="BU354"/>
  <c r="BV354"/>
  <c r="BW354"/>
  <c r="BX354"/>
  <c r="BY354"/>
  <c r="BZ354"/>
  <c r="CA354"/>
  <c r="CB354"/>
  <c r="CC354"/>
  <c r="CD354"/>
  <c r="CE354"/>
  <c r="CF354"/>
  <c r="CG354"/>
  <c r="CH354"/>
  <c r="CI354"/>
  <c r="CJ354"/>
  <c r="CK354"/>
  <c r="CL354"/>
  <c r="CM354"/>
  <c r="CN354"/>
  <c r="CO354"/>
  <c r="CP354"/>
  <c r="CQ354"/>
  <c r="CR354"/>
  <c r="CS354"/>
  <c r="CT354"/>
  <c r="CU354"/>
  <c r="CV354"/>
  <c r="CW354"/>
  <c r="CX354"/>
  <c r="CY354"/>
  <c r="CZ354"/>
  <c r="DA354"/>
  <c r="DB354"/>
  <c r="DC354"/>
  <c r="DD354"/>
  <c r="DE354"/>
  <c r="DF354"/>
  <c r="DG354"/>
  <c r="DH354"/>
  <c r="DI354"/>
  <c r="DJ354"/>
  <c r="DK354"/>
  <c r="DL354"/>
  <c r="DM354"/>
  <c r="DN354"/>
  <c r="DO354"/>
  <c r="DP354"/>
  <c r="DQ354"/>
  <c r="DR354"/>
  <c r="DS354"/>
  <c r="DT354"/>
  <c r="DU354"/>
  <c r="DV354"/>
  <c r="DW354"/>
  <c r="DX354"/>
  <c r="DY354"/>
  <c r="DZ354"/>
  <c r="EA354"/>
  <c r="EB354"/>
  <c r="EC354"/>
  <c r="ED354"/>
  <c r="EE354"/>
  <c r="EF354"/>
  <c r="EG354"/>
  <c r="EH354"/>
  <c r="EI354"/>
  <c r="EJ354"/>
  <c r="EK354"/>
  <c r="EL354"/>
  <c r="EM354"/>
  <c r="EN354"/>
  <c r="EO354"/>
  <c r="EP354"/>
  <c r="EQ354"/>
  <c r="ER354"/>
  <c r="ES354"/>
  <c r="ET354"/>
  <c r="EU354"/>
  <c r="EV354"/>
  <c r="EW354"/>
  <c r="EX354"/>
  <c r="EY354"/>
  <c r="EZ354"/>
  <c r="FA354"/>
  <c r="FB354"/>
  <c r="FC354"/>
  <c r="FD354"/>
  <c r="FE354"/>
  <c r="FF354"/>
  <c r="FG354"/>
  <c r="FH354"/>
  <c r="FI354"/>
  <c r="FJ354"/>
  <c r="FK354"/>
  <c r="FL354"/>
  <c r="FM354"/>
  <c r="FN354"/>
  <c r="FO354"/>
  <c r="FP354"/>
  <c r="FQ354"/>
  <c r="FR354"/>
  <c r="FS354"/>
  <c r="FT354"/>
  <c r="FU354"/>
  <c r="FV354"/>
  <c r="FW354"/>
  <c r="FX354"/>
  <c r="FY354"/>
  <c r="FZ354"/>
  <c r="GA354"/>
  <c r="GB354"/>
  <c r="GC354"/>
  <c r="GD354"/>
  <c r="GE354"/>
  <c r="GF354"/>
  <c r="GG354"/>
  <c r="GH354"/>
  <c r="GI354"/>
  <c r="GJ354"/>
  <c r="GK354"/>
  <c r="GL354"/>
  <c r="GM354"/>
  <c r="GN354"/>
  <c r="GO354"/>
  <c r="GP354"/>
  <c r="GQ354"/>
  <c r="GR354"/>
  <c r="GS354"/>
  <c r="GT354"/>
  <c r="GU354"/>
  <c r="GV354"/>
  <c r="GW354"/>
  <c r="GX354"/>
  <c r="GY354"/>
  <c r="GZ354"/>
  <c r="HA354"/>
  <c r="HB354"/>
  <c r="HC354"/>
  <c r="HD354"/>
  <c r="HE354"/>
  <c r="HF354"/>
  <c r="HG354"/>
  <c r="HH354"/>
  <c r="HI354"/>
  <c r="HJ354"/>
  <c r="HK354"/>
  <c r="HL354"/>
  <c r="HM354"/>
  <c r="HN354"/>
  <c r="HO354"/>
  <c r="HP354"/>
  <c r="HQ354"/>
  <c r="HR354"/>
  <c r="HS354"/>
  <c r="HT354"/>
  <c r="HU354"/>
  <c r="HV354"/>
  <c r="HW354"/>
  <c r="HX354"/>
  <c r="HY354"/>
  <c r="HZ354"/>
  <c r="IA354"/>
  <c r="IB354"/>
  <c r="IC354"/>
  <c r="ID354"/>
  <c r="IE354"/>
  <c r="IF354"/>
  <c r="IG354"/>
  <c r="IH354"/>
  <c r="II354"/>
  <c r="IJ354"/>
  <c r="IK354"/>
  <c r="IL354"/>
  <c r="IM354"/>
  <c r="IN354"/>
  <c r="IO354"/>
  <c r="IP354"/>
  <c r="IQ354"/>
  <c r="IR354"/>
  <c r="IS354"/>
  <c r="IT354"/>
  <c r="IU354"/>
  <c r="IV354"/>
  <c r="A355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Z355"/>
  <c r="AA355"/>
  <c r="AB355"/>
  <c r="AC355"/>
  <c r="AD355"/>
  <c r="AE355"/>
  <c r="AF355"/>
  <c r="AG355"/>
  <c r="AH355"/>
  <c r="AI355"/>
  <c r="AJ355"/>
  <c r="AK355"/>
  <c r="AL355"/>
  <c r="AM355"/>
  <c r="AN355"/>
  <c r="AO355"/>
  <c r="AP355"/>
  <c r="AQ355"/>
  <c r="AR355"/>
  <c r="AS355"/>
  <c r="AT355"/>
  <c r="AU355"/>
  <c r="AV355"/>
  <c r="AW355"/>
  <c r="AX355"/>
  <c r="AY355"/>
  <c r="AZ355"/>
  <c r="BA355"/>
  <c r="BB355"/>
  <c r="BC355"/>
  <c r="BD355"/>
  <c r="BE355"/>
  <c r="BF355"/>
  <c r="BG355"/>
  <c r="BH355"/>
  <c r="BI355"/>
  <c r="BJ355"/>
  <c r="BK355"/>
  <c r="BL355"/>
  <c r="BM355"/>
  <c r="BN355"/>
  <c r="BO355"/>
  <c r="BP355"/>
  <c r="BQ355"/>
  <c r="BR355"/>
  <c r="BS355"/>
  <c r="BT355"/>
  <c r="BU355"/>
  <c r="BV355"/>
  <c r="BW355"/>
  <c r="BX355"/>
  <c r="BY355"/>
  <c r="BZ355"/>
  <c r="CA355"/>
  <c r="CB355"/>
  <c r="CC355"/>
  <c r="CD355"/>
  <c r="CE355"/>
  <c r="CF355"/>
  <c r="CG355"/>
  <c r="CH355"/>
  <c r="CI355"/>
  <c r="CJ355"/>
  <c r="CK355"/>
  <c r="CL355"/>
  <c r="CM355"/>
  <c r="CN355"/>
  <c r="CO355"/>
  <c r="CP355"/>
  <c r="CQ355"/>
  <c r="CR355"/>
  <c r="CS355"/>
  <c r="CT355"/>
  <c r="CU355"/>
  <c r="CV355"/>
  <c r="CW355"/>
  <c r="CX355"/>
  <c r="CY355"/>
  <c r="CZ355"/>
  <c r="DA355"/>
  <c r="DB355"/>
  <c r="DC355"/>
  <c r="DD355"/>
  <c r="DE355"/>
  <c r="DF355"/>
  <c r="DG355"/>
  <c r="DH355"/>
  <c r="DI355"/>
  <c r="DJ355"/>
  <c r="DK355"/>
  <c r="DL355"/>
  <c r="DM355"/>
  <c r="DN355"/>
  <c r="DO355"/>
  <c r="DP355"/>
  <c r="DQ355"/>
  <c r="DR355"/>
  <c r="DS355"/>
  <c r="DT355"/>
  <c r="DU355"/>
  <c r="DV355"/>
  <c r="DW355"/>
  <c r="DX355"/>
  <c r="DY355"/>
  <c r="DZ355"/>
  <c r="EA355"/>
  <c r="EB355"/>
  <c r="EC355"/>
  <c r="ED355"/>
  <c r="EE355"/>
  <c r="EF355"/>
  <c r="EG355"/>
  <c r="EH355"/>
  <c r="EI355"/>
  <c r="EJ355"/>
  <c r="EK355"/>
  <c r="EL355"/>
  <c r="EM355"/>
  <c r="EN355"/>
  <c r="EO355"/>
  <c r="EP355"/>
  <c r="EQ355"/>
  <c r="ER355"/>
  <c r="ES355"/>
  <c r="ET355"/>
  <c r="EU355"/>
  <c r="EV355"/>
  <c r="EW355"/>
  <c r="EX355"/>
  <c r="EY355"/>
  <c r="EZ355"/>
  <c r="FA355"/>
  <c r="FB355"/>
  <c r="FC355"/>
  <c r="FD355"/>
  <c r="FE355"/>
  <c r="FF355"/>
  <c r="FG355"/>
  <c r="FH355"/>
  <c r="FI355"/>
  <c r="FJ355"/>
  <c r="FK355"/>
  <c r="FL355"/>
  <c r="FM355"/>
  <c r="FN355"/>
  <c r="FO355"/>
  <c r="FP355"/>
  <c r="FQ355"/>
  <c r="FR355"/>
  <c r="FS355"/>
  <c r="FT355"/>
  <c r="FU355"/>
  <c r="FV355"/>
  <c r="FW355"/>
  <c r="FX355"/>
  <c r="FY355"/>
  <c r="FZ355"/>
  <c r="GA355"/>
  <c r="GB355"/>
  <c r="GC355"/>
  <c r="GD355"/>
  <c r="GE355"/>
  <c r="GF355"/>
  <c r="GG355"/>
  <c r="GH355"/>
  <c r="GI355"/>
  <c r="GJ355"/>
  <c r="GK355"/>
  <c r="GL355"/>
  <c r="GM355"/>
  <c r="GN355"/>
  <c r="GO355"/>
  <c r="GP355"/>
  <c r="GQ355"/>
  <c r="GR355"/>
  <c r="GS355"/>
  <c r="GT355"/>
  <c r="GU355"/>
  <c r="GV355"/>
  <c r="GW355"/>
  <c r="GX355"/>
  <c r="GY355"/>
  <c r="GZ355"/>
  <c r="HA355"/>
  <c r="HB355"/>
  <c r="HC355"/>
  <c r="HD355"/>
  <c r="HE355"/>
  <c r="HF355"/>
  <c r="HG355"/>
  <c r="HH355"/>
  <c r="HI355"/>
  <c r="HJ355"/>
  <c r="HK355"/>
  <c r="HL355"/>
  <c r="HM355"/>
  <c r="HN355"/>
  <c r="HO355"/>
  <c r="HP355"/>
  <c r="HQ355"/>
  <c r="HR355"/>
  <c r="HS355"/>
  <c r="HT355"/>
  <c r="HU355"/>
  <c r="HV355"/>
  <c r="HW355"/>
  <c r="HX355"/>
  <c r="HY355"/>
  <c r="HZ355"/>
  <c r="IA355"/>
  <c r="IB355"/>
  <c r="IC355"/>
  <c r="ID355"/>
  <c r="IE355"/>
  <c r="IF355"/>
  <c r="IG355"/>
  <c r="IH355"/>
  <c r="II355"/>
  <c r="IJ355"/>
  <c r="IK355"/>
  <c r="IL355"/>
  <c r="IM355"/>
  <c r="IN355"/>
  <c r="IO355"/>
  <c r="IP355"/>
  <c r="IQ355"/>
  <c r="IR355"/>
  <c r="IS355"/>
  <c r="IT355"/>
  <c r="IU355"/>
  <c r="IV355"/>
  <c r="A356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Z356"/>
  <c r="AA356"/>
  <c r="AB356"/>
  <c r="AC356"/>
  <c r="AD356"/>
  <c r="AE356"/>
  <c r="AF356"/>
  <c r="AG356"/>
  <c r="AH356"/>
  <c r="AI356"/>
  <c r="AJ356"/>
  <c r="AK356"/>
  <c r="AL356"/>
  <c r="AM356"/>
  <c r="AN356"/>
  <c r="AO356"/>
  <c r="AP356"/>
  <c r="AQ356"/>
  <c r="AR356"/>
  <c r="AS356"/>
  <c r="AT356"/>
  <c r="AU356"/>
  <c r="AV356"/>
  <c r="AW356"/>
  <c r="AX356"/>
  <c r="AY356"/>
  <c r="AZ356"/>
  <c r="BA356"/>
  <c r="BB356"/>
  <c r="BC356"/>
  <c r="BD356"/>
  <c r="BE356"/>
  <c r="BF356"/>
  <c r="BG356"/>
  <c r="BH356"/>
  <c r="BI356"/>
  <c r="BJ356"/>
  <c r="BK356"/>
  <c r="BL356"/>
  <c r="BM356"/>
  <c r="BN356"/>
  <c r="BO356"/>
  <c r="BP356"/>
  <c r="BQ356"/>
  <c r="BR356"/>
  <c r="BS356"/>
  <c r="BT356"/>
  <c r="BU356"/>
  <c r="BV356"/>
  <c r="BW356"/>
  <c r="BX356"/>
  <c r="BY356"/>
  <c r="BZ356"/>
  <c r="CA356"/>
  <c r="CB356"/>
  <c r="CC356"/>
  <c r="CD356"/>
  <c r="CE356"/>
  <c r="CF356"/>
  <c r="CG356"/>
  <c r="CH356"/>
  <c r="CI356"/>
  <c r="CJ356"/>
  <c r="CK356"/>
  <c r="CL356"/>
  <c r="CM356"/>
  <c r="CN356"/>
  <c r="CO356"/>
  <c r="CP356"/>
  <c r="CQ356"/>
  <c r="CR356"/>
  <c r="CS356"/>
  <c r="CT356"/>
  <c r="CU356"/>
  <c r="CV356"/>
  <c r="CW356"/>
  <c r="CX356"/>
  <c r="CY356"/>
  <c r="CZ356"/>
  <c r="DA356"/>
  <c r="DB356"/>
  <c r="DC356"/>
  <c r="DD356"/>
  <c r="DE356"/>
  <c r="DF356"/>
  <c r="DG356"/>
  <c r="DH356"/>
  <c r="DI356"/>
  <c r="DJ356"/>
  <c r="DK356"/>
  <c r="DL356"/>
  <c r="DM356"/>
  <c r="DN356"/>
  <c r="DO356"/>
  <c r="DP356"/>
  <c r="DQ356"/>
  <c r="DR356"/>
  <c r="DS356"/>
  <c r="DT356"/>
  <c r="DU356"/>
  <c r="DV356"/>
  <c r="DW356"/>
  <c r="DX356"/>
  <c r="DY356"/>
  <c r="DZ356"/>
  <c r="EA356"/>
  <c r="EB356"/>
  <c r="EC356"/>
  <c r="ED356"/>
  <c r="EE356"/>
  <c r="EF356"/>
  <c r="EG356"/>
  <c r="EH356"/>
  <c r="EI356"/>
  <c r="EJ356"/>
  <c r="EK356"/>
  <c r="EL356"/>
  <c r="EM356"/>
  <c r="EN356"/>
  <c r="EO356"/>
  <c r="EP356"/>
  <c r="EQ356"/>
  <c r="ER356"/>
  <c r="ES356"/>
  <c r="ET356"/>
  <c r="EU356"/>
  <c r="EV356"/>
  <c r="EW356"/>
  <c r="EX356"/>
  <c r="EY356"/>
  <c r="EZ356"/>
  <c r="FA356"/>
  <c r="FB356"/>
  <c r="FC356"/>
  <c r="FD356"/>
  <c r="FE356"/>
  <c r="FF356"/>
  <c r="FG356"/>
  <c r="FH356"/>
  <c r="FI356"/>
  <c r="FJ356"/>
  <c r="FK356"/>
  <c r="FL356"/>
  <c r="FM356"/>
  <c r="FN356"/>
  <c r="FO356"/>
  <c r="FP356"/>
  <c r="FQ356"/>
  <c r="FR356"/>
  <c r="FS356"/>
  <c r="FT356"/>
  <c r="FU356"/>
  <c r="FV356"/>
  <c r="FW356"/>
  <c r="FX356"/>
  <c r="FY356"/>
  <c r="FZ356"/>
  <c r="GA356"/>
  <c r="GB356"/>
  <c r="GC356"/>
  <c r="GD356"/>
  <c r="GE356"/>
  <c r="GF356"/>
  <c r="GG356"/>
  <c r="GH356"/>
  <c r="GI356"/>
  <c r="GJ356"/>
  <c r="GK356"/>
  <c r="GL356"/>
  <c r="GM356"/>
  <c r="GN356"/>
  <c r="GO356"/>
  <c r="GP356"/>
  <c r="GQ356"/>
  <c r="GR356"/>
  <c r="GS356"/>
  <c r="GT356"/>
  <c r="GU356"/>
  <c r="GV356"/>
  <c r="GW356"/>
  <c r="GX356"/>
  <c r="GY356"/>
  <c r="GZ356"/>
  <c r="HA356"/>
  <c r="HB356"/>
  <c r="HC356"/>
  <c r="HD356"/>
  <c r="HE356"/>
  <c r="HF356"/>
  <c r="HG356"/>
  <c r="HH356"/>
  <c r="HI356"/>
  <c r="HJ356"/>
  <c r="HK356"/>
  <c r="HL356"/>
  <c r="HM356"/>
  <c r="HN356"/>
  <c r="HO356"/>
  <c r="HP356"/>
  <c r="HQ356"/>
  <c r="HR356"/>
  <c r="HS356"/>
  <c r="HT356"/>
  <c r="HU356"/>
  <c r="HV356"/>
  <c r="HW356"/>
  <c r="HX356"/>
  <c r="HY356"/>
  <c r="HZ356"/>
  <c r="IA356"/>
  <c r="IB356"/>
  <c r="IC356"/>
  <c r="ID356"/>
  <c r="IE356"/>
  <c r="IF356"/>
  <c r="IG356"/>
  <c r="IH356"/>
  <c r="II356"/>
  <c r="IJ356"/>
  <c r="IK356"/>
  <c r="IL356"/>
  <c r="IM356"/>
  <c r="IN356"/>
  <c r="IO356"/>
  <c r="IP356"/>
  <c r="IQ356"/>
  <c r="IR356"/>
  <c r="IS356"/>
  <c r="IT356"/>
  <c r="IU356"/>
  <c r="IV356"/>
  <c r="A357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Z357"/>
  <c r="AA357"/>
  <c r="AB357"/>
  <c r="AC357"/>
  <c r="AD357"/>
  <c r="AE357"/>
  <c r="AF357"/>
  <c r="AG357"/>
  <c r="AH357"/>
  <c r="AI357"/>
  <c r="AJ357"/>
  <c r="AK357"/>
  <c r="AL357"/>
  <c r="AM357"/>
  <c r="AN357"/>
  <c r="AO357"/>
  <c r="AP357"/>
  <c r="AQ357"/>
  <c r="AR357"/>
  <c r="AS357"/>
  <c r="AT357"/>
  <c r="AU357"/>
  <c r="AV357"/>
  <c r="AW357"/>
  <c r="AX357"/>
  <c r="AY357"/>
  <c r="AZ357"/>
  <c r="BA357"/>
  <c r="BB357"/>
  <c r="BC357"/>
  <c r="BD357"/>
  <c r="BE357"/>
  <c r="BF357"/>
  <c r="BG357"/>
  <c r="BH357"/>
  <c r="BI357"/>
  <c r="BJ357"/>
  <c r="BK357"/>
  <c r="BL357"/>
  <c r="BM357"/>
  <c r="BN357"/>
  <c r="BO357"/>
  <c r="BP357"/>
  <c r="BQ357"/>
  <c r="BR357"/>
  <c r="BS357"/>
  <c r="BT357"/>
  <c r="BU357"/>
  <c r="BV357"/>
  <c r="BW357"/>
  <c r="BX357"/>
  <c r="BY357"/>
  <c r="BZ357"/>
  <c r="CA357"/>
  <c r="CB357"/>
  <c r="CC357"/>
  <c r="CD357"/>
  <c r="CE357"/>
  <c r="CF357"/>
  <c r="CG357"/>
  <c r="CH357"/>
  <c r="CI357"/>
  <c r="CJ357"/>
  <c r="CK357"/>
  <c r="CL357"/>
  <c r="CM357"/>
  <c r="CN357"/>
  <c r="CO357"/>
  <c r="CP357"/>
  <c r="CQ357"/>
  <c r="CR357"/>
  <c r="CS357"/>
  <c r="CT357"/>
  <c r="CU357"/>
  <c r="CV357"/>
  <c r="CW357"/>
  <c r="CX357"/>
  <c r="CY357"/>
  <c r="CZ357"/>
  <c r="DA357"/>
  <c r="DB357"/>
  <c r="DC357"/>
  <c r="DD357"/>
  <c r="DE357"/>
  <c r="DF357"/>
  <c r="DG357"/>
  <c r="DH357"/>
  <c r="DI357"/>
  <c r="DJ357"/>
  <c r="DK357"/>
  <c r="DL357"/>
  <c r="DM357"/>
  <c r="DN357"/>
  <c r="DO357"/>
  <c r="DP357"/>
  <c r="DQ357"/>
  <c r="DR357"/>
  <c r="DS357"/>
  <c r="DT357"/>
  <c r="DU357"/>
  <c r="DV357"/>
  <c r="DW357"/>
  <c r="DX357"/>
  <c r="DY357"/>
  <c r="DZ357"/>
  <c r="EA357"/>
  <c r="EB357"/>
  <c r="EC357"/>
  <c r="ED357"/>
  <c r="EE357"/>
  <c r="EF357"/>
  <c r="EG357"/>
  <c r="EH357"/>
  <c r="EI357"/>
  <c r="EJ357"/>
  <c r="EK357"/>
  <c r="EL357"/>
  <c r="EM357"/>
  <c r="EN357"/>
  <c r="EO357"/>
  <c r="EP357"/>
  <c r="EQ357"/>
  <c r="ER357"/>
  <c r="ES357"/>
  <c r="ET357"/>
  <c r="EU357"/>
  <c r="EV357"/>
  <c r="EW357"/>
  <c r="EX357"/>
  <c r="EY357"/>
  <c r="EZ357"/>
  <c r="FA357"/>
  <c r="FB357"/>
  <c r="FC357"/>
  <c r="FD357"/>
  <c r="FE357"/>
  <c r="FF357"/>
  <c r="FG357"/>
  <c r="FH357"/>
  <c r="FI357"/>
  <c r="FJ357"/>
  <c r="FK357"/>
  <c r="FL357"/>
  <c r="FM357"/>
  <c r="FN357"/>
  <c r="FO357"/>
  <c r="FP357"/>
  <c r="FQ357"/>
  <c r="FR357"/>
  <c r="FS357"/>
  <c r="FT357"/>
  <c r="FU357"/>
  <c r="FV357"/>
  <c r="FW357"/>
  <c r="FX357"/>
  <c r="FY357"/>
  <c r="FZ357"/>
  <c r="GA357"/>
  <c r="GB357"/>
  <c r="GC357"/>
  <c r="GD357"/>
  <c r="GE357"/>
  <c r="GF357"/>
  <c r="GG357"/>
  <c r="GH357"/>
  <c r="GI357"/>
  <c r="GJ357"/>
  <c r="GK357"/>
  <c r="GL357"/>
  <c r="GM357"/>
  <c r="GN357"/>
  <c r="GO357"/>
  <c r="GP357"/>
  <c r="GQ357"/>
  <c r="GR357"/>
  <c r="GS357"/>
  <c r="GT357"/>
  <c r="GU357"/>
  <c r="GV357"/>
  <c r="GW357"/>
  <c r="GX357"/>
  <c r="GY357"/>
  <c r="GZ357"/>
  <c r="HA357"/>
  <c r="HB357"/>
  <c r="HC357"/>
  <c r="HD357"/>
  <c r="HE357"/>
  <c r="HF357"/>
  <c r="HG357"/>
  <c r="HH357"/>
  <c r="HI357"/>
  <c r="HJ357"/>
  <c r="HK357"/>
  <c r="HL357"/>
  <c r="HM357"/>
  <c r="HN357"/>
  <c r="HO357"/>
  <c r="HP357"/>
  <c r="HQ357"/>
  <c r="HR357"/>
  <c r="HS357"/>
  <c r="HT357"/>
  <c r="HU357"/>
  <c r="HV357"/>
  <c r="HW357"/>
  <c r="HX357"/>
  <c r="HY357"/>
  <c r="HZ357"/>
  <c r="IA357"/>
  <c r="IB357"/>
  <c r="IC357"/>
  <c r="ID357"/>
  <c r="IE357"/>
  <c r="IF357"/>
  <c r="IG357"/>
  <c r="IH357"/>
  <c r="II357"/>
  <c r="IJ357"/>
  <c r="IK357"/>
  <c r="IL357"/>
  <c r="IM357"/>
  <c r="IN357"/>
  <c r="IO357"/>
  <c r="IP357"/>
  <c r="IQ357"/>
  <c r="IR357"/>
  <c r="IS357"/>
  <c r="IT357"/>
  <c r="IU357"/>
  <c r="IV357"/>
  <c r="A358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Z358"/>
  <c r="AA358"/>
  <c r="AB358"/>
  <c r="AC358"/>
  <c r="AD358"/>
  <c r="AE358"/>
  <c r="AF358"/>
  <c r="AG358"/>
  <c r="AH358"/>
  <c r="AI358"/>
  <c r="AJ358"/>
  <c r="AK358"/>
  <c r="AL358"/>
  <c r="AM358"/>
  <c r="AN358"/>
  <c r="AO358"/>
  <c r="AP358"/>
  <c r="AQ358"/>
  <c r="AR358"/>
  <c r="AS358"/>
  <c r="AT358"/>
  <c r="AU358"/>
  <c r="AV358"/>
  <c r="AW358"/>
  <c r="AX358"/>
  <c r="AY358"/>
  <c r="AZ358"/>
  <c r="BA358"/>
  <c r="BB358"/>
  <c r="BC358"/>
  <c r="BD358"/>
  <c r="BE358"/>
  <c r="BF358"/>
  <c r="BG358"/>
  <c r="BH358"/>
  <c r="BI358"/>
  <c r="BJ358"/>
  <c r="BK358"/>
  <c r="BL358"/>
  <c r="BM358"/>
  <c r="BN358"/>
  <c r="BO358"/>
  <c r="BP358"/>
  <c r="BQ358"/>
  <c r="BR358"/>
  <c r="BS358"/>
  <c r="BT358"/>
  <c r="BU358"/>
  <c r="BV358"/>
  <c r="BW358"/>
  <c r="BX358"/>
  <c r="BY358"/>
  <c r="BZ358"/>
  <c r="CA358"/>
  <c r="CB358"/>
  <c r="CC358"/>
  <c r="CD358"/>
  <c r="CE358"/>
  <c r="CF358"/>
  <c r="CG358"/>
  <c r="CH358"/>
  <c r="CI358"/>
  <c r="CJ358"/>
  <c r="CK358"/>
  <c r="CL358"/>
  <c r="CM358"/>
  <c r="CN358"/>
  <c r="CO358"/>
  <c r="CP358"/>
  <c r="CQ358"/>
  <c r="CR358"/>
  <c r="CS358"/>
  <c r="CT358"/>
  <c r="CU358"/>
  <c r="CV358"/>
  <c r="CW358"/>
  <c r="CX358"/>
  <c r="CY358"/>
  <c r="CZ358"/>
  <c r="DA358"/>
  <c r="DB358"/>
  <c r="DC358"/>
  <c r="DD358"/>
  <c r="DE358"/>
  <c r="DF358"/>
  <c r="DG358"/>
  <c r="DH358"/>
  <c r="DI358"/>
  <c r="DJ358"/>
  <c r="DK358"/>
  <c r="DL358"/>
  <c r="DM358"/>
  <c r="DN358"/>
  <c r="DO358"/>
  <c r="DP358"/>
  <c r="DQ358"/>
  <c r="DR358"/>
  <c r="DS358"/>
  <c r="DT358"/>
  <c r="DU358"/>
  <c r="DV358"/>
  <c r="DW358"/>
  <c r="DX358"/>
  <c r="DY358"/>
  <c r="DZ358"/>
  <c r="EA358"/>
  <c r="EB358"/>
  <c r="EC358"/>
  <c r="ED358"/>
  <c r="EE358"/>
  <c r="EF358"/>
  <c r="EG358"/>
  <c r="EH358"/>
  <c r="EI358"/>
  <c r="EJ358"/>
  <c r="EK358"/>
  <c r="EL358"/>
  <c r="EM358"/>
  <c r="EN358"/>
  <c r="EO358"/>
  <c r="EP358"/>
  <c r="EQ358"/>
  <c r="ER358"/>
  <c r="ES358"/>
  <c r="ET358"/>
  <c r="EU358"/>
  <c r="EV358"/>
  <c r="EW358"/>
  <c r="EX358"/>
  <c r="EY358"/>
  <c r="EZ358"/>
  <c r="FA358"/>
  <c r="FB358"/>
  <c r="FC358"/>
  <c r="FD358"/>
  <c r="FE358"/>
  <c r="FF358"/>
  <c r="FG358"/>
  <c r="FH358"/>
  <c r="FI358"/>
  <c r="FJ358"/>
  <c r="FK358"/>
  <c r="FL358"/>
  <c r="FM358"/>
  <c r="FN358"/>
  <c r="FO358"/>
  <c r="FP358"/>
  <c r="FQ358"/>
  <c r="FR358"/>
  <c r="FS358"/>
  <c r="FT358"/>
  <c r="FU358"/>
  <c r="FV358"/>
  <c r="FW358"/>
  <c r="FX358"/>
  <c r="FY358"/>
  <c r="FZ358"/>
  <c r="GA358"/>
  <c r="GB358"/>
  <c r="GC358"/>
  <c r="GD358"/>
  <c r="GE358"/>
  <c r="GF358"/>
  <c r="GG358"/>
  <c r="GH358"/>
  <c r="GI358"/>
  <c r="GJ358"/>
  <c r="GK358"/>
  <c r="GL358"/>
  <c r="GM358"/>
  <c r="GN358"/>
  <c r="GO358"/>
  <c r="GP358"/>
  <c r="GQ358"/>
  <c r="GR358"/>
  <c r="GS358"/>
  <c r="GT358"/>
  <c r="GU358"/>
  <c r="GV358"/>
  <c r="GW358"/>
  <c r="GX358"/>
  <c r="GY358"/>
  <c r="GZ358"/>
  <c r="HA358"/>
  <c r="HB358"/>
  <c r="HC358"/>
  <c r="HD358"/>
  <c r="HE358"/>
  <c r="HF358"/>
  <c r="HG358"/>
  <c r="HH358"/>
  <c r="HI358"/>
  <c r="HJ358"/>
  <c r="HK358"/>
  <c r="HL358"/>
  <c r="HM358"/>
  <c r="HN358"/>
  <c r="HO358"/>
  <c r="HP358"/>
  <c r="HQ358"/>
  <c r="HR358"/>
  <c r="HS358"/>
  <c r="HT358"/>
  <c r="HU358"/>
  <c r="HV358"/>
  <c r="HW358"/>
  <c r="HX358"/>
  <c r="HY358"/>
  <c r="HZ358"/>
  <c r="IA358"/>
  <c r="IB358"/>
  <c r="IC358"/>
  <c r="ID358"/>
  <c r="IE358"/>
  <c r="IF358"/>
  <c r="IG358"/>
  <c r="IH358"/>
  <c r="II358"/>
  <c r="IJ358"/>
  <c r="IK358"/>
  <c r="IL358"/>
  <c r="IM358"/>
  <c r="IN358"/>
  <c r="IO358"/>
  <c r="IP358"/>
  <c r="IQ358"/>
  <c r="IR358"/>
  <c r="IS358"/>
  <c r="IT358"/>
  <c r="IU358"/>
  <c r="IV358"/>
  <c r="A359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Z359"/>
  <c r="AA359"/>
  <c r="AB359"/>
  <c r="AC359"/>
  <c r="AD359"/>
  <c r="AE359"/>
  <c r="AF359"/>
  <c r="AG359"/>
  <c r="AH359"/>
  <c r="AI359"/>
  <c r="AJ359"/>
  <c r="AK359"/>
  <c r="AL359"/>
  <c r="AM359"/>
  <c r="AN359"/>
  <c r="AO359"/>
  <c r="AP359"/>
  <c r="AQ359"/>
  <c r="AR359"/>
  <c r="AS359"/>
  <c r="AT359"/>
  <c r="AU359"/>
  <c r="AV359"/>
  <c r="AW359"/>
  <c r="AX359"/>
  <c r="AY359"/>
  <c r="AZ359"/>
  <c r="BA359"/>
  <c r="BB359"/>
  <c r="BC359"/>
  <c r="BD359"/>
  <c r="BE359"/>
  <c r="BF359"/>
  <c r="BG359"/>
  <c r="BH359"/>
  <c r="BI359"/>
  <c r="BJ359"/>
  <c r="BK359"/>
  <c r="BL359"/>
  <c r="BM359"/>
  <c r="BN359"/>
  <c r="BO359"/>
  <c r="BP359"/>
  <c r="BQ359"/>
  <c r="BR359"/>
  <c r="BS359"/>
  <c r="BT359"/>
  <c r="BU359"/>
  <c r="BV359"/>
  <c r="BW359"/>
  <c r="BX359"/>
  <c r="BY359"/>
  <c r="BZ359"/>
  <c r="CA359"/>
  <c r="CB359"/>
  <c r="CC359"/>
  <c r="CD359"/>
  <c r="CE359"/>
  <c r="CF359"/>
  <c r="CG359"/>
  <c r="CH359"/>
  <c r="CI359"/>
  <c r="CJ359"/>
  <c r="CK359"/>
  <c r="CL359"/>
  <c r="CM359"/>
  <c r="CN359"/>
  <c r="CO359"/>
  <c r="CP359"/>
  <c r="CQ359"/>
  <c r="CR359"/>
  <c r="CS359"/>
  <c r="CT359"/>
  <c r="CU359"/>
  <c r="CV359"/>
  <c r="CW359"/>
  <c r="CX359"/>
  <c r="CY359"/>
  <c r="CZ359"/>
  <c r="DA359"/>
  <c r="DB359"/>
  <c r="DC359"/>
  <c r="DD359"/>
  <c r="DE359"/>
  <c r="DF359"/>
  <c r="DG359"/>
  <c r="DH359"/>
  <c r="DI359"/>
  <c r="DJ359"/>
  <c r="DK359"/>
  <c r="DL359"/>
  <c r="DM359"/>
  <c r="DN359"/>
  <c r="DO359"/>
  <c r="DP359"/>
  <c r="DQ359"/>
  <c r="DR359"/>
  <c r="DS359"/>
  <c r="DT359"/>
  <c r="DU359"/>
  <c r="DV359"/>
  <c r="DW359"/>
  <c r="DX359"/>
  <c r="DY359"/>
  <c r="DZ359"/>
  <c r="EA359"/>
  <c r="EB359"/>
  <c r="EC359"/>
  <c r="ED359"/>
  <c r="EE359"/>
  <c r="EF359"/>
  <c r="EG359"/>
  <c r="EH359"/>
  <c r="EI359"/>
  <c r="EJ359"/>
  <c r="EK359"/>
  <c r="EL359"/>
  <c r="EM359"/>
  <c r="EN359"/>
  <c r="EO359"/>
  <c r="EP359"/>
  <c r="EQ359"/>
  <c r="ER359"/>
  <c r="ES359"/>
  <c r="ET359"/>
  <c r="EU359"/>
  <c r="EV359"/>
  <c r="EW359"/>
  <c r="EX359"/>
  <c r="EY359"/>
  <c r="EZ359"/>
  <c r="FA359"/>
  <c r="FB359"/>
  <c r="FC359"/>
  <c r="FD359"/>
  <c r="FE359"/>
  <c r="FF359"/>
  <c r="FG359"/>
  <c r="FH359"/>
  <c r="FI359"/>
  <c r="FJ359"/>
  <c r="FK359"/>
  <c r="FL359"/>
  <c r="FM359"/>
  <c r="FN359"/>
  <c r="FO359"/>
  <c r="FP359"/>
  <c r="FQ359"/>
  <c r="FR359"/>
  <c r="FS359"/>
  <c r="FT359"/>
  <c r="FU359"/>
  <c r="FV359"/>
  <c r="FW359"/>
  <c r="FX359"/>
  <c r="FY359"/>
  <c r="FZ359"/>
  <c r="GA359"/>
  <c r="GB359"/>
  <c r="GC359"/>
  <c r="GD359"/>
  <c r="GE359"/>
  <c r="GF359"/>
  <c r="GG359"/>
  <c r="GH359"/>
  <c r="GI359"/>
  <c r="GJ359"/>
  <c r="GK359"/>
  <c r="GL359"/>
  <c r="GM359"/>
  <c r="GN359"/>
  <c r="GO359"/>
  <c r="GP359"/>
  <c r="GQ359"/>
  <c r="GR359"/>
  <c r="GS359"/>
  <c r="GT359"/>
  <c r="GU359"/>
  <c r="GV359"/>
  <c r="GW359"/>
  <c r="GX359"/>
  <c r="GY359"/>
  <c r="GZ359"/>
  <c r="HA359"/>
  <c r="HB359"/>
  <c r="HC359"/>
  <c r="HD359"/>
  <c r="HE359"/>
  <c r="HF359"/>
  <c r="HG359"/>
  <c r="HH359"/>
  <c r="HI359"/>
  <c r="HJ359"/>
  <c r="HK359"/>
  <c r="HL359"/>
  <c r="HM359"/>
  <c r="HN359"/>
  <c r="HO359"/>
  <c r="HP359"/>
  <c r="HQ359"/>
  <c r="HR359"/>
  <c r="HS359"/>
  <c r="HT359"/>
  <c r="HU359"/>
  <c r="HV359"/>
  <c r="HW359"/>
  <c r="HX359"/>
  <c r="HY359"/>
  <c r="HZ359"/>
  <c r="IA359"/>
  <c r="IB359"/>
  <c r="IC359"/>
  <c r="ID359"/>
  <c r="IE359"/>
  <c r="IF359"/>
  <c r="IG359"/>
  <c r="IH359"/>
  <c r="II359"/>
  <c r="IJ359"/>
  <c r="IK359"/>
  <c r="IL359"/>
  <c r="IM359"/>
  <c r="IN359"/>
  <c r="IO359"/>
  <c r="IP359"/>
  <c r="IQ359"/>
  <c r="IR359"/>
  <c r="IS359"/>
  <c r="IT359"/>
  <c r="IU359"/>
  <c r="IV359"/>
  <c r="A360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Z360"/>
  <c r="AA360"/>
  <c r="AB360"/>
  <c r="AC360"/>
  <c r="AD360"/>
  <c r="AE360"/>
  <c r="AF360"/>
  <c r="AG360"/>
  <c r="AH360"/>
  <c r="AI360"/>
  <c r="AJ360"/>
  <c r="AK360"/>
  <c r="AL360"/>
  <c r="AM360"/>
  <c r="AN360"/>
  <c r="AO360"/>
  <c r="AP360"/>
  <c r="AQ360"/>
  <c r="AR360"/>
  <c r="AS360"/>
  <c r="AT360"/>
  <c r="AU360"/>
  <c r="AV360"/>
  <c r="AW360"/>
  <c r="AX360"/>
  <c r="AY360"/>
  <c r="AZ360"/>
  <c r="BA360"/>
  <c r="BB360"/>
  <c r="BC360"/>
  <c r="BD360"/>
  <c r="BE360"/>
  <c r="BF360"/>
  <c r="BG360"/>
  <c r="BH360"/>
  <c r="BI360"/>
  <c r="BJ360"/>
  <c r="BK360"/>
  <c r="BL360"/>
  <c r="BM360"/>
  <c r="BN360"/>
  <c r="BO360"/>
  <c r="BP360"/>
  <c r="BQ360"/>
  <c r="BR360"/>
  <c r="BS360"/>
  <c r="BT360"/>
  <c r="BU360"/>
  <c r="BV360"/>
  <c r="BW360"/>
  <c r="BX360"/>
  <c r="BY360"/>
  <c r="BZ360"/>
  <c r="CA360"/>
  <c r="CB360"/>
  <c r="CC360"/>
  <c r="CD360"/>
  <c r="CE360"/>
  <c r="CF360"/>
  <c r="CG360"/>
  <c r="CH360"/>
  <c r="CI360"/>
  <c r="CJ360"/>
  <c r="CK360"/>
  <c r="CL360"/>
  <c r="CM360"/>
  <c r="CN360"/>
  <c r="CO360"/>
  <c r="CP360"/>
  <c r="CQ360"/>
  <c r="CR360"/>
  <c r="CS360"/>
  <c r="CT360"/>
  <c r="CU360"/>
  <c r="CV360"/>
  <c r="CW360"/>
  <c r="CX360"/>
  <c r="CY360"/>
  <c r="CZ360"/>
  <c r="DA360"/>
  <c r="DB360"/>
  <c r="DC360"/>
  <c r="DD360"/>
  <c r="DE360"/>
  <c r="DF360"/>
  <c r="DG360"/>
  <c r="DH360"/>
  <c r="DI360"/>
  <c r="DJ360"/>
  <c r="DK360"/>
  <c r="DL360"/>
  <c r="DM360"/>
  <c r="DN360"/>
  <c r="DO360"/>
  <c r="DP360"/>
  <c r="DQ360"/>
  <c r="DR360"/>
  <c r="DS360"/>
  <c r="DT360"/>
  <c r="DU360"/>
  <c r="DV360"/>
  <c r="DW360"/>
  <c r="DX360"/>
  <c r="DY360"/>
  <c r="DZ360"/>
  <c r="EA360"/>
  <c r="EB360"/>
  <c r="EC360"/>
  <c r="ED360"/>
  <c r="EE360"/>
  <c r="EF360"/>
  <c r="EG360"/>
  <c r="EH360"/>
  <c r="EI360"/>
  <c r="EJ360"/>
  <c r="EK360"/>
  <c r="EL360"/>
  <c r="EM360"/>
  <c r="EN360"/>
  <c r="EO360"/>
  <c r="EP360"/>
  <c r="EQ360"/>
  <c r="ER360"/>
  <c r="ES360"/>
  <c r="ET360"/>
  <c r="EU360"/>
  <c r="EV360"/>
  <c r="EW360"/>
  <c r="EX360"/>
  <c r="EY360"/>
  <c r="EZ360"/>
  <c r="FA360"/>
  <c r="FB360"/>
  <c r="FC360"/>
  <c r="FD360"/>
  <c r="FE360"/>
  <c r="FF360"/>
  <c r="FG360"/>
  <c r="FH360"/>
  <c r="FI360"/>
  <c r="FJ360"/>
  <c r="FK360"/>
  <c r="FL360"/>
  <c r="FM360"/>
  <c r="FN360"/>
  <c r="FO360"/>
  <c r="FP360"/>
  <c r="FQ360"/>
  <c r="FR360"/>
  <c r="FS360"/>
  <c r="FT360"/>
  <c r="FU360"/>
  <c r="FV360"/>
  <c r="FW360"/>
  <c r="FX360"/>
  <c r="FY360"/>
  <c r="FZ360"/>
  <c r="GA360"/>
  <c r="GB360"/>
  <c r="GC360"/>
  <c r="GD360"/>
  <c r="GE360"/>
  <c r="GF360"/>
  <c r="GG360"/>
  <c r="GH360"/>
  <c r="GI360"/>
  <c r="GJ360"/>
  <c r="GK360"/>
  <c r="GL360"/>
  <c r="GM360"/>
  <c r="GN360"/>
  <c r="GO360"/>
  <c r="GP360"/>
  <c r="GQ360"/>
  <c r="GR360"/>
  <c r="GS360"/>
  <c r="GT360"/>
  <c r="GU360"/>
  <c r="GV360"/>
  <c r="GW360"/>
  <c r="GX360"/>
  <c r="GY360"/>
  <c r="GZ360"/>
  <c r="HA360"/>
  <c r="HB360"/>
  <c r="HC360"/>
  <c r="HD360"/>
  <c r="HE360"/>
  <c r="HF360"/>
  <c r="HG360"/>
  <c r="HH360"/>
  <c r="HI360"/>
  <c r="HJ360"/>
  <c r="HK360"/>
  <c r="HL360"/>
  <c r="HM360"/>
  <c r="HN360"/>
  <c r="HO360"/>
  <c r="HP360"/>
  <c r="HQ360"/>
  <c r="HR360"/>
  <c r="HS360"/>
  <c r="HT360"/>
  <c r="HU360"/>
  <c r="HV360"/>
  <c r="HW360"/>
  <c r="HX360"/>
  <c r="HY360"/>
  <c r="HZ360"/>
  <c r="IA360"/>
  <c r="IB360"/>
  <c r="IC360"/>
  <c r="ID360"/>
  <c r="IE360"/>
  <c r="IF360"/>
  <c r="IG360"/>
  <c r="IH360"/>
  <c r="II360"/>
  <c r="IJ360"/>
  <c r="IK360"/>
  <c r="IL360"/>
  <c r="IM360"/>
  <c r="IN360"/>
  <c r="IO360"/>
  <c r="IP360"/>
  <c r="IQ360"/>
  <c r="IR360"/>
  <c r="IS360"/>
  <c r="IT360"/>
  <c r="IU360"/>
  <c r="IV360"/>
  <c r="A361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Z361"/>
  <c r="AA361"/>
  <c r="AB361"/>
  <c r="AC361"/>
  <c r="AD361"/>
  <c r="AE361"/>
  <c r="AF361"/>
  <c r="AG361"/>
  <c r="AH361"/>
  <c r="AI361"/>
  <c r="AJ361"/>
  <c r="AK361"/>
  <c r="AL361"/>
  <c r="AM361"/>
  <c r="AN361"/>
  <c r="AO361"/>
  <c r="AP361"/>
  <c r="AQ361"/>
  <c r="AR361"/>
  <c r="AS361"/>
  <c r="AT361"/>
  <c r="AU361"/>
  <c r="AV361"/>
  <c r="AW361"/>
  <c r="AX361"/>
  <c r="AY361"/>
  <c r="AZ361"/>
  <c r="BA361"/>
  <c r="BB361"/>
  <c r="BC361"/>
  <c r="BD361"/>
  <c r="BE361"/>
  <c r="BF361"/>
  <c r="BG361"/>
  <c r="BH361"/>
  <c r="BI361"/>
  <c r="BJ361"/>
  <c r="BK361"/>
  <c r="BL361"/>
  <c r="BM361"/>
  <c r="BN361"/>
  <c r="BO361"/>
  <c r="BP361"/>
  <c r="BQ361"/>
  <c r="BR361"/>
  <c r="BS361"/>
  <c r="BT361"/>
  <c r="BU361"/>
  <c r="BV361"/>
  <c r="BW361"/>
  <c r="BX361"/>
  <c r="BY361"/>
  <c r="BZ361"/>
  <c r="CA361"/>
  <c r="CB361"/>
  <c r="CC361"/>
  <c r="CD361"/>
  <c r="CE361"/>
  <c r="CF361"/>
  <c r="CG361"/>
  <c r="CH361"/>
  <c r="CI361"/>
  <c r="CJ361"/>
  <c r="CK361"/>
  <c r="CL361"/>
  <c r="CM361"/>
  <c r="CN361"/>
  <c r="CO361"/>
  <c r="CP361"/>
  <c r="CQ361"/>
  <c r="CR361"/>
  <c r="CS361"/>
  <c r="CT361"/>
  <c r="CU361"/>
  <c r="CV361"/>
  <c r="CW361"/>
  <c r="CX361"/>
  <c r="CY361"/>
  <c r="CZ361"/>
  <c r="DA361"/>
  <c r="DB361"/>
  <c r="DC361"/>
  <c r="DD361"/>
  <c r="DE361"/>
  <c r="DF361"/>
  <c r="DG361"/>
  <c r="DH361"/>
  <c r="DI361"/>
  <c r="DJ361"/>
  <c r="DK361"/>
  <c r="DL361"/>
  <c r="DM361"/>
  <c r="DN361"/>
  <c r="DO361"/>
  <c r="DP361"/>
  <c r="DQ361"/>
  <c r="DR361"/>
  <c r="DS361"/>
  <c r="DT361"/>
  <c r="DU361"/>
  <c r="DV361"/>
  <c r="DW361"/>
  <c r="DX361"/>
  <c r="DY361"/>
  <c r="DZ361"/>
  <c r="EA361"/>
  <c r="EB361"/>
  <c r="EC361"/>
  <c r="ED361"/>
  <c r="EE361"/>
  <c r="EF361"/>
  <c r="EG361"/>
  <c r="EH361"/>
  <c r="EI361"/>
  <c r="EJ361"/>
  <c r="EK361"/>
  <c r="EL361"/>
  <c r="EM361"/>
  <c r="EN361"/>
  <c r="EO361"/>
  <c r="EP361"/>
  <c r="EQ361"/>
  <c r="ER361"/>
  <c r="ES361"/>
  <c r="ET361"/>
  <c r="EU361"/>
  <c r="EV361"/>
  <c r="EW361"/>
  <c r="EX361"/>
  <c r="EY361"/>
  <c r="EZ361"/>
  <c r="FA361"/>
  <c r="FB361"/>
  <c r="FC361"/>
  <c r="FD361"/>
  <c r="FE361"/>
  <c r="FF361"/>
  <c r="FG361"/>
  <c r="FH361"/>
  <c r="FI361"/>
  <c r="FJ361"/>
  <c r="FK361"/>
  <c r="FL361"/>
  <c r="FM361"/>
  <c r="FN361"/>
  <c r="FO361"/>
  <c r="FP361"/>
  <c r="FQ361"/>
  <c r="FR361"/>
  <c r="FS361"/>
  <c r="FT361"/>
  <c r="FU361"/>
  <c r="FV361"/>
  <c r="FW361"/>
  <c r="FX361"/>
  <c r="FY361"/>
  <c r="FZ361"/>
  <c r="GA361"/>
  <c r="GB361"/>
  <c r="GC361"/>
  <c r="GD361"/>
  <c r="GE361"/>
  <c r="GF361"/>
  <c r="GG361"/>
  <c r="GH361"/>
  <c r="GI361"/>
  <c r="GJ361"/>
  <c r="GK361"/>
  <c r="GL361"/>
  <c r="GM361"/>
  <c r="GN361"/>
  <c r="GO361"/>
  <c r="GP361"/>
  <c r="GQ361"/>
  <c r="GR361"/>
  <c r="GS361"/>
  <c r="GT361"/>
  <c r="GU361"/>
  <c r="GV361"/>
  <c r="GW361"/>
  <c r="GX361"/>
  <c r="GY361"/>
  <c r="GZ361"/>
  <c r="HA361"/>
  <c r="HB361"/>
  <c r="HC361"/>
  <c r="HD361"/>
  <c r="HE361"/>
  <c r="HF361"/>
  <c r="HG361"/>
  <c r="HH361"/>
  <c r="HI361"/>
  <c r="HJ361"/>
  <c r="HK361"/>
  <c r="HL361"/>
  <c r="HM361"/>
  <c r="HN361"/>
  <c r="HO361"/>
  <c r="HP361"/>
  <c r="HQ361"/>
  <c r="HR361"/>
  <c r="HS361"/>
  <c r="HT361"/>
  <c r="HU361"/>
  <c r="HV361"/>
  <c r="HW361"/>
  <c r="HX361"/>
  <c r="HY361"/>
  <c r="HZ361"/>
  <c r="IA361"/>
  <c r="IB361"/>
  <c r="IC361"/>
  <c r="ID361"/>
  <c r="IE361"/>
  <c r="IF361"/>
  <c r="IG361"/>
  <c r="IH361"/>
  <c r="II361"/>
  <c r="IJ361"/>
  <c r="IK361"/>
  <c r="IL361"/>
  <c r="IM361"/>
  <c r="IN361"/>
  <c r="IO361"/>
  <c r="IP361"/>
  <c r="IQ361"/>
  <c r="IR361"/>
  <c r="IS361"/>
  <c r="IT361"/>
  <c r="IU361"/>
  <c r="IV361"/>
  <c r="A362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Z362"/>
  <c r="AA362"/>
  <c r="AB362"/>
  <c r="AC362"/>
  <c r="AD362"/>
  <c r="AE362"/>
  <c r="AF362"/>
  <c r="AG362"/>
  <c r="AH362"/>
  <c r="AI362"/>
  <c r="AJ362"/>
  <c r="AK362"/>
  <c r="AL362"/>
  <c r="AM362"/>
  <c r="AN362"/>
  <c r="AO362"/>
  <c r="AP362"/>
  <c r="AQ362"/>
  <c r="AR362"/>
  <c r="AS362"/>
  <c r="AT362"/>
  <c r="AU362"/>
  <c r="AV362"/>
  <c r="AW362"/>
  <c r="AX362"/>
  <c r="AY362"/>
  <c r="AZ362"/>
  <c r="BA362"/>
  <c r="BB362"/>
  <c r="BC362"/>
  <c r="BD362"/>
  <c r="BE362"/>
  <c r="BF362"/>
  <c r="BG362"/>
  <c r="BH362"/>
  <c r="BI362"/>
  <c r="BJ362"/>
  <c r="BK362"/>
  <c r="BL362"/>
  <c r="BM362"/>
  <c r="BN362"/>
  <c r="BO362"/>
  <c r="BP362"/>
  <c r="BQ362"/>
  <c r="BR362"/>
  <c r="BS362"/>
  <c r="BT362"/>
  <c r="BU362"/>
  <c r="BV362"/>
  <c r="BW362"/>
  <c r="BX362"/>
  <c r="BY362"/>
  <c r="BZ362"/>
  <c r="CA362"/>
  <c r="CB362"/>
  <c r="CC362"/>
  <c r="CD362"/>
  <c r="CE362"/>
  <c r="CF362"/>
  <c r="CG362"/>
  <c r="CH362"/>
  <c r="CI362"/>
  <c r="CJ362"/>
  <c r="CK362"/>
  <c r="CL362"/>
  <c r="CM362"/>
  <c r="CN362"/>
  <c r="CO362"/>
  <c r="CP362"/>
  <c r="CQ362"/>
  <c r="CR362"/>
  <c r="CS362"/>
  <c r="CT362"/>
  <c r="CU362"/>
  <c r="CV362"/>
  <c r="CW362"/>
  <c r="CX362"/>
  <c r="CY362"/>
  <c r="CZ362"/>
  <c r="DA362"/>
  <c r="DB362"/>
  <c r="DC362"/>
  <c r="DD362"/>
  <c r="DE362"/>
  <c r="DF362"/>
  <c r="DG362"/>
  <c r="DH362"/>
  <c r="DI362"/>
  <c r="DJ362"/>
  <c r="DK362"/>
  <c r="DL362"/>
  <c r="DM362"/>
  <c r="DN362"/>
  <c r="DO362"/>
  <c r="DP362"/>
  <c r="DQ362"/>
  <c r="DR362"/>
  <c r="DS362"/>
  <c r="DT362"/>
  <c r="DU362"/>
  <c r="DV362"/>
  <c r="DW362"/>
  <c r="DX362"/>
  <c r="DY362"/>
  <c r="DZ362"/>
  <c r="EA362"/>
  <c r="EB362"/>
  <c r="EC362"/>
  <c r="ED362"/>
  <c r="EE362"/>
  <c r="EF362"/>
  <c r="EG362"/>
  <c r="EH362"/>
  <c r="EI362"/>
  <c r="EJ362"/>
  <c r="EK362"/>
  <c r="EL362"/>
  <c r="EM362"/>
  <c r="EN362"/>
  <c r="EO362"/>
  <c r="EP362"/>
  <c r="EQ362"/>
  <c r="ER362"/>
  <c r="ES362"/>
  <c r="ET362"/>
  <c r="EU362"/>
  <c r="EV362"/>
  <c r="EW362"/>
  <c r="EX362"/>
  <c r="EY362"/>
  <c r="EZ362"/>
  <c r="FA362"/>
  <c r="FB362"/>
  <c r="FC362"/>
  <c r="FD362"/>
  <c r="FE362"/>
  <c r="FF362"/>
  <c r="FG362"/>
  <c r="FH362"/>
  <c r="FI362"/>
  <c r="FJ362"/>
  <c r="FK362"/>
  <c r="FL362"/>
  <c r="FM362"/>
  <c r="FN362"/>
  <c r="FO362"/>
  <c r="FP362"/>
  <c r="FQ362"/>
  <c r="FR362"/>
  <c r="FS362"/>
  <c r="FT362"/>
  <c r="FU362"/>
  <c r="FV362"/>
  <c r="FW362"/>
  <c r="FX362"/>
  <c r="FY362"/>
  <c r="FZ362"/>
  <c r="GA362"/>
  <c r="GB362"/>
  <c r="GC362"/>
  <c r="GD362"/>
  <c r="GE362"/>
  <c r="GF362"/>
  <c r="GG362"/>
  <c r="GH362"/>
  <c r="GI362"/>
  <c r="GJ362"/>
  <c r="GK362"/>
  <c r="GL362"/>
  <c r="GM362"/>
  <c r="GN362"/>
  <c r="GO362"/>
  <c r="GP362"/>
  <c r="GQ362"/>
  <c r="GR362"/>
  <c r="GS362"/>
  <c r="GT362"/>
  <c r="GU362"/>
  <c r="GV362"/>
  <c r="GW362"/>
  <c r="GX362"/>
  <c r="GY362"/>
  <c r="GZ362"/>
  <c r="HA362"/>
  <c r="HB362"/>
  <c r="HC362"/>
  <c r="HD362"/>
  <c r="HE362"/>
  <c r="HF362"/>
  <c r="HG362"/>
  <c r="HH362"/>
  <c r="HI362"/>
  <c r="HJ362"/>
  <c r="HK362"/>
  <c r="HL362"/>
  <c r="HM362"/>
  <c r="HN362"/>
  <c r="HO362"/>
  <c r="HP362"/>
  <c r="HQ362"/>
  <c r="HR362"/>
  <c r="HS362"/>
  <c r="HT362"/>
  <c r="HU362"/>
  <c r="HV362"/>
  <c r="HW362"/>
  <c r="HX362"/>
  <c r="HY362"/>
  <c r="HZ362"/>
  <c r="IA362"/>
  <c r="IB362"/>
  <c r="IC362"/>
  <c r="ID362"/>
  <c r="IE362"/>
  <c r="IF362"/>
  <c r="IG362"/>
  <c r="IH362"/>
  <c r="II362"/>
  <c r="IJ362"/>
  <c r="IK362"/>
  <c r="IL362"/>
  <c r="IM362"/>
  <c r="IN362"/>
  <c r="IO362"/>
  <c r="IP362"/>
  <c r="IQ362"/>
  <c r="IR362"/>
  <c r="IS362"/>
  <c r="IT362"/>
  <c r="IU362"/>
  <c r="IV362"/>
  <c r="A363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Z363"/>
  <c r="AA363"/>
  <c r="AB363"/>
  <c r="AC363"/>
  <c r="AD363"/>
  <c r="AE363"/>
  <c r="AF363"/>
  <c r="AG363"/>
  <c r="AH363"/>
  <c r="AI363"/>
  <c r="AJ363"/>
  <c r="AK363"/>
  <c r="AL363"/>
  <c r="AM363"/>
  <c r="AN363"/>
  <c r="AO363"/>
  <c r="AP363"/>
  <c r="AQ363"/>
  <c r="AR363"/>
  <c r="AS363"/>
  <c r="AT363"/>
  <c r="AU363"/>
  <c r="AV363"/>
  <c r="AW363"/>
  <c r="AX363"/>
  <c r="AY363"/>
  <c r="AZ363"/>
  <c r="BA363"/>
  <c r="BB363"/>
  <c r="BC363"/>
  <c r="BD363"/>
  <c r="BE363"/>
  <c r="BF363"/>
  <c r="BG363"/>
  <c r="BH363"/>
  <c r="BI363"/>
  <c r="BJ363"/>
  <c r="BK363"/>
  <c r="BL363"/>
  <c r="BM363"/>
  <c r="BN363"/>
  <c r="BO363"/>
  <c r="BP363"/>
  <c r="BQ363"/>
  <c r="BR363"/>
  <c r="BS363"/>
  <c r="BT363"/>
  <c r="BU363"/>
  <c r="BV363"/>
  <c r="BW363"/>
  <c r="BX363"/>
  <c r="BY363"/>
  <c r="BZ363"/>
  <c r="CA363"/>
  <c r="CB363"/>
  <c r="CC363"/>
  <c r="CD363"/>
  <c r="CE363"/>
  <c r="CF363"/>
  <c r="CG363"/>
  <c r="CH363"/>
  <c r="CI363"/>
  <c r="CJ363"/>
  <c r="CK363"/>
  <c r="CL363"/>
  <c r="CM363"/>
  <c r="CN363"/>
  <c r="CO363"/>
  <c r="CP363"/>
  <c r="CQ363"/>
  <c r="CR363"/>
  <c r="CS363"/>
  <c r="CT363"/>
  <c r="CU363"/>
  <c r="CV363"/>
  <c r="CW363"/>
  <c r="CX363"/>
  <c r="CY363"/>
  <c r="CZ363"/>
  <c r="DA363"/>
  <c r="DB363"/>
  <c r="DC363"/>
  <c r="DD363"/>
  <c r="DE363"/>
  <c r="DF363"/>
  <c r="DG363"/>
  <c r="DH363"/>
  <c r="DI363"/>
  <c r="DJ363"/>
  <c r="DK363"/>
  <c r="DL363"/>
  <c r="DM363"/>
  <c r="DN363"/>
  <c r="DO363"/>
  <c r="DP363"/>
  <c r="DQ363"/>
  <c r="DR363"/>
  <c r="DS363"/>
  <c r="DT363"/>
  <c r="DU363"/>
  <c r="DV363"/>
  <c r="DW363"/>
  <c r="DX363"/>
  <c r="DY363"/>
  <c r="DZ363"/>
  <c r="EA363"/>
  <c r="EB363"/>
  <c r="EC363"/>
  <c r="ED363"/>
  <c r="EE363"/>
  <c r="EF363"/>
  <c r="EG363"/>
  <c r="EH363"/>
  <c r="EI363"/>
  <c r="EJ363"/>
  <c r="EK363"/>
  <c r="EL363"/>
  <c r="EM363"/>
  <c r="EN363"/>
  <c r="EO363"/>
  <c r="EP363"/>
  <c r="EQ363"/>
  <c r="ER363"/>
  <c r="ES363"/>
  <c r="ET363"/>
  <c r="EU363"/>
  <c r="EV363"/>
  <c r="EW363"/>
  <c r="EX363"/>
  <c r="EY363"/>
  <c r="EZ363"/>
  <c r="FA363"/>
  <c r="FB363"/>
  <c r="FC363"/>
  <c r="FD363"/>
  <c r="FE363"/>
  <c r="FF363"/>
  <c r="FG363"/>
  <c r="FH363"/>
  <c r="FI363"/>
  <c r="FJ363"/>
  <c r="FK363"/>
  <c r="FL363"/>
  <c r="FM363"/>
  <c r="FN363"/>
  <c r="FO363"/>
  <c r="FP363"/>
  <c r="FQ363"/>
  <c r="FR363"/>
  <c r="FS363"/>
  <c r="FT363"/>
  <c r="FU363"/>
  <c r="FV363"/>
  <c r="FW363"/>
  <c r="FX363"/>
  <c r="FY363"/>
  <c r="FZ363"/>
  <c r="GA363"/>
  <c r="GB363"/>
  <c r="GC363"/>
  <c r="GD363"/>
  <c r="GE363"/>
  <c r="GF363"/>
  <c r="GG363"/>
  <c r="GH363"/>
  <c r="GI363"/>
  <c r="GJ363"/>
  <c r="GK363"/>
  <c r="GL363"/>
  <c r="GM363"/>
  <c r="GN363"/>
  <c r="GO363"/>
  <c r="GP363"/>
  <c r="GQ363"/>
  <c r="GR363"/>
  <c r="GS363"/>
  <c r="GT363"/>
  <c r="GU363"/>
  <c r="GV363"/>
  <c r="GW363"/>
  <c r="GX363"/>
  <c r="GY363"/>
  <c r="GZ363"/>
  <c r="HA363"/>
  <c r="HB363"/>
  <c r="HC363"/>
  <c r="HD363"/>
  <c r="HE363"/>
  <c r="HF363"/>
  <c r="HG363"/>
  <c r="HH363"/>
  <c r="HI363"/>
  <c r="HJ363"/>
  <c r="HK363"/>
  <c r="HL363"/>
  <c r="HM363"/>
  <c r="HN363"/>
  <c r="HO363"/>
  <c r="HP363"/>
  <c r="HQ363"/>
  <c r="HR363"/>
  <c r="HS363"/>
  <c r="HT363"/>
  <c r="HU363"/>
  <c r="HV363"/>
  <c r="HW363"/>
  <c r="HX363"/>
  <c r="HY363"/>
  <c r="HZ363"/>
  <c r="IA363"/>
  <c r="IB363"/>
  <c r="IC363"/>
  <c r="ID363"/>
  <c r="IE363"/>
  <c r="IF363"/>
  <c r="IG363"/>
  <c r="IH363"/>
  <c r="II363"/>
  <c r="IJ363"/>
  <c r="IK363"/>
  <c r="IL363"/>
  <c r="IM363"/>
  <c r="IN363"/>
  <c r="IO363"/>
  <c r="IP363"/>
  <c r="IQ363"/>
  <c r="IR363"/>
  <c r="IS363"/>
  <c r="IT363"/>
  <c r="IU363"/>
  <c r="IV363"/>
  <c r="A364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Z364"/>
  <c r="AA364"/>
  <c r="AB364"/>
  <c r="AC364"/>
  <c r="AD364"/>
  <c r="AE364"/>
  <c r="AF364"/>
  <c r="AG364"/>
  <c r="AH364"/>
  <c r="AI364"/>
  <c r="AJ364"/>
  <c r="AK364"/>
  <c r="AL364"/>
  <c r="AM364"/>
  <c r="AN364"/>
  <c r="AO364"/>
  <c r="AP364"/>
  <c r="AQ364"/>
  <c r="AR364"/>
  <c r="AS364"/>
  <c r="AT364"/>
  <c r="AU364"/>
  <c r="AV364"/>
  <c r="AW364"/>
  <c r="AX364"/>
  <c r="AY364"/>
  <c r="AZ364"/>
  <c r="BA364"/>
  <c r="BB364"/>
  <c r="BC364"/>
  <c r="BD364"/>
  <c r="BE364"/>
  <c r="BF364"/>
  <c r="BG364"/>
  <c r="BH364"/>
  <c r="BI364"/>
  <c r="BJ364"/>
  <c r="BK364"/>
  <c r="BL364"/>
  <c r="BM364"/>
  <c r="BN364"/>
  <c r="BO364"/>
  <c r="BP364"/>
  <c r="BQ364"/>
  <c r="BR364"/>
  <c r="BS364"/>
  <c r="BT364"/>
  <c r="BU364"/>
  <c r="BV364"/>
  <c r="BW364"/>
  <c r="BX364"/>
  <c r="BY364"/>
  <c r="BZ364"/>
  <c r="CA364"/>
  <c r="CB364"/>
  <c r="CC364"/>
  <c r="CD364"/>
  <c r="CE364"/>
  <c r="CF364"/>
  <c r="CG364"/>
  <c r="CH364"/>
  <c r="CI364"/>
  <c r="CJ364"/>
  <c r="CK364"/>
  <c r="CL364"/>
  <c r="CM364"/>
  <c r="CN364"/>
  <c r="CO364"/>
  <c r="CP364"/>
  <c r="CQ364"/>
  <c r="CR364"/>
  <c r="CS364"/>
  <c r="CT364"/>
  <c r="CU364"/>
  <c r="CV364"/>
  <c r="CW364"/>
  <c r="CX364"/>
  <c r="CY364"/>
  <c r="CZ364"/>
  <c r="DA364"/>
  <c r="DB364"/>
  <c r="DC364"/>
  <c r="DD364"/>
  <c r="DE364"/>
  <c r="DF364"/>
  <c r="DG364"/>
  <c r="DH364"/>
  <c r="DI364"/>
  <c r="DJ364"/>
  <c r="DK364"/>
  <c r="DL364"/>
  <c r="DM364"/>
  <c r="DN364"/>
  <c r="DO364"/>
  <c r="DP364"/>
  <c r="DQ364"/>
  <c r="DR364"/>
  <c r="DS364"/>
  <c r="DT364"/>
  <c r="DU364"/>
  <c r="DV364"/>
  <c r="DW364"/>
  <c r="DX364"/>
  <c r="DY364"/>
  <c r="DZ364"/>
  <c r="EA364"/>
  <c r="EB364"/>
  <c r="EC364"/>
  <c r="ED364"/>
  <c r="EE364"/>
  <c r="EF364"/>
  <c r="EG364"/>
  <c r="EH364"/>
  <c r="EI364"/>
  <c r="EJ364"/>
  <c r="EK364"/>
  <c r="EL364"/>
  <c r="EM364"/>
  <c r="EN364"/>
  <c r="EO364"/>
  <c r="EP364"/>
  <c r="EQ364"/>
  <c r="ER364"/>
  <c r="ES364"/>
  <c r="ET364"/>
  <c r="EU364"/>
  <c r="EV364"/>
  <c r="EW364"/>
  <c r="EX364"/>
  <c r="EY364"/>
  <c r="EZ364"/>
  <c r="FA364"/>
  <c r="FB364"/>
  <c r="FC364"/>
  <c r="FD364"/>
  <c r="FE364"/>
  <c r="FF364"/>
  <c r="FG364"/>
  <c r="FH364"/>
  <c r="FI364"/>
  <c r="FJ364"/>
  <c r="FK364"/>
  <c r="FL364"/>
  <c r="FM364"/>
  <c r="FN364"/>
  <c r="FO364"/>
  <c r="FP364"/>
  <c r="FQ364"/>
  <c r="FR364"/>
  <c r="FS364"/>
  <c r="FT364"/>
  <c r="FU364"/>
  <c r="FV364"/>
  <c r="FW364"/>
  <c r="FX364"/>
  <c r="FY364"/>
  <c r="FZ364"/>
  <c r="GA364"/>
  <c r="GB364"/>
  <c r="GC364"/>
  <c r="GD364"/>
  <c r="GE364"/>
  <c r="GF364"/>
  <c r="GG364"/>
  <c r="GH364"/>
  <c r="GI364"/>
  <c r="GJ364"/>
  <c r="GK364"/>
  <c r="GL364"/>
  <c r="GM364"/>
  <c r="GN364"/>
  <c r="GO364"/>
  <c r="GP364"/>
  <c r="GQ364"/>
  <c r="GR364"/>
  <c r="GS364"/>
  <c r="GT364"/>
  <c r="GU364"/>
  <c r="GV364"/>
  <c r="GW364"/>
  <c r="GX364"/>
  <c r="GY364"/>
  <c r="GZ364"/>
  <c r="HA364"/>
  <c r="HB364"/>
  <c r="HC364"/>
  <c r="HD364"/>
  <c r="HE364"/>
  <c r="HF364"/>
  <c r="HG364"/>
  <c r="HH364"/>
  <c r="HI364"/>
  <c r="HJ364"/>
  <c r="HK364"/>
  <c r="HL364"/>
  <c r="HM364"/>
  <c r="HN364"/>
  <c r="HO364"/>
  <c r="HP364"/>
  <c r="HQ364"/>
  <c r="HR364"/>
  <c r="HS364"/>
  <c r="HT364"/>
  <c r="HU364"/>
  <c r="HV364"/>
  <c r="HW364"/>
  <c r="HX364"/>
  <c r="HY364"/>
  <c r="HZ364"/>
  <c r="IA364"/>
  <c r="IB364"/>
  <c r="IC364"/>
  <c r="ID364"/>
  <c r="IE364"/>
  <c r="IF364"/>
  <c r="IG364"/>
  <c r="IH364"/>
  <c r="II364"/>
  <c r="IJ364"/>
  <c r="IK364"/>
  <c r="IL364"/>
  <c r="IM364"/>
  <c r="IN364"/>
  <c r="IO364"/>
  <c r="IP364"/>
  <c r="IQ364"/>
  <c r="IR364"/>
  <c r="IS364"/>
  <c r="IT364"/>
  <c r="IU364"/>
  <c r="IV364"/>
  <c r="A365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Z365"/>
  <c r="AA365"/>
  <c r="AB365"/>
  <c r="AC365"/>
  <c r="AD365"/>
  <c r="AE365"/>
  <c r="AF365"/>
  <c r="AG365"/>
  <c r="AH365"/>
  <c r="AI365"/>
  <c r="AJ365"/>
  <c r="AK365"/>
  <c r="AL365"/>
  <c r="AM365"/>
  <c r="AN365"/>
  <c r="AO365"/>
  <c r="AP365"/>
  <c r="AQ365"/>
  <c r="AR365"/>
  <c r="AS365"/>
  <c r="AT365"/>
  <c r="AU365"/>
  <c r="AV365"/>
  <c r="AW365"/>
  <c r="AX365"/>
  <c r="AY365"/>
  <c r="AZ365"/>
  <c r="BA365"/>
  <c r="BB365"/>
  <c r="BC365"/>
  <c r="BD365"/>
  <c r="BE365"/>
  <c r="BF365"/>
  <c r="BG365"/>
  <c r="BH365"/>
  <c r="BI365"/>
  <c r="BJ365"/>
  <c r="BK365"/>
  <c r="BL365"/>
  <c r="BM365"/>
  <c r="BN365"/>
  <c r="BO365"/>
  <c r="BP365"/>
  <c r="BQ365"/>
  <c r="BR365"/>
  <c r="BS365"/>
  <c r="BT365"/>
  <c r="BU365"/>
  <c r="BV365"/>
  <c r="BW365"/>
  <c r="BX365"/>
  <c r="BY365"/>
  <c r="BZ365"/>
  <c r="CA365"/>
  <c r="CB365"/>
  <c r="CC365"/>
  <c r="CD365"/>
  <c r="CE365"/>
  <c r="CF365"/>
  <c r="CG365"/>
  <c r="CH365"/>
  <c r="CI365"/>
  <c r="CJ365"/>
  <c r="CK365"/>
  <c r="CL365"/>
  <c r="CM365"/>
  <c r="CN365"/>
  <c r="CO365"/>
  <c r="CP365"/>
  <c r="CQ365"/>
  <c r="CR365"/>
  <c r="CS365"/>
  <c r="CT365"/>
  <c r="CU365"/>
  <c r="CV365"/>
  <c r="CW365"/>
  <c r="CX365"/>
  <c r="CY365"/>
  <c r="CZ365"/>
  <c r="DA365"/>
  <c r="DB365"/>
  <c r="DC365"/>
  <c r="DD365"/>
  <c r="DE365"/>
  <c r="DF365"/>
  <c r="DG365"/>
  <c r="DH365"/>
  <c r="DI365"/>
  <c r="DJ365"/>
  <c r="DK365"/>
  <c r="DL365"/>
  <c r="DM365"/>
  <c r="DN365"/>
  <c r="DO365"/>
  <c r="DP365"/>
  <c r="DQ365"/>
  <c r="DR365"/>
  <c r="DS365"/>
  <c r="DT365"/>
  <c r="DU365"/>
  <c r="DV365"/>
  <c r="DW365"/>
  <c r="DX365"/>
  <c r="DY365"/>
  <c r="DZ365"/>
  <c r="EA365"/>
  <c r="EB365"/>
  <c r="EC365"/>
  <c r="ED365"/>
  <c r="EE365"/>
  <c r="EF365"/>
  <c r="EG365"/>
  <c r="EH365"/>
  <c r="EI365"/>
  <c r="EJ365"/>
  <c r="EK365"/>
  <c r="EL365"/>
  <c r="EM365"/>
  <c r="EN365"/>
  <c r="EO365"/>
  <c r="EP365"/>
  <c r="EQ365"/>
  <c r="ER365"/>
  <c r="ES365"/>
  <c r="ET365"/>
  <c r="EU365"/>
  <c r="EV365"/>
  <c r="EW365"/>
  <c r="EX365"/>
  <c r="EY365"/>
  <c r="EZ365"/>
  <c r="FA365"/>
  <c r="FB365"/>
  <c r="FC365"/>
  <c r="FD365"/>
  <c r="FE365"/>
  <c r="FF365"/>
  <c r="FG365"/>
  <c r="FH365"/>
  <c r="FI365"/>
  <c r="FJ365"/>
  <c r="FK365"/>
  <c r="FL365"/>
  <c r="FM365"/>
  <c r="FN365"/>
  <c r="FO365"/>
  <c r="FP365"/>
  <c r="FQ365"/>
  <c r="FR365"/>
  <c r="FS365"/>
  <c r="FT365"/>
  <c r="FU365"/>
  <c r="FV365"/>
  <c r="FW365"/>
  <c r="FX365"/>
  <c r="FY365"/>
  <c r="FZ365"/>
  <c r="GA365"/>
  <c r="GB365"/>
  <c r="GC365"/>
  <c r="GD365"/>
  <c r="GE365"/>
  <c r="GF365"/>
  <c r="GG365"/>
  <c r="GH365"/>
  <c r="GI365"/>
  <c r="GJ365"/>
  <c r="GK365"/>
  <c r="GL365"/>
  <c r="GM365"/>
  <c r="GN365"/>
  <c r="GO365"/>
  <c r="GP365"/>
  <c r="GQ365"/>
  <c r="GR365"/>
  <c r="GS365"/>
  <c r="GT365"/>
  <c r="GU365"/>
  <c r="GV365"/>
  <c r="GW365"/>
  <c r="GX365"/>
  <c r="GY365"/>
  <c r="GZ365"/>
  <c r="HA365"/>
  <c r="HB365"/>
  <c r="HC365"/>
  <c r="HD365"/>
  <c r="HE365"/>
  <c r="HF365"/>
  <c r="HG365"/>
  <c r="HH365"/>
  <c r="HI365"/>
  <c r="HJ365"/>
  <c r="HK365"/>
  <c r="HL365"/>
  <c r="HM365"/>
  <c r="HN365"/>
  <c r="HO365"/>
  <c r="HP365"/>
  <c r="HQ365"/>
  <c r="HR365"/>
  <c r="HS365"/>
  <c r="HT365"/>
  <c r="HU365"/>
  <c r="HV365"/>
  <c r="HW365"/>
  <c r="HX365"/>
  <c r="HY365"/>
  <c r="HZ365"/>
  <c r="IA365"/>
  <c r="IB365"/>
  <c r="IC365"/>
  <c r="ID365"/>
  <c r="IE365"/>
  <c r="IF365"/>
  <c r="IG365"/>
  <c r="IH365"/>
  <c r="II365"/>
  <c r="IJ365"/>
  <c r="IK365"/>
  <c r="IL365"/>
  <c r="IM365"/>
  <c r="IN365"/>
  <c r="IO365"/>
  <c r="IP365"/>
  <c r="IQ365"/>
  <c r="IR365"/>
  <c r="IS365"/>
  <c r="IT365"/>
  <c r="IU365"/>
  <c r="IV365"/>
  <c r="A366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Z366"/>
  <c r="AA366"/>
  <c r="AB366"/>
  <c r="AC366"/>
  <c r="AD366"/>
  <c r="AE366"/>
  <c r="AF366"/>
  <c r="AG366"/>
  <c r="AH366"/>
  <c r="AI366"/>
  <c r="AJ366"/>
  <c r="AK366"/>
  <c r="AL366"/>
  <c r="AM366"/>
  <c r="AN366"/>
  <c r="AO366"/>
  <c r="AP366"/>
  <c r="AQ366"/>
  <c r="AR366"/>
  <c r="AS366"/>
  <c r="AT366"/>
  <c r="AU366"/>
  <c r="AV366"/>
  <c r="AW366"/>
  <c r="AX366"/>
  <c r="AY366"/>
  <c r="AZ366"/>
  <c r="BA366"/>
  <c r="BB366"/>
  <c r="BC366"/>
  <c r="BD366"/>
  <c r="BE366"/>
  <c r="BF366"/>
  <c r="BG366"/>
  <c r="BH366"/>
  <c r="BI366"/>
  <c r="BJ366"/>
  <c r="BK366"/>
  <c r="BL366"/>
  <c r="BM366"/>
  <c r="BN366"/>
  <c r="BO366"/>
  <c r="BP366"/>
  <c r="BQ366"/>
  <c r="BR366"/>
  <c r="BS366"/>
  <c r="BT366"/>
  <c r="BU366"/>
  <c r="BV366"/>
  <c r="BW366"/>
  <c r="BX366"/>
  <c r="BY366"/>
  <c r="BZ366"/>
  <c r="CA366"/>
  <c r="CB366"/>
  <c r="CC366"/>
  <c r="CD366"/>
  <c r="CE366"/>
  <c r="CF366"/>
  <c r="CG366"/>
  <c r="CH366"/>
  <c r="CI366"/>
  <c r="CJ366"/>
  <c r="CK366"/>
  <c r="CL366"/>
  <c r="CM366"/>
  <c r="CN366"/>
  <c r="CO366"/>
  <c r="CP366"/>
  <c r="CQ366"/>
  <c r="CR366"/>
  <c r="CS366"/>
  <c r="CT366"/>
  <c r="CU366"/>
  <c r="CV366"/>
  <c r="CW366"/>
  <c r="CX366"/>
  <c r="CY366"/>
  <c r="CZ366"/>
  <c r="DA366"/>
  <c r="DB366"/>
  <c r="DC366"/>
  <c r="DD366"/>
  <c r="DE366"/>
  <c r="DF366"/>
  <c r="DG366"/>
  <c r="DH366"/>
  <c r="DI366"/>
  <c r="DJ366"/>
  <c r="DK366"/>
  <c r="DL366"/>
  <c r="DM366"/>
  <c r="DN366"/>
  <c r="DO366"/>
  <c r="DP366"/>
  <c r="DQ366"/>
  <c r="DR366"/>
  <c r="DS366"/>
  <c r="DT366"/>
  <c r="DU366"/>
  <c r="DV366"/>
  <c r="DW366"/>
  <c r="DX366"/>
  <c r="DY366"/>
  <c r="DZ366"/>
  <c r="EA366"/>
  <c r="EB366"/>
  <c r="EC366"/>
  <c r="ED366"/>
  <c r="EE366"/>
  <c r="EF366"/>
  <c r="EG366"/>
  <c r="EH366"/>
  <c r="EI366"/>
  <c r="EJ366"/>
  <c r="EK366"/>
  <c r="EL366"/>
  <c r="EM366"/>
  <c r="EN366"/>
  <c r="EO366"/>
  <c r="EP366"/>
  <c r="EQ366"/>
  <c r="ER366"/>
  <c r="ES366"/>
  <c r="ET366"/>
  <c r="EU366"/>
  <c r="EV366"/>
  <c r="EW366"/>
  <c r="EX366"/>
  <c r="EY366"/>
  <c r="EZ366"/>
  <c r="FA366"/>
  <c r="FB366"/>
  <c r="FC366"/>
  <c r="FD366"/>
  <c r="FE366"/>
  <c r="FF366"/>
  <c r="FG366"/>
  <c r="FH366"/>
  <c r="FI366"/>
  <c r="FJ366"/>
  <c r="FK366"/>
  <c r="FL366"/>
  <c r="FM366"/>
  <c r="FN366"/>
  <c r="FO366"/>
  <c r="FP366"/>
  <c r="FQ366"/>
  <c r="FR366"/>
  <c r="FS366"/>
  <c r="FT366"/>
  <c r="FU366"/>
  <c r="FV366"/>
  <c r="FW366"/>
  <c r="FX366"/>
  <c r="FY366"/>
  <c r="FZ366"/>
  <c r="GA366"/>
  <c r="GB366"/>
  <c r="GC366"/>
  <c r="GD366"/>
  <c r="GE366"/>
  <c r="GF366"/>
  <c r="GG366"/>
  <c r="GH366"/>
  <c r="GI366"/>
  <c r="GJ366"/>
  <c r="GK366"/>
  <c r="GL366"/>
  <c r="GM366"/>
  <c r="GN366"/>
  <c r="GO366"/>
  <c r="GP366"/>
  <c r="GQ366"/>
  <c r="GR366"/>
  <c r="GS366"/>
  <c r="GT366"/>
  <c r="GU366"/>
  <c r="GV366"/>
  <c r="GW366"/>
  <c r="GX366"/>
  <c r="GY366"/>
  <c r="GZ366"/>
  <c r="HA366"/>
  <c r="HB366"/>
  <c r="HC366"/>
  <c r="HD366"/>
  <c r="HE366"/>
  <c r="HF366"/>
  <c r="HG366"/>
  <c r="HH366"/>
  <c r="HI366"/>
  <c r="HJ366"/>
  <c r="HK366"/>
  <c r="HL366"/>
  <c r="HM366"/>
  <c r="HN366"/>
  <c r="HO366"/>
  <c r="HP366"/>
  <c r="HQ366"/>
  <c r="HR366"/>
  <c r="HS366"/>
  <c r="HT366"/>
  <c r="HU366"/>
  <c r="HV366"/>
  <c r="HW366"/>
  <c r="HX366"/>
  <c r="HY366"/>
  <c r="HZ366"/>
  <c r="IA366"/>
  <c r="IB366"/>
  <c r="IC366"/>
  <c r="ID366"/>
  <c r="IE366"/>
  <c r="IF366"/>
  <c r="IG366"/>
  <c r="IH366"/>
  <c r="II366"/>
  <c r="IJ366"/>
  <c r="IK366"/>
  <c r="IL366"/>
  <c r="IM366"/>
  <c r="IN366"/>
  <c r="IO366"/>
  <c r="IP366"/>
  <c r="IQ366"/>
  <c r="IR366"/>
  <c r="IS366"/>
  <c r="IT366"/>
  <c r="IU366"/>
  <c r="IV366"/>
  <c r="A367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Z367"/>
  <c r="AA367"/>
  <c r="AB367"/>
  <c r="AC367"/>
  <c r="AD367"/>
  <c r="AE367"/>
  <c r="AF367"/>
  <c r="AG367"/>
  <c r="AH367"/>
  <c r="AI367"/>
  <c r="AJ367"/>
  <c r="AK367"/>
  <c r="AL367"/>
  <c r="AM367"/>
  <c r="AN367"/>
  <c r="AO367"/>
  <c r="AP367"/>
  <c r="AQ367"/>
  <c r="AR367"/>
  <c r="AS367"/>
  <c r="AT367"/>
  <c r="AU367"/>
  <c r="AV367"/>
  <c r="AW367"/>
  <c r="AX367"/>
  <c r="AY367"/>
  <c r="AZ367"/>
  <c r="BA367"/>
  <c r="BB367"/>
  <c r="BC367"/>
  <c r="BD367"/>
  <c r="BE367"/>
  <c r="BF367"/>
  <c r="BG367"/>
  <c r="BH367"/>
  <c r="BI367"/>
  <c r="BJ367"/>
  <c r="BK367"/>
  <c r="BL367"/>
  <c r="BM367"/>
  <c r="BN367"/>
  <c r="BO367"/>
  <c r="BP367"/>
  <c r="BQ367"/>
  <c r="BR367"/>
  <c r="BS367"/>
  <c r="BT367"/>
  <c r="BU367"/>
  <c r="BV367"/>
  <c r="BW367"/>
  <c r="BX367"/>
  <c r="BY367"/>
  <c r="BZ367"/>
  <c r="CA367"/>
  <c r="CB367"/>
  <c r="CC367"/>
  <c r="CD367"/>
  <c r="CE367"/>
  <c r="CF367"/>
  <c r="CG367"/>
  <c r="CH367"/>
  <c r="CI367"/>
  <c r="CJ367"/>
  <c r="CK367"/>
  <c r="CL367"/>
  <c r="CM367"/>
  <c r="CN367"/>
  <c r="CO367"/>
  <c r="CP367"/>
  <c r="CQ367"/>
  <c r="CR367"/>
  <c r="CS367"/>
  <c r="CT367"/>
  <c r="CU367"/>
  <c r="CV367"/>
  <c r="CW367"/>
  <c r="CX367"/>
  <c r="CY367"/>
  <c r="CZ367"/>
  <c r="DA367"/>
  <c r="DB367"/>
  <c r="DC367"/>
  <c r="DD367"/>
  <c r="DE367"/>
  <c r="DF367"/>
  <c r="DG367"/>
  <c r="DH367"/>
  <c r="DI367"/>
  <c r="DJ367"/>
  <c r="DK367"/>
  <c r="DL367"/>
  <c r="DM367"/>
  <c r="DN367"/>
  <c r="DO367"/>
  <c r="DP367"/>
  <c r="DQ367"/>
  <c r="DR367"/>
  <c r="DS367"/>
  <c r="DT367"/>
  <c r="DU367"/>
  <c r="DV367"/>
  <c r="DW367"/>
  <c r="DX367"/>
  <c r="DY367"/>
  <c r="DZ367"/>
  <c r="EA367"/>
  <c r="EB367"/>
  <c r="EC367"/>
  <c r="ED367"/>
  <c r="EE367"/>
  <c r="EF367"/>
  <c r="EG367"/>
  <c r="EH367"/>
  <c r="EI367"/>
  <c r="EJ367"/>
  <c r="EK367"/>
  <c r="EL367"/>
  <c r="EM367"/>
  <c r="EN367"/>
  <c r="EO367"/>
  <c r="EP367"/>
  <c r="EQ367"/>
  <c r="ER367"/>
  <c r="ES367"/>
  <c r="ET367"/>
  <c r="EU367"/>
  <c r="EV367"/>
  <c r="EW367"/>
  <c r="EX367"/>
  <c r="EY367"/>
  <c r="EZ367"/>
  <c r="FA367"/>
  <c r="FB367"/>
  <c r="FC367"/>
  <c r="FD367"/>
  <c r="FE367"/>
  <c r="FF367"/>
  <c r="FG367"/>
  <c r="FH367"/>
  <c r="FI367"/>
  <c r="FJ367"/>
  <c r="FK367"/>
  <c r="FL367"/>
  <c r="FM367"/>
  <c r="FN367"/>
  <c r="FO367"/>
  <c r="FP367"/>
  <c r="FQ367"/>
  <c r="FR367"/>
  <c r="FS367"/>
  <c r="FT367"/>
  <c r="FU367"/>
  <c r="FV367"/>
  <c r="FW367"/>
  <c r="FX367"/>
  <c r="FY367"/>
  <c r="FZ367"/>
  <c r="GA367"/>
  <c r="GB367"/>
  <c r="GC367"/>
  <c r="GD367"/>
  <c r="GE367"/>
  <c r="GF367"/>
  <c r="GG367"/>
  <c r="GH367"/>
  <c r="GI367"/>
  <c r="GJ367"/>
  <c r="GK367"/>
  <c r="GL367"/>
  <c r="GM367"/>
  <c r="GN367"/>
  <c r="GO367"/>
  <c r="GP367"/>
  <c r="GQ367"/>
  <c r="GR367"/>
  <c r="GS367"/>
  <c r="GT367"/>
  <c r="GU367"/>
  <c r="GV367"/>
  <c r="GW367"/>
  <c r="GX367"/>
  <c r="GY367"/>
  <c r="GZ367"/>
  <c r="HA367"/>
  <c r="HB367"/>
  <c r="HC367"/>
  <c r="HD367"/>
  <c r="HE367"/>
  <c r="HF367"/>
  <c r="HG367"/>
  <c r="HH367"/>
  <c r="HI367"/>
  <c r="HJ367"/>
  <c r="HK367"/>
  <c r="HL367"/>
  <c r="HM367"/>
  <c r="HN367"/>
  <c r="HO367"/>
  <c r="HP367"/>
  <c r="HQ367"/>
  <c r="HR367"/>
  <c r="HS367"/>
  <c r="HT367"/>
  <c r="HU367"/>
  <c r="HV367"/>
  <c r="HW367"/>
  <c r="HX367"/>
  <c r="HY367"/>
  <c r="HZ367"/>
  <c r="IA367"/>
  <c r="IB367"/>
  <c r="IC367"/>
  <c r="ID367"/>
  <c r="IE367"/>
  <c r="IF367"/>
  <c r="IG367"/>
  <c r="IH367"/>
  <c r="II367"/>
  <c r="IJ367"/>
  <c r="IK367"/>
  <c r="IL367"/>
  <c r="IM367"/>
  <c r="IN367"/>
  <c r="IO367"/>
  <c r="IP367"/>
  <c r="IQ367"/>
  <c r="IR367"/>
  <c r="IS367"/>
  <c r="IT367"/>
  <c r="IU367"/>
  <c r="IV367"/>
  <c r="A368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Z368"/>
  <c r="AA368"/>
  <c r="AB368"/>
  <c r="AC368"/>
  <c r="AD368"/>
  <c r="AE368"/>
  <c r="AF368"/>
  <c r="AG368"/>
  <c r="AH368"/>
  <c r="AI368"/>
  <c r="AJ368"/>
  <c r="AK368"/>
  <c r="AL368"/>
  <c r="AM368"/>
  <c r="AN368"/>
  <c r="AO368"/>
  <c r="AP368"/>
  <c r="AQ368"/>
  <c r="AR368"/>
  <c r="AS368"/>
  <c r="AT368"/>
  <c r="AU368"/>
  <c r="AV368"/>
  <c r="AW368"/>
  <c r="AX368"/>
  <c r="AY368"/>
  <c r="AZ368"/>
  <c r="BA368"/>
  <c r="BB368"/>
  <c r="BC368"/>
  <c r="BD368"/>
  <c r="BE368"/>
  <c r="BF368"/>
  <c r="BG368"/>
  <c r="BH368"/>
  <c r="BI368"/>
  <c r="BJ368"/>
  <c r="BK368"/>
  <c r="BL368"/>
  <c r="BM368"/>
  <c r="BN368"/>
  <c r="BO368"/>
  <c r="BP368"/>
  <c r="BQ368"/>
  <c r="BR368"/>
  <c r="BS368"/>
  <c r="BT368"/>
  <c r="BU368"/>
  <c r="BV368"/>
  <c r="BW368"/>
  <c r="BX368"/>
  <c r="BY368"/>
  <c r="BZ368"/>
  <c r="CA368"/>
  <c r="CB368"/>
  <c r="CC368"/>
  <c r="CD368"/>
  <c r="CE368"/>
  <c r="CF368"/>
  <c r="CG368"/>
  <c r="CH368"/>
  <c r="CI368"/>
  <c r="CJ368"/>
  <c r="CK368"/>
  <c r="CL368"/>
  <c r="CM368"/>
  <c r="CN368"/>
  <c r="CO368"/>
  <c r="CP368"/>
  <c r="CQ368"/>
  <c r="CR368"/>
  <c r="CS368"/>
  <c r="CT368"/>
  <c r="CU368"/>
  <c r="CV368"/>
  <c r="CW368"/>
  <c r="CX368"/>
  <c r="CY368"/>
  <c r="CZ368"/>
  <c r="DA368"/>
  <c r="DB368"/>
  <c r="DC368"/>
  <c r="DD368"/>
  <c r="DE368"/>
  <c r="DF368"/>
  <c r="DG368"/>
  <c r="DH368"/>
  <c r="DI368"/>
  <c r="DJ368"/>
  <c r="DK368"/>
  <c r="DL368"/>
  <c r="DM368"/>
  <c r="DN368"/>
  <c r="DO368"/>
  <c r="DP368"/>
  <c r="DQ368"/>
  <c r="DR368"/>
  <c r="DS368"/>
  <c r="DT368"/>
  <c r="DU368"/>
  <c r="DV368"/>
  <c r="DW368"/>
  <c r="DX368"/>
  <c r="DY368"/>
  <c r="DZ368"/>
  <c r="EA368"/>
  <c r="EB368"/>
  <c r="EC368"/>
  <c r="ED368"/>
  <c r="EE368"/>
  <c r="EF368"/>
  <c r="EG368"/>
  <c r="EH368"/>
  <c r="EI368"/>
  <c r="EJ368"/>
  <c r="EK368"/>
  <c r="EL368"/>
  <c r="EM368"/>
  <c r="EN368"/>
  <c r="EO368"/>
  <c r="EP368"/>
  <c r="EQ368"/>
  <c r="ER368"/>
  <c r="ES368"/>
  <c r="ET368"/>
  <c r="EU368"/>
  <c r="EV368"/>
  <c r="EW368"/>
  <c r="EX368"/>
  <c r="EY368"/>
  <c r="EZ368"/>
  <c r="FA368"/>
  <c r="FB368"/>
  <c r="FC368"/>
  <c r="FD368"/>
  <c r="FE368"/>
  <c r="FF368"/>
  <c r="FG368"/>
  <c r="FH368"/>
  <c r="FI368"/>
  <c r="FJ368"/>
  <c r="FK368"/>
  <c r="FL368"/>
  <c r="FM368"/>
  <c r="FN368"/>
  <c r="FO368"/>
  <c r="FP368"/>
  <c r="FQ368"/>
  <c r="FR368"/>
  <c r="FS368"/>
  <c r="FT368"/>
  <c r="FU368"/>
  <c r="FV368"/>
  <c r="FW368"/>
  <c r="FX368"/>
  <c r="FY368"/>
  <c r="FZ368"/>
  <c r="GA368"/>
  <c r="GB368"/>
  <c r="GC368"/>
  <c r="GD368"/>
  <c r="GE368"/>
  <c r="GF368"/>
  <c r="GG368"/>
  <c r="GH368"/>
  <c r="GI368"/>
  <c r="GJ368"/>
  <c r="GK368"/>
  <c r="GL368"/>
  <c r="GM368"/>
  <c r="GN368"/>
  <c r="GO368"/>
  <c r="GP368"/>
  <c r="GQ368"/>
  <c r="GR368"/>
  <c r="GS368"/>
  <c r="GT368"/>
  <c r="GU368"/>
  <c r="GV368"/>
  <c r="GW368"/>
  <c r="GX368"/>
  <c r="GY368"/>
  <c r="GZ368"/>
  <c r="HA368"/>
  <c r="HB368"/>
  <c r="HC368"/>
  <c r="HD368"/>
  <c r="HE368"/>
  <c r="HF368"/>
  <c r="HG368"/>
  <c r="HH368"/>
  <c r="HI368"/>
  <c r="HJ368"/>
  <c r="HK368"/>
  <c r="HL368"/>
  <c r="HM368"/>
  <c r="HN368"/>
  <c r="HO368"/>
  <c r="HP368"/>
  <c r="HQ368"/>
  <c r="HR368"/>
  <c r="HS368"/>
  <c r="HT368"/>
  <c r="HU368"/>
  <c r="HV368"/>
  <c r="HW368"/>
  <c r="HX368"/>
  <c r="HY368"/>
  <c r="HZ368"/>
  <c r="IA368"/>
  <c r="IB368"/>
  <c r="IC368"/>
  <c r="ID368"/>
  <c r="IE368"/>
  <c r="IF368"/>
  <c r="IG368"/>
  <c r="IH368"/>
  <c r="II368"/>
  <c r="IJ368"/>
  <c r="IK368"/>
  <c r="IL368"/>
  <c r="IM368"/>
  <c r="IN368"/>
  <c r="IO368"/>
  <c r="IP368"/>
  <c r="IQ368"/>
  <c r="IR368"/>
  <c r="IS368"/>
  <c r="IT368"/>
  <c r="IU368"/>
  <c r="IV368"/>
  <c r="A369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Z369"/>
  <c r="AA369"/>
  <c r="AB369"/>
  <c r="AC369"/>
  <c r="AD369"/>
  <c r="AE369"/>
  <c r="AF369"/>
  <c r="AG369"/>
  <c r="AH369"/>
  <c r="AI369"/>
  <c r="AJ369"/>
  <c r="AK369"/>
  <c r="AL369"/>
  <c r="AM369"/>
  <c r="AN369"/>
  <c r="AO369"/>
  <c r="AP369"/>
  <c r="AQ369"/>
  <c r="AR369"/>
  <c r="AS369"/>
  <c r="AT369"/>
  <c r="AU369"/>
  <c r="AV369"/>
  <c r="AW369"/>
  <c r="AX369"/>
  <c r="AY369"/>
  <c r="AZ369"/>
  <c r="BA369"/>
  <c r="BB369"/>
  <c r="BC369"/>
  <c r="BD369"/>
  <c r="BE369"/>
  <c r="BF369"/>
  <c r="BG369"/>
  <c r="BH369"/>
  <c r="BI369"/>
  <c r="BJ369"/>
  <c r="BK369"/>
  <c r="BL369"/>
  <c r="BM369"/>
  <c r="BN369"/>
  <c r="BO369"/>
  <c r="BP369"/>
  <c r="BQ369"/>
  <c r="BR369"/>
  <c r="BS369"/>
  <c r="BT369"/>
  <c r="BU369"/>
  <c r="BV369"/>
  <c r="BW369"/>
  <c r="BX369"/>
  <c r="BY369"/>
  <c r="BZ369"/>
  <c r="CA369"/>
  <c r="CB369"/>
  <c r="CC369"/>
  <c r="CD369"/>
  <c r="CE369"/>
  <c r="CF369"/>
  <c r="CG369"/>
  <c r="CH369"/>
  <c r="CI369"/>
  <c r="CJ369"/>
  <c r="CK369"/>
  <c r="CL369"/>
  <c r="CM369"/>
  <c r="CN369"/>
  <c r="CO369"/>
  <c r="CP369"/>
  <c r="CQ369"/>
  <c r="CR369"/>
  <c r="CS369"/>
  <c r="CT369"/>
  <c r="CU369"/>
  <c r="CV369"/>
  <c r="CW369"/>
  <c r="CX369"/>
  <c r="CY369"/>
  <c r="CZ369"/>
  <c r="DA369"/>
  <c r="DB369"/>
  <c r="DC369"/>
  <c r="DD369"/>
  <c r="DE369"/>
  <c r="DF369"/>
  <c r="DG369"/>
  <c r="DH369"/>
  <c r="DI369"/>
  <c r="DJ369"/>
  <c r="DK369"/>
  <c r="DL369"/>
  <c r="DM369"/>
  <c r="DN369"/>
  <c r="DO369"/>
  <c r="DP369"/>
  <c r="DQ369"/>
  <c r="DR369"/>
  <c r="DS369"/>
  <c r="DT369"/>
  <c r="DU369"/>
  <c r="DV369"/>
  <c r="DW369"/>
  <c r="DX369"/>
  <c r="DY369"/>
  <c r="DZ369"/>
  <c r="EA369"/>
  <c r="EB369"/>
  <c r="EC369"/>
  <c r="ED369"/>
  <c r="EE369"/>
  <c r="EF369"/>
  <c r="EG369"/>
  <c r="EH369"/>
  <c r="EI369"/>
  <c r="EJ369"/>
  <c r="EK369"/>
  <c r="EL369"/>
  <c r="EM369"/>
  <c r="EN369"/>
  <c r="EO369"/>
  <c r="EP369"/>
  <c r="EQ369"/>
  <c r="ER369"/>
  <c r="ES369"/>
  <c r="ET369"/>
  <c r="EU369"/>
  <c r="EV369"/>
  <c r="EW369"/>
  <c r="EX369"/>
  <c r="EY369"/>
  <c r="EZ369"/>
  <c r="FA369"/>
  <c r="FB369"/>
  <c r="FC369"/>
  <c r="FD369"/>
  <c r="FE369"/>
  <c r="FF369"/>
  <c r="FG369"/>
  <c r="FH369"/>
  <c r="FI369"/>
  <c r="FJ369"/>
  <c r="FK369"/>
  <c r="FL369"/>
  <c r="FM369"/>
  <c r="FN369"/>
  <c r="FO369"/>
  <c r="FP369"/>
  <c r="FQ369"/>
  <c r="FR369"/>
  <c r="FS369"/>
  <c r="FT369"/>
  <c r="FU369"/>
  <c r="FV369"/>
  <c r="FW369"/>
  <c r="FX369"/>
  <c r="FY369"/>
  <c r="FZ369"/>
  <c r="GA369"/>
  <c r="GB369"/>
  <c r="GC369"/>
  <c r="GD369"/>
  <c r="GE369"/>
  <c r="GF369"/>
  <c r="GG369"/>
  <c r="GH369"/>
  <c r="GI369"/>
  <c r="GJ369"/>
  <c r="GK369"/>
  <c r="GL369"/>
  <c r="GM369"/>
  <c r="GN369"/>
  <c r="GO369"/>
  <c r="GP369"/>
  <c r="GQ369"/>
  <c r="GR369"/>
  <c r="GS369"/>
  <c r="GT369"/>
  <c r="GU369"/>
  <c r="GV369"/>
  <c r="GW369"/>
  <c r="GX369"/>
  <c r="GY369"/>
  <c r="GZ369"/>
  <c r="HA369"/>
  <c r="HB369"/>
  <c r="HC369"/>
  <c r="HD369"/>
  <c r="HE369"/>
  <c r="HF369"/>
  <c r="HG369"/>
  <c r="HH369"/>
  <c r="HI369"/>
  <c r="HJ369"/>
  <c r="HK369"/>
  <c r="HL369"/>
  <c r="HM369"/>
  <c r="HN369"/>
  <c r="HO369"/>
  <c r="HP369"/>
  <c r="HQ369"/>
  <c r="HR369"/>
  <c r="HS369"/>
  <c r="HT369"/>
  <c r="HU369"/>
  <c r="HV369"/>
  <c r="HW369"/>
  <c r="HX369"/>
  <c r="HY369"/>
  <c r="HZ369"/>
  <c r="IA369"/>
  <c r="IB369"/>
  <c r="IC369"/>
  <c r="ID369"/>
  <c r="IE369"/>
  <c r="IF369"/>
  <c r="IG369"/>
  <c r="IH369"/>
  <c r="II369"/>
  <c r="IJ369"/>
  <c r="IK369"/>
  <c r="IL369"/>
  <c r="IM369"/>
  <c r="IN369"/>
  <c r="IO369"/>
  <c r="IP369"/>
  <c r="IQ369"/>
  <c r="IR369"/>
  <c r="IS369"/>
  <c r="IT369"/>
  <c r="IU369"/>
  <c r="IV369"/>
  <c r="A370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Z370"/>
  <c r="AA370"/>
  <c r="AB370"/>
  <c r="AC370"/>
  <c r="AD370"/>
  <c r="AE370"/>
  <c r="AF370"/>
  <c r="AG370"/>
  <c r="AH370"/>
  <c r="AI370"/>
  <c r="AJ370"/>
  <c r="AK370"/>
  <c r="AL370"/>
  <c r="AM370"/>
  <c r="AN370"/>
  <c r="AO370"/>
  <c r="AP370"/>
  <c r="AQ370"/>
  <c r="AR370"/>
  <c r="AS370"/>
  <c r="AT370"/>
  <c r="AU370"/>
  <c r="AV370"/>
  <c r="AW370"/>
  <c r="AX370"/>
  <c r="AY370"/>
  <c r="AZ370"/>
  <c r="BA370"/>
  <c r="BB370"/>
  <c r="BC370"/>
  <c r="BD370"/>
  <c r="BE370"/>
  <c r="BF370"/>
  <c r="BG370"/>
  <c r="BH370"/>
  <c r="BI370"/>
  <c r="BJ370"/>
  <c r="BK370"/>
  <c r="BL370"/>
  <c r="BM370"/>
  <c r="BN370"/>
  <c r="BO370"/>
  <c r="BP370"/>
  <c r="BQ370"/>
  <c r="BR370"/>
  <c r="BS370"/>
  <c r="BT370"/>
  <c r="BU370"/>
  <c r="BV370"/>
  <c r="BW370"/>
  <c r="BX370"/>
  <c r="BY370"/>
  <c r="BZ370"/>
  <c r="CA370"/>
  <c r="CB370"/>
  <c r="CC370"/>
  <c r="CD370"/>
  <c r="CE370"/>
  <c r="CF370"/>
  <c r="CG370"/>
  <c r="CH370"/>
  <c r="CI370"/>
  <c r="CJ370"/>
  <c r="CK370"/>
  <c r="CL370"/>
  <c r="CM370"/>
  <c r="CN370"/>
  <c r="CO370"/>
  <c r="CP370"/>
  <c r="CQ370"/>
  <c r="CR370"/>
  <c r="CS370"/>
  <c r="CT370"/>
  <c r="CU370"/>
  <c r="CV370"/>
  <c r="CW370"/>
  <c r="CX370"/>
  <c r="CY370"/>
  <c r="CZ370"/>
  <c r="DA370"/>
  <c r="DB370"/>
  <c r="DC370"/>
  <c r="DD370"/>
  <c r="DE370"/>
  <c r="DF370"/>
  <c r="DG370"/>
  <c r="DH370"/>
  <c r="DI370"/>
  <c r="DJ370"/>
  <c r="DK370"/>
  <c r="DL370"/>
  <c r="DM370"/>
  <c r="DN370"/>
  <c r="DO370"/>
  <c r="DP370"/>
  <c r="DQ370"/>
  <c r="DR370"/>
  <c r="DS370"/>
  <c r="DT370"/>
  <c r="DU370"/>
  <c r="DV370"/>
  <c r="DW370"/>
  <c r="DX370"/>
  <c r="DY370"/>
  <c r="DZ370"/>
  <c r="EA370"/>
  <c r="EB370"/>
  <c r="EC370"/>
  <c r="ED370"/>
  <c r="EE370"/>
  <c r="EF370"/>
  <c r="EG370"/>
  <c r="EH370"/>
  <c r="EI370"/>
  <c r="EJ370"/>
  <c r="EK370"/>
  <c r="EL370"/>
  <c r="EM370"/>
  <c r="EN370"/>
  <c r="EO370"/>
  <c r="EP370"/>
  <c r="EQ370"/>
  <c r="ER370"/>
  <c r="ES370"/>
  <c r="ET370"/>
  <c r="EU370"/>
  <c r="EV370"/>
  <c r="EW370"/>
  <c r="EX370"/>
  <c r="EY370"/>
  <c r="EZ370"/>
  <c r="FA370"/>
  <c r="FB370"/>
  <c r="FC370"/>
  <c r="FD370"/>
  <c r="FE370"/>
  <c r="FF370"/>
  <c r="FG370"/>
  <c r="FH370"/>
  <c r="FI370"/>
  <c r="FJ370"/>
  <c r="FK370"/>
  <c r="FL370"/>
  <c r="FM370"/>
  <c r="FN370"/>
  <c r="FO370"/>
  <c r="FP370"/>
  <c r="FQ370"/>
  <c r="FR370"/>
  <c r="FS370"/>
  <c r="FT370"/>
  <c r="FU370"/>
  <c r="FV370"/>
  <c r="FW370"/>
  <c r="FX370"/>
  <c r="FY370"/>
  <c r="FZ370"/>
  <c r="GA370"/>
  <c r="GB370"/>
  <c r="GC370"/>
  <c r="GD370"/>
  <c r="GE370"/>
  <c r="GF370"/>
  <c r="GG370"/>
  <c r="GH370"/>
  <c r="GI370"/>
  <c r="GJ370"/>
  <c r="GK370"/>
  <c r="GL370"/>
  <c r="GM370"/>
  <c r="GN370"/>
  <c r="GO370"/>
  <c r="GP370"/>
  <c r="GQ370"/>
  <c r="GR370"/>
  <c r="GS370"/>
  <c r="GT370"/>
  <c r="GU370"/>
  <c r="GV370"/>
  <c r="GW370"/>
  <c r="GX370"/>
  <c r="GY370"/>
  <c r="GZ370"/>
  <c r="HA370"/>
  <c r="HB370"/>
  <c r="HC370"/>
  <c r="HD370"/>
  <c r="HE370"/>
  <c r="HF370"/>
  <c r="HG370"/>
  <c r="HH370"/>
  <c r="HI370"/>
  <c r="HJ370"/>
  <c r="HK370"/>
  <c r="HL370"/>
  <c r="HM370"/>
  <c r="HN370"/>
  <c r="HO370"/>
  <c r="HP370"/>
  <c r="HQ370"/>
  <c r="HR370"/>
  <c r="HS370"/>
  <c r="HT370"/>
  <c r="HU370"/>
  <c r="HV370"/>
  <c r="HW370"/>
  <c r="HX370"/>
  <c r="HY370"/>
  <c r="HZ370"/>
  <c r="IA370"/>
  <c r="IB370"/>
  <c r="IC370"/>
  <c r="ID370"/>
  <c r="IE370"/>
  <c r="IF370"/>
  <c r="IG370"/>
  <c r="IH370"/>
  <c r="II370"/>
  <c r="IJ370"/>
  <c r="IK370"/>
  <c r="IL370"/>
  <c r="IM370"/>
  <c r="IN370"/>
  <c r="IO370"/>
  <c r="IP370"/>
  <c r="IQ370"/>
  <c r="IR370"/>
  <c r="IS370"/>
  <c r="IT370"/>
  <c r="IU370"/>
  <c r="IV370"/>
  <c r="A371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Z371"/>
  <c r="AA371"/>
  <c r="AB371"/>
  <c r="AC371"/>
  <c r="AD371"/>
  <c r="AE371"/>
  <c r="AF371"/>
  <c r="AG371"/>
  <c r="AH371"/>
  <c r="AI371"/>
  <c r="AJ371"/>
  <c r="AK371"/>
  <c r="AL371"/>
  <c r="AM371"/>
  <c r="AN371"/>
  <c r="AO371"/>
  <c r="AP371"/>
  <c r="AQ371"/>
  <c r="AR371"/>
  <c r="AS371"/>
  <c r="AT371"/>
  <c r="AU371"/>
  <c r="AV371"/>
  <c r="AW371"/>
  <c r="AX371"/>
  <c r="AY371"/>
  <c r="AZ371"/>
  <c r="BA371"/>
  <c r="BB371"/>
  <c r="BC371"/>
  <c r="BD371"/>
  <c r="BE371"/>
  <c r="BF371"/>
  <c r="BG371"/>
  <c r="BH371"/>
  <c r="BI371"/>
  <c r="BJ371"/>
  <c r="BK371"/>
  <c r="BL371"/>
  <c r="BM371"/>
  <c r="BN371"/>
  <c r="BO371"/>
  <c r="BP371"/>
  <c r="BQ371"/>
  <c r="BR371"/>
  <c r="BS371"/>
  <c r="BT371"/>
  <c r="BU371"/>
  <c r="BV371"/>
  <c r="BW371"/>
  <c r="BX371"/>
  <c r="BY371"/>
  <c r="BZ371"/>
  <c r="CA371"/>
  <c r="CB371"/>
  <c r="CC371"/>
  <c r="CD371"/>
  <c r="CE371"/>
  <c r="CF371"/>
  <c r="CG371"/>
  <c r="CH371"/>
  <c r="CI371"/>
  <c r="CJ371"/>
  <c r="CK371"/>
  <c r="CL371"/>
  <c r="CM371"/>
  <c r="CN371"/>
  <c r="CO371"/>
  <c r="CP371"/>
  <c r="CQ371"/>
  <c r="CR371"/>
  <c r="CS371"/>
  <c r="CT371"/>
  <c r="CU371"/>
  <c r="CV371"/>
  <c r="CW371"/>
  <c r="CX371"/>
  <c r="CY371"/>
  <c r="CZ371"/>
  <c r="DA371"/>
  <c r="DB371"/>
  <c r="DC371"/>
  <c r="DD371"/>
  <c r="DE371"/>
  <c r="DF371"/>
  <c r="DG371"/>
  <c r="DH371"/>
  <c r="DI371"/>
  <c r="DJ371"/>
  <c r="DK371"/>
  <c r="DL371"/>
  <c r="DM371"/>
  <c r="DN371"/>
  <c r="DO371"/>
  <c r="DP371"/>
  <c r="DQ371"/>
  <c r="DR371"/>
  <c r="DS371"/>
  <c r="DT371"/>
  <c r="DU371"/>
  <c r="DV371"/>
  <c r="DW371"/>
  <c r="DX371"/>
  <c r="DY371"/>
  <c r="DZ371"/>
  <c r="EA371"/>
  <c r="EB371"/>
  <c r="EC371"/>
  <c r="ED371"/>
  <c r="EE371"/>
  <c r="EF371"/>
  <c r="EG371"/>
  <c r="EH371"/>
  <c r="EI371"/>
  <c r="EJ371"/>
  <c r="EK371"/>
  <c r="EL371"/>
  <c r="EM371"/>
  <c r="EN371"/>
  <c r="EO371"/>
  <c r="EP371"/>
  <c r="EQ371"/>
  <c r="ER371"/>
  <c r="ES371"/>
  <c r="ET371"/>
  <c r="EU371"/>
  <c r="EV371"/>
  <c r="EW371"/>
  <c r="EX371"/>
  <c r="EY371"/>
  <c r="EZ371"/>
  <c r="FA371"/>
  <c r="FB371"/>
  <c r="FC371"/>
  <c r="FD371"/>
  <c r="FE371"/>
  <c r="FF371"/>
  <c r="FG371"/>
  <c r="FH371"/>
  <c r="FI371"/>
  <c r="FJ371"/>
  <c r="FK371"/>
  <c r="FL371"/>
  <c r="FM371"/>
  <c r="FN371"/>
  <c r="FO371"/>
  <c r="FP371"/>
  <c r="FQ371"/>
  <c r="FR371"/>
  <c r="FS371"/>
  <c r="FT371"/>
  <c r="FU371"/>
  <c r="FV371"/>
  <c r="FW371"/>
  <c r="FX371"/>
  <c r="FY371"/>
  <c r="FZ371"/>
  <c r="GA371"/>
  <c r="GB371"/>
  <c r="GC371"/>
  <c r="GD371"/>
  <c r="GE371"/>
  <c r="GF371"/>
  <c r="GG371"/>
  <c r="GH371"/>
  <c r="GI371"/>
  <c r="GJ371"/>
  <c r="GK371"/>
  <c r="GL371"/>
  <c r="GM371"/>
  <c r="GN371"/>
  <c r="GO371"/>
  <c r="GP371"/>
  <c r="GQ371"/>
  <c r="GR371"/>
  <c r="GS371"/>
  <c r="GT371"/>
  <c r="GU371"/>
  <c r="GV371"/>
  <c r="GW371"/>
  <c r="GX371"/>
  <c r="GY371"/>
  <c r="GZ371"/>
  <c r="HA371"/>
  <c r="HB371"/>
  <c r="HC371"/>
  <c r="HD371"/>
  <c r="HE371"/>
  <c r="HF371"/>
  <c r="HG371"/>
  <c r="HH371"/>
  <c r="HI371"/>
  <c r="HJ371"/>
  <c r="HK371"/>
  <c r="HL371"/>
  <c r="HM371"/>
  <c r="HN371"/>
  <c r="HO371"/>
  <c r="HP371"/>
  <c r="HQ371"/>
  <c r="HR371"/>
  <c r="HS371"/>
  <c r="HT371"/>
  <c r="HU371"/>
  <c r="HV371"/>
  <c r="HW371"/>
  <c r="HX371"/>
  <c r="HY371"/>
  <c r="HZ371"/>
  <c r="IA371"/>
  <c r="IB371"/>
  <c r="IC371"/>
  <c r="ID371"/>
  <c r="IE371"/>
  <c r="IF371"/>
  <c r="IG371"/>
  <c r="IH371"/>
  <c r="II371"/>
  <c r="IJ371"/>
  <c r="IK371"/>
  <c r="IL371"/>
  <c r="IM371"/>
  <c r="IN371"/>
  <c r="IO371"/>
  <c r="IP371"/>
  <c r="IQ371"/>
  <c r="IR371"/>
  <c r="IS371"/>
  <c r="IT371"/>
  <c r="IU371"/>
  <c r="IV371"/>
  <c r="A372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Z372"/>
  <c r="AA372"/>
  <c r="AB372"/>
  <c r="AC372"/>
  <c r="AD372"/>
  <c r="AE372"/>
  <c r="AF372"/>
  <c r="AG372"/>
  <c r="AH372"/>
  <c r="AI372"/>
  <c r="AJ372"/>
  <c r="AK372"/>
  <c r="AL372"/>
  <c r="AM372"/>
  <c r="AN372"/>
  <c r="AO372"/>
  <c r="AP372"/>
  <c r="AQ372"/>
  <c r="AR372"/>
  <c r="AS372"/>
  <c r="AT372"/>
  <c r="AU372"/>
  <c r="AV372"/>
  <c r="AW372"/>
  <c r="AX372"/>
  <c r="AY372"/>
  <c r="AZ372"/>
  <c r="BA372"/>
  <c r="BB372"/>
  <c r="BC372"/>
  <c r="BD372"/>
  <c r="BE372"/>
  <c r="BF372"/>
  <c r="BG372"/>
  <c r="BH372"/>
  <c r="BI372"/>
  <c r="BJ372"/>
  <c r="BK372"/>
  <c r="BL372"/>
  <c r="BM372"/>
  <c r="BN372"/>
  <c r="BO372"/>
  <c r="BP372"/>
  <c r="BQ372"/>
  <c r="BR372"/>
  <c r="BS372"/>
  <c r="BT372"/>
  <c r="BU372"/>
  <c r="BV372"/>
  <c r="BW372"/>
  <c r="BX372"/>
  <c r="BY372"/>
  <c r="BZ372"/>
  <c r="CA372"/>
  <c r="CB372"/>
  <c r="CC372"/>
  <c r="CD372"/>
  <c r="CE372"/>
  <c r="CF372"/>
  <c r="CG372"/>
  <c r="CH372"/>
  <c r="CI372"/>
  <c r="CJ372"/>
  <c r="CK372"/>
  <c r="CL372"/>
  <c r="CM372"/>
  <c r="CN372"/>
  <c r="CO372"/>
  <c r="CP372"/>
  <c r="CQ372"/>
  <c r="CR372"/>
  <c r="CS372"/>
  <c r="CT372"/>
  <c r="CU372"/>
  <c r="CV372"/>
  <c r="CW372"/>
  <c r="CX372"/>
  <c r="CY372"/>
  <c r="CZ372"/>
  <c r="DA372"/>
  <c r="DB372"/>
  <c r="DC372"/>
  <c r="DD372"/>
  <c r="DE372"/>
  <c r="DF372"/>
  <c r="DG372"/>
  <c r="DH372"/>
  <c r="DI372"/>
  <c r="DJ372"/>
  <c r="DK372"/>
  <c r="DL372"/>
  <c r="DM372"/>
  <c r="DN372"/>
  <c r="DO372"/>
  <c r="DP372"/>
  <c r="DQ372"/>
  <c r="DR372"/>
  <c r="DS372"/>
  <c r="DT372"/>
  <c r="DU372"/>
  <c r="DV372"/>
  <c r="DW372"/>
  <c r="DX372"/>
  <c r="DY372"/>
  <c r="DZ372"/>
  <c r="EA372"/>
  <c r="EB372"/>
  <c r="EC372"/>
  <c r="ED372"/>
  <c r="EE372"/>
  <c r="EF372"/>
  <c r="EG372"/>
  <c r="EH372"/>
  <c r="EI372"/>
  <c r="EJ372"/>
  <c r="EK372"/>
  <c r="EL372"/>
  <c r="EM372"/>
  <c r="EN372"/>
  <c r="EO372"/>
  <c r="EP372"/>
  <c r="EQ372"/>
  <c r="ER372"/>
  <c r="ES372"/>
  <c r="ET372"/>
  <c r="EU372"/>
  <c r="EV372"/>
  <c r="EW372"/>
  <c r="EX372"/>
  <c r="EY372"/>
  <c r="EZ372"/>
  <c r="FA372"/>
  <c r="FB372"/>
  <c r="FC372"/>
  <c r="FD372"/>
  <c r="FE372"/>
  <c r="FF372"/>
  <c r="FG372"/>
  <c r="FH372"/>
  <c r="FI372"/>
  <c r="FJ372"/>
  <c r="FK372"/>
  <c r="FL372"/>
  <c r="FM372"/>
  <c r="FN372"/>
  <c r="FO372"/>
  <c r="FP372"/>
  <c r="FQ372"/>
  <c r="FR372"/>
  <c r="FS372"/>
  <c r="FT372"/>
  <c r="FU372"/>
  <c r="FV372"/>
  <c r="FW372"/>
  <c r="FX372"/>
  <c r="FY372"/>
  <c r="FZ372"/>
  <c r="GA372"/>
  <c r="GB372"/>
  <c r="GC372"/>
  <c r="GD372"/>
  <c r="GE372"/>
  <c r="GF372"/>
  <c r="GG372"/>
  <c r="GH372"/>
  <c r="GI372"/>
  <c r="GJ372"/>
  <c r="GK372"/>
  <c r="GL372"/>
  <c r="GM372"/>
  <c r="GN372"/>
  <c r="GO372"/>
  <c r="GP372"/>
  <c r="GQ372"/>
  <c r="GR372"/>
  <c r="GS372"/>
  <c r="GT372"/>
  <c r="GU372"/>
  <c r="GV372"/>
  <c r="GW372"/>
  <c r="GX372"/>
  <c r="GY372"/>
  <c r="GZ372"/>
  <c r="HA372"/>
  <c r="HB372"/>
  <c r="HC372"/>
  <c r="HD372"/>
  <c r="HE372"/>
  <c r="HF372"/>
  <c r="HG372"/>
  <c r="HH372"/>
  <c r="HI372"/>
  <c r="HJ372"/>
  <c r="HK372"/>
  <c r="HL372"/>
  <c r="HM372"/>
  <c r="HN372"/>
  <c r="HO372"/>
  <c r="HP372"/>
  <c r="HQ372"/>
  <c r="HR372"/>
  <c r="HS372"/>
  <c r="HT372"/>
  <c r="HU372"/>
  <c r="HV372"/>
  <c r="HW372"/>
  <c r="HX372"/>
  <c r="HY372"/>
  <c r="HZ372"/>
  <c r="IA372"/>
  <c r="IB372"/>
  <c r="IC372"/>
  <c r="ID372"/>
  <c r="IE372"/>
  <c r="IF372"/>
  <c r="IG372"/>
  <c r="IH372"/>
  <c r="II372"/>
  <c r="IJ372"/>
  <c r="IK372"/>
  <c r="IL372"/>
  <c r="IM372"/>
  <c r="IN372"/>
  <c r="IO372"/>
  <c r="IP372"/>
  <c r="IQ372"/>
  <c r="IR372"/>
  <c r="IS372"/>
  <c r="IT372"/>
  <c r="IU372"/>
  <c r="IV372"/>
  <c r="A373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Z373"/>
  <c r="AA373"/>
  <c r="AB373"/>
  <c r="AC373"/>
  <c r="AD373"/>
  <c r="AE373"/>
  <c r="AF373"/>
  <c r="AG373"/>
  <c r="AH373"/>
  <c r="AI373"/>
  <c r="AJ373"/>
  <c r="AK373"/>
  <c r="AL373"/>
  <c r="AM373"/>
  <c r="AN373"/>
  <c r="AO373"/>
  <c r="AP373"/>
  <c r="AQ373"/>
  <c r="AR373"/>
  <c r="AS373"/>
  <c r="AT373"/>
  <c r="AU373"/>
  <c r="AV373"/>
  <c r="AW373"/>
  <c r="AX373"/>
  <c r="AY373"/>
  <c r="AZ373"/>
  <c r="BA373"/>
  <c r="BB373"/>
  <c r="BC373"/>
  <c r="BD373"/>
  <c r="BE373"/>
  <c r="BF373"/>
  <c r="BG373"/>
  <c r="BH373"/>
  <c r="BI373"/>
  <c r="BJ373"/>
  <c r="BK373"/>
  <c r="BL373"/>
  <c r="BM373"/>
  <c r="BN373"/>
  <c r="BO373"/>
  <c r="BP373"/>
  <c r="BQ373"/>
  <c r="BR373"/>
  <c r="BS373"/>
  <c r="BT373"/>
  <c r="BU373"/>
  <c r="BV373"/>
  <c r="BW373"/>
  <c r="BX373"/>
  <c r="BY373"/>
  <c r="BZ373"/>
  <c r="CA373"/>
  <c r="CB373"/>
  <c r="CC373"/>
  <c r="CD373"/>
  <c r="CE373"/>
  <c r="CF373"/>
  <c r="CG373"/>
  <c r="CH373"/>
  <c r="CI373"/>
  <c r="CJ373"/>
  <c r="CK373"/>
  <c r="CL373"/>
  <c r="CM373"/>
  <c r="CN373"/>
  <c r="CO373"/>
  <c r="CP373"/>
  <c r="CQ373"/>
  <c r="CR373"/>
  <c r="CS373"/>
  <c r="CT373"/>
  <c r="CU373"/>
  <c r="CV373"/>
  <c r="CW373"/>
  <c r="CX373"/>
  <c r="CY373"/>
  <c r="CZ373"/>
  <c r="DA373"/>
  <c r="DB373"/>
  <c r="DC373"/>
  <c r="DD373"/>
  <c r="DE373"/>
  <c r="DF373"/>
  <c r="DG373"/>
  <c r="DH373"/>
  <c r="DI373"/>
  <c r="DJ373"/>
  <c r="DK373"/>
  <c r="DL373"/>
  <c r="DM373"/>
  <c r="DN373"/>
  <c r="DO373"/>
  <c r="DP373"/>
  <c r="DQ373"/>
  <c r="DR373"/>
  <c r="DS373"/>
  <c r="DT373"/>
  <c r="DU373"/>
  <c r="DV373"/>
  <c r="DW373"/>
  <c r="DX373"/>
  <c r="DY373"/>
  <c r="DZ373"/>
  <c r="EA373"/>
  <c r="EB373"/>
  <c r="EC373"/>
  <c r="ED373"/>
  <c r="EE373"/>
  <c r="EF373"/>
  <c r="EG373"/>
  <c r="EH373"/>
  <c r="EI373"/>
  <c r="EJ373"/>
  <c r="EK373"/>
  <c r="EL373"/>
  <c r="EM373"/>
  <c r="EN373"/>
  <c r="EO373"/>
  <c r="EP373"/>
  <c r="EQ373"/>
  <c r="ER373"/>
  <c r="ES373"/>
  <c r="ET373"/>
  <c r="EU373"/>
  <c r="EV373"/>
  <c r="EW373"/>
  <c r="EX373"/>
  <c r="EY373"/>
  <c r="EZ373"/>
  <c r="FA373"/>
  <c r="FB373"/>
  <c r="FC373"/>
  <c r="FD373"/>
  <c r="FE373"/>
  <c r="FF373"/>
  <c r="FG373"/>
  <c r="FH373"/>
  <c r="FI373"/>
  <c r="FJ373"/>
  <c r="FK373"/>
  <c r="FL373"/>
  <c r="FM373"/>
  <c r="FN373"/>
  <c r="FO373"/>
  <c r="FP373"/>
  <c r="FQ373"/>
  <c r="FR373"/>
  <c r="FS373"/>
  <c r="FT373"/>
  <c r="FU373"/>
  <c r="FV373"/>
  <c r="FW373"/>
  <c r="FX373"/>
  <c r="FY373"/>
  <c r="FZ373"/>
  <c r="GA373"/>
  <c r="GB373"/>
  <c r="GC373"/>
  <c r="GD373"/>
  <c r="GE373"/>
  <c r="GF373"/>
  <c r="GG373"/>
  <c r="GH373"/>
  <c r="GI373"/>
  <c r="GJ373"/>
  <c r="GK373"/>
  <c r="GL373"/>
  <c r="GM373"/>
  <c r="GN373"/>
  <c r="GO373"/>
  <c r="GP373"/>
  <c r="GQ373"/>
  <c r="GR373"/>
  <c r="GS373"/>
  <c r="GT373"/>
  <c r="GU373"/>
  <c r="GV373"/>
  <c r="GW373"/>
  <c r="GX373"/>
  <c r="GY373"/>
  <c r="GZ373"/>
  <c r="HA373"/>
  <c r="HB373"/>
  <c r="HC373"/>
  <c r="HD373"/>
  <c r="HE373"/>
  <c r="HF373"/>
  <c r="HG373"/>
  <c r="HH373"/>
  <c r="HI373"/>
  <c r="HJ373"/>
  <c r="HK373"/>
  <c r="HL373"/>
  <c r="HM373"/>
  <c r="HN373"/>
  <c r="HO373"/>
  <c r="HP373"/>
  <c r="HQ373"/>
  <c r="HR373"/>
  <c r="HS373"/>
  <c r="HT373"/>
  <c r="HU373"/>
  <c r="HV373"/>
  <c r="HW373"/>
  <c r="HX373"/>
  <c r="HY373"/>
  <c r="HZ373"/>
  <c r="IA373"/>
  <c r="IB373"/>
  <c r="IC373"/>
  <c r="ID373"/>
  <c r="IE373"/>
  <c r="IF373"/>
  <c r="IG373"/>
  <c r="IH373"/>
  <c r="II373"/>
  <c r="IJ373"/>
  <c r="IK373"/>
  <c r="IL373"/>
  <c r="IM373"/>
  <c r="IN373"/>
  <c r="IO373"/>
  <c r="IP373"/>
  <c r="IQ373"/>
  <c r="IR373"/>
  <c r="IS373"/>
  <c r="IT373"/>
  <c r="IU373"/>
  <c r="IV373"/>
  <c r="A374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Z374"/>
  <c r="AA374"/>
  <c r="AB374"/>
  <c r="AC374"/>
  <c r="AD374"/>
  <c r="AE374"/>
  <c r="AF374"/>
  <c r="AG374"/>
  <c r="AH374"/>
  <c r="AI374"/>
  <c r="AJ374"/>
  <c r="AK374"/>
  <c r="AL374"/>
  <c r="AM374"/>
  <c r="AN374"/>
  <c r="AO374"/>
  <c r="AP374"/>
  <c r="AQ374"/>
  <c r="AR374"/>
  <c r="AS374"/>
  <c r="AT374"/>
  <c r="AU374"/>
  <c r="AV374"/>
  <c r="AW374"/>
  <c r="AX374"/>
  <c r="AY374"/>
  <c r="AZ374"/>
  <c r="BA374"/>
  <c r="BB374"/>
  <c r="BC374"/>
  <c r="BD374"/>
  <c r="BE374"/>
  <c r="BF374"/>
  <c r="BG374"/>
  <c r="BH374"/>
  <c r="BI374"/>
  <c r="BJ374"/>
  <c r="BK374"/>
  <c r="BL374"/>
  <c r="BM374"/>
  <c r="BN374"/>
  <c r="BO374"/>
  <c r="BP374"/>
  <c r="BQ374"/>
  <c r="BR374"/>
  <c r="BS374"/>
  <c r="BT374"/>
  <c r="BU374"/>
  <c r="BV374"/>
  <c r="BW374"/>
  <c r="BX374"/>
  <c r="BY374"/>
  <c r="BZ374"/>
  <c r="CA374"/>
  <c r="CB374"/>
  <c r="CC374"/>
  <c r="CD374"/>
  <c r="CE374"/>
  <c r="CF374"/>
  <c r="CG374"/>
  <c r="CH374"/>
  <c r="CI374"/>
  <c r="CJ374"/>
  <c r="CK374"/>
  <c r="CL374"/>
  <c r="CM374"/>
  <c r="CN374"/>
  <c r="CO374"/>
  <c r="CP374"/>
  <c r="CQ374"/>
  <c r="CR374"/>
  <c r="CS374"/>
  <c r="CT374"/>
  <c r="CU374"/>
  <c r="CV374"/>
  <c r="CW374"/>
  <c r="CX374"/>
  <c r="CY374"/>
  <c r="CZ374"/>
  <c r="DA374"/>
  <c r="DB374"/>
  <c r="DC374"/>
  <c r="DD374"/>
  <c r="DE374"/>
  <c r="DF374"/>
  <c r="DG374"/>
  <c r="DH374"/>
  <c r="DI374"/>
  <c r="DJ374"/>
  <c r="DK374"/>
  <c r="DL374"/>
  <c r="DM374"/>
  <c r="DN374"/>
  <c r="DO374"/>
  <c r="DP374"/>
  <c r="DQ374"/>
  <c r="DR374"/>
  <c r="DS374"/>
  <c r="DT374"/>
  <c r="DU374"/>
  <c r="DV374"/>
  <c r="DW374"/>
  <c r="DX374"/>
  <c r="DY374"/>
  <c r="DZ374"/>
  <c r="EA374"/>
  <c r="EB374"/>
  <c r="EC374"/>
  <c r="ED374"/>
  <c r="EE374"/>
  <c r="EF374"/>
  <c r="EG374"/>
  <c r="EH374"/>
  <c r="EI374"/>
  <c r="EJ374"/>
  <c r="EK374"/>
  <c r="EL374"/>
  <c r="EM374"/>
  <c r="EN374"/>
  <c r="EO374"/>
  <c r="EP374"/>
  <c r="EQ374"/>
  <c r="ER374"/>
  <c r="ES374"/>
  <c r="ET374"/>
  <c r="EU374"/>
  <c r="EV374"/>
  <c r="EW374"/>
  <c r="EX374"/>
  <c r="EY374"/>
  <c r="EZ374"/>
  <c r="FA374"/>
  <c r="FB374"/>
  <c r="FC374"/>
  <c r="FD374"/>
  <c r="FE374"/>
  <c r="FF374"/>
  <c r="FG374"/>
  <c r="FH374"/>
  <c r="FI374"/>
  <c r="FJ374"/>
  <c r="FK374"/>
  <c r="FL374"/>
  <c r="FM374"/>
  <c r="FN374"/>
  <c r="FO374"/>
  <c r="FP374"/>
  <c r="FQ374"/>
  <c r="FR374"/>
  <c r="FS374"/>
  <c r="FT374"/>
  <c r="FU374"/>
  <c r="FV374"/>
  <c r="FW374"/>
  <c r="FX374"/>
  <c r="FY374"/>
  <c r="FZ374"/>
  <c r="GA374"/>
  <c r="GB374"/>
  <c r="GC374"/>
  <c r="GD374"/>
  <c r="GE374"/>
  <c r="GF374"/>
  <c r="GG374"/>
  <c r="GH374"/>
  <c r="GI374"/>
  <c r="GJ374"/>
  <c r="GK374"/>
  <c r="GL374"/>
  <c r="GM374"/>
  <c r="GN374"/>
  <c r="GO374"/>
  <c r="GP374"/>
  <c r="GQ374"/>
  <c r="GR374"/>
  <c r="GS374"/>
  <c r="GT374"/>
  <c r="GU374"/>
  <c r="GV374"/>
  <c r="GW374"/>
  <c r="GX374"/>
  <c r="GY374"/>
  <c r="GZ374"/>
  <c r="HA374"/>
  <c r="HB374"/>
  <c r="HC374"/>
  <c r="HD374"/>
  <c r="HE374"/>
  <c r="HF374"/>
  <c r="HG374"/>
  <c r="HH374"/>
  <c r="HI374"/>
  <c r="HJ374"/>
  <c r="HK374"/>
  <c r="HL374"/>
  <c r="HM374"/>
  <c r="HN374"/>
  <c r="HO374"/>
  <c r="HP374"/>
  <c r="HQ374"/>
  <c r="HR374"/>
  <c r="HS374"/>
  <c r="HT374"/>
  <c r="HU374"/>
  <c r="HV374"/>
  <c r="HW374"/>
  <c r="HX374"/>
  <c r="HY374"/>
  <c r="HZ374"/>
  <c r="IA374"/>
  <c r="IB374"/>
  <c r="IC374"/>
  <c r="ID374"/>
  <c r="IE374"/>
  <c r="IF374"/>
  <c r="IG374"/>
  <c r="IH374"/>
  <c r="II374"/>
  <c r="IJ374"/>
  <c r="IK374"/>
  <c r="IL374"/>
  <c r="IM374"/>
  <c r="IN374"/>
  <c r="IO374"/>
  <c r="IP374"/>
  <c r="IQ374"/>
  <c r="IR374"/>
  <c r="IS374"/>
  <c r="IT374"/>
  <c r="IU374"/>
  <c r="IV374"/>
  <c r="A375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Z375"/>
  <c r="AA375"/>
  <c r="AB375"/>
  <c r="AC375"/>
  <c r="AD375"/>
  <c r="AE375"/>
  <c r="AF375"/>
  <c r="AG375"/>
  <c r="AH375"/>
  <c r="AI375"/>
  <c r="AJ375"/>
  <c r="AK375"/>
  <c r="AL375"/>
  <c r="AM375"/>
  <c r="AN375"/>
  <c r="AO375"/>
  <c r="AP375"/>
  <c r="AQ375"/>
  <c r="AR375"/>
  <c r="AS375"/>
  <c r="AT375"/>
  <c r="AU375"/>
  <c r="AV375"/>
  <c r="AW375"/>
  <c r="AX375"/>
  <c r="AY375"/>
  <c r="AZ375"/>
  <c r="BA375"/>
  <c r="BB375"/>
  <c r="BC375"/>
  <c r="BD375"/>
  <c r="BE375"/>
  <c r="BF375"/>
  <c r="BG375"/>
  <c r="BH375"/>
  <c r="BI375"/>
  <c r="BJ375"/>
  <c r="BK375"/>
  <c r="BL375"/>
  <c r="BM375"/>
  <c r="BN375"/>
  <c r="BO375"/>
  <c r="BP375"/>
  <c r="BQ375"/>
  <c r="BR375"/>
  <c r="BS375"/>
  <c r="BT375"/>
  <c r="BU375"/>
  <c r="BV375"/>
  <c r="BW375"/>
  <c r="BX375"/>
  <c r="BY375"/>
  <c r="BZ375"/>
  <c r="CA375"/>
  <c r="CB375"/>
  <c r="CC375"/>
  <c r="CD375"/>
  <c r="CE375"/>
  <c r="CF375"/>
  <c r="CG375"/>
  <c r="CH375"/>
  <c r="CI375"/>
  <c r="CJ375"/>
  <c r="CK375"/>
  <c r="CL375"/>
  <c r="CM375"/>
  <c r="CN375"/>
  <c r="CO375"/>
  <c r="CP375"/>
  <c r="CQ375"/>
  <c r="CR375"/>
  <c r="CS375"/>
  <c r="CT375"/>
  <c r="CU375"/>
  <c r="CV375"/>
  <c r="CW375"/>
  <c r="CX375"/>
  <c r="CY375"/>
  <c r="CZ375"/>
  <c r="DA375"/>
  <c r="DB375"/>
  <c r="DC375"/>
  <c r="DD375"/>
  <c r="DE375"/>
  <c r="DF375"/>
  <c r="DG375"/>
  <c r="DH375"/>
  <c r="DI375"/>
  <c r="DJ375"/>
  <c r="DK375"/>
  <c r="DL375"/>
  <c r="DM375"/>
  <c r="DN375"/>
  <c r="DO375"/>
  <c r="DP375"/>
  <c r="DQ375"/>
  <c r="DR375"/>
  <c r="DS375"/>
  <c r="DT375"/>
  <c r="DU375"/>
  <c r="DV375"/>
  <c r="DW375"/>
  <c r="DX375"/>
  <c r="DY375"/>
  <c r="DZ375"/>
  <c r="EA375"/>
  <c r="EB375"/>
  <c r="EC375"/>
  <c r="ED375"/>
  <c r="EE375"/>
  <c r="EF375"/>
  <c r="EG375"/>
  <c r="EH375"/>
  <c r="EI375"/>
  <c r="EJ375"/>
  <c r="EK375"/>
  <c r="EL375"/>
  <c r="EM375"/>
  <c r="EN375"/>
  <c r="EO375"/>
  <c r="EP375"/>
  <c r="EQ375"/>
  <c r="ER375"/>
  <c r="ES375"/>
  <c r="ET375"/>
  <c r="EU375"/>
  <c r="EV375"/>
  <c r="EW375"/>
  <c r="EX375"/>
  <c r="EY375"/>
  <c r="EZ375"/>
  <c r="FA375"/>
  <c r="FB375"/>
  <c r="FC375"/>
  <c r="FD375"/>
  <c r="FE375"/>
  <c r="FF375"/>
  <c r="FG375"/>
  <c r="FH375"/>
  <c r="FI375"/>
  <c r="FJ375"/>
  <c r="FK375"/>
  <c r="FL375"/>
  <c r="FM375"/>
  <c r="FN375"/>
  <c r="FO375"/>
  <c r="FP375"/>
  <c r="FQ375"/>
  <c r="FR375"/>
  <c r="FS375"/>
  <c r="FT375"/>
  <c r="FU375"/>
  <c r="FV375"/>
  <c r="FW375"/>
  <c r="FX375"/>
  <c r="FY375"/>
  <c r="FZ375"/>
  <c r="GA375"/>
  <c r="GB375"/>
  <c r="GC375"/>
  <c r="GD375"/>
  <c r="GE375"/>
  <c r="GF375"/>
  <c r="GG375"/>
  <c r="GH375"/>
  <c r="GI375"/>
  <c r="GJ375"/>
  <c r="GK375"/>
  <c r="GL375"/>
  <c r="GM375"/>
  <c r="GN375"/>
  <c r="GO375"/>
  <c r="GP375"/>
  <c r="GQ375"/>
  <c r="GR375"/>
  <c r="GS375"/>
  <c r="GT375"/>
  <c r="GU375"/>
  <c r="GV375"/>
  <c r="GW375"/>
  <c r="GX375"/>
  <c r="GY375"/>
  <c r="GZ375"/>
  <c r="HA375"/>
  <c r="HB375"/>
  <c r="HC375"/>
  <c r="HD375"/>
  <c r="HE375"/>
  <c r="HF375"/>
  <c r="HG375"/>
  <c r="HH375"/>
  <c r="HI375"/>
  <c r="HJ375"/>
  <c r="HK375"/>
  <c r="HL375"/>
  <c r="HM375"/>
  <c r="HN375"/>
  <c r="HO375"/>
  <c r="HP375"/>
  <c r="HQ375"/>
  <c r="HR375"/>
  <c r="HS375"/>
  <c r="HT375"/>
  <c r="HU375"/>
  <c r="HV375"/>
  <c r="HW375"/>
  <c r="HX375"/>
  <c r="HY375"/>
  <c r="HZ375"/>
  <c r="IA375"/>
  <c r="IB375"/>
  <c r="IC375"/>
  <c r="ID375"/>
  <c r="IE375"/>
  <c r="IF375"/>
  <c r="IG375"/>
  <c r="IH375"/>
  <c r="II375"/>
  <c r="IJ375"/>
  <c r="IK375"/>
  <c r="IL375"/>
  <c r="IM375"/>
  <c r="IN375"/>
  <c r="IO375"/>
  <c r="IP375"/>
  <c r="IQ375"/>
  <c r="IR375"/>
  <c r="IS375"/>
  <c r="IT375"/>
  <c r="IU375"/>
  <c r="IV375"/>
  <c r="A376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Z376"/>
  <c r="AA376"/>
  <c r="AB376"/>
  <c r="AC376"/>
  <c r="AD376"/>
  <c r="AE376"/>
  <c r="AF376"/>
  <c r="AG376"/>
  <c r="AH376"/>
  <c r="AI376"/>
  <c r="AJ376"/>
  <c r="AK376"/>
  <c r="AL376"/>
  <c r="AM376"/>
  <c r="AN376"/>
  <c r="AO376"/>
  <c r="AP376"/>
  <c r="AQ376"/>
  <c r="AR376"/>
  <c r="AS376"/>
  <c r="AT376"/>
  <c r="AU376"/>
  <c r="AV376"/>
  <c r="AW376"/>
  <c r="AX376"/>
  <c r="AY376"/>
  <c r="AZ376"/>
  <c r="BA376"/>
  <c r="BB376"/>
  <c r="BC376"/>
  <c r="BD376"/>
  <c r="BE376"/>
  <c r="BF376"/>
  <c r="BG376"/>
  <c r="BH376"/>
  <c r="BI376"/>
  <c r="BJ376"/>
  <c r="BK376"/>
  <c r="BL376"/>
  <c r="BM376"/>
  <c r="BN376"/>
  <c r="BO376"/>
  <c r="BP376"/>
  <c r="BQ376"/>
  <c r="BR376"/>
  <c r="BS376"/>
  <c r="BT376"/>
  <c r="BU376"/>
  <c r="BV376"/>
  <c r="BW376"/>
  <c r="BX376"/>
  <c r="BY376"/>
  <c r="BZ376"/>
  <c r="CA376"/>
  <c r="CB376"/>
  <c r="CC376"/>
  <c r="CD376"/>
  <c r="CE376"/>
  <c r="CF376"/>
  <c r="CG376"/>
  <c r="CH376"/>
  <c r="CI376"/>
  <c r="CJ376"/>
  <c r="CK376"/>
  <c r="CL376"/>
  <c r="CM376"/>
  <c r="CN376"/>
  <c r="CO376"/>
  <c r="CP376"/>
  <c r="CQ376"/>
  <c r="CR376"/>
  <c r="CS376"/>
  <c r="CT376"/>
  <c r="CU376"/>
  <c r="CV376"/>
  <c r="CW376"/>
  <c r="CX376"/>
  <c r="CY376"/>
  <c r="CZ376"/>
  <c r="DA376"/>
  <c r="DB376"/>
  <c r="DC376"/>
  <c r="DD376"/>
  <c r="DE376"/>
  <c r="DF376"/>
  <c r="DG376"/>
  <c r="DH376"/>
  <c r="DI376"/>
  <c r="DJ376"/>
  <c r="DK376"/>
  <c r="DL376"/>
  <c r="DM376"/>
  <c r="DN376"/>
  <c r="DO376"/>
  <c r="DP376"/>
  <c r="DQ376"/>
  <c r="DR376"/>
  <c r="DS376"/>
  <c r="DT376"/>
  <c r="DU376"/>
  <c r="DV376"/>
  <c r="DW376"/>
  <c r="DX376"/>
  <c r="DY376"/>
  <c r="DZ376"/>
  <c r="EA376"/>
  <c r="EB376"/>
  <c r="EC376"/>
  <c r="ED376"/>
  <c r="EE376"/>
  <c r="EF376"/>
  <c r="EG376"/>
  <c r="EH376"/>
  <c r="EI376"/>
  <c r="EJ376"/>
  <c r="EK376"/>
  <c r="EL376"/>
  <c r="EM376"/>
  <c r="EN376"/>
  <c r="EO376"/>
  <c r="EP376"/>
  <c r="EQ376"/>
  <c r="ER376"/>
  <c r="ES376"/>
  <c r="ET376"/>
  <c r="EU376"/>
  <c r="EV376"/>
  <c r="EW376"/>
  <c r="EX376"/>
  <c r="EY376"/>
  <c r="EZ376"/>
  <c r="FA376"/>
  <c r="FB376"/>
  <c r="FC376"/>
  <c r="FD376"/>
  <c r="FE376"/>
  <c r="FF376"/>
  <c r="FG376"/>
  <c r="FH376"/>
  <c r="FI376"/>
  <c r="FJ376"/>
  <c r="FK376"/>
  <c r="FL376"/>
  <c r="FM376"/>
  <c r="FN376"/>
  <c r="FO376"/>
  <c r="FP376"/>
  <c r="FQ376"/>
  <c r="FR376"/>
  <c r="FS376"/>
  <c r="FT376"/>
  <c r="FU376"/>
  <c r="FV376"/>
  <c r="FW376"/>
  <c r="FX376"/>
  <c r="FY376"/>
  <c r="FZ376"/>
  <c r="GA376"/>
  <c r="GB376"/>
  <c r="GC376"/>
  <c r="GD376"/>
  <c r="GE376"/>
  <c r="GF376"/>
  <c r="GG376"/>
  <c r="GH376"/>
  <c r="GI376"/>
  <c r="GJ376"/>
  <c r="GK376"/>
  <c r="GL376"/>
  <c r="GM376"/>
  <c r="GN376"/>
  <c r="GO376"/>
  <c r="GP376"/>
  <c r="GQ376"/>
  <c r="GR376"/>
  <c r="GS376"/>
  <c r="GT376"/>
  <c r="GU376"/>
  <c r="GV376"/>
  <c r="GW376"/>
  <c r="GX376"/>
  <c r="GY376"/>
  <c r="GZ376"/>
  <c r="HA376"/>
  <c r="HB376"/>
  <c r="HC376"/>
  <c r="HD376"/>
  <c r="HE376"/>
  <c r="HF376"/>
  <c r="HG376"/>
  <c r="HH376"/>
  <c r="HI376"/>
  <c r="HJ376"/>
  <c r="HK376"/>
  <c r="HL376"/>
  <c r="HM376"/>
  <c r="HN376"/>
  <c r="HO376"/>
  <c r="HP376"/>
  <c r="HQ376"/>
  <c r="HR376"/>
  <c r="HS376"/>
  <c r="HT376"/>
  <c r="HU376"/>
  <c r="HV376"/>
  <c r="HW376"/>
  <c r="HX376"/>
  <c r="HY376"/>
  <c r="HZ376"/>
  <c r="IA376"/>
  <c r="IB376"/>
  <c r="IC376"/>
  <c r="ID376"/>
  <c r="IE376"/>
  <c r="IF376"/>
  <c r="IG376"/>
  <c r="IH376"/>
  <c r="II376"/>
  <c r="IJ376"/>
  <c r="IK376"/>
  <c r="IL376"/>
  <c r="IM376"/>
  <c r="IN376"/>
  <c r="IO376"/>
  <c r="IP376"/>
  <c r="IQ376"/>
  <c r="IR376"/>
  <c r="IS376"/>
  <c r="IT376"/>
  <c r="IU376"/>
  <c r="IV376"/>
  <c r="A377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Z377"/>
  <c r="AA377"/>
  <c r="AB377"/>
  <c r="AC377"/>
  <c r="AD377"/>
  <c r="AE377"/>
  <c r="AF377"/>
  <c r="AG377"/>
  <c r="AH377"/>
  <c r="AI377"/>
  <c r="AJ377"/>
  <c r="AK377"/>
  <c r="AL377"/>
  <c r="AM377"/>
  <c r="AN377"/>
  <c r="AO377"/>
  <c r="AP377"/>
  <c r="AQ377"/>
  <c r="AR377"/>
  <c r="AS377"/>
  <c r="AT377"/>
  <c r="AU377"/>
  <c r="AV377"/>
  <c r="AW377"/>
  <c r="AX377"/>
  <c r="AY377"/>
  <c r="AZ377"/>
  <c r="BA377"/>
  <c r="BB377"/>
  <c r="BC377"/>
  <c r="BD377"/>
  <c r="BE377"/>
  <c r="BF377"/>
  <c r="BG377"/>
  <c r="BH377"/>
  <c r="BI377"/>
  <c r="BJ377"/>
  <c r="BK377"/>
  <c r="BL377"/>
  <c r="BM377"/>
  <c r="BN377"/>
  <c r="BO377"/>
  <c r="BP377"/>
  <c r="BQ377"/>
  <c r="BR377"/>
  <c r="BS377"/>
  <c r="BT377"/>
  <c r="BU377"/>
  <c r="BV377"/>
  <c r="BW377"/>
  <c r="BX377"/>
  <c r="BY377"/>
  <c r="BZ377"/>
  <c r="CA377"/>
  <c r="CB377"/>
  <c r="CC377"/>
  <c r="CD377"/>
  <c r="CE377"/>
  <c r="CF377"/>
  <c r="CG377"/>
  <c r="CH377"/>
  <c r="CI377"/>
  <c r="CJ377"/>
  <c r="CK377"/>
  <c r="CL377"/>
  <c r="CM377"/>
  <c r="CN377"/>
  <c r="CO377"/>
  <c r="CP377"/>
  <c r="CQ377"/>
  <c r="CR377"/>
  <c r="CS377"/>
  <c r="CT377"/>
  <c r="CU377"/>
  <c r="CV377"/>
  <c r="CW377"/>
  <c r="CX377"/>
  <c r="CY377"/>
  <c r="CZ377"/>
  <c r="DA377"/>
  <c r="DB377"/>
  <c r="DC377"/>
  <c r="DD377"/>
  <c r="DE377"/>
  <c r="DF377"/>
  <c r="DG377"/>
  <c r="DH377"/>
  <c r="DI377"/>
  <c r="DJ377"/>
  <c r="DK377"/>
  <c r="DL377"/>
  <c r="DM377"/>
  <c r="DN377"/>
  <c r="DO377"/>
  <c r="DP377"/>
  <c r="DQ377"/>
  <c r="DR377"/>
  <c r="DS377"/>
  <c r="DT377"/>
  <c r="DU377"/>
  <c r="DV377"/>
  <c r="DW377"/>
  <c r="DX377"/>
  <c r="DY377"/>
  <c r="DZ377"/>
  <c r="EA377"/>
  <c r="EB377"/>
  <c r="EC377"/>
  <c r="ED377"/>
  <c r="EE377"/>
  <c r="EF377"/>
  <c r="EG377"/>
  <c r="EH377"/>
  <c r="EI377"/>
  <c r="EJ377"/>
  <c r="EK377"/>
  <c r="EL377"/>
  <c r="EM377"/>
  <c r="EN377"/>
  <c r="EO377"/>
  <c r="EP377"/>
  <c r="EQ377"/>
  <c r="ER377"/>
  <c r="ES377"/>
  <c r="ET377"/>
  <c r="EU377"/>
  <c r="EV377"/>
  <c r="EW377"/>
  <c r="EX377"/>
  <c r="EY377"/>
  <c r="EZ377"/>
  <c r="FA377"/>
  <c r="FB377"/>
  <c r="FC377"/>
  <c r="FD377"/>
  <c r="FE377"/>
  <c r="FF377"/>
  <c r="FG377"/>
  <c r="FH377"/>
  <c r="FI377"/>
  <c r="FJ377"/>
  <c r="FK377"/>
  <c r="FL377"/>
  <c r="FM377"/>
  <c r="FN377"/>
  <c r="FO377"/>
  <c r="FP377"/>
  <c r="FQ377"/>
  <c r="FR377"/>
  <c r="FS377"/>
  <c r="FT377"/>
  <c r="FU377"/>
  <c r="FV377"/>
  <c r="FW377"/>
  <c r="FX377"/>
  <c r="FY377"/>
  <c r="FZ377"/>
  <c r="GA377"/>
  <c r="GB377"/>
  <c r="GC377"/>
  <c r="GD377"/>
  <c r="GE377"/>
  <c r="GF377"/>
  <c r="GG377"/>
  <c r="GH377"/>
  <c r="GI377"/>
  <c r="GJ377"/>
  <c r="GK377"/>
  <c r="GL377"/>
  <c r="GM377"/>
  <c r="GN377"/>
  <c r="GO377"/>
  <c r="GP377"/>
  <c r="GQ377"/>
  <c r="GR377"/>
  <c r="GS377"/>
  <c r="GT377"/>
  <c r="GU377"/>
  <c r="GV377"/>
  <c r="GW377"/>
  <c r="GX377"/>
  <c r="GY377"/>
  <c r="GZ377"/>
  <c r="HA377"/>
  <c r="HB377"/>
  <c r="HC377"/>
  <c r="HD377"/>
  <c r="HE377"/>
  <c r="HF377"/>
  <c r="HG377"/>
  <c r="HH377"/>
  <c r="HI377"/>
  <c r="HJ377"/>
  <c r="HK377"/>
  <c r="HL377"/>
  <c r="HM377"/>
  <c r="HN377"/>
  <c r="HO377"/>
  <c r="HP377"/>
  <c r="HQ377"/>
  <c r="HR377"/>
  <c r="HS377"/>
  <c r="HT377"/>
  <c r="HU377"/>
  <c r="HV377"/>
  <c r="HW377"/>
  <c r="HX377"/>
  <c r="HY377"/>
  <c r="HZ377"/>
  <c r="IA377"/>
  <c r="IB377"/>
  <c r="IC377"/>
  <c r="ID377"/>
  <c r="IE377"/>
  <c r="IF377"/>
  <c r="IG377"/>
  <c r="IH377"/>
  <c r="II377"/>
  <c r="IJ377"/>
  <c r="IK377"/>
  <c r="IL377"/>
  <c r="IM377"/>
  <c r="IN377"/>
  <c r="IO377"/>
  <c r="IP377"/>
  <c r="IQ377"/>
  <c r="IR377"/>
  <c r="IS377"/>
  <c r="IT377"/>
  <c r="IU377"/>
  <c r="IV377"/>
  <c r="A378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Z378"/>
  <c r="AA378"/>
  <c r="AB378"/>
  <c r="AC378"/>
  <c r="AD378"/>
  <c r="AE378"/>
  <c r="AF378"/>
  <c r="AG378"/>
  <c r="AH378"/>
  <c r="AI378"/>
  <c r="AJ378"/>
  <c r="AK378"/>
  <c r="AL378"/>
  <c r="AM378"/>
  <c r="AN378"/>
  <c r="AO378"/>
  <c r="AP378"/>
  <c r="AQ378"/>
  <c r="AR378"/>
  <c r="AS378"/>
  <c r="AT378"/>
  <c r="AU378"/>
  <c r="AV378"/>
  <c r="AW378"/>
  <c r="AX378"/>
  <c r="AY378"/>
  <c r="AZ378"/>
  <c r="BA378"/>
  <c r="BB378"/>
  <c r="BC378"/>
  <c r="BD378"/>
  <c r="BE378"/>
  <c r="BF378"/>
  <c r="BG378"/>
  <c r="BH378"/>
  <c r="BI378"/>
  <c r="BJ378"/>
  <c r="BK378"/>
  <c r="BL378"/>
  <c r="BM378"/>
  <c r="BN378"/>
  <c r="BO378"/>
  <c r="BP378"/>
  <c r="BQ378"/>
  <c r="BR378"/>
  <c r="BS378"/>
  <c r="BT378"/>
  <c r="BU378"/>
  <c r="BV378"/>
  <c r="BW378"/>
  <c r="BX378"/>
  <c r="BY378"/>
  <c r="BZ378"/>
  <c r="CA378"/>
  <c r="CB378"/>
  <c r="CC378"/>
  <c r="CD378"/>
  <c r="CE378"/>
  <c r="CF378"/>
  <c r="CG378"/>
  <c r="CH378"/>
  <c r="CI378"/>
  <c r="CJ378"/>
  <c r="CK378"/>
  <c r="CL378"/>
  <c r="CM378"/>
  <c r="CN378"/>
  <c r="CO378"/>
  <c r="CP378"/>
  <c r="CQ378"/>
  <c r="CR378"/>
  <c r="CS378"/>
  <c r="CT378"/>
  <c r="CU378"/>
  <c r="CV378"/>
  <c r="CW378"/>
  <c r="CX378"/>
  <c r="CY378"/>
  <c r="CZ378"/>
  <c r="DA378"/>
  <c r="DB378"/>
  <c r="DC378"/>
  <c r="DD378"/>
  <c r="DE378"/>
  <c r="DF378"/>
  <c r="DG378"/>
  <c r="DH378"/>
  <c r="DI378"/>
  <c r="DJ378"/>
  <c r="DK378"/>
  <c r="DL378"/>
  <c r="DM378"/>
  <c r="DN378"/>
  <c r="DO378"/>
  <c r="DP378"/>
  <c r="DQ378"/>
  <c r="DR378"/>
  <c r="DS378"/>
  <c r="DT378"/>
  <c r="DU378"/>
  <c r="DV378"/>
  <c r="DW378"/>
  <c r="DX378"/>
  <c r="DY378"/>
  <c r="DZ378"/>
  <c r="EA378"/>
  <c r="EB378"/>
  <c r="EC378"/>
  <c r="ED378"/>
  <c r="EE378"/>
  <c r="EF378"/>
  <c r="EG378"/>
  <c r="EH378"/>
  <c r="EI378"/>
  <c r="EJ378"/>
  <c r="EK378"/>
  <c r="EL378"/>
  <c r="EM378"/>
  <c r="EN378"/>
  <c r="EO378"/>
  <c r="EP378"/>
  <c r="EQ378"/>
  <c r="ER378"/>
  <c r="ES378"/>
  <c r="ET378"/>
  <c r="EU378"/>
  <c r="EV378"/>
  <c r="EW378"/>
  <c r="EX378"/>
  <c r="EY378"/>
  <c r="EZ378"/>
  <c r="FA378"/>
  <c r="FB378"/>
  <c r="FC378"/>
  <c r="FD378"/>
  <c r="FE378"/>
  <c r="FF378"/>
  <c r="FG378"/>
  <c r="FH378"/>
  <c r="FI378"/>
  <c r="FJ378"/>
  <c r="FK378"/>
  <c r="FL378"/>
  <c r="FM378"/>
  <c r="FN378"/>
  <c r="FO378"/>
  <c r="FP378"/>
  <c r="FQ378"/>
  <c r="FR378"/>
  <c r="FS378"/>
  <c r="FT378"/>
  <c r="FU378"/>
  <c r="FV378"/>
  <c r="FW378"/>
  <c r="FX378"/>
  <c r="FY378"/>
  <c r="FZ378"/>
  <c r="GA378"/>
  <c r="GB378"/>
  <c r="GC378"/>
  <c r="GD378"/>
  <c r="GE378"/>
  <c r="GF378"/>
  <c r="GG378"/>
  <c r="GH378"/>
  <c r="GI378"/>
  <c r="GJ378"/>
  <c r="GK378"/>
  <c r="GL378"/>
  <c r="GM378"/>
  <c r="GN378"/>
  <c r="GO378"/>
  <c r="GP378"/>
  <c r="GQ378"/>
  <c r="GR378"/>
  <c r="GS378"/>
  <c r="GT378"/>
  <c r="GU378"/>
  <c r="GV378"/>
  <c r="GW378"/>
  <c r="GX378"/>
  <c r="GY378"/>
  <c r="GZ378"/>
  <c r="HA378"/>
  <c r="HB378"/>
  <c r="HC378"/>
  <c r="HD378"/>
  <c r="HE378"/>
  <c r="HF378"/>
  <c r="HG378"/>
  <c r="HH378"/>
  <c r="HI378"/>
  <c r="HJ378"/>
  <c r="HK378"/>
  <c r="HL378"/>
  <c r="HM378"/>
  <c r="HN378"/>
  <c r="HO378"/>
  <c r="HP378"/>
  <c r="HQ378"/>
  <c r="HR378"/>
  <c r="HS378"/>
  <c r="HT378"/>
  <c r="HU378"/>
  <c r="HV378"/>
  <c r="HW378"/>
  <c r="HX378"/>
  <c r="HY378"/>
  <c r="HZ378"/>
  <c r="IA378"/>
  <c r="IB378"/>
  <c r="IC378"/>
  <c r="ID378"/>
  <c r="IE378"/>
  <c r="IF378"/>
  <c r="IG378"/>
  <c r="IH378"/>
  <c r="II378"/>
  <c r="IJ378"/>
  <c r="IK378"/>
  <c r="IL378"/>
  <c r="IM378"/>
  <c r="IN378"/>
  <c r="IO378"/>
  <c r="IP378"/>
  <c r="IQ378"/>
  <c r="IR378"/>
  <c r="IS378"/>
  <c r="IT378"/>
  <c r="IU378"/>
  <c r="IV378"/>
  <c r="A379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Z379"/>
  <c r="AA379"/>
  <c r="AB379"/>
  <c r="AC379"/>
  <c r="AD379"/>
  <c r="AE379"/>
  <c r="AF379"/>
  <c r="AG379"/>
  <c r="AH379"/>
  <c r="AI379"/>
  <c r="AJ379"/>
  <c r="AK379"/>
  <c r="AL379"/>
  <c r="AM379"/>
  <c r="AN379"/>
  <c r="AO379"/>
  <c r="AP379"/>
  <c r="AQ379"/>
  <c r="AR379"/>
  <c r="AS379"/>
  <c r="AT379"/>
  <c r="AU379"/>
  <c r="AV379"/>
  <c r="AW379"/>
  <c r="AX379"/>
  <c r="AY379"/>
  <c r="AZ379"/>
  <c r="BA379"/>
  <c r="BB379"/>
  <c r="BC379"/>
  <c r="BD379"/>
  <c r="BE379"/>
  <c r="BF379"/>
  <c r="BG379"/>
  <c r="BH379"/>
  <c r="BI379"/>
  <c r="BJ379"/>
  <c r="BK379"/>
  <c r="BL379"/>
  <c r="BM379"/>
  <c r="BN379"/>
  <c r="BO379"/>
  <c r="BP379"/>
  <c r="BQ379"/>
  <c r="BR379"/>
  <c r="BS379"/>
  <c r="BT379"/>
  <c r="BU379"/>
  <c r="BV379"/>
  <c r="BW379"/>
  <c r="BX379"/>
  <c r="BY379"/>
  <c r="BZ379"/>
  <c r="CA379"/>
  <c r="CB379"/>
  <c r="CC379"/>
  <c r="CD379"/>
  <c r="CE379"/>
  <c r="CF379"/>
  <c r="CG379"/>
  <c r="CH379"/>
  <c r="CI379"/>
  <c r="CJ379"/>
  <c r="CK379"/>
  <c r="CL379"/>
  <c r="CM379"/>
  <c r="CN379"/>
  <c r="CO379"/>
  <c r="CP379"/>
  <c r="CQ379"/>
  <c r="CR379"/>
  <c r="CS379"/>
  <c r="CT379"/>
  <c r="CU379"/>
  <c r="CV379"/>
  <c r="CW379"/>
  <c r="CX379"/>
  <c r="CY379"/>
  <c r="CZ379"/>
  <c r="DA379"/>
  <c r="DB379"/>
  <c r="DC379"/>
  <c r="DD379"/>
  <c r="DE379"/>
  <c r="DF379"/>
  <c r="DG379"/>
  <c r="DH379"/>
  <c r="DI379"/>
  <c r="DJ379"/>
  <c r="DK379"/>
  <c r="DL379"/>
  <c r="DM379"/>
  <c r="DN379"/>
  <c r="DO379"/>
  <c r="DP379"/>
  <c r="DQ379"/>
  <c r="DR379"/>
  <c r="DS379"/>
  <c r="DT379"/>
  <c r="DU379"/>
  <c r="DV379"/>
  <c r="DW379"/>
  <c r="DX379"/>
  <c r="DY379"/>
  <c r="DZ379"/>
  <c r="EA379"/>
  <c r="EB379"/>
  <c r="EC379"/>
  <c r="ED379"/>
  <c r="EE379"/>
  <c r="EF379"/>
  <c r="EG379"/>
  <c r="EH379"/>
  <c r="EI379"/>
  <c r="EJ379"/>
  <c r="EK379"/>
  <c r="EL379"/>
  <c r="EM379"/>
  <c r="EN379"/>
  <c r="EO379"/>
  <c r="EP379"/>
  <c r="EQ379"/>
  <c r="ER379"/>
  <c r="ES379"/>
  <c r="ET379"/>
  <c r="EU379"/>
  <c r="EV379"/>
  <c r="EW379"/>
  <c r="EX379"/>
  <c r="EY379"/>
  <c r="EZ379"/>
  <c r="FA379"/>
  <c r="FB379"/>
  <c r="FC379"/>
  <c r="FD379"/>
  <c r="FE379"/>
  <c r="FF379"/>
  <c r="FG379"/>
  <c r="FH379"/>
  <c r="FI379"/>
  <c r="FJ379"/>
  <c r="FK379"/>
  <c r="FL379"/>
  <c r="FM379"/>
  <c r="FN379"/>
  <c r="FO379"/>
  <c r="FP379"/>
  <c r="FQ379"/>
  <c r="FR379"/>
  <c r="FS379"/>
  <c r="FT379"/>
  <c r="FU379"/>
  <c r="FV379"/>
  <c r="FW379"/>
  <c r="FX379"/>
  <c r="FY379"/>
  <c r="FZ379"/>
  <c r="GA379"/>
  <c r="GB379"/>
  <c r="GC379"/>
  <c r="GD379"/>
  <c r="GE379"/>
  <c r="GF379"/>
  <c r="GG379"/>
  <c r="GH379"/>
  <c r="GI379"/>
  <c r="GJ379"/>
  <c r="GK379"/>
  <c r="GL379"/>
  <c r="GM379"/>
  <c r="GN379"/>
  <c r="GO379"/>
  <c r="GP379"/>
  <c r="GQ379"/>
  <c r="GR379"/>
  <c r="GS379"/>
  <c r="GT379"/>
  <c r="GU379"/>
  <c r="GV379"/>
  <c r="GW379"/>
  <c r="GX379"/>
  <c r="GY379"/>
  <c r="GZ379"/>
  <c r="HA379"/>
  <c r="HB379"/>
  <c r="HC379"/>
  <c r="HD379"/>
  <c r="HE379"/>
  <c r="HF379"/>
  <c r="HG379"/>
  <c r="HH379"/>
  <c r="HI379"/>
  <c r="HJ379"/>
  <c r="HK379"/>
  <c r="HL379"/>
  <c r="HM379"/>
  <c r="HN379"/>
  <c r="HO379"/>
  <c r="HP379"/>
  <c r="HQ379"/>
  <c r="HR379"/>
  <c r="HS379"/>
  <c r="HT379"/>
  <c r="HU379"/>
  <c r="HV379"/>
  <c r="HW379"/>
  <c r="HX379"/>
  <c r="HY379"/>
  <c r="HZ379"/>
  <c r="IA379"/>
  <c r="IB379"/>
  <c r="IC379"/>
  <c r="ID379"/>
  <c r="IE379"/>
  <c r="IF379"/>
  <c r="IG379"/>
  <c r="IH379"/>
  <c r="II379"/>
  <c r="IJ379"/>
  <c r="IK379"/>
  <c r="IL379"/>
  <c r="IM379"/>
  <c r="IN379"/>
  <c r="IO379"/>
  <c r="IP379"/>
  <c r="IQ379"/>
  <c r="IR379"/>
  <c r="IS379"/>
  <c r="IT379"/>
  <c r="IU379"/>
  <c r="IV379"/>
  <c r="A380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Z380"/>
  <c r="AA380"/>
  <c r="AB380"/>
  <c r="AC380"/>
  <c r="AD380"/>
  <c r="AE380"/>
  <c r="AF380"/>
  <c r="AG380"/>
  <c r="AH380"/>
  <c r="AI380"/>
  <c r="AJ380"/>
  <c r="AK380"/>
  <c r="AL380"/>
  <c r="AM380"/>
  <c r="AN380"/>
  <c r="AO380"/>
  <c r="AP380"/>
  <c r="AQ380"/>
  <c r="AR380"/>
  <c r="AS380"/>
  <c r="AT380"/>
  <c r="AU380"/>
  <c r="AV380"/>
  <c r="AW380"/>
  <c r="AX380"/>
  <c r="AY380"/>
  <c r="AZ380"/>
  <c r="BA380"/>
  <c r="BB380"/>
  <c r="BC380"/>
  <c r="BD380"/>
  <c r="BE380"/>
  <c r="BF380"/>
  <c r="BG380"/>
  <c r="BH380"/>
  <c r="BI380"/>
  <c r="BJ380"/>
  <c r="BK380"/>
  <c r="BL380"/>
  <c r="BM380"/>
  <c r="BN380"/>
  <c r="BO380"/>
  <c r="BP380"/>
  <c r="BQ380"/>
  <c r="BR380"/>
  <c r="BS380"/>
  <c r="BT380"/>
  <c r="BU380"/>
  <c r="BV380"/>
  <c r="BW380"/>
  <c r="BX380"/>
  <c r="BY380"/>
  <c r="BZ380"/>
  <c r="CA380"/>
  <c r="CB380"/>
  <c r="CC380"/>
  <c r="CD380"/>
  <c r="CE380"/>
  <c r="CF380"/>
  <c r="CG380"/>
  <c r="CH380"/>
  <c r="CI380"/>
  <c r="CJ380"/>
  <c r="CK380"/>
  <c r="CL380"/>
  <c r="CM380"/>
  <c r="CN380"/>
  <c r="CO380"/>
  <c r="CP380"/>
  <c r="CQ380"/>
  <c r="CR380"/>
  <c r="CS380"/>
  <c r="CT380"/>
  <c r="CU380"/>
  <c r="CV380"/>
  <c r="CW380"/>
  <c r="CX380"/>
  <c r="CY380"/>
  <c r="CZ380"/>
  <c r="DA380"/>
  <c r="DB380"/>
  <c r="DC380"/>
  <c r="DD380"/>
  <c r="DE380"/>
  <c r="DF380"/>
  <c r="DG380"/>
  <c r="DH380"/>
  <c r="DI380"/>
  <c r="DJ380"/>
  <c r="DK380"/>
  <c r="DL380"/>
  <c r="DM380"/>
  <c r="DN380"/>
  <c r="DO380"/>
  <c r="DP380"/>
  <c r="DQ380"/>
  <c r="DR380"/>
  <c r="DS380"/>
  <c r="DT380"/>
  <c r="DU380"/>
  <c r="DV380"/>
  <c r="DW380"/>
  <c r="DX380"/>
  <c r="DY380"/>
  <c r="DZ380"/>
  <c r="EA380"/>
  <c r="EB380"/>
  <c r="EC380"/>
  <c r="ED380"/>
  <c r="EE380"/>
  <c r="EF380"/>
  <c r="EG380"/>
  <c r="EH380"/>
  <c r="EI380"/>
  <c r="EJ380"/>
  <c r="EK380"/>
  <c r="EL380"/>
  <c r="EM380"/>
  <c r="EN380"/>
  <c r="EO380"/>
  <c r="EP380"/>
  <c r="EQ380"/>
  <c r="ER380"/>
  <c r="ES380"/>
  <c r="ET380"/>
  <c r="EU380"/>
  <c r="EV380"/>
  <c r="EW380"/>
  <c r="EX380"/>
  <c r="EY380"/>
  <c r="EZ380"/>
  <c r="FA380"/>
  <c r="FB380"/>
  <c r="FC380"/>
  <c r="FD380"/>
  <c r="FE380"/>
  <c r="FF380"/>
  <c r="FG380"/>
  <c r="FH380"/>
  <c r="FI380"/>
  <c r="FJ380"/>
  <c r="FK380"/>
  <c r="FL380"/>
  <c r="FM380"/>
  <c r="FN380"/>
  <c r="FO380"/>
  <c r="FP380"/>
  <c r="FQ380"/>
  <c r="FR380"/>
  <c r="FS380"/>
  <c r="FT380"/>
  <c r="FU380"/>
  <c r="FV380"/>
  <c r="FW380"/>
  <c r="FX380"/>
  <c r="FY380"/>
  <c r="FZ380"/>
  <c r="GA380"/>
  <c r="GB380"/>
  <c r="GC380"/>
  <c r="GD380"/>
  <c r="GE380"/>
  <c r="GF380"/>
  <c r="GG380"/>
  <c r="GH380"/>
  <c r="GI380"/>
  <c r="GJ380"/>
  <c r="GK380"/>
  <c r="GL380"/>
  <c r="GM380"/>
  <c r="GN380"/>
  <c r="GO380"/>
  <c r="GP380"/>
  <c r="GQ380"/>
  <c r="GR380"/>
  <c r="GS380"/>
  <c r="GT380"/>
  <c r="GU380"/>
  <c r="GV380"/>
  <c r="GW380"/>
  <c r="GX380"/>
  <c r="GY380"/>
  <c r="GZ380"/>
  <c r="HA380"/>
  <c r="HB380"/>
  <c r="HC380"/>
  <c r="HD380"/>
  <c r="HE380"/>
  <c r="HF380"/>
  <c r="HG380"/>
  <c r="HH380"/>
  <c r="HI380"/>
  <c r="HJ380"/>
  <c r="HK380"/>
  <c r="HL380"/>
  <c r="HM380"/>
  <c r="HN380"/>
  <c r="HO380"/>
  <c r="HP380"/>
  <c r="HQ380"/>
  <c r="HR380"/>
  <c r="HS380"/>
  <c r="HT380"/>
  <c r="HU380"/>
  <c r="HV380"/>
  <c r="HW380"/>
  <c r="HX380"/>
  <c r="HY380"/>
  <c r="HZ380"/>
  <c r="IA380"/>
  <c r="IB380"/>
  <c r="IC380"/>
  <c r="ID380"/>
  <c r="IE380"/>
  <c r="IF380"/>
  <c r="IG380"/>
  <c r="IH380"/>
  <c r="II380"/>
  <c r="IJ380"/>
  <c r="IK380"/>
  <c r="IL380"/>
  <c r="IM380"/>
  <c r="IN380"/>
  <c r="IO380"/>
  <c r="IP380"/>
  <c r="IQ380"/>
  <c r="IR380"/>
  <c r="IS380"/>
  <c r="IT380"/>
  <c r="IU380"/>
  <c r="IV380"/>
  <c r="A381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Z381"/>
  <c r="AA381"/>
  <c r="AB381"/>
  <c r="AC381"/>
  <c r="AD381"/>
  <c r="AE381"/>
  <c r="AF381"/>
  <c r="AG381"/>
  <c r="AH381"/>
  <c r="AI381"/>
  <c r="AJ381"/>
  <c r="AK381"/>
  <c r="AL381"/>
  <c r="AM381"/>
  <c r="AN381"/>
  <c r="AO381"/>
  <c r="AP381"/>
  <c r="AQ381"/>
  <c r="AR381"/>
  <c r="AS381"/>
  <c r="AT381"/>
  <c r="AU381"/>
  <c r="AV381"/>
  <c r="AW381"/>
  <c r="AX381"/>
  <c r="AY381"/>
  <c r="AZ381"/>
  <c r="BA381"/>
  <c r="BB381"/>
  <c r="BC381"/>
  <c r="BD381"/>
  <c r="BE381"/>
  <c r="BF381"/>
  <c r="BG381"/>
  <c r="BH381"/>
  <c r="BI381"/>
  <c r="BJ381"/>
  <c r="BK381"/>
  <c r="BL381"/>
  <c r="BM381"/>
  <c r="BN381"/>
  <c r="BO381"/>
  <c r="BP381"/>
  <c r="BQ381"/>
  <c r="BR381"/>
  <c r="BS381"/>
  <c r="BT381"/>
  <c r="BU381"/>
  <c r="BV381"/>
  <c r="BW381"/>
  <c r="BX381"/>
  <c r="BY381"/>
  <c r="BZ381"/>
  <c r="CA381"/>
  <c r="CB381"/>
  <c r="CC381"/>
  <c r="CD381"/>
  <c r="CE381"/>
  <c r="CF381"/>
  <c r="CG381"/>
  <c r="CH381"/>
  <c r="CI381"/>
  <c r="CJ381"/>
  <c r="CK381"/>
  <c r="CL381"/>
  <c r="CM381"/>
  <c r="CN381"/>
  <c r="CO381"/>
  <c r="CP381"/>
  <c r="CQ381"/>
  <c r="CR381"/>
  <c r="CS381"/>
  <c r="CT381"/>
  <c r="CU381"/>
  <c r="CV381"/>
  <c r="CW381"/>
  <c r="CX381"/>
  <c r="CY381"/>
  <c r="CZ381"/>
  <c r="DA381"/>
  <c r="DB381"/>
  <c r="DC381"/>
  <c r="DD381"/>
  <c r="DE381"/>
  <c r="DF381"/>
  <c r="DG381"/>
  <c r="DH381"/>
  <c r="DI381"/>
  <c r="DJ381"/>
  <c r="DK381"/>
  <c r="DL381"/>
  <c r="DM381"/>
  <c r="DN381"/>
  <c r="DO381"/>
  <c r="DP381"/>
  <c r="DQ381"/>
  <c r="DR381"/>
  <c r="DS381"/>
  <c r="DT381"/>
  <c r="DU381"/>
  <c r="DV381"/>
  <c r="DW381"/>
  <c r="DX381"/>
  <c r="DY381"/>
  <c r="DZ381"/>
  <c r="EA381"/>
  <c r="EB381"/>
  <c r="EC381"/>
  <c r="ED381"/>
  <c r="EE381"/>
  <c r="EF381"/>
  <c r="EG381"/>
  <c r="EH381"/>
  <c r="EI381"/>
  <c r="EJ381"/>
  <c r="EK381"/>
  <c r="EL381"/>
  <c r="EM381"/>
  <c r="EN381"/>
  <c r="EO381"/>
  <c r="EP381"/>
  <c r="EQ381"/>
  <c r="ER381"/>
  <c r="ES381"/>
  <c r="ET381"/>
  <c r="EU381"/>
  <c r="EV381"/>
  <c r="EW381"/>
  <c r="EX381"/>
  <c r="EY381"/>
  <c r="EZ381"/>
  <c r="FA381"/>
  <c r="FB381"/>
  <c r="FC381"/>
  <c r="FD381"/>
  <c r="FE381"/>
  <c r="FF381"/>
  <c r="FG381"/>
  <c r="FH381"/>
  <c r="FI381"/>
  <c r="FJ381"/>
  <c r="FK381"/>
  <c r="FL381"/>
  <c r="FM381"/>
  <c r="FN381"/>
  <c r="FO381"/>
  <c r="FP381"/>
  <c r="FQ381"/>
  <c r="FR381"/>
  <c r="FS381"/>
  <c r="FT381"/>
  <c r="FU381"/>
  <c r="FV381"/>
  <c r="FW381"/>
  <c r="FX381"/>
  <c r="FY381"/>
  <c r="FZ381"/>
  <c r="GA381"/>
  <c r="GB381"/>
  <c r="GC381"/>
  <c r="GD381"/>
  <c r="GE381"/>
  <c r="GF381"/>
  <c r="GG381"/>
  <c r="GH381"/>
  <c r="GI381"/>
  <c r="GJ381"/>
  <c r="GK381"/>
  <c r="GL381"/>
  <c r="GM381"/>
  <c r="GN381"/>
  <c r="GO381"/>
  <c r="GP381"/>
  <c r="GQ381"/>
  <c r="GR381"/>
  <c r="GS381"/>
  <c r="GT381"/>
  <c r="GU381"/>
  <c r="GV381"/>
  <c r="GW381"/>
  <c r="GX381"/>
  <c r="GY381"/>
  <c r="GZ381"/>
  <c r="HA381"/>
  <c r="HB381"/>
  <c r="HC381"/>
  <c r="HD381"/>
  <c r="HE381"/>
  <c r="HF381"/>
  <c r="HG381"/>
  <c r="HH381"/>
  <c r="HI381"/>
  <c r="HJ381"/>
  <c r="HK381"/>
  <c r="HL381"/>
  <c r="HM381"/>
  <c r="HN381"/>
  <c r="HO381"/>
  <c r="HP381"/>
  <c r="HQ381"/>
  <c r="HR381"/>
  <c r="HS381"/>
  <c r="HT381"/>
  <c r="HU381"/>
  <c r="HV381"/>
  <c r="HW381"/>
  <c r="HX381"/>
  <c r="HY381"/>
  <c r="HZ381"/>
  <c r="IA381"/>
  <c r="IB381"/>
  <c r="IC381"/>
  <c r="ID381"/>
  <c r="IE381"/>
  <c r="IF381"/>
  <c r="IG381"/>
  <c r="IH381"/>
  <c r="II381"/>
  <c r="IJ381"/>
  <c r="IK381"/>
  <c r="IL381"/>
  <c r="IM381"/>
  <c r="IN381"/>
  <c r="IO381"/>
  <c r="IP381"/>
  <c r="IQ381"/>
  <c r="IR381"/>
  <c r="IS381"/>
  <c r="IT381"/>
  <c r="IU381"/>
  <c r="IV381"/>
  <c r="A382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Z382"/>
  <c r="AA382"/>
  <c r="AB382"/>
  <c r="AC382"/>
  <c r="AD382"/>
  <c r="AE382"/>
  <c r="AF382"/>
  <c r="AG382"/>
  <c r="AH382"/>
  <c r="AI382"/>
  <c r="AJ382"/>
  <c r="AK382"/>
  <c r="AL382"/>
  <c r="AM382"/>
  <c r="AN382"/>
  <c r="AO382"/>
  <c r="AP382"/>
  <c r="AQ382"/>
  <c r="AR382"/>
  <c r="AS382"/>
  <c r="AT382"/>
  <c r="AU382"/>
  <c r="AV382"/>
  <c r="AW382"/>
  <c r="AX382"/>
  <c r="AY382"/>
  <c r="AZ382"/>
  <c r="BA382"/>
  <c r="BB382"/>
  <c r="BC382"/>
  <c r="BD382"/>
  <c r="BE382"/>
  <c r="BF382"/>
  <c r="BG382"/>
  <c r="BH382"/>
  <c r="BI382"/>
  <c r="BJ382"/>
  <c r="BK382"/>
  <c r="BL382"/>
  <c r="BM382"/>
  <c r="BN382"/>
  <c r="BO382"/>
  <c r="BP382"/>
  <c r="BQ382"/>
  <c r="BR382"/>
  <c r="BS382"/>
  <c r="BT382"/>
  <c r="BU382"/>
  <c r="BV382"/>
  <c r="BW382"/>
  <c r="BX382"/>
  <c r="BY382"/>
  <c r="BZ382"/>
  <c r="CA382"/>
  <c r="CB382"/>
  <c r="CC382"/>
  <c r="CD382"/>
  <c r="CE382"/>
  <c r="CF382"/>
  <c r="CG382"/>
  <c r="CH382"/>
  <c r="CI382"/>
  <c r="CJ382"/>
  <c r="CK382"/>
  <c r="CL382"/>
  <c r="CM382"/>
  <c r="CN382"/>
  <c r="CO382"/>
  <c r="CP382"/>
  <c r="CQ382"/>
  <c r="CR382"/>
  <c r="CS382"/>
  <c r="CT382"/>
  <c r="CU382"/>
  <c r="CV382"/>
  <c r="CW382"/>
  <c r="CX382"/>
  <c r="CY382"/>
  <c r="CZ382"/>
  <c r="DA382"/>
  <c r="DB382"/>
  <c r="DC382"/>
  <c r="DD382"/>
  <c r="DE382"/>
  <c r="DF382"/>
  <c r="DG382"/>
  <c r="DH382"/>
  <c r="DI382"/>
  <c r="DJ382"/>
  <c r="DK382"/>
  <c r="DL382"/>
  <c r="DM382"/>
  <c r="DN382"/>
  <c r="DO382"/>
  <c r="DP382"/>
  <c r="DQ382"/>
  <c r="DR382"/>
  <c r="DS382"/>
  <c r="DT382"/>
  <c r="DU382"/>
  <c r="DV382"/>
  <c r="DW382"/>
  <c r="DX382"/>
  <c r="DY382"/>
  <c r="DZ382"/>
  <c r="EA382"/>
  <c r="EB382"/>
  <c r="EC382"/>
  <c r="ED382"/>
  <c r="EE382"/>
  <c r="EF382"/>
  <c r="EG382"/>
  <c r="EH382"/>
  <c r="EI382"/>
  <c r="EJ382"/>
  <c r="EK382"/>
  <c r="EL382"/>
  <c r="EM382"/>
  <c r="EN382"/>
  <c r="EO382"/>
  <c r="EP382"/>
  <c r="EQ382"/>
  <c r="ER382"/>
  <c r="ES382"/>
  <c r="ET382"/>
  <c r="EU382"/>
  <c r="EV382"/>
  <c r="EW382"/>
  <c r="EX382"/>
  <c r="EY382"/>
  <c r="EZ382"/>
  <c r="FA382"/>
  <c r="FB382"/>
  <c r="FC382"/>
  <c r="FD382"/>
  <c r="FE382"/>
  <c r="FF382"/>
  <c r="FG382"/>
  <c r="FH382"/>
  <c r="FI382"/>
  <c r="FJ382"/>
  <c r="FK382"/>
  <c r="FL382"/>
  <c r="FM382"/>
  <c r="FN382"/>
  <c r="FO382"/>
  <c r="FP382"/>
  <c r="FQ382"/>
  <c r="FR382"/>
  <c r="FS382"/>
  <c r="FT382"/>
  <c r="FU382"/>
  <c r="FV382"/>
  <c r="FW382"/>
  <c r="FX382"/>
  <c r="FY382"/>
  <c r="FZ382"/>
  <c r="GA382"/>
  <c r="GB382"/>
  <c r="GC382"/>
  <c r="GD382"/>
  <c r="GE382"/>
  <c r="GF382"/>
  <c r="GG382"/>
  <c r="GH382"/>
  <c r="GI382"/>
  <c r="GJ382"/>
  <c r="GK382"/>
  <c r="GL382"/>
  <c r="GM382"/>
  <c r="GN382"/>
  <c r="GO382"/>
  <c r="GP382"/>
  <c r="GQ382"/>
  <c r="GR382"/>
  <c r="GS382"/>
  <c r="GT382"/>
  <c r="GU382"/>
  <c r="GV382"/>
  <c r="GW382"/>
  <c r="GX382"/>
  <c r="GY382"/>
  <c r="GZ382"/>
  <c r="HA382"/>
  <c r="HB382"/>
  <c r="HC382"/>
  <c r="HD382"/>
  <c r="HE382"/>
  <c r="HF382"/>
  <c r="HG382"/>
  <c r="HH382"/>
  <c r="HI382"/>
  <c r="HJ382"/>
  <c r="HK382"/>
  <c r="HL382"/>
  <c r="HM382"/>
  <c r="HN382"/>
  <c r="HO382"/>
  <c r="HP382"/>
  <c r="HQ382"/>
  <c r="HR382"/>
  <c r="HS382"/>
  <c r="HT382"/>
  <c r="HU382"/>
  <c r="HV382"/>
  <c r="HW382"/>
  <c r="HX382"/>
  <c r="HY382"/>
  <c r="HZ382"/>
  <c r="IA382"/>
  <c r="IB382"/>
  <c r="IC382"/>
  <c r="ID382"/>
  <c r="IE382"/>
  <c r="IF382"/>
  <c r="IG382"/>
  <c r="IH382"/>
  <c r="II382"/>
  <c r="IJ382"/>
  <c r="IK382"/>
  <c r="IL382"/>
  <c r="IM382"/>
  <c r="IN382"/>
  <c r="IO382"/>
  <c r="IP382"/>
  <c r="IQ382"/>
  <c r="IR382"/>
  <c r="IS382"/>
  <c r="IT382"/>
  <c r="IU382"/>
  <c r="IV382"/>
  <c r="A383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Z383"/>
  <c r="AA383"/>
  <c r="AB383"/>
  <c r="AC383"/>
  <c r="AD383"/>
  <c r="AE383"/>
  <c r="AF383"/>
  <c r="AG383"/>
  <c r="AH383"/>
  <c r="AI383"/>
  <c r="AJ383"/>
  <c r="AK383"/>
  <c r="AL383"/>
  <c r="AM383"/>
  <c r="AN383"/>
  <c r="AO383"/>
  <c r="AP383"/>
  <c r="AQ383"/>
  <c r="AR383"/>
  <c r="AS383"/>
  <c r="AT383"/>
  <c r="AU383"/>
  <c r="AV383"/>
  <c r="AW383"/>
  <c r="AX383"/>
  <c r="AY383"/>
  <c r="AZ383"/>
  <c r="BA383"/>
  <c r="BB383"/>
  <c r="BC383"/>
  <c r="BD383"/>
  <c r="BE383"/>
  <c r="BF383"/>
  <c r="BG383"/>
  <c r="BH383"/>
  <c r="BI383"/>
  <c r="BJ383"/>
  <c r="BK383"/>
  <c r="BL383"/>
  <c r="BM383"/>
  <c r="BN383"/>
  <c r="BO383"/>
  <c r="BP383"/>
  <c r="BQ383"/>
  <c r="BR383"/>
  <c r="BS383"/>
  <c r="BT383"/>
  <c r="BU383"/>
  <c r="BV383"/>
  <c r="BW383"/>
  <c r="BX383"/>
  <c r="BY383"/>
  <c r="BZ383"/>
  <c r="CA383"/>
  <c r="CB383"/>
  <c r="CC383"/>
  <c r="CD383"/>
  <c r="CE383"/>
  <c r="CF383"/>
  <c r="CG383"/>
  <c r="CH383"/>
  <c r="CI383"/>
  <c r="CJ383"/>
  <c r="CK383"/>
  <c r="CL383"/>
  <c r="CM383"/>
  <c r="CN383"/>
  <c r="CO383"/>
  <c r="CP383"/>
  <c r="CQ383"/>
  <c r="CR383"/>
  <c r="CS383"/>
  <c r="CT383"/>
  <c r="CU383"/>
  <c r="CV383"/>
  <c r="CW383"/>
  <c r="CX383"/>
  <c r="CY383"/>
  <c r="CZ383"/>
  <c r="DA383"/>
  <c r="DB383"/>
  <c r="DC383"/>
  <c r="DD383"/>
  <c r="DE383"/>
  <c r="DF383"/>
  <c r="DG383"/>
  <c r="DH383"/>
  <c r="DI383"/>
  <c r="DJ383"/>
  <c r="DK383"/>
  <c r="DL383"/>
  <c r="DM383"/>
  <c r="DN383"/>
  <c r="DO383"/>
  <c r="DP383"/>
  <c r="DQ383"/>
  <c r="DR383"/>
  <c r="DS383"/>
  <c r="DT383"/>
  <c r="DU383"/>
  <c r="DV383"/>
  <c r="DW383"/>
  <c r="DX383"/>
  <c r="DY383"/>
  <c r="DZ383"/>
  <c r="EA383"/>
  <c r="EB383"/>
  <c r="EC383"/>
  <c r="ED383"/>
  <c r="EE383"/>
  <c r="EF383"/>
  <c r="EG383"/>
  <c r="EH383"/>
  <c r="EI383"/>
  <c r="EJ383"/>
  <c r="EK383"/>
  <c r="EL383"/>
  <c r="EM383"/>
  <c r="EN383"/>
  <c r="EO383"/>
  <c r="EP383"/>
  <c r="EQ383"/>
  <c r="ER383"/>
  <c r="ES383"/>
  <c r="ET383"/>
  <c r="EU383"/>
  <c r="EV383"/>
  <c r="EW383"/>
  <c r="EX383"/>
  <c r="EY383"/>
  <c r="EZ383"/>
  <c r="FA383"/>
  <c r="FB383"/>
  <c r="FC383"/>
  <c r="FD383"/>
  <c r="FE383"/>
  <c r="FF383"/>
  <c r="FG383"/>
  <c r="FH383"/>
  <c r="FI383"/>
  <c r="FJ383"/>
  <c r="FK383"/>
  <c r="FL383"/>
  <c r="FM383"/>
  <c r="FN383"/>
  <c r="FO383"/>
  <c r="FP383"/>
  <c r="FQ383"/>
  <c r="FR383"/>
  <c r="FS383"/>
  <c r="FT383"/>
  <c r="FU383"/>
  <c r="FV383"/>
  <c r="FW383"/>
  <c r="FX383"/>
  <c r="FY383"/>
  <c r="FZ383"/>
  <c r="GA383"/>
  <c r="GB383"/>
  <c r="GC383"/>
  <c r="GD383"/>
  <c r="GE383"/>
  <c r="GF383"/>
  <c r="GG383"/>
  <c r="GH383"/>
  <c r="GI383"/>
  <c r="GJ383"/>
  <c r="GK383"/>
  <c r="GL383"/>
  <c r="GM383"/>
  <c r="GN383"/>
  <c r="GO383"/>
  <c r="GP383"/>
  <c r="GQ383"/>
  <c r="GR383"/>
  <c r="GS383"/>
  <c r="GT383"/>
  <c r="GU383"/>
  <c r="GV383"/>
  <c r="GW383"/>
  <c r="GX383"/>
  <c r="GY383"/>
  <c r="GZ383"/>
  <c r="HA383"/>
  <c r="HB383"/>
  <c r="HC383"/>
  <c r="HD383"/>
  <c r="HE383"/>
  <c r="HF383"/>
  <c r="HG383"/>
  <c r="HH383"/>
  <c r="HI383"/>
  <c r="HJ383"/>
  <c r="HK383"/>
  <c r="HL383"/>
  <c r="HM383"/>
  <c r="HN383"/>
  <c r="HO383"/>
  <c r="HP383"/>
  <c r="HQ383"/>
  <c r="HR383"/>
  <c r="HS383"/>
  <c r="HT383"/>
  <c r="HU383"/>
  <c r="HV383"/>
  <c r="HW383"/>
  <c r="HX383"/>
  <c r="HY383"/>
  <c r="HZ383"/>
  <c r="IA383"/>
  <c r="IB383"/>
  <c r="IC383"/>
  <c r="ID383"/>
  <c r="IE383"/>
  <c r="IF383"/>
  <c r="IG383"/>
  <c r="IH383"/>
  <c r="II383"/>
  <c r="IJ383"/>
  <c r="IK383"/>
  <c r="IL383"/>
  <c r="IM383"/>
  <c r="IN383"/>
  <c r="IO383"/>
  <c r="IP383"/>
  <c r="IQ383"/>
  <c r="IR383"/>
  <c r="IS383"/>
  <c r="IT383"/>
  <c r="IU383"/>
  <c r="IV383"/>
  <c r="A384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Z384"/>
  <c r="AA384"/>
  <c r="AB384"/>
  <c r="AC384"/>
  <c r="AD384"/>
  <c r="AE384"/>
  <c r="AF384"/>
  <c r="AG384"/>
  <c r="AH384"/>
  <c r="AI384"/>
  <c r="AJ384"/>
  <c r="AK384"/>
  <c r="AL384"/>
  <c r="AM384"/>
  <c r="AN384"/>
  <c r="AO384"/>
  <c r="AP384"/>
  <c r="AQ384"/>
  <c r="AR384"/>
  <c r="AS384"/>
  <c r="AT384"/>
  <c r="AU384"/>
  <c r="AV384"/>
  <c r="AW384"/>
  <c r="AX384"/>
  <c r="AY384"/>
  <c r="AZ384"/>
  <c r="BA384"/>
  <c r="BB384"/>
  <c r="BC384"/>
  <c r="BD384"/>
  <c r="BE384"/>
  <c r="BF384"/>
  <c r="BG384"/>
  <c r="BH384"/>
  <c r="BI384"/>
  <c r="BJ384"/>
  <c r="BK384"/>
  <c r="BL384"/>
  <c r="BM384"/>
  <c r="BN384"/>
  <c r="BO384"/>
  <c r="BP384"/>
  <c r="BQ384"/>
  <c r="BR384"/>
  <c r="BS384"/>
  <c r="BT384"/>
  <c r="BU384"/>
  <c r="BV384"/>
  <c r="BW384"/>
  <c r="BX384"/>
  <c r="BY384"/>
  <c r="BZ384"/>
  <c r="CA384"/>
  <c r="CB384"/>
  <c r="CC384"/>
  <c r="CD384"/>
  <c r="CE384"/>
  <c r="CF384"/>
  <c r="CG384"/>
  <c r="CH384"/>
  <c r="CI384"/>
  <c r="CJ384"/>
  <c r="CK384"/>
  <c r="CL384"/>
  <c r="CM384"/>
  <c r="CN384"/>
  <c r="CO384"/>
  <c r="CP384"/>
  <c r="CQ384"/>
  <c r="CR384"/>
  <c r="CS384"/>
  <c r="CT384"/>
  <c r="CU384"/>
  <c r="CV384"/>
  <c r="CW384"/>
  <c r="CX384"/>
  <c r="CY384"/>
  <c r="CZ384"/>
  <c r="DA384"/>
  <c r="DB384"/>
  <c r="DC384"/>
  <c r="DD384"/>
  <c r="DE384"/>
  <c r="DF384"/>
  <c r="DG384"/>
  <c r="DH384"/>
  <c r="DI384"/>
  <c r="DJ384"/>
  <c r="DK384"/>
  <c r="DL384"/>
  <c r="DM384"/>
  <c r="DN384"/>
  <c r="DO384"/>
  <c r="DP384"/>
  <c r="DQ384"/>
  <c r="DR384"/>
  <c r="DS384"/>
  <c r="DT384"/>
  <c r="DU384"/>
  <c r="DV384"/>
  <c r="DW384"/>
  <c r="DX384"/>
  <c r="DY384"/>
  <c r="DZ384"/>
  <c r="EA384"/>
  <c r="EB384"/>
  <c r="EC384"/>
  <c r="ED384"/>
  <c r="EE384"/>
  <c r="EF384"/>
  <c r="EG384"/>
  <c r="EH384"/>
  <c r="EI384"/>
  <c r="EJ384"/>
  <c r="EK384"/>
  <c r="EL384"/>
  <c r="EM384"/>
  <c r="EN384"/>
  <c r="EO384"/>
  <c r="EP384"/>
  <c r="EQ384"/>
  <c r="ER384"/>
  <c r="ES384"/>
  <c r="ET384"/>
  <c r="EU384"/>
  <c r="EV384"/>
  <c r="EW384"/>
  <c r="EX384"/>
  <c r="EY384"/>
  <c r="EZ384"/>
  <c r="FA384"/>
  <c r="FB384"/>
  <c r="FC384"/>
  <c r="FD384"/>
  <c r="FE384"/>
  <c r="FF384"/>
  <c r="FG384"/>
  <c r="FH384"/>
  <c r="FI384"/>
  <c r="FJ384"/>
  <c r="FK384"/>
  <c r="FL384"/>
  <c r="FM384"/>
  <c r="FN384"/>
  <c r="FO384"/>
  <c r="FP384"/>
  <c r="FQ384"/>
  <c r="FR384"/>
  <c r="FS384"/>
  <c r="FT384"/>
  <c r="FU384"/>
  <c r="FV384"/>
  <c r="FW384"/>
  <c r="FX384"/>
  <c r="FY384"/>
  <c r="FZ384"/>
  <c r="GA384"/>
  <c r="GB384"/>
  <c r="GC384"/>
  <c r="GD384"/>
  <c r="GE384"/>
  <c r="GF384"/>
  <c r="GG384"/>
  <c r="GH384"/>
  <c r="GI384"/>
  <c r="GJ384"/>
  <c r="GK384"/>
  <c r="GL384"/>
  <c r="GM384"/>
  <c r="GN384"/>
  <c r="GO384"/>
  <c r="GP384"/>
  <c r="GQ384"/>
  <c r="GR384"/>
  <c r="GS384"/>
  <c r="GT384"/>
  <c r="GU384"/>
  <c r="GV384"/>
  <c r="GW384"/>
  <c r="GX384"/>
  <c r="GY384"/>
  <c r="GZ384"/>
  <c r="HA384"/>
  <c r="HB384"/>
  <c r="HC384"/>
  <c r="HD384"/>
  <c r="HE384"/>
  <c r="HF384"/>
  <c r="HG384"/>
  <c r="HH384"/>
  <c r="HI384"/>
  <c r="HJ384"/>
  <c r="HK384"/>
  <c r="HL384"/>
  <c r="HM384"/>
  <c r="HN384"/>
  <c r="HO384"/>
  <c r="HP384"/>
  <c r="HQ384"/>
  <c r="HR384"/>
  <c r="HS384"/>
  <c r="HT384"/>
  <c r="HU384"/>
  <c r="HV384"/>
  <c r="HW384"/>
  <c r="HX384"/>
  <c r="HY384"/>
  <c r="HZ384"/>
  <c r="IA384"/>
  <c r="IB384"/>
  <c r="IC384"/>
  <c r="ID384"/>
  <c r="IE384"/>
  <c r="IF384"/>
  <c r="IG384"/>
  <c r="IH384"/>
  <c r="II384"/>
  <c r="IJ384"/>
  <c r="IK384"/>
  <c r="IL384"/>
  <c r="IM384"/>
  <c r="IN384"/>
  <c r="IO384"/>
  <c r="IP384"/>
  <c r="IQ384"/>
  <c r="IR384"/>
  <c r="IS384"/>
  <c r="IT384"/>
  <c r="IU384"/>
  <c r="IV384"/>
  <c r="A385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Z385"/>
  <c r="AA385"/>
  <c r="AB385"/>
  <c r="AC385"/>
  <c r="AD385"/>
  <c r="AE385"/>
  <c r="AF385"/>
  <c r="AG385"/>
  <c r="AH385"/>
  <c r="AI385"/>
  <c r="AJ385"/>
  <c r="AK385"/>
  <c r="AL385"/>
  <c r="AM385"/>
  <c r="AN385"/>
  <c r="AO385"/>
  <c r="AP385"/>
  <c r="AQ385"/>
  <c r="AR385"/>
  <c r="AS385"/>
  <c r="AT385"/>
  <c r="AU385"/>
  <c r="AV385"/>
  <c r="AW385"/>
  <c r="AX385"/>
  <c r="AY385"/>
  <c r="AZ385"/>
  <c r="BA385"/>
  <c r="BB385"/>
  <c r="BC385"/>
  <c r="BD385"/>
  <c r="BE385"/>
  <c r="BF385"/>
  <c r="BG385"/>
  <c r="BH385"/>
  <c r="BI385"/>
  <c r="BJ385"/>
  <c r="BK385"/>
  <c r="BL385"/>
  <c r="BM385"/>
  <c r="BN385"/>
  <c r="BO385"/>
  <c r="BP385"/>
  <c r="BQ385"/>
  <c r="BR385"/>
  <c r="BS385"/>
  <c r="BT385"/>
  <c r="BU385"/>
  <c r="BV385"/>
  <c r="BW385"/>
  <c r="BX385"/>
  <c r="BY385"/>
  <c r="BZ385"/>
  <c r="CA385"/>
  <c r="CB385"/>
  <c r="CC385"/>
  <c r="CD385"/>
  <c r="CE385"/>
  <c r="CF385"/>
  <c r="CG385"/>
  <c r="CH385"/>
  <c r="CI385"/>
  <c r="CJ385"/>
  <c r="CK385"/>
  <c r="CL385"/>
  <c r="CM385"/>
  <c r="CN385"/>
  <c r="CO385"/>
  <c r="CP385"/>
  <c r="CQ385"/>
  <c r="CR385"/>
  <c r="CS385"/>
  <c r="CT385"/>
  <c r="CU385"/>
  <c r="CV385"/>
  <c r="CW385"/>
  <c r="CX385"/>
  <c r="CY385"/>
  <c r="CZ385"/>
  <c r="DA385"/>
  <c r="DB385"/>
  <c r="DC385"/>
  <c r="DD385"/>
  <c r="DE385"/>
  <c r="DF385"/>
  <c r="DG385"/>
  <c r="DH385"/>
  <c r="DI385"/>
  <c r="DJ385"/>
  <c r="DK385"/>
  <c r="DL385"/>
  <c r="DM385"/>
  <c r="DN385"/>
  <c r="DO385"/>
  <c r="DP385"/>
  <c r="DQ385"/>
  <c r="DR385"/>
  <c r="DS385"/>
  <c r="DT385"/>
  <c r="DU385"/>
  <c r="DV385"/>
  <c r="DW385"/>
  <c r="DX385"/>
  <c r="DY385"/>
  <c r="DZ385"/>
  <c r="EA385"/>
  <c r="EB385"/>
  <c r="EC385"/>
  <c r="ED385"/>
  <c r="EE385"/>
  <c r="EF385"/>
  <c r="EG385"/>
  <c r="EH385"/>
  <c r="EI385"/>
  <c r="EJ385"/>
  <c r="EK385"/>
  <c r="EL385"/>
  <c r="EM385"/>
  <c r="EN385"/>
  <c r="EO385"/>
  <c r="EP385"/>
  <c r="EQ385"/>
  <c r="ER385"/>
  <c r="ES385"/>
  <c r="ET385"/>
  <c r="EU385"/>
  <c r="EV385"/>
  <c r="EW385"/>
  <c r="EX385"/>
  <c r="EY385"/>
  <c r="EZ385"/>
  <c r="FA385"/>
  <c r="FB385"/>
  <c r="FC385"/>
  <c r="FD385"/>
  <c r="FE385"/>
  <c r="FF385"/>
  <c r="FG385"/>
  <c r="FH385"/>
  <c r="FI385"/>
  <c r="FJ385"/>
  <c r="FK385"/>
  <c r="FL385"/>
  <c r="FM385"/>
  <c r="FN385"/>
  <c r="FO385"/>
  <c r="FP385"/>
  <c r="FQ385"/>
  <c r="FR385"/>
  <c r="FS385"/>
  <c r="FT385"/>
  <c r="FU385"/>
  <c r="FV385"/>
  <c r="FW385"/>
  <c r="FX385"/>
  <c r="FY385"/>
  <c r="FZ385"/>
  <c r="GA385"/>
  <c r="GB385"/>
  <c r="GC385"/>
  <c r="GD385"/>
  <c r="GE385"/>
  <c r="GF385"/>
  <c r="GG385"/>
  <c r="GH385"/>
  <c r="GI385"/>
  <c r="GJ385"/>
  <c r="GK385"/>
  <c r="GL385"/>
  <c r="GM385"/>
  <c r="GN385"/>
  <c r="GO385"/>
  <c r="GP385"/>
  <c r="GQ385"/>
  <c r="GR385"/>
  <c r="GS385"/>
  <c r="GT385"/>
  <c r="GU385"/>
  <c r="GV385"/>
  <c r="GW385"/>
  <c r="GX385"/>
  <c r="GY385"/>
  <c r="GZ385"/>
  <c r="HA385"/>
  <c r="HB385"/>
  <c r="HC385"/>
  <c r="HD385"/>
  <c r="HE385"/>
  <c r="HF385"/>
  <c r="HG385"/>
  <c r="HH385"/>
  <c r="HI385"/>
  <c r="HJ385"/>
  <c r="HK385"/>
  <c r="HL385"/>
  <c r="HM385"/>
  <c r="HN385"/>
  <c r="HO385"/>
  <c r="HP385"/>
  <c r="HQ385"/>
  <c r="HR385"/>
  <c r="HS385"/>
  <c r="HT385"/>
  <c r="HU385"/>
  <c r="HV385"/>
  <c r="HW385"/>
  <c r="HX385"/>
  <c r="HY385"/>
  <c r="HZ385"/>
  <c r="IA385"/>
  <c r="IB385"/>
  <c r="IC385"/>
  <c r="ID385"/>
  <c r="IE385"/>
  <c r="IF385"/>
  <c r="IG385"/>
  <c r="IH385"/>
  <c r="II385"/>
  <c r="IJ385"/>
  <c r="IK385"/>
  <c r="IL385"/>
  <c r="IM385"/>
  <c r="IN385"/>
  <c r="IO385"/>
  <c r="IP385"/>
  <c r="IQ385"/>
  <c r="IR385"/>
  <c r="IS385"/>
  <c r="IT385"/>
  <c r="IU385"/>
  <c r="IV385"/>
  <c r="A386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Z386"/>
  <c r="AA386"/>
  <c r="AB386"/>
  <c r="AC386"/>
  <c r="AD386"/>
  <c r="AE386"/>
  <c r="AF386"/>
  <c r="AG386"/>
  <c r="AH386"/>
  <c r="AI386"/>
  <c r="AJ386"/>
  <c r="AK386"/>
  <c r="AL386"/>
  <c r="AM386"/>
  <c r="AN386"/>
  <c r="AO386"/>
  <c r="AP386"/>
  <c r="AQ386"/>
  <c r="AR386"/>
  <c r="AS386"/>
  <c r="AT386"/>
  <c r="AU386"/>
  <c r="AV386"/>
  <c r="AW386"/>
  <c r="AX386"/>
  <c r="AY386"/>
  <c r="AZ386"/>
  <c r="BA386"/>
  <c r="BB386"/>
  <c r="BC386"/>
  <c r="BD386"/>
  <c r="BE386"/>
  <c r="BF386"/>
  <c r="BG386"/>
  <c r="BH386"/>
  <c r="BI386"/>
  <c r="BJ386"/>
  <c r="BK386"/>
  <c r="BL386"/>
  <c r="BM386"/>
  <c r="BN386"/>
  <c r="BO386"/>
  <c r="BP386"/>
  <c r="BQ386"/>
  <c r="BR386"/>
  <c r="BS386"/>
  <c r="BT386"/>
  <c r="BU386"/>
  <c r="BV386"/>
  <c r="BW386"/>
  <c r="BX386"/>
  <c r="BY386"/>
  <c r="BZ386"/>
  <c r="CA386"/>
  <c r="CB386"/>
  <c r="CC386"/>
  <c r="CD386"/>
  <c r="CE386"/>
  <c r="CF386"/>
  <c r="CG386"/>
  <c r="CH386"/>
  <c r="CI386"/>
  <c r="CJ386"/>
  <c r="CK386"/>
  <c r="CL386"/>
  <c r="CM386"/>
  <c r="CN386"/>
  <c r="CO386"/>
  <c r="CP386"/>
  <c r="CQ386"/>
  <c r="CR386"/>
  <c r="CS386"/>
  <c r="CT386"/>
  <c r="CU386"/>
  <c r="CV386"/>
  <c r="CW386"/>
  <c r="CX386"/>
  <c r="CY386"/>
  <c r="CZ386"/>
  <c r="DA386"/>
  <c r="DB386"/>
  <c r="DC386"/>
  <c r="DD386"/>
  <c r="DE386"/>
  <c r="DF386"/>
  <c r="DG386"/>
  <c r="DH386"/>
  <c r="DI386"/>
  <c r="DJ386"/>
  <c r="DK386"/>
  <c r="DL386"/>
  <c r="DM386"/>
  <c r="DN386"/>
  <c r="DO386"/>
  <c r="DP386"/>
  <c r="DQ386"/>
  <c r="DR386"/>
  <c r="DS386"/>
  <c r="DT386"/>
  <c r="DU386"/>
  <c r="DV386"/>
  <c r="DW386"/>
  <c r="DX386"/>
  <c r="DY386"/>
  <c r="DZ386"/>
  <c r="EA386"/>
  <c r="EB386"/>
  <c r="EC386"/>
  <c r="ED386"/>
  <c r="EE386"/>
  <c r="EF386"/>
  <c r="EG386"/>
  <c r="EH386"/>
  <c r="EI386"/>
  <c r="EJ386"/>
  <c r="EK386"/>
  <c r="EL386"/>
  <c r="EM386"/>
  <c r="EN386"/>
  <c r="EO386"/>
  <c r="EP386"/>
  <c r="EQ386"/>
  <c r="ER386"/>
  <c r="ES386"/>
  <c r="ET386"/>
  <c r="EU386"/>
  <c r="EV386"/>
  <c r="EW386"/>
  <c r="EX386"/>
  <c r="EY386"/>
  <c r="EZ386"/>
  <c r="FA386"/>
  <c r="FB386"/>
  <c r="FC386"/>
  <c r="FD386"/>
  <c r="FE386"/>
  <c r="FF386"/>
  <c r="FG386"/>
  <c r="FH386"/>
  <c r="FI386"/>
  <c r="FJ386"/>
  <c r="FK386"/>
  <c r="FL386"/>
  <c r="FM386"/>
  <c r="FN386"/>
  <c r="FO386"/>
  <c r="FP386"/>
  <c r="FQ386"/>
  <c r="FR386"/>
  <c r="FS386"/>
  <c r="FT386"/>
  <c r="FU386"/>
  <c r="FV386"/>
  <c r="FW386"/>
  <c r="FX386"/>
  <c r="FY386"/>
  <c r="FZ386"/>
  <c r="GA386"/>
  <c r="GB386"/>
  <c r="GC386"/>
  <c r="GD386"/>
  <c r="GE386"/>
  <c r="GF386"/>
  <c r="GG386"/>
  <c r="GH386"/>
  <c r="GI386"/>
  <c r="GJ386"/>
  <c r="GK386"/>
  <c r="GL386"/>
  <c r="GM386"/>
  <c r="GN386"/>
  <c r="GO386"/>
  <c r="GP386"/>
  <c r="GQ386"/>
  <c r="GR386"/>
  <c r="GS386"/>
  <c r="GT386"/>
  <c r="GU386"/>
  <c r="GV386"/>
  <c r="GW386"/>
  <c r="GX386"/>
  <c r="GY386"/>
  <c r="GZ386"/>
  <c r="HA386"/>
  <c r="HB386"/>
  <c r="HC386"/>
  <c r="HD386"/>
  <c r="HE386"/>
  <c r="HF386"/>
  <c r="HG386"/>
  <c r="HH386"/>
  <c r="HI386"/>
  <c r="HJ386"/>
  <c r="HK386"/>
  <c r="HL386"/>
  <c r="HM386"/>
  <c r="HN386"/>
  <c r="HO386"/>
  <c r="HP386"/>
  <c r="HQ386"/>
  <c r="HR386"/>
  <c r="HS386"/>
  <c r="HT386"/>
  <c r="HU386"/>
  <c r="HV386"/>
  <c r="HW386"/>
  <c r="HX386"/>
  <c r="HY386"/>
  <c r="HZ386"/>
  <c r="IA386"/>
  <c r="IB386"/>
  <c r="IC386"/>
  <c r="ID386"/>
  <c r="IE386"/>
  <c r="IF386"/>
  <c r="IG386"/>
  <c r="IH386"/>
  <c r="II386"/>
  <c r="IJ386"/>
  <c r="IK386"/>
  <c r="IL386"/>
  <c r="IM386"/>
  <c r="IN386"/>
  <c r="IO386"/>
  <c r="IP386"/>
  <c r="IQ386"/>
  <c r="IR386"/>
  <c r="IS386"/>
  <c r="IT386"/>
  <c r="IU386"/>
  <c r="IV386"/>
  <c r="A387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Z387"/>
  <c r="AA387"/>
  <c r="AB387"/>
  <c r="AC387"/>
  <c r="AD387"/>
  <c r="AE387"/>
  <c r="AF387"/>
  <c r="AG387"/>
  <c r="AH387"/>
  <c r="AI387"/>
  <c r="AJ387"/>
  <c r="AK387"/>
  <c r="AL387"/>
  <c r="AM387"/>
  <c r="AN387"/>
  <c r="AO387"/>
  <c r="AP387"/>
  <c r="AQ387"/>
  <c r="AR387"/>
  <c r="AS387"/>
  <c r="AT387"/>
  <c r="AU387"/>
  <c r="AV387"/>
  <c r="AW387"/>
  <c r="AX387"/>
  <c r="AY387"/>
  <c r="AZ387"/>
  <c r="BA387"/>
  <c r="BB387"/>
  <c r="BC387"/>
  <c r="BD387"/>
  <c r="BE387"/>
  <c r="BF387"/>
  <c r="BG387"/>
  <c r="BH387"/>
  <c r="BI387"/>
  <c r="BJ387"/>
  <c r="BK387"/>
  <c r="BL387"/>
  <c r="BM387"/>
  <c r="BN387"/>
  <c r="BO387"/>
  <c r="BP387"/>
  <c r="BQ387"/>
  <c r="BR387"/>
  <c r="BS387"/>
  <c r="BT387"/>
  <c r="BU387"/>
  <c r="BV387"/>
  <c r="BW387"/>
  <c r="BX387"/>
  <c r="BY387"/>
  <c r="BZ387"/>
  <c r="CA387"/>
  <c r="CB387"/>
  <c r="CC387"/>
  <c r="CD387"/>
  <c r="CE387"/>
  <c r="CF387"/>
  <c r="CG387"/>
  <c r="CH387"/>
  <c r="CI387"/>
  <c r="CJ387"/>
  <c r="CK387"/>
  <c r="CL387"/>
  <c r="CM387"/>
  <c r="CN387"/>
  <c r="CO387"/>
  <c r="CP387"/>
  <c r="CQ387"/>
  <c r="CR387"/>
  <c r="CS387"/>
  <c r="CT387"/>
  <c r="CU387"/>
  <c r="CV387"/>
  <c r="CW387"/>
  <c r="CX387"/>
  <c r="CY387"/>
  <c r="CZ387"/>
  <c r="DA387"/>
  <c r="DB387"/>
  <c r="DC387"/>
  <c r="DD387"/>
  <c r="DE387"/>
  <c r="DF387"/>
  <c r="DG387"/>
  <c r="DH387"/>
  <c r="DI387"/>
  <c r="DJ387"/>
  <c r="DK387"/>
  <c r="DL387"/>
  <c r="DM387"/>
  <c r="DN387"/>
  <c r="DO387"/>
  <c r="DP387"/>
  <c r="DQ387"/>
  <c r="DR387"/>
  <c r="DS387"/>
  <c r="DT387"/>
  <c r="DU387"/>
  <c r="DV387"/>
  <c r="DW387"/>
  <c r="DX387"/>
  <c r="DY387"/>
  <c r="DZ387"/>
  <c r="EA387"/>
  <c r="EB387"/>
  <c r="EC387"/>
  <c r="ED387"/>
  <c r="EE387"/>
  <c r="EF387"/>
  <c r="EG387"/>
  <c r="EH387"/>
  <c r="EI387"/>
  <c r="EJ387"/>
  <c r="EK387"/>
  <c r="EL387"/>
  <c r="EM387"/>
  <c r="EN387"/>
  <c r="EO387"/>
  <c r="EP387"/>
  <c r="EQ387"/>
  <c r="ER387"/>
  <c r="ES387"/>
  <c r="ET387"/>
  <c r="EU387"/>
  <c r="EV387"/>
  <c r="EW387"/>
  <c r="EX387"/>
  <c r="EY387"/>
  <c r="EZ387"/>
  <c r="FA387"/>
  <c r="FB387"/>
  <c r="FC387"/>
  <c r="FD387"/>
  <c r="FE387"/>
  <c r="FF387"/>
  <c r="FG387"/>
  <c r="FH387"/>
  <c r="FI387"/>
  <c r="FJ387"/>
  <c r="FK387"/>
  <c r="FL387"/>
  <c r="FM387"/>
  <c r="FN387"/>
  <c r="FO387"/>
  <c r="FP387"/>
  <c r="FQ387"/>
  <c r="FR387"/>
  <c r="FS387"/>
  <c r="FT387"/>
  <c r="FU387"/>
  <c r="FV387"/>
  <c r="FW387"/>
  <c r="FX387"/>
  <c r="FY387"/>
  <c r="FZ387"/>
  <c r="GA387"/>
  <c r="GB387"/>
  <c r="GC387"/>
  <c r="GD387"/>
  <c r="GE387"/>
  <c r="GF387"/>
  <c r="GG387"/>
  <c r="GH387"/>
  <c r="GI387"/>
  <c r="GJ387"/>
  <c r="GK387"/>
  <c r="GL387"/>
  <c r="GM387"/>
  <c r="GN387"/>
  <c r="GO387"/>
  <c r="GP387"/>
  <c r="GQ387"/>
  <c r="GR387"/>
  <c r="GS387"/>
  <c r="GT387"/>
  <c r="GU387"/>
  <c r="GV387"/>
  <c r="GW387"/>
  <c r="GX387"/>
  <c r="GY387"/>
  <c r="GZ387"/>
  <c r="HA387"/>
  <c r="HB387"/>
  <c r="HC387"/>
  <c r="HD387"/>
  <c r="HE387"/>
  <c r="HF387"/>
  <c r="HG387"/>
  <c r="HH387"/>
  <c r="HI387"/>
  <c r="HJ387"/>
  <c r="HK387"/>
  <c r="HL387"/>
  <c r="HM387"/>
  <c r="HN387"/>
  <c r="HO387"/>
  <c r="HP387"/>
  <c r="HQ387"/>
  <c r="HR387"/>
  <c r="HS387"/>
  <c r="HT387"/>
  <c r="HU387"/>
  <c r="HV387"/>
  <c r="HW387"/>
  <c r="HX387"/>
  <c r="HY387"/>
  <c r="HZ387"/>
  <c r="IA387"/>
  <c r="IB387"/>
  <c r="IC387"/>
  <c r="ID387"/>
  <c r="IE387"/>
  <c r="IF387"/>
  <c r="IG387"/>
  <c r="IH387"/>
  <c r="II387"/>
  <c r="IJ387"/>
  <c r="IK387"/>
  <c r="IL387"/>
  <c r="IM387"/>
  <c r="IN387"/>
  <c r="IO387"/>
  <c r="IP387"/>
  <c r="IQ387"/>
  <c r="IR387"/>
  <c r="IS387"/>
  <c r="IT387"/>
  <c r="IU387"/>
  <c r="IV387"/>
  <c r="A388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Z388"/>
  <c r="AA388"/>
  <c r="AB388"/>
  <c r="AC388"/>
  <c r="AD388"/>
  <c r="AE388"/>
  <c r="AF388"/>
  <c r="AG388"/>
  <c r="AH388"/>
  <c r="AI388"/>
  <c r="AJ388"/>
  <c r="AK388"/>
  <c r="AL388"/>
  <c r="AM388"/>
  <c r="AN388"/>
  <c r="AO388"/>
  <c r="AP388"/>
  <c r="AQ388"/>
  <c r="AR388"/>
  <c r="AS388"/>
  <c r="AT388"/>
  <c r="AU388"/>
  <c r="AV388"/>
  <c r="AW388"/>
  <c r="AX388"/>
  <c r="AY388"/>
  <c r="AZ388"/>
  <c r="BA388"/>
  <c r="BB388"/>
  <c r="BC388"/>
  <c r="BD388"/>
  <c r="BE388"/>
  <c r="BF388"/>
  <c r="BG388"/>
  <c r="BH388"/>
  <c r="BI388"/>
  <c r="BJ388"/>
  <c r="BK388"/>
  <c r="BL388"/>
  <c r="BM388"/>
  <c r="BN388"/>
  <c r="BO388"/>
  <c r="BP388"/>
  <c r="BQ388"/>
  <c r="BR388"/>
  <c r="BS388"/>
  <c r="BT388"/>
  <c r="BU388"/>
  <c r="BV388"/>
  <c r="BW388"/>
  <c r="BX388"/>
  <c r="BY388"/>
  <c r="BZ388"/>
  <c r="CA388"/>
  <c r="CB388"/>
  <c r="CC388"/>
  <c r="CD388"/>
  <c r="CE388"/>
  <c r="CF388"/>
  <c r="CG388"/>
  <c r="CH388"/>
  <c r="CI388"/>
  <c r="CJ388"/>
  <c r="CK388"/>
  <c r="CL388"/>
  <c r="CM388"/>
  <c r="CN388"/>
  <c r="CO388"/>
  <c r="CP388"/>
  <c r="CQ388"/>
  <c r="CR388"/>
  <c r="CS388"/>
  <c r="CT388"/>
  <c r="CU388"/>
  <c r="CV388"/>
  <c r="CW388"/>
  <c r="CX388"/>
  <c r="CY388"/>
  <c r="CZ388"/>
  <c r="DA388"/>
  <c r="DB388"/>
  <c r="DC388"/>
  <c r="DD388"/>
  <c r="DE388"/>
  <c r="DF388"/>
  <c r="DG388"/>
  <c r="DH388"/>
  <c r="DI388"/>
  <c r="DJ388"/>
  <c r="DK388"/>
  <c r="DL388"/>
  <c r="DM388"/>
  <c r="DN388"/>
  <c r="DO388"/>
  <c r="DP388"/>
  <c r="DQ388"/>
  <c r="DR388"/>
  <c r="DS388"/>
  <c r="DT388"/>
  <c r="DU388"/>
  <c r="DV388"/>
  <c r="DW388"/>
  <c r="DX388"/>
  <c r="DY388"/>
  <c r="DZ388"/>
  <c r="EA388"/>
  <c r="EB388"/>
  <c r="EC388"/>
  <c r="ED388"/>
  <c r="EE388"/>
  <c r="EF388"/>
  <c r="EG388"/>
  <c r="EH388"/>
  <c r="EI388"/>
  <c r="EJ388"/>
  <c r="EK388"/>
  <c r="EL388"/>
  <c r="EM388"/>
  <c r="EN388"/>
  <c r="EO388"/>
  <c r="EP388"/>
  <c r="EQ388"/>
  <c r="ER388"/>
  <c r="ES388"/>
  <c r="ET388"/>
  <c r="EU388"/>
  <c r="EV388"/>
  <c r="EW388"/>
  <c r="EX388"/>
  <c r="EY388"/>
  <c r="EZ388"/>
  <c r="FA388"/>
  <c r="FB388"/>
  <c r="FC388"/>
  <c r="FD388"/>
  <c r="FE388"/>
  <c r="FF388"/>
  <c r="FG388"/>
  <c r="FH388"/>
  <c r="FI388"/>
  <c r="FJ388"/>
  <c r="FK388"/>
  <c r="FL388"/>
  <c r="FM388"/>
  <c r="FN388"/>
  <c r="FO388"/>
  <c r="FP388"/>
  <c r="FQ388"/>
  <c r="FR388"/>
  <c r="FS388"/>
  <c r="FT388"/>
  <c r="FU388"/>
  <c r="FV388"/>
  <c r="FW388"/>
  <c r="FX388"/>
  <c r="FY388"/>
  <c r="FZ388"/>
  <c r="GA388"/>
  <c r="GB388"/>
  <c r="GC388"/>
  <c r="GD388"/>
  <c r="GE388"/>
  <c r="GF388"/>
  <c r="GG388"/>
  <c r="GH388"/>
  <c r="GI388"/>
  <c r="GJ388"/>
  <c r="GK388"/>
  <c r="GL388"/>
  <c r="GM388"/>
  <c r="GN388"/>
  <c r="GO388"/>
  <c r="GP388"/>
  <c r="GQ388"/>
  <c r="GR388"/>
  <c r="GS388"/>
  <c r="GT388"/>
  <c r="GU388"/>
  <c r="GV388"/>
  <c r="GW388"/>
  <c r="GX388"/>
  <c r="GY388"/>
  <c r="GZ388"/>
  <c r="HA388"/>
  <c r="HB388"/>
  <c r="HC388"/>
  <c r="HD388"/>
  <c r="HE388"/>
  <c r="HF388"/>
  <c r="HG388"/>
  <c r="HH388"/>
  <c r="HI388"/>
  <c r="HJ388"/>
  <c r="HK388"/>
  <c r="HL388"/>
  <c r="HM388"/>
  <c r="HN388"/>
  <c r="HO388"/>
  <c r="HP388"/>
  <c r="HQ388"/>
  <c r="HR388"/>
  <c r="HS388"/>
  <c r="HT388"/>
  <c r="HU388"/>
  <c r="HV388"/>
  <c r="HW388"/>
  <c r="HX388"/>
  <c r="HY388"/>
  <c r="HZ388"/>
  <c r="IA388"/>
  <c r="IB388"/>
  <c r="IC388"/>
  <c r="ID388"/>
  <c r="IE388"/>
  <c r="IF388"/>
  <c r="IG388"/>
  <c r="IH388"/>
  <c r="II388"/>
  <c r="IJ388"/>
  <c r="IK388"/>
  <c r="IL388"/>
  <c r="IM388"/>
  <c r="IN388"/>
  <c r="IO388"/>
  <c r="IP388"/>
  <c r="IQ388"/>
  <c r="IR388"/>
  <c r="IS388"/>
  <c r="IT388"/>
  <c r="IU388"/>
  <c r="IV388"/>
  <c r="A389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Z389"/>
  <c r="AA389"/>
  <c r="AB389"/>
  <c r="AC389"/>
  <c r="AD389"/>
  <c r="AE389"/>
  <c r="AF389"/>
  <c r="AG389"/>
  <c r="AH389"/>
  <c r="AI389"/>
  <c r="AJ389"/>
  <c r="AK389"/>
  <c r="AL389"/>
  <c r="AM389"/>
  <c r="AN389"/>
  <c r="AO389"/>
  <c r="AP389"/>
  <c r="AQ389"/>
  <c r="AR389"/>
  <c r="AS389"/>
  <c r="AT389"/>
  <c r="AU389"/>
  <c r="AV389"/>
  <c r="AW389"/>
  <c r="AX389"/>
  <c r="AY389"/>
  <c r="AZ389"/>
  <c r="BA389"/>
  <c r="BB389"/>
  <c r="BC389"/>
  <c r="BD389"/>
  <c r="BE389"/>
  <c r="BF389"/>
  <c r="BG389"/>
  <c r="BH389"/>
  <c r="BI389"/>
  <c r="BJ389"/>
  <c r="BK389"/>
  <c r="BL389"/>
  <c r="BM389"/>
  <c r="BN389"/>
  <c r="BO389"/>
  <c r="BP389"/>
  <c r="BQ389"/>
  <c r="BR389"/>
  <c r="BS389"/>
  <c r="BT389"/>
  <c r="BU389"/>
  <c r="BV389"/>
  <c r="BW389"/>
  <c r="BX389"/>
  <c r="BY389"/>
  <c r="BZ389"/>
  <c r="CA389"/>
  <c r="CB389"/>
  <c r="CC389"/>
  <c r="CD389"/>
  <c r="CE389"/>
  <c r="CF389"/>
  <c r="CG389"/>
  <c r="CH389"/>
  <c r="CI389"/>
  <c r="CJ389"/>
  <c r="CK389"/>
  <c r="CL389"/>
  <c r="CM389"/>
  <c r="CN389"/>
  <c r="CO389"/>
  <c r="CP389"/>
  <c r="CQ389"/>
  <c r="CR389"/>
  <c r="CS389"/>
  <c r="CT389"/>
  <c r="CU389"/>
  <c r="CV389"/>
  <c r="CW389"/>
  <c r="CX389"/>
  <c r="CY389"/>
  <c r="CZ389"/>
  <c r="DA389"/>
  <c r="DB389"/>
  <c r="DC389"/>
  <c r="DD389"/>
  <c r="DE389"/>
  <c r="DF389"/>
  <c r="DG389"/>
  <c r="DH389"/>
  <c r="DI389"/>
  <c r="DJ389"/>
  <c r="DK389"/>
  <c r="DL389"/>
  <c r="DM389"/>
  <c r="DN389"/>
  <c r="DO389"/>
  <c r="DP389"/>
  <c r="DQ389"/>
  <c r="DR389"/>
  <c r="DS389"/>
  <c r="DT389"/>
  <c r="DU389"/>
  <c r="DV389"/>
  <c r="DW389"/>
  <c r="DX389"/>
  <c r="DY389"/>
  <c r="DZ389"/>
  <c r="EA389"/>
  <c r="EB389"/>
  <c r="EC389"/>
  <c r="ED389"/>
  <c r="EE389"/>
  <c r="EF389"/>
  <c r="EG389"/>
  <c r="EH389"/>
  <c r="EI389"/>
  <c r="EJ389"/>
  <c r="EK389"/>
  <c r="EL389"/>
  <c r="EM389"/>
  <c r="EN389"/>
  <c r="EO389"/>
  <c r="EP389"/>
  <c r="EQ389"/>
  <c r="ER389"/>
  <c r="ES389"/>
  <c r="ET389"/>
  <c r="EU389"/>
  <c r="EV389"/>
  <c r="EW389"/>
  <c r="EX389"/>
  <c r="EY389"/>
  <c r="EZ389"/>
  <c r="FA389"/>
  <c r="FB389"/>
  <c r="FC389"/>
  <c r="FD389"/>
  <c r="FE389"/>
  <c r="FF389"/>
  <c r="FG389"/>
  <c r="FH389"/>
  <c r="FI389"/>
  <c r="FJ389"/>
  <c r="FK389"/>
  <c r="FL389"/>
  <c r="FM389"/>
  <c r="FN389"/>
  <c r="FO389"/>
  <c r="FP389"/>
  <c r="FQ389"/>
  <c r="FR389"/>
  <c r="FS389"/>
  <c r="FT389"/>
  <c r="FU389"/>
  <c r="FV389"/>
  <c r="FW389"/>
  <c r="FX389"/>
  <c r="FY389"/>
  <c r="FZ389"/>
  <c r="GA389"/>
  <c r="GB389"/>
  <c r="GC389"/>
  <c r="GD389"/>
  <c r="GE389"/>
  <c r="GF389"/>
  <c r="GG389"/>
  <c r="GH389"/>
  <c r="GI389"/>
  <c r="GJ389"/>
  <c r="GK389"/>
  <c r="GL389"/>
  <c r="GM389"/>
  <c r="GN389"/>
  <c r="GO389"/>
  <c r="GP389"/>
  <c r="GQ389"/>
  <c r="GR389"/>
  <c r="GS389"/>
  <c r="GT389"/>
  <c r="GU389"/>
  <c r="GV389"/>
  <c r="GW389"/>
  <c r="GX389"/>
  <c r="GY389"/>
  <c r="GZ389"/>
  <c r="HA389"/>
  <c r="HB389"/>
  <c r="HC389"/>
  <c r="HD389"/>
  <c r="HE389"/>
  <c r="HF389"/>
  <c r="HG389"/>
  <c r="HH389"/>
  <c r="HI389"/>
  <c r="HJ389"/>
  <c r="HK389"/>
  <c r="HL389"/>
  <c r="HM389"/>
  <c r="HN389"/>
  <c r="HO389"/>
  <c r="HP389"/>
  <c r="HQ389"/>
  <c r="HR389"/>
  <c r="HS389"/>
  <c r="HT389"/>
  <c r="HU389"/>
  <c r="HV389"/>
  <c r="HW389"/>
  <c r="HX389"/>
  <c r="HY389"/>
  <c r="HZ389"/>
  <c r="IA389"/>
  <c r="IB389"/>
  <c r="IC389"/>
  <c r="ID389"/>
  <c r="IE389"/>
  <c r="IF389"/>
  <c r="IG389"/>
  <c r="IH389"/>
  <c r="II389"/>
  <c r="IJ389"/>
  <c r="IK389"/>
  <c r="IL389"/>
  <c r="IM389"/>
  <c r="IN389"/>
  <c r="IO389"/>
  <c r="IP389"/>
  <c r="IQ389"/>
  <c r="IR389"/>
  <c r="IS389"/>
  <c r="IT389"/>
  <c r="IU389"/>
  <c r="IV389"/>
  <c r="A390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Z390"/>
  <c r="AA390"/>
  <c r="AB390"/>
  <c r="AC390"/>
  <c r="AD390"/>
  <c r="AE390"/>
  <c r="AF390"/>
  <c r="AG390"/>
  <c r="AH390"/>
  <c r="AI390"/>
  <c r="AJ390"/>
  <c r="AK390"/>
  <c r="AL390"/>
  <c r="AM390"/>
  <c r="AN390"/>
  <c r="AO390"/>
  <c r="AP390"/>
  <c r="AQ390"/>
  <c r="AR390"/>
  <c r="AS390"/>
  <c r="AT390"/>
  <c r="AU390"/>
  <c r="AV390"/>
  <c r="AW390"/>
  <c r="AX390"/>
  <c r="AY390"/>
  <c r="AZ390"/>
  <c r="BA390"/>
  <c r="BB390"/>
  <c r="BC390"/>
  <c r="BD390"/>
  <c r="BE390"/>
  <c r="BF390"/>
  <c r="BG390"/>
  <c r="BH390"/>
  <c r="BI390"/>
  <c r="BJ390"/>
  <c r="BK390"/>
  <c r="BL390"/>
  <c r="BM390"/>
  <c r="BN390"/>
  <c r="BO390"/>
  <c r="BP390"/>
  <c r="BQ390"/>
  <c r="BR390"/>
  <c r="BS390"/>
  <c r="BT390"/>
  <c r="BU390"/>
  <c r="BV390"/>
  <c r="BW390"/>
  <c r="BX390"/>
  <c r="BY390"/>
  <c r="BZ390"/>
  <c r="CA390"/>
  <c r="CB390"/>
  <c r="CC390"/>
  <c r="CD390"/>
  <c r="CE390"/>
  <c r="CF390"/>
  <c r="CG390"/>
  <c r="CH390"/>
  <c r="CI390"/>
  <c r="CJ390"/>
  <c r="CK390"/>
  <c r="CL390"/>
  <c r="CM390"/>
  <c r="CN390"/>
  <c r="CO390"/>
  <c r="CP390"/>
  <c r="CQ390"/>
  <c r="CR390"/>
  <c r="CS390"/>
  <c r="CT390"/>
  <c r="CU390"/>
  <c r="CV390"/>
  <c r="CW390"/>
  <c r="CX390"/>
  <c r="CY390"/>
  <c r="CZ390"/>
  <c r="DA390"/>
  <c r="DB390"/>
  <c r="DC390"/>
  <c r="DD390"/>
  <c r="DE390"/>
  <c r="DF390"/>
  <c r="DG390"/>
  <c r="DH390"/>
  <c r="DI390"/>
  <c r="DJ390"/>
  <c r="DK390"/>
  <c r="DL390"/>
  <c r="DM390"/>
  <c r="DN390"/>
  <c r="DO390"/>
  <c r="DP390"/>
  <c r="DQ390"/>
  <c r="DR390"/>
  <c r="DS390"/>
  <c r="DT390"/>
  <c r="DU390"/>
  <c r="DV390"/>
  <c r="DW390"/>
  <c r="DX390"/>
  <c r="DY390"/>
  <c r="DZ390"/>
  <c r="EA390"/>
  <c r="EB390"/>
  <c r="EC390"/>
  <c r="ED390"/>
  <c r="EE390"/>
  <c r="EF390"/>
  <c r="EG390"/>
  <c r="EH390"/>
  <c r="EI390"/>
  <c r="EJ390"/>
  <c r="EK390"/>
  <c r="EL390"/>
  <c r="EM390"/>
  <c r="EN390"/>
  <c r="EO390"/>
  <c r="EP390"/>
  <c r="EQ390"/>
  <c r="ER390"/>
  <c r="ES390"/>
  <c r="ET390"/>
  <c r="EU390"/>
  <c r="EV390"/>
  <c r="EW390"/>
  <c r="EX390"/>
  <c r="EY390"/>
  <c r="EZ390"/>
  <c r="FA390"/>
  <c r="FB390"/>
  <c r="FC390"/>
  <c r="FD390"/>
  <c r="FE390"/>
  <c r="FF390"/>
  <c r="FG390"/>
  <c r="FH390"/>
  <c r="FI390"/>
  <c r="FJ390"/>
  <c r="FK390"/>
  <c r="FL390"/>
  <c r="FM390"/>
  <c r="FN390"/>
  <c r="FO390"/>
  <c r="FP390"/>
  <c r="FQ390"/>
  <c r="FR390"/>
  <c r="FS390"/>
  <c r="FT390"/>
  <c r="FU390"/>
  <c r="FV390"/>
  <c r="FW390"/>
  <c r="FX390"/>
  <c r="FY390"/>
  <c r="FZ390"/>
  <c r="GA390"/>
  <c r="GB390"/>
  <c r="GC390"/>
  <c r="GD390"/>
  <c r="GE390"/>
  <c r="GF390"/>
  <c r="GG390"/>
  <c r="GH390"/>
  <c r="GI390"/>
  <c r="GJ390"/>
  <c r="GK390"/>
  <c r="GL390"/>
  <c r="GM390"/>
  <c r="GN390"/>
  <c r="GO390"/>
  <c r="GP390"/>
  <c r="GQ390"/>
  <c r="GR390"/>
  <c r="GS390"/>
  <c r="GT390"/>
  <c r="GU390"/>
  <c r="GV390"/>
  <c r="GW390"/>
  <c r="GX390"/>
  <c r="GY390"/>
  <c r="GZ390"/>
  <c r="HA390"/>
  <c r="HB390"/>
  <c r="HC390"/>
  <c r="HD390"/>
  <c r="HE390"/>
  <c r="HF390"/>
  <c r="HG390"/>
  <c r="HH390"/>
  <c r="HI390"/>
  <c r="HJ390"/>
  <c r="HK390"/>
  <c r="HL390"/>
  <c r="HM390"/>
  <c r="HN390"/>
  <c r="HO390"/>
  <c r="HP390"/>
  <c r="HQ390"/>
  <c r="HR390"/>
  <c r="HS390"/>
  <c r="HT390"/>
  <c r="HU390"/>
  <c r="HV390"/>
  <c r="HW390"/>
  <c r="HX390"/>
  <c r="HY390"/>
  <c r="HZ390"/>
  <c r="IA390"/>
  <c r="IB390"/>
  <c r="IC390"/>
  <c r="ID390"/>
  <c r="IE390"/>
  <c r="IF390"/>
  <c r="IG390"/>
  <c r="IH390"/>
  <c r="II390"/>
  <c r="IJ390"/>
  <c r="IK390"/>
  <c r="IL390"/>
  <c r="IM390"/>
  <c r="IN390"/>
  <c r="IO390"/>
  <c r="IP390"/>
  <c r="IQ390"/>
  <c r="IR390"/>
  <c r="IS390"/>
  <c r="IT390"/>
  <c r="IU390"/>
  <c r="IV390"/>
  <c r="A391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Z391"/>
  <c r="AA391"/>
  <c r="AB391"/>
  <c r="AC391"/>
  <c r="AD391"/>
  <c r="AE391"/>
  <c r="AF391"/>
  <c r="AG391"/>
  <c r="AH391"/>
  <c r="AI391"/>
  <c r="AJ391"/>
  <c r="AK391"/>
  <c r="AL391"/>
  <c r="AM391"/>
  <c r="AN391"/>
  <c r="AO391"/>
  <c r="AP391"/>
  <c r="AQ391"/>
  <c r="AR391"/>
  <c r="AS391"/>
  <c r="AT391"/>
  <c r="AU391"/>
  <c r="AV391"/>
  <c r="AW391"/>
  <c r="AX391"/>
  <c r="AY391"/>
  <c r="AZ391"/>
  <c r="BA391"/>
  <c r="BB391"/>
  <c r="BC391"/>
  <c r="BD391"/>
  <c r="BE391"/>
  <c r="BF391"/>
  <c r="BG391"/>
  <c r="BH391"/>
  <c r="BI391"/>
  <c r="BJ391"/>
  <c r="BK391"/>
  <c r="BL391"/>
  <c r="BM391"/>
  <c r="BN391"/>
  <c r="BO391"/>
  <c r="BP391"/>
  <c r="BQ391"/>
  <c r="BR391"/>
  <c r="BS391"/>
  <c r="BT391"/>
  <c r="BU391"/>
  <c r="BV391"/>
  <c r="BW391"/>
  <c r="BX391"/>
  <c r="BY391"/>
  <c r="BZ391"/>
  <c r="CA391"/>
  <c r="CB391"/>
  <c r="CC391"/>
  <c r="CD391"/>
  <c r="CE391"/>
  <c r="CF391"/>
  <c r="CG391"/>
  <c r="CH391"/>
  <c r="CI391"/>
  <c r="CJ391"/>
  <c r="CK391"/>
  <c r="CL391"/>
  <c r="CM391"/>
  <c r="CN391"/>
  <c r="CO391"/>
  <c r="CP391"/>
  <c r="CQ391"/>
  <c r="CR391"/>
  <c r="CS391"/>
  <c r="CT391"/>
  <c r="CU391"/>
  <c r="CV391"/>
  <c r="CW391"/>
  <c r="CX391"/>
  <c r="CY391"/>
  <c r="CZ391"/>
  <c r="DA391"/>
  <c r="DB391"/>
  <c r="DC391"/>
  <c r="DD391"/>
  <c r="DE391"/>
  <c r="DF391"/>
  <c r="DG391"/>
  <c r="DH391"/>
  <c r="DI391"/>
  <c r="DJ391"/>
  <c r="DK391"/>
  <c r="DL391"/>
  <c r="DM391"/>
  <c r="DN391"/>
  <c r="DO391"/>
  <c r="DP391"/>
  <c r="DQ391"/>
  <c r="DR391"/>
  <c r="DS391"/>
  <c r="DT391"/>
  <c r="DU391"/>
  <c r="DV391"/>
  <c r="DW391"/>
  <c r="DX391"/>
  <c r="DY391"/>
  <c r="DZ391"/>
  <c r="EA391"/>
  <c r="EB391"/>
  <c r="EC391"/>
  <c r="ED391"/>
  <c r="EE391"/>
  <c r="EF391"/>
  <c r="EG391"/>
  <c r="EH391"/>
  <c r="EI391"/>
  <c r="EJ391"/>
  <c r="EK391"/>
  <c r="EL391"/>
  <c r="EM391"/>
  <c r="EN391"/>
  <c r="EO391"/>
  <c r="EP391"/>
  <c r="EQ391"/>
  <c r="ER391"/>
  <c r="ES391"/>
  <c r="ET391"/>
  <c r="EU391"/>
  <c r="EV391"/>
  <c r="EW391"/>
  <c r="EX391"/>
  <c r="EY391"/>
  <c r="EZ391"/>
  <c r="FA391"/>
  <c r="FB391"/>
  <c r="FC391"/>
  <c r="FD391"/>
  <c r="FE391"/>
  <c r="FF391"/>
  <c r="FG391"/>
  <c r="FH391"/>
  <c r="FI391"/>
  <c r="FJ391"/>
  <c r="FK391"/>
  <c r="FL391"/>
  <c r="FM391"/>
  <c r="FN391"/>
  <c r="FO391"/>
  <c r="FP391"/>
  <c r="FQ391"/>
  <c r="FR391"/>
  <c r="FS391"/>
  <c r="FT391"/>
  <c r="FU391"/>
  <c r="FV391"/>
  <c r="FW391"/>
  <c r="FX391"/>
  <c r="FY391"/>
  <c r="FZ391"/>
  <c r="GA391"/>
  <c r="GB391"/>
  <c r="GC391"/>
  <c r="GD391"/>
  <c r="GE391"/>
  <c r="GF391"/>
  <c r="GG391"/>
  <c r="GH391"/>
  <c r="GI391"/>
  <c r="GJ391"/>
  <c r="GK391"/>
  <c r="GL391"/>
  <c r="GM391"/>
  <c r="GN391"/>
  <c r="GO391"/>
  <c r="GP391"/>
  <c r="GQ391"/>
  <c r="GR391"/>
  <c r="GS391"/>
  <c r="GT391"/>
  <c r="GU391"/>
  <c r="GV391"/>
  <c r="GW391"/>
  <c r="GX391"/>
  <c r="GY391"/>
  <c r="GZ391"/>
  <c r="HA391"/>
  <c r="HB391"/>
  <c r="HC391"/>
  <c r="HD391"/>
  <c r="HE391"/>
  <c r="HF391"/>
  <c r="HG391"/>
  <c r="HH391"/>
  <c r="HI391"/>
  <c r="HJ391"/>
  <c r="HK391"/>
  <c r="HL391"/>
  <c r="HM391"/>
  <c r="HN391"/>
  <c r="HO391"/>
  <c r="HP391"/>
  <c r="HQ391"/>
  <c r="HR391"/>
  <c r="HS391"/>
  <c r="HT391"/>
  <c r="HU391"/>
  <c r="HV391"/>
  <c r="HW391"/>
  <c r="HX391"/>
  <c r="HY391"/>
  <c r="HZ391"/>
  <c r="IA391"/>
  <c r="IB391"/>
  <c r="IC391"/>
  <c r="ID391"/>
  <c r="IE391"/>
  <c r="IF391"/>
  <c r="IG391"/>
  <c r="IH391"/>
  <c r="II391"/>
  <c r="IJ391"/>
  <c r="IK391"/>
  <c r="IL391"/>
  <c r="IM391"/>
  <c r="IN391"/>
  <c r="IO391"/>
  <c r="IP391"/>
  <c r="IQ391"/>
  <c r="IR391"/>
  <c r="IS391"/>
  <c r="IT391"/>
  <c r="IU391"/>
  <c r="IV391"/>
  <c r="A392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Z392"/>
  <c r="AA392"/>
  <c r="AB392"/>
  <c r="AC392"/>
  <c r="AD392"/>
  <c r="AE392"/>
  <c r="AF392"/>
  <c r="AG392"/>
  <c r="AH392"/>
  <c r="AI392"/>
  <c r="AJ392"/>
  <c r="AK392"/>
  <c r="AL392"/>
  <c r="AM392"/>
  <c r="AN392"/>
  <c r="AO392"/>
  <c r="AP392"/>
  <c r="AQ392"/>
  <c r="AR392"/>
  <c r="AS392"/>
  <c r="AT392"/>
  <c r="AU392"/>
  <c r="AV392"/>
  <c r="AW392"/>
  <c r="AX392"/>
  <c r="AY392"/>
  <c r="AZ392"/>
  <c r="BA392"/>
  <c r="BB392"/>
  <c r="BC392"/>
  <c r="BD392"/>
  <c r="BE392"/>
  <c r="BF392"/>
  <c r="BG392"/>
  <c r="BH392"/>
  <c r="BI392"/>
  <c r="BJ392"/>
  <c r="BK392"/>
  <c r="BL392"/>
  <c r="BM392"/>
  <c r="BN392"/>
  <c r="BO392"/>
  <c r="BP392"/>
  <c r="BQ392"/>
  <c r="BR392"/>
  <c r="BS392"/>
  <c r="BT392"/>
  <c r="BU392"/>
  <c r="BV392"/>
  <c r="BW392"/>
  <c r="BX392"/>
  <c r="BY392"/>
  <c r="BZ392"/>
  <c r="CA392"/>
  <c r="CB392"/>
  <c r="CC392"/>
  <c r="CD392"/>
  <c r="CE392"/>
  <c r="CF392"/>
  <c r="CG392"/>
  <c r="CH392"/>
  <c r="CI392"/>
  <c r="CJ392"/>
  <c r="CK392"/>
  <c r="CL392"/>
  <c r="CM392"/>
  <c r="CN392"/>
  <c r="CO392"/>
  <c r="CP392"/>
  <c r="CQ392"/>
  <c r="CR392"/>
  <c r="CS392"/>
  <c r="CT392"/>
  <c r="CU392"/>
  <c r="CV392"/>
  <c r="CW392"/>
  <c r="CX392"/>
  <c r="CY392"/>
  <c r="CZ392"/>
  <c r="DA392"/>
  <c r="DB392"/>
  <c r="DC392"/>
  <c r="DD392"/>
  <c r="DE392"/>
  <c r="DF392"/>
  <c r="DG392"/>
  <c r="DH392"/>
  <c r="DI392"/>
  <c r="DJ392"/>
  <c r="DK392"/>
  <c r="DL392"/>
  <c r="DM392"/>
  <c r="DN392"/>
  <c r="DO392"/>
  <c r="DP392"/>
  <c r="DQ392"/>
  <c r="DR392"/>
  <c r="DS392"/>
  <c r="DT392"/>
  <c r="DU392"/>
  <c r="DV392"/>
  <c r="DW392"/>
  <c r="DX392"/>
  <c r="DY392"/>
  <c r="DZ392"/>
  <c r="EA392"/>
  <c r="EB392"/>
  <c r="EC392"/>
  <c r="ED392"/>
  <c r="EE392"/>
  <c r="EF392"/>
  <c r="EG392"/>
  <c r="EH392"/>
  <c r="EI392"/>
  <c r="EJ392"/>
  <c r="EK392"/>
  <c r="EL392"/>
  <c r="EM392"/>
  <c r="EN392"/>
  <c r="EO392"/>
  <c r="EP392"/>
  <c r="EQ392"/>
  <c r="ER392"/>
  <c r="ES392"/>
  <c r="ET392"/>
  <c r="EU392"/>
  <c r="EV392"/>
  <c r="EW392"/>
  <c r="EX392"/>
  <c r="EY392"/>
  <c r="EZ392"/>
  <c r="FA392"/>
  <c r="FB392"/>
  <c r="FC392"/>
  <c r="FD392"/>
  <c r="FE392"/>
  <c r="FF392"/>
  <c r="FG392"/>
  <c r="FH392"/>
  <c r="FI392"/>
  <c r="FJ392"/>
  <c r="FK392"/>
  <c r="FL392"/>
  <c r="FM392"/>
  <c r="FN392"/>
  <c r="FO392"/>
  <c r="FP392"/>
  <c r="FQ392"/>
  <c r="FR392"/>
  <c r="FS392"/>
  <c r="FT392"/>
  <c r="FU392"/>
  <c r="FV392"/>
  <c r="FW392"/>
  <c r="FX392"/>
  <c r="FY392"/>
  <c r="FZ392"/>
  <c r="GA392"/>
  <c r="GB392"/>
  <c r="GC392"/>
  <c r="GD392"/>
  <c r="GE392"/>
  <c r="GF392"/>
  <c r="GG392"/>
  <c r="GH392"/>
  <c r="GI392"/>
  <c r="GJ392"/>
  <c r="GK392"/>
  <c r="GL392"/>
  <c r="GM392"/>
  <c r="GN392"/>
  <c r="GO392"/>
  <c r="GP392"/>
  <c r="GQ392"/>
  <c r="GR392"/>
  <c r="GS392"/>
  <c r="GT392"/>
  <c r="GU392"/>
  <c r="GV392"/>
  <c r="GW392"/>
  <c r="GX392"/>
  <c r="GY392"/>
  <c r="GZ392"/>
  <c r="HA392"/>
  <c r="HB392"/>
  <c r="HC392"/>
  <c r="HD392"/>
  <c r="HE392"/>
  <c r="HF392"/>
  <c r="HG392"/>
  <c r="HH392"/>
  <c r="HI392"/>
  <c r="HJ392"/>
  <c r="HK392"/>
  <c r="HL392"/>
  <c r="HM392"/>
  <c r="HN392"/>
  <c r="HO392"/>
  <c r="HP392"/>
  <c r="HQ392"/>
  <c r="HR392"/>
  <c r="HS392"/>
  <c r="HT392"/>
  <c r="HU392"/>
  <c r="HV392"/>
  <c r="HW392"/>
  <c r="HX392"/>
  <c r="HY392"/>
  <c r="HZ392"/>
  <c r="IA392"/>
  <c r="IB392"/>
  <c r="IC392"/>
  <c r="ID392"/>
  <c r="IE392"/>
  <c r="IF392"/>
  <c r="IG392"/>
  <c r="IH392"/>
  <c r="II392"/>
  <c r="IJ392"/>
  <c r="IK392"/>
  <c r="IL392"/>
  <c r="IM392"/>
  <c r="IN392"/>
  <c r="IO392"/>
  <c r="IP392"/>
  <c r="IQ392"/>
  <c r="IR392"/>
  <c r="IS392"/>
  <c r="IT392"/>
  <c r="IU392"/>
  <c r="IV392"/>
  <c r="A393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Z393"/>
  <c r="AA393"/>
  <c r="AB393"/>
  <c r="AC393"/>
  <c r="AD393"/>
  <c r="AE393"/>
  <c r="AF393"/>
  <c r="AG393"/>
  <c r="AH393"/>
  <c r="AI393"/>
  <c r="AJ393"/>
  <c r="AK393"/>
  <c r="AL393"/>
  <c r="AM393"/>
  <c r="AN393"/>
  <c r="AO393"/>
  <c r="AP393"/>
  <c r="AQ393"/>
  <c r="AR393"/>
  <c r="AS393"/>
  <c r="AT393"/>
  <c r="AU393"/>
  <c r="AV393"/>
  <c r="AW393"/>
  <c r="AX393"/>
  <c r="AY393"/>
  <c r="AZ393"/>
  <c r="BA393"/>
  <c r="BB393"/>
  <c r="BC393"/>
  <c r="BD393"/>
  <c r="BE393"/>
  <c r="BF393"/>
  <c r="BG393"/>
  <c r="BH393"/>
  <c r="BI393"/>
  <c r="BJ393"/>
  <c r="BK393"/>
  <c r="BL393"/>
  <c r="BM393"/>
  <c r="BN393"/>
  <c r="BO393"/>
  <c r="BP393"/>
  <c r="BQ393"/>
  <c r="BR393"/>
  <c r="BS393"/>
  <c r="BT393"/>
  <c r="BU393"/>
  <c r="BV393"/>
  <c r="BW393"/>
  <c r="BX393"/>
  <c r="BY393"/>
  <c r="BZ393"/>
  <c r="CA393"/>
  <c r="CB393"/>
  <c r="CC393"/>
  <c r="CD393"/>
  <c r="CE393"/>
  <c r="CF393"/>
  <c r="CG393"/>
  <c r="CH393"/>
  <c r="CI393"/>
  <c r="CJ393"/>
  <c r="CK393"/>
  <c r="CL393"/>
  <c r="CM393"/>
  <c r="CN393"/>
  <c r="CO393"/>
  <c r="CP393"/>
  <c r="CQ393"/>
  <c r="CR393"/>
  <c r="CS393"/>
  <c r="CT393"/>
  <c r="CU393"/>
  <c r="CV393"/>
  <c r="CW393"/>
  <c r="CX393"/>
  <c r="CY393"/>
  <c r="CZ393"/>
  <c r="DA393"/>
  <c r="DB393"/>
  <c r="DC393"/>
  <c r="DD393"/>
  <c r="DE393"/>
  <c r="DF393"/>
  <c r="DG393"/>
  <c r="DH393"/>
  <c r="DI393"/>
  <c r="DJ393"/>
  <c r="DK393"/>
  <c r="DL393"/>
  <c r="DM393"/>
  <c r="DN393"/>
  <c r="DO393"/>
  <c r="DP393"/>
  <c r="DQ393"/>
  <c r="DR393"/>
  <c r="DS393"/>
  <c r="DT393"/>
  <c r="DU393"/>
  <c r="DV393"/>
  <c r="DW393"/>
  <c r="DX393"/>
  <c r="DY393"/>
  <c r="DZ393"/>
  <c r="EA393"/>
  <c r="EB393"/>
  <c r="EC393"/>
  <c r="ED393"/>
  <c r="EE393"/>
  <c r="EF393"/>
  <c r="EG393"/>
  <c r="EH393"/>
  <c r="EI393"/>
  <c r="EJ393"/>
  <c r="EK393"/>
  <c r="EL393"/>
  <c r="EM393"/>
  <c r="EN393"/>
  <c r="EO393"/>
  <c r="EP393"/>
  <c r="EQ393"/>
  <c r="ER393"/>
  <c r="ES393"/>
  <c r="ET393"/>
  <c r="EU393"/>
  <c r="EV393"/>
  <c r="EW393"/>
  <c r="EX393"/>
  <c r="EY393"/>
  <c r="EZ393"/>
  <c r="FA393"/>
  <c r="FB393"/>
  <c r="FC393"/>
  <c r="FD393"/>
  <c r="FE393"/>
  <c r="FF393"/>
  <c r="FG393"/>
  <c r="FH393"/>
  <c r="FI393"/>
  <c r="FJ393"/>
  <c r="FK393"/>
  <c r="FL393"/>
  <c r="FM393"/>
  <c r="FN393"/>
  <c r="FO393"/>
  <c r="FP393"/>
  <c r="FQ393"/>
  <c r="FR393"/>
  <c r="FS393"/>
  <c r="FT393"/>
  <c r="FU393"/>
  <c r="FV393"/>
  <c r="FW393"/>
  <c r="FX393"/>
  <c r="FY393"/>
  <c r="FZ393"/>
  <c r="GA393"/>
  <c r="GB393"/>
  <c r="GC393"/>
  <c r="GD393"/>
  <c r="GE393"/>
  <c r="GF393"/>
  <c r="GG393"/>
  <c r="GH393"/>
  <c r="GI393"/>
  <c r="GJ393"/>
  <c r="GK393"/>
  <c r="GL393"/>
  <c r="GM393"/>
  <c r="GN393"/>
  <c r="GO393"/>
  <c r="GP393"/>
  <c r="GQ393"/>
  <c r="GR393"/>
  <c r="GS393"/>
  <c r="GT393"/>
  <c r="GU393"/>
  <c r="GV393"/>
  <c r="GW393"/>
  <c r="GX393"/>
  <c r="GY393"/>
  <c r="GZ393"/>
  <c r="HA393"/>
  <c r="HB393"/>
  <c r="HC393"/>
  <c r="HD393"/>
  <c r="HE393"/>
  <c r="HF393"/>
  <c r="HG393"/>
  <c r="HH393"/>
  <c r="HI393"/>
  <c r="HJ393"/>
  <c r="HK393"/>
  <c r="HL393"/>
  <c r="HM393"/>
  <c r="HN393"/>
  <c r="HO393"/>
  <c r="HP393"/>
  <c r="HQ393"/>
  <c r="HR393"/>
  <c r="HS393"/>
  <c r="HT393"/>
  <c r="HU393"/>
  <c r="HV393"/>
  <c r="HW393"/>
  <c r="HX393"/>
  <c r="HY393"/>
  <c r="HZ393"/>
  <c r="IA393"/>
  <c r="IB393"/>
  <c r="IC393"/>
  <c r="ID393"/>
  <c r="IE393"/>
  <c r="IF393"/>
  <c r="IG393"/>
  <c r="IH393"/>
  <c r="II393"/>
  <c r="IJ393"/>
  <c r="IK393"/>
  <c r="IL393"/>
  <c r="IM393"/>
  <c r="IN393"/>
  <c r="IO393"/>
  <c r="IP393"/>
  <c r="IQ393"/>
  <c r="IR393"/>
  <c r="IS393"/>
  <c r="IT393"/>
  <c r="IU393"/>
  <c r="IV393"/>
  <c r="A394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Z394"/>
  <c r="AA394"/>
  <c r="AB394"/>
  <c r="AC394"/>
  <c r="AD394"/>
  <c r="AE394"/>
  <c r="AF394"/>
  <c r="AG394"/>
  <c r="AH394"/>
  <c r="AI394"/>
  <c r="AJ394"/>
  <c r="AK394"/>
  <c r="AL394"/>
  <c r="AM394"/>
  <c r="AN394"/>
  <c r="AO394"/>
  <c r="AP394"/>
  <c r="AQ394"/>
  <c r="AR394"/>
  <c r="AS394"/>
  <c r="AT394"/>
  <c r="AU394"/>
  <c r="AV394"/>
  <c r="AW394"/>
  <c r="AX394"/>
  <c r="AY394"/>
  <c r="AZ394"/>
  <c r="BA394"/>
  <c r="BB394"/>
  <c r="BC394"/>
  <c r="BD394"/>
  <c r="BE394"/>
  <c r="BF394"/>
  <c r="BG394"/>
  <c r="BH394"/>
  <c r="BI394"/>
  <c r="BJ394"/>
  <c r="BK394"/>
  <c r="BL394"/>
  <c r="BM394"/>
  <c r="BN394"/>
  <c r="BO394"/>
  <c r="BP394"/>
  <c r="BQ394"/>
  <c r="BR394"/>
  <c r="BS394"/>
  <c r="BT394"/>
  <c r="BU394"/>
  <c r="BV394"/>
  <c r="BW394"/>
  <c r="BX394"/>
  <c r="BY394"/>
  <c r="BZ394"/>
  <c r="CA394"/>
  <c r="CB394"/>
  <c r="CC394"/>
  <c r="CD394"/>
  <c r="CE394"/>
  <c r="CF394"/>
  <c r="CG394"/>
  <c r="CH394"/>
  <c r="CI394"/>
  <c r="CJ394"/>
  <c r="CK394"/>
  <c r="CL394"/>
  <c r="CM394"/>
  <c r="CN394"/>
  <c r="CO394"/>
  <c r="CP394"/>
  <c r="CQ394"/>
  <c r="CR394"/>
  <c r="CS394"/>
  <c r="CT394"/>
  <c r="CU394"/>
  <c r="CV394"/>
  <c r="CW394"/>
  <c r="CX394"/>
  <c r="CY394"/>
  <c r="CZ394"/>
  <c r="DA394"/>
  <c r="DB394"/>
  <c r="DC394"/>
  <c r="DD394"/>
  <c r="DE394"/>
  <c r="DF394"/>
  <c r="DG394"/>
  <c r="DH394"/>
  <c r="DI394"/>
  <c r="DJ394"/>
  <c r="DK394"/>
  <c r="DL394"/>
  <c r="DM394"/>
  <c r="DN394"/>
  <c r="DO394"/>
  <c r="DP394"/>
  <c r="DQ394"/>
  <c r="DR394"/>
  <c r="DS394"/>
  <c r="DT394"/>
  <c r="DU394"/>
  <c r="DV394"/>
  <c r="DW394"/>
  <c r="DX394"/>
  <c r="DY394"/>
  <c r="DZ394"/>
  <c r="EA394"/>
  <c r="EB394"/>
  <c r="EC394"/>
  <c r="ED394"/>
  <c r="EE394"/>
  <c r="EF394"/>
  <c r="EG394"/>
  <c r="EH394"/>
  <c r="EI394"/>
  <c r="EJ394"/>
  <c r="EK394"/>
  <c r="EL394"/>
  <c r="EM394"/>
  <c r="EN394"/>
  <c r="EO394"/>
  <c r="EP394"/>
  <c r="EQ394"/>
  <c r="ER394"/>
  <c r="ES394"/>
  <c r="ET394"/>
  <c r="EU394"/>
  <c r="EV394"/>
  <c r="EW394"/>
  <c r="EX394"/>
  <c r="EY394"/>
  <c r="EZ394"/>
  <c r="FA394"/>
  <c r="FB394"/>
  <c r="FC394"/>
  <c r="FD394"/>
  <c r="FE394"/>
  <c r="FF394"/>
  <c r="FG394"/>
  <c r="FH394"/>
  <c r="FI394"/>
  <c r="FJ394"/>
  <c r="FK394"/>
  <c r="FL394"/>
  <c r="FM394"/>
  <c r="FN394"/>
  <c r="FO394"/>
  <c r="FP394"/>
  <c r="FQ394"/>
  <c r="FR394"/>
  <c r="FS394"/>
  <c r="FT394"/>
  <c r="FU394"/>
  <c r="FV394"/>
  <c r="FW394"/>
  <c r="FX394"/>
  <c r="FY394"/>
  <c r="FZ394"/>
  <c r="GA394"/>
  <c r="GB394"/>
  <c r="GC394"/>
  <c r="GD394"/>
  <c r="GE394"/>
  <c r="GF394"/>
  <c r="GG394"/>
  <c r="GH394"/>
  <c r="GI394"/>
  <c r="GJ394"/>
  <c r="GK394"/>
  <c r="GL394"/>
  <c r="GM394"/>
  <c r="GN394"/>
  <c r="GO394"/>
  <c r="GP394"/>
  <c r="GQ394"/>
  <c r="GR394"/>
  <c r="GS394"/>
  <c r="GT394"/>
  <c r="GU394"/>
  <c r="GV394"/>
  <c r="GW394"/>
  <c r="GX394"/>
  <c r="GY394"/>
  <c r="GZ394"/>
  <c r="HA394"/>
  <c r="HB394"/>
  <c r="HC394"/>
  <c r="HD394"/>
  <c r="HE394"/>
  <c r="HF394"/>
  <c r="HG394"/>
  <c r="HH394"/>
  <c r="HI394"/>
  <c r="HJ394"/>
  <c r="HK394"/>
  <c r="HL394"/>
  <c r="HM394"/>
  <c r="HN394"/>
  <c r="HO394"/>
  <c r="HP394"/>
  <c r="HQ394"/>
  <c r="HR394"/>
  <c r="HS394"/>
  <c r="HT394"/>
  <c r="HU394"/>
  <c r="HV394"/>
  <c r="HW394"/>
  <c r="HX394"/>
  <c r="HY394"/>
  <c r="HZ394"/>
  <c r="IA394"/>
  <c r="IB394"/>
  <c r="IC394"/>
  <c r="ID394"/>
  <c r="IE394"/>
  <c r="IF394"/>
  <c r="IG394"/>
  <c r="IH394"/>
  <c r="II394"/>
  <c r="IJ394"/>
  <c r="IK394"/>
  <c r="IL394"/>
  <c r="IM394"/>
  <c r="IN394"/>
  <c r="IO394"/>
  <c r="IP394"/>
  <c r="IQ394"/>
  <c r="IR394"/>
  <c r="IS394"/>
  <c r="IT394"/>
  <c r="IU394"/>
  <c r="IV394"/>
  <c r="A395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Z395"/>
  <c r="AA395"/>
  <c r="AB395"/>
  <c r="AC395"/>
  <c r="AD395"/>
  <c r="AE395"/>
  <c r="AF395"/>
  <c r="AG395"/>
  <c r="AH395"/>
  <c r="AI395"/>
  <c r="AJ395"/>
  <c r="AK395"/>
  <c r="AL395"/>
  <c r="AM395"/>
  <c r="AN395"/>
  <c r="AO395"/>
  <c r="AP395"/>
  <c r="AQ395"/>
  <c r="AR395"/>
  <c r="AS395"/>
  <c r="AT395"/>
  <c r="AU395"/>
  <c r="AV395"/>
  <c r="AW395"/>
  <c r="AX395"/>
  <c r="AY395"/>
  <c r="AZ395"/>
  <c r="BA395"/>
  <c r="BB395"/>
  <c r="BC395"/>
  <c r="BD395"/>
  <c r="BE395"/>
  <c r="BF395"/>
  <c r="BG395"/>
  <c r="BH395"/>
  <c r="BI395"/>
  <c r="BJ395"/>
  <c r="BK395"/>
  <c r="BL395"/>
  <c r="BM395"/>
  <c r="BN395"/>
  <c r="BO395"/>
  <c r="BP395"/>
  <c r="BQ395"/>
  <c r="BR395"/>
  <c r="BS395"/>
  <c r="BT395"/>
  <c r="BU395"/>
  <c r="BV395"/>
  <c r="BW395"/>
  <c r="BX395"/>
  <c r="BY395"/>
  <c r="BZ395"/>
  <c r="CA395"/>
  <c r="CB395"/>
  <c r="CC395"/>
  <c r="CD395"/>
  <c r="CE395"/>
  <c r="CF395"/>
  <c r="CG395"/>
  <c r="CH395"/>
  <c r="CI395"/>
  <c r="CJ395"/>
  <c r="CK395"/>
  <c r="CL395"/>
  <c r="CM395"/>
  <c r="CN395"/>
  <c r="CO395"/>
  <c r="CP395"/>
  <c r="CQ395"/>
  <c r="CR395"/>
  <c r="CS395"/>
  <c r="CT395"/>
  <c r="CU395"/>
  <c r="CV395"/>
  <c r="CW395"/>
  <c r="CX395"/>
  <c r="CY395"/>
  <c r="CZ395"/>
  <c r="DA395"/>
  <c r="DB395"/>
  <c r="DC395"/>
  <c r="DD395"/>
  <c r="DE395"/>
  <c r="DF395"/>
  <c r="DG395"/>
  <c r="DH395"/>
  <c r="DI395"/>
  <c r="DJ395"/>
  <c r="DK395"/>
  <c r="DL395"/>
  <c r="DM395"/>
  <c r="DN395"/>
  <c r="DO395"/>
  <c r="DP395"/>
  <c r="DQ395"/>
  <c r="DR395"/>
  <c r="DS395"/>
  <c r="DT395"/>
  <c r="DU395"/>
  <c r="DV395"/>
  <c r="DW395"/>
  <c r="DX395"/>
  <c r="DY395"/>
  <c r="DZ395"/>
  <c r="EA395"/>
  <c r="EB395"/>
  <c r="EC395"/>
  <c r="ED395"/>
  <c r="EE395"/>
  <c r="EF395"/>
  <c r="EG395"/>
  <c r="EH395"/>
  <c r="EI395"/>
  <c r="EJ395"/>
  <c r="EK395"/>
  <c r="EL395"/>
  <c r="EM395"/>
  <c r="EN395"/>
  <c r="EO395"/>
  <c r="EP395"/>
  <c r="EQ395"/>
  <c r="ER395"/>
  <c r="ES395"/>
  <c r="ET395"/>
  <c r="EU395"/>
  <c r="EV395"/>
  <c r="EW395"/>
  <c r="EX395"/>
  <c r="EY395"/>
  <c r="EZ395"/>
  <c r="FA395"/>
  <c r="FB395"/>
  <c r="FC395"/>
  <c r="FD395"/>
  <c r="FE395"/>
  <c r="FF395"/>
  <c r="FG395"/>
  <c r="FH395"/>
  <c r="FI395"/>
  <c r="FJ395"/>
  <c r="FK395"/>
  <c r="FL395"/>
  <c r="FM395"/>
  <c r="FN395"/>
  <c r="FO395"/>
  <c r="FP395"/>
  <c r="FQ395"/>
  <c r="FR395"/>
  <c r="FS395"/>
  <c r="FT395"/>
  <c r="FU395"/>
  <c r="FV395"/>
  <c r="FW395"/>
  <c r="FX395"/>
  <c r="FY395"/>
  <c r="FZ395"/>
  <c r="GA395"/>
  <c r="GB395"/>
  <c r="GC395"/>
  <c r="GD395"/>
  <c r="GE395"/>
  <c r="GF395"/>
  <c r="GG395"/>
  <c r="GH395"/>
  <c r="GI395"/>
  <c r="GJ395"/>
  <c r="GK395"/>
  <c r="GL395"/>
  <c r="GM395"/>
  <c r="GN395"/>
  <c r="GO395"/>
  <c r="GP395"/>
  <c r="GQ395"/>
  <c r="GR395"/>
  <c r="GS395"/>
  <c r="GT395"/>
  <c r="GU395"/>
  <c r="GV395"/>
  <c r="GW395"/>
  <c r="GX395"/>
  <c r="GY395"/>
  <c r="GZ395"/>
  <c r="HA395"/>
  <c r="HB395"/>
  <c r="HC395"/>
  <c r="HD395"/>
  <c r="HE395"/>
  <c r="HF395"/>
  <c r="HG395"/>
  <c r="HH395"/>
  <c r="HI395"/>
  <c r="HJ395"/>
  <c r="HK395"/>
  <c r="HL395"/>
  <c r="HM395"/>
  <c r="HN395"/>
  <c r="HO395"/>
  <c r="HP395"/>
  <c r="HQ395"/>
  <c r="HR395"/>
  <c r="HS395"/>
  <c r="HT395"/>
  <c r="HU395"/>
  <c r="HV395"/>
  <c r="HW395"/>
  <c r="HX395"/>
  <c r="HY395"/>
  <c r="HZ395"/>
  <c r="IA395"/>
  <c r="IB395"/>
  <c r="IC395"/>
  <c r="ID395"/>
  <c r="IE395"/>
  <c r="IF395"/>
  <c r="IG395"/>
  <c r="IH395"/>
  <c r="II395"/>
  <c r="IJ395"/>
  <c r="IK395"/>
  <c r="IL395"/>
  <c r="IM395"/>
  <c r="IN395"/>
  <c r="IO395"/>
  <c r="IP395"/>
  <c r="IQ395"/>
  <c r="IR395"/>
  <c r="IS395"/>
  <c r="IT395"/>
  <c r="IU395"/>
  <c r="IV395"/>
  <c r="A396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Z396"/>
  <c r="AA396"/>
  <c r="AB396"/>
  <c r="AC396"/>
  <c r="AD396"/>
  <c r="AE396"/>
  <c r="AF396"/>
  <c r="AG396"/>
  <c r="AH396"/>
  <c r="AI396"/>
  <c r="AJ396"/>
  <c r="AK396"/>
  <c r="AL396"/>
  <c r="AM396"/>
  <c r="AN396"/>
  <c r="AO396"/>
  <c r="AP396"/>
  <c r="AQ396"/>
  <c r="AR396"/>
  <c r="AS396"/>
  <c r="AT396"/>
  <c r="AU396"/>
  <c r="AV396"/>
  <c r="AW396"/>
  <c r="AX396"/>
  <c r="AY396"/>
  <c r="AZ396"/>
  <c r="BA396"/>
  <c r="BB396"/>
  <c r="BC396"/>
  <c r="BD396"/>
  <c r="BE396"/>
  <c r="BF396"/>
  <c r="BG396"/>
  <c r="BH396"/>
  <c r="BI396"/>
  <c r="BJ396"/>
  <c r="BK396"/>
  <c r="BL396"/>
  <c r="BM396"/>
  <c r="BN396"/>
  <c r="BO396"/>
  <c r="BP396"/>
  <c r="BQ396"/>
  <c r="BR396"/>
  <c r="BS396"/>
  <c r="BT396"/>
  <c r="BU396"/>
  <c r="BV396"/>
  <c r="BW396"/>
  <c r="BX396"/>
  <c r="BY396"/>
  <c r="BZ396"/>
  <c r="CA396"/>
  <c r="CB396"/>
  <c r="CC396"/>
  <c r="CD396"/>
  <c r="CE396"/>
  <c r="CF396"/>
  <c r="CG396"/>
  <c r="CH396"/>
  <c r="CI396"/>
  <c r="CJ396"/>
  <c r="CK396"/>
  <c r="CL396"/>
  <c r="CM396"/>
  <c r="CN396"/>
  <c r="CO396"/>
  <c r="CP396"/>
  <c r="CQ396"/>
  <c r="CR396"/>
  <c r="CS396"/>
  <c r="CT396"/>
  <c r="CU396"/>
  <c r="CV396"/>
  <c r="CW396"/>
  <c r="CX396"/>
  <c r="CY396"/>
  <c r="CZ396"/>
  <c r="DA396"/>
  <c r="DB396"/>
  <c r="DC396"/>
  <c r="DD396"/>
  <c r="DE396"/>
  <c r="DF396"/>
  <c r="DG396"/>
  <c r="DH396"/>
  <c r="DI396"/>
  <c r="DJ396"/>
  <c r="DK396"/>
  <c r="DL396"/>
  <c r="DM396"/>
  <c r="DN396"/>
  <c r="DO396"/>
  <c r="DP396"/>
  <c r="DQ396"/>
  <c r="DR396"/>
  <c r="DS396"/>
  <c r="DT396"/>
  <c r="DU396"/>
  <c r="DV396"/>
  <c r="DW396"/>
  <c r="DX396"/>
  <c r="DY396"/>
  <c r="DZ396"/>
  <c r="EA396"/>
  <c r="EB396"/>
  <c r="EC396"/>
  <c r="ED396"/>
  <c r="EE396"/>
  <c r="EF396"/>
  <c r="EG396"/>
  <c r="EH396"/>
  <c r="EI396"/>
  <c r="EJ396"/>
  <c r="EK396"/>
  <c r="EL396"/>
  <c r="EM396"/>
  <c r="EN396"/>
  <c r="EO396"/>
  <c r="EP396"/>
  <c r="EQ396"/>
  <c r="ER396"/>
  <c r="ES396"/>
  <c r="ET396"/>
  <c r="EU396"/>
  <c r="EV396"/>
  <c r="EW396"/>
  <c r="EX396"/>
  <c r="EY396"/>
  <c r="EZ396"/>
  <c r="FA396"/>
  <c r="FB396"/>
  <c r="FC396"/>
  <c r="FD396"/>
  <c r="FE396"/>
  <c r="FF396"/>
  <c r="FG396"/>
  <c r="FH396"/>
  <c r="FI396"/>
  <c r="FJ396"/>
  <c r="FK396"/>
  <c r="FL396"/>
  <c r="FM396"/>
  <c r="FN396"/>
  <c r="FO396"/>
  <c r="FP396"/>
  <c r="FQ396"/>
  <c r="FR396"/>
  <c r="FS396"/>
  <c r="FT396"/>
  <c r="FU396"/>
  <c r="FV396"/>
  <c r="FW396"/>
  <c r="FX396"/>
  <c r="FY396"/>
  <c r="FZ396"/>
  <c r="GA396"/>
  <c r="GB396"/>
  <c r="GC396"/>
  <c r="GD396"/>
  <c r="GE396"/>
  <c r="GF396"/>
  <c r="GG396"/>
  <c r="GH396"/>
  <c r="GI396"/>
  <c r="GJ396"/>
  <c r="GK396"/>
  <c r="GL396"/>
  <c r="GM396"/>
  <c r="GN396"/>
  <c r="GO396"/>
  <c r="GP396"/>
  <c r="GQ396"/>
  <c r="GR396"/>
  <c r="GS396"/>
  <c r="GT396"/>
  <c r="GU396"/>
  <c r="GV396"/>
  <c r="GW396"/>
  <c r="GX396"/>
  <c r="GY396"/>
  <c r="GZ396"/>
  <c r="HA396"/>
  <c r="HB396"/>
  <c r="HC396"/>
  <c r="HD396"/>
  <c r="HE396"/>
  <c r="HF396"/>
  <c r="HG396"/>
  <c r="HH396"/>
  <c r="HI396"/>
  <c r="HJ396"/>
  <c r="HK396"/>
  <c r="HL396"/>
  <c r="HM396"/>
  <c r="HN396"/>
  <c r="HO396"/>
  <c r="HP396"/>
  <c r="HQ396"/>
  <c r="HR396"/>
  <c r="HS396"/>
  <c r="HT396"/>
  <c r="HU396"/>
  <c r="HV396"/>
  <c r="HW396"/>
  <c r="HX396"/>
  <c r="HY396"/>
  <c r="HZ396"/>
  <c r="IA396"/>
  <c r="IB396"/>
  <c r="IC396"/>
  <c r="ID396"/>
  <c r="IE396"/>
  <c r="IF396"/>
  <c r="IG396"/>
  <c r="IH396"/>
  <c r="II396"/>
  <c r="IJ396"/>
  <c r="IK396"/>
  <c r="IL396"/>
  <c r="IM396"/>
  <c r="IN396"/>
  <c r="IO396"/>
  <c r="IP396"/>
  <c r="IQ396"/>
  <c r="IR396"/>
  <c r="IS396"/>
  <c r="IT396"/>
  <c r="IU396"/>
  <c r="IV396"/>
  <c r="A397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Z397"/>
  <c r="AA397"/>
  <c r="AB397"/>
  <c r="AC397"/>
  <c r="AD397"/>
  <c r="AE397"/>
  <c r="AF397"/>
  <c r="AG397"/>
  <c r="AH397"/>
  <c r="AI397"/>
  <c r="AJ397"/>
  <c r="AK397"/>
  <c r="AL397"/>
  <c r="AM397"/>
  <c r="AN397"/>
  <c r="AO397"/>
  <c r="AP397"/>
  <c r="AQ397"/>
  <c r="AR397"/>
  <c r="AS397"/>
  <c r="AT397"/>
  <c r="AU397"/>
  <c r="AV397"/>
  <c r="AW397"/>
  <c r="AX397"/>
  <c r="AY397"/>
  <c r="AZ397"/>
  <c r="BA397"/>
  <c r="BB397"/>
  <c r="BC397"/>
  <c r="BD397"/>
  <c r="BE397"/>
  <c r="BF397"/>
  <c r="BG397"/>
  <c r="BH397"/>
  <c r="BI397"/>
  <c r="BJ397"/>
  <c r="BK397"/>
  <c r="BL397"/>
  <c r="BM397"/>
  <c r="BN397"/>
  <c r="BO397"/>
  <c r="BP397"/>
  <c r="BQ397"/>
  <c r="BR397"/>
  <c r="BS397"/>
  <c r="BT397"/>
  <c r="BU397"/>
  <c r="BV397"/>
  <c r="BW397"/>
  <c r="BX397"/>
  <c r="BY397"/>
  <c r="BZ397"/>
  <c r="CA397"/>
  <c r="CB397"/>
  <c r="CC397"/>
  <c r="CD397"/>
  <c r="CE397"/>
  <c r="CF397"/>
  <c r="CG397"/>
  <c r="CH397"/>
  <c r="CI397"/>
  <c r="CJ397"/>
  <c r="CK397"/>
  <c r="CL397"/>
  <c r="CM397"/>
  <c r="CN397"/>
  <c r="CO397"/>
  <c r="CP397"/>
  <c r="CQ397"/>
  <c r="CR397"/>
  <c r="CS397"/>
  <c r="CT397"/>
  <c r="CU397"/>
  <c r="CV397"/>
  <c r="CW397"/>
  <c r="CX397"/>
  <c r="CY397"/>
  <c r="CZ397"/>
  <c r="DA397"/>
  <c r="DB397"/>
  <c r="DC397"/>
  <c r="DD397"/>
  <c r="DE397"/>
  <c r="DF397"/>
  <c r="DG397"/>
  <c r="DH397"/>
  <c r="DI397"/>
  <c r="DJ397"/>
  <c r="DK397"/>
  <c r="DL397"/>
  <c r="DM397"/>
  <c r="DN397"/>
  <c r="DO397"/>
  <c r="DP397"/>
  <c r="DQ397"/>
  <c r="DR397"/>
  <c r="DS397"/>
  <c r="DT397"/>
  <c r="DU397"/>
  <c r="DV397"/>
  <c r="DW397"/>
  <c r="DX397"/>
  <c r="DY397"/>
  <c r="DZ397"/>
  <c r="EA397"/>
  <c r="EB397"/>
  <c r="EC397"/>
  <c r="ED397"/>
  <c r="EE397"/>
  <c r="EF397"/>
  <c r="EG397"/>
  <c r="EH397"/>
  <c r="EI397"/>
  <c r="EJ397"/>
  <c r="EK397"/>
  <c r="EL397"/>
  <c r="EM397"/>
  <c r="EN397"/>
  <c r="EO397"/>
  <c r="EP397"/>
  <c r="EQ397"/>
  <c r="ER397"/>
  <c r="ES397"/>
  <c r="ET397"/>
  <c r="EU397"/>
  <c r="EV397"/>
  <c r="EW397"/>
  <c r="EX397"/>
  <c r="EY397"/>
  <c r="EZ397"/>
  <c r="FA397"/>
  <c r="FB397"/>
  <c r="FC397"/>
  <c r="FD397"/>
  <c r="FE397"/>
  <c r="FF397"/>
  <c r="FG397"/>
  <c r="FH397"/>
  <c r="FI397"/>
  <c r="FJ397"/>
  <c r="FK397"/>
  <c r="FL397"/>
  <c r="FM397"/>
  <c r="FN397"/>
  <c r="FO397"/>
  <c r="FP397"/>
  <c r="FQ397"/>
  <c r="FR397"/>
  <c r="FS397"/>
  <c r="FT397"/>
  <c r="FU397"/>
  <c r="FV397"/>
  <c r="FW397"/>
  <c r="FX397"/>
  <c r="FY397"/>
  <c r="FZ397"/>
  <c r="GA397"/>
  <c r="GB397"/>
  <c r="GC397"/>
  <c r="GD397"/>
  <c r="GE397"/>
  <c r="GF397"/>
  <c r="GG397"/>
  <c r="GH397"/>
  <c r="GI397"/>
  <c r="GJ397"/>
  <c r="GK397"/>
  <c r="GL397"/>
  <c r="GM397"/>
  <c r="GN397"/>
  <c r="GO397"/>
  <c r="GP397"/>
  <c r="GQ397"/>
  <c r="GR397"/>
  <c r="GS397"/>
  <c r="GT397"/>
  <c r="GU397"/>
  <c r="GV397"/>
  <c r="GW397"/>
  <c r="GX397"/>
  <c r="GY397"/>
  <c r="GZ397"/>
  <c r="HA397"/>
  <c r="HB397"/>
  <c r="HC397"/>
  <c r="HD397"/>
  <c r="HE397"/>
  <c r="HF397"/>
  <c r="HG397"/>
  <c r="HH397"/>
  <c r="HI397"/>
  <c r="HJ397"/>
  <c r="HK397"/>
  <c r="HL397"/>
  <c r="HM397"/>
  <c r="HN397"/>
  <c r="HO397"/>
  <c r="HP397"/>
  <c r="HQ397"/>
  <c r="HR397"/>
  <c r="HS397"/>
  <c r="HT397"/>
  <c r="HU397"/>
  <c r="HV397"/>
  <c r="HW397"/>
  <c r="HX397"/>
  <c r="HY397"/>
  <c r="HZ397"/>
  <c r="IA397"/>
  <c r="IB397"/>
  <c r="IC397"/>
  <c r="ID397"/>
  <c r="IE397"/>
  <c r="IF397"/>
  <c r="IG397"/>
  <c r="IH397"/>
  <c r="II397"/>
  <c r="IJ397"/>
  <c r="IK397"/>
  <c r="IL397"/>
  <c r="IM397"/>
  <c r="IN397"/>
  <c r="IO397"/>
  <c r="IP397"/>
  <c r="IQ397"/>
  <c r="IR397"/>
  <c r="IS397"/>
  <c r="IT397"/>
  <c r="IU397"/>
  <c r="IV397"/>
  <c r="A398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Z398"/>
  <c r="AA398"/>
  <c r="AB398"/>
  <c r="AC398"/>
  <c r="AD398"/>
  <c r="AE398"/>
  <c r="AF398"/>
  <c r="AG398"/>
  <c r="AH398"/>
  <c r="AI398"/>
  <c r="AJ398"/>
  <c r="AK398"/>
  <c r="AL398"/>
  <c r="AM398"/>
  <c r="AN398"/>
  <c r="AO398"/>
  <c r="AP398"/>
  <c r="AQ398"/>
  <c r="AR398"/>
  <c r="AS398"/>
  <c r="AT398"/>
  <c r="AU398"/>
  <c r="AV398"/>
  <c r="AW398"/>
  <c r="AX398"/>
  <c r="AY398"/>
  <c r="AZ398"/>
  <c r="BA398"/>
  <c r="BB398"/>
  <c r="BC398"/>
  <c r="BD398"/>
  <c r="BE398"/>
  <c r="BF398"/>
  <c r="BG398"/>
  <c r="BH398"/>
  <c r="BI398"/>
  <c r="BJ398"/>
  <c r="BK398"/>
  <c r="BL398"/>
  <c r="BM398"/>
  <c r="BN398"/>
  <c r="BO398"/>
  <c r="BP398"/>
  <c r="BQ398"/>
  <c r="BR398"/>
  <c r="BS398"/>
  <c r="BT398"/>
  <c r="BU398"/>
  <c r="BV398"/>
  <c r="BW398"/>
  <c r="BX398"/>
  <c r="BY398"/>
  <c r="BZ398"/>
  <c r="CA398"/>
  <c r="CB398"/>
  <c r="CC398"/>
  <c r="CD398"/>
  <c r="CE398"/>
  <c r="CF398"/>
  <c r="CG398"/>
  <c r="CH398"/>
  <c r="CI398"/>
  <c r="CJ398"/>
  <c r="CK398"/>
  <c r="CL398"/>
  <c r="CM398"/>
  <c r="CN398"/>
  <c r="CO398"/>
  <c r="CP398"/>
  <c r="CQ398"/>
  <c r="CR398"/>
  <c r="CS398"/>
  <c r="CT398"/>
  <c r="CU398"/>
  <c r="CV398"/>
  <c r="CW398"/>
  <c r="CX398"/>
  <c r="CY398"/>
  <c r="CZ398"/>
  <c r="DA398"/>
  <c r="DB398"/>
  <c r="DC398"/>
  <c r="DD398"/>
  <c r="DE398"/>
  <c r="DF398"/>
  <c r="DG398"/>
  <c r="DH398"/>
  <c r="DI398"/>
  <c r="DJ398"/>
  <c r="DK398"/>
  <c r="DL398"/>
  <c r="DM398"/>
  <c r="DN398"/>
  <c r="DO398"/>
  <c r="DP398"/>
  <c r="DQ398"/>
  <c r="DR398"/>
  <c r="DS398"/>
  <c r="DT398"/>
  <c r="DU398"/>
  <c r="DV398"/>
  <c r="DW398"/>
  <c r="DX398"/>
  <c r="DY398"/>
  <c r="DZ398"/>
  <c r="EA398"/>
  <c r="EB398"/>
  <c r="EC398"/>
  <c r="ED398"/>
  <c r="EE398"/>
  <c r="EF398"/>
  <c r="EG398"/>
  <c r="EH398"/>
  <c r="EI398"/>
  <c r="EJ398"/>
  <c r="EK398"/>
  <c r="EL398"/>
  <c r="EM398"/>
  <c r="EN398"/>
  <c r="EO398"/>
  <c r="EP398"/>
  <c r="EQ398"/>
  <c r="ER398"/>
  <c r="ES398"/>
  <c r="ET398"/>
  <c r="EU398"/>
  <c r="EV398"/>
  <c r="EW398"/>
  <c r="EX398"/>
  <c r="EY398"/>
  <c r="EZ398"/>
  <c r="FA398"/>
  <c r="FB398"/>
  <c r="FC398"/>
  <c r="FD398"/>
  <c r="FE398"/>
  <c r="FF398"/>
  <c r="FG398"/>
  <c r="FH398"/>
  <c r="FI398"/>
  <c r="FJ398"/>
  <c r="FK398"/>
  <c r="FL398"/>
  <c r="FM398"/>
  <c r="FN398"/>
  <c r="FO398"/>
  <c r="FP398"/>
  <c r="FQ398"/>
  <c r="FR398"/>
  <c r="FS398"/>
  <c r="FT398"/>
  <c r="FU398"/>
  <c r="FV398"/>
  <c r="FW398"/>
  <c r="FX398"/>
  <c r="FY398"/>
  <c r="FZ398"/>
  <c r="GA398"/>
  <c r="GB398"/>
  <c r="GC398"/>
  <c r="GD398"/>
  <c r="GE398"/>
  <c r="GF398"/>
  <c r="GG398"/>
  <c r="GH398"/>
  <c r="GI398"/>
  <c r="GJ398"/>
  <c r="GK398"/>
  <c r="GL398"/>
  <c r="GM398"/>
  <c r="GN398"/>
  <c r="GO398"/>
  <c r="GP398"/>
  <c r="GQ398"/>
  <c r="GR398"/>
  <c r="GS398"/>
  <c r="GT398"/>
  <c r="GU398"/>
  <c r="GV398"/>
  <c r="GW398"/>
  <c r="GX398"/>
  <c r="GY398"/>
  <c r="GZ398"/>
  <c r="HA398"/>
  <c r="HB398"/>
  <c r="HC398"/>
  <c r="HD398"/>
  <c r="HE398"/>
  <c r="HF398"/>
  <c r="HG398"/>
  <c r="HH398"/>
  <c r="HI398"/>
  <c r="HJ398"/>
  <c r="HK398"/>
  <c r="HL398"/>
  <c r="HM398"/>
  <c r="HN398"/>
  <c r="HO398"/>
  <c r="HP398"/>
  <c r="HQ398"/>
  <c r="HR398"/>
  <c r="HS398"/>
  <c r="HT398"/>
  <c r="HU398"/>
  <c r="HV398"/>
  <c r="HW398"/>
  <c r="HX398"/>
  <c r="HY398"/>
  <c r="HZ398"/>
  <c r="IA398"/>
  <c r="IB398"/>
  <c r="IC398"/>
  <c r="ID398"/>
  <c r="IE398"/>
  <c r="IF398"/>
  <c r="IG398"/>
  <c r="IH398"/>
  <c r="II398"/>
  <c r="IJ398"/>
  <c r="IK398"/>
  <c r="IL398"/>
  <c r="IM398"/>
  <c r="IN398"/>
  <c r="IO398"/>
  <c r="IP398"/>
  <c r="IQ398"/>
  <c r="IR398"/>
  <c r="IS398"/>
  <c r="IT398"/>
  <c r="IU398"/>
  <c r="IV398"/>
  <c r="A399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Z399"/>
  <c r="AA399"/>
  <c r="AB399"/>
  <c r="AC399"/>
  <c r="AD399"/>
  <c r="AE399"/>
  <c r="AF399"/>
  <c r="AG399"/>
  <c r="AH399"/>
  <c r="AI399"/>
  <c r="AJ399"/>
  <c r="AK399"/>
  <c r="AL399"/>
  <c r="AM399"/>
  <c r="AN399"/>
  <c r="AO399"/>
  <c r="AP399"/>
  <c r="AQ399"/>
  <c r="AR399"/>
  <c r="AS399"/>
  <c r="AT399"/>
  <c r="AU399"/>
  <c r="AV399"/>
  <c r="AW399"/>
  <c r="AX399"/>
  <c r="AY399"/>
  <c r="AZ399"/>
  <c r="BA399"/>
  <c r="BB399"/>
  <c r="BC399"/>
  <c r="BD399"/>
  <c r="BE399"/>
  <c r="BF399"/>
  <c r="BG399"/>
  <c r="BH399"/>
  <c r="BI399"/>
  <c r="BJ399"/>
  <c r="BK399"/>
  <c r="BL399"/>
  <c r="BM399"/>
  <c r="BN399"/>
  <c r="BO399"/>
  <c r="BP399"/>
  <c r="BQ399"/>
  <c r="BR399"/>
  <c r="BS399"/>
  <c r="BT399"/>
  <c r="BU399"/>
  <c r="BV399"/>
  <c r="BW399"/>
  <c r="BX399"/>
  <c r="BY399"/>
  <c r="BZ399"/>
  <c r="CA399"/>
  <c r="CB399"/>
  <c r="CC399"/>
  <c r="CD399"/>
  <c r="CE399"/>
  <c r="CF399"/>
  <c r="CG399"/>
  <c r="CH399"/>
  <c r="CI399"/>
  <c r="CJ399"/>
  <c r="CK399"/>
  <c r="CL399"/>
  <c r="CM399"/>
  <c r="CN399"/>
  <c r="CO399"/>
  <c r="CP399"/>
  <c r="CQ399"/>
  <c r="CR399"/>
  <c r="CS399"/>
  <c r="CT399"/>
  <c r="CU399"/>
  <c r="CV399"/>
  <c r="CW399"/>
  <c r="CX399"/>
  <c r="CY399"/>
  <c r="CZ399"/>
  <c r="DA399"/>
  <c r="DB399"/>
  <c r="DC399"/>
  <c r="DD399"/>
  <c r="DE399"/>
  <c r="DF399"/>
  <c r="DG399"/>
  <c r="DH399"/>
  <c r="DI399"/>
  <c r="DJ399"/>
  <c r="DK399"/>
  <c r="DL399"/>
  <c r="DM399"/>
  <c r="DN399"/>
  <c r="DO399"/>
  <c r="DP399"/>
  <c r="DQ399"/>
  <c r="DR399"/>
  <c r="DS399"/>
  <c r="DT399"/>
  <c r="DU399"/>
  <c r="DV399"/>
  <c r="DW399"/>
  <c r="DX399"/>
  <c r="DY399"/>
  <c r="DZ399"/>
  <c r="EA399"/>
  <c r="EB399"/>
  <c r="EC399"/>
  <c r="ED399"/>
  <c r="EE399"/>
  <c r="EF399"/>
  <c r="EG399"/>
  <c r="EH399"/>
  <c r="EI399"/>
  <c r="EJ399"/>
  <c r="EK399"/>
  <c r="EL399"/>
  <c r="EM399"/>
  <c r="EN399"/>
  <c r="EO399"/>
  <c r="EP399"/>
  <c r="EQ399"/>
  <c r="ER399"/>
  <c r="ES399"/>
  <c r="ET399"/>
  <c r="EU399"/>
  <c r="EV399"/>
  <c r="EW399"/>
  <c r="EX399"/>
  <c r="EY399"/>
  <c r="EZ399"/>
  <c r="FA399"/>
  <c r="FB399"/>
  <c r="FC399"/>
  <c r="FD399"/>
  <c r="FE399"/>
  <c r="FF399"/>
  <c r="FG399"/>
  <c r="FH399"/>
  <c r="FI399"/>
  <c r="FJ399"/>
  <c r="FK399"/>
  <c r="FL399"/>
  <c r="FM399"/>
  <c r="FN399"/>
  <c r="FO399"/>
  <c r="FP399"/>
  <c r="FQ399"/>
  <c r="FR399"/>
  <c r="FS399"/>
  <c r="FT399"/>
  <c r="FU399"/>
  <c r="FV399"/>
  <c r="FW399"/>
  <c r="FX399"/>
  <c r="FY399"/>
  <c r="FZ399"/>
  <c r="GA399"/>
  <c r="GB399"/>
  <c r="GC399"/>
  <c r="GD399"/>
  <c r="GE399"/>
  <c r="GF399"/>
  <c r="GG399"/>
  <c r="GH399"/>
  <c r="GI399"/>
  <c r="GJ399"/>
  <c r="GK399"/>
  <c r="GL399"/>
  <c r="GM399"/>
  <c r="GN399"/>
  <c r="GO399"/>
  <c r="GP399"/>
  <c r="GQ399"/>
  <c r="GR399"/>
  <c r="GS399"/>
  <c r="GT399"/>
  <c r="GU399"/>
  <c r="GV399"/>
  <c r="GW399"/>
  <c r="GX399"/>
  <c r="GY399"/>
  <c r="GZ399"/>
  <c r="HA399"/>
  <c r="HB399"/>
  <c r="HC399"/>
  <c r="HD399"/>
  <c r="HE399"/>
  <c r="HF399"/>
  <c r="HG399"/>
  <c r="HH399"/>
  <c r="HI399"/>
  <c r="HJ399"/>
  <c r="HK399"/>
  <c r="HL399"/>
  <c r="HM399"/>
  <c r="HN399"/>
  <c r="HO399"/>
  <c r="HP399"/>
  <c r="HQ399"/>
  <c r="HR399"/>
  <c r="HS399"/>
  <c r="HT399"/>
  <c r="HU399"/>
  <c r="HV399"/>
  <c r="HW399"/>
  <c r="HX399"/>
  <c r="HY399"/>
  <c r="HZ399"/>
  <c r="IA399"/>
  <c r="IB399"/>
  <c r="IC399"/>
  <c r="ID399"/>
  <c r="IE399"/>
  <c r="IF399"/>
  <c r="IG399"/>
  <c r="IH399"/>
  <c r="II399"/>
  <c r="IJ399"/>
  <c r="IK399"/>
  <c r="IL399"/>
  <c r="IM399"/>
  <c r="IN399"/>
  <c r="IO399"/>
  <c r="IP399"/>
  <c r="IQ399"/>
  <c r="IR399"/>
  <c r="IS399"/>
  <c r="IT399"/>
  <c r="IU399"/>
  <c r="IV399"/>
  <c r="A400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Z400"/>
  <c r="AA400"/>
  <c r="AB400"/>
  <c r="AC400"/>
  <c r="AD400"/>
  <c r="AE400"/>
  <c r="AF400"/>
  <c r="AG400"/>
  <c r="AH400"/>
  <c r="AI400"/>
  <c r="AJ400"/>
  <c r="AK400"/>
  <c r="AL400"/>
  <c r="AM400"/>
  <c r="AN400"/>
  <c r="AO400"/>
  <c r="AP400"/>
  <c r="AQ400"/>
  <c r="AR400"/>
  <c r="AS400"/>
  <c r="AT400"/>
  <c r="AU400"/>
  <c r="AV400"/>
  <c r="AW400"/>
  <c r="AX400"/>
  <c r="AY400"/>
  <c r="AZ400"/>
  <c r="BA400"/>
  <c r="BB400"/>
  <c r="BC400"/>
  <c r="BD400"/>
  <c r="BE400"/>
  <c r="BF400"/>
  <c r="BG400"/>
  <c r="BH400"/>
  <c r="BI400"/>
  <c r="BJ400"/>
  <c r="BK400"/>
  <c r="BL400"/>
  <c r="BM400"/>
  <c r="BN400"/>
  <c r="BO400"/>
  <c r="BP400"/>
  <c r="BQ400"/>
  <c r="BR400"/>
  <c r="BS400"/>
  <c r="BT400"/>
  <c r="BU400"/>
  <c r="BV400"/>
  <c r="BW400"/>
  <c r="BX400"/>
  <c r="BY400"/>
  <c r="BZ400"/>
  <c r="CA400"/>
  <c r="CB400"/>
  <c r="CC400"/>
  <c r="CD400"/>
  <c r="CE400"/>
  <c r="CF400"/>
  <c r="CG400"/>
  <c r="CH400"/>
  <c r="CI400"/>
  <c r="CJ400"/>
  <c r="CK400"/>
  <c r="CL400"/>
  <c r="CM400"/>
  <c r="CN400"/>
  <c r="CO400"/>
  <c r="CP400"/>
  <c r="CQ400"/>
  <c r="CR400"/>
  <c r="CS400"/>
  <c r="CT400"/>
  <c r="CU400"/>
  <c r="CV400"/>
  <c r="CW400"/>
  <c r="CX400"/>
  <c r="CY400"/>
  <c r="CZ400"/>
  <c r="DA400"/>
  <c r="DB400"/>
  <c r="DC400"/>
  <c r="DD400"/>
  <c r="DE400"/>
  <c r="DF400"/>
  <c r="DG400"/>
  <c r="DH400"/>
  <c r="DI400"/>
  <c r="DJ400"/>
  <c r="DK400"/>
  <c r="DL400"/>
  <c r="DM400"/>
  <c r="DN400"/>
  <c r="DO400"/>
  <c r="DP400"/>
  <c r="DQ400"/>
  <c r="DR400"/>
  <c r="DS400"/>
  <c r="DT400"/>
  <c r="DU400"/>
  <c r="DV400"/>
  <c r="DW400"/>
  <c r="DX400"/>
  <c r="DY400"/>
  <c r="DZ400"/>
  <c r="EA400"/>
  <c r="EB400"/>
  <c r="EC400"/>
  <c r="ED400"/>
  <c r="EE400"/>
  <c r="EF400"/>
  <c r="EG400"/>
  <c r="EH400"/>
  <c r="EI400"/>
  <c r="EJ400"/>
  <c r="EK400"/>
  <c r="EL400"/>
  <c r="EM400"/>
  <c r="EN400"/>
  <c r="EO400"/>
  <c r="EP400"/>
  <c r="EQ400"/>
  <c r="ER400"/>
  <c r="ES400"/>
  <c r="ET400"/>
  <c r="EU400"/>
  <c r="EV400"/>
  <c r="EW400"/>
  <c r="EX400"/>
  <c r="EY400"/>
  <c r="EZ400"/>
  <c r="FA400"/>
  <c r="FB400"/>
  <c r="FC400"/>
  <c r="FD400"/>
  <c r="FE400"/>
  <c r="FF400"/>
  <c r="FG400"/>
  <c r="FH400"/>
  <c r="FI400"/>
  <c r="FJ400"/>
  <c r="FK400"/>
  <c r="FL400"/>
  <c r="FM400"/>
  <c r="FN400"/>
  <c r="FO400"/>
  <c r="FP400"/>
  <c r="FQ400"/>
  <c r="FR400"/>
  <c r="FS400"/>
  <c r="FT400"/>
  <c r="FU400"/>
  <c r="FV400"/>
  <c r="FW400"/>
  <c r="FX400"/>
  <c r="FY400"/>
  <c r="FZ400"/>
  <c r="GA400"/>
  <c r="GB400"/>
  <c r="GC400"/>
  <c r="GD400"/>
  <c r="GE400"/>
  <c r="GF400"/>
  <c r="GG400"/>
  <c r="GH400"/>
  <c r="GI400"/>
  <c r="GJ400"/>
  <c r="GK400"/>
  <c r="GL400"/>
  <c r="GM400"/>
  <c r="GN400"/>
  <c r="GO400"/>
  <c r="GP400"/>
  <c r="GQ400"/>
  <c r="GR400"/>
  <c r="GS400"/>
  <c r="GT400"/>
  <c r="GU400"/>
  <c r="GV400"/>
  <c r="GW400"/>
  <c r="GX400"/>
  <c r="GY400"/>
  <c r="GZ400"/>
  <c r="HA400"/>
  <c r="HB400"/>
  <c r="HC400"/>
  <c r="HD400"/>
  <c r="HE400"/>
  <c r="HF400"/>
  <c r="HG400"/>
  <c r="HH400"/>
  <c r="HI400"/>
  <c r="HJ400"/>
  <c r="HK400"/>
  <c r="HL400"/>
  <c r="HM400"/>
  <c r="HN400"/>
  <c r="HO400"/>
  <c r="HP400"/>
  <c r="HQ400"/>
  <c r="HR400"/>
  <c r="HS400"/>
  <c r="HT400"/>
  <c r="HU400"/>
  <c r="HV400"/>
  <c r="HW400"/>
  <c r="HX400"/>
  <c r="HY400"/>
  <c r="HZ400"/>
  <c r="IA400"/>
  <c r="IB400"/>
  <c r="IC400"/>
  <c r="ID400"/>
  <c r="IE400"/>
  <c r="IF400"/>
  <c r="IG400"/>
  <c r="IH400"/>
  <c r="II400"/>
  <c r="IJ400"/>
  <c r="IK400"/>
  <c r="IL400"/>
  <c r="IM400"/>
  <c r="IN400"/>
  <c r="IO400"/>
  <c r="IP400"/>
  <c r="IQ400"/>
  <c r="IR400"/>
  <c r="IS400"/>
  <c r="IT400"/>
  <c r="IU400"/>
  <c r="IV400"/>
  <c r="A401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Z401"/>
  <c r="AA401"/>
  <c r="AB401"/>
  <c r="AC401"/>
  <c r="AD401"/>
  <c r="AE401"/>
  <c r="AF401"/>
  <c r="AG401"/>
  <c r="AH401"/>
  <c r="AI401"/>
  <c r="AJ401"/>
  <c r="AK401"/>
  <c r="AL401"/>
  <c r="AM401"/>
  <c r="AN401"/>
  <c r="AO401"/>
  <c r="AP401"/>
  <c r="AQ401"/>
  <c r="AR401"/>
  <c r="AS401"/>
  <c r="AT401"/>
  <c r="AU401"/>
  <c r="AV401"/>
  <c r="AW401"/>
  <c r="AX401"/>
  <c r="AY401"/>
  <c r="AZ401"/>
  <c r="BA401"/>
  <c r="BB401"/>
  <c r="BC401"/>
  <c r="BD401"/>
  <c r="BE401"/>
  <c r="BF401"/>
  <c r="BG401"/>
  <c r="BH401"/>
  <c r="BI401"/>
  <c r="BJ401"/>
  <c r="BK401"/>
  <c r="BL401"/>
  <c r="BM401"/>
  <c r="BN401"/>
  <c r="BO401"/>
  <c r="BP401"/>
  <c r="BQ401"/>
  <c r="BR401"/>
  <c r="BS401"/>
  <c r="BT401"/>
  <c r="BU401"/>
  <c r="BV401"/>
  <c r="BW401"/>
  <c r="BX401"/>
  <c r="BY401"/>
  <c r="BZ401"/>
  <c r="CA401"/>
  <c r="CB401"/>
  <c r="CC401"/>
  <c r="CD401"/>
  <c r="CE401"/>
  <c r="CF401"/>
  <c r="CG401"/>
  <c r="CH401"/>
  <c r="CI401"/>
  <c r="CJ401"/>
  <c r="CK401"/>
  <c r="CL401"/>
  <c r="CM401"/>
  <c r="CN401"/>
  <c r="CO401"/>
  <c r="CP401"/>
  <c r="CQ401"/>
  <c r="CR401"/>
  <c r="CS401"/>
  <c r="CT401"/>
  <c r="CU401"/>
  <c r="CV401"/>
  <c r="CW401"/>
  <c r="CX401"/>
  <c r="CY401"/>
  <c r="CZ401"/>
  <c r="DA401"/>
  <c r="DB401"/>
  <c r="DC401"/>
  <c r="DD401"/>
  <c r="DE401"/>
  <c r="DF401"/>
  <c r="DG401"/>
  <c r="DH401"/>
  <c r="DI401"/>
  <c r="DJ401"/>
  <c r="DK401"/>
  <c r="DL401"/>
  <c r="DM401"/>
  <c r="DN401"/>
  <c r="DO401"/>
  <c r="DP401"/>
  <c r="DQ401"/>
  <c r="DR401"/>
  <c r="DS401"/>
  <c r="DT401"/>
  <c r="DU401"/>
  <c r="DV401"/>
  <c r="DW401"/>
  <c r="DX401"/>
  <c r="DY401"/>
  <c r="DZ401"/>
  <c r="EA401"/>
  <c r="EB401"/>
  <c r="EC401"/>
  <c r="ED401"/>
  <c r="EE401"/>
  <c r="EF401"/>
  <c r="EG401"/>
  <c r="EH401"/>
  <c r="EI401"/>
  <c r="EJ401"/>
  <c r="EK401"/>
  <c r="EL401"/>
  <c r="EM401"/>
  <c r="EN401"/>
  <c r="EO401"/>
  <c r="EP401"/>
  <c r="EQ401"/>
  <c r="ER401"/>
  <c r="ES401"/>
  <c r="ET401"/>
  <c r="EU401"/>
  <c r="EV401"/>
  <c r="EW401"/>
  <c r="EX401"/>
  <c r="EY401"/>
  <c r="EZ401"/>
  <c r="FA401"/>
  <c r="FB401"/>
  <c r="FC401"/>
  <c r="FD401"/>
  <c r="FE401"/>
  <c r="FF401"/>
  <c r="FG401"/>
  <c r="FH401"/>
  <c r="FI401"/>
  <c r="FJ401"/>
  <c r="FK401"/>
  <c r="FL401"/>
  <c r="FM401"/>
  <c r="FN401"/>
  <c r="FO401"/>
  <c r="FP401"/>
  <c r="FQ401"/>
  <c r="FR401"/>
  <c r="FS401"/>
  <c r="FT401"/>
  <c r="FU401"/>
  <c r="FV401"/>
  <c r="FW401"/>
  <c r="FX401"/>
  <c r="FY401"/>
  <c r="FZ401"/>
  <c r="GA401"/>
  <c r="GB401"/>
  <c r="GC401"/>
  <c r="GD401"/>
  <c r="GE401"/>
  <c r="GF401"/>
  <c r="GG401"/>
  <c r="GH401"/>
  <c r="GI401"/>
  <c r="GJ401"/>
  <c r="GK401"/>
  <c r="GL401"/>
  <c r="GM401"/>
  <c r="GN401"/>
  <c r="GO401"/>
  <c r="GP401"/>
  <c r="GQ401"/>
  <c r="GR401"/>
  <c r="GS401"/>
  <c r="GT401"/>
  <c r="GU401"/>
  <c r="GV401"/>
  <c r="GW401"/>
  <c r="GX401"/>
  <c r="GY401"/>
  <c r="GZ401"/>
  <c r="HA401"/>
  <c r="HB401"/>
  <c r="HC401"/>
  <c r="HD401"/>
  <c r="HE401"/>
  <c r="HF401"/>
  <c r="HG401"/>
  <c r="HH401"/>
  <c r="HI401"/>
  <c r="HJ401"/>
  <c r="HK401"/>
  <c r="HL401"/>
  <c r="HM401"/>
  <c r="HN401"/>
  <c r="HO401"/>
  <c r="HP401"/>
  <c r="HQ401"/>
  <c r="HR401"/>
  <c r="HS401"/>
  <c r="HT401"/>
  <c r="HU401"/>
  <c r="HV401"/>
  <c r="HW401"/>
  <c r="HX401"/>
  <c r="HY401"/>
  <c r="HZ401"/>
  <c r="IA401"/>
  <c r="IB401"/>
  <c r="IC401"/>
  <c r="ID401"/>
  <c r="IE401"/>
  <c r="IF401"/>
  <c r="IG401"/>
  <c r="IH401"/>
  <c r="II401"/>
  <c r="IJ401"/>
  <c r="IK401"/>
  <c r="IL401"/>
  <c r="IM401"/>
  <c r="IN401"/>
  <c r="IO401"/>
  <c r="IP401"/>
  <c r="IQ401"/>
  <c r="IR401"/>
  <c r="IS401"/>
  <c r="IT401"/>
  <c r="IU401"/>
  <c r="IV401"/>
  <c r="A402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Z402"/>
  <c r="AA402"/>
  <c r="AB402"/>
  <c r="AC402"/>
  <c r="AD402"/>
  <c r="AE402"/>
  <c r="AF402"/>
  <c r="AG402"/>
  <c r="AH402"/>
  <c r="AI402"/>
  <c r="AJ402"/>
  <c r="AK402"/>
  <c r="AL402"/>
  <c r="AM402"/>
  <c r="AN402"/>
  <c r="AO402"/>
  <c r="AP402"/>
  <c r="AQ402"/>
  <c r="AR402"/>
  <c r="AS402"/>
  <c r="AT402"/>
  <c r="AU402"/>
  <c r="AV402"/>
  <c r="AW402"/>
  <c r="AX402"/>
  <c r="AY402"/>
  <c r="AZ402"/>
  <c r="BA402"/>
  <c r="BB402"/>
  <c r="BC402"/>
  <c r="BD402"/>
  <c r="BE402"/>
  <c r="BF402"/>
  <c r="BG402"/>
  <c r="BH402"/>
  <c r="BI402"/>
  <c r="BJ402"/>
  <c r="BK402"/>
  <c r="BL402"/>
  <c r="BM402"/>
  <c r="BN402"/>
  <c r="BO402"/>
  <c r="BP402"/>
  <c r="BQ402"/>
  <c r="BR402"/>
  <c r="BS402"/>
  <c r="BT402"/>
  <c r="BU402"/>
  <c r="BV402"/>
  <c r="BW402"/>
  <c r="BX402"/>
  <c r="BY402"/>
  <c r="BZ402"/>
  <c r="CA402"/>
  <c r="CB402"/>
  <c r="CC402"/>
  <c r="CD402"/>
  <c r="CE402"/>
  <c r="CF402"/>
  <c r="CG402"/>
  <c r="CH402"/>
  <c r="CI402"/>
  <c r="CJ402"/>
  <c r="CK402"/>
  <c r="CL402"/>
  <c r="CM402"/>
  <c r="CN402"/>
  <c r="CO402"/>
  <c r="CP402"/>
  <c r="CQ402"/>
  <c r="CR402"/>
  <c r="CS402"/>
  <c r="CT402"/>
  <c r="CU402"/>
  <c r="CV402"/>
  <c r="CW402"/>
  <c r="CX402"/>
  <c r="CY402"/>
  <c r="CZ402"/>
  <c r="DA402"/>
  <c r="DB402"/>
  <c r="DC402"/>
  <c r="DD402"/>
  <c r="DE402"/>
  <c r="DF402"/>
  <c r="DG402"/>
  <c r="DH402"/>
  <c r="DI402"/>
  <c r="DJ402"/>
  <c r="DK402"/>
  <c r="DL402"/>
  <c r="DM402"/>
  <c r="DN402"/>
  <c r="DO402"/>
  <c r="DP402"/>
  <c r="DQ402"/>
  <c r="DR402"/>
  <c r="DS402"/>
  <c r="DT402"/>
  <c r="DU402"/>
  <c r="DV402"/>
  <c r="DW402"/>
  <c r="DX402"/>
  <c r="DY402"/>
  <c r="DZ402"/>
  <c r="EA402"/>
  <c r="EB402"/>
  <c r="EC402"/>
  <c r="ED402"/>
  <c r="EE402"/>
  <c r="EF402"/>
  <c r="EG402"/>
  <c r="EH402"/>
  <c r="EI402"/>
  <c r="EJ402"/>
  <c r="EK402"/>
  <c r="EL402"/>
  <c r="EM402"/>
  <c r="EN402"/>
  <c r="EO402"/>
  <c r="EP402"/>
  <c r="EQ402"/>
  <c r="ER402"/>
  <c r="ES402"/>
  <c r="ET402"/>
  <c r="EU402"/>
  <c r="EV402"/>
  <c r="EW402"/>
  <c r="EX402"/>
  <c r="EY402"/>
  <c r="EZ402"/>
  <c r="FA402"/>
  <c r="FB402"/>
  <c r="FC402"/>
  <c r="FD402"/>
  <c r="FE402"/>
  <c r="FF402"/>
  <c r="FG402"/>
  <c r="FH402"/>
  <c r="FI402"/>
  <c r="FJ402"/>
  <c r="FK402"/>
  <c r="FL402"/>
  <c r="FM402"/>
  <c r="FN402"/>
  <c r="FO402"/>
  <c r="FP402"/>
  <c r="FQ402"/>
  <c r="FR402"/>
  <c r="FS402"/>
  <c r="FT402"/>
  <c r="FU402"/>
  <c r="FV402"/>
  <c r="FW402"/>
  <c r="FX402"/>
  <c r="FY402"/>
  <c r="FZ402"/>
  <c r="GA402"/>
  <c r="GB402"/>
  <c r="GC402"/>
  <c r="GD402"/>
  <c r="GE402"/>
  <c r="GF402"/>
  <c r="GG402"/>
  <c r="GH402"/>
  <c r="GI402"/>
  <c r="GJ402"/>
  <c r="GK402"/>
  <c r="GL402"/>
  <c r="GM402"/>
  <c r="GN402"/>
  <c r="GO402"/>
  <c r="GP402"/>
  <c r="GQ402"/>
  <c r="GR402"/>
  <c r="GS402"/>
  <c r="GT402"/>
  <c r="GU402"/>
  <c r="GV402"/>
  <c r="GW402"/>
  <c r="GX402"/>
  <c r="GY402"/>
  <c r="GZ402"/>
  <c r="HA402"/>
  <c r="HB402"/>
  <c r="HC402"/>
  <c r="HD402"/>
  <c r="HE402"/>
  <c r="HF402"/>
  <c r="HG402"/>
  <c r="HH402"/>
  <c r="HI402"/>
  <c r="HJ402"/>
  <c r="HK402"/>
  <c r="HL402"/>
  <c r="HM402"/>
  <c r="HN402"/>
  <c r="HO402"/>
  <c r="HP402"/>
  <c r="HQ402"/>
  <c r="HR402"/>
  <c r="HS402"/>
  <c r="HT402"/>
  <c r="HU402"/>
  <c r="HV402"/>
  <c r="HW402"/>
  <c r="HX402"/>
  <c r="HY402"/>
  <c r="HZ402"/>
  <c r="IA402"/>
  <c r="IB402"/>
  <c r="IC402"/>
  <c r="ID402"/>
  <c r="IE402"/>
  <c r="IF402"/>
  <c r="IG402"/>
  <c r="IH402"/>
  <c r="II402"/>
  <c r="IJ402"/>
  <c r="IK402"/>
  <c r="IL402"/>
  <c r="IM402"/>
  <c r="IN402"/>
  <c r="IO402"/>
  <c r="IP402"/>
  <c r="IQ402"/>
  <c r="IR402"/>
  <c r="IS402"/>
  <c r="IT402"/>
  <c r="IU402"/>
  <c r="IV402"/>
  <c r="A403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Z403"/>
  <c r="AA403"/>
  <c r="AB403"/>
  <c r="AC403"/>
  <c r="AD403"/>
  <c r="AE403"/>
  <c r="AF403"/>
  <c r="AG403"/>
  <c r="AH403"/>
  <c r="AI403"/>
  <c r="AJ403"/>
  <c r="AK403"/>
  <c r="AL403"/>
  <c r="AM403"/>
  <c r="AN403"/>
  <c r="AO403"/>
  <c r="AP403"/>
  <c r="AQ403"/>
  <c r="AR403"/>
  <c r="AS403"/>
  <c r="AT403"/>
  <c r="AU403"/>
  <c r="AV403"/>
  <c r="AW403"/>
  <c r="AX403"/>
  <c r="AY403"/>
  <c r="AZ403"/>
  <c r="BA403"/>
  <c r="BB403"/>
  <c r="BC403"/>
  <c r="BD403"/>
  <c r="BE403"/>
  <c r="BF403"/>
  <c r="BG403"/>
  <c r="BH403"/>
  <c r="BI403"/>
  <c r="BJ403"/>
  <c r="BK403"/>
  <c r="BL403"/>
  <c r="BM403"/>
  <c r="BN403"/>
  <c r="BO403"/>
  <c r="BP403"/>
  <c r="BQ403"/>
  <c r="BR403"/>
  <c r="BS403"/>
  <c r="BT403"/>
  <c r="BU403"/>
  <c r="BV403"/>
  <c r="BW403"/>
  <c r="BX403"/>
  <c r="BY403"/>
  <c r="BZ403"/>
  <c r="CA403"/>
  <c r="CB403"/>
  <c r="CC403"/>
  <c r="CD403"/>
  <c r="CE403"/>
  <c r="CF403"/>
  <c r="CG403"/>
  <c r="CH403"/>
  <c r="CI403"/>
  <c r="CJ403"/>
  <c r="CK403"/>
  <c r="CL403"/>
  <c r="CM403"/>
  <c r="CN403"/>
  <c r="CO403"/>
  <c r="CP403"/>
  <c r="CQ403"/>
  <c r="CR403"/>
  <c r="CS403"/>
  <c r="CT403"/>
  <c r="CU403"/>
  <c r="CV403"/>
  <c r="CW403"/>
  <c r="CX403"/>
  <c r="CY403"/>
  <c r="CZ403"/>
  <c r="DA403"/>
  <c r="DB403"/>
  <c r="DC403"/>
  <c r="DD403"/>
  <c r="DE403"/>
  <c r="DF403"/>
  <c r="DG403"/>
  <c r="DH403"/>
  <c r="DI403"/>
  <c r="DJ403"/>
  <c r="DK403"/>
  <c r="DL403"/>
  <c r="DM403"/>
  <c r="DN403"/>
  <c r="DO403"/>
  <c r="DP403"/>
  <c r="DQ403"/>
  <c r="DR403"/>
  <c r="DS403"/>
  <c r="DT403"/>
  <c r="DU403"/>
  <c r="DV403"/>
  <c r="DW403"/>
  <c r="DX403"/>
  <c r="DY403"/>
  <c r="DZ403"/>
  <c r="EA403"/>
  <c r="EB403"/>
  <c r="EC403"/>
  <c r="ED403"/>
  <c r="EE403"/>
  <c r="EF403"/>
  <c r="EG403"/>
  <c r="EH403"/>
  <c r="EI403"/>
  <c r="EJ403"/>
  <c r="EK403"/>
  <c r="EL403"/>
  <c r="EM403"/>
  <c r="EN403"/>
  <c r="EO403"/>
  <c r="EP403"/>
  <c r="EQ403"/>
  <c r="ER403"/>
  <c r="ES403"/>
  <c r="ET403"/>
  <c r="EU403"/>
  <c r="EV403"/>
  <c r="EW403"/>
  <c r="EX403"/>
  <c r="EY403"/>
  <c r="EZ403"/>
  <c r="FA403"/>
  <c r="FB403"/>
  <c r="FC403"/>
  <c r="FD403"/>
  <c r="FE403"/>
  <c r="FF403"/>
  <c r="FG403"/>
  <c r="FH403"/>
  <c r="FI403"/>
  <c r="FJ403"/>
  <c r="FK403"/>
  <c r="FL403"/>
  <c r="FM403"/>
  <c r="FN403"/>
  <c r="FO403"/>
  <c r="FP403"/>
  <c r="FQ403"/>
  <c r="FR403"/>
  <c r="FS403"/>
  <c r="FT403"/>
  <c r="FU403"/>
  <c r="FV403"/>
  <c r="FW403"/>
  <c r="FX403"/>
  <c r="FY403"/>
  <c r="FZ403"/>
  <c r="GA403"/>
  <c r="GB403"/>
  <c r="GC403"/>
  <c r="GD403"/>
  <c r="GE403"/>
  <c r="GF403"/>
  <c r="GG403"/>
  <c r="GH403"/>
  <c r="GI403"/>
  <c r="GJ403"/>
  <c r="GK403"/>
  <c r="GL403"/>
  <c r="GM403"/>
  <c r="GN403"/>
  <c r="GO403"/>
  <c r="GP403"/>
  <c r="GQ403"/>
  <c r="GR403"/>
  <c r="GS403"/>
  <c r="GT403"/>
  <c r="GU403"/>
  <c r="GV403"/>
  <c r="GW403"/>
  <c r="GX403"/>
  <c r="GY403"/>
  <c r="GZ403"/>
  <c r="HA403"/>
  <c r="HB403"/>
  <c r="HC403"/>
  <c r="HD403"/>
  <c r="HE403"/>
  <c r="HF403"/>
  <c r="HG403"/>
  <c r="HH403"/>
  <c r="HI403"/>
  <c r="HJ403"/>
  <c r="HK403"/>
  <c r="HL403"/>
  <c r="HM403"/>
  <c r="HN403"/>
  <c r="HO403"/>
  <c r="HP403"/>
  <c r="HQ403"/>
  <c r="HR403"/>
  <c r="HS403"/>
  <c r="HT403"/>
  <c r="HU403"/>
  <c r="HV403"/>
  <c r="HW403"/>
  <c r="HX403"/>
  <c r="HY403"/>
  <c r="HZ403"/>
  <c r="IA403"/>
  <c r="IB403"/>
  <c r="IC403"/>
  <c r="ID403"/>
  <c r="IE403"/>
  <c r="IF403"/>
  <c r="IG403"/>
  <c r="IH403"/>
  <c r="II403"/>
  <c r="IJ403"/>
  <c r="IK403"/>
  <c r="IL403"/>
  <c r="IM403"/>
  <c r="IN403"/>
  <c r="IO403"/>
  <c r="IP403"/>
  <c r="IQ403"/>
  <c r="IR403"/>
  <c r="IS403"/>
  <c r="IT403"/>
  <c r="IU403"/>
  <c r="IV403"/>
  <c r="A404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Z404"/>
  <c r="AA404"/>
  <c r="AB404"/>
  <c r="AC404"/>
  <c r="AD404"/>
  <c r="AE404"/>
  <c r="AF404"/>
  <c r="AG404"/>
  <c r="AH404"/>
  <c r="AI404"/>
  <c r="AJ404"/>
  <c r="AK404"/>
  <c r="AL404"/>
  <c r="AM404"/>
  <c r="AN404"/>
  <c r="AO404"/>
  <c r="AP404"/>
  <c r="AQ404"/>
  <c r="AR404"/>
  <c r="AS404"/>
  <c r="AT404"/>
  <c r="AU404"/>
  <c r="AV404"/>
  <c r="AW404"/>
  <c r="AX404"/>
  <c r="AY404"/>
  <c r="AZ404"/>
  <c r="BA404"/>
  <c r="BB404"/>
  <c r="BC404"/>
  <c r="BD404"/>
  <c r="BE404"/>
  <c r="BF404"/>
  <c r="BG404"/>
  <c r="BH404"/>
  <c r="BI404"/>
  <c r="BJ404"/>
  <c r="BK404"/>
  <c r="BL404"/>
  <c r="BM404"/>
  <c r="BN404"/>
  <c r="BO404"/>
  <c r="BP404"/>
  <c r="BQ404"/>
  <c r="BR404"/>
  <c r="BS404"/>
  <c r="BT404"/>
  <c r="BU404"/>
  <c r="BV404"/>
  <c r="BW404"/>
  <c r="BX404"/>
  <c r="BY404"/>
  <c r="BZ404"/>
  <c r="CA404"/>
  <c r="CB404"/>
  <c r="CC404"/>
  <c r="CD404"/>
  <c r="CE404"/>
  <c r="CF404"/>
  <c r="CG404"/>
  <c r="CH404"/>
  <c r="CI404"/>
  <c r="CJ404"/>
  <c r="CK404"/>
  <c r="CL404"/>
  <c r="CM404"/>
  <c r="CN404"/>
  <c r="CO404"/>
  <c r="CP404"/>
  <c r="CQ404"/>
  <c r="CR404"/>
  <c r="CS404"/>
  <c r="CT404"/>
  <c r="CU404"/>
  <c r="CV404"/>
  <c r="CW404"/>
  <c r="CX404"/>
  <c r="CY404"/>
  <c r="CZ404"/>
  <c r="DA404"/>
  <c r="DB404"/>
  <c r="DC404"/>
  <c r="DD404"/>
  <c r="DE404"/>
  <c r="DF404"/>
  <c r="DG404"/>
  <c r="DH404"/>
  <c r="DI404"/>
  <c r="DJ404"/>
  <c r="DK404"/>
  <c r="DL404"/>
  <c r="DM404"/>
  <c r="DN404"/>
  <c r="DO404"/>
  <c r="DP404"/>
  <c r="DQ404"/>
  <c r="DR404"/>
  <c r="DS404"/>
  <c r="DT404"/>
  <c r="DU404"/>
  <c r="DV404"/>
  <c r="DW404"/>
  <c r="DX404"/>
  <c r="DY404"/>
  <c r="DZ404"/>
  <c r="EA404"/>
  <c r="EB404"/>
  <c r="EC404"/>
  <c r="ED404"/>
  <c r="EE404"/>
  <c r="EF404"/>
  <c r="EG404"/>
  <c r="EH404"/>
  <c r="EI404"/>
  <c r="EJ404"/>
  <c r="EK404"/>
  <c r="EL404"/>
  <c r="EM404"/>
  <c r="EN404"/>
  <c r="EO404"/>
  <c r="EP404"/>
  <c r="EQ404"/>
  <c r="ER404"/>
  <c r="ES404"/>
  <c r="ET404"/>
  <c r="EU404"/>
  <c r="EV404"/>
  <c r="EW404"/>
  <c r="EX404"/>
  <c r="EY404"/>
  <c r="EZ404"/>
  <c r="FA404"/>
  <c r="FB404"/>
  <c r="FC404"/>
  <c r="FD404"/>
  <c r="FE404"/>
  <c r="FF404"/>
  <c r="FG404"/>
  <c r="FH404"/>
  <c r="FI404"/>
  <c r="FJ404"/>
  <c r="FK404"/>
  <c r="FL404"/>
  <c r="FM404"/>
  <c r="FN404"/>
  <c r="FO404"/>
  <c r="FP404"/>
  <c r="FQ404"/>
  <c r="FR404"/>
  <c r="FS404"/>
  <c r="FT404"/>
  <c r="FU404"/>
  <c r="FV404"/>
  <c r="FW404"/>
  <c r="FX404"/>
  <c r="FY404"/>
  <c r="FZ404"/>
  <c r="GA404"/>
  <c r="GB404"/>
  <c r="GC404"/>
  <c r="GD404"/>
  <c r="GE404"/>
  <c r="GF404"/>
  <c r="GG404"/>
  <c r="GH404"/>
  <c r="GI404"/>
  <c r="GJ404"/>
  <c r="GK404"/>
  <c r="GL404"/>
  <c r="GM404"/>
  <c r="GN404"/>
  <c r="GO404"/>
  <c r="GP404"/>
  <c r="GQ404"/>
  <c r="GR404"/>
  <c r="GS404"/>
  <c r="GT404"/>
  <c r="GU404"/>
  <c r="GV404"/>
  <c r="GW404"/>
  <c r="GX404"/>
  <c r="GY404"/>
  <c r="GZ404"/>
  <c r="HA404"/>
  <c r="HB404"/>
  <c r="HC404"/>
  <c r="HD404"/>
  <c r="HE404"/>
  <c r="HF404"/>
  <c r="HG404"/>
  <c r="HH404"/>
  <c r="HI404"/>
  <c r="HJ404"/>
  <c r="HK404"/>
  <c r="HL404"/>
  <c r="HM404"/>
  <c r="HN404"/>
  <c r="HO404"/>
  <c r="HP404"/>
  <c r="HQ404"/>
  <c r="HR404"/>
  <c r="HS404"/>
  <c r="HT404"/>
  <c r="HU404"/>
  <c r="HV404"/>
  <c r="HW404"/>
  <c r="HX404"/>
  <c r="HY404"/>
  <c r="HZ404"/>
  <c r="IA404"/>
  <c r="IB404"/>
  <c r="IC404"/>
  <c r="ID404"/>
  <c r="IE404"/>
  <c r="IF404"/>
  <c r="IG404"/>
  <c r="IH404"/>
  <c r="II404"/>
  <c r="IJ404"/>
  <c r="IK404"/>
  <c r="IL404"/>
  <c r="IM404"/>
  <c r="IN404"/>
  <c r="IO404"/>
  <c r="IP404"/>
  <c r="IQ404"/>
  <c r="IR404"/>
  <c r="IS404"/>
  <c r="IT404"/>
  <c r="IU404"/>
  <c r="IV404"/>
  <c r="A405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Z405"/>
  <c r="AA405"/>
  <c r="AB405"/>
  <c r="AC405"/>
  <c r="AD405"/>
  <c r="AE405"/>
  <c r="AF405"/>
  <c r="AG405"/>
  <c r="AH405"/>
  <c r="AI405"/>
  <c r="AJ405"/>
  <c r="AK405"/>
  <c r="AL405"/>
  <c r="AM405"/>
  <c r="AN405"/>
  <c r="AO405"/>
  <c r="AP405"/>
  <c r="AQ405"/>
  <c r="AR405"/>
  <c r="AS405"/>
  <c r="AT405"/>
  <c r="AU405"/>
  <c r="AV405"/>
  <c r="AW405"/>
  <c r="AX405"/>
  <c r="AY405"/>
  <c r="AZ405"/>
  <c r="BA405"/>
  <c r="BB405"/>
  <c r="BC405"/>
  <c r="BD405"/>
  <c r="BE405"/>
  <c r="BF405"/>
  <c r="BG405"/>
  <c r="BH405"/>
  <c r="BI405"/>
  <c r="BJ405"/>
  <c r="BK405"/>
  <c r="BL405"/>
  <c r="BM405"/>
  <c r="BN405"/>
  <c r="BO405"/>
  <c r="BP405"/>
  <c r="BQ405"/>
  <c r="BR405"/>
  <c r="BS405"/>
  <c r="BT405"/>
  <c r="BU405"/>
  <c r="BV405"/>
  <c r="BW405"/>
  <c r="BX405"/>
  <c r="BY405"/>
  <c r="BZ405"/>
  <c r="CA405"/>
  <c r="CB405"/>
  <c r="CC405"/>
  <c r="CD405"/>
  <c r="CE405"/>
  <c r="CF405"/>
  <c r="CG405"/>
  <c r="CH405"/>
  <c r="CI405"/>
  <c r="CJ405"/>
  <c r="CK405"/>
  <c r="CL405"/>
  <c r="CM405"/>
  <c r="CN405"/>
  <c r="CO405"/>
  <c r="CP405"/>
  <c r="CQ405"/>
  <c r="CR405"/>
  <c r="CS405"/>
  <c r="CT405"/>
  <c r="CU405"/>
  <c r="CV405"/>
  <c r="CW405"/>
  <c r="CX405"/>
  <c r="CY405"/>
  <c r="CZ405"/>
  <c r="DA405"/>
  <c r="DB405"/>
  <c r="DC405"/>
  <c r="DD405"/>
  <c r="DE405"/>
  <c r="DF405"/>
  <c r="DG405"/>
  <c r="DH405"/>
  <c r="DI405"/>
  <c r="DJ405"/>
  <c r="DK405"/>
  <c r="DL405"/>
  <c r="DM405"/>
  <c r="DN405"/>
  <c r="DO405"/>
  <c r="DP405"/>
  <c r="DQ405"/>
  <c r="DR405"/>
  <c r="DS405"/>
  <c r="DT405"/>
  <c r="DU405"/>
  <c r="DV405"/>
  <c r="DW405"/>
  <c r="DX405"/>
  <c r="DY405"/>
  <c r="DZ405"/>
  <c r="EA405"/>
  <c r="EB405"/>
  <c r="EC405"/>
  <c r="ED405"/>
  <c r="EE405"/>
  <c r="EF405"/>
  <c r="EG405"/>
  <c r="EH405"/>
  <c r="EI405"/>
  <c r="EJ405"/>
  <c r="EK405"/>
  <c r="EL405"/>
  <c r="EM405"/>
  <c r="EN405"/>
  <c r="EO405"/>
  <c r="EP405"/>
  <c r="EQ405"/>
  <c r="ER405"/>
  <c r="ES405"/>
  <c r="ET405"/>
  <c r="EU405"/>
  <c r="EV405"/>
  <c r="EW405"/>
  <c r="EX405"/>
  <c r="EY405"/>
  <c r="EZ405"/>
  <c r="FA405"/>
  <c r="FB405"/>
  <c r="FC405"/>
  <c r="FD405"/>
  <c r="FE405"/>
  <c r="FF405"/>
  <c r="FG405"/>
  <c r="FH405"/>
  <c r="FI405"/>
  <c r="FJ405"/>
  <c r="FK405"/>
  <c r="FL405"/>
  <c r="FM405"/>
  <c r="FN405"/>
  <c r="FO405"/>
  <c r="FP405"/>
  <c r="FQ405"/>
  <c r="FR405"/>
  <c r="FS405"/>
  <c r="FT405"/>
  <c r="FU405"/>
  <c r="FV405"/>
  <c r="FW405"/>
  <c r="FX405"/>
  <c r="FY405"/>
  <c r="FZ405"/>
  <c r="GA405"/>
  <c r="GB405"/>
  <c r="GC405"/>
  <c r="GD405"/>
  <c r="GE405"/>
  <c r="GF405"/>
  <c r="GG405"/>
  <c r="GH405"/>
  <c r="GI405"/>
  <c r="GJ405"/>
  <c r="GK405"/>
  <c r="GL405"/>
  <c r="GM405"/>
  <c r="GN405"/>
  <c r="GO405"/>
  <c r="GP405"/>
  <c r="GQ405"/>
  <c r="GR405"/>
  <c r="GS405"/>
  <c r="GT405"/>
  <c r="GU405"/>
  <c r="GV405"/>
  <c r="GW405"/>
  <c r="GX405"/>
  <c r="GY405"/>
  <c r="GZ405"/>
  <c r="HA405"/>
  <c r="HB405"/>
  <c r="HC405"/>
  <c r="HD405"/>
  <c r="HE405"/>
  <c r="HF405"/>
  <c r="HG405"/>
  <c r="HH405"/>
  <c r="HI405"/>
  <c r="HJ405"/>
  <c r="HK405"/>
  <c r="HL405"/>
  <c r="HM405"/>
  <c r="HN405"/>
  <c r="HO405"/>
  <c r="HP405"/>
  <c r="HQ405"/>
  <c r="HR405"/>
  <c r="HS405"/>
  <c r="HT405"/>
  <c r="HU405"/>
  <c r="HV405"/>
  <c r="HW405"/>
  <c r="HX405"/>
  <c r="HY405"/>
  <c r="HZ405"/>
  <c r="IA405"/>
  <c r="IB405"/>
  <c r="IC405"/>
  <c r="ID405"/>
  <c r="IE405"/>
  <c r="IF405"/>
  <c r="IG405"/>
  <c r="IH405"/>
  <c r="II405"/>
  <c r="IJ405"/>
  <c r="IK405"/>
  <c r="IL405"/>
  <c r="IM405"/>
  <c r="IN405"/>
  <c r="IO405"/>
  <c r="IP405"/>
  <c r="IQ405"/>
  <c r="IR405"/>
  <c r="IS405"/>
  <c r="IT405"/>
  <c r="IU405"/>
  <c r="IV405"/>
  <c r="A406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Z406"/>
  <c r="AA406"/>
  <c r="AB406"/>
  <c r="AC406"/>
  <c r="AD406"/>
  <c r="AE406"/>
  <c r="AF406"/>
  <c r="AG406"/>
  <c r="AH406"/>
  <c r="AI406"/>
  <c r="AJ406"/>
  <c r="AK406"/>
  <c r="AL406"/>
  <c r="AM406"/>
  <c r="AN406"/>
  <c r="AO406"/>
  <c r="AP406"/>
  <c r="AQ406"/>
  <c r="AR406"/>
  <c r="AS406"/>
  <c r="AT406"/>
  <c r="AU406"/>
  <c r="AV406"/>
  <c r="AW406"/>
  <c r="AX406"/>
  <c r="AY406"/>
  <c r="AZ406"/>
  <c r="BA406"/>
  <c r="BB406"/>
  <c r="BC406"/>
  <c r="BD406"/>
  <c r="BE406"/>
  <c r="BF406"/>
  <c r="BG406"/>
  <c r="BH406"/>
  <c r="BI406"/>
  <c r="BJ406"/>
  <c r="BK406"/>
  <c r="BL406"/>
  <c r="BM406"/>
  <c r="BN406"/>
  <c r="BO406"/>
  <c r="BP406"/>
  <c r="BQ406"/>
  <c r="BR406"/>
  <c r="BS406"/>
  <c r="BT406"/>
  <c r="BU406"/>
  <c r="BV406"/>
  <c r="BW406"/>
  <c r="BX406"/>
  <c r="BY406"/>
  <c r="BZ406"/>
  <c r="CA406"/>
  <c r="CB406"/>
  <c r="CC406"/>
  <c r="CD406"/>
  <c r="CE406"/>
  <c r="CF406"/>
  <c r="CG406"/>
  <c r="CH406"/>
  <c r="CI406"/>
  <c r="CJ406"/>
  <c r="CK406"/>
  <c r="CL406"/>
  <c r="CM406"/>
  <c r="CN406"/>
  <c r="CO406"/>
  <c r="CP406"/>
  <c r="CQ406"/>
  <c r="CR406"/>
  <c r="CS406"/>
  <c r="CT406"/>
  <c r="CU406"/>
  <c r="CV406"/>
  <c r="CW406"/>
  <c r="CX406"/>
  <c r="CY406"/>
  <c r="CZ406"/>
  <c r="DA406"/>
  <c r="DB406"/>
  <c r="DC406"/>
  <c r="DD406"/>
  <c r="DE406"/>
  <c r="DF406"/>
  <c r="DG406"/>
  <c r="DH406"/>
  <c r="DI406"/>
  <c r="DJ406"/>
  <c r="DK406"/>
  <c r="DL406"/>
  <c r="DM406"/>
  <c r="DN406"/>
  <c r="DO406"/>
  <c r="DP406"/>
  <c r="DQ406"/>
  <c r="DR406"/>
  <c r="DS406"/>
  <c r="DT406"/>
  <c r="DU406"/>
  <c r="DV406"/>
  <c r="DW406"/>
  <c r="DX406"/>
  <c r="DY406"/>
  <c r="DZ406"/>
  <c r="EA406"/>
  <c r="EB406"/>
  <c r="EC406"/>
  <c r="ED406"/>
  <c r="EE406"/>
  <c r="EF406"/>
  <c r="EG406"/>
  <c r="EH406"/>
  <c r="EI406"/>
  <c r="EJ406"/>
  <c r="EK406"/>
  <c r="EL406"/>
  <c r="EM406"/>
  <c r="EN406"/>
  <c r="EO406"/>
  <c r="EP406"/>
  <c r="EQ406"/>
  <c r="ER406"/>
  <c r="ES406"/>
  <c r="ET406"/>
  <c r="EU406"/>
  <c r="EV406"/>
  <c r="EW406"/>
  <c r="EX406"/>
  <c r="EY406"/>
  <c r="EZ406"/>
  <c r="FA406"/>
  <c r="FB406"/>
  <c r="FC406"/>
  <c r="FD406"/>
  <c r="FE406"/>
  <c r="FF406"/>
  <c r="FG406"/>
  <c r="FH406"/>
  <c r="FI406"/>
  <c r="FJ406"/>
  <c r="FK406"/>
  <c r="FL406"/>
  <c r="FM406"/>
  <c r="FN406"/>
  <c r="FO406"/>
  <c r="FP406"/>
  <c r="FQ406"/>
  <c r="FR406"/>
  <c r="FS406"/>
  <c r="FT406"/>
  <c r="FU406"/>
  <c r="FV406"/>
  <c r="FW406"/>
  <c r="FX406"/>
  <c r="FY406"/>
  <c r="FZ406"/>
  <c r="GA406"/>
  <c r="GB406"/>
  <c r="GC406"/>
  <c r="GD406"/>
  <c r="GE406"/>
  <c r="GF406"/>
  <c r="GG406"/>
  <c r="GH406"/>
  <c r="GI406"/>
  <c r="GJ406"/>
  <c r="GK406"/>
  <c r="GL406"/>
  <c r="GM406"/>
  <c r="GN406"/>
  <c r="GO406"/>
  <c r="GP406"/>
  <c r="GQ406"/>
  <c r="GR406"/>
  <c r="GS406"/>
  <c r="GT406"/>
  <c r="GU406"/>
  <c r="GV406"/>
  <c r="GW406"/>
  <c r="GX406"/>
  <c r="GY406"/>
  <c r="GZ406"/>
  <c r="HA406"/>
  <c r="HB406"/>
  <c r="HC406"/>
  <c r="HD406"/>
  <c r="HE406"/>
  <c r="HF406"/>
  <c r="HG406"/>
  <c r="HH406"/>
  <c r="HI406"/>
  <c r="HJ406"/>
  <c r="HK406"/>
  <c r="HL406"/>
  <c r="HM406"/>
  <c r="HN406"/>
  <c r="HO406"/>
  <c r="HP406"/>
  <c r="HQ406"/>
  <c r="HR406"/>
  <c r="HS406"/>
  <c r="HT406"/>
  <c r="HU406"/>
  <c r="HV406"/>
  <c r="HW406"/>
  <c r="HX406"/>
  <c r="HY406"/>
  <c r="HZ406"/>
  <c r="IA406"/>
  <c r="IB406"/>
  <c r="IC406"/>
  <c r="ID406"/>
  <c r="IE406"/>
  <c r="IF406"/>
  <c r="IG406"/>
  <c r="IH406"/>
  <c r="II406"/>
  <c r="IJ406"/>
  <c r="IK406"/>
  <c r="IL406"/>
  <c r="IM406"/>
  <c r="IN406"/>
  <c r="IO406"/>
  <c r="IP406"/>
  <c r="IQ406"/>
  <c r="IR406"/>
  <c r="IS406"/>
  <c r="IT406"/>
  <c r="IU406"/>
  <c r="IV406"/>
  <c r="A407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Z407"/>
  <c r="AA407"/>
  <c r="AB407"/>
  <c r="AC407"/>
  <c r="AD407"/>
  <c r="AE407"/>
  <c r="AF407"/>
  <c r="AG407"/>
  <c r="AH407"/>
  <c r="AI407"/>
  <c r="AJ407"/>
  <c r="AK407"/>
  <c r="AL407"/>
  <c r="AM407"/>
  <c r="AN407"/>
  <c r="AO407"/>
  <c r="AP407"/>
  <c r="AQ407"/>
  <c r="AR407"/>
  <c r="AS407"/>
  <c r="AT407"/>
  <c r="AU407"/>
  <c r="AV407"/>
  <c r="AW407"/>
  <c r="AX407"/>
  <c r="AY407"/>
  <c r="AZ407"/>
  <c r="BA407"/>
  <c r="BB407"/>
  <c r="BC407"/>
  <c r="BD407"/>
  <c r="BE407"/>
  <c r="BF407"/>
  <c r="BG407"/>
  <c r="BH407"/>
  <c r="BI407"/>
  <c r="BJ407"/>
  <c r="BK407"/>
  <c r="BL407"/>
  <c r="BM407"/>
  <c r="BN407"/>
  <c r="BO407"/>
  <c r="BP407"/>
  <c r="BQ407"/>
  <c r="BR407"/>
  <c r="BS407"/>
  <c r="BT407"/>
  <c r="BU407"/>
  <c r="BV407"/>
  <c r="BW407"/>
  <c r="BX407"/>
  <c r="BY407"/>
  <c r="BZ407"/>
  <c r="CA407"/>
  <c r="CB407"/>
  <c r="CC407"/>
  <c r="CD407"/>
  <c r="CE407"/>
  <c r="CF407"/>
  <c r="CG407"/>
  <c r="CH407"/>
  <c r="CI407"/>
  <c r="CJ407"/>
  <c r="CK407"/>
  <c r="CL407"/>
  <c r="CM407"/>
  <c r="CN407"/>
  <c r="CO407"/>
  <c r="CP407"/>
  <c r="CQ407"/>
  <c r="CR407"/>
  <c r="CS407"/>
  <c r="CT407"/>
  <c r="CU407"/>
  <c r="CV407"/>
  <c r="CW407"/>
  <c r="CX407"/>
  <c r="CY407"/>
  <c r="CZ407"/>
  <c r="DA407"/>
  <c r="DB407"/>
  <c r="DC407"/>
  <c r="DD407"/>
  <c r="DE407"/>
  <c r="DF407"/>
  <c r="DG407"/>
  <c r="DH407"/>
  <c r="DI407"/>
  <c r="DJ407"/>
  <c r="DK407"/>
  <c r="DL407"/>
  <c r="DM407"/>
  <c r="DN407"/>
  <c r="DO407"/>
  <c r="DP407"/>
  <c r="DQ407"/>
  <c r="DR407"/>
  <c r="DS407"/>
  <c r="DT407"/>
  <c r="DU407"/>
  <c r="DV407"/>
  <c r="DW407"/>
  <c r="DX407"/>
  <c r="DY407"/>
  <c r="DZ407"/>
  <c r="EA407"/>
  <c r="EB407"/>
  <c r="EC407"/>
  <c r="ED407"/>
  <c r="EE407"/>
  <c r="EF407"/>
  <c r="EG407"/>
  <c r="EH407"/>
  <c r="EI407"/>
  <c r="EJ407"/>
  <c r="EK407"/>
  <c r="EL407"/>
  <c r="EM407"/>
  <c r="EN407"/>
  <c r="EO407"/>
  <c r="EP407"/>
  <c r="EQ407"/>
  <c r="ER407"/>
  <c r="ES407"/>
  <c r="ET407"/>
  <c r="EU407"/>
  <c r="EV407"/>
  <c r="EW407"/>
  <c r="EX407"/>
  <c r="EY407"/>
  <c r="EZ407"/>
  <c r="FA407"/>
  <c r="FB407"/>
  <c r="FC407"/>
  <c r="FD407"/>
  <c r="FE407"/>
  <c r="FF407"/>
  <c r="FG407"/>
  <c r="FH407"/>
  <c r="FI407"/>
  <c r="FJ407"/>
  <c r="FK407"/>
  <c r="FL407"/>
  <c r="FM407"/>
  <c r="FN407"/>
  <c r="FO407"/>
  <c r="FP407"/>
  <c r="FQ407"/>
  <c r="FR407"/>
  <c r="FS407"/>
  <c r="FT407"/>
  <c r="FU407"/>
  <c r="FV407"/>
  <c r="FW407"/>
  <c r="FX407"/>
  <c r="FY407"/>
  <c r="FZ407"/>
  <c r="GA407"/>
  <c r="GB407"/>
  <c r="GC407"/>
  <c r="GD407"/>
  <c r="GE407"/>
  <c r="GF407"/>
  <c r="GG407"/>
  <c r="GH407"/>
  <c r="GI407"/>
  <c r="GJ407"/>
  <c r="GK407"/>
  <c r="GL407"/>
  <c r="GM407"/>
  <c r="GN407"/>
  <c r="GO407"/>
  <c r="GP407"/>
  <c r="GQ407"/>
  <c r="GR407"/>
  <c r="GS407"/>
  <c r="GT407"/>
  <c r="GU407"/>
  <c r="GV407"/>
  <c r="GW407"/>
  <c r="GX407"/>
  <c r="GY407"/>
  <c r="GZ407"/>
  <c r="HA407"/>
  <c r="HB407"/>
  <c r="HC407"/>
  <c r="HD407"/>
  <c r="HE407"/>
  <c r="HF407"/>
  <c r="HG407"/>
  <c r="HH407"/>
  <c r="HI407"/>
  <c r="HJ407"/>
  <c r="HK407"/>
  <c r="HL407"/>
  <c r="HM407"/>
  <c r="HN407"/>
  <c r="HO407"/>
  <c r="HP407"/>
  <c r="HQ407"/>
  <c r="HR407"/>
  <c r="HS407"/>
  <c r="HT407"/>
  <c r="HU407"/>
  <c r="HV407"/>
  <c r="HW407"/>
  <c r="HX407"/>
  <c r="HY407"/>
  <c r="HZ407"/>
  <c r="IA407"/>
  <c r="IB407"/>
  <c r="IC407"/>
  <c r="ID407"/>
  <c r="IE407"/>
  <c r="IF407"/>
  <c r="IG407"/>
  <c r="IH407"/>
  <c r="II407"/>
  <c r="IJ407"/>
  <c r="IK407"/>
  <c r="IL407"/>
  <c r="IM407"/>
  <c r="IN407"/>
  <c r="IO407"/>
  <c r="IP407"/>
  <c r="IQ407"/>
  <c r="IR407"/>
  <c r="IS407"/>
  <c r="IT407"/>
  <c r="IU407"/>
  <c r="IV407"/>
  <c r="A408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Z408"/>
  <c r="AA408"/>
  <c r="AB408"/>
  <c r="AC408"/>
  <c r="AD408"/>
  <c r="AE408"/>
  <c r="AF408"/>
  <c r="AG408"/>
  <c r="AH408"/>
  <c r="AI408"/>
  <c r="AJ408"/>
  <c r="AK408"/>
  <c r="AL408"/>
  <c r="AM408"/>
  <c r="AN408"/>
  <c r="AO408"/>
  <c r="AP408"/>
  <c r="AQ408"/>
  <c r="AR408"/>
  <c r="AS408"/>
  <c r="AT408"/>
  <c r="AU408"/>
  <c r="AV408"/>
  <c r="AW408"/>
  <c r="AX408"/>
  <c r="AY408"/>
  <c r="AZ408"/>
  <c r="BA408"/>
  <c r="BB408"/>
  <c r="BC408"/>
  <c r="BD408"/>
  <c r="BE408"/>
  <c r="BF408"/>
  <c r="BG408"/>
  <c r="BH408"/>
  <c r="BI408"/>
  <c r="BJ408"/>
  <c r="BK408"/>
  <c r="BL408"/>
  <c r="BM408"/>
  <c r="BN408"/>
  <c r="BO408"/>
  <c r="BP408"/>
  <c r="BQ408"/>
  <c r="BR408"/>
  <c r="BS408"/>
  <c r="BT408"/>
  <c r="BU408"/>
  <c r="BV408"/>
  <c r="BW408"/>
  <c r="BX408"/>
  <c r="BY408"/>
  <c r="BZ408"/>
  <c r="CA408"/>
  <c r="CB408"/>
  <c r="CC408"/>
  <c r="CD408"/>
  <c r="CE408"/>
  <c r="CF408"/>
  <c r="CG408"/>
  <c r="CH408"/>
  <c r="CI408"/>
  <c r="CJ408"/>
  <c r="CK408"/>
  <c r="CL408"/>
  <c r="CM408"/>
  <c r="CN408"/>
  <c r="CO408"/>
  <c r="CP408"/>
  <c r="CQ408"/>
  <c r="CR408"/>
  <c r="CS408"/>
  <c r="CT408"/>
  <c r="CU408"/>
  <c r="CV408"/>
  <c r="CW408"/>
  <c r="CX408"/>
  <c r="CY408"/>
  <c r="CZ408"/>
  <c r="DA408"/>
  <c r="DB408"/>
  <c r="DC408"/>
  <c r="DD408"/>
  <c r="DE408"/>
  <c r="DF408"/>
  <c r="DG408"/>
  <c r="DH408"/>
  <c r="DI408"/>
  <c r="DJ408"/>
  <c r="DK408"/>
  <c r="DL408"/>
  <c r="DM408"/>
  <c r="DN408"/>
  <c r="DO408"/>
  <c r="DP408"/>
  <c r="DQ408"/>
  <c r="DR408"/>
  <c r="DS408"/>
  <c r="DT408"/>
  <c r="DU408"/>
  <c r="DV408"/>
  <c r="DW408"/>
  <c r="DX408"/>
  <c r="DY408"/>
  <c r="DZ408"/>
  <c r="EA408"/>
  <c r="EB408"/>
  <c r="EC408"/>
  <c r="ED408"/>
  <c r="EE408"/>
  <c r="EF408"/>
  <c r="EG408"/>
  <c r="EH408"/>
  <c r="EI408"/>
  <c r="EJ408"/>
  <c r="EK408"/>
  <c r="EL408"/>
  <c r="EM408"/>
  <c r="EN408"/>
  <c r="EO408"/>
  <c r="EP408"/>
  <c r="EQ408"/>
  <c r="ER408"/>
  <c r="ES408"/>
  <c r="ET408"/>
  <c r="EU408"/>
  <c r="EV408"/>
  <c r="EW408"/>
  <c r="EX408"/>
  <c r="EY408"/>
  <c r="EZ408"/>
  <c r="FA408"/>
  <c r="FB408"/>
  <c r="FC408"/>
  <c r="FD408"/>
  <c r="FE408"/>
  <c r="FF408"/>
  <c r="FG408"/>
  <c r="FH408"/>
  <c r="FI408"/>
  <c r="FJ408"/>
  <c r="FK408"/>
  <c r="FL408"/>
  <c r="FM408"/>
  <c r="FN408"/>
  <c r="FO408"/>
  <c r="FP408"/>
  <c r="FQ408"/>
  <c r="FR408"/>
  <c r="FS408"/>
  <c r="FT408"/>
  <c r="FU408"/>
  <c r="FV408"/>
  <c r="FW408"/>
  <c r="FX408"/>
  <c r="FY408"/>
  <c r="FZ408"/>
  <c r="GA408"/>
  <c r="GB408"/>
  <c r="GC408"/>
  <c r="GD408"/>
  <c r="GE408"/>
  <c r="GF408"/>
  <c r="GG408"/>
  <c r="GH408"/>
  <c r="GI408"/>
  <c r="GJ408"/>
  <c r="GK408"/>
  <c r="GL408"/>
  <c r="GM408"/>
  <c r="GN408"/>
  <c r="GO408"/>
  <c r="GP408"/>
  <c r="GQ408"/>
  <c r="GR408"/>
  <c r="GS408"/>
  <c r="GT408"/>
  <c r="GU408"/>
  <c r="GV408"/>
  <c r="GW408"/>
  <c r="GX408"/>
  <c r="GY408"/>
  <c r="GZ408"/>
  <c r="HA408"/>
  <c r="HB408"/>
  <c r="HC408"/>
  <c r="HD408"/>
  <c r="HE408"/>
  <c r="HF408"/>
  <c r="HG408"/>
  <c r="HH408"/>
  <c r="HI408"/>
  <c r="HJ408"/>
  <c r="HK408"/>
  <c r="HL408"/>
  <c r="HM408"/>
  <c r="HN408"/>
  <c r="HO408"/>
  <c r="HP408"/>
  <c r="HQ408"/>
  <c r="HR408"/>
  <c r="HS408"/>
  <c r="HT408"/>
  <c r="HU408"/>
  <c r="HV408"/>
  <c r="HW408"/>
  <c r="HX408"/>
  <c r="HY408"/>
  <c r="HZ408"/>
  <c r="IA408"/>
  <c r="IB408"/>
  <c r="IC408"/>
  <c r="ID408"/>
  <c r="IE408"/>
  <c r="IF408"/>
  <c r="IG408"/>
  <c r="IH408"/>
  <c r="II408"/>
  <c r="IJ408"/>
  <c r="IK408"/>
  <c r="IL408"/>
  <c r="IM408"/>
  <c r="IN408"/>
  <c r="IO408"/>
  <c r="IP408"/>
  <c r="IQ408"/>
  <c r="IR408"/>
  <c r="IS408"/>
  <c r="IT408"/>
  <c r="IU408"/>
  <c r="IV408"/>
  <c r="A409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Z409"/>
  <c r="AA409"/>
  <c r="AB409"/>
  <c r="AC409"/>
  <c r="AD409"/>
  <c r="AE409"/>
  <c r="AF409"/>
  <c r="AG409"/>
  <c r="AH409"/>
  <c r="AI409"/>
  <c r="AJ409"/>
  <c r="AK409"/>
  <c r="AL409"/>
  <c r="AM409"/>
  <c r="AN409"/>
  <c r="AO409"/>
  <c r="AP409"/>
  <c r="AQ409"/>
  <c r="AR409"/>
  <c r="AS409"/>
  <c r="AT409"/>
  <c r="AU409"/>
  <c r="AV409"/>
  <c r="AW409"/>
  <c r="AX409"/>
  <c r="AY409"/>
  <c r="AZ409"/>
  <c r="BA409"/>
  <c r="BB409"/>
  <c r="BC409"/>
  <c r="BD409"/>
  <c r="BE409"/>
  <c r="BF409"/>
  <c r="BG409"/>
  <c r="BH409"/>
  <c r="BI409"/>
  <c r="BJ409"/>
  <c r="BK409"/>
  <c r="BL409"/>
  <c r="BM409"/>
  <c r="BN409"/>
  <c r="BO409"/>
  <c r="BP409"/>
  <c r="BQ409"/>
  <c r="BR409"/>
  <c r="BS409"/>
  <c r="BT409"/>
  <c r="BU409"/>
  <c r="BV409"/>
  <c r="BW409"/>
  <c r="BX409"/>
  <c r="BY409"/>
  <c r="BZ409"/>
  <c r="CA409"/>
  <c r="CB409"/>
  <c r="CC409"/>
  <c r="CD409"/>
  <c r="CE409"/>
  <c r="CF409"/>
  <c r="CG409"/>
  <c r="CH409"/>
  <c r="CI409"/>
  <c r="CJ409"/>
  <c r="CK409"/>
  <c r="CL409"/>
  <c r="CM409"/>
  <c r="CN409"/>
  <c r="CO409"/>
  <c r="CP409"/>
  <c r="CQ409"/>
  <c r="CR409"/>
  <c r="CS409"/>
  <c r="CT409"/>
  <c r="CU409"/>
  <c r="CV409"/>
  <c r="CW409"/>
  <c r="CX409"/>
  <c r="CY409"/>
  <c r="CZ409"/>
  <c r="DA409"/>
  <c r="DB409"/>
  <c r="DC409"/>
  <c r="DD409"/>
  <c r="DE409"/>
  <c r="DF409"/>
  <c r="DG409"/>
  <c r="DH409"/>
  <c r="DI409"/>
  <c r="DJ409"/>
  <c r="DK409"/>
  <c r="DL409"/>
  <c r="DM409"/>
  <c r="DN409"/>
  <c r="DO409"/>
  <c r="DP409"/>
  <c r="DQ409"/>
  <c r="DR409"/>
  <c r="DS409"/>
  <c r="DT409"/>
  <c r="DU409"/>
  <c r="DV409"/>
  <c r="DW409"/>
  <c r="DX409"/>
  <c r="DY409"/>
  <c r="DZ409"/>
  <c r="EA409"/>
  <c r="EB409"/>
  <c r="EC409"/>
  <c r="ED409"/>
  <c r="EE409"/>
  <c r="EF409"/>
  <c r="EG409"/>
  <c r="EH409"/>
  <c r="EI409"/>
  <c r="EJ409"/>
  <c r="EK409"/>
  <c r="EL409"/>
  <c r="EM409"/>
  <c r="EN409"/>
  <c r="EO409"/>
  <c r="EP409"/>
  <c r="EQ409"/>
  <c r="ER409"/>
  <c r="ES409"/>
  <c r="ET409"/>
  <c r="EU409"/>
  <c r="EV409"/>
  <c r="EW409"/>
  <c r="EX409"/>
  <c r="EY409"/>
  <c r="EZ409"/>
  <c r="FA409"/>
  <c r="FB409"/>
  <c r="FC409"/>
  <c r="FD409"/>
  <c r="FE409"/>
  <c r="FF409"/>
  <c r="FG409"/>
  <c r="FH409"/>
  <c r="FI409"/>
  <c r="FJ409"/>
  <c r="FK409"/>
  <c r="FL409"/>
  <c r="FM409"/>
  <c r="FN409"/>
  <c r="FO409"/>
  <c r="FP409"/>
  <c r="FQ409"/>
  <c r="FR409"/>
  <c r="FS409"/>
  <c r="FT409"/>
  <c r="FU409"/>
  <c r="FV409"/>
  <c r="FW409"/>
  <c r="FX409"/>
  <c r="FY409"/>
  <c r="FZ409"/>
  <c r="GA409"/>
  <c r="GB409"/>
  <c r="GC409"/>
  <c r="GD409"/>
  <c r="GE409"/>
  <c r="GF409"/>
  <c r="GG409"/>
  <c r="GH409"/>
  <c r="GI409"/>
  <c r="GJ409"/>
  <c r="GK409"/>
  <c r="GL409"/>
  <c r="GM409"/>
  <c r="GN409"/>
  <c r="GO409"/>
  <c r="GP409"/>
  <c r="GQ409"/>
  <c r="GR409"/>
  <c r="GS409"/>
  <c r="GT409"/>
  <c r="GU409"/>
  <c r="GV409"/>
  <c r="GW409"/>
  <c r="GX409"/>
  <c r="GY409"/>
  <c r="GZ409"/>
  <c r="HA409"/>
  <c r="HB409"/>
  <c r="HC409"/>
  <c r="HD409"/>
  <c r="HE409"/>
  <c r="HF409"/>
  <c r="HG409"/>
  <c r="HH409"/>
  <c r="HI409"/>
  <c r="HJ409"/>
  <c r="HK409"/>
  <c r="HL409"/>
  <c r="HM409"/>
  <c r="HN409"/>
  <c r="HO409"/>
  <c r="HP409"/>
  <c r="HQ409"/>
  <c r="HR409"/>
  <c r="HS409"/>
  <c r="HT409"/>
  <c r="HU409"/>
  <c r="HV409"/>
  <c r="HW409"/>
  <c r="HX409"/>
  <c r="HY409"/>
  <c r="HZ409"/>
  <c r="IA409"/>
  <c r="IB409"/>
  <c r="IC409"/>
  <c r="ID409"/>
  <c r="IE409"/>
  <c r="IF409"/>
  <c r="IG409"/>
  <c r="IH409"/>
  <c r="II409"/>
  <c r="IJ409"/>
  <c r="IK409"/>
  <c r="IL409"/>
  <c r="IM409"/>
  <c r="IN409"/>
  <c r="IO409"/>
  <c r="IP409"/>
  <c r="IQ409"/>
  <c r="IR409"/>
  <c r="IS409"/>
  <c r="IT409"/>
  <c r="IU409"/>
  <c r="IV409"/>
  <c r="A410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Z410"/>
  <c r="AA410"/>
  <c r="AB410"/>
  <c r="AC410"/>
  <c r="AD410"/>
  <c r="AE410"/>
  <c r="AF410"/>
  <c r="AG410"/>
  <c r="AH410"/>
  <c r="AI410"/>
  <c r="AJ410"/>
  <c r="AK410"/>
  <c r="AL410"/>
  <c r="AM410"/>
  <c r="AN410"/>
  <c r="AO410"/>
  <c r="AP410"/>
  <c r="AQ410"/>
  <c r="AR410"/>
  <c r="AS410"/>
  <c r="AT410"/>
  <c r="AU410"/>
  <c r="AV410"/>
  <c r="AW410"/>
  <c r="AX410"/>
  <c r="AY410"/>
  <c r="AZ410"/>
  <c r="BA410"/>
  <c r="BB410"/>
  <c r="BC410"/>
  <c r="BD410"/>
  <c r="BE410"/>
  <c r="BF410"/>
  <c r="BG410"/>
  <c r="BH410"/>
  <c r="BI410"/>
  <c r="BJ410"/>
  <c r="BK410"/>
  <c r="BL410"/>
  <c r="BM410"/>
  <c r="BN410"/>
  <c r="BO410"/>
  <c r="BP410"/>
  <c r="BQ410"/>
  <c r="BR410"/>
  <c r="BS410"/>
  <c r="BT410"/>
  <c r="BU410"/>
  <c r="BV410"/>
  <c r="BW410"/>
  <c r="BX410"/>
  <c r="BY410"/>
  <c r="BZ410"/>
  <c r="CA410"/>
  <c r="CB410"/>
  <c r="CC410"/>
  <c r="CD410"/>
  <c r="CE410"/>
  <c r="CF410"/>
  <c r="CG410"/>
  <c r="CH410"/>
  <c r="CI410"/>
  <c r="CJ410"/>
  <c r="CK410"/>
  <c r="CL410"/>
  <c r="CM410"/>
  <c r="CN410"/>
  <c r="CO410"/>
  <c r="CP410"/>
  <c r="CQ410"/>
  <c r="CR410"/>
  <c r="CS410"/>
  <c r="CT410"/>
  <c r="CU410"/>
  <c r="CV410"/>
  <c r="CW410"/>
  <c r="CX410"/>
  <c r="CY410"/>
  <c r="CZ410"/>
  <c r="DA410"/>
  <c r="DB410"/>
  <c r="DC410"/>
  <c r="DD410"/>
  <c r="DE410"/>
  <c r="DF410"/>
  <c r="DG410"/>
  <c r="DH410"/>
  <c r="DI410"/>
  <c r="DJ410"/>
  <c r="DK410"/>
  <c r="DL410"/>
  <c r="DM410"/>
  <c r="DN410"/>
  <c r="DO410"/>
  <c r="DP410"/>
  <c r="DQ410"/>
  <c r="DR410"/>
  <c r="DS410"/>
  <c r="DT410"/>
  <c r="DU410"/>
  <c r="DV410"/>
  <c r="DW410"/>
  <c r="DX410"/>
  <c r="DY410"/>
  <c r="DZ410"/>
  <c r="EA410"/>
  <c r="EB410"/>
  <c r="EC410"/>
  <c r="ED410"/>
  <c r="EE410"/>
  <c r="EF410"/>
  <c r="EG410"/>
  <c r="EH410"/>
  <c r="EI410"/>
  <c r="EJ410"/>
  <c r="EK410"/>
  <c r="EL410"/>
  <c r="EM410"/>
  <c r="EN410"/>
  <c r="EO410"/>
  <c r="EP410"/>
  <c r="EQ410"/>
  <c r="ER410"/>
  <c r="ES410"/>
  <c r="ET410"/>
  <c r="EU410"/>
  <c r="EV410"/>
  <c r="EW410"/>
  <c r="EX410"/>
  <c r="EY410"/>
  <c r="EZ410"/>
  <c r="FA410"/>
  <c r="FB410"/>
  <c r="FC410"/>
  <c r="FD410"/>
  <c r="FE410"/>
  <c r="FF410"/>
  <c r="FG410"/>
  <c r="FH410"/>
  <c r="FI410"/>
  <c r="FJ410"/>
  <c r="FK410"/>
  <c r="FL410"/>
  <c r="FM410"/>
  <c r="FN410"/>
  <c r="FO410"/>
  <c r="FP410"/>
  <c r="FQ410"/>
  <c r="FR410"/>
  <c r="FS410"/>
  <c r="FT410"/>
  <c r="FU410"/>
  <c r="FV410"/>
  <c r="FW410"/>
  <c r="FX410"/>
  <c r="FY410"/>
  <c r="FZ410"/>
  <c r="GA410"/>
  <c r="GB410"/>
  <c r="GC410"/>
  <c r="GD410"/>
  <c r="GE410"/>
  <c r="GF410"/>
  <c r="GG410"/>
  <c r="GH410"/>
  <c r="GI410"/>
  <c r="GJ410"/>
  <c r="GK410"/>
  <c r="GL410"/>
  <c r="GM410"/>
  <c r="GN410"/>
  <c r="GO410"/>
  <c r="GP410"/>
  <c r="GQ410"/>
  <c r="GR410"/>
  <c r="GS410"/>
  <c r="GT410"/>
  <c r="GU410"/>
  <c r="GV410"/>
  <c r="GW410"/>
  <c r="GX410"/>
  <c r="GY410"/>
  <c r="GZ410"/>
  <c r="HA410"/>
  <c r="HB410"/>
  <c r="HC410"/>
  <c r="HD410"/>
  <c r="HE410"/>
  <c r="HF410"/>
  <c r="HG410"/>
  <c r="HH410"/>
  <c r="HI410"/>
  <c r="HJ410"/>
  <c r="HK410"/>
  <c r="HL410"/>
  <c r="HM410"/>
  <c r="HN410"/>
  <c r="HO410"/>
  <c r="HP410"/>
  <c r="HQ410"/>
  <c r="HR410"/>
  <c r="HS410"/>
  <c r="HT410"/>
  <c r="HU410"/>
  <c r="HV410"/>
  <c r="HW410"/>
  <c r="HX410"/>
  <c r="HY410"/>
  <c r="HZ410"/>
  <c r="IA410"/>
  <c r="IB410"/>
  <c r="IC410"/>
  <c r="ID410"/>
  <c r="IE410"/>
  <c r="IF410"/>
  <c r="IG410"/>
  <c r="IH410"/>
  <c r="II410"/>
  <c r="IJ410"/>
  <c r="IK410"/>
  <c r="IL410"/>
  <c r="IM410"/>
  <c r="IN410"/>
  <c r="IO410"/>
  <c r="IP410"/>
  <c r="IQ410"/>
  <c r="IR410"/>
  <c r="IS410"/>
  <c r="IT410"/>
  <c r="IU410"/>
  <c r="IV410"/>
  <c r="A411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Z411"/>
  <c r="AA411"/>
  <c r="AB411"/>
  <c r="AC411"/>
  <c r="AD411"/>
  <c r="AE411"/>
  <c r="AF411"/>
  <c r="AG411"/>
  <c r="AH411"/>
  <c r="AI411"/>
  <c r="AJ411"/>
  <c r="AK411"/>
  <c r="AL411"/>
  <c r="AM411"/>
  <c r="AN411"/>
  <c r="AO411"/>
  <c r="AP411"/>
  <c r="AQ411"/>
  <c r="AR411"/>
  <c r="AS411"/>
  <c r="AT411"/>
  <c r="AU411"/>
  <c r="AV411"/>
  <c r="AW411"/>
  <c r="AX411"/>
  <c r="AY411"/>
  <c r="AZ411"/>
  <c r="BA411"/>
  <c r="BB411"/>
  <c r="BC411"/>
  <c r="BD411"/>
  <c r="BE411"/>
  <c r="BF411"/>
  <c r="BG411"/>
  <c r="BH411"/>
  <c r="BI411"/>
  <c r="BJ411"/>
  <c r="BK411"/>
  <c r="BL411"/>
  <c r="BM411"/>
  <c r="BN411"/>
  <c r="BO411"/>
  <c r="BP411"/>
  <c r="BQ411"/>
  <c r="BR411"/>
  <c r="BS411"/>
  <c r="BT411"/>
  <c r="BU411"/>
  <c r="BV411"/>
  <c r="BW411"/>
  <c r="BX411"/>
  <c r="BY411"/>
  <c r="BZ411"/>
  <c r="CA411"/>
  <c r="CB411"/>
  <c r="CC411"/>
  <c r="CD411"/>
  <c r="CE411"/>
  <c r="CF411"/>
  <c r="CG411"/>
  <c r="CH411"/>
  <c r="CI411"/>
  <c r="CJ411"/>
  <c r="CK411"/>
  <c r="CL411"/>
  <c r="CM411"/>
  <c r="CN411"/>
  <c r="CO411"/>
  <c r="CP411"/>
  <c r="CQ411"/>
  <c r="CR411"/>
  <c r="CS411"/>
  <c r="CT411"/>
  <c r="CU411"/>
  <c r="CV411"/>
  <c r="CW411"/>
  <c r="CX411"/>
  <c r="CY411"/>
  <c r="CZ411"/>
  <c r="DA411"/>
  <c r="DB411"/>
  <c r="DC411"/>
  <c r="DD411"/>
  <c r="DE411"/>
  <c r="DF411"/>
  <c r="DG411"/>
  <c r="DH411"/>
  <c r="DI411"/>
  <c r="DJ411"/>
  <c r="DK411"/>
  <c r="DL411"/>
  <c r="DM411"/>
  <c r="DN411"/>
  <c r="DO411"/>
  <c r="DP411"/>
  <c r="DQ411"/>
  <c r="DR411"/>
  <c r="DS411"/>
  <c r="DT411"/>
  <c r="DU411"/>
  <c r="DV411"/>
  <c r="DW411"/>
  <c r="DX411"/>
  <c r="DY411"/>
  <c r="DZ411"/>
  <c r="EA411"/>
  <c r="EB411"/>
  <c r="EC411"/>
  <c r="ED411"/>
  <c r="EE411"/>
  <c r="EF411"/>
  <c r="EG411"/>
  <c r="EH411"/>
  <c r="EI411"/>
  <c r="EJ411"/>
  <c r="EK411"/>
  <c r="EL411"/>
  <c r="EM411"/>
  <c r="EN411"/>
  <c r="EO411"/>
  <c r="EP411"/>
  <c r="EQ411"/>
  <c r="ER411"/>
  <c r="ES411"/>
  <c r="ET411"/>
  <c r="EU411"/>
  <c r="EV411"/>
  <c r="EW411"/>
  <c r="EX411"/>
  <c r="EY411"/>
  <c r="EZ411"/>
  <c r="FA411"/>
  <c r="FB411"/>
  <c r="FC411"/>
  <c r="FD411"/>
  <c r="FE411"/>
  <c r="FF411"/>
  <c r="FG411"/>
  <c r="FH411"/>
  <c r="FI411"/>
  <c r="FJ411"/>
  <c r="FK411"/>
  <c r="FL411"/>
  <c r="FM411"/>
  <c r="FN411"/>
  <c r="FO411"/>
  <c r="FP411"/>
  <c r="FQ411"/>
  <c r="FR411"/>
  <c r="FS411"/>
  <c r="FT411"/>
  <c r="FU411"/>
  <c r="FV411"/>
  <c r="FW411"/>
  <c r="FX411"/>
  <c r="FY411"/>
  <c r="FZ411"/>
  <c r="GA411"/>
  <c r="GB411"/>
  <c r="GC411"/>
  <c r="GD411"/>
  <c r="GE411"/>
  <c r="GF411"/>
  <c r="GG411"/>
  <c r="GH411"/>
  <c r="GI411"/>
  <c r="GJ411"/>
  <c r="GK411"/>
  <c r="GL411"/>
  <c r="GM411"/>
  <c r="GN411"/>
  <c r="GO411"/>
  <c r="GP411"/>
  <c r="GQ411"/>
  <c r="GR411"/>
  <c r="GS411"/>
  <c r="GT411"/>
  <c r="GU411"/>
  <c r="GV411"/>
  <c r="GW411"/>
  <c r="GX411"/>
  <c r="GY411"/>
  <c r="GZ411"/>
  <c r="HA411"/>
  <c r="HB411"/>
  <c r="HC411"/>
  <c r="HD411"/>
  <c r="HE411"/>
  <c r="HF411"/>
  <c r="HG411"/>
  <c r="HH411"/>
  <c r="HI411"/>
  <c r="HJ411"/>
  <c r="HK411"/>
  <c r="HL411"/>
  <c r="HM411"/>
  <c r="HN411"/>
  <c r="HO411"/>
  <c r="HP411"/>
  <c r="HQ411"/>
  <c r="HR411"/>
  <c r="HS411"/>
  <c r="HT411"/>
  <c r="HU411"/>
  <c r="HV411"/>
  <c r="HW411"/>
  <c r="HX411"/>
  <c r="HY411"/>
  <c r="HZ411"/>
  <c r="IA411"/>
  <c r="IB411"/>
  <c r="IC411"/>
  <c r="ID411"/>
  <c r="IE411"/>
  <c r="IF411"/>
  <c r="IG411"/>
  <c r="IH411"/>
  <c r="II411"/>
  <c r="IJ411"/>
  <c r="IK411"/>
  <c r="IL411"/>
  <c r="IM411"/>
  <c r="IN411"/>
  <c r="IO411"/>
  <c r="IP411"/>
  <c r="IQ411"/>
  <c r="IR411"/>
  <c r="IS411"/>
  <c r="IT411"/>
  <c r="IU411"/>
  <c r="IV411"/>
  <c r="A412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Z412"/>
  <c r="AA412"/>
  <c r="AB412"/>
  <c r="AC412"/>
  <c r="AD412"/>
  <c r="AE412"/>
  <c r="AF412"/>
  <c r="AG412"/>
  <c r="AH412"/>
  <c r="AI412"/>
  <c r="AJ412"/>
  <c r="AK412"/>
  <c r="AL412"/>
  <c r="AM412"/>
  <c r="AN412"/>
  <c r="AO412"/>
  <c r="AP412"/>
  <c r="AQ412"/>
  <c r="AR412"/>
  <c r="AS412"/>
  <c r="AT412"/>
  <c r="AU412"/>
  <c r="AV412"/>
  <c r="AW412"/>
  <c r="AX412"/>
  <c r="AY412"/>
  <c r="AZ412"/>
  <c r="BA412"/>
  <c r="BB412"/>
  <c r="BC412"/>
  <c r="BD412"/>
  <c r="BE412"/>
  <c r="BF412"/>
  <c r="BG412"/>
  <c r="BH412"/>
  <c r="BI412"/>
  <c r="BJ412"/>
  <c r="BK412"/>
  <c r="BL412"/>
  <c r="BM412"/>
  <c r="BN412"/>
  <c r="BO412"/>
  <c r="BP412"/>
  <c r="BQ412"/>
  <c r="BR412"/>
  <c r="BS412"/>
  <c r="BT412"/>
  <c r="BU412"/>
  <c r="BV412"/>
  <c r="BW412"/>
  <c r="BX412"/>
  <c r="BY412"/>
  <c r="BZ412"/>
  <c r="CA412"/>
  <c r="CB412"/>
  <c r="CC412"/>
  <c r="CD412"/>
  <c r="CE412"/>
  <c r="CF412"/>
  <c r="CG412"/>
  <c r="CH412"/>
  <c r="CI412"/>
  <c r="CJ412"/>
  <c r="CK412"/>
  <c r="CL412"/>
  <c r="CM412"/>
  <c r="CN412"/>
  <c r="CO412"/>
  <c r="CP412"/>
  <c r="CQ412"/>
  <c r="CR412"/>
  <c r="CS412"/>
  <c r="CT412"/>
  <c r="CU412"/>
  <c r="CV412"/>
  <c r="CW412"/>
  <c r="CX412"/>
  <c r="CY412"/>
  <c r="CZ412"/>
  <c r="DA412"/>
  <c r="DB412"/>
  <c r="DC412"/>
  <c r="DD412"/>
  <c r="DE412"/>
  <c r="DF412"/>
  <c r="DG412"/>
  <c r="DH412"/>
  <c r="DI412"/>
  <c r="DJ412"/>
  <c r="DK412"/>
  <c r="DL412"/>
  <c r="DM412"/>
  <c r="DN412"/>
  <c r="DO412"/>
  <c r="DP412"/>
  <c r="DQ412"/>
  <c r="DR412"/>
  <c r="DS412"/>
  <c r="DT412"/>
  <c r="DU412"/>
  <c r="DV412"/>
  <c r="DW412"/>
  <c r="DX412"/>
  <c r="DY412"/>
  <c r="DZ412"/>
  <c r="EA412"/>
  <c r="EB412"/>
  <c r="EC412"/>
  <c r="ED412"/>
  <c r="EE412"/>
  <c r="EF412"/>
  <c r="EG412"/>
  <c r="EH412"/>
  <c r="EI412"/>
  <c r="EJ412"/>
  <c r="EK412"/>
  <c r="EL412"/>
  <c r="EM412"/>
  <c r="EN412"/>
  <c r="EO412"/>
  <c r="EP412"/>
  <c r="EQ412"/>
  <c r="ER412"/>
  <c r="ES412"/>
  <c r="ET412"/>
  <c r="EU412"/>
  <c r="EV412"/>
  <c r="EW412"/>
  <c r="EX412"/>
  <c r="EY412"/>
  <c r="EZ412"/>
  <c r="FA412"/>
  <c r="FB412"/>
  <c r="FC412"/>
  <c r="FD412"/>
  <c r="FE412"/>
  <c r="FF412"/>
  <c r="FG412"/>
  <c r="FH412"/>
  <c r="FI412"/>
  <c r="FJ412"/>
  <c r="FK412"/>
  <c r="FL412"/>
  <c r="FM412"/>
  <c r="FN412"/>
  <c r="FO412"/>
  <c r="FP412"/>
  <c r="FQ412"/>
  <c r="FR412"/>
  <c r="FS412"/>
  <c r="FT412"/>
  <c r="FU412"/>
  <c r="FV412"/>
  <c r="FW412"/>
  <c r="FX412"/>
  <c r="FY412"/>
  <c r="FZ412"/>
  <c r="GA412"/>
  <c r="GB412"/>
  <c r="GC412"/>
  <c r="GD412"/>
  <c r="GE412"/>
  <c r="GF412"/>
  <c r="GG412"/>
  <c r="GH412"/>
  <c r="GI412"/>
  <c r="GJ412"/>
  <c r="GK412"/>
  <c r="GL412"/>
  <c r="GM412"/>
  <c r="GN412"/>
  <c r="GO412"/>
  <c r="GP412"/>
  <c r="GQ412"/>
  <c r="GR412"/>
  <c r="GS412"/>
  <c r="GT412"/>
  <c r="GU412"/>
  <c r="GV412"/>
  <c r="GW412"/>
  <c r="GX412"/>
  <c r="GY412"/>
  <c r="GZ412"/>
  <c r="HA412"/>
  <c r="HB412"/>
  <c r="HC412"/>
  <c r="HD412"/>
  <c r="HE412"/>
  <c r="HF412"/>
  <c r="HG412"/>
  <c r="HH412"/>
  <c r="HI412"/>
  <c r="HJ412"/>
  <c r="HK412"/>
  <c r="HL412"/>
  <c r="HM412"/>
  <c r="HN412"/>
  <c r="HO412"/>
  <c r="HP412"/>
  <c r="HQ412"/>
  <c r="HR412"/>
  <c r="HS412"/>
  <c r="HT412"/>
  <c r="HU412"/>
  <c r="HV412"/>
  <c r="HW412"/>
  <c r="HX412"/>
  <c r="HY412"/>
  <c r="HZ412"/>
  <c r="IA412"/>
  <c r="IB412"/>
  <c r="IC412"/>
  <c r="ID412"/>
  <c r="IE412"/>
  <c r="IF412"/>
  <c r="IG412"/>
  <c r="IH412"/>
  <c r="II412"/>
  <c r="IJ412"/>
  <c r="IK412"/>
  <c r="IL412"/>
  <c r="IM412"/>
  <c r="IN412"/>
  <c r="IO412"/>
  <c r="IP412"/>
  <c r="IQ412"/>
  <c r="IR412"/>
  <c r="IS412"/>
  <c r="IT412"/>
  <c r="IU412"/>
  <c r="IV412"/>
  <c r="A413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Z413"/>
  <c r="AA413"/>
  <c r="AB413"/>
  <c r="AC413"/>
  <c r="AD413"/>
  <c r="AE413"/>
  <c r="AF413"/>
  <c r="AG413"/>
  <c r="AH413"/>
  <c r="AI413"/>
  <c r="AJ413"/>
  <c r="AK413"/>
  <c r="AL413"/>
  <c r="AM413"/>
  <c r="AN413"/>
  <c r="AO413"/>
  <c r="AP413"/>
  <c r="AQ413"/>
  <c r="AR413"/>
  <c r="AS413"/>
  <c r="AT413"/>
  <c r="AU413"/>
  <c r="AV413"/>
  <c r="AW413"/>
  <c r="AX413"/>
  <c r="AY413"/>
  <c r="AZ413"/>
  <c r="BA413"/>
  <c r="BB413"/>
  <c r="BC413"/>
  <c r="BD413"/>
  <c r="BE413"/>
  <c r="BF413"/>
  <c r="BG413"/>
  <c r="BH413"/>
  <c r="BI413"/>
  <c r="BJ413"/>
  <c r="BK413"/>
  <c r="BL413"/>
  <c r="BM413"/>
  <c r="BN413"/>
  <c r="BO413"/>
  <c r="BP413"/>
  <c r="BQ413"/>
  <c r="BR413"/>
  <c r="BS413"/>
  <c r="BT413"/>
  <c r="BU413"/>
  <c r="BV413"/>
  <c r="BW413"/>
  <c r="BX413"/>
  <c r="BY413"/>
  <c r="BZ413"/>
  <c r="CA413"/>
  <c r="CB413"/>
  <c r="CC413"/>
  <c r="CD413"/>
  <c r="CE413"/>
  <c r="CF413"/>
  <c r="CG413"/>
  <c r="CH413"/>
  <c r="CI413"/>
  <c r="CJ413"/>
  <c r="CK413"/>
  <c r="CL413"/>
  <c r="CM413"/>
  <c r="CN413"/>
  <c r="CO413"/>
  <c r="CP413"/>
  <c r="CQ413"/>
  <c r="CR413"/>
  <c r="CS413"/>
  <c r="CT413"/>
  <c r="CU413"/>
  <c r="CV413"/>
  <c r="CW413"/>
  <c r="CX413"/>
  <c r="CY413"/>
  <c r="CZ413"/>
  <c r="DA413"/>
  <c r="DB413"/>
  <c r="DC413"/>
  <c r="DD413"/>
  <c r="DE413"/>
  <c r="DF413"/>
  <c r="DG413"/>
  <c r="DH413"/>
  <c r="DI413"/>
  <c r="DJ413"/>
  <c r="DK413"/>
  <c r="DL413"/>
  <c r="DM413"/>
  <c r="DN413"/>
  <c r="DO413"/>
  <c r="DP413"/>
  <c r="DQ413"/>
  <c r="DR413"/>
  <c r="DS413"/>
  <c r="DT413"/>
  <c r="DU413"/>
  <c r="DV413"/>
  <c r="DW413"/>
  <c r="DX413"/>
  <c r="DY413"/>
  <c r="DZ413"/>
  <c r="EA413"/>
  <c r="EB413"/>
  <c r="EC413"/>
  <c r="ED413"/>
  <c r="EE413"/>
  <c r="EF413"/>
  <c r="EG413"/>
  <c r="EH413"/>
  <c r="EI413"/>
  <c r="EJ413"/>
  <c r="EK413"/>
  <c r="EL413"/>
  <c r="EM413"/>
  <c r="EN413"/>
  <c r="EO413"/>
  <c r="EP413"/>
  <c r="EQ413"/>
  <c r="ER413"/>
  <c r="ES413"/>
  <c r="ET413"/>
  <c r="EU413"/>
  <c r="EV413"/>
  <c r="EW413"/>
  <c r="EX413"/>
  <c r="EY413"/>
  <c r="EZ413"/>
  <c r="FA413"/>
  <c r="FB413"/>
  <c r="FC413"/>
  <c r="FD413"/>
  <c r="FE413"/>
  <c r="FF413"/>
  <c r="FG413"/>
  <c r="FH413"/>
  <c r="FI413"/>
  <c r="FJ413"/>
  <c r="FK413"/>
  <c r="FL413"/>
  <c r="FM413"/>
  <c r="FN413"/>
  <c r="FO413"/>
  <c r="FP413"/>
  <c r="FQ413"/>
  <c r="FR413"/>
  <c r="FS413"/>
  <c r="FT413"/>
  <c r="FU413"/>
  <c r="FV413"/>
  <c r="FW413"/>
  <c r="FX413"/>
  <c r="FY413"/>
  <c r="FZ413"/>
  <c r="GA413"/>
  <c r="GB413"/>
  <c r="GC413"/>
  <c r="GD413"/>
  <c r="GE413"/>
  <c r="GF413"/>
  <c r="GG413"/>
  <c r="GH413"/>
  <c r="GI413"/>
  <c r="GJ413"/>
  <c r="GK413"/>
  <c r="GL413"/>
  <c r="GM413"/>
  <c r="GN413"/>
  <c r="GO413"/>
  <c r="GP413"/>
  <c r="GQ413"/>
  <c r="GR413"/>
  <c r="GS413"/>
  <c r="GT413"/>
  <c r="GU413"/>
  <c r="GV413"/>
  <c r="GW413"/>
  <c r="GX413"/>
  <c r="GY413"/>
  <c r="GZ413"/>
  <c r="HA413"/>
  <c r="HB413"/>
  <c r="HC413"/>
  <c r="HD413"/>
  <c r="HE413"/>
  <c r="HF413"/>
  <c r="HG413"/>
  <c r="HH413"/>
  <c r="HI413"/>
  <c r="HJ413"/>
  <c r="HK413"/>
  <c r="HL413"/>
  <c r="HM413"/>
  <c r="HN413"/>
  <c r="HO413"/>
  <c r="HP413"/>
  <c r="HQ413"/>
  <c r="HR413"/>
  <c r="HS413"/>
  <c r="HT413"/>
  <c r="HU413"/>
  <c r="HV413"/>
  <c r="HW413"/>
  <c r="HX413"/>
  <c r="HY413"/>
  <c r="HZ413"/>
  <c r="IA413"/>
  <c r="IB413"/>
  <c r="IC413"/>
  <c r="ID413"/>
  <c r="IE413"/>
  <c r="IF413"/>
  <c r="IG413"/>
  <c r="IH413"/>
  <c r="II413"/>
  <c r="IJ413"/>
  <c r="IK413"/>
  <c r="IL413"/>
  <c r="IM413"/>
  <c r="IN413"/>
  <c r="IO413"/>
  <c r="IP413"/>
  <c r="IQ413"/>
  <c r="IR413"/>
  <c r="IS413"/>
  <c r="IT413"/>
  <c r="IU413"/>
  <c r="IV413"/>
  <c r="A414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Z414"/>
  <c r="AA414"/>
  <c r="AB414"/>
  <c r="AC414"/>
  <c r="AD414"/>
  <c r="AE414"/>
  <c r="AF414"/>
  <c r="AG414"/>
  <c r="AH414"/>
  <c r="AI414"/>
  <c r="AJ414"/>
  <c r="AK414"/>
  <c r="AL414"/>
  <c r="AM414"/>
  <c r="AN414"/>
  <c r="AO414"/>
  <c r="AP414"/>
  <c r="AQ414"/>
  <c r="AR414"/>
  <c r="AS414"/>
  <c r="AT414"/>
  <c r="AU414"/>
  <c r="AV414"/>
  <c r="AW414"/>
  <c r="AX414"/>
  <c r="AY414"/>
  <c r="AZ414"/>
  <c r="BA414"/>
  <c r="BB414"/>
  <c r="BC414"/>
  <c r="BD414"/>
  <c r="BE414"/>
  <c r="BF414"/>
  <c r="BG414"/>
  <c r="BH414"/>
  <c r="BI414"/>
  <c r="BJ414"/>
  <c r="BK414"/>
  <c r="BL414"/>
  <c r="BM414"/>
  <c r="BN414"/>
  <c r="BO414"/>
  <c r="BP414"/>
  <c r="BQ414"/>
  <c r="BR414"/>
  <c r="BS414"/>
  <c r="BT414"/>
  <c r="BU414"/>
  <c r="BV414"/>
  <c r="BW414"/>
  <c r="BX414"/>
  <c r="BY414"/>
  <c r="BZ414"/>
  <c r="CA414"/>
  <c r="CB414"/>
  <c r="CC414"/>
  <c r="CD414"/>
  <c r="CE414"/>
  <c r="CF414"/>
  <c r="CG414"/>
  <c r="CH414"/>
  <c r="CI414"/>
  <c r="CJ414"/>
  <c r="CK414"/>
  <c r="CL414"/>
  <c r="CM414"/>
  <c r="CN414"/>
  <c r="CO414"/>
  <c r="CP414"/>
  <c r="CQ414"/>
  <c r="CR414"/>
  <c r="CS414"/>
  <c r="CT414"/>
  <c r="CU414"/>
  <c r="CV414"/>
  <c r="CW414"/>
  <c r="CX414"/>
  <c r="CY414"/>
  <c r="CZ414"/>
  <c r="DA414"/>
  <c r="DB414"/>
  <c r="DC414"/>
  <c r="DD414"/>
  <c r="DE414"/>
  <c r="DF414"/>
  <c r="DG414"/>
  <c r="DH414"/>
  <c r="DI414"/>
  <c r="DJ414"/>
  <c r="DK414"/>
  <c r="DL414"/>
  <c r="DM414"/>
  <c r="DN414"/>
  <c r="DO414"/>
  <c r="DP414"/>
  <c r="DQ414"/>
  <c r="DR414"/>
  <c r="DS414"/>
  <c r="DT414"/>
  <c r="DU414"/>
  <c r="DV414"/>
  <c r="DW414"/>
  <c r="DX414"/>
  <c r="DY414"/>
  <c r="DZ414"/>
  <c r="EA414"/>
  <c r="EB414"/>
  <c r="EC414"/>
  <c r="ED414"/>
  <c r="EE414"/>
  <c r="EF414"/>
  <c r="EG414"/>
  <c r="EH414"/>
  <c r="EI414"/>
  <c r="EJ414"/>
  <c r="EK414"/>
  <c r="EL414"/>
  <c r="EM414"/>
  <c r="EN414"/>
  <c r="EO414"/>
  <c r="EP414"/>
  <c r="EQ414"/>
  <c r="ER414"/>
  <c r="ES414"/>
  <c r="ET414"/>
  <c r="EU414"/>
  <c r="EV414"/>
  <c r="EW414"/>
  <c r="EX414"/>
  <c r="EY414"/>
  <c r="EZ414"/>
  <c r="FA414"/>
  <c r="FB414"/>
  <c r="FC414"/>
  <c r="FD414"/>
  <c r="FE414"/>
  <c r="FF414"/>
  <c r="FG414"/>
  <c r="FH414"/>
  <c r="FI414"/>
  <c r="FJ414"/>
  <c r="FK414"/>
  <c r="FL414"/>
  <c r="FM414"/>
  <c r="FN414"/>
  <c r="FO414"/>
  <c r="FP414"/>
  <c r="FQ414"/>
  <c r="FR414"/>
  <c r="FS414"/>
  <c r="FT414"/>
  <c r="FU414"/>
  <c r="FV414"/>
  <c r="FW414"/>
  <c r="FX414"/>
  <c r="FY414"/>
  <c r="FZ414"/>
  <c r="GA414"/>
  <c r="GB414"/>
  <c r="GC414"/>
  <c r="GD414"/>
  <c r="GE414"/>
  <c r="GF414"/>
  <c r="GG414"/>
  <c r="GH414"/>
  <c r="GI414"/>
  <c r="GJ414"/>
  <c r="GK414"/>
  <c r="GL414"/>
  <c r="GM414"/>
  <c r="GN414"/>
  <c r="GO414"/>
  <c r="GP414"/>
  <c r="GQ414"/>
  <c r="GR414"/>
  <c r="GS414"/>
  <c r="GT414"/>
  <c r="GU414"/>
  <c r="GV414"/>
  <c r="GW414"/>
  <c r="GX414"/>
  <c r="GY414"/>
  <c r="GZ414"/>
  <c r="HA414"/>
  <c r="HB414"/>
  <c r="HC414"/>
  <c r="HD414"/>
  <c r="HE414"/>
  <c r="HF414"/>
  <c r="HG414"/>
  <c r="HH414"/>
  <c r="HI414"/>
  <c r="HJ414"/>
  <c r="HK414"/>
  <c r="HL414"/>
  <c r="HM414"/>
  <c r="HN414"/>
  <c r="HO414"/>
  <c r="HP414"/>
  <c r="HQ414"/>
  <c r="HR414"/>
  <c r="HS414"/>
  <c r="HT414"/>
  <c r="HU414"/>
  <c r="HV414"/>
  <c r="HW414"/>
  <c r="HX414"/>
  <c r="HY414"/>
  <c r="HZ414"/>
  <c r="IA414"/>
  <c r="IB414"/>
  <c r="IC414"/>
  <c r="ID414"/>
  <c r="IE414"/>
  <c r="IF414"/>
  <c r="IG414"/>
  <c r="IH414"/>
  <c r="II414"/>
  <c r="IJ414"/>
  <c r="IK414"/>
  <c r="IL414"/>
  <c r="IM414"/>
  <c r="IN414"/>
  <c r="IO414"/>
  <c r="IP414"/>
  <c r="IQ414"/>
  <c r="IR414"/>
  <c r="IS414"/>
  <c r="IT414"/>
  <c r="IU414"/>
  <c r="IV414"/>
  <c r="A415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Z415"/>
  <c r="AA415"/>
  <c r="AB415"/>
  <c r="AC415"/>
  <c r="AD415"/>
  <c r="AE415"/>
  <c r="AF415"/>
  <c r="AG415"/>
  <c r="AH415"/>
  <c r="AI415"/>
  <c r="AJ415"/>
  <c r="AK415"/>
  <c r="AL415"/>
  <c r="AM415"/>
  <c r="AN415"/>
  <c r="AO415"/>
  <c r="AP415"/>
  <c r="AQ415"/>
  <c r="AR415"/>
  <c r="AS415"/>
  <c r="AT415"/>
  <c r="AU415"/>
  <c r="AV415"/>
  <c r="AW415"/>
  <c r="AX415"/>
  <c r="AY415"/>
  <c r="AZ415"/>
  <c r="BA415"/>
  <c r="BB415"/>
  <c r="BC415"/>
  <c r="BD415"/>
  <c r="BE415"/>
  <c r="BF415"/>
  <c r="BG415"/>
  <c r="BH415"/>
  <c r="BI415"/>
  <c r="BJ415"/>
  <c r="BK415"/>
  <c r="BL415"/>
  <c r="BM415"/>
  <c r="BN415"/>
  <c r="BO415"/>
  <c r="BP415"/>
  <c r="BQ415"/>
  <c r="BR415"/>
  <c r="BS415"/>
  <c r="BT415"/>
  <c r="BU415"/>
  <c r="BV415"/>
  <c r="BW415"/>
  <c r="BX415"/>
  <c r="BY415"/>
  <c r="BZ415"/>
  <c r="CA415"/>
  <c r="CB415"/>
  <c r="CC415"/>
  <c r="CD415"/>
  <c r="CE415"/>
  <c r="CF415"/>
  <c r="CG415"/>
  <c r="CH415"/>
  <c r="CI415"/>
  <c r="CJ415"/>
  <c r="CK415"/>
  <c r="CL415"/>
  <c r="CM415"/>
  <c r="CN415"/>
  <c r="CO415"/>
  <c r="CP415"/>
  <c r="CQ415"/>
  <c r="CR415"/>
  <c r="CS415"/>
  <c r="CT415"/>
  <c r="CU415"/>
  <c r="CV415"/>
  <c r="CW415"/>
  <c r="CX415"/>
  <c r="CY415"/>
  <c r="CZ415"/>
  <c r="DA415"/>
  <c r="DB415"/>
  <c r="DC415"/>
  <c r="DD415"/>
  <c r="DE415"/>
  <c r="DF415"/>
  <c r="DG415"/>
  <c r="DH415"/>
  <c r="DI415"/>
  <c r="DJ415"/>
  <c r="DK415"/>
  <c r="DL415"/>
  <c r="DM415"/>
  <c r="DN415"/>
  <c r="DO415"/>
  <c r="DP415"/>
  <c r="DQ415"/>
  <c r="DR415"/>
  <c r="DS415"/>
  <c r="DT415"/>
  <c r="DU415"/>
  <c r="DV415"/>
  <c r="DW415"/>
  <c r="DX415"/>
  <c r="DY415"/>
  <c r="DZ415"/>
  <c r="EA415"/>
  <c r="EB415"/>
  <c r="EC415"/>
  <c r="ED415"/>
  <c r="EE415"/>
  <c r="EF415"/>
  <c r="EG415"/>
  <c r="EH415"/>
  <c r="EI415"/>
  <c r="EJ415"/>
  <c r="EK415"/>
  <c r="EL415"/>
  <c r="EM415"/>
  <c r="EN415"/>
  <c r="EO415"/>
  <c r="EP415"/>
  <c r="EQ415"/>
  <c r="ER415"/>
  <c r="ES415"/>
  <c r="ET415"/>
  <c r="EU415"/>
  <c r="EV415"/>
  <c r="EW415"/>
  <c r="EX415"/>
  <c r="EY415"/>
  <c r="EZ415"/>
  <c r="FA415"/>
  <c r="FB415"/>
  <c r="FC415"/>
  <c r="FD415"/>
  <c r="FE415"/>
  <c r="FF415"/>
  <c r="FG415"/>
  <c r="FH415"/>
  <c r="FI415"/>
  <c r="FJ415"/>
  <c r="FK415"/>
  <c r="FL415"/>
  <c r="FM415"/>
  <c r="FN415"/>
  <c r="FO415"/>
  <c r="FP415"/>
  <c r="FQ415"/>
  <c r="FR415"/>
  <c r="FS415"/>
  <c r="FT415"/>
  <c r="FU415"/>
  <c r="FV415"/>
  <c r="FW415"/>
  <c r="FX415"/>
  <c r="FY415"/>
  <c r="FZ415"/>
  <c r="GA415"/>
  <c r="GB415"/>
  <c r="GC415"/>
  <c r="GD415"/>
  <c r="GE415"/>
  <c r="GF415"/>
  <c r="GG415"/>
  <c r="GH415"/>
  <c r="GI415"/>
  <c r="GJ415"/>
  <c r="GK415"/>
  <c r="GL415"/>
  <c r="GM415"/>
  <c r="GN415"/>
  <c r="GO415"/>
  <c r="GP415"/>
  <c r="GQ415"/>
  <c r="GR415"/>
  <c r="GS415"/>
  <c r="GT415"/>
  <c r="GU415"/>
  <c r="GV415"/>
  <c r="GW415"/>
  <c r="GX415"/>
  <c r="GY415"/>
  <c r="GZ415"/>
  <c r="HA415"/>
  <c r="HB415"/>
  <c r="HC415"/>
  <c r="HD415"/>
  <c r="HE415"/>
  <c r="HF415"/>
  <c r="HG415"/>
  <c r="HH415"/>
  <c r="HI415"/>
  <c r="HJ415"/>
  <c r="HK415"/>
  <c r="HL415"/>
  <c r="HM415"/>
  <c r="HN415"/>
  <c r="HO415"/>
  <c r="HP415"/>
  <c r="HQ415"/>
  <c r="HR415"/>
  <c r="HS415"/>
  <c r="HT415"/>
  <c r="HU415"/>
  <c r="HV415"/>
  <c r="HW415"/>
  <c r="HX415"/>
  <c r="HY415"/>
  <c r="HZ415"/>
  <c r="IA415"/>
  <c r="IB415"/>
  <c r="IC415"/>
  <c r="ID415"/>
  <c r="IE415"/>
  <c r="IF415"/>
  <c r="IG415"/>
  <c r="IH415"/>
  <c r="II415"/>
  <c r="IJ415"/>
  <c r="IK415"/>
  <c r="IL415"/>
  <c r="IM415"/>
  <c r="IN415"/>
  <c r="IO415"/>
  <c r="IP415"/>
  <c r="IQ415"/>
  <c r="IR415"/>
  <c r="IS415"/>
  <c r="IT415"/>
  <c r="IU415"/>
  <c r="IV415"/>
  <c r="A416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Z416"/>
  <c r="AA416"/>
  <c r="AB416"/>
  <c r="AC416"/>
  <c r="AD416"/>
  <c r="AE416"/>
  <c r="AF416"/>
  <c r="AG416"/>
  <c r="AH416"/>
  <c r="AI416"/>
  <c r="AJ416"/>
  <c r="AK416"/>
  <c r="AL416"/>
  <c r="AM416"/>
  <c r="AN416"/>
  <c r="AO416"/>
  <c r="AP416"/>
  <c r="AQ416"/>
  <c r="AR416"/>
  <c r="AS416"/>
  <c r="AT416"/>
  <c r="AU416"/>
  <c r="AV416"/>
  <c r="AW416"/>
  <c r="AX416"/>
  <c r="AY416"/>
  <c r="AZ416"/>
  <c r="BA416"/>
  <c r="BB416"/>
  <c r="BC416"/>
  <c r="BD416"/>
  <c r="BE416"/>
  <c r="BF416"/>
  <c r="BG416"/>
  <c r="BH416"/>
  <c r="BI416"/>
  <c r="BJ416"/>
  <c r="BK416"/>
  <c r="BL416"/>
  <c r="BM416"/>
  <c r="BN416"/>
  <c r="BO416"/>
  <c r="BP416"/>
  <c r="BQ416"/>
  <c r="BR416"/>
  <c r="BS416"/>
  <c r="BT416"/>
  <c r="BU416"/>
  <c r="BV416"/>
  <c r="BW416"/>
  <c r="BX416"/>
  <c r="BY416"/>
  <c r="BZ416"/>
  <c r="CA416"/>
  <c r="CB416"/>
  <c r="CC416"/>
  <c r="CD416"/>
  <c r="CE416"/>
  <c r="CF416"/>
  <c r="CG416"/>
  <c r="CH416"/>
  <c r="CI416"/>
  <c r="CJ416"/>
  <c r="CK416"/>
  <c r="CL416"/>
  <c r="CM416"/>
  <c r="CN416"/>
  <c r="CO416"/>
  <c r="CP416"/>
  <c r="CQ416"/>
  <c r="CR416"/>
  <c r="CS416"/>
  <c r="CT416"/>
  <c r="CU416"/>
  <c r="CV416"/>
  <c r="CW416"/>
  <c r="CX416"/>
  <c r="CY416"/>
  <c r="CZ416"/>
  <c r="DA416"/>
  <c r="DB416"/>
  <c r="DC416"/>
  <c r="DD416"/>
  <c r="DE416"/>
  <c r="DF416"/>
  <c r="DG416"/>
  <c r="DH416"/>
  <c r="DI416"/>
  <c r="DJ416"/>
  <c r="DK416"/>
  <c r="DL416"/>
  <c r="DM416"/>
  <c r="DN416"/>
  <c r="DO416"/>
  <c r="DP416"/>
  <c r="DQ416"/>
  <c r="DR416"/>
  <c r="DS416"/>
  <c r="DT416"/>
  <c r="DU416"/>
  <c r="DV416"/>
  <c r="DW416"/>
  <c r="DX416"/>
  <c r="DY416"/>
  <c r="DZ416"/>
  <c r="EA416"/>
  <c r="EB416"/>
  <c r="EC416"/>
  <c r="ED416"/>
  <c r="EE416"/>
  <c r="EF416"/>
  <c r="EG416"/>
  <c r="EH416"/>
  <c r="EI416"/>
  <c r="EJ416"/>
  <c r="EK416"/>
  <c r="EL416"/>
  <c r="EM416"/>
  <c r="EN416"/>
  <c r="EO416"/>
  <c r="EP416"/>
  <c r="EQ416"/>
  <c r="ER416"/>
  <c r="ES416"/>
  <c r="ET416"/>
  <c r="EU416"/>
  <c r="EV416"/>
  <c r="EW416"/>
  <c r="EX416"/>
  <c r="EY416"/>
  <c r="EZ416"/>
  <c r="FA416"/>
  <c r="FB416"/>
  <c r="FC416"/>
  <c r="FD416"/>
  <c r="FE416"/>
  <c r="FF416"/>
  <c r="FG416"/>
  <c r="FH416"/>
  <c r="FI416"/>
  <c r="FJ416"/>
  <c r="FK416"/>
  <c r="FL416"/>
  <c r="FM416"/>
  <c r="FN416"/>
  <c r="FO416"/>
  <c r="FP416"/>
  <c r="FQ416"/>
  <c r="FR416"/>
  <c r="FS416"/>
  <c r="FT416"/>
  <c r="FU416"/>
  <c r="FV416"/>
  <c r="FW416"/>
  <c r="FX416"/>
  <c r="FY416"/>
  <c r="FZ416"/>
  <c r="GA416"/>
  <c r="GB416"/>
  <c r="GC416"/>
  <c r="GD416"/>
  <c r="GE416"/>
  <c r="GF416"/>
  <c r="GG416"/>
  <c r="GH416"/>
  <c r="GI416"/>
  <c r="GJ416"/>
  <c r="GK416"/>
  <c r="GL416"/>
  <c r="GM416"/>
  <c r="GN416"/>
  <c r="GO416"/>
  <c r="GP416"/>
  <c r="GQ416"/>
  <c r="GR416"/>
  <c r="GS416"/>
  <c r="GT416"/>
  <c r="GU416"/>
  <c r="GV416"/>
  <c r="GW416"/>
  <c r="GX416"/>
  <c r="GY416"/>
  <c r="GZ416"/>
  <c r="HA416"/>
  <c r="HB416"/>
  <c r="HC416"/>
  <c r="HD416"/>
  <c r="HE416"/>
  <c r="HF416"/>
  <c r="HG416"/>
  <c r="HH416"/>
  <c r="HI416"/>
  <c r="HJ416"/>
  <c r="HK416"/>
  <c r="HL416"/>
  <c r="HM416"/>
  <c r="HN416"/>
  <c r="HO416"/>
  <c r="HP416"/>
  <c r="HQ416"/>
  <c r="HR416"/>
  <c r="HS416"/>
  <c r="HT416"/>
  <c r="HU416"/>
  <c r="HV416"/>
  <c r="HW416"/>
  <c r="HX416"/>
  <c r="HY416"/>
  <c r="HZ416"/>
  <c r="IA416"/>
  <c r="IB416"/>
  <c r="IC416"/>
  <c r="ID416"/>
  <c r="IE416"/>
  <c r="IF416"/>
  <c r="IG416"/>
  <c r="IH416"/>
  <c r="II416"/>
  <c r="IJ416"/>
  <c r="IK416"/>
  <c r="IL416"/>
  <c r="IM416"/>
  <c r="IN416"/>
  <c r="IO416"/>
  <c r="IP416"/>
  <c r="IQ416"/>
  <c r="IR416"/>
  <c r="IS416"/>
  <c r="IT416"/>
  <c r="IU416"/>
  <c r="IV416"/>
  <c r="A417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Z417"/>
  <c r="AA417"/>
  <c r="AB417"/>
  <c r="AC417"/>
  <c r="AD417"/>
  <c r="AE417"/>
  <c r="AF417"/>
  <c r="AG417"/>
  <c r="AH417"/>
  <c r="AI417"/>
  <c r="AJ417"/>
  <c r="AK417"/>
  <c r="AL417"/>
  <c r="AM417"/>
  <c r="AN417"/>
  <c r="AO417"/>
  <c r="AP417"/>
  <c r="AQ417"/>
  <c r="AR417"/>
  <c r="AS417"/>
  <c r="AT417"/>
  <c r="AU417"/>
  <c r="AV417"/>
  <c r="AW417"/>
  <c r="AX417"/>
  <c r="AY417"/>
  <c r="AZ417"/>
  <c r="BA417"/>
  <c r="BB417"/>
  <c r="BC417"/>
  <c r="BD417"/>
  <c r="BE417"/>
  <c r="BF417"/>
  <c r="BG417"/>
  <c r="BH417"/>
  <c r="BI417"/>
  <c r="BJ417"/>
  <c r="BK417"/>
  <c r="BL417"/>
  <c r="BM417"/>
  <c r="BN417"/>
  <c r="BO417"/>
  <c r="BP417"/>
  <c r="BQ417"/>
  <c r="BR417"/>
  <c r="BS417"/>
  <c r="BT417"/>
  <c r="BU417"/>
  <c r="BV417"/>
  <c r="BW417"/>
  <c r="BX417"/>
  <c r="BY417"/>
  <c r="BZ417"/>
  <c r="CA417"/>
  <c r="CB417"/>
  <c r="CC417"/>
  <c r="CD417"/>
  <c r="CE417"/>
  <c r="CF417"/>
  <c r="CG417"/>
  <c r="CH417"/>
  <c r="CI417"/>
  <c r="CJ417"/>
  <c r="CK417"/>
  <c r="CL417"/>
  <c r="CM417"/>
  <c r="CN417"/>
  <c r="CO417"/>
  <c r="CP417"/>
  <c r="CQ417"/>
  <c r="CR417"/>
  <c r="CS417"/>
  <c r="CT417"/>
  <c r="CU417"/>
  <c r="CV417"/>
  <c r="CW417"/>
  <c r="CX417"/>
  <c r="CY417"/>
  <c r="CZ417"/>
  <c r="DA417"/>
  <c r="DB417"/>
  <c r="DC417"/>
  <c r="DD417"/>
  <c r="DE417"/>
  <c r="DF417"/>
  <c r="DG417"/>
  <c r="DH417"/>
  <c r="DI417"/>
  <c r="DJ417"/>
  <c r="DK417"/>
  <c r="DL417"/>
  <c r="DM417"/>
  <c r="DN417"/>
  <c r="DO417"/>
  <c r="DP417"/>
  <c r="DQ417"/>
  <c r="DR417"/>
  <c r="DS417"/>
  <c r="DT417"/>
  <c r="DU417"/>
  <c r="DV417"/>
  <c r="DW417"/>
  <c r="DX417"/>
  <c r="DY417"/>
  <c r="DZ417"/>
  <c r="EA417"/>
  <c r="EB417"/>
  <c r="EC417"/>
  <c r="ED417"/>
  <c r="EE417"/>
  <c r="EF417"/>
  <c r="EG417"/>
  <c r="EH417"/>
  <c r="EI417"/>
  <c r="EJ417"/>
  <c r="EK417"/>
  <c r="EL417"/>
  <c r="EM417"/>
  <c r="EN417"/>
  <c r="EO417"/>
  <c r="EP417"/>
  <c r="EQ417"/>
  <c r="ER417"/>
  <c r="ES417"/>
  <c r="ET417"/>
  <c r="EU417"/>
  <c r="EV417"/>
  <c r="EW417"/>
  <c r="EX417"/>
  <c r="EY417"/>
  <c r="EZ417"/>
  <c r="FA417"/>
  <c r="FB417"/>
  <c r="FC417"/>
  <c r="FD417"/>
  <c r="FE417"/>
  <c r="FF417"/>
  <c r="FG417"/>
  <c r="FH417"/>
  <c r="FI417"/>
  <c r="FJ417"/>
  <c r="FK417"/>
  <c r="FL417"/>
  <c r="FM417"/>
  <c r="FN417"/>
  <c r="FO417"/>
  <c r="FP417"/>
  <c r="FQ417"/>
  <c r="FR417"/>
  <c r="FS417"/>
  <c r="FT417"/>
  <c r="FU417"/>
  <c r="FV417"/>
  <c r="FW417"/>
  <c r="FX417"/>
  <c r="FY417"/>
  <c r="FZ417"/>
  <c r="GA417"/>
  <c r="GB417"/>
  <c r="GC417"/>
  <c r="GD417"/>
  <c r="GE417"/>
  <c r="GF417"/>
  <c r="GG417"/>
  <c r="GH417"/>
  <c r="GI417"/>
  <c r="GJ417"/>
  <c r="GK417"/>
  <c r="GL417"/>
  <c r="GM417"/>
  <c r="GN417"/>
  <c r="GO417"/>
  <c r="GP417"/>
  <c r="GQ417"/>
  <c r="GR417"/>
  <c r="GS417"/>
  <c r="GT417"/>
  <c r="GU417"/>
  <c r="GV417"/>
  <c r="GW417"/>
  <c r="GX417"/>
  <c r="GY417"/>
  <c r="GZ417"/>
  <c r="HA417"/>
  <c r="HB417"/>
  <c r="HC417"/>
  <c r="HD417"/>
  <c r="HE417"/>
  <c r="HF417"/>
  <c r="HG417"/>
  <c r="HH417"/>
  <c r="HI417"/>
  <c r="HJ417"/>
  <c r="HK417"/>
  <c r="HL417"/>
  <c r="HM417"/>
  <c r="HN417"/>
  <c r="HO417"/>
  <c r="HP417"/>
  <c r="HQ417"/>
  <c r="HR417"/>
  <c r="HS417"/>
  <c r="HT417"/>
  <c r="HU417"/>
  <c r="HV417"/>
  <c r="HW417"/>
  <c r="HX417"/>
  <c r="HY417"/>
  <c r="HZ417"/>
  <c r="IA417"/>
  <c r="IB417"/>
  <c r="IC417"/>
  <c r="ID417"/>
  <c r="IE417"/>
  <c r="IF417"/>
  <c r="IG417"/>
  <c r="IH417"/>
  <c r="II417"/>
  <c r="IJ417"/>
  <c r="IK417"/>
  <c r="IL417"/>
  <c r="IM417"/>
  <c r="IN417"/>
  <c r="IO417"/>
  <c r="IP417"/>
  <c r="IQ417"/>
  <c r="IR417"/>
  <c r="IS417"/>
  <c r="IT417"/>
  <c r="IU417"/>
  <c r="IV417"/>
  <c r="A418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Z418"/>
  <c r="AA418"/>
  <c r="AB418"/>
  <c r="AC418"/>
  <c r="AD418"/>
  <c r="AE418"/>
  <c r="AF418"/>
  <c r="AG418"/>
  <c r="AH418"/>
  <c r="AI418"/>
  <c r="AJ418"/>
  <c r="AK418"/>
  <c r="AL418"/>
  <c r="AM418"/>
  <c r="AN418"/>
  <c r="AO418"/>
  <c r="AP418"/>
  <c r="AQ418"/>
  <c r="AR418"/>
  <c r="AS418"/>
  <c r="AT418"/>
  <c r="AU418"/>
  <c r="AV418"/>
  <c r="AW418"/>
  <c r="AX418"/>
  <c r="AY418"/>
  <c r="AZ418"/>
  <c r="BA418"/>
  <c r="BB418"/>
  <c r="BC418"/>
  <c r="BD418"/>
  <c r="BE418"/>
  <c r="BF418"/>
  <c r="BG418"/>
  <c r="BH418"/>
  <c r="BI418"/>
  <c r="BJ418"/>
  <c r="BK418"/>
  <c r="BL418"/>
  <c r="BM418"/>
  <c r="BN418"/>
  <c r="BO418"/>
  <c r="BP418"/>
  <c r="BQ418"/>
  <c r="BR418"/>
  <c r="BS418"/>
  <c r="BT418"/>
  <c r="BU418"/>
  <c r="BV418"/>
  <c r="BW418"/>
  <c r="BX418"/>
  <c r="BY418"/>
  <c r="BZ418"/>
  <c r="CA418"/>
  <c r="CB418"/>
  <c r="CC418"/>
  <c r="CD418"/>
  <c r="CE418"/>
  <c r="CF418"/>
  <c r="CG418"/>
  <c r="CH418"/>
  <c r="CI418"/>
  <c r="CJ418"/>
  <c r="CK418"/>
  <c r="CL418"/>
  <c r="CM418"/>
  <c r="CN418"/>
  <c r="CO418"/>
  <c r="CP418"/>
  <c r="CQ418"/>
  <c r="CR418"/>
  <c r="CS418"/>
  <c r="CT418"/>
  <c r="CU418"/>
  <c r="CV418"/>
  <c r="CW418"/>
  <c r="CX418"/>
  <c r="CY418"/>
  <c r="CZ418"/>
  <c r="DA418"/>
  <c r="DB418"/>
  <c r="DC418"/>
  <c r="DD418"/>
  <c r="DE418"/>
  <c r="DF418"/>
  <c r="DG418"/>
  <c r="DH418"/>
  <c r="DI418"/>
  <c r="DJ418"/>
  <c r="DK418"/>
  <c r="DL418"/>
  <c r="DM418"/>
  <c r="DN418"/>
  <c r="DO418"/>
  <c r="DP418"/>
  <c r="DQ418"/>
  <c r="DR418"/>
  <c r="DS418"/>
  <c r="DT418"/>
  <c r="DU418"/>
  <c r="DV418"/>
  <c r="DW418"/>
  <c r="DX418"/>
  <c r="DY418"/>
  <c r="DZ418"/>
  <c r="EA418"/>
  <c r="EB418"/>
  <c r="EC418"/>
  <c r="ED418"/>
  <c r="EE418"/>
  <c r="EF418"/>
  <c r="EG418"/>
  <c r="EH418"/>
  <c r="EI418"/>
  <c r="EJ418"/>
  <c r="EK418"/>
  <c r="EL418"/>
  <c r="EM418"/>
  <c r="EN418"/>
  <c r="EO418"/>
  <c r="EP418"/>
  <c r="EQ418"/>
  <c r="ER418"/>
  <c r="ES418"/>
  <c r="ET418"/>
  <c r="EU418"/>
  <c r="EV418"/>
  <c r="EW418"/>
  <c r="EX418"/>
  <c r="EY418"/>
  <c r="EZ418"/>
  <c r="FA418"/>
  <c r="FB418"/>
  <c r="FC418"/>
  <c r="FD418"/>
  <c r="FE418"/>
  <c r="FF418"/>
  <c r="FG418"/>
  <c r="FH418"/>
  <c r="FI418"/>
  <c r="FJ418"/>
  <c r="FK418"/>
  <c r="FL418"/>
  <c r="FM418"/>
  <c r="FN418"/>
  <c r="FO418"/>
  <c r="FP418"/>
  <c r="FQ418"/>
  <c r="FR418"/>
  <c r="FS418"/>
  <c r="FT418"/>
  <c r="FU418"/>
  <c r="FV418"/>
  <c r="FW418"/>
  <c r="FX418"/>
  <c r="FY418"/>
  <c r="FZ418"/>
  <c r="GA418"/>
  <c r="GB418"/>
  <c r="GC418"/>
  <c r="GD418"/>
  <c r="GE418"/>
  <c r="GF418"/>
  <c r="GG418"/>
  <c r="GH418"/>
  <c r="GI418"/>
  <c r="GJ418"/>
  <c r="GK418"/>
  <c r="GL418"/>
  <c r="GM418"/>
  <c r="GN418"/>
  <c r="GO418"/>
  <c r="GP418"/>
  <c r="GQ418"/>
  <c r="GR418"/>
  <c r="GS418"/>
  <c r="GT418"/>
  <c r="GU418"/>
  <c r="GV418"/>
  <c r="GW418"/>
  <c r="GX418"/>
  <c r="GY418"/>
  <c r="GZ418"/>
  <c r="HA418"/>
  <c r="HB418"/>
  <c r="HC418"/>
  <c r="HD418"/>
  <c r="HE418"/>
  <c r="HF418"/>
  <c r="HG418"/>
  <c r="HH418"/>
  <c r="HI418"/>
  <c r="HJ418"/>
  <c r="HK418"/>
  <c r="HL418"/>
  <c r="HM418"/>
  <c r="HN418"/>
  <c r="HO418"/>
  <c r="HP418"/>
  <c r="HQ418"/>
  <c r="HR418"/>
  <c r="HS418"/>
  <c r="HT418"/>
  <c r="HU418"/>
  <c r="HV418"/>
  <c r="HW418"/>
  <c r="HX418"/>
  <c r="HY418"/>
  <c r="HZ418"/>
  <c r="IA418"/>
  <c r="IB418"/>
  <c r="IC418"/>
  <c r="ID418"/>
  <c r="IE418"/>
  <c r="IF418"/>
  <c r="IG418"/>
  <c r="IH418"/>
  <c r="II418"/>
  <c r="IJ418"/>
  <c r="IK418"/>
  <c r="IL418"/>
  <c r="IM418"/>
  <c r="IN418"/>
  <c r="IO418"/>
  <c r="IP418"/>
  <c r="IQ418"/>
  <c r="IR418"/>
  <c r="IS418"/>
  <c r="IT418"/>
  <c r="IU418"/>
  <c r="IV418"/>
  <c r="A419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Z419"/>
  <c r="AA419"/>
  <c r="AB419"/>
  <c r="AC419"/>
  <c r="AD419"/>
  <c r="AE419"/>
  <c r="AF419"/>
  <c r="AG419"/>
  <c r="AH419"/>
  <c r="AI419"/>
  <c r="AJ419"/>
  <c r="AK419"/>
  <c r="AL419"/>
  <c r="AM419"/>
  <c r="AN419"/>
  <c r="AO419"/>
  <c r="AP419"/>
  <c r="AQ419"/>
  <c r="AR419"/>
  <c r="AS419"/>
  <c r="AT419"/>
  <c r="AU419"/>
  <c r="AV419"/>
  <c r="AW419"/>
  <c r="AX419"/>
  <c r="AY419"/>
  <c r="AZ419"/>
  <c r="BA419"/>
  <c r="BB419"/>
  <c r="BC419"/>
  <c r="BD419"/>
  <c r="BE419"/>
  <c r="BF419"/>
  <c r="BG419"/>
  <c r="BH419"/>
  <c r="BI419"/>
  <c r="BJ419"/>
  <c r="BK419"/>
  <c r="BL419"/>
  <c r="BM419"/>
  <c r="BN419"/>
  <c r="BO419"/>
  <c r="BP419"/>
  <c r="BQ419"/>
  <c r="BR419"/>
  <c r="BS419"/>
  <c r="BT419"/>
  <c r="BU419"/>
  <c r="BV419"/>
  <c r="BW419"/>
  <c r="BX419"/>
  <c r="BY419"/>
  <c r="BZ419"/>
  <c r="CA419"/>
  <c r="CB419"/>
  <c r="CC419"/>
  <c r="CD419"/>
  <c r="CE419"/>
  <c r="CF419"/>
  <c r="CG419"/>
  <c r="CH419"/>
  <c r="CI419"/>
  <c r="CJ419"/>
  <c r="CK419"/>
  <c r="CL419"/>
  <c r="CM419"/>
  <c r="CN419"/>
  <c r="CO419"/>
  <c r="CP419"/>
  <c r="CQ419"/>
  <c r="CR419"/>
  <c r="CS419"/>
  <c r="CT419"/>
  <c r="CU419"/>
  <c r="CV419"/>
  <c r="CW419"/>
  <c r="CX419"/>
  <c r="CY419"/>
  <c r="CZ419"/>
  <c r="DA419"/>
  <c r="DB419"/>
  <c r="DC419"/>
  <c r="DD419"/>
  <c r="DE419"/>
  <c r="DF419"/>
  <c r="DG419"/>
  <c r="DH419"/>
  <c r="DI419"/>
  <c r="DJ419"/>
  <c r="DK419"/>
  <c r="DL419"/>
  <c r="DM419"/>
  <c r="DN419"/>
  <c r="DO419"/>
  <c r="DP419"/>
  <c r="DQ419"/>
  <c r="DR419"/>
  <c r="DS419"/>
  <c r="DT419"/>
  <c r="DU419"/>
  <c r="DV419"/>
  <c r="DW419"/>
  <c r="DX419"/>
  <c r="DY419"/>
  <c r="DZ419"/>
  <c r="EA419"/>
  <c r="EB419"/>
  <c r="EC419"/>
  <c r="ED419"/>
  <c r="EE419"/>
  <c r="EF419"/>
  <c r="EG419"/>
  <c r="EH419"/>
  <c r="EI419"/>
  <c r="EJ419"/>
  <c r="EK419"/>
  <c r="EL419"/>
  <c r="EM419"/>
  <c r="EN419"/>
  <c r="EO419"/>
  <c r="EP419"/>
  <c r="EQ419"/>
  <c r="ER419"/>
  <c r="ES419"/>
  <c r="ET419"/>
  <c r="EU419"/>
  <c r="EV419"/>
  <c r="EW419"/>
  <c r="EX419"/>
  <c r="EY419"/>
  <c r="EZ419"/>
  <c r="FA419"/>
  <c r="FB419"/>
  <c r="FC419"/>
  <c r="FD419"/>
  <c r="FE419"/>
  <c r="FF419"/>
  <c r="FG419"/>
  <c r="FH419"/>
  <c r="FI419"/>
  <c r="FJ419"/>
  <c r="FK419"/>
  <c r="FL419"/>
  <c r="FM419"/>
  <c r="FN419"/>
  <c r="FO419"/>
  <c r="FP419"/>
  <c r="FQ419"/>
  <c r="FR419"/>
  <c r="FS419"/>
  <c r="FT419"/>
  <c r="FU419"/>
  <c r="FV419"/>
  <c r="FW419"/>
  <c r="FX419"/>
  <c r="FY419"/>
  <c r="FZ419"/>
  <c r="GA419"/>
  <c r="GB419"/>
  <c r="GC419"/>
  <c r="GD419"/>
  <c r="GE419"/>
  <c r="GF419"/>
  <c r="GG419"/>
  <c r="GH419"/>
  <c r="GI419"/>
  <c r="GJ419"/>
  <c r="GK419"/>
  <c r="GL419"/>
  <c r="GM419"/>
  <c r="GN419"/>
  <c r="GO419"/>
  <c r="GP419"/>
  <c r="GQ419"/>
  <c r="GR419"/>
  <c r="GS419"/>
  <c r="GT419"/>
  <c r="GU419"/>
  <c r="GV419"/>
  <c r="GW419"/>
  <c r="GX419"/>
  <c r="GY419"/>
  <c r="GZ419"/>
  <c r="HA419"/>
  <c r="HB419"/>
  <c r="HC419"/>
  <c r="HD419"/>
  <c r="HE419"/>
  <c r="HF419"/>
  <c r="HG419"/>
  <c r="HH419"/>
  <c r="HI419"/>
  <c r="HJ419"/>
  <c r="HK419"/>
  <c r="HL419"/>
  <c r="HM419"/>
  <c r="HN419"/>
  <c r="HO419"/>
  <c r="HP419"/>
  <c r="HQ419"/>
  <c r="HR419"/>
  <c r="HS419"/>
  <c r="HT419"/>
  <c r="HU419"/>
  <c r="HV419"/>
  <c r="HW419"/>
  <c r="HX419"/>
  <c r="HY419"/>
  <c r="HZ419"/>
  <c r="IA419"/>
  <c r="IB419"/>
  <c r="IC419"/>
  <c r="ID419"/>
  <c r="IE419"/>
  <c r="IF419"/>
  <c r="IG419"/>
  <c r="IH419"/>
  <c r="II419"/>
  <c r="IJ419"/>
  <c r="IK419"/>
  <c r="IL419"/>
  <c r="IM419"/>
  <c r="IN419"/>
  <c r="IO419"/>
  <c r="IP419"/>
  <c r="IQ419"/>
  <c r="IR419"/>
  <c r="IS419"/>
  <c r="IT419"/>
  <c r="IU419"/>
  <c r="IV419"/>
  <c r="A420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Z420"/>
  <c r="AA420"/>
  <c r="AB420"/>
  <c r="AC420"/>
  <c r="AD420"/>
  <c r="AE420"/>
  <c r="AF420"/>
  <c r="AG420"/>
  <c r="AH420"/>
  <c r="AI420"/>
  <c r="AJ420"/>
  <c r="AK420"/>
  <c r="AL420"/>
  <c r="AM420"/>
  <c r="AN420"/>
  <c r="AO420"/>
  <c r="AP420"/>
  <c r="AQ420"/>
  <c r="AR420"/>
  <c r="AS420"/>
  <c r="AT420"/>
  <c r="AU420"/>
  <c r="AV420"/>
  <c r="AW420"/>
  <c r="AX420"/>
  <c r="AY420"/>
  <c r="AZ420"/>
  <c r="BA420"/>
  <c r="BB420"/>
  <c r="BC420"/>
  <c r="BD420"/>
  <c r="BE420"/>
  <c r="BF420"/>
  <c r="BG420"/>
  <c r="BH420"/>
  <c r="BI420"/>
  <c r="BJ420"/>
  <c r="BK420"/>
  <c r="BL420"/>
  <c r="BM420"/>
  <c r="BN420"/>
  <c r="BO420"/>
  <c r="BP420"/>
  <c r="BQ420"/>
  <c r="BR420"/>
  <c r="BS420"/>
  <c r="BT420"/>
  <c r="BU420"/>
  <c r="BV420"/>
  <c r="BW420"/>
  <c r="BX420"/>
  <c r="BY420"/>
  <c r="BZ420"/>
  <c r="CA420"/>
  <c r="CB420"/>
  <c r="CC420"/>
  <c r="CD420"/>
  <c r="CE420"/>
  <c r="CF420"/>
  <c r="CG420"/>
  <c r="CH420"/>
  <c r="CI420"/>
  <c r="CJ420"/>
  <c r="CK420"/>
  <c r="CL420"/>
  <c r="CM420"/>
  <c r="CN420"/>
  <c r="CO420"/>
  <c r="CP420"/>
  <c r="CQ420"/>
  <c r="CR420"/>
  <c r="CS420"/>
  <c r="CT420"/>
  <c r="CU420"/>
  <c r="CV420"/>
  <c r="CW420"/>
  <c r="CX420"/>
  <c r="CY420"/>
  <c r="CZ420"/>
  <c r="DA420"/>
  <c r="DB420"/>
  <c r="DC420"/>
  <c r="DD420"/>
  <c r="DE420"/>
  <c r="DF420"/>
  <c r="DG420"/>
  <c r="DH420"/>
  <c r="DI420"/>
  <c r="DJ420"/>
  <c r="DK420"/>
  <c r="DL420"/>
  <c r="DM420"/>
  <c r="DN420"/>
  <c r="DO420"/>
  <c r="DP420"/>
  <c r="DQ420"/>
  <c r="DR420"/>
  <c r="DS420"/>
  <c r="DT420"/>
  <c r="DU420"/>
  <c r="DV420"/>
  <c r="DW420"/>
  <c r="DX420"/>
  <c r="DY420"/>
  <c r="DZ420"/>
  <c r="EA420"/>
  <c r="EB420"/>
  <c r="EC420"/>
  <c r="ED420"/>
  <c r="EE420"/>
  <c r="EF420"/>
  <c r="EG420"/>
  <c r="EH420"/>
  <c r="EI420"/>
  <c r="EJ420"/>
  <c r="EK420"/>
  <c r="EL420"/>
  <c r="EM420"/>
  <c r="EN420"/>
  <c r="EO420"/>
  <c r="EP420"/>
  <c r="EQ420"/>
  <c r="ER420"/>
  <c r="ES420"/>
  <c r="ET420"/>
  <c r="EU420"/>
  <c r="EV420"/>
  <c r="EW420"/>
  <c r="EX420"/>
  <c r="EY420"/>
  <c r="EZ420"/>
  <c r="FA420"/>
  <c r="FB420"/>
  <c r="FC420"/>
  <c r="FD420"/>
  <c r="FE420"/>
  <c r="FF420"/>
  <c r="FG420"/>
  <c r="FH420"/>
  <c r="FI420"/>
  <c r="FJ420"/>
  <c r="FK420"/>
  <c r="FL420"/>
  <c r="FM420"/>
  <c r="FN420"/>
  <c r="FO420"/>
  <c r="FP420"/>
  <c r="FQ420"/>
  <c r="FR420"/>
  <c r="FS420"/>
  <c r="FT420"/>
  <c r="FU420"/>
  <c r="FV420"/>
  <c r="FW420"/>
  <c r="FX420"/>
  <c r="FY420"/>
  <c r="FZ420"/>
  <c r="GA420"/>
  <c r="GB420"/>
  <c r="GC420"/>
  <c r="GD420"/>
  <c r="GE420"/>
  <c r="GF420"/>
  <c r="GG420"/>
  <c r="GH420"/>
  <c r="GI420"/>
  <c r="GJ420"/>
  <c r="GK420"/>
  <c r="GL420"/>
  <c r="GM420"/>
  <c r="GN420"/>
  <c r="GO420"/>
  <c r="GP420"/>
  <c r="GQ420"/>
  <c r="GR420"/>
  <c r="GS420"/>
  <c r="GT420"/>
  <c r="GU420"/>
  <c r="GV420"/>
  <c r="GW420"/>
  <c r="GX420"/>
  <c r="GY420"/>
  <c r="GZ420"/>
  <c r="HA420"/>
  <c r="HB420"/>
  <c r="HC420"/>
  <c r="HD420"/>
  <c r="HE420"/>
  <c r="HF420"/>
  <c r="HG420"/>
  <c r="HH420"/>
  <c r="HI420"/>
  <c r="HJ420"/>
  <c r="HK420"/>
  <c r="HL420"/>
  <c r="HM420"/>
  <c r="HN420"/>
  <c r="HO420"/>
  <c r="HP420"/>
  <c r="HQ420"/>
  <c r="HR420"/>
  <c r="HS420"/>
  <c r="HT420"/>
  <c r="HU420"/>
  <c r="HV420"/>
  <c r="HW420"/>
  <c r="HX420"/>
  <c r="HY420"/>
  <c r="HZ420"/>
  <c r="IA420"/>
  <c r="IB420"/>
  <c r="IC420"/>
  <c r="ID420"/>
  <c r="IE420"/>
  <c r="IF420"/>
  <c r="IG420"/>
  <c r="IH420"/>
  <c r="II420"/>
  <c r="IJ420"/>
  <c r="IK420"/>
  <c r="IL420"/>
  <c r="IM420"/>
  <c r="IN420"/>
  <c r="IO420"/>
  <c r="IP420"/>
  <c r="IQ420"/>
  <c r="IR420"/>
  <c r="IS420"/>
  <c r="IT420"/>
  <c r="IU420"/>
  <c r="IV420"/>
  <c r="A421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Z421"/>
  <c r="AA421"/>
  <c r="AB421"/>
  <c r="AC421"/>
  <c r="AD421"/>
  <c r="AE421"/>
  <c r="AF421"/>
  <c r="AG421"/>
  <c r="AH421"/>
  <c r="AI421"/>
  <c r="AJ421"/>
  <c r="AK421"/>
  <c r="AL421"/>
  <c r="AM421"/>
  <c r="AN421"/>
  <c r="AO421"/>
  <c r="AP421"/>
  <c r="AQ421"/>
  <c r="AR421"/>
  <c r="AS421"/>
  <c r="AT421"/>
  <c r="AU421"/>
  <c r="AV421"/>
  <c r="AW421"/>
  <c r="AX421"/>
  <c r="AY421"/>
  <c r="AZ421"/>
  <c r="BA421"/>
  <c r="BB421"/>
  <c r="BC421"/>
  <c r="BD421"/>
  <c r="BE421"/>
  <c r="BF421"/>
  <c r="BG421"/>
  <c r="BH421"/>
  <c r="BI421"/>
  <c r="BJ421"/>
  <c r="BK421"/>
  <c r="BL421"/>
  <c r="BM421"/>
  <c r="BN421"/>
  <c r="BO421"/>
  <c r="BP421"/>
  <c r="BQ421"/>
  <c r="BR421"/>
  <c r="BS421"/>
  <c r="BT421"/>
  <c r="BU421"/>
  <c r="BV421"/>
  <c r="BW421"/>
  <c r="BX421"/>
  <c r="BY421"/>
  <c r="BZ421"/>
  <c r="CA421"/>
  <c r="CB421"/>
  <c r="CC421"/>
  <c r="CD421"/>
  <c r="CE421"/>
  <c r="CF421"/>
  <c r="CG421"/>
  <c r="CH421"/>
  <c r="CI421"/>
  <c r="CJ421"/>
  <c r="CK421"/>
  <c r="CL421"/>
  <c r="CM421"/>
  <c r="CN421"/>
  <c r="CO421"/>
  <c r="CP421"/>
  <c r="CQ421"/>
  <c r="CR421"/>
  <c r="CS421"/>
  <c r="CT421"/>
  <c r="CU421"/>
  <c r="CV421"/>
  <c r="CW421"/>
  <c r="CX421"/>
  <c r="CY421"/>
  <c r="CZ421"/>
  <c r="DA421"/>
  <c r="DB421"/>
  <c r="DC421"/>
  <c r="DD421"/>
  <c r="DE421"/>
  <c r="DF421"/>
  <c r="DG421"/>
  <c r="DH421"/>
  <c r="DI421"/>
  <c r="DJ421"/>
  <c r="DK421"/>
  <c r="DL421"/>
  <c r="DM421"/>
  <c r="DN421"/>
  <c r="DO421"/>
  <c r="DP421"/>
  <c r="DQ421"/>
  <c r="DR421"/>
  <c r="DS421"/>
  <c r="DT421"/>
  <c r="DU421"/>
  <c r="DV421"/>
  <c r="DW421"/>
  <c r="DX421"/>
  <c r="DY421"/>
  <c r="DZ421"/>
  <c r="EA421"/>
  <c r="EB421"/>
  <c r="EC421"/>
  <c r="ED421"/>
  <c r="EE421"/>
  <c r="EF421"/>
  <c r="EG421"/>
  <c r="EH421"/>
  <c r="EI421"/>
  <c r="EJ421"/>
  <c r="EK421"/>
  <c r="EL421"/>
  <c r="EM421"/>
  <c r="EN421"/>
  <c r="EO421"/>
  <c r="EP421"/>
  <c r="EQ421"/>
  <c r="ER421"/>
  <c r="ES421"/>
  <c r="ET421"/>
  <c r="EU421"/>
  <c r="EV421"/>
  <c r="EW421"/>
  <c r="EX421"/>
  <c r="EY421"/>
  <c r="EZ421"/>
  <c r="FA421"/>
  <c r="FB421"/>
  <c r="FC421"/>
  <c r="FD421"/>
  <c r="FE421"/>
  <c r="FF421"/>
  <c r="FG421"/>
  <c r="FH421"/>
  <c r="FI421"/>
  <c r="FJ421"/>
  <c r="FK421"/>
  <c r="FL421"/>
  <c r="FM421"/>
  <c r="FN421"/>
  <c r="FO421"/>
  <c r="FP421"/>
  <c r="FQ421"/>
  <c r="FR421"/>
  <c r="FS421"/>
  <c r="FT421"/>
  <c r="FU421"/>
  <c r="FV421"/>
  <c r="FW421"/>
  <c r="FX421"/>
  <c r="FY421"/>
  <c r="FZ421"/>
  <c r="GA421"/>
  <c r="GB421"/>
  <c r="GC421"/>
  <c r="GD421"/>
  <c r="GE421"/>
  <c r="GF421"/>
  <c r="GG421"/>
  <c r="GH421"/>
  <c r="GI421"/>
  <c r="GJ421"/>
  <c r="GK421"/>
  <c r="GL421"/>
  <c r="GM421"/>
  <c r="GN421"/>
  <c r="GO421"/>
  <c r="GP421"/>
  <c r="GQ421"/>
  <c r="GR421"/>
  <c r="GS421"/>
  <c r="GT421"/>
  <c r="GU421"/>
  <c r="GV421"/>
  <c r="GW421"/>
  <c r="GX421"/>
  <c r="GY421"/>
  <c r="GZ421"/>
  <c r="HA421"/>
  <c r="HB421"/>
  <c r="HC421"/>
  <c r="HD421"/>
  <c r="HE421"/>
  <c r="HF421"/>
  <c r="HG421"/>
  <c r="HH421"/>
  <c r="HI421"/>
  <c r="HJ421"/>
  <c r="HK421"/>
  <c r="HL421"/>
  <c r="HM421"/>
  <c r="HN421"/>
  <c r="HO421"/>
  <c r="HP421"/>
  <c r="HQ421"/>
  <c r="HR421"/>
  <c r="HS421"/>
  <c r="HT421"/>
  <c r="HU421"/>
  <c r="HV421"/>
  <c r="HW421"/>
  <c r="HX421"/>
  <c r="HY421"/>
  <c r="HZ421"/>
  <c r="IA421"/>
  <c r="IB421"/>
  <c r="IC421"/>
  <c r="ID421"/>
  <c r="IE421"/>
  <c r="IF421"/>
  <c r="IG421"/>
  <c r="IH421"/>
  <c r="II421"/>
  <c r="IJ421"/>
  <c r="IK421"/>
  <c r="IL421"/>
  <c r="IM421"/>
  <c r="IN421"/>
  <c r="IO421"/>
  <c r="IP421"/>
  <c r="IQ421"/>
  <c r="IR421"/>
  <c r="IS421"/>
  <c r="IT421"/>
  <c r="IU421"/>
  <c r="IV421"/>
  <c r="A422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Z422"/>
  <c r="AA422"/>
  <c r="AB422"/>
  <c r="AC422"/>
  <c r="AD422"/>
  <c r="AE422"/>
  <c r="AF422"/>
  <c r="AG422"/>
  <c r="AH422"/>
  <c r="AI422"/>
  <c r="AJ422"/>
  <c r="AK422"/>
  <c r="AL422"/>
  <c r="AM422"/>
  <c r="AN422"/>
  <c r="AO422"/>
  <c r="AP422"/>
  <c r="AQ422"/>
  <c r="AR422"/>
  <c r="AS422"/>
  <c r="AT422"/>
  <c r="AU422"/>
  <c r="AV422"/>
  <c r="AW422"/>
  <c r="AX422"/>
  <c r="AY422"/>
  <c r="AZ422"/>
  <c r="BA422"/>
  <c r="BB422"/>
  <c r="BC422"/>
  <c r="BD422"/>
  <c r="BE422"/>
  <c r="BF422"/>
  <c r="BG422"/>
  <c r="BH422"/>
  <c r="BI422"/>
  <c r="BJ422"/>
  <c r="BK422"/>
  <c r="BL422"/>
  <c r="BM422"/>
  <c r="BN422"/>
  <c r="BO422"/>
  <c r="BP422"/>
  <c r="BQ422"/>
  <c r="BR422"/>
  <c r="BS422"/>
  <c r="BT422"/>
  <c r="BU422"/>
  <c r="BV422"/>
  <c r="BW422"/>
  <c r="BX422"/>
  <c r="BY422"/>
  <c r="BZ422"/>
  <c r="CA422"/>
  <c r="CB422"/>
  <c r="CC422"/>
  <c r="CD422"/>
  <c r="CE422"/>
  <c r="CF422"/>
  <c r="CG422"/>
  <c r="CH422"/>
  <c r="CI422"/>
  <c r="CJ422"/>
  <c r="CK422"/>
  <c r="CL422"/>
  <c r="CM422"/>
  <c r="CN422"/>
  <c r="CO422"/>
  <c r="CP422"/>
  <c r="CQ422"/>
  <c r="CR422"/>
  <c r="CS422"/>
  <c r="CT422"/>
  <c r="CU422"/>
  <c r="CV422"/>
  <c r="CW422"/>
  <c r="CX422"/>
  <c r="CY422"/>
  <c r="CZ422"/>
  <c r="DA422"/>
  <c r="DB422"/>
  <c r="DC422"/>
  <c r="DD422"/>
  <c r="DE422"/>
  <c r="DF422"/>
  <c r="DG422"/>
  <c r="DH422"/>
  <c r="DI422"/>
  <c r="DJ422"/>
  <c r="DK422"/>
  <c r="DL422"/>
  <c r="DM422"/>
  <c r="DN422"/>
  <c r="DO422"/>
  <c r="DP422"/>
  <c r="DQ422"/>
  <c r="DR422"/>
  <c r="DS422"/>
  <c r="DT422"/>
  <c r="DU422"/>
  <c r="DV422"/>
  <c r="DW422"/>
  <c r="DX422"/>
  <c r="DY422"/>
  <c r="DZ422"/>
  <c r="EA422"/>
  <c r="EB422"/>
  <c r="EC422"/>
  <c r="ED422"/>
  <c r="EE422"/>
  <c r="EF422"/>
  <c r="EG422"/>
  <c r="EH422"/>
  <c r="EI422"/>
  <c r="EJ422"/>
  <c r="EK422"/>
  <c r="EL422"/>
  <c r="EM422"/>
  <c r="EN422"/>
  <c r="EO422"/>
  <c r="EP422"/>
  <c r="EQ422"/>
  <c r="ER422"/>
  <c r="ES422"/>
  <c r="ET422"/>
  <c r="EU422"/>
  <c r="EV422"/>
  <c r="EW422"/>
  <c r="EX422"/>
  <c r="EY422"/>
  <c r="EZ422"/>
  <c r="FA422"/>
  <c r="FB422"/>
  <c r="FC422"/>
  <c r="FD422"/>
  <c r="FE422"/>
  <c r="FF422"/>
  <c r="FG422"/>
  <c r="FH422"/>
  <c r="FI422"/>
  <c r="FJ422"/>
  <c r="FK422"/>
  <c r="FL422"/>
  <c r="FM422"/>
  <c r="FN422"/>
  <c r="FO422"/>
  <c r="FP422"/>
  <c r="FQ422"/>
  <c r="FR422"/>
  <c r="FS422"/>
  <c r="FT422"/>
  <c r="FU422"/>
  <c r="FV422"/>
  <c r="FW422"/>
  <c r="FX422"/>
  <c r="FY422"/>
  <c r="FZ422"/>
  <c r="GA422"/>
  <c r="GB422"/>
  <c r="GC422"/>
  <c r="GD422"/>
  <c r="GE422"/>
  <c r="GF422"/>
  <c r="GG422"/>
  <c r="GH422"/>
  <c r="GI422"/>
  <c r="GJ422"/>
  <c r="GK422"/>
  <c r="GL422"/>
  <c r="GM422"/>
  <c r="GN422"/>
  <c r="GO422"/>
  <c r="GP422"/>
  <c r="GQ422"/>
  <c r="GR422"/>
  <c r="GS422"/>
  <c r="GT422"/>
  <c r="GU422"/>
  <c r="GV422"/>
  <c r="GW422"/>
  <c r="GX422"/>
  <c r="GY422"/>
  <c r="GZ422"/>
  <c r="HA422"/>
  <c r="HB422"/>
  <c r="HC422"/>
  <c r="HD422"/>
  <c r="HE422"/>
  <c r="HF422"/>
  <c r="HG422"/>
  <c r="HH422"/>
  <c r="HI422"/>
  <c r="HJ422"/>
  <c r="HK422"/>
  <c r="HL422"/>
  <c r="HM422"/>
  <c r="HN422"/>
  <c r="HO422"/>
  <c r="HP422"/>
  <c r="HQ422"/>
  <c r="HR422"/>
  <c r="HS422"/>
  <c r="HT422"/>
  <c r="HU422"/>
  <c r="HV422"/>
  <c r="HW422"/>
  <c r="HX422"/>
  <c r="HY422"/>
  <c r="HZ422"/>
  <c r="IA422"/>
  <c r="IB422"/>
  <c r="IC422"/>
  <c r="ID422"/>
  <c r="IE422"/>
  <c r="IF422"/>
  <c r="IG422"/>
  <c r="IH422"/>
  <c r="II422"/>
  <c r="IJ422"/>
  <c r="IK422"/>
  <c r="IL422"/>
  <c r="IM422"/>
  <c r="IN422"/>
  <c r="IO422"/>
  <c r="IP422"/>
  <c r="IQ422"/>
  <c r="IR422"/>
  <c r="IS422"/>
  <c r="IT422"/>
  <c r="IU422"/>
  <c r="IV422"/>
  <c r="A423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Z423"/>
  <c r="AA423"/>
  <c r="AB423"/>
  <c r="AC423"/>
  <c r="AD423"/>
  <c r="AE423"/>
  <c r="AF423"/>
  <c r="AG423"/>
  <c r="AH423"/>
  <c r="AI423"/>
  <c r="AJ423"/>
  <c r="AK423"/>
  <c r="AL423"/>
  <c r="AM423"/>
  <c r="AN423"/>
  <c r="AO423"/>
  <c r="AP423"/>
  <c r="AQ423"/>
  <c r="AR423"/>
  <c r="AS423"/>
  <c r="AT423"/>
  <c r="AU423"/>
  <c r="AV423"/>
  <c r="AW423"/>
  <c r="AX423"/>
  <c r="AY423"/>
  <c r="AZ423"/>
  <c r="BA423"/>
  <c r="BB423"/>
  <c r="BC423"/>
  <c r="BD423"/>
  <c r="BE423"/>
  <c r="BF423"/>
  <c r="BG423"/>
  <c r="BH423"/>
  <c r="BI423"/>
  <c r="BJ423"/>
  <c r="BK423"/>
  <c r="BL423"/>
  <c r="BM423"/>
  <c r="BN423"/>
  <c r="BO423"/>
  <c r="BP423"/>
  <c r="BQ423"/>
  <c r="BR423"/>
  <c r="BS423"/>
  <c r="BT423"/>
  <c r="BU423"/>
  <c r="BV423"/>
  <c r="BW423"/>
  <c r="BX423"/>
  <c r="BY423"/>
  <c r="BZ423"/>
  <c r="CA423"/>
  <c r="CB423"/>
  <c r="CC423"/>
  <c r="CD423"/>
  <c r="CE423"/>
  <c r="CF423"/>
  <c r="CG423"/>
  <c r="CH423"/>
  <c r="CI423"/>
  <c r="CJ423"/>
  <c r="CK423"/>
  <c r="CL423"/>
  <c r="CM423"/>
  <c r="CN423"/>
  <c r="CO423"/>
  <c r="CP423"/>
  <c r="CQ423"/>
  <c r="CR423"/>
  <c r="CS423"/>
  <c r="CT423"/>
  <c r="CU423"/>
  <c r="CV423"/>
  <c r="CW423"/>
  <c r="CX423"/>
  <c r="CY423"/>
  <c r="CZ423"/>
  <c r="DA423"/>
  <c r="DB423"/>
  <c r="DC423"/>
  <c r="DD423"/>
  <c r="DE423"/>
  <c r="DF423"/>
  <c r="DG423"/>
  <c r="DH423"/>
  <c r="DI423"/>
  <c r="DJ423"/>
  <c r="DK423"/>
  <c r="DL423"/>
  <c r="DM423"/>
  <c r="DN423"/>
  <c r="DO423"/>
  <c r="DP423"/>
  <c r="DQ423"/>
  <c r="DR423"/>
  <c r="DS423"/>
  <c r="DT423"/>
  <c r="DU423"/>
  <c r="DV423"/>
  <c r="DW423"/>
  <c r="DX423"/>
  <c r="DY423"/>
  <c r="DZ423"/>
  <c r="EA423"/>
  <c r="EB423"/>
  <c r="EC423"/>
  <c r="ED423"/>
  <c r="EE423"/>
  <c r="EF423"/>
  <c r="EG423"/>
  <c r="EH423"/>
  <c r="EI423"/>
  <c r="EJ423"/>
  <c r="EK423"/>
  <c r="EL423"/>
  <c r="EM423"/>
  <c r="EN423"/>
  <c r="EO423"/>
  <c r="EP423"/>
  <c r="EQ423"/>
  <c r="ER423"/>
  <c r="ES423"/>
  <c r="ET423"/>
  <c r="EU423"/>
  <c r="EV423"/>
  <c r="EW423"/>
  <c r="EX423"/>
  <c r="EY423"/>
  <c r="EZ423"/>
  <c r="FA423"/>
  <c r="FB423"/>
  <c r="FC423"/>
  <c r="FD423"/>
  <c r="FE423"/>
  <c r="FF423"/>
  <c r="FG423"/>
  <c r="FH423"/>
  <c r="FI423"/>
  <c r="FJ423"/>
  <c r="FK423"/>
  <c r="FL423"/>
  <c r="FM423"/>
  <c r="FN423"/>
  <c r="FO423"/>
  <c r="FP423"/>
  <c r="FQ423"/>
  <c r="FR423"/>
  <c r="FS423"/>
  <c r="FT423"/>
  <c r="FU423"/>
  <c r="FV423"/>
  <c r="FW423"/>
  <c r="FX423"/>
  <c r="FY423"/>
  <c r="FZ423"/>
  <c r="GA423"/>
  <c r="GB423"/>
  <c r="GC423"/>
  <c r="GD423"/>
  <c r="GE423"/>
  <c r="GF423"/>
  <c r="GG423"/>
  <c r="GH423"/>
  <c r="GI423"/>
  <c r="GJ423"/>
  <c r="GK423"/>
  <c r="GL423"/>
  <c r="GM423"/>
  <c r="GN423"/>
  <c r="GO423"/>
  <c r="GP423"/>
  <c r="GQ423"/>
  <c r="GR423"/>
  <c r="GS423"/>
  <c r="GT423"/>
  <c r="GU423"/>
  <c r="GV423"/>
  <c r="GW423"/>
  <c r="GX423"/>
  <c r="GY423"/>
  <c r="GZ423"/>
  <c r="HA423"/>
  <c r="HB423"/>
  <c r="HC423"/>
  <c r="HD423"/>
  <c r="HE423"/>
  <c r="HF423"/>
  <c r="HG423"/>
  <c r="HH423"/>
  <c r="HI423"/>
  <c r="HJ423"/>
  <c r="HK423"/>
  <c r="HL423"/>
  <c r="HM423"/>
  <c r="HN423"/>
  <c r="HO423"/>
  <c r="HP423"/>
  <c r="HQ423"/>
  <c r="HR423"/>
  <c r="HS423"/>
  <c r="HT423"/>
  <c r="HU423"/>
  <c r="HV423"/>
  <c r="HW423"/>
  <c r="HX423"/>
  <c r="HY423"/>
  <c r="HZ423"/>
  <c r="IA423"/>
  <c r="IB423"/>
  <c r="IC423"/>
  <c r="ID423"/>
  <c r="IE423"/>
  <c r="IF423"/>
  <c r="IG423"/>
  <c r="IH423"/>
  <c r="II423"/>
  <c r="IJ423"/>
  <c r="IK423"/>
  <c r="IL423"/>
  <c r="IM423"/>
  <c r="IN423"/>
  <c r="IO423"/>
  <c r="IP423"/>
  <c r="IQ423"/>
  <c r="IR423"/>
  <c r="IS423"/>
  <c r="IT423"/>
  <c r="IU423"/>
  <c r="IV423"/>
  <c r="A424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Z424"/>
  <c r="AA424"/>
  <c r="AB424"/>
  <c r="AC424"/>
  <c r="AD424"/>
  <c r="AE424"/>
  <c r="AF424"/>
  <c r="AG424"/>
  <c r="AH424"/>
  <c r="AI424"/>
  <c r="AJ424"/>
  <c r="AK424"/>
  <c r="AL424"/>
  <c r="AM424"/>
  <c r="AN424"/>
  <c r="AO424"/>
  <c r="AP424"/>
  <c r="AQ424"/>
  <c r="AR424"/>
  <c r="AS424"/>
  <c r="AT424"/>
  <c r="AU424"/>
  <c r="AV424"/>
  <c r="AW424"/>
  <c r="AX424"/>
  <c r="AY424"/>
  <c r="AZ424"/>
  <c r="BA424"/>
  <c r="BB424"/>
  <c r="BC424"/>
  <c r="BD424"/>
  <c r="BE424"/>
  <c r="BF424"/>
  <c r="BG424"/>
  <c r="BH424"/>
  <c r="BI424"/>
  <c r="BJ424"/>
  <c r="BK424"/>
  <c r="BL424"/>
  <c r="BM424"/>
  <c r="BN424"/>
  <c r="BO424"/>
  <c r="BP424"/>
  <c r="BQ424"/>
  <c r="BR424"/>
  <c r="BS424"/>
  <c r="BT424"/>
  <c r="BU424"/>
  <c r="BV424"/>
  <c r="BW424"/>
  <c r="BX424"/>
  <c r="BY424"/>
  <c r="BZ424"/>
  <c r="CA424"/>
  <c r="CB424"/>
  <c r="CC424"/>
  <c r="CD424"/>
  <c r="CE424"/>
  <c r="CF424"/>
  <c r="CG424"/>
  <c r="CH424"/>
  <c r="CI424"/>
  <c r="CJ424"/>
  <c r="CK424"/>
  <c r="CL424"/>
  <c r="CM424"/>
  <c r="CN424"/>
  <c r="CO424"/>
  <c r="CP424"/>
  <c r="CQ424"/>
  <c r="CR424"/>
  <c r="CS424"/>
  <c r="CT424"/>
  <c r="CU424"/>
  <c r="CV424"/>
  <c r="CW424"/>
  <c r="CX424"/>
  <c r="CY424"/>
  <c r="CZ424"/>
  <c r="DA424"/>
  <c r="DB424"/>
  <c r="DC424"/>
  <c r="DD424"/>
  <c r="DE424"/>
  <c r="DF424"/>
  <c r="DG424"/>
  <c r="DH424"/>
  <c r="DI424"/>
  <c r="DJ424"/>
  <c r="DK424"/>
  <c r="DL424"/>
  <c r="DM424"/>
  <c r="DN424"/>
  <c r="DO424"/>
  <c r="DP424"/>
  <c r="DQ424"/>
  <c r="DR424"/>
  <c r="DS424"/>
  <c r="DT424"/>
  <c r="DU424"/>
  <c r="DV424"/>
  <c r="DW424"/>
  <c r="DX424"/>
  <c r="DY424"/>
  <c r="DZ424"/>
  <c r="EA424"/>
  <c r="EB424"/>
  <c r="EC424"/>
  <c r="ED424"/>
  <c r="EE424"/>
  <c r="EF424"/>
  <c r="EG424"/>
  <c r="EH424"/>
  <c r="EI424"/>
  <c r="EJ424"/>
  <c r="EK424"/>
  <c r="EL424"/>
  <c r="EM424"/>
  <c r="EN424"/>
  <c r="EO424"/>
  <c r="EP424"/>
  <c r="EQ424"/>
  <c r="ER424"/>
  <c r="ES424"/>
  <c r="ET424"/>
  <c r="EU424"/>
  <c r="EV424"/>
  <c r="EW424"/>
  <c r="EX424"/>
  <c r="EY424"/>
  <c r="EZ424"/>
  <c r="FA424"/>
  <c r="FB424"/>
  <c r="FC424"/>
  <c r="FD424"/>
  <c r="FE424"/>
  <c r="FF424"/>
  <c r="FG424"/>
  <c r="FH424"/>
  <c r="FI424"/>
  <c r="FJ424"/>
  <c r="FK424"/>
  <c r="FL424"/>
  <c r="FM424"/>
  <c r="FN424"/>
  <c r="FO424"/>
  <c r="FP424"/>
  <c r="FQ424"/>
  <c r="FR424"/>
  <c r="FS424"/>
  <c r="FT424"/>
  <c r="FU424"/>
  <c r="FV424"/>
  <c r="FW424"/>
  <c r="FX424"/>
  <c r="FY424"/>
  <c r="FZ424"/>
  <c r="GA424"/>
  <c r="GB424"/>
  <c r="GC424"/>
  <c r="GD424"/>
  <c r="GE424"/>
  <c r="GF424"/>
  <c r="GG424"/>
  <c r="GH424"/>
  <c r="GI424"/>
  <c r="GJ424"/>
  <c r="GK424"/>
  <c r="GL424"/>
  <c r="GM424"/>
  <c r="GN424"/>
  <c r="GO424"/>
  <c r="GP424"/>
  <c r="GQ424"/>
  <c r="GR424"/>
  <c r="GS424"/>
  <c r="GT424"/>
  <c r="GU424"/>
  <c r="GV424"/>
  <c r="GW424"/>
  <c r="GX424"/>
  <c r="GY424"/>
  <c r="GZ424"/>
  <c r="HA424"/>
  <c r="HB424"/>
  <c r="HC424"/>
  <c r="HD424"/>
  <c r="HE424"/>
  <c r="HF424"/>
  <c r="HG424"/>
  <c r="HH424"/>
  <c r="HI424"/>
  <c r="HJ424"/>
  <c r="HK424"/>
  <c r="HL424"/>
  <c r="HM424"/>
  <c r="HN424"/>
  <c r="HO424"/>
  <c r="HP424"/>
  <c r="HQ424"/>
  <c r="HR424"/>
  <c r="HS424"/>
  <c r="HT424"/>
  <c r="HU424"/>
  <c r="HV424"/>
  <c r="HW424"/>
  <c r="HX424"/>
  <c r="HY424"/>
  <c r="HZ424"/>
  <c r="IA424"/>
  <c r="IB424"/>
  <c r="IC424"/>
  <c r="ID424"/>
  <c r="IE424"/>
  <c r="IF424"/>
  <c r="IG424"/>
  <c r="IH424"/>
  <c r="II424"/>
  <c r="IJ424"/>
  <c r="IK424"/>
  <c r="IL424"/>
  <c r="IM424"/>
  <c r="IN424"/>
  <c r="IO424"/>
  <c r="IP424"/>
  <c r="IQ424"/>
  <c r="IR424"/>
  <c r="IS424"/>
  <c r="IT424"/>
  <c r="IU424"/>
  <c r="IV424"/>
  <c r="A425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Z425"/>
  <c r="AA425"/>
  <c r="AB425"/>
  <c r="AC425"/>
  <c r="AD425"/>
  <c r="AE425"/>
  <c r="AF425"/>
  <c r="AG425"/>
  <c r="AH425"/>
  <c r="AI425"/>
  <c r="AJ425"/>
  <c r="AK425"/>
  <c r="AL425"/>
  <c r="AM425"/>
  <c r="AN425"/>
  <c r="AO425"/>
  <c r="AP425"/>
  <c r="AQ425"/>
  <c r="AR425"/>
  <c r="AS425"/>
  <c r="AT425"/>
  <c r="AU425"/>
  <c r="AV425"/>
  <c r="AW425"/>
  <c r="AX425"/>
  <c r="AY425"/>
  <c r="AZ425"/>
  <c r="BA425"/>
  <c r="BB425"/>
  <c r="BC425"/>
  <c r="BD425"/>
  <c r="BE425"/>
  <c r="BF425"/>
  <c r="BG425"/>
  <c r="BH425"/>
  <c r="BI425"/>
  <c r="BJ425"/>
  <c r="BK425"/>
  <c r="BL425"/>
  <c r="BM425"/>
  <c r="BN425"/>
  <c r="BO425"/>
  <c r="BP425"/>
  <c r="BQ425"/>
  <c r="BR425"/>
  <c r="BS425"/>
  <c r="BT425"/>
  <c r="BU425"/>
  <c r="BV425"/>
  <c r="BW425"/>
  <c r="BX425"/>
  <c r="BY425"/>
  <c r="BZ425"/>
  <c r="CA425"/>
  <c r="CB425"/>
  <c r="CC425"/>
  <c r="CD425"/>
  <c r="CE425"/>
  <c r="CF425"/>
  <c r="CG425"/>
  <c r="CH425"/>
  <c r="CI425"/>
  <c r="CJ425"/>
  <c r="CK425"/>
  <c r="CL425"/>
  <c r="CM425"/>
  <c r="CN425"/>
  <c r="CO425"/>
  <c r="CP425"/>
  <c r="CQ425"/>
  <c r="CR425"/>
  <c r="CS425"/>
  <c r="CT425"/>
  <c r="CU425"/>
  <c r="CV425"/>
  <c r="CW425"/>
  <c r="CX425"/>
  <c r="CY425"/>
  <c r="CZ425"/>
  <c r="DA425"/>
  <c r="DB425"/>
  <c r="DC425"/>
  <c r="DD425"/>
  <c r="DE425"/>
  <c r="DF425"/>
  <c r="DG425"/>
  <c r="DH425"/>
  <c r="DI425"/>
  <c r="DJ425"/>
  <c r="DK425"/>
  <c r="DL425"/>
  <c r="DM425"/>
  <c r="DN425"/>
  <c r="DO425"/>
  <c r="DP425"/>
  <c r="DQ425"/>
  <c r="DR425"/>
  <c r="DS425"/>
  <c r="DT425"/>
  <c r="DU425"/>
  <c r="DV425"/>
  <c r="DW425"/>
  <c r="DX425"/>
  <c r="DY425"/>
  <c r="DZ425"/>
  <c r="EA425"/>
  <c r="EB425"/>
  <c r="EC425"/>
  <c r="ED425"/>
  <c r="EE425"/>
  <c r="EF425"/>
  <c r="EG425"/>
  <c r="EH425"/>
  <c r="EI425"/>
  <c r="EJ425"/>
  <c r="EK425"/>
  <c r="EL425"/>
  <c r="EM425"/>
  <c r="EN425"/>
  <c r="EO425"/>
  <c r="EP425"/>
  <c r="EQ425"/>
  <c r="ER425"/>
  <c r="ES425"/>
  <c r="ET425"/>
  <c r="EU425"/>
  <c r="EV425"/>
  <c r="EW425"/>
  <c r="EX425"/>
  <c r="EY425"/>
  <c r="EZ425"/>
  <c r="FA425"/>
  <c r="FB425"/>
  <c r="FC425"/>
  <c r="FD425"/>
  <c r="FE425"/>
  <c r="FF425"/>
  <c r="FG425"/>
  <c r="FH425"/>
  <c r="FI425"/>
  <c r="FJ425"/>
  <c r="FK425"/>
  <c r="FL425"/>
  <c r="FM425"/>
  <c r="FN425"/>
  <c r="FO425"/>
  <c r="FP425"/>
  <c r="FQ425"/>
  <c r="FR425"/>
  <c r="FS425"/>
  <c r="FT425"/>
  <c r="FU425"/>
  <c r="FV425"/>
  <c r="FW425"/>
  <c r="FX425"/>
  <c r="FY425"/>
  <c r="FZ425"/>
  <c r="GA425"/>
  <c r="GB425"/>
  <c r="GC425"/>
  <c r="GD425"/>
  <c r="GE425"/>
  <c r="GF425"/>
  <c r="GG425"/>
  <c r="GH425"/>
  <c r="GI425"/>
  <c r="GJ425"/>
  <c r="GK425"/>
  <c r="GL425"/>
  <c r="GM425"/>
  <c r="GN425"/>
  <c r="GO425"/>
  <c r="GP425"/>
  <c r="GQ425"/>
  <c r="GR425"/>
  <c r="GS425"/>
  <c r="GT425"/>
  <c r="GU425"/>
  <c r="GV425"/>
  <c r="GW425"/>
  <c r="GX425"/>
  <c r="GY425"/>
  <c r="GZ425"/>
  <c r="HA425"/>
  <c r="HB425"/>
  <c r="HC425"/>
  <c r="HD425"/>
  <c r="HE425"/>
  <c r="HF425"/>
  <c r="HG425"/>
  <c r="HH425"/>
  <c r="HI425"/>
  <c r="HJ425"/>
  <c r="HK425"/>
  <c r="HL425"/>
  <c r="HM425"/>
  <c r="HN425"/>
  <c r="HO425"/>
  <c r="HP425"/>
  <c r="HQ425"/>
  <c r="HR425"/>
  <c r="HS425"/>
  <c r="HT425"/>
  <c r="HU425"/>
  <c r="HV425"/>
  <c r="HW425"/>
  <c r="HX425"/>
  <c r="HY425"/>
  <c r="HZ425"/>
  <c r="IA425"/>
  <c r="IB425"/>
  <c r="IC425"/>
  <c r="ID425"/>
  <c r="IE425"/>
  <c r="IF425"/>
  <c r="IG425"/>
  <c r="IH425"/>
  <c r="II425"/>
  <c r="IJ425"/>
  <c r="IK425"/>
  <c r="IL425"/>
  <c r="IM425"/>
  <c r="IN425"/>
  <c r="IO425"/>
  <c r="IP425"/>
  <c r="IQ425"/>
  <c r="IR425"/>
  <c r="IS425"/>
  <c r="IT425"/>
  <c r="IU425"/>
  <c r="IV425"/>
  <c r="A426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Z426"/>
  <c r="AA426"/>
  <c r="AB426"/>
  <c r="AC426"/>
  <c r="AD426"/>
  <c r="AE426"/>
  <c r="AF426"/>
  <c r="AG426"/>
  <c r="AH426"/>
  <c r="AI426"/>
  <c r="AJ426"/>
  <c r="AK426"/>
  <c r="AL426"/>
  <c r="AM426"/>
  <c r="AN426"/>
  <c r="AO426"/>
  <c r="AP426"/>
  <c r="AQ426"/>
  <c r="AR426"/>
  <c r="AS426"/>
  <c r="AT426"/>
  <c r="AU426"/>
  <c r="AV426"/>
  <c r="AW426"/>
  <c r="AX426"/>
  <c r="AY426"/>
  <c r="AZ426"/>
  <c r="BA426"/>
  <c r="BB426"/>
  <c r="BC426"/>
  <c r="BD426"/>
  <c r="BE426"/>
  <c r="BF426"/>
  <c r="BG426"/>
  <c r="BH426"/>
  <c r="BI426"/>
  <c r="BJ426"/>
  <c r="BK426"/>
  <c r="BL426"/>
  <c r="BM426"/>
  <c r="BN426"/>
  <c r="BO426"/>
  <c r="BP426"/>
  <c r="BQ426"/>
  <c r="BR426"/>
  <c r="BS426"/>
  <c r="BT426"/>
  <c r="BU426"/>
  <c r="BV426"/>
  <c r="BW426"/>
  <c r="BX426"/>
  <c r="BY426"/>
  <c r="BZ426"/>
  <c r="CA426"/>
  <c r="CB426"/>
  <c r="CC426"/>
  <c r="CD426"/>
  <c r="CE426"/>
  <c r="CF426"/>
  <c r="CG426"/>
  <c r="CH426"/>
  <c r="CI426"/>
  <c r="CJ426"/>
  <c r="CK426"/>
  <c r="CL426"/>
  <c r="CM426"/>
  <c r="CN426"/>
  <c r="CO426"/>
  <c r="CP426"/>
  <c r="CQ426"/>
  <c r="CR426"/>
  <c r="CS426"/>
  <c r="CT426"/>
  <c r="CU426"/>
  <c r="CV426"/>
  <c r="CW426"/>
  <c r="CX426"/>
  <c r="CY426"/>
  <c r="CZ426"/>
  <c r="DA426"/>
  <c r="DB426"/>
  <c r="DC426"/>
  <c r="DD426"/>
  <c r="DE426"/>
  <c r="DF426"/>
  <c r="DG426"/>
  <c r="DH426"/>
  <c r="DI426"/>
  <c r="DJ426"/>
  <c r="DK426"/>
  <c r="DL426"/>
  <c r="DM426"/>
  <c r="DN426"/>
  <c r="DO426"/>
  <c r="DP426"/>
  <c r="DQ426"/>
  <c r="DR426"/>
  <c r="DS426"/>
  <c r="DT426"/>
  <c r="DU426"/>
  <c r="DV426"/>
  <c r="DW426"/>
  <c r="DX426"/>
  <c r="DY426"/>
  <c r="DZ426"/>
  <c r="EA426"/>
  <c r="EB426"/>
  <c r="EC426"/>
  <c r="ED426"/>
  <c r="EE426"/>
  <c r="EF426"/>
  <c r="EG426"/>
  <c r="EH426"/>
  <c r="EI426"/>
  <c r="EJ426"/>
  <c r="EK426"/>
  <c r="EL426"/>
  <c r="EM426"/>
  <c r="EN426"/>
  <c r="EO426"/>
  <c r="EP426"/>
  <c r="EQ426"/>
  <c r="ER426"/>
  <c r="ES426"/>
  <c r="ET426"/>
  <c r="EU426"/>
  <c r="EV426"/>
  <c r="EW426"/>
  <c r="EX426"/>
  <c r="EY426"/>
  <c r="EZ426"/>
  <c r="FA426"/>
  <c r="FB426"/>
  <c r="FC426"/>
  <c r="FD426"/>
  <c r="FE426"/>
  <c r="FF426"/>
  <c r="FG426"/>
  <c r="FH426"/>
  <c r="FI426"/>
  <c r="FJ426"/>
  <c r="FK426"/>
  <c r="FL426"/>
  <c r="FM426"/>
  <c r="FN426"/>
  <c r="FO426"/>
  <c r="FP426"/>
  <c r="FQ426"/>
  <c r="FR426"/>
  <c r="FS426"/>
  <c r="FT426"/>
  <c r="FU426"/>
  <c r="FV426"/>
  <c r="FW426"/>
  <c r="FX426"/>
  <c r="FY426"/>
  <c r="FZ426"/>
  <c r="GA426"/>
  <c r="GB426"/>
  <c r="GC426"/>
  <c r="GD426"/>
  <c r="GE426"/>
  <c r="GF426"/>
  <c r="GG426"/>
  <c r="GH426"/>
  <c r="GI426"/>
  <c r="GJ426"/>
  <c r="GK426"/>
  <c r="GL426"/>
  <c r="GM426"/>
  <c r="GN426"/>
  <c r="GO426"/>
  <c r="GP426"/>
  <c r="GQ426"/>
  <c r="GR426"/>
  <c r="GS426"/>
  <c r="GT426"/>
  <c r="GU426"/>
  <c r="GV426"/>
  <c r="GW426"/>
  <c r="GX426"/>
  <c r="GY426"/>
  <c r="GZ426"/>
  <c r="HA426"/>
  <c r="HB426"/>
  <c r="HC426"/>
  <c r="HD426"/>
  <c r="HE426"/>
  <c r="HF426"/>
  <c r="HG426"/>
  <c r="HH426"/>
  <c r="HI426"/>
  <c r="HJ426"/>
  <c r="HK426"/>
  <c r="HL426"/>
  <c r="HM426"/>
  <c r="HN426"/>
  <c r="HO426"/>
  <c r="HP426"/>
  <c r="HQ426"/>
  <c r="HR426"/>
  <c r="HS426"/>
  <c r="HT426"/>
  <c r="HU426"/>
  <c r="HV426"/>
  <c r="HW426"/>
  <c r="HX426"/>
  <c r="HY426"/>
  <c r="HZ426"/>
  <c r="IA426"/>
  <c r="IB426"/>
  <c r="IC426"/>
  <c r="ID426"/>
  <c r="IE426"/>
  <c r="IF426"/>
  <c r="IG426"/>
  <c r="IH426"/>
  <c r="II426"/>
  <c r="IJ426"/>
  <c r="IK426"/>
  <c r="IL426"/>
  <c r="IM426"/>
  <c r="IN426"/>
  <c r="IO426"/>
  <c r="IP426"/>
  <c r="IQ426"/>
  <c r="IR426"/>
  <c r="IS426"/>
  <c r="IT426"/>
  <c r="IU426"/>
  <c r="IV426"/>
  <c r="A427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Z427"/>
  <c r="AA427"/>
  <c r="AB427"/>
  <c r="AC427"/>
  <c r="AD427"/>
  <c r="AE427"/>
  <c r="AF427"/>
  <c r="AG427"/>
  <c r="AH427"/>
  <c r="AI427"/>
  <c r="AJ427"/>
  <c r="AK427"/>
  <c r="AL427"/>
  <c r="AM427"/>
  <c r="AN427"/>
  <c r="AO427"/>
  <c r="AP427"/>
  <c r="AQ427"/>
  <c r="AR427"/>
  <c r="AS427"/>
  <c r="AT427"/>
  <c r="AU427"/>
  <c r="AV427"/>
  <c r="AW427"/>
  <c r="AX427"/>
  <c r="AY427"/>
  <c r="AZ427"/>
  <c r="BA427"/>
  <c r="BB427"/>
  <c r="BC427"/>
  <c r="BD427"/>
  <c r="BE427"/>
  <c r="BF427"/>
  <c r="BG427"/>
  <c r="BH427"/>
  <c r="BI427"/>
  <c r="BJ427"/>
  <c r="BK427"/>
  <c r="BL427"/>
  <c r="BM427"/>
  <c r="BN427"/>
  <c r="BO427"/>
  <c r="BP427"/>
  <c r="BQ427"/>
  <c r="BR427"/>
  <c r="BS427"/>
  <c r="BT427"/>
  <c r="BU427"/>
  <c r="BV427"/>
  <c r="BW427"/>
  <c r="BX427"/>
  <c r="BY427"/>
  <c r="BZ427"/>
  <c r="CA427"/>
  <c r="CB427"/>
  <c r="CC427"/>
  <c r="CD427"/>
  <c r="CE427"/>
  <c r="CF427"/>
  <c r="CG427"/>
  <c r="CH427"/>
  <c r="CI427"/>
  <c r="CJ427"/>
  <c r="CK427"/>
  <c r="CL427"/>
  <c r="CM427"/>
  <c r="CN427"/>
  <c r="CO427"/>
  <c r="CP427"/>
  <c r="CQ427"/>
  <c r="CR427"/>
  <c r="CS427"/>
  <c r="CT427"/>
  <c r="CU427"/>
  <c r="CV427"/>
  <c r="CW427"/>
  <c r="CX427"/>
  <c r="CY427"/>
  <c r="CZ427"/>
  <c r="DA427"/>
  <c r="DB427"/>
  <c r="DC427"/>
  <c r="DD427"/>
  <c r="DE427"/>
  <c r="DF427"/>
  <c r="DG427"/>
  <c r="DH427"/>
  <c r="DI427"/>
  <c r="DJ427"/>
  <c r="DK427"/>
  <c r="DL427"/>
  <c r="DM427"/>
  <c r="DN427"/>
  <c r="DO427"/>
  <c r="DP427"/>
  <c r="DQ427"/>
  <c r="DR427"/>
  <c r="DS427"/>
  <c r="DT427"/>
  <c r="DU427"/>
  <c r="DV427"/>
  <c r="DW427"/>
  <c r="DX427"/>
  <c r="DY427"/>
  <c r="DZ427"/>
  <c r="EA427"/>
  <c r="EB427"/>
  <c r="EC427"/>
  <c r="ED427"/>
  <c r="EE427"/>
  <c r="EF427"/>
  <c r="EG427"/>
  <c r="EH427"/>
  <c r="EI427"/>
  <c r="EJ427"/>
  <c r="EK427"/>
  <c r="EL427"/>
  <c r="EM427"/>
  <c r="EN427"/>
  <c r="EO427"/>
  <c r="EP427"/>
  <c r="EQ427"/>
  <c r="ER427"/>
  <c r="ES427"/>
  <c r="ET427"/>
  <c r="EU427"/>
  <c r="EV427"/>
  <c r="EW427"/>
  <c r="EX427"/>
  <c r="EY427"/>
  <c r="EZ427"/>
  <c r="FA427"/>
  <c r="FB427"/>
  <c r="FC427"/>
  <c r="FD427"/>
  <c r="FE427"/>
  <c r="FF427"/>
  <c r="FG427"/>
  <c r="FH427"/>
  <c r="FI427"/>
  <c r="FJ427"/>
  <c r="FK427"/>
  <c r="FL427"/>
  <c r="FM427"/>
  <c r="FN427"/>
  <c r="FO427"/>
  <c r="FP427"/>
  <c r="FQ427"/>
  <c r="FR427"/>
  <c r="FS427"/>
  <c r="FT427"/>
  <c r="FU427"/>
  <c r="FV427"/>
  <c r="FW427"/>
  <c r="FX427"/>
  <c r="FY427"/>
  <c r="FZ427"/>
  <c r="GA427"/>
  <c r="GB427"/>
  <c r="GC427"/>
  <c r="GD427"/>
  <c r="GE427"/>
  <c r="GF427"/>
  <c r="GG427"/>
  <c r="GH427"/>
  <c r="GI427"/>
  <c r="GJ427"/>
  <c r="GK427"/>
  <c r="GL427"/>
  <c r="GM427"/>
  <c r="GN427"/>
  <c r="GO427"/>
  <c r="GP427"/>
  <c r="GQ427"/>
  <c r="GR427"/>
  <c r="GS427"/>
  <c r="GT427"/>
  <c r="GU427"/>
  <c r="GV427"/>
  <c r="GW427"/>
  <c r="GX427"/>
  <c r="GY427"/>
  <c r="GZ427"/>
  <c r="HA427"/>
  <c r="HB427"/>
  <c r="HC427"/>
  <c r="HD427"/>
  <c r="HE427"/>
  <c r="HF427"/>
  <c r="HG427"/>
  <c r="HH427"/>
  <c r="HI427"/>
  <c r="HJ427"/>
  <c r="HK427"/>
  <c r="HL427"/>
  <c r="HM427"/>
  <c r="HN427"/>
  <c r="HO427"/>
  <c r="HP427"/>
  <c r="HQ427"/>
  <c r="HR427"/>
  <c r="HS427"/>
  <c r="HT427"/>
  <c r="HU427"/>
  <c r="HV427"/>
  <c r="HW427"/>
  <c r="HX427"/>
  <c r="HY427"/>
  <c r="HZ427"/>
  <c r="IA427"/>
  <c r="IB427"/>
  <c r="IC427"/>
  <c r="ID427"/>
  <c r="IE427"/>
  <c r="IF427"/>
  <c r="IG427"/>
  <c r="IH427"/>
  <c r="II427"/>
  <c r="IJ427"/>
  <c r="IK427"/>
  <c r="IL427"/>
  <c r="IM427"/>
  <c r="IN427"/>
  <c r="IO427"/>
  <c r="IP427"/>
  <c r="IQ427"/>
  <c r="IR427"/>
  <c r="IS427"/>
  <c r="IT427"/>
  <c r="IU427"/>
  <c r="IV427"/>
  <c r="A428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Z428"/>
  <c r="AA428"/>
  <c r="AB428"/>
  <c r="AC428"/>
  <c r="AD428"/>
  <c r="AE428"/>
  <c r="AF428"/>
  <c r="AG428"/>
  <c r="AH428"/>
  <c r="AI428"/>
  <c r="AJ428"/>
  <c r="AK428"/>
  <c r="AL428"/>
  <c r="AM428"/>
  <c r="AN428"/>
  <c r="AO428"/>
  <c r="AP428"/>
  <c r="AQ428"/>
  <c r="AR428"/>
  <c r="AS428"/>
  <c r="AT428"/>
  <c r="AU428"/>
  <c r="AV428"/>
  <c r="AW428"/>
  <c r="AX428"/>
  <c r="AY428"/>
  <c r="AZ428"/>
  <c r="BA428"/>
  <c r="BB428"/>
  <c r="BC428"/>
  <c r="BD428"/>
  <c r="BE428"/>
  <c r="BF428"/>
  <c r="BG428"/>
  <c r="BH428"/>
  <c r="BI428"/>
  <c r="BJ428"/>
  <c r="BK428"/>
  <c r="BL428"/>
  <c r="BM428"/>
  <c r="BN428"/>
  <c r="BO428"/>
  <c r="BP428"/>
  <c r="BQ428"/>
  <c r="BR428"/>
  <c r="BS428"/>
  <c r="BT428"/>
  <c r="BU428"/>
  <c r="BV428"/>
  <c r="BW428"/>
  <c r="BX428"/>
  <c r="BY428"/>
  <c r="BZ428"/>
  <c r="CA428"/>
  <c r="CB428"/>
  <c r="CC428"/>
  <c r="CD428"/>
  <c r="CE428"/>
  <c r="CF428"/>
  <c r="CG428"/>
  <c r="CH428"/>
  <c r="CI428"/>
  <c r="CJ428"/>
  <c r="CK428"/>
  <c r="CL428"/>
  <c r="CM428"/>
  <c r="CN428"/>
  <c r="CO428"/>
  <c r="CP428"/>
  <c r="CQ428"/>
  <c r="CR428"/>
  <c r="CS428"/>
  <c r="CT428"/>
  <c r="CU428"/>
  <c r="CV428"/>
  <c r="CW428"/>
  <c r="CX428"/>
  <c r="CY428"/>
  <c r="CZ428"/>
  <c r="DA428"/>
  <c r="DB428"/>
  <c r="DC428"/>
  <c r="DD428"/>
  <c r="DE428"/>
  <c r="DF428"/>
  <c r="DG428"/>
  <c r="DH428"/>
  <c r="DI428"/>
  <c r="DJ428"/>
  <c r="DK428"/>
  <c r="DL428"/>
  <c r="DM428"/>
  <c r="DN428"/>
  <c r="DO428"/>
  <c r="DP428"/>
  <c r="DQ428"/>
  <c r="DR428"/>
  <c r="DS428"/>
  <c r="DT428"/>
  <c r="DU428"/>
  <c r="DV428"/>
  <c r="DW428"/>
  <c r="DX428"/>
  <c r="DY428"/>
  <c r="DZ428"/>
  <c r="EA428"/>
  <c r="EB428"/>
  <c r="EC428"/>
  <c r="ED428"/>
  <c r="EE428"/>
  <c r="EF428"/>
  <c r="EG428"/>
  <c r="EH428"/>
  <c r="EI428"/>
  <c r="EJ428"/>
  <c r="EK428"/>
  <c r="EL428"/>
  <c r="EM428"/>
  <c r="EN428"/>
  <c r="EO428"/>
  <c r="EP428"/>
  <c r="EQ428"/>
  <c r="ER428"/>
  <c r="ES428"/>
  <c r="ET428"/>
  <c r="EU428"/>
  <c r="EV428"/>
  <c r="EW428"/>
  <c r="EX428"/>
  <c r="EY428"/>
  <c r="EZ428"/>
  <c r="FA428"/>
  <c r="FB428"/>
  <c r="FC428"/>
  <c r="FD428"/>
  <c r="FE428"/>
  <c r="FF428"/>
  <c r="FG428"/>
  <c r="FH428"/>
  <c r="FI428"/>
  <c r="FJ428"/>
  <c r="FK428"/>
  <c r="FL428"/>
  <c r="FM428"/>
  <c r="FN428"/>
  <c r="FO428"/>
  <c r="FP428"/>
  <c r="FQ428"/>
  <c r="FR428"/>
  <c r="FS428"/>
  <c r="FT428"/>
  <c r="FU428"/>
  <c r="FV428"/>
  <c r="FW428"/>
  <c r="FX428"/>
  <c r="FY428"/>
  <c r="FZ428"/>
  <c r="GA428"/>
  <c r="GB428"/>
  <c r="GC428"/>
  <c r="GD428"/>
  <c r="GE428"/>
  <c r="GF428"/>
  <c r="GG428"/>
  <c r="GH428"/>
  <c r="GI428"/>
  <c r="GJ428"/>
  <c r="GK428"/>
  <c r="GL428"/>
  <c r="GM428"/>
  <c r="GN428"/>
  <c r="GO428"/>
  <c r="GP428"/>
  <c r="GQ428"/>
  <c r="GR428"/>
  <c r="GS428"/>
  <c r="GT428"/>
  <c r="GU428"/>
  <c r="GV428"/>
  <c r="GW428"/>
  <c r="GX428"/>
  <c r="GY428"/>
  <c r="GZ428"/>
  <c r="HA428"/>
  <c r="HB428"/>
  <c r="HC428"/>
  <c r="HD428"/>
  <c r="HE428"/>
  <c r="HF428"/>
  <c r="HG428"/>
  <c r="HH428"/>
  <c r="HI428"/>
  <c r="HJ428"/>
  <c r="HK428"/>
  <c r="HL428"/>
  <c r="HM428"/>
  <c r="HN428"/>
  <c r="HO428"/>
  <c r="HP428"/>
  <c r="HQ428"/>
  <c r="HR428"/>
  <c r="HS428"/>
  <c r="HT428"/>
  <c r="HU428"/>
  <c r="HV428"/>
  <c r="HW428"/>
  <c r="HX428"/>
  <c r="HY428"/>
  <c r="HZ428"/>
  <c r="IA428"/>
  <c r="IB428"/>
  <c r="IC428"/>
  <c r="ID428"/>
  <c r="IE428"/>
  <c r="IF428"/>
  <c r="IG428"/>
  <c r="IH428"/>
  <c r="II428"/>
  <c r="IJ428"/>
  <c r="IK428"/>
  <c r="IL428"/>
  <c r="IM428"/>
  <c r="IN428"/>
  <c r="IO428"/>
  <c r="IP428"/>
  <c r="IQ428"/>
  <c r="IR428"/>
  <c r="IS428"/>
  <c r="IT428"/>
  <c r="IU428"/>
  <c r="IV428"/>
  <c r="A429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Z429"/>
  <c r="AA429"/>
  <c r="AB429"/>
  <c r="AC429"/>
  <c r="AD429"/>
  <c r="AE429"/>
  <c r="AF429"/>
  <c r="AG429"/>
  <c r="AH429"/>
  <c r="AI429"/>
  <c r="AJ429"/>
  <c r="AK429"/>
  <c r="AL429"/>
  <c r="AM429"/>
  <c r="AN429"/>
  <c r="AO429"/>
  <c r="AP429"/>
  <c r="AQ429"/>
  <c r="AR429"/>
  <c r="AS429"/>
  <c r="AT429"/>
  <c r="AU429"/>
  <c r="AV429"/>
  <c r="AW429"/>
  <c r="AX429"/>
  <c r="AY429"/>
  <c r="AZ429"/>
  <c r="BA429"/>
  <c r="BB429"/>
  <c r="BC429"/>
  <c r="BD429"/>
  <c r="BE429"/>
  <c r="BF429"/>
  <c r="BG429"/>
  <c r="BH429"/>
  <c r="BI429"/>
  <c r="BJ429"/>
  <c r="BK429"/>
  <c r="BL429"/>
  <c r="BM429"/>
  <c r="BN429"/>
  <c r="BO429"/>
  <c r="BP429"/>
  <c r="BQ429"/>
  <c r="BR429"/>
  <c r="BS429"/>
  <c r="BT429"/>
  <c r="BU429"/>
  <c r="BV429"/>
  <c r="BW429"/>
  <c r="BX429"/>
  <c r="BY429"/>
  <c r="BZ429"/>
  <c r="CA429"/>
  <c r="CB429"/>
  <c r="CC429"/>
  <c r="CD429"/>
  <c r="CE429"/>
  <c r="CF429"/>
  <c r="CG429"/>
  <c r="CH429"/>
  <c r="CI429"/>
  <c r="CJ429"/>
  <c r="CK429"/>
  <c r="CL429"/>
  <c r="CM429"/>
  <c r="CN429"/>
  <c r="CO429"/>
  <c r="CP429"/>
  <c r="CQ429"/>
  <c r="CR429"/>
  <c r="CS429"/>
  <c r="CT429"/>
  <c r="CU429"/>
  <c r="CV429"/>
  <c r="CW429"/>
  <c r="CX429"/>
  <c r="CY429"/>
  <c r="CZ429"/>
  <c r="DA429"/>
  <c r="DB429"/>
  <c r="DC429"/>
  <c r="DD429"/>
  <c r="DE429"/>
  <c r="DF429"/>
  <c r="DG429"/>
  <c r="DH429"/>
  <c r="DI429"/>
  <c r="DJ429"/>
  <c r="DK429"/>
  <c r="DL429"/>
  <c r="DM429"/>
  <c r="DN429"/>
  <c r="DO429"/>
  <c r="DP429"/>
  <c r="DQ429"/>
  <c r="DR429"/>
  <c r="DS429"/>
  <c r="DT429"/>
  <c r="DU429"/>
  <c r="DV429"/>
  <c r="DW429"/>
  <c r="DX429"/>
  <c r="DY429"/>
  <c r="DZ429"/>
  <c r="EA429"/>
  <c r="EB429"/>
  <c r="EC429"/>
  <c r="ED429"/>
  <c r="EE429"/>
  <c r="EF429"/>
  <c r="EG429"/>
  <c r="EH429"/>
  <c r="EI429"/>
  <c r="EJ429"/>
  <c r="EK429"/>
  <c r="EL429"/>
  <c r="EM429"/>
  <c r="EN429"/>
  <c r="EO429"/>
  <c r="EP429"/>
  <c r="EQ429"/>
  <c r="ER429"/>
  <c r="ES429"/>
  <c r="ET429"/>
  <c r="EU429"/>
  <c r="EV429"/>
  <c r="EW429"/>
  <c r="EX429"/>
  <c r="EY429"/>
  <c r="EZ429"/>
  <c r="FA429"/>
  <c r="FB429"/>
  <c r="FC429"/>
  <c r="FD429"/>
  <c r="FE429"/>
  <c r="FF429"/>
  <c r="FG429"/>
  <c r="FH429"/>
  <c r="FI429"/>
  <c r="FJ429"/>
  <c r="FK429"/>
  <c r="FL429"/>
  <c r="FM429"/>
  <c r="FN429"/>
  <c r="FO429"/>
  <c r="FP429"/>
  <c r="FQ429"/>
  <c r="FR429"/>
  <c r="FS429"/>
  <c r="FT429"/>
  <c r="FU429"/>
  <c r="FV429"/>
  <c r="FW429"/>
  <c r="FX429"/>
  <c r="FY429"/>
  <c r="FZ429"/>
  <c r="GA429"/>
  <c r="GB429"/>
  <c r="GC429"/>
  <c r="GD429"/>
  <c r="GE429"/>
  <c r="GF429"/>
  <c r="GG429"/>
  <c r="GH429"/>
  <c r="GI429"/>
  <c r="GJ429"/>
  <c r="GK429"/>
  <c r="GL429"/>
  <c r="GM429"/>
  <c r="GN429"/>
  <c r="GO429"/>
  <c r="GP429"/>
  <c r="GQ429"/>
  <c r="GR429"/>
  <c r="GS429"/>
  <c r="GT429"/>
  <c r="GU429"/>
  <c r="GV429"/>
  <c r="GW429"/>
  <c r="GX429"/>
  <c r="GY429"/>
  <c r="GZ429"/>
  <c r="HA429"/>
  <c r="HB429"/>
  <c r="HC429"/>
  <c r="HD429"/>
  <c r="HE429"/>
  <c r="HF429"/>
  <c r="HG429"/>
  <c r="HH429"/>
  <c r="HI429"/>
  <c r="HJ429"/>
  <c r="HK429"/>
  <c r="HL429"/>
  <c r="HM429"/>
  <c r="HN429"/>
  <c r="HO429"/>
  <c r="HP429"/>
  <c r="HQ429"/>
  <c r="HR429"/>
  <c r="HS429"/>
  <c r="HT429"/>
  <c r="HU429"/>
  <c r="HV429"/>
  <c r="HW429"/>
  <c r="HX429"/>
  <c r="HY429"/>
  <c r="HZ429"/>
  <c r="IA429"/>
  <c r="IB429"/>
  <c r="IC429"/>
  <c r="ID429"/>
  <c r="IE429"/>
  <c r="IF429"/>
  <c r="IG429"/>
  <c r="IH429"/>
  <c r="II429"/>
  <c r="IJ429"/>
  <c r="IK429"/>
  <c r="IL429"/>
  <c r="IM429"/>
  <c r="IN429"/>
  <c r="IO429"/>
  <c r="IP429"/>
  <c r="IQ429"/>
  <c r="IR429"/>
  <c r="IS429"/>
  <c r="IT429"/>
  <c r="IU429"/>
  <c r="IV429"/>
  <c r="A430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Z430"/>
  <c r="AA430"/>
  <c r="AB430"/>
  <c r="AC430"/>
  <c r="AD430"/>
  <c r="AE430"/>
  <c r="AF430"/>
  <c r="AG430"/>
  <c r="AH430"/>
  <c r="AI430"/>
  <c r="AJ430"/>
  <c r="AK430"/>
  <c r="AL430"/>
  <c r="AM430"/>
  <c r="AN430"/>
  <c r="AO430"/>
  <c r="AP430"/>
  <c r="AQ430"/>
  <c r="AR430"/>
  <c r="AS430"/>
  <c r="AT430"/>
  <c r="AU430"/>
  <c r="AV430"/>
  <c r="AW430"/>
  <c r="AX430"/>
  <c r="AY430"/>
  <c r="AZ430"/>
  <c r="BA430"/>
  <c r="BB430"/>
  <c r="BC430"/>
  <c r="BD430"/>
  <c r="BE430"/>
  <c r="BF430"/>
  <c r="BG430"/>
  <c r="BH430"/>
  <c r="BI430"/>
  <c r="BJ430"/>
  <c r="BK430"/>
  <c r="BL430"/>
  <c r="BM430"/>
  <c r="BN430"/>
  <c r="BO430"/>
  <c r="BP430"/>
  <c r="BQ430"/>
  <c r="BR430"/>
  <c r="BS430"/>
  <c r="BT430"/>
  <c r="BU430"/>
  <c r="BV430"/>
  <c r="BW430"/>
  <c r="BX430"/>
  <c r="BY430"/>
  <c r="BZ430"/>
  <c r="CA430"/>
  <c r="CB430"/>
  <c r="CC430"/>
  <c r="CD430"/>
  <c r="CE430"/>
  <c r="CF430"/>
  <c r="CG430"/>
  <c r="CH430"/>
  <c r="CI430"/>
  <c r="CJ430"/>
  <c r="CK430"/>
  <c r="CL430"/>
  <c r="CM430"/>
  <c r="CN430"/>
  <c r="CO430"/>
  <c r="CP430"/>
  <c r="CQ430"/>
  <c r="CR430"/>
  <c r="CS430"/>
  <c r="CT430"/>
  <c r="CU430"/>
  <c r="CV430"/>
  <c r="CW430"/>
  <c r="CX430"/>
  <c r="CY430"/>
  <c r="CZ430"/>
  <c r="DA430"/>
  <c r="DB430"/>
  <c r="DC430"/>
  <c r="DD430"/>
  <c r="DE430"/>
  <c r="DF430"/>
  <c r="DG430"/>
  <c r="DH430"/>
  <c r="DI430"/>
  <c r="DJ430"/>
  <c r="DK430"/>
  <c r="DL430"/>
  <c r="DM430"/>
  <c r="DN430"/>
  <c r="DO430"/>
  <c r="DP430"/>
  <c r="DQ430"/>
  <c r="DR430"/>
  <c r="DS430"/>
  <c r="DT430"/>
  <c r="DU430"/>
  <c r="DV430"/>
  <c r="DW430"/>
  <c r="DX430"/>
  <c r="DY430"/>
  <c r="DZ430"/>
  <c r="EA430"/>
  <c r="EB430"/>
  <c r="EC430"/>
  <c r="ED430"/>
  <c r="EE430"/>
  <c r="EF430"/>
  <c r="EG430"/>
  <c r="EH430"/>
  <c r="EI430"/>
  <c r="EJ430"/>
  <c r="EK430"/>
  <c r="EL430"/>
  <c r="EM430"/>
  <c r="EN430"/>
  <c r="EO430"/>
  <c r="EP430"/>
  <c r="EQ430"/>
  <c r="ER430"/>
  <c r="ES430"/>
  <c r="ET430"/>
  <c r="EU430"/>
  <c r="EV430"/>
  <c r="EW430"/>
  <c r="EX430"/>
  <c r="EY430"/>
  <c r="EZ430"/>
  <c r="FA430"/>
  <c r="FB430"/>
  <c r="FC430"/>
  <c r="FD430"/>
  <c r="FE430"/>
  <c r="FF430"/>
  <c r="FG430"/>
  <c r="FH430"/>
  <c r="FI430"/>
  <c r="FJ430"/>
  <c r="FK430"/>
  <c r="FL430"/>
  <c r="FM430"/>
  <c r="FN430"/>
  <c r="FO430"/>
  <c r="FP430"/>
  <c r="FQ430"/>
  <c r="FR430"/>
  <c r="FS430"/>
  <c r="FT430"/>
  <c r="FU430"/>
  <c r="FV430"/>
  <c r="FW430"/>
  <c r="FX430"/>
  <c r="FY430"/>
  <c r="FZ430"/>
  <c r="GA430"/>
  <c r="GB430"/>
  <c r="GC430"/>
  <c r="GD430"/>
  <c r="GE430"/>
  <c r="GF430"/>
  <c r="GG430"/>
  <c r="GH430"/>
  <c r="GI430"/>
  <c r="GJ430"/>
  <c r="GK430"/>
  <c r="GL430"/>
  <c r="GM430"/>
  <c r="GN430"/>
  <c r="GO430"/>
  <c r="GP430"/>
  <c r="GQ430"/>
  <c r="GR430"/>
  <c r="GS430"/>
  <c r="GT430"/>
  <c r="GU430"/>
  <c r="GV430"/>
  <c r="GW430"/>
  <c r="GX430"/>
  <c r="GY430"/>
  <c r="GZ430"/>
  <c r="HA430"/>
  <c r="HB430"/>
  <c r="HC430"/>
  <c r="HD430"/>
  <c r="HE430"/>
  <c r="HF430"/>
  <c r="HG430"/>
  <c r="HH430"/>
  <c r="HI430"/>
  <c r="HJ430"/>
  <c r="HK430"/>
  <c r="HL430"/>
  <c r="HM430"/>
  <c r="HN430"/>
  <c r="HO430"/>
  <c r="HP430"/>
  <c r="HQ430"/>
  <c r="HR430"/>
  <c r="HS430"/>
  <c r="HT430"/>
  <c r="HU430"/>
  <c r="HV430"/>
  <c r="HW430"/>
  <c r="HX430"/>
  <c r="HY430"/>
  <c r="HZ430"/>
  <c r="IA430"/>
  <c r="IB430"/>
  <c r="IC430"/>
  <c r="ID430"/>
  <c r="IE430"/>
  <c r="IF430"/>
  <c r="IG430"/>
  <c r="IH430"/>
  <c r="II430"/>
  <c r="IJ430"/>
  <c r="IK430"/>
  <c r="IL430"/>
  <c r="IM430"/>
  <c r="IN430"/>
  <c r="IO430"/>
  <c r="IP430"/>
  <c r="IQ430"/>
  <c r="IR430"/>
  <c r="IS430"/>
  <c r="IT430"/>
  <c r="IU430"/>
  <c r="IV430"/>
  <c r="A431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Z431"/>
  <c r="AA431"/>
  <c r="AB431"/>
  <c r="AC431"/>
  <c r="AD431"/>
  <c r="AE431"/>
  <c r="AF431"/>
  <c r="AG431"/>
  <c r="AH431"/>
  <c r="AI431"/>
  <c r="AJ431"/>
  <c r="AK431"/>
  <c r="AL431"/>
  <c r="AM431"/>
  <c r="AN431"/>
  <c r="AO431"/>
  <c r="AP431"/>
  <c r="AQ431"/>
  <c r="AR431"/>
  <c r="AS431"/>
  <c r="AT431"/>
  <c r="AU431"/>
  <c r="AV431"/>
  <c r="AW431"/>
  <c r="AX431"/>
  <c r="AY431"/>
  <c r="AZ431"/>
  <c r="BA431"/>
  <c r="BB431"/>
  <c r="BC431"/>
  <c r="BD431"/>
  <c r="BE431"/>
  <c r="BF431"/>
  <c r="BG431"/>
  <c r="BH431"/>
  <c r="BI431"/>
  <c r="BJ431"/>
  <c r="BK431"/>
  <c r="BL431"/>
  <c r="BM431"/>
  <c r="BN431"/>
  <c r="BO431"/>
  <c r="BP431"/>
  <c r="BQ431"/>
  <c r="BR431"/>
  <c r="BS431"/>
  <c r="BT431"/>
  <c r="BU431"/>
  <c r="BV431"/>
  <c r="BW431"/>
  <c r="BX431"/>
  <c r="BY431"/>
  <c r="BZ431"/>
  <c r="CA431"/>
  <c r="CB431"/>
  <c r="CC431"/>
  <c r="CD431"/>
  <c r="CE431"/>
  <c r="CF431"/>
  <c r="CG431"/>
  <c r="CH431"/>
  <c r="CI431"/>
  <c r="CJ431"/>
  <c r="CK431"/>
  <c r="CL431"/>
  <c r="CM431"/>
  <c r="CN431"/>
  <c r="CO431"/>
  <c r="CP431"/>
  <c r="CQ431"/>
  <c r="CR431"/>
  <c r="CS431"/>
  <c r="CT431"/>
  <c r="CU431"/>
  <c r="CV431"/>
  <c r="CW431"/>
  <c r="CX431"/>
  <c r="CY431"/>
  <c r="CZ431"/>
  <c r="DA431"/>
  <c r="DB431"/>
  <c r="DC431"/>
  <c r="DD431"/>
  <c r="DE431"/>
  <c r="DF431"/>
  <c r="DG431"/>
  <c r="DH431"/>
  <c r="DI431"/>
  <c r="DJ431"/>
  <c r="DK431"/>
  <c r="DL431"/>
  <c r="DM431"/>
  <c r="DN431"/>
  <c r="DO431"/>
  <c r="DP431"/>
  <c r="DQ431"/>
  <c r="DR431"/>
  <c r="DS431"/>
  <c r="DT431"/>
  <c r="DU431"/>
  <c r="DV431"/>
  <c r="DW431"/>
  <c r="DX431"/>
  <c r="DY431"/>
  <c r="DZ431"/>
  <c r="EA431"/>
  <c r="EB431"/>
  <c r="EC431"/>
  <c r="ED431"/>
  <c r="EE431"/>
  <c r="EF431"/>
  <c r="EG431"/>
  <c r="EH431"/>
  <c r="EI431"/>
  <c r="EJ431"/>
  <c r="EK431"/>
  <c r="EL431"/>
  <c r="EM431"/>
  <c r="EN431"/>
  <c r="EO431"/>
  <c r="EP431"/>
  <c r="EQ431"/>
  <c r="ER431"/>
  <c r="ES431"/>
  <c r="ET431"/>
  <c r="EU431"/>
  <c r="EV431"/>
  <c r="EW431"/>
  <c r="EX431"/>
  <c r="EY431"/>
  <c r="EZ431"/>
  <c r="FA431"/>
  <c r="FB431"/>
  <c r="FC431"/>
  <c r="FD431"/>
  <c r="FE431"/>
  <c r="FF431"/>
  <c r="FG431"/>
  <c r="FH431"/>
  <c r="FI431"/>
  <c r="FJ431"/>
  <c r="FK431"/>
  <c r="FL431"/>
  <c r="FM431"/>
  <c r="FN431"/>
  <c r="FO431"/>
  <c r="FP431"/>
  <c r="FQ431"/>
  <c r="FR431"/>
  <c r="FS431"/>
  <c r="FT431"/>
  <c r="FU431"/>
  <c r="FV431"/>
  <c r="FW431"/>
  <c r="FX431"/>
  <c r="FY431"/>
  <c r="FZ431"/>
  <c r="GA431"/>
  <c r="GB431"/>
  <c r="GC431"/>
  <c r="GD431"/>
  <c r="GE431"/>
  <c r="GF431"/>
  <c r="GG431"/>
  <c r="GH431"/>
  <c r="GI431"/>
  <c r="GJ431"/>
  <c r="GK431"/>
  <c r="GL431"/>
  <c r="GM431"/>
  <c r="GN431"/>
  <c r="GO431"/>
  <c r="GP431"/>
  <c r="GQ431"/>
  <c r="GR431"/>
  <c r="GS431"/>
  <c r="GT431"/>
  <c r="GU431"/>
  <c r="GV431"/>
  <c r="GW431"/>
  <c r="GX431"/>
  <c r="GY431"/>
  <c r="GZ431"/>
  <c r="HA431"/>
  <c r="HB431"/>
  <c r="HC431"/>
  <c r="HD431"/>
  <c r="HE431"/>
  <c r="HF431"/>
  <c r="HG431"/>
  <c r="HH431"/>
  <c r="HI431"/>
  <c r="HJ431"/>
  <c r="HK431"/>
  <c r="HL431"/>
  <c r="HM431"/>
  <c r="HN431"/>
  <c r="HO431"/>
  <c r="HP431"/>
  <c r="HQ431"/>
  <c r="HR431"/>
  <c r="HS431"/>
  <c r="HT431"/>
  <c r="HU431"/>
  <c r="HV431"/>
  <c r="HW431"/>
  <c r="HX431"/>
  <c r="HY431"/>
  <c r="HZ431"/>
  <c r="IA431"/>
  <c r="IB431"/>
  <c r="IC431"/>
  <c r="ID431"/>
  <c r="IE431"/>
  <c r="IF431"/>
  <c r="IG431"/>
  <c r="IH431"/>
  <c r="II431"/>
  <c r="IJ431"/>
  <c r="IK431"/>
  <c r="IL431"/>
  <c r="IM431"/>
  <c r="IN431"/>
  <c r="IO431"/>
  <c r="IP431"/>
  <c r="IQ431"/>
  <c r="IR431"/>
  <c r="IS431"/>
  <c r="IT431"/>
  <c r="IU431"/>
  <c r="IV431"/>
  <c r="A432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Z432"/>
  <c r="AA432"/>
  <c r="AB432"/>
  <c r="AC432"/>
  <c r="AD432"/>
  <c r="AE432"/>
  <c r="AF432"/>
  <c r="AG432"/>
  <c r="AH432"/>
  <c r="AI432"/>
  <c r="AJ432"/>
  <c r="AK432"/>
  <c r="AL432"/>
  <c r="AM432"/>
  <c r="AN432"/>
  <c r="AO432"/>
  <c r="AP432"/>
  <c r="AQ432"/>
  <c r="AR432"/>
  <c r="AS432"/>
  <c r="AT432"/>
  <c r="AU432"/>
  <c r="AV432"/>
  <c r="AW432"/>
  <c r="AX432"/>
  <c r="AY432"/>
  <c r="AZ432"/>
  <c r="BA432"/>
  <c r="BB432"/>
  <c r="BC432"/>
  <c r="BD432"/>
  <c r="BE432"/>
  <c r="BF432"/>
  <c r="BG432"/>
  <c r="BH432"/>
  <c r="BI432"/>
  <c r="BJ432"/>
  <c r="BK432"/>
  <c r="BL432"/>
  <c r="BM432"/>
  <c r="BN432"/>
  <c r="BO432"/>
  <c r="BP432"/>
  <c r="BQ432"/>
  <c r="BR432"/>
  <c r="BS432"/>
  <c r="BT432"/>
  <c r="BU432"/>
  <c r="BV432"/>
  <c r="BW432"/>
  <c r="BX432"/>
  <c r="BY432"/>
  <c r="BZ432"/>
  <c r="CA432"/>
  <c r="CB432"/>
  <c r="CC432"/>
  <c r="CD432"/>
  <c r="CE432"/>
  <c r="CF432"/>
  <c r="CG432"/>
  <c r="CH432"/>
  <c r="CI432"/>
  <c r="CJ432"/>
  <c r="CK432"/>
  <c r="CL432"/>
  <c r="CM432"/>
  <c r="CN432"/>
  <c r="CO432"/>
  <c r="CP432"/>
  <c r="CQ432"/>
  <c r="CR432"/>
  <c r="CS432"/>
  <c r="CT432"/>
  <c r="CU432"/>
  <c r="CV432"/>
  <c r="CW432"/>
  <c r="CX432"/>
  <c r="CY432"/>
  <c r="CZ432"/>
  <c r="DA432"/>
  <c r="DB432"/>
  <c r="DC432"/>
  <c r="DD432"/>
  <c r="DE432"/>
  <c r="DF432"/>
  <c r="DG432"/>
  <c r="DH432"/>
  <c r="DI432"/>
  <c r="DJ432"/>
  <c r="DK432"/>
  <c r="DL432"/>
  <c r="DM432"/>
  <c r="DN432"/>
  <c r="DO432"/>
  <c r="DP432"/>
  <c r="DQ432"/>
  <c r="DR432"/>
  <c r="DS432"/>
  <c r="DT432"/>
  <c r="DU432"/>
  <c r="DV432"/>
  <c r="DW432"/>
  <c r="DX432"/>
  <c r="DY432"/>
  <c r="DZ432"/>
  <c r="EA432"/>
  <c r="EB432"/>
  <c r="EC432"/>
  <c r="ED432"/>
  <c r="EE432"/>
  <c r="EF432"/>
  <c r="EG432"/>
  <c r="EH432"/>
  <c r="EI432"/>
  <c r="EJ432"/>
  <c r="EK432"/>
  <c r="EL432"/>
  <c r="EM432"/>
  <c r="EN432"/>
  <c r="EO432"/>
  <c r="EP432"/>
  <c r="EQ432"/>
  <c r="ER432"/>
  <c r="ES432"/>
  <c r="ET432"/>
  <c r="EU432"/>
  <c r="EV432"/>
  <c r="EW432"/>
  <c r="EX432"/>
  <c r="EY432"/>
  <c r="EZ432"/>
  <c r="FA432"/>
  <c r="FB432"/>
  <c r="FC432"/>
  <c r="FD432"/>
  <c r="FE432"/>
  <c r="FF432"/>
  <c r="FG432"/>
  <c r="FH432"/>
  <c r="FI432"/>
  <c r="FJ432"/>
  <c r="FK432"/>
  <c r="FL432"/>
  <c r="FM432"/>
  <c r="FN432"/>
  <c r="FO432"/>
  <c r="FP432"/>
  <c r="FQ432"/>
  <c r="FR432"/>
  <c r="FS432"/>
  <c r="FT432"/>
  <c r="FU432"/>
  <c r="FV432"/>
  <c r="FW432"/>
  <c r="FX432"/>
  <c r="FY432"/>
  <c r="FZ432"/>
  <c r="GA432"/>
  <c r="GB432"/>
  <c r="GC432"/>
  <c r="GD432"/>
  <c r="GE432"/>
  <c r="GF432"/>
  <c r="GG432"/>
  <c r="GH432"/>
  <c r="GI432"/>
  <c r="GJ432"/>
  <c r="GK432"/>
  <c r="GL432"/>
  <c r="GM432"/>
  <c r="GN432"/>
  <c r="GO432"/>
  <c r="GP432"/>
  <c r="GQ432"/>
  <c r="GR432"/>
  <c r="GS432"/>
  <c r="GT432"/>
  <c r="GU432"/>
  <c r="GV432"/>
  <c r="GW432"/>
  <c r="GX432"/>
  <c r="GY432"/>
  <c r="GZ432"/>
  <c r="HA432"/>
  <c r="HB432"/>
  <c r="HC432"/>
  <c r="HD432"/>
  <c r="HE432"/>
  <c r="HF432"/>
  <c r="HG432"/>
  <c r="HH432"/>
  <c r="HI432"/>
  <c r="HJ432"/>
  <c r="HK432"/>
  <c r="HL432"/>
  <c r="HM432"/>
  <c r="HN432"/>
  <c r="HO432"/>
  <c r="HP432"/>
  <c r="HQ432"/>
  <c r="HR432"/>
  <c r="HS432"/>
  <c r="HT432"/>
  <c r="HU432"/>
  <c r="HV432"/>
  <c r="HW432"/>
  <c r="HX432"/>
  <c r="HY432"/>
  <c r="HZ432"/>
  <c r="IA432"/>
  <c r="IB432"/>
  <c r="IC432"/>
  <c r="ID432"/>
  <c r="IE432"/>
  <c r="IF432"/>
  <c r="IG432"/>
  <c r="IH432"/>
  <c r="II432"/>
  <c r="IJ432"/>
  <c r="IK432"/>
  <c r="IL432"/>
  <c r="IM432"/>
  <c r="IN432"/>
  <c r="IO432"/>
  <c r="IP432"/>
  <c r="IQ432"/>
  <c r="IR432"/>
  <c r="IS432"/>
  <c r="IT432"/>
  <c r="IU432"/>
  <c r="IV432"/>
  <c r="A433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Z433"/>
  <c r="AA433"/>
  <c r="AB433"/>
  <c r="AC433"/>
  <c r="AD433"/>
  <c r="AE433"/>
  <c r="AF433"/>
  <c r="AG433"/>
  <c r="AH433"/>
  <c r="AI433"/>
  <c r="AJ433"/>
  <c r="AK433"/>
  <c r="AL433"/>
  <c r="AM433"/>
  <c r="AN433"/>
  <c r="AO433"/>
  <c r="AP433"/>
  <c r="AQ433"/>
  <c r="AR433"/>
  <c r="AS433"/>
  <c r="AT433"/>
  <c r="AU433"/>
  <c r="AV433"/>
  <c r="AW433"/>
  <c r="AX433"/>
  <c r="AY433"/>
  <c r="AZ433"/>
  <c r="BA433"/>
  <c r="BB433"/>
  <c r="BC433"/>
  <c r="BD433"/>
  <c r="BE433"/>
  <c r="BF433"/>
  <c r="BG433"/>
  <c r="BH433"/>
  <c r="BI433"/>
  <c r="BJ433"/>
  <c r="BK433"/>
  <c r="BL433"/>
  <c r="BM433"/>
  <c r="BN433"/>
  <c r="BO433"/>
  <c r="BP433"/>
  <c r="BQ433"/>
  <c r="BR433"/>
  <c r="BS433"/>
  <c r="BT433"/>
  <c r="BU433"/>
  <c r="BV433"/>
  <c r="BW433"/>
  <c r="BX433"/>
  <c r="BY433"/>
  <c r="BZ433"/>
  <c r="CA433"/>
  <c r="CB433"/>
  <c r="CC433"/>
  <c r="CD433"/>
  <c r="CE433"/>
  <c r="CF433"/>
  <c r="CG433"/>
  <c r="CH433"/>
  <c r="CI433"/>
  <c r="CJ433"/>
  <c r="CK433"/>
  <c r="CL433"/>
  <c r="CM433"/>
  <c r="CN433"/>
  <c r="CO433"/>
  <c r="CP433"/>
  <c r="CQ433"/>
  <c r="CR433"/>
  <c r="CS433"/>
  <c r="CT433"/>
  <c r="CU433"/>
  <c r="CV433"/>
  <c r="CW433"/>
  <c r="CX433"/>
  <c r="CY433"/>
  <c r="CZ433"/>
  <c r="DA433"/>
  <c r="DB433"/>
  <c r="DC433"/>
  <c r="DD433"/>
  <c r="DE433"/>
  <c r="DF433"/>
  <c r="DG433"/>
  <c r="DH433"/>
  <c r="DI433"/>
  <c r="DJ433"/>
  <c r="DK433"/>
  <c r="DL433"/>
  <c r="DM433"/>
  <c r="DN433"/>
  <c r="DO433"/>
  <c r="DP433"/>
  <c r="DQ433"/>
  <c r="DR433"/>
  <c r="DS433"/>
  <c r="DT433"/>
  <c r="DU433"/>
  <c r="DV433"/>
  <c r="DW433"/>
  <c r="DX433"/>
  <c r="DY433"/>
  <c r="DZ433"/>
  <c r="EA433"/>
  <c r="EB433"/>
  <c r="EC433"/>
  <c r="ED433"/>
  <c r="EE433"/>
  <c r="EF433"/>
  <c r="EG433"/>
  <c r="EH433"/>
  <c r="EI433"/>
  <c r="EJ433"/>
  <c r="EK433"/>
  <c r="EL433"/>
  <c r="EM433"/>
  <c r="EN433"/>
  <c r="EO433"/>
  <c r="EP433"/>
  <c r="EQ433"/>
  <c r="ER433"/>
  <c r="ES433"/>
  <c r="ET433"/>
  <c r="EU433"/>
  <c r="EV433"/>
  <c r="EW433"/>
  <c r="EX433"/>
  <c r="EY433"/>
  <c r="EZ433"/>
  <c r="FA433"/>
  <c r="FB433"/>
  <c r="FC433"/>
  <c r="FD433"/>
  <c r="FE433"/>
  <c r="FF433"/>
  <c r="FG433"/>
  <c r="FH433"/>
  <c r="FI433"/>
  <c r="FJ433"/>
  <c r="FK433"/>
  <c r="FL433"/>
  <c r="FM433"/>
  <c r="FN433"/>
  <c r="FO433"/>
  <c r="FP433"/>
  <c r="FQ433"/>
  <c r="FR433"/>
  <c r="FS433"/>
  <c r="FT433"/>
  <c r="FU433"/>
  <c r="FV433"/>
  <c r="FW433"/>
  <c r="FX433"/>
  <c r="FY433"/>
  <c r="FZ433"/>
  <c r="GA433"/>
  <c r="GB433"/>
  <c r="GC433"/>
  <c r="GD433"/>
  <c r="GE433"/>
  <c r="GF433"/>
  <c r="GG433"/>
  <c r="GH433"/>
  <c r="GI433"/>
  <c r="GJ433"/>
  <c r="GK433"/>
  <c r="GL433"/>
  <c r="GM433"/>
  <c r="GN433"/>
  <c r="GO433"/>
  <c r="GP433"/>
  <c r="GQ433"/>
  <c r="GR433"/>
  <c r="GS433"/>
  <c r="GT433"/>
  <c r="GU433"/>
  <c r="GV433"/>
  <c r="GW433"/>
  <c r="GX433"/>
  <c r="GY433"/>
  <c r="GZ433"/>
  <c r="HA433"/>
  <c r="HB433"/>
  <c r="HC433"/>
  <c r="HD433"/>
  <c r="HE433"/>
  <c r="HF433"/>
  <c r="HG433"/>
  <c r="HH433"/>
  <c r="HI433"/>
  <c r="HJ433"/>
  <c r="HK433"/>
  <c r="HL433"/>
  <c r="HM433"/>
  <c r="HN433"/>
  <c r="HO433"/>
  <c r="HP433"/>
  <c r="HQ433"/>
  <c r="HR433"/>
  <c r="HS433"/>
  <c r="HT433"/>
  <c r="HU433"/>
  <c r="HV433"/>
  <c r="HW433"/>
  <c r="HX433"/>
  <c r="HY433"/>
  <c r="HZ433"/>
  <c r="IA433"/>
  <c r="IB433"/>
  <c r="IC433"/>
  <c r="ID433"/>
  <c r="IE433"/>
  <c r="IF433"/>
  <c r="IG433"/>
  <c r="IH433"/>
  <c r="II433"/>
  <c r="IJ433"/>
  <c r="IK433"/>
  <c r="IL433"/>
  <c r="IM433"/>
  <c r="IN433"/>
  <c r="IO433"/>
  <c r="IP433"/>
  <c r="IQ433"/>
  <c r="IR433"/>
  <c r="IS433"/>
  <c r="IT433"/>
  <c r="IU433"/>
  <c r="IV433"/>
  <c r="A434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Z434"/>
  <c r="AA434"/>
  <c r="AB434"/>
  <c r="AC434"/>
  <c r="AD434"/>
  <c r="AE434"/>
  <c r="AF434"/>
  <c r="AG434"/>
  <c r="AH434"/>
  <c r="AI434"/>
  <c r="AJ434"/>
  <c r="AK434"/>
  <c r="AL434"/>
  <c r="AM434"/>
  <c r="AN434"/>
  <c r="AO434"/>
  <c r="AP434"/>
  <c r="AQ434"/>
  <c r="AR434"/>
  <c r="AS434"/>
  <c r="AT434"/>
  <c r="AU434"/>
  <c r="AV434"/>
  <c r="AW434"/>
  <c r="AX434"/>
  <c r="AY434"/>
  <c r="AZ434"/>
  <c r="BA434"/>
  <c r="BB434"/>
  <c r="BC434"/>
  <c r="BD434"/>
  <c r="BE434"/>
  <c r="BF434"/>
  <c r="BG434"/>
  <c r="BH434"/>
  <c r="BI434"/>
  <c r="BJ434"/>
  <c r="BK434"/>
  <c r="BL434"/>
  <c r="BM434"/>
  <c r="BN434"/>
  <c r="BO434"/>
  <c r="BP434"/>
  <c r="BQ434"/>
  <c r="BR434"/>
  <c r="BS434"/>
  <c r="BT434"/>
  <c r="BU434"/>
  <c r="BV434"/>
  <c r="BW434"/>
  <c r="BX434"/>
  <c r="BY434"/>
  <c r="BZ434"/>
  <c r="CA434"/>
  <c r="CB434"/>
  <c r="CC434"/>
  <c r="CD434"/>
  <c r="CE434"/>
  <c r="CF434"/>
  <c r="CG434"/>
  <c r="CH434"/>
  <c r="CI434"/>
  <c r="CJ434"/>
  <c r="CK434"/>
  <c r="CL434"/>
  <c r="CM434"/>
  <c r="CN434"/>
  <c r="CO434"/>
  <c r="CP434"/>
  <c r="CQ434"/>
  <c r="CR434"/>
  <c r="CS434"/>
  <c r="CT434"/>
  <c r="CU434"/>
  <c r="CV434"/>
  <c r="CW434"/>
  <c r="CX434"/>
  <c r="CY434"/>
  <c r="CZ434"/>
  <c r="DA434"/>
  <c r="DB434"/>
  <c r="DC434"/>
  <c r="DD434"/>
  <c r="DE434"/>
  <c r="DF434"/>
  <c r="DG434"/>
  <c r="DH434"/>
  <c r="DI434"/>
  <c r="DJ434"/>
  <c r="DK434"/>
  <c r="DL434"/>
  <c r="DM434"/>
  <c r="DN434"/>
  <c r="DO434"/>
  <c r="DP434"/>
  <c r="DQ434"/>
  <c r="DR434"/>
  <c r="DS434"/>
  <c r="DT434"/>
  <c r="DU434"/>
  <c r="DV434"/>
  <c r="DW434"/>
  <c r="DX434"/>
  <c r="DY434"/>
  <c r="DZ434"/>
  <c r="EA434"/>
  <c r="EB434"/>
  <c r="EC434"/>
  <c r="ED434"/>
  <c r="EE434"/>
  <c r="EF434"/>
  <c r="EG434"/>
  <c r="EH434"/>
  <c r="EI434"/>
  <c r="EJ434"/>
  <c r="EK434"/>
  <c r="EL434"/>
  <c r="EM434"/>
  <c r="EN434"/>
  <c r="EO434"/>
  <c r="EP434"/>
  <c r="EQ434"/>
  <c r="ER434"/>
  <c r="ES434"/>
  <c r="ET434"/>
  <c r="EU434"/>
  <c r="EV434"/>
  <c r="EW434"/>
  <c r="EX434"/>
  <c r="EY434"/>
  <c r="EZ434"/>
  <c r="FA434"/>
  <c r="FB434"/>
  <c r="FC434"/>
  <c r="FD434"/>
  <c r="FE434"/>
  <c r="FF434"/>
  <c r="FG434"/>
  <c r="FH434"/>
  <c r="FI434"/>
  <c r="FJ434"/>
  <c r="FK434"/>
  <c r="FL434"/>
  <c r="FM434"/>
  <c r="FN434"/>
  <c r="FO434"/>
  <c r="FP434"/>
  <c r="FQ434"/>
  <c r="FR434"/>
  <c r="FS434"/>
  <c r="FT434"/>
  <c r="FU434"/>
  <c r="FV434"/>
  <c r="FW434"/>
  <c r="FX434"/>
  <c r="FY434"/>
  <c r="FZ434"/>
  <c r="GA434"/>
  <c r="GB434"/>
  <c r="GC434"/>
  <c r="GD434"/>
  <c r="GE434"/>
  <c r="GF434"/>
  <c r="GG434"/>
  <c r="GH434"/>
  <c r="GI434"/>
  <c r="GJ434"/>
  <c r="GK434"/>
  <c r="GL434"/>
  <c r="GM434"/>
  <c r="GN434"/>
  <c r="GO434"/>
  <c r="GP434"/>
  <c r="GQ434"/>
  <c r="GR434"/>
  <c r="GS434"/>
  <c r="GT434"/>
  <c r="GU434"/>
  <c r="GV434"/>
  <c r="GW434"/>
  <c r="GX434"/>
  <c r="GY434"/>
  <c r="GZ434"/>
  <c r="HA434"/>
  <c r="HB434"/>
  <c r="HC434"/>
  <c r="HD434"/>
  <c r="HE434"/>
  <c r="HF434"/>
  <c r="HG434"/>
  <c r="HH434"/>
  <c r="HI434"/>
  <c r="HJ434"/>
  <c r="HK434"/>
  <c r="HL434"/>
  <c r="HM434"/>
  <c r="HN434"/>
  <c r="HO434"/>
  <c r="HP434"/>
  <c r="HQ434"/>
  <c r="HR434"/>
  <c r="HS434"/>
  <c r="HT434"/>
  <c r="HU434"/>
  <c r="HV434"/>
  <c r="HW434"/>
  <c r="HX434"/>
  <c r="HY434"/>
  <c r="HZ434"/>
  <c r="IA434"/>
  <c r="IB434"/>
  <c r="IC434"/>
  <c r="ID434"/>
  <c r="IE434"/>
  <c r="IF434"/>
  <c r="IG434"/>
  <c r="IH434"/>
  <c r="II434"/>
  <c r="IJ434"/>
  <c r="IK434"/>
  <c r="IL434"/>
  <c r="IM434"/>
  <c r="IN434"/>
  <c r="IO434"/>
  <c r="IP434"/>
  <c r="IQ434"/>
  <c r="IR434"/>
  <c r="IS434"/>
  <c r="IT434"/>
  <c r="IU434"/>
  <c r="IV434"/>
  <c r="A435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Z435"/>
  <c r="AA435"/>
  <c r="AB435"/>
  <c r="AC435"/>
  <c r="AD435"/>
  <c r="AE435"/>
  <c r="AF435"/>
  <c r="AG435"/>
  <c r="AH435"/>
  <c r="AI435"/>
  <c r="AJ435"/>
  <c r="AK435"/>
  <c r="AL435"/>
  <c r="AM435"/>
  <c r="AN435"/>
  <c r="AO435"/>
  <c r="AP435"/>
  <c r="AQ435"/>
  <c r="AR435"/>
  <c r="AS435"/>
  <c r="AT435"/>
  <c r="AU435"/>
  <c r="AV435"/>
  <c r="AW435"/>
  <c r="AX435"/>
  <c r="AY435"/>
  <c r="AZ435"/>
  <c r="BA435"/>
  <c r="BB435"/>
  <c r="BC435"/>
  <c r="BD435"/>
  <c r="BE435"/>
  <c r="BF435"/>
  <c r="BG435"/>
  <c r="BH435"/>
  <c r="BI435"/>
  <c r="BJ435"/>
  <c r="BK435"/>
  <c r="BL435"/>
  <c r="BM435"/>
  <c r="BN435"/>
  <c r="BO435"/>
  <c r="BP435"/>
  <c r="BQ435"/>
  <c r="BR435"/>
  <c r="BS435"/>
  <c r="BT435"/>
  <c r="BU435"/>
  <c r="BV435"/>
  <c r="BW435"/>
  <c r="BX435"/>
  <c r="BY435"/>
  <c r="BZ435"/>
  <c r="CA435"/>
  <c r="CB435"/>
  <c r="CC435"/>
  <c r="CD435"/>
  <c r="CE435"/>
  <c r="CF435"/>
  <c r="CG435"/>
  <c r="CH435"/>
  <c r="CI435"/>
  <c r="CJ435"/>
  <c r="CK435"/>
  <c r="CL435"/>
  <c r="CM435"/>
  <c r="CN435"/>
  <c r="CO435"/>
  <c r="CP435"/>
  <c r="CQ435"/>
  <c r="CR435"/>
  <c r="CS435"/>
  <c r="CT435"/>
  <c r="CU435"/>
  <c r="CV435"/>
  <c r="CW435"/>
  <c r="CX435"/>
  <c r="CY435"/>
  <c r="CZ435"/>
  <c r="DA435"/>
  <c r="DB435"/>
  <c r="DC435"/>
  <c r="DD435"/>
  <c r="DE435"/>
  <c r="DF435"/>
  <c r="DG435"/>
  <c r="DH435"/>
  <c r="DI435"/>
  <c r="DJ435"/>
  <c r="DK435"/>
  <c r="DL435"/>
  <c r="DM435"/>
  <c r="DN435"/>
  <c r="DO435"/>
  <c r="DP435"/>
  <c r="DQ435"/>
  <c r="DR435"/>
  <c r="DS435"/>
  <c r="DT435"/>
  <c r="DU435"/>
  <c r="DV435"/>
  <c r="DW435"/>
  <c r="DX435"/>
  <c r="DY435"/>
  <c r="DZ435"/>
  <c r="EA435"/>
  <c r="EB435"/>
  <c r="EC435"/>
  <c r="ED435"/>
  <c r="EE435"/>
  <c r="EF435"/>
  <c r="EG435"/>
  <c r="EH435"/>
  <c r="EI435"/>
  <c r="EJ435"/>
  <c r="EK435"/>
  <c r="EL435"/>
  <c r="EM435"/>
  <c r="EN435"/>
  <c r="EO435"/>
  <c r="EP435"/>
  <c r="EQ435"/>
  <c r="ER435"/>
  <c r="ES435"/>
  <c r="ET435"/>
  <c r="EU435"/>
  <c r="EV435"/>
  <c r="EW435"/>
  <c r="EX435"/>
  <c r="EY435"/>
  <c r="EZ435"/>
  <c r="FA435"/>
  <c r="FB435"/>
  <c r="FC435"/>
  <c r="FD435"/>
  <c r="FE435"/>
  <c r="FF435"/>
  <c r="FG435"/>
  <c r="FH435"/>
  <c r="FI435"/>
  <c r="FJ435"/>
  <c r="FK435"/>
  <c r="FL435"/>
  <c r="FM435"/>
  <c r="FN435"/>
  <c r="FO435"/>
  <c r="FP435"/>
  <c r="FQ435"/>
  <c r="FR435"/>
  <c r="FS435"/>
  <c r="FT435"/>
  <c r="FU435"/>
  <c r="FV435"/>
  <c r="FW435"/>
  <c r="FX435"/>
  <c r="FY435"/>
  <c r="FZ435"/>
  <c r="GA435"/>
  <c r="GB435"/>
  <c r="GC435"/>
  <c r="GD435"/>
  <c r="GE435"/>
  <c r="GF435"/>
  <c r="GG435"/>
  <c r="GH435"/>
  <c r="GI435"/>
  <c r="GJ435"/>
  <c r="GK435"/>
  <c r="GL435"/>
  <c r="GM435"/>
  <c r="GN435"/>
  <c r="GO435"/>
  <c r="GP435"/>
  <c r="GQ435"/>
  <c r="GR435"/>
  <c r="GS435"/>
  <c r="GT435"/>
  <c r="GU435"/>
  <c r="GV435"/>
  <c r="GW435"/>
  <c r="GX435"/>
  <c r="GY435"/>
  <c r="GZ435"/>
  <c r="HA435"/>
  <c r="HB435"/>
  <c r="HC435"/>
  <c r="HD435"/>
  <c r="HE435"/>
  <c r="HF435"/>
  <c r="HG435"/>
  <c r="HH435"/>
  <c r="HI435"/>
  <c r="HJ435"/>
  <c r="HK435"/>
  <c r="HL435"/>
  <c r="HM435"/>
  <c r="HN435"/>
  <c r="HO435"/>
  <c r="HP435"/>
  <c r="HQ435"/>
  <c r="HR435"/>
  <c r="HS435"/>
  <c r="HT435"/>
  <c r="HU435"/>
  <c r="HV435"/>
  <c r="HW435"/>
  <c r="HX435"/>
  <c r="HY435"/>
  <c r="HZ435"/>
  <c r="IA435"/>
  <c r="IB435"/>
  <c r="IC435"/>
  <c r="ID435"/>
  <c r="IE435"/>
  <c r="IF435"/>
  <c r="IG435"/>
  <c r="IH435"/>
  <c r="II435"/>
  <c r="IJ435"/>
  <c r="IK435"/>
  <c r="IL435"/>
  <c r="IM435"/>
  <c r="IN435"/>
  <c r="IO435"/>
  <c r="IP435"/>
  <c r="IQ435"/>
  <c r="IR435"/>
  <c r="IS435"/>
  <c r="IT435"/>
  <c r="IU435"/>
  <c r="IV435"/>
  <c r="A436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Z436"/>
  <c r="AA436"/>
  <c r="AB436"/>
  <c r="AC436"/>
  <c r="AD436"/>
  <c r="AE436"/>
  <c r="AF436"/>
  <c r="AG436"/>
  <c r="AH436"/>
  <c r="AI436"/>
  <c r="AJ436"/>
  <c r="AK436"/>
  <c r="AL436"/>
  <c r="AM436"/>
  <c r="AN436"/>
  <c r="AO436"/>
  <c r="AP436"/>
  <c r="AQ436"/>
  <c r="AR436"/>
  <c r="AS436"/>
  <c r="AT436"/>
  <c r="AU436"/>
  <c r="AV436"/>
  <c r="AW436"/>
  <c r="AX436"/>
  <c r="AY436"/>
  <c r="AZ436"/>
  <c r="BA436"/>
  <c r="BB436"/>
  <c r="BC436"/>
  <c r="BD436"/>
  <c r="BE436"/>
  <c r="BF436"/>
  <c r="BG436"/>
  <c r="BH436"/>
  <c r="BI436"/>
  <c r="BJ436"/>
  <c r="BK436"/>
  <c r="BL436"/>
  <c r="BM436"/>
  <c r="BN436"/>
  <c r="BO436"/>
  <c r="BP436"/>
  <c r="BQ436"/>
  <c r="BR436"/>
  <c r="BS436"/>
  <c r="BT436"/>
  <c r="BU436"/>
  <c r="BV436"/>
  <c r="BW436"/>
  <c r="BX436"/>
  <c r="BY436"/>
  <c r="BZ436"/>
  <c r="CA436"/>
  <c r="CB436"/>
  <c r="CC436"/>
  <c r="CD436"/>
  <c r="CE436"/>
  <c r="CF436"/>
  <c r="CG436"/>
  <c r="CH436"/>
  <c r="CI436"/>
  <c r="CJ436"/>
  <c r="CK436"/>
  <c r="CL436"/>
  <c r="CM436"/>
  <c r="CN436"/>
  <c r="CO436"/>
  <c r="CP436"/>
  <c r="CQ436"/>
  <c r="CR436"/>
  <c r="CS436"/>
  <c r="CT436"/>
  <c r="CU436"/>
  <c r="CV436"/>
  <c r="CW436"/>
  <c r="CX436"/>
  <c r="CY436"/>
  <c r="CZ436"/>
  <c r="DA436"/>
  <c r="DB436"/>
  <c r="DC436"/>
  <c r="DD436"/>
  <c r="DE436"/>
  <c r="DF436"/>
  <c r="DG436"/>
  <c r="DH436"/>
  <c r="DI436"/>
  <c r="DJ436"/>
  <c r="DK436"/>
  <c r="DL436"/>
  <c r="DM436"/>
  <c r="DN436"/>
  <c r="DO436"/>
  <c r="DP436"/>
  <c r="DQ436"/>
  <c r="DR436"/>
  <c r="DS436"/>
  <c r="DT436"/>
  <c r="DU436"/>
  <c r="DV436"/>
  <c r="DW436"/>
  <c r="DX436"/>
  <c r="DY436"/>
  <c r="DZ436"/>
  <c r="EA436"/>
  <c r="EB436"/>
  <c r="EC436"/>
  <c r="ED436"/>
  <c r="EE436"/>
  <c r="EF436"/>
  <c r="EG436"/>
  <c r="EH436"/>
  <c r="EI436"/>
  <c r="EJ436"/>
  <c r="EK436"/>
  <c r="EL436"/>
  <c r="EM436"/>
  <c r="EN436"/>
  <c r="EO436"/>
  <c r="EP436"/>
  <c r="EQ436"/>
  <c r="ER436"/>
  <c r="ES436"/>
  <c r="ET436"/>
  <c r="EU436"/>
  <c r="EV436"/>
  <c r="EW436"/>
  <c r="EX436"/>
  <c r="EY436"/>
  <c r="EZ436"/>
  <c r="FA436"/>
  <c r="FB436"/>
  <c r="FC436"/>
  <c r="FD436"/>
  <c r="FE436"/>
  <c r="FF436"/>
  <c r="FG436"/>
  <c r="FH436"/>
  <c r="FI436"/>
  <c r="FJ436"/>
  <c r="FK436"/>
  <c r="FL436"/>
  <c r="FM436"/>
  <c r="FN436"/>
  <c r="FO436"/>
  <c r="FP436"/>
  <c r="FQ436"/>
  <c r="FR436"/>
  <c r="FS436"/>
  <c r="FT436"/>
  <c r="FU436"/>
  <c r="FV436"/>
  <c r="FW436"/>
  <c r="FX436"/>
  <c r="FY436"/>
  <c r="FZ436"/>
  <c r="GA436"/>
  <c r="GB436"/>
  <c r="GC436"/>
  <c r="GD436"/>
  <c r="GE436"/>
  <c r="GF436"/>
  <c r="GG436"/>
  <c r="GH436"/>
  <c r="GI436"/>
  <c r="GJ436"/>
  <c r="GK436"/>
  <c r="GL436"/>
  <c r="GM436"/>
  <c r="GN436"/>
  <c r="GO436"/>
  <c r="GP436"/>
  <c r="GQ436"/>
  <c r="GR436"/>
  <c r="GS436"/>
  <c r="GT436"/>
  <c r="GU436"/>
  <c r="GV436"/>
  <c r="GW436"/>
  <c r="GX436"/>
  <c r="GY436"/>
  <c r="GZ436"/>
  <c r="HA436"/>
  <c r="HB436"/>
  <c r="HC436"/>
  <c r="HD436"/>
  <c r="HE436"/>
  <c r="HF436"/>
  <c r="HG436"/>
  <c r="HH436"/>
  <c r="HI436"/>
  <c r="HJ436"/>
  <c r="HK436"/>
  <c r="HL436"/>
  <c r="HM436"/>
  <c r="HN436"/>
  <c r="HO436"/>
  <c r="HP436"/>
  <c r="HQ436"/>
  <c r="HR436"/>
  <c r="HS436"/>
  <c r="HT436"/>
  <c r="HU436"/>
  <c r="HV436"/>
  <c r="HW436"/>
  <c r="HX436"/>
  <c r="HY436"/>
  <c r="HZ436"/>
  <c r="IA436"/>
  <c r="IB436"/>
  <c r="IC436"/>
  <c r="ID436"/>
  <c r="IE436"/>
  <c r="IF436"/>
  <c r="IG436"/>
  <c r="IH436"/>
  <c r="II436"/>
  <c r="IJ436"/>
  <c r="IK436"/>
  <c r="IL436"/>
  <c r="IM436"/>
  <c r="IN436"/>
  <c r="IO436"/>
  <c r="IP436"/>
  <c r="IQ436"/>
  <c r="IR436"/>
  <c r="IS436"/>
  <c r="IT436"/>
  <c r="IU436"/>
  <c r="IV436"/>
  <c r="A437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Z437"/>
  <c r="AA437"/>
  <c r="AB437"/>
  <c r="AC437"/>
  <c r="AD437"/>
  <c r="AE437"/>
  <c r="AF437"/>
  <c r="AG437"/>
  <c r="AH437"/>
  <c r="AI437"/>
  <c r="AJ437"/>
  <c r="AK437"/>
  <c r="AL437"/>
  <c r="AM437"/>
  <c r="AN437"/>
  <c r="AO437"/>
  <c r="AP437"/>
  <c r="AQ437"/>
  <c r="AR437"/>
  <c r="AS437"/>
  <c r="AT437"/>
  <c r="AU437"/>
  <c r="AV437"/>
  <c r="AW437"/>
  <c r="AX437"/>
  <c r="AY437"/>
  <c r="AZ437"/>
  <c r="BA437"/>
  <c r="BB437"/>
  <c r="BC437"/>
  <c r="BD437"/>
  <c r="BE437"/>
  <c r="BF437"/>
  <c r="BG437"/>
  <c r="BH437"/>
  <c r="BI437"/>
  <c r="BJ437"/>
  <c r="BK437"/>
  <c r="BL437"/>
  <c r="BM437"/>
  <c r="BN437"/>
  <c r="BO437"/>
  <c r="BP437"/>
  <c r="BQ437"/>
  <c r="BR437"/>
  <c r="BS437"/>
  <c r="BT437"/>
  <c r="BU437"/>
  <c r="BV437"/>
  <c r="BW437"/>
  <c r="BX437"/>
  <c r="BY437"/>
  <c r="BZ437"/>
  <c r="CA437"/>
  <c r="CB437"/>
  <c r="CC437"/>
  <c r="CD437"/>
  <c r="CE437"/>
  <c r="CF437"/>
  <c r="CG437"/>
  <c r="CH437"/>
  <c r="CI437"/>
  <c r="CJ437"/>
  <c r="CK437"/>
  <c r="CL437"/>
  <c r="CM437"/>
  <c r="CN437"/>
  <c r="CO437"/>
  <c r="CP437"/>
  <c r="CQ437"/>
  <c r="CR437"/>
  <c r="CS437"/>
  <c r="CT437"/>
  <c r="CU437"/>
  <c r="CV437"/>
  <c r="CW437"/>
  <c r="CX437"/>
  <c r="CY437"/>
  <c r="CZ437"/>
  <c r="DA437"/>
  <c r="DB437"/>
  <c r="DC437"/>
  <c r="DD437"/>
  <c r="DE437"/>
  <c r="DF437"/>
  <c r="DG437"/>
  <c r="DH437"/>
  <c r="DI437"/>
  <c r="DJ437"/>
  <c r="DK437"/>
  <c r="DL437"/>
  <c r="DM437"/>
  <c r="DN437"/>
  <c r="DO437"/>
  <c r="DP437"/>
  <c r="DQ437"/>
  <c r="DR437"/>
  <c r="DS437"/>
  <c r="DT437"/>
  <c r="DU437"/>
  <c r="DV437"/>
  <c r="DW437"/>
  <c r="DX437"/>
  <c r="DY437"/>
  <c r="DZ437"/>
  <c r="EA437"/>
  <c r="EB437"/>
  <c r="EC437"/>
  <c r="ED437"/>
  <c r="EE437"/>
  <c r="EF437"/>
  <c r="EG437"/>
  <c r="EH437"/>
  <c r="EI437"/>
  <c r="EJ437"/>
  <c r="EK437"/>
  <c r="EL437"/>
  <c r="EM437"/>
  <c r="EN437"/>
  <c r="EO437"/>
  <c r="EP437"/>
  <c r="EQ437"/>
  <c r="ER437"/>
  <c r="ES437"/>
  <c r="ET437"/>
  <c r="EU437"/>
  <c r="EV437"/>
  <c r="EW437"/>
  <c r="EX437"/>
  <c r="EY437"/>
  <c r="EZ437"/>
  <c r="FA437"/>
  <c r="FB437"/>
  <c r="FC437"/>
  <c r="FD437"/>
  <c r="FE437"/>
  <c r="FF437"/>
  <c r="FG437"/>
  <c r="FH437"/>
  <c r="FI437"/>
  <c r="FJ437"/>
  <c r="FK437"/>
  <c r="FL437"/>
  <c r="FM437"/>
  <c r="FN437"/>
  <c r="FO437"/>
  <c r="FP437"/>
  <c r="FQ437"/>
  <c r="FR437"/>
  <c r="FS437"/>
  <c r="FT437"/>
  <c r="FU437"/>
  <c r="FV437"/>
  <c r="FW437"/>
  <c r="FX437"/>
  <c r="FY437"/>
  <c r="FZ437"/>
  <c r="GA437"/>
  <c r="GB437"/>
  <c r="GC437"/>
  <c r="GD437"/>
  <c r="GE437"/>
  <c r="GF437"/>
  <c r="GG437"/>
  <c r="GH437"/>
  <c r="GI437"/>
  <c r="GJ437"/>
  <c r="GK437"/>
  <c r="GL437"/>
  <c r="GM437"/>
  <c r="GN437"/>
  <c r="GO437"/>
  <c r="GP437"/>
  <c r="GQ437"/>
  <c r="GR437"/>
  <c r="GS437"/>
  <c r="GT437"/>
  <c r="GU437"/>
  <c r="GV437"/>
  <c r="GW437"/>
  <c r="GX437"/>
  <c r="GY437"/>
  <c r="GZ437"/>
  <c r="HA437"/>
  <c r="HB437"/>
  <c r="HC437"/>
  <c r="HD437"/>
  <c r="HE437"/>
  <c r="HF437"/>
  <c r="HG437"/>
  <c r="HH437"/>
  <c r="HI437"/>
  <c r="HJ437"/>
  <c r="HK437"/>
  <c r="HL437"/>
  <c r="HM437"/>
  <c r="HN437"/>
  <c r="HO437"/>
  <c r="HP437"/>
  <c r="HQ437"/>
  <c r="HR437"/>
  <c r="HS437"/>
  <c r="HT437"/>
  <c r="HU437"/>
  <c r="HV437"/>
  <c r="HW437"/>
  <c r="HX437"/>
  <c r="HY437"/>
  <c r="HZ437"/>
  <c r="IA437"/>
  <c r="IB437"/>
  <c r="IC437"/>
  <c r="ID437"/>
  <c r="IE437"/>
  <c r="IF437"/>
  <c r="IG437"/>
  <c r="IH437"/>
  <c r="II437"/>
  <c r="IJ437"/>
  <c r="IK437"/>
  <c r="IL437"/>
  <c r="IM437"/>
  <c r="IN437"/>
  <c r="IO437"/>
  <c r="IP437"/>
  <c r="IQ437"/>
  <c r="IR437"/>
  <c r="IS437"/>
  <c r="IT437"/>
  <c r="IU437"/>
  <c r="IV437"/>
  <c r="A438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Z438"/>
  <c r="AA438"/>
  <c r="AB438"/>
  <c r="AC438"/>
  <c r="AD438"/>
  <c r="AE438"/>
  <c r="AF438"/>
  <c r="AG438"/>
  <c r="AH438"/>
  <c r="AI438"/>
  <c r="AJ438"/>
  <c r="AK438"/>
  <c r="AL438"/>
  <c r="AM438"/>
  <c r="AN438"/>
  <c r="AO438"/>
  <c r="AP438"/>
  <c r="AQ438"/>
  <c r="AR438"/>
  <c r="AS438"/>
  <c r="AT438"/>
  <c r="AU438"/>
  <c r="AV438"/>
  <c r="AW438"/>
  <c r="AX438"/>
  <c r="AY438"/>
  <c r="AZ438"/>
  <c r="BA438"/>
  <c r="BB438"/>
  <c r="BC438"/>
  <c r="BD438"/>
  <c r="BE438"/>
  <c r="BF438"/>
  <c r="BG438"/>
  <c r="BH438"/>
  <c r="BI438"/>
  <c r="BJ438"/>
  <c r="BK438"/>
  <c r="BL438"/>
  <c r="BM438"/>
  <c r="BN438"/>
  <c r="BO438"/>
  <c r="BP438"/>
  <c r="BQ438"/>
  <c r="BR438"/>
  <c r="BS438"/>
  <c r="BT438"/>
  <c r="BU438"/>
  <c r="BV438"/>
  <c r="BW438"/>
  <c r="BX438"/>
  <c r="BY438"/>
  <c r="BZ438"/>
  <c r="CA438"/>
  <c r="CB438"/>
  <c r="CC438"/>
  <c r="CD438"/>
  <c r="CE438"/>
  <c r="CF438"/>
  <c r="CG438"/>
  <c r="CH438"/>
  <c r="CI438"/>
  <c r="CJ438"/>
  <c r="CK438"/>
  <c r="CL438"/>
  <c r="CM438"/>
  <c r="CN438"/>
  <c r="CO438"/>
  <c r="CP438"/>
  <c r="CQ438"/>
  <c r="CR438"/>
  <c r="CS438"/>
  <c r="CT438"/>
  <c r="CU438"/>
  <c r="CV438"/>
  <c r="CW438"/>
  <c r="CX438"/>
  <c r="CY438"/>
  <c r="CZ438"/>
  <c r="DA438"/>
  <c r="DB438"/>
  <c r="DC438"/>
  <c r="DD438"/>
  <c r="DE438"/>
  <c r="DF438"/>
  <c r="DG438"/>
  <c r="DH438"/>
  <c r="DI438"/>
  <c r="DJ438"/>
  <c r="DK438"/>
  <c r="DL438"/>
  <c r="DM438"/>
  <c r="DN438"/>
  <c r="DO438"/>
  <c r="DP438"/>
  <c r="DQ438"/>
  <c r="DR438"/>
  <c r="DS438"/>
  <c r="DT438"/>
  <c r="DU438"/>
  <c r="DV438"/>
  <c r="DW438"/>
  <c r="DX438"/>
  <c r="DY438"/>
  <c r="DZ438"/>
  <c r="EA438"/>
  <c r="EB438"/>
  <c r="EC438"/>
  <c r="ED438"/>
  <c r="EE438"/>
  <c r="EF438"/>
  <c r="EG438"/>
  <c r="EH438"/>
  <c r="EI438"/>
  <c r="EJ438"/>
  <c r="EK438"/>
  <c r="EL438"/>
  <c r="EM438"/>
  <c r="EN438"/>
  <c r="EO438"/>
  <c r="EP438"/>
  <c r="EQ438"/>
  <c r="ER438"/>
  <c r="ES438"/>
  <c r="ET438"/>
  <c r="EU438"/>
  <c r="EV438"/>
  <c r="EW438"/>
  <c r="EX438"/>
  <c r="EY438"/>
  <c r="EZ438"/>
  <c r="FA438"/>
  <c r="FB438"/>
  <c r="FC438"/>
  <c r="FD438"/>
  <c r="FE438"/>
  <c r="FF438"/>
  <c r="FG438"/>
  <c r="FH438"/>
  <c r="FI438"/>
  <c r="FJ438"/>
  <c r="FK438"/>
  <c r="FL438"/>
  <c r="FM438"/>
  <c r="FN438"/>
  <c r="FO438"/>
  <c r="FP438"/>
  <c r="FQ438"/>
  <c r="FR438"/>
  <c r="FS438"/>
  <c r="FT438"/>
  <c r="FU438"/>
  <c r="FV438"/>
  <c r="FW438"/>
  <c r="FX438"/>
  <c r="FY438"/>
  <c r="FZ438"/>
  <c r="GA438"/>
  <c r="GB438"/>
  <c r="GC438"/>
  <c r="GD438"/>
  <c r="GE438"/>
  <c r="GF438"/>
  <c r="GG438"/>
  <c r="GH438"/>
  <c r="GI438"/>
  <c r="GJ438"/>
  <c r="GK438"/>
  <c r="GL438"/>
  <c r="GM438"/>
  <c r="GN438"/>
  <c r="GO438"/>
  <c r="GP438"/>
  <c r="GQ438"/>
  <c r="GR438"/>
  <c r="GS438"/>
  <c r="GT438"/>
  <c r="GU438"/>
  <c r="GV438"/>
  <c r="GW438"/>
  <c r="GX438"/>
  <c r="GY438"/>
  <c r="GZ438"/>
  <c r="HA438"/>
  <c r="HB438"/>
  <c r="HC438"/>
  <c r="HD438"/>
  <c r="HE438"/>
  <c r="HF438"/>
  <c r="HG438"/>
  <c r="HH438"/>
  <c r="HI438"/>
  <c r="HJ438"/>
  <c r="HK438"/>
  <c r="HL438"/>
  <c r="HM438"/>
  <c r="HN438"/>
  <c r="HO438"/>
  <c r="HP438"/>
  <c r="HQ438"/>
  <c r="HR438"/>
  <c r="HS438"/>
  <c r="HT438"/>
  <c r="HU438"/>
  <c r="HV438"/>
  <c r="HW438"/>
  <c r="HX438"/>
  <c r="HY438"/>
  <c r="HZ438"/>
  <c r="IA438"/>
  <c r="IB438"/>
  <c r="IC438"/>
  <c r="ID438"/>
  <c r="IE438"/>
  <c r="IF438"/>
  <c r="IG438"/>
  <c r="IH438"/>
  <c r="II438"/>
  <c r="IJ438"/>
  <c r="IK438"/>
  <c r="IL438"/>
  <c r="IM438"/>
  <c r="IN438"/>
  <c r="IO438"/>
  <c r="IP438"/>
  <c r="IQ438"/>
  <c r="IR438"/>
  <c r="IS438"/>
  <c r="IT438"/>
  <c r="IU438"/>
  <c r="IV438"/>
  <c r="A439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Z439"/>
  <c r="AA439"/>
  <c r="AB439"/>
  <c r="AC439"/>
  <c r="AD439"/>
  <c r="AE439"/>
  <c r="AF439"/>
  <c r="AG439"/>
  <c r="AH439"/>
  <c r="AI439"/>
  <c r="AJ439"/>
  <c r="AK439"/>
  <c r="AL439"/>
  <c r="AM439"/>
  <c r="AN439"/>
  <c r="AO439"/>
  <c r="AP439"/>
  <c r="AQ439"/>
  <c r="AR439"/>
  <c r="AS439"/>
  <c r="AT439"/>
  <c r="AU439"/>
  <c r="AV439"/>
  <c r="AW439"/>
  <c r="AX439"/>
  <c r="AY439"/>
  <c r="AZ439"/>
  <c r="BA439"/>
  <c r="BB439"/>
  <c r="BC439"/>
  <c r="BD439"/>
  <c r="BE439"/>
  <c r="BF439"/>
  <c r="BG439"/>
  <c r="BH439"/>
  <c r="BI439"/>
  <c r="BJ439"/>
  <c r="BK439"/>
  <c r="BL439"/>
  <c r="BM439"/>
  <c r="BN439"/>
  <c r="BO439"/>
  <c r="BP439"/>
  <c r="BQ439"/>
  <c r="BR439"/>
  <c r="BS439"/>
  <c r="BT439"/>
  <c r="BU439"/>
  <c r="BV439"/>
  <c r="BW439"/>
  <c r="BX439"/>
  <c r="BY439"/>
  <c r="BZ439"/>
  <c r="CA439"/>
  <c r="CB439"/>
  <c r="CC439"/>
  <c r="CD439"/>
  <c r="CE439"/>
  <c r="CF439"/>
  <c r="CG439"/>
  <c r="CH439"/>
  <c r="CI439"/>
  <c r="CJ439"/>
  <c r="CK439"/>
  <c r="CL439"/>
  <c r="CM439"/>
  <c r="CN439"/>
  <c r="CO439"/>
  <c r="CP439"/>
  <c r="CQ439"/>
  <c r="CR439"/>
  <c r="CS439"/>
  <c r="CT439"/>
  <c r="CU439"/>
  <c r="CV439"/>
  <c r="CW439"/>
  <c r="CX439"/>
  <c r="CY439"/>
  <c r="CZ439"/>
  <c r="DA439"/>
  <c r="DB439"/>
  <c r="DC439"/>
  <c r="DD439"/>
  <c r="DE439"/>
  <c r="DF439"/>
  <c r="DG439"/>
  <c r="DH439"/>
  <c r="DI439"/>
  <c r="DJ439"/>
  <c r="DK439"/>
  <c r="DL439"/>
  <c r="DM439"/>
  <c r="DN439"/>
  <c r="DO439"/>
  <c r="DP439"/>
  <c r="DQ439"/>
  <c r="DR439"/>
  <c r="DS439"/>
  <c r="DT439"/>
  <c r="DU439"/>
  <c r="DV439"/>
  <c r="DW439"/>
  <c r="DX439"/>
  <c r="DY439"/>
  <c r="DZ439"/>
  <c r="EA439"/>
  <c r="EB439"/>
  <c r="EC439"/>
  <c r="ED439"/>
  <c r="EE439"/>
  <c r="EF439"/>
  <c r="EG439"/>
  <c r="EH439"/>
  <c r="EI439"/>
  <c r="EJ439"/>
  <c r="EK439"/>
  <c r="EL439"/>
  <c r="EM439"/>
  <c r="EN439"/>
  <c r="EO439"/>
  <c r="EP439"/>
  <c r="EQ439"/>
  <c r="ER439"/>
  <c r="ES439"/>
  <c r="ET439"/>
  <c r="EU439"/>
  <c r="EV439"/>
  <c r="EW439"/>
  <c r="EX439"/>
  <c r="EY439"/>
  <c r="EZ439"/>
  <c r="FA439"/>
  <c r="FB439"/>
  <c r="FC439"/>
  <c r="FD439"/>
  <c r="FE439"/>
  <c r="FF439"/>
  <c r="FG439"/>
  <c r="FH439"/>
  <c r="FI439"/>
  <c r="FJ439"/>
  <c r="FK439"/>
  <c r="FL439"/>
  <c r="FM439"/>
  <c r="FN439"/>
  <c r="FO439"/>
  <c r="FP439"/>
  <c r="FQ439"/>
  <c r="FR439"/>
  <c r="FS439"/>
  <c r="FT439"/>
  <c r="FU439"/>
  <c r="FV439"/>
  <c r="FW439"/>
  <c r="FX439"/>
  <c r="FY439"/>
  <c r="FZ439"/>
  <c r="GA439"/>
  <c r="GB439"/>
  <c r="GC439"/>
  <c r="GD439"/>
  <c r="GE439"/>
  <c r="GF439"/>
  <c r="GG439"/>
  <c r="GH439"/>
  <c r="GI439"/>
  <c r="GJ439"/>
  <c r="GK439"/>
  <c r="GL439"/>
  <c r="GM439"/>
  <c r="GN439"/>
  <c r="GO439"/>
  <c r="GP439"/>
  <c r="GQ439"/>
  <c r="GR439"/>
  <c r="GS439"/>
  <c r="GT439"/>
  <c r="GU439"/>
  <c r="GV439"/>
  <c r="GW439"/>
  <c r="GX439"/>
  <c r="GY439"/>
  <c r="GZ439"/>
  <c r="HA439"/>
  <c r="HB439"/>
  <c r="HC439"/>
  <c r="HD439"/>
  <c r="HE439"/>
  <c r="HF439"/>
  <c r="HG439"/>
  <c r="HH439"/>
  <c r="HI439"/>
  <c r="HJ439"/>
  <c r="HK439"/>
  <c r="HL439"/>
  <c r="HM439"/>
  <c r="HN439"/>
  <c r="HO439"/>
  <c r="HP439"/>
  <c r="HQ439"/>
  <c r="HR439"/>
  <c r="HS439"/>
  <c r="HT439"/>
  <c r="HU439"/>
  <c r="HV439"/>
  <c r="HW439"/>
  <c r="HX439"/>
  <c r="HY439"/>
  <c r="HZ439"/>
  <c r="IA439"/>
  <c r="IB439"/>
  <c r="IC439"/>
  <c r="ID439"/>
  <c r="IE439"/>
  <c r="IF439"/>
  <c r="IG439"/>
  <c r="IH439"/>
  <c r="II439"/>
  <c r="IJ439"/>
  <c r="IK439"/>
  <c r="IL439"/>
  <c r="IM439"/>
  <c r="IN439"/>
  <c r="IO439"/>
  <c r="IP439"/>
  <c r="IQ439"/>
  <c r="IR439"/>
  <c r="IS439"/>
  <c r="IT439"/>
  <c r="IU439"/>
  <c r="IV439"/>
  <c r="A440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Z440"/>
  <c r="AA440"/>
  <c r="AB440"/>
  <c r="AC440"/>
  <c r="AD440"/>
  <c r="AE440"/>
  <c r="AF440"/>
  <c r="AG440"/>
  <c r="AH440"/>
  <c r="AI440"/>
  <c r="AJ440"/>
  <c r="AK440"/>
  <c r="AL440"/>
  <c r="AM440"/>
  <c r="AN440"/>
  <c r="AO440"/>
  <c r="AP440"/>
  <c r="AQ440"/>
  <c r="AR440"/>
  <c r="AS440"/>
  <c r="AT440"/>
  <c r="AU440"/>
  <c r="AV440"/>
  <c r="AW440"/>
  <c r="AX440"/>
  <c r="AY440"/>
  <c r="AZ440"/>
  <c r="BA440"/>
  <c r="BB440"/>
  <c r="BC440"/>
  <c r="BD440"/>
  <c r="BE440"/>
  <c r="BF440"/>
  <c r="BG440"/>
  <c r="BH440"/>
  <c r="BI440"/>
  <c r="BJ440"/>
  <c r="BK440"/>
  <c r="BL440"/>
  <c r="BM440"/>
  <c r="BN440"/>
  <c r="BO440"/>
  <c r="BP440"/>
  <c r="BQ440"/>
  <c r="BR440"/>
  <c r="BS440"/>
  <c r="BT440"/>
  <c r="BU440"/>
  <c r="BV440"/>
  <c r="BW440"/>
  <c r="BX440"/>
  <c r="BY440"/>
  <c r="BZ440"/>
  <c r="CA440"/>
  <c r="CB440"/>
  <c r="CC440"/>
  <c r="CD440"/>
  <c r="CE440"/>
  <c r="CF440"/>
  <c r="CG440"/>
  <c r="CH440"/>
  <c r="CI440"/>
  <c r="CJ440"/>
  <c r="CK440"/>
  <c r="CL440"/>
  <c r="CM440"/>
  <c r="CN440"/>
  <c r="CO440"/>
  <c r="CP440"/>
  <c r="CQ440"/>
  <c r="CR440"/>
  <c r="CS440"/>
  <c r="CT440"/>
  <c r="CU440"/>
  <c r="CV440"/>
  <c r="CW440"/>
  <c r="CX440"/>
  <c r="CY440"/>
  <c r="CZ440"/>
  <c r="DA440"/>
  <c r="DB440"/>
  <c r="DC440"/>
  <c r="DD440"/>
  <c r="DE440"/>
  <c r="DF440"/>
  <c r="DG440"/>
  <c r="DH440"/>
  <c r="DI440"/>
  <c r="DJ440"/>
  <c r="DK440"/>
  <c r="DL440"/>
  <c r="DM440"/>
  <c r="DN440"/>
  <c r="DO440"/>
  <c r="DP440"/>
  <c r="DQ440"/>
  <c r="DR440"/>
  <c r="DS440"/>
  <c r="DT440"/>
  <c r="DU440"/>
  <c r="DV440"/>
  <c r="DW440"/>
  <c r="DX440"/>
  <c r="DY440"/>
  <c r="DZ440"/>
  <c r="EA440"/>
  <c r="EB440"/>
  <c r="EC440"/>
  <c r="ED440"/>
  <c r="EE440"/>
  <c r="EF440"/>
  <c r="EG440"/>
  <c r="EH440"/>
  <c r="EI440"/>
  <c r="EJ440"/>
  <c r="EK440"/>
  <c r="EL440"/>
  <c r="EM440"/>
  <c r="EN440"/>
  <c r="EO440"/>
  <c r="EP440"/>
  <c r="EQ440"/>
  <c r="ER440"/>
  <c r="ES440"/>
  <c r="ET440"/>
  <c r="EU440"/>
  <c r="EV440"/>
  <c r="EW440"/>
  <c r="EX440"/>
  <c r="EY440"/>
  <c r="EZ440"/>
  <c r="FA440"/>
  <c r="FB440"/>
  <c r="FC440"/>
  <c r="FD440"/>
  <c r="FE440"/>
  <c r="FF440"/>
  <c r="FG440"/>
  <c r="FH440"/>
  <c r="FI440"/>
  <c r="FJ440"/>
  <c r="FK440"/>
  <c r="FL440"/>
  <c r="FM440"/>
  <c r="FN440"/>
  <c r="FO440"/>
  <c r="FP440"/>
  <c r="FQ440"/>
  <c r="FR440"/>
  <c r="FS440"/>
  <c r="FT440"/>
  <c r="FU440"/>
  <c r="FV440"/>
  <c r="FW440"/>
  <c r="FX440"/>
  <c r="FY440"/>
  <c r="FZ440"/>
  <c r="GA440"/>
  <c r="GB440"/>
  <c r="GC440"/>
  <c r="GD440"/>
  <c r="GE440"/>
  <c r="GF440"/>
  <c r="GG440"/>
  <c r="GH440"/>
  <c r="GI440"/>
  <c r="GJ440"/>
  <c r="GK440"/>
  <c r="GL440"/>
  <c r="GM440"/>
  <c r="GN440"/>
  <c r="GO440"/>
  <c r="GP440"/>
  <c r="GQ440"/>
  <c r="GR440"/>
  <c r="GS440"/>
  <c r="GT440"/>
  <c r="GU440"/>
  <c r="GV440"/>
  <c r="GW440"/>
  <c r="GX440"/>
  <c r="GY440"/>
  <c r="GZ440"/>
  <c r="HA440"/>
  <c r="HB440"/>
  <c r="HC440"/>
  <c r="HD440"/>
  <c r="HE440"/>
  <c r="HF440"/>
  <c r="HG440"/>
  <c r="HH440"/>
  <c r="HI440"/>
  <c r="HJ440"/>
  <c r="HK440"/>
  <c r="HL440"/>
  <c r="HM440"/>
  <c r="HN440"/>
  <c r="HO440"/>
  <c r="HP440"/>
  <c r="HQ440"/>
  <c r="HR440"/>
  <c r="HS440"/>
  <c r="HT440"/>
  <c r="HU440"/>
  <c r="HV440"/>
  <c r="HW440"/>
  <c r="HX440"/>
  <c r="HY440"/>
  <c r="HZ440"/>
  <c r="IA440"/>
  <c r="IB440"/>
  <c r="IC440"/>
  <c r="ID440"/>
  <c r="IE440"/>
  <c r="IF440"/>
  <c r="IG440"/>
  <c r="IH440"/>
  <c r="II440"/>
  <c r="IJ440"/>
  <c r="IK440"/>
  <c r="IL440"/>
  <c r="IM440"/>
  <c r="IN440"/>
  <c r="IO440"/>
  <c r="IP440"/>
  <c r="IQ440"/>
  <c r="IR440"/>
  <c r="IS440"/>
  <c r="IT440"/>
  <c r="IU440"/>
  <c r="IV440"/>
  <c r="A441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Z441"/>
  <c r="AA441"/>
  <c r="AB441"/>
  <c r="AC441"/>
  <c r="AD441"/>
  <c r="AE441"/>
  <c r="AF441"/>
  <c r="AG441"/>
  <c r="AH441"/>
  <c r="AI441"/>
  <c r="AJ441"/>
  <c r="AK441"/>
  <c r="AL441"/>
  <c r="AM441"/>
  <c r="AN441"/>
  <c r="AO441"/>
  <c r="AP441"/>
  <c r="AQ441"/>
  <c r="AR441"/>
  <c r="AS441"/>
  <c r="AT441"/>
  <c r="AU441"/>
  <c r="AV441"/>
  <c r="AW441"/>
  <c r="AX441"/>
  <c r="AY441"/>
  <c r="AZ441"/>
  <c r="BA441"/>
  <c r="BB441"/>
  <c r="BC441"/>
  <c r="BD441"/>
  <c r="BE441"/>
  <c r="BF441"/>
  <c r="BG441"/>
  <c r="BH441"/>
  <c r="BI441"/>
  <c r="BJ441"/>
  <c r="BK441"/>
  <c r="BL441"/>
  <c r="BM441"/>
  <c r="BN441"/>
  <c r="BO441"/>
  <c r="BP441"/>
  <c r="BQ441"/>
  <c r="BR441"/>
  <c r="BS441"/>
  <c r="BT441"/>
  <c r="BU441"/>
  <c r="BV441"/>
  <c r="BW441"/>
  <c r="BX441"/>
  <c r="BY441"/>
  <c r="BZ441"/>
  <c r="CA441"/>
  <c r="CB441"/>
  <c r="CC441"/>
  <c r="CD441"/>
  <c r="CE441"/>
  <c r="CF441"/>
  <c r="CG441"/>
  <c r="CH441"/>
  <c r="CI441"/>
  <c r="CJ441"/>
  <c r="CK441"/>
  <c r="CL441"/>
  <c r="CM441"/>
  <c r="CN441"/>
  <c r="CO441"/>
  <c r="CP441"/>
  <c r="CQ441"/>
  <c r="CR441"/>
  <c r="CS441"/>
  <c r="CT441"/>
  <c r="CU441"/>
  <c r="CV441"/>
  <c r="CW441"/>
  <c r="CX441"/>
  <c r="CY441"/>
  <c r="CZ441"/>
  <c r="DA441"/>
  <c r="DB441"/>
  <c r="DC441"/>
  <c r="DD441"/>
  <c r="DE441"/>
  <c r="DF441"/>
  <c r="DG441"/>
  <c r="DH441"/>
  <c r="DI441"/>
  <c r="DJ441"/>
  <c r="DK441"/>
  <c r="DL441"/>
  <c r="DM441"/>
  <c r="DN441"/>
  <c r="DO441"/>
  <c r="DP441"/>
  <c r="DQ441"/>
  <c r="DR441"/>
  <c r="DS441"/>
  <c r="DT441"/>
  <c r="DU441"/>
  <c r="DV441"/>
  <c r="DW441"/>
  <c r="DX441"/>
  <c r="DY441"/>
  <c r="DZ441"/>
  <c r="EA441"/>
  <c r="EB441"/>
  <c r="EC441"/>
  <c r="ED441"/>
  <c r="EE441"/>
  <c r="EF441"/>
  <c r="EG441"/>
  <c r="EH441"/>
  <c r="EI441"/>
  <c r="EJ441"/>
  <c r="EK441"/>
  <c r="EL441"/>
  <c r="EM441"/>
  <c r="EN441"/>
  <c r="EO441"/>
  <c r="EP441"/>
  <c r="EQ441"/>
  <c r="ER441"/>
  <c r="ES441"/>
  <c r="ET441"/>
  <c r="EU441"/>
  <c r="EV441"/>
  <c r="EW441"/>
  <c r="EX441"/>
  <c r="EY441"/>
  <c r="EZ441"/>
  <c r="FA441"/>
  <c r="FB441"/>
  <c r="FC441"/>
  <c r="FD441"/>
  <c r="FE441"/>
  <c r="FF441"/>
  <c r="FG441"/>
  <c r="FH441"/>
  <c r="FI441"/>
  <c r="FJ441"/>
  <c r="FK441"/>
  <c r="FL441"/>
  <c r="FM441"/>
  <c r="FN441"/>
  <c r="FO441"/>
  <c r="FP441"/>
  <c r="FQ441"/>
  <c r="FR441"/>
  <c r="FS441"/>
  <c r="FT441"/>
  <c r="FU441"/>
  <c r="FV441"/>
  <c r="FW441"/>
  <c r="FX441"/>
  <c r="FY441"/>
  <c r="FZ441"/>
  <c r="GA441"/>
  <c r="GB441"/>
  <c r="GC441"/>
  <c r="GD441"/>
  <c r="GE441"/>
  <c r="GF441"/>
  <c r="GG441"/>
  <c r="GH441"/>
  <c r="GI441"/>
  <c r="GJ441"/>
  <c r="GK441"/>
  <c r="GL441"/>
  <c r="GM441"/>
  <c r="GN441"/>
  <c r="GO441"/>
  <c r="GP441"/>
  <c r="GQ441"/>
  <c r="GR441"/>
  <c r="GS441"/>
  <c r="GT441"/>
  <c r="GU441"/>
  <c r="GV441"/>
  <c r="GW441"/>
  <c r="GX441"/>
  <c r="GY441"/>
  <c r="GZ441"/>
  <c r="HA441"/>
  <c r="HB441"/>
  <c r="HC441"/>
  <c r="HD441"/>
  <c r="HE441"/>
  <c r="HF441"/>
  <c r="HG441"/>
  <c r="HH441"/>
  <c r="HI441"/>
  <c r="HJ441"/>
  <c r="HK441"/>
  <c r="HL441"/>
  <c r="HM441"/>
  <c r="HN441"/>
  <c r="HO441"/>
  <c r="HP441"/>
  <c r="HQ441"/>
  <c r="HR441"/>
  <c r="HS441"/>
  <c r="HT441"/>
  <c r="HU441"/>
  <c r="HV441"/>
  <c r="HW441"/>
  <c r="HX441"/>
  <c r="HY441"/>
  <c r="HZ441"/>
  <c r="IA441"/>
  <c r="IB441"/>
  <c r="IC441"/>
  <c r="ID441"/>
  <c r="IE441"/>
  <c r="IF441"/>
  <c r="IG441"/>
  <c r="IH441"/>
  <c r="II441"/>
  <c r="IJ441"/>
  <c r="IK441"/>
  <c r="IL441"/>
  <c r="IM441"/>
  <c r="IN441"/>
  <c r="IO441"/>
  <c r="IP441"/>
  <c r="IQ441"/>
  <c r="IR441"/>
  <c r="IS441"/>
  <c r="IT441"/>
  <c r="IU441"/>
  <c r="IV441"/>
  <c r="A442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Z442"/>
  <c r="AA442"/>
  <c r="AB442"/>
  <c r="AC442"/>
  <c r="AD442"/>
  <c r="AE442"/>
  <c r="AF442"/>
  <c r="AG442"/>
  <c r="AH442"/>
  <c r="AI442"/>
  <c r="AJ442"/>
  <c r="AK442"/>
  <c r="AL442"/>
  <c r="AM442"/>
  <c r="AN442"/>
  <c r="AO442"/>
  <c r="AP442"/>
  <c r="AQ442"/>
  <c r="AR442"/>
  <c r="AS442"/>
  <c r="AT442"/>
  <c r="AU442"/>
  <c r="AV442"/>
  <c r="AW442"/>
  <c r="AX442"/>
  <c r="AY442"/>
  <c r="AZ442"/>
  <c r="BA442"/>
  <c r="BB442"/>
  <c r="BC442"/>
  <c r="BD442"/>
  <c r="BE442"/>
  <c r="BF442"/>
  <c r="BG442"/>
  <c r="BH442"/>
  <c r="BI442"/>
  <c r="BJ442"/>
  <c r="BK442"/>
  <c r="BL442"/>
  <c r="BM442"/>
  <c r="BN442"/>
  <c r="BO442"/>
  <c r="BP442"/>
  <c r="BQ442"/>
  <c r="BR442"/>
  <c r="BS442"/>
  <c r="BT442"/>
  <c r="BU442"/>
  <c r="BV442"/>
  <c r="BW442"/>
  <c r="BX442"/>
  <c r="BY442"/>
  <c r="BZ442"/>
  <c r="CA442"/>
  <c r="CB442"/>
  <c r="CC442"/>
  <c r="CD442"/>
  <c r="CE442"/>
  <c r="CF442"/>
  <c r="CG442"/>
  <c r="CH442"/>
  <c r="CI442"/>
  <c r="CJ442"/>
  <c r="CK442"/>
  <c r="CL442"/>
  <c r="CM442"/>
  <c r="CN442"/>
  <c r="CO442"/>
  <c r="CP442"/>
  <c r="CQ442"/>
  <c r="CR442"/>
  <c r="CS442"/>
  <c r="CT442"/>
  <c r="CU442"/>
  <c r="CV442"/>
  <c r="CW442"/>
  <c r="CX442"/>
  <c r="CY442"/>
  <c r="CZ442"/>
  <c r="DA442"/>
  <c r="DB442"/>
  <c r="DC442"/>
  <c r="DD442"/>
  <c r="DE442"/>
  <c r="DF442"/>
  <c r="DG442"/>
  <c r="DH442"/>
  <c r="DI442"/>
  <c r="DJ442"/>
  <c r="DK442"/>
  <c r="DL442"/>
  <c r="DM442"/>
  <c r="DN442"/>
  <c r="DO442"/>
  <c r="DP442"/>
  <c r="DQ442"/>
  <c r="DR442"/>
  <c r="DS442"/>
  <c r="DT442"/>
  <c r="DU442"/>
  <c r="DV442"/>
  <c r="DW442"/>
  <c r="DX442"/>
  <c r="DY442"/>
  <c r="DZ442"/>
  <c r="EA442"/>
  <c r="EB442"/>
  <c r="EC442"/>
  <c r="ED442"/>
  <c r="EE442"/>
  <c r="EF442"/>
  <c r="EG442"/>
  <c r="EH442"/>
  <c r="EI442"/>
  <c r="EJ442"/>
  <c r="EK442"/>
  <c r="EL442"/>
  <c r="EM442"/>
  <c r="EN442"/>
  <c r="EO442"/>
  <c r="EP442"/>
  <c r="EQ442"/>
  <c r="ER442"/>
  <c r="ES442"/>
  <c r="ET442"/>
  <c r="EU442"/>
  <c r="EV442"/>
  <c r="EW442"/>
  <c r="EX442"/>
  <c r="EY442"/>
  <c r="EZ442"/>
  <c r="FA442"/>
  <c r="FB442"/>
  <c r="FC442"/>
  <c r="FD442"/>
  <c r="FE442"/>
  <c r="FF442"/>
  <c r="FG442"/>
  <c r="FH442"/>
  <c r="FI442"/>
  <c r="FJ442"/>
  <c r="FK442"/>
  <c r="FL442"/>
  <c r="FM442"/>
  <c r="FN442"/>
  <c r="FO442"/>
  <c r="FP442"/>
  <c r="FQ442"/>
  <c r="FR442"/>
  <c r="FS442"/>
  <c r="FT442"/>
  <c r="FU442"/>
  <c r="FV442"/>
  <c r="FW442"/>
  <c r="FX442"/>
  <c r="FY442"/>
  <c r="FZ442"/>
  <c r="GA442"/>
  <c r="GB442"/>
  <c r="GC442"/>
  <c r="GD442"/>
  <c r="GE442"/>
  <c r="GF442"/>
  <c r="GG442"/>
  <c r="GH442"/>
  <c r="GI442"/>
  <c r="GJ442"/>
  <c r="GK442"/>
  <c r="GL442"/>
  <c r="GM442"/>
  <c r="GN442"/>
  <c r="GO442"/>
  <c r="GP442"/>
  <c r="GQ442"/>
  <c r="GR442"/>
  <c r="GS442"/>
  <c r="GT442"/>
  <c r="GU442"/>
  <c r="GV442"/>
  <c r="GW442"/>
  <c r="GX442"/>
  <c r="GY442"/>
  <c r="GZ442"/>
  <c r="HA442"/>
  <c r="HB442"/>
  <c r="HC442"/>
  <c r="HD442"/>
  <c r="HE442"/>
  <c r="HF442"/>
  <c r="HG442"/>
  <c r="HH442"/>
  <c r="HI442"/>
  <c r="HJ442"/>
  <c r="HK442"/>
  <c r="HL442"/>
  <c r="HM442"/>
  <c r="HN442"/>
  <c r="HO442"/>
  <c r="HP442"/>
  <c r="HQ442"/>
  <c r="HR442"/>
  <c r="HS442"/>
  <c r="HT442"/>
  <c r="HU442"/>
  <c r="HV442"/>
  <c r="HW442"/>
  <c r="HX442"/>
  <c r="HY442"/>
  <c r="HZ442"/>
  <c r="IA442"/>
  <c r="IB442"/>
  <c r="IC442"/>
  <c r="ID442"/>
  <c r="IE442"/>
  <c r="IF442"/>
  <c r="IG442"/>
  <c r="IH442"/>
  <c r="II442"/>
  <c r="IJ442"/>
  <c r="IK442"/>
  <c r="IL442"/>
  <c r="IM442"/>
  <c r="IN442"/>
  <c r="IO442"/>
  <c r="IP442"/>
  <c r="IQ442"/>
  <c r="IR442"/>
  <c r="IS442"/>
  <c r="IT442"/>
  <c r="IU442"/>
  <c r="IV442"/>
  <c r="A443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Z443"/>
  <c r="AA443"/>
  <c r="AB443"/>
  <c r="AC443"/>
  <c r="AD443"/>
  <c r="AE443"/>
  <c r="AF443"/>
  <c r="AG443"/>
  <c r="AH443"/>
  <c r="AI443"/>
  <c r="AJ443"/>
  <c r="AK443"/>
  <c r="AL443"/>
  <c r="AM443"/>
  <c r="AN443"/>
  <c r="AO443"/>
  <c r="AP443"/>
  <c r="AQ443"/>
  <c r="AR443"/>
  <c r="AS443"/>
  <c r="AT443"/>
  <c r="AU443"/>
  <c r="AV443"/>
  <c r="AW443"/>
  <c r="AX443"/>
  <c r="AY443"/>
  <c r="AZ443"/>
  <c r="BA443"/>
  <c r="BB443"/>
  <c r="BC443"/>
  <c r="BD443"/>
  <c r="BE443"/>
  <c r="BF443"/>
  <c r="BG443"/>
  <c r="BH443"/>
  <c r="BI443"/>
  <c r="BJ443"/>
  <c r="BK443"/>
  <c r="BL443"/>
  <c r="BM443"/>
  <c r="BN443"/>
  <c r="BO443"/>
  <c r="BP443"/>
  <c r="BQ443"/>
  <c r="BR443"/>
  <c r="BS443"/>
  <c r="BT443"/>
  <c r="BU443"/>
  <c r="BV443"/>
  <c r="BW443"/>
  <c r="BX443"/>
  <c r="BY443"/>
  <c r="BZ443"/>
  <c r="CA443"/>
  <c r="CB443"/>
  <c r="CC443"/>
  <c r="CD443"/>
  <c r="CE443"/>
  <c r="CF443"/>
  <c r="CG443"/>
  <c r="CH443"/>
  <c r="CI443"/>
  <c r="CJ443"/>
  <c r="CK443"/>
  <c r="CL443"/>
  <c r="CM443"/>
  <c r="CN443"/>
  <c r="CO443"/>
  <c r="CP443"/>
  <c r="CQ443"/>
  <c r="CR443"/>
  <c r="CS443"/>
  <c r="CT443"/>
  <c r="CU443"/>
  <c r="CV443"/>
  <c r="CW443"/>
  <c r="CX443"/>
  <c r="CY443"/>
  <c r="CZ443"/>
  <c r="DA443"/>
  <c r="DB443"/>
  <c r="DC443"/>
  <c r="DD443"/>
  <c r="DE443"/>
  <c r="DF443"/>
  <c r="DG443"/>
  <c r="DH443"/>
  <c r="DI443"/>
  <c r="DJ443"/>
  <c r="DK443"/>
  <c r="DL443"/>
  <c r="DM443"/>
  <c r="DN443"/>
  <c r="DO443"/>
  <c r="DP443"/>
  <c r="DQ443"/>
  <c r="DR443"/>
  <c r="DS443"/>
  <c r="DT443"/>
  <c r="DU443"/>
  <c r="DV443"/>
  <c r="DW443"/>
  <c r="DX443"/>
  <c r="DY443"/>
  <c r="DZ443"/>
  <c r="EA443"/>
  <c r="EB443"/>
  <c r="EC443"/>
  <c r="ED443"/>
  <c r="EE443"/>
  <c r="EF443"/>
  <c r="EG443"/>
  <c r="EH443"/>
  <c r="EI443"/>
  <c r="EJ443"/>
  <c r="EK443"/>
  <c r="EL443"/>
  <c r="EM443"/>
  <c r="EN443"/>
  <c r="EO443"/>
  <c r="EP443"/>
  <c r="EQ443"/>
  <c r="ER443"/>
  <c r="ES443"/>
  <c r="ET443"/>
  <c r="EU443"/>
  <c r="EV443"/>
  <c r="EW443"/>
  <c r="EX443"/>
  <c r="EY443"/>
  <c r="EZ443"/>
  <c r="FA443"/>
  <c r="FB443"/>
  <c r="FC443"/>
  <c r="FD443"/>
  <c r="FE443"/>
  <c r="FF443"/>
  <c r="FG443"/>
  <c r="FH443"/>
  <c r="FI443"/>
  <c r="FJ443"/>
  <c r="FK443"/>
  <c r="FL443"/>
  <c r="FM443"/>
  <c r="FN443"/>
  <c r="FO443"/>
  <c r="FP443"/>
  <c r="FQ443"/>
  <c r="FR443"/>
  <c r="FS443"/>
  <c r="FT443"/>
  <c r="FU443"/>
  <c r="FV443"/>
  <c r="FW443"/>
  <c r="FX443"/>
  <c r="FY443"/>
  <c r="FZ443"/>
  <c r="GA443"/>
  <c r="GB443"/>
  <c r="GC443"/>
  <c r="GD443"/>
  <c r="GE443"/>
  <c r="GF443"/>
  <c r="GG443"/>
  <c r="GH443"/>
  <c r="GI443"/>
  <c r="GJ443"/>
  <c r="GK443"/>
  <c r="GL443"/>
  <c r="GM443"/>
  <c r="GN443"/>
  <c r="GO443"/>
  <c r="GP443"/>
  <c r="GQ443"/>
  <c r="GR443"/>
  <c r="GS443"/>
  <c r="GT443"/>
  <c r="GU443"/>
  <c r="GV443"/>
  <c r="GW443"/>
  <c r="GX443"/>
  <c r="GY443"/>
  <c r="GZ443"/>
  <c r="HA443"/>
  <c r="HB443"/>
  <c r="HC443"/>
  <c r="HD443"/>
  <c r="HE443"/>
  <c r="HF443"/>
  <c r="HG443"/>
  <c r="HH443"/>
  <c r="HI443"/>
  <c r="HJ443"/>
  <c r="HK443"/>
  <c r="HL443"/>
  <c r="HM443"/>
  <c r="HN443"/>
  <c r="HO443"/>
  <c r="HP443"/>
  <c r="HQ443"/>
  <c r="HR443"/>
  <c r="HS443"/>
  <c r="HT443"/>
  <c r="HU443"/>
  <c r="HV443"/>
  <c r="HW443"/>
  <c r="HX443"/>
  <c r="HY443"/>
  <c r="HZ443"/>
  <c r="IA443"/>
  <c r="IB443"/>
  <c r="IC443"/>
  <c r="ID443"/>
  <c r="IE443"/>
  <c r="IF443"/>
  <c r="IG443"/>
  <c r="IH443"/>
  <c r="II443"/>
  <c r="IJ443"/>
  <c r="IK443"/>
  <c r="IL443"/>
  <c r="IM443"/>
  <c r="IN443"/>
  <c r="IO443"/>
  <c r="IP443"/>
  <c r="IQ443"/>
  <c r="IR443"/>
  <c r="IS443"/>
  <c r="IT443"/>
  <c r="IU443"/>
  <c r="IV443"/>
  <c r="A444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Z444"/>
  <c r="AA444"/>
  <c r="AB444"/>
  <c r="AC444"/>
  <c r="AD444"/>
  <c r="AE444"/>
  <c r="AF444"/>
  <c r="AG444"/>
  <c r="AH444"/>
  <c r="AI444"/>
  <c r="AJ444"/>
  <c r="AK444"/>
  <c r="AL444"/>
  <c r="AM444"/>
  <c r="AN444"/>
  <c r="AO444"/>
  <c r="AP444"/>
  <c r="AQ444"/>
  <c r="AR444"/>
  <c r="AS444"/>
  <c r="AT444"/>
  <c r="AU444"/>
  <c r="AV444"/>
  <c r="AW444"/>
  <c r="AX444"/>
  <c r="AY444"/>
  <c r="AZ444"/>
  <c r="BA444"/>
  <c r="BB444"/>
  <c r="BC444"/>
  <c r="BD444"/>
  <c r="BE444"/>
  <c r="BF444"/>
  <c r="BG444"/>
  <c r="BH444"/>
  <c r="BI444"/>
  <c r="BJ444"/>
  <c r="BK444"/>
  <c r="BL444"/>
  <c r="BM444"/>
  <c r="BN444"/>
  <c r="BO444"/>
  <c r="BP444"/>
  <c r="BQ444"/>
  <c r="BR444"/>
  <c r="BS444"/>
  <c r="BT444"/>
  <c r="BU444"/>
  <c r="BV444"/>
  <c r="BW444"/>
  <c r="BX444"/>
  <c r="BY444"/>
  <c r="BZ444"/>
  <c r="CA444"/>
  <c r="CB444"/>
  <c r="CC444"/>
  <c r="CD444"/>
  <c r="CE444"/>
  <c r="CF444"/>
  <c r="CG444"/>
  <c r="CH444"/>
  <c r="CI444"/>
  <c r="CJ444"/>
  <c r="CK444"/>
  <c r="CL444"/>
  <c r="CM444"/>
  <c r="CN444"/>
  <c r="CO444"/>
  <c r="CP444"/>
  <c r="CQ444"/>
  <c r="CR444"/>
  <c r="CS444"/>
  <c r="CT444"/>
  <c r="CU444"/>
  <c r="CV444"/>
  <c r="CW444"/>
  <c r="CX444"/>
  <c r="CY444"/>
  <c r="CZ444"/>
  <c r="DA444"/>
  <c r="DB444"/>
  <c r="DC444"/>
  <c r="DD444"/>
  <c r="DE444"/>
  <c r="DF444"/>
  <c r="DG444"/>
  <c r="DH444"/>
  <c r="DI444"/>
  <c r="DJ444"/>
  <c r="DK444"/>
  <c r="DL444"/>
  <c r="DM444"/>
  <c r="DN444"/>
  <c r="DO444"/>
  <c r="DP444"/>
  <c r="DQ444"/>
  <c r="DR444"/>
  <c r="DS444"/>
  <c r="DT444"/>
  <c r="DU444"/>
  <c r="DV444"/>
  <c r="DW444"/>
  <c r="DX444"/>
  <c r="DY444"/>
  <c r="DZ444"/>
  <c r="EA444"/>
  <c r="EB444"/>
  <c r="EC444"/>
  <c r="ED444"/>
  <c r="EE444"/>
  <c r="EF444"/>
  <c r="EG444"/>
  <c r="EH444"/>
  <c r="EI444"/>
  <c r="EJ444"/>
  <c r="EK444"/>
  <c r="EL444"/>
  <c r="EM444"/>
  <c r="EN444"/>
  <c r="EO444"/>
  <c r="EP444"/>
  <c r="EQ444"/>
  <c r="ER444"/>
  <c r="ES444"/>
  <c r="ET444"/>
  <c r="EU444"/>
  <c r="EV444"/>
  <c r="EW444"/>
  <c r="EX444"/>
  <c r="EY444"/>
  <c r="EZ444"/>
  <c r="FA444"/>
  <c r="FB444"/>
  <c r="FC444"/>
  <c r="FD444"/>
  <c r="FE444"/>
  <c r="FF444"/>
  <c r="FG444"/>
  <c r="FH444"/>
  <c r="FI444"/>
  <c r="FJ444"/>
  <c r="FK444"/>
  <c r="FL444"/>
  <c r="FM444"/>
  <c r="FN444"/>
  <c r="FO444"/>
  <c r="FP444"/>
  <c r="FQ444"/>
  <c r="FR444"/>
  <c r="FS444"/>
  <c r="FT444"/>
  <c r="FU444"/>
  <c r="FV444"/>
  <c r="FW444"/>
  <c r="FX444"/>
  <c r="FY444"/>
  <c r="FZ444"/>
  <c r="GA444"/>
  <c r="GB444"/>
  <c r="GC444"/>
  <c r="GD444"/>
  <c r="GE444"/>
  <c r="GF444"/>
  <c r="GG444"/>
  <c r="GH444"/>
  <c r="GI444"/>
  <c r="GJ444"/>
  <c r="GK444"/>
  <c r="GL444"/>
  <c r="GM444"/>
  <c r="GN444"/>
  <c r="GO444"/>
  <c r="GP444"/>
  <c r="GQ444"/>
  <c r="GR444"/>
  <c r="GS444"/>
  <c r="GT444"/>
  <c r="GU444"/>
  <c r="GV444"/>
  <c r="GW444"/>
  <c r="GX444"/>
  <c r="GY444"/>
  <c r="GZ444"/>
  <c r="HA444"/>
  <c r="HB444"/>
  <c r="HC444"/>
  <c r="HD444"/>
  <c r="HE444"/>
  <c r="HF444"/>
  <c r="HG444"/>
  <c r="HH444"/>
  <c r="HI444"/>
  <c r="HJ444"/>
  <c r="HK444"/>
  <c r="HL444"/>
  <c r="HM444"/>
  <c r="HN444"/>
  <c r="HO444"/>
  <c r="HP444"/>
  <c r="HQ444"/>
  <c r="HR444"/>
  <c r="HS444"/>
  <c r="HT444"/>
  <c r="HU444"/>
  <c r="HV444"/>
  <c r="HW444"/>
  <c r="HX444"/>
  <c r="HY444"/>
  <c r="HZ444"/>
  <c r="IA444"/>
  <c r="IB444"/>
  <c r="IC444"/>
  <c r="ID444"/>
  <c r="IE444"/>
  <c r="IF444"/>
  <c r="IG444"/>
  <c r="IH444"/>
  <c r="II444"/>
  <c r="IJ444"/>
  <c r="IK444"/>
  <c r="IL444"/>
  <c r="IM444"/>
  <c r="IN444"/>
  <c r="IO444"/>
  <c r="IP444"/>
  <c r="IQ444"/>
  <c r="IR444"/>
  <c r="IS444"/>
  <c r="IT444"/>
  <c r="IU444"/>
  <c r="IV444"/>
  <c r="A445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Z445"/>
  <c r="AA445"/>
  <c r="AB445"/>
  <c r="AC445"/>
  <c r="AD445"/>
  <c r="AE445"/>
  <c r="AF445"/>
  <c r="AG445"/>
  <c r="AH445"/>
  <c r="AI445"/>
  <c r="AJ445"/>
  <c r="AK445"/>
  <c r="AL445"/>
  <c r="AM445"/>
  <c r="AN445"/>
  <c r="AO445"/>
  <c r="AP445"/>
  <c r="AQ445"/>
  <c r="AR445"/>
  <c r="AS445"/>
  <c r="AT445"/>
  <c r="AU445"/>
  <c r="AV445"/>
  <c r="AW445"/>
  <c r="AX445"/>
  <c r="AY445"/>
  <c r="AZ445"/>
  <c r="BA445"/>
  <c r="BB445"/>
  <c r="BC445"/>
  <c r="BD445"/>
  <c r="BE445"/>
  <c r="BF445"/>
  <c r="BG445"/>
  <c r="BH445"/>
  <c r="BI445"/>
  <c r="BJ445"/>
  <c r="BK445"/>
  <c r="BL445"/>
  <c r="BM445"/>
  <c r="BN445"/>
  <c r="BO445"/>
  <c r="BP445"/>
  <c r="BQ445"/>
  <c r="BR445"/>
  <c r="BS445"/>
  <c r="BT445"/>
  <c r="BU445"/>
  <c r="BV445"/>
  <c r="BW445"/>
  <c r="BX445"/>
  <c r="BY445"/>
  <c r="BZ445"/>
  <c r="CA445"/>
  <c r="CB445"/>
  <c r="CC445"/>
  <c r="CD445"/>
  <c r="CE445"/>
  <c r="CF445"/>
  <c r="CG445"/>
  <c r="CH445"/>
  <c r="CI445"/>
  <c r="CJ445"/>
  <c r="CK445"/>
  <c r="CL445"/>
  <c r="CM445"/>
  <c r="CN445"/>
  <c r="CO445"/>
  <c r="CP445"/>
  <c r="CQ445"/>
  <c r="CR445"/>
  <c r="CS445"/>
  <c r="CT445"/>
  <c r="CU445"/>
  <c r="CV445"/>
  <c r="CW445"/>
  <c r="CX445"/>
  <c r="CY445"/>
  <c r="CZ445"/>
  <c r="DA445"/>
  <c r="DB445"/>
  <c r="DC445"/>
  <c r="DD445"/>
  <c r="DE445"/>
  <c r="DF445"/>
  <c r="DG445"/>
  <c r="DH445"/>
  <c r="DI445"/>
  <c r="DJ445"/>
  <c r="DK445"/>
  <c r="DL445"/>
  <c r="DM445"/>
  <c r="DN445"/>
  <c r="DO445"/>
  <c r="DP445"/>
  <c r="DQ445"/>
  <c r="DR445"/>
  <c r="DS445"/>
  <c r="DT445"/>
  <c r="DU445"/>
  <c r="DV445"/>
  <c r="DW445"/>
  <c r="DX445"/>
  <c r="DY445"/>
  <c r="DZ445"/>
  <c r="EA445"/>
  <c r="EB445"/>
  <c r="EC445"/>
  <c r="ED445"/>
  <c r="EE445"/>
  <c r="EF445"/>
  <c r="EG445"/>
  <c r="EH445"/>
  <c r="EI445"/>
  <c r="EJ445"/>
  <c r="EK445"/>
  <c r="EL445"/>
  <c r="EM445"/>
  <c r="EN445"/>
  <c r="EO445"/>
  <c r="EP445"/>
  <c r="EQ445"/>
  <c r="ER445"/>
  <c r="ES445"/>
  <c r="ET445"/>
  <c r="EU445"/>
  <c r="EV445"/>
  <c r="EW445"/>
  <c r="EX445"/>
  <c r="EY445"/>
  <c r="EZ445"/>
  <c r="FA445"/>
  <c r="FB445"/>
  <c r="FC445"/>
  <c r="FD445"/>
  <c r="FE445"/>
  <c r="FF445"/>
  <c r="FG445"/>
  <c r="FH445"/>
  <c r="FI445"/>
  <c r="FJ445"/>
  <c r="FK445"/>
  <c r="FL445"/>
  <c r="FM445"/>
  <c r="FN445"/>
  <c r="FO445"/>
  <c r="FP445"/>
  <c r="FQ445"/>
  <c r="FR445"/>
  <c r="FS445"/>
  <c r="FT445"/>
  <c r="FU445"/>
  <c r="FV445"/>
  <c r="FW445"/>
  <c r="FX445"/>
  <c r="FY445"/>
  <c r="FZ445"/>
  <c r="GA445"/>
  <c r="GB445"/>
  <c r="GC445"/>
  <c r="GD445"/>
  <c r="GE445"/>
  <c r="GF445"/>
  <c r="GG445"/>
  <c r="GH445"/>
  <c r="GI445"/>
  <c r="GJ445"/>
  <c r="GK445"/>
  <c r="GL445"/>
  <c r="GM445"/>
  <c r="GN445"/>
  <c r="GO445"/>
  <c r="GP445"/>
  <c r="GQ445"/>
  <c r="GR445"/>
  <c r="GS445"/>
  <c r="GT445"/>
  <c r="GU445"/>
  <c r="GV445"/>
  <c r="GW445"/>
  <c r="GX445"/>
  <c r="GY445"/>
  <c r="GZ445"/>
  <c r="HA445"/>
  <c r="HB445"/>
  <c r="HC445"/>
  <c r="HD445"/>
  <c r="HE445"/>
  <c r="HF445"/>
  <c r="HG445"/>
  <c r="HH445"/>
  <c r="HI445"/>
  <c r="HJ445"/>
  <c r="HK445"/>
  <c r="HL445"/>
  <c r="HM445"/>
  <c r="HN445"/>
  <c r="HO445"/>
  <c r="HP445"/>
  <c r="HQ445"/>
  <c r="HR445"/>
  <c r="HS445"/>
  <c r="HT445"/>
  <c r="HU445"/>
  <c r="HV445"/>
  <c r="HW445"/>
  <c r="HX445"/>
  <c r="HY445"/>
  <c r="HZ445"/>
  <c r="IA445"/>
  <c r="IB445"/>
  <c r="IC445"/>
  <c r="ID445"/>
  <c r="IE445"/>
  <c r="IF445"/>
  <c r="IG445"/>
  <c r="IH445"/>
  <c r="II445"/>
  <c r="IJ445"/>
  <c r="IK445"/>
  <c r="IL445"/>
  <c r="IM445"/>
  <c r="IN445"/>
  <c r="IO445"/>
  <c r="IP445"/>
  <c r="IQ445"/>
  <c r="IR445"/>
  <c r="IS445"/>
  <c r="IT445"/>
  <c r="IU445"/>
  <c r="IV445"/>
  <c r="A446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Z446"/>
  <c r="AA446"/>
  <c r="AB446"/>
  <c r="AC446"/>
  <c r="AD446"/>
  <c r="AE446"/>
  <c r="AF446"/>
  <c r="AG446"/>
  <c r="AH446"/>
  <c r="AI446"/>
  <c r="AJ446"/>
  <c r="AK446"/>
  <c r="AL446"/>
  <c r="AM446"/>
  <c r="AN446"/>
  <c r="AO446"/>
  <c r="AP446"/>
  <c r="AQ446"/>
  <c r="AR446"/>
  <c r="AS446"/>
  <c r="AT446"/>
  <c r="AU446"/>
  <c r="AV446"/>
  <c r="AW446"/>
  <c r="AX446"/>
  <c r="AY446"/>
  <c r="AZ446"/>
  <c r="BA446"/>
  <c r="BB446"/>
  <c r="BC446"/>
  <c r="BD446"/>
  <c r="BE446"/>
  <c r="BF446"/>
  <c r="BG446"/>
  <c r="BH446"/>
  <c r="BI446"/>
  <c r="BJ446"/>
  <c r="BK446"/>
  <c r="BL446"/>
  <c r="BM446"/>
  <c r="BN446"/>
  <c r="BO446"/>
  <c r="BP446"/>
  <c r="BQ446"/>
  <c r="BR446"/>
  <c r="BS446"/>
  <c r="BT446"/>
  <c r="BU446"/>
  <c r="BV446"/>
  <c r="BW446"/>
  <c r="BX446"/>
  <c r="BY446"/>
  <c r="BZ446"/>
  <c r="CA446"/>
  <c r="CB446"/>
  <c r="CC446"/>
  <c r="CD446"/>
  <c r="CE446"/>
  <c r="CF446"/>
  <c r="CG446"/>
  <c r="CH446"/>
  <c r="CI446"/>
  <c r="CJ446"/>
  <c r="CK446"/>
  <c r="CL446"/>
  <c r="CM446"/>
  <c r="CN446"/>
  <c r="CO446"/>
  <c r="CP446"/>
  <c r="CQ446"/>
  <c r="CR446"/>
  <c r="CS446"/>
  <c r="CT446"/>
  <c r="CU446"/>
  <c r="CV446"/>
  <c r="CW446"/>
  <c r="CX446"/>
  <c r="CY446"/>
  <c r="CZ446"/>
  <c r="DA446"/>
  <c r="DB446"/>
  <c r="DC446"/>
  <c r="DD446"/>
  <c r="DE446"/>
  <c r="DF446"/>
  <c r="DG446"/>
  <c r="DH446"/>
  <c r="DI446"/>
  <c r="DJ446"/>
  <c r="DK446"/>
  <c r="DL446"/>
  <c r="DM446"/>
  <c r="DN446"/>
  <c r="DO446"/>
  <c r="DP446"/>
  <c r="DQ446"/>
  <c r="DR446"/>
  <c r="DS446"/>
  <c r="DT446"/>
  <c r="DU446"/>
  <c r="DV446"/>
  <c r="DW446"/>
  <c r="DX446"/>
  <c r="DY446"/>
  <c r="DZ446"/>
  <c r="EA446"/>
  <c r="EB446"/>
  <c r="EC446"/>
  <c r="ED446"/>
  <c r="EE446"/>
  <c r="EF446"/>
  <c r="EG446"/>
  <c r="EH446"/>
  <c r="EI446"/>
  <c r="EJ446"/>
  <c r="EK446"/>
  <c r="EL446"/>
  <c r="EM446"/>
  <c r="EN446"/>
  <c r="EO446"/>
  <c r="EP446"/>
  <c r="EQ446"/>
  <c r="ER446"/>
  <c r="ES446"/>
  <c r="ET446"/>
  <c r="EU446"/>
  <c r="EV446"/>
  <c r="EW446"/>
  <c r="EX446"/>
  <c r="EY446"/>
  <c r="EZ446"/>
  <c r="FA446"/>
  <c r="FB446"/>
  <c r="FC446"/>
  <c r="FD446"/>
  <c r="FE446"/>
  <c r="FF446"/>
  <c r="FG446"/>
  <c r="FH446"/>
  <c r="FI446"/>
  <c r="FJ446"/>
  <c r="FK446"/>
  <c r="FL446"/>
  <c r="FM446"/>
  <c r="FN446"/>
  <c r="FO446"/>
  <c r="FP446"/>
  <c r="FQ446"/>
  <c r="FR446"/>
  <c r="FS446"/>
  <c r="FT446"/>
  <c r="FU446"/>
  <c r="FV446"/>
  <c r="FW446"/>
  <c r="FX446"/>
  <c r="FY446"/>
  <c r="FZ446"/>
  <c r="GA446"/>
  <c r="GB446"/>
  <c r="GC446"/>
  <c r="GD446"/>
  <c r="GE446"/>
  <c r="GF446"/>
  <c r="GG446"/>
  <c r="GH446"/>
  <c r="GI446"/>
  <c r="GJ446"/>
  <c r="GK446"/>
  <c r="GL446"/>
  <c r="GM446"/>
  <c r="GN446"/>
  <c r="GO446"/>
  <c r="GP446"/>
  <c r="GQ446"/>
  <c r="GR446"/>
  <c r="GS446"/>
  <c r="GT446"/>
  <c r="GU446"/>
  <c r="GV446"/>
  <c r="GW446"/>
  <c r="GX446"/>
  <c r="GY446"/>
  <c r="GZ446"/>
  <c r="HA446"/>
  <c r="HB446"/>
  <c r="HC446"/>
  <c r="HD446"/>
  <c r="HE446"/>
  <c r="HF446"/>
  <c r="HG446"/>
  <c r="HH446"/>
  <c r="HI446"/>
  <c r="HJ446"/>
  <c r="HK446"/>
  <c r="HL446"/>
  <c r="HM446"/>
  <c r="HN446"/>
  <c r="HO446"/>
  <c r="HP446"/>
  <c r="HQ446"/>
  <c r="HR446"/>
  <c r="HS446"/>
  <c r="HT446"/>
  <c r="HU446"/>
  <c r="HV446"/>
  <c r="HW446"/>
  <c r="HX446"/>
  <c r="HY446"/>
  <c r="HZ446"/>
  <c r="IA446"/>
  <c r="IB446"/>
  <c r="IC446"/>
  <c r="ID446"/>
  <c r="IE446"/>
  <c r="IF446"/>
  <c r="IG446"/>
  <c r="IH446"/>
  <c r="II446"/>
  <c r="IJ446"/>
  <c r="IK446"/>
  <c r="IL446"/>
  <c r="IM446"/>
  <c r="IN446"/>
  <c r="IO446"/>
  <c r="IP446"/>
  <c r="IQ446"/>
  <c r="IR446"/>
  <c r="IS446"/>
  <c r="IT446"/>
  <c r="IU446"/>
  <c r="IV446"/>
  <c r="A447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Z447"/>
  <c r="AA447"/>
  <c r="AB447"/>
  <c r="AC447"/>
  <c r="AD447"/>
  <c r="AE447"/>
  <c r="AF447"/>
  <c r="AG447"/>
  <c r="AH447"/>
  <c r="AI447"/>
  <c r="AJ447"/>
  <c r="AK447"/>
  <c r="AL447"/>
  <c r="AM447"/>
  <c r="AN447"/>
  <c r="AO447"/>
  <c r="AP447"/>
  <c r="AQ447"/>
  <c r="AR447"/>
  <c r="AS447"/>
  <c r="AT447"/>
  <c r="AU447"/>
  <c r="AV447"/>
  <c r="AW447"/>
  <c r="AX447"/>
  <c r="AY447"/>
  <c r="AZ447"/>
  <c r="BA447"/>
  <c r="BB447"/>
  <c r="BC447"/>
  <c r="BD447"/>
  <c r="BE447"/>
  <c r="BF447"/>
  <c r="BG447"/>
  <c r="BH447"/>
  <c r="BI447"/>
  <c r="BJ447"/>
  <c r="BK447"/>
  <c r="BL447"/>
  <c r="BM447"/>
  <c r="BN447"/>
  <c r="BO447"/>
  <c r="BP447"/>
  <c r="BQ447"/>
  <c r="BR447"/>
  <c r="BS447"/>
  <c r="BT447"/>
  <c r="BU447"/>
  <c r="BV447"/>
  <c r="BW447"/>
  <c r="BX447"/>
  <c r="BY447"/>
  <c r="BZ447"/>
  <c r="CA447"/>
  <c r="CB447"/>
  <c r="CC447"/>
  <c r="CD447"/>
  <c r="CE447"/>
  <c r="CF447"/>
  <c r="CG447"/>
  <c r="CH447"/>
  <c r="CI447"/>
  <c r="CJ447"/>
  <c r="CK447"/>
  <c r="CL447"/>
  <c r="CM447"/>
  <c r="CN447"/>
  <c r="CO447"/>
  <c r="CP447"/>
  <c r="CQ447"/>
  <c r="CR447"/>
  <c r="CS447"/>
  <c r="CT447"/>
  <c r="CU447"/>
  <c r="CV447"/>
  <c r="CW447"/>
  <c r="CX447"/>
  <c r="CY447"/>
  <c r="CZ447"/>
  <c r="DA447"/>
  <c r="DB447"/>
  <c r="DC447"/>
  <c r="DD447"/>
  <c r="DE447"/>
  <c r="DF447"/>
  <c r="DG447"/>
  <c r="DH447"/>
  <c r="DI447"/>
  <c r="DJ447"/>
  <c r="DK447"/>
  <c r="DL447"/>
  <c r="DM447"/>
  <c r="DN447"/>
  <c r="DO447"/>
  <c r="DP447"/>
  <c r="DQ447"/>
  <c r="DR447"/>
  <c r="DS447"/>
  <c r="DT447"/>
  <c r="DU447"/>
  <c r="DV447"/>
  <c r="DW447"/>
  <c r="DX447"/>
  <c r="DY447"/>
  <c r="DZ447"/>
  <c r="EA447"/>
  <c r="EB447"/>
  <c r="EC447"/>
  <c r="ED447"/>
  <c r="EE447"/>
  <c r="EF447"/>
  <c r="EG447"/>
  <c r="EH447"/>
  <c r="EI447"/>
  <c r="EJ447"/>
  <c r="EK447"/>
  <c r="EL447"/>
  <c r="EM447"/>
  <c r="EN447"/>
  <c r="EO447"/>
  <c r="EP447"/>
  <c r="EQ447"/>
  <c r="ER447"/>
  <c r="ES447"/>
  <c r="ET447"/>
  <c r="EU447"/>
  <c r="EV447"/>
  <c r="EW447"/>
  <c r="EX447"/>
  <c r="EY447"/>
  <c r="EZ447"/>
  <c r="FA447"/>
  <c r="FB447"/>
  <c r="FC447"/>
  <c r="FD447"/>
  <c r="FE447"/>
  <c r="FF447"/>
  <c r="FG447"/>
  <c r="FH447"/>
  <c r="FI447"/>
  <c r="FJ447"/>
  <c r="FK447"/>
  <c r="FL447"/>
  <c r="FM447"/>
  <c r="FN447"/>
  <c r="FO447"/>
  <c r="FP447"/>
  <c r="FQ447"/>
  <c r="FR447"/>
  <c r="FS447"/>
  <c r="FT447"/>
  <c r="FU447"/>
  <c r="FV447"/>
  <c r="FW447"/>
  <c r="FX447"/>
  <c r="FY447"/>
  <c r="FZ447"/>
  <c r="GA447"/>
  <c r="GB447"/>
  <c r="GC447"/>
  <c r="GD447"/>
  <c r="GE447"/>
  <c r="GF447"/>
  <c r="GG447"/>
  <c r="GH447"/>
  <c r="GI447"/>
  <c r="GJ447"/>
  <c r="GK447"/>
  <c r="GL447"/>
  <c r="GM447"/>
  <c r="GN447"/>
  <c r="GO447"/>
  <c r="GP447"/>
  <c r="GQ447"/>
  <c r="GR447"/>
  <c r="GS447"/>
  <c r="GT447"/>
  <c r="GU447"/>
  <c r="GV447"/>
  <c r="GW447"/>
  <c r="GX447"/>
  <c r="GY447"/>
  <c r="GZ447"/>
  <c r="HA447"/>
  <c r="HB447"/>
  <c r="HC447"/>
  <c r="HD447"/>
  <c r="HE447"/>
  <c r="HF447"/>
  <c r="HG447"/>
  <c r="HH447"/>
  <c r="HI447"/>
  <c r="HJ447"/>
  <c r="HK447"/>
  <c r="HL447"/>
  <c r="HM447"/>
  <c r="HN447"/>
  <c r="HO447"/>
  <c r="HP447"/>
  <c r="HQ447"/>
  <c r="HR447"/>
  <c r="HS447"/>
  <c r="HT447"/>
  <c r="HU447"/>
  <c r="HV447"/>
  <c r="HW447"/>
  <c r="HX447"/>
  <c r="HY447"/>
  <c r="HZ447"/>
  <c r="IA447"/>
  <c r="IB447"/>
  <c r="IC447"/>
  <c r="ID447"/>
  <c r="IE447"/>
  <c r="IF447"/>
  <c r="IG447"/>
  <c r="IH447"/>
  <c r="II447"/>
  <c r="IJ447"/>
  <c r="IK447"/>
  <c r="IL447"/>
  <c r="IM447"/>
  <c r="IN447"/>
  <c r="IO447"/>
  <c r="IP447"/>
  <c r="IQ447"/>
  <c r="IR447"/>
  <c r="IS447"/>
  <c r="IT447"/>
  <c r="IU447"/>
  <c r="IV447"/>
  <c r="A448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Z448"/>
  <c r="AA448"/>
  <c r="AB448"/>
  <c r="AC448"/>
  <c r="AD448"/>
  <c r="AE448"/>
  <c r="AF448"/>
  <c r="AG448"/>
  <c r="AH448"/>
  <c r="AI448"/>
  <c r="AJ448"/>
  <c r="AK448"/>
  <c r="AL448"/>
  <c r="AM448"/>
  <c r="AN448"/>
  <c r="AO448"/>
  <c r="AP448"/>
  <c r="AQ448"/>
  <c r="AR448"/>
  <c r="AS448"/>
  <c r="AT448"/>
  <c r="AU448"/>
  <c r="AV448"/>
  <c r="AW448"/>
  <c r="AX448"/>
  <c r="AY448"/>
  <c r="AZ448"/>
  <c r="BA448"/>
  <c r="BB448"/>
  <c r="BC448"/>
  <c r="BD448"/>
  <c r="BE448"/>
  <c r="BF448"/>
  <c r="BG448"/>
  <c r="BH448"/>
  <c r="BI448"/>
  <c r="BJ448"/>
  <c r="BK448"/>
  <c r="BL448"/>
  <c r="BM448"/>
  <c r="BN448"/>
  <c r="BO448"/>
  <c r="BP448"/>
  <c r="BQ448"/>
  <c r="BR448"/>
  <c r="BS448"/>
  <c r="BT448"/>
  <c r="BU448"/>
  <c r="BV448"/>
  <c r="BW448"/>
  <c r="BX448"/>
  <c r="BY448"/>
  <c r="BZ448"/>
  <c r="CA448"/>
  <c r="CB448"/>
  <c r="CC448"/>
  <c r="CD448"/>
  <c r="CE448"/>
  <c r="CF448"/>
  <c r="CG448"/>
  <c r="CH448"/>
  <c r="CI448"/>
  <c r="CJ448"/>
  <c r="CK448"/>
  <c r="CL448"/>
  <c r="CM448"/>
  <c r="CN448"/>
  <c r="CO448"/>
  <c r="CP448"/>
  <c r="CQ448"/>
  <c r="CR448"/>
  <c r="CS448"/>
  <c r="CT448"/>
  <c r="CU448"/>
  <c r="CV448"/>
  <c r="CW448"/>
  <c r="CX448"/>
  <c r="CY448"/>
  <c r="CZ448"/>
  <c r="DA448"/>
  <c r="DB448"/>
  <c r="DC448"/>
  <c r="DD448"/>
  <c r="DE448"/>
  <c r="DF448"/>
  <c r="DG448"/>
  <c r="DH448"/>
  <c r="DI448"/>
  <c r="DJ448"/>
  <c r="DK448"/>
  <c r="DL448"/>
  <c r="DM448"/>
  <c r="DN448"/>
  <c r="DO448"/>
  <c r="DP448"/>
  <c r="DQ448"/>
  <c r="DR448"/>
  <c r="DS448"/>
  <c r="DT448"/>
  <c r="DU448"/>
  <c r="DV448"/>
  <c r="DW448"/>
  <c r="DX448"/>
  <c r="DY448"/>
  <c r="DZ448"/>
  <c r="EA448"/>
  <c r="EB448"/>
  <c r="EC448"/>
  <c r="ED448"/>
  <c r="EE448"/>
  <c r="EF448"/>
  <c r="EG448"/>
  <c r="EH448"/>
  <c r="EI448"/>
  <c r="EJ448"/>
  <c r="EK448"/>
  <c r="EL448"/>
  <c r="EM448"/>
  <c r="EN448"/>
  <c r="EO448"/>
  <c r="EP448"/>
  <c r="EQ448"/>
  <c r="ER448"/>
  <c r="ES448"/>
  <c r="ET448"/>
  <c r="EU448"/>
  <c r="EV448"/>
  <c r="EW448"/>
  <c r="EX448"/>
  <c r="EY448"/>
  <c r="EZ448"/>
  <c r="FA448"/>
  <c r="FB448"/>
  <c r="FC448"/>
  <c r="FD448"/>
  <c r="FE448"/>
  <c r="FF448"/>
  <c r="FG448"/>
  <c r="FH448"/>
  <c r="FI448"/>
  <c r="FJ448"/>
  <c r="FK448"/>
  <c r="FL448"/>
  <c r="FM448"/>
  <c r="FN448"/>
  <c r="FO448"/>
  <c r="FP448"/>
  <c r="FQ448"/>
  <c r="FR448"/>
  <c r="FS448"/>
  <c r="FT448"/>
  <c r="FU448"/>
  <c r="FV448"/>
  <c r="FW448"/>
  <c r="FX448"/>
  <c r="FY448"/>
  <c r="FZ448"/>
  <c r="GA448"/>
  <c r="GB448"/>
  <c r="GC448"/>
  <c r="GD448"/>
  <c r="GE448"/>
  <c r="GF448"/>
  <c r="GG448"/>
  <c r="GH448"/>
  <c r="GI448"/>
  <c r="GJ448"/>
  <c r="GK448"/>
  <c r="GL448"/>
  <c r="GM448"/>
  <c r="GN448"/>
  <c r="GO448"/>
  <c r="GP448"/>
  <c r="GQ448"/>
  <c r="GR448"/>
  <c r="GS448"/>
  <c r="GT448"/>
  <c r="GU448"/>
  <c r="GV448"/>
  <c r="GW448"/>
  <c r="GX448"/>
  <c r="GY448"/>
  <c r="GZ448"/>
  <c r="HA448"/>
  <c r="HB448"/>
  <c r="HC448"/>
  <c r="HD448"/>
  <c r="HE448"/>
  <c r="HF448"/>
  <c r="HG448"/>
  <c r="HH448"/>
  <c r="HI448"/>
  <c r="HJ448"/>
  <c r="HK448"/>
  <c r="HL448"/>
  <c r="HM448"/>
  <c r="HN448"/>
  <c r="HO448"/>
  <c r="HP448"/>
  <c r="HQ448"/>
  <c r="HR448"/>
  <c r="HS448"/>
  <c r="HT448"/>
  <c r="HU448"/>
  <c r="HV448"/>
  <c r="HW448"/>
  <c r="HX448"/>
  <c r="HY448"/>
  <c r="HZ448"/>
  <c r="IA448"/>
  <c r="IB448"/>
  <c r="IC448"/>
  <c r="ID448"/>
  <c r="IE448"/>
  <c r="IF448"/>
  <c r="IG448"/>
  <c r="IH448"/>
  <c r="II448"/>
  <c r="IJ448"/>
  <c r="IK448"/>
  <c r="IL448"/>
  <c r="IM448"/>
  <c r="IN448"/>
  <c r="IO448"/>
  <c r="IP448"/>
  <c r="IQ448"/>
  <c r="IR448"/>
  <c r="IS448"/>
  <c r="IT448"/>
  <c r="IU448"/>
  <c r="IV448"/>
  <c r="A449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Z449"/>
  <c r="AA449"/>
  <c r="AB449"/>
  <c r="AC449"/>
  <c r="AD449"/>
  <c r="AE449"/>
  <c r="AF449"/>
  <c r="AG449"/>
  <c r="AH449"/>
  <c r="AI449"/>
  <c r="AJ449"/>
  <c r="AK449"/>
  <c r="AL449"/>
  <c r="AM449"/>
  <c r="AN449"/>
  <c r="AO449"/>
  <c r="AP449"/>
  <c r="AQ449"/>
  <c r="AR449"/>
  <c r="AS449"/>
  <c r="AT449"/>
  <c r="AU449"/>
  <c r="AV449"/>
  <c r="AW449"/>
  <c r="AX449"/>
  <c r="AY449"/>
  <c r="AZ449"/>
  <c r="BA449"/>
  <c r="BB449"/>
  <c r="BC449"/>
  <c r="BD449"/>
  <c r="BE449"/>
  <c r="BF449"/>
  <c r="BG449"/>
  <c r="BH449"/>
  <c r="BI449"/>
  <c r="BJ449"/>
  <c r="BK449"/>
  <c r="BL449"/>
  <c r="BM449"/>
  <c r="BN449"/>
  <c r="BO449"/>
  <c r="BP449"/>
  <c r="BQ449"/>
  <c r="BR449"/>
  <c r="BS449"/>
  <c r="BT449"/>
  <c r="BU449"/>
  <c r="BV449"/>
  <c r="BW449"/>
  <c r="BX449"/>
  <c r="BY449"/>
  <c r="BZ449"/>
  <c r="CA449"/>
  <c r="CB449"/>
  <c r="CC449"/>
  <c r="CD449"/>
  <c r="CE449"/>
  <c r="CF449"/>
  <c r="CG449"/>
  <c r="CH449"/>
  <c r="CI449"/>
  <c r="CJ449"/>
  <c r="CK449"/>
  <c r="CL449"/>
  <c r="CM449"/>
  <c r="CN449"/>
  <c r="CO449"/>
  <c r="CP449"/>
  <c r="CQ449"/>
  <c r="CR449"/>
  <c r="CS449"/>
  <c r="CT449"/>
  <c r="CU449"/>
  <c r="CV449"/>
  <c r="CW449"/>
  <c r="CX449"/>
  <c r="CY449"/>
  <c r="CZ449"/>
  <c r="DA449"/>
  <c r="DB449"/>
  <c r="DC449"/>
  <c r="DD449"/>
  <c r="DE449"/>
  <c r="DF449"/>
  <c r="DG449"/>
  <c r="DH449"/>
  <c r="DI449"/>
  <c r="DJ449"/>
  <c r="DK449"/>
  <c r="DL449"/>
  <c r="DM449"/>
  <c r="DN449"/>
  <c r="DO449"/>
  <c r="DP449"/>
  <c r="DQ449"/>
  <c r="DR449"/>
  <c r="DS449"/>
  <c r="DT449"/>
  <c r="DU449"/>
  <c r="DV449"/>
  <c r="DW449"/>
  <c r="DX449"/>
  <c r="DY449"/>
  <c r="DZ449"/>
  <c r="EA449"/>
  <c r="EB449"/>
  <c r="EC449"/>
  <c r="ED449"/>
  <c r="EE449"/>
  <c r="EF449"/>
  <c r="EG449"/>
  <c r="EH449"/>
  <c r="EI449"/>
  <c r="EJ449"/>
  <c r="EK449"/>
  <c r="EL449"/>
  <c r="EM449"/>
  <c r="EN449"/>
  <c r="EO449"/>
  <c r="EP449"/>
  <c r="EQ449"/>
  <c r="ER449"/>
  <c r="ES449"/>
  <c r="ET449"/>
  <c r="EU449"/>
  <c r="EV449"/>
  <c r="EW449"/>
  <c r="EX449"/>
  <c r="EY449"/>
  <c r="EZ449"/>
  <c r="FA449"/>
  <c r="FB449"/>
  <c r="FC449"/>
  <c r="FD449"/>
  <c r="FE449"/>
  <c r="FF449"/>
  <c r="FG449"/>
  <c r="FH449"/>
  <c r="FI449"/>
  <c r="FJ449"/>
  <c r="FK449"/>
  <c r="FL449"/>
  <c r="FM449"/>
  <c r="FN449"/>
  <c r="FO449"/>
  <c r="FP449"/>
  <c r="FQ449"/>
  <c r="FR449"/>
  <c r="FS449"/>
  <c r="FT449"/>
  <c r="FU449"/>
  <c r="FV449"/>
  <c r="FW449"/>
  <c r="FX449"/>
  <c r="FY449"/>
  <c r="FZ449"/>
  <c r="GA449"/>
  <c r="GB449"/>
  <c r="GC449"/>
  <c r="GD449"/>
  <c r="GE449"/>
  <c r="GF449"/>
  <c r="GG449"/>
  <c r="GH449"/>
  <c r="GI449"/>
  <c r="GJ449"/>
  <c r="GK449"/>
  <c r="GL449"/>
  <c r="GM449"/>
  <c r="GN449"/>
  <c r="GO449"/>
  <c r="GP449"/>
  <c r="GQ449"/>
  <c r="GR449"/>
  <c r="GS449"/>
  <c r="GT449"/>
  <c r="GU449"/>
  <c r="GV449"/>
  <c r="GW449"/>
  <c r="GX449"/>
  <c r="GY449"/>
  <c r="GZ449"/>
  <c r="HA449"/>
  <c r="HB449"/>
  <c r="HC449"/>
  <c r="HD449"/>
  <c r="HE449"/>
  <c r="HF449"/>
  <c r="HG449"/>
  <c r="HH449"/>
  <c r="HI449"/>
  <c r="HJ449"/>
  <c r="HK449"/>
  <c r="HL449"/>
  <c r="HM449"/>
  <c r="HN449"/>
  <c r="HO449"/>
  <c r="HP449"/>
  <c r="HQ449"/>
  <c r="HR449"/>
  <c r="HS449"/>
  <c r="HT449"/>
  <c r="HU449"/>
  <c r="HV449"/>
  <c r="HW449"/>
  <c r="HX449"/>
  <c r="HY449"/>
  <c r="HZ449"/>
  <c r="IA449"/>
  <c r="IB449"/>
  <c r="IC449"/>
  <c r="ID449"/>
  <c r="IE449"/>
  <c r="IF449"/>
  <c r="IG449"/>
  <c r="IH449"/>
  <c r="II449"/>
  <c r="IJ449"/>
  <c r="IK449"/>
  <c r="IL449"/>
  <c r="IM449"/>
  <c r="IN449"/>
  <c r="IO449"/>
  <c r="IP449"/>
  <c r="IQ449"/>
  <c r="IR449"/>
  <c r="IS449"/>
  <c r="IT449"/>
  <c r="IU449"/>
  <c r="IV449"/>
  <c r="A450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Z450"/>
  <c r="AA450"/>
  <c r="AB450"/>
  <c r="AC450"/>
  <c r="AD450"/>
  <c r="AE450"/>
  <c r="AF450"/>
  <c r="AG450"/>
  <c r="AH450"/>
  <c r="AI450"/>
  <c r="AJ450"/>
  <c r="AK450"/>
  <c r="AL450"/>
  <c r="AM450"/>
  <c r="AN450"/>
  <c r="AO450"/>
  <c r="AP450"/>
  <c r="AQ450"/>
  <c r="AR450"/>
  <c r="AS450"/>
  <c r="AT450"/>
  <c r="AU450"/>
  <c r="AV450"/>
  <c r="AW450"/>
  <c r="AX450"/>
  <c r="AY450"/>
  <c r="AZ450"/>
  <c r="BA450"/>
  <c r="BB450"/>
  <c r="BC450"/>
  <c r="BD450"/>
  <c r="BE450"/>
  <c r="BF450"/>
  <c r="BG450"/>
  <c r="BH450"/>
  <c r="BI450"/>
  <c r="BJ450"/>
  <c r="BK450"/>
  <c r="BL450"/>
  <c r="BM450"/>
  <c r="BN450"/>
  <c r="BO450"/>
  <c r="BP450"/>
  <c r="BQ450"/>
  <c r="BR450"/>
  <c r="BS450"/>
  <c r="BT450"/>
  <c r="BU450"/>
  <c r="BV450"/>
  <c r="BW450"/>
  <c r="BX450"/>
  <c r="BY450"/>
  <c r="BZ450"/>
  <c r="CA450"/>
  <c r="CB450"/>
  <c r="CC450"/>
  <c r="CD450"/>
  <c r="CE450"/>
  <c r="CF450"/>
  <c r="CG450"/>
  <c r="CH450"/>
  <c r="CI450"/>
  <c r="CJ450"/>
  <c r="CK450"/>
  <c r="CL450"/>
  <c r="CM450"/>
  <c r="CN450"/>
  <c r="CO450"/>
  <c r="CP450"/>
  <c r="CQ450"/>
  <c r="CR450"/>
  <c r="CS450"/>
  <c r="CT450"/>
  <c r="CU450"/>
  <c r="CV450"/>
  <c r="CW450"/>
  <c r="CX450"/>
  <c r="CY450"/>
  <c r="CZ450"/>
  <c r="DA450"/>
  <c r="DB450"/>
  <c r="DC450"/>
  <c r="DD450"/>
  <c r="DE450"/>
  <c r="DF450"/>
  <c r="DG450"/>
  <c r="DH450"/>
  <c r="DI450"/>
  <c r="DJ450"/>
  <c r="DK450"/>
  <c r="DL450"/>
  <c r="DM450"/>
  <c r="DN450"/>
  <c r="DO450"/>
  <c r="DP450"/>
  <c r="DQ450"/>
  <c r="DR450"/>
  <c r="DS450"/>
  <c r="DT450"/>
  <c r="DU450"/>
  <c r="DV450"/>
  <c r="DW450"/>
  <c r="DX450"/>
  <c r="DY450"/>
  <c r="DZ450"/>
  <c r="EA450"/>
  <c r="EB450"/>
  <c r="EC450"/>
  <c r="ED450"/>
  <c r="EE450"/>
  <c r="EF450"/>
  <c r="EG450"/>
  <c r="EH450"/>
  <c r="EI450"/>
  <c r="EJ450"/>
  <c r="EK450"/>
  <c r="EL450"/>
  <c r="EM450"/>
  <c r="EN450"/>
  <c r="EO450"/>
  <c r="EP450"/>
  <c r="EQ450"/>
  <c r="ER450"/>
  <c r="ES450"/>
  <c r="ET450"/>
  <c r="EU450"/>
  <c r="EV450"/>
  <c r="EW450"/>
  <c r="EX450"/>
  <c r="EY450"/>
  <c r="EZ450"/>
  <c r="FA450"/>
  <c r="FB450"/>
  <c r="FC450"/>
  <c r="FD450"/>
  <c r="FE450"/>
  <c r="FF450"/>
  <c r="FG450"/>
  <c r="FH450"/>
  <c r="FI450"/>
  <c r="FJ450"/>
  <c r="FK450"/>
  <c r="FL450"/>
  <c r="FM450"/>
  <c r="FN450"/>
  <c r="FO450"/>
  <c r="FP450"/>
  <c r="FQ450"/>
  <c r="FR450"/>
  <c r="FS450"/>
  <c r="FT450"/>
  <c r="FU450"/>
  <c r="FV450"/>
  <c r="FW450"/>
  <c r="FX450"/>
  <c r="FY450"/>
  <c r="FZ450"/>
  <c r="GA450"/>
  <c r="GB450"/>
  <c r="GC450"/>
  <c r="GD450"/>
  <c r="GE450"/>
  <c r="GF450"/>
  <c r="GG450"/>
  <c r="GH450"/>
  <c r="GI450"/>
  <c r="GJ450"/>
  <c r="GK450"/>
  <c r="GL450"/>
  <c r="GM450"/>
  <c r="GN450"/>
  <c r="GO450"/>
  <c r="GP450"/>
  <c r="GQ450"/>
  <c r="GR450"/>
  <c r="GS450"/>
  <c r="GT450"/>
  <c r="GU450"/>
  <c r="GV450"/>
  <c r="GW450"/>
  <c r="GX450"/>
  <c r="GY450"/>
  <c r="GZ450"/>
  <c r="HA450"/>
  <c r="HB450"/>
  <c r="HC450"/>
  <c r="HD450"/>
  <c r="HE450"/>
  <c r="HF450"/>
  <c r="HG450"/>
  <c r="HH450"/>
  <c r="HI450"/>
  <c r="HJ450"/>
  <c r="HK450"/>
  <c r="HL450"/>
  <c r="HM450"/>
  <c r="HN450"/>
  <c r="HO450"/>
  <c r="HP450"/>
  <c r="HQ450"/>
  <c r="HR450"/>
  <c r="HS450"/>
  <c r="HT450"/>
  <c r="HU450"/>
  <c r="HV450"/>
  <c r="HW450"/>
  <c r="HX450"/>
  <c r="HY450"/>
  <c r="HZ450"/>
  <c r="IA450"/>
  <c r="IB450"/>
  <c r="IC450"/>
  <c r="ID450"/>
  <c r="IE450"/>
  <c r="IF450"/>
  <c r="IG450"/>
  <c r="IH450"/>
  <c r="II450"/>
  <c r="IJ450"/>
  <c r="IK450"/>
  <c r="IL450"/>
  <c r="IM450"/>
  <c r="IN450"/>
  <c r="IO450"/>
  <c r="IP450"/>
  <c r="IQ450"/>
  <c r="IR450"/>
  <c r="IS450"/>
  <c r="IT450"/>
  <c r="IU450"/>
  <c r="IV450"/>
  <c r="A451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Z451"/>
  <c r="AA451"/>
  <c r="AB451"/>
  <c r="AC451"/>
  <c r="AD451"/>
  <c r="AE451"/>
  <c r="AF451"/>
  <c r="AG451"/>
  <c r="AH451"/>
  <c r="AI451"/>
  <c r="AJ451"/>
  <c r="AK451"/>
  <c r="AL451"/>
  <c r="AM451"/>
  <c r="AN451"/>
  <c r="AO451"/>
  <c r="AP451"/>
  <c r="AQ451"/>
  <c r="AR451"/>
  <c r="AS451"/>
  <c r="AT451"/>
  <c r="AU451"/>
  <c r="AV451"/>
  <c r="AW451"/>
  <c r="AX451"/>
  <c r="AY451"/>
  <c r="AZ451"/>
  <c r="BA451"/>
  <c r="BB451"/>
  <c r="BC451"/>
  <c r="BD451"/>
  <c r="BE451"/>
  <c r="BF451"/>
  <c r="BG451"/>
  <c r="BH451"/>
  <c r="BI451"/>
  <c r="BJ451"/>
  <c r="BK451"/>
  <c r="BL451"/>
  <c r="BM451"/>
  <c r="BN451"/>
  <c r="BO451"/>
  <c r="BP451"/>
  <c r="BQ451"/>
  <c r="BR451"/>
  <c r="BS451"/>
  <c r="BT451"/>
  <c r="BU451"/>
  <c r="BV451"/>
  <c r="BW451"/>
  <c r="BX451"/>
  <c r="BY451"/>
  <c r="BZ451"/>
  <c r="CA451"/>
  <c r="CB451"/>
  <c r="CC451"/>
  <c r="CD451"/>
  <c r="CE451"/>
  <c r="CF451"/>
  <c r="CG451"/>
  <c r="CH451"/>
  <c r="CI451"/>
  <c r="CJ451"/>
  <c r="CK451"/>
  <c r="CL451"/>
  <c r="CM451"/>
  <c r="CN451"/>
  <c r="CO451"/>
  <c r="CP451"/>
  <c r="CQ451"/>
  <c r="CR451"/>
  <c r="CS451"/>
  <c r="CT451"/>
  <c r="CU451"/>
  <c r="CV451"/>
  <c r="CW451"/>
  <c r="CX451"/>
  <c r="CY451"/>
  <c r="CZ451"/>
  <c r="DA451"/>
  <c r="DB451"/>
  <c r="DC451"/>
  <c r="DD451"/>
  <c r="DE451"/>
  <c r="DF451"/>
  <c r="DG451"/>
  <c r="DH451"/>
  <c r="DI451"/>
  <c r="DJ451"/>
  <c r="DK451"/>
  <c r="DL451"/>
  <c r="DM451"/>
  <c r="DN451"/>
  <c r="DO451"/>
  <c r="DP451"/>
  <c r="DQ451"/>
  <c r="DR451"/>
  <c r="DS451"/>
  <c r="DT451"/>
  <c r="DU451"/>
  <c r="DV451"/>
  <c r="DW451"/>
  <c r="DX451"/>
  <c r="DY451"/>
  <c r="DZ451"/>
  <c r="EA451"/>
  <c r="EB451"/>
  <c r="EC451"/>
  <c r="ED451"/>
  <c r="EE451"/>
  <c r="EF451"/>
  <c r="EG451"/>
  <c r="EH451"/>
  <c r="EI451"/>
  <c r="EJ451"/>
  <c r="EK451"/>
  <c r="EL451"/>
  <c r="EM451"/>
  <c r="EN451"/>
  <c r="EO451"/>
  <c r="EP451"/>
  <c r="EQ451"/>
  <c r="ER451"/>
  <c r="ES451"/>
  <c r="ET451"/>
  <c r="EU451"/>
  <c r="EV451"/>
  <c r="EW451"/>
  <c r="EX451"/>
  <c r="EY451"/>
  <c r="EZ451"/>
  <c r="FA451"/>
  <c r="FB451"/>
  <c r="FC451"/>
  <c r="FD451"/>
  <c r="FE451"/>
  <c r="FF451"/>
  <c r="FG451"/>
  <c r="FH451"/>
  <c r="FI451"/>
  <c r="FJ451"/>
  <c r="FK451"/>
  <c r="FL451"/>
  <c r="FM451"/>
  <c r="FN451"/>
  <c r="FO451"/>
  <c r="FP451"/>
  <c r="FQ451"/>
  <c r="FR451"/>
  <c r="FS451"/>
  <c r="FT451"/>
  <c r="FU451"/>
  <c r="FV451"/>
  <c r="FW451"/>
  <c r="FX451"/>
  <c r="FY451"/>
  <c r="FZ451"/>
  <c r="GA451"/>
  <c r="GB451"/>
  <c r="GC451"/>
  <c r="GD451"/>
  <c r="GE451"/>
  <c r="GF451"/>
  <c r="GG451"/>
  <c r="GH451"/>
  <c r="GI451"/>
  <c r="GJ451"/>
  <c r="GK451"/>
  <c r="GL451"/>
  <c r="GM451"/>
  <c r="GN451"/>
  <c r="GO451"/>
  <c r="GP451"/>
  <c r="GQ451"/>
  <c r="GR451"/>
  <c r="GS451"/>
  <c r="GT451"/>
  <c r="GU451"/>
  <c r="GV451"/>
  <c r="GW451"/>
  <c r="GX451"/>
  <c r="GY451"/>
  <c r="GZ451"/>
  <c r="HA451"/>
  <c r="HB451"/>
  <c r="HC451"/>
  <c r="HD451"/>
  <c r="HE451"/>
  <c r="HF451"/>
  <c r="HG451"/>
  <c r="HH451"/>
  <c r="HI451"/>
  <c r="HJ451"/>
  <c r="HK451"/>
  <c r="HL451"/>
  <c r="HM451"/>
  <c r="HN451"/>
  <c r="HO451"/>
  <c r="HP451"/>
  <c r="HQ451"/>
  <c r="HR451"/>
  <c r="HS451"/>
  <c r="HT451"/>
  <c r="HU451"/>
  <c r="HV451"/>
  <c r="HW451"/>
  <c r="HX451"/>
  <c r="HY451"/>
  <c r="HZ451"/>
  <c r="IA451"/>
  <c r="IB451"/>
  <c r="IC451"/>
  <c r="ID451"/>
  <c r="IE451"/>
  <c r="IF451"/>
  <c r="IG451"/>
  <c r="IH451"/>
  <c r="II451"/>
  <c r="IJ451"/>
  <c r="IK451"/>
  <c r="IL451"/>
  <c r="IM451"/>
  <c r="IN451"/>
  <c r="IO451"/>
  <c r="IP451"/>
  <c r="IQ451"/>
  <c r="IR451"/>
  <c r="IS451"/>
  <c r="IT451"/>
  <c r="IU451"/>
  <c r="IV451"/>
  <c r="A452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Z452"/>
  <c r="AA452"/>
  <c r="AB452"/>
  <c r="AC452"/>
  <c r="AD452"/>
  <c r="AE452"/>
  <c r="AF452"/>
  <c r="AG452"/>
  <c r="AH452"/>
  <c r="AI452"/>
  <c r="AJ452"/>
  <c r="AK452"/>
  <c r="AL452"/>
  <c r="AM452"/>
  <c r="AN452"/>
  <c r="AO452"/>
  <c r="AP452"/>
  <c r="AQ452"/>
  <c r="AR452"/>
  <c r="AS452"/>
  <c r="AT452"/>
  <c r="AU452"/>
  <c r="AV452"/>
  <c r="AW452"/>
  <c r="AX452"/>
  <c r="AY452"/>
  <c r="AZ452"/>
  <c r="BA452"/>
  <c r="BB452"/>
  <c r="BC452"/>
  <c r="BD452"/>
  <c r="BE452"/>
  <c r="BF452"/>
  <c r="BG452"/>
  <c r="BH452"/>
  <c r="BI452"/>
  <c r="BJ452"/>
  <c r="BK452"/>
  <c r="BL452"/>
  <c r="BM452"/>
  <c r="BN452"/>
  <c r="BO452"/>
  <c r="BP452"/>
  <c r="BQ452"/>
  <c r="BR452"/>
  <c r="BS452"/>
  <c r="BT452"/>
  <c r="BU452"/>
  <c r="BV452"/>
  <c r="BW452"/>
  <c r="BX452"/>
  <c r="BY452"/>
  <c r="BZ452"/>
  <c r="CA452"/>
  <c r="CB452"/>
  <c r="CC452"/>
  <c r="CD452"/>
  <c r="CE452"/>
  <c r="CF452"/>
  <c r="CG452"/>
  <c r="CH452"/>
  <c r="CI452"/>
  <c r="CJ452"/>
  <c r="CK452"/>
  <c r="CL452"/>
  <c r="CM452"/>
  <c r="CN452"/>
  <c r="CO452"/>
  <c r="CP452"/>
  <c r="CQ452"/>
  <c r="CR452"/>
  <c r="CS452"/>
  <c r="CT452"/>
  <c r="CU452"/>
  <c r="CV452"/>
  <c r="CW452"/>
  <c r="CX452"/>
  <c r="CY452"/>
  <c r="CZ452"/>
  <c r="DA452"/>
  <c r="DB452"/>
  <c r="DC452"/>
  <c r="DD452"/>
  <c r="DE452"/>
  <c r="DF452"/>
  <c r="DG452"/>
  <c r="DH452"/>
  <c r="DI452"/>
  <c r="DJ452"/>
  <c r="DK452"/>
  <c r="DL452"/>
  <c r="DM452"/>
  <c r="DN452"/>
  <c r="DO452"/>
  <c r="DP452"/>
  <c r="DQ452"/>
  <c r="DR452"/>
  <c r="DS452"/>
  <c r="DT452"/>
  <c r="DU452"/>
  <c r="DV452"/>
  <c r="DW452"/>
  <c r="DX452"/>
  <c r="DY452"/>
  <c r="DZ452"/>
  <c r="EA452"/>
  <c r="EB452"/>
  <c r="EC452"/>
  <c r="ED452"/>
  <c r="EE452"/>
  <c r="EF452"/>
  <c r="EG452"/>
  <c r="EH452"/>
  <c r="EI452"/>
  <c r="EJ452"/>
  <c r="EK452"/>
  <c r="EL452"/>
  <c r="EM452"/>
  <c r="EN452"/>
  <c r="EO452"/>
  <c r="EP452"/>
  <c r="EQ452"/>
  <c r="ER452"/>
  <c r="ES452"/>
  <c r="ET452"/>
  <c r="EU452"/>
  <c r="EV452"/>
  <c r="EW452"/>
  <c r="EX452"/>
  <c r="EY452"/>
  <c r="EZ452"/>
  <c r="FA452"/>
  <c r="FB452"/>
  <c r="FC452"/>
  <c r="FD452"/>
  <c r="FE452"/>
  <c r="FF452"/>
  <c r="FG452"/>
  <c r="FH452"/>
  <c r="FI452"/>
  <c r="FJ452"/>
  <c r="FK452"/>
  <c r="FL452"/>
  <c r="FM452"/>
  <c r="FN452"/>
  <c r="FO452"/>
  <c r="FP452"/>
  <c r="FQ452"/>
  <c r="FR452"/>
  <c r="FS452"/>
  <c r="FT452"/>
  <c r="FU452"/>
  <c r="FV452"/>
  <c r="FW452"/>
  <c r="FX452"/>
  <c r="FY452"/>
  <c r="FZ452"/>
  <c r="GA452"/>
  <c r="GB452"/>
  <c r="GC452"/>
  <c r="GD452"/>
  <c r="GE452"/>
  <c r="GF452"/>
  <c r="GG452"/>
  <c r="GH452"/>
  <c r="GI452"/>
  <c r="GJ452"/>
  <c r="GK452"/>
  <c r="GL452"/>
  <c r="GM452"/>
  <c r="GN452"/>
  <c r="GO452"/>
  <c r="GP452"/>
  <c r="GQ452"/>
  <c r="GR452"/>
  <c r="GS452"/>
  <c r="GT452"/>
  <c r="GU452"/>
  <c r="GV452"/>
  <c r="GW452"/>
  <c r="GX452"/>
  <c r="GY452"/>
  <c r="GZ452"/>
  <c r="HA452"/>
  <c r="HB452"/>
  <c r="HC452"/>
  <c r="HD452"/>
  <c r="HE452"/>
  <c r="HF452"/>
  <c r="HG452"/>
  <c r="HH452"/>
  <c r="HI452"/>
  <c r="HJ452"/>
  <c r="HK452"/>
  <c r="HL452"/>
  <c r="HM452"/>
  <c r="HN452"/>
  <c r="HO452"/>
  <c r="HP452"/>
  <c r="HQ452"/>
  <c r="HR452"/>
  <c r="HS452"/>
  <c r="HT452"/>
  <c r="HU452"/>
  <c r="HV452"/>
  <c r="HW452"/>
  <c r="HX452"/>
  <c r="HY452"/>
  <c r="HZ452"/>
  <c r="IA452"/>
  <c r="IB452"/>
  <c r="IC452"/>
  <c r="ID452"/>
  <c r="IE452"/>
  <c r="IF452"/>
  <c r="IG452"/>
  <c r="IH452"/>
  <c r="II452"/>
  <c r="IJ452"/>
  <c r="IK452"/>
  <c r="IL452"/>
  <c r="IM452"/>
  <c r="IN452"/>
  <c r="IO452"/>
  <c r="IP452"/>
  <c r="IQ452"/>
  <c r="IR452"/>
  <c r="IS452"/>
  <c r="IT452"/>
  <c r="IU452"/>
  <c r="IV452"/>
  <c r="A453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Z453"/>
  <c r="AA453"/>
  <c r="AB453"/>
  <c r="AC453"/>
  <c r="AD453"/>
  <c r="AE453"/>
  <c r="AF453"/>
  <c r="AG453"/>
  <c r="AH453"/>
  <c r="AI453"/>
  <c r="AJ453"/>
  <c r="AK453"/>
  <c r="AL453"/>
  <c r="AM453"/>
  <c r="AN453"/>
  <c r="AO453"/>
  <c r="AP453"/>
  <c r="AQ453"/>
  <c r="AR453"/>
  <c r="AS453"/>
  <c r="AT453"/>
  <c r="AU453"/>
  <c r="AV453"/>
  <c r="AW453"/>
  <c r="AX453"/>
  <c r="AY453"/>
  <c r="AZ453"/>
  <c r="BA453"/>
  <c r="BB453"/>
  <c r="BC453"/>
  <c r="BD453"/>
  <c r="BE453"/>
  <c r="BF453"/>
  <c r="BG453"/>
  <c r="BH453"/>
  <c r="BI453"/>
  <c r="BJ453"/>
  <c r="BK453"/>
  <c r="BL453"/>
  <c r="BM453"/>
  <c r="BN453"/>
  <c r="BO453"/>
  <c r="BP453"/>
  <c r="BQ453"/>
  <c r="BR453"/>
  <c r="BS453"/>
  <c r="BT453"/>
  <c r="BU453"/>
  <c r="BV453"/>
  <c r="BW453"/>
  <c r="BX453"/>
  <c r="BY453"/>
  <c r="BZ453"/>
  <c r="CA453"/>
  <c r="CB453"/>
  <c r="CC453"/>
  <c r="CD453"/>
  <c r="CE453"/>
  <c r="CF453"/>
  <c r="CG453"/>
  <c r="CH453"/>
  <c r="CI453"/>
  <c r="CJ453"/>
  <c r="CK453"/>
  <c r="CL453"/>
  <c r="CM453"/>
  <c r="CN453"/>
  <c r="CO453"/>
  <c r="CP453"/>
  <c r="CQ453"/>
  <c r="CR453"/>
  <c r="CS453"/>
  <c r="CT453"/>
  <c r="CU453"/>
  <c r="CV453"/>
  <c r="CW453"/>
  <c r="CX453"/>
  <c r="CY453"/>
  <c r="CZ453"/>
  <c r="DA453"/>
  <c r="DB453"/>
  <c r="DC453"/>
  <c r="DD453"/>
  <c r="DE453"/>
  <c r="DF453"/>
  <c r="DG453"/>
  <c r="DH453"/>
  <c r="DI453"/>
  <c r="DJ453"/>
  <c r="DK453"/>
  <c r="DL453"/>
  <c r="DM453"/>
  <c r="DN453"/>
  <c r="DO453"/>
  <c r="DP453"/>
  <c r="DQ453"/>
  <c r="DR453"/>
  <c r="DS453"/>
  <c r="DT453"/>
  <c r="DU453"/>
  <c r="DV453"/>
  <c r="DW453"/>
  <c r="DX453"/>
  <c r="DY453"/>
  <c r="DZ453"/>
  <c r="EA453"/>
  <c r="EB453"/>
  <c r="EC453"/>
  <c r="ED453"/>
  <c r="EE453"/>
  <c r="EF453"/>
  <c r="EG453"/>
  <c r="EH453"/>
  <c r="EI453"/>
  <c r="EJ453"/>
  <c r="EK453"/>
  <c r="EL453"/>
  <c r="EM453"/>
  <c r="EN453"/>
  <c r="EO453"/>
  <c r="EP453"/>
  <c r="EQ453"/>
  <c r="ER453"/>
  <c r="ES453"/>
  <c r="ET453"/>
  <c r="EU453"/>
  <c r="EV453"/>
  <c r="EW453"/>
  <c r="EX453"/>
  <c r="EY453"/>
  <c r="EZ453"/>
  <c r="FA453"/>
  <c r="FB453"/>
  <c r="FC453"/>
  <c r="FD453"/>
  <c r="FE453"/>
  <c r="FF453"/>
  <c r="FG453"/>
  <c r="FH453"/>
  <c r="FI453"/>
  <c r="FJ453"/>
  <c r="FK453"/>
  <c r="FL453"/>
  <c r="FM453"/>
  <c r="FN453"/>
  <c r="FO453"/>
  <c r="FP453"/>
  <c r="FQ453"/>
  <c r="FR453"/>
  <c r="FS453"/>
  <c r="FT453"/>
  <c r="FU453"/>
  <c r="FV453"/>
  <c r="FW453"/>
  <c r="FX453"/>
  <c r="FY453"/>
  <c r="FZ453"/>
  <c r="GA453"/>
  <c r="GB453"/>
  <c r="GC453"/>
  <c r="GD453"/>
  <c r="GE453"/>
  <c r="GF453"/>
  <c r="GG453"/>
  <c r="GH453"/>
  <c r="GI453"/>
  <c r="GJ453"/>
  <c r="GK453"/>
  <c r="GL453"/>
  <c r="GM453"/>
  <c r="GN453"/>
  <c r="GO453"/>
  <c r="GP453"/>
  <c r="GQ453"/>
  <c r="GR453"/>
  <c r="GS453"/>
  <c r="GT453"/>
  <c r="GU453"/>
  <c r="GV453"/>
  <c r="GW453"/>
  <c r="GX453"/>
  <c r="GY453"/>
  <c r="GZ453"/>
  <c r="HA453"/>
  <c r="HB453"/>
  <c r="HC453"/>
  <c r="HD453"/>
  <c r="HE453"/>
  <c r="HF453"/>
  <c r="HG453"/>
  <c r="HH453"/>
  <c r="HI453"/>
  <c r="HJ453"/>
  <c r="HK453"/>
  <c r="HL453"/>
  <c r="HM453"/>
  <c r="HN453"/>
  <c r="HO453"/>
  <c r="HP453"/>
  <c r="HQ453"/>
  <c r="HR453"/>
  <c r="HS453"/>
  <c r="HT453"/>
  <c r="HU453"/>
  <c r="HV453"/>
  <c r="HW453"/>
  <c r="HX453"/>
  <c r="HY453"/>
  <c r="HZ453"/>
  <c r="IA453"/>
  <c r="IB453"/>
  <c r="IC453"/>
  <c r="ID453"/>
  <c r="IE453"/>
  <c r="IF453"/>
  <c r="IG453"/>
  <c r="IH453"/>
  <c r="II453"/>
  <c r="IJ453"/>
  <c r="IK453"/>
  <c r="IL453"/>
  <c r="IM453"/>
  <c r="IN453"/>
  <c r="IO453"/>
  <c r="IP453"/>
  <c r="IQ453"/>
  <c r="IR453"/>
  <c r="IS453"/>
  <c r="IT453"/>
  <c r="IU453"/>
  <c r="IV453"/>
  <c r="A454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Z454"/>
  <c r="AA454"/>
  <c r="AB454"/>
  <c r="AC454"/>
  <c r="AD454"/>
  <c r="AE454"/>
  <c r="AF454"/>
  <c r="AG454"/>
  <c r="AH454"/>
  <c r="AI454"/>
  <c r="AJ454"/>
  <c r="AK454"/>
  <c r="AL454"/>
  <c r="AM454"/>
  <c r="AN454"/>
  <c r="AO454"/>
  <c r="AP454"/>
  <c r="AQ454"/>
  <c r="AR454"/>
  <c r="AS454"/>
  <c r="AT454"/>
  <c r="AU454"/>
  <c r="AV454"/>
  <c r="AW454"/>
  <c r="AX454"/>
  <c r="AY454"/>
  <c r="AZ454"/>
  <c r="BA454"/>
  <c r="BB454"/>
  <c r="BC454"/>
  <c r="BD454"/>
  <c r="BE454"/>
  <c r="BF454"/>
  <c r="BG454"/>
  <c r="BH454"/>
  <c r="BI454"/>
  <c r="BJ454"/>
  <c r="BK454"/>
  <c r="BL454"/>
  <c r="BM454"/>
  <c r="BN454"/>
  <c r="BO454"/>
  <c r="BP454"/>
  <c r="BQ454"/>
  <c r="BR454"/>
  <c r="BS454"/>
  <c r="BT454"/>
  <c r="BU454"/>
  <c r="BV454"/>
  <c r="BW454"/>
  <c r="BX454"/>
  <c r="BY454"/>
  <c r="BZ454"/>
  <c r="CA454"/>
  <c r="CB454"/>
  <c r="CC454"/>
  <c r="CD454"/>
  <c r="CE454"/>
  <c r="CF454"/>
  <c r="CG454"/>
  <c r="CH454"/>
  <c r="CI454"/>
  <c r="CJ454"/>
  <c r="CK454"/>
  <c r="CL454"/>
  <c r="CM454"/>
  <c r="CN454"/>
  <c r="CO454"/>
  <c r="CP454"/>
  <c r="CQ454"/>
  <c r="CR454"/>
  <c r="CS454"/>
  <c r="CT454"/>
  <c r="CU454"/>
  <c r="CV454"/>
  <c r="CW454"/>
  <c r="CX454"/>
  <c r="CY454"/>
  <c r="CZ454"/>
  <c r="DA454"/>
  <c r="DB454"/>
  <c r="DC454"/>
  <c r="DD454"/>
  <c r="DE454"/>
  <c r="DF454"/>
  <c r="DG454"/>
  <c r="DH454"/>
  <c r="DI454"/>
  <c r="DJ454"/>
  <c r="DK454"/>
  <c r="DL454"/>
  <c r="DM454"/>
  <c r="DN454"/>
  <c r="DO454"/>
  <c r="DP454"/>
  <c r="DQ454"/>
  <c r="DR454"/>
  <c r="DS454"/>
  <c r="DT454"/>
  <c r="DU454"/>
  <c r="DV454"/>
  <c r="DW454"/>
  <c r="DX454"/>
  <c r="DY454"/>
  <c r="DZ454"/>
  <c r="EA454"/>
  <c r="EB454"/>
  <c r="EC454"/>
  <c r="ED454"/>
  <c r="EE454"/>
  <c r="EF454"/>
  <c r="EG454"/>
  <c r="EH454"/>
  <c r="EI454"/>
  <c r="EJ454"/>
  <c r="EK454"/>
  <c r="EL454"/>
  <c r="EM454"/>
  <c r="EN454"/>
  <c r="EO454"/>
  <c r="EP454"/>
  <c r="EQ454"/>
  <c r="ER454"/>
  <c r="ES454"/>
  <c r="ET454"/>
  <c r="EU454"/>
  <c r="EV454"/>
  <c r="EW454"/>
  <c r="EX454"/>
  <c r="EY454"/>
  <c r="EZ454"/>
  <c r="FA454"/>
  <c r="FB454"/>
  <c r="FC454"/>
  <c r="FD454"/>
  <c r="FE454"/>
  <c r="FF454"/>
  <c r="FG454"/>
  <c r="FH454"/>
  <c r="FI454"/>
  <c r="FJ454"/>
  <c r="FK454"/>
  <c r="FL454"/>
  <c r="FM454"/>
  <c r="FN454"/>
  <c r="FO454"/>
  <c r="FP454"/>
  <c r="FQ454"/>
  <c r="FR454"/>
  <c r="FS454"/>
  <c r="FT454"/>
  <c r="FU454"/>
  <c r="FV454"/>
  <c r="FW454"/>
  <c r="FX454"/>
  <c r="FY454"/>
  <c r="FZ454"/>
  <c r="GA454"/>
  <c r="GB454"/>
  <c r="GC454"/>
  <c r="GD454"/>
  <c r="GE454"/>
  <c r="GF454"/>
  <c r="GG454"/>
  <c r="GH454"/>
  <c r="GI454"/>
  <c r="GJ454"/>
  <c r="GK454"/>
  <c r="GL454"/>
  <c r="GM454"/>
  <c r="GN454"/>
  <c r="GO454"/>
  <c r="GP454"/>
  <c r="GQ454"/>
  <c r="GR454"/>
  <c r="GS454"/>
  <c r="GT454"/>
  <c r="GU454"/>
  <c r="GV454"/>
  <c r="GW454"/>
  <c r="GX454"/>
  <c r="GY454"/>
  <c r="GZ454"/>
  <c r="HA454"/>
  <c r="HB454"/>
  <c r="HC454"/>
  <c r="HD454"/>
  <c r="HE454"/>
  <c r="HF454"/>
  <c r="HG454"/>
  <c r="HH454"/>
  <c r="HI454"/>
  <c r="HJ454"/>
  <c r="HK454"/>
  <c r="HL454"/>
  <c r="HM454"/>
  <c r="HN454"/>
  <c r="HO454"/>
  <c r="HP454"/>
  <c r="HQ454"/>
  <c r="HR454"/>
  <c r="HS454"/>
  <c r="HT454"/>
  <c r="HU454"/>
  <c r="HV454"/>
  <c r="HW454"/>
  <c r="HX454"/>
  <c r="HY454"/>
  <c r="HZ454"/>
  <c r="IA454"/>
  <c r="IB454"/>
  <c r="IC454"/>
  <c r="ID454"/>
  <c r="IE454"/>
  <c r="IF454"/>
  <c r="IG454"/>
  <c r="IH454"/>
  <c r="II454"/>
  <c r="IJ454"/>
  <c r="IK454"/>
  <c r="IL454"/>
  <c r="IM454"/>
  <c r="IN454"/>
  <c r="IO454"/>
  <c r="IP454"/>
  <c r="IQ454"/>
  <c r="IR454"/>
  <c r="IS454"/>
  <c r="IT454"/>
  <c r="IU454"/>
  <c r="IV454"/>
  <c r="A455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Z455"/>
  <c r="AA455"/>
  <c r="AB455"/>
  <c r="AC455"/>
  <c r="AD455"/>
  <c r="AE455"/>
  <c r="AF455"/>
  <c r="AG455"/>
  <c r="AH455"/>
  <c r="AI455"/>
  <c r="AJ455"/>
  <c r="AK455"/>
  <c r="AL455"/>
  <c r="AM455"/>
  <c r="AN455"/>
  <c r="AO455"/>
  <c r="AP455"/>
  <c r="AQ455"/>
  <c r="AR455"/>
  <c r="AS455"/>
  <c r="AT455"/>
  <c r="AU455"/>
  <c r="AV455"/>
  <c r="AW455"/>
  <c r="AX455"/>
  <c r="AY455"/>
  <c r="AZ455"/>
  <c r="BA455"/>
  <c r="BB455"/>
  <c r="BC455"/>
  <c r="BD455"/>
  <c r="BE455"/>
  <c r="BF455"/>
  <c r="BG455"/>
  <c r="BH455"/>
  <c r="BI455"/>
  <c r="BJ455"/>
  <c r="BK455"/>
  <c r="BL455"/>
  <c r="BM455"/>
  <c r="BN455"/>
  <c r="BO455"/>
  <c r="BP455"/>
  <c r="BQ455"/>
  <c r="BR455"/>
  <c r="BS455"/>
  <c r="BT455"/>
  <c r="BU455"/>
  <c r="BV455"/>
  <c r="BW455"/>
  <c r="BX455"/>
  <c r="BY455"/>
  <c r="BZ455"/>
  <c r="CA455"/>
  <c r="CB455"/>
  <c r="CC455"/>
  <c r="CD455"/>
  <c r="CE455"/>
  <c r="CF455"/>
  <c r="CG455"/>
  <c r="CH455"/>
  <c r="CI455"/>
  <c r="CJ455"/>
  <c r="CK455"/>
  <c r="CL455"/>
  <c r="CM455"/>
  <c r="CN455"/>
  <c r="CO455"/>
  <c r="CP455"/>
  <c r="CQ455"/>
  <c r="CR455"/>
  <c r="CS455"/>
  <c r="CT455"/>
  <c r="CU455"/>
  <c r="CV455"/>
  <c r="CW455"/>
  <c r="CX455"/>
  <c r="CY455"/>
  <c r="CZ455"/>
  <c r="DA455"/>
  <c r="DB455"/>
  <c r="DC455"/>
  <c r="DD455"/>
  <c r="DE455"/>
  <c r="DF455"/>
  <c r="DG455"/>
  <c r="DH455"/>
  <c r="DI455"/>
  <c r="DJ455"/>
  <c r="DK455"/>
  <c r="DL455"/>
  <c r="DM455"/>
  <c r="DN455"/>
  <c r="DO455"/>
  <c r="DP455"/>
  <c r="DQ455"/>
  <c r="DR455"/>
  <c r="DS455"/>
  <c r="DT455"/>
  <c r="DU455"/>
  <c r="DV455"/>
  <c r="DW455"/>
  <c r="DX455"/>
  <c r="DY455"/>
  <c r="DZ455"/>
  <c r="EA455"/>
  <c r="EB455"/>
  <c r="EC455"/>
  <c r="ED455"/>
  <c r="EE455"/>
  <c r="EF455"/>
  <c r="EG455"/>
  <c r="EH455"/>
  <c r="EI455"/>
  <c r="EJ455"/>
  <c r="EK455"/>
  <c r="EL455"/>
  <c r="EM455"/>
  <c r="EN455"/>
  <c r="EO455"/>
  <c r="EP455"/>
  <c r="EQ455"/>
  <c r="ER455"/>
  <c r="ES455"/>
  <c r="ET455"/>
  <c r="EU455"/>
  <c r="EV455"/>
  <c r="EW455"/>
  <c r="EX455"/>
  <c r="EY455"/>
  <c r="EZ455"/>
  <c r="FA455"/>
  <c r="FB455"/>
  <c r="FC455"/>
  <c r="FD455"/>
  <c r="FE455"/>
  <c r="FF455"/>
  <c r="FG455"/>
  <c r="FH455"/>
  <c r="FI455"/>
  <c r="FJ455"/>
  <c r="FK455"/>
  <c r="FL455"/>
  <c r="FM455"/>
  <c r="FN455"/>
  <c r="FO455"/>
  <c r="FP455"/>
  <c r="FQ455"/>
  <c r="FR455"/>
  <c r="FS455"/>
  <c r="FT455"/>
  <c r="FU455"/>
  <c r="FV455"/>
  <c r="FW455"/>
  <c r="FX455"/>
  <c r="FY455"/>
  <c r="FZ455"/>
  <c r="GA455"/>
  <c r="GB455"/>
  <c r="GC455"/>
  <c r="GD455"/>
  <c r="GE455"/>
  <c r="GF455"/>
  <c r="GG455"/>
  <c r="GH455"/>
  <c r="GI455"/>
  <c r="GJ455"/>
  <c r="GK455"/>
  <c r="GL455"/>
  <c r="GM455"/>
  <c r="GN455"/>
  <c r="GO455"/>
  <c r="GP455"/>
  <c r="GQ455"/>
  <c r="GR455"/>
  <c r="GS455"/>
  <c r="GT455"/>
  <c r="GU455"/>
  <c r="GV455"/>
  <c r="GW455"/>
  <c r="GX455"/>
  <c r="GY455"/>
  <c r="GZ455"/>
  <c r="HA455"/>
  <c r="HB455"/>
  <c r="HC455"/>
  <c r="HD455"/>
  <c r="HE455"/>
  <c r="HF455"/>
  <c r="HG455"/>
  <c r="HH455"/>
  <c r="HI455"/>
  <c r="HJ455"/>
  <c r="HK455"/>
  <c r="HL455"/>
  <c r="HM455"/>
  <c r="HN455"/>
  <c r="HO455"/>
  <c r="HP455"/>
  <c r="HQ455"/>
  <c r="HR455"/>
  <c r="HS455"/>
  <c r="HT455"/>
  <c r="HU455"/>
  <c r="HV455"/>
  <c r="HW455"/>
  <c r="HX455"/>
  <c r="HY455"/>
  <c r="HZ455"/>
  <c r="IA455"/>
  <c r="IB455"/>
  <c r="IC455"/>
  <c r="ID455"/>
  <c r="IE455"/>
  <c r="IF455"/>
  <c r="IG455"/>
  <c r="IH455"/>
  <c r="II455"/>
  <c r="IJ455"/>
  <c r="IK455"/>
  <c r="IL455"/>
  <c r="IM455"/>
  <c r="IN455"/>
  <c r="IO455"/>
  <c r="IP455"/>
  <c r="IQ455"/>
  <c r="IR455"/>
  <c r="IS455"/>
  <c r="IT455"/>
  <c r="IU455"/>
  <c r="IV455"/>
  <c r="A456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Z456"/>
  <c r="AA456"/>
  <c r="AB456"/>
  <c r="AC456"/>
  <c r="AD456"/>
  <c r="AE456"/>
  <c r="AF456"/>
  <c r="AG456"/>
  <c r="AH456"/>
  <c r="AI456"/>
  <c r="AJ456"/>
  <c r="AK456"/>
  <c r="AL456"/>
  <c r="AM456"/>
  <c r="AN456"/>
  <c r="AO456"/>
  <c r="AP456"/>
  <c r="AQ456"/>
  <c r="AR456"/>
  <c r="AS456"/>
  <c r="AT456"/>
  <c r="AU456"/>
  <c r="AV456"/>
  <c r="AW456"/>
  <c r="AX456"/>
  <c r="AY456"/>
  <c r="AZ456"/>
  <c r="BA456"/>
  <c r="BB456"/>
  <c r="BC456"/>
  <c r="BD456"/>
  <c r="BE456"/>
  <c r="BF456"/>
  <c r="BG456"/>
  <c r="BH456"/>
  <c r="BI456"/>
  <c r="BJ456"/>
  <c r="BK456"/>
  <c r="BL456"/>
  <c r="BM456"/>
  <c r="BN456"/>
  <c r="BO456"/>
  <c r="BP456"/>
  <c r="BQ456"/>
  <c r="BR456"/>
  <c r="BS456"/>
  <c r="BT456"/>
  <c r="BU456"/>
  <c r="BV456"/>
  <c r="BW456"/>
  <c r="BX456"/>
  <c r="BY456"/>
  <c r="BZ456"/>
  <c r="CA456"/>
  <c r="CB456"/>
  <c r="CC456"/>
  <c r="CD456"/>
  <c r="CE456"/>
  <c r="CF456"/>
  <c r="CG456"/>
  <c r="CH456"/>
  <c r="CI456"/>
  <c r="CJ456"/>
  <c r="CK456"/>
  <c r="CL456"/>
  <c r="CM456"/>
  <c r="CN456"/>
  <c r="CO456"/>
  <c r="CP456"/>
  <c r="CQ456"/>
  <c r="CR456"/>
  <c r="CS456"/>
  <c r="CT456"/>
  <c r="CU456"/>
  <c r="CV456"/>
  <c r="CW456"/>
  <c r="CX456"/>
  <c r="CY456"/>
  <c r="CZ456"/>
  <c r="DA456"/>
  <c r="DB456"/>
  <c r="DC456"/>
  <c r="DD456"/>
  <c r="DE456"/>
  <c r="DF456"/>
  <c r="DG456"/>
  <c r="DH456"/>
  <c r="DI456"/>
  <c r="DJ456"/>
  <c r="DK456"/>
  <c r="DL456"/>
  <c r="DM456"/>
  <c r="DN456"/>
  <c r="DO456"/>
  <c r="DP456"/>
  <c r="DQ456"/>
  <c r="DR456"/>
  <c r="DS456"/>
  <c r="DT456"/>
  <c r="DU456"/>
  <c r="DV456"/>
  <c r="DW456"/>
  <c r="DX456"/>
  <c r="DY456"/>
  <c r="DZ456"/>
  <c r="EA456"/>
  <c r="EB456"/>
  <c r="EC456"/>
  <c r="ED456"/>
  <c r="EE456"/>
  <c r="EF456"/>
  <c r="EG456"/>
  <c r="EH456"/>
  <c r="EI456"/>
  <c r="EJ456"/>
  <c r="EK456"/>
  <c r="EL456"/>
  <c r="EM456"/>
  <c r="EN456"/>
  <c r="EO456"/>
  <c r="EP456"/>
  <c r="EQ456"/>
  <c r="ER456"/>
  <c r="ES456"/>
  <c r="ET456"/>
  <c r="EU456"/>
  <c r="EV456"/>
  <c r="EW456"/>
  <c r="EX456"/>
  <c r="EY456"/>
  <c r="EZ456"/>
  <c r="FA456"/>
  <c r="FB456"/>
  <c r="FC456"/>
  <c r="FD456"/>
  <c r="FE456"/>
  <c r="FF456"/>
  <c r="FG456"/>
  <c r="FH456"/>
  <c r="FI456"/>
  <c r="FJ456"/>
  <c r="FK456"/>
  <c r="FL456"/>
  <c r="FM456"/>
  <c r="FN456"/>
  <c r="FO456"/>
  <c r="FP456"/>
  <c r="FQ456"/>
  <c r="FR456"/>
  <c r="FS456"/>
  <c r="FT456"/>
  <c r="FU456"/>
  <c r="FV456"/>
  <c r="FW456"/>
  <c r="FX456"/>
  <c r="FY456"/>
  <c r="FZ456"/>
  <c r="GA456"/>
  <c r="GB456"/>
  <c r="GC456"/>
  <c r="GD456"/>
  <c r="GE456"/>
  <c r="GF456"/>
  <c r="GG456"/>
  <c r="GH456"/>
  <c r="GI456"/>
  <c r="GJ456"/>
  <c r="GK456"/>
  <c r="GL456"/>
  <c r="GM456"/>
  <c r="GN456"/>
  <c r="GO456"/>
  <c r="GP456"/>
  <c r="GQ456"/>
  <c r="GR456"/>
  <c r="GS456"/>
  <c r="GT456"/>
  <c r="GU456"/>
  <c r="GV456"/>
  <c r="GW456"/>
  <c r="GX456"/>
  <c r="GY456"/>
  <c r="GZ456"/>
  <c r="HA456"/>
  <c r="HB456"/>
  <c r="HC456"/>
  <c r="HD456"/>
  <c r="HE456"/>
  <c r="HF456"/>
  <c r="HG456"/>
  <c r="HH456"/>
  <c r="HI456"/>
  <c r="HJ456"/>
  <c r="HK456"/>
  <c r="HL456"/>
  <c r="HM456"/>
  <c r="HN456"/>
  <c r="HO456"/>
  <c r="HP456"/>
  <c r="HQ456"/>
  <c r="HR456"/>
  <c r="HS456"/>
  <c r="HT456"/>
  <c r="HU456"/>
  <c r="HV456"/>
  <c r="HW456"/>
  <c r="HX456"/>
  <c r="HY456"/>
  <c r="HZ456"/>
  <c r="IA456"/>
  <c r="IB456"/>
  <c r="IC456"/>
  <c r="ID456"/>
  <c r="IE456"/>
  <c r="IF456"/>
  <c r="IG456"/>
  <c r="IH456"/>
  <c r="II456"/>
  <c r="IJ456"/>
  <c r="IK456"/>
  <c r="IL456"/>
  <c r="IM456"/>
  <c r="IN456"/>
  <c r="IO456"/>
  <c r="IP456"/>
  <c r="IQ456"/>
  <c r="IR456"/>
  <c r="IS456"/>
  <c r="IT456"/>
  <c r="IU456"/>
  <c r="IV456"/>
  <c r="A457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Z457"/>
  <c r="AA457"/>
  <c r="AB457"/>
  <c r="AC457"/>
  <c r="AD457"/>
  <c r="AE457"/>
  <c r="AF457"/>
  <c r="AG457"/>
  <c r="AH457"/>
  <c r="AI457"/>
  <c r="AJ457"/>
  <c r="AK457"/>
  <c r="AL457"/>
  <c r="AM457"/>
  <c r="AN457"/>
  <c r="AO457"/>
  <c r="AP457"/>
  <c r="AQ457"/>
  <c r="AR457"/>
  <c r="AS457"/>
  <c r="AT457"/>
  <c r="AU457"/>
  <c r="AV457"/>
  <c r="AW457"/>
  <c r="AX457"/>
  <c r="AY457"/>
  <c r="AZ457"/>
  <c r="BA457"/>
  <c r="BB457"/>
  <c r="BC457"/>
  <c r="BD457"/>
  <c r="BE457"/>
  <c r="BF457"/>
  <c r="BG457"/>
  <c r="BH457"/>
  <c r="BI457"/>
  <c r="BJ457"/>
  <c r="BK457"/>
  <c r="BL457"/>
  <c r="BM457"/>
  <c r="BN457"/>
  <c r="BO457"/>
  <c r="BP457"/>
  <c r="BQ457"/>
  <c r="BR457"/>
  <c r="BS457"/>
  <c r="BT457"/>
  <c r="BU457"/>
  <c r="BV457"/>
  <c r="BW457"/>
  <c r="BX457"/>
  <c r="BY457"/>
  <c r="BZ457"/>
  <c r="CA457"/>
  <c r="CB457"/>
  <c r="CC457"/>
  <c r="CD457"/>
  <c r="CE457"/>
  <c r="CF457"/>
  <c r="CG457"/>
  <c r="CH457"/>
  <c r="CI457"/>
  <c r="CJ457"/>
  <c r="CK457"/>
  <c r="CL457"/>
  <c r="CM457"/>
  <c r="CN457"/>
  <c r="CO457"/>
  <c r="CP457"/>
  <c r="CQ457"/>
  <c r="CR457"/>
  <c r="CS457"/>
  <c r="CT457"/>
  <c r="CU457"/>
  <c r="CV457"/>
  <c r="CW457"/>
  <c r="CX457"/>
  <c r="CY457"/>
  <c r="CZ457"/>
  <c r="DA457"/>
  <c r="DB457"/>
  <c r="DC457"/>
  <c r="DD457"/>
  <c r="DE457"/>
  <c r="DF457"/>
  <c r="DG457"/>
  <c r="DH457"/>
  <c r="DI457"/>
  <c r="DJ457"/>
  <c r="DK457"/>
  <c r="DL457"/>
  <c r="DM457"/>
  <c r="DN457"/>
  <c r="DO457"/>
  <c r="DP457"/>
  <c r="DQ457"/>
  <c r="DR457"/>
  <c r="DS457"/>
  <c r="DT457"/>
  <c r="DU457"/>
  <c r="DV457"/>
  <c r="DW457"/>
  <c r="DX457"/>
  <c r="DY457"/>
  <c r="DZ457"/>
  <c r="EA457"/>
  <c r="EB457"/>
  <c r="EC457"/>
  <c r="ED457"/>
  <c r="EE457"/>
  <c r="EF457"/>
  <c r="EG457"/>
  <c r="EH457"/>
  <c r="EI457"/>
  <c r="EJ457"/>
  <c r="EK457"/>
  <c r="EL457"/>
  <c r="EM457"/>
  <c r="EN457"/>
  <c r="EO457"/>
  <c r="EP457"/>
  <c r="EQ457"/>
  <c r="ER457"/>
  <c r="ES457"/>
  <c r="ET457"/>
  <c r="EU457"/>
  <c r="EV457"/>
  <c r="EW457"/>
  <c r="EX457"/>
  <c r="EY457"/>
  <c r="EZ457"/>
  <c r="FA457"/>
  <c r="FB457"/>
  <c r="FC457"/>
  <c r="FD457"/>
  <c r="FE457"/>
  <c r="FF457"/>
  <c r="FG457"/>
  <c r="FH457"/>
  <c r="FI457"/>
  <c r="FJ457"/>
  <c r="FK457"/>
  <c r="FL457"/>
  <c r="FM457"/>
  <c r="FN457"/>
  <c r="FO457"/>
  <c r="FP457"/>
  <c r="FQ457"/>
  <c r="FR457"/>
  <c r="FS457"/>
  <c r="FT457"/>
  <c r="FU457"/>
  <c r="FV457"/>
  <c r="FW457"/>
  <c r="FX457"/>
  <c r="FY457"/>
  <c r="FZ457"/>
  <c r="GA457"/>
  <c r="GB457"/>
  <c r="GC457"/>
  <c r="GD457"/>
  <c r="GE457"/>
  <c r="GF457"/>
  <c r="GG457"/>
  <c r="GH457"/>
  <c r="GI457"/>
  <c r="GJ457"/>
  <c r="GK457"/>
  <c r="GL457"/>
  <c r="GM457"/>
  <c r="GN457"/>
  <c r="GO457"/>
  <c r="GP457"/>
  <c r="GQ457"/>
  <c r="GR457"/>
  <c r="GS457"/>
  <c r="GT457"/>
  <c r="GU457"/>
  <c r="GV457"/>
  <c r="GW457"/>
  <c r="GX457"/>
  <c r="GY457"/>
  <c r="GZ457"/>
  <c r="HA457"/>
  <c r="HB457"/>
  <c r="HC457"/>
  <c r="HD457"/>
  <c r="HE457"/>
  <c r="HF457"/>
  <c r="HG457"/>
  <c r="HH457"/>
  <c r="HI457"/>
  <c r="HJ457"/>
  <c r="HK457"/>
  <c r="HL457"/>
  <c r="HM457"/>
  <c r="HN457"/>
  <c r="HO457"/>
  <c r="HP457"/>
  <c r="HQ457"/>
  <c r="HR457"/>
  <c r="HS457"/>
  <c r="HT457"/>
  <c r="HU457"/>
  <c r="HV457"/>
  <c r="HW457"/>
  <c r="HX457"/>
  <c r="HY457"/>
  <c r="HZ457"/>
  <c r="IA457"/>
  <c r="IB457"/>
  <c r="IC457"/>
  <c r="ID457"/>
  <c r="IE457"/>
  <c r="IF457"/>
  <c r="IG457"/>
  <c r="IH457"/>
  <c r="II457"/>
  <c r="IJ457"/>
  <c r="IK457"/>
  <c r="IL457"/>
  <c r="IM457"/>
  <c r="IN457"/>
  <c r="IO457"/>
  <c r="IP457"/>
  <c r="IQ457"/>
  <c r="IR457"/>
  <c r="IS457"/>
  <c r="IT457"/>
  <c r="IU457"/>
  <c r="IV457"/>
  <c r="A458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Z458"/>
  <c r="AA458"/>
  <c r="AB458"/>
  <c r="AC458"/>
  <c r="AD458"/>
  <c r="AE458"/>
  <c r="AF458"/>
  <c r="AG458"/>
  <c r="AH458"/>
  <c r="AI458"/>
  <c r="AJ458"/>
  <c r="AK458"/>
  <c r="AL458"/>
  <c r="AM458"/>
  <c r="AN458"/>
  <c r="AO458"/>
  <c r="AP458"/>
  <c r="AQ458"/>
  <c r="AR458"/>
  <c r="AS458"/>
  <c r="AT458"/>
  <c r="AU458"/>
  <c r="AV458"/>
  <c r="AW458"/>
  <c r="AX458"/>
  <c r="AY458"/>
  <c r="AZ458"/>
  <c r="BA458"/>
  <c r="BB458"/>
  <c r="BC458"/>
  <c r="BD458"/>
  <c r="BE458"/>
  <c r="BF458"/>
  <c r="BG458"/>
  <c r="BH458"/>
  <c r="BI458"/>
  <c r="BJ458"/>
  <c r="BK458"/>
  <c r="BL458"/>
  <c r="BM458"/>
  <c r="BN458"/>
  <c r="BO458"/>
  <c r="BP458"/>
  <c r="BQ458"/>
  <c r="BR458"/>
  <c r="BS458"/>
  <c r="BT458"/>
  <c r="BU458"/>
  <c r="BV458"/>
  <c r="BW458"/>
  <c r="BX458"/>
  <c r="BY458"/>
  <c r="BZ458"/>
  <c r="CA458"/>
  <c r="CB458"/>
  <c r="CC458"/>
  <c r="CD458"/>
  <c r="CE458"/>
  <c r="CF458"/>
  <c r="CG458"/>
  <c r="CH458"/>
  <c r="CI458"/>
  <c r="CJ458"/>
  <c r="CK458"/>
  <c r="CL458"/>
  <c r="CM458"/>
  <c r="CN458"/>
  <c r="CO458"/>
  <c r="CP458"/>
  <c r="CQ458"/>
  <c r="CR458"/>
  <c r="CS458"/>
  <c r="CT458"/>
  <c r="CU458"/>
  <c r="CV458"/>
  <c r="CW458"/>
  <c r="CX458"/>
  <c r="CY458"/>
  <c r="CZ458"/>
  <c r="DA458"/>
  <c r="DB458"/>
  <c r="DC458"/>
  <c r="DD458"/>
  <c r="DE458"/>
  <c r="DF458"/>
  <c r="DG458"/>
  <c r="DH458"/>
  <c r="DI458"/>
  <c r="DJ458"/>
  <c r="DK458"/>
  <c r="DL458"/>
  <c r="DM458"/>
  <c r="DN458"/>
  <c r="DO458"/>
  <c r="DP458"/>
  <c r="DQ458"/>
  <c r="DR458"/>
  <c r="DS458"/>
  <c r="DT458"/>
  <c r="DU458"/>
  <c r="DV458"/>
  <c r="DW458"/>
  <c r="DX458"/>
  <c r="DY458"/>
  <c r="DZ458"/>
  <c r="EA458"/>
  <c r="EB458"/>
  <c r="EC458"/>
  <c r="ED458"/>
  <c r="EE458"/>
  <c r="EF458"/>
  <c r="EG458"/>
  <c r="EH458"/>
  <c r="EI458"/>
  <c r="EJ458"/>
  <c r="EK458"/>
  <c r="EL458"/>
  <c r="EM458"/>
  <c r="EN458"/>
  <c r="EO458"/>
  <c r="EP458"/>
  <c r="EQ458"/>
  <c r="ER458"/>
  <c r="ES458"/>
  <c r="ET458"/>
  <c r="EU458"/>
  <c r="EV458"/>
  <c r="EW458"/>
  <c r="EX458"/>
  <c r="EY458"/>
  <c r="EZ458"/>
  <c r="FA458"/>
  <c r="FB458"/>
  <c r="FC458"/>
  <c r="FD458"/>
  <c r="FE458"/>
  <c r="FF458"/>
  <c r="FG458"/>
  <c r="FH458"/>
  <c r="FI458"/>
  <c r="FJ458"/>
  <c r="FK458"/>
  <c r="FL458"/>
  <c r="FM458"/>
  <c r="FN458"/>
  <c r="FO458"/>
  <c r="FP458"/>
  <c r="FQ458"/>
  <c r="FR458"/>
  <c r="FS458"/>
  <c r="FT458"/>
  <c r="FU458"/>
  <c r="FV458"/>
  <c r="FW458"/>
  <c r="FX458"/>
  <c r="FY458"/>
  <c r="FZ458"/>
  <c r="GA458"/>
  <c r="GB458"/>
  <c r="GC458"/>
  <c r="GD458"/>
  <c r="GE458"/>
  <c r="GF458"/>
  <c r="GG458"/>
  <c r="GH458"/>
  <c r="GI458"/>
  <c r="GJ458"/>
  <c r="GK458"/>
  <c r="GL458"/>
  <c r="GM458"/>
  <c r="GN458"/>
  <c r="GO458"/>
  <c r="GP458"/>
  <c r="GQ458"/>
  <c r="GR458"/>
  <c r="GS458"/>
  <c r="GT458"/>
  <c r="GU458"/>
  <c r="GV458"/>
  <c r="GW458"/>
  <c r="GX458"/>
  <c r="GY458"/>
  <c r="GZ458"/>
  <c r="HA458"/>
  <c r="HB458"/>
  <c r="HC458"/>
  <c r="HD458"/>
  <c r="HE458"/>
  <c r="HF458"/>
  <c r="HG458"/>
  <c r="HH458"/>
  <c r="HI458"/>
  <c r="HJ458"/>
  <c r="HK458"/>
  <c r="HL458"/>
  <c r="HM458"/>
  <c r="HN458"/>
  <c r="HO458"/>
  <c r="HP458"/>
  <c r="HQ458"/>
  <c r="HR458"/>
  <c r="HS458"/>
  <c r="HT458"/>
  <c r="HU458"/>
  <c r="HV458"/>
  <c r="HW458"/>
  <c r="HX458"/>
  <c r="HY458"/>
  <c r="HZ458"/>
  <c r="IA458"/>
  <c r="IB458"/>
  <c r="IC458"/>
  <c r="ID458"/>
  <c r="IE458"/>
  <c r="IF458"/>
  <c r="IG458"/>
  <c r="IH458"/>
  <c r="II458"/>
  <c r="IJ458"/>
  <c r="IK458"/>
  <c r="IL458"/>
  <c r="IM458"/>
  <c r="IN458"/>
  <c r="IO458"/>
  <c r="IP458"/>
  <c r="IQ458"/>
  <c r="IR458"/>
  <c r="IS458"/>
  <c r="IT458"/>
  <c r="IU458"/>
  <c r="IV458"/>
  <c r="A459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Z459"/>
  <c r="AA459"/>
  <c r="AB459"/>
  <c r="AC459"/>
  <c r="AD459"/>
  <c r="AE459"/>
  <c r="AF459"/>
  <c r="AG459"/>
  <c r="AH459"/>
  <c r="AI459"/>
  <c r="AJ459"/>
  <c r="AK459"/>
  <c r="AL459"/>
  <c r="AM459"/>
  <c r="AN459"/>
  <c r="AO459"/>
  <c r="AP459"/>
  <c r="AQ459"/>
  <c r="AR459"/>
  <c r="AS459"/>
  <c r="AT459"/>
  <c r="AU459"/>
  <c r="AV459"/>
  <c r="AW459"/>
  <c r="AX459"/>
  <c r="AY459"/>
  <c r="AZ459"/>
  <c r="BA459"/>
  <c r="BB459"/>
  <c r="BC459"/>
  <c r="BD459"/>
  <c r="BE459"/>
  <c r="BF459"/>
  <c r="BG459"/>
  <c r="BH459"/>
  <c r="BI459"/>
  <c r="BJ459"/>
  <c r="BK459"/>
  <c r="BL459"/>
  <c r="BM459"/>
  <c r="BN459"/>
  <c r="BO459"/>
  <c r="BP459"/>
  <c r="BQ459"/>
  <c r="BR459"/>
  <c r="BS459"/>
  <c r="BT459"/>
  <c r="BU459"/>
  <c r="BV459"/>
  <c r="BW459"/>
  <c r="BX459"/>
  <c r="BY459"/>
  <c r="BZ459"/>
  <c r="CA459"/>
  <c r="CB459"/>
  <c r="CC459"/>
  <c r="CD459"/>
  <c r="CE459"/>
  <c r="CF459"/>
  <c r="CG459"/>
  <c r="CH459"/>
  <c r="CI459"/>
  <c r="CJ459"/>
  <c r="CK459"/>
  <c r="CL459"/>
  <c r="CM459"/>
  <c r="CN459"/>
  <c r="CO459"/>
  <c r="CP459"/>
  <c r="CQ459"/>
  <c r="CR459"/>
  <c r="CS459"/>
  <c r="CT459"/>
  <c r="CU459"/>
  <c r="CV459"/>
  <c r="CW459"/>
  <c r="CX459"/>
  <c r="CY459"/>
  <c r="CZ459"/>
  <c r="DA459"/>
  <c r="DB459"/>
  <c r="DC459"/>
  <c r="DD459"/>
  <c r="DE459"/>
  <c r="DF459"/>
  <c r="DG459"/>
  <c r="DH459"/>
  <c r="DI459"/>
  <c r="DJ459"/>
  <c r="DK459"/>
  <c r="DL459"/>
  <c r="DM459"/>
  <c r="DN459"/>
  <c r="DO459"/>
  <c r="DP459"/>
  <c r="DQ459"/>
  <c r="DR459"/>
  <c r="DS459"/>
  <c r="DT459"/>
  <c r="DU459"/>
  <c r="DV459"/>
  <c r="DW459"/>
  <c r="DX459"/>
  <c r="DY459"/>
  <c r="DZ459"/>
  <c r="EA459"/>
  <c r="EB459"/>
  <c r="EC459"/>
  <c r="ED459"/>
  <c r="EE459"/>
  <c r="EF459"/>
  <c r="EG459"/>
  <c r="EH459"/>
  <c r="EI459"/>
  <c r="EJ459"/>
  <c r="EK459"/>
  <c r="EL459"/>
  <c r="EM459"/>
  <c r="EN459"/>
  <c r="EO459"/>
  <c r="EP459"/>
  <c r="EQ459"/>
  <c r="ER459"/>
  <c r="ES459"/>
  <c r="ET459"/>
  <c r="EU459"/>
  <c r="EV459"/>
  <c r="EW459"/>
  <c r="EX459"/>
  <c r="EY459"/>
  <c r="EZ459"/>
  <c r="FA459"/>
  <c r="FB459"/>
  <c r="FC459"/>
  <c r="FD459"/>
  <c r="FE459"/>
  <c r="FF459"/>
  <c r="FG459"/>
  <c r="FH459"/>
  <c r="FI459"/>
  <c r="FJ459"/>
  <c r="FK459"/>
  <c r="FL459"/>
  <c r="FM459"/>
  <c r="FN459"/>
  <c r="FO459"/>
  <c r="FP459"/>
  <c r="FQ459"/>
  <c r="FR459"/>
  <c r="FS459"/>
  <c r="FT459"/>
  <c r="FU459"/>
  <c r="FV459"/>
  <c r="FW459"/>
  <c r="FX459"/>
  <c r="FY459"/>
  <c r="FZ459"/>
  <c r="GA459"/>
  <c r="GB459"/>
  <c r="GC459"/>
  <c r="GD459"/>
  <c r="GE459"/>
  <c r="GF459"/>
  <c r="GG459"/>
  <c r="GH459"/>
  <c r="GI459"/>
  <c r="GJ459"/>
  <c r="GK459"/>
  <c r="GL459"/>
  <c r="GM459"/>
  <c r="GN459"/>
  <c r="GO459"/>
  <c r="GP459"/>
  <c r="GQ459"/>
  <c r="GR459"/>
  <c r="GS459"/>
  <c r="GT459"/>
  <c r="GU459"/>
  <c r="GV459"/>
  <c r="GW459"/>
  <c r="GX459"/>
  <c r="GY459"/>
  <c r="GZ459"/>
  <c r="HA459"/>
  <c r="HB459"/>
  <c r="HC459"/>
  <c r="HD459"/>
  <c r="HE459"/>
  <c r="HF459"/>
  <c r="HG459"/>
  <c r="HH459"/>
  <c r="HI459"/>
  <c r="HJ459"/>
  <c r="HK459"/>
  <c r="HL459"/>
  <c r="HM459"/>
  <c r="HN459"/>
  <c r="HO459"/>
  <c r="HP459"/>
  <c r="HQ459"/>
  <c r="HR459"/>
  <c r="HS459"/>
  <c r="HT459"/>
  <c r="HU459"/>
  <c r="HV459"/>
  <c r="HW459"/>
  <c r="HX459"/>
  <c r="HY459"/>
  <c r="HZ459"/>
  <c r="IA459"/>
  <c r="IB459"/>
  <c r="IC459"/>
  <c r="ID459"/>
  <c r="IE459"/>
  <c r="IF459"/>
  <c r="IG459"/>
  <c r="IH459"/>
  <c r="II459"/>
  <c r="IJ459"/>
  <c r="IK459"/>
  <c r="IL459"/>
  <c r="IM459"/>
  <c r="IN459"/>
  <c r="IO459"/>
  <c r="IP459"/>
  <c r="IQ459"/>
  <c r="IR459"/>
  <c r="IS459"/>
  <c r="IT459"/>
  <c r="IU459"/>
  <c r="IV459"/>
  <c r="A460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Z460"/>
  <c r="AA460"/>
  <c r="AB460"/>
  <c r="AC460"/>
  <c r="AD460"/>
  <c r="AE460"/>
  <c r="AF460"/>
  <c r="AG460"/>
  <c r="AH460"/>
  <c r="AI460"/>
  <c r="AJ460"/>
  <c r="AK460"/>
  <c r="AL460"/>
  <c r="AM460"/>
  <c r="AN460"/>
  <c r="AO460"/>
  <c r="AP460"/>
  <c r="AQ460"/>
  <c r="AR460"/>
  <c r="AS460"/>
  <c r="AT460"/>
  <c r="AU460"/>
  <c r="AV460"/>
  <c r="AW460"/>
  <c r="AX460"/>
  <c r="AY460"/>
  <c r="AZ460"/>
  <c r="BA460"/>
  <c r="BB460"/>
  <c r="BC460"/>
  <c r="BD460"/>
  <c r="BE460"/>
  <c r="BF460"/>
  <c r="BG460"/>
  <c r="BH460"/>
  <c r="BI460"/>
  <c r="BJ460"/>
  <c r="BK460"/>
  <c r="BL460"/>
  <c r="BM460"/>
  <c r="BN460"/>
  <c r="BO460"/>
  <c r="BP460"/>
  <c r="BQ460"/>
  <c r="BR460"/>
  <c r="BS460"/>
  <c r="BT460"/>
  <c r="BU460"/>
  <c r="BV460"/>
  <c r="BW460"/>
  <c r="BX460"/>
  <c r="BY460"/>
  <c r="BZ460"/>
  <c r="CA460"/>
  <c r="CB460"/>
  <c r="CC460"/>
  <c r="CD460"/>
  <c r="CE460"/>
  <c r="CF460"/>
  <c r="CG460"/>
  <c r="CH460"/>
  <c r="CI460"/>
  <c r="CJ460"/>
  <c r="CK460"/>
  <c r="CL460"/>
  <c r="CM460"/>
  <c r="CN460"/>
  <c r="CO460"/>
  <c r="CP460"/>
  <c r="CQ460"/>
  <c r="CR460"/>
  <c r="CS460"/>
  <c r="CT460"/>
  <c r="CU460"/>
  <c r="CV460"/>
  <c r="CW460"/>
  <c r="CX460"/>
  <c r="CY460"/>
  <c r="CZ460"/>
  <c r="DA460"/>
  <c r="DB460"/>
  <c r="DC460"/>
  <c r="DD460"/>
  <c r="DE460"/>
  <c r="DF460"/>
  <c r="DG460"/>
  <c r="DH460"/>
  <c r="DI460"/>
  <c r="DJ460"/>
  <c r="DK460"/>
  <c r="DL460"/>
  <c r="DM460"/>
  <c r="DN460"/>
  <c r="DO460"/>
  <c r="DP460"/>
  <c r="DQ460"/>
  <c r="DR460"/>
  <c r="DS460"/>
  <c r="DT460"/>
  <c r="DU460"/>
  <c r="DV460"/>
  <c r="DW460"/>
  <c r="DX460"/>
  <c r="DY460"/>
  <c r="DZ460"/>
  <c r="EA460"/>
  <c r="EB460"/>
  <c r="EC460"/>
  <c r="ED460"/>
  <c r="EE460"/>
  <c r="EF460"/>
  <c r="EG460"/>
  <c r="EH460"/>
  <c r="EI460"/>
  <c r="EJ460"/>
  <c r="EK460"/>
  <c r="EL460"/>
  <c r="EM460"/>
  <c r="EN460"/>
  <c r="EO460"/>
  <c r="EP460"/>
  <c r="EQ460"/>
  <c r="ER460"/>
  <c r="ES460"/>
  <c r="ET460"/>
  <c r="EU460"/>
  <c r="EV460"/>
  <c r="EW460"/>
  <c r="EX460"/>
  <c r="EY460"/>
  <c r="EZ460"/>
  <c r="FA460"/>
  <c r="FB460"/>
  <c r="FC460"/>
  <c r="FD460"/>
  <c r="FE460"/>
  <c r="FF460"/>
  <c r="FG460"/>
  <c r="FH460"/>
  <c r="FI460"/>
  <c r="FJ460"/>
  <c r="FK460"/>
  <c r="FL460"/>
  <c r="FM460"/>
  <c r="FN460"/>
  <c r="FO460"/>
  <c r="FP460"/>
  <c r="FQ460"/>
  <c r="FR460"/>
  <c r="FS460"/>
  <c r="FT460"/>
  <c r="FU460"/>
  <c r="FV460"/>
  <c r="FW460"/>
  <c r="FX460"/>
  <c r="FY460"/>
  <c r="FZ460"/>
  <c r="GA460"/>
  <c r="GB460"/>
  <c r="GC460"/>
  <c r="GD460"/>
  <c r="GE460"/>
  <c r="GF460"/>
  <c r="GG460"/>
  <c r="GH460"/>
  <c r="GI460"/>
  <c r="GJ460"/>
  <c r="GK460"/>
  <c r="GL460"/>
  <c r="GM460"/>
  <c r="GN460"/>
  <c r="GO460"/>
  <c r="GP460"/>
  <c r="GQ460"/>
  <c r="GR460"/>
  <c r="GS460"/>
  <c r="GT460"/>
  <c r="GU460"/>
  <c r="GV460"/>
  <c r="GW460"/>
  <c r="GX460"/>
  <c r="GY460"/>
  <c r="GZ460"/>
  <c r="HA460"/>
  <c r="HB460"/>
  <c r="HC460"/>
  <c r="HD460"/>
  <c r="HE460"/>
  <c r="HF460"/>
  <c r="HG460"/>
  <c r="HH460"/>
  <c r="HI460"/>
  <c r="HJ460"/>
  <c r="HK460"/>
  <c r="HL460"/>
  <c r="HM460"/>
  <c r="HN460"/>
  <c r="HO460"/>
  <c r="HP460"/>
  <c r="HQ460"/>
  <c r="HR460"/>
  <c r="HS460"/>
  <c r="HT460"/>
  <c r="HU460"/>
  <c r="HV460"/>
  <c r="HW460"/>
  <c r="HX460"/>
  <c r="HY460"/>
  <c r="HZ460"/>
  <c r="IA460"/>
  <c r="IB460"/>
  <c r="IC460"/>
  <c r="ID460"/>
  <c r="IE460"/>
  <c r="IF460"/>
  <c r="IG460"/>
  <c r="IH460"/>
  <c r="II460"/>
  <c r="IJ460"/>
  <c r="IK460"/>
  <c r="IL460"/>
  <c r="IM460"/>
  <c r="IN460"/>
  <c r="IO460"/>
  <c r="IP460"/>
  <c r="IQ460"/>
  <c r="IR460"/>
  <c r="IS460"/>
  <c r="IT460"/>
  <c r="IU460"/>
  <c r="IV460"/>
  <c r="A461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Z461"/>
  <c r="AA461"/>
  <c r="AB461"/>
  <c r="AC461"/>
  <c r="AD461"/>
  <c r="AE461"/>
  <c r="AF461"/>
  <c r="AG461"/>
  <c r="AH461"/>
  <c r="AI461"/>
  <c r="AJ461"/>
  <c r="AK461"/>
  <c r="AL461"/>
  <c r="AM461"/>
  <c r="AN461"/>
  <c r="AO461"/>
  <c r="AP461"/>
  <c r="AQ461"/>
  <c r="AR461"/>
  <c r="AS461"/>
  <c r="AT461"/>
  <c r="AU461"/>
  <c r="AV461"/>
  <c r="AW461"/>
  <c r="AX461"/>
  <c r="AY461"/>
  <c r="AZ461"/>
  <c r="BA461"/>
  <c r="BB461"/>
  <c r="BC461"/>
  <c r="BD461"/>
  <c r="BE461"/>
  <c r="BF461"/>
  <c r="BG461"/>
  <c r="BH461"/>
  <c r="BI461"/>
  <c r="BJ461"/>
  <c r="BK461"/>
  <c r="BL461"/>
  <c r="BM461"/>
  <c r="BN461"/>
  <c r="BO461"/>
  <c r="BP461"/>
  <c r="BQ461"/>
  <c r="BR461"/>
  <c r="BS461"/>
  <c r="BT461"/>
  <c r="BU461"/>
  <c r="BV461"/>
  <c r="BW461"/>
  <c r="BX461"/>
  <c r="BY461"/>
  <c r="BZ461"/>
  <c r="CA461"/>
  <c r="CB461"/>
  <c r="CC461"/>
  <c r="CD461"/>
  <c r="CE461"/>
  <c r="CF461"/>
  <c r="CG461"/>
  <c r="CH461"/>
  <c r="CI461"/>
  <c r="CJ461"/>
  <c r="CK461"/>
  <c r="CL461"/>
  <c r="CM461"/>
  <c r="CN461"/>
  <c r="CO461"/>
  <c r="CP461"/>
  <c r="CQ461"/>
  <c r="CR461"/>
  <c r="CS461"/>
  <c r="CT461"/>
  <c r="CU461"/>
  <c r="CV461"/>
  <c r="CW461"/>
  <c r="CX461"/>
  <c r="CY461"/>
  <c r="CZ461"/>
  <c r="DA461"/>
  <c r="DB461"/>
  <c r="DC461"/>
  <c r="DD461"/>
  <c r="DE461"/>
  <c r="DF461"/>
  <c r="DG461"/>
  <c r="DH461"/>
  <c r="DI461"/>
  <c r="DJ461"/>
  <c r="DK461"/>
  <c r="DL461"/>
  <c r="DM461"/>
  <c r="DN461"/>
  <c r="DO461"/>
  <c r="DP461"/>
  <c r="DQ461"/>
  <c r="DR461"/>
  <c r="DS461"/>
  <c r="DT461"/>
  <c r="DU461"/>
  <c r="DV461"/>
  <c r="DW461"/>
  <c r="DX461"/>
  <c r="DY461"/>
  <c r="DZ461"/>
  <c r="EA461"/>
  <c r="EB461"/>
  <c r="EC461"/>
  <c r="ED461"/>
  <c r="EE461"/>
  <c r="EF461"/>
  <c r="EG461"/>
  <c r="EH461"/>
  <c r="EI461"/>
  <c r="EJ461"/>
  <c r="EK461"/>
  <c r="EL461"/>
  <c r="EM461"/>
  <c r="EN461"/>
  <c r="EO461"/>
  <c r="EP461"/>
  <c r="EQ461"/>
  <c r="ER461"/>
  <c r="ES461"/>
  <c r="ET461"/>
  <c r="EU461"/>
  <c r="EV461"/>
  <c r="EW461"/>
  <c r="EX461"/>
  <c r="EY461"/>
  <c r="EZ461"/>
  <c r="FA461"/>
  <c r="FB461"/>
  <c r="FC461"/>
  <c r="FD461"/>
  <c r="FE461"/>
  <c r="FF461"/>
  <c r="FG461"/>
  <c r="FH461"/>
  <c r="FI461"/>
  <c r="FJ461"/>
  <c r="FK461"/>
  <c r="FL461"/>
  <c r="FM461"/>
  <c r="FN461"/>
  <c r="FO461"/>
  <c r="FP461"/>
  <c r="FQ461"/>
  <c r="FR461"/>
  <c r="FS461"/>
  <c r="FT461"/>
  <c r="FU461"/>
  <c r="FV461"/>
  <c r="FW461"/>
  <c r="FX461"/>
  <c r="FY461"/>
  <c r="FZ461"/>
  <c r="GA461"/>
  <c r="GB461"/>
  <c r="GC461"/>
  <c r="GD461"/>
  <c r="GE461"/>
  <c r="GF461"/>
  <c r="GG461"/>
  <c r="GH461"/>
  <c r="GI461"/>
  <c r="GJ461"/>
  <c r="GK461"/>
  <c r="GL461"/>
  <c r="GM461"/>
  <c r="GN461"/>
  <c r="GO461"/>
  <c r="GP461"/>
  <c r="GQ461"/>
  <c r="GR461"/>
  <c r="GS461"/>
  <c r="GT461"/>
  <c r="GU461"/>
  <c r="GV461"/>
  <c r="GW461"/>
  <c r="GX461"/>
  <c r="GY461"/>
  <c r="GZ461"/>
  <c r="HA461"/>
  <c r="HB461"/>
  <c r="HC461"/>
  <c r="HD461"/>
  <c r="HE461"/>
  <c r="HF461"/>
  <c r="HG461"/>
  <c r="HH461"/>
  <c r="HI461"/>
  <c r="HJ461"/>
  <c r="HK461"/>
  <c r="HL461"/>
  <c r="HM461"/>
  <c r="HN461"/>
  <c r="HO461"/>
  <c r="HP461"/>
  <c r="HQ461"/>
  <c r="HR461"/>
  <c r="HS461"/>
  <c r="HT461"/>
  <c r="HU461"/>
  <c r="HV461"/>
  <c r="HW461"/>
  <c r="HX461"/>
  <c r="HY461"/>
  <c r="HZ461"/>
  <c r="IA461"/>
  <c r="IB461"/>
  <c r="IC461"/>
  <c r="ID461"/>
  <c r="IE461"/>
  <c r="IF461"/>
  <c r="IG461"/>
  <c r="IH461"/>
  <c r="II461"/>
  <c r="IJ461"/>
  <c r="IK461"/>
  <c r="IL461"/>
  <c r="IM461"/>
  <c r="IN461"/>
  <c r="IO461"/>
  <c r="IP461"/>
  <c r="IQ461"/>
  <c r="IR461"/>
  <c r="IS461"/>
  <c r="IT461"/>
  <c r="IU461"/>
  <c r="IV461"/>
  <c r="A462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Z462"/>
  <c r="AA462"/>
  <c r="AB462"/>
  <c r="AC462"/>
  <c r="AD462"/>
  <c r="AE462"/>
  <c r="AF462"/>
  <c r="AG462"/>
  <c r="AH462"/>
  <c r="AI462"/>
  <c r="AJ462"/>
  <c r="AK462"/>
  <c r="AL462"/>
  <c r="AM462"/>
  <c r="AN462"/>
  <c r="AO462"/>
  <c r="AP462"/>
  <c r="AQ462"/>
  <c r="AR462"/>
  <c r="AS462"/>
  <c r="AT462"/>
  <c r="AU462"/>
  <c r="AV462"/>
  <c r="AW462"/>
  <c r="AX462"/>
  <c r="AY462"/>
  <c r="AZ462"/>
  <c r="BA462"/>
  <c r="BB462"/>
  <c r="BC462"/>
  <c r="BD462"/>
  <c r="BE462"/>
  <c r="BF462"/>
  <c r="BG462"/>
  <c r="BH462"/>
  <c r="BI462"/>
  <c r="BJ462"/>
  <c r="BK462"/>
  <c r="BL462"/>
  <c r="BM462"/>
  <c r="BN462"/>
  <c r="BO462"/>
  <c r="BP462"/>
  <c r="BQ462"/>
  <c r="BR462"/>
  <c r="BS462"/>
  <c r="BT462"/>
  <c r="BU462"/>
  <c r="BV462"/>
  <c r="BW462"/>
  <c r="BX462"/>
  <c r="BY462"/>
  <c r="BZ462"/>
  <c r="CA462"/>
  <c r="CB462"/>
  <c r="CC462"/>
  <c r="CD462"/>
  <c r="CE462"/>
  <c r="CF462"/>
  <c r="CG462"/>
  <c r="CH462"/>
  <c r="CI462"/>
  <c r="CJ462"/>
  <c r="CK462"/>
  <c r="CL462"/>
  <c r="CM462"/>
  <c r="CN462"/>
  <c r="CO462"/>
  <c r="CP462"/>
  <c r="CQ462"/>
  <c r="CR462"/>
  <c r="CS462"/>
  <c r="CT462"/>
  <c r="CU462"/>
  <c r="CV462"/>
  <c r="CW462"/>
  <c r="CX462"/>
  <c r="CY462"/>
  <c r="CZ462"/>
  <c r="DA462"/>
  <c r="DB462"/>
  <c r="DC462"/>
  <c r="DD462"/>
  <c r="DE462"/>
  <c r="DF462"/>
  <c r="DG462"/>
  <c r="DH462"/>
  <c r="DI462"/>
  <c r="DJ462"/>
  <c r="DK462"/>
  <c r="DL462"/>
  <c r="DM462"/>
  <c r="DN462"/>
  <c r="DO462"/>
  <c r="DP462"/>
  <c r="DQ462"/>
  <c r="DR462"/>
  <c r="DS462"/>
  <c r="DT462"/>
  <c r="DU462"/>
  <c r="DV462"/>
  <c r="DW462"/>
  <c r="DX462"/>
  <c r="DY462"/>
  <c r="DZ462"/>
  <c r="EA462"/>
  <c r="EB462"/>
  <c r="EC462"/>
  <c r="ED462"/>
  <c r="EE462"/>
  <c r="EF462"/>
  <c r="EG462"/>
  <c r="EH462"/>
  <c r="EI462"/>
  <c r="EJ462"/>
  <c r="EK462"/>
  <c r="EL462"/>
  <c r="EM462"/>
  <c r="EN462"/>
  <c r="EO462"/>
  <c r="EP462"/>
  <c r="EQ462"/>
  <c r="ER462"/>
  <c r="ES462"/>
  <c r="ET462"/>
  <c r="EU462"/>
  <c r="EV462"/>
  <c r="EW462"/>
  <c r="EX462"/>
  <c r="EY462"/>
  <c r="EZ462"/>
  <c r="FA462"/>
  <c r="FB462"/>
  <c r="FC462"/>
  <c r="FD462"/>
  <c r="FE462"/>
  <c r="FF462"/>
  <c r="FG462"/>
  <c r="FH462"/>
  <c r="FI462"/>
  <c r="FJ462"/>
  <c r="FK462"/>
  <c r="FL462"/>
  <c r="FM462"/>
  <c r="FN462"/>
  <c r="FO462"/>
  <c r="FP462"/>
  <c r="FQ462"/>
  <c r="FR462"/>
  <c r="FS462"/>
  <c r="FT462"/>
  <c r="FU462"/>
  <c r="FV462"/>
  <c r="FW462"/>
  <c r="FX462"/>
  <c r="FY462"/>
  <c r="FZ462"/>
  <c r="GA462"/>
  <c r="GB462"/>
  <c r="GC462"/>
  <c r="GD462"/>
  <c r="GE462"/>
  <c r="GF462"/>
  <c r="GG462"/>
  <c r="GH462"/>
  <c r="GI462"/>
  <c r="GJ462"/>
  <c r="GK462"/>
  <c r="GL462"/>
  <c r="GM462"/>
  <c r="GN462"/>
  <c r="GO462"/>
  <c r="GP462"/>
  <c r="GQ462"/>
  <c r="GR462"/>
  <c r="GS462"/>
  <c r="GT462"/>
  <c r="GU462"/>
  <c r="GV462"/>
  <c r="GW462"/>
  <c r="GX462"/>
  <c r="GY462"/>
  <c r="GZ462"/>
  <c r="HA462"/>
  <c r="HB462"/>
  <c r="HC462"/>
  <c r="HD462"/>
  <c r="HE462"/>
  <c r="HF462"/>
  <c r="HG462"/>
  <c r="HH462"/>
  <c r="HI462"/>
  <c r="HJ462"/>
  <c r="HK462"/>
  <c r="HL462"/>
  <c r="HM462"/>
  <c r="HN462"/>
  <c r="HO462"/>
  <c r="HP462"/>
  <c r="HQ462"/>
  <c r="HR462"/>
  <c r="HS462"/>
  <c r="HT462"/>
  <c r="HU462"/>
  <c r="HV462"/>
  <c r="HW462"/>
  <c r="HX462"/>
  <c r="HY462"/>
  <c r="HZ462"/>
  <c r="IA462"/>
  <c r="IB462"/>
  <c r="IC462"/>
  <c r="ID462"/>
  <c r="IE462"/>
  <c r="IF462"/>
  <c r="IG462"/>
  <c r="IH462"/>
  <c r="II462"/>
  <c r="IJ462"/>
  <c r="IK462"/>
  <c r="IL462"/>
  <c r="IM462"/>
  <c r="IN462"/>
  <c r="IO462"/>
  <c r="IP462"/>
  <c r="IQ462"/>
  <c r="IR462"/>
  <c r="IS462"/>
  <c r="IT462"/>
  <c r="IU462"/>
  <c r="IV462"/>
  <c r="A463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Z463"/>
  <c r="AA463"/>
  <c r="AB463"/>
  <c r="AC463"/>
  <c r="AD463"/>
  <c r="AE463"/>
  <c r="AF463"/>
  <c r="AG463"/>
  <c r="AH463"/>
  <c r="AI463"/>
  <c r="AJ463"/>
  <c r="AK463"/>
  <c r="AL463"/>
  <c r="AM463"/>
  <c r="AN463"/>
  <c r="AO463"/>
  <c r="AP463"/>
  <c r="AQ463"/>
  <c r="AR463"/>
  <c r="AS463"/>
  <c r="AT463"/>
  <c r="AU463"/>
  <c r="AV463"/>
  <c r="AW463"/>
  <c r="AX463"/>
  <c r="AY463"/>
  <c r="AZ463"/>
  <c r="BA463"/>
  <c r="BB463"/>
  <c r="BC463"/>
  <c r="BD463"/>
  <c r="BE463"/>
  <c r="BF463"/>
  <c r="BG463"/>
  <c r="BH463"/>
  <c r="BI463"/>
  <c r="BJ463"/>
  <c r="BK463"/>
  <c r="BL463"/>
  <c r="BM463"/>
  <c r="BN463"/>
  <c r="BO463"/>
  <c r="BP463"/>
  <c r="BQ463"/>
  <c r="BR463"/>
  <c r="BS463"/>
  <c r="BT463"/>
  <c r="BU463"/>
  <c r="BV463"/>
  <c r="BW463"/>
  <c r="BX463"/>
  <c r="BY463"/>
  <c r="BZ463"/>
  <c r="CA463"/>
  <c r="CB463"/>
  <c r="CC463"/>
  <c r="CD463"/>
  <c r="CE463"/>
  <c r="CF463"/>
  <c r="CG463"/>
  <c r="CH463"/>
  <c r="CI463"/>
  <c r="CJ463"/>
  <c r="CK463"/>
  <c r="CL463"/>
  <c r="CM463"/>
  <c r="CN463"/>
  <c r="CO463"/>
  <c r="CP463"/>
  <c r="CQ463"/>
  <c r="CR463"/>
  <c r="CS463"/>
  <c r="CT463"/>
  <c r="CU463"/>
  <c r="CV463"/>
  <c r="CW463"/>
  <c r="CX463"/>
  <c r="CY463"/>
  <c r="CZ463"/>
  <c r="DA463"/>
  <c r="DB463"/>
  <c r="DC463"/>
  <c r="DD463"/>
  <c r="DE463"/>
  <c r="DF463"/>
  <c r="DG463"/>
  <c r="DH463"/>
  <c r="DI463"/>
  <c r="DJ463"/>
  <c r="DK463"/>
  <c r="DL463"/>
  <c r="DM463"/>
  <c r="DN463"/>
  <c r="DO463"/>
  <c r="DP463"/>
  <c r="DQ463"/>
  <c r="DR463"/>
  <c r="DS463"/>
  <c r="DT463"/>
  <c r="DU463"/>
  <c r="DV463"/>
  <c r="DW463"/>
  <c r="DX463"/>
  <c r="DY463"/>
  <c r="DZ463"/>
  <c r="EA463"/>
  <c r="EB463"/>
  <c r="EC463"/>
  <c r="ED463"/>
  <c r="EE463"/>
  <c r="EF463"/>
  <c r="EG463"/>
  <c r="EH463"/>
  <c r="EI463"/>
  <c r="EJ463"/>
  <c r="EK463"/>
  <c r="EL463"/>
  <c r="EM463"/>
  <c r="EN463"/>
  <c r="EO463"/>
  <c r="EP463"/>
  <c r="EQ463"/>
  <c r="ER463"/>
  <c r="ES463"/>
  <c r="ET463"/>
  <c r="EU463"/>
  <c r="EV463"/>
  <c r="EW463"/>
  <c r="EX463"/>
  <c r="EY463"/>
  <c r="EZ463"/>
  <c r="FA463"/>
  <c r="FB463"/>
  <c r="FC463"/>
  <c r="FD463"/>
  <c r="FE463"/>
  <c r="FF463"/>
  <c r="FG463"/>
  <c r="FH463"/>
  <c r="FI463"/>
  <c r="FJ463"/>
  <c r="FK463"/>
  <c r="FL463"/>
  <c r="FM463"/>
  <c r="FN463"/>
  <c r="FO463"/>
  <c r="FP463"/>
  <c r="FQ463"/>
  <c r="FR463"/>
  <c r="FS463"/>
  <c r="FT463"/>
  <c r="FU463"/>
  <c r="FV463"/>
  <c r="FW463"/>
  <c r="FX463"/>
  <c r="FY463"/>
  <c r="FZ463"/>
  <c r="GA463"/>
  <c r="GB463"/>
  <c r="GC463"/>
  <c r="GD463"/>
  <c r="GE463"/>
  <c r="GF463"/>
  <c r="GG463"/>
  <c r="GH463"/>
  <c r="GI463"/>
  <c r="GJ463"/>
  <c r="GK463"/>
  <c r="GL463"/>
  <c r="GM463"/>
  <c r="GN463"/>
  <c r="GO463"/>
  <c r="GP463"/>
  <c r="GQ463"/>
  <c r="GR463"/>
  <c r="GS463"/>
  <c r="GT463"/>
  <c r="GU463"/>
  <c r="GV463"/>
  <c r="GW463"/>
  <c r="GX463"/>
  <c r="GY463"/>
  <c r="GZ463"/>
  <c r="HA463"/>
  <c r="HB463"/>
  <c r="HC463"/>
  <c r="HD463"/>
  <c r="HE463"/>
  <c r="HF463"/>
  <c r="HG463"/>
  <c r="HH463"/>
  <c r="HI463"/>
  <c r="HJ463"/>
  <c r="HK463"/>
  <c r="HL463"/>
  <c r="HM463"/>
  <c r="HN463"/>
  <c r="HO463"/>
  <c r="HP463"/>
  <c r="HQ463"/>
  <c r="HR463"/>
  <c r="HS463"/>
  <c r="HT463"/>
  <c r="HU463"/>
  <c r="HV463"/>
  <c r="HW463"/>
  <c r="HX463"/>
  <c r="HY463"/>
  <c r="HZ463"/>
  <c r="IA463"/>
  <c r="IB463"/>
  <c r="IC463"/>
  <c r="ID463"/>
  <c r="IE463"/>
  <c r="IF463"/>
  <c r="IG463"/>
  <c r="IH463"/>
  <c r="II463"/>
  <c r="IJ463"/>
  <c r="IK463"/>
  <c r="IL463"/>
  <c r="IM463"/>
  <c r="IN463"/>
  <c r="IO463"/>
  <c r="IP463"/>
  <c r="IQ463"/>
  <c r="IR463"/>
  <c r="IS463"/>
  <c r="IT463"/>
  <c r="IU463"/>
  <c r="IV463"/>
  <c r="A464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Z464"/>
  <c r="AA464"/>
  <c r="AB464"/>
  <c r="AC464"/>
  <c r="AD464"/>
  <c r="AE464"/>
  <c r="AF464"/>
  <c r="AG464"/>
  <c r="AH464"/>
  <c r="AI464"/>
  <c r="AJ464"/>
  <c r="AK464"/>
  <c r="AL464"/>
  <c r="AM464"/>
  <c r="AN464"/>
  <c r="AO464"/>
  <c r="AP464"/>
  <c r="AQ464"/>
  <c r="AR464"/>
  <c r="AS464"/>
  <c r="AT464"/>
  <c r="AU464"/>
  <c r="AV464"/>
  <c r="AW464"/>
  <c r="AX464"/>
  <c r="AY464"/>
  <c r="AZ464"/>
  <c r="BA464"/>
  <c r="BB464"/>
  <c r="BC464"/>
  <c r="BD464"/>
  <c r="BE464"/>
  <c r="BF464"/>
  <c r="BG464"/>
  <c r="BH464"/>
  <c r="BI464"/>
  <c r="BJ464"/>
  <c r="BK464"/>
  <c r="BL464"/>
  <c r="BM464"/>
  <c r="BN464"/>
  <c r="BO464"/>
  <c r="BP464"/>
  <c r="BQ464"/>
  <c r="BR464"/>
  <c r="BS464"/>
  <c r="BT464"/>
  <c r="BU464"/>
  <c r="BV464"/>
  <c r="BW464"/>
  <c r="BX464"/>
  <c r="BY464"/>
  <c r="BZ464"/>
  <c r="CA464"/>
  <c r="CB464"/>
  <c r="CC464"/>
  <c r="CD464"/>
  <c r="CE464"/>
  <c r="CF464"/>
  <c r="CG464"/>
  <c r="CH464"/>
  <c r="CI464"/>
  <c r="CJ464"/>
  <c r="CK464"/>
  <c r="CL464"/>
  <c r="CM464"/>
  <c r="CN464"/>
  <c r="CO464"/>
  <c r="CP464"/>
  <c r="CQ464"/>
  <c r="CR464"/>
  <c r="CS464"/>
  <c r="CT464"/>
  <c r="CU464"/>
  <c r="CV464"/>
  <c r="CW464"/>
  <c r="CX464"/>
  <c r="CY464"/>
  <c r="CZ464"/>
  <c r="DA464"/>
  <c r="DB464"/>
  <c r="DC464"/>
  <c r="DD464"/>
  <c r="DE464"/>
  <c r="DF464"/>
  <c r="DG464"/>
  <c r="DH464"/>
  <c r="DI464"/>
  <c r="DJ464"/>
  <c r="DK464"/>
  <c r="DL464"/>
  <c r="DM464"/>
  <c r="DN464"/>
  <c r="DO464"/>
  <c r="DP464"/>
  <c r="DQ464"/>
  <c r="DR464"/>
  <c r="DS464"/>
  <c r="DT464"/>
  <c r="DU464"/>
  <c r="DV464"/>
  <c r="DW464"/>
  <c r="DX464"/>
  <c r="DY464"/>
  <c r="DZ464"/>
  <c r="EA464"/>
  <c r="EB464"/>
  <c r="EC464"/>
  <c r="ED464"/>
  <c r="EE464"/>
  <c r="EF464"/>
  <c r="EG464"/>
  <c r="EH464"/>
  <c r="EI464"/>
  <c r="EJ464"/>
  <c r="EK464"/>
  <c r="EL464"/>
  <c r="EM464"/>
  <c r="EN464"/>
  <c r="EO464"/>
  <c r="EP464"/>
  <c r="EQ464"/>
  <c r="ER464"/>
  <c r="ES464"/>
  <c r="ET464"/>
  <c r="EU464"/>
  <c r="EV464"/>
  <c r="EW464"/>
  <c r="EX464"/>
  <c r="EY464"/>
  <c r="EZ464"/>
  <c r="FA464"/>
  <c r="FB464"/>
  <c r="FC464"/>
  <c r="FD464"/>
  <c r="FE464"/>
  <c r="FF464"/>
  <c r="FG464"/>
  <c r="FH464"/>
  <c r="FI464"/>
  <c r="FJ464"/>
  <c r="FK464"/>
  <c r="FL464"/>
  <c r="FM464"/>
  <c r="FN464"/>
  <c r="FO464"/>
  <c r="FP464"/>
  <c r="FQ464"/>
  <c r="FR464"/>
  <c r="FS464"/>
  <c r="FT464"/>
  <c r="FU464"/>
  <c r="FV464"/>
  <c r="FW464"/>
  <c r="FX464"/>
  <c r="FY464"/>
  <c r="FZ464"/>
  <c r="GA464"/>
  <c r="GB464"/>
  <c r="GC464"/>
  <c r="GD464"/>
  <c r="GE464"/>
  <c r="GF464"/>
  <c r="GG464"/>
  <c r="GH464"/>
  <c r="GI464"/>
  <c r="GJ464"/>
  <c r="GK464"/>
  <c r="GL464"/>
  <c r="GM464"/>
  <c r="GN464"/>
  <c r="GO464"/>
  <c r="GP464"/>
  <c r="GQ464"/>
  <c r="GR464"/>
  <c r="GS464"/>
  <c r="GT464"/>
  <c r="GU464"/>
  <c r="GV464"/>
  <c r="GW464"/>
  <c r="GX464"/>
  <c r="GY464"/>
  <c r="GZ464"/>
  <c r="HA464"/>
  <c r="HB464"/>
  <c r="HC464"/>
  <c r="HD464"/>
  <c r="HE464"/>
  <c r="HF464"/>
  <c r="HG464"/>
  <c r="HH464"/>
  <c r="HI464"/>
  <c r="HJ464"/>
  <c r="HK464"/>
  <c r="HL464"/>
  <c r="HM464"/>
  <c r="HN464"/>
  <c r="HO464"/>
  <c r="HP464"/>
  <c r="HQ464"/>
  <c r="HR464"/>
  <c r="HS464"/>
  <c r="HT464"/>
  <c r="HU464"/>
  <c r="HV464"/>
  <c r="HW464"/>
  <c r="HX464"/>
  <c r="HY464"/>
  <c r="HZ464"/>
  <c r="IA464"/>
  <c r="IB464"/>
  <c r="IC464"/>
  <c r="ID464"/>
  <c r="IE464"/>
  <c r="IF464"/>
  <c r="IG464"/>
  <c r="IH464"/>
  <c r="II464"/>
  <c r="IJ464"/>
  <c r="IK464"/>
  <c r="IL464"/>
  <c r="IM464"/>
  <c r="IN464"/>
  <c r="IO464"/>
  <c r="IP464"/>
  <c r="IQ464"/>
  <c r="IR464"/>
  <c r="IS464"/>
  <c r="IT464"/>
  <c r="IU464"/>
  <c r="IV464"/>
  <c r="A465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Z465"/>
  <c r="AA465"/>
  <c r="AB465"/>
  <c r="AC465"/>
  <c r="AD465"/>
  <c r="AE465"/>
  <c r="AF465"/>
  <c r="AG465"/>
  <c r="AH465"/>
  <c r="AI465"/>
  <c r="AJ465"/>
  <c r="AK465"/>
  <c r="AL465"/>
  <c r="AM465"/>
  <c r="AN465"/>
  <c r="AO465"/>
  <c r="AP465"/>
  <c r="AQ465"/>
  <c r="AR465"/>
  <c r="AS465"/>
  <c r="AT465"/>
  <c r="AU465"/>
  <c r="AV465"/>
  <c r="AW465"/>
  <c r="AX465"/>
  <c r="AY465"/>
  <c r="AZ465"/>
  <c r="BA465"/>
  <c r="BB465"/>
  <c r="BC465"/>
  <c r="BD465"/>
  <c r="BE465"/>
  <c r="BF465"/>
  <c r="BG465"/>
  <c r="BH465"/>
  <c r="BI465"/>
  <c r="BJ465"/>
  <c r="BK465"/>
  <c r="BL465"/>
  <c r="BM465"/>
  <c r="BN465"/>
  <c r="BO465"/>
  <c r="BP465"/>
  <c r="BQ465"/>
  <c r="BR465"/>
  <c r="BS465"/>
  <c r="BT465"/>
  <c r="BU465"/>
  <c r="BV465"/>
  <c r="BW465"/>
  <c r="BX465"/>
  <c r="BY465"/>
  <c r="BZ465"/>
  <c r="CA465"/>
  <c r="CB465"/>
  <c r="CC465"/>
  <c r="CD465"/>
  <c r="CE465"/>
  <c r="CF465"/>
  <c r="CG465"/>
  <c r="CH465"/>
  <c r="CI465"/>
  <c r="CJ465"/>
  <c r="CK465"/>
  <c r="CL465"/>
  <c r="CM465"/>
  <c r="CN465"/>
  <c r="CO465"/>
  <c r="CP465"/>
  <c r="CQ465"/>
  <c r="CR465"/>
  <c r="CS465"/>
  <c r="CT465"/>
  <c r="CU465"/>
  <c r="CV465"/>
  <c r="CW465"/>
  <c r="CX465"/>
  <c r="CY465"/>
  <c r="CZ465"/>
  <c r="DA465"/>
  <c r="DB465"/>
  <c r="DC465"/>
  <c r="DD465"/>
  <c r="DE465"/>
  <c r="DF465"/>
  <c r="DG465"/>
  <c r="DH465"/>
  <c r="DI465"/>
  <c r="DJ465"/>
  <c r="DK465"/>
  <c r="DL465"/>
  <c r="DM465"/>
  <c r="DN465"/>
  <c r="DO465"/>
  <c r="DP465"/>
  <c r="DQ465"/>
  <c r="DR465"/>
  <c r="DS465"/>
  <c r="DT465"/>
  <c r="DU465"/>
  <c r="DV465"/>
  <c r="DW465"/>
  <c r="DX465"/>
  <c r="DY465"/>
  <c r="DZ465"/>
  <c r="EA465"/>
  <c r="EB465"/>
  <c r="EC465"/>
  <c r="ED465"/>
  <c r="EE465"/>
  <c r="EF465"/>
  <c r="EG465"/>
  <c r="EH465"/>
  <c r="EI465"/>
  <c r="EJ465"/>
  <c r="EK465"/>
  <c r="EL465"/>
  <c r="EM465"/>
  <c r="EN465"/>
  <c r="EO465"/>
  <c r="EP465"/>
  <c r="EQ465"/>
  <c r="ER465"/>
  <c r="ES465"/>
  <c r="ET465"/>
  <c r="EU465"/>
  <c r="EV465"/>
  <c r="EW465"/>
  <c r="EX465"/>
  <c r="EY465"/>
  <c r="EZ465"/>
  <c r="FA465"/>
  <c r="FB465"/>
  <c r="FC465"/>
  <c r="FD465"/>
  <c r="FE465"/>
  <c r="FF465"/>
  <c r="FG465"/>
  <c r="FH465"/>
  <c r="FI465"/>
  <c r="FJ465"/>
  <c r="FK465"/>
  <c r="FL465"/>
  <c r="FM465"/>
  <c r="FN465"/>
  <c r="FO465"/>
  <c r="FP465"/>
  <c r="FQ465"/>
  <c r="FR465"/>
  <c r="FS465"/>
  <c r="FT465"/>
  <c r="FU465"/>
  <c r="FV465"/>
  <c r="FW465"/>
  <c r="FX465"/>
  <c r="FY465"/>
  <c r="FZ465"/>
  <c r="GA465"/>
  <c r="GB465"/>
  <c r="GC465"/>
  <c r="GD465"/>
  <c r="GE465"/>
  <c r="GF465"/>
  <c r="GG465"/>
  <c r="GH465"/>
  <c r="GI465"/>
  <c r="GJ465"/>
  <c r="GK465"/>
  <c r="GL465"/>
  <c r="GM465"/>
  <c r="GN465"/>
  <c r="GO465"/>
  <c r="GP465"/>
  <c r="GQ465"/>
  <c r="GR465"/>
  <c r="GS465"/>
  <c r="GT465"/>
  <c r="GU465"/>
  <c r="GV465"/>
  <c r="GW465"/>
  <c r="GX465"/>
  <c r="GY465"/>
  <c r="GZ465"/>
  <c r="HA465"/>
  <c r="HB465"/>
  <c r="HC465"/>
  <c r="HD465"/>
  <c r="HE465"/>
  <c r="HF465"/>
  <c r="HG465"/>
  <c r="HH465"/>
  <c r="HI465"/>
  <c r="HJ465"/>
  <c r="HK465"/>
  <c r="HL465"/>
  <c r="HM465"/>
  <c r="HN465"/>
  <c r="HO465"/>
  <c r="HP465"/>
  <c r="HQ465"/>
  <c r="HR465"/>
  <c r="HS465"/>
  <c r="HT465"/>
  <c r="HU465"/>
  <c r="HV465"/>
  <c r="HW465"/>
  <c r="HX465"/>
  <c r="HY465"/>
  <c r="HZ465"/>
  <c r="IA465"/>
  <c r="IB465"/>
  <c r="IC465"/>
  <c r="ID465"/>
  <c r="IE465"/>
  <c r="IF465"/>
  <c r="IG465"/>
  <c r="IH465"/>
  <c r="II465"/>
  <c r="IJ465"/>
  <c r="IK465"/>
  <c r="IL465"/>
  <c r="IM465"/>
  <c r="IN465"/>
  <c r="IO465"/>
  <c r="IP465"/>
  <c r="IQ465"/>
  <c r="IR465"/>
  <c r="IS465"/>
  <c r="IT465"/>
  <c r="IU465"/>
  <c r="IV465"/>
  <c r="A466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Z466"/>
  <c r="AA466"/>
  <c r="AB466"/>
  <c r="AC466"/>
  <c r="AD466"/>
  <c r="AE466"/>
  <c r="AF466"/>
  <c r="AG466"/>
  <c r="AH466"/>
  <c r="AI466"/>
  <c r="AJ466"/>
  <c r="AK466"/>
  <c r="AL466"/>
  <c r="AM466"/>
  <c r="AN466"/>
  <c r="AO466"/>
  <c r="AP466"/>
  <c r="AQ466"/>
  <c r="AR466"/>
  <c r="AS466"/>
  <c r="AT466"/>
  <c r="AU466"/>
  <c r="AV466"/>
  <c r="AW466"/>
  <c r="AX466"/>
  <c r="AY466"/>
  <c r="AZ466"/>
  <c r="BA466"/>
  <c r="BB466"/>
  <c r="BC466"/>
  <c r="BD466"/>
  <c r="BE466"/>
  <c r="BF466"/>
  <c r="BG466"/>
  <c r="BH466"/>
  <c r="BI466"/>
  <c r="BJ466"/>
  <c r="BK466"/>
  <c r="BL466"/>
  <c r="BM466"/>
  <c r="BN466"/>
  <c r="BO466"/>
  <c r="BP466"/>
  <c r="BQ466"/>
  <c r="BR466"/>
  <c r="BS466"/>
  <c r="BT466"/>
  <c r="BU466"/>
  <c r="BV466"/>
  <c r="BW466"/>
  <c r="BX466"/>
  <c r="BY466"/>
  <c r="BZ466"/>
  <c r="CA466"/>
  <c r="CB466"/>
  <c r="CC466"/>
  <c r="CD466"/>
  <c r="CE466"/>
  <c r="CF466"/>
  <c r="CG466"/>
  <c r="CH466"/>
  <c r="CI466"/>
  <c r="CJ466"/>
  <c r="CK466"/>
  <c r="CL466"/>
  <c r="CM466"/>
  <c r="CN466"/>
  <c r="CO466"/>
  <c r="CP466"/>
  <c r="CQ466"/>
  <c r="CR466"/>
  <c r="CS466"/>
  <c r="CT466"/>
  <c r="CU466"/>
  <c r="CV466"/>
  <c r="CW466"/>
  <c r="CX466"/>
  <c r="CY466"/>
  <c r="CZ466"/>
  <c r="DA466"/>
  <c r="DB466"/>
  <c r="DC466"/>
  <c r="DD466"/>
  <c r="DE466"/>
  <c r="DF466"/>
  <c r="DG466"/>
  <c r="DH466"/>
  <c r="DI466"/>
  <c r="DJ466"/>
  <c r="DK466"/>
  <c r="DL466"/>
  <c r="DM466"/>
  <c r="DN466"/>
  <c r="DO466"/>
  <c r="DP466"/>
  <c r="DQ466"/>
  <c r="DR466"/>
  <c r="DS466"/>
  <c r="DT466"/>
  <c r="DU466"/>
  <c r="DV466"/>
  <c r="DW466"/>
  <c r="DX466"/>
  <c r="DY466"/>
  <c r="DZ466"/>
  <c r="EA466"/>
  <c r="EB466"/>
  <c r="EC466"/>
  <c r="ED466"/>
  <c r="EE466"/>
  <c r="EF466"/>
  <c r="EG466"/>
  <c r="EH466"/>
  <c r="EI466"/>
  <c r="EJ466"/>
  <c r="EK466"/>
  <c r="EL466"/>
  <c r="EM466"/>
  <c r="EN466"/>
  <c r="EO466"/>
  <c r="EP466"/>
  <c r="EQ466"/>
  <c r="ER466"/>
  <c r="ES466"/>
  <c r="ET466"/>
  <c r="EU466"/>
  <c r="EV466"/>
  <c r="EW466"/>
  <c r="EX466"/>
  <c r="EY466"/>
  <c r="EZ466"/>
  <c r="FA466"/>
  <c r="FB466"/>
  <c r="FC466"/>
  <c r="FD466"/>
  <c r="FE466"/>
  <c r="FF466"/>
  <c r="FG466"/>
  <c r="FH466"/>
  <c r="FI466"/>
  <c r="FJ466"/>
  <c r="FK466"/>
  <c r="FL466"/>
  <c r="FM466"/>
  <c r="FN466"/>
  <c r="FO466"/>
  <c r="FP466"/>
  <c r="FQ466"/>
  <c r="FR466"/>
  <c r="FS466"/>
  <c r="FT466"/>
  <c r="FU466"/>
  <c r="FV466"/>
  <c r="FW466"/>
  <c r="FX466"/>
  <c r="FY466"/>
  <c r="FZ466"/>
  <c r="GA466"/>
  <c r="GB466"/>
  <c r="GC466"/>
  <c r="GD466"/>
  <c r="GE466"/>
  <c r="GF466"/>
  <c r="GG466"/>
  <c r="GH466"/>
  <c r="GI466"/>
  <c r="GJ466"/>
  <c r="GK466"/>
  <c r="GL466"/>
  <c r="GM466"/>
  <c r="GN466"/>
  <c r="GO466"/>
  <c r="GP466"/>
  <c r="GQ466"/>
  <c r="GR466"/>
  <c r="GS466"/>
  <c r="GT466"/>
  <c r="GU466"/>
  <c r="GV466"/>
  <c r="GW466"/>
  <c r="GX466"/>
  <c r="GY466"/>
  <c r="GZ466"/>
  <c r="HA466"/>
  <c r="HB466"/>
  <c r="HC466"/>
  <c r="HD466"/>
  <c r="HE466"/>
  <c r="HF466"/>
  <c r="HG466"/>
  <c r="HH466"/>
  <c r="HI466"/>
  <c r="HJ466"/>
  <c r="HK466"/>
  <c r="HL466"/>
  <c r="HM466"/>
  <c r="HN466"/>
  <c r="HO466"/>
  <c r="HP466"/>
  <c r="HQ466"/>
  <c r="HR466"/>
  <c r="HS466"/>
  <c r="HT466"/>
  <c r="HU466"/>
  <c r="HV466"/>
  <c r="HW466"/>
  <c r="HX466"/>
  <c r="HY466"/>
  <c r="HZ466"/>
  <c r="IA466"/>
  <c r="IB466"/>
  <c r="IC466"/>
  <c r="ID466"/>
  <c r="IE466"/>
  <c r="IF466"/>
  <c r="IG466"/>
  <c r="IH466"/>
  <c r="II466"/>
  <c r="IJ466"/>
  <c r="IK466"/>
  <c r="IL466"/>
  <c r="IM466"/>
  <c r="IN466"/>
  <c r="IO466"/>
  <c r="IP466"/>
  <c r="IQ466"/>
  <c r="IR466"/>
  <c r="IS466"/>
  <c r="IT466"/>
  <c r="IU466"/>
  <c r="IV466"/>
  <c r="A467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Z467"/>
  <c r="AA467"/>
  <c r="AB467"/>
  <c r="AC467"/>
  <c r="AD467"/>
  <c r="AE467"/>
  <c r="AF467"/>
  <c r="AG467"/>
  <c r="AH467"/>
  <c r="AI467"/>
  <c r="AJ467"/>
  <c r="AK467"/>
  <c r="AL467"/>
  <c r="AM467"/>
  <c r="AN467"/>
  <c r="AO467"/>
  <c r="AP467"/>
  <c r="AQ467"/>
  <c r="AR467"/>
  <c r="AS467"/>
  <c r="AT467"/>
  <c r="AU467"/>
  <c r="AV467"/>
  <c r="AW467"/>
  <c r="AX467"/>
  <c r="AY467"/>
  <c r="AZ467"/>
  <c r="BA467"/>
  <c r="BB467"/>
  <c r="BC467"/>
  <c r="BD467"/>
  <c r="BE467"/>
  <c r="BF467"/>
  <c r="BG467"/>
  <c r="BH467"/>
  <c r="BI467"/>
  <c r="BJ467"/>
  <c r="BK467"/>
  <c r="BL467"/>
  <c r="BM467"/>
  <c r="BN467"/>
  <c r="BO467"/>
  <c r="BP467"/>
  <c r="BQ467"/>
  <c r="BR467"/>
  <c r="BS467"/>
  <c r="BT467"/>
  <c r="BU467"/>
  <c r="BV467"/>
  <c r="BW467"/>
  <c r="BX467"/>
  <c r="BY467"/>
  <c r="BZ467"/>
  <c r="CA467"/>
  <c r="CB467"/>
  <c r="CC467"/>
  <c r="CD467"/>
  <c r="CE467"/>
  <c r="CF467"/>
  <c r="CG467"/>
  <c r="CH467"/>
  <c r="CI467"/>
  <c r="CJ467"/>
  <c r="CK467"/>
  <c r="CL467"/>
  <c r="CM467"/>
  <c r="CN467"/>
  <c r="CO467"/>
  <c r="CP467"/>
  <c r="CQ467"/>
  <c r="CR467"/>
  <c r="CS467"/>
  <c r="CT467"/>
  <c r="CU467"/>
  <c r="CV467"/>
  <c r="CW467"/>
  <c r="CX467"/>
  <c r="CY467"/>
  <c r="CZ467"/>
  <c r="DA467"/>
  <c r="DB467"/>
  <c r="DC467"/>
  <c r="DD467"/>
  <c r="DE467"/>
  <c r="DF467"/>
  <c r="DG467"/>
  <c r="DH467"/>
  <c r="DI467"/>
  <c r="DJ467"/>
  <c r="DK467"/>
  <c r="DL467"/>
  <c r="DM467"/>
  <c r="DN467"/>
  <c r="DO467"/>
  <c r="DP467"/>
  <c r="DQ467"/>
  <c r="DR467"/>
  <c r="DS467"/>
  <c r="DT467"/>
  <c r="DU467"/>
  <c r="DV467"/>
  <c r="DW467"/>
  <c r="DX467"/>
  <c r="DY467"/>
  <c r="DZ467"/>
  <c r="EA467"/>
  <c r="EB467"/>
  <c r="EC467"/>
  <c r="ED467"/>
  <c r="EE467"/>
  <c r="EF467"/>
  <c r="EG467"/>
  <c r="EH467"/>
  <c r="EI467"/>
  <c r="EJ467"/>
  <c r="EK467"/>
  <c r="EL467"/>
  <c r="EM467"/>
  <c r="EN467"/>
  <c r="EO467"/>
  <c r="EP467"/>
  <c r="EQ467"/>
  <c r="ER467"/>
  <c r="ES467"/>
  <c r="ET467"/>
  <c r="EU467"/>
  <c r="EV467"/>
  <c r="EW467"/>
  <c r="EX467"/>
  <c r="EY467"/>
  <c r="EZ467"/>
  <c r="FA467"/>
  <c r="FB467"/>
  <c r="FC467"/>
  <c r="FD467"/>
  <c r="FE467"/>
  <c r="FF467"/>
  <c r="FG467"/>
  <c r="FH467"/>
  <c r="FI467"/>
  <c r="FJ467"/>
  <c r="FK467"/>
  <c r="FL467"/>
  <c r="FM467"/>
  <c r="FN467"/>
  <c r="FO467"/>
  <c r="FP467"/>
  <c r="FQ467"/>
  <c r="FR467"/>
  <c r="FS467"/>
  <c r="FT467"/>
  <c r="FU467"/>
  <c r="FV467"/>
  <c r="FW467"/>
  <c r="FX467"/>
  <c r="FY467"/>
  <c r="FZ467"/>
  <c r="GA467"/>
  <c r="GB467"/>
  <c r="GC467"/>
  <c r="GD467"/>
  <c r="GE467"/>
  <c r="GF467"/>
  <c r="GG467"/>
  <c r="GH467"/>
  <c r="GI467"/>
  <c r="GJ467"/>
  <c r="GK467"/>
  <c r="GL467"/>
  <c r="GM467"/>
  <c r="GN467"/>
  <c r="GO467"/>
  <c r="GP467"/>
  <c r="GQ467"/>
  <c r="GR467"/>
  <c r="GS467"/>
  <c r="GT467"/>
  <c r="GU467"/>
  <c r="GV467"/>
  <c r="GW467"/>
  <c r="GX467"/>
  <c r="GY467"/>
  <c r="GZ467"/>
  <c r="HA467"/>
  <c r="HB467"/>
  <c r="HC467"/>
  <c r="HD467"/>
  <c r="HE467"/>
  <c r="HF467"/>
  <c r="HG467"/>
  <c r="HH467"/>
  <c r="HI467"/>
  <c r="HJ467"/>
  <c r="HK467"/>
  <c r="HL467"/>
  <c r="HM467"/>
  <c r="HN467"/>
  <c r="HO467"/>
  <c r="HP467"/>
  <c r="HQ467"/>
  <c r="HR467"/>
  <c r="HS467"/>
  <c r="HT467"/>
  <c r="HU467"/>
  <c r="HV467"/>
  <c r="HW467"/>
  <c r="HX467"/>
  <c r="HY467"/>
  <c r="HZ467"/>
  <c r="IA467"/>
  <c r="IB467"/>
  <c r="IC467"/>
  <c r="ID467"/>
  <c r="IE467"/>
  <c r="IF467"/>
  <c r="IG467"/>
  <c r="IH467"/>
  <c r="II467"/>
  <c r="IJ467"/>
  <c r="IK467"/>
  <c r="IL467"/>
  <c r="IM467"/>
  <c r="IN467"/>
  <c r="IO467"/>
  <c r="IP467"/>
  <c r="IQ467"/>
  <c r="IR467"/>
  <c r="IS467"/>
  <c r="IT467"/>
  <c r="IU467"/>
  <c r="IV467"/>
  <c r="A468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Z468"/>
  <c r="AA468"/>
  <c r="AB468"/>
  <c r="AC468"/>
  <c r="AD468"/>
  <c r="AE468"/>
  <c r="AF468"/>
  <c r="AG468"/>
  <c r="AH468"/>
  <c r="AI468"/>
  <c r="AJ468"/>
  <c r="AK468"/>
  <c r="AL468"/>
  <c r="AM468"/>
  <c r="AN468"/>
  <c r="AO468"/>
  <c r="AP468"/>
  <c r="AQ468"/>
  <c r="AR468"/>
  <c r="AS468"/>
  <c r="AT468"/>
  <c r="AU468"/>
  <c r="AV468"/>
  <c r="AW468"/>
  <c r="AX468"/>
  <c r="AY468"/>
  <c r="AZ468"/>
  <c r="BA468"/>
  <c r="BB468"/>
  <c r="BC468"/>
  <c r="BD468"/>
  <c r="BE468"/>
  <c r="BF468"/>
  <c r="BG468"/>
  <c r="BH468"/>
  <c r="BI468"/>
  <c r="BJ468"/>
  <c r="BK468"/>
  <c r="BL468"/>
  <c r="BM468"/>
  <c r="BN468"/>
  <c r="BO468"/>
  <c r="BP468"/>
  <c r="BQ468"/>
  <c r="BR468"/>
  <c r="BS468"/>
  <c r="BT468"/>
  <c r="BU468"/>
  <c r="BV468"/>
  <c r="BW468"/>
  <c r="BX468"/>
  <c r="BY468"/>
  <c r="BZ468"/>
  <c r="CA468"/>
  <c r="CB468"/>
  <c r="CC468"/>
  <c r="CD468"/>
  <c r="CE468"/>
  <c r="CF468"/>
  <c r="CG468"/>
  <c r="CH468"/>
  <c r="CI468"/>
  <c r="CJ468"/>
  <c r="CK468"/>
  <c r="CL468"/>
  <c r="CM468"/>
  <c r="CN468"/>
  <c r="CO468"/>
  <c r="CP468"/>
  <c r="CQ468"/>
  <c r="CR468"/>
  <c r="CS468"/>
  <c r="CT468"/>
  <c r="CU468"/>
  <c r="CV468"/>
  <c r="CW468"/>
  <c r="CX468"/>
  <c r="CY468"/>
  <c r="CZ468"/>
  <c r="DA468"/>
  <c r="DB468"/>
  <c r="DC468"/>
  <c r="DD468"/>
  <c r="DE468"/>
  <c r="DF468"/>
  <c r="DG468"/>
  <c r="DH468"/>
  <c r="DI468"/>
  <c r="DJ468"/>
  <c r="DK468"/>
  <c r="DL468"/>
  <c r="DM468"/>
  <c r="DN468"/>
  <c r="DO468"/>
  <c r="DP468"/>
  <c r="DQ468"/>
  <c r="DR468"/>
  <c r="DS468"/>
  <c r="DT468"/>
  <c r="DU468"/>
  <c r="DV468"/>
  <c r="DW468"/>
  <c r="DX468"/>
  <c r="DY468"/>
  <c r="DZ468"/>
  <c r="EA468"/>
  <c r="EB468"/>
  <c r="EC468"/>
  <c r="ED468"/>
  <c r="EE468"/>
  <c r="EF468"/>
  <c r="EG468"/>
  <c r="EH468"/>
  <c r="EI468"/>
  <c r="EJ468"/>
  <c r="EK468"/>
  <c r="EL468"/>
  <c r="EM468"/>
  <c r="EN468"/>
  <c r="EO468"/>
  <c r="EP468"/>
  <c r="EQ468"/>
  <c r="ER468"/>
  <c r="ES468"/>
  <c r="ET468"/>
  <c r="EU468"/>
  <c r="EV468"/>
  <c r="EW468"/>
  <c r="EX468"/>
  <c r="EY468"/>
  <c r="EZ468"/>
  <c r="FA468"/>
  <c r="FB468"/>
  <c r="FC468"/>
  <c r="FD468"/>
  <c r="FE468"/>
  <c r="FF468"/>
  <c r="FG468"/>
  <c r="FH468"/>
  <c r="FI468"/>
  <c r="FJ468"/>
  <c r="FK468"/>
  <c r="FL468"/>
  <c r="FM468"/>
  <c r="FN468"/>
  <c r="FO468"/>
  <c r="FP468"/>
  <c r="FQ468"/>
  <c r="FR468"/>
  <c r="FS468"/>
  <c r="FT468"/>
  <c r="FU468"/>
  <c r="FV468"/>
  <c r="FW468"/>
  <c r="FX468"/>
  <c r="FY468"/>
  <c r="FZ468"/>
  <c r="GA468"/>
  <c r="GB468"/>
  <c r="GC468"/>
  <c r="GD468"/>
  <c r="GE468"/>
  <c r="GF468"/>
  <c r="GG468"/>
  <c r="GH468"/>
  <c r="GI468"/>
  <c r="GJ468"/>
  <c r="GK468"/>
  <c r="GL468"/>
  <c r="GM468"/>
  <c r="GN468"/>
  <c r="GO468"/>
  <c r="GP468"/>
  <c r="GQ468"/>
  <c r="GR468"/>
  <c r="GS468"/>
  <c r="GT468"/>
  <c r="GU468"/>
  <c r="GV468"/>
  <c r="GW468"/>
  <c r="GX468"/>
  <c r="GY468"/>
  <c r="GZ468"/>
  <c r="HA468"/>
  <c r="HB468"/>
  <c r="HC468"/>
  <c r="HD468"/>
  <c r="HE468"/>
  <c r="HF468"/>
  <c r="HG468"/>
  <c r="HH468"/>
  <c r="HI468"/>
  <c r="HJ468"/>
  <c r="HK468"/>
  <c r="HL468"/>
  <c r="HM468"/>
  <c r="HN468"/>
  <c r="HO468"/>
  <c r="HP468"/>
  <c r="HQ468"/>
  <c r="HR468"/>
  <c r="HS468"/>
  <c r="HT468"/>
  <c r="HU468"/>
  <c r="HV468"/>
  <c r="HW468"/>
  <c r="HX468"/>
  <c r="HY468"/>
  <c r="HZ468"/>
  <c r="IA468"/>
  <c r="IB468"/>
  <c r="IC468"/>
  <c r="ID468"/>
  <c r="IE468"/>
  <c r="IF468"/>
  <c r="IG468"/>
  <c r="IH468"/>
  <c r="II468"/>
  <c r="IJ468"/>
  <c r="IK468"/>
  <c r="IL468"/>
  <c r="IM468"/>
  <c r="IN468"/>
  <c r="IO468"/>
  <c r="IP468"/>
  <c r="IQ468"/>
  <c r="IR468"/>
  <c r="IS468"/>
  <c r="IT468"/>
  <c r="IU468"/>
  <c r="IV468"/>
  <c r="A469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Z469"/>
  <c r="AA469"/>
  <c r="AB469"/>
  <c r="AC469"/>
  <c r="AD469"/>
  <c r="AE469"/>
  <c r="AF469"/>
  <c r="AG469"/>
  <c r="AH469"/>
  <c r="AI469"/>
  <c r="AJ469"/>
  <c r="AK469"/>
  <c r="AL469"/>
  <c r="AM469"/>
  <c r="AN469"/>
  <c r="AO469"/>
  <c r="AP469"/>
  <c r="AQ469"/>
  <c r="AR469"/>
  <c r="AS469"/>
  <c r="AT469"/>
  <c r="AU469"/>
  <c r="AV469"/>
  <c r="AW469"/>
  <c r="AX469"/>
  <c r="AY469"/>
  <c r="AZ469"/>
  <c r="BA469"/>
  <c r="BB469"/>
  <c r="BC469"/>
  <c r="BD469"/>
  <c r="BE469"/>
  <c r="BF469"/>
  <c r="BG469"/>
  <c r="BH469"/>
  <c r="BI469"/>
  <c r="BJ469"/>
  <c r="BK469"/>
  <c r="BL469"/>
  <c r="BM469"/>
  <c r="BN469"/>
  <c r="BO469"/>
  <c r="BP469"/>
  <c r="BQ469"/>
  <c r="BR469"/>
  <c r="BS469"/>
  <c r="BT469"/>
  <c r="BU469"/>
  <c r="BV469"/>
  <c r="BW469"/>
  <c r="BX469"/>
  <c r="BY469"/>
  <c r="BZ469"/>
  <c r="CA469"/>
  <c r="CB469"/>
  <c r="CC469"/>
  <c r="CD469"/>
  <c r="CE469"/>
  <c r="CF469"/>
  <c r="CG469"/>
  <c r="CH469"/>
  <c r="CI469"/>
  <c r="CJ469"/>
  <c r="CK469"/>
  <c r="CL469"/>
  <c r="CM469"/>
  <c r="CN469"/>
  <c r="CO469"/>
  <c r="CP469"/>
  <c r="CQ469"/>
  <c r="CR469"/>
  <c r="CS469"/>
  <c r="CT469"/>
  <c r="CU469"/>
  <c r="CV469"/>
  <c r="CW469"/>
  <c r="CX469"/>
  <c r="CY469"/>
  <c r="CZ469"/>
  <c r="DA469"/>
  <c r="DB469"/>
  <c r="DC469"/>
  <c r="DD469"/>
  <c r="DE469"/>
  <c r="DF469"/>
  <c r="DG469"/>
  <c r="DH469"/>
  <c r="DI469"/>
  <c r="DJ469"/>
  <c r="DK469"/>
  <c r="DL469"/>
  <c r="DM469"/>
  <c r="DN469"/>
  <c r="DO469"/>
  <c r="DP469"/>
  <c r="DQ469"/>
  <c r="DR469"/>
  <c r="DS469"/>
  <c r="DT469"/>
  <c r="DU469"/>
  <c r="DV469"/>
  <c r="DW469"/>
  <c r="DX469"/>
  <c r="DY469"/>
  <c r="DZ469"/>
  <c r="EA469"/>
  <c r="EB469"/>
  <c r="EC469"/>
  <c r="ED469"/>
  <c r="EE469"/>
  <c r="EF469"/>
  <c r="EG469"/>
  <c r="EH469"/>
  <c r="EI469"/>
  <c r="EJ469"/>
  <c r="EK469"/>
  <c r="EL469"/>
  <c r="EM469"/>
  <c r="EN469"/>
  <c r="EO469"/>
  <c r="EP469"/>
  <c r="EQ469"/>
  <c r="ER469"/>
  <c r="ES469"/>
  <c r="ET469"/>
  <c r="EU469"/>
  <c r="EV469"/>
  <c r="EW469"/>
  <c r="EX469"/>
  <c r="EY469"/>
  <c r="EZ469"/>
  <c r="FA469"/>
  <c r="FB469"/>
  <c r="FC469"/>
  <c r="FD469"/>
  <c r="FE469"/>
  <c r="FF469"/>
  <c r="FG469"/>
  <c r="FH469"/>
  <c r="FI469"/>
  <c r="FJ469"/>
  <c r="FK469"/>
  <c r="FL469"/>
  <c r="FM469"/>
  <c r="FN469"/>
  <c r="FO469"/>
  <c r="FP469"/>
  <c r="FQ469"/>
  <c r="FR469"/>
  <c r="FS469"/>
  <c r="FT469"/>
  <c r="FU469"/>
  <c r="FV469"/>
  <c r="FW469"/>
  <c r="FX469"/>
  <c r="FY469"/>
  <c r="FZ469"/>
  <c r="GA469"/>
  <c r="GB469"/>
  <c r="GC469"/>
  <c r="GD469"/>
  <c r="GE469"/>
  <c r="GF469"/>
  <c r="GG469"/>
  <c r="GH469"/>
  <c r="GI469"/>
  <c r="GJ469"/>
  <c r="GK469"/>
  <c r="GL469"/>
  <c r="GM469"/>
  <c r="GN469"/>
  <c r="GO469"/>
  <c r="GP469"/>
  <c r="GQ469"/>
  <c r="GR469"/>
  <c r="GS469"/>
  <c r="GT469"/>
  <c r="GU469"/>
  <c r="GV469"/>
  <c r="GW469"/>
  <c r="GX469"/>
  <c r="GY469"/>
  <c r="GZ469"/>
  <c r="HA469"/>
  <c r="HB469"/>
  <c r="HC469"/>
  <c r="HD469"/>
  <c r="HE469"/>
  <c r="HF469"/>
  <c r="HG469"/>
  <c r="HH469"/>
  <c r="HI469"/>
  <c r="HJ469"/>
  <c r="HK469"/>
  <c r="HL469"/>
  <c r="HM469"/>
  <c r="HN469"/>
  <c r="HO469"/>
  <c r="HP469"/>
  <c r="HQ469"/>
  <c r="HR469"/>
  <c r="HS469"/>
  <c r="HT469"/>
  <c r="HU469"/>
  <c r="HV469"/>
  <c r="HW469"/>
  <c r="HX469"/>
  <c r="HY469"/>
  <c r="HZ469"/>
  <c r="IA469"/>
  <c r="IB469"/>
  <c r="IC469"/>
  <c r="ID469"/>
  <c r="IE469"/>
  <c r="IF469"/>
  <c r="IG469"/>
  <c r="IH469"/>
  <c r="II469"/>
  <c r="IJ469"/>
  <c r="IK469"/>
  <c r="IL469"/>
  <c r="IM469"/>
  <c r="IN469"/>
  <c r="IO469"/>
  <c r="IP469"/>
  <c r="IQ469"/>
  <c r="IR469"/>
  <c r="IS469"/>
  <c r="IT469"/>
  <c r="IU469"/>
  <c r="IV469"/>
  <c r="A470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Z470"/>
  <c r="AA470"/>
  <c r="AB470"/>
  <c r="AC470"/>
  <c r="AD470"/>
  <c r="AE470"/>
  <c r="AF470"/>
  <c r="AG470"/>
  <c r="AH470"/>
  <c r="AI470"/>
  <c r="AJ470"/>
  <c r="AK470"/>
  <c r="AL470"/>
  <c r="AM470"/>
  <c r="AN470"/>
  <c r="AO470"/>
  <c r="AP470"/>
  <c r="AQ470"/>
  <c r="AR470"/>
  <c r="AS470"/>
  <c r="AT470"/>
  <c r="AU470"/>
  <c r="AV470"/>
  <c r="AW470"/>
  <c r="AX470"/>
  <c r="AY470"/>
  <c r="AZ470"/>
  <c r="BA470"/>
  <c r="BB470"/>
  <c r="BC470"/>
  <c r="BD470"/>
  <c r="BE470"/>
  <c r="BF470"/>
  <c r="BG470"/>
  <c r="BH470"/>
  <c r="BI470"/>
  <c r="BJ470"/>
  <c r="BK470"/>
  <c r="BL470"/>
  <c r="BM470"/>
  <c r="BN470"/>
  <c r="BO470"/>
  <c r="BP470"/>
  <c r="BQ470"/>
  <c r="BR470"/>
  <c r="BS470"/>
  <c r="BT470"/>
  <c r="BU470"/>
  <c r="BV470"/>
  <c r="BW470"/>
  <c r="BX470"/>
  <c r="BY470"/>
  <c r="BZ470"/>
  <c r="CA470"/>
  <c r="CB470"/>
  <c r="CC470"/>
  <c r="CD470"/>
  <c r="CE470"/>
  <c r="CF470"/>
  <c r="CG470"/>
  <c r="CH470"/>
  <c r="CI470"/>
  <c r="CJ470"/>
  <c r="CK470"/>
  <c r="CL470"/>
  <c r="CM470"/>
  <c r="CN470"/>
  <c r="CO470"/>
  <c r="CP470"/>
  <c r="CQ470"/>
  <c r="CR470"/>
  <c r="CS470"/>
  <c r="CT470"/>
  <c r="CU470"/>
  <c r="CV470"/>
  <c r="CW470"/>
  <c r="CX470"/>
  <c r="CY470"/>
  <c r="CZ470"/>
  <c r="DA470"/>
  <c r="DB470"/>
  <c r="DC470"/>
  <c r="DD470"/>
  <c r="DE470"/>
  <c r="DF470"/>
  <c r="DG470"/>
  <c r="DH470"/>
  <c r="DI470"/>
  <c r="DJ470"/>
  <c r="DK470"/>
  <c r="DL470"/>
  <c r="DM470"/>
  <c r="DN470"/>
  <c r="DO470"/>
  <c r="DP470"/>
  <c r="DQ470"/>
  <c r="DR470"/>
  <c r="DS470"/>
  <c r="DT470"/>
  <c r="DU470"/>
  <c r="DV470"/>
  <c r="DW470"/>
  <c r="DX470"/>
  <c r="DY470"/>
  <c r="DZ470"/>
  <c r="EA470"/>
  <c r="EB470"/>
  <c r="EC470"/>
  <c r="ED470"/>
  <c r="EE470"/>
  <c r="EF470"/>
  <c r="EG470"/>
  <c r="EH470"/>
  <c r="EI470"/>
  <c r="EJ470"/>
  <c r="EK470"/>
  <c r="EL470"/>
  <c r="EM470"/>
  <c r="EN470"/>
  <c r="EO470"/>
  <c r="EP470"/>
  <c r="EQ470"/>
  <c r="ER470"/>
  <c r="ES470"/>
  <c r="ET470"/>
  <c r="EU470"/>
  <c r="EV470"/>
  <c r="EW470"/>
  <c r="EX470"/>
  <c r="EY470"/>
  <c r="EZ470"/>
  <c r="FA470"/>
  <c r="FB470"/>
  <c r="FC470"/>
  <c r="FD470"/>
  <c r="FE470"/>
  <c r="FF470"/>
  <c r="FG470"/>
  <c r="FH470"/>
  <c r="FI470"/>
  <c r="FJ470"/>
  <c r="FK470"/>
  <c r="FL470"/>
  <c r="FM470"/>
  <c r="FN470"/>
  <c r="FO470"/>
  <c r="FP470"/>
  <c r="FQ470"/>
  <c r="FR470"/>
  <c r="FS470"/>
  <c r="FT470"/>
  <c r="FU470"/>
  <c r="FV470"/>
  <c r="FW470"/>
  <c r="FX470"/>
  <c r="FY470"/>
  <c r="FZ470"/>
  <c r="GA470"/>
  <c r="GB470"/>
  <c r="GC470"/>
  <c r="GD470"/>
  <c r="GE470"/>
  <c r="GF470"/>
  <c r="GG470"/>
  <c r="GH470"/>
  <c r="GI470"/>
  <c r="GJ470"/>
  <c r="GK470"/>
  <c r="GL470"/>
  <c r="GM470"/>
  <c r="GN470"/>
  <c r="GO470"/>
  <c r="GP470"/>
  <c r="GQ470"/>
  <c r="GR470"/>
  <c r="GS470"/>
  <c r="GT470"/>
  <c r="GU470"/>
  <c r="GV470"/>
  <c r="GW470"/>
  <c r="GX470"/>
  <c r="GY470"/>
  <c r="GZ470"/>
  <c r="HA470"/>
  <c r="HB470"/>
  <c r="HC470"/>
  <c r="HD470"/>
  <c r="HE470"/>
  <c r="HF470"/>
  <c r="HG470"/>
  <c r="HH470"/>
  <c r="HI470"/>
  <c r="HJ470"/>
  <c r="HK470"/>
  <c r="HL470"/>
  <c r="HM470"/>
  <c r="HN470"/>
  <c r="HO470"/>
  <c r="HP470"/>
  <c r="HQ470"/>
  <c r="HR470"/>
  <c r="HS470"/>
  <c r="HT470"/>
  <c r="HU470"/>
  <c r="HV470"/>
  <c r="HW470"/>
  <c r="HX470"/>
  <c r="HY470"/>
  <c r="HZ470"/>
  <c r="IA470"/>
  <c r="IB470"/>
  <c r="IC470"/>
  <c r="ID470"/>
  <c r="IE470"/>
  <c r="IF470"/>
  <c r="IG470"/>
  <c r="IH470"/>
  <c r="II470"/>
  <c r="IJ470"/>
  <c r="IK470"/>
  <c r="IL470"/>
  <c r="IM470"/>
  <c r="IN470"/>
  <c r="IO470"/>
  <c r="IP470"/>
  <c r="IQ470"/>
  <c r="IR470"/>
  <c r="IS470"/>
  <c r="IT470"/>
  <c r="IU470"/>
  <c r="IV470"/>
  <c r="A471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Z471"/>
  <c r="AA471"/>
  <c r="AB471"/>
  <c r="AC471"/>
  <c r="AD471"/>
  <c r="AE471"/>
  <c r="AF471"/>
  <c r="AG471"/>
  <c r="AH471"/>
  <c r="AI471"/>
  <c r="AJ471"/>
  <c r="AK471"/>
  <c r="AL471"/>
  <c r="AM471"/>
  <c r="AN471"/>
  <c r="AO471"/>
  <c r="AP471"/>
  <c r="AQ471"/>
  <c r="AR471"/>
  <c r="AS471"/>
  <c r="AT471"/>
  <c r="AU471"/>
  <c r="AV471"/>
  <c r="AW471"/>
  <c r="AX471"/>
  <c r="AY471"/>
  <c r="AZ471"/>
  <c r="BA471"/>
  <c r="BB471"/>
  <c r="BC471"/>
  <c r="BD471"/>
  <c r="BE471"/>
  <c r="BF471"/>
  <c r="BG471"/>
  <c r="BH471"/>
  <c r="BI471"/>
  <c r="BJ471"/>
  <c r="BK471"/>
  <c r="BL471"/>
  <c r="BM471"/>
  <c r="BN471"/>
  <c r="BO471"/>
  <c r="BP471"/>
  <c r="BQ471"/>
  <c r="BR471"/>
  <c r="BS471"/>
  <c r="BT471"/>
  <c r="BU471"/>
  <c r="BV471"/>
  <c r="BW471"/>
  <c r="BX471"/>
  <c r="BY471"/>
  <c r="BZ471"/>
  <c r="CA471"/>
  <c r="CB471"/>
  <c r="CC471"/>
  <c r="CD471"/>
  <c r="CE471"/>
  <c r="CF471"/>
  <c r="CG471"/>
  <c r="CH471"/>
  <c r="CI471"/>
  <c r="CJ471"/>
  <c r="CK471"/>
  <c r="CL471"/>
  <c r="CM471"/>
  <c r="CN471"/>
  <c r="CO471"/>
  <c r="CP471"/>
  <c r="CQ471"/>
  <c r="CR471"/>
  <c r="CS471"/>
  <c r="CT471"/>
  <c r="CU471"/>
  <c r="CV471"/>
  <c r="CW471"/>
  <c r="CX471"/>
  <c r="CY471"/>
  <c r="CZ471"/>
  <c r="DA471"/>
  <c r="DB471"/>
  <c r="DC471"/>
  <c r="DD471"/>
  <c r="DE471"/>
  <c r="DF471"/>
  <c r="DG471"/>
  <c r="DH471"/>
  <c r="DI471"/>
  <c r="DJ471"/>
  <c r="DK471"/>
  <c r="DL471"/>
  <c r="DM471"/>
  <c r="DN471"/>
  <c r="DO471"/>
  <c r="DP471"/>
  <c r="DQ471"/>
  <c r="DR471"/>
  <c r="DS471"/>
  <c r="DT471"/>
  <c r="DU471"/>
  <c r="DV471"/>
  <c r="DW471"/>
  <c r="DX471"/>
  <c r="DY471"/>
  <c r="DZ471"/>
  <c r="EA471"/>
  <c r="EB471"/>
  <c r="EC471"/>
  <c r="ED471"/>
  <c r="EE471"/>
  <c r="EF471"/>
  <c r="EG471"/>
  <c r="EH471"/>
  <c r="EI471"/>
  <c r="EJ471"/>
  <c r="EK471"/>
  <c r="EL471"/>
  <c r="EM471"/>
  <c r="EN471"/>
  <c r="EO471"/>
  <c r="EP471"/>
  <c r="EQ471"/>
  <c r="ER471"/>
  <c r="ES471"/>
  <c r="ET471"/>
  <c r="EU471"/>
  <c r="EV471"/>
  <c r="EW471"/>
  <c r="EX471"/>
  <c r="EY471"/>
  <c r="EZ471"/>
  <c r="FA471"/>
  <c r="FB471"/>
  <c r="FC471"/>
  <c r="FD471"/>
  <c r="FE471"/>
  <c r="FF471"/>
  <c r="FG471"/>
  <c r="FH471"/>
  <c r="FI471"/>
  <c r="FJ471"/>
  <c r="FK471"/>
  <c r="FL471"/>
  <c r="FM471"/>
  <c r="FN471"/>
  <c r="FO471"/>
  <c r="FP471"/>
  <c r="FQ471"/>
  <c r="FR471"/>
  <c r="FS471"/>
  <c r="FT471"/>
  <c r="FU471"/>
  <c r="FV471"/>
  <c r="FW471"/>
  <c r="FX471"/>
  <c r="FY471"/>
  <c r="FZ471"/>
  <c r="GA471"/>
  <c r="GB471"/>
  <c r="GC471"/>
  <c r="GD471"/>
  <c r="GE471"/>
  <c r="GF471"/>
  <c r="GG471"/>
  <c r="GH471"/>
  <c r="GI471"/>
  <c r="GJ471"/>
  <c r="GK471"/>
  <c r="GL471"/>
  <c r="GM471"/>
  <c r="GN471"/>
  <c r="GO471"/>
  <c r="GP471"/>
  <c r="GQ471"/>
  <c r="GR471"/>
  <c r="GS471"/>
  <c r="GT471"/>
  <c r="GU471"/>
  <c r="GV471"/>
  <c r="GW471"/>
  <c r="GX471"/>
  <c r="GY471"/>
  <c r="GZ471"/>
  <c r="HA471"/>
  <c r="HB471"/>
  <c r="HC471"/>
  <c r="HD471"/>
  <c r="HE471"/>
  <c r="HF471"/>
  <c r="HG471"/>
  <c r="HH471"/>
  <c r="HI471"/>
  <c r="HJ471"/>
  <c r="HK471"/>
  <c r="HL471"/>
  <c r="HM471"/>
  <c r="HN471"/>
  <c r="HO471"/>
  <c r="HP471"/>
  <c r="HQ471"/>
  <c r="HR471"/>
  <c r="HS471"/>
  <c r="HT471"/>
  <c r="HU471"/>
  <c r="HV471"/>
  <c r="HW471"/>
  <c r="HX471"/>
  <c r="HY471"/>
  <c r="HZ471"/>
  <c r="IA471"/>
  <c r="IB471"/>
  <c r="IC471"/>
  <c r="ID471"/>
  <c r="IE471"/>
  <c r="IF471"/>
  <c r="IG471"/>
  <c r="IH471"/>
  <c r="II471"/>
  <c r="IJ471"/>
  <c r="IK471"/>
  <c r="IL471"/>
  <c r="IM471"/>
  <c r="IN471"/>
  <c r="IO471"/>
  <c r="IP471"/>
  <c r="IQ471"/>
  <c r="IR471"/>
  <c r="IS471"/>
  <c r="IT471"/>
  <c r="IU471"/>
  <c r="IV471"/>
  <c r="A472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Z472"/>
  <c r="AA472"/>
  <c r="AB472"/>
  <c r="AC472"/>
  <c r="AD472"/>
  <c r="AE472"/>
  <c r="AF472"/>
  <c r="AG472"/>
  <c r="AH472"/>
  <c r="AI472"/>
  <c r="AJ472"/>
  <c r="AK472"/>
  <c r="AL472"/>
  <c r="AM472"/>
  <c r="AN472"/>
  <c r="AO472"/>
  <c r="AP472"/>
  <c r="AQ472"/>
  <c r="AR472"/>
  <c r="AS472"/>
  <c r="AT472"/>
  <c r="AU472"/>
  <c r="AV472"/>
  <c r="AW472"/>
  <c r="AX472"/>
  <c r="AY472"/>
  <c r="AZ472"/>
  <c r="BA472"/>
  <c r="BB472"/>
  <c r="BC472"/>
  <c r="BD472"/>
  <c r="BE472"/>
  <c r="BF472"/>
  <c r="BG472"/>
  <c r="BH472"/>
  <c r="BI472"/>
  <c r="BJ472"/>
  <c r="BK472"/>
  <c r="BL472"/>
  <c r="BM472"/>
  <c r="BN472"/>
  <c r="BO472"/>
  <c r="BP472"/>
  <c r="BQ472"/>
  <c r="BR472"/>
  <c r="BS472"/>
  <c r="BT472"/>
  <c r="BU472"/>
  <c r="BV472"/>
  <c r="BW472"/>
  <c r="BX472"/>
  <c r="BY472"/>
  <c r="BZ472"/>
  <c r="CA472"/>
  <c r="CB472"/>
  <c r="CC472"/>
  <c r="CD472"/>
  <c r="CE472"/>
  <c r="CF472"/>
  <c r="CG472"/>
  <c r="CH472"/>
  <c r="CI472"/>
  <c r="CJ472"/>
  <c r="CK472"/>
  <c r="CL472"/>
  <c r="CM472"/>
  <c r="CN472"/>
  <c r="CO472"/>
  <c r="CP472"/>
  <c r="CQ472"/>
  <c r="CR472"/>
  <c r="CS472"/>
  <c r="CT472"/>
  <c r="CU472"/>
  <c r="CV472"/>
  <c r="CW472"/>
  <c r="CX472"/>
  <c r="CY472"/>
  <c r="CZ472"/>
  <c r="DA472"/>
  <c r="DB472"/>
  <c r="DC472"/>
  <c r="DD472"/>
  <c r="DE472"/>
  <c r="DF472"/>
  <c r="DG472"/>
  <c r="DH472"/>
  <c r="DI472"/>
  <c r="DJ472"/>
  <c r="DK472"/>
  <c r="DL472"/>
  <c r="DM472"/>
  <c r="DN472"/>
  <c r="DO472"/>
  <c r="DP472"/>
  <c r="DQ472"/>
  <c r="DR472"/>
  <c r="DS472"/>
  <c r="DT472"/>
  <c r="DU472"/>
  <c r="DV472"/>
  <c r="DW472"/>
  <c r="DX472"/>
  <c r="DY472"/>
  <c r="DZ472"/>
  <c r="EA472"/>
  <c r="EB472"/>
  <c r="EC472"/>
  <c r="ED472"/>
  <c r="EE472"/>
  <c r="EF472"/>
  <c r="EG472"/>
  <c r="EH472"/>
  <c r="EI472"/>
  <c r="EJ472"/>
  <c r="EK472"/>
  <c r="EL472"/>
  <c r="EM472"/>
  <c r="EN472"/>
  <c r="EO472"/>
  <c r="EP472"/>
  <c r="EQ472"/>
  <c r="ER472"/>
  <c r="ES472"/>
  <c r="ET472"/>
  <c r="EU472"/>
  <c r="EV472"/>
  <c r="EW472"/>
  <c r="EX472"/>
  <c r="EY472"/>
  <c r="EZ472"/>
  <c r="FA472"/>
  <c r="FB472"/>
  <c r="FC472"/>
  <c r="FD472"/>
  <c r="FE472"/>
  <c r="FF472"/>
  <c r="FG472"/>
  <c r="FH472"/>
  <c r="FI472"/>
  <c r="FJ472"/>
  <c r="FK472"/>
  <c r="FL472"/>
  <c r="FM472"/>
  <c r="FN472"/>
  <c r="FO472"/>
  <c r="FP472"/>
  <c r="FQ472"/>
  <c r="FR472"/>
  <c r="FS472"/>
  <c r="FT472"/>
  <c r="FU472"/>
  <c r="FV472"/>
  <c r="FW472"/>
  <c r="FX472"/>
  <c r="FY472"/>
  <c r="FZ472"/>
  <c r="GA472"/>
  <c r="GB472"/>
  <c r="GC472"/>
  <c r="GD472"/>
  <c r="GE472"/>
  <c r="GF472"/>
  <c r="GG472"/>
  <c r="GH472"/>
  <c r="GI472"/>
  <c r="GJ472"/>
  <c r="GK472"/>
  <c r="GL472"/>
  <c r="GM472"/>
  <c r="GN472"/>
  <c r="GO472"/>
  <c r="GP472"/>
  <c r="GQ472"/>
  <c r="GR472"/>
  <c r="GS472"/>
  <c r="GT472"/>
  <c r="GU472"/>
  <c r="GV472"/>
  <c r="GW472"/>
  <c r="GX472"/>
  <c r="GY472"/>
  <c r="GZ472"/>
  <c r="HA472"/>
  <c r="HB472"/>
  <c r="HC472"/>
  <c r="HD472"/>
  <c r="HE472"/>
  <c r="HF472"/>
  <c r="HG472"/>
  <c r="HH472"/>
  <c r="HI472"/>
  <c r="HJ472"/>
  <c r="HK472"/>
  <c r="HL472"/>
  <c r="HM472"/>
  <c r="HN472"/>
  <c r="HO472"/>
  <c r="HP472"/>
  <c r="HQ472"/>
  <c r="HR472"/>
  <c r="HS472"/>
  <c r="HT472"/>
  <c r="HU472"/>
  <c r="HV472"/>
  <c r="HW472"/>
  <c r="HX472"/>
  <c r="HY472"/>
  <c r="HZ472"/>
  <c r="IA472"/>
  <c r="IB472"/>
  <c r="IC472"/>
  <c r="ID472"/>
  <c r="IE472"/>
  <c r="IF472"/>
  <c r="IG472"/>
  <c r="IH472"/>
  <c r="II472"/>
  <c r="IJ472"/>
  <c r="IK472"/>
  <c r="IL472"/>
  <c r="IM472"/>
  <c r="IN472"/>
  <c r="IO472"/>
  <c r="IP472"/>
  <c r="IQ472"/>
  <c r="IR472"/>
  <c r="IS472"/>
  <c r="IT472"/>
  <c r="IU472"/>
  <c r="IV472"/>
  <c r="A473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Z473"/>
  <c r="AA473"/>
  <c r="AB473"/>
  <c r="AC473"/>
  <c r="AD473"/>
  <c r="AE473"/>
  <c r="AF473"/>
  <c r="AG473"/>
  <c r="AH473"/>
  <c r="AI473"/>
  <c r="AJ473"/>
  <c r="AK473"/>
  <c r="AL473"/>
  <c r="AM473"/>
  <c r="AN473"/>
  <c r="AO473"/>
  <c r="AP473"/>
  <c r="AQ473"/>
  <c r="AR473"/>
  <c r="AS473"/>
  <c r="AT473"/>
  <c r="AU473"/>
  <c r="AV473"/>
  <c r="AW473"/>
  <c r="AX473"/>
  <c r="AY473"/>
  <c r="AZ473"/>
  <c r="BA473"/>
  <c r="BB473"/>
  <c r="BC473"/>
  <c r="BD473"/>
  <c r="BE473"/>
  <c r="BF473"/>
  <c r="BG473"/>
  <c r="BH473"/>
  <c r="BI473"/>
  <c r="BJ473"/>
  <c r="BK473"/>
  <c r="BL473"/>
  <c r="BM473"/>
  <c r="BN473"/>
  <c r="BO473"/>
  <c r="BP473"/>
  <c r="BQ473"/>
  <c r="BR473"/>
  <c r="BS473"/>
  <c r="BT473"/>
  <c r="BU473"/>
  <c r="BV473"/>
  <c r="BW473"/>
  <c r="BX473"/>
  <c r="BY473"/>
  <c r="BZ473"/>
  <c r="CA473"/>
  <c r="CB473"/>
  <c r="CC473"/>
  <c r="CD473"/>
  <c r="CE473"/>
  <c r="CF473"/>
  <c r="CG473"/>
  <c r="CH473"/>
  <c r="CI473"/>
  <c r="CJ473"/>
  <c r="CK473"/>
  <c r="CL473"/>
  <c r="CM473"/>
  <c r="CN473"/>
  <c r="CO473"/>
  <c r="CP473"/>
  <c r="CQ473"/>
  <c r="CR473"/>
  <c r="CS473"/>
  <c r="CT473"/>
  <c r="CU473"/>
  <c r="CV473"/>
  <c r="CW473"/>
  <c r="CX473"/>
  <c r="CY473"/>
  <c r="CZ473"/>
  <c r="DA473"/>
  <c r="DB473"/>
  <c r="DC473"/>
  <c r="DD473"/>
  <c r="DE473"/>
  <c r="DF473"/>
  <c r="DG473"/>
  <c r="DH473"/>
  <c r="DI473"/>
  <c r="DJ473"/>
  <c r="DK473"/>
  <c r="DL473"/>
  <c r="DM473"/>
  <c r="DN473"/>
  <c r="DO473"/>
  <c r="DP473"/>
  <c r="DQ473"/>
  <c r="DR473"/>
  <c r="DS473"/>
  <c r="DT473"/>
  <c r="DU473"/>
  <c r="DV473"/>
  <c r="DW473"/>
  <c r="DX473"/>
  <c r="DY473"/>
  <c r="DZ473"/>
  <c r="EA473"/>
  <c r="EB473"/>
  <c r="EC473"/>
  <c r="ED473"/>
  <c r="EE473"/>
  <c r="EF473"/>
  <c r="EG473"/>
  <c r="EH473"/>
  <c r="EI473"/>
  <c r="EJ473"/>
  <c r="EK473"/>
  <c r="EL473"/>
  <c r="EM473"/>
  <c r="EN473"/>
  <c r="EO473"/>
  <c r="EP473"/>
  <c r="EQ473"/>
  <c r="ER473"/>
  <c r="ES473"/>
  <c r="ET473"/>
  <c r="EU473"/>
  <c r="EV473"/>
  <c r="EW473"/>
  <c r="EX473"/>
  <c r="EY473"/>
  <c r="EZ473"/>
  <c r="FA473"/>
  <c r="FB473"/>
  <c r="FC473"/>
  <c r="FD473"/>
  <c r="FE473"/>
  <c r="FF473"/>
  <c r="FG473"/>
  <c r="FH473"/>
  <c r="FI473"/>
  <c r="FJ473"/>
  <c r="FK473"/>
  <c r="FL473"/>
  <c r="FM473"/>
  <c r="FN473"/>
  <c r="FO473"/>
  <c r="FP473"/>
  <c r="FQ473"/>
  <c r="FR473"/>
  <c r="FS473"/>
  <c r="FT473"/>
  <c r="FU473"/>
  <c r="FV473"/>
  <c r="FW473"/>
  <c r="FX473"/>
  <c r="FY473"/>
  <c r="FZ473"/>
  <c r="GA473"/>
  <c r="GB473"/>
  <c r="GC473"/>
  <c r="GD473"/>
  <c r="GE473"/>
  <c r="GF473"/>
  <c r="GG473"/>
  <c r="GH473"/>
  <c r="GI473"/>
  <c r="GJ473"/>
  <c r="GK473"/>
  <c r="GL473"/>
  <c r="GM473"/>
  <c r="GN473"/>
  <c r="GO473"/>
  <c r="GP473"/>
  <c r="GQ473"/>
  <c r="GR473"/>
  <c r="GS473"/>
  <c r="GT473"/>
  <c r="GU473"/>
  <c r="GV473"/>
  <c r="GW473"/>
  <c r="GX473"/>
  <c r="GY473"/>
  <c r="GZ473"/>
  <c r="HA473"/>
  <c r="HB473"/>
  <c r="HC473"/>
  <c r="HD473"/>
  <c r="HE473"/>
  <c r="HF473"/>
  <c r="HG473"/>
  <c r="HH473"/>
  <c r="HI473"/>
  <c r="HJ473"/>
  <c r="HK473"/>
  <c r="HL473"/>
  <c r="HM473"/>
  <c r="HN473"/>
  <c r="HO473"/>
  <c r="HP473"/>
  <c r="HQ473"/>
  <c r="HR473"/>
  <c r="HS473"/>
  <c r="HT473"/>
  <c r="HU473"/>
  <c r="HV473"/>
  <c r="HW473"/>
  <c r="HX473"/>
  <c r="HY473"/>
  <c r="HZ473"/>
  <c r="IA473"/>
  <c r="IB473"/>
  <c r="IC473"/>
  <c r="ID473"/>
  <c r="IE473"/>
  <c r="IF473"/>
  <c r="IG473"/>
  <c r="IH473"/>
  <c r="II473"/>
  <c r="IJ473"/>
  <c r="IK473"/>
  <c r="IL473"/>
  <c r="IM473"/>
  <c r="IN473"/>
  <c r="IO473"/>
  <c r="IP473"/>
  <c r="IQ473"/>
  <c r="IR473"/>
  <c r="IS473"/>
  <c r="IT473"/>
  <c r="IU473"/>
  <c r="IV473"/>
  <c r="A474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Z474"/>
  <c r="AA474"/>
  <c r="AB474"/>
  <c r="AC474"/>
  <c r="AD474"/>
  <c r="AE474"/>
  <c r="AF474"/>
  <c r="AG474"/>
  <c r="AH474"/>
  <c r="AI474"/>
  <c r="AJ474"/>
  <c r="AK474"/>
  <c r="AL474"/>
  <c r="AM474"/>
  <c r="AN474"/>
  <c r="AO474"/>
  <c r="AP474"/>
  <c r="AQ474"/>
  <c r="AR474"/>
  <c r="AS474"/>
  <c r="AT474"/>
  <c r="AU474"/>
  <c r="AV474"/>
  <c r="AW474"/>
  <c r="AX474"/>
  <c r="AY474"/>
  <c r="AZ474"/>
  <c r="BA474"/>
  <c r="BB474"/>
  <c r="BC474"/>
  <c r="BD474"/>
  <c r="BE474"/>
  <c r="BF474"/>
  <c r="BG474"/>
  <c r="BH474"/>
  <c r="BI474"/>
  <c r="BJ474"/>
  <c r="BK474"/>
  <c r="BL474"/>
  <c r="BM474"/>
  <c r="BN474"/>
  <c r="BO474"/>
  <c r="BP474"/>
  <c r="BQ474"/>
  <c r="BR474"/>
  <c r="BS474"/>
  <c r="BT474"/>
  <c r="BU474"/>
  <c r="BV474"/>
  <c r="BW474"/>
  <c r="BX474"/>
  <c r="BY474"/>
  <c r="BZ474"/>
  <c r="CA474"/>
  <c r="CB474"/>
  <c r="CC474"/>
  <c r="CD474"/>
  <c r="CE474"/>
  <c r="CF474"/>
  <c r="CG474"/>
  <c r="CH474"/>
  <c r="CI474"/>
  <c r="CJ474"/>
  <c r="CK474"/>
  <c r="CL474"/>
  <c r="CM474"/>
  <c r="CN474"/>
  <c r="CO474"/>
  <c r="CP474"/>
  <c r="CQ474"/>
  <c r="CR474"/>
  <c r="CS474"/>
  <c r="CT474"/>
  <c r="CU474"/>
  <c r="CV474"/>
  <c r="CW474"/>
  <c r="CX474"/>
  <c r="CY474"/>
  <c r="CZ474"/>
  <c r="DA474"/>
  <c r="DB474"/>
  <c r="DC474"/>
  <c r="DD474"/>
  <c r="DE474"/>
  <c r="DF474"/>
  <c r="DG474"/>
  <c r="DH474"/>
  <c r="DI474"/>
  <c r="DJ474"/>
  <c r="DK474"/>
  <c r="DL474"/>
  <c r="DM474"/>
  <c r="DN474"/>
  <c r="DO474"/>
  <c r="DP474"/>
  <c r="DQ474"/>
  <c r="DR474"/>
  <c r="DS474"/>
  <c r="DT474"/>
  <c r="DU474"/>
  <c r="DV474"/>
  <c r="DW474"/>
  <c r="DX474"/>
  <c r="DY474"/>
  <c r="DZ474"/>
  <c r="EA474"/>
  <c r="EB474"/>
  <c r="EC474"/>
  <c r="ED474"/>
  <c r="EE474"/>
  <c r="EF474"/>
  <c r="EG474"/>
  <c r="EH474"/>
  <c r="EI474"/>
  <c r="EJ474"/>
  <c r="EK474"/>
  <c r="EL474"/>
  <c r="EM474"/>
  <c r="EN474"/>
  <c r="EO474"/>
  <c r="EP474"/>
  <c r="EQ474"/>
  <c r="ER474"/>
  <c r="ES474"/>
  <c r="ET474"/>
  <c r="EU474"/>
  <c r="EV474"/>
  <c r="EW474"/>
  <c r="EX474"/>
  <c r="EY474"/>
  <c r="EZ474"/>
  <c r="FA474"/>
  <c r="FB474"/>
  <c r="FC474"/>
  <c r="FD474"/>
  <c r="FE474"/>
  <c r="FF474"/>
  <c r="FG474"/>
  <c r="FH474"/>
  <c r="FI474"/>
  <c r="FJ474"/>
  <c r="FK474"/>
  <c r="FL474"/>
  <c r="FM474"/>
  <c r="FN474"/>
  <c r="FO474"/>
  <c r="FP474"/>
  <c r="FQ474"/>
  <c r="FR474"/>
  <c r="FS474"/>
  <c r="FT474"/>
  <c r="FU474"/>
  <c r="FV474"/>
  <c r="FW474"/>
  <c r="FX474"/>
  <c r="FY474"/>
  <c r="FZ474"/>
  <c r="GA474"/>
  <c r="GB474"/>
  <c r="GC474"/>
  <c r="GD474"/>
  <c r="GE474"/>
  <c r="GF474"/>
  <c r="GG474"/>
  <c r="GH474"/>
  <c r="GI474"/>
  <c r="GJ474"/>
  <c r="GK474"/>
  <c r="GL474"/>
  <c r="GM474"/>
  <c r="GN474"/>
  <c r="GO474"/>
  <c r="GP474"/>
  <c r="GQ474"/>
  <c r="GR474"/>
  <c r="GS474"/>
  <c r="GT474"/>
  <c r="GU474"/>
  <c r="GV474"/>
  <c r="GW474"/>
  <c r="GX474"/>
  <c r="GY474"/>
  <c r="GZ474"/>
  <c r="HA474"/>
  <c r="HB474"/>
  <c r="HC474"/>
  <c r="HD474"/>
  <c r="HE474"/>
  <c r="HF474"/>
  <c r="HG474"/>
  <c r="HH474"/>
  <c r="HI474"/>
  <c r="HJ474"/>
  <c r="HK474"/>
  <c r="HL474"/>
  <c r="HM474"/>
  <c r="HN474"/>
  <c r="HO474"/>
  <c r="HP474"/>
  <c r="HQ474"/>
  <c r="HR474"/>
  <c r="HS474"/>
  <c r="HT474"/>
  <c r="HU474"/>
  <c r="HV474"/>
  <c r="HW474"/>
  <c r="HX474"/>
  <c r="HY474"/>
  <c r="HZ474"/>
  <c r="IA474"/>
  <c r="IB474"/>
  <c r="IC474"/>
  <c r="ID474"/>
  <c r="IE474"/>
  <c r="IF474"/>
  <c r="IG474"/>
  <c r="IH474"/>
  <c r="II474"/>
  <c r="IJ474"/>
  <c r="IK474"/>
  <c r="IL474"/>
  <c r="IM474"/>
  <c r="IN474"/>
  <c r="IO474"/>
  <c r="IP474"/>
  <c r="IQ474"/>
  <c r="IR474"/>
  <c r="IS474"/>
  <c r="IT474"/>
  <c r="IU474"/>
  <c r="IV474"/>
  <c r="A475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Z475"/>
  <c r="AA475"/>
  <c r="AB475"/>
  <c r="AC475"/>
  <c r="AD475"/>
  <c r="AE475"/>
  <c r="AF475"/>
  <c r="AG475"/>
  <c r="AH475"/>
  <c r="AI475"/>
  <c r="AJ475"/>
  <c r="AK475"/>
  <c r="AL475"/>
  <c r="AM475"/>
  <c r="AN475"/>
  <c r="AO475"/>
  <c r="AP475"/>
  <c r="AQ475"/>
  <c r="AR475"/>
  <c r="AS475"/>
  <c r="AT475"/>
  <c r="AU475"/>
  <c r="AV475"/>
  <c r="AW475"/>
  <c r="AX475"/>
  <c r="AY475"/>
  <c r="AZ475"/>
  <c r="BA475"/>
  <c r="BB475"/>
  <c r="BC475"/>
  <c r="BD475"/>
  <c r="BE475"/>
  <c r="BF475"/>
  <c r="BG475"/>
  <c r="BH475"/>
  <c r="BI475"/>
  <c r="BJ475"/>
  <c r="BK475"/>
  <c r="BL475"/>
  <c r="BM475"/>
  <c r="BN475"/>
  <c r="BO475"/>
  <c r="BP475"/>
  <c r="BQ475"/>
  <c r="BR475"/>
  <c r="BS475"/>
  <c r="BT475"/>
  <c r="BU475"/>
  <c r="BV475"/>
  <c r="BW475"/>
  <c r="BX475"/>
  <c r="BY475"/>
  <c r="BZ475"/>
  <c r="CA475"/>
  <c r="CB475"/>
  <c r="CC475"/>
  <c r="CD475"/>
  <c r="CE475"/>
  <c r="CF475"/>
  <c r="CG475"/>
  <c r="CH475"/>
  <c r="CI475"/>
  <c r="CJ475"/>
  <c r="CK475"/>
  <c r="CL475"/>
  <c r="CM475"/>
  <c r="CN475"/>
  <c r="CO475"/>
  <c r="CP475"/>
  <c r="CQ475"/>
  <c r="CR475"/>
  <c r="CS475"/>
  <c r="CT475"/>
  <c r="CU475"/>
  <c r="CV475"/>
  <c r="CW475"/>
  <c r="CX475"/>
  <c r="CY475"/>
  <c r="CZ475"/>
  <c r="DA475"/>
  <c r="DB475"/>
  <c r="DC475"/>
  <c r="DD475"/>
  <c r="DE475"/>
  <c r="DF475"/>
  <c r="DG475"/>
  <c r="DH475"/>
  <c r="DI475"/>
  <c r="DJ475"/>
  <c r="DK475"/>
  <c r="DL475"/>
  <c r="DM475"/>
  <c r="DN475"/>
  <c r="DO475"/>
  <c r="DP475"/>
  <c r="DQ475"/>
  <c r="DR475"/>
  <c r="DS475"/>
  <c r="DT475"/>
  <c r="DU475"/>
  <c r="DV475"/>
  <c r="DW475"/>
  <c r="DX475"/>
  <c r="DY475"/>
  <c r="DZ475"/>
  <c r="EA475"/>
  <c r="EB475"/>
  <c r="EC475"/>
  <c r="ED475"/>
  <c r="EE475"/>
  <c r="EF475"/>
  <c r="EG475"/>
  <c r="EH475"/>
  <c r="EI475"/>
  <c r="EJ475"/>
  <c r="EK475"/>
  <c r="EL475"/>
  <c r="EM475"/>
  <c r="EN475"/>
  <c r="EO475"/>
  <c r="EP475"/>
  <c r="EQ475"/>
  <c r="ER475"/>
  <c r="ES475"/>
  <c r="ET475"/>
  <c r="EU475"/>
  <c r="EV475"/>
  <c r="EW475"/>
  <c r="EX475"/>
  <c r="EY475"/>
  <c r="EZ475"/>
  <c r="FA475"/>
  <c r="FB475"/>
  <c r="FC475"/>
  <c r="FD475"/>
  <c r="FE475"/>
  <c r="FF475"/>
  <c r="FG475"/>
  <c r="FH475"/>
  <c r="FI475"/>
  <c r="FJ475"/>
  <c r="FK475"/>
  <c r="FL475"/>
  <c r="FM475"/>
  <c r="FN475"/>
  <c r="FO475"/>
  <c r="FP475"/>
  <c r="FQ475"/>
  <c r="FR475"/>
  <c r="FS475"/>
  <c r="FT475"/>
  <c r="FU475"/>
  <c r="FV475"/>
  <c r="FW475"/>
  <c r="FX475"/>
  <c r="FY475"/>
  <c r="FZ475"/>
  <c r="GA475"/>
  <c r="GB475"/>
  <c r="GC475"/>
  <c r="GD475"/>
  <c r="GE475"/>
  <c r="GF475"/>
  <c r="GG475"/>
  <c r="GH475"/>
  <c r="GI475"/>
  <c r="GJ475"/>
  <c r="GK475"/>
  <c r="GL475"/>
  <c r="GM475"/>
  <c r="GN475"/>
  <c r="GO475"/>
  <c r="GP475"/>
  <c r="GQ475"/>
  <c r="GR475"/>
  <c r="GS475"/>
  <c r="GT475"/>
  <c r="GU475"/>
  <c r="GV475"/>
  <c r="GW475"/>
  <c r="GX475"/>
  <c r="GY475"/>
  <c r="GZ475"/>
  <c r="HA475"/>
  <c r="HB475"/>
  <c r="HC475"/>
  <c r="HD475"/>
  <c r="HE475"/>
  <c r="HF475"/>
  <c r="HG475"/>
  <c r="HH475"/>
  <c r="HI475"/>
  <c r="HJ475"/>
  <c r="HK475"/>
  <c r="HL475"/>
  <c r="HM475"/>
  <c r="HN475"/>
  <c r="HO475"/>
  <c r="HP475"/>
  <c r="HQ475"/>
  <c r="HR475"/>
  <c r="HS475"/>
  <c r="HT475"/>
  <c r="HU475"/>
  <c r="HV475"/>
  <c r="HW475"/>
  <c r="HX475"/>
  <c r="HY475"/>
  <c r="HZ475"/>
  <c r="IA475"/>
  <c r="IB475"/>
  <c r="IC475"/>
  <c r="ID475"/>
  <c r="IE475"/>
  <c r="IF475"/>
  <c r="IG475"/>
  <c r="IH475"/>
  <c r="II475"/>
  <c r="IJ475"/>
  <c r="IK475"/>
  <c r="IL475"/>
  <c r="IM475"/>
  <c r="IN475"/>
  <c r="IO475"/>
  <c r="IP475"/>
  <c r="IQ475"/>
  <c r="IR475"/>
  <c r="IS475"/>
  <c r="IT475"/>
  <c r="IU475"/>
  <c r="IV475"/>
  <c r="A476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Z476"/>
  <c r="AA476"/>
  <c r="AB476"/>
  <c r="AC476"/>
  <c r="AD476"/>
  <c r="AE476"/>
  <c r="AF476"/>
  <c r="AG476"/>
  <c r="AH476"/>
  <c r="AI476"/>
  <c r="AJ476"/>
  <c r="AK476"/>
  <c r="AL476"/>
  <c r="AM476"/>
  <c r="AN476"/>
  <c r="AO476"/>
  <c r="AP476"/>
  <c r="AQ476"/>
  <c r="AR476"/>
  <c r="AS476"/>
  <c r="AT476"/>
  <c r="AU476"/>
  <c r="AV476"/>
  <c r="AW476"/>
  <c r="AX476"/>
  <c r="AY476"/>
  <c r="AZ476"/>
  <c r="BA476"/>
  <c r="BB476"/>
  <c r="BC476"/>
  <c r="BD476"/>
  <c r="BE476"/>
  <c r="BF476"/>
  <c r="BG476"/>
  <c r="BH476"/>
  <c r="BI476"/>
  <c r="BJ476"/>
  <c r="BK476"/>
  <c r="BL476"/>
  <c r="BM476"/>
  <c r="BN476"/>
  <c r="BO476"/>
  <c r="BP476"/>
  <c r="BQ476"/>
  <c r="BR476"/>
  <c r="BS476"/>
  <c r="BT476"/>
  <c r="BU476"/>
  <c r="BV476"/>
  <c r="BW476"/>
  <c r="BX476"/>
  <c r="BY476"/>
  <c r="BZ476"/>
  <c r="CA476"/>
  <c r="CB476"/>
  <c r="CC476"/>
  <c r="CD476"/>
  <c r="CE476"/>
  <c r="CF476"/>
  <c r="CG476"/>
  <c r="CH476"/>
  <c r="CI476"/>
  <c r="CJ476"/>
  <c r="CK476"/>
  <c r="CL476"/>
  <c r="CM476"/>
  <c r="CN476"/>
  <c r="CO476"/>
  <c r="CP476"/>
  <c r="CQ476"/>
  <c r="CR476"/>
  <c r="CS476"/>
  <c r="CT476"/>
  <c r="CU476"/>
  <c r="CV476"/>
  <c r="CW476"/>
  <c r="CX476"/>
  <c r="CY476"/>
  <c r="CZ476"/>
  <c r="DA476"/>
  <c r="DB476"/>
  <c r="DC476"/>
  <c r="DD476"/>
  <c r="DE476"/>
  <c r="DF476"/>
  <c r="DG476"/>
  <c r="DH476"/>
  <c r="DI476"/>
  <c r="DJ476"/>
  <c r="DK476"/>
  <c r="DL476"/>
  <c r="DM476"/>
  <c r="DN476"/>
  <c r="DO476"/>
  <c r="DP476"/>
  <c r="DQ476"/>
  <c r="DR476"/>
  <c r="DS476"/>
  <c r="DT476"/>
  <c r="DU476"/>
  <c r="DV476"/>
  <c r="DW476"/>
  <c r="DX476"/>
  <c r="DY476"/>
  <c r="DZ476"/>
  <c r="EA476"/>
  <c r="EB476"/>
  <c r="EC476"/>
  <c r="ED476"/>
  <c r="EE476"/>
  <c r="EF476"/>
  <c r="EG476"/>
  <c r="EH476"/>
  <c r="EI476"/>
  <c r="EJ476"/>
  <c r="EK476"/>
  <c r="EL476"/>
  <c r="EM476"/>
  <c r="EN476"/>
  <c r="EO476"/>
  <c r="EP476"/>
  <c r="EQ476"/>
  <c r="ER476"/>
  <c r="ES476"/>
  <c r="ET476"/>
  <c r="EU476"/>
  <c r="EV476"/>
  <c r="EW476"/>
  <c r="EX476"/>
  <c r="EY476"/>
  <c r="EZ476"/>
  <c r="FA476"/>
  <c r="FB476"/>
  <c r="FC476"/>
  <c r="FD476"/>
  <c r="FE476"/>
  <c r="FF476"/>
  <c r="FG476"/>
  <c r="FH476"/>
  <c r="FI476"/>
  <c r="FJ476"/>
  <c r="FK476"/>
  <c r="FL476"/>
  <c r="FM476"/>
  <c r="FN476"/>
  <c r="FO476"/>
  <c r="FP476"/>
  <c r="FQ476"/>
  <c r="FR476"/>
  <c r="FS476"/>
  <c r="FT476"/>
  <c r="FU476"/>
  <c r="FV476"/>
  <c r="FW476"/>
  <c r="FX476"/>
  <c r="FY476"/>
  <c r="FZ476"/>
  <c r="GA476"/>
  <c r="GB476"/>
  <c r="GC476"/>
  <c r="GD476"/>
  <c r="GE476"/>
  <c r="GF476"/>
  <c r="GG476"/>
  <c r="GH476"/>
  <c r="GI476"/>
  <c r="GJ476"/>
  <c r="GK476"/>
  <c r="GL476"/>
  <c r="GM476"/>
  <c r="GN476"/>
  <c r="GO476"/>
  <c r="GP476"/>
  <c r="GQ476"/>
  <c r="GR476"/>
  <c r="GS476"/>
  <c r="GT476"/>
  <c r="GU476"/>
  <c r="GV476"/>
  <c r="GW476"/>
  <c r="GX476"/>
  <c r="GY476"/>
  <c r="GZ476"/>
  <c r="HA476"/>
  <c r="HB476"/>
  <c r="HC476"/>
  <c r="HD476"/>
  <c r="HE476"/>
  <c r="HF476"/>
  <c r="HG476"/>
  <c r="HH476"/>
  <c r="HI476"/>
  <c r="HJ476"/>
  <c r="HK476"/>
  <c r="HL476"/>
  <c r="HM476"/>
  <c r="HN476"/>
  <c r="HO476"/>
  <c r="HP476"/>
  <c r="HQ476"/>
  <c r="HR476"/>
  <c r="HS476"/>
  <c r="HT476"/>
  <c r="HU476"/>
  <c r="HV476"/>
  <c r="HW476"/>
  <c r="HX476"/>
  <c r="HY476"/>
  <c r="HZ476"/>
  <c r="IA476"/>
  <c r="IB476"/>
  <c r="IC476"/>
  <c r="ID476"/>
  <c r="IE476"/>
  <c r="IF476"/>
  <c r="IG476"/>
  <c r="IH476"/>
  <c r="II476"/>
  <c r="IJ476"/>
  <c r="IK476"/>
  <c r="IL476"/>
  <c r="IM476"/>
  <c r="IN476"/>
  <c r="IO476"/>
  <c r="IP476"/>
  <c r="IQ476"/>
  <c r="IR476"/>
  <c r="IS476"/>
  <c r="IT476"/>
  <c r="IU476"/>
  <c r="IV476"/>
  <c r="A477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Z477"/>
  <c r="AA477"/>
  <c r="AB477"/>
  <c r="AC477"/>
  <c r="AD477"/>
  <c r="AE477"/>
  <c r="AF477"/>
  <c r="AG477"/>
  <c r="AH477"/>
  <c r="AI477"/>
  <c r="AJ477"/>
  <c r="AK477"/>
  <c r="AL477"/>
  <c r="AM477"/>
  <c r="AN477"/>
  <c r="AO477"/>
  <c r="AP477"/>
  <c r="AQ477"/>
  <c r="AR477"/>
  <c r="AS477"/>
  <c r="AT477"/>
  <c r="AU477"/>
  <c r="AV477"/>
  <c r="AW477"/>
  <c r="AX477"/>
  <c r="AY477"/>
  <c r="AZ477"/>
  <c r="BA477"/>
  <c r="BB477"/>
  <c r="BC477"/>
  <c r="BD477"/>
  <c r="BE477"/>
  <c r="BF477"/>
  <c r="BG477"/>
  <c r="BH477"/>
  <c r="BI477"/>
  <c r="BJ477"/>
  <c r="BK477"/>
  <c r="BL477"/>
  <c r="BM477"/>
  <c r="BN477"/>
  <c r="BO477"/>
  <c r="BP477"/>
  <c r="BQ477"/>
  <c r="BR477"/>
  <c r="BS477"/>
  <c r="BT477"/>
  <c r="BU477"/>
  <c r="BV477"/>
  <c r="BW477"/>
  <c r="BX477"/>
  <c r="BY477"/>
  <c r="BZ477"/>
  <c r="CA477"/>
  <c r="CB477"/>
  <c r="CC477"/>
  <c r="CD477"/>
  <c r="CE477"/>
  <c r="CF477"/>
  <c r="CG477"/>
  <c r="CH477"/>
  <c r="CI477"/>
  <c r="CJ477"/>
  <c r="CK477"/>
  <c r="CL477"/>
  <c r="CM477"/>
  <c r="CN477"/>
  <c r="CO477"/>
  <c r="CP477"/>
  <c r="CQ477"/>
  <c r="CR477"/>
  <c r="CS477"/>
  <c r="CT477"/>
  <c r="CU477"/>
  <c r="CV477"/>
  <c r="CW477"/>
  <c r="CX477"/>
  <c r="CY477"/>
  <c r="CZ477"/>
  <c r="DA477"/>
  <c r="DB477"/>
  <c r="DC477"/>
  <c r="DD477"/>
  <c r="DE477"/>
  <c r="DF477"/>
  <c r="DG477"/>
  <c r="DH477"/>
  <c r="DI477"/>
  <c r="DJ477"/>
  <c r="DK477"/>
  <c r="DL477"/>
  <c r="DM477"/>
  <c r="DN477"/>
  <c r="DO477"/>
  <c r="DP477"/>
  <c r="DQ477"/>
  <c r="DR477"/>
  <c r="DS477"/>
  <c r="DT477"/>
  <c r="DU477"/>
  <c r="DV477"/>
  <c r="DW477"/>
  <c r="DX477"/>
  <c r="DY477"/>
  <c r="DZ477"/>
  <c r="EA477"/>
  <c r="EB477"/>
  <c r="EC477"/>
  <c r="ED477"/>
  <c r="EE477"/>
  <c r="EF477"/>
  <c r="EG477"/>
  <c r="EH477"/>
  <c r="EI477"/>
  <c r="EJ477"/>
  <c r="EK477"/>
  <c r="EL477"/>
  <c r="EM477"/>
  <c r="EN477"/>
  <c r="EO477"/>
  <c r="EP477"/>
  <c r="EQ477"/>
  <c r="ER477"/>
  <c r="ES477"/>
  <c r="ET477"/>
  <c r="EU477"/>
  <c r="EV477"/>
  <c r="EW477"/>
  <c r="EX477"/>
  <c r="EY477"/>
  <c r="EZ477"/>
  <c r="FA477"/>
  <c r="FB477"/>
  <c r="FC477"/>
  <c r="FD477"/>
  <c r="FE477"/>
  <c r="FF477"/>
  <c r="FG477"/>
  <c r="FH477"/>
  <c r="FI477"/>
  <c r="FJ477"/>
  <c r="FK477"/>
  <c r="FL477"/>
  <c r="FM477"/>
  <c r="FN477"/>
  <c r="FO477"/>
  <c r="FP477"/>
  <c r="FQ477"/>
  <c r="FR477"/>
  <c r="FS477"/>
  <c r="FT477"/>
  <c r="FU477"/>
  <c r="FV477"/>
  <c r="FW477"/>
  <c r="FX477"/>
  <c r="FY477"/>
  <c r="FZ477"/>
  <c r="GA477"/>
  <c r="GB477"/>
  <c r="GC477"/>
  <c r="GD477"/>
  <c r="GE477"/>
  <c r="GF477"/>
  <c r="GG477"/>
  <c r="GH477"/>
  <c r="GI477"/>
  <c r="GJ477"/>
  <c r="GK477"/>
  <c r="GL477"/>
  <c r="GM477"/>
  <c r="GN477"/>
  <c r="GO477"/>
  <c r="GP477"/>
  <c r="GQ477"/>
  <c r="GR477"/>
  <c r="GS477"/>
  <c r="GT477"/>
  <c r="GU477"/>
  <c r="GV477"/>
  <c r="GW477"/>
  <c r="GX477"/>
  <c r="GY477"/>
  <c r="GZ477"/>
  <c r="HA477"/>
  <c r="HB477"/>
  <c r="HC477"/>
  <c r="HD477"/>
  <c r="HE477"/>
  <c r="HF477"/>
  <c r="HG477"/>
  <c r="HH477"/>
  <c r="HI477"/>
  <c r="HJ477"/>
  <c r="HK477"/>
  <c r="HL477"/>
  <c r="HM477"/>
  <c r="HN477"/>
  <c r="HO477"/>
  <c r="HP477"/>
  <c r="HQ477"/>
  <c r="HR477"/>
  <c r="HS477"/>
  <c r="HT477"/>
  <c r="HU477"/>
  <c r="HV477"/>
  <c r="HW477"/>
  <c r="HX477"/>
  <c r="HY477"/>
  <c r="HZ477"/>
  <c r="IA477"/>
  <c r="IB477"/>
  <c r="IC477"/>
  <c r="ID477"/>
  <c r="IE477"/>
  <c r="IF477"/>
  <c r="IG477"/>
  <c r="IH477"/>
  <c r="II477"/>
  <c r="IJ477"/>
  <c r="IK477"/>
  <c r="IL477"/>
  <c r="IM477"/>
  <c r="IN477"/>
  <c r="IO477"/>
  <c r="IP477"/>
  <c r="IQ477"/>
  <c r="IR477"/>
  <c r="IS477"/>
  <c r="IT477"/>
  <c r="IU477"/>
  <c r="IV477"/>
  <c r="A478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Z478"/>
  <c r="AA478"/>
  <c r="AB478"/>
  <c r="AC478"/>
  <c r="AD478"/>
  <c r="AE478"/>
  <c r="AF478"/>
  <c r="AG478"/>
  <c r="AH478"/>
  <c r="AI478"/>
  <c r="AJ478"/>
  <c r="AK478"/>
  <c r="AL478"/>
  <c r="AM478"/>
  <c r="AN478"/>
  <c r="AO478"/>
  <c r="AP478"/>
  <c r="AQ478"/>
  <c r="AR478"/>
  <c r="AS478"/>
  <c r="AT478"/>
  <c r="AU478"/>
  <c r="AV478"/>
  <c r="AW478"/>
  <c r="AX478"/>
  <c r="AY478"/>
  <c r="AZ478"/>
  <c r="BA478"/>
  <c r="BB478"/>
  <c r="BC478"/>
  <c r="BD478"/>
  <c r="BE478"/>
  <c r="BF478"/>
  <c r="BG478"/>
  <c r="BH478"/>
  <c r="BI478"/>
  <c r="BJ478"/>
  <c r="BK478"/>
  <c r="BL478"/>
  <c r="BM478"/>
  <c r="BN478"/>
  <c r="BO478"/>
  <c r="BP478"/>
  <c r="BQ478"/>
  <c r="BR478"/>
  <c r="BS478"/>
  <c r="BT478"/>
  <c r="BU478"/>
  <c r="BV478"/>
  <c r="BW478"/>
  <c r="BX478"/>
  <c r="BY478"/>
  <c r="BZ478"/>
  <c r="CA478"/>
  <c r="CB478"/>
  <c r="CC478"/>
  <c r="CD478"/>
  <c r="CE478"/>
  <c r="CF478"/>
  <c r="CG478"/>
  <c r="CH478"/>
  <c r="CI478"/>
  <c r="CJ478"/>
  <c r="CK478"/>
  <c r="CL478"/>
  <c r="CM478"/>
  <c r="CN478"/>
  <c r="CO478"/>
  <c r="CP478"/>
  <c r="CQ478"/>
  <c r="CR478"/>
  <c r="CS478"/>
  <c r="CT478"/>
  <c r="CU478"/>
  <c r="CV478"/>
  <c r="CW478"/>
  <c r="CX478"/>
  <c r="CY478"/>
  <c r="CZ478"/>
  <c r="DA478"/>
  <c r="DB478"/>
  <c r="DC478"/>
  <c r="DD478"/>
  <c r="DE478"/>
  <c r="DF478"/>
  <c r="DG478"/>
  <c r="DH478"/>
  <c r="DI478"/>
  <c r="DJ478"/>
  <c r="DK478"/>
  <c r="DL478"/>
  <c r="DM478"/>
  <c r="DN478"/>
  <c r="DO478"/>
  <c r="DP478"/>
  <c r="DQ478"/>
  <c r="DR478"/>
  <c r="DS478"/>
  <c r="DT478"/>
  <c r="DU478"/>
  <c r="DV478"/>
  <c r="DW478"/>
  <c r="DX478"/>
  <c r="DY478"/>
  <c r="DZ478"/>
  <c r="EA478"/>
  <c r="EB478"/>
  <c r="EC478"/>
  <c r="ED478"/>
  <c r="EE478"/>
  <c r="EF478"/>
  <c r="EG478"/>
  <c r="EH478"/>
  <c r="EI478"/>
  <c r="EJ478"/>
  <c r="EK478"/>
  <c r="EL478"/>
  <c r="EM478"/>
  <c r="EN478"/>
  <c r="EO478"/>
  <c r="EP478"/>
  <c r="EQ478"/>
  <c r="ER478"/>
  <c r="ES478"/>
  <c r="ET478"/>
  <c r="EU478"/>
  <c r="EV478"/>
  <c r="EW478"/>
  <c r="EX478"/>
  <c r="EY478"/>
  <c r="EZ478"/>
  <c r="FA478"/>
  <c r="FB478"/>
  <c r="FC478"/>
  <c r="FD478"/>
  <c r="FE478"/>
  <c r="FF478"/>
  <c r="FG478"/>
  <c r="FH478"/>
  <c r="FI478"/>
  <c r="FJ478"/>
  <c r="FK478"/>
  <c r="FL478"/>
  <c r="FM478"/>
  <c r="FN478"/>
  <c r="FO478"/>
  <c r="FP478"/>
  <c r="FQ478"/>
  <c r="FR478"/>
  <c r="FS478"/>
  <c r="FT478"/>
  <c r="FU478"/>
  <c r="FV478"/>
  <c r="FW478"/>
  <c r="FX478"/>
  <c r="FY478"/>
  <c r="FZ478"/>
  <c r="GA478"/>
  <c r="GB478"/>
  <c r="GC478"/>
  <c r="GD478"/>
  <c r="GE478"/>
  <c r="GF478"/>
  <c r="GG478"/>
  <c r="GH478"/>
  <c r="GI478"/>
  <c r="GJ478"/>
  <c r="GK478"/>
  <c r="GL478"/>
  <c r="GM478"/>
  <c r="GN478"/>
  <c r="GO478"/>
  <c r="GP478"/>
  <c r="GQ478"/>
  <c r="GR478"/>
  <c r="GS478"/>
  <c r="GT478"/>
  <c r="GU478"/>
  <c r="GV478"/>
  <c r="GW478"/>
  <c r="GX478"/>
  <c r="GY478"/>
  <c r="GZ478"/>
  <c r="HA478"/>
  <c r="HB478"/>
  <c r="HC478"/>
  <c r="HD478"/>
  <c r="HE478"/>
  <c r="HF478"/>
  <c r="HG478"/>
  <c r="HH478"/>
  <c r="HI478"/>
  <c r="HJ478"/>
  <c r="HK478"/>
  <c r="HL478"/>
  <c r="HM478"/>
  <c r="HN478"/>
  <c r="HO478"/>
  <c r="HP478"/>
  <c r="HQ478"/>
  <c r="HR478"/>
  <c r="HS478"/>
  <c r="HT478"/>
  <c r="HU478"/>
  <c r="HV478"/>
  <c r="HW478"/>
  <c r="HX478"/>
  <c r="HY478"/>
  <c r="HZ478"/>
  <c r="IA478"/>
  <c r="IB478"/>
  <c r="IC478"/>
  <c r="ID478"/>
  <c r="IE478"/>
  <c r="IF478"/>
  <c r="IG478"/>
  <c r="IH478"/>
  <c r="II478"/>
  <c r="IJ478"/>
  <c r="IK478"/>
  <c r="IL478"/>
  <c r="IM478"/>
  <c r="IN478"/>
  <c r="IO478"/>
  <c r="IP478"/>
  <c r="IQ478"/>
  <c r="IR478"/>
  <c r="IS478"/>
  <c r="IT478"/>
  <c r="IU478"/>
  <c r="IV478"/>
  <c r="A479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Z479"/>
  <c r="AA479"/>
  <c r="AB479"/>
  <c r="AC479"/>
  <c r="AD479"/>
  <c r="AE479"/>
  <c r="AF479"/>
  <c r="AG479"/>
  <c r="AH479"/>
  <c r="AI479"/>
  <c r="AJ479"/>
  <c r="AK479"/>
  <c r="AL479"/>
  <c r="AM479"/>
  <c r="AN479"/>
  <c r="AO479"/>
  <c r="AP479"/>
  <c r="AQ479"/>
  <c r="AR479"/>
  <c r="AS479"/>
  <c r="AT479"/>
  <c r="AU479"/>
  <c r="AV479"/>
  <c r="AW479"/>
  <c r="AX479"/>
  <c r="AY479"/>
  <c r="AZ479"/>
  <c r="BA479"/>
  <c r="BB479"/>
  <c r="BC479"/>
  <c r="BD479"/>
  <c r="BE479"/>
  <c r="BF479"/>
  <c r="BG479"/>
  <c r="BH479"/>
  <c r="BI479"/>
  <c r="BJ479"/>
  <c r="BK479"/>
  <c r="BL479"/>
  <c r="BM479"/>
  <c r="BN479"/>
  <c r="BO479"/>
  <c r="BP479"/>
  <c r="BQ479"/>
  <c r="BR479"/>
  <c r="BS479"/>
  <c r="BT479"/>
  <c r="BU479"/>
  <c r="BV479"/>
  <c r="BW479"/>
  <c r="BX479"/>
  <c r="BY479"/>
  <c r="BZ479"/>
  <c r="CA479"/>
  <c r="CB479"/>
  <c r="CC479"/>
  <c r="CD479"/>
  <c r="CE479"/>
  <c r="CF479"/>
  <c r="CG479"/>
  <c r="CH479"/>
  <c r="CI479"/>
  <c r="CJ479"/>
  <c r="CK479"/>
  <c r="CL479"/>
  <c r="CM479"/>
  <c r="CN479"/>
  <c r="CO479"/>
  <c r="CP479"/>
  <c r="CQ479"/>
  <c r="CR479"/>
  <c r="CS479"/>
  <c r="CT479"/>
  <c r="CU479"/>
  <c r="CV479"/>
  <c r="CW479"/>
  <c r="CX479"/>
  <c r="CY479"/>
  <c r="CZ479"/>
  <c r="DA479"/>
  <c r="DB479"/>
  <c r="DC479"/>
  <c r="DD479"/>
  <c r="DE479"/>
  <c r="DF479"/>
  <c r="DG479"/>
  <c r="DH479"/>
  <c r="DI479"/>
  <c r="DJ479"/>
  <c r="DK479"/>
  <c r="DL479"/>
  <c r="DM479"/>
  <c r="DN479"/>
  <c r="DO479"/>
  <c r="DP479"/>
  <c r="DQ479"/>
  <c r="DR479"/>
  <c r="DS479"/>
  <c r="DT479"/>
  <c r="DU479"/>
  <c r="DV479"/>
  <c r="DW479"/>
  <c r="DX479"/>
  <c r="DY479"/>
  <c r="DZ479"/>
  <c r="EA479"/>
  <c r="EB479"/>
  <c r="EC479"/>
  <c r="ED479"/>
  <c r="EE479"/>
  <c r="EF479"/>
  <c r="EG479"/>
  <c r="EH479"/>
  <c r="EI479"/>
  <c r="EJ479"/>
  <c r="EK479"/>
  <c r="EL479"/>
  <c r="EM479"/>
  <c r="EN479"/>
  <c r="EO479"/>
  <c r="EP479"/>
  <c r="EQ479"/>
  <c r="ER479"/>
  <c r="ES479"/>
  <c r="ET479"/>
  <c r="EU479"/>
  <c r="EV479"/>
  <c r="EW479"/>
  <c r="EX479"/>
  <c r="EY479"/>
  <c r="EZ479"/>
  <c r="FA479"/>
  <c r="FB479"/>
  <c r="FC479"/>
  <c r="FD479"/>
  <c r="FE479"/>
  <c r="FF479"/>
  <c r="FG479"/>
  <c r="FH479"/>
  <c r="FI479"/>
  <c r="FJ479"/>
  <c r="FK479"/>
  <c r="FL479"/>
  <c r="FM479"/>
  <c r="FN479"/>
  <c r="FO479"/>
  <c r="FP479"/>
  <c r="FQ479"/>
  <c r="FR479"/>
  <c r="FS479"/>
  <c r="FT479"/>
  <c r="FU479"/>
  <c r="FV479"/>
  <c r="FW479"/>
  <c r="FX479"/>
  <c r="FY479"/>
  <c r="FZ479"/>
  <c r="GA479"/>
  <c r="GB479"/>
  <c r="GC479"/>
  <c r="GD479"/>
  <c r="GE479"/>
  <c r="GF479"/>
  <c r="GG479"/>
  <c r="GH479"/>
  <c r="GI479"/>
  <c r="GJ479"/>
  <c r="GK479"/>
  <c r="GL479"/>
  <c r="GM479"/>
  <c r="GN479"/>
  <c r="GO479"/>
  <c r="GP479"/>
  <c r="GQ479"/>
  <c r="GR479"/>
  <c r="GS479"/>
  <c r="GT479"/>
  <c r="GU479"/>
  <c r="GV479"/>
  <c r="GW479"/>
  <c r="GX479"/>
  <c r="GY479"/>
  <c r="GZ479"/>
  <c r="HA479"/>
  <c r="HB479"/>
  <c r="HC479"/>
  <c r="HD479"/>
  <c r="HE479"/>
  <c r="HF479"/>
  <c r="HG479"/>
  <c r="HH479"/>
  <c r="HI479"/>
  <c r="HJ479"/>
  <c r="HK479"/>
  <c r="HL479"/>
  <c r="HM479"/>
  <c r="HN479"/>
  <c r="HO479"/>
  <c r="HP479"/>
  <c r="HQ479"/>
  <c r="HR479"/>
  <c r="HS479"/>
  <c r="HT479"/>
  <c r="HU479"/>
  <c r="HV479"/>
  <c r="HW479"/>
  <c r="HX479"/>
  <c r="HY479"/>
  <c r="HZ479"/>
  <c r="IA479"/>
  <c r="IB479"/>
  <c r="IC479"/>
  <c r="ID479"/>
  <c r="IE479"/>
  <c r="IF479"/>
  <c r="IG479"/>
  <c r="IH479"/>
  <c r="II479"/>
  <c r="IJ479"/>
  <c r="IK479"/>
  <c r="IL479"/>
  <c r="IM479"/>
  <c r="IN479"/>
  <c r="IO479"/>
  <c r="IP479"/>
  <c r="IQ479"/>
  <c r="IR479"/>
  <c r="IS479"/>
  <c r="IT479"/>
  <c r="IU479"/>
  <c r="IV479"/>
  <c r="A480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Z480"/>
  <c r="AA480"/>
  <c r="AB480"/>
  <c r="AC480"/>
  <c r="AD480"/>
  <c r="AE480"/>
  <c r="AF480"/>
  <c r="AG480"/>
  <c r="AH480"/>
  <c r="AI480"/>
  <c r="AJ480"/>
  <c r="AK480"/>
  <c r="AL480"/>
  <c r="AM480"/>
  <c r="AN480"/>
  <c r="AO480"/>
  <c r="AP480"/>
  <c r="AQ480"/>
  <c r="AR480"/>
  <c r="AS480"/>
  <c r="AT480"/>
  <c r="AU480"/>
  <c r="AV480"/>
  <c r="AW480"/>
  <c r="AX480"/>
  <c r="AY480"/>
  <c r="AZ480"/>
  <c r="BA480"/>
  <c r="BB480"/>
  <c r="BC480"/>
  <c r="BD480"/>
  <c r="BE480"/>
  <c r="BF480"/>
  <c r="BG480"/>
  <c r="BH480"/>
  <c r="BI480"/>
  <c r="BJ480"/>
  <c r="BK480"/>
  <c r="BL480"/>
  <c r="BM480"/>
  <c r="BN480"/>
  <c r="BO480"/>
  <c r="BP480"/>
  <c r="BQ480"/>
  <c r="BR480"/>
  <c r="BS480"/>
  <c r="BT480"/>
  <c r="BU480"/>
  <c r="BV480"/>
  <c r="BW480"/>
  <c r="BX480"/>
  <c r="BY480"/>
  <c r="BZ480"/>
  <c r="CA480"/>
  <c r="CB480"/>
  <c r="CC480"/>
  <c r="CD480"/>
  <c r="CE480"/>
  <c r="CF480"/>
  <c r="CG480"/>
  <c r="CH480"/>
  <c r="CI480"/>
  <c r="CJ480"/>
  <c r="CK480"/>
  <c r="CL480"/>
  <c r="CM480"/>
  <c r="CN480"/>
  <c r="CO480"/>
  <c r="CP480"/>
  <c r="CQ480"/>
  <c r="CR480"/>
  <c r="CS480"/>
  <c r="CT480"/>
  <c r="CU480"/>
  <c r="CV480"/>
  <c r="CW480"/>
  <c r="CX480"/>
  <c r="CY480"/>
  <c r="CZ480"/>
  <c r="DA480"/>
  <c r="DB480"/>
  <c r="DC480"/>
  <c r="DD480"/>
  <c r="DE480"/>
  <c r="DF480"/>
  <c r="DG480"/>
  <c r="DH480"/>
  <c r="DI480"/>
  <c r="DJ480"/>
  <c r="DK480"/>
  <c r="DL480"/>
  <c r="DM480"/>
  <c r="DN480"/>
  <c r="DO480"/>
  <c r="DP480"/>
  <c r="DQ480"/>
  <c r="DR480"/>
  <c r="DS480"/>
  <c r="DT480"/>
  <c r="DU480"/>
  <c r="DV480"/>
  <c r="DW480"/>
  <c r="DX480"/>
  <c r="DY480"/>
  <c r="DZ480"/>
  <c r="EA480"/>
  <c r="EB480"/>
  <c r="EC480"/>
  <c r="ED480"/>
  <c r="EE480"/>
  <c r="EF480"/>
  <c r="EG480"/>
  <c r="EH480"/>
  <c r="EI480"/>
  <c r="EJ480"/>
  <c r="EK480"/>
  <c r="EL480"/>
  <c r="EM480"/>
  <c r="EN480"/>
  <c r="EO480"/>
  <c r="EP480"/>
  <c r="EQ480"/>
  <c r="ER480"/>
  <c r="ES480"/>
  <c r="ET480"/>
  <c r="EU480"/>
  <c r="EV480"/>
  <c r="EW480"/>
  <c r="EX480"/>
  <c r="EY480"/>
  <c r="EZ480"/>
  <c r="FA480"/>
  <c r="FB480"/>
  <c r="FC480"/>
  <c r="FD480"/>
  <c r="FE480"/>
  <c r="FF480"/>
  <c r="FG480"/>
  <c r="FH480"/>
  <c r="FI480"/>
  <c r="FJ480"/>
  <c r="FK480"/>
  <c r="FL480"/>
  <c r="FM480"/>
  <c r="FN480"/>
  <c r="FO480"/>
  <c r="FP480"/>
  <c r="FQ480"/>
  <c r="FR480"/>
  <c r="FS480"/>
  <c r="FT480"/>
  <c r="FU480"/>
  <c r="FV480"/>
  <c r="FW480"/>
  <c r="FX480"/>
  <c r="FY480"/>
  <c r="FZ480"/>
  <c r="GA480"/>
  <c r="GB480"/>
  <c r="GC480"/>
  <c r="GD480"/>
  <c r="GE480"/>
  <c r="GF480"/>
  <c r="GG480"/>
  <c r="GH480"/>
  <c r="GI480"/>
  <c r="GJ480"/>
  <c r="GK480"/>
  <c r="GL480"/>
  <c r="GM480"/>
  <c r="GN480"/>
  <c r="GO480"/>
  <c r="GP480"/>
  <c r="GQ480"/>
  <c r="GR480"/>
  <c r="GS480"/>
  <c r="GT480"/>
  <c r="GU480"/>
  <c r="GV480"/>
  <c r="GW480"/>
  <c r="GX480"/>
  <c r="GY480"/>
  <c r="GZ480"/>
  <c r="HA480"/>
  <c r="HB480"/>
  <c r="HC480"/>
  <c r="HD480"/>
  <c r="HE480"/>
  <c r="HF480"/>
  <c r="HG480"/>
  <c r="HH480"/>
  <c r="HI480"/>
  <c r="HJ480"/>
  <c r="HK480"/>
  <c r="HL480"/>
  <c r="HM480"/>
  <c r="HN480"/>
  <c r="HO480"/>
  <c r="HP480"/>
  <c r="HQ480"/>
  <c r="HR480"/>
  <c r="HS480"/>
  <c r="HT480"/>
  <c r="HU480"/>
  <c r="HV480"/>
  <c r="HW480"/>
  <c r="HX480"/>
  <c r="HY480"/>
  <c r="HZ480"/>
  <c r="IA480"/>
  <c r="IB480"/>
  <c r="IC480"/>
  <c r="ID480"/>
  <c r="IE480"/>
  <c r="IF480"/>
  <c r="IG480"/>
  <c r="IH480"/>
  <c r="II480"/>
  <c r="IJ480"/>
  <c r="IK480"/>
  <c r="IL480"/>
  <c r="IM480"/>
  <c r="IN480"/>
  <c r="IO480"/>
  <c r="IP480"/>
  <c r="IQ480"/>
  <c r="IR480"/>
  <c r="IS480"/>
  <c r="IT480"/>
  <c r="IU480"/>
  <c r="IV480"/>
  <c r="A481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Z481"/>
  <c r="AA481"/>
  <c r="AB481"/>
  <c r="AC481"/>
  <c r="AD481"/>
  <c r="AE481"/>
  <c r="AF481"/>
  <c r="AG481"/>
  <c r="AH481"/>
  <c r="AI481"/>
  <c r="AJ481"/>
  <c r="AK481"/>
  <c r="AL481"/>
  <c r="AM481"/>
  <c r="AN481"/>
  <c r="AO481"/>
  <c r="AP481"/>
  <c r="AQ481"/>
  <c r="AR481"/>
  <c r="AS481"/>
  <c r="AT481"/>
  <c r="AU481"/>
  <c r="AV481"/>
  <c r="AW481"/>
  <c r="AX481"/>
  <c r="AY481"/>
  <c r="AZ481"/>
  <c r="BA481"/>
  <c r="BB481"/>
  <c r="BC481"/>
  <c r="BD481"/>
  <c r="BE481"/>
  <c r="BF481"/>
  <c r="BG481"/>
  <c r="BH481"/>
  <c r="BI481"/>
  <c r="BJ481"/>
  <c r="BK481"/>
  <c r="BL481"/>
  <c r="BM481"/>
  <c r="BN481"/>
  <c r="BO481"/>
  <c r="BP481"/>
  <c r="BQ481"/>
  <c r="BR481"/>
  <c r="BS481"/>
  <c r="BT481"/>
  <c r="BU481"/>
  <c r="BV481"/>
  <c r="BW481"/>
  <c r="BX481"/>
  <c r="BY481"/>
  <c r="BZ481"/>
  <c r="CA481"/>
  <c r="CB481"/>
  <c r="CC481"/>
  <c r="CD481"/>
  <c r="CE481"/>
  <c r="CF481"/>
  <c r="CG481"/>
  <c r="CH481"/>
  <c r="CI481"/>
  <c r="CJ481"/>
  <c r="CK481"/>
  <c r="CL481"/>
  <c r="CM481"/>
  <c r="CN481"/>
  <c r="CO481"/>
  <c r="CP481"/>
  <c r="CQ481"/>
  <c r="CR481"/>
  <c r="CS481"/>
  <c r="CT481"/>
  <c r="CU481"/>
  <c r="CV481"/>
  <c r="CW481"/>
  <c r="CX481"/>
  <c r="CY481"/>
  <c r="CZ481"/>
  <c r="DA481"/>
  <c r="DB481"/>
  <c r="DC481"/>
  <c r="DD481"/>
  <c r="DE481"/>
  <c r="DF481"/>
  <c r="DG481"/>
  <c r="DH481"/>
  <c r="DI481"/>
  <c r="DJ481"/>
  <c r="DK481"/>
  <c r="DL481"/>
  <c r="DM481"/>
  <c r="DN481"/>
  <c r="DO481"/>
  <c r="DP481"/>
  <c r="DQ481"/>
  <c r="DR481"/>
  <c r="DS481"/>
  <c r="DT481"/>
  <c r="DU481"/>
  <c r="DV481"/>
  <c r="DW481"/>
  <c r="DX481"/>
  <c r="DY481"/>
  <c r="DZ481"/>
  <c r="EA481"/>
  <c r="EB481"/>
  <c r="EC481"/>
  <c r="ED481"/>
  <c r="EE481"/>
  <c r="EF481"/>
  <c r="EG481"/>
  <c r="EH481"/>
  <c r="EI481"/>
  <c r="EJ481"/>
  <c r="EK481"/>
  <c r="EL481"/>
  <c r="EM481"/>
  <c r="EN481"/>
  <c r="EO481"/>
  <c r="EP481"/>
  <c r="EQ481"/>
  <c r="ER481"/>
  <c r="ES481"/>
  <c r="ET481"/>
  <c r="EU481"/>
  <c r="EV481"/>
  <c r="EW481"/>
  <c r="EX481"/>
  <c r="EY481"/>
  <c r="EZ481"/>
  <c r="FA481"/>
  <c r="FB481"/>
  <c r="FC481"/>
  <c r="FD481"/>
  <c r="FE481"/>
  <c r="FF481"/>
  <c r="FG481"/>
  <c r="FH481"/>
  <c r="FI481"/>
  <c r="FJ481"/>
  <c r="FK481"/>
  <c r="FL481"/>
  <c r="FM481"/>
  <c r="FN481"/>
  <c r="FO481"/>
  <c r="FP481"/>
  <c r="FQ481"/>
  <c r="FR481"/>
  <c r="FS481"/>
  <c r="FT481"/>
  <c r="FU481"/>
  <c r="FV481"/>
  <c r="FW481"/>
  <c r="FX481"/>
  <c r="FY481"/>
  <c r="FZ481"/>
  <c r="GA481"/>
  <c r="GB481"/>
  <c r="GC481"/>
  <c r="GD481"/>
  <c r="GE481"/>
  <c r="GF481"/>
  <c r="GG481"/>
  <c r="GH481"/>
  <c r="GI481"/>
  <c r="GJ481"/>
  <c r="GK481"/>
  <c r="GL481"/>
  <c r="GM481"/>
  <c r="GN481"/>
  <c r="GO481"/>
  <c r="GP481"/>
  <c r="GQ481"/>
  <c r="GR481"/>
  <c r="GS481"/>
  <c r="GT481"/>
  <c r="GU481"/>
  <c r="GV481"/>
  <c r="GW481"/>
  <c r="GX481"/>
  <c r="GY481"/>
  <c r="GZ481"/>
  <c r="HA481"/>
  <c r="HB481"/>
  <c r="HC481"/>
  <c r="HD481"/>
  <c r="HE481"/>
  <c r="HF481"/>
  <c r="HG481"/>
  <c r="HH481"/>
  <c r="HI481"/>
  <c r="HJ481"/>
  <c r="HK481"/>
  <c r="HL481"/>
  <c r="HM481"/>
  <c r="HN481"/>
  <c r="HO481"/>
  <c r="HP481"/>
  <c r="HQ481"/>
  <c r="HR481"/>
  <c r="HS481"/>
  <c r="HT481"/>
  <c r="HU481"/>
  <c r="HV481"/>
  <c r="HW481"/>
  <c r="HX481"/>
  <c r="HY481"/>
  <c r="HZ481"/>
  <c r="IA481"/>
  <c r="IB481"/>
  <c r="IC481"/>
  <c r="ID481"/>
  <c r="IE481"/>
  <c r="IF481"/>
  <c r="IG481"/>
  <c r="IH481"/>
  <c r="II481"/>
  <c r="IJ481"/>
  <c r="IK481"/>
  <c r="IL481"/>
  <c r="IM481"/>
  <c r="IN481"/>
  <c r="IO481"/>
  <c r="IP481"/>
  <c r="IQ481"/>
  <c r="IR481"/>
  <c r="IS481"/>
  <c r="IT481"/>
  <c r="IU481"/>
  <c r="IV481"/>
  <c r="A482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Z482"/>
  <c r="AA482"/>
  <c r="AB482"/>
  <c r="AC482"/>
  <c r="AD482"/>
  <c r="AE482"/>
  <c r="AF482"/>
  <c r="AG482"/>
  <c r="AH482"/>
  <c r="AI482"/>
  <c r="AJ482"/>
  <c r="AK482"/>
  <c r="AL482"/>
  <c r="AM482"/>
  <c r="AN482"/>
  <c r="AO482"/>
  <c r="AP482"/>
  <c r="AQ482"/>
  <c r="AR482"/>
  <c r="AS482"/>
  <c r="AT482"/>
  <c r="AU482"/>
  <c r="AV482"/>
  <c r="AW482"/>
  <c r="AX482"/>
  <c r="AY482"/>
  <c r="AZ482"/>
  <c r="BA482"/>
  <c r="BB482"/>
  <c r="BC482"/>
  <c r="BD482"/>
  <c r="BE482"/>
  <c r="BF482"/>
  <c r="BG482"/>
  <c r="BH482"/>
  <c r="BI482"/>
  <c r="BJ482"/>
  <c r="BK482"/>
  <c r="BL482"/>
  <c r="BM482"/>
  <c r="BN482"/>
  <c r="BO482"/>
  <c r="BP482"/>
  <c r="BQ482"/>
  <c r="BR482"/>
  <c r="BS482"/>
  <c r="BT482"/>
  <c r="BU482"/>
  <c r="BV482"/>
  <c r="BW482"/>
  <c r="BX482"/>
  <c r="BY482"/>
  <c r="BZ482"/>
  <c r="CA482"/>
  <c r="CB482"/>
  <c r="CC482"/>
  <c r="CD482"/>
  <c r="CE482"/>
  <c r="CF482"/>
  <c r="CG482"/>
  <c r="CH482"/>
  <c r="CI482"/>
  <c r="CJ482"/>
  <c r="CK482"/>
  <c r="CL482"/>
  <c r="CM482"/>
  <c r="CN482"/>
  <c r="CO482"/>
  <c r="CP482"/>
  <c r="CQ482"/>
  <c r="CR482"/>
  <c r="CS482"/>
  <c r="CT482"/>
  <c r="CU482"/>
  <c r="CV482"/>
  <c r="CW482"/>
  <c r="CX482"/>
  <c r="CY482"/>
  <c r="CZ482"/>
  <c r="DA482"/>
  <c r="DB482"/>
  <c r="DC482"/>
  <c r="DD482"/>
  <c r="DE482"/>
  <c r="DF482"/>
  <c r="DG482"/>
  <c r="DH482"/>
  <c r="DI482"/>
  <c r="DJ482"/>
  <c r="DK482"/>
  <c r="DL482"/>
  <c r="DM482"/>
  <c r="DN482"/>
  <c r="DO482"/>
  <c r="DP482"/>
  <c r="DQ482"/>
  <c r="DR482"/>
  <c r="DS482"/>
  <c r="DT482"/>
  <c r="DU482"/>
  <c r="DV482"/>
  <c r="DW482"/>
  <c r="DX482"/>
  <c r="DY482"/>
  <c r="DZ482"/>
  <c r="EA482"/>
  <c r="EB482"/>
  <c r="EC482"/>
  <c r="ED482"/>
  <c r="EE482"/>
  <c r="EF482"/>
  <c r="EG482"/>
  <c r="EH482"/>
  <c r="EI482"/>
  <c r="EJ482"/>
  <c r="EK482"/>
  <c r="EL482"/>
  <c r="EM482"/>
  <c r="EN482"/>
  <c r="EO482"/>
  <c r="EP482"/>
  <c r="EQ482"/>
  <c r="ER482"/>
  <c r="ES482"/>
  <c r="ET482"/>
  <c r="EU482"/>
  <c r="EV482"/>
  <c r="EW482"/>
  <c r="EX482"/>
  <c r="EY482"/>
  <c r="EZ482"/>
  <c r="FA482"/>
  <c r="FB482"/>
  <c r="FC482"/>
  <c r="FD482"/>
  <c r="FE482"/>
  <c r="FF482"/>
  <c r="FG482"/>
  <c r="FH482"/>
  <c r="FI482"/>
  <c r="FJ482"/>
  <c r="FK482"/>
  <c r="FL482"/>
  <c r="FM482"/>
  <c r="FN482"/>
  <c r="FO482"/>
  <c r="FP482"/>
  <c r="FQ482"/>
  <c r="FR482"/>
  <c r="FS482"/>
  <c r="FT482"/>
  <c r="FU482"/>
  <c r="FV482"/>
  <c r="FW482"/>
  <c r="FX482"/>
  <c r="FY482"/>
  <c r="FZ482"/>
  <c r="GA482"/>
  <c r="GB482"/>
  <c r="GC482"/>
  <c r="GD482"/>
  <c r="GE482"/>
  <c r="GF482"/>
  <c r="GG482"/>
  <c r="GH482"/>
  <c r="GI482"/>
  <c r="GJ482"/>
  <c r="GK482"/>
  <c r="GL482"/>
  <c r="GM482"/>
  <c r="GN482"/>
  <c r="GO482"/>
  <c r="GP482"/>
  <c r="GQ482"/>
  <c r="GR482"/>
  <c r="GS482"/>
  <c r="GT482"/>
  <c r="GU482"/>
  <c r="GV482"/>
  <c r="GW482"/>
  <c r="GX482"/>
  <c r="GY482"/>
  <c r="GZ482"/>
  <c r="HA482"/>
  <c r="HB482"/>
  <c r="HC482"/>
  <c r="HD482"/>
  <c r="HE482"/>
  <c r="HF482"/>
  <c r="HG482"/>
  <c r="HH482"/>
  <c r="HI482"/>
  <c r="HJ482"/>
  <c r="HK482"/>
  <c r="HL482"/>
  <c r="HM482"/>
  <c r="HN482"/>
  <c r="HO482"/>
  <c r="HP482"/>
  <c r="HQ482"/>
  <c r="HR482"/>
  <c r="HS482"/>
  <c r="HT482"/>
  <c r="HU482"/>
  <c r="HV482"/>
  <c r="HW482"/>
  <c r="HX482"/>
  <c r="HY482"/>
  <c r="HZ482"/>
  <c r="IA482"/>
  <c r="IB482"/>
  <c r="IC482"/>
  <c r="ID482"/>
  <c r="IE482"/>
  <c r="IF482"/>
  <c r="IG482"/>
  <c r="IH482"/>
  <c r="II482"/>
  <c r="IJ482"/>
  <c r="IK482"/>
  <c r="IL482"/>
  <c r="IM482"/>
  <c r="IN482"/>
  <c r="IO482"/>
  <c r="IP482"/>
  <c r="IQ482"/>
  <c r="IR482"/>
  <c r="IS482"/>
  <c r="IT482"/>
  <c r="IU482"/>
  <c r="IV482"/>
  <c r="A483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Z483"/>
  <c r="AA483"/>
  <c r="AB483"/>
  <c r="AC483"/>
  <c r="AD483"/>
  <c r="AE483"/>
  <c r="AF483"/>
  <c r="AG483"/>
  <c r="AH483"/>
  <c r="AI483"/>
  <c r="AJ483"/>
  <c r="AK483"/>
  <c r="AL483"/>
  <c r="AM483"/>
  <c r="AN483"/>
  <c r="AO483"/>
  <c r="AP483"/>
  <c r="AQ483"/>
  <c r="AR483"/>
  <c r="AS483"/>
  <c r="AT483"/>
  <c r="AU483"/>
  <c r="AV483"/>
  <c r="AW483"/>
  <c r="AX483"/>
  <c r="AY483"/>
  <c r="AZ483"/>
  <c r="BA483"/>
  <c r="BB483"/>
  <c r="BC483"/>
  <c r="BD483"/>
  <c r="BE483"/>
  <c r="BF483"/>
  <c r="BG483"/>
  <c r="BH483"/>
  <c r="BI483"/>
  <c r="BJ483"/>
  <c r="BK483"/>
  <c r="BL483"/>
  <c r="BM483"/>
  <c r="BN483"/>
  <c r="BO483"/>
  <c r="BP483"/>
  <c r="BQ483"/>
  <c r="BR483"/>
  <c r="BS483"/>
  <c r="BT483"/>
  <c r="BU483"/>
  <c r="BV483"/>
  <c r="BW483"/>
  <c r="BX483"/>
  <c r="BY483"/>
  <c r="BZ483"/>
  <c r="CA483"/>
  <c r="CB483"/>
  <c r="CC483"/>
  <c r="CD483"/>
  <c r="CE483"/>
  <c r="CF483"/>
  <c r="CG483"/>
  <c r="CH483"/>
  <c r="CI483"/>
  <c r="CJ483"/>
  <c r="CK483"/>
  <c r="CL483"/>
  <c r="CM483"/>
  <c r="CN483"/>
  <c r="CO483"/>
  <c r="CP483"/>
  <c r="CQ483"/>
  <c r="CR483"/>
  <c r="CS483"/>
  <c r="CT483"/>
  <c r="CU483"/>
  <c r="CV483"/>
  <c r="CW483"/>
  <c r="CX483"/>
  <c r="CY483"/>
  <c r="CZ483"/>
  <c r="DA483"/>
  <c r="DB483"/>
  <c r="DC483"/>
  <c r="DD483"/>
  <c r="DE483"/>
  <c r="DF483"/>
  <c r="DG483"/>
  <c r="DH483"/>
  <c r="DI483"/>
  <c r="DJ483"/>
  <c r="DK483"/>
  <c r="DL483"/>
  <c r="DM483"/>
  <c r="DN483"/>
  <c r="DO483"/>
  <c r="DP483"/>
  <c r="DQ483"/>
  <c r="DR483"/>
  <c r="DS483"/>
  <c r="DT483"/>
  <c r="DU483"/>
  <c r="DV483"/>
  <c r="DW483"/>
  <c r="DX483"/>
  <c r="DY483"/>
  <c r="DZ483"/>
  <c r="EA483"/>
  <c r="EB483"/>
  <c r="EC483"/>
  <c r="ED483"/>
  <c r="EE483"/>
  <c r="EF483"/>
  <c r="EG483"/>
  <c r="EH483"/>
  <c r="EI483"/>
  <c r="EJ483"/>
  <c r="EK483"/>
  <c r="EL483"/>
  <c r="EM483"/>
  <c r="EN483"/>
  <c r="EO483"/>
  <c r="EP483"/>
  <c r="EQ483"/>
  <c r="ER483"/>
  <c r="ES483"/>
  <c r="ET483"/>
  <c r="EU483"/>
  <c r="EV483"/>
  <c r="EW483"/>
  <c r="EX483"/>
  <c r="EY483"/>
  <c r="EZ483"/>
  <c r="FA483"/>
  <c r="FB483"/>
  <c r="FC483"/>
  <c r="FD483"/>
  <c r="FE483"/>
  <c r="FF483"/>
  <c r="FG483"/>
  <c r="FH483"/>
  <c r="FI483"/>
  <c r="FJ483"/>
  <c r="FK483"/>
  <c r="FL483"/>
  <c r="FM483"/>
  <c r="FN483"/>
  <c r="FO483"/>
  <c r="FP483"/>
  <c r="FQ483"/>
  <c r="FR483"/>
  <c r="FS483"/>
  <c r="FT483"/>
  <c r="FU483"/>
  <c r="FV483"/>
  <c r="FW483"/>
  <c r="FX483"/>
  <c r="FY483"/>
  <c r="FZ483"/>
  <c r="GA483"/>
  <c r="GB483"/>
  <c r="GC483"/>
  <c r="GD483"/>
  <c r="GE483"/>
  <c r="GF483"/>
  <c r="GG483"/>
  <c r="GH483"/>
  <c r="GI483"/>
  <c r="GJ483"/>
  <c r="GK483"/>
  <c r="GL483"/>
  <c r="GM483"/>
  <c r="GN483"/>
  <c r="GO483"/>
  <c r="GP483"/>
  <c r="GQ483"/>
  <c r="GR483"/>
  <c r="GS483"/>
  <c r="GT483"/>
  <c r="GU483"/>
  <c r="GV483"/>
  <c r="GW483"/>
  <c r="GX483"/>
  <c r="GY483"/>
  <c r="GZ483"/>
  <c r="HA483"/>
  <c r="HB483"/>
  <c r="HC483"/>
  <c r="HD483"/>
  <c r="HE483"/>
  <c r="HF483"/>
  <c r="HG483"/>
  <c r="HH483"/>
  <c r="HI483"/>
  <c r="HJ483"/>
  <c r="HK483"/>
  <c r="HL483"/>
  <c r="HM483"/>
  <c r="HN483"/>
  <c r="HO483"/>
  <c r="HP483"/>
  <c r="HQ483"/>
  <c r="HR483"/>
  <c r="HS483"/>
  <c r="HT483"/>
  <c r="HU483"/>
  <c r="HV483"/>
  <c r="HW483"/>
  <c r="HX483"/>
  <c r="HY483"/>
  <c r="HZ483"/>
  <c r="IA483"/>
  <c r="IB483"/>
  <c r="IC483"/>
  <c r="ID483"/>
  <c r="IE483"/>
  <c r="IF483"/>
  <c r="IG483"/>
  <c r="IH483"/>
  <c r="II483"/>
  <c r="IJ483"/>
  <c r="IK483"/>
  <c r="IL483"/>
  <c r="IM483"/>
  <c r="IN483"/>
  <c r="IO483"/>
  <c r="IP483"/>
  <c r="IQ483"/>
  <c r="IR483"/>
  <c r="IS483"/>
  <c r="IT483"/>
  <c r="IU483"/>
  <c r="IV483"/>
  <c r="A484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Z484"/>
  <c r="AA484"/>
  <c r="AB484"/>
  <c r="AC484"/>
  <c r="AD484"/>
  <c r="AE484"/>
  <c r="AF484"/>
  <c r="AG484"/>
  <c r="AH484"/>
  <c r="AI484"/>
  <c r="AJ484"/>
  <c r="AK484"/>
  <c r="AL484"/>
  <c r="AM484"/>
  <c r="AN484"/>
  <c r="AO484"/>
  <c r="AP484"/>
  <c r="AQ484"/>
  <c r="AR484"/>
  <c r="AS484"/>
  <c r="AT484"/>
  <c r="AU484"/>
  <c r="AV484"/>
  <c r="AW484"/>
  <c r="AX484"/>
  <c r="AY484"/>
  <c r="AZ484"/>
  <c r="BA484"/>
  <c r="BB484"/>
  <c r="BC484"/>
  <c r="BD484"/>
  <c r="BE484"/>
  <c r="BF484"/>
  <c r="BG484"/>
  <c r="BH484"/>
  <c r="BI484"/>
  <c r="BJ484"/>
  <c r="BK484"/>
  <c r="BL484"/>
  <c r="BM484"/>
  <c r="BN484"/>
  <c r="BO484"/>
  <c r="BP484"/>
  <c r="BQ484"/>
  <c r="BR484"/>
  <c r="BS484"/>
  <c r="BT484"/>
  <c r="BU484"/>
  <c r="BV484"/>
  <c r="BW484"/>
  <c r="BX484"/>
  <c r="BY484"/>
  <c r="BZ484"/>
  <c r="CA484"/>
  <c r="CB484"/>
  <c r="CC484"/>
  <c r="CD484"/>
  <c r="CE484"/>
  <c r="CF484"/>
  <c r="CG484"/>
  <c r="CH484"/>
  <c r="CI484"/>
  <c r="CJ484"/>
  <c r="CK484"/>
  <c r="CL484"/>
  <c r="CM484"/>
  <c r="CN484"/>
  <c r="CO484"/>
  <c r="CP484"/>
  <c r="CQ484"/>
  <c r="CR484"/>
  <c r="CS484"/>
  <c r="CT484"/>
  <c r="CU484"/>
  <c r="CV484"/>
  <c r="CW484"/>
  <c r="CX484"/>
  <c r="CY484"/>
  <c r="CZ484"/>
  <c r="DA484"/>
  <c r="DB484"/>
  <c r="DC484"/>
  <c r="DD484"/>
  <c r="DE484"/>
  <c r="DF484"/>
  <c r="DG484"/>
  <c r="DH484"/>
  <c r="DI484"/>
  <c r="DJ484"/>
  <c r="DK484"/>
  <c r="DL484"/>
  <c r="DM484"/>
  <c r="DN484"/>
  <c r="DO484"/>
  <c r="DP484"/>
  <c r="DQ484"/>
  <c r="DR484"/>
  <c r="DS484"/>
  <c r="DT484"/>
  <c r="DU484"/>
  <c r="DV484"/>
  <c r="DW484"/>
  <c r="DX484"/>
  <c r="DY484"/>
  <c r="DZ484"/>
  <c r="EA484"/>
  <c r="EB484"/>
  <c r="EC484"/>
  <c r="ED484"/>
  <c r="EE484"/>
  <c r="EF484"/>
  <c r="EG484"/>
  <c r="EH484"/>
  <c r="EI484"/>
  <c r="EJ484"/>
  <c r="EK484"/>
  <c r="EL484"/>
  <c r="EM484"/>
  <c r="EN484"/>
  <c r="EO484"/>
  <c r="EP484"/>
  <c r="EQ484"/>
  <c r="ER484"/>
  <c r="ES484"/>
  <c r="ET484"/>
  <c r="EU484"/>
  <c r="EV484"/>
  <c r="EW484"/>
  <c r="EX484"/>
  <c r="EY484"/>
  <c r="EZ484"/>
  <c r="FA484"/>
  <c r="FB484"/>
  <c r="FC484"/>
  <c r="FD484"/>
  <c r="FE484"/>
  <c r="FF484"/>
  <c r="FG484"/>
  <c r="FH484"/>
  <c r="FI484"/>
  <c r="FJ484"/>
  <c r="FK484"/>
  <c r="FL484"/>
  <c r="FM484"/>
  <c r="FN484"/>
  <c r="FO484"/>
  <c r="FP484"/>
  <c r="FQ484"/>
  <c r="FR484"/>
  <c r="FS484"/>
  <c r="FT484"/>
  <c r="FU484"/>
  <c r="FV484"/>
  <c r="FW484"/>
  <c r="FX484"/>
  <c r="FY484"/>
  <c r="FZ484"/>
  <c r="GA484"/>
  <c r="GB484"/>
  <c r="GC484"/>
  <c r="GD484"/>
  <c r="GE484"/>
  <c r="GF484"/>
  <c r="GG484"/>
  <c r="GH484"/>
  <c r="GI484"/>
  <c r="GJ484"/>
  <c r="GK484"/>
  <c r="GL484"/>
  <c r="GM484"/>
  <c r="GN484"/>
  <c r="GO484"/>
  <c r="GP484"/>
  <c r="GQ484"/>
  <c r="GR484"/>
  <c r="GS484"/>
  <c r="GT484"/>
  <c r="GU484"/>
  <c r="GV484"/>
  <c r="GW484"/>
  <c r="GX484"/>
  <c r="GY484"/>
  <c r="GZ484"/>
  <c r="HA484"/>
  <c r="HB484"/>
  <c r="HC484"/>
  <c r="HD484"/>
  <c r="HE484"/>
  <c r="HF484"/>
  <c r="HG484"/>
  <c r="HH484"/>
  <c r="HI484"/>
  <c r="HJ484"/>
  <c r="HK484"/>
  <c r="HL484"/>
  <c r="HM484"/>
  <c r="HN484"/>
  <c r="HO484"/>
  <c r="HP484"/>
  <c r="HQ484"/>
  <c r="HR484"/>
  <c r="HS484"/>
  <c r="HT484"/>
  <c r="HU484"/>
  <c r="HV484"/>
  <c r="HW484"/>
  <c r="HX484"/>
  <c r="HY484"/>
  <c r="HZ484"/>
  <c r="IA484"/>
  <c r="IB484"/>
  <c r="IC484"/>
  <c r="ID484"/>
  <c r="IE484"/>
  <c r="IF484"/>
  <c r="IG484"/>
  <c r="IH484"/>
  <c r="II484"/>
  <c r="IJ484"/>
  <c r="IK484"/>
  <c r="IL484"/>
  <c r="IM484"/>
  <c r="IN484"/>
  <c r="IO484"/>
  <c r="IP484"/>
  <c r="IQ484"/>
  <c r="IR484"/>
  <c r="IS484"/>
  <c r="IT484"/>
  <c r="IU484"/>
  <c r="IV484"/>
  <c r="A485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Z485"/>
  <c r="AA485"/>
  <c r="AB485"/>
  <c r="AC485"/>
  <c r="AD485"/>
  <c r="AE485"/>
  <c r="AF485"/>
  <c r="AG485"/>
  <c r="AH485"/>
  <c r="AI485"/>
  <c r="AJ485"/>
  <c r="AK485"/>
  <c r="AL485"/>
  <c r="AM485"/>
  <c r="AN485"/>
  <c r="AO485"/>
  <c r="AP485"/>
  <c r="AQ485"/>
  <c r="AR485"/>
  <c r="AS485"/>
  <c r="AT485"/>
  <c r="AU485"/>
  <c r="AV485"/>
  <c r="AW485"/>
  <c r="AX485"/>
  <c r="AY485"/>
  <c r="AZ485"/>
  <c r="BA485"/>
  <c r="BB485"/>
  <c r="BC485"/>
  <c r="BD485"/>
  <c r="BE485"/>
  <c r="BF485"/>
  <c r="BG485"/>
  <c r="BH485"/>
  <c r="BI485"/>
  <c r="BJ485"/>
  <c r="BK485"/>
  <c r="BL485"/>
  <c r="BM485"/>
  <c r="BN485"/>
  <c r="BO485"/>
  <c r="BP485"/>
  <c r="BQ485"/>
  <c r="BR485"/>
  <c r="BS485"/>
  <c r="BT485"/>
  <c r="BU485"/>
  <c r="BV485"/>
  <c r="BW485"/>
  <c r="BX485"/>
  <c r="BY485"/>
  <c r="BZ485"/>
  <c r="CA485"/>
  <c r="CB485"/>
  <c r="CC485"/>
  <c r="CD485"/>
  <c r="CE485"/>
  <c r="CF485"/>
  <c r="CG485"/>
  <c r="CH485"/>
  <c r="CI485"/>
  <c r="CJ485"/>
  <c r="CK485"/>
  <c r="CL485"/>
  <c r="CM485"/>
  <c r="CN485"/>
  <c r="CO485"/>
  <c r="CP485"/>
  <c r="CQ485"/>
  <c r="CR485"/>
  <c r="CS485"/>
  <c r="CT485"/>
  <c r="CU485"/>
  <c r="CV485"/>
  <c r="CW485"/>
  <c r="CX485"/>
  <c r="CY485"/>
  <c r="CZ485"/>
  <c r="DA485"/>
  <c r="DB485"/>
  <c r="DC485"/>
  <c r="DD485"/>
  <c r="DE485"/>
  <c r="DF485"/>
  <c r="DG485"/>
  <c r="DH485"/>
  <c r="DI485"/>
  <c r="DJ485"/>
  <c r="DK485"/>
  <c r="DL485"/>
  <c r="DM485"/>
  <c r="DN485"/>
  <c r="DO485"/>
  <c r="DP485"/>
  <c r="DQ485"/>
  <c r="DR485"/>
  <c r="DS485"/>
  <c r="DT485"/>
  <c r="DU485"/>
  <c r="DV485"/>
  <c r="DW485"/>
  <c r="DX485"/>
  <c r="DY485"/>
  <c r="DZ485"/>
  <c r="EA485"/>
  <c r="EB485"/>
  <c r="EC485"/>
  <c r="ED485"/>
  <c r="EE485"/>
  <c r="EF485"/>
  <c r="EG485"/>
  <c r="EH485"/>
  <c r="EI485"/>
  <c r="EJ485"/>
  <c r="EK485"/>
  <c r="EL485"/>
  <c r="EM485"/>
  <c r="EN485"/>
  <c r="EO485"/>
  <c r="EP485"/>
  <c r="EQ485"/>
  <c r="ER485"/>
  <c r="ES485"/>
  <c r="ET485"/>
  <c r="EU485"/>
  <c r="EV485"/>
  <c r="EW485"/>
  <c r="EX485"/>
  <c r="EY485"/>
  <c r="EZ485"/>
  <c r="FA485"/>
  <c r="FB485"/>
  <c r="FC485"/>
  <c r="FD485"/>
  <c r="FE485"/>
  <c r="FF485"/>
  <c r="FG485"/>
  <c r="FH485"/>
  <c r="FI485"/>
  <c r="FJ485"/>
  <c r="FK485"/>
  <c r="FL485"/>
  <c r="FM485"/>
  <c r="FN485"/>
  <c r="FO485"/>
  <c r="FP485"/>
  <c r="FQ485"/>
  <c r="FR485"/>
  <c r="FS485"/>
  <c r="FT485"/>
  <c r="FU485"/>
  <c r="FV485"/>
  <c r="FW485"/>
  <c r="FX485"/>
  <c r="FY485"/>
  <c r="FZ485"/>
  <c r="GA485"/>
  <c r="GB485"/>
  <c r="GC485"/>
  <c r="GD485"/>
  <c r="GE485"/>
  <c r="GF485"/>
  <c r="GG485"/>
  <c r="GH485"/>
  <c r="GI485"/>
  <c r="GJ485"/>
  <c r="GK485"/>
  <c r="GL485"/>
  <c r="GM485"/>
  <c r="GN485"/>
  <c r="GO485"/>
  <c r="GP485"/>
  <c r="GQ485"/>
  <c r="GR485"/>
  <c r="GS485"/>
  <c r="GT485"/>
  <c r="GU485"/>
  <c r="GV485"/>
  <c r="GW485"/>
  <c r="GX485"/>
  <c r="GY485"/>
  <c r="GZ485"/>
  <c r="HA485"/>
  <c r="HB485"/>
  <c r="HC485"/>
  <c r="HD485"/>
  <c r="HE485"/>
  <c r="HF485"/>
  <c r="HG485"/>
  <c r="HH485"/>
  <c r="HI485"/>
  <c r="HJ485"/>
  <c r="HK485"/>
  <c r="HL485"/>
  <c r="HM485"/>
  <c r="HN485"/>
  <c r="HO485"/>
  <c r="HP485"/>
  <c r="HQ485"/>
  <c r="HR485"/>
  <c r="HS485"/>
  <c r="HT485"/>
  <c r="HU485"/>
  <c r="HV485"/>
  <c r="HW485"/>
  <c r="HX485"/>
  <c r="HY485"/>
  <c r="HZ485"/>
  <c r="IA485"/>
  <c r="IB485"/>
  <c r="IC485"/>
  <c r="ID485"/>
  <c r="IE485"/>
  <c r="IF485"/>
  <c r="IG485"/>
  <c r="IH485"/>
  <c r="II485"/>
  <c r="IJ485"/>
  <c r="IK485"/>
  <c r="IL485"/>
  <c r="IM485"/>
  <c r="IN485"/>
  <c r="IO485"/>
  <c r="IP485"/>
  <c r="IQ485"/>
  <c r="IR485"/>
  <c r="IS485"/>
  <c r="IT485"/>
  <c r="IU485"/>
  <c r="IV485"/>
  <c r="A486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Z486"/>
  <c r="AA486"/>
  <c r="AB486"/>
  <c r="AC486"/>
  <c r="AD486"/>
  <c r="AE486"/>
  <c r="AF486"/>
  <c r="AG486"/>
  <c r="AH486"/>
  <c r="AI486"/>
  <c r="AJ486"/>
  <c r="AK486"/>
  <c r="AL486"/>
  <c r="AM486"/>
  <c r="AN486"/>
  <c r="AO486"/>
  <c r="AP486"/>
  <c r="AQ486"/>
  <c r="AR486"/>
  <c r="AS486"/>
  <c r="AT486"/>
  <c r="AU486"/>
  <c r="AV486"/>
  <c r="AW486"/>
  <c r="AX486"/>
  <c r="AY486"/>
  <c r="AZ486"/>
  <c r="BA486"/>
  <c r="BB486"/>
  <c r="BC486"/>
  <c r="BD486"/>
  <c r="BE486"/>
  <c r="BF486"/>
  <c r="BG486"/>
  <c r="BH486"/>
  <c r="BI486"/>
  <c r="BJ486"/>
  <c r="BK486"/>
  <c r="BL486"/>
  <c r="BM486"/>
  <c r="BN486"/>
  <c r="BO486"/>
  <c r="BP486"/>
  <c r="BQ486"/>
  <c r="BR486"/>
  <c r="BS486"/>
  <c r="BT486"/>
  <c r="BU486"/>
  <c r="BV486"/>
  <c r="BW486"/>
  <c r="BX486"/>
  <c r="BY486"/>
  <c r="BZ486"/>
  <c r="CA486"/>
  <c r="CB486"/>
  <c r="CC486"/>
  <c r="CD486"/>
  <c r="CE486"/>
  <c r="CF486"/>
  <c r="CG486"/>
  <c r="CH486"/>
  <c r="CI486"/>
  <c r="CJ486"/>
  <c r="CK486"/>
  <c r="CL486"/>
  <c r="CM486"/>
  <c r="CN486"/>
  <c r="CO486"/>
  <c r="CP486"/>
  <c r="CQ486"/>
  <c r="CR486"/>
  <c r="CS486"/>
  <c r="CT486"/>
  <c r="CU486"/>
  <c r="CV486"/>
  <c r="CW486"/>
  <c r="CX486"/>
  <c r="CY486"/>
  <c r="CZ486"/>
  <c r="DA486"/>
  <c r="DB486"/>
  <c r="DC486"/>
  <c r="DD486"/>
  <c r="DE486"/>
  <c r="DF486"/>
  <c r="DG486"/>
  <c r="DH486"/>
  <c r="DI486"/>
  <c r="DJ486"/>
  <c r="DK486"/>
  <c r="DL486"/>
  <c r="DM486"/>
  <c r="DN486"/>
  <c r="DO486"/>
  <c r="DP486"/>
  <c r="DQ486"/>
  <c r="DR486"/>
  <c r="DS486"/>
  <c r="DT486"/>
  <c r="DU486"/>
  <c r="DV486"/>
  <c r="DW486"/>
  <c r="DX486"/>
  <c r="DY486"/>
  <c r="DZ486"/>
  <c r="EA486"/>
  <c r="EB486"/>
  <c r="EC486"/>
  <c r="ED486"/>
  <c r="EE486"/>
  <c r="EF486"/>
  <c r="EG486"/>
  <c r="EH486"/>
  <c r="EI486"/>
  <c r="EJ486"/>
  <c r="EK486"/>
  <c r="EL486"/>
  <c r="EM486"/>
  <c r="EN486"/>
  <c r="EO486"/>
  <c r="EP486"/>
  <c r="EQ486"/>
  <c r="ER486"/>
  <c r="ES486"/>
  <c r="ET486"/>
  <c r="EU486"/>
  <c r="EV486"/>
  <c r="EW486"/>
  <c r="EX486"/>
  <c r="EY486"/>
  <c r="EZ486"/>
  <c r="FA486"/>
  <c r="FB486"/>
  <c r="FC486"/>
  <c r="FD486"/>
  <c r="FE486"/>
  <c r="FF486"/>
  <c r="FG486"/>
  <c r="FH486"/>
  <c r="FI486"/>
  <c r="FJ486"/>
  <c r="FK486"/>
  <c r="FL486"/>
  <c r="FM486"/>
  <c r="FN486"/>
  <c r="FO486"/>
  <c r="FP486"/>
  <c r="FQ486"/>
  <c r="FR486"/>
  <c r="FS486"/>
  <c r="FT486"/>
  <c r="FU486"/>
  <c r="FV486"/>
  <c r="FW486"/>
  <c r="FX486"/>
  <c r="FY486"/>
  <c r="FZ486"/>
  <c r="GA486"/>
  <c r="GB486"/>
  <c r="GC486"/>
  <c r="GD486"/>
  <c r="GE486"/>
  <c r="GF486"/>
  <c r="GG486"/>
  <c r="GH486"/>
  <c r="GI486"/>
  <c r="GJ486"/>
  <c r="GK486"/>
  <c r="GL486"/>
  <c r="GM486"/>
  <c r="GN486"/>
  <c r="GO486"/>
  <c r="GP486"/>
  <c r="GQ486"/>
  <c r="GR486"/>
  <c r="GS486"/>
  <c r="GT486"/>
  <c r="GU486"/>
  <c r="GV486"/>
  <c r="GW486"/>
  <c r="GX486"/>
  <c r="GY486"/>
  <c r="GZ486"/>
  <c r="HA486"/>
  <c r="HB486"/>
  <c r="HC486"/>
  <c r="HD486"/>
  <c r="HE486"/>
  <c r="HF486"/>
  <c r="HG486"/>
  <c r="HH486"/>
  <c r="HI486"/>
  <c r="HJ486"/>
  <c r="HK486"/>
  <c r="HL486"/>
  <c r="HM486"/>
  <c r="HN486"/>
  <c r="HO486"/>
  <c r="HP486"/>
  <c r="HQ486"/>
  <c r="HR486"/>
  <c r="HS486"/>
  <c r="HT486"/>
  <c r="HU486"/>
  <c r="HV486"/>
  <c r="HW486"/>
  <c r="HX486"/>
  <c r="HY486"/>
  <c r="HZ486"/>
  <c r="IA486"/>
  <c r="IB486"/>
  <c r="IC486"/>
  <c r="ID486"/>
  <c r="IE486"/>
  <c r="IF486"/>
  <c r="IG486"/>
  <c r="IH486"/>
  <c r="II486"/>
  <c r="IJ486"/>
  <c r="IK486"/>
  <c r="IL486"/>
  <c r="IM486"/>
  <c r="IN486"/>
  <c r="IO486"/>
  <c r="IP486"/>
  <c r="IQ486"/>
  <c r="IR486"/>
  <c r="IS486"/>
  <c r="IT486"/>
  <c r="IU486"/>
  <c r="IV486"/>
  <c r="A487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Z487"/>
  <c r="AA487"/>
  <c r="AB487"/>
  <c r="AC487"/>
  <c r="AD487"/>
  <c r="AE487"/>
  <c r="AF487"/>
  <c r="AG487"/>
  <c r="AH487"/>
  <c r="AI487"/>
  <c r="AJ487"/>
  <c r="AK487"/>
  <c r="AL487"/>
  <c r="AM487"/>
  <c r="AN487"/>
  <c r="AO487"/>
  <c r="AP487"/>
  <c r="AQ487"/>
  <c r="AR487"/>
  <c r="AS487"/>
  <c r="AT487"/>
  <c r="AU487"/>
  <c r="AV487"/>
  <c r="AW487"/>
  <c r="AX487"/>
  <c r="AY487"/>
  <c r="AZ487"/>
  <c r="BA487"/>
  <c r="BB487"/>
  <c r="BC487"/>
  <c r="BD487"/>
  <c r="BE487"/>
  <c r="BF487"/>
  <c r="BG487"/>
  <c r="BH487"/>
  <c r="BI487"/>
  <c r="BJ487"/>
  <c r="BK487"/>
  <c r="BL487"/>
  <c r="BM487"/>
  <c r="BN487"/>
  <c r="BO487"/>
  <c r="BP487"/>
  <c r="BQ487"/>
  <c r="BR487"/>
  <c r="BS487"/>
  <c r="BT487"/>
  <c r="BU487"/>
  <c r="BV487"/>
  <c r="BW487"/>
  <c r="BX487"/>
  <c r="BY487"/>
  <c r="BZ487"/>
  <c r="CA487"/>
  <c r="CB487"/>
  <c r="CC487"/>
  <c r="CD487"/>
  <c r="CE487"/>
  <c r="CF487"/>
  <c r="CG487"/>
  <c r="CH487"/>
  <c r="CI487"/>
  <c r="CJ487"/>
  <c r="CK487"/>
  <c r="CL487"/>
  <c r="CM487"/>
  <c r="CN487"/>
  <c r="CO487"/>
  <c r="CP487"/>
  <c r="CQ487"/>
  <c r="CR487"/>
  <c r="CS487"/>
  <c r="CT487"/>
  <c r="CU487"/>
  <c r="CV487"/>
  <c r="CW487"/>
  <c r="CX487"/>
  <c r="CY487"/>
  <c r="CZ487"/>
  <c r="DA487"/>
  <c r="DB487"/>
  <c r="DC487"/>
  <c r="DD487"/>
  <c r="DE487"/>
  <c r="DF487"/>
  <c r="DG487"/>
  <c r="DH487"/>
  <c r="DI487"/>
  <c r="DJ487"/>
  <c r="DK487"/>
  <c r="DL487"/>
  <c r="DM487"/>
  <c r="DN487"/>
  <c r="DO487"/>
  <c r="DP487"/>
  <c r="DQ487"/>
  <c r="DR487"/>
  <c r="DS487"/>
  <c r="DT487"/>
  <c r="DU487"/>
  <c r="DV487"/>
  <c r="DW487"/>
  <c r="DX487"/>
  <c r="DY487"/>
  <c r="DZ487"/>
  <c r="EA487"/>
  <c r="EB487"/>
  <c r="EC487"/>
  <c r="ED487"/>
  <c r="EE487"/>
  <c r="EF487"/>
  <c r="EG487"/>
  <c r="EH487"/>
  <c r="EI487"/>
  <c r="EJ487"/>
  <c r="EK487"/>
  <c r="EL487"/>
  <c r="EM487"/>
  <c r="EN487"/>
  <c r="EO487"/>
  <c r="EP487"/>
  <c r="EQ487"/>
  <c r="ER487"/>
  <c r="ES487"/>
  <c r="ET487"/>
  <c r="EU487"/>
  <c r="EV487"/>
  <c r="EW487"/>
  <c r="EX487"/>
  <c r="EY487"/>
  <c r="EZ487"/>
  <c r="FA487"/>
  <c r="FB487"/>
  <c r="FC487"/>
  <c r="FD487"/>
  <c r="FE487"/>
  <c r="FF487"/>
  <c r="FG487"/>
  <c r="FH487"/>
  <c r="FI487"/>
  <c r="FJ487"/>
  <c r="FK487"/>
  <c r="FL487"/>
  <c r="FM487"/>
  <c r="FN487"/>
  <c r="FO487"/>
  <c r="FP487"/>
  <c r="FQ487"/>
  <c r="FR487"/>
  <c r="FS487"/>
  <c r="FT487"/>
  <c r="FU487"/>
  <c r="FV487"/>
  <c r="FW487"/>
  <c r="FX487"/>
  <c r="FY487"/>
  <c r="FZ487"/>
  <c r="GA487"/>
  <c r="GB487"/>
  <c r="GC487"/>
  <c r="GD487"/>
  <c r="GE487"/>
  <c r="GF487"/>
  <c r="GG487"/>
  <c r="GH487"/>
  <c r="GI487"/>
  <c r="GJ487"/>
  <c r="GK487"/>
  <c r="GL487"/>
  <c r="GM487"/>
  <c r="GN487"/>
  <c r="GO487"/>
  <c r="GP487"/>
  <c r="GQ487"/>
  <c r="GR487"/>
  <c r="GS487"/>
  <c r="GT487"/>
  <c r="GU487"/>
  <c r="GV487"/>
  <c r="GW487"/>
  <c r="GX487"/>
  <c r="GY487"/>
  <c r="GZ487"/>
  <c r="HA487"/>
  <c r="HB487"/>
  <c r="HC487"/>
  <c r="HD487"/>
  <c r="HE487"/>
  <c r="HF487"/>
  <c r="HG487"/>
  <c r="HH487"/>
  <c r="HI487"/>
  <c r="HJ487"/>
  <c r="HK487"/>
  <c r="HL487"/>
  <c r="HM487"/>
  <c r="HN487"/>
  <c r="HO487"/>
  <c r="HP487"/>
  <c r="HQ487"/>
  <c r="HR487"/>
  <c r="HS487"/>
  <c r="HT487"/>
  <c r="HU487"/>
  <c r="HV487"/>
  <c r="HW487"/>
  <c r="HX487"/>
  <c r="HY487"/>
  <c r="HZ487"/>
  <c r="IA487"/>
  <c r="IB487"/>
  <c r="IC487"/>
  <c r="ID487"/>
  <c r="IE487"/>
  <c r="IF487"/>
  <c r="IG487"/>
  <c r="IH487"/>
  <c r="II487"/>
  <c r="IJ487"/>
  <c r="IK487"/>
  <c r="IL487"/>
  <c r="IM487"/>
  <c r="IN487"/>
  <c r="IO487"/>
  <c r="IP487"/>
  <c r="IQ487"/>
  <c r="IR487"/>
  <c r="IS487"/>
  <c r="IT487"/>
  <c r="IU487"/>
  <c r="IV487"/>
  <c r="A488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Z488"/>
  <c r="AA488"/>
  <c r="AB488"/>
  <c r="AC488"/>
  <c r="AD488"/>
  <c r="AE488"/>
  <c r="AF488"/>
  <c r="AG488"/>
  <c r="AH488"/>
  <c r="AI488"/>
  <c r="AJ488"/>
  <c r="AK488"/>
  <c r="AL488"/>
  <c r="AM488"/>
  <c r="AN488"/>
  <c r="AO488"/>
  <c r="AP488"/>
  <c r="AQ488"/>
  <c r="AR488"/>
  <c r="AS488"/>
  <c r="AT488"/>
  <c r="AU488"/>
  <c r="AV488"/>
  <c r="AW488"/>
  <c r="AX488"/>
  <c r="AY488"/>
  <c r="AZ488"/>
  <c r="BA488"/>
  <c r="BB488"/>
  <c r="BC488"/>
  <c r="BD488"/>
  <c r="BE488"/>
  <c r="BF488"/>
  <c r="BG488"/>
  <c r="BH488"/>
  <c r="BI488"/>
  <c r="BJ488"/>
  <c r="BK488"/>
  <c r="BL488"/>
  <c r="BM488"/>
  <c r="BN488"/>
  <c r="BO488"/>
  <c r="BP488"/>
  <c r="BQ488"/>
  <c r="BR488"/>
  <c r="BS488"/>
  <c r="BT488"/>
  <c r="BU488"/>
  <c r="BV488"/>
  <c r="BW488"/>
  <c r="BX488"/>
  <c r="BY488"/>
  <c r="BZ488"/>
  <c r="CA488"/>
  <c r="CB488"/>
  <c r="CC488"/>
  <c r="CD488"/>
  <c r="CE488"/>
  <c r="CF488"/>
  <c r="CG488"/>
  <c r="CH488"/>
  <c r="CI488"/>
  <c r="CJ488"/>
  <c r="CK488"/>
  <c r="CL488"/>
  <c r="CM488"/>
  <c r="CN488"/>
  <c r="CO488"/>
  <c r="CP488"/>
  <c r="CQ488"/>
  <c r="CR488"/>
  <c r="CS488"/>
  <c r="CT488"/>
  <c r="CU488"/>
  <c r="CV488"/>
  <c r="CW488"/>
  <c r="CX488"/>
  <c r="CY488"/>
  <c r="CZ488"/>
  <c r="DA488"/>
  <c r="DB488"/>
  <c r="DC488"/>
  <c r="DD488"/>
  <c r="DE488"/>
  <c r="DF488"/>
  <c r="DG488"/>
  <c r="DH488"/>
  <c r="DI488"/>
  <c r="DJ488"/>
  <c r="DK488"/>
  <c r="DL488"/>
  <c r="DM488"/>
  <c r="DN488"/>
  <c r="DO488"/>
  <c r="DP488"/>
  <c r="DQ488"/>
  <c r="DR488"/>
  <c r="DS488"/>
  <c r="DT488"/>
  <c r="DU488"/>
  <c r="DV488"/>
  <c r="DW488"/>
  <c r="DX488"/>
  <c r="DY488"/>
  <c r="DZ488"/>
  <c r="EA488"/>
  <c r="EB488"/>
  <c r="EC488"/>
  <c r="ED488"/>
  <c r="EE488"/>
  <c r="EF488"/>
  <c r="EG488"/>
  <c r="EH488"/>
  <c r="EI488"/>
  <c r="EJ488"/>
  <c r="EK488"/>
  <c r="EL488"/>
  <c r="EM488"/>
  <c r="EN488"/>
  <c r="EO488"/>
  <c r="EP488"/>
  <c r="EQ488"/>
  <c r="ER488"/>
  <c r="ES488"/>
  <c r="ET488"/>
  <c r="EU488"/>
  <c r="EV488"/>
  <c r="EW488"/>
  <c r="EX488"/>
  <c r="EY488"/>
  <c r="EZ488"/>
  <c r="FA488"/>
  <c r="FB488"/>
  <c r="FC488"/>
  <c r="FD488"/>
  <c r="FE488"/>
  <c r="FF488"/>
  <c r="FG488"/>
  <c r="FH488"/>
  <c r="FI488"/>
  <c r="FJ488"/>
  <c r="FK488"/>
  <c r="FL488"/>
  <c r="FM488"/>
  <c r="FN488"/>
  <c r="FO488"/>
  <c r="FP488"/>
  <c r="FQ488"/>
  <c r="FR488"/>
  <c r="FS488"/>
  <c r="FT488"/>
  <c r="FU488"/>
  <c r="FV488"/>
  <c r="FW488"/>
  <c r="FX488"/>
  <c r="FY488"/>
  <c r="FZ488"/>
  <c r="GA488"/>
  <c r="GB488"/>
  <c r="GC488"/>
  <c r="GD488"/>
  <c r="GE488"/>
  <c r="GF488"/>
  <c r="GG488"/>
  <c r="GH488"/>
  <c r="GI488"/>
  <c r="GJ488"/>
  <c r="GK488"/>
  <c r="GL488"/>
  <c r="GM488"/>
  <c r="GN488"/>
  <c r="GO488"/>
  <c r="GP488"/>
  <c r="GQ488"/>
  <c r="GR488"/>
  <c r="GS488"/>
  <c r="GT488"/>
  <c r="GU488"/>
  <c r="GV488"/>
  <c r="GW488"/>
  <c r="GX488"/>
  <c r="GY488"/>
  <c r="GZ488"/>
  <c r="HA488"/>
  <c r="HB488"/>
  <c r="HC488"/>
  <c r="HD488"/>
  <c r="HE488"/>
  <c r="HF488"/>
  <c r="HG488"/>
  <c r="HH488"/>
  <c r="HI488"/>
  <c r="HJ488"/>
  <c r="HK488"/>
  <c r="HL488"/>
  <c r="HM488"/>
  <c r="HN488"/>
  <c r="HO488"/>
  <c r="HP488"/>
  <c r="HQ488"/>
  <c r="HR488"/>
  <c r="HS488"/>
  <c r="HT488"/>
  <c r="HU488"/>
  <c r="HV488"/>
  <c r="HW488"/>
  <c r="HX488"/>
  <c r="HY488"/>
  <c r="HZ488"/>
  <c r="IA488"/>
  <c r="IB488"/>
  <c r="IC488"/>
  <c r="ID488"/>
  <c r="IE488"/>
  <c r="IF488"/>
  <c r="IG488"/>
  <c r="IH488"/>
  <c r="II488"/>
  <c r="IJ488"/>
  <c r="IK488"/>
  <c r="IL488"/>
  <c r="IM488"/>
  <c r="IN488"/>
  <c r="IO488"/>
  <c r="IP488"/>
  <c r="IQ488"/>
  <c r="IR488"/>
  <c r="IS488"/>
  <c r="IT488"/>
  <c r="IU488"/>
  <c r="IV488"/>
  <c r="A489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Z489"/>
  <c r="AA489"/>
  <c r="AB489"/>
  <c r="AC489"/>
  <c r="AD489"/>
  <c r="AE489"/>
  <c r="AF489"/>
  <c r="AG489"/>
  <c r="AH489"/>
  <c r="AI489"/>
  <c r="AJ489"/>
  <c r="AK489"/>
  <c r="AL489"/>
  <c r="AM489"/>
  <c r="AN489"/>
  <c r="AO489"/>
  <c r="AP489"/>
  <c r="AQ489"/>
  <c r="AR489"/>
  <c r="AS489"/>
  <c r="AT489"/>
  <c r="AU489"/>
  <c r="AV489"/>
  <c r="AW489"/>
  <c r="AX489"/>
  <c r="AY489"/>
  <c r="AZ489"/>
  <c r="BA489"/>
  <c r="BB489"/>
  <c r="BC489"/>
  <c r="BD489"/>
  <c r="BE489"/>
  <c r="BF489"/>
  <c r="BG489"/>
  <c r="BH489"/>
  <c r="BI489"/>
  <c r="BJ489"/>
  <c r="BK489"/>
  <c r="BL489"/>
  <c r="BM489"/>
  <c r="BN489"/>
  <c r="BO489"/>
  <c r="BP489"/>
  <c r="BQ489"/>
  <c r="BR489"/>
  <c r="BS489"/>
  <c r="BT489"/>
  <c r="BU489"/>
  <c r="BV489"/>
  <c r="BW489"/>
  <c r="BX489"/>
  <c r="BY489"/>
  <c r="BZ489"/>
  <c r="CA489"/>
  <c r="CB489"/>
  <c r="CC489"/>
  <c r="CD489"/>
  <c r="CE489"/>
  <c r="CF489"/>
  <c r="CG489"/>
  <c r="CH489"/>
  <c r="CI489"/>
  <c r="CJ489"/>
  <c r="CK489"/>
  <c r="CL489"/>
  <c r="CM489"/>
  <c r="CN489"/>
  <c r="CO489"/>
  <c r="CP489"/>
  <c r="CQ489"/>
  <c r="CR489"/>
  <c r="CS489"/>
  <c r="CT489"/>
  <c r="CU489"/>
  <c r="CV489"/>
  <c r="CW489"/>
  <c r="CX489"/>
  <c r="CY489"/>
  <c r="CZ489"/>
  <c r="DA489"/>
  <c r="DB489"/>
  <c r="DC489"/>
  <c r="DD489"/>
  <c r="DE489"/>
  <c r="DF489"/>
  <c r="DG489"/>
  <c r="DH489"/>
  <c r="DI489"/>
  <c r="DJ489"/>
  <c r="DK489"/>
  <c r="DL489"/>
  <c r="DM489"/>
  <c r="DN489"/>
  <c r="DO489"/>
  <c r="DP489"/>
  <c r="DQ489"/>
  <c r="DR489"/>
  <c r="DS489"/>
  <c r="DT489"/>
  <c r="DU489"/>
  <c r="DV489"/>
  <c r="DW489"/>
  <c r="DX489"/>
  <c r="DY489"/>
  <c r="DZ489"/>
  <c r="EA489"/>
  <c r="EB489"/>
  <c r="EC489"/>
  <c r="ED489"/>
  <c r="EE489"/>
  <c r="EF489"/>
  <c r="EG489"/>
  <c r="EH489"/>
  <c r="EI489"/>
  <c r="EJ489"/>
  <c r="EK489"/>
  <c r="EL489"/>
  <c r="EM489"/>
  <c r="EN489"/>
  <c r="EO489"/>
  <c r="EP489"/>
  <c r="EQ489"/>
  <c r="ER489"/>
  <c r="ES489"/>
  <c r="ET489"/>
  <c r="EU489"/>
  <c r="EV489"/>
  <c r="EW489"/>
  <c r="EX489"/>
  <c r="EY489"/>
  <c r="EZ489"/>
  <c r="FA489"/>
  <c r="FB489"/>
  <c r="FC489"/>
  <c r="FD489"/>
  <c r="FE489"/>
  <c r="FF489"/>
  <c r="FG489"/>
  <c r="FH489"/>
  <c r="FI489"/>
  <c r="FJ489"/>
  <c r="FK489"/>
  <c r="FL489"/>
  <c r="FM489"/>
  <c r="FN489"/>
  <c r="FO489"/>
  <c r="FP489"/>
  <c r="FQ489"/>
  <c r="FR489"/>
  <c r="FS489"/>
  <c r="FT489"/>
  <c r="FU489"/>
  <c r="FV489"/>
  <c r="FW489"/>
  <c r="FX489"/>
  <c r="FY489"/>
  <c r="FZ489"/>
  <c r="GA489"/>
  <c r="GB489"/>
  <c r="GC489"/>
  <c r="GD489"/>
  <c r="GE489"/>
  <c r="GF489"/>
  <c r="GG489"/>
  <c r="GH489"/>
  <c r="GI489"/>
  <c r="GJ489"/>
  <c r="GK489"/>
  <c r="GL489"/>
  <c r="GM489"/>
  <c r="GN489"/>
  <c r="GO489"/>
  <c r="GP489"/>
  <c r="GQ489"/>
  <c r="GR489"/>
  <c r="GS489"/>
  <c r="GT489"/>
  <c r="GU489"/>
  <c r="GV489"/>
  <c r="GW489"/>
  <c r="GX489"/>
  <c r="GY489"/>
  <c r="GZ489"/>
  <c r="HA489"/>
  <c r="HB489"/>
  <c r="HC489"/>
  <c r="HD489"/>
  <c r="HE489"/>
  <c r="HF489"/>
  <c r="HG489"/>
  <c r="HH489"/>
  <c r="HI489"/>
  <c r="HJ489"/>
  <c r="HK489"/>
  <c r="HL489"/>
  <c r="HM489"/>
  <c r="HN489"/>
  <c r="HO489"/>
  <c r="HP489"/>
  <c r="HQ489"/>
  <c r="HR489"/>
  <c r="HS489"/>
  <c r="HT489"/>
  <c r="HU489"/>
  <c r="HV489"/>
  <c r="HW489"/>
  <c r="HX489"/>
  <c r="HY489"/>
  <c r="HZ489"/>
  <c r="IA489"/>
  <c r="IB489"/>
  <c r="IC489"/>
  <c r="ID489"/>
  <c r="IE489"/>
  <c r="IF489"/>
  <c r="IG489"/>
  <c r="IH489"/>
  <c r="II489"/>
  <c r="IJ489"/>
  <c r="IK489"/>
  <c r="IL489"/>
  <c r="IM489"/>
  <c r="IN489"/>
  <c r="IO489"/>
  <c r="IP489"/>
  <c r="IQ489"/>
  <c r="IR489"/>
  <c r="IS489"/>
  <c r="IT489"/>
  <c r="IU489"/>
  <c r="IV489"/>
  <c r="A490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Z490"/>
  <c r="AA490"/>
  <c r="AB490"/>
  <c r="AC490"/>
  <c r="AD490"/>
  <c r="AE490"/>
  <c r="AF490"/>
  <c r="AG490"/>
  <c r="AH490"/>
  <c r="AI490"/>
  <c r="AJ490"/>
  <c r="AK490"/>
  <c r="AL490"/>
  <c r="AM490"/>
  <c r="AN490"/>
  <c r="AO490"/>
  <c r="AP490"/>
  <c r="AQ490"/>
  <c r="AR490"/>
  <c r="AS490"/>
  <c r="AT490"/>
  <c r="AU490"/>
  <c r="AV490"/>
  <c r="AW490"/>
  <c r="AX490"/>
  <c r="AY490"/>
  <c r="AZ490"/>
  <c r="BA490"/>
  <c r="BB490"/>
  <c r="BC490"/>
  <c r="BD490"/>
  <c r="BE490"/>
  <c r="BF490"/>
  <c r="BG490"/>
  <c r="BH490"/>
  <c r="BI490"/>
  <c r="BJ490"/>
  <c r="BK490"/>
  <c r="BL490"/>
  <c r="BM490"/>
  <c r="BN490"/>
  <c r="BO490"/>
  <c r="BP490"/>
  <c r="BQ490"/>
  <c r="BR490"/>
  <c r="BS490"/>
  <c r="BT490"/>
  <c r="BU490"/>
  <c r="BV490"/>
  <c r="BW490"/>
  <c r="BX490"/>
  <c r="BY490"/>
  <c r="BZ490"/>
  <c r="CA490"/>
  <c r="CB490"/>
  <c r="CC490"/>
  <c r="CD490"/>
  <c r="CE490"/>
  <c r="CF490"/>
  <c r="CG490"/>
  <c r="CH490"/>
  <c r="CI490"/>
  <c r="CJ490"/>
  <c r="CK490"/>
  <c r="CL490"/>
  <c r="CM490"/>
  <c r="CN490"/>
  <c r="CO490"/>
  <c r="CP490"/>
  <c r="CQ490"/>
  <c r="CR490"/>
  <c r="CS490"/>
  <c r="CT490"/>
  <c r="CU490"/>
  <c r="CV490"/>
  <c r="CW490"/>
  <c r="CX490"/>
  <c r="CY490"/>
  <c r="CZ490"/>
  <c r="DA490"/>
  <c r="DB490"/>
  <c r="DC490"/>
  <c r="DD490"/>
  <c r="DE490"/>
  <c r="DF490"/>
  <c r="DG490"/>
  <c r="DH490"/>
  <c r="DI490"/>
  <c r="DJ490"/>
  <c r="DK490"/>
  <c r="DL490"/>
  <c r="DM490"/>
  <c r="DN490"/>
  <c r="DO490"/>
  <c r="DP490"/>
  <c r="DQ490"/>
  <c r="DR490"/>
  <c r="DS490"/>
  <c r="DT490"/>
  <c r="DU490"/>
  <c r="DV490"/>
  <c r="DW490"/>
  <c r="DX490"/>
  <c r="DY490"/>
  <c r="DZ490"/>
  <c r="EA490"/>
  <c r="EB490"/>
  <c r="EC490"/>
  <c r="ED490"/>
  <c r="EE490"/>
  <c r="EF490"/>
  <c r="EG490"/>
  <c r="EH490"/>
  <c r="EI490"/>
  <c r="EJ490"/>
  <c r="EK490"/>
  <c r="EL490"/>
  <c r="EM490"/>
  <c r="EN490"/>
  <c r="EO490"/>
  <c r="EP490"/>
  <c r="EQ490"/>
  <c r="ER490"/>
  <c r="ES490"/>
  <c r="ET490"/>
  <c r="EU490"/>
  <c r="EV490"/>
  <c r="EW490"/>
  <c r="EX490"/>
  <c r="EY490"/>
  <c r="EZ490"/>
  <c r="FA490"/>
  <c r="FB490"/>
  <c r="FC490"/>
  <c r="FD490"/>
  <c r="FE490"/>
  <c r="FF490"/>
  <c r="FG490"/>
  <c r="FH490"/>
  <c r="FI490"/>
  <c r="FJ490"/>
  <c r="FK490"/>
  <c r="FL490"/>
  <c r="FM490"/>
  <c r="FN490"/>
  <c r="FO490"/>
  <c r="FP490"/>
  <c r="FQ490"/>
  <c r="FR490"/>
  <c r="FS490"/>
  <c r="FT490"/>
  <c r="FU490"/>
  <c r="FV490"/>
  <c r="FW490"/>
  <c r="FX490"/>
  <c r="FY490"/>
  <c r="FZ490"/>
  <c r="GA490"/>
  <c r="GB490"/>
  <c r="GC490"/>
  <c r="GD490"/>
  <c r="GE490"/>
  <c r="GF490"/>
  <c r="GG490"/>
  <c r="GH490"/>
  <c r="GI490"/>
  <c r="GJ490"/>
  <c r="GK490"/>
  <c r="GL490"/>
  <c r="GM490"/>
  <c r="GN490"/>
  <c r="GO490"/>
  <c r="GP490"/>
  <c r="GQ490"/>
  <c r="GR490"/>
  <c r="GS490"/>
  <c r="GT490"/>
  <c r="GU490"/>
  <c r="GV490"/>
  <c r="GW490"/>
  <c r="GX490"/>
  <c r="GY490"/>
  <c r="GZ490"/>
  <c r="HA490"/>
  <c r="HB490"/>
  <c r="HC490"/>
  <c r="HD490"/>
  <c r="HE490"/>
  <c r="HF490"/>
  <c r="HG490"/>
  <c r="HH490"/>
  <c r="HI490"/>
  <c r="HJ490"/>
  <c r="HK490"/>
  <c r="HL490"/>
  <c r="HM490"/>
  <c r="HN490"/>
  <c r="HO490"/>
  <c r="HP490"/>
  <c r="HQ490"/>
  <c r="HR490"/>
  <c r="HS490"/>
  <c r="HT490"/>
  <c r="HU490"/>
  <c r="HV490"/>
  <c r="HW490"/>
  <c r="HX490"/>
  <c r="HY490"/>
  <c r="HZ490"/>
  <c r="IA490"/>
  <c r="IB490"/>
  <c r="IC490"/>
  <c r="ID490"/>
  <c r="IE490"/>
  <c r="IF490"/>
  <c r="IG490"/>
  <c r="IH490"/>
  <c r="II490"/>
  <c r="IJ490"/>
  <c r="IK490"/>
  <c r="IL490"/>
  <c r="IM490"/>
  <c r="IN490"/>
  <c r="IO490"/>
  <c r="IP490"/>
  <c r="IQ490"/>
  <c r="IR490"/>
  <c r="IS490"/>
  <c r="IT490"/>
  <c r="IU490"/>
  <c r="IV490"/>
  <c r="A491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Z491"/>
  <c r="AA491"/>
  <c r="AB491"/>
  <c r="AC491"/>
  <c r="AD491"/>
  <c r="AE491"/>
  <c r="AF491"/>
  <c r="AG491"/>
  <c r="AH491"/>
  <c r="AI491"/>
  <c r="AJ491"/>
  <c r="AK491"/>
  <c r="AL491"/>
  <c r="AM491"/>
  <c r="AN491"/>
  <c r="AO491"/>
  <c r="AP491"/>
  <c r="AQ491"/>
  <c r="AR491"/>
  <c r="AS491"/>
  <c r="AT491"/>
  <c r="AU491"/>
  <c r="AV491"/>
  <c r="AW491"/>
  <c r="AX491"/>
  <c r="AY491"/>
  <c r="AZ491"/>
  <c r="BA491"/>
  <c r="BB491"/>
  <c r="BC491"/>
  <c r="BD491"/>
  <c r="BE491"/>
  <c r="BF491"/>
  <c r="BG491"/>
  <c r="BH491"/>
  <c r="BI491"/>
  <c r="BJ491"/>
  <c r="BK491"/>
  <c r="BL491"/>
  <c r="BM491"/>
  <c r="BN491"/>
  <c r="BO491"/>
  <c r="BP491"/>
  <c r="BQ491"/>
  <c r="BR491"/>
  <c r="BS491"/>
  <c r="BT491"/>
  <c r="BU491"/>
  <c r="BV491"/>
  <c r="BW491"/>
  <c r="BX491"/>
  <c r="BY491"/>
  <c r="BZ491"/>
  <c r="CA491"/>
  <c r="CB491"/>
  <c r="CC491"/>
  <c r="CD491"/>
  <c r="CE491"/>
  <c r="CF491"/>
  <c r="CG491"/>
  <c r="CH491"/>
  <c r="CI491"/>
  <c r="CJ491"/>
  <c r="CK491"/>
  <c r="CL491"/>
  <c r="CM491"/>
  <c r="CN491"/>
  <c r="CO491"/>
  <c r="CP491"/>
  <c r="CQ491"/>
  <c r="CR491"/>
  <c r="CS491"/>
  <c r="CT491"/>
  <c r="CU491"/>
  <c r="CV491"/>
  <c r="CW491"/>
  <c r="CX491"/>
  <c r="CY491"/>
  <c r="CZ491"/>
  <c r="DA491"/>
  <c r="DB491"/>
  <c r="DC491"/>
  <c r="DD491"/>
  <c r="DE491"/>
  <c r="DF491"/>
  <c r="DG491"/>
  <c r="DH491"/>
  <c r="DI491"/>
  <c r="DJ491"/>
  <c r="DK491"/>
  <c r="DL491"/>
  <c r="DM491"/>
  <c r="DN491"/>
  <c r="DO491"/>
  <c r="DP491"/>
  <c r="DQ491"/>
  <c r="DR491"/>
  <c r="DS491"/>
  <c r="DT491"/>
  <c r="DU491"/>
  <c r="DV491"/>
  <c r="DW491"/>
  <c r="DX491"/>
  <c r="DY491"/>
  <c r="DZ491"/>
  <c r="EA491"/>
  <c r="EB491"/>
  <c r="EC491"/>
  <c r="ED491"/>
  <c r="EE491"/>
  <c r="EF491"/>
  <c r="EG491"/>
  <c r="EH491"/>
  <c r="EI491"/>
  <c r="EJ491"/>
  <c r="EK491"/>
  <c r="EL491"/>
  <c r="EM491"/>
  <c r="EN491"/>
  <c r="EO491"/>
  <c r="EP491"/>
  <c r="EQ491"/>
  <c r="ER491"/>
  <c r="ES491"/>
  <c r="ET491"/>
  <c r="EU491"/>
  <c r="EV491"/>
  <c r="EW491"/>
  <c r="EX491"/>
  <c r="EY491"/>
  <c r="EZ491"/>
  <c r="FA491"/>
  <c r="FB491"/>
  <c r="FC491"/>
  <c r="FD491"/>
  <c r="FE491"/>
  <c r="FF491"/>
  <c r="FG491"/>
  <c r="FH491"/>
  <c r="FI491"/>
  <c r="FJ491"/>
  <c r="FK491"/>
  <c r="FL491"/>
  <c r="FM491"/>
  <c r="FN491"/>
  <c r="FO491"/>
  <c r="FP491"/>
  <c r="FQ491"/>
  <c r="FR491"/>
  <c r="FS491"/>
  <c r="FT491"/>
  <c r="FU491"/>
  <c r="FV491"/>
  <c r="FW491"/>
  <c r="FX491"/>
  <c r="FY491"/>
  <c r="FZ491"/>
  <c r="GA491"/>
  <c r="GB491"/>
  <c r="GC491"/>
  <c r="GD491"/>
  <c r="GE491"/>
  <c r="GF491"/>
  <c r="GG491"/>
  <c r="GH491"/>
  <c r="GI491"/>
  <c r="GJ491"/>
  <c r="GK491"/>
  <c r="GL491"/>
  <c r="GM491"/>
  <c r="GN491"/>
  <c r="GO491"/>
  <c r="GP491"/>
  <c r="GQ491"/>
  <c r="GR491"/>
  <c r="GS491"/>
  <c r="GT491"/>
  <c r="GU491"/>
  <c r="GV491"/>
  <c r="GW491"/>
  <c r="GX491"/>
  <c r="GY491"/>
  <c r="GZ491"/>
  <c r="HA491"/>
  <c r="HB491"/>
  <c r="HC491"/>
  <c r="HD491"/>
  <c r="HE491"/>
  <c r="HF491"/>
  <c r="HG491"/>
  <c r="HH491"/>
  <c r="HI491"/>
  <c r="HJ491"/>
  <c r="HK491"/>
  <c r="HL491"/>
  <c r="HM491"/>
  <c r="HN491"/>
  <c r="HO491"/>
  <c r="HP491"/>
  <c r="HQ491"/>
  <c r="HR491"/>
  <c r="HS491"/>
  <c r="HT491"/>
  <c r="HU491"/>
  <c r="HV491"/>
  <c r="HW491"/>
  <c r="HX491"/>
  <c r="HY491"/>
  <c r="HZ491"/>
  <c r="IA491"/>
  <c r="IB491"/>
  <c r="IC491"/>
  <c r="ID491"/>
  <c r="IE491"/>
  <c r="IF491"/>
  <c r="IG491"/>
  <c r="IH491"/>
  <c r="II491"/>
  <c r="IJ491"/>
  <c r="IK491"/>
  <c r="IL491"/>
  <c r="IM491"/>
  <c r="IN491"/>
  <c r="IO491"/>
  <c r="IP491"/>
  <c r="IQ491"/>
  <c r="IR491"/>
  <c r="IS491"/>
  <c r="IT491"/>
  <c r="IU491"/>
  <c r="IV491"/>
  <c r="A492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Z492"/>
  <c r="AA492"/>
  <c r="AB492"/>
  <c r="AC492"/>
  <c r="AD492"/>
  <c r="AE492"/>
  <c r="AF492"/>
  <c r="AG492"/>
  <c r="AH492"/>
  <c r="AI492"/>
  <c r="AJ492"/>
  <c r="AK492"/>
  <c r="AL492"/>
  <c r="AM492"/>
  <c r="AN492"/>
  <c r="AO492"/>
  <c r="AP492"/>
  <c r="AQ492"/>
  <c r="AR492"/>
  <c r="AS492"/>
  <c r="AT492"/>
  <c r="AU492"/>
  <c r="AV492"/>
  <c r="AW492"/>
  <c r="AX492"/>
  <c r="AY492"/>
  <c r="AZ492"/>
  <c r="BA492"/>
  <c r="BB492"/>
  <c r="BC492"/>
  <c r="BD492"/>
  <c r="BE492"/>
  <c r="BF492"/>
  <c r="BG492"/>
  <c r="BH492"/>
  <c r="BI492"/>
  <c r="BJ492"/>
  <c r="BK492"/>
  <c r="BL492"/>
  <c r="BM492"/>
  <c r="BN492"/>
  <c r="BO492"/>
  <c r="BP492"/>
  <c r="BQ492"/>
  <c r="BR492"/>
  <c r="BS492"/>
  <c r="BT492"/>
  <c r="BU492"/>
  <c r="BV492"/>
  <c r="BW492"/>
  <c r="BX492"/>
  <c r="BY492"/>
  <c r="BZ492"/>
  <c r="CA492"/>
  <c r="CB492"/>
  <c r="CC492"/>
  <c r="CD492"/>
  <c r="CE492"/>
  <c r="CF492"/>
  <c r="CG492"/>
  <c r="CH492"/>
  <c r="CI492"/>
  <c r="CJ492"/>
  <c r="CK492"/>
  <c r="CL492"/>
  <c r="CM492"/>
  <c r="CN492"/>
  <c r="CO492"/>
  <c r="CP492"/>
  <c r="CQ492"/>
  <c r="CR492"/>
  <c r="CS492"/>
  <c r="CT492"/>
  <c r="CU492"/>
  <c r="CV492"/>
  <c r="CW492"/>
  <c r="CX492"/>
  <c r="CY492"/>
  <c r="CZ492"/>
  <c r="DA492"/>
  <c r="DB492"/>
  <c r="DC492"/>
  <c r="DD492"/>
  <c r="DE492"/>
  <c r="DF492"/>
  <c r="DG492"/>
  <c r="DH492"/>
  <c r="DI492"/>
  <c r="DJ492"/>
  <c r="DK492"/>
  <c r="DL492"/>
  <c r="DM492"/>
  <c r="DN492"/>
  <c r="DO492"/>
  <c r="DP492"/>
  <c r="DQ492"/>
  <c r="DR492"/>
  <c r="DS492"/>
  <c r="DT492"/>
  <c r="DU492"/>
  <c r="DV492"/>
  <c r="DW492"/>
  <c r="DX492"/>
  <c r="DY492"/>
  <c r="DZ492"/>
  <c r="EA492"/>
  <c r="EB492"/>
  <c r="EC492"/>
  <c r="ED492"/>
  <c r="EE492"/>
  <c r="EF492"/>
  <c r="EG492"/>
  <c r="EH492"/>
  <c r="EI492"/>
  <c r="EJ492"/>
  <c r="EK492"/>
  <c r="EL492"/>
  <c r="EM492"/>
  <c r="EN492"/>
  <c r="EO492"/>
  <c r="EP492"/>
  <c r="EQ492"/>
  <c r="ER492"/>
  <c r="ES492"/>
  <c r="ET492"/>
  <c r="EU492"/>
  <c r="EV492"/>
  <c r="EW492"/>
  <c r="EX492"/>
  <c r="EY492"/>
  <c r="EZ492"/>
  <c r="FA492"/>
  <c r="FB492"/>
  <c r="FC492"/>
  <c r="FD492"/>
  <c r="FE492"/>
  <c r="FF492"/>
  <c r="FG492"/>
  <c r="FH492"/>
  <c r="FI492"/>
  <c r="FJ492"/>
  <c r="FK492"/>
  <c r="FL492"/>
  <c r="FM492"/>
  <c r="FN492"/>
  <c r="FO492"/>
  <c r="FP492"/>
  <c r="FQ492"/>
  <c r="FR492"/>
  <c r="FS492"/>
  <c r="FT492"/>
  <c r="FU492"/>
  <c r="FV492"/>
  <c r="FW492"/>
  <c r="FX492"/>
  <c r="FY492"/>
  <c r="FZ492"/>
  <c r="GA492"/>
  <c r="GB492"/>
  <c r="GC492"/>
  <c r="GD492"/>
  <c r="GE492"/>
  <c r="GF492"/>
  <c r="GG492"/>
  <c r="GH492"/>
  <c r="GI492"/>
  <c r="GJ492"/>
  <c r="GK492"/>
  <c r="GL492"/>
  <c r="GM492"/>
  <c r="GN492"/>
  <c r="GO492"/>
  <c r="GP492"/>
  <c r="GQ492"/>
  <c r="GR492"/>
  <c r="GS492"/>
  <c r="GT492"/>
  <c r="GU492"/>
  <c r="GV492"/>
  <c r="GW492"/>
  <c r="GX492"/>
  <c r="GY492"/>
  <c r="GZ492"/>
  <c r="HA492"/>
  <c r="HB492"/>
  <c r="HC492"/>
  <c r="HD492"/>
  <c r="HE492"/>
  <c r="HF492"/>
  <c r="HG492"/>
  <c r="HH492"/>
  <c r="HI492"/>
  <c r="HJ492"/>
  <c r="HK492"/>
  <c r="HL492"/>
  <c r="HM492"/>
  <c r="HN492"/>
  <c r="HO492"/>
  <c r="HP492"/>
  <c r="HQ492"/>
  <c r="HR492"/>
  <c r="HS492"/>
  <c r="HT492"/>
  <c r="HU492"/>
  <c r="HV492"/>
  <c r="HW492"/>
  <c r="HX492"/>
  <c r="HY492"/>
  <c r="HZ492"/>
  <c r="IA492"/>
  <c r="IB492"/>
  <c r="IC492"/>
  <c r="ID492"/>
  <c r="IE492"/>
  <c r="IF492"/>
  <c r="IG492"/>
  <c r="IH492"/>
  <c r="II492"/>
  <c r="IJ492"/>
  <c r="IK492"/>
  <c r="IL492"/>
  <c r="IM492"/>
  <c r="IN492"/>
  <c r="IO492"/>
  <c r="IP492"/>
  <c r="IQ492"/>
  <c r="IR492"/>
  <c r="IS492"/>
  <c r="IT492"/>
  <c r="IU492"/>
  <c r="IV492"/>
  <c r="A493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Z493"/>
  <c r="AA493"/>
  <c r="AB493"/>
  <c r="AC493"/>
  <c r="AD493"/>
  <c r="AE493"/>
  <c r="AF493"/>
  <c r="AG493"/>
  <c r="AH493"/>
  <c r="AI493"/>
  <c r="AJ493"/>
  <c r="AK493"/>
  <c r="AL493"/>
  <c r="AM493"/>
  <c r="AN493"/>
  <c r="AO493"/>
  <c r="AP493"/>
  <c r="AQ493"/>
  <c r="AR493"/>
  <c r="AS493"/>
  <c r="AT493"/>
  <c r="AU493"/>
  <c r="AV493"/>
  <c r="AW493"/>
  <c r="AX493"/>
  <c r="AY493"/>
  <c r="AZ493"/>
  <c r="BA493"/>
  <c r="BB493"/>
  <c r="BC493"/>
  <c r="BD493"/>
  <c r="BE493"/>
  <c r="BF493"/>
  <c r="BG493"/>
  <c r="BH493"/>
  <c r="BI493"/>
  <c r="BJ493"/>
  <c r="BK493"/>
  <c r="BL493"/>
  <c r="BM493"/>
  <c r="BN493"/>
  <c r="BO493"/>
  <c r="BP493"/>
  <c r="BQ493"/>
  <c r="BR493"/>
  <c r="BS493"/>
  <c r="BT493"/>
  <c r="BU493"/>
  <c r="BV493"/>
  <c r="BW493"/>
  <c r="BX493"/>
  <c r="BY493"/>
  <c r="BZ493"/>
  <c r="CA493"/>
  <c r="CB493"/>
  <c r="CC493"/>
  <c r="CD493"/>
  <c r="CE493"/>
  <c r="CF493"/>
  <c r="CG493"/>
  <c r="CH493"/>
  <c r="CI493"/>
  <c r="CJ493"/>
  <c r="CK493"/>
  <c r="CL493"/>
  <c r="CM493"/>
  <c r="CN493"/>
  <c r="CO493"/>
  <c r="CP493"/>
  <c r="CQ493"/>
  <c r="CR493"/>
  <c r="CS493"/>
  <c r="CT493"/>
  <c r="CU493"/>
  <c r="CV493"/>
  <c r="CW493"/>
  <c r="CX493"/>
  <c r="CY493"/>
  <c r="CZ493"/>
  <c r="DA493"/>
  <c r="DB493"/>
  <c r="DC493"/>
  <c r="DD493"/>
  <c r="DE493"/>
  <c r="DF493"/>
  <c r="DG493"/>
  <c r="DH493"/>
  <c r="DI493"/>
  <c r="DJ493"/>
  <c r="DK493"/>
  <c r="DL493"/>
  <c r="DM493"/>
  <c r="DN493"/>
  <c r="DO493"/>
  <c r="DP493"/>
  <c r="DQ493"/>
  <c r="DR493"/>
  <c r="DS493"/>
  <c r="DT493"/>
  <c r="DU493"/>
  <c r="DV493"/>
  <c r="DW493"/>
  <c r="DX493"/>
  <c r="DY493"/>
  <c r="DZ493"/>
  <c r="EA493"/>
  <c r="EB493"/>
  <c r="EC493"/>
  <c r="ED493"/>
  <c r="EE493"/>
  <c r="EF493"/>
  <c r="EG493"/>
  <c r="EH493"/>
  <c r="EI493"/>
  <c r="EJ493"/>
  <c r="EK493"/>
  <c r="EL493"/>
  <c r="EM493"/>
  <c r="EN493"/>
  <c r="EO493"/>
  <c r="EP493"/>
  <c r="EQ493"/>
  <c r="ER493"/>
  <c r="ES493"/>
  <c r="ET493"/>
  <c r="EU493"/>
  <c r="EV493"/>
  <c r="EW493"/>
  <c r="EX493"/>
  <c r="EY493"/>
  <c r="EZ493"/>
  <c r="FA493"/>
  <c r="FB493"/>
  <c r="FC493"/>
  <c r="FD493"/>
  <c r="FE493"/>
  <c r="FF493"/>
  <c r="FG493"/>
  <c r="FH493"/>
  <c r="FI493"/>
  <c r="FJ493"/>
  <c r="FK493"/>
  <c r="FL493"/>
  <c r="FM493"/>
  <c r="FN493"/>
  <c r="FO493"/>
  <c r="FP493"/>
  <c r="FQ493"/>
  <c r="FR493"/>
  <c r="FS493"/>
  <c r="FT493"/>
  <c r="FU493"/>
  <c r="FV493"/>
  <c r="FW493"/>
  <c r="FX493"/>
  <c r="FY493"/>
  <c r="FZ493"/>
  <c r="GA493"/>
  <c r="GB493"/>
  <c r="GC493"/>
  <c r="GD493"/>
  <c r="GE493"/>
  <c r="GF493"/>
  <c r="GG493"/>
  <c r="GH493"/>
  <c r="GI493"/>
  <c r="GJ493"/>
  <c r="GK493"/>
  <c r="GL493"/>
  <c r="GM493"/>
  <c r="GN493"/>
  <c r="GO493"/>
  <c r="GP493"/>
  <c r="GQ493"/>
  <c r="GR493"/>
  <c r="GS493"/>
  <c r="GT493"/>
  <c r="GU493"/>
  <c r="GV493"/>
  <c r="GW493"/>
  <c r="GX493"/>
  <c r="GY493"/>
  <c r="GZ493"/>
  <c r="HA493"/>
  <c r="HB493"/>
  <c r="HC493"/>
  <c r="HD493"/>
  <c r="HE493"/>
  <c r="HF493"/>
  <c r="HG493"/>
  <c r="HH493"/>
  <c r="HI493"/>
  <c r="HJ493"/>
  <c r="HK493"/>
  <c r="HL493"/>
  <c r="HM493"/>
  <c r="HN493"/>
  <c r="HO493"/>
  <c r="HP493"/>
  <c r="HQ493"/>
  <c r="HR493"/>
  <c r="HS493"/>
  <c r="HT493"/>
  <c r="HU493"/>
  <c r="HV493"/>
  <c r="HW493"/>
  <c r="HX493"/>
  <c r="HY493"/>
  <c r="HZ493"/>
  <c r="IA493"/>
  <c r="IB493"/>
  <c r="IC493"/>
  <c r="ID493"/>
  <c r="IE493"/>
  <c r="IF493"/>
  <c r="IG493"/>
  <c r="IH493"/>
  <c r="II493"/>
  <c r="IJ493"/>
  <c r="IK493"/>
  <c r="IL493"/>
  <c r="IM493"/>
  <c r="IN493"/>
  <c r="IO493"/>
  <c r="IP493"/>
  <c r="IQ493"/>
  <c r="IR493"/>
  <c r="IS493"/>
  <c r="IT493"/>
  <c r="IU493"/>
  <c r="IV493"/>
  <c r="A494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Z494"/>
  <c r="AA494"/>
  <c r="AB494"/>
  <c r="AC494"/>
  <c r="AD494"/>
  <c r="AE494"/>
  <c r="AF494"/>
  <c r="AG494"/>
  <c r="AH494"/>
  <c r="AI494"/>
  <c r="AJ494"/>
  <c r="AK494"/>
  <c r="AL494"/>
  <c r="AM494"/>
  <c r="AN494"/>
  <c r="AO494"/>
  <c r="AP494"/>
  <c r="AQ494"/>
  <c r="AR494"/>
  <c r="AS494"/>
  <c r="AT494"/>
  <c r="AU494"/>
  <c r="AV494"/>
  <c r="AW494"/>
  <c r="AX494"/>
  <c r="AY494"/>
  <c r="AZ494"/>
  <c r="BA494"/>
  <c r="BB494"/>
  <c r="BC494"/>
  <c r="BD494"/>
  <c r="BE494"/>
  <c r="BF494"/>
  <c r="BG494"/>
  <c r="BH494"/>
  <c r="BI494"/>
  <c r="BJ494"/>
  <c r="BK494"/>
  <c r="BL494"/>
  <c r="BM494"/>
  <c r="BN494"/>
  <c r="BO494"/>
  <c r="BP494"/>
  <c r="BQ494"/>
  <c r="BR494"/>
  <c r="BS494"/>
  <c r="BT494"/>
  <c r="BU494"/>
  <c r="BV494"/>
  <c r="BW494"/>
  <c r="BX494"/>
  <c r="BY494"/>
  <c r="BZ494"/>
  <c r="CA494"/>
  <c r="CB494"/>
  <c r="CC494"/>
  <c r="CD494"/>
  <c r="CE494"/>
  <c r="CF494"/>
  <c r="CG494"/>
  <c r="CH494"/>
  <c r="CI494"/>
  <c r="CJ494"/>
  <c r="CK494"/>
  <c r="CL494"/>
  <c r="CM494"/>
  <c r="CN494"/>
  <c r="CO494"/>
  <c r="CP494"/>
  <c r="CQ494"/>
  <c r="CR494"/>
  <c r="CS494"/>
  <c r="CT494"/>
  <c r="CU494"/>
  <c r="CV494"/>
  <c r="CW494"/>
  <c r="CX494"/>
  <c r="CY494"/>
  <c r="CZ494"/>
  <c r="DA494"/>
  <c r="DB494"/>
  <c r="DC494"/>
  <c r="DD494"/>
  <c r="DE494"/>
  <c r="DF494"/>
  <c r="DG494"/>
  <c r="DH494"/>
  <c r="DI494"/>
  <c r="DJ494"/>
  <c r="DK494"/>
  <c r="DL494"/>
  <c r="DM494"/>
  <c r="DN494"/>
  <c r="DO494"/>
  <c r="DP494"/>
  <c r="DQ494"/>
  <c r="DR494"/>
  <c r="DS494"/>
  <c r="DT494"/>
  <c r="DU494"/>
  <c r="DV494"/>
  <c r="DW494"/>
  <c r="DX494"/>
  <c r="DY494"/>
  <c r="DZ494"/>
  <c r="EA494"/>
  <c r="EB494"/>
  <c r="EC494"/>
  <c r="ED494"/>
  <c r="EE494"/>
  <c r="EF494"/>
  <c r="EG494"/>
  <c r="EH494"/>
  <c r="EI494"/>
  <c r="EJ494"/>
  <c r="EK494"/>
  <c r="EL494"/>
  <c r="EM494"/>
  <c r="EN494"/>
  <c r="EO494"/>
  <c r="EP494"/>
  <c r="EQ494"/>
  <c r="ER494"/>
  <c r="ES494"/>
  <c r="ET494"/>
  <c r="EU494"/>
  <c r="EV494"/>
  <c r="EW494"/>
  <c r="EX494"/>
  <c r="EY494"/>
  <c r="EZ494"/>
  <c r="FA494"/>
  <c r="FB494"/>
  <c r="FC494"/>
  <c r="FD494"/>
  <c r="FE494"/>
  <c r="FF494"/>
  <c r="FG494"/>
  <c r="FH494"/>
  <c r="FI494"/>
  <c r="FJ494"/>
  <c r="FK494"/>
  <c r="FL494"/>
  <c r="FM494"/>
  <c r="FN494"/>
  <c r="FO494"/>
  <c r="FP494"/>
  <c r="FQ494"/>
  <c r="FR494"/>
  <c r="FS494"/>
  <c r="FT494"/>
  <c r="FU494"/>
  <c r="FV494"/>
  <c r="FW494"/>
  <c r="FX494"/>
  <c r="FY494"/>
  <c r="FZ494"/>
  <c r="GA494"/>
  <c r="GB494"/>
  <c r="GC494"/>
  <c r="GD494"/>
  <c r="GE494"/>
  <c r="GF494"/>
  <c r="GG494"/>
  <c r="GH494"/>
  <c r="GI494"/>
  <c r="GJ494"/>
  <c r="GK494"/>
  <c r="GL494"/>
  <c r="GM494"/>
  <c r="GN494"/>
  <c r="GO494"/>
  <c r="GP494"/>
  <c r="GQ494"/>
  <c r="GR494"/>
  <c r="GS494"/>
  <c r="GT494"/>
  <c r="GU494"/>
  <c r="GV494"/>
  <c r="GW494"/>
  <c r="GX494"/>
  <c r="GY494"/>
  <c r="GZ494"/>
  <c r="HA494"/>
  <c r="HB494"/>
  <c r="HC494"/>
  <c r="HD494"/>
  <c r="HE494"/>
  <c r="HF494"/>
  <c r="HG494"/>
  <c r="HH494"/>
  <c r="HI494"/>
  <c r="HJ494"/>
  <c r="HK494"/>
  <c r="HL494"/>
  <c r="HM494"/>
  <c r="HN494"/>
  <c r="HO494"/>
  <c r="HP494"/>
  <c r="HQ494"/>
  <c r="HR494"/>
  <c r="HS494"/>
  <c r="HT494"/>
  <c r="HU494"/>
  <c r="HV494"/>
  <c r="HW494"/>
  <c r="HX494"/>
  <c r="HY494"/>
  <c r="HZ494"/>
  <c r="IA494"/>
  <c r="IB494"/>
  <c r="IC494"/>
  <c r="ID494"/>
  <c r="IE494"/>
  <c r="IF494"/>
  <c r="IG494"/>
  <c r="IH494"/>
  <c r="II494"/>
  <c r="IJ494"/>
  <c r="IK494"/>
  <c r="IL494"/>
  <c r="IM494"/>
  <c r="IN494"/>
  <c r="IO494"/>
  <c r="IP494"/>
  <c r="IQ494"/>
  <c r="IR494"/>
  <c r="IS494"/>
  <c r="IT494"/>
  <c r="IU494"/>
  <c r="IV494"/>
  <c r="A495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Z495"/>
  <c r="AA495"/>
  <c r="AB495"/>
  <c r="AC495"/>
  <c r="AD495"/>
  <c r="AE495"/>
  <c r="AF495"/>
  <c r="AG495"/>
  <c r="AH495"/>
  <c r="AI495"/>
  <c r="AJ495"/>
  <c r="AK495"/>
  <c r="AL495"/>
  <c r="AM495"/>
  <c r="AN495"/>
  <c r="AO495"/>
  <c r="AP495"/>
  <c r="AQ495"/>
  <c r="AR495"/>
  <c r="AS495"/>
  <c r="AT495"/>
  <c r="AU495"/>
  <c r="AV495"/>
  <c r="AW495"/>
  <c r="AX495"/>
  <c r="AY495"/>
  <c r="AZ495"/>
  <c r="BA495"/>
  <c r="BB495"/>
  <c r="BC495"/>
  <c r="BD495"/>
  <c r="BE495"/>
  <c r="BF495"/>
  <c r="BG495"/>
  <c r="BH495"/>
  <c r="BI495"/>
  <c r="BJ495"/>
  <c r="BK495"/>
  <c r="BL495"/>
  <c r="BM495"/>
  <c r="BN495"/>
  <c r="BO495"/>
  <c r="BP495"/>
  <c r="BQ495"/>
  <c r="BR495"/>
  <c r="BS495"/>
  <c r="BT495"/>
  <c r="BU495"/>
  <c r="BV495"/>
  <c r="BW495"/>
  <c r="BX495"/>
  <c r="BY495"/>
  <c r="BZ495"/>
  <c r="CA495"/>
  <c r="CB495"/>
  <c r="CC495"/>
  <c r="CD495"/>
  <c r="CE495"/>
  <c r="CF495"/>
  <c r="CG495"/>
  <c r="CH495"/>
  <c r="CI495"/>
  <c r="CJ495"/>
  <c r="CK495"/>
  <c r="CL495"/>
  <c r="CM495"/>
  <c r="CN495"/>
  <c r="CO495"/>
  <c r="CP495"/>
  <c r="CQ495"/>
  <c r="CR495"/>
  <c r="CS495"/>
  <c r="CT495"/>
  <c r="CU495"/>
  <c r="CV495"/>
  <c r="CW495"/>
  <c r="CX495"/>
  <c r="CY495"/>
  <c r="CZ495"/>
  <c r="DA495"/>
  <c r="DB495"/>
  <c r="DC495"/>
  <c r="DD495"/>
  <c r="DE495"/>
  <c r="DF495"/>
  <c r="DG495"/>
  <c r="DH495"/>
  <c r="DI495"/>
  <c r="DJ495"/>
  <c r="DK495"/>
  <c r="DL495"/>
  <c r="DM495"/>
  <c r="DN495"/>
  <c r="DO495"/>
  <c r="DP495"/>
  <c r="DQ495"/>
  <c r="DR495"/>
  <c r="DS495"/>
  <c r="DT495"/>
  <c r="DU495"/>
  <c r="DV495"/>
  <c r="DW495"/>
  <c r="DX495"/>
  <c r="DY495"/>
  <c r="DZ495"/>
  <c r="EA495"/>
  <c r="EB495"/>
  <c r="EC495"/>
  <c r="ED495"/>
  <c r="EE495"/>
  <c r="EF495"/>
  <c r="EG495"/>
  <c r="EH495"/>
  <c r="EI495"/>
  <c r="EJ495"/>
  <c r="EK495"/>
  <c r="EL495"/>
  <c r="EM495"/>
  <c r="EN495"/>
  <c r="EO495"/>
  <c r="EP495"/>
  <c r="EQ495"/>
  <c r="ER495"/>
  <c r="ES495"/>
  <c r="ET495"/>
  <c r="EU495"/>
  <c r="EV495"/>
  <c r="EW495"/>
  <c r="EX495"/>
  <c r="EY495"/>
  <c r="EZ495"/>
  <c r="FA495"/>
  <c r="FB495"/>
  <c r="FC495"/>
  <c r="FD495"/>
  <c r="FE495"/>
  <c r="FF495"/>
  <c r="FG495"/>
  <c r="FH495"/>
  <c r="FI495"/>
  <c r="FJ495"/>
  <c r="FK495"/>
  <c r="FL495"/>
  <c r="FM495"/>
  <c r="FN495"/>
  <c r="FO495"/>
  <c r="FP495"/>
  <c r="FQ495"/>
  <c r="FR495"/>
  <c r="FS495"/>
  <c r="FT495"/>
  <c r="FU495"/>
  <c r="FV495"/>
  <c r="FW495"/>
  <c r="FX495"/>
  <c r="FY495"/>
  <c r="FZ495"/>
  <c r="GA495"/>
  <c r="GB495"/>
  <c r="GC495"/>
  <c r="GD495"/>
  <c r="GE495"/>
  <c r="GF495"/>
  <c r="GG495"/>
  <c r="GH495"/>
  <c r="GI495"/>
  <c r="GJ495"/>
  <c r="GK495"/>
  <c r="GL495"/>
  <c r="GM495"/>
  <c r="GN495"/>
  <c r="GO495"/>
  <c r="GP495"/>
  <c r="GQ495"/>
  <c r="GR495"/>
  <c r="GS495"/>
  <c r="GT495"/>
  <c r="GU495"/>
  <c r="GV495"/>
  <c r="GW495"/>
  <c r="GX495"/>
  <c r="GY495"/>
  <c r="GZ495"/>
  <c r="HA495"/>
  <c r="HB495"/>
  <c r="HC495"/>
  <c r="HD495"/>
  <c r="HE495"/>
  <c r="HF495"/>
  <c r="HG495"/>
  <c r="HH495"/>
  <c r="HI495"/>
  <c r="HJ495"/>
  <c r="HK495"/>
  <c r="HL495"/>
  <c r="HM495"/>
  <c r="HN495"/>
  <c r="HO495"/>
  <c r="HP495"/>
  <c r="HQ495"/>
  <c r="HR495"/>
  <c r="HS495"/>
  <c r="HT495"/>
  <c r="HU495"/>
  <c r="HV495"/>
  <c r="HW495"/>
  <c r="HX495"/>
  <c r="HY495"/>
  <c r="HZ495"/>
  <c r="IA495"/>
  <c r="IB495"/>
  <c r="IC495"/>
  <c r="ID495"/>
  <c r="IE495"/>
  <c r="IF495"/>
  <c r="IG495"/>
  <c r="IH495"/>
  <c r="II495"/>
  <c r="IJ495"/>
  <c r="IK495"/>
  <c r="IL495"/>
  <c r="IM495"/>
  <c r="IN495"/>
  <c r="IO495"/>
  <c r="IP495"/>
  <c r="IQ495"/>
  <c r="IR495"/>
  <c r="IS495"/>
  <c r="IT495"/>
  <c r="IU495"/>
  <c r="IV495"/>
  <c r="A496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Z496"/>
  <c r="AA496"/>
  <c r="AB496"/>
  <c r="AC496"/>
  <c r="AD496"/>
  <c r="AE496"/>
  <c r="AF496"/>
  <c r="AG496"/>
  <c r="AH496"/>
  <c r="AI496"/>
  <c r="AJ496"/>
  <c r="AK496"/>
  <c r="AL496"/>
  <c r="AM496"/>
  <c r="AN496"/>
  <c r="AO496"/>
  <c r="AP496"/>
  <c r="AQ496"/>
  <c r="AR496"/>
  <c r="AS496"/>
  <c r="AT496"/>
  <c r="AU496"/>
  <c r="AV496"/>
  <c r="AW496"/>
  <c r="AX496"/>
  <c r="AY496"/>
  <c r="AZ496"/>
  <c r="BA496"/>
  <c r="BB496"/>
  <c r="BC496"/>
  <c r="BD496"/>
  <c r="BE496"/>
  <c r="BF496"/>
  <c r="BG496"/>
  <c r="BH496"/>
  <c r="BI496"/>
  <c r="BJ496"/>
  <c r="BK496"/>
  <c r="BL496"/>
  <c r="BM496"/>
  <c r="BN496"/>
  <c r="BO496"/>
  <c r="BP496"/>
  <c r="BQ496"/>
  <c r="BR496"/>
  <c r="BS496"/>
  <c r="BT496"/>
  <c r="BU496"/>
  <c r="BV496"/>
  <c r="BW496"/>
  <c r="BX496"/>
  <c r="BY496"/>
  <c r="BZ496"/>
  <c r="CA496"/>
  <c r="CB496"/>
  <c r="CC496"/>
  <c r="CD496"/>
  <c r="CE496"/>
  <c r="CF496"/>
  <c r="CG496"/>
  <c r="CH496"/>
  <c r="CI496"/>
  <c r="CJ496"/>
  <c r="CK496"/>
  <c r="CL496"/>
  <c r="CM496"/>
  <c r="CN496"/>
  <c r="CO496"/>
  <c r="CP496"/>
  <c r="CQ496"/>
  <c r="CR496"/>
  <c r="CS496"/>
  <c r="CT496"/>
  <c r="CU496"/>
  <c r="CV496"/>
  <c r="CW496"/>
  <c r="CX496"/>
  <c r="CY496"/>
  <c r="CZ496"/>
  <c r="DA496"/>
  <c r="DB496"/>
  <c r="DC496"/>
  <c r="DD496"/>
  <c r="DE496"/>
  <c r="DF496"/>
  <c r="DG496"/>
  <c r="DH496"/>
  <c r="DI496"/>
  <c r="DJ496"/>
  <c r="DK496"/>
  <c r="DL496"/>
  <c r="DM496"/>
  <c r="DN496"/>
  <c r="DO496"/>
  <c r="DP496"/>
  <c r="DQ496"/>
  <c r="DR496"/>
  <c r="DS496"/>
  <c r="DT496"/>
  <c r="DU496"/>
  <c r="DV496"/>
  <c r="DW496"/>
  <c r="DX496"/>
  <c r="DY496"/>
  <c r="DZ496"/>
  <c r="EA496"/>
  <c r="EB496"/>
  <c r="EC496"/>
  <c r="ED496"/>
  <c r="EE496"/>
  <c r="EF496"/>
  <c r="EG496"/>
  <c r="EH496"/>
  <c r="EI496"/>
  <c r="EJ496"/>
  <c r="EK496"/>
  <c r="EL496"/>
  <c r="EM496"/>
  <c r="EN496"/>
  <c r="EO496"/>
  <c r="EP496"/>
  <c r="EQ496"/>
  <c r="ER496"/>
  <c r="ES496"/>
  <c r="ET496"/>
  <c r="EU496"/>
  <c r="EV496"/>
  <c r="EW496"/>
  <c r="EX496"/>
  <c r="EY496"/>
  <c r="EZ496"/>
  <c r="FA496"/>
  <c r="FB496"/>
  <c r="FC496"/>
  <c r="FD496"/>
  <c r="FE496"/>
  <c r="FF496"/>
  <c r="FG496"/>
  <c r="FH496"/>
  <c r="FI496"/>
  <c r="FJ496"/>
  <c r="FK496"/>
  <c r="FL496"/>
  <c r="FM496"/>
  <c r="FN496"/>
  <c r="FO496"/>
  <c r="FP496"/>
  <c r="FQ496"/>
  <c r="FR496"/>
  <c r="FS496"/>
  <c r="FT496"/>
  <c r="FU496"/>
  <c r="FV496"/>
  <c r="FW496"/>
  <c r="FX496"/>
  <c r="FY496"/>
  <c r="FZ496"/>
  <c r="GA496"/>
  <c r="GB496"/>
  <c r="GC496"/>
  <c r="GD496"/>
  <c r="GE496"/>
  <c r="GF496"/>
  <c r="GG496"/>
  <c r="GH496"/>
  <c r="GI496"/>
  <c r="GJ496"/>
  <c r="GK496"/>
  <c r="GL496"/>
  <c r="GM496"/>
  <c r="GN496"/>
  <c r="GO496"/>
  <c r="GP496"/>
  <c r="GQ496"/>
  <c r="GR496"/>
  <c r="GS496"/>
  <c r="GT496"/>
  <c r="GU496"/>
  <c r="GV496"/>
  <c r="GW496"/>
  <c r="GX496"/>
  <c r="GY496"/>
  <c r="GZ496"/>
  <c r="HA496"/>
  <c r="HB496"/>
  <c r="HC496"/>
  <c r="HD496"/>
  <c r="HE496"/>
  <c r="HF496"/>
  <c r="HG496"/>
  <c r="HH496"/>
  <c r="HI496"/>
  <c r="HJ496"/>
  <c r="HK496"/>
  <c r="HL496"/>
  <c r="HM496"/>
  <c r="HN496"/>
  <c r="HO496"/>
  <c r="HP496"/>
  <c r="HQ496"/>
  <c r="HR496"/>
  <c r="HS496"/>
  <c r="HT496"/>
  <c r="HU496"/>
  <c r="HV496"/>
  <c r="HW496"/>
  <c r="HX496"/>
  <c r="HY496"/>
  <c r="HZ496"/>
  <c r="IA496"/>
  <c r="IB496"/>
  <c r="IC496"/>
  <c r="ID496"/>
  <c r="IE496"/>
  <c r="IF496"/>
  <c r="IG496"/>
  <c r="IH496"/>
  <c r="II496"/>
  <c r="IJ496"/>
  <c r="IK496"/>
  <c r="IL496"/>
  <c r="IM496"/>
  <c r="IN496"/>
  <c r="IO496"/>
  <c r="IP496"/>
  <c r="IQ496"/>
  <c r="IR496"/>
  <c r="IS496"/>
  <c r="IT496"/>
  <c r="IU496"/>
  <c r="IV496"/>
  <c r="A497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Z497"/>
  <c r="AA497"/>
  <c r="AB497"/>
  <c r="AC497"/>
  <c r="AD497"/>
  <c r="AE497"/>
  <c r="AF497"/>
  <c r="AG497"/>
  <c r="AH497"/>
  <c r="AI497"/>
  <c r="AJ497"/>
  <c r="AK497"/>
  <c r="AL497"/>
  <c r="AM497"/>
  <c r="AN497"/>
  <c r="AO497"/>
  <c r="AP497"/>
  <c r="AQ497"/>
  <c r="AR497"/>
  <c r="AS497"/>
  <c r="AT497"/>
  <c r="AU497"/>
  <c r="AV497"/>
  <c r="AW497"/>
  <c r="AX497"/>
  <c r="AY497"/>
  <c r="AZ497"/>
  <c r="BA497"/>
  <c r="BB497"/>
  <c r="BC497"/>
  <c r="BD497"/>
  <c r="BE497"/>
  <c r="BF497"/>
  <c r="BG497"/>
  <c r="BH497"/>
  <c r="BI497"/>
  <c r="BJ497"/>
  <c r="BK497"/>
  <c r="BL497"/>
  <c r="BM497"/>
  <c r="BN497"/>
  <c r="BO497"/>
  <c r="BP497"/>
  <c r="BQ497"/>
  <c r="BR497"/>
  <c r="BS497"/>
  <c r="BT497"/>
  <c r="BU497"/>
  <c r="BV497"/>
  <c r="BW497"/>
  <c r="BX497"/>
  <c r="BY497"/>
  <c r="BZ497"/>
  <c r="CA497"/>
  <c r="CB497"/>
  <c r="CC497"/>
  <c r="CD497"/>
  <c r="CE497"/>
  <c r="CF497"/>
  <c r="CG497"/>
  <c r="CH497"/>
  <c r="CI497"/>
  <c r="CJ497"/>
  <c r="CK497"/>
  <c r="CL497"/>
  <c r="CM497"/>
  <c r="CN497"/>
  <c r="CO497"/>
  <c r="CP497"/>
  <c r="CQ497"/>
  <c r="CR497"/>
  <c r="CS497"/>
  <c r="CT497"/>
  <c r="CU497"/>
  <c r="CV497"/>
  <c r="CW497"/>
  <c r="CX497"/>
  <c r="CY497"/>
  <c r="CZ497"/>
  <c r="DA497"/>
  <c r="DB497"/>
  <c r="DC497"/>
  <c r="DD497"/>
  <c r="DE497"/>
  <c r="DF497"/>
  <c r="DG497"/>
  <c r="DH497"/>
  <c r="DI497"/>
  <c r="DJ497"/>
  <c r="DK497"/>
  <c r="DL497"/>
  <c r="DM497"/>
  <c r="DN497"/>
  <c r="DO497"/>
  <c r="DP497"/>
  <c r="DQ497"/>
  <c r="DR497"/>
  <c r="DS497"/>
  <c r="DT497"/>
  <c r="DU497"/>
  <c r="DV497"/>
  <c r="DW497"/>
  <c r="DX497"/>
  <c r="DY497"/>
  <c r="DZ497"/>
  <c r="EA497"/>
  <c r="EB497"/>
  <c r="EC497"/>
  <c r="ED497"/>
  <c r="EE497"/>
  <c r="EF497"/>
  <c r="EG497"/>
  <c r="EH497"/>
  <c r="EI497"/>
  <c r="EJ497"/>
  <c r="EK497"/>
  <c r="EL497"/>
  <c r="EM497"/>
  <c r="EN497"/>
  <c r="EO497"/>
  <c r="EP497"/>
  <c r="EQ497"/>
  <c r="ER497"/>
  <c r="ES497"/>
  <c r="ET497"/>
  <c r="EU497"/>
  <c r="EV497"/>
  <c r="EW497"/>
  <c r="EX497"/>
  <c r="EY497"/>
  <c r="EZ497"/>
  <c r="FA497"/>
  <c r="FB497"/>
  <c r="FC497"/>
  <c r="FD497"/>
  <c r="FE497"/>
  <c r="FF497"/>
  <c r="FG497"/>
  <c r="FH497"/>
  <c r="FI497"/>
  <c r="FJ497"/>
  <c r="FK497"/>
  <c r="FL497"/>
  <c r="FM497"/>
  <c r="FN497"/>
  <c r="FO497"/>
  <c r="FP497"/>
  <c r="FQ497"/>
  <c r="FR497"/>
  <c r="FS497"/>
  <c r="FT497"/>
  <c r="FU497"/>
  <c r="FV497"/>
  <c r="FW497"/>
  <c r="FX497"/>
  <c r="FY497"/>
  <c r="FZ497"/>
  <c r="GA497"/>
  <c r="GB497"/>
  <c r="GC497"/>
  <c r="GD497"/>
  <c r="GE497"/>
  <c r="GF497"/>
  <c r="GG497"/>
  <c r="GH497"/>
  <c r="GI497"/>
  <c r="GJ497"/>
  <c r="GK497"/>
  <c r="GL497"/>
  <c r="GM497"/>
  <c r="GN497"/>
  <c r="GO497"/>
  <c r="GP497"/>
  <c r="GQ497"/>
  <c r="GR497"/>
  <c r="GS497"/>
  <c r="GT497"/>
  <c r="GU497"/>
  <c r="GV497"/>
  <c r="GW497"/>
  <c r="GX497"/>
  <c r="GY497"/>
  <c r="GZ497"/>
  <c r="HA497"/>
  <c r="HB497"/>
  <c r="HC497"/>
  <c r="HD497"/>
  <c r="HE497"/>
  <c r="HF497"/>
  <c r="HG497"/>
  <c r="HH497"/>
  <c r="HI497"/>
  <c r="HJ497"/>
  <c r="HK497"/>
  <c r="HL497"/>
  <c r="HM497"/>
  <c r="HN497"/>
  <c r="HO497"/>
  <c r="HP497"/>
  <c r="HQ497"/>
  <c r="HR497"/>
  <c r="HS497"/>
  <c r="HT497"/>
  <c r="HU497"/>
  <c r="HV497"/>
  <c r="HW497"/>
  <c r="HX497"/>
  <c r="HY497"/>
  <c r="HZ497"/>
  <c r="IA497"/>
  <c r="IB497"/>
  <c r="IC497"/>
  <c r="ID497"/>
  <c r="IE497"/>
  <c r="IF497"/>
  <c r="IG497"/>
  <c r="IH497"/>
  <c r="II497"/>
  <c r="IJ497"/>
  <c r="IK497"/>
  <c r="IL497"/>
  <c r="IM497"/>
  <c r="IN497"/>
  <c r="IO497"/>
  <c r="IP497"/>
  <c r="IQ497"/>
  <c r="IR497"/>
  <c r="IS497"/>
  <c r="IT497"/>
  <c r="IU497"/>
  <c r="IV497"/>
  <c r="A498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Z498"/>
  <c r="AA498"/>
  <c r="AB498"/>
  <c r="AC498"/>
  <c r="AD498"/>
  <c r="AE498"/>
  <c r="AF498"/>
  <c r="AG498"/>
  <c r="AH498"/>
  <c r="AI498"/>
  <c r="AJ498"/>
  <c r="AK498"/>
  <c r="AL498"/>
  <c r="AM498"/>
  <c r="AN498"/>
  <c r="AO498"/>
  <c r="AP498"/>
  <c r="AQ498"/>
  <c r="AR498"/>
  <c r="AS498"/>
  <c r="AT498"/>
  <c r="AU498"/>
  <c r="AV498"/>
  <c r="AW498"/>
  <c r="AX498"/>
  <c r="AY498"/>
  <c r="AZ498"/>
  <c r="BA498"/>
  <c r="BB498"/>
  <c r="BC498"/>
  <c r="BD498"/>
  <c r="BE498"/>
  <c r="BF498"/>
  <c r="BG498"/>
  <c r="BH498"/>
  <c r="BI498"/>
  <c r="BJ498"/>
  <c r="BK498"/>
  <c r="BL498"/>
  <c r="BM498"/>
  <c r="BN498"/>
  <c r="BO498"/>
  <c r="BP498"/>
  <c r="BQ498"/>
  <c r="BR498"/>
  <c r="BS498"/>
  <c r="BT498"/>
  <c r="BU498"/>
  <c r="BV498"/>
  <c r="BW498"/>
  <c r="BX498"/>
  <c r="BY498"/>
  <c r="BZ498"/>
  <c r="CA498"/>
  <c r="CB498"/>
  <c r="CC498"/>
  <c r="CD498"/>
  <c r="CE498"/>
  <c r="CF498"/>
  <c r="CG498"/>
  <c r="CH498"/>
  <c r="CI498"/>
  <c r="CJ498"/>
  <c r="CK498"/>
  <c r="CL498"/>
  <c r="CM498"/>
  <c r="CN498"/>
  <c r="CO498"/>
  <c r="CP498"/>
  <c r="CQ498"/>
  <c r="CR498"/>
  <c r="CS498"/>
  <c r="CT498"/>
  <c r="CU498"/>
  <c r="CV498"/>
  <c r="CW498"/>
  <c r="CX498"/>
  <c r="CY498"/>
  <c r="CZ498"/>
  <c r="DA498"/>
  <c r="DB498"/>
  <c r="DC498"/>
  <c r="DD498"/>
  <c r="DE498"/>
  <c r="DF498"/>
  <c r="DG498"/>
  <c r="DH498"/>
  <c r="DI498"/>
  <c r="DJ498"/>
  <c r="DK498"/>
  <c r="DL498"/>
  <c r="DM498"/>
  <c r="DN498"/>
  <c r="DO498"/>
  <c r="DP498"/>
  <c r="DQ498"/>
  <c r="DR498"/>
  <c r="DS498"/>
  <c r="DT498"/>
  <c r="DU498"/>
  <c r="DV498"/>
  <c r="DW498"/>
  <c r="DX498"/>
  <c r="DY498"/>
  <c r="DZ498"/>
  <c r="EA498"/>
  <c r="EB498"/>
  <c r="EC498"/>
  <c r="ED498"/>
  <c r="EE498"/>
  <c r="EF498"/>
  <c r="EG498"/>
  <c r="EH498"/>
  <c r="EI498"/>
  <c r="EJ498"/>
  <c r="EK498"/>
  <c r="EL498"/>
  <c r="EM498"/>
  <c r="EN498"/>
  <c r="EO498"/>
  <c r="EP498"/>
  <c r="EQ498"/>
  <c r="ER498"/>
  <c r="ES498"/>
  <c r="ET498"/>
  <c r="EU498"/>
  <c r="EV498"/>
  <c r="EW498"/>
  <c r="EX498"/>
  <c r="EY498"/>
  <c r="EZ498"/>
  <c r="FA498"/>
  <c r="FB498"/>
  <c r="FC498"/>
  <c r="FD498"/>
  <c r="FE498"/>
  <c r="FF498"/>
  <c r="FG498"/>
  <c r="FH498"/>
  <c r="FI498"/>
  <c r="FJ498"/>
  <c r="FK498"/>
  <c r="FL498"/>
  <c r="FM498"/>
  <c r="FN498"/>
  <c r="FO498"/>
  <c r="FP498"/>
  <c r="FQ498"/>
  <c r="FR498"/>
  <c r="FS498"/>
  <c r="FT498"/>
  <c r="FU498"/>
  <c r="FV498"/>
  <c r="FW498"/>
  <c r="FX498"/>
  <c r="FY498"/>
  <c r="FZ498"/>
  <c r="GA498"/>
  <c r="GB498"/>
  <c r="GC498"/>
  <c r="GD498"/>
  <c r="GE498"/>
  <c r="GF498"/>
  <c r="GG498"/>
  <c r="GH498"/>
  <c r="GI498"/>
  <c r="GJ498"/>
  <c r="GK498"/>
  <c r="GL498"/>
  <c r="GM498"/>
  <c r="GN498"/>
  <c r="GO498"/>
  <c r="GP498"/>
  <c r="GQ498"/>
  <c r="GR498"/>
  <c r="GS498"/>
  <c r="GT498"/>
  <c r="GU498"/>
  <c r="GV498"/>
  <c r="GW498"/>
  <c r="GX498"/>
  <c r="GY498"/>
  <c r="GZ498"/>
  <c r="HA498"/>
  <c r="HB498"/>
  <c r="HC498"/>
  <c r="HD498"/>
  <c r="HE498"/>
  <c r="HF498"/>
  <c r="HG498"/>
  <c r="HH498"/>
  <c r="HI498"/>
  <c r="HJ498"/>
  <c r="HK498"/>
  <c r="HL498"/>
  <c r="HM498"/>
  <c r="HN498"/>
  <c r="HO498"/>
  <c r="HP498"/>
  <c r="HQ498"/>
  <c r="HR498"/>
  <c r="HS498"/>
  <c r="HT498"/>
  <c r="HU498"/>
  <c r="HV498"/>
  <c r="HW498"/>
  <c r="HX498"/>
  <c r="HY498"/>
  <c r="HZ498"/>
  <c r="IA498"/>
  <c r="IB498"/>
  <c r="IC498"/>
  <c r="ID498"/>
  <c r="IE498"/>
  <c r="IF498"/>
  <c r="IG498"/>
  <c r="IH498"/>
  <c r="II498"/>
  <c r="IJ498"/>
  <c r="IK498"/>
  <c r="IL498"/>
  <c r="IM498"/>
  <c r="IN498"/>
  <c r="IO498"/>
  <c r="IP498"/>
  <c r="IQ498"/>
  <c r="IR498"/>
  <c r="IS498"/>
  <c r="IT498"/>
  <c r="IU498"/>
  <c r="IV498"/>
  <c r="A499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Z499"/>
  <c r="AA499"/>
  <c r="AB499"/>
  <c r="AC499"/>
  <c r="AD499"/>
  <c r="AE499"/>
  <c r="AF499"/>
  <c r="AG499"/>
  <c r="AH499"/>
  <c r="AI499"/>
  <c r="AJ499"/>
  <c r="AK499"/>
  <c r="AL499"/>
  <c r="AM499"/>
  <c r="AN499"/>
  <c r="AO499"/>
  <c r="AP499"/>
  <c r="AQ499"/>
  <c r="AR499"/>
  <c r="AS499"/>
  <c r="AT499"/>
  <c r="AU499"/>
  <c r="AV499"/>
  <c r="AW499"/>
  <c r="AX499"/>
  <c r="AY499"/>
  <c r="AZ499"/>
  <c r="BA499"/>
  <c r="BB499"/>
  <c r="BC499"/>
  <c r="BD499"/>
  <c r="BE499"/>
  <c r="BF499"/>
  <c r="BG499"/>
  <c r="BH499"/>
  <c r="BI499"/>
  <c r="BJ499"/>
  <c r="BK499"/>
  <c r="BL499"/>
  <c r="BM499"/>
  <c r="BN499"/>
  <c r="BO499"/>
  <c r="BP499"/>
  <c r="BQ499"/>
  <c r="BR499"/>
  <c r="BS499"/>
  <c r="BT499"/>
  <c r="BU499"/>
  <c r="BV499"/>
  <c r="BW499"/>
  <c r="BX499"/>
  <c r="BY499"/>
  <c r="BZ499"/>
  <c r="CA499"/>
  <c r="CB499"/>
  <c r="CC499"/>
  <c r="CD499"/>
  <c r="CE499"/>
  <c r="CF499"/>
  <c r="CG499"/>
  <c r="CH499"/>
  <c r="CI499"/>
  <c r="CJ499"/>
  <c r="CK499"/>
  <c r="CL499"/>
  <c r="CM499"/>
  <c r="CN499"/>
  <c r="CO499"/>
  <c r="CP499"/>
  <c r="CQ499"/>
  <c r="CR499"/>
  <c r="CS499"/>
  <c r="CT499"/>
  <c r="CU499"/>
  <c r="CV499"/>
  <c r="CW499"/>
  <c r="CX499"/>
  <c r="CY499"/>
  <c r="CZ499"/>
  <c r="DA499"/>
  <c r="DB499"/>
  <c r="DC499"/>
  <c r="DD499"/>
  <c r="DE499"/>
  <c r="DF499"/>
  <c r="DG499"/>
  <c r="DH499"/>
  <c r="DI499"/>
  <c r="DJ499"/>
  <c r="DK499"/>
  <c r="DL499"/>
  <c r="DM499"/>
  <c r="DN499"/>
  <c r="DO499"/>
  <c r="DP499"/>
  <c r="DQ499"/>
  <c r="DR499"/>
  <c r="DS499"/>
  <c r="DT499"/>
  <c r="DU499"/>
  <c r="DV499"/>
  <c r="DW499"/>
  <c r="DX499"/>
  <c r="DY499"/>
  <c r="DZ499"/>
  <c r="EA499"/>
  <c r="EB499"/>
  <c r="EC499"/>
  <c r="ED499"/>
  <c r="EE499"/>
  <c r="EF499"/>
  <c r="EG499"/>
  <c r="EH499"/>
  <c r="EI499"/>
  <c r="EJ499"/>
  <c r="EK499"/>
  <c r="EL499"/>
  <c r="EM499"/>
  <c r="EN499"/>
  <c r="EO499"/>
  <c r="EP499"/>
  <c r="EQ499"/>
  <c r="ER499"/>
  <c r="ES499"/>
  <c r="ET499"/>
  <c r="EU499"/>
  <c r="EV499"/>
  <c r="EW499"/>
  <c r="EX499"/>
  <c r="EY499"/>
  <c r="EZ499"/>
  <c r="FA499"/>
  <c r="FB499"/>
  <c r="FC499"/>
  <c r="FD499"/>
  <c r="FE499"/>
  <c r="FF499"/>
  <c r="FG499"/>
  <c r="FH499"/>
  <c r="FI499"/>
  <c r="FJ499"/>
  <c r="FK499"/>
  <c r="FL499"/>
  <c r="FM499"/>
  <c r="FN499"/>
  <c r="FO499"/>
  <c r="FP499"/>
  <c r="FQ499"/>
  <c r="FR499"/>
  <c r="FS499"/>
  <c r="FT499"/>
  <c r="FU499"/>
  <c r="FV499"/>
  <c r="FW499"/>
  <c r="FX499"/>
  <c r="FY499"/>
  <c r="FZ499"/>
  <c r="GA499"/>
  <c r="GB499"/>
  <c r="GC499"/>
  <c r="GD499"/>
  <c r="GE499"/>
  <c r="GF499"/>
  <c r="GG499"/>
  <c r="GH499"/>
  <c r="GI499"/>
  <c r="GJ499"/>
  <c r="GK499"/>
  <c r="GL499"/>
  <c r="GM499"/>
  <c r="GN499"/>
  <c r="GO499"/>
  <c r="GP499"/>
  <c r="GQ499"/>
  <c r="GR499"/>
  <c r="GS499"/>
  <c r="GT499"/>
  <c r="GU499"/>
  <c r="GV499"/>
  <c r="GW499"/>
  <c r="GX499"/>
  <c r="GY499"/>
  <c r="GZ499"/>
  <c r="HA499"/>
  <c r="HB499"/>
  <c r="HC499"/>
  <c r="HD499"/>
  <c r="HE499"/>
  <c r="HF499"/>
  <c r="HG499"/>
  <c r="HH499"/>
  <c r="HI499"/>
  <c r="HJ499"/>
  <c r="HK499"/>
  <c r="HL499"/>
  <c r="HM499"/>
  <c r="HN499"/>
  <c r="HO499"/>
  <c r="HP499"/>
  <c r="HQ499"/>
  <c r="HR499"/>
  <c r="HS499"/>
  <c r="HT499"/>
  <c r="HU499"/>
  <c r="HV499"/>
  <c r="HW499"/>
  <c r="HX499"/>
  <c r="HY499"/>
  <c r="HZ499"/>
  <c r="IA499"/>
  <c r="IB499"/>
  <c r="IC499"/>
  <c r="ID499"/>
  <c r="IE499"/>
  <c r="IF499"/>
  <c r="IG499"/>
  <c r="IH499"/>
  <c r="II499"/>
  <c r="IJ499"/>
  <c r="IK499"/>
  <c r="IL499"/>
  <c r="IM499"/>
  <c r="IN499"/>
  <c r="IO499"/>
  <c r="IP499"/>
  <c r="IQ499"/>
  <c r="IR499"/>
  <c r="IS499"/>
  <c r="IT499"/>
  <c r="IU499"/>
  <c r="IV499"/>
  <c r="A500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Z500"/>
  <c r="AA500"/>
  <c r="AB500"/>
  <c r="AC500"/>
  <c r="AD500"/>
  <c r="AE500"/>
  <c r="AF500"/>
  <c r="AG500"/>
  <c r="AH500"/>
  <c r="AI500"/>
  <c r="AJ500"/>
  <c r="AK500"/>
  <c r="AL500"/>
  <c r="AM500"/>
  <c r="AN500"/>
  <c r="AO500"/>
  <c r="AP500"/>
  <c r="AQ500"/>
  <c r="AR500"/>
  <c r="AS500"/>
  <c r="AT500"/>
  <c r="AU500"/>
  <c r="AV500"/>
  <c r="AW500"/>
  <c r="AX500"/>
  <c r="AY500"/>
  <c r="AZ500"/>
  <c r="BA500"/>
  <c r="BB500"/>
  <c r="BC500"/>
  <c r="BD500"/>
  <c r="BE500"/>
  <c r="BF500"/>
  <c r="BG500"/>
  <c r="BH500"/>
  <c r="BI500"/>
  <c r="BJ500"/>
  <c r="BK500"/>
  <c r="BL500"/>
  <c r="BM500"/>
  <c r="BN500"/>
  <c r="BO500"/>
  <c r="BP500"/>
  <c r="BQ500"/>
  <c r="BR500"/>
  <c r="BS500"/>
  <c r="BT500"/>
  <c r="BU500"/>
  <c r="BV500"/>
  <c r="BW500"/>
  <c r="BX500"/>
  <c r="BY500"/>
  <c r="BZ500"/>
  <c r="CA500"/>
  <c r="CB500"/>
  <c r="CC500"/>
  <c r="CD500"/>
  <c r="CE500"/>
  <c r="CF500"/>
  <c r="CG500"/>
  <c r="CH500"/>
  <c r="CI500"/>
  <c r="CJ500"/>
  <c r="CK500"/>
  <c r="CL500"/>
  <c r="CM500"/>
  <c r="CN500"/>
  <c r="CO500"/>
  <c r="CP500"/>
  <c r="CQ500"/>
  <c r="CR500"/>
  <c r="CS500"/>
  <c r="CT500"/>
  <c r="CU500"/>
  <c r="CV500"/>
  <c r="CW500"/>
  <c r="CX500"/>
  <c r="CY500"/>
  <c r="CZ500"/>
  <c r="DA500"/>
  <c r="DB500"/>
  <c r="DC500"/>
  <c r="DD500"/>
  <c r="DE500"/>
  <c r="DF500"/>
  <c r="DG500"/>
  <c r="DH500"/>
  <c r="DI500"/>
  <c r="DJ500"/>
  <c r="DK500"/>
  <c r="DL500"/>
  <c r="DM500"/>
  <c r="DN500"/>
  <c r="DO500"/>
  <c r="DP500"/>
  <c r="DQ500"/>
  <c r="DR500"/>
  <c r="DS500"/>
  <c r="DT500"/>
  <c r="DU500"/>
  <c r="DV500"/>
  <c r="DW500"/>
  <c r="DX500"/>
  <c r="DY500"/>
  <c r="DZ500"/>
  <c r="EA500"/>
  <c r="EB500"/>
  <c r="EC500"/>
  <c r="ED500"/>
  <c r="EE500"/>
  <c r="EF500"/>
  <c r="EG500"/>
  <c r="EH500"/>
  <c r="EI500"/>
  <c r="EJ500"/>
  <c r="EK500"/>
  <c r="EL500"/>
  <c r="EM500"/>
  <c r="EN500"/>
  <c r="EO500"/>
  <c r="EP500"/>
  <c r="EQ500"/>
  <c r="ER500"/>
  <c r="ES500"/>
  <c r="ET500"/>
  <c r="EU500"/>
  <c r="EV500"/>
  <c r="EW500"/>
  <c r="EX500"/>
  <c r="EY500"/>
  <c r="EZ500"/>
  <c r="FA500"/>
  <c r="FB500"/>
  <c r="FC500"/>
  <c r="FD500"/>
  <c r="FE500"/>
  <c r="FF500"/>
  <c r="FG500"/>
  <c r="FH500"/>
  <c r="FI500"/>
  <c r="FJ500"/>
  <c r="FK500"/>
  <c r="FL500"/>
  <c r="FM500"/>
  <c r="FN500"/>
  <c r="FO500"/>
  <c r="FP500"/>
  <c r="FQ500"/>
  <c r="FR500"/>
  <c r="FS500"/>
  <c r="FT500"/>
  <c r="FU500"/>
  <c r="FV500"/>
  <c r="FW500"/>
  <c r="FX500"/>
  <c r="FY500"/>
  <c r="FZ500"/>
  <c r="GA500"/>
  <c r="GB500"/>
  <c r="GC500"/>
  <c r="GD500"/>
  <c r="GE500"/>
  <c r="GF500"/>
  <c r="GG500"/>
  <c r="GH500"/>
  <c r="GI500"/>
  <c r="GJ500"/>
  <c r="GK500"/>
  <c r="GL500"/>
  <c r="GM500"/>
  <c r="GN500"/>
  <c r="GO500"/>
  <c r="GP500"/>
  <c r="GQ500"/>
  <c r="GR500"/>
  <c r="GS500"/>
  <c r="GT500"/>
  <c r="GU500"/>
  <c r="GV500"/>
  <c r="GW500"/>
  <c r="GX500"/>
  <c r="GY500"/>
  <c r="GZ500"/>
  <c r="HA500"/>
  <c r="HB500"/>
  <c r="HC500"/>
  <c r="HD500"/>
  <c r="HE500"/>
  <c r="HF500"/>
  <c r="HG500"/>
  <c r="HH500"/>
  <c r="HI500"/>
  <c r="HJ500"/>
  <c r="HK500"/>
  <c r="HL500"/>
  <c r="HM500"/>
  <c r="HN500"/>
  <c r="HO500"/>
  <c r="HP500"/>
  <c r="HQ500"/>
  <c r="HR500"/>
  <c r="HS500"/>
  <c r="HT500"/>
  <c r="HU500"/>
  <c r="HV500"/>
  <c r="HW500"/>
  <c r="HX500"/>
  <c r="HY500"/>
  <c r="HZ500"/>
  <c r="IA500"/>
  <c r="IB500"/>
  <c r="IC500"/>
  <c r="ID500"/>
  <c r="IE500"/>
  <c r="IF500"/>
  <c r="IG500"/>
  <c r="IH500"/>
  <c r="II500"/>
  <c r="IJ500"/>
  <c r="IK500"/>
  <c r="IL500"/>
  <c r="IM500"/>
  <c r="IN500"/>
  <c r="IO500"/>
  <c r="IP500"/>
  <c r="IQ500"/>
  <c r="IR500"/>
  <c r="IS500"/>
  <c r="IT500"/>
  <c r="IU500"/>
  <c r="IV500"/>
  <c r="A501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Z501"/>
  <c r="AA501"/>
  <c r="AB501"/>
  <c r="AC501"/>
  <c r="AD501"/>
  <c r="AE501"/>
  <c r="AF501"/>
  <c r="AG501"/>
  <c r="AH501"/>
  <c r="AI501"/>
  <c r="AJ501"/>
  <c r="AK501"/>
  <c r="AL501"/>
  <c r="AM501"/>
  <c r="AN501"/>
  <c r="AO501"/>
  <c r="AP501"/>
  <c r="AQ501"/>
  <c r="AR501"/>
  <c r="AS501"/>
  <c r="AT501"/>
  <c r="AU501"/>
  <c r="AV501"/>
  <c r="AW501"/>
  <c r="AX501"/>
  <c r="AY501"/>
  <c r="AZ501"/>
  <c r="BA501"/>
  <c r="BB501"/>
  <c r="BC501"/>
  <c r="BD501"/>
  <c r="BE501"/>
  <c r="BF501"/>
  <c r="BG501"/>
  <c r="BH501"/>
  <c r="BI501"/>
  <c r="BJ501"/>
  <c r="BK501"/>
  <c r="BL501"/>
  <c r="BM501"/>
  <c r="BN501"/>
  <c r="BO501"/>
  <c r="BP501"/>
  <c r="BQ501"/>
  <c r="BR501"/>
  <c r="BS501"/>
  <c r="BT501"/>
  <c r="BU501"/>
  <c r="BV501"/>
  <c r="BW501"/>
  <c r="BX501"/>
  <c r="BY501"/>
  <c r="BZ501"/>
  <c r="CA501"/>
  <c r="CB501"/>
  <c r="CC501"/>
  <c r="CD501"/>
  <c r="CE501"/>
  <c r="CF501"/>
  <c r="CG501"/>
  <c r="CH501"/>
  <c r="CI501"/>
  <c r="CJ501"/>
  <c r="CK501"/>
  <c r="CL501"/>
  <c r="CM501"/>
  <c r="CN501"/>
  <c r="CO501"/>
  <c r="CP501"/>
  <c r="CQ501"/>
  <c r="CR501"/>
  <c r="CS501"/>
  <c r="CT501"/>
  <c r="CU501"/>
  <c r="CV501"/>
  <c r="CW501"/>
  <c r="CX501"/>
  <c r="CY501"/>
  <c r="CZ501"/>
  <c r="DA501"/>
  <c r="DB501"/>
  <c r="DC501"/>
  <c r="DD501"/>
  <c r="DE501"/>
  <c r="DF501"/>
  <c r="DG501"/>
  <c r="DH501"/>
  <c r="DI501"/>
  <c r="DJ501"/>
  <c r="DK501"/>
  <c r="DL501"/>
  <c r="DM501"/>
  <c r="DN501"/>
  <c r="DO501"/>
  <c r="DP501"/>
  <c r="DQ501"/>
  <c r="DR501"/>
  <c r="DS501"/>
  <c r="DT501"/>
  <c r="DU501"/>
  <c r="DV501"/>
  <c r="DW501"/>
  <c r="DX501"/>
  <c r="DY501"/>
  <c r="DZ501"/>
  <c r="EA501"/>
  <c r="EB501"/>
  <c r="EC501"/>
  <c r="ED501"/>
  <c r="EE501"/>
  <c r="EF501"/>
  <c r="EG501"/>
  <c r="EH501"/>
  <c r="EI501"/>
  <c r="EJ501"/>
  <c r="EK501"/>
  <c r="EL501"/>
  <c r="EM501"/>
  <c r="EN501"/>
  <c r="EO501"/>
  <c r="EP501"/>
  <c r="EQ501"/>
  <c r="ER501"/>
  <c r="ES501"/>
  <c r="ET501"/>
  <c r="EU501"/>
  <c r="EV501"/>
  <c r="EW501"/>
  <c r="EX501"/>
  <c r="EY501"/>
  <c r="EZ501"/>
  <c r="FA501"/>
  <c r="FB501"/>
  <c r="FC501"/>
  <c r="FD501"/>
  <c r="FE501"/>
  <c r="FF501"/>
  <c r="FG501"/>
  <c r="FH501"/>
  <c r="FI501"/>
  <c r="FJ501"/>
  <c r="FK501"/>
  <c r="FL501"/>
  <c r="FM501"/>
  <c r="FN501"/>
  <c r="FO501"/>
  <c r="FP501"/>
  <c r="FQ501"/>
  <c r="FR501"/>
  <c r="FS501"/>
  <c r="FT501"/>
  <c r="FU501"/>
  <c r="FV501"/>
  <c r="FW501"/>
  <c r="FX501"/>
  <c r="FY501"/>
  <c r="FZ501"/>
  <c r="GA501"/>
  <c r="GB501"/>
  <c r="GC501"/>
  <c r="GD501"/>
  <c r="GE501"/>
  <c r="GF501"/>
  <c r="GG501"/>
  <c r="GH501"/>
  <c r="GI501"/>
  <c r="GJ501"/>
  <c r="GK501"/>
  <c r="GL501"/>
  <c r="GM501"/>
  <c r="GN501"/>
  <c r="GO501"/>
  <c r="GP501"/>
  <c r="GQ501"/>
  <c r="GR501"/>
  <c r="GS501"/>
  <c r="GT501"/>
  <c r="GU501"/>
  <c r="GV501"/>
  <c r="GW501"/>
  <c r="GX501"/>
  <c r="GY501"/>
  <c r="GZ501"/>
  <c r="HA501"/>
  <c r="HB501"/>
  <c r="HC501"/>
  <c r="HD501"/>
  <c r="HE501"/>
  <c r="HF501"/>
  <c r="HG501"/>
  <c r="HH501"/>
  <c r="HI501"/>
  <c r="HJ501"/>
  <c r="HK501"/>
  <c r="HL501"/>
  <c r="HM501"/>
  <c r="HN501"/>
  <c r="HO501"/>
  <c r="HP501"/>
  <c r="HQ501"/>
  <c r="HR501"/>
  <c r="HS501"/>
  <c r="HT501"/>
  <c r="HU501"/>
  <c r="HV501"/>
  <c r="HW501"/>
  <c r="HX501"/>
  <c r="HY501"/>
  <c r="HZ501"/>
  <c r="IA501"/>
  <c r="IB501"/>
  <c r="IC501"/>
  <c r="ID501"/>
  <c r="IE501"/>
  <c r="IF501"/>
  <c r="IG501"/>
  <c r="IH501"/>
  <c r="II501"/>
  <c r="IJ501"/>
  <c r="IK501"/>
  <c r="IL501"/>
  <c r="IM501"/>
  <c r="IN501"/>
  <c r="IO501"/>
  <c r="IP501"/>
  <c r="IQ501"/>
  <c r="IR501"/>
  <c r="IS501"/>
  <c r="IT501"/>
  <c r="IU501"/>
  <c r="IV501"/>
  <c r="A502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Z502"/>
  <c r="AA502"/>
  <c r="AB502"/>
  <c r="AC502"/>
  <c r="AD502"/>
  <c r="AE502"/>
  <c r="AF502"/>
  <c r="AG502"/>
  <c r="AH502"/>
  <c r="AI502"/>
  <c r="AJ502"/>
  <c r="AK502"/>
  <c r="AL502"/>
  <c r="AM502"/>
  <c r="AN502"/>
  <c r="AO502"/>
  <c r="AP502"/>
  <c r="AQ502"/>
  <c r="AR502"/>
  <c r="AS502"/>
  <c r="AT502"/>
  <c r="AU502"/>
  <c r="AV502"/>
  <c r="AW502"/>
  <c r="AX502"/>
  <c r="AY502"/>
  <c r="AZ502"/>
  <c r="BA502"/>
  <c r="BB502"/>
  <c r="BC502"/>
  <c r="BD502"/>
  <c r="BE502"/>
  <c r="BF502"/>
  <c r="BG502"/>
  <c r="BH502"/>
  <c r="BI502"/>
  <c r="BJ502"/>
  <c r="BK502"/>
  <c r="BL502"/>
  <c r="BM502"/>
  <c r="BN502"/>
  <c r="BO502"/>
  <c r="BP502"/>
  <c r="BQ502"/>
  <c r="BR502"/>
  <c r="BS502"/>
  <c r="BT502"/>
  <c r="BU502"/>
  <c r="BV502"/>
  <c r="BW502"/>
  <c r="BX502"/>
  <c r="BY502"/>
  <c r="BZ502"/>
  <c r="CA502"/>
  <c r="CB502"/>
  <c r="CC502"/>
  <c r="CD502"/>
  <c r="CE502"/>
  <c r="CF502"/>
  <c r="CG502"/>
  <c r="CH502"/>
  <c r="CI502"/>
  <c r="CJ502"/>
  <c r="CK502"/>
  <c r="CL502"/>
  <c r="CM502"/>
  <c r="CN502"/>
  <c r="CO502"/>
  <c r="CP502"/>
  <c r="CQ502"/>
  <c r="CR502"/>
  <c r="CS502"/>
  <c r="CT502"/>
  <c r="CU502"/>
  <c r="CV502"/>
  <c r="CW502"/>
  <c r="CX502"/>
  <c r="CY502"/>
  <c r="CZ502"/>
  <c r="DA502"/>
  <c r="DB502"/>
  <c r="DC502"/>
  <c r="DD502"/>
  <c r="DE502"/>
  <c r="DF502"/>
  <c r="DG502"/>
  <c r="DH502"/>
  <c r="DI502"/>
  <c r="DJ502"/>
  <c r="DK502"/>
  <c r="DL502"/>
  <c r="DM502"/>
  <c r="DN502"/>
  <c r="DO502"/>
  <c r="DP502"/>
  <c r="DQ502"/>
  <c r="DR502"/>
  <c r="DS502"/>
  <c r="DT502"/>
  <c r="DU502"/>
  <c r="DV502"/>
  <c r="DW502"/>
  <c r="DX502"/>
  <c r="DY502"/>
  <c r="DZ502"/>
  <c r="EA502"/>
  <c r="EB502"/>
  <c r="EC502"/>
  <c r="ED502"/>
  <c r="EE502"/>
  <c r="EF502"/>
  <c r="EG502"/>
  <c r="EH502"/>
  <c r="EI502"/>
  <c r="EJ502"/>
  <c r="EK502"/>
  <c r="EL502"/>
  <c r="EM502"/>
  <c r="EN502"/>
  <c r="EO502"/>
  <c r="EP502"/>
  <c r="EQ502"/>
  <c r="ER502"/>
  <c r="ES502"/>
  <c r="ET502"/>
  <c r="EU502"/>
  <c r="EV502"/>
  <c r="EW502"/>
  <c r="EX502"/>
  <c r="EY502"/>
  <c r="EZ502"/>
  <c r="FA502"/>
  <c r="FB502"/>
  <c r="FC502"/>
  <c r="FD502"/>
  <c r="FE502"/>
  <c r="FF502"/>
  <c r="FG502"/>
  <c r="FH502"/>
  <c r="FI502"/>
  <c r="FJ502"/>
  <c r="FK502"/>
  <c r="FL502"/>
  <c r="FM502"/>
  <c r="FN502"/>
  <c r="FO502"/>
  <c r="FP502"/>
  <c r="FQ502"/>
  <c r="FR502"/>
  <c r="FS502"/>
  <c r="FT502"/>
  <c r="FU502"/>
  <c r="FV502"/>
  <c r="FW502"/>
  <c r="FX502"/>
  <c r="FY502"/>
  <c r="FZ502"/>
  <c r="GA502"/>
  <c r="GB502"/>
  <c r="GC502"/>
  <c r="GD502"/>
  <c r="GE502"/>
  <c r="GF502"/>
  <c r="GG502"/>
  <c r="GH502"/>
  <c r="GI502"/>
  <c r="GJ502"/>
  <c r="GK502"/>
  <c r="GL502"/>
  <c r="GM502"/>
  <c r="GN502"/>
  <c r="GO502"/>
  <c r="GP502"/>
  <c r="GQ502"/>
  <c r="GR502"/>
  <c r="GS502"/>
  <c r="GT502"/>
  <c r="GU502"/>
  <c r="GV502"/>
  <c r="GW502"/>
  <c r="GX502"/>
  <c r="GY502"/>
  <c r="GZ502"/>
  <c r="HA502"/>
  <c r="HB502"/>
  <c r="HC502"/>
  <c r="HD502"/>
  <c r="HE502"/>
  <c r="HF502"/>
  <c r="HG502"/>
  <c r="HH502"/>
  <c r="HI502"/>
  <c r="HJ502"/>
  <c r="HK502"/>
  <c r="HL502"/>
  <c r="HM502"/>
  <c r="HN502"/>
  <c r="HO502"/>
  <c r="HP502"/>
  <c r="HQ502"/>
  <c r="HR502"/>
  <c r="HS502"/>
  <c r="HT502"/>
  <c r="HU502"/>
  <c r="HV502"/>
  <c r="HW502"/>
  <c r="HX502"/>
  <c r="HY502"/>
  <c r="HZ502"/>
  <c r="IA502"/>
  <c r="IB502"/>
  <c r="IC502"/>
  <c r="ID502"/>
  <c r="IE502"/>
  <c r="IF502"/>
  <c r="IG502"/>
  <c r="IH502"/>
  <c r="II502"/>
  <c r="IJ502"/>
  <c r="IK502"/>
  <c r="IL502"/>
  <c r="IM502"/>
  <c r="IN502"/>
  <c r="IO502"/>
  <c r="IP502"/>
  <c r="IQ502"/>
  <c r="IR502"/>
  <c r="IS502"/>
  <c r="IT502"/>
  <c r="IU502"/>
  <c r="IV502"/>
  <c r="A503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Z503"/>
  <c r="AA503"/>
  <c r="AB503"/>
  <c r="AC503"/>
  <c r="AD503"/>
  <c r="AE503"/>
  <c r="AF503"/>
  <c r="AG503"/>
  <c r="AH503"/>
  <c r="AI503"/>
  <c r="AJ503"/>
  <c r="AK503"/>
  <c r="AL503"/>
  <c r="AM503"/>
  <c r="AN503"/>
  <c r="AO503"/>
  <c r="AP503"/>
  <c r="AQ503"/>
  <c r="AR503"/>
  <c r="AS503"/>
  <c r="AT503"/>
  <c r="AU503"/>
  <c r="AV503"/>
  <c r="AW503"/>
  <c r="AX503"/>
  <c r="AY503"/>
  <c r="AZ503"/>
  <c r="BA503"/>
  <c r="BB503"/>
  <c r="BC503"/>
  <c r="BD503"/>
  <c r="BE503"/>
  <c r="BF503"/>
  <c r="BG503"/>
  <c r="BH503"/>
  <c r="BI503"/>
  <c r="BJ503"/>
  <c r="BK503"/>
  <c r="BL503"/>
  <c r="BM503"/>
  <c r="BN503"/>
  <c r="BO503"/>
  <c r="BP503"/>
  <c r="BQ503"/>
  <c r="BR503"/>
  <c r="BS503"/>
  <c r="BT503"/>
  <c r="BU503"/>
  <c r="BV503"/>
  <c r="BW503"/>
  <c r="BX503"/>
  <c r="BY503"/>
  <c r="BZ503"/>
  <c r="CA503"/>
  <c r="CB503"/>
  <c r="CC503"/>
  <c r="CD503"/>
  <c r="CE503"/>
  <c r="CF503"/>
  <c r="CG503"/>
  <c r="CH503"/>
  <c r="CI503"/>
  <c r="CJ503"/>
  <c r="CK503"/>
  <c r="CL503"/>
  <c r="CM503"/>
  <c r="CN503"/>
  <c r="CO503"/>
  <c r="CP503"/>
  <c r="CQ503"/>
  <c r="CR503"/>
  <c r="CS503"/>
  <c r="CT503"/>
  <c r="CU503"/>
  <c r="CV503"/>
  <c r="CW503"/>
  <c r="CX503"/>
  <c r="CY503"/>
  <c r="CZ503"/>
  <c r="DA503"/>
  <c r="DB503"/>
  <c r="DC503"/>
  <c r="DD503"/>
  <c r="DE503"/>
  <c r="DF503"/>
  <c r="DG503"/>
  <c r="DH503"/>
  <c r="DI503"/>
  <c r="DJ503"/>
  <c r="DK503"/>
  <c r="DL503"/>
  <c r="DM503"/>
  <c r="DN503"/>
  <c r="DO503"/>
  <c r="DP503"/>
  <c r="DQ503"/>
  <c r="DR503"/>
  <c r="DS503"/>
  <c r="DT503"/>
  <c r="DU503"/>
  <c r="DV503"/>
  <c r="DW503"/>
  <c r="DX503"/>
  <c r="DY503"/>
  <c r="DZ503"/>
  <c r="EA503"/>
  <c r="EB503"/>
  <c r="EC503"/>
  <c r="ED503"/>
  <c r="EE503"/>
  <c r="EF503"/>
  <c r="EG503"/>
  <c r="EH503"/>
  <c r="EI503"/>
  <c r="EJ503"/>
  <c r="EK503"/>
  <c r="EL503"/>
  <c r="EM503"/>
  <c r="EN503"/>
  <c r="EO503"/>
  <c r="EP503"/>
  <c r="EQ503"/>
  <c r="ER503"/>
  <c r="ES503"/>
  <c r="ET503"/>
  <c r="EU503"/>
  <c r="EV503"/>
  <c r="EW503"/>
  <c r="EX503"/>
  <c r="EY503"/>
  <c r="EZ503"/>
  <c r="FA503"/>
  <c r="FB503"/>
  <c r="FC503"/>
  <c r="FD503"/>
  <c r="FE503"/>
  <c r="FF503"/>
  <c r="FG503"/>
  <c r="FH503"/>
  <c r="FI503"/>
  <c r="FJ503"/>
  <c r="FK503"/>
  <c r="FL503"/>
  <c r="FM503"/>
  <c r="FN503"/>
  <c r="FO503"/>
  <c r="FP503"/>
  <c r="FQ503"/>
  <c r="FR503"/>
  <c r="FS503"/>
  <c r="FT503"/>
  <c r="FU503"/>
  <c r="FV503"/>
  <c r="FW503"/>
  <c r="FX503"/>
  <c r="FY503"/>
  <c r="FZ503"/>
  <c r="GA503"/>
  <c r="GB503"/>
  <c r="GC503"/>
  <c r="GD503"/>
  <c r="GE503"/>
  <c r="GF503"/>
  <c r="GG503"/>
  <c r="GH503"/>
  <c r="GI503"/>
  <c r="GJ503"/>
  <c r="GK503"/>
  <c r="GL503"/>
  <c r="GM503"/>
  <c r="GN503"/>
  <c r="GO503"/>
  <c r="GP503"/>
  <c r="GQ503"/>
  <c r="GR503"/>
  <c r="GS503"/>
  <c r="GT503"/>
  <c r="GU503"/>
  <c r="GV503"/>
  <c r="GW503"/>
  <c r="GX503"/>
  <c r="GY503"/>
  <c r="GZ503"/>
  <c r="HA503"/>
  <c r="HB503"/>
  <c r="HC503"/>
  <c r="HD503"/>
  <c r="HE503"/>
  <c r="HF503"/>
  <c r="HG503"/>
  <c r="HH503"/>
  <c r="HI503"/>
  <c r="HJ503"/>
  <c r="HK503"/>
  <c r="HL503"/>
  <c r="HM503"/>
  <c r="HN503"/>
  <c r="HO503"/>
  <c r="HP503"/>
  <c r="HQ503"/>
  <c r="HR503"/>
  <c r="HS503"/>
  <c r="HT503"/>
  <c r="HU503"/>
  <c r="HV503"/>
  <c r="HW503"/>
  <c r="HX503"/>
  <c r="HY503"/>
  <c r="HZ503"/>
  <c r="IA503"/>
  <c r="IB503"/>
  <c r="IC503"/>
  <c r="ID503"/>
  <c r="IE503"/>
  <c r="IF503"/>
  <c r="IG503"/>
  <c r="IH503"/>
  <c r="II503"/>
  <c r="IJ503"/>
  <c r="IK503"/>
  <c r="IL503"/>
  <c r="IM503"/>
  <c r="IN503"/>
  <c r="IO503"/>
  <c r="IP503"/>
  <c r="IQ503"/>
  <c r="IR503"/>
  <c r="IS503"/>
  <c r="IT503"/>
  <c r="IU503"/>
  <c r="IV503"/>
  <c r="A504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Z504"/>
  <c r="AA504"/>
  <c r="AB504"/>
  <c r="AC504"/>
  <c r="AD504"/>
  <c r="AE504"/>
  <c r="AF504"/>
  <c r="AG504"/>
  <c r="AH504"/>
  <c r="AI504"/>
  <c r="AJ504"/>
  <c r="AK504"/>
  <c r="AL504"/>
  <c r="AM504"/>
  <c r="AN504"/>
  <c r="AO504"/>
  <c r="AP504"/>
  <c r="AQ504"/>
  <c r="AR504"/>
  <c r="AS504"/>
  <c r="AT504"/>
  <c r="AU504"/>
  <c r="AV504"/>
  <c r="AW504"/>
  <c r="AX504"/>
  <c r="AY504"/>
  <c r="AZ504"/>
  <c r="BA504"/>
  <c r="BB504"/>
  <c r="BC504"/>
  <c r="BD504"/>
  <c r="BE504"/>
  <c r="BF504"/>
  <c r="BG504"/>
  <c r="BH504"/>
  <c r="BI504"/>
  <c r="BJ504"/>
  <c r="BK504"/>
  <c r="BL504"/>
  <c r="BM504"/>
  <c r="BN504"/>
  <c r="BO504"/>
  <c r="BP504"/>
  <c r="BQ504"/>
  <c r="BR504"/>
  <c r="BS504"/>
  <c r="BT504"/>
  <c r="BU504"/>
  <c r="BV504"/>
  <c r="BW504"/>
  <c r="BX504"/>
  <c r="BY504"/>
  <c r="BZ504"/>
  <c r="CA504"/>
  <c r="CB504"/>
  <c r="CC504"/>
  <c r="CD504"/>
  <c r="CE504"/>
  <c r="CF504"/>
  <c r="CG504"/>
  <c r="CH504"/>
  <c r="CI504"/>
  <c r="CJ504"/>
  <c r="CK504"/>
  <c r="CL504"/>
  <c r="CM504"/>
  <c r="CN504"/>
  <c r="CO504"/>
  <c r="CP504"/>
  <c r="CQ504"/>
  <c r="CR504"/>
  <c r="CS504"/>
  <c r="CT504"/>
  <c r="CU504"/>
  <c r="CV504"/>
  <c r="CW504"/>
  <c r="CX504"/>
  <c r="CY504"/>
  <c r="CZ504"/>
  <c r="DA504"/>
  <c r="DB504"/>
  <c r="DC504"/>
  <c r="DD504"/>
  <c r="DE504"/>
  <c r="DF504"/>
  <c r="DG504"/>
  <c r="DH504"/>
  <c r="DI504"/>
  <c r="DJ504"/>
  <c r="DK504"/>
  <c r="DL504"/>
  <c r="DM504"/>
  <c r="DN504"/>
  <c r="DO504"/>
  <c r="DP504"/>
  <c r="DQ504"/>
  <c r="DR504"/>
  <c r="DS504"/>
  <c r="DT504"/>
  <c r="DU504"/>
  <c r="DV504"/>
  <c r="DW504"/>
  <c r="DX504"/>
  <c r="DY504"/>
  <c r="DZ504"/>
  <c r="EA504"/>
  <c r="EB504"/>
  <c r="EC504"/>
  <c r="ED504"/>
  <c r="EE504"/>
  <c r="EF504"/>
  <c r="EG504"/>
  <c r="EH504"/>
  <c r="EI504"/>
  <c r="EJ504"/>
  <c r="EK504"/>
  <c r="EL504"/>
  <c r="EM504"/>
  <c r="EN504"/>
  <c r="EO504"/>
  <c r="EP504"/>
  <c r="EQ504"/>
  <c r="ER504"/>
  <c r="ES504"/>
  <c r="ET504"/>
  <c r="EU504"/>
  <c r="EV504"/>
  <c r="EW504"/>
  <c r="EX504"/>
  <c r="EY504"/>
  <c r="EZ504"/>
  <c r="FA504"/>
  <c r="FB504"/>
  <c r="FC504"/>
  <c r="FD504"/>
  <c r="FE504"/>
  <c r="FF504"/>
  <c r="FG504"/>
  <c r="FH504"/>
  <c r="FI504"/>
  <c r="FJ504"/>
  <c r="FK504"/>
  <c r="FL504"/>
  <c r="FM504"/>
  <c r="FN504"/>
  <c r="FO504"/>
  <c r="FP504"/>
  <c r="FQ504"/>
  <c r="FR504"/>
  <c r="FS504"/>
  <c r="FT504"/>
  <c r="FU504"/>
  <c r="FV504"/>
  <c r="FW504"/>
  <c r="FX504"/>
  <c r="FY504"/>
  <c r="FZ504"/>
  <c r="GA504"/>
  <c r="GB504"/>
  <c r="GC504"/>
  <c r="GD504"/>
  <c r="GE504"/>
  <c r="GF504"/>
  <c r="GG504"/>
  <c r="GH504"/>
  <c r="GI504"/>
  <c r="GJ504"/>
  <c r="GK504"/>
  <c r="GL504"/>
  <c r="GM504"/>
  <c r="GN504"/>
  <c r="GO504"/>
  <c r="GP504"/>
  <c r="GQ504"/>
  <c r="GR504"/>
  <c r="GS504"/>
  <c r="GT504"/>
  <c r="GU504"/>
  <c r="GV504"/>
  <c r="GW504"/>
  <c r="GX504"/>
  <c r="GY504"/>
  <c r="GZ504"/>
  <c r="HA504"/>
  <c r="HB504"/>
  <c r="HC504"/>
  <c r="HD504"/>
  <c r="HE504"/>
  <c r="HF504"/>
  <c r="HG504"/>
  <c r="HH504"/>
  <c r="HI504"/>
  <c r="HJ504"/>
  <c r="HK504"/>
  <c r="HL504"/>
  <c r="HM504"/>
  <c r="HN504"/>
  <c r="HO504"/>
  <c r="HP504"/>
  <c r="HQ504"/>
  <c r="HR504"/>
  <c r="HS504"/>
  <c r="HT504"/>
  <c r="HU504"/>
  <c r="HV504"/>
  <c r="HW504"/>
  <c r="HX504"/>
  <c r="HY504"/>
  <c r="HZ504"/>
  <c r="IA504"/>
  <c r="IB504"/>
  <c r="IC504"/>
  <c r="ID504"/>
  <c r="IE504"/>
  <c r="IF504"/>
  <c r="IG504"/>
  <c r="IH504"/>
  <c r="II504"/>
  <c r="IJ504"/>
  <c r="IK504"/>
  <c r="IL504"/>
  <c r="IM504"/>
  <c r="IN504"/>
  <c r="IO504"/>
  <c r="IP504"/>
  <c r="IQ504"/>
  <c r="IR504"/>
  <c r="IS504"/>
  <c r="IT504"/>
  <c r="IU504"/>
  <c r="IV504"/>
  <c r="A505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Z505"/>
  <c r="AA505"/>
  <c r="AB505"/>
  <c r="AC505"/>
  <c r="AD505"/>
  <c r="AE505"/>
  <c r="AF505"/>
  <c r="AG505"/>
  <c r="AH505"/>
  <c r="AI505"/>
  <c r="AJ505"/>
  <c r="AK505"/>
  <c r="AL505"/>
  <c r="AM505"/>
  <c r="AN505"/>
  <c r="AO505"/>
  <c r="AP505"/>
  <c r="AQ505"/>
  <c r="AR505"/>
  <c r="AS505"/>
  <c r="AT505"/>
  <c r="AU505"/>
  <c r="AV505"/>
  <c r="AW505"/>
  <c r="AX505"/>
  <c r="AY505"/>
  <c r="AZ505"/>
  <c r="BA505"/>
  <c r="BB505"/>
  <c r="BC505"/>
  <c r="BD505"/>
  <c r="BE505"/>
  <c r="BF505"/>
  <c r="BG505"/>
  <c r="BH505"/>
  <c r="BI505"/>
  <c r="BJ505"/>
  <c r="BK505"/>
  <c r="BL505"/>
  <c r="BM505"/>
  <c r="BN505"/>
  <c r="BO505"/>
  <c r="BP505"/>
  <c r="BQ505"/>
  <c r="BR505"/>
  <c r="BS505"/>
  <c r="BT505"/>
  <c r="BU505"/>
  <c r="BV505"/>
  <c r="BW505"/>
  <c r="BX505"/>
  <c r="BY505"/>
  <c r="BZ505"/>
  <c r="CA505"/>
  <c r="CB505"/>
  <c r="CC505"/>
  <c r="CD505"/>
  <c r="CE505"/>
  <c r="CF505"/>
  <c r="CG505"/>
  <c r="CH505"/>
  <c r="CI505"/>
  <c r="CJ505"/>
  <c r="CK505"/>
  <c r="CL505"/>
  <c r="CM505"/>
  <c r="CN505"/>
  <c r="CO505"/>
  <c r="CP505"/>
  <c r="CQ505"/>
  <c r="CR505"/>
  <c r="CS505"/>
  <c r="CT505"/>
  <c r="CU505"/>
  <c r="CV505"/>
  <c r="CW505"/>
  <c r="CX505"/>
  <c r="CY505"/>
  <c r="CZ505"/>
  <c r="DA505"/>
  <c r="DB505"/>
  <c r="DC505"/>
  <c r="DD505"/>
  <c r="DE505"/>
  <c r="DF505"/>
  <c r="DG505"/>
  <c r="DH505"/>
  <c r="DI505"/>
  <c r="DJ505"/>
  <c r="DK505"/>
  <c r="DL505"/>
  <c r="DM505"/>
  <c r="DN505"/>
  <c r="DO505"/>
  <c r="DP505"/>
  <c r="DQ505"/>
  <c r="DR505"/>
  <c r="DS505"/>
  <c r="DT505"/>
  <c r="DU505"/>
  <c r="DV505"/>
  <c r="DW505"/>
  <c r="DX505"/>
  <c r="DY505"/>
  <c r="DZ505"/>
  <c r="EA505"/>
  <c r="EB505"/>
  <c r="EC505"/>
  <c r="ED505"/>
  <c r="EE505"/>
  <c r="EF505"/>
  <c r="EG505"/>
  <c r="EH505"/>
  <c r="EI505"/>
  <c r="EJ505"/>
  <c r="EK505"/>
  <c r="EL505"/>
  <c r="EM505"/>
  <c r="EN505"/>
  <c r="EO505"/>
  <c r="EP505"/>
  <c r="EQ505"/>
  <c r="ER505"/>
  <c r="ES505"/>
  <c r="ET505"/>
  <c r="EU505"/>
  <c r="EV505"/>
  <c r="EW505"/>
  <c r="EX505"/>
  <c r="EY505"/>
  <c r="EZ505"/>
  <c r="FA505"/>
  <c r="FB505"/>
  <c r="FC505"/>
  <c r="FD505"/>
  <c r="FE505"/>
  <c r="FF505"/>
  <c r="FG505"/>
  <c r="FH505"/>
  <c r="FI505"/>
  <c r="FJ505"/>
  <c r="FK505"/>
  <c r="FL505"/>
  <c r="FM505"/>
  <c r="FN505"/>
  <c r="FO505"/>
  <c r="FP505"/>
  <c r="FQ505"/>
  <c r="FR505"/>
  <c r="FS505"/>
  <c r="FT505"/>
  <c r="FU505"/>
  <c r="FV505"/>
  <c r="FW505"/>
  <c r="FX505"/>
  <c r="FY505"/>
  <c r="FZ505"/>
  <c r="GA505"/>
  <c r="GB505"/>
  <c r="GC505"/>
  <c r="GD505"/>
  <c r="GE505"/>
  <c r="GF505"/>
  <c r="GG505"/>
  <c r="GH505"/>
  <c r="GI505"/>
  <c r="GJ505"/>
  <c r="GK505"/>
  <c r="GL505"/>
  <c r="GM505"/>
  <c r="GN505"/>
  <c r="GO505"/>
  <c r="GP505"/>
  <c r="GQ505"/>
  <c r="GR505"/>
  <c r="GS505"/>
  <c r="GT505"/>
  <c r="GU505"/>
  <c r="GV505"/>
  <c r="GW505"/>
  <c r="GX505"/>
  <c r="GY505"/>
  <c r="GZ505"/>
  <c r="HA505"/>
  <c r="HB505"/>
  <c r="HC505"/>
  <c r="HD505"/>
  <c r="HE505"/>
  <c r="HF505"/>
  <c r="HG505"/>
  <c r="HH505"/>
  <c r="HI505"/>
  <c r="HJ505"/>
  <c r="HK505"/>
  <c r="HL505"/>
  <c r="HM505"/>
  <c r="HN505"/>
  <c r="HO505"/>
  <c r="HP505"/>
  <c r="HQ505"/>
  <c r="HR505"/>
  <c r="HS505"/>
  <c r="HT505"/>
  <c r="HU505"/>
  <c r="HV505"/>
  <c r="HW505"/>
  <c r="HX505"/>
  <c r="HY505"/>
  <c r="HZ505"/>
  <c r="IA505"/>
  <c r="IB505"/>
  <c r="IC505"/>
  <c r="ID505"/>
  <c r="IE505"/>
  <c r="IF505"/>
  <c r="IG505"/>
  <c r="IH505"/>
  <c r="II505"/>
  <c r="IJ505"/>
  <c r="IK505"/>
  <c r="IL505"/>
  <c r="IM505"/>
  <c r="IN505"/>
  <c r="IO505"/>
  <c r="IP505"/>
  <c r="IQ505"/>
  <c r="IR505"/>
  <c r="IS505"/>
  <c r="IT505"/>
  <c r="IU505"/>
  <c r="IV505"/>
  <c r="A506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Z506"/>
  <c r="AA506"/>
  <c r="AB506"/>
  <c r="AC506"/>
  <c r="AD506"/>
  <c r="AE506"/>
  <c r="AF506"/>
  <c r="AG506"/>
  <c r="AH506"/>
  <c r="AI506"/>
  <c r="AJ506"/>
  <c r="AK506"/>
  <c r="AL506"/>
  <c r="AM506"/>
  <c r="AN506"/>
  <c r="AO506"/>
  <c r="AP506"/>
  <c r="AQ506"/>
  <c r="AR506"/>
  <c r="AS506"/>
  <c r="AT506"/>
  <c r="AU506"/>
  <c r="AV506"/>
  <c r="AW506"/>
  <c r="AX506"/>
  <c r="AY506"/>
  <c r="AZ506"/>
  <c r="BA506"/>
  <c r="BB506"/>
  <c r="BC506"/>
  <c r="BD506"/>
  <c r="BE506"/>
  <c r="BF506"/>
  <c r="BG506"/>
  <c r="BH506"/>
  <c r="BI506"/>
  <c r="BJ506"/>
  <c r="BK506"/>
  <c r="BL506"/>
  <c r="BM506"/>
  <c r="BN506"/>
  <c r="BO506"/>
  <c r="BP506"/>
  <c r="BQ506"/>
  <c r="BR506"/>
  <c r="BS506"/>
  <c r="BT506"/>
  <c r="BU506"/>
  <c r="BV506"/>
  <c r="BW506"/>
  <c r="BX506"/>
  <c r="BY506"/>
  <c r="BZ506"/>
  <c r="CA506"/>
  <c r="CB506"/>
  <c r="CC506"/>
  <c r="CD506"/>
  <c r="CE506"/>
  <c r="CF506"/>
  <c r="CG506"/>
  <c r="CH506"/>
  <c r="CI506"/>
  <c r="CJ506"/>
  <c r="CK506"/>
  <c r="CL506"/>
  <c r="CM506"/>
  <c r="CN506"/>
  <c r="CO506"/>
  <c r="CP506"/>
  <c r="CQ506"/>
  <c r="CR506"/>
  <c r="CS506"/>
  <c r="CT506"/>
  <c r="CU506"/>
  <c r="CV506"/>
  <c r="CW506"/>
  <c r="CX506"/>
  <c r="CY506"/>
  <c r="CZ506"/>
  <c r="DA506"/>
  <c r="DB506"/>
  <c r="DC506"/>
  <c r="DD506"/>
  <c r="DE506"/>
  <c r="DF506"/>
  <c r="DG506"/>
  <c r="DH506"/>
  <c r="DI506"/>
  <c r="DJ506"/>
  <c r="DK506"/>
  <c r="DL506"/>
  <c r="DM506"/>
  <c r="DN506"/>
  <c r="DO506"/>
  <c r="DP506"/>
  <c r="DQ506"/>
  <c r="DR506"/>
  <c r="DS506"/>
  <c r="DT506"/>
  <c r="DU506"/>
  <c r="DV506"/>
  <c r="DW506"/>
  <c r="DX506"/>
  <c r="DY506"/>
  <c r="DZ506"/>
  <c r="EA506"/>
  <c r="EB506"/>
  <c r="EC506"/>
  <c r="ED506"/>
  <c r="EE506"/>
  <c r="EF506"/>
  <c r="EG506"/>
  <c r="EH506"/>
  <c r="EI506"/>
  <c r="EJ506"/>
  <c r="EK506"/>
  <c r="EL506"/>
  <c r="EM506"/>
  <c r="EN506"/>
  <c r="EO506"/>
  <c r="EP506"/>
  <c r="EQ506"/>
  <c r="ER506"/>
  <c r="ES506"/>
  <c r="ET506"/>
  <c r="EU506"/>
  <c r="EV506"/>
  <c r="EW506"/>
  <c r="EX506"/>
  <c r="EY506"/>
  <c r="EZ506"/>
  <c r="FA506"/>
  <c r="FB506"/>
  <c r="FC506"/>
  <c r="FD506"/>
  <c r="FE506"/>
  <c r="FF506"/>
  <c r="FG506"/>
  <c r="FH506"/>
  <c r="FI506"/>
  <c r="FJ506"/>
  <c r="FK506"/>
  <c r="FL506"/>
  <c r="FM506"/>
  <c r="FN506"/>
  <c r="FO506"/>
  <c r="FP506"/>
  <c r="FQ506"/>
  <c r="FR506"/>
  <c r="FS506"/>
  <c r="FT506"/>
  <c r="FU506"/>
  <c r="FV506"/>
  <c r="FW506"/>
  <c r="FX506"/>
  <c r="FY506"/>
  <c r="FZ506"/>
  <c r="GA506"/>
  <c r="GB506"/>
  <c r="GC506"/>
  <c r="GD506"/>
  <c r="GE506"/>
  <c r="GF506"/>
  <c r="GG506"/>
  <c r="GH506"/>
  <c r="GI506"/>
  <c r="GJ506"/>
  <c r="GK506"/>
  <c r="GL506"/>
  <c r="GM506"/>
  <c r="GN506"/>
  <c r="GO506"/>
  <c r="GP506"/>
  <c r="GQ506"/>
  <c r="GR506"/>
  <c r="GS506"/>
  <c r="GT506"/>
  <c r="GU506"/>
  <c r="GV506"/>
  <c r="GW506"/>
  <c r="GX506"/>
  <c r="GY506"/>
  <c r="GZ506"/>
  <c r="HA506"/>
  <c r="HB506"/>
  <c r="HC506"/>
  <c r="HD506"/>
  <c r="HE506"/>
  <c r="HF506"/>
  <c r="HG506"/>
  <c r="HH506"/>
  <c r="HI506"/>
  <c r="HJ506"/>
  <c r="HK506"/>
  <c r="HL506"/>
  <c r="HM506"/>
  <c r="HN506"/>
  <c r="HO506"/>
  <c r="HP506"/>
  <c r="HQ506"/>
  <c r="HR506"/>
  <c r="HS506"/>
  <c r="HT506"/>
  <c r="HU506"/>
  <c r="HV506"/>
  <c r="HW506"/>
  <c r="HX506"/>
  <c r="HY506"/>
  <c r="HZ506"/>
  <c r="IA506"/>
  <c r="IB506"/>
  <c r="IC506"/>
  <c r="ID506"/>
  <c r="IE506"/>
  <c r="IF506"/>
  <c r="IG506"/>
  <c r="IH506"/>
  <c r="II506"/>
  <c r="IJ506"/>
  <c r="IK506"/>
  <c r="IL506"/>
  <c r="IM506"/>
  <c r="IN506"/>
  <c r="IO506"/>
  <c r="IP506"/>
  <c r="IQ506"/>
  <c r="IR506"/>
  <c r="IS506"/>
  <c r="IT506"/>
  <c r="IU506"/>
  <c r="IV506"/>
  <c r="A507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Z507"/>
  <c r="AA507"/>
  <c r="AB507"/>
  <c r="AC507"/>
  <c r="AD507"/>
  <c r="AE507"/>
  <c r="AF507"/>
  <c r="AG507"/>
  <c r="AH507"/>
  <c r="AI507"/>
  <c r="AJ507"/>
  <c r="AK507"/>
  <c r="AL507"/>
  <c r="AM507"/>
  <c r="AN507"/>
  <c r="AO507"/>
  <c r="AP507"/>
  <c r="AQ507"/>
  <c r="AR507"/>
  <c r="AS507"/>
  <c r="AT507"/>
  <c r="AU507"/>
  <c r="AV507"/>
  <c r="AW507"/>
  <c r="AX507"/>
  <c r="AY507"/>
  <c r="AZ507"/>
  <c r="BA507"/>
  <c r="BB507"/>
  <c r="BC507"/>
  <c r="BD507"/>
  <c r="BE507"/>
  <c r="BF507"/>
  <c r="BG507"/>
  <c r="BH507"/>
  <c r="BI507"/>
  <c r="BJ507"/>
  <c r="BK507"/>
  <c r="BL507"/>
  <c r="BM507"/>
  <c r="BN507"/>
  <c r="BO507"/>
  <c r="BP507"/>
  <c r="BQ507"/>
  <c r="BR507"/>
  <c r="BS507"/>
  <c r="BT507"/>
  <c r="BU507"/>
  <c r="BV507"/>
  <c r="BW507"/>
  <c r="BX507"/>
  <c r="BY507"/>
  <c r="BZ507"/>
  <c r="CA507"/>
  <c r="CB507"/>
  <c r="CC507"/>
  <c r="CD507"/>
  <c r="CE507"/>
  <c r="CF507"/>
  <c r="CG507"/>
  <c r="CH507"/>
  <c r="CI507"/>
  <c r="CJ507"/>
  <c r="CK507"/>
  <c r="CL507"/>
  <c r="CM507"/>
  <c r="CN507"/>
  <c r="CO507"/>
  <c r="CP507"/>
  <c r="CQ507"/>
  <c r="CR507"/>
  <c r="CS507"/>
  <c r="CT507"/>
  <c r="CU507"/>
  <c r="CV507"/>
  <c r="CW507"/>
  <c r="CX507"/>
  <c r="CY507"/>
  <c r="CZ507"/>
  <c r="DA507"/>
  <c r="DB507"/>
  <c r="DC507"/>
  <c r="DD507"/>
  <c r="DE507"/>
  <c r="DF507"/>
  <c r="DG507"/>
  <c r="DH507"/>
  <c r="DI507"/>
  <c r="DJ507"/>
  <c r="DK507"/>
  <c r="DL507"/>
  <c r="DM507"/>
  <c r="DN507"/>
  <c r="DO507"/>
  <c r="DP507"/>
  <c r="DQ507"/>
  <c r="DR507"/>
  <c r="DS507"/>
  <c r="DT507"/>
  <c r="DU507"/>
  <c r="DV507"/>
  <c r="DW507"/>
  <c r="DX507"/>
  <c r="DY507"/>
  <c r="DZ507"/>
  <c r="EA507"/>
  <c r="EB507"/>
  <c r="EC507"/>
  <c r="ED507"/>
  <c r="EE507"/>
  <c r="EF507"/>
  <c r="EG507"/>
  <c r="EH507"/>
  <c r="EI507"/>
  <c r="EJ507"/>
  <c r="EK507"/>
  <c r="EL507"/>
  <c r="EM507"/>
  <c r="EN507"/>
  <c r="EO507"/>
  <c r="EP507"/>
  <c r="EQ507"/>
  <c r="ER507"/>
  <c r="ES507"/>
  <c r="ET507"/>
  <c r="EU507"/>
  <c r="EV507"/>
  <c r="EW507"/>
  <c r="EX507"/>
  <c r="EY507"/>
  <c r="EZ507"/>
  <c r="FA507"/>
  <c r="FB507"/>
  <c r="FC507"/>
  <c r="FD507"/>
  <c r="FE507"/>
  <c r="FF507"/>
  <c r="FG507"/>
  <c r="FH507"/>
  <c r="FI507"/>
  <c r="FJ507"/>
  <c r="FK507"/>
  <c r="FL507"/>
  <c r="FM507"/>
  <c r="FN507"/>
  <c r="FO507"/>
  <c r="FP507"/>
  <c r="FQ507"/>
  <c r="FR507"/>
  <c r="FS507"/>
  <c r="FT507"/>
  <c r="FU507"/>
  <c r="FV507"/>
  <c r="FW507"/>
  <c r="FX507"/>
  <c r="FY507"/>
  <c r="FZ507"/>
  <c r="GA507"/>
  <c r="GB507"/>
  <c r="GC507"/>
  <c r="GD507"/>
  <c r="GE507"/>
  <c r="GF507"/>
  <c r="GG507"/>
  <c r="GH507"/>
  <c r="GI507"/>
  <c r="GJ507"/>
  <c r="GK507"/>
  <c r="GL507"/>
  <c r="GM507"/>
  <c r="GN507"/>
  <c r="GO507"/>
  <c r="GP507"/>
  <c r="GQ507"/>
  <c r="GR507"/>
  <c r="GS507"/>
  <c r="GT507"/>
  <c r="GU507"/>
  <c r="GV507"/>
  <c r="GW507"/>
  <c r="GX507"/>
  <c r="GY507"/>
  <c r="GZ507"/>
  <c r="HA507"/>
  <c r="HB507"/>
  <c r="HC507"/>
  <c r="HD507"/>
  <c r="HE507"/>
  <c r="HF507"/>
  <c r="HG507"/>
  <c r="HH507"/>
  <c r="HI507"/>
  <c r="HJ507"/>
  <c r="HK507"/>
  <c r="HL507"/>
  <c r="HM507"/>
  <c r="HN507"/>
  <c r="HO507"/>
  <c r="HP507"/>
  <c r="HQ507"/>
  <c r="HR507"/>
  <c r="HS507"/>
  <c r="HT507"/>
  <c r="HU507"/>
  <c r="HV507"/>
  <c r="HW507"/>
  <c r="HX507"/>
  <c r="HY507"/>
  <c r="HZ507"/>
  <c r="IA507"/>
  <c r="IB507"/>
  <c r="IC507"/>
  <c r="ID507"/>
  <c r="IE507"/>
  <c r="IF507"/>
  <c r="IG507"/>
  <c r="IH507"/>
  <c r="II507"/>
  <c r="IJ507"/>
  <c r="IK507"/>
  <c r="IL507"/>
  <c r="IM507"/>
  <c r="IN507"/>
  <c r="IO507"/>
  <c r="IP507"/>
  <c r="IQ507"/>
  <c r="IR507"/>
  <c r="IS507"/>
  <c r="IT507"/>
  <c r="IU507"/>
  <c r="IV507"/>
  <c r="A508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Z508"/>
  <c r="AA508"/>
  <c r="AB508"/>
  <c r="AC508"/>
  <c r="AD508"/>
  <c r="AE508"/>
  <c r="AF508"/>
  <c r="AG508"/>
  <c r="AH508"/>
  <c r="AI508"/>
  <c r="AJ508"/>
  <c r="AK508"/>
  <c r="AL508"/>
  <c r="AM508"/>
  <c r="AN508"/>
  <c r="AO508"/>
  <c r="AP508"/>
  <c r="AQ508"/>
  <c r="AR508"/>
  <c r="AS508"/>
  <c r="AT508"/>
  <c r="AU508"/>
  <c r="AV508"/>
  <c r="AW508"/>
  <c r="AX508"/>
  <c r="AY508"/>
  <c r="AZ508"/>
  <c r="BA508"/>
  <c r="BB508"/>
  <c r="BC508"/>
  <c r="BD508"/>
  <c r="BE508"/>
  <c r="BF508"/>
  <c r="BG508"/>
  <c r="BH508"/>
  <c r="BI508"/>
  <c r="BJ508"/>
  <c r="BK508"/>
  <c r="BL508"/>
  <c r="BM508"/>
  <c r="BN508"/>
  <c r="BO508"/>
  <c r="BP508"/>
  <c r="BQ508"/>
  <c r="BR508"/>
  <c r="BS508"/>
  <c r="BT508"/>
  <c r="BU508"/>
  <c r="BV508"/>
  <c r="BW508"/>
  <c r="BX508"/>
  <c r="BY508"/>
  <c r="BZ508"/>
  <c r="CA508"/>
  <c r="CB508"/>
  <c r="CC508"/>
  <c r="CD508"/>
  <c r="CE508"/>
  <c r="CF508"/>
  <c r="CG508"/>
  <c r="CH508"/>
  <c r="CI508"/>
  <c r="CJ508"/>
  <c r="CK508"/>
  <c r="CL508"/>
  <c r="CM508"/>
  <c r="CN508"/>
  <c r="CO508"/>
  <c r="CP508"/>
  <c r="CQ508"/>
  <c r="CR508"/>
  <c r="CS508"/>
  <c r="CT508"/>
  <c r="CU508"/>
  <c r="CV508"/>
  <c r="CW508"/>
  <c r="CX508"/>
  <c r="CY508"/>
  <c r="CZ508"/>
  <c r="DA508"/>
  <c r="DB508"/>
  <c r="DC508"/>
  <c r="DD508"/>
  <c r="DE508"/>
  <c r="DF508"/>
  <c r="DG508"/>
  <c r="DH508"/>
  <c r="DI508"/>
  <c r="DJ508"/>
  <c r="DK508"/>
  <c r="DL508"/>
  <c r="DM508"/>
  <c r="DN508"/>
  <c r="DO508"/>
  <c r="DP508"/>
  <c r="DQ508"/>
  <c r="DR508"/>
  <c r="DS508"/>
  <c r="DT508"/>
  <c r="DU508"/>
  <c r="DV508"/>
  <c r="DW508"/>
  <c r="DX508"/>
  <c r="DY508"/>
  <c r="DZ508"/>
  <c r="EA508"/>
  <c r="EB508"/>
  <c r="EC508"/>
  <c r="ED508"/>
  <c r="EE508"/>
  <c r="EF508"/>
  <c r="EG508"/>
  <c r="EH508"/>
  <c r="EI508"/>
  <c r="EJ508"/>
  <c r="EK508"/>
  <c r="EL508"/>
  <c r="EM508"/>
  <c r="EN508"/>
  <c r="EO508"/>
  <c r="EP508"/>
  <c r="EQ508"/>
  <c r="ER508"/>
  <c r="ES508"/>
  <c r="ET508"/>
  <c r="EU508"/>
  <c r="EV508"/>
  <c r="EW508"/>
  <c r="EX508"/>
  <c r="EY508"/>
  <c r="EZ508"/>
  <c r="FA508"/>
  <c r="FB508"/>
  <c r="FC508"/>
  <c r="FD508"/>
  <c r="FE508"/>
  <c r="FF508"/>
  <c r="FG508"/>
  <c r="FH508"/>
  <c r="FI508"/>
  <c r="FJ508"/>
  <c r="FK508"/>
  <c r="FL508"/>
  <c r="FM508"/>
  <c r="FN508"/>
  <c r="FO508"/>
  <c r="FP508"/>
  <c r="FQ508"/>
  <c r="FR508"/>
  <c r="FS508"/>
  <c r="FT508"/>
  <c r="FU508"/>
  <c r="FV508"/>
  <c r="FW508"/>
  <c r="FX508"/>
  <c r="FY508"/>
  <c r="FZ508"/>
  <c r="GA508"/>
  <c r="GB508"/>
  <c r="GC508"/>
  <c r="GD508"/>
  <c r="GE508"/>
  <c r="GF508"/>
  <c r="GG508"/>
  <c r="GH508"/>
  <c r="GI508"/>
  <c r="GJ508"/>
  <c r="GK508"/>
  <c r="GL508"/>
  <c r="GM508"/>
  <c r="GN508"/>
  <c r="GO508"/>
  <c r="GP508"/>
  <c r="GQ508"/>
  <c r="GR508"/>
  <c r="GS508"/>
  <c r="GT508"/>
  <c r="GU508"/>
  <c r="GV508"/>
  <c r="GW508"/>
  <c r="GX508"/>
  <c r="GY508"/>
  <c r="GZ508"/>
  <c r="HA508"/>
  <c r="HB508"/>
  <c r="HC508"/>
  <c r="HD508"/>
  <c r="HE508"/>
  <c r="HF508"/>
  <c r="HG508"/>
  <c r="HH508"/>
  <c r="HI508"/>
  <c r="HJ508"/>
  <c r="HK508"/>
  <c r="HL508"/>
  <c r="HM508"/>
  <c r="HN508"/>
  <c r="HO508"/>
  <c r="HP508"/>
  <c r="HQ508"/>
  <c r="HR508"/>
  <c r="HS508"/>
  <c r="HT508"/>
  <c r="HU508"/>
  <c r="HV508"/>
  <c r="HW508"/>
  <c r="HX508"/>
  <c r="HY508"/>
  <c r="HZ508"/>
  <c r="IA508"/>
  <c r="IB508"/>
  <c r="IC508"/>
  <c r="ID508"/>
  <c r="IE508"/>
  <c r="IF508"/>
  <c r="IG508"/>
  <c r="IH508"/>
  <c r="II508"/>
  <c r="IJ508"/>
  <c r="IK508"/>
  <c r="IL508"/>
  <c r="IM508"/>
  <c r="IN508"/>
  <c r="IO508"/>
  <c r="IP508"/>
  <c r="IQ508"/>
  <c r="IR508"/>
  <c r="IS508"/>
  <c r="IT508"/>
  <c r="IU508"/>
  <c r="IV508"/>
  <c r="A509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Z509"/>
  <c r="AA509"/>
  <c r="AB509"/>
  <c r="AC509"/>
  <c r="AD509"/>
  <c r="AE509"/>
  <c r="AF509"/>
  <c r="AG509"/>
  <c r="AH509"/>
  <c r="AI509"/>
  <c r="AJ509"/>
  <c r="AK509"/>
  <c r="AL509"/>
  <c r="AM509"/>
  <c r="AN509"/>
  <c r="AO509"/>
  <c r="AP509"/>
  <c r="AQ509"/>
  <c r="AR509"/>
  <c r="AS509"/>
  <c r="AT509"/>
  <c r="AU509"/>
  <c r="AV509"/>
  <c r="AW509"/>
  <c r="AX509"/>
  <c r="AY509"/>
  <c r="AZ509"/>
  <c r="BA509"/>
  <c r="BB509"/>
  <c r="BC509"/>
  <c r="BD509"/>
  <c r="BE509"/>
  <c r="BF509"/>
  <c r="BG509"/>
  <c r="BH509"/>
  <c r="BI509"/>
  <c r="BJ509"/>
  <c r="BK509"/>
  <c r="BL509"/>
  <c r="BM509"/>
  <c r="BN509"/>
  <c r="BO509"/>
  <c r="BP509"/>
  <c r="BQ509"/>
  <c r="BR509"/>
  <c r="BS509"/>
  <c r="BT509"/>
  <c r="BU509"/>
  <c r="BV509"/>
  <c r="BW509"/>
  <c r="BX509"/>
  <c r="BY509"/>
  <c r="BZ509"/>
  <c r="CA509"/>
  <c r="CB509"/>
  <c r="CC509"/>
  <c r="CD509"/>
  <c r="CE509"/>
  <c r="CF509"/>
  <c r="CG509"/>
  <c r="CH509"/>
  <c r="CI509"/>
  <c r="CJ509"/>
  <c r="CK509"/>
  <c r="CL509"/>
  <c r="CM509"/>
  <c r="CN509"/>
  <c r="CO509"/>
  <c r="CP509"/>
  <c r="CQ509"/>
  <c r="CR509"/>
  <c r="CS509"/>
  <c r="CT509"/>
  <c r="CU509"/>
  <c r="CV509"/>
  <c r="CW509"/>
  <c r="CX509"/>
  <c r="CY509"/>
  <c r="CZ509"/>
  <c r="DA509"/>
  <c r="DB509"/>
  <c r="DC509"/>
  <c r="DD509"/>
  <c r="DE509"/>
  <c r="DF509"/>
  <c r="DG509"/>
  <c r="DH509"/>
  <c r="DI509"/>
  <c r="DJ509"/>
  <c r="DK509"/>
  <c r="DL509"/>
  <c r="DM509"/>
  <c r="DN509"/>
  <c r="DO509"/>
  <c r="DP509"/>
  <c r="DQ509"/>
  <c r="DR509"/>
  <c r="DS509"/>
  <c r="DT509"/>
  <c r="DU509"/>
  <c r="DV509"/>
  <c r="DW509"/>
  <c r="DX509"/>
  <c r="DY509"/>
  <c r="DZ509"/>
  <c r="EA509"/>
  <c r="EB509"/>
  <c r="EC509"/>
  <c r="ED509"/>
  <c r="EE509"/>
  <c r="EF509"/>
  <c r="EG509"/>
  <c r="EH509"/>
  <c r="EI509"/>
  <c r="EJ509"/>
  <c r="EK509"/>
  <c r="EL509"/>
  <c r="EM509"/>
  <c r="EN509"/>
  <c r="EO509"/>
  <c r="EP509"/>
  <c r="EQ509"/>
  <c r="ER509"/>
  <c r="ES509"/>
  <c r="ET509"/>
  <c r="EU509"/>
  <c r="EV509"/>
  <c r="EW509"/>
  <c r="EX509"/>
  <c r="EY509"/>
  <c r="EZ509"/>
  <c r="FA509"/>
  <c r="FB509"/>
  <c r="FC509"/>
  <c r="FD509"/>
  <c r="FE509"/>
  <c r="FF509"/>
  <c r="FG509"/>
  <c r="FH509"/>
  <c r="FI509"/>
  <c r="FJ509"/>
  <c r="FK509"/>
  <c r="FL509"/>
  <c r="FM509"/>
  <c r="FN509"/>
  <c r="FO509"/>
  <c r="FP509"/>
  <c r="FQ509"/>
  <c r="FR509"/>
  <c r="FS509"/>
  <c r="FT509"/>
  <c r="FU509"/>
  <c r="FV509"/>
  <c r="FW509"/>
  <c r="FX509"/>
  <c r="FY509"/>
  <c r="FZ509"/>
  <c r="GA509"/>
  <c r="GB509"/>
  <c r="GC509"/>
  <c r="GD509"/>
  <c r="GE509"/>
  <c r="GF509"/>
  <c r="GG509"/>
  <c r="GH509"/>
  <c r="GI509"/>
  <c r="GJ509"/>
  <c r="GK509"/>
  <c r="GL509"/>
  <c r="GM509"/>
  <c r="GN509"/>
  <c r="GO509"/>
  <c r="GP509"/>
  <c r="GQ509"/>
  <c r="GR509"/>
  <c r="GS509"/>
  <c r="GT509"/>
  <c r="GU509"/>
  <c r="GV509"/>
  <c r="GW509"/>
  <c r="GX509"/>
  <c r="GY509"/>
  <c r="GZ509"/>
  <c r="HA509"/>
  <c r="HB509"/>
  <c r="HC509"/>
  <c r="HD509"/>
  <c r="HE509"/>
  <c r="HF509"/>
  <c r="HG509"/>
  <c r="HH509"/>
  <c r="HI509"/>
  <c r="HJ509"/>
  <c r="HK509"/>
  <c r="HL509"/>
  <c r="HM509"/>
  <c r="HN509"/>
  <c r="HO509"/>
  <c r="HP509"/>
  <c r="HQ509"/>
  <c r="HR509"/>
  <c r="HS509"/>
  <c r="HT509"/>
  <c r="HU509"/>
  <c r="HV509"/>
  <c r="HW509"/>
  <c r="HX509"/>
  <c r="HY509"/>
  <c r="HZ509"/>
  <c r="IA509"/>
  <c r="IB509"/>
  <c r="IC509"/>
  <c r="ID509"/>
  <c r="IE509"/>
  <c r="IF509"/>
  <c r="IG509"/>
  <c r="IH509"/>
  <c r="II509"/>
  <c r="IJ509"/>
  <c r="IK509"/>
  <c r="IL509"/>
  <c r="IM509"/>
  <c r="IN509"/>
  <c r="IO509"/>
  <c r="IP509"/>
  <c r="IQ509"/>
  <c r="IR509"/>
  <c r="IS509"/>
  <c r="IT509"/>
  <c r="IU509"/>
  <c r="IV509"/>
  <c r="A510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Z510"/>
  <c r="AA510"/>
  <c r="AB510"/>
  <c r="AC510"/>
  <c r="AD510"/>
  <c r="AE510"/>
  <c r="AF510"/>
  <c r="AG510"/>
  <c r="AH510"/>
  <c r="AI510"/>
  <c r="AJ510"/>
  <c r="AK510"/>
  <c r="AL510"/>
  <c r="AM510"/>
  <c r="AN510"/>
  <c r="AO510"/>
  <c r="AP510"/>
  <c r="AQ510"/>
  <c r="AR510"/>
  <c r="AS510"/>
  <c r="AT510"/>
  <c r="AU510"/>
  <c r="AV510"/>
  <c r="AW510"/>
  <c r="AX510"/>
  <c r="AY510"/>
  <c r="AZ510"/>
  <c r="BA510"/>
  <c r="BB510"/>
  <c r="BC510"/>
  <c r="BD510"/>
  <c r="BE510"/>
  <c r="BF510"/>
  <c r="BG510"/>
  <c r="BH510"/>
  <c r="BI510"/>
  <c r="BJ510"/>
  <c r="BK510"/>
  <c r="BL510"/>
  <c r="BM510"/>
  <c r="BN510"/>
  <c r="BO510"/>
  <c r="BP510"/>
  <c r="BQ510"/>
  <c r="BR510"/>
  <c r="BS510"/>
  <c r="BT510"/>
  <c r="BU510"/>
  <c r="BV510"/>
  <c r="BW510"/>
  <c r="BX510"/>
  <c r="BY510"/>
  <c r="BZ510"/>
  <c r="CA510"/>
  <c r="CB510"/>
  <c r="CC510"/>
  <c r="CD510"/>
  <c r="CE510"/>
  <c r="CF510"/>
  <c r="CG510"/>
  <c r="CH510"/>
  <c r="CI510"/>
  <c r="CJ510"/>
  <c r="CK510"/>
  <c r="CL510"/>
  <c r="CM510"/>
  <c r="CN510"/>
  <c r="CO510"/>
  <c r="CP510"/>
  <c r="CQ510"/>
  <c r="CR510"/>
  <c r="CS510"/>
  <c r="CT510"/>
  <c r="CU510"/>
  <c r="CV510"/>
  <c r="CW510"/>
  <c r="CX510"/>
  <c r="CY510"/>
  <c r="CZ510"/>
  <c r="DA510"/>
  <c r="DB510"/>
  <c r="DC510"/>
  <c r="DD510"/>
  <c r="DE510"/>
  <c r="DF510"/>
  <c r="DG510"/>
  <c r="DH510"/>
  <c r="DI510"/>
  <c r="DJ510"/>
  <c r="DK510"/>
  <c r="DL510"/>
  <c r="DM510"/>
  <c r="DN510"/>
  <c r="DO510"/>
  <c r="DP510"/>
  <c r="DQ510"/>
  <c r="DR510"/>
  <c r="DS510"/>
  <c r="DT510"/>
  <c r="DU510"/>
  <c r="DV510"/>
  <c r="DW510"/>
  <c r="DX510"/>
  <c r="DY510"/>
  <c r="DZ510"/>
  <c r="EA510"/>
  <c r="EB510"/>
  <c r="EC510"/>
  <c r="ED510"/>
  <c r="EE510"/>
  <c r="EF510"/>
  <c r="EG510"/>
  <c r="EH510"/>
  <c r="EI510"/>
  <c r="EJ510"/>
  <c r="EK510"/>
  <c r="EL510"/>
  <c r="EM510"/>
  <c r="EN510"/>
  <c r="EO510"/>
  <c r="EP510"/>
  <c r="EQ510"/>
  <c r="ER510"/>
  <c r="ES510"/>
  <c r="ET510"/>
  <c r="EU510"/>
  <c r="EV510"/>
  <c r="EW510"/>
  <c r="EX510"/>
  <c r="EY510"/>
  <c r="EZ510"/>
  <c r="FA510"/>
  <c r="FB510"/>
  <c r="FC510"/>
  <c r="FD510"/>
  <c r="FE510"/>
  <c r="FF510"/>
  <c r="FG510"/>
  <c r="FH510"/>
  <c r="FI510"/>
  <c r="FJ510"/>
  <c r="FK510"/>
  <c r="FL510"/>
  <c r="FM510"/>
  <c r="FN510"/>
  <c r="FO510"/>
  <c r="FP510"/>
  <c r="FQ510"/>
  <c r="FR510"/>
  <c r="FS510"/>
  <c r="FT510"/>
  <c r="FU510"/>
  <c r="FV510"/>
  <c r="FW510"/>
  <c r="FX510"/>
  <c r="FY510"/>
  <c r="FZ510"/>
  <c r="GA510"/>
  <c r="GB510"/>
  <c r="GC510"/>
  <c r="GD510"/>
  <c r="GE510"/>
  <c r="GF510"/>
  <c r="GG510"/>
  <c r="GH510"/>
  <c r="GI510"/>
  <c r="GJ510"/>
  <c r="GK510"/>
  <c r="GL510"/>
  <c r="GM510"/>
  <c r="GN510"/>
  <c r="GO510"/>
  <c r="GP510"/>
  <c r="GQ510"/>
  <c r="GR510"/>
  <c r="GS510"/>
  <c r="GT510"/>
  <c r="GU510"/>
  <c r="GV510"/>
  <c r="GW510"/>
  <c r="GX510"/>
  <c r="GY510"/>
  <c r="GZ510"/>
  <c r="HA510"/>
  <c r="HB510"/>
  <c r="HC510"/>
  <c r="HD510"/>
  <c r="HE510"/>
  <c r="HF510"/>
  <c r="HG510"/>
  <c r="HH510"/>
  <c r="HI510"/>
  <c r="HJ510"/>
  <c r="HK510"/>
  <c r="HL510"/>
  <c r="HM510"/>
  <c r="HN510"/>
  <c r="HO510"/>
  <c r="HP510"/>
  <c r="HQ510"/>
  <c r="HR510"/>
  <c r="HS510"/>
  <c r="HT510"/>
  <c r="HU510"/>
  <c r="HV510"/>
  <c r="HW510"/>
  <c r="HX510"/>
  <c r="HY510"/>
  <c r="HZ510"/>
  <c r="IA510"/>
  <c r="IB510"/>
  <c r="IC510"/>
  <c r="ID510"/>
  <c r="IE510"/>
  <c r="IF510"/>
  <c r="IG510"/>
  <c r="IH510"/>
  <c r="II510"/>
  <c r="IJ510"/>
  <c r="IK510"/>
  <c r="IL510"/>
  <c r="IM510"/>
  <c r="IN510"/>
  <c r="IO510"/>
  <c r="IP510"/>
  <c r="IQ510"/>
  <c r="IR510"/>
  <c r="IS510"/>
  <c r="IT510"/>
  <c r="IU510"/>
  <c r="IV510"/>
  <c r="A511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Z511"/>
  <c r="AA511"/>
  <c r="AB511"/>
  <c r="AC511"/>
  <c r="AD511"/>
  <c r="AE511"/>
  <c r="AF511"/>
  <c r="AG511"/>
  <c r="AH511"/>
  <c r="AI511"/>
  <c r="AJ511"/>
  <c r="AK511"/>
  <c r="AL511"/>
  <c r="AM511"/>
  <c r="AN511"/>
  <c r="AO511"/>
  <c r="AP511"/>
  <c r="AQ511"/>
  <c r="AR511"/>
  <c r="AS511"/>
  <c r="AT511"/>
  <c r="AU511"/>
  <c r="AV511"/>
  <c r="AW511"/>
  <c r="AX511"/>
  <c r="AY511"/>
  <c r="AZ511"/>
  <c r="BA511"/>
  <c r="BB511"/>
  <c r="BC511"/>
  <c r="BD511"/>
  <c r="BE511"/>
  <c r="BF511"/>
  <c r="BG511"/>
  <c r="BH511"/>
  <c r="BI511"/>
  <c r="BJ511"/>
  <c r="BK511"/>
  <c r="BL511"/>
  <c r="BM511"/>
  <c r="BN511"/>
  <c r="BO511"/>
  <c r="BP511"/>
  <c r="BQ511"/>
  <c r="BR511"/>
  <c r="BS511"/>
  <c r="BT511"/>
  <c r="BU511"/>
  <c r="BV511"/>
  <c r="BW511"/>
  <c r="BX511"/>
  <c r="BY511"/>
  <c r="BZ511"/>
  <c r="CA511"/>
  <c r="CB511"/>
  <c r="CC511"/>
  <c r="CD511"/>
  <c r="CE511"/>
  <c r="CF511"/>
  <c r="CG511"/>
  <c r="CH511"/>
  <c r="CI511"/>
  <c r="CJ511"/>
  <c r="CK511"/>
  <c r="CL511"/>
  <c r="CM511"/>
  <c r="CN511"/>
  <c r="CO511"/>
  <c r="CP511"/>
  <c r="CQ511"/>
  <c r="CR511"/>
  <c r="CS511"/>
  <c r="CT511"/>
  <c r="CU511"/>
  <c r="CV511"/>
  <c r="CW511"/>
  <c r="CX511"/>
  <c r="CY511"/>
  <c r="CZ511"/>
  <c r="DA511"/>
  <c r="DB511"/>
  <c r="DC511"/>
  <c r="DD511"/>
  <c r="DE511"/>
  <c r="DF511"/>
  <c r="DG511"/>
  <c r="DH511"/>
  <c r="DI511"/>
  <c r="DJ511"/>
  <c r="DK511"/>
  <c r="DL511"/>
  <c r="DM511"/>
  <c r="DN511"/>
  <c r="DO511"/>
  <c r="DP511"/>
  <c r="DQ511"/>
  <c r="DR511"/>
  <c r="DS511"/>
  <c r="DT511"/>
  <c r="DU511"/>
  <c r="DV511"/>
  <c r="DW511"/>
  <c r="DX511"/>
  <c r="DY511"/>
  <c r="DZ511"/>
  <c r="EA511"/>
  <c r="EB511"/>
  <c r="EC511"/>
  <c r="ED511"/>
  <c r="EE511"/>
  <c r="EF511"/>
  <c r="EG511"/>
  <c r="EH511"/>
  <c r="EI511"/>
  <c r="EJ511"/>
  <c r="EK511"/>
  <c r="EL511"/>
  <c r="EM511"/>
  <c r="EN511"/>
  <c r="EO511"/>
  <c r="EP511"/>
  <c r="EQ511"/>
  <c r="ER511"/>
  <c r="ES511"/>
  <c r="ET511"/>
  <c r="EU511"/>
  <c r="EV511"/>
  <c r="EW511"/>
  <c r="EX511"/>
  <c r="EY511"/>
  <c r="EZ511"/>
  <c r="FA511"/>
  <c r="FB511"/>
  <c r="FC511"/>
  <c r="FD511"/>
  <c r="FE511"/>
  <c r="FF511"/>
  <c r="FG511"/>
  <c r="FH511"/>
  <c r="FI511"/>
  <c r="FJ511"/>
  <c r="FK511"/>
  <c r="FL511"/>
  <c r="FM511"/>
  <c r="FN511"/>
  <c r="FO511"/>
  <c r="FP511"/>
  <c r="FQ511"/>
  <c r="FR511"/>
  <c r="FS511"/>
  <c r="FT511"/>
  <c r="FU511"/>
  <c r="FV511"/>
  <c r="FW511"/>
  <c r="FX511"/>
  <c r="FY511"/>
  <c r="FZ511"/>
  <c r="GA511"/>
  <c r="GB511"/>
  <c r="GC511"/>
  <c r="GD511"/>
  <c r="GE511"/>
  <c r="GF511"/>
  <c r="GG511"/>
  <c r="GH511"/>
  <c r="GI511"/>
  <c r="GJ511"/>
  <c r="GK511"/>
  <c r="GL511"/>
  <c r="GM511"/>
  <c r="GN511"/>
  <c r="GO511"/>
  <c r="GP511"/>
  <c r="GQ511"/>
  <c r="GR511"/>
  <c r="GS511"/>
  <c r="GT511"/>
  <c r="GU511"/>
  <c r="GV511"/>
  <c r="GW511"/>
  <c r="GX511"/>
  <c r="GY511"/>
  <c r="GZ511"/>
  <c r="HA511"/>
  <c r="HB511"/>
  <c r="HC511"/>
  <c r="HD511"/>
  <c r="HE511"/>
  <c r="HF511"/>
  <c r="HG511"/>
  <c r="HH511"/>
  <c r="HI511"/>
  <c r="HJ511"/>
  <c r="HK511"/>
  <c r="HL511"/>
  <c r="HM511"/>
  <c r="HN511"/>
  <c r="HO511"/>
  <c r="HP511"/>
  <c r="HQ511"/>
  <c r="HR511"/>
  <c r="HS511"/>
  <c r="HT511"/>
  <c r="HU511"/>
  <c r="HV511"/>
  <c r="HW511"/>
  <c r="HX511"/>
  <c r="HY511"/>
  <c r="HZ511"/>
  <c r="IA511"/>
  <c r="IB511"/>
  <c r="IC511"/>
  <c r="ID511"/>
  <c r="IE511"/>
  <c r="IF511"/>
  <c r="IG511"/>
  <c r="IH511"/>
  <c r="II511"/>
  <c r="IJ511"/>
  <c r="IK511"/>
  <c r="IL511"/>
  <c r="IM511"/>
  <c r="IN511"/>
  <c r="IO511"/>
  <c r="IP511"/>
  <c r="IQ511"/>
  <c r="IR511"/>
  <c r="IS511"/>
  <c r="IT511"/>
  <c r="IU511"/>
  <c r="IV511"/>
  <c r="A512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Z512"/>
  <c r="AA512"/>
  <c r="AB512"/>
  <c r="AC512"/>
  <c r="AD512"/>
  <c r="AE512"/>
  <c r="AF512"/>
  <c r="AG512"/>
  <c r="AH512"/>
  <c r="AI512"/>
  <c r="AJ512"/>
  <c r="AK512"/>
  <c r="AL512"/>
  <c r="AM512"/>
  <c r="AN512"/>
  <c r="AO512"/>
  <c r="AP512"/>
  <c r="AQ512"/>
  <c r="AR512"/>
  <c r="AS512"/>
  <c r="AT512"/>
  <c r="AU512"/>
  <c r="AV512"/>
  <c r="AW512"/>
  <c r="AX512"/>
  <c r="AY512"/>
  <c r="AZ512"/>
  <c r="BA512"/>
  <c r="BB512"/>
  <c r="BC512"/>
  <c r="BD512"/>
  <c r="BE512"/>
  <c r="BF512"/>
  <c r="BG512"/>
  <c r="BH512"/>
  <c r="BI512"/>
  <c r="BJ512"/>
  <c r="BK512"/>
  <c r="BL512"/>
  <c r="BM512"/>
  <c r="BN512"/>
  <c r="BO512"/>
  <c r="BP512"/>
  <c r="BQ512"/>
  <c r="BR512"/>
  <c r="BS512"/>
  <c r="BT512"/>
  <c r="BU512"/>
  <c r="BV512"/>
  <c r="BW512"/>
  <c r="BX512"/>
  <c r="BY512"/>
  <c r="BZ512"/>
  <c r="CA512"/>
  <c r="CB512"/>
  <c r="CC512"/>
  <c r="CD512"/>
  <c r="CE512"/>
  <c r="CF512"/>
  <c r="CG512"/>
  <c r="CH512"/>
  <c r="CI512"/>
  <c r="CJ512"/>
  <c r="CK512"/>
  <c r="CL512"/>
  <c r="CM512"/>
  <c r="CN512"/>
  <c r="CO512"/>
  <c r="CP512"/>
  <c r="CQ512"/>
  <c r="CR512"/>
  <c r="CS512"/>
  <c r="CT512"/>
  <c r="CU512"/>
  <c r="CV512"/>
  <c r="CW512"/>
  <c r="CX512"/>
  <c r="CY512"/>
  <c r="CZ512"/>
  <c r="DA512"/>
  <c r="DB512"/>
  <c r="DC512"/>
  <c r="DD512"/>
  <c r="DE512"/>
  <c r="DF512"/>
  <c r="DG512"/>
  <c r="DH512"/>
  <c r="DI512"/>
  <c r="DJ512"/>
  <c r="DK512"/>
  <c r="DL512"/>
  <c r="DM512"/>
  <c r="DN512"/>
  <c r="DO512"/>
  <c r="DP512"/>
  <c r="DQ512"/>
  <c r="DR512"/>
  <c r="DS512"/>
  <c r="DT512"/>
  <c r="DU512"/>
  <c r="DV512"/>
  <c r="DW512"/>
  <c r="DX512"/>
  <c r="DY512"/>
  <c r="DZ512"/>
  <c r="EA512"/>
  <c r="EB512"/>
  <c r="EC512"/>
  <c r="ED512"/>
  <c r="EE512"/>
  <c r="EF512"/>
  <c r="EG512"/>
  <c r="EH512"/>
  <c r="EI512"/>
  <c r="EJ512"/>
  <c r="EK512"/>
  <c r="EL512"/>
  <c r="EM512"/>
  <c r="EN512"/>
  <c r="EO512"/>
  <c r="EP512"/>
  <c r="EQ512"/>
  <c r="ER512"/>
  <c r="ES512"/>
  <c r="ET512"/>
  <c r="EU512"/>
  <c r="EV512"/>
  <c r="EW512"/>
  <c r="EX512"/>
  <c r="EY512"/>
  <c r="EZ512"/>
  <c r="FA512"/>
  <c r="FB512"/>
  <c r="FC512"/>
  <c r="FD512"/>
  <c r="FE512"/>
  <c r="FF512"/>
  <c r="FG512"/>
  <c r="FH512"/>
  <c r="FI512"/>
  <c r="FJ512"/>
  <c r="FK512"/>
  <c r="FL512"/>
  <c r="FM512"/>
  <c r="FN512"/>
  <c r="FO512"/>
  <c r="FP512"/>
  <c r="FQ512"/>
  <c r="FR512"/>
  <c r="FS512"/>
  <c r="FT512"/>
  <c r="FU512"/>
  <c r="FV512"/>
  <c r="FW512"/>
  <c r="FX512"/>
  <c r="FY512"/>
  <c r="FZ512"/>
  <c r="GA512"/>
  <c r="GB512"/>
  <c r="GC512"/>
  <c r="GD512"/>
  <c r="GE512"/>
  <c r="GF512"/>
  <c r="GG512"/>
  <c r="GH512"/>
  <c r="GI512"/>
  <c r="GJ512"/>
  <c r="GK512"/>
  <c r="GL512"/>
  <c r="GM512"/>
  <c r="GN512"/>
  <c r="GO512"/>
  <c r="GP512"/>
  <c r="GQ512"/>
  <c r="GR512"/>
  <c r="GS512"/>
  <c r="GT512"/>
  <c r="GU512"/>
  <c r="GV512"/>
  <c r="GW512"/>
  <c r="GX512"/>
  <c r="GY512"/>
  <c r="GZ512"/>
  <c r="HA512"/>
  <c r="HB512"/>
  <c r="HC512"/>
  <c r="HD512"/>
  <c r="HE512"/>
  <c r="HF512"/>
  <c r="HG512"/>
  <c r="HH512"/>
  <c r="HI512"/>
  <c r="HJ512"/>
  <c r="HK512"/>
  <c r="HL512"/>
  <c r="HM512"/>
  <c r="HN512"/>
  <c r="HO512"/>
  <c r="HP512"/>
  <c r="HQ512"/>
  <c r="HR512"/>
  <c r="HS512"/>
  <c r="HT512"/>
  <c r="HU512"/>
  <c r="HV512"/>
  <c r="HW512"/>
  <c r="HX512"/>
  <c r="HY512"/>
  <c r="HZ512"/>
  <c r="IA512"/>
  <c r="IB512"/>
  <c r="IC512"/>
  <c r="ID512"/>
  <c r="IE512"/>
  <c r="IF512"/>
  <c r="IG512"/>
  <c r="IH512"/>
  <c r="II512"/>
  <c r="IJ512"/>
  <c r="IK512"/>
  <c r="IL512"/>
  <c r="IM512"/>
  <c r="IN512"/>
  <c r="IO512"/>
  <c r="IP512"/>
  <c r="IQ512"/>
  <c r="IR512"/>
  <c r="IS512"/>
  <c r="IT512"/>
  <c r="IU512"/>
  <c r="IV512"/>
  <c r="A513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Z513"/>
  <c r="AA513"/>
  <c r="AB513"/>
  <c r="AC513"/>
  <c r="AD513"/>
  <c r="AE513"/>
  <c r="AF513"/>
  <c r="AG513"/>
  <c r="AH513"/>
  <c r="AI513"/>
  <c r="AJ513"/>
  <c r="AK513"/>
  <c r="AL513"/>
  <c r="AM513"/>
  <c r="AN513"/>
  <c r="AO513"/>
  <c r="AP513"/>
  <c r="AQ513"/>
  <c r="AR513"/>
  <c r="AS513"/>
  <c r="AT513"/>
  <c r="AU513"/>
  <c r="AV513"/>
  <c r="AW513"/>
  <c r="AX513"/>
  <c r="AY513"/>
  <c r="AZ513"/>
  <c r="BA513"/>
  <c r="BB513"/>
  <c r="BC513"/>
  <c r="BD513"/>
  <c r="BE513"/>
  <c r="BF513"/>
  <c r="BG513"/>
  <c r="BH513"/>
  <c r="BI513"/>
  <c r="BJ513"/>
  <c r="BK513"/>
  <c r="BL513"/>
  <c r="BM513"/>
  <c r="BN513"/>
  <c r="BO513"/>
  <c r="BP513"/>
  <c r="BQ513"/>
  <c r="BR513"/>
  <c r="BS513"/>
  <c r="BT513"/>
  <c r="BU513"/>
  <c r="BV513"/>
  <c r="BW513"/>
  <c r="BX513"/>
  <c r="BY513"/>
  <c r="BZ513"/>
  <c r="CA513"/>
  <c r="CB513"/>
  <c r="CC513"/>
  <c r="CD513"/>
  <c r="CE513"/>
  <c r="CF513"/>
  <c r="CG513"/>
  <c r="CH513"/>
  <c r="CI513"/>
  <c r="CJ513"/>
  <c r="CK513"/>
  <c r="CL513"/>
  <c r="CM513"/>
  <c r="CN513"/>
  <c r="CO513"/>
  <c r="CP513"/>
  <c r="CQ513"/>
  <c r="CR513"/>
  <c r="CS513"/>
  <c r="CT513"/>
  <c r="CU513"/>
  <c r="CV513"/>
  <c r="CW513"/>
  <c r="CX513"/>
  <c r="CY513"/>
  <c r="CZ513"/>
  <c r="DA513"/>
  <c r="DB513"/>
  <c r="DC513"/>
  <c r="DD513"/>
  <c r="DE513"/>
  <c r="DF513"/>
  <c r="DG513"/>
  <c r="DH513"/>
  <c r="DI513"/>
  <c r="DJ513"/>
  <c r="DK513"/>
  <c r="DL513"/>
  <c r="DM513"/>
  <c r="DN513"/>
  <c r="DO513"/>
  <c r="DP513"/>
  <c r="DQ513"/>
  <c r="DR513"/>
  <c r="DS513"/>
  <c r="DT513"/>
  <c r="DU513"/>
  <c r="DV513"/>
  <c r="DW513"/>
  <c r="DX513"/>
  <c r="DY513"/>
  <c r="DZ513"/>
  <c r="EA513"/>
  <c r="EB513"/>
  <c r="EC513"/>
  <c r="ED513"/>
  <c r="EE513"/>
  <c r="EF513"/>
  <c r="EG513"/>
  <c r="EH513"/>
  <c r="EI513"/>
  <c r="EJ513"/>
  <c r="EK513"/>
  <c r="EL513"/>
  <c r="EM513"/>
  <c r="EN513"/>
  <c r="EO513"/>
  <c r="EP513"/>
  <c r="EQ513"/>
  <c r="ER513"/>
  <c r="ES513"/>
  <c r="ET513"/>
  <c r="EU513"/>
  <c r="EV513"/>
  <c r="EW513"/>
  <c r="EX513"/>
  <c r="EY513"/>
  <c r="EZ513"/>
  <c r="FA513"/>
  <c r="FB513"/>
  <c r="FC513"/>
  <c r="FD513"/>
  <c r="FE513"/>
  <c r="FF513"/>
  <c r="FG513"/>
  <c r="FH513"/>
  <c r="FI513"/>
  <c r="FJ513"/>
  <c r="FK513"/>
  <c r="FL513"/>
  <c r="FM513"/>
  <c r="FN513"/>
  <c r="FO513"/>
  <c r="FP513"/>
  <c r="FQ513"/>
  <c r="FR513"/>
  <c r="FS513"/>
  <c r="FT513"/>
  <c r="FU513"/>
  <c r="FV513"/>
  <c r="FW513"/>
  <c r="FX513"/>
  <c r="FY513"/>
  <c r="FZ513"/>
  <c r="GA513"/>
  <c r="GB513"/>
  <c r="GC513"/>
  <c r="GD513"/>
  <c r="GE513"/>
  <c r="GF513"/>
  <c r="GG513"/>
  <c r="GH513"/>
  <c r="GI513"/>
  <c r="GJ513"/>
  <c r="GK513"/>
  <c r="GL513"/>
  <c r="GM513"/>
  <c r="GN513"/>
  <c r="GO513"/>
  <c r="GP513"/>
  <c r="GQ513"/>
  <c r="GR513"/>
  <c r="GS513"/>
  <c r="GT513"/>
  <c r="GU513"/>
  <c r="GV513"/>
  <c r="GW513"/>
  <c r="GX513"/>
  <c r="GY513"/>
  <c r="GZ513"/>
  <c r="HA513"/>
  <c r="HB513"/>
  <c r="HC513"/>
  <c r="HD513"/>
  <c r="HE513"/>
  <c r="HF513"/>
  <c r="HG513"/>
  <c r="HH513"/>
  <c r="HI513"/>
  <c r="HJ513"/>
  <c r="HK513"/>
  <c r="HL513"/>
  <c r="HM513"/>
  <c r="HN513"/>
  <c r="HO513"/>
  <c r="HP513"/>
  <c r="HQ513"/>
  <c r="HR513"/>
  <c r="HS513"/>
  <c r="HT513"/>
  <c r="HU513"/>
  <c r="HV513"/>
  <c r="HW513"/>
  <c r="HX513"/>
  <c r="HY513"/>
  <c r="HZ513"/>
  <c r="IA513"/>
  <c r="IB513"/>
  <c r="IC513"/>
  <c r="ID513"/>
  <c r="IE513"/>
  <c r="IF513"/>
  <c r="IG513"/>
  <c r="IH513"/>
  <c r="II513"/>
  <c r="IJ513"/>
  <c r="IK513"/>
  <c r="IL513"/>
  <c r="IM513"/>
  <c r="IN513"/>
  <c r="IO513"/>
  <c r="IP513"/>
  <c r="IQ513"/>
  <c r="IR513"/>
  <c r="IS513"/>
  <c r="IT513"/>
  <c r="IU513"/>
  <c r="IV513"/>
  <c r="A514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Z514"/>
  <c r="AA514"/>
  <c r="AB514"/>
  <c r="AC514"/>
  <c r="AD514"/>
  <c r="AE514"/>
  <c r="AF514"/>
  <c r="AG514"/>
  <c r="AH514"/>
  <c r="AI514"/>
  <c r="AJ514"/>
  <c r="AK514"/>
  <c r="AL514"/>
  <c r="AM514"/>
  <c r="AN514"/>
  <c r="AO514"/>
  <c r="AP514"/>
  <c r="AQ514"/>
  <c r="AR514"/>
  <c r="AS514"/>
  <c r="AT514"/>
  <c r="AU514"/>
  <c r="AV514"/>
  <c r="AW514"/>
  <c r="AX514"/>
  <c r="AY514"/>
  <c r="AZ514"/>
  <c r="BA514"/>
  <c r="BB514"/>
  <c r="BC514"/>
  <c r="BD514"/>
  <c r="BE514"/>
  <c r="BF514"/>
  <c r="BG514"/>
  <c r="BH514"/>
  <c r="BI514"/>
  <c r="BJ514"/>
  <c r="BK514"/>
  <c r="BL514"/>
  <c r="BM514"/>
  <c r="BN514"/>
  <c r="BO514"/>
  <c r="BP514"/>
  <c r="BQ514"/>
  <c r="BR514"/>
  <c r="BS514"/>
  <c r="BT514"/>
  <c r="BU514"/>
  <c r="BV514"/>
  <c r="BW514"/>
  <c r="BX514"/>
  <c r="BY514"/>
  <c r="BZ514"/>
  <c r="CA514"/>
  <c r="CB514"/>
  <c r="CC514"/>
  <c r="CD514"/>
  <c r="CE514"/>
  <c r="CF514"/>
  <c r="CG514"/>
  <c r="CH514"/>
  <c r="CI514"/>
  <c r="CJ514"/>
  <c r="CK514"/>
  <c r="CL514"/>
  <c r="CM514"/>
  <c r="CN514"/>
  <c r="CO514"/>
  <c r="CP514"/>
  <c r="CQ514"/>
  <c r="CR514"/>
  <c r="CS514"/>
  <c r="CT514"/>
  <c r="CU514"/>
  <c r="CV514"/>
  <c r="CW514"/>
  <c r="CX514"/>
  <c r="CY514"/>
  <c r="CZ514"/>
  <c r="DA514"/>
  <c r="DB514"/>
  <c r="DC514"/>
  <c r="DD514"/>
  <c r="DE514"/>
  <c r="DF514"/>
  <c r="DG514"/>
  <c r="DH514"/>
  <c r="DI514"/>
  <c r="DJ514"/>
  <c r="DK514"/>
  <c r="DL514"/>
  <c r="DM514"/>
  <c r="DN514"/>
  <c r="DO514"/>
  <c r="DP514"/>
  <c r="DQ514"/>
  <c r="DR514"/>
  <c r="DS514"/>
  <c r="DT514"/>
  <c r="DU514"/>
  <c r="DV514"/>
  <c r="DW514"/>
  <c r="DX514"/>
  <c r="DY514"/>
  <c r="DZ514"/>
  <c r="EA514"/>
  <c r="EB514"/>
  <c r="EC514"/>
  <c r="ED514"/>
  <c r="EE514"/>
  <c r="EF514"/>
  <c r="EG514"/>
  <c r="EH514"/>
  <c r="EI514"/>
  <c r="EJ514"/>
  <c r="EK514"/>
  <c r="EL514"/>
  <c r="EM514"/>
  <c r="EN514"/>
  <c r="EO514"/>
  <c r="EP514"/>
  <c r="EQ514"/>
  <c r="ER514"/>
  <c r="ES514"/>
  <c r="ET514"/>
  <c r="EU514"/>
  <c r="EV514"/>
  <c r="EW514"/>
  <c r="EX514"/>
  <c r="EY514"/>
  <c r="EZ514"/>
  <c r="FA514"/>
  <c r="FB514"/>
  <c r="FC514"/>
  <c r="FD514"/>
  <c r="FE514"/>
  <c r="FF514"/>
  <c r="FG514"/>
  <c r="FH514"/>
  <c r="FI514"/>
  <c r="FJ514"/>
  <c r="FK514"/>
  <c r="FL514"/>
  <c r="FM514"/>
  <c r="FN514"/>
  <c r="FO514"/>
  <c r="FP514"/>
  <c r="FQ514"/>
  <c r="FR514"/>
  <c r="FS514"/>
  <c r="FT514"/>
  <c r="FU514"/>
  <c r="FV514"/>
  <c r="FW514"/>
  <c r="FX514"/>
  <c r="FY514"/>
  <c r="FZ514"/>
  <c r="GA514"/>
  <c r="GB514"/>
  <c r="GC514"/>
  <c r="GD514"/>
  <c r="GE514"/>
  <c r="GF514"/>
  <c r="GG514"/>
  <c r="GH514"/>
  <c r="GI514"/>
  <c r="GJ514"/>
  <c r="GK514"/>
  <c r="GL514"/>
  <c r="GM514"/>
  <c r="GN514"/>
  <c r="GO514"/>
  <c r="GP514"/>
  <c r="GQ514"/>
  <c r="GR514"/>
  <c r="GS514"/>
  <c r="GT514"/>
  <c r="GU514"/>
  <c r="GV514"/>
  <c r="GW514"/>
  <c r="GX514"/>
  <c r="GY514"/>
  <c r="GZ514"/>
  <c r="HA514"/>
  <c r="HB514"/>
  <c r="HC514"/>
  <c r="HD514"/>
  <c r="HE514"/>
  <c r="HF514"/>
  <c r="HG514"/>
  <c r="HH514"/>
  <c r="HI514"/>
  <c r="HJ514"/>
  <c r="HK514"/>
  <c r="HL514"/>
  <c r="HM514"/>
  <c r="HN514"/>
  <c r="HO514"/>
  <c r="HP514"/>
  <c r="HQ514"/>
  <c r="HR514"/>
  <c r="HS514"/>
  <c r="HT514"/>
  <c r="HU514"/>
  <c r="HV514"/>
  <c r="HW514"/>
  <c r="HX514"/>
  <c r="HY514"/>
  <c r="HZ514"/>
  <c r="IA514"/>
  <c r="IB514"/>
  <c r="IC514"/>
  <c r="ID514"/>
  <c r="IE514"/>
  <c r="IF514"/>
  <c r="IG514"/>
  <c r="IH514"/>
  <c r="II514"/>
  <c r="IJ514"/>
  <c r="IK514"/>
  <c r="IL514"/>
  <c r="IM514"/>
  <c r="IN514"/>
  <c r="IO514"/>
  <c r="IP514"/>
  <c r="IQ514"/>
  <c r="IR514"/>
  <c r="IS514"/>
  <c r="IT514"/>
  <c r="IU514"/>
  <c r="IV514"/>
  <c r="A515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Z515"/>
  <c r="AA515"/>
  <c r="AB515"/>
  <c r="AC515"/>
  <c r="AD515"/>
  <c r="AE515"/>
  <c r="AF515"/>
  <c r="AG515"/>
  <c r="AH515"/>
  <c r="AI515"/>
  <c r="AJ515"/>
  <c r="AK515"/>
  <c r="AL515"/>
  <c r="AM515"/>
  <c r="AN515"/>
  <c r="AO515"/>
  <c r="AP515"/>
  <c r="AQ515"/>
  <c r="AR515"/>
  <c r="AS515"/>
  <c r="AT515"/>
  <c r="AU515"/>
  <c r="AV515"/>
  <c r="AW515"/>
  <c r="AX515"/>
  <c r="AY515"/>
  <c r="AZ515"/>
  <c r="BA515"/>
  <c r="BB515"/>
  <c r="BC515"/>
  <c r="BD515"/>
  <c r="BE515"/>
  <c r="BF515"/>
  <c r="BG515"/>
  <c r="BH515"/>
  <c r="BI515"/>
  <c r="BJ515"/>
  <c r="BK515"/>
  <c r="BL515"/>
  <c r="BM515"/>
  <c r="BN515"/>
  <c r="BO515"/>
  <c r="BP515"/>
  <c r="BQ515"/>
  <c r="BR515"/>
  <c r="BS515"/>
  <c r="BT515"/>
  <c r="BU515"/>
  <c r="BV515"/>
  <c r="BW515"/>
  <c r="BX515"/>
  <c r="BY515"/>
  <c r="BZ515"/>
  <c r="CA515"/>
  <c r="CB515"/>
  <c r="CC515"/>
  <c r="CD515"/>
  <c r="CE515"/>
  <c r="CF515"/>
  <c r="CG515"/>
  <c r="CH515"/>
  <c r="CI515"/>
  <c r="CJ515"/>
  <c r="CK515"/>
  <c r="CL515"/>
  <c r="CM515"/>
  <c r="CN515"/>
  <c r="CO515"/>
  <c r="CP515"/>
  <c r="CQ515"/>
  <c r="CR515"/>
  <c r="CS515"/>
  <c r="CT515"/>
  <c r="CU515"/>
  <c r="CV515"/>
  <c r="CW515"/>
  <c r="CX515"/>
  <c r="CY515"/>
  <c r="CZ515"/>
  <c r="DA515"/>
  <c r="DB515"/>
  <c r="DC515"/>
  <c r="DD515"/>
  <c r="DE515"/>
  <c r="DF515"/>
  <c r="DG515"/>
  <c r="DH515"/>
  <c r="DI515"/>
  <c r="DJ515"/>
  <c r="DK515"/>
  <c r="DL515"/>
  <c r="DM515"/>
  <c r="DN515"/>
  <c r="DO515"/>
  <c r="DP515"/>
  <c r="DQ515"/>
  <c r="DR515"/>
  <c r="DS515"/>
  <c r="DT515"/>
  <c r="DU515"/>
  <c r="DV515"/>
  <c r="DW515"/>
  <c r="DX515"/>
  <c r="DY515"/>
  <c r="DZ515"/>
  <c r="EA515"/>
  <c r="EB515"/>
  <c r="EC515"/>
  <c r="ED515"/>
  <c r="EE515"/>
  <c r="EF515"/>
  <c r="EG515"/>
  <c r="EH515"/>
  <c r="EI515"/>
  <c r="EJ515"/>
  <c r="EK515"/>
  <c r="EL515"/>
  <c r="EM515"/>
  <c r="EN515"/>
  <c r="EO515"/>
  <c r="EP515"/>
  <c r="EQ515"/>
  <c r="ER515"/>
  <c r="ES515"/>
  <c r="ET515"/>
  <c r="EU515"/>
  <c r="EV515"/>
  <c r="EW515"/>
  <c r="EX515"/>
  <c r="EY515"/>
  <c r="EZ515"/>
  <c r="FA515"/>
  <c r="FB515"/>
  <c r="FC515"/>
  <c r="FD515"/>
  <c r="FE515"/>
  <c r="FF515"/>
  <c r="FG515"/>
  <c r="FH515"/>
  <c r="FI515"/>
  <c r="FJ515"/>
  <c r="FK515"/>
  <c r="FL515"/>
  <c r="FM515"/>
  <c r="FN515"/>
  <c r="FO515"/>
  <c r="FP515"/>
  <c r="FQ515"/>
  <c r="FR515"/>
  <c r="FS515"/>
  <c r="FT515"/>
  <c r="FU515"/>
  <c r="FV515"/>
  <c r="FW515"/>
  <c r="FX515"/>
  <c r="FY515"/>
  <c r="FZ515"/>
  <c r="GA515"/>
  <c r="GB515"/>
  <c r="GC515"/>
  <c r="GD515"/>
  <c r="GE515"/>
  <c r="GF515"/>
  <c r="GG515"/>
  <c r="GH515"/>
  <c r="GI515"/>
  <c r="GJ515"/>
  <c r="GK515"/>
  <c r="GL515"/>
  <c r="GM515"/>
  <c r="GN515"/>
  <c r="GO515"/>
  <c r="GP515"/>
  <c r="GQ515"/>
  <c r="GR515"/>
  <c r="GS515"/>
  <c r="GT515"/>
  <c r="GU515"/>
  <c r="GV515"/>
  <c r="GW515"/>
  <c r="GX515"/>
  <c r="GY515"/>
  <c r="GZ515"/>
  <c r="HA515"/>
  <c r="HB515"/>
  <c r="HC515"/>
  <c r="HD515"/>
  <c r="HE515"/>
  <c r="HF515"/>
  <c r="HG515"/>
  <c r="HH515"/>
  <c r="HI515"/>
  <c r="HJ515"/>
  <c r="HK515"/>
  <c r="HL515"/>
  <c r="HM515"/>
  <c r="HN515"/>
  <c r="HO515"/>
  <c r="HP515"/>
  <c r="HQ515"/>
  <c r="HR515"/>
  <c r="HS515"/>
  <c r="HT515"/>
  <c r="HU515"/>
  <c r="HV515"/>
  <c r="HW515"/>
  <c r="HX515"/>
  <c r="HY515"/>
  <c r="HZ515"/>
  <c r="IA515"/>
  <c r="IB515"/>
  <c r="IC515"/>
  <c r="ID515"/>
  <c r="IE515"/>
  <c r="IF515"/>
  <c r="IG515"/>
  <c r="IH515"/>
  <c r="II515"/>
  <c r="IJ515"/>
  <c r="IK515"/>
  <c r="IL515"/>
  <c r="IM515"/>
  <c r="IN515"/>
  <c r="IO515"/>
  <c r="IP515"/>
  <c r="IQ515"/>
  <c r="IR515"/>
  <c r="IS515"/>
  <c r="IT515"/>
  <c r="IU515"/>
  <c r="IV515"/>
  <c r="A516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Z516"/>
  <c r="AA516"/>
  <c r="AB516"/>
  <c r="AC516"/>
  <c r="AD516"/>
  <c r="AE516"/>
  <c r="AF516"/>
  <c r="AG516"/>
  <c r="AH516"/>
  <c r="AI516"/>
  <c r="AJ516"/>
  <c r="AK516"/>
  <c r="AL516"/>
  <c r="AM516"/>
  <c r="AN516"/>
  <c r="AO516"/>
  <c r="AP516"/>
  <c r="AQ516"/>
  <c r="AR516"/>
  <c r="AS516"/>
  <c r="AT516"/>
  <c r="AU516"/>
  <c r="AV516"/>
  <c r="AW516"/>
  <c r="AX516"/>
  <c r="AY516"/>
  <c r="AZ516"/>
  <c r="BA516"/>
  <c r="BB516"/>
  <c r="BC516"/>
  <c r="BD516"/>
  <c r="BE516"/>
  <c r="BF516"/>
  <c r="BG516"/>
  <c r="BH516"/>
  <c r="BI516"/>
  <c r="BJ516"/>
  <c r="BK516"/>
  <c r="BL516"/>
  <c r="BM516"/>
  <c r="BN516"/>
  <c r="BO516"/>
  <c r="BP516"/>
  <c r="BQ516"/>
  <c r="BR516"/>
  <c r="BS516"/>
  <c r="BT516"/>
  <c r="BU516"/>
  <c r="BV516"/>
  <c r="BW516"/>
  <c r="BX516"/>
  <c r="BY516"/>
  <c r="BZ516"/>
  <c r="CA516"/>
  <c r="CB516"/>
  <c r="CC516"/>
  <c r="CD516"/>
  <c r="CE516"/>
  <c r="CF516"/>
  <c r="CG516"/>
  <c r="CH516"/>
  <c r="CI516"/>
  <c r="CJ516"/>
  <c r="CK516"/>
  <c r="CL516"/>
  <c r="CM516"/>
  <c r="CN516"/>
  <c r="CO516"/>
  <c r="CP516"/>
  <c r="CQ516"/>
  <c r="CR516"/>
  <c r="CS516"/>
  <c r="CT516"/>
  <c r="CU516"/>
  <c r="CV516"/>
  <c r="CW516"/>
  <c r="CX516"/>
  <c r="CY516"/>
  <c r="CZ516"/>
  <c r="DA516"/>
  <c r="DB516"/>
  <c r="DC516"/>
  <c r="DD516"/>
  <c r="DE516"/>
  <c r="DF516"/>
  <c r="DG516"/>
  <c r="DH516"/>
  <c r="DI516"/>
  <c r="DJ516"/>
  <c r="DK516"/>
  <c r="DL516"/>
  <c r="DM516"/>
  <c r="DN516"/>
  <c r="DO516"/>
  <c r="DP516"/>
  <c r="DQ516"/>
  <c r="DR516"/>
  <c r="DS516"/>
  <c r="DT516"/>
  <c r="DU516"/>
  <c r="DV516"/>
  <c r="DW516"/>
  <c r="DX516"/>
  <c r="DY516"/>
  <c r="DZ516"/>
  <c r="EA516"/>
  <c r="EB516"/>
  <c r="EC516"/>
  <c r="ED516"/>
  <c r="EE516"/>
  <c r="EF516"/>
  <c r="EG516"/>
  <c r="EH516"/>
  <c r="EI516"/>
  <c r="EJ516"/>
  <c r="EK516"/>
  <c r="EL516"/>
  <c r="EM516"/>
  <c r="EN516"/>
  <c r="EO516"/>
  <c r="EP516"/>
  <c r="EQ516"/>
  <c r="ER516"/>
  <c r="ES516"/>
  <c r="ET516"/>
  <c r="EU516"/>
  <c r="EV516"/>
  <c r="EW516"/>
  <c r="EX516"/>
  <c r="EY516"/>
  <c r="EZ516"/>
  <c r="FA516"/>
  <c r="FB516"/>
  <c r="FC516"/>
  <c r="FD516"/>
  <c r="FE516"/>
  <c r="FF516"/>
  <c r="FG516"/>
  <c r="FH516"/>
  <c r="FI516"/>
  <c r="FJ516"/>
  <c r="FK516"/>
  <c r="FL516"/>
  <c r="FM516"/>
  <c r="FN516"/>
  <c r="FO516"/>
  <c r="FP516"/>
  <c r="FQ516"/>
  <c r="FR516"/>
  <c r="FS516"/>
  <c r="FT516"/>
  <c r="FU516"/>
  <c r="FV516"/>
  <c r="FW516"/>
  <c r="FX516"/>
  <c r="FY516"/>
  <c r="FZ516"/>
  <c r="GA516"/>
  <c r="GB516"/>
  <c r="GC516"/>
  <c r="GD516"/>
  <c r="GE516"/>
  <c r="GF516"/>
  <c r="GG516"/>
  <c r="GH516"/>
  <c r="GI516"/>
  <c r="GJ516"/>
  <c r="GK516"/>
  <c r="GL516"/>
  <c r="GM516"/>
  <c r="GN516"/>
  <c r="GO516"/>
  <c r="GP516"/>
  <c r="GQ516"/>
  <c r="GR516"/>
  <c r="GS516"/>
  <c r="GT516"/>
  <c r="GU516"/>
  <c r="GV516"/>
  <c r="GW516"/>
  <c r="GX516"/>
  <c r="GY516"/>
  <c r="GZ516"/>
  <c r="HA516"/>
  <c r="HB516"/>
  <c r="HC516"/>
  <c r="HD516"/>
  <c r="HE516"/>
  <c r="HF516"/>
  <c r="HG516"/>
  <c r="HH516"/>
  <c r="HI516"/>
  <c r="HJ516"/>
  <c r="HK516"/>
  <c r="HL516"/>
  <c r="HM516"/>
  <c r="HN516"/>
  <c r="HO516"/>
  <c r="HP516"/>
  <c r="HQ516"/>
  <c r="HR516"/>
  <c r="HS516"/>
  <c r="HT516"/>
  <c r="HU516"/>
  <c r="HV516"/>
  <c r="HW516"/>
  <c r="HX516"/>
  <c r="HY516"/>
  <c r="HZ516"/>
  <c r="IA516"/>
  <c r="IB516"/>
  <c r="IC516"/>
  <c r="ID516"/>
  <c r="IE516"/>
  <c r="IF516"/>
  <c r="IG516"/>
  <c r="IH516"/>
  <c r="II516"/>
  <c r="IJ516"/>
  <c r="IK516"/>
  <c r="IL516"/>
  <c r="IM516"/>
  <c r="IN516"/>
  <c r="IO516"/>
  <c r="IP516"/>
  <c r="IQ516"/>
  <c r="IR516"/>
  <c r="IS516"/>
  <c r="IT516"/>
  <c r="IU516"/>
  <c r="IV516"/>
  <c r="A517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Z517"/>
  <c r="AA517"/>
  <c r="AB517"/>
  <c r="AC517"/>
  <c r="AD517"/>
  <c r="AE517"/>
  <c r="AF517"/>
  <c r="AG517"/>
  <c r="AH517"/>
  <c r="AI517"/>
  <c r="AJ517"/>
  <c r="AK517"/>
  <c r="AL517"/>
  <c r="AM517"/>
  <c r="AN517"/>
  <c r="AO517"/>
  <c r="AP517"/>
  <c r="AQ517"/>
  <c r="AR517"/>
  <c r="AS517"/>
  <c r="AT517"/>
  <c r="AU517"/>
  <c r="AV517"/>
  <c r="AW517"/>
  <c r="AX517"/>
  <c r="AY517"/>
  <c r="AZ517"/>
  <c r="BA517"/>
  <c r="BB517"/>
  <c r="BC517"/>
  <c r="BD517"/>
  <c r="BE517"/>
  <c r="BF517"/>
  <c r="BG517"/>
  <c r="BH517"/>
  <c r="BI517"/>
  <c r="BJ517"/>
  <c r="BK517"/>
  <c r="BL517"/>
  <c r="BM517"/>
  <c r="BN517"/>
  <c r="BO517"/>
  <c r="BP517"/>
  <c r="BQ517"/>
  <c r="BR517"/>
  <c r="BS517"/>
  <c r="BT517"/>
  <c r="BU517"/>
  <c r="BV517"/>
  <c r="BW517"/>
  <c r="BX517"/>
  <c r="BY517"/>
  <c r="BZ517"/>
  <c r="CA517"/>
  <c r="CB517"/>
  <c r="CC517"/>
  <c r="CD517"/>
  <c r="CE517"/>
  <c r="CF517"/>
  <c r="CG517"/>
  <c r="CH517"/>
  <c r="CI517"/>
  <c r="CJ517"/>
  <c r="CK517"/>
  <c r="CL517"/>
  <c r="CM517"/>
  <c r="CN517"/>
  <c r="CO517"/>
  <c r="CP517"/>
  <c r="CQ517"/>
  <c r="CR517"/>
  <c r="CS517"/>
  <c r="CT517"/>
  <c r="CU517"/>
  <c r="CV517"/>
  <c r="CW517"/>
  <c r="CX517"/>
  <c r="CY517"/>
  <c r="CZ517"/>
  <c r="DA517"/>
  <c r="DB517"/>
  <c r="DC517"/>
  <c r="DD517"/>
  <c r="DE517"/>
  <c r="DF517"/>
  <c r="DG517"/>
  <c r="DH517"/>
  <c r="DI517"/>
  <c r="DJ517"/>
  <c r="DK517"/>
  <c r="DL517"/>
  <c r="DM517"/>
  <c r="DN517"/>
  <c r="DO517"/>
  <c r="DP517"/>
  <c r="DQ517"/>
  <c r="DR517"/>
  <c r="DS517"/>
  <c r="DT517"/>
  <c r="DU517"/>
  <c r="DV517"/>
  <c r="DW517"/>
  <c r="DX517"/>
  <c r="DY517"/>
  <c r="DZ517"/>
  <c r="EA517"/>
  <c r="EB517"/>
  <c r="EC517"/>
  <c r="ED517"/>
  <c r="EE517"/>
  <c r="EF517"/>
  <c r="EG517"/>
  <c r="EH517"/>
  <c r="EI517"/>
  <c r="EJ517"/>
  <c r="EK517"/>
  <c r="EL517"/>
  <c r="EM517"/>
  <c r="EN517"/>
  <c r="EO517"/>
  <c r="EP517"/>
  <c r="EQ517"/>
  <c r="ER517"/>
  <c r="ES517"/>
  <c r="ET517"/>
  <c r="EU517"/>
  <c r="EV517"/>
  <c r="EW517"/>
  <c r="EX517"/>
  <c r="EY517"/>
  <c r="EZ517"/>
  <c r="FA517"/>
  <c r="FB517"/>
  <c r="FC517"/>
  <c r="FD517"/>
  <c r="FE517"/>
  <c r="FF517"/>
  <c r="FG517"/>
  <c r="FH517"/>
  <c r="FI517"/>
  <c r="FJ517"/>
  <c r="FK517"/>
  <c r="FL517"/>
  <c r="FM517"/>
  <c r="FN517"/>
  <c r="FO517"/>
  <c r="FP517"/>
  <c r="FQ517"/>
  <c r="FR517"/>
  <c r="FS517"/>
  <c r="FT517"/>
  <c r="FU517"/>
  <c r="FV517"/>
  <c r="FW517"/>
  <c r="FX517"/>
  <c r="FY517"/>
  <c r="FZ517"/>
  <c r="GA517"/>
  <c r="GB517"/>
  <c r="GC517"/>
  <c r="GD517"/>
  <c r="GE517"/>
  <c r="GF517"/>
  <c r="GG517"/>
  <c r="GH517"/>
  <c r="GI517"/>
  <c r="GJ517"/>
  <c r="GK517"/>
  <c r="GL517"/>
  <c r="GM517"/>
  <c r="GN517"/>
  <c r="GO517"/>
  <c r="GP517"/>
  <c r="GQ517"/>
  <c r="GR517"/>
  <c r="GS517"/>
  <c r="GT517"/>
  <c r="GU517"/>
  <c r="GV517"/>
  <c r="GW517"/>
  <c r="GX517"/>
  <c r="GY517"/>
  <c r="GZ517"/>
  <c r="HA517"/>
  <c r="HB517"/>
  <c r="HC517"/>
  <c r="HD517"/>
  <c r="HE517"/>
  <c r="HF517"/>
  <c r="HG517"/>
  <c r="HH517"/>
  <c r="HI517"/>
  <c r="HJ517"/>
  <c r="HK517"/>
  <c r="HL517"/>
  <c r="HM517"/>
  <c r="HN517"/>
  <c r="HO517"/>
  <c r="HP517"/>
  <c r="HQ517"/>
  <c r="HR517"/>
  <c r="HS517"/>
  <c r="HT517"/>
  <c r="HU517"/>
  <c r="HV517"/>
  <c r="HW517"/>
  <c r="HX517"/>
  <c r="HY517"/>
  <c r="HZ517"/>
  <c r="IA517"/>
  <c r="IB517"/>
  <c r="IC517"/>
  <c r="ID517"/>
  <c r="IE517"/>
  <c r="IF517"/>
  <c r="IG517"/>
  <c r="IH517"/>
  <c r="II517"/>
  <c r="IJ517"/>
  <c r="IK517"/>
  <c r="IL517"/>
  <c r="IM517"/>
  <c r="IN517"/>
  <c r="IO517"/>
  <c r="IP517"/>
  <c r="IQ517"/>
  <c r="IR517"/>
  <c r="IS517"/>
  <c r="IT517"/>
  <c r="IU517"/>
  <c r="IV517"/>
  <c r="A518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Z518"/>
  <c r="AA518"/>
  <c r="AB518"/>
  <c r="AC518"/>
  <c r="AD518"/>
  <c r="AE518"/>
  <c r="AF518"/>
  <c r="AG518"/>
  <c r="AH518"/>
  <c r="AI518"/>
  <c r="AJ518"/>
  <c r="AK518"/>
  <c r="AL518"/>
  <c r="AM518"/>
  <c r="AN518"/>
  <c r="AO518"/>
  <c r="AP518"/>
  <c r="AQ518"/>
  <c r="AR518"/>
  <c r="AS518"/>
  <c r="AT518"/>
  <c r="AU518"/>
  <c r="AV518"/>
  <c r="AW518"/>
  <c r="AX518"/>
  <c r="AY518"/>
  <c r="AZ518"/>
  <c r="BA518"/>
  <c r="BB518"/>
  <c r="BC518"/>
  <c r="BD518"/>
  <c r="BE518"/>
  <c r="BF518"/>
  <c r="BG518"/>
  <c r="BH518"/>
  <c r="BI518"/>
  <c r="BJ518"/>
  <c r="BK518"/>
  <c r="BL518"/>
  <c r="BM518"/>
  <c r="BN518"/>
  <c r="BO518"/>
  <c r="BP518"/>
  <c r="BQ518"/>
  <c r="BR518"/>
  <c r="BS518"/>
  <c r="BT518"/>
  <c r="BU518"/>
  <c r="BV518"/>
  <c r="BW518"/>
  <c r="BX518"/>
  <c r="BY518"/>
  <c r="BZ518"/>
  <c r="CA518"/>
  <c r="CB518"/>
  <c r="CC518"/>
  <c r="CD518"/>
  <c r="CE518"/>
  <c r="CF518"/>
  <c r="CG518"/>
  <c r="CH518"/>
  <c r="CI518"/>
  <c r="CJ518"/>
  <c r="CK518"/>
  <c r="CL518"/>
  <c r="CM518"/>
  <c r="CN518"/>
  <c r="CO518"/>
  <c r="CP518"/>
  <c r="CQ518"/>
  <c r="CR518"/>
  <c r="CS518"/>
  <c r="CT518"/>
  <c r="CU518"/>
  <c r="CV518"/>
  <c r="CW518"/>
  <c r="CX518"/>
  <c r="CY518"/>
  <c r="CZ518"/>
  <c r="DA518"/>
  <c r="DB518"/>
  <c r="DC518"/>
  <c r="DD518"/>
  <c r="DE518"/>
  <c r="DF518"/>
  <c r="DG518"/>
  <c r="DH518"/>
  <c r="DI518"/>
  <c r="DJ518"/>
  <c r="DK518"/>
  <c r="DL518"/>
  <c r="DM518"/>
  <c r="DN518"/>
  <c r="DO518"/>
  <c r="DP518"/>
  <c r="DQ518"/>
  <c r="DR518"/>
  <c r="DS518"/>
  <c r="DT518"/>
  <c r="DU518"/>
  <c r="DV518"/>
  <c r="DW518"/>
  <c r="DX518"/>
  <c r="DY518"/>
  <c r="DZ518"/>
  <c r="EA518"/>
  <c r="EB518"/>
  <c r="EC518"/>
  <c r="ED518"/>
  <c r="EE518"/>
  <c r="EF518"/>
  <c r="EG518"/>
  <c r="EH518"/>
  <c r="EI518"/>
  <c r="EJ518"/>
  <c r="EK518"/>
  <c r="EL518"/>
  <c r="EM518"/>
  <c r="EN518"/>
  <c r="EO518"/>
  <c r="EP518"/>
  <c r="EQ518"/>
  <c r="ER518"/>
  <c r="ES518"/>
  <c r="ET518"/>
  <c r="EU518"/>
  <c r="EV518"/>
  <c r="EW518"/>
  <c r="EX518"/>
  <c r="EY518"/>
  <c r="EZ518"/>
  <c r="FA518"/>
  <c r="FB518"/>
  <c r="FC518"/>
  <c r="FD518"/>
  <c r="FE518"/>
  <c r="FF518"/>
  <c r="FG518"/>
  <c r="FH518"/>
  <c r="FI518"/>
  <c r="FJ518"/>
  <c r="FK518"/>
  <c r="FL518"/>
  <c r="FM518"/>
  <c r="FN518"/>
  <c r="FO518"/>
  <c r="FP518"/>
  <c r="FQ518"/>
  <c r="FR518"/>
  <c r="FS518"/>
  <c r="FT518"/>
  <c r="FU518"/>
  <c r="FV518"/>
  <c r="FW518"/>
  <c r="FX518"/>
  <c r="FY518"/>
  <c r="FZ518"/>
  <c r="GA518"/>
  <c r="GB518"/>
  <c r="GC518"/>
  <c r="GD518"/>
  <c r="GE518"/>
  <c r="GF518"/>
  <c r="GG518"/>
  <c r="GH518"/>
  <c r="GI518"/>
  <c r="GJ518"/>
  <c r="GK518"/>
  <c r="GL518"/>
  <c r="GM518"/>
  <c r="GN518"/>
  <c r="GO518"/>
  <c r="GP518"/>
  <c r="GQ518"/>
  <c r="GR518"/>
  <c r="GS518"/>
  <c r="GT518"/>
  <c r="GU518"/>
  <c r="GV518"/>
  <c r="GW518"/>
  <c r="GX518"/>
  <c r="GY518"/>
  <c r="GZ518"/>
  <c r="HA518"/>
  <c r="HB518"/>
  <c r="HC518"/>
  <c r="HD518"/>
  <c r="HE518"/>
  <c r="HF518"/>
  <c r="HG518"/>
  <c r="HH518"/>
  <c r="HI518"/>
  <c r="HJ518"/>
  <c r="HK518"/>
  <c r="HL518"/>
  <c r="HM518"/>
  <c r="HN518"/>
  <c r="HO518"/>
  <c r="HP518"/>
  <c r="HQ518"/>
  <c r="HR518"/>
  <c r="HS518"/>
  <c r="HT518"/>
  <c r="HU518"/>
  <c r="HV518"/>
  <c r="HW518"/>
  <c r="HX518"/>
  <c r="HY518"/>
  <c r="HZ518"/>
  <c r="IA518"/>
  <c r="IB518"/>
  <c r="IC518"/>
  <c r="ID518"/>
  <c r="IE518"/>
  <c r="IF518"/>
  <c r="IG518"/>
  <c r="IH518"/>
  <c r="II518"/>
  <c r="IJ518"/>
  <c r="IK518"/>
  <c r="IL518"/>
  <c r="IM518"/>
  <c r="IN518"/>
  <c r="IO518"/>
  <c r="IP518"/>
  <c r="IQ518"/>
  <c r="IR518"/>
  <c r="IS518"/>
  <c r="IT518"/>
  <c r="IU518"/>
  <c r="IV518"/>
  <c r="A519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Z519"/>
  <c r="AA519"/>
  <c r="AB519"/>
  <c r="AC519"/>
  <c r="AD519"/>
  <c r="AE519"/>
  <c r="AF519"/>
  <c r="AG519"/>
  <c r="AH519"/>
  <c r="AI519"/>
  <c r="AJ519"/>
  <c r="AK519"/>
  <c r="AL519"/>
  <c r="AM519"/>
  <c r="AN519"/>
  <c r="AO519"/>
  <c r="AP519"/>
  <c r="AQ519"/>
  <c r="AR519"/>
  <c r="AS519"/>
  <c r="AT519"/>
  <c r="AU519"/>
  <c r="AV519"/>
  <c r="AW519"/>
  <c r="AX519"/>
  <c r="AY519"/>
  <c r="AZ519"/>
  <c r="BA519"/>
  <c r="BB519"/>
  <c r="BC519"/>
  <c r="BD519"/>
  <c r="BE519"/>
  <c r="BF519"/>
  <c r="BG519"/>
  <c r="BH519"/>
  <c r="BI519"/>
  <c r="BJ519"/>
  <c r="BK519"/>
  <c r="BL519"/>
  <c r="BM519"/>
  <c r="BN519"/>
  <c r="BO519"/>
  <c r="BP519"/>
  <c r="BQ519"/>
  <c r="BR519"/>
  <c r="BS519"/>
  <c r="BT519"/>
  <c r="BU519"/>
  <c r="BV519"/>
  <c r="BW519"/>
  <c r="BX519"/>
  <c r="BY519"/>
  <c r="BZ519"/>
  <c r="CA519"/>
  <c r="CB519"/>
  <c r="CC519"/>
  <c r="CD519"/>
  <c r="CE519"/>
  <c r="CF519"/>
  <c r="CG519"/>
  <c r="CH519"/>
  <c r="CI519"/>
  <c r="CJ519"/>
  <c r="CK519"/>
  <c r="CL519"/>
  <c r="CM519"/>
  <c r="CN519"/>
  <c r="CO519"/>
  <c r="CP519"/>
  <c r="CQ519"/>
  <c r="CR519"/>
  <c r="CS519"/>
  <c r="CT519"/>
  <c r="CU519"/>
  <c r="CV519"/>
  <c r="CW519"/>
  <c r="CX519"/>
  <c r="CY519"/>
  <c r="CZ519"/>
  <c r="DA519"/>
  <c r="DB519"/>
  <c r="DC519"/>
  <c r="DD519"/>
  <c r="DE519"/>
  <c r="DF519"/>
  <c r="DG519"/>
  <c r="DH519"/>
  <c r="DI519"/>
  <c r="DJ519"/>
  <c r="DK519"/>
  <c r="DL519"/>
  <c r="DM519"/>
  <c r="DN519"/>
  <c r="DO519"/>
  <c r="DP519"/>
  <c r="DQ519"/>
  <c r="DR519"/>
  <c r="DS519"/>
  <c r="DT519"/>
  <c r="DU519"/>
  <c r="DV519"/>
  <c r="DW519"/>
  <c r="DX519"/>
  <c r="DY519"/>
  <c r="DZ519"/>
  <c r="EA519"/>
  <c r="EB519"/>
  <c r="EC519"/>
  <c r="ED519"/>
  <c r="EE519"/>
  <c r="EF519"/>
  <c r="EG519"/>
  <c r="EH519"/>
  <c r="EI519"/>
  <c r="EJ519"/>
  <c r="EK519"/>
  <c r="EL519"/>
  <c r="EM519"/>
  <c r="EN519"/>
  <c r="EO519"/>
  <c r="EP519"/>
  <c r="EQ519"/>
  <c r="ER519"/>
  <c r="ES519"/>
  <c r="ET519"/>
  <c r="EU519"/>
  <c r="EV519"/>
  <c r="EW519"/>
  <c r="EX519"/>
  <c r="EY519"/>
  <c r="EZ519"/>
  <c r="FA519"/>
  <c r="FB519"/>
  <c r="FC519"/>
  <c r="FD519"/>
  <c r="FE519"/>
  <c r="FF519"/>
  <c r="FG519"/>
  <c r="FH519"/>
  <c r="FI519"/>
  <c r="FJ519"/>
  <c r="FK519"/>
  <c r="FL519"/>
  <c r="FM519"/>
  <c r="FN519"/>
  <c r="FO519"/>
  <c r="FP519"/>
  <c r="FQ519"/>
  <c r="FR519"/>
  <c r="FS519"/>
  <c r="FT519"/>
  <c r="FU519"/>
  <c r="FV519"/>
  <c r="FW519"/>
  <c r="FX519"/>
  <c r="FY519"/>
  <c r="FZ519"/>
  <c r="GA519"/>
  <c r="GB519"/>
  <c r="GC519"/>
  <c r="GD519"/>
  <c r="GE519"/>
  <c r="GF519"/>
  <c r="GG519"/>
  <c r="GH519"/>
  <c r="GI519"/>
  <c r="GJ519"/>
  <c r="GK519"/>
  <c r="GL519"/>
  <c r="GM519"/>
  <c r="GN519"/>
  <c r="GO519"/>
  <c r="GP519"/>
  <c r="GQ519"/>
  <c r="GR519"/>
  <c r="GS519"/>
  <c r="GT519"/>
  <c r="GU519"/>
  <c r="GV519"/>
  <c r="GW519"/>
  <c r="GX519"/>
  <c r="GY519"/>
  <c r="GZ519"/>
  <c r="HA519"/>
  <c r="HB519"/>
  <c r="HC519"/>
  <c r="HD519"/>
  <c r="HE519"/>
  <c r="HF519"/>
  <c r="HG519"/>
  <c r="HH519"/>
  <c r="HI519"/>
  <c r="HJ519"/>
  <c r="HK519"/>
  <c r="HL519"/>
  <c r="HM519"/>
  <c r="HN519"/>
  <c r="HO519"/>
  <c r="HP519"/>
  <c r="HQ519"/>
  <c r="HR519"/>
  <c r="HS519"/>
  <c r="HT519"/>
  <c r="HU519"/>
  <c r="HV519"/>
  <c r="HW519"/>
  <c r="HX519"/>
  <c r="HY519"/>
  <c r="HZ519"/>
  <c r="IA519"/>
  <c r="IB519"/>
  <c r="IC519"/>
  <c r="ID519"/>
  <c r="IE519"/>
  <c r="IF519"/>
  <c r="IG519"/>
  <c r="IH519"/>
  <c r="II519"/>
  <c r="IJ519"/>
  <c r="IK519"/>
  <c r="IL519"/>
  <c r="IM519"/>
  <c r="IN519"/>
  <c r="IO519"/>
  <c r="IP519"/>
  <c r="IQ519"/>
  <c r="IR519"/>
  <c r="IS519"/>
  <c r="IT519"/>
  <c r="IU519"/>
  <c r="IV519"/>
  <c r="A520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Z520"/>
  <c r="AA520"/>
  <c r="AB520"/>
  <c r="AC520"/>
  <c r="AD520"/>
  <c r="AE520"/>
  <c r="AF520"/>
  <c r="AG520"/>
  <c r="AH520"/>
  <c r="AI520"/>
  <c r="AJ520"/>
  <c r="AK520"/>
  <c r="AL520"/>
  <c r="AM520"/>
  <c r="AN520"/>
  <c r="AO520"/>
  <c r="AP520"/>
  <c r="AQ520"/>
  <c r="AR520"/>
  <c r="AS520"/>
  <c r="AT520"/>
  <c r="AU520"/>
  <c r="AV520"/>
  <c r="AW520"/>
  <c r="AX520"/>
  <c r="AY520"/>
  <c r="AZ520"/>
  <c r="BA520"/>
  <c r="BB520"/>
  <c r="BC520"/>
  <c r="BD520"/>
  <c r="BE520"/>
  <c r="BF520"/>
  <c r="BG520"/>
  <c r="BH520"/>
  <c r="BI520"/>
  <c r="BJ520"/>
  <c r="BK520"/>
  <c r="BL520"/>
  <c r="BM520"/>
  <c r="BN520"/>
  <c r="BO520"/>
  <c r="BP520"/>
  <c r="BQ520"/>
  <c r="BR520"/>
  <c r="BS520"/>
  <c r="BT520"/>
  <c r="BU520"/>
  <c r="BV520"/>
  <c r="BW520"/>
  <c r="BX520"/>
  <c r="BY520"/>
  <c r="BZ520"/>
  <c r="CA520"/>
  <c r="CB520"/>
  <c r="CC520"/>
  <c r="CD520"/>
  <c r="CE520"/>
  <c r="CF520"/>
  <c r="CG520"/>
  <c r="CH520"/>
  <c r="CI520"/>
  <c r="CJ520"/>
  <c r="CK520"/>
  <c r="CL520"/>
  <c r="CM520"/>
  <c r="CN520"/>
  <c r="CO520"/>
  <c r="CP520"/>
  <c r="CQ520"/>
  <c r="CR520"/>
  <c r="CS520"/>
  <c r="CT520"/>
  <c r="CU520"/>
  <c r="CV520"/>
  <c r="CW520"/>
  <c r="CX520"/>
  <c r="CY520"/>
  <c r="CZ520"/>
  <c r="DA520"/>
  <c r="DB520"/>
  <c r="DC520"/>
  <c r="DD520"/>
  <c r="DE520"/>
  <c r="DF520"/>
  <c r="DG520"/>
  <c r="DH520"/>
  <c r="DI520"/>
  <c r="DJ520"/>
  <c r="DK520"/>
  <c r="DL520"/>
  <c r="DM520"/>
  <c r="DN520"/>
  <c r="DO520"/>
  <c r="DP520"/>
  <c r="DQ520"/>
  <c r="DR520"/>
  <c r="DS520"/>
  <c r="DT520"/>
  <c r="DU520"/>
  <c r="DV520"/>
  <c r="DW520"/>
  <c r="DX520"/>
  <c r="DY520"/>
  <c r="DZ520"/>
  <c r="EA520"/>
  <c r="EB520"/>
  <c r="EC520"/>
  <c r="ED520"/>
  <c r="EE520"/>
  <c r="EF520"/>
  <c r="EG520"/>
  <c r="EH520"/>
  <c r="EI520"/>
  <c r="EJ520"/>
  <c r="EK520"/>
  <c r="EL520"/>
  <c r="EM520"/>
  <c r="EN520"/>
  <c r="EO520"/>
  <c r="EP520"/>
  <c r="EQ520"/>
  <c r="ER520"/>
  <c r="ES520"/>
  <c r="ET520"/>
  <c r="EU520"/>
  <c r="EV520"/>
  <c r="EW520"/>
  <c r="EX520"/>
  <c r="EY520"/>
  <c r="EZ520"/>
  <c r="FA520"/>
  <c r="FB520"/>
  <c r="FC520"/>
  <c r="FD520"/>
  <c r="FE520"/>
  <c r="FF520"/>
  <c r="FG520"/>
  <c r="FH520"/>
  <c r="FI520"/>
  <c r="FJ520"/>
  <c r="FK520"/>
  <c r="FL520"/>
  <c r="FM520"/>
  <c r="FN520"/>
  <c r="FO520"/>
  <c r="FP520"/>
  <c r="FQ520"/>
  <c r="FR520"/>
  <c r="FS520"/>
  <c r="FT520"/>
  <c r="FU520"/>
  <c r="FV520"/>
  <c r="FW520"/>
  <c r="FX520"/>
  <c r="FY520"/>
  <c r="FZ520"/>
  <c r="GA520"/>
  <c r="GB520"/>
  <c r="GC520"/>
  <c r="GD520"/>
  <c r="GE520"/>
  <c r="GF520"/>
  <c r="GG520"/>
  <c r="GH520"/>
  <c r="GI520"/>
  <c r="GJ520"/>
  <c r="GK520"/>
  <c r="GL520"/>
  <c r="GM520"/>
  <c r="GN520"/>
  <c r="GO520"/>
  <c r="GP520"/>
  <c r="GQ520"/>
  <c r="GR520"/>
  <c r="GS520"/>
  <c r="GT520"/>
  <c r="GU520"/>
  <c r="GV520"/>
  <c r="GW520"/>
  <c r="GX520"/>
  <c r="GY520"/>
  <c r="GZ520"/>
  <c r="HA520"/>
  <c r="HB520"/>
  <c r="HC520"/>
  <c r="HD520"/>
  <c r="HE520"/>
  <c r="HF520"/>
  <c r="HG520"/>
  <c r="HH520"/>
  <c r="HI520"/>
  <c r="HJ520"/>
  <c r="HK520"/>
  <c r="HL520"/>
  <c r="HM520"/>
  <c r="HN520"/>
  <c r="HO520"/>
  <c r="HP520"/>
  <c r="HQ520"/>
  <c r="HR520"/>
  <c r="HS520"/>
  <c r="HT520"/>
  <c r="HU520"/>
  <c r="HV520"/>
  <c r="HW520"/>
  <c r="HX520"/>
  <c r="HY520"/>
  <c r="HZ520"/>
  <c r="IA520"/>
  <c r="IB520"/>
  <c r="IC520"/>
  <c r="ID520"/>
  <c r="IE520"/>
  <c r="IF520"/>
  <c r="IG520"/>
  <c r="IH520"/>
  <c r="II520"/>
  <c r="IJ520"/>
  <c r="IK520"/>
  <c r="IL520"/>
  <c r="IM520"/>
  <c r="IN520"/>
  <c r="IO520"/>
  <c r="IP520"/>
  <c r="IQ520"/>
  <c r="IR520"/>
  <c r="IS520"/>
  <c r="IT520"/>
  <c r="IU520"/>
  <c r="IV520"/>
  <c r="A521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Z521"/>
  <c r="AA521"/>
  <c r="AB521"/>
  <c r="AC521"/>
  <c r="AD521"/>
  <c r="AE521"/>
  <c r="AF521"/>
  <c r="AG521"/>
  <c r="AH521"/>
  <c r="AI521"/>
  <c r="AJ521"/>
  <c r="AK521"/>
  <c r="AL521"/>
  <c r="AM521"/>
  <c r="AN521"/>
  <c r="AO521"/>
  <c r="AP521"/>
  <c r="AQ521"/>
  <c r="AR521"/>
  <c r="AS521"/>
  <c r="AT521"/>
  <c r="AU521"/>
  <c r="AV521"/>
  <c r="AW521"/>
  <c r="AX521"/>
  <c r="AY521"/>
  <c r="AZ521"/>
  <c r="BA521"/>
  <c r="BB521"/>
  <c r="BC521"/>
  <c r="BD521"/>
  <c r="BE521"/>
  <c r="BF521"/>
  <c r="BG521"/>
  <c r="BH521"/>
  <c r="BI521"/>
  <c r="BJ521"/>
  <c r="BK521"/>
  <c r="BL521"/>
  <c r="BM521"/>
  <c r="BN521"/>
  <c r="BO521"/>
  <c r="BP521"/>
  <c r="BQ521"/>
  <c r="BR521"/>
  <c r="BS521"/>
  <c r="BT521"/>
  <c r="BU521"/>
  <c r="BV521"/>
  <c r="BW521"/>
  <c r="BX521"/>
  <c r="BY521"/>
  <c r="BZ521"/>
  <c r="CA521"/>
  <c r="CB521"/>
  <c r="CC521"/>
  <c r="CD521"/>
  <c r="CE521"/>
  <c r="CF521"/>
  <c r="CG521"/>
  <c r="CH521"/>
  <c r="CI521"/>
  <c r="CJ521"/>
  <c r="CK521"/>
  <c r="CL521"/>
  <c r="CM521"/>
  <c r="CN521"/>
  <c r="CO521"/>
  <c r="CP521"/>
  <c r="CQ521"/>
  <c r="CR521"/>
  <c r="CS521"/>
  <c r="CT521"/>
  <c r="CU521"/>
  <c r="CV521"/>
  <c r="CW521"/>
  <c r="CX521"/>
  <c r="CY521"/>
  <c r="CZ521"/>
  <c r="DA521"/>
  <c r="DB521"/>
  <c r="DC521"/>
  <c r="DD521"/>
  <c r="DE521"/>
  <c r="DF521"/>
  <c r="DG521"/>
  <c r="DH521"/>
  <c r="DI521"/>
  <c r="DJ521"/>
  <c r="DK521"/>
  <c r="DL521"/>
  <c r="DM521"/>
  <c r="DN521"/>
  <c r="DO521"/>
  <c r="DP521"/>
  <c r="DQ521"/>
  <c r="DR521"/>
  <c r="DS521"/>
  <c r="DT521"/>
  <c r="DU521"/>
  <c r="DV521"/>
  <c r="DW521"/>
  <c r="DX521"/>
  <c r="DY521"/>
  <c r="DZ521"/>
  <c r="EA521"/>
  <c r="EB521"/>
  <c r="EC521"/>
  <c r="ED521"/>
  <c r="EE521"/>
  <c r="EF521"/>
  <c r="EG521"/>
  <c r="EH521"/>
  <c r="EI521"/>
  <c r="EJ521"/>
  <c r="EK521"/>
  <c r="EL521"/>
  <c r="EM521"/>
  <c r="EN521"/>
  <c r="EO521"/>
  <c r="EP521"/>
  <c r="EQ521"/>
  <c r="ER521"/>
  <c r="ES521"/>
  <c r="ET521"/>
  <c r="EU521"/>
  <c r="EV521"/>
  <c r="EW521"/>
  <c r="EX521"/>
  <c r="EY521"/>
  <c r="EZ521"/>
  <c r="FA521"/>
  <c r="FB521"/>
  <c r="FC521"/>
  <c r="FD521"/>
  <c r="FE521"/>
  <c r="FF521"/>
  <c r="FG521"/>
  <c r="FH521"/>
  <c r="FI521"/>
  <c r="FJ521"/>
  <c r="FK521"/>
  <c r="FL521"/>
  <c r="FM521"/>
  <c r="FN521"/>
  <c r="FO521"/>
  <c r="FP521"/>
  <c r="FQ521"/>
  <c r="FR521"/>
  <c r="FS521"/>
  <c r="FT521"/>
  <c r="FU521"/>
  <c r="FV521"/>
  <c r="FW521"/>
  <c r="FX521"/>
  <c r="FY521"/>
  <c r="FZ521"/>
  <c r="GA521"/>
  <c r="GB521"/>
  <c r="GC521"/>
  <c r="GD521"/>
  <c r="GE521"/>
  <c r="GF521"/>
  <c r="GG521"/>
  <c r="GH521"/>
  <c r="GI521"/>
  <c r="GJ521"/>
  <c r="GK521"/>
  <c r="GL521"/>
  <c r="GM521"/>
  <c r="GN521"/>
  <c r="GO521"/>
  <c r="GP521"/>
  <c r="GQ521"/>
  <c r="GR521"/>
  <c r="GS521"/>
  <c r="GT521"/>
  <c r="GU521"/>
  <c r="GV521"/>
  <c r="GW521"/>
  <c r="GX521"/>
  <c r="GY521"/>
  <c r="GZ521"/>
  <c r="HA521"/>
  <c r="HB521"/>
  <c r="HC521"/>
  <c r="HD521"/>
  <c r="HE521"/>
  <c r="HF521"/>
  <c r="HG521"/>
  <c r="HH521"/>
  <c r="HI521"/>
  <c r="HJ521"/>
  <c r="HK521"/>
  <c r="HL521"/>
  <c r="HM521"/>
  <c r="HN521"/>
  <c r="HO521"/>
  <c r="HP521"/>
  <c r="HQ521"/>
  <c r="HR521"/>
  <c r="HS521"/>
  <c r="HT521"/>
  <c r="HU521"/>
  <c r="HV521"/>
  <c r="HW521"/>
  <c r="HX521"/>
  <c r="HY521"/>
  <c r="HZ521"/>
  <c r="IA521"/>
  <c r="IB521"/>
  <c r="IC521"/>
  <c r="ID521"/>
  <c r="IE521"/>
  <c r="IF521"/>
  <c r="IG521"/>
  <c r="IH521"/>
  <c r="II521"/>
  <c r="IJ521"/>
  <c r="IK521"/>
  <c r="IL521"/>
  <c r="IM521"/>
  <c r="IN521"/>
  <c r="IO521"/>
  <c r="IP521"/>
  <c r="IQ521"/>
  <c r="IR521"/>
  <c r="IS521"/>
  <c r="IT521"/>
  <c r="IU521"/>
  <c r="IV521"/>
  <c r="A522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Z522"/>
  <c r="AA522"/>
  <c r="AB522"/>
  <c r="AC522"/>
  <c r="AD522"/>
  <c r="AE522"/>
  <c r="AF522"/>
  <c r="AG522"/>
  <c r="AH522"/>
  <c r="AI522"/>
  <c r="AJ522"/>
  <c r="AK522"/>
  <c r="AL522"/>
  <c r="AM522"/>
  <c r="AN522"/>
  <c r="AO522"/>
  <c r="AP522"/>
  <c r="AQ522"/>
  <c r="AR522"/>
  <c r="AS522"/>
  <c r="AT522"/>
  <c r="AU522"/>
  <c r="AV522"/>
  <c r="AW522"/>
  <c r="AX522"/>
  <c r="AY522"/>
  <c r="AZ522"/>
  <c r="BA522"/>
  <c r="BB522"/>
  <c r="BC522"/>
  <c r="BD522"/>
  <c r="BE522"/>
  <c r="BF522"/>
  <c r="BG522"/>
  <c r="BH522"/>
  <c r="BI522"/>
  <c r="BJ522"/>
  <c r="BK522"/>
  <c r="BL522"/>
  <c r="BM522"/>
  <c r="BN522"/>
  <c r="BO522"/>
  <c r="BP522"/>
  <c r="BQ522"/>
  <c r="BR522"/>
  <c r="BS522"/>
  <c r="BT522"/>
  <c r="BU522"/>
  <c r="BV522"/>
  <c r="BW522"/>
  <c r="BX522"/>
  <c r="BY522"/>
  <c r="BZ522"/>
  <c r="CA522"/>
  <c r="CB522"/>
  <c r="CC522"/>
  <c r="CD522"/>
  <c r="CE522"/>
  <c r="CF522"/>
  <c r="CG522"/>
  <c r="CH522"/>
  <c r="CI522"/>
  <c r="CJ522"/>
  <c r="CK522"/>
  <c r="CL522"/>
  <c r="CM522"/>
  <c r="CN522"/>
  <c r="CO522"/>
  <c r="CP522"/>
  <c r="CQ522"/>
  <c r="CR522"/>
  <c r="CS522"/>
  <c r="CT522"/>
  <c r="CU522"/>
  <c r="CV522"/>
  <c r="CW522"/>
  <c r="CX522"/>
  <c r="CY522"/>
  <c r="CZ522"/>
  <c r="DA522"/>
  <c r="DB522"/>
  <c r="DC522"/>
  <c r="DD522"/>
  <c r="DE522"/>
  <c r="DF522"/>
  <c r="DG522"/>
  <c r="DH522"/>
  <c r="DI522"/>
  <c r="DJ522"/>
  <c r="DK522"/>
  <c r="DL522"/>
  <c r="DM522"/>
  <c r="DN522"/>
  <c r="DO522"/>
  <c r="DP522"/>
  <c r="DQ522"/>
  <c r="DR522"/>
  <c r="DS522"/>
  <c r="DT522"/>
  <c r="DU522"/>
  <c r="DV522"/>
  <c r="DW522"/>
  <c r="DX522"/>
  <c r="DY522"/>
  <c r="DZ522"/>
  <c r="EA522"/>
  <c r="EB522"/>
  <c r="EC522"/>
  <c r="ED522"/>
  <c r="EE522"/>
  <c r="EF522"/>
  <c r="EG522"/>
  <c r="EH522"/>
  <c r="EI522"/>
  <c r="EJ522"/>
  <c r="EK522"/>
  <c r="EL522"/>
  <c r="EM522"/>
  <c r="EN522"/>
  <c r="EO522"/>
  <c r="EP522"/>
  <c r="EQ522"/>
  <c r="ER522"/>
  <c r="ES522"/>
  <c r="ET522"/>
  <c r="EU522"/>
  <c r="EV522"/>
  <c r="EW522"/>
  <c r="EX522"/>
  <c r="EY522"/>
  <c r="EZ522"/>
  <c r="FA522"/>
  <c r="FB522"/>
  <c r="FC522"/>
  <c r="FD522"/>
  <c r="FE522"/>
  <c r="FF522"/>
  <c r="FG522"/>
  <c r="FH522"/>
  <c r="FI522"/>
  <c r="FJ522"/>
  <c r="FK522"/>
  <c r="FL522"/>
  <c r="FM522"/>
  <c r="FN522"/>
  <c r="FO522"/>
  <c r="FP522"/>
  <c r="FQ522"/>
  <c r="FR522"/>
  <c r="FS522"/>
  <c r="FT522"/>
  <c r="FU522"/>
  <c r="FV522"/>
  <c r="FW522"/>
  <c r="FX522"/>
  <c r="FY522"/>
  <c r="FZ522"/>
  <c r="GA522"/>
  <c r="GB522"/>
  <c r="GC522"/>
  <c r="GD522"/>
  <c r="GE522"/>
  <c r="GF522"/>
  <c r="GG522"/>
  <c r="GH522"/>
  <c r="GI522"/>
  <c r="GJ522"/>
  <c r="GK522"/>
  <c r="GL522"/>
  <c r="GM522"/>
  <c r="GN522"/>
  <c r="GO522"/>
  <c r="GP522"/>
  <c r="GQ522"/>
  <c r="GR522"/>
  <c r="GS522"/>
  <c r="GT522"/>
  <c r="GU522"/>
  <c r="GV522"/>
  <c r="GW522"/>
  <c r="GX522"/>
  <c r="GY522"/>
  <c r="GZ522"/>
  <c r="HA522"/>
  <c r="HB522"/>
  <c r="HC522"/>
  <c r="HD522"/>
  <c r="HE522"/>
  <c r="HF522"/>
  <c r="HG522"/>
  <c r="HH522"/>
  <c r="HI522"/>
  <c r="HJ522"/>
  <c r="HK522"/>
  <c r="HL522"/>
  <c r="HM522"/>
  <c r="HN522"/>
  <c r="HO522"/>
  <c r="HP522"/>
  <c r="HQ522"/>
  <c r="HR522"/>
  <c r="HS522"/>
  <c r="HT522"/>
  <c r="HU522"/>
  <c r="HV522"/>
  <c r="HW522"/>
  <c r="HX522"/>
  <c r="HY522"/>
  <c r="HZ522"/>
  <c r="IA522"/>
  <c r="IB522"/>
  <c r="IC522"/>
  <c r="ID522"/>
  <c r="IE522"/>
  <c r="IF522"/>
  <c r="IG522"/>
  <c r="IH522"/>
  <c r="II522"/>
  <c r="IJ522"/>
  <c r="IK522"/>
  <c r="IL522"/>
  <c r="IM522"/>
  <c r="IN522"/>
  <c r="IO522"/>
  <c r="IP522"/>
  <c r="IQ522"/>
  <c r="IR522"/>
  <c r="IS522"/>
  <c r="IT522"/>
  <c r="IU522"/>
  <c r="IV522"/>
  <c r="A523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Z523"/>
  <c r="AA523"/>
  <c r="AB523"/>
  <c r="AC523"/>
  <c r="AD523"/>
  <c r="AE523"/>
  <c r="AF523"/>
  <c r="AG523"/>
  <c r="AH523"/>
  <c r="AI523"/>
  <c r="AJ523"/>
  <c r="AK523"/>
  <c r="AL523"/>
  <c r="AM523"/>
  <c r="AN523"/>
  <c r="AO523"/>
  <c r="AP523"/>
  <c r="AQ523"/>
  <c r="AR523"/>
  <c r="AS523"/>
  <c r="AT523"/>
  <c r="AU523"/>
  <c r="AV523"/>
  <c r="AW523"/>
  <c r="AX523"/>
  <c r="AY523"/>
  <c r="AZ523"/>
  <c r="BA523"/>
  <c r="BB523"/>
  <c r="BC523"/>
  <c r="BD523"/>
  <c r="BE523"/>
  <c r="BF523"/>
  <c r="BG523"/>
  <c r="BH523"/>
  <c r="BI523"/>
  <c r="BJ523"/>
  <c r="BK523"/>
  <c r="BL523"/>
  <c r="BM523"/>
  <c r="BN523"/>
  <c r="BO523"/>
  <c r="BP523"/>
  <c r="BQ523"/>
  <c r="BR523"/>
  <c r="BS523"/>
  <c r="BT523"/>
  <c r="BU523"/>
  <c r="BV523"/>
  <c r="BW523"/>
  <c r="BX523"/>
  <c r="BY523"/>
  <c r="BZ523"/>
  <c r="CA523"/>
  <c r="CB523"/>
  <c r="CC523"/>
  <c r="CD523"/>
  <c r="CE523"/>
  <c r="CF523"/>
  <c r="CG523"/>
  <c r="CH523"/>
  <c r="CI523"/>
  <c r="CJ523"/>
  <c r="CK523"/>
  <c r="CL523"/>
  <c r="CM523"/>
  <c r="CN523"/>
  <c r="CO523"/>
  <c r="CP523"/>
  <c r="CQ523"/>
  <c r="CR523"/>
  <c r="CS523"/>
  <c r="CT523"/>
  <c r="CU523"/>
  <c r="CV523"/>
  <c r="CW523"/>
  <c r="CX523"/>
  <c r="CY523"/>
  <c r="CZ523"/>
  <c r="DA523"/>
  <c r="DB523"/>
  <c r="DC523"/>
  <c r="DD523"/>
  <c r="DE523"/>
  <c r="DF523"/>
  <c r="DG523"/>
  <c r="DH523"/>
  <c r="DI523"/>
  <c r="DJ523"/>
  <c r="DK523"/>
  <c r="DL523"/>
  <c r="DM523"/>
  <c r="DN523"/>
  <c r="DO523"/>
  <c r="DP523"/>
  <c r="DQ523"/>
  <c r="DR523"/>
  <c r="DS523"/>
  <c r="DT523"/>
  <c r="DU523"/>
  <c r="DV523"/>
  <c r="DW523"/>
  <c r="DX523"/>
  <c r="DY523"/>
  <c r="DZ523"/>
  <c r="EA523"/>
  <c r="EB523"/>
  <c r="EC523"/>
  <c r="ED523"/>
  <c r="EE523"/>
  <c r="EF523"/>
  <c r="EG523"/>
  <c r="EH523"/>
  <c r="EI523"/>
  <c r="EJ523"/>
  <c r="EK523"/>
  <c r="EL523"/>
  <c r="EM523"/>
  <c r="EN523"/>
  <c r="EO523"/>
  <c r="EP523"/>
  <c r="EQ523"/>
  <c r="ER523"/>
  <c r="ES523"/>
  <c r="ET523"/>
  <c r="EU523"/>
  <c r="EV523"/>
  <c r="EW523"/>
  <c r="EX523"/>
  <c r="EY523"/>
  <c r="EZ523"/>
  <c r="FA523"/>
  <c r="FB523"/>
  <c r="FC523"/>
  <c r="FD523"/>
  <c r="FE523"/>
  <c r="FF523"/>
  <c r="FG523"/>
  <c r="FH523"/>
  <c r="FI523"/>
  <c r="FJ523"/>
  <c r="FK523"/>
  <c r="FL523"/>
  <c r="FM523"/>
  <c r="FN523"/>
  <c r="FO523"/>
  <c r="FP523"/>
  <c r="FQ523"/>
  <c r="FR523"/>
  <c r="FS523"/>
  <c r="FT523"/>
  <c r="FU523"/>
  <c r="FV523"/>
  <c r="FW523"/>
  <c r="FX523"/>
  <c r="FY523"/>
  <c r="FZ523"/>
  <c r="GA523"/>
  <c r="GB523"/>
  <c r="GC523"/>
  <c r="GD523"/>
  <c r="GE523"/>
  <c r="GF523"/>
  <c r="GG523"/>
  <c r="GH523"/>
  <c r="GI523"/>
  <c r="GJ523"/>
  <c r="GK523"/>
  <c r="GL523"/>
  <c r="GM523"/>
  <c r="GN523"/>
  <c r="GO523"/>
  <c r="GP523"/>
  <c r="GQ523"/>
  <c r="GR523"/>
  <c r="GS523"/>
  <c r="GT523"/>
  <c r="GU523"/>
  <c r="GV523"/>
  <c r="GW523"/>
  <c r="GX523"/>
  <c r="GY523"/>
  <c r="GZ523"/>
  <c r="HA523"/>
  <c r="HB523"/>
  <c r="HC523"/>
  <c r="HD523"/>
  <c r="HE523"/>
  <c r="HF523"/>
  <c r="HG523"/>
  <c r="HH523"/>
  <c r="HI523"/>
  <c r="HJ523"/>
  <c r="HK523"/>
  <c r="HL523"/>
  <c r="HM523"/>
  <c r="HN523"/>
  <c r="HO523"/>
  <c r="HP523"/>
  <c r="HQ523"/>
  <c r="HR523"/>
  <c r="HS523"/>
  <c r="HT523"/>
  <c r="HU523"/>
  <c r="HV523"/>
  <c r="HW523"/>
  <c r="HX523"/>
  <c r="HY523"/>
  <c r="HZ523"/>
  <c r="IA523"/>
  <c r="IB523"/>
  <c r="IC523"/>
  <c r="ID523"/>
  <c r="IE523"/>
  <c r="IF523"/>
  <c r="IG523"/>
  <c r="IH523"/>
  <c r="II523"/>
  <c r="IJ523"/>
  <c r="IK523"/>
  <c r="IL523"/>
  <c r="IM523"/>
  <c r="IN523"/>
  <c r="IO523"/>
  <c r="IP523"/>
  <c r="IQ523"/>
  <c r="IR523"/>
  <c r="IS523"/>
  <c r="IT523"/>
  <c r="IU523"/>
  <c r="IV523"/>
  <c r="A524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Z524"/>
  <c r="AA524"/>
  <c r="AB524"/>
  <c r="AC524"/>
  <c r="AD524"/>
  <c r="AE524"/>
  <c r="AF524"/>
  <c r="AG524"/>
  <c r="AH524"/>
  <c r="AI524"/>
  <c r="AJ524"/>
  <c r="AK524"/>
  <c r="AL524"/>
  <c r="AM524"/>
  <c r="AN524"/>
  <c r="AO524"/>
  <c r="AP524"/>
  <c r="AQ524"/>
  <c r="AR524"/>
  <c r="AS524"/>
  <c r="AT524"/>
  <c r="AU524"/>
  <c r="AV524"/>
  <c r="AW524"/>
  <c r="AX524"/>
  <c r="AY524"/>
  <c r="AZ524"/>
  <c r="BA524"/>
  <c r="BB524"/>
  <c r="BC524"/>
  <c r="BD524"/>
  <c r="BE524"/>
  <c r="BF524"/>
  <c r="BG524"/>
  <c r="BH524"/>
  <c r="BI524"/>
  <c r="BJ524"/>
  <c r="BK524"/>
  <c r="BL524"/>
  <c r="BM524"/>
  <c r="BN524"/>
  <c r="BO524"/>
  <c r="BP524"/>
  <c r="BQ524"/>
  <c r="BR524"/>
  <c r="BS524"/>
  <c r="BT524"/>
  <c r="BU524"/>
  <c r="BV524"/>
  <c r="BW524"/>
  <c r="BX524"/>
  <c r="BY524"/>
  <c r="BZ524"/>
  <c r="CA524"/>
  <c r="CB524"/>
  <c r="CC524"/>
  <c r="CD524"/>
  <c r="CE524"/>
  <c r="CF524"/>
  <c r="CG524"/>
  <c r="CH524"/>
  <c r="CI524"/>
  <c r="CJ524"/>
  <c r="CK524"/>
  <c r="CL524"/>
  <c r="CM524"/>
  <c r="CN524"/>
  <c r="CO524"/>
  <c r="CP524"/>
  <c r="CQ524"/>
  <c r="CR524"/>
  <c r="CS524"/>
  <c r="CT524"/>
  <c r="CU524"/>
  <c r="CV524"/>
  <c r="CW524"/>
  <c r="CX524"/>
  <c r="CY524"/>
  <c r="CZ524"/>
  <c r="DA524"/>
  <c r="DB524"/>
  <c r="DC524"/>
  <c r="DD524"/>
  <c r="DE524"/>
  <c r="DF524"/>
  <c r="DG524"/>
  <c r="DH524"/>
  <c r="DI524"/>
  <c r="DJ524"/>
  <c r="DK524"/>
  <c r="DL524"/>
  <c r="DM524"/>
  <c r="DN524"/>
  <c r="DO524"/>
  <c r="DP524"/>
  <c r="DQ524"/>
  <c r="DR524"/>
  <c r="DS524"/>
  <c r="DT524"/>
  <c r="DU524"/>
  <c r="DV524"/>
  <c r="DW524"/>
  <c r="DX524"/>
  <c r="DY524"/>
  <c r="DZ524"/>
  <c r="EA524"/>
  <c r="EB524"/>
  <c r="EC524"/>
  <c r="ED524"/>
  <c r="EE524"/>
  <c r="EF524"/>
  <c r="EG524"/>
  <c r="EH524"/>
  <c r="EI524"/>
  <c r="EJ524"/>
  <c r="EK524"/>
  <c r="EL524"/>
  <c r="EM524"/>
  <c r="EN524"/>
  <c r="EO524"/>
  <c r="EP524"/>
  <c r="EQ524"/>
  <c r="ER524"/>
  <c r="ES524"/>
  <c r="ET524"/>
  <c r="EU524"/>
  <c r="EV524"/>
  <c r="EW524"/>
  <c r="EX524"/>
  <c r="EY524"/>
  <c r="EZ524"/>
  <c r="FA524"/>
  <c r="FB524"/>
  <c r="FC524"/>
  <c r="FD524"/>
  <c r="FE524"/>
  <c r="FF524"/>
  <c r="FG524"/>
  <c r="FH524"/>
  <c r="FI524"/>
  <c r="FJ524"/>
  <c r="FK524"/>
  <c r="FL524"/>
  <c r="FM524"/>
  <c r="FN524"/>
  <c r="FO524"/>
  <c r="FP524"/>
  <c r="FQ524"/>
  <c r="FR524"/>
  <c r="FS524"/>
  <c r="FT524"/>
  <c r="FU524"/>
  <c r="FV524"/>
  <c r="FW524"/>
  <c r="FX524"/>
  <c r="FY524"/>
  <c r="FZ524"/>
  <c r="GA524"/>
  <c r="GB524"/>
  <c r="GC524"/>
  <c r="GD524"/>
  <c r="GE524"/>
  <c r="GF524"/>
  <c r="GG524"/>
  <c r="GH524"/>
  <c r="GI524"/>
  <c r="GJ524"/>
  <c r="GK524"/>
  <c r="GL524"/>
  <c r="GM524"/>
  <c r="GN524"/>
  <c r="GO524"/>
  <c r="GP524"/>
  <c r="GQ524"/>
  <c r="GR524"/>
  <c r="GS524"/>
  <c r="GT524"/>
  <c r="GU524"/>
  <c r="GV524"/>
  <c r="GW524"/>
  <c r="GX524"/>
  <c r="GY524"/>
  <c r="GZ524"/>
  <c r="HA524"/>
  <c r="HB524"/>
  <c r="HC524"/>
  <c r="HD524"/>
  <c r="HE524"/>
  <c r="HF524"/>
  <c r="HG524"/>
  <c r="HH524"/>
  <c r="HI524"/>
  <c r="HJ524"/>
  <c r="HK524"/>
  <c r="HL524"/>
  <c r="HM524"/>
  <c r="HN524"/>
  <c r="HO524"/>
  <c r="HP524"/>
  <c r="HQ524"/>
  <c r="HR524"/>
  <c r="HS524"/>
  <c r="HT524"/>
  <c r="HU524"/>
  <c r="HV524"/>
  <c r="HW524"/>
  <c r="HX524"/>
  <c r="HY524"/>
  <c r="HZ524"/>
  <c r="IA524"/>
  <c r="IB524"/>
  <c r="IC524"/>
  <c r="ID524"/>
  <c r="IE524"/>
  <c r="IF524"/>
  <c r="IG524"/>
  <c r="IH524"/>
  <c r="II524"/>
  <c r="IJ524"/>
  <c r="IK524"/>
  <c r="IL524"/>
  <c r="IM524"/>
  <c r="IN524"/>
  <c r="IO524"/>
  <c r="IP524"/>
  <c r="IQ524"/>
  <c r="IR524"/>
  <c r="IS524"/>
  <c r="IT524"/>
  <c r="IU524"/>
  <c r="IV524"/>
  <c r="A525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Z525"/>
  <c r="AA525"/>
  <c r="AB525"/>
  <c r="AC525"/>
  <c r="AD525"/>
  <c r="AE525"/>
  <c r="AF525"/>
  <c r="AG525"/>
  <c r="AH525"/>
  <c r="AI525"/>
  <c r="AJ525"/>
  <c r="AK525"/>
  <c r="AL525"/>
  <c r="AM525"/>
  <c r="AN525"/>
  <c r="AO525"/>
  <c r="AP525"/>
  <c r="AQ525"/>
  <c r="AR525"/>
  <c r="AS525"/>
  <c r="AT525"/>
  <c r="AU525"/>
  <c r="AV525"/>
  <c r="AW525"/>
  <c r="AX525"/>
  <c r="AY525"/>
  <c r="AZ525"/>
  <c r="BA525"/>
  <c r="BB525"/>
  <c r="BC525"/>
  <c r="BD525"/>
  <c r="BE525"/>
  <c r="BF525"/>
  <c r="BG525"/>
  <c r="BH525"/>
  <c r="BI525"/>
  <c r="BJ525"/>
  <c r="BK525"/>
  <c r="BL525"/>
  <c r="BM525"/>
  <c r="BN525"/>
  <c r="BO525"/>
  <c r="BP525"/>
  <c r="BQ525"/>
  <c r="BR525"/>
  <c r="BS525"/>
  <c r="BT525"/>
  <c r="BU525"/>
  <c r="BV525"/>
  <c r="BW525"/>
  <c r="BX525"/>
  <c r="BY525"/>
  <c r="BZ525"/>
  <c r="CA525"/>
  <c r="CB525"/>
  <c r="CC525"/>
  <c r="CD525"/>
  <c r="CE525"/>
  <c r="CF525"/>
  <c r="CG525"/>
  <c r="CH525"/>
  <c r="CI525"/>
  <c r="CJ525"/>
  <c r="CK525"/>
  <c r="CL525"/>
  <c r="CM525"/>
  <c r="CN525"/>
  <c r="CO525"/>
  <c r="CP525"/>
  <c r="CQ525"/>
  <c r="CR525"/>
  <c r="CS525"/>
  <c r="CT525"/>
  <c r="CU525"/>
  <c r="CV525"/>
  <c r="CW525"/>
  <c r="CX525"/>
  <c r="CY525"/>
  <c r="CZ525"/>
  <c r="DA525"/>
  <c r="DB525"/>
  <c r="DC525"/>
  <c r="DD525"/>
  <c r="DE525"/>
  <c r="DF525"/>
  <c r="DG525"/>
  <c r="DH525"/>
  <c r="DI525"/>
  <c r="DJ525"/>
  <c r="DK525"/>
  <c r="DL525"/>
  <c r="DM525"/>
  <c r="DN525"/>
  <c r="DO525"/>
  <c r="DP525"/>
  <c r="DQ525"/>
  <c r="DR525"/>
  <c r="DS525"/>
  <c r="DT525"/>
  <c r="DU525"/>
  <c r="DV525"/>
  <c r="DW525"/>
  <c r="DX525"/>
  <c r="DY525"/>
  <c r="DZ525"/>
  <c r="EA525"/>
  <c r="EB525"/>
  <c r="EC525"/>
  <c r="ED525"/>
  <c r="EE525"/>
  <c r="EF525"/>
  <c r="EG525"/>
  <c r="EH525"/>
  <c r="EI525"/>
  <c r="EJ525"/>
  <c r="EK525"/>
  <c r="EL525"/>
  <c r="EM525"/>
  <c r="EN525"/>
  <c r="EO525"/>
  <c r="EP525"/>
  <c r="EQ525"/>
  <c r="ER525"/>
  <c r="ES525"/>
  <c r="ET525"/>
  <c r="EU525"/>
  <c r="EV525"/>
  <c r="EW525"/>
  <c r="EX525"/>
  <c r="EY525"/>
  <c r="EZ525"/>
  <c r="FA525"/>
  <c r="FB525"/>
  <c r="FC525"/>
  <c r="FD525"/>
  <c r="FE525"/>
  <c r="FF525"/>
  <c r="FG525"/>
  <c r="FH525"/>
  <c r="FI525"/>
  <c r="FJ525"/>
  <c r="FK525"/>
  <c r="FL525"/>
  <c r="FM525"/>
  <c r="FN525"/>
  <c r="FO525"/>
  <c r="FP525"/>
  <c r="FQ525"/>
  <c r="FR525"/>
  <c r="FS525"/>
  <c r="FT525"/>
  <c r="FU525"/>
  <c r="FV525"/>
  <c r="FW525"/>
  <c r="FX525"/>
  <c r="FY525"/>
  <c r="FZ525"/>
  <c r="GA525"/>
  <c r="GB525"/>
  <c r="GC525"/>
  <c r="GD525"/>
  <c r="GE525"/>
  <c r="GF525"/>
  <c r="GG525"/>
  <c r="GH525"/>
  <c r="GI525"/>
  <c r="GJ525"/>
  <c r="GK525"/>
  <c r="GL525"/>
  <c r="GM525"/>
  <c r="GN525"/>
  <c r="GO525"/>
  <c r="GP525"/>
  <c r="GQ525"/>
  <c r="GR525"/>
  <c r="GS525"/>
  <c r="GT525"/>
  <c r="GU525"/>
  <c r="GV525"/>
  <c r="GW525"/>
  <c r="GX525"/>
  <c r="GY525"/>
  <c r="GZ525"/>
  <c r="HA525"/>
  <c r="HB525"/>
  <c r="HC525"/>
  <c r="HD525"/>
  <c r="HE525"/>
  <c r="HF525"/>
  <c r="HG525"/>
  <c r="HH525"/>
  <c r="HI525"/>
  <c r="HJ525"/>
  <c r="HK525"/>
  <c r="HL525"/>
  <c r="HM525"/>
  <c r="HN525"/>
  <c r="HO525"/>
  <c r="HP525"/>
  <c r="HQ525"/>
  <c r="HR525"/>
  <c r="HS525"/>
  <c r="HT525"/>
  <c r="HU525"/>
  <c r="HV525"/>
  <c r="HW525"/>
  <c r="HX525"/>
  <c r="HY525"/>
  <c r="HZ525"/>
  <c r="IA525"/>
  <c r="IB525"/>
  <c r="IC525"/>
  <c r="ID525"/>
  <c r="IE525"/>
  <c r="IF525"/>
  <c r="IG525"/>
  <c r="IH525"/>
  <c r="II525"/>
  <c r="IJ525"/>
  <c r="IK525"/>
  <c r="IL525"/>
  <c r="IM525"/>
  <c r="IN525"/>
  <c r="IO525"/>
  <c r="IP525"/>
  <c r="IQ525"/>
  <c r="IR525"/>
  <c r="IS525"/>
  <c r="IT525"/>
  <c r="IU525"/>
  <c r="IV525"/>
  <c r="A526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Z526"/>
  <c r="AA526"/>
  <c r="AB526"/>
  <c r="AC526"/>
  <c r="AD526"/>
  <c r="AE526"/>
  <c r="AF526"/>
  <c r="AG526"/>
  <c r="AH526"/>
  <c r="AI526"/>
  <c r="AJ526"/>
  <c r="AK526"/>
  <c r="AL526"/>
  <c r="AM526"/>
  <c r="AN526"/>
  <c r="AO526"/>
  <c r="AP526"/>
  <c r="AQ526"/>
  <c r="AR526"/>
  <c r="AS526"/>
  <c r="AT526"/>
  <c r="AU526"/>
  <c r="AV526"/>
  <c r="AW526"/>
  <c r="AX526"/>
  <c r="AY526"/>
  <c r="AZ526"/>
  <c r="BA526"/>
  <c r="BB526"/>
  <c r="BC526"/>
  <c r="BD526"/>
  <c r="BE526"/>
  <c r="BF526"/>
  <c r="BG526"/>
  <c r="BH526"/>
  <c r="BI526"/>
  <c r="BJ526"/>
  <c r="BK526"/>
  <c r="BL526"/>
  <c r="BM526"/>
  <c r="BN526"/>
  <c r="BO526"/>
  <c r="BP526"/>
  <c r="BQ526"/>
  <c r="BR526"/>
  <c r="BS526"/>
  <c r="BT526"/>
  <c r="BU526"/>
  <c r="BV526"/>
  <c r="BW526"/>
  <c r="BX526"/>
  <c r="BY526"/>
  <c r="BZ526"/>
  <c r="CA526"/>
  <c r="CB526"/>
  <c r="CC526"/>
  <c r="CD526"/>
  <c r="CE526"/>
  <c r="CF526"/>
  <c r="CG526"/>
  <c r="CH526"/>
  <c r="CI526"/>
  <c r="CJ526"/>
  <c r="CK526"/>
  <c r="CL526"/>
  <c r="CM526"/>
  <c r="CN526"/>
  <c r="CO526"/>
  <c r="CP526"/>
  <c r="CQ526"/>
  <c r="CR526"/>
  <c r="CS526"/>
  <c r="CT526"/>
  <c r="CU526"/>
  <c r="CV526"/>
  <c r="CW526"/>
  <c r="CX526"/>
  <c r="CY526"/>
  <c r="CZ526"/>
  <c r="DA526"/>
  <c r="DB526"/>
  <c r="DC526"/>
  <c r="DD526"/>
  <c r="DE526"/>
  <c r="DF526"/>
  <c r="DG526"/>
  <c r="DH526"/>
  <c r="DI526"/>
  <c r="DJ526"/>
  <c r="DK526"/>
  <c r="DL526"/>
  <c r="DM526"/>
  <c r="DN526"/>
  <c r="DO526"/>
  <c r="DP526"/>
  <c r="DQ526"/>
  <c r="DR526"/>
  <c r="DS526"/>
  <c r="DT526"/>
  <c r="DU526"/>
  <c r="DV526"/>
  <c r="DW526"/>
  <c r="DX526"/>
  <c r="DY526"/>
  <c r="DZ526"/>
  <c r="EA526"/>
  <c r="EB526"/>
  <c r="EC526"/>
  <c r="ED526"/>
  <c r="EE526"/>
  <c r="EF526"/>
  <c r="EG526"/>
  <c r="EH526"/>
  <c r="EI526"/>
  <c r="EJ526"/>
  <c r="EK526"/>
  <c r="EL526"/>
  <c r="EM526"/>
  <c r="EN526"/>
  <c r="EO526"/>
  <c r="EP526"/>
  <c r="EQ526"/>
  <c r="ER526"/>
  <c r="ES526"/>
  <c r="ET526"/>
  <c r="EU526"/>
  <c r="EV526"/>
  <c r="EW526"/>
  <c r="EX526"/>
  <c r="EY526"/>
  <c r="EZ526"/>
  <c r="FA526"/>
  <c r="FB526"/>
  <c r="FC526"/>
  <c r="FD526"/>
  <c r="FE526"/>
  <c r="FF526"/>
  <c r="FG526"/>
  <c r="FH526"/>
  <c r="FI526"/>
  <c r="FJ526"/>
  <c r="FK526"/>
  <c r="FL526"/>
  <c r="FM526"/>
  <c r="FN526"/>
  <c r="FO526"/>
  <c r="FP526"/>
  <c r="FQ526"/>
  <c r="FR526"/>
  <c r="FS526"/>
  <c r="FT526"/>
  <c r="FU526"/>
  <c r="FV526"/>
  <c r="FW526"/>
  <c r="FX526"/>
  <c r="FY526"/>
  <c r="FZ526"/>
  <c r="GA526"/>
  <c r="GB526"/>
  <c r="GC526"/>
  <c r="GD526"/>
  <c r="GE526"/>
  <c r="GF526"/>
  <c r="GG526"/>
  <c r="GH526"/>
  <c r="GI526"/>
  <c r="GJ526"/>
  <c r="GK526"/>
  <c r="GL526"/>
  <c r="GM526"/>
  <c r="GN526"/>
  <c r="GO526"/>
  <c r="GP526"/>
  <c r="GQ526"/>
  <c r="GR526"/>
  <c r="GS526"/>
  <c r="GT526"/>
  <c r="GU526"/>
  <c r="GV526"/>
  <c r="GW526"/>
  <c r="GX526"/>
  <c r="GY526"/>
  <c r="GZ526"/>
  <c r="HA526"/>
  <c r="HB526"/>
  <c r="HC526"/>
  <c r="HD526"/>
  <c r="HE526"/>
  <c r="HF526"/>
  <c r="HG526"/>
  <c r="HH526"/>
  <c r="HI526"/>
  <c r="HJ526"/>
  <c r="HK526"/>
  <c r="HL526"/>
  <c r="HM526"/>
  <c r="HN526"/>
  <c r="HO526"/>
  <c r="HP526"/>
  <c r="HQ526"/>
  <c r="HR526"/>
  <c r="HS526"/>
  <c r="HT526"/>
  <c r="HU526"/>
  <c r="HV526"/>
  <c r="HW526"/>
  <c r="HX526"/>
  <c r="HY526"/>
  <c r="HZ526"/>
  <c r="IA526"/>
  <c r="IB526"/>
  <c r="IC526"/>
  <c r="ID526"/>
  <c r="IE526"/>
  <c r="IF526"/>
  <c r="IG526"/>
  <c r="IH526"/>
  <c r="II526"/>
  <c r="IJ526"/>
  <c r="IK526"/>
  <c r="IL526"/>
  <c r="IM526"/>
  <c r="IN526"/>
  <c r="IO526"/>
  <c r="IP526"/>
  <c r="IQ526"/>
  <c r="IR526"/>
  <c r="IS526"/>
  <c r="IT526"/>
  <c r="IU526"/>
  <c r="IV526"/>
  <c r="A527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Z527"/>
  <c r="AA527"/>
  <c r="AB527"/>
  <c r="AC527"/>
  <c r="AD527"/>
  <c r="AE527"/>
  <c r="AF527"/>
  <c r="AG527"/>
  <c r="AH527"/>
  <c r="AI527"/>
  <c r="AJ527"/>
  <c r="AK527"/>
  <c r="AL527"/>
  <c r="AM527"/>
  <c r="AN527"/>
  <c r="AO527"/>
  <c r="AP527"/>
  <c r="AQ527"/>
  <c r="AR527"/>
  <c r="AS527"/>
  <c r="AT527"/>
  <c r="AU527"/>
  <c r="AV527"/>
  <c r="AW527"/>
  <c r="AX527"/>
  <c r="AY527"/>
  <c r="AZ527"/>
  <c r="BA527"/>
  <c r="BB527"/>
  <c r="BC527"/>
  <c r="BD527"/>
  <c r="BE527"/>
  <c r="BF527"/>
  <c r="BG527"/>
  <c r="BH527"/>
  <c r="BI527"/>
  <c r="BJ527"/>
  <c r="BK527"/>
  <c r="BL527"/>
  <c r="BM527"/>
  <c r="BN527"/>
  <c r="BO527"/>
  <c r="BP527"/>
  <c r="BQ527"/>
  <c r="BR527"/>
  <c r="BS527"/>
  <c r="BT527"/>
  <c r="BU527"/>
  <c r="BV527"/>
  <c r="BW527"/>
  <c r="BX527"/>
  <c r="BY527"/>
  <c r="BZ527"/>
  <c r="CA527"/>
  <c r="CB527"/>
  <c r="CC527"/>
  <c r="CD527"/>
  <c r="CE527"/>
  <c r="CF527"/>
  <c r="CG527"/>
  <c r="CH527"/>
  <c r="CI527"/>
  <c r="CJ527"/>
  <c r="CK527"/>
  <c r="CL527"/>
  <c r="CM527"/>
  <c r="CN527"/>
  <c r="CO527"/>
  <c r="CP527"/>
  <c r="CQ527"/>
  <c r="CR527"/>
  <c r="CS527"/>
  <c r="CT527"/>
  <c r="CU527"/>
  <c r="CV527"/>
  <c r="CW527"/>
  <c r="CX527"/>
  <c r="CY527"/>
  <c r="CZ527"/>
  <c r="DA527"/>
  <c r="DB527"/>
  <c r="DC527"/>
  <c r="DD527"/>
  <c r="DE527"/>
  <c r="DF527"/>
  <c r="DG527"/>
  <c r="DH527"/>
  <c r="DI527"/>
  <c r="DJ527"/>
  <c r="DK527"/>
  <c r="DL527"/>
  <c r="DM527"/>
  <c r="DN527"/>
  <c r="DO527"/>
  <c r="DP527"/>
  <c r="DQ527"/>
  <c r="DR527"/>
  <c r="DS527"/>
  <c r="DT527"/>
  <c r="DU527"/>
  <c r="DV527"/>
  <c r="DW527"/>
  <c r="DX527"/>
  <c r="DY527"/>
  <c r="DZ527"/>
  <c r="EA527"/>
  <c r="EB527"/>
  <c r="EC527"/>
  <c r="ED527"/>
  <c r="EE527"/>
  <c r="EF527"/>
  <c r="EG527"/>
  <c r="EH527"/>
  <c r="EI527"/>
  <c r="EJ527"/>
  <c r="EK527"/>
  <c r="EL527"/>
  <c r="EM527"/>
  <c r="EN527"/>
  <c r="EO527"/>
  <c r="EP527"/>
  <c r="EQ527"/>
  <c r="ER527"/>
  <c r="ES527"/>
  <c r="ET527"/>
  <c r="EU527"/>
  <c r="EV527"/>
  <c r="EW527"/>
  <c r="EX527"/>
  <c r="EY527"/>
  <c r="EZ527"/>
  <c r="FA527"/>
  <c r="FB527"/>
  <c r="FC527"/>
  <c r="FD527"/>
  <c r="FE527"/>
  <c r="FF527"/>
  <c r="FG527"/>
  <c r="FH527"/>
  <c r="FI527"/>
  <c r="FJ527"/>
  <c r="FK527"/>
  <c r="FL527"/>
  <c r="FM527"/>
  <c r="FN527"/>
  <c r="FO527"/>
  <c r="FP527"/>
  <c r="FQ527"/>
  <c r="FR527"/>
  <c r="FS527"/>
  <c r="FT527"/>
  <c r="FU527"/>
  <c r="FV527"/>
  <c r="FW527"/>
  <c r="FX527"/>
  <c r="FY527"/>
  <c r="FZ527"/>
  <c r="GA527"/>
  <c r="GB527"/>
  <c r="GC527"/>
  <c r="GD527"/>
  <c r="GE527"/>
  <c r="GF527"/>
  <c r="GG527"/>
  <c r="GH527"/>
  <c r="GI527"/>
  <c r="GJ527"/>
  <c r="GK527"/>
  <c r="GL527"/>
  <c r="GM527"/>
  <c r="GN527"/>
  <c r="GO527"/>
  <c r="GP527"/>
  <c r="GQ527"/>
  <c r="GR527"/>
  <c r="GS527"/>
  <c r="GT527"/>
  <c r="GU527"/>
  <c r="GV527"/>
  <c r="GW527"/>
  <c r="GX527"/>
  <c r="GY527"/>
  <c r="GZ527"/>
  <c r="HA527"/>
  <c r="HB527"/>
  <c r="HC527"/>
  <c r="HD527"/>
  <c r="HE527"/>
  <c r="HF527"/>
  <c r="HG527"/>
  <c r="HH527"/>
  <c r="HI527"/>
  <c r="HJ527"/>
  <c r="HK527"/>
  <c r="HL527"/>
  <c r="HM527"/>
  <c r="HN527"/>
  <c r="HO527"/>
  <c r="HP527"/>
  <c r="HQ527"/>
  <c r="HR527"/>
  <c r="HS527"/>
  <c r="HT527"/>
  <c r="HU527"/>
  <c r="HV527"/>
  <c r="HW527"/>
  <c r="HX527"/>
  <c r="HY527"/>
  <c r="HZ527"/>
  <c r="IA527"/>
  <c r="IB527"/>
  <c r="IC527"/>
  <c r="ID527"/>
  <c r="IE527"/>
  <c r="IF527"/>
  <c r="IG527"/>
  <c r="IH527"/>
  <c r="II527"/>
  <c r="IJ527"/>
  <c r="IK527"/>
  <c r="IL527"/>
  <c r="IM527"/>
  <c r="IN527"/>
  <c r="IO527"/>
  <c r="IP527"/>
  <c r="IQ527"/>
  <c r="IR527"/>
  <c r="IS527"/>
  <c r="IT527"/>
  <c r="IU527"/>
  <c r="IV527"/>
  <c r="A528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Z528"/>
  <c r="AA528"/>
  <c r="AB528"/>
  <c r="AC528"/>
  <c r="AD528"/>
  <c r="AE528"/>
  <c r="AF528"/>
  <c r="AG528"/>
  <c r="AH528"/>
  <c r="AI528"/>
  <c r="AJ528"/>
  <c r="AK528"/>
  <c r="AL528"/>
  <c r="AM528"/>
  <c r="AN528"/>
  <c r="AO528"/>
  <c r="AP528"/>
  <c r="AQ528"/>
  <c r="AR528"/>
  <c r="AS528"/>
  <c r="AT528"/>
  <c r="AU528"/>
  <c r="AV528"/>
  <c r="AW528"/>
  <c r="AX528"/>
  <c r="AY528"/>
  <c r="AZ528"/>
  <c r="BA528"/>
  <c r="BB528"/>
  <c r="BC528"/>
  <c r="BD528"/>
  <c r="BE528"/>
  <c r="BF528"/>
  <c r="BG528"/>
  <c r="BH528"/>
  <c r="BI528"/>
  <c r="BJ528"/>
  <c r="BK528"/>
  <c r="BL528"/>
  <c r="BM528"/>
  <c r="BN528"/>
  <c r="BO528"/>
  <c r="BP528"/>
  <c r="BQ528"/>
  <c r="BR528"/>
  <c r="BS528"/>
  <c r="BT528"/>
  <c r="BU528"/>
  <c r="BV528"/>
  <c r="BW528"/>
  <c r="BX528"/>
  <c r="BY528"/>
  <c r="BZ528"/>
  <c r="CA528"/>
  <c r="CB528"/>
  <c r="CC528"/>
  <c r="CD528"/>
  <c r="CE528"/>
  <c r="CF528"/>
  <c r="CG528"/>
  <c r="CH528"/>
  <c r="CI528"/>
  <c r="CJ528"/>
  <c r="CK528"/>
  <c r="CL528"/>
  <c r="CM528"/>
  <c r="CN528"/>
  <c r="CO528"/>
  <c r="CP528"/>
  <c r="CQ528"/>
  <c r="CR528"/>
  <c r="CS528"/>
  <c r="CT528"/>
  <c r="CU528"/>
  <c r="CV528"/>
  <c r="CW528"/>
  <c r="CX528"/>
  <c r="CY528"/>
  <c r="CZ528"/>
  <c r="DA528"/>
  <c r="DB528"/>
  <c r="DC528"/>
  <c r="DD528"/>
  <c r="DE528"/>
  <c r="DF528"/>
  <c r="DG528"/>
  <c r="DH528"/>
  <c r="DI528"/>
  <c r="DJ528"/>
  <c r="DK528"/>
  <c r="DL528"/>
  <c r="DM528"/>
  <c r="DN528"/>
  <c r="DO528"/>
  <c r="DP528"/>
  <c r="DQ528"/>
  <c r="DR528"/>
  <c r="DS528"/>
  <c r="DT528"/>
  <c r="DU528"/>
  <c r="DV528"/>
  <c r="DW528"/>
  <c r="DX528"/>
  <c r="DY528"/>
  <c r="DZ528"/>
  <c r="EA528"/>
  <c r="EB528"/>
  <c r="EC528"/>
  <c r="ED528"/>
  <c r="EE528"/>
  <c r="EF528"/>
  <c r="EG528"/>
  <c r="EH528"/>
  <c r="EI528"/>
  <c r="EJ528"/>
  <c r="EK528"/>
  <c r="EL528"/>
  <c r="EM528"/>
  <c r="EN528"/>
  <c r="EO528"/>
  <c r="EP528"/>
  <c r="EQ528"/>
  <c r="ER528"/>
  <c r="ES528"/>
  <c r="ET528"/>
  <c r="EU528"/>
  <c r="EV528"/>
  <c r="EW528"/>
  <c r="EX528"/>
  <c r="EY528"/>
  <c r="EZ528"/>
  <c r="FA528"/>
  <c r="FB528"/>
  <c r="FC528"/>
  <c r="FD528"/>
  <c r="FE528"/>
  <c r="FF528"/>
  <c r="FG528"/>
  <c r="FH528"/>
  <c r="FI528"/>
  <c r="FJ528"/>
  <c r="FK528"/>
  <c r="FL528"/>
  <c r="FM528"/>
  <c r="FN528"/>
  <c r="FO528"/>
  <c r="FP528"/>
  <c r="FQ528"/>
  <c r="FR528"/>
  <c r="FS528"/>
  <c r="FT528"/>
  <c r="FU528"/>
  <c r="FV528"/>
  <c r="FW528"/>
  <c r="FX528"/>
  <c r="FY528"/>
  <c r="FZ528"/>
  <c r="GA528"/>
  <c r="GB528"/>
  <c r="GC528"/>
  <c r="GD528"/>
  <c r="GE528"/>
  <c r="GF528"/>
  <c r="GG528"/>
  <c r="GH528"/>
  <c r="GI528"/>
  <c r="GJ528"/>
  <c r="GK528"/>
  <c r="GL528"/>
  <c r="GM528"/>
  <c r="GN528"/>
  <c r="GO528"/>
  <c r="GP528"/>
  <c r="GQ528"/>
  <c r="GR528"/>
  <c r="GS528"/>
  <c r="GT528"/>
  <c r="GU528"/>
  <c r="GV528"/>
  <c r="GW528"/>
  <c r="GX528"/>
  <c r="GY528"/>
  <c r="GZ528"/>
  <c r="HA528"/>
  <c r="HB528"/>
  <c r="HC528"/>
  <c r="HD528"/>
  <c r="HE528"/>
  <c r="HF528"/>
  <c r="HG528"/>
  <c r="HH528"/>
  <c r="HI528"/>
  <c r="HJ528"/>
  <c r="HK528"/>
  <c r="HL528"/>
  <c r="HM528"/>
  <c r="HN528"/>
  <c r="HO528"/>
  <c r="HP528"/>
  <c r="HQ528"/>
  <c r="HR528"/>
  <c r="HS528"/>
  <c r="HT528"/>
  <c r="HU528"/>
  <c r="HV528"/>
  <c r="HW528"/>
  <c r="HX528"/>
  <c r="HY528"/>
  <c r="HZ528"/>
  <c r="IA528"/>
  <c r="IB528"/>
  <c r="IC528"/>
  <c r="ID528"/>
  <c r="IE528"/>
  <c r="IF528"/>
  <c r="IG528"/>
  <c r="IH528"/>
  <c r="II528"/>
  <c r="IJ528"/>
  <c r="IK528"/>
  <c r="IL528"/>
  <c r="IM528"/>
  <c r="IN528"/>
  <c r="IO528"/>
  <c r="IP528"/>
  <c r="IQ528"/>
  <c r="IR528"/>
  <c r="IS528"/>
  <c r="IT528"/>
  <c r="IU528"/>
  <c r="IV528"/>
  <c r="A529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Z529"/>
  <c r="AA529"/>
  <c r="AB529"/>
  <c r="AC529"/>
  <c r="AD529"/>
  <c r="AE529"/>
  <c r="AF529"/>
  <c r="AG529"/>
  <c r="AH529"/>
  <c r="AI529"/>
  <c r="AJ529"/>
  <c r="AK529"/>
  <c r="AL529"/>
  <c r="AM529"/>
  <c r="AN529"/>
  <c r="AO529"/>
  <c r="AP529"/>
  <c r="AQ529"/>
  <c r="AR529"/>
  <c r="AS529"/>
  <c r="AT529"/>
  <c r="AU529"/>
  <c r="AV529"/>
  <c r="AW529"/>
  <c r="AX529"/>
  <c r="AY529"/>
  <c r="AZ529"/>
  <c r="BA529"/>
  <c r="BB529"/>
  <c r="BC529"/>
  <c r="BD529"/>
  <c r="BE529"/>
  <c r="BF529"/>
  <c r="BG529"/>
  <c r="BH529"/>
  <c r="BI529"/>
  <c r="BJ529"/>
  <c r="BK529"/>
  <c r="BL529"/>
  <c r="BM529"/>
  <c r="BN529"/>
  <c r="BO529"/>
  <c r="BP529"/>
  <c r="BQ529"/>
  <c r="BR529"/>
  <c r="BS529"/>
  <c r="BT529"/>
  <c r="BU529"/>
  <c r="BV529"/>
  <c r="BW529"/>
  <c r="BX529"/>
  <c r="BY529"/>
  <c r="BZ529"/>
  <c r="CA529"/>
  <c r="CB529"/>
  <c r="CC529"/>
  <c r="CD529"/>
  <c r="CE529"/>
  <c r="CF529"/>
  <c r="CG529"/>
  <c r="CH529"/>
  <c r="CI529"/>
  <c r="CJ529"/>
  <c r="CK529"/>
  <c r="CL529"/>
  <c r="CM529"/>
  <c r="CN529"/>
  <c r="CO529"/>
  <c r="CP529"/>
  <c r="CQ529"/>
  <c r="CR529"/>
  <c r="CS529"/>
  <c r="CT529"/>
  <c r="CU529"/>
  <c r="CV529"/>
  <c r="CW529"/>
  <c r="CX529"/>
  <c r="CY529"/>
  <c r="CZ529"/>
  <c r="DA529"/>
  <c r="DB529"/>
  <c r="DC529"/>
  <c r="DD529"/>
  <c r="DE529"/>
  <c r="DF529"/>
  <c r="DG529"/>
  <c r="DH529"/>
  <c r="DI529"/>
  <c r="DJ529"/>
  <c r="DK529"/>
  <c r="DL529"/>
  <c r="DM529"/>
  <c r="DN529"/>
  <c r="DO529"/>
  <c r="DP529"/>
  <c r="DQ529"/>
  <c r="DR529"/>
  <c r="DS529"/>
  <c r="DT529"/>
  <c r="DU529"/>
  <c r="DV529"/>
  <c r="DW529"/>
  <c r="DX529"/>
  <c r="DY529"/>
  <c r="DZ529"/>
  <c r="EA529"/>
  <c r="EB529"/>
  <c r="EC529"/>
  <c r="ED529"/>
  <c r="EE529"/>
  <c r="EF529"/>
  <c r="EG529"/>
  <c r="EH529"/>
  <c r="EI529"/>
  <c r="EJ529"/>
  <c r="EK529"/>
  <c r="EL529"/>
  <c r="EM529"/>
  <c r="EN529"/>
  <c r="EO529"/>
  <c r="EP529"/>
  <c r="EQ529"/>
  <c r="ER529"/>
  <c r="ES529"/>
  <c r="ET529"/>
  <c r="EU529"/>
  <c r="EV529"/>
  <c r="EW529"/>
  <c r="EX529"/>
  <c r="EY529"/>
  <c r="EZ529"/>
  <c r="FA529"/>
  <c r="FB529"/>
  <c r="FC529"/>
  <c r="FD529"/>
  <c r="FE529"/>
  <c r="FF529"/>
  <c r="FG529"/>
  <c r="FH529"/>
  <c r="FI529"/>
  <c r="FJ529"/>
  <c r="FK529"/>
  <c r="FL529"/>
  <c r="FM529"/>
  <c r="FN529"/>
  <c r="FO529"/>
  <c r="FP529"/>
  <c r="FQ529"/>
  <c r="FR529"/>
  <c r="FS529"/>
  <c r="FT529"/>
  <c r="FU529"/>
  <c r="FV529"/>
  <c r="FW529"/>
  <c r="FX529"/>
  <c r="FY529"/>
  <c r="FZ529"/>
  <c r="GA529"/>
  <c r="GB529"/>
  <c r="GC529"/>
  <c r="GD529"/>
  <c r="GE529"/>
  <c r="GF529"/>
  <c r="GG529"/>
  <c r="GH529"/>
  <c r="GI529"/>
  <c r="GJ529"/>
  <c r="GK529"/>
  <c r="GL529"/>
  <c r="GM529"/>
  <c r="GN529"/>
  <c r="GO529"/>
  <c r="GP529"/>
  <c r="GQ529"/>
  <c r="GR529"/>
  <c r="GS529"/>
  <c r="GT529"/>
  <c r="GU529"/>
  <c r="GV529"/>
  <c r="GW529"/>
  <c r="GX529"/>
  <c r="GY529"/>
  <c r="GZ529"/>
  <c r="HA529"/>
  <c r="HB529"/>
  <c r="HC529"/>
  <c r="HD529"/>
  <c r="HE529"/>
  <c r="HF529"/>
  <c r="HG529"/>
  <c r="HH529"/>
  <c r="HI529"/>
  <c r="HJ529"/>
  <c r="HK529"/>
  <c r="HL529"/>
  <c r="HM529"/>
  <c r="HN529"/>
  <c r="HO529"/>
  <c r="HP529"/>
  <c r="HQ529"/>
  <c r="HR529"/>
  <c r="HS529"/>
  <c r="HT529"/>
  <c r="HU529"/>
  <c r="HV529"/>
  <c r="HW529"/>
  <c r="HX529"/>
  <c r="HY529"/>
  <c r="HZ529"/>
  <c r="IA529"/>
  <c r="IB529"/>
  <c r="IC529"/>
  <c r="ID529"/>
  <c r="IE529"/>
  <c r="IF529"/>
  <c r="IG529"/>
  <c r="IH529"/>
  <c r="II529"/>
  <c r="IJ529"/>
  <c r="IK529"/>
  <c r="IL529"/>
  <c r="IM529"/>
  <c r="IN529"/>
  <c r="IO529"/>
  <c r="IP529"/>
  <c r="IQ529"/>
  <c r="IR529"/>
  <c r="IS529"/>
  <c r="IT529"/>
  <c r="IU529"/>
  <c r="IV529"/>
  <c r="A530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Z530"/>
  <c r="AA530"/>
  <c r="AB530"/>
  <c r="AC530"/>
  <c r="AD530"/>
  <c r="AE530"/>
  <c r="AF530"/>
  <c r="AG530"/>
  <c r="AH530"/>
  <c r="AI530"/>
  <c r="AJ530"/>
  <c r="AK530"/>
  <c r="AL530"/>
  <c r="AM530"/>
  <c r="AN530"/>
  <c r="AO530"/>
  <c r="AP530"/>
  <c r="AQ530"/>
  <c r="AR530"/>
  <c r="AS530"/>
  <c r="AT530"/>
  <c r="AU530"/>
  <c r="AV530"/>
  <c r="AW530"/>
  <c r="AX530"/>
  <c r="AY530"/>
  <c r="AZ530"/>
  <c r="BA530"/>
  <c r="BB530"/>
  <c r="BC530"/>
  <c r="BD530"/>
  <c r="BE530"/>
  <c r="BF530"/>
  <c r="BG530"/>
  <c r="BH530"/>
  <c r="BI530"/>
  <c r="BJ530"/>
  <c r="BK530"/>
  <c r="BL530"/>
  <c r="BM530"/>
  <c r="BN530"/>
  <c r="BO530"/>
  <c r="BP530"/>
  <c r="BQ530"/>
  <c r="BR530"/>
  <c r="BS530"/>
  <c r="BT530"/>
  <c r="BU530"/>
  <c r="BV530"/>
  <c r="BW530"/>
  <c r="BX530"/>
  <c r="BY530"/>
  <c r="BZ530"/>
  <c r="CA530"/>
  <c r="CB530"/>
  <c r="CC530"/>
  <c r="CD530"/>
  <c r="CE530"/>
  <c r="CF530"/>
  <c r="CG530"/>
  <c r="CH530"/>
  <c r="CI530"/>
  <c r="CJ530"/>
  <c r="CK530"/>
  <c r="CL530"/>
  <c r="CM530"/>
  <c r="CN530"/>
  <c r="CO530"/>
  <c r="CP530"/>
  <c r="CQ530"/>
  <c r="CR530"/>
  <c r="CS530"/>
  <c r="CT530"/>
  <c r="CU530"/>
  <c r="CV530"/>
  <c r="CW530"/>
  <c r="CX530"/>
  <c r="CY530"/>
  <c r="CZ530"/>
  <c r="DA530"/>
  <c r="DB530"/>
  <c r="DC530"/>
  <c r="DD530"/>
  <c r="DE530"/>
  <c r="DF530"/>
  <c r="DG530"/>
  <c r="DH530"/>
  <c r="DI530"/>
  <c r="DJ530"/>
  <c r="DK530"/>
  <c r="DL530"/>
  <c r="DM530"/>
  <c r="DN530"/>
  <c r="DO530"/>
  <c r="DP530"/>
  <c r="DQ530"/>
  <c r="DR530"/>
  <c r="DS530"/>
  <c r="DT530"/>
  <c r="DU530"/>
  <c r="DV530"/>
  <c r="DW530"/>
  <c r="DX530"/>
  <c r="DY530"/>
  <c r="DZ530"/>
  <c r="EA530"/>
  <c r="EB530"/>
  <c r="EC530"/>
  <c r="ED530"/>
  <c r="EE530"/>
  <c r="EF530"/>
  <c r="EG530"/>
  <c r="EH530"/>
  <c r="EI530"/>
  <c r="EJ530"/>
  <c r="EK530"/>
  <c r="EL530"/>
  <c r="EM530"/>
  <c r="EN530"/>
  <c r="EO530"/>
  <c r="EP530"/>
  <c r="EQ530"/>
  <c r="ER530"/>
  <c r="ES530"/>
  <c r="ET530"/>
  <c r="EU530"/>
  <c r="EV530"/>
  <c r="EW530"/>
  <c r="EX530"/>
  <c r="EY530"/>
  <c r="EZ530"/>
  <c r="FA530"/>
  <c r="FB530"/>
  <c r="FC530"/>
  <c r="FD530"/>
  <c r="FE530"/>
  <c r="FF530"/>
  <c r="FG530"/>
  <c r="FH530"/>
  <c r="FI530"/>
  <c r="FJ530"/>
  <c r="FK530"/>
  <c r="FL530"/>
  <c r="FM530"/>
  <c r="FN530"/>
  <c r="FO530"/>
  <c r="FP530"/>
  <c r="FQ530"/>
  <c r="FR530"/>
  <c r="FS530"/>
  <c r="FT530"/>
  <c r="FU530"/>
  <c r="FV530"/>
  <c r="FW530"/>
  <c r="FX530"/>
  <c r="FY530"/>
  <c r="FZ530"/>
  <c r="GA530"/>
  <c r="GB530"/>
  <c r="GC530"/>
  <c r="GD530"/>
  <c r="GE530"/>
  <c r="GF530"/>
  <c r="GG530"/>
  <c r="GH530"/>
  <c r="GI530"/>
  <c r="GJ530"/>
  <c r="GK530"/>
  <c r="GL530"/>
  <c r="GM530"/>
  <c r="GN530"/>
  <c r="GO530"/>
  <c r="GP530"/>
  <c r="GQ530"/>
  <c r="GR530"/>
  <c r="GS530"/>
  <c r="GT530"/>
  <c r="GU530"/>
  <c r="GV530"/>
  <c r="GW530"/>
  <c r="GX530"/>
  <c r="GY530"/>
  <c r="GZ530"/>
  <c r="HA530"/>
  <c r="HB530"/>
  <c r="HC530"/>
  <c r="HD530"/>
  <c r="HE530"/>
  <c r="HF530"/>
  <c r="HG530"/>
  <c r="HH530"/>
  <c r="HI530"/>
  <c r="HJ530"/>
  <c r="HK530"/>
  <c r="HL530"/>
  <c r="HM530"/>
  <c r="HN530"/>
  <c r="HO530"/>
  <c r="HP530"/>
  <c r="HQ530"/>
  <c r="HR530"/>
  <c r="HS530"/>
  <c r="HT530"/>
  <c r="HU530"/>
  <c r="HV530"/>
  <c r="HW530"/>
  <c r="HX530"/>
  <c r="HY530"/>
  <c r="HZ530"/>
  <c r="IA530"/>
  <c r="IB530"/>
  <c r="IC530"/>
  <c r="ID530"/>
  <c r="IE530"/>
  <c r="IF530"/>
  <c r="IG530"/>
  <c r="IH530"/>
  <c r="II530"/>
  <c r="IJ530"/>
  <c r="IK530"/>
  <c r="IL530"/>
  <c r="IM530"/>
  <c r="IN530"/>
  <c r="IO530"/>
  <c r="IP530"/>
  <c r="IQ530"/>
  <c r="IR530"/>
  <c r="IS530"/>
  <c r="IT530"/>
  <c r="IU530"/>
  <c r="IV530"/>
  <c r="A531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Z531"/>
  <c r="AA531"/>
  <c r="AB531"/>
  <c r="AC531"/>
  <c r="AD531"/>
  <c r="AE531"/>
  <c r="AF531"/>
  <c r="AG531"/>
  <c r="AH531"/>
  <c r="AI531"/>
  <c r="AJ531"/>
  <c r="AK531"/>
  <c r="AL531"/>
  <c r="AM531"/>
  <c r="AN531"/>
  <c r="AO531"/>
  <c r="AP531"/>
  <c r="AQ531"/>
  <c r="AR531"/>
  <c r="AS531"/>
  <c r="AT531"/>
  <c r="AU531"/>
  <c r="AV531"/>
  <c r="AW531"/>
  <c r="AX531"/>
  <c r="AY531"/>
  <c r="AZ531"/>
  <c r="BA531"/>
  <c r="BB531"/>
  <c r="BC531"/>
  <c r="BD531"/>
  <c r="BE531"/>
  <c r="BF531"/>
  <c r="BG531"/>
  <c r="BH531"/>
  <c r="BI531"/>
  <c r="BJ531"/>
  <c r="BK531"/>
  <c r="BL531"/>
  <c r="BM531"/>
  <c r="BN531"/>
  <c r="BO531"/>
  <c r="BP531"/>
  <c r="BQ531"/>
  <c r="BR531"/>
  <c r="BS531"/>
  <c r="BT531"/>
  <c r="BU531"/>
  <c r="BV531"/>
  <c r="BW531"/>
  <c r="BX531"/>
  <c r="BY531"/>
  <c r="BZ531"/>
  <c r="CA531"/>
  <c r="CB531"/>
  <c r="CC531"/>
  <c r="CD531"/>
  <c r="CE531"/>
  <c r="CF531"/>
  <c r="CG531"/>
  <c r="CH531"/>
  <c r="CI531"/>
  <c r="CJ531"/>
  <c r="CK531"/>
  <c r="CL531"/>
  <c r="CM531"/>
  <c r="CN531"/>
  <c r="CO531"/>
  <c r="CP531"/>
  <c r="CQ531"/>
  <c r="CR531"/>
  <c r="CS531"/>
  <c r="CT531"/>
  <c r="CU531"/>
  <c r="CV531"/>
  <c r="CW531"/>
  <c r="CX531"/>
  <c r="CY531"/>
  <c r="CZ531"/>
  <c r="DA531"/>
  <c r="DB531"/>
  <c r="DC531"/>
  <c r="DD531"/>
  <c r="DE531"/>
  <c r="DF531"/>
  <c r="DG531"/>
  <c r="DH531"/>
  <c r="DI531"/>
  <c r="DJ531"/>
  <c r="DK531"/>
  <c r="DL531"/>
  <c r="DM531"/>
  <c r="DN531"/>
  <c r="DO531"/>
  <c r="DP531"/>
  <c r="DQ531"/>
  <c r="DR531"/>
  <c r="DS531"/>
  <c r="DT531"/>
  <c r="DU531"/>
  <c r="DV531"/>
  <c r="DW531"/>
  <c r="DX531"/>
  <c r="DY531"/>
  <c r="DZ531"/>
  <c r="EA531"/>
  <c r="EB531"/>
  <c r="EC531"/>
  <c r="ED531"/>
  <c r="EE531"/>
  <c r="EF531"/>
  <c r="EG531"/>
  <c r="EH531"/>
  <c r="EI531"/>
  <c r="EJ531"/>
  <c r="EK531"/>
  <c r="EL531"/>
  <c r="EM531"/>
  <c r="EN531"/>
  <c r="EO531"/>
  <c r="EP531"/>
  <c r="EQ531"/>
  <c r="ER531"/>
  <c r="ES531"/>
  <c r="ET531"/>
  <c r="EU531"/>
  <c r="EV531"/>
  <c r="EW531"/>
  <c r="EX531"/>
  <c r="EY531"/>
  <c r="EZ531"/>
  <c r="FA531"/>
  <c r="FB531"/>
  <c r="FC531"/>
  <c r="FD531"/>
  <c r="FE531"/>
  <c r="FF531"/>
  <c r="FG531"/>
  <c r="FH531"/>
  <c r="FI531"/>
  <c r="FJ531"/>
  <c r="FK531"/>
  <c r="FL531"/>
  <c r="FM531"/>
  <c r="FN531"/>
  <c r="FO531"/>
  <c r="FP531"/>
  <c r="FQ531"/>
  <c r="FR531"/>
  <c r="FS531"/>
  <c r="FT531"/>
  <c r="FU531"/>
  <c r="FV531"/>
  <c r="FW531"/>
  <c r="FX531"/>
  <c r="FY531"/>
  <c r="FZ531"/>
  <c r="GA531"/>
  <c r="GB531"/>
  <c r="GC531"/>
  <c r="GD531"/>
  <c r="GE531"/>
  <c r="GF531"/>
  <c r="GG531"/>
  <c r="GH531"/>
  <c r="GI531"/>
  <c r="GJ531"/>
  <c r="GK531"/>
  <c r="GL531"/>
  <c r="GM531"/>
  <c r="GN531"/>
  <c r="GO531"/>
  <c r="GP531"/>
  <c r="GQ531"/>
  <c r="GR531"/>
  <c r="GS531"/>
  <c r="GT531"/>
  <c r="GU531"/>
  <c r="GV531"/>
  <c r="GW531"/>
  <c r="GX531"/>
  <c r="GY531"/>
  <c r="GZ531"/>
  <c r="HA531"/>
  <c r="HB531"/>
  <c r="HC531"/>
  <c r="HD531"/>
  <c r="HE531"/>
  <c r="HF531"/>
  <c r="HG531"/>
  <c r="HH531"/>
  <c r="HI531"/>
  <c r="HJ531"/>
  <c r="HK531"/>
  <c r="HL531"/>
  <c r="HM531"/>
  <c r="HN531"/>
  <c r="HO531"/>
  <c r="HP531"/>
  <c r="HQ531"/>
  <c r="HR531"/>
  <c r="HS531"/>
  <c r="HT531"/>
  <c r="HU531"/>
  <c r="HV531"/>
  <c r="HW531"/>
  <c r="HX531"/>
  <c r="HY531"/>
  <c r="HZ531"/>
  <c r="IA531"/>
  <c r="IB531"/>
  <c r="IC531"/>
  <c r="ID531"/>
  <c r="IE531"/>
  <c r="IF531"/>
  <c r="IG531"/>
  <c r="IH531"/>
  <c r="II531"/>
  <c r="IJ531"/>
  <c r="IK531"/>
  <c r="IL531"/>
  <c r="IM531"/>
  <c r="IN531"/>
  <c r="IO531"/>
  <c r="IP531"/>
  <c r="IQ531"/>
  <c r="IR531"/>
  <c r="IS531"/>
  <c r="IT531"/>
  <c r="IU531"/>
  <c r="IV531"/>
  <c r="A532"/>
  <c r="B532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Z532"/>
  <c r="AA532"/>
  <c r="AB532"/>
  <c r="AC532"/>
  <c r="AD532"/>
  <c r="AE532"/>
  <c r="AF532"/>
  <c r="AG532"/>
  <c r="AH532"/>
  <c r="AI532"/>
  <c r="AJ532"/>
  <c r="AK532"/>
  <c r="AL532"/>
  <c r="AM532"/>
  <c r="AN532"/>
  <c r="AO532"/>
  <c r="AP532"/>
  <c r="AQ532"/>
  <c r="AR532"/>
  <c r="AS532"/>
  <c r="AT532"/>
  <c r="AU532"/>
  <c r="AV532"/>
  <c r="AW532"/>
  <c r="AX532"/>
  <c r="AY532"/>
  <c r="AZ532"/>
  <c r="BA532"/>
  <c r="BB532"/>
  <c r="BC532"/>
  <c r="BD532"/>
  <c r="BE532"/>
  <c r="BF532"/>
  <c r="BG532"/>
  <c r="BH532"/>
  <c r="BI532"/>
  <c r="BJ532"/>
  <c r="BK532"/>
  <c r="BL532"/>
  <c r="BM532"/>
  <c r="BN532"/>
  <c r="BO532"/>
  <c r="BP532"/>
  <c r="BQ532"/>
  <c r="BR532"/>
  <c r="BS532"/>
  <c r="BT532"/>
  <c r="BU532"/>
  <c r="BV532"/>
  <c r="BW532"/>
  <c r="BX532"/>
  <c r="BY532"/>
  <c r="BZ532"/>
  <c r="CA532"/>
  <c r="CB532"/>
  <c r="CC532"/>
  <c r="CD532"/>
  <c r="CE532"/>
  <c r="CF532"/>
  <c r="CG532"/>
  <c r="CH532"/>
  <c r="CI532"/>
  <c r="CJ532"/>
  <c r="CK532"/>
  <c r="CL532"/>
  <c r="CM532"/>
  <c r="CN532"/>
  <c r="CO532"/>
  <c r="CP532"/>
  <c r="CQ532"/>
  <c r="CR532"/>
  <c r="CS532"/>
  <c r="CT532"/>
  <c r="CU532"/>
  <c r="CV532"/>
  <c r="CW532"/>
  <c r="CX532"/>
  <c r="CY532"/>
  <c r="CZ532"/>
  <c r="DA532"/>
  <c r="DB532"/>
  <c r="DC532"/>
  <c r="DD532"/>
  <c r="DE532"/>
  <c r="DF532"/>
  <c r="DG532"/>
  <c r="DH532"/>
  <c r="DI532"/>
  <c r="DJ532"/>
  <c r="DK532"/>
  <c r="DL532"/>
  <c r="DM532"/>
  <c r="DN532"/>
  <c r="DO532"/>
  <c r="DP532"/>
  <c r="DQ532"/>
  <c r="DR532"/>
  <c r="DS532"/>
  <c r="DT532"/>
  <c r="DU532"/>
  <c r="DV532"/>
  <c r="DW532"/>
  <c r="DX532"/>
  <c r="DY532"/>
  <c r="DZ532"/>
  <c r="EA532"/>
  <c r="EB532"/>
  <c r="EC532"/>
  <c r="ED532"/>
  <c r="EE532"/>
  <c r="EF532"/>
  <c r="EG532"/>
  <c r="EH532"/>
  <c r="EI532"/>
  <c r="EJ532"/>
  <c r="EK532"/>
  <c r="EL532"/>
  <c r="EM532"/>
  <c r="EN532"/>
  <c r="EO532"/>
  <c r="EP532"/>
  <c r="EQ532"/>
  <c r="ER532"/>
  <c r="ES532"/>
  <c r="ET532"/>
  <c r="EU532"/>
  <c r="EV532"/>
  <c r="EW532"/>
  <c r="EX532"/>
  <c r="EY532"/>
  <c r="EZ532"/>
  <c r="FA532"/>
  <c r="FB532"/>
  <c r="FC532"/>
  <c r="FD532"/>
  <c r="FE532"/>
  <c r="FF532"/>
  <c r="FG532"/>
  <c r="FH532"/>
  <c r="FI532"/>
  <c r="FJ532"/>
  <c r="FK532"/>
  <c r="FL532"/>
  <c r="FM532"/>
  <c r="FN532"/>
  <c r="FO532"/>
  <c r="FP532"/>
  <c r="FQ532"/>
  <c r="FR532"/>
  <c r="FS532"/>
  <c r="FT532"/>
  <c r="FU532"/>
  <c r="FV532"/>
  <c r="FW532"/>
  <c r="FX532"/>
  <c r="FY532"/>
  <c r="FZ532"/>
  <c r="GA532"/>
  <c r="GB532"/>
  <c r="GC532"/>
  <c r="GD532"/>
  <c r="GE532"/>
  <c r="GF532"/>
  <c r="GG532"/>
  <c r="GH532"/>
  <c r="GI532"/>
  <c r="GJ532"/>
  <c r="GK532"/>
  <c r="GL532"/>
  <c r="GM532"/>
  <c r="GN532"/>
  <c r="GO532"/>
  <c r="GP532"/>
  <c r="GQ532"/>
  <c r="GR532"/>
  <c r="GS532"/>
  <c r="GT532"/>
  <c r="GU532"/>
  <c r="GV532"/>
  <c r="GW532"/>
  <c r="GX532"/>
  <c r="GY532"/>
  <c r="GZ532"/>
  <c r="HA532"/>
  <c r="HB532"/>
  <c r="HC532"/>
  <c r="HD532"/>
  <c r="HE532"/>
  <c r="HF532"/>
  <c r="HG532"/>
  <c r="HH532"/>
  <c r="HI532"/>
  <c r="HJ532"/>
  <c r="HK532"/>
  <c r="HL532"/>
  <c r="HM532"/>
  <c r="HN532"/>
  <c r="HO532"/>
  <c r="HP532"/>
  <c r="HQ532"/>
  <c r="HR532"/>
  <c r="HS532"/>
  <c r="HT532"/>
  <c r="HU532"/>
  <c r="HV532"/>
  <c r="HW532"/>
  <c r="HX532"/>
  <c r="HY532"/>
  <c r="HZ532"/>
  <c r="IA532"/>
  <c r="IB532"/>
  <c r="IC532"/>
  <c r="ID532"/>
  <c r="IE532"/>
  <c r="IF532"/>
  <c r="IG532"/>
  <c r="IH532"/>
  <c r="II532"/>
  <c r="IJ532"/>
  <c r="IK532"/>
  <c r="IL532"/>
  <c r="IM532"/>
  <c r="IN532"/>
  <c r="IO532"/>
  <c r="IP532"/>
  <c r="IQ532"/>
  <c r="IR532"/>
  <c r="IS532"/>
  <c r="IT532"/>
  <c r="IU532"/>
  <c r="IV532"/>
  <c r="A533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Z533"/>
  <c r="AA533"/>
  <c r="AB533"/>
  <c r="AC533"/>
  <c r="AD533"/>
  <c r="AE533"/>
  <c r="AF533"/>
  <c r="AG533"/>
  <c r="AH533"/>
  <c r="AI533"/>
  <c r="AJ533"/>
  <c r="AK533"/>
  <c r="AL533"/>
  <c r="AM533"/>
  <c r="AN533"/>
  <c r="AO533"/>
  <c r="AP533"/>
  <c r="AQ533"/>
  <c r="AR533"/>
  <c r="AS533"/>
  <c r="AT533"/>
  <c r="AU533"/>
  <c r="AV533"/>
  <c r="AW533"/>
  <c r="AX533"/>
  <c r="AY533"/>
  <c r="AZ533"/>
  <c r="BA533"/>
  <c r="BB533"/>
  <c r="BC533"/>
  <c r="BD533"/>
  <c r="BE533"/>
  <c r="BF533"/>
  <c r="BG533"/>
  <c r="BH533"/>
  <c r="BI533"/>
  <c r="BJ533"/>
  <c r="BK533"/>
  <c r="BL533"/>
  <c r="BM533"/>
  <c r="BN533"/>
  <c r="BO533"/>
  <c r="BP533"/>
  <c r="BQ533"/>
  <c r="BR533"/>
  <c r="BS533"/>
  <c r="BT533"/>
  <c r="BU533"/>
  <c r="BV533"/>
  <c r="BW533"/>
  <c r="BX533"/>
  <c r="BY533"/>
  <c r="BZ533"/>
  <c r="CA533"/>
  <c r="CB533"/>
  <c r="CC533"/>
  <c r="CD533"/>
  <c r="CE533"/>
  <c r="CF533"/>
  <c r="CG533"/>
  <c r="CH533"/>
  <c r="CI533"/>
  <c r="CJ533"/>
  <c r="CK533"/>
  <c r="CL533"/>
  <c r="CM533"/>
  <c r="CN533"/>
  <c r="CO533"/>
  <c r="CP533"/>
  <c r="CQ533"/>
  <c r="CR533"/>
  <c r="CS533"/>
  <c r="CT533"/>
  <c r="CU533"/>
  <c r="CV533"/>
  <c r="CW533"/>
  <c r="CX533"/>
  <c r="CY533"/>
  <c r="CZ533"/>
  <c r="DA533"/>
  <c r="DB533"/>
  <c r="DC533"/>
  <c r="DD533"/>
  <c r="DE533"/>
  <c r="DF533"/>
  <c r="DG533"/>
  <c r="DH533"/>
  <c r="DI533"/>
  <c r="DJ533"/>
  <c r="DK533"/>
  <c r="DL533"/>
  <c r="DM533"/>
  <c r="DN533"/>
  <c r="DO533"/>
  <c r="DP533"/>
  <c r="DQ533"/>
  <c r="DR533"/>
  <c r="DS533"/>
  <c r="DT533"/>
  <c r="DU533"/>
  <c r="DV533"/>
  <c r="DW533"/>
  <c r="DX533"/>
  <c r="DY533"/>
  <c r="DZ533"/>
  <c r="EA533"/>
  <c r="EB533"/>
  <c r="EC533"/>
  <c r="ED533"/>
  <c r="EE533"/>
  <c r="EF533"/>
  <c r="EG533"/>
  <c r="EH533"/>
  <c r="EI533"/>
  <c r="EJ533"/>
  <c r="EK533"/>
  <c r="EL533"/>
  <c r="EM533"/>
  <c r="EN533"/>
  <c r="EO533"/>
  <c r="EP533"/>
  <c r="EQ533"/>
  <c r="ER533"/>
  <c r="ES533"/>
  <c r="ET533"/>
  <c r="EU533"/>
  <c r="EV533"/>
  <c r="EW533"/>
  <c r="EX533"/>
  <c r="EY533"/>
  <c r="EZ533"/>
  <c r="FA533"/>
  <c r="FB533"/>
  <c r="FC533"/>
  <c r="FD533"/>
  <c r="FE533"/>
  <c r="FF533"/>
  <c r="FG533"/>
  <c r="FH533"/>
  <c r="FI533"/>
  <c r="FJ533"/>
  <c r="FK533"/>
  <c r="FL533"/>
  <c r="FM533"/>
  <c r="FN533"/>
  <c r="FO533"/>
  <c r="FP533"/>
  <c r="FQ533"/>
  <c r="FR533"/>
  <c r="FS533"/>
  <c r="FT533"/>
  <c r="FU533"/>
  <c r="FV533"/>
  <c r="FW533"/>
  <c r="FX533"/>
  <c r="FY533"/>
  <c r="FZ533"/>
  <c r="GA533"/>
  <c r="GB533"/>
  <c r="GC533"/>
  <c r="GD533"/>
  <c r="GE533"/>
  <c r="GF533"/>
  <c r="GG533"/>
  <c r="GH533"/>
  <c r="GI533"/>
  <c r="GJ533"/>
  <c r="GK533"/>
  <c r="GL533"/>
  <c r="GM533"/>
  <c r="GN533"/>
  <c r="GO533"/>
  <c r="GP533"/>
  <c r="GQ533"/>
  <c r="GR533"/>
  <c r="GS533"/>
  <c r="GT533"/>
  <c r="GU533"/>
  <c r="GV533"/>
  <c r="GW533"/>
  <c r="GX533"/>
  <c r="GY533"/>
  <c r="GZ533"/>
  <c r="HA533"/>
  <c r="HB533"/>
  <c r="HC533"/>
  <c r="HD533"/>
  <c r="HE533"/>
  <c r="HF533"/>
  <c r="HG533"/>
  <c r="HH533"/>
  <c r="HI533"/>
  <c r="HJ533"/>
  <c r="HK533"/>
  <c r="HL533"/>
  <c r="HM533"/>
  <c r="HN533"/>
  <c r="HO533"/>
  <c r="HP533"/>
  <c r="HQ533"/>
  <c r="HR533"/>
  <c r="HS533"/>
  <c r="HT533"/>
  <c r="HU533"/>
  <c r="HV533"/>
  <c r="HW533"/>
  <c r="HX533"/>
  <c r="HY533"/>
  <c r="HZ533"/>
  <c r="IA533"/>
  <c r="IB533"/>
  <c r="IC533"/>
  <c r="ID533"/>
  <c r="IE533"/>
  <c r="IF533"/>
  <c r="IG533"/>
  <c r="IH533"/>
  <c r="II533"/>
  <c r="IJ533"/>
  <c r="IK533"/>
  <c r="IL533"/>
  <c r="IM533"/>
  <c r="IN533"/>
  <c r="IO533"/>
  <c r="IP533"/>
  <c r="IQ533"/>
  <c r="IR533"/>
  <c r="IS533"/>
  <c r="IT533"/>
  <c r="IU533"/>
  <c r="IV533"/>
  <c r="A534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Z534"/>
  <c r="AA534"/>
  <c r="AB534"/>
  <c r="AC534"/>
  <c r="AD534"/>
  <c r="AE534"/>
  <c r="AF534"/>
  <c r="AG534"/>
  <c r="AH534"/>
  <c r="AI534"/>
  <c r="AJ534"/>
  <c r="AK534"/>
  <c r="AL534"/>
  <c r="AM534"/>
  <c r="AN534"/>
  <c r="AO534"/>
  <c r="AP534"/>
  <c r="AQ534"/>
  <c r="AR534"/>
  <c r="AS534"/>
  <c r="AT534"/>
  <c r="AU534"/>
  <c r="AV534"/>
  <c r="AW534"/>
  <c r="AX534"/>
  <c r="AY534"/>
  <c r="AZ534"/>
  <c r="BA534"/>
  <c r="BB534"/>
  <c r="BC534"/>
  <c r="BD534"/>
  <c r="BE534"/>
  <c r="BF534"/>
  <c r="BG534"/>
  <c r="BH534"/>
  <c r="BI534"/>
  <c r="BJ534"/>
  <c r="BK534"/>
  <c r="BL534"/>
  <c r="BM534"/>
  <c r="BN534"/>
  <c r="BO534"/>
  <c r="BP534"/>
  <c r="BQ534"/>
  <c r="BR534"/>
  <c r="BS534"/>
  <c r="BT534"/>
  <c r="BU534"/>
  <c r="BV534"/>
  <c r="BW534"/>
  <c r="BX534"/>
  <c r="BY534"/>
  <c r="BZ534"/>
  <c r="CA534"/>
  <c r="CB534"/>
  <c r="CC534"/>
  <c r="CD534"/>
  <c r="CE534"/>
  <c r="CF534"/>
  <c r="CG534"/>
  <c r="CH534"/>
  <c r="CI534"/>
  <c r="CJ534"/>
  <c r="CK534"/>
  <c r="CL534"/>
  <c r="CM534"/>
  <c r="CN534"/>
  <c r="CO534"/>
  <c r="CP534"/>
  <c r="CQ534"/>
  <c r="CR534"/>
  <c r="CS534"/>
  <c r="CT534"/>
  <c r="CU534"/>
  <c r="CV534"/>
  <c r="CW534"/>
  <c r="CX534"/>
  <c r="CY534"/>
  <c r="CZ534"/>
  <c r="DA534"/>
  <c r="DB534"/>
  <c r="DC534"/>
  <c r="DD534"/>
  <c r="DE534"/>
  <c r="DF534"/>
  <c r="DG534"/>
  <c r="DH534"/>
  <c r="DI534"/>
  <c r="DJ534"/>
  <c r="DK534"/>
  <c r="DL534"/>
  <c r="DM534"/>
  <c r="DN534"/>
  <c r="DO534"/>
  <c r="DP534"/>
  <c r="DQ534"/>
  <c r="DR534"/>
  <c r="DS534"/>
  <c r="DT534"/>
  <c r="DU534"/>
  <c r="DV534"/>
  <c r="DW534"/>
  <c r="DX534"/>
  <c r="DY534"/>
  <c r="DZ534"/>
  <c r="EA534"/>
  <c r="EB534"/>
  <c r="EC534"/>
  <c r="ED534"/>
  <c r="EE534"/>
  <c r="EF534"/>
  <c r="EG534"/>
  <c r="EH534"/>
  <c r="EI534"/>
  <c r="EJ534"/>
  <c r="EK534"/>
  <c r="EL534"/>
  <c r="EM534"/>
  <c r="EN534"/>
  <c r="EO534"/>
  <c r="EP534"/>
  <c r="EQ534"/>
  <c r="ER534"/>
  <c r="ES534"/>
  <c r="ET534"/>
  <c r="EU534"/>
  <c r="EV534"/>
  <c r="EW534"/>
  <c r="EX534"/>
  <c r="EY534"/>
  <c r="EZ534"/>
  <c r="FA534"/>
  <c r="FB534"/>
  <c r="FC534"/>
  <c r="FD534"/>
  <c r="FE534"/>
  <c r="FF534"/>
  <c r="FG534"/>
  <c r="FH534"/>
  <c r="FI534"/>
  <c r="FJ534"/>
  <c r="FK534"/>
  <c r="FL534"/>
  <c r="FM534"/>
  <c r="FN534"/>
  <c r="FO534"/>
  <c r="FP534"/>
  <c r="FQ534"/>
  <c r="FR534"/>
  <c r="FS534"/>
  <c r="FT534"/>
  <c r="FU534"/>
  <c r="FV534"/>
  <c r="FW534"/>
  <c r="FX534"/>
  <c r="FY534"/>
  <c r="FZ534"/>
  <c r="GA534"/>
  <c r="GB534"/>
  <c r="GC534"/>
  <c r="GD534"/>
  <c r="GE534"/>
  <c r="GF534"/>
  <c r="GG534"/>
  <c r="GH534"/>
  <c r="GI534"/>
  <c r="GJ534"/>
  <c r="GK534"/>
  <c r="GL534"/>
  <c r="GM534"/>
  <c r="GN534"/>
  <c r="GO534"/>
  <c r="GP534"/>
  <c r="GQ534"/>
  <c r="GR534"/>
  <c r="GS534"/>
  <c r="GT534"/>
  <c r="GU534"/>
  <c r="GV534"/>
  <c r="GW534"/>
  <c r="GX534"/>
  <c r="GY534"/>
  <c r="GZ534"/>
  <c r="HA534"/>
  <c r="HB534"/>
  <c r="HC534"/>
  <c r="HD534"/>
  <c r="HE534"/>
  <c r="HF534"/>
  <c r="HG534"/>
  <c r="HH534"/>
  <c r="HI534"/>
  <c r="HJ534"/>
  <c r="HK534"/>
  <c r="HL534"/>
  <c r="HM534"/>
  <c r="HN534"/>
  <c r="HO534"/>
  <c r="HP534"/>
  <c r="HQ534"/>
  <c r="HR534"/>
  <c r="HS534"/>
  <c r="HT534"/>
  <c r="HU534"/>
  <c r="HV534"/>
  <c r="HW534"/>
  <c r="HX534"/>
  <c r="HY534"/>
  <c r="HZ534"/>
  <c r="IA534"/>
  <c r="IB534"/>
  <c r="IC534"/>
  <c r="ID534"/>
  <c r="IE534"/>
  <c r="IF534"/>
  <c r="IG534"/>
  <c r="IH534"/>
  <c r="II534"/>
  <c r="IJ534"/>
  <c r="IK534"/>
  <c r="IL534"/>
  <c r="IM534"/>
  <c r="IN534"/>
  <c r="IO534"/>
  <c r="IP534"/>
  <c r="IQ534"/>
  <c r="IR534"/>
  <c r="IS534"/>
  <c r="IT534"/>
  <c r="IU534"/>
  <c r="IV534"/>
  <c r="A535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Z535"/>
  <c r="AA535"/>
  <c r="AB535"/>
  <c r="AC535"/>
  <c r="AD535"/>
  <c r="AE535"/>
  <c r="AF535"/>
  <c r="AG535"/>
  <c r="AH535"/>
  <c r="AI535"/>
  <c r="AJ535"/>
  <c r="AK535"/>
  <c r="AL535"/>
  <c r="AM535"/>
  <c r="AN535"/>
  <c r="AO535"/>
  <c r="AP535"/>
  <c r="AQ535"/>
  <c r="AR535"/>
  <c r="AS535"/>
  <c r="AT535"/>
  <c r="AU535"/>
  <c r="AV535"/>
  <c r="AW535"/>
  <c r="AX535"/>
  <c r="AY535"/>
  <c r="AZ535"/>
  <c r="BA535"/>
  <c r="BB535"/>
  <c r="BC535"/>
  <c r="BD535"/>
  <c r="BE535"/>
  <c r="BF535"/>
  <c r="BG535"/>
  <c r="BH535"/>
  <c r="BI535"/>
  <c r="BJ535"/>
  <c r="BK535"/>
  <c r="BL535"/>
  <c r="BM535"/>
  <c r="BN535"/>
  <c r="BO535"/>
  <c r="BP535"/>
  <c r="BQ535"/>
  <c r="BR535"/>
  <c r="BS535"/>
  <c r="BT535"/>
  <c r="BU535"/>
  <c r="BV535"/>
  <c r="BW535"/>
  <c r="BX535"/>
  <c r="BY535"/>
  <c r="BZ535"/>
  <c r="CA535"/>
  <c r="CB535"/>
  <c r="CC535"/>
  <c r="CD535"/>
  <c r="CE535"/>
  <c r="CF535"/>
  <c r="CG535"/>
  <c r="CH535"/>
  <c r="CI535"/>
  <c r="CJ535"/>
  <c r="CK535"/>
  <c r="CL535"/>
  <c r="CM535"/>
  <c r="CN535"/>
  <c r="CO535"/>
  <c r="CP535"/>
  <c r="CQ535"/>
  <c r="CR535"/>
  <c r="CS535"/>
  <c r="CT535"/>
  <c r="CU535"/>
  <c r="CV535"/>
  <c r="CW535"/>
  <c r="CX535"/>
  <c r="CY535"/>
  <c r="CZ535"/>
  <c r="DA535"/>
  <c r="DB535"/>
  <c r="DC535"/>
  <c r="DD535"/>
  <c r="DE535"/>
  <c r="DF535"/>
  <c r="DG535"/>
  <c r="DH535"/>
  <c r="DI535"/>
  <c r="DJ535"/>
  <c r="DK535"/>
  <c r="DL535"/>
  <c r="DM535"/>
  <c r="DN535"/>
  <c r="DO535"/>
  <c r="DP535"/>
  <c r="DQ535"/>
  <c r="DR535"/>
  <c r="DS535"/>
  <c r="DT535"/>
  <c r="DU535"/>
  <c r="DV535"/>
  <c r="DW535"/>
  <c r="DX535"/>
  <c r="DY535"/>
  <c r="DZ535"/>
  <c r="EA535"/>
  <c r="EB535"/>
  <c r="EC535"/>
  <c r="ED535"/>
  <c r="EE535"/>
  <c r="EF535"/>
  <c r="EG535"/>
  <c r="EH535"/>
  <c r="EI535"/>
  <c r="EJ535"/>
  <c r="EK535"/>
  <c r="EL535"/>
  <c r="EM535"/>
  <c r="EN535"/>
  <c r="EO535"/>
  <c r="EP535"/>
  <c r="EQ535"/>
  <c r="ER535"/>
  <c r="ES535"/>
  <c r="ET535"/>
  <c r="EU535"/>
  <c r="EV535"/>
  <c r="EW535"/>
  <c r="EX535"/>
  <c r="EY535"/>
  <c r="EZ535"/>
  <c r="FA535"/>
  <c r="FB535"/>
  <c r="FC535"/>
  <c r="FD535"/>
  <c r="FE535"/>
  <c r="FF535"/>
  <c r="FG535"/>
  <c r="FH535"/>
  <c r="FI535"/>
  <c r="FJ535"/>
  <c r="FK535"/>
  <c r="FL535"/>
  <c r="FM535"/>
  <c r="FN535"/>
  <c r="FO535"/>
  <c r="FP535"/>
  <c r="FQ535"/>
  <c r="FR535"/>
  <c r="FS535"/>
  <c r="FT535"/>
  <c r="FU535"/>
  <c r="FV535"/>
  <c r="FW535"/>
  <c r="FX535"/>
  <c r="FY535"/>
  <c r="FZ535"/>
  <c r="GA535"/>
  <c r="GB535"/>
  <c r="GC535"/>
  <c r="GD535"/>
  <c r="GE535"/>
  <c r="GF535"/>
  <c r="GG535"/>
  <c r="GH535"/>
  <c r="GI535"/>
  <c r="GJ535"/>
  <c r="GK535"/>
  <c r="GL535"/>
  <c r="GM535"/>
  <c r="GN535"/>
  <c r="GO535"/>
  <c r="GP535"/>
  <c r="GQ535"/>
  <c r="GR535"/>
  <c r="GS535"/>
  <c r="GT535"/>
  <c r="GU535"/>
  <c r="GV535"/>
  <c r="GW535"/>
  <c r="GX535"/>
  <c r="GY535"/>
  <c r="GZ535"/>
  <c r="HA535"/>
  <c r="HB535"/>
  <c r="HC535"/>
  <c r="HD535"/>
  <c r="HE535"/>
  <c r="HF535"/>
  <c r="HG535"/>
  <c r="HH535"/>
  <c r="HI535"/>
  <c r="HJ535"/>
  <c r="HK535"/>
  <c r="HL535"/>
  <c r="HM535"/>
  <c r="HN535"/>
  <c r="HO535"/>
  <c r="HP535"/>
  <c r="HQ535"/>
  <c r="HR535"/>
  <c r="HS535"/>
  <c r="HT535"/>
  <c r="HU535"/>
  <c r="HV535"/>
  <c r="HW535"/>
  <c r="HX535"/>
  <c r="HY535"/>
  <c r="HZ535"/>
  <c r="IA535"/>
  <c r="IB535"/>
  <c r="IC535"/>
  <c r="ID535"/>
  <c r="IE535"/>
  <c r="IF535"/>
  <c r="IG535"/>
  <c r="IH535"/>
  <c r="II535"/>
  <c r="IJ535"/>
  <c r="IK535"/>
  <c r="IL535"/>
  <c r="IM535"/>
  <c r="IN535"/>
  <c r="IO535"/>
  <c r="IP535"/>
  <c r="IQ535"/>
  <c r="IR535"/>
  <c r="IS535"/>
  <c r="IT535"/>
  <c r="IU535"/>
  <c r="IV535"/>
  <c r="A536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Z536"/>
  <c r="AA536"/>
  <c r="AB536"/>
  <c r="AC536"/>
  <c r="AD536"/>
  <c r="AE536"/>
  <c r="AF536"/>
  <c r="AG536"/>
  <c r="AH536"/>
  <c r="AI536"/>
  <c r="AJ536"/>
  <c r="AK536"/>
  <c r="AL536"/>
  <c r="AM536"/>
  <c r="AN536"/>
  <c r="AO536"/>
  <c r="AP536"/>
  <c r="AQ536"/>
  <c r="AR536"/>
  <c r="AS536"/>
  <c r="AT536"/>
  <c r="AU536"/>
  <c r="AV536"/>
  <c r="AW536"/>
  <c r="AX536"/>
  <c r="AY536"/>
  <c r="AZ536"/>
  <c r="BA536"/>
  <c r="BB536"/>
  <c r="BC536"/>
  <c r="BD536"/>
  <c r="BE536"/>
  <c r="BF536"/>
  <c r="BG536"/>
  <c r="BH536"/>
  <c r="BI536"/>
  <c r="BJ536"/>
  <c r="BK536"/>
  <c r="BL536"/>
  <c r="BM536"/>
  <c r="BN536"/>
  <c r="BO536"/>
  <c r="BP536"/>
  <c r="BQ536"/>
  <c r="BR536"/>
  <c r="BS536"/>
  <c r="BT536"/>
  <c r="BU536"/>
  <c r="BV536"/>
  <c r="BW536"/>
  <c r="BX536"/>
  <c r="BY536"/>
  <c r="BZ536"/>
  <c r="CA536"/>
  <c r="CB536"/>
  <c r="CC536"/>
  <c r="CD536"/>
  <c r="CE536"/>
  <c r="CF536"/>
  <c r="CG536"/>
  <c r="CH536"/>
  <c r="CI536"/>
  <c r="CJ536"/>
  <c r="CK536"/>
  <c r="CL536"/>
  <c r="CM536"/>
  <c r="CN536"/>
  <c r="CO536"/>
  <c r="CP536"/>
  <c r="CQ536"/>
  <c r="CR536"/>
  <c r="CS536"/>
  <c r="CT536"/>
  <c r="CU536"/>
  <c r="CV536"/>
  <c r="CW536"/>
  <c r="CX536"/>
  <c r="CY536"/>
  <c r="CZ536"/>
  <c r="DA536"/>
  <c r="DB536"/>
  <c r="DC536"/>
  <c r="DD536"/>
  <c r="DE536"/>
  <c r="DF536"/>
  <c r="DG536"/>
  <c r="DH536"/>
  <c r="DI536"/>
  <c r="DJ536"/>
  <c r="DK536"/>
  <c r="DL536"/>
  <c r="DM536"/>
  <c r="DN536"/>
  <c r="DO536"/>
  <c r="DP536"/>
  <c r="DQ536"/>
  <c r="DR536"/>
  <c r="DS536"/>
  <c r="DT536"/>
  <c r="DU536"/>
  <c r="DV536"/>
  <c r="DW536"/>
  <c r="DX536"/>
  <c r="DY536"/>
  <c r="DZ536"/>
  <c r="EA536"/>
  <c r="EB536"/>
  <c r="EC536"/>
  <c r="ED536"/>
  <c r="EE536"/>
  <c r="EF536"/>
  <c r="EG536"/>
  <c r="EH536"/>
  <c r="EI536"/>
  <c r="EJ536"/>
  <c r="EK536"/>
  <c r="EL536"/>
  <c r="EM536"/>
  <c r="EN536"/>
  <c r="EO536"/>
  <c r="EP536"/>
  <c r="EQ536"/>
  <c r="ER536"/>
  <c r="ES536"/>
  <c r="ET536"/>
  <c r="EU536"/>
  <c r="EV536"/>
  <c r="EW536"/>
  <c r="EX536"/>
  <c r="EY536"/>
  <c r="EZ536"/>
  <c r="FA536"/>
  <c r="FB536"/>
  <c r="FC536"/>
  <c r="FD536"/>
  <c r="FE536"/>
  <c r="FF536"/>
  <c r="FG536"/>
  <c r="FH536"/>
  <c r="FI536"/>
  <c r="FJ536"/>
  <c r="FK536"/>
  <c r="FL536"/>
  <c r="FM536"/>
  <c r="FN536"/>
  <c r="FO536"/>
  <c r="FP536"/>
  <c r="FQ536"/>
  <c r="FR536"/>
  <c r="FS536"/>
  <c r="FT536"/>
  <c r="FU536"/>
  <c r="FV536"/>
  <c r="FW536"/>
  <c r="FX536"/>
  <c r="FY536"/>
  <c r="FZ536"/>
  <c r="GA536"/>
  <c r="GB536"/>
  <c r="GC536"/>
  <c r="GD536"/>
  <c r="GE536"/>
  <c r="GF536"/>
  <c r="GG536"/>
  <c r="GH536"/>
  <c r="GI536"/>
  <c r="GJ536"/>
  <c r="GK536"/>
  <c r="GL536"/>
  <c r="GM536"/>
  <c r="GN536"/>
  <c r="GO536"/>
  <c r="GP536"/>
  <c r="GQ536"/>
  <c r="GR536"/>
  <c r="GS536"/>
  <c r="GT536"/>
  <c r="GU536"/>
  <c r="GV536"/>
  <c r="GW536"/>
  <c r="GX536"/>
  <c r="GY536"/>
  <c r="GZ536"/>
  <c r="HA536"/>
  <c r="HB536"/>
  <c r="HC536"/>
  <c r="HD536"/>
  <c r="HE536"/>
  <c r="HF536"/>
  <c r="HG536"/>
  <c r="HH536"/>
  <c r="HI536"/>
  <c r="HJ536"/>
  <c r="HK536"/>
  <c r="HL536"/>
  <c r="HM536"/>
  <c r="HN536"/>
  <c r="HO536"/>
  <c r="HP536"/>
  <c r="HQ536"/>
  <c r="HR536"/>
  <c r="HS536"/>
  <c r="HT536"/>
  <c r="HU536"/>
  <c r="HV536"/>
  <c r="HW536"/>
  <c r="HX536"/>
  <c r="HY536"/>
  <c r="HZ536"/>
  <c r="IA536"/>
  <c r="IB536"/>
  <c r="IC536"/>
  <c r="ID536"/>
  <c r="IE536"/>
  <c r="IF536"/>
  <c r="IG536"/>
  <c r="IH536"/>
  <c r="II536"/>
  <c r="IJ536"/>
  <c r="IK536"/>
  <c r="IL536"/>
  <c r="IM536"/>
  <c r="IN536"/>
  <c r="IO536"/>
  <c r="IP536"/>
  <c r="IQ536"/>
  <c r="IR536"/>
  <c r="IS536"/>
  <c r="IT536"/>
  <c r="IU536"/>
  <c r="IV536"/>
  <c r="A537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Z537"/>
  <c r="AA537"/>
  <c r="AB537"/>
  <c r="AC537"/>
  <c r="AD537"/>
  <c r="AE537"/>
  <c r="AF537"/>
  <c r="AG537"/>
  <c r="AH537"/>
  <c r="AI537"/>
  <c r="AJ537"/>
  <c r="AK537"/>
  <c r="AL537"/>
  <c r="AM537"/>
  <c r="AN537"/>
  <c r="AO537"/>
  <c r="AP537"/>
  <c r="AQ537"/>
  <c r="AR537"/>
  <c r="AS537"/>
  <c r="AT537"/>
  <c r="AU537"/>
  <c r="AV537"/>
  <c r="AW537"/>
  <c r="AX537"/>
  <c r="AY537"/>
  <c r="AZ537"/>
  <c r="BA537"/>
  <c r="BB537"/>
  <c r="BC537"/>
  <c r="BD537"/>
  <c r="BE537"/>
  <c r="BF537"/>
  <c r="BG537"/>
  <c r="BH537"/>
  <c r="BI537"/>
  <c r="BJ537"/>
  <c r="BK537"/>
  <c r="BL537"/>
  <c r="BM537"/>
  <c r="BN537"/>
  <c r="BO537"/>
  <c r="BP537"/>
  <c r="BQ537"/>
  <c r="BR537"/>
  <c r="BS537"/>
  <c r="BT537"/>
  <c r="BU537"/>
  <c r="BV537"/>
  <c r="BW537"/>
  <c r="BX537"/>
  <c r="BY537"/>
  <c r="BZ537"/>
  <c r="CA537"/>
  <c r="CB537"/>
  <c r="CC537"/>
  <c r="CD537"/>
  <c r="CE537"/>
  <c r="CF537"/>
  <c r="CG537"/>
  <c r="CH537"/>
  <c r="CI537"/>
  <c r="CJ537"/>
  <c r="CK537"/>
  <c r="CL537"/>
  <c r="CM537"/>
  <c r="CN537"/>
  <c r="CO537"/>
  <c r="CP537"/>
  <c r="CQ537"/>
  <c r="CR537"/>
  <c r="CS537"/>
  <c r="CT537"/>
  <c r="CU537"/>
  <c r="CV537"/>
  <c r="CW537"/>
  <c r="CX537"/>
  <c r="CY537"/>
  <c r="CZ537"/>
  <c r="DA537"/>
  <c r="DB537"/>
  <c r="DC537"/>
  <c r="DD537"/>
  <c r="DE537"/>
  <c r="DF537"/>
  <c r="DG537"/>
  <c r="DH537"/>
  <c r="DI537"/>
  <c r="DJ537"/>
  <c r="DK537"/>
  <c r="DL537"/>
  <c r="DM537"/>
  <c r="DN537"/>
  <c r="DO537"/>
  <c r="DP537"/>
  <c r="DQ537"/>
  <c r="DR537"/>
  <c r="DS537"/>
  <c r="DT537"/>
  <c r="DU537"/>
  <c r="DV537"/>
  <c r="DW537"/>
  <c r="DX537"/>
  <c r="DY537"/>
  <c r="DZ537"/>
  <c r="EA537"/>
  <c r="EB537"/>
  <c r="EC537"/>
  <c r="ED537"/>
  <c r="EE537"/>
  <c r="EF537"/>
  <c r="EG537"/>
  <c r="EH537"/>
  <c r="EI537"/>
  <c r="EJ537"/>
  <c r="EK537"/>
  <c r="EL537"/>
  <c r="EM537"/>
  <c r="EN537"/>
  <c r="EO537"/>
  <c r="EP537"/>
  <c r="EQ537"/>
  <c r="ER537"/>
  <c r="ES537"/>
  <c r="ET537"/>
  <c r="EU537"/>
  <c r="EV537"/>
  <c r="EW537"/>
  <c r="EX537"/>
  <c r="EY537"/>
  <c r="EZ537"/>
  <c r="FA537"/>
  <c r="FB537"/>
  <c r="FC537"/>
  <c r="FD537"/>
  <c r="FE537"/>
  <c r="FF537"/>
  <c r="FG537"/>
  <c r="FH537"/>
  <c r="FI537"/>
  <c r="FJ537"/>
  <c r="FK537"/>
  <c r="FL537"/>
  <c r="FM537"/>
  <c r="FN537"/>
  <c r="FO537"/>
  <c r="FP537"/>
  <c r="FQ537"/>
  <c r="FR537"/>
  <c r="FS537"/>
  <c r="FT537"/>
  <c r="FU537"/>
  <c r="FV537"/>
  <c r="FW537"/>
  <c r="FX537"/>
  <c r="FY537"/>
  <c r="FZ537"/>
  <c r="GA537"/>
  <c r="GB537"/>
  <c r="GC537"/>
  <c r="GD537"/>
  <c r="GE537"/>
  <c r="GF537"/>
  <c r="GG537"/>
  <c r="GH537"/>
  <c r="GI537"/>
  <c r="GJ537"/>
  <c r="GK537"/>
  <c r="GL537"/>
  <c r="GM537"/>
  <c r="GN537"/>
  <c r="GO537"/>
  <c r="GP537"/>
  <c r="GQ537"/>
  <c r="GR537"/>
  <c r="GS537"/>
  <c r="GT537"/>
  <c r="GU537"/>
  <c r="GV537"/>
  <c r="GW537"/>
  <c r="GX537"/>
  <c r="GY537"/>
  <c r="GZ537"/>
  <c r="HA537"/>
  <c r="HB537"/>
  <c r="HC537"/>
  <c r="HD537"/>
  <c r="HE537"/>
  <c r="HF537"/>
  <c r="HG537"/>
  <c r="HH537"/>
  <c r="HI537"/>
  <c r="HJ537"/>
  <c r="HK537"/>
  <c r="HL537"/>
  <c r="HM537"/>
  <c r="HN537"/>
  <c r="HO537"/>
  <c r="HP537"/>
  <c r="HQ537"/>
  <c r="HR537"/>
  <c r="HS537"/>
  <c r="HT537"/>
  <c r="HU537"/>
  <c r="HV537"/>
  <c r="HW537"/>
  <c r="HX537"/>
  <c r="HY537"/>
  <c r="HZ537"/>
  <c r="IA537"/>
  <c r="IB537"/>
  <c r="IC537"/>
  <c r="ID537"/>
  <c r="IE537"/>
  <c r="IF537"/>
  <c r="IG537"/>
  <c r="IH537"/>
  <c r="II537"/>
  <c r="IJ537"/>
  <c r="IK537"/>
  <c r="IL537"/>
  <c r="IM537"/>
  <c r="IN537"/>
  <c r="IO537"/>
  <c r="IP537"/>
  <c r="IQ537"/>
  <c r="IR537"/>
  <c r="IS537"/>
  <c r="IT537"/>
  <c r="IU537"/>
  <c r="IV537"/>
  <c r="A538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Z538"/>
  <c r="AA538"/>
  <c r="AB538"/>
  <c r="AC538"/>
  <c r="AD538"/>
  <c r="AE538"/>
  <c r="AF538"/>
  <c r="AG538"/>
  <c r="AH538"/>
  <c r="AI538"/>
  <c r="AJ538"/>
  <c r="AK538"/>
  <c r="AL538"/>
  <c r="AM538"/>
  <c r="AN538"/>
  <c r="AO538"/>
  <c r="AP538"/>
  <c r="AQ538"/>
  <c r="AR538"/>
  <c r="AS538"/>
  <c r="AT538"/>
  <c r="AU538"/>
  <c r="AV538"/>
  <c r="AW538"/>
  <c r="AX538"/>
  <c r="AY538"/>
  <c r="AZ538"/>
  <c r="BA538"/>
  <c r="BB538"/>
  <c r="BC538"/>
  <c r="BD538"/>
  <c r="BE538"/>
  <c r="BF538"/>
  <c r="BG538"/>
  <c r="BH538"/>
  <c r="BI538"/>
  <c r="BJ538"/>
  <c r="BK538"/>
  <c r="BL538"/>
  <c r="BM538"/>
  <c r="BN538"/>
  <c r="BO538"/>
  <c r="BP538"/>
  <c r="BQ538"/>
  <c r="BR538"/>
  <c r="BS538"/>
  <c r="BT538"/>
  <c r="BU538"/>
  <c r="BV538"/>
  <c r="BW538"/>
  <c r="BX538"/>
  <c r="BY538"/>
  <c r="BZ538"/>
  <c r="CA538"/>
  <c r="CB538"/>
  <c r="CC538"/>
  <c r="CD538"/>
  <c r="CE538"/>
  <c r="CF538"/>
  <c r="CG538"/>
  <c r="CH538"/>
  <c r="CI538"/>
  <c r="CJ538"/>
  <c r="CK538"/>
  <c r="CL538"/>
  <c r="CM538"/>
  <c r="CN538"/>
  <c r="CO538"/>
  <c r="CP538"/>
  <c r="CQ538"/>
  <c r="CR538"/>
  <c r="CS538"/>
  <c r="CT538"/>
  <c r="CU538"/>
  <c r="CV538"/>
  <c r="CW538"/>
  <c r="CX538"/>
  <c r="CY538"/>
  <c r="CZ538"/>
  <c r="DA538"/>
  <c r="DB538"/>
  <c r="DC538"/>
  <c r="DD538"/>
  <c r="DE538"/>
  <c r="DF538"/>
  <c r="DG538"/>
  <c r="DH538"/>
  <c r="DI538"/>
  <c r="DJ538"/>
  <c r="DK538"/>
  <c r="DL538"/>
  <c r="DM538"/>
  <c r="DN538"/>
  <c r="DO538"/>
  <c r="DP538"/>
  <c r="DQ538"/>
  <c r="DR538"/>
  <c r="DS538"/>
  <c r="DT538"/>
  <c r="DU538"/>
  <c r="DV538"/>
  <c r="DW538"/>
  <c r="DX538"/>
  <c r="DY538"/>
  <c r="DZ538"/>
  <c r="EA538"/>
  <c r="EB538"/>
  <c r="EC538"/>
  <c r="ED538"/>
  <c r="EE538"/>
  <c r="EF538"/>
  <c r="EG538"/>
  <c r="EH538"/>
  <c r="EI538"/>
  <c r="EJ538"/>
  <c r="EK538"/>
  <c r="EL538"/>
  <c r="EM538"/>
  <c r="EN538"/>
  <c r="EO538"/>
  <c r="EP538"/>
  <c r="EQ538"/>
  <c r="ER538"/>
  <c r="ES538"/>
  <c r="ET538"/>
  <c r="EU538"/>
  <c r="EV538"/>
  <c r="EW538"/>
  <c r="EX538"/>
  <c r="EY538"/>
  <c r="EZ538"/>
  <c r="FA538"/>
  <c r="FB538"/>
  <c r="FC538"/>
  <c r="FD538"/>
  <c r="FE538"/>
  <c r="FF538"/>
  <c r="FG538"/>
  <c r="FH538"/>
  <c r="FI538"/>
  <c r="FJ538"/>
  <c r="FK538"/>
  <c r="FL538"/>
  <c r="FM538"/>
  <c r="FN538"/>
  <c r="FO538"/>
  <c r="FP538"/>
  <c r="FQ538"/>
  <c r="FR538"/>
  <c r="FS538"/>
  <c r="FT538"/>
  <c r="FU538"/>
  <c r="FV538"/>
  <c r="FW538"/>
  <c r="FX538"/>
  <c r="FY538"/>
  <c r="FZ538"/>
  <c r="GA538"/>
  <c r="GB538"/>
  <c r="GC538"/>
  <c r="GD538"/>
  <c r="GE538"/>
  <c r="GF538"/>
  <c r="GG538"/>
  <c r="GH538"/>
  <c r="GI538"/>
  <c r="GJ538"/>
  <c r="GK538"/>
  <c r="GL538"/>
  <c r="GM538"/>
  <c r="GN538"/>
  <c r="GO538"/>
  <c r="GP538"/>
  <c r="GQ538"/>
  <c r="GR538"/>
  <c r="GS538"/>
  <c r="GT538"/>
  <c r="GU538"/>
  <c r="GV538"/>
  <c r="GW538"/>
  <c r="GX538"/>
  <c r="GY538"/>
  <c r="GZ538"/>
  <c r="HA538"/>
  <c r="HB538"/>
  <c r="HC538"/>
  <c r="HD538"/>
  <c r="HE538"/>
  <c r="HF538"/>
  <c r="HG538"/>
  <c r="HH538"/>
  <c r="HI538"/>
  <c r="HJ538"/>
  <c r="HK538"/>
  <c r="HL538"/>
  <c r="HM538"/>
  <c r="HN538"/>
  <c r="HO538"/>
  <c r="HP538"/>
  <c r="HQ538"/>
  <c r="HR538"/>
  <c r="HS538"/>
  <c r="HT538"/>
  <c r="HU538"/>
  <c r="HV538"/>
  <c r="HW538"/>
  <c r="HX538"/>
  <c r="HY538"/>
  <c r="HZ538"/>
  <c r="IA538"/>
  <c r="IB538"/>
  <c r="IC538"/>
  <c r="ID538"/>
  <c r="IE538"/>
  <c r="IF538"/>
  <c r="IG538"/>
  <c r="IH538"/>
  <c r="II538"/>
  <c r="IJ538"/>
  <c r="IK538"/>
  <c r="IL538"/>
  <c r="IM538"/>
  <c r="IN538"/>
  <c r="IO538"/>
  <c r="IP538"/>
  <c r="IQ538"/>
  <c r="IR538"/>
  <c r="IS538"/>
  <c r="IT538"/>
  <c r="IU538"/>
  <c r="IV538"/>
  <c r="A539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Z539"/>
  <c r="AA539"/>
  <c r="AB539"/>
  <c r="AC539"/>
  <c r="AD539"/>
  <c r="AE539"/>
  <c r="AF539"/>
  <c r="AG539"/>
  <c r="AH539"/>
  <c r="AI539"/>
  <c r="AJ539"/>
  <c r="AK539"/>
  <c r="AL539"/>
  <c r="AM539"/>
  <c r="AN539"/>
  <c r="AO539"/>
  <c r="AP539"/>
  <c r="AQ539"/>
  <c r="AR539"/>
  <c r="AS539"/>
  <c r="AT539"/>
  <c r="AU539"/>
  <c r="AV539"/>
  <c r="AW539"/>
  <c r="AX539"/>
  <c r="AY539"/>
  <c r="AZ539"/>
  <c r="BA539"/>
  <c r="BB539"/>
  <c r="BC539"/>
  <c r="BD539"/>
  <c r="BE539"/>
  <c r="BF539"/>
  <c r="BG539"/>
  <c r="BH539"/>
  <c r="BI539"/>
  <c r="BJ539"/>
  <c r="BK539"/>
  <c r="BL539"/>
  <c r="BM539"/>
  <c r="BN539"/>
  <c r="BO539"/>
  <c r="BP539"/>
  <c r="BQ539"/>
  <c r="BR539"/>
  <c r="BS539"/>
  <c r="BT539"/>
  <c r="BU539"/>
  <c r="BV539"/>
  <c r="BW539"/>
  <c r="BX539"/>
  <c r="BY539"/>
  <c r="BZ539"/>
  <c r="CA539"/>
  <c r="CB539"/>
  <c r="CC539"/>
  <c r="CD539"/>
  <c r="CE539"/>
  <c r="CF539"/>
  <c r="CG539"/>
  <c r="CH539"/>
  <c r="CI539"/>
  <c r="CJ539"/>
  <c r="CK539"/>
  <c r="CL539"/>
  <c r="CM539"/>
  <c r="CN539"/>
  <c r="CO539"/>
  <c r="CP539"/>
  <c r="CQ539"/>
  <c r="CR539"/>
  <c r="CS539"/>
  <c r="CT539"/>
  <c r="CU539"/>
  <c r="CV539"/>
  <c r="CW539"/>
  <c r="CX539"/>
  <c r="CY539"/>
  <c r="CZ539"/>
  <c r="DA539"/>
  <c r="DB539"/>
  <c r="DC539"/>
  <c r="DD539"/>
  <c r="DE539"/>
  <c r="DF539"/>
  <c r="DG539"/>
  <c r="DH539"/>
  <c r="DI539"/>
  <c r="DJ539"/>
  <c r="DK539"/>
  <c r="DL539"/>
  <c r="DM539"/>
  <c r="DN539"/>
  <c r="DO539"/>
  <c r="DP539"/>
  <c r="DQ539"/>
  <c r="DR539"/>
  <c r="DS539"/>
  <c r="DT539"/>
  <c r="DU539"/>
  <c r="DV539"/>
  <c r="DW539"/>
  <c r="DX539"/>
  <c r="DY539"/>
  <c r="DZ539"/>
  <c r="EA539"/>
  <c r="EB539"/>
  <c r="EC539"/>
  <c r="ED539"/>
  <c r="EE539"/>
  <c r="EF539"/>
  <c r="EG539"/>
  <c r="EH539"/>
  <c r="EI539"/>
  <c r="EJ539"/>
  <c r="EK539"/>
  <c r="EL539"/>
  <c r="EM539"/>
  <c r="EN539"/>
  <c r="EO539"/>
  <c r="EP539"/>
  <c r="EQ539"/>
  <c r="ER539"/>
  <c r="ES539"/>
  <c r="ET539"/>
  <c r="EU539"/>
  <c r="EV539"/>
  <c r="EW539"/>
  <c r="EX539"/>
  <c r="EY539"/>
  <c r="EZ539"/>
  <c r="FA539"/>
  <c r="FB539"/>
  <c r="FC539"/>
  <c r="FD539"/>
  <c r="FE539"/>
  <c r="FF539"/>
  <c r="FG539"/>
  <c r="FH539"/>
  <c r="FI539"/>
  <c r="FJ539"/>
  <c r="FK539"/>
  <c r="FL539"/>
  <c r="FM539"/>
  <c r="FN539"/>
  <c r="FO539"/>
  <c r="FP539"/>
  <c r="FQ539"/>
  <c r="FR539"/>
  <c r="FS539"/>
  <c r="FT539"/>
  <c r="FU539"/>
  <c r="FV539"/>
  <c r="FW539"/>
  <c r="FX539"/>
  <c r="FY539"/>
  <c r="FZ539"/>
  <c r="GA539"/>
  <c r="GB539"/>
  <c r="GC539"/>
  <c r="GD539"/>
  <c r="GE539"/>
  <c r="GF539"/>
  <c r="GG539"/>
  <c r="GH539"/>
  <c r="GI539"/>
  <c r="GJ539"/>
  <c r="GK539"/>
  <c r="GL539"/>
  <c r="GM539"/>
  <c r="GN539"/>
  <c r="GO539"/>
  <c r="GP539"/>
  <c r="GQ539"/>
  <c r="GR539"/>
  <c r="GS539"/>
  <c r="GT539"/>
  <c r="GU539"/>
  <c r="GV539"/>
  <c r="GW539"/>
  <c r="GX539"/>
  <c r="GY539"/>
  <c r="GZ539"/>
  <c r="HA539"/>
  <c r="HB539"/>
  <c r="HC539"/>
  <c r="HD539"/>
  <c r="HE539"/>
  <c r="HF539"/>
  <c r="HG539"/>
  <c r="HH539"/>
  <c r="HI539"/>
  <c r="HJ539"/>
  <c r="HK539"/>
  <c r="HL539"/>
  <c r="HM539"/>
  <c r="HN539"/>
  <c r="HO539"/>
  <c r="HP539"/>
  <c r="HQ539"/>
  <c r="HR539"/>
  <c r="HS539"/>
  <c r="HT539"/>
  <c r="HU539"/>
  <c r="HV539"/>
  <c r="HW539"/>
  <c r="HX539"/>
  <c r="HY539"/>
  <c r="HZ539"/>
  <c r="IA539"/>
  <c r="IB539"/>
  <c r="IC539"/>
  <c r="ID539"/>
  <c r="IE539"/>
  <c r="IF539"/>
  <c r="IG539"/>
  <c r="IH539"/>
  <c r="II539"/>
  <c r="IJ539"/>
  <c r="IK539"/>
  <c r="IL539"/>
  <c r="IM539"/>
  <c r="IN539"/>
  <c r="IO539"/>
  <c r="IP539"/>
  <c r="IQ539"/>
  <c r="IR539"/>
  <c r="IS539"/>
  <c r="IT539"/>
  <c r="IU539"/>
  <c r="IV539"/>
  <c r="A540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Z540"/>
  <c r="AA540"/>
  <c r="AB540"/>
  <c r="AC540"/>
  <c r="AD540"/>
  <c r="AE540"/>
  <c r="AF540"/>
  <c r="AG540"/>
  <c r="AH540"/>
  <c r="AI540"/>
  <c r="AJ540"/>
  <c r="AK540"/>
  <c r="AL540"/>
  <c r="AM540"/>
  <c r="AN540"/>
  <c r="AO540"/>
  <c r="AP540"/>
  <c r="AQ540"/>
  <c r="AR540"/>
  <c r="AS540"/>
  <c r="AT540"/>
  <c r="AU540"/>
  <c r="AV540"/>
  <c r="AW540"/>
  <c r="AX540"/>
  <c r="AY540"/>
  <c r="AZ540"/>
  <c r="BA540"/>
  <c r="BB540"/>
  <c r="BC540"/>
  <c r="BD540"/>
  <c r="BE540"/>
  <c r="BF540"/>
  <c r="BG540"/>
  <c r="BH540"/>
  <c r="BI540"/>
  <c r="BJ540"/>
  <c r="BK540"/>
  <c r="BL540"/>
  <c r="BM540"/>
  <c r="BN540"/>
  <c r="BO540"/>
  <c r="BP540"/>
  <c r="BQ540"/>
  <c r="BR540"/>
  <c r="BS540"/>
  <c r="BT540"/>
  <c r="BU540"/>
  <c r="BV540"/>
  <c r="BW540"/>
  <c r="BX540"/>
  <c r="BY540"/>
  <c r="BZ540"/>
  <c r="CA540"/>
  <c r="CB540"/>
  <c r="CC540"/>
  <c r="CD540"/>
  <c r="CE540"/>
  <c r="CF540"/>
  <c r="CG540"/>
  <c r="CH540"/>
  <c r="CI540"/>
  <c r="CJ540"/>
  <c r="CK540"/>
  <c r="CL540"/>
  <c r="CM540"/>
  <c r="CN540"/>
  <c r="CO540"/>
  <c r="CP540"/>
  <c r="CQ540"/>
  <c r="CR540"/>
  <c r="CS540"/>
  <c r="CT540"/>
  <c r="CU540"/>
  <c r="CV540"/>
  <c r="CW540"/>
  <c r="CX540"/>
  <c r="CY540"/>
  <c r="CZ540"/>
  <c r="DA540"/>
  <c r="DB540"/>
  <c r="DC540"/>
  <c r="DD540"/>
  <c r="DE540"/>
  <c r="DF540"/>
  <c r="DG540"/>
  <c r="DH540"/>
  <c r="DI540"/>
  <c r="DJ540"/>
  <c r="DK540"/>
  <c r="DL540"/>
  <c r="DM540"/>
  <c r="DN540"/>
  <c r="DO540"/>
  <c r="DP540"/>
  <c r="DQ540"/>
  <c r="DR540"/>
  <c r="DS540"/>
  <c r="DT540"/>
  <c r="DU540"/>
  <c r="DV540"/>
  <c r="DW540"/>
  <c r="DX540"/>
  <c r="DY540"/>
  <c r="DZ540"/>
  <c r="EA540"/>
  <c r="EB540"/>
  <c r="EC540"/>
  <c r="ED540"/>
  <c r="EE540"/>
  <c r="EF540"/>
  <c r="EG540"/>
  <c r="EH540"/>
  <c r="EI540"/>
  <c r="EJ540"/>
  <c r="EK540"/>
  <c r="EL540"/>
  <c r="EM540"/>
  <c r="EN540"/>
  <c r="EO540"/>
  <c r="EP540"/>
  <c r="EQ540"/>
  <c r="ER540"/>
  <c r="ES540"/>
  <c r="ET540"/>
  <c r="EU540"/>
  <c r="EV540"/>
  <c r="EW540"/>
  <c r="EX540"/>
  <c r="EY540"/>
  <c r="EZ540"/>
  <c r="FA540"/>
  <c r="FB540"/>
  <c r="FC540"/>
  <c r="FD540"/>
  <c r="FE540"/>
  <c r="FF540"/>
  <c r="FG540"/>
  <c r="FH540"/>
  <c r="FI540"/>
  <c r="FJ540"/>
  <c r="FK540"/>
  <c r="FL540"/>
  <c r="FM540"/>
  <c r="FN540"/>
  <c r="FO540"/>
  <c r="FP540"/>
  <c r="FQ540"/>
  <c r="FR540"/>
  <c r="FS540"/>
  <c r="FT540"/>
  <c r="FU540"/>
  <c r="FV540"/>
  <c r="FW540"/>
  <c r="FX540"/>
  <c r="FY540"/>
  <c r="FZ540"/>
  <c r="GA540"/>
  <c r="GB540"/>
  <c r="GC540"/>
  <c r="GD540"/>
  <c r="GE540"/>
  <c r="GF540"/>
  <c r="GG540"/>
  <c r="GH540"/>
  <c r="GI540"/>
  <c r="GJ540"/>
  <c r="GK540"/>
  <c r="GL540"/>
  <c r="GM540"/>
  <c r="GN540"/>
  <c r="GO540"/>
  <c r="GP540"/>
  <c r="GQ540"/>
  <c r="GR540"/>
  <c r="GS540"/>
  <c r="GT540"/>
  <c r="GU540"/>
  <c r="GV540"/>
  <c r="GW540"/>
  <c r="GX540"/>
  <c r="GY540"/>
  <c r="GZ540"/>
  <c r="HA540"/>
  <c r="HB540"/>
  <c r="HC540"/>
  <c r="HD540"/>
  <c r="HE540"/>
  <c r="HF540"/>
  <c r="HG540"/>
  <c r="HH540"/>
  <c r="HI540"/>
  <c r="HJ540"/>
  <c r="HK540"/>
  <c r="HL540"/>
  <c r="HM540"/>
  <c r="HN540"/>
  <c r="HO540"/>
  <c r="HP540"/>
  <c r="HQ540"/>
  <c r="HR540"/>
  <c r="HS540"/>
  <c r="HT540"/>
  <c r="HU540"/>
  <c r="HV540"/>
  <c r="HW540"/>
  <c r="HX540"/>
  <c r="HY540"/>
  <c r="HZ540"/>
  <c r="IA540"/>
  <c r="IB540"/>
  <c r="IC540"/>
  <c r="ID540"/>
  <c r="IE540"/>
  <c r="IF540"/>
  <c r="IG540"/>
  <c r="IH540"/>
  <c r="II540"/>
  <c r="IJ540"/>
  <c r="IK540"/>
  <c r="IL540"/>
  <c r="IM540"/>
  <c r="IN540"/>
  <c r="IO540"/>
  <c r="IP540"/>
  <c r="IQ540"/>
  <c r="IR540"/>
  <c r="IS540"/>
  <c r="IT540"/>
  <c r="IU540"/>
  <c r="IV540"/>
  <c r="A541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Z541"/>
  <c r="AA541"/>
  <c r="AB541"/>
  <c r="AC541"/>
  <c r="AD541"/>
  <c r="AE541"/>
  <c r="AF541"/>
  <c r="AG541"/>
  <c r="AH541"/>
  <c r="AI541"/>
  <c r="AJ541"/>
  <c r="AK541"/>
  <c r="AL541"/>
  <c r="AM541"/>
  <c r="AN541"/>
  <c r="AO541"/>
  <c r="AP541"/>
  <c r="AQ541"/>
  <c r="AR541"/>
  <c r="AS541"/>
  <c r="AT541"/>
  <c r="AU541"/>
  <c r="AV541"/>
  <c r="AW541"/>
  <c r="AX541"/>
  <c r="AY541"/>
  <c r="AZ541"/>
  <c r="BA541"/>
  <c r="BB541"/>
  <c r="BC541"/>
  <c r="BD541"/>
  <c r="BE541"/>
  <c r="BF541"/>
  <c r="BG541"/>
  <c r="BH541"/>
  <c r="BI541"/>
  <c r="BJ541"/>
  <c r="BK541"/>
  <c r="BL541"/>
  <c r="BM541"/>
  <c r="BN541"/>
  <c r="BO541"/>
  <c r="BP541"/>
  <c r="BQ541"/>
  <c r="BR541"/>
  <c r="BS541"/>
  <c r="BT541"/>
  <c r="BU541"/>
  <c r="BV541"/>
  <c r="BW541"/>
  <c r="BX541"/>
  <c r="BY541"/>
  <c r="BZ541"/>
  <c r="CA541"/>
  <c r="CB541"/>
  <c r="CC541"/>
  <c r="CD541"/>
  <c r="CE541"/>
  <c r="CF541"/>
  <c r="CG541"/>
  <c r="CH541"/>
  <c r="CI541"/>
  <c r="CJ541"/>
  <c r="CK541"/>
  <c r="CL541"/>
  <c r="CM541"/>
  <c r="CN541"/>
  <c r="CO541"/>
  <c r="CP541"/>
  <c r="CQ541"/>
  <c r="CR541"/>
  <c r="CS541"/>
  <c r="CT541"/>
  <c r="CU541"/>
  <c r="CV541"/>
  <c r="CW541"/>
  <c r="CX541"/>
  <c r="CY541"/>
  <c r="CZ541"/>
  <c r="DA541"/>
  <c r="DB541"/>
  <c r="DC541"/>
  <c r="DD541"/>
  <c r="DE541"/>
  <c r="DF541"/>
  <c r="DG541"/>
  <c r="DH541"/>
  <c r="DI541"/>
  <c r="DJ541"/>
  <c r="DK541"/>
  <c r="DL541"/>
  <c r="DM541"/>
  <c r="DN541"/>
  <c r="DO541"/>
  <c r="DP541"/>
  <c r="DQ541"/>
  <c r="DR541"/>
  <c r="DS541"/>
  <c r="DT541"/>
  <c r="DU541"/>
  <c r="DV541"/>
  <c r="DW541"/>
  <c r="DX541"/>
  <c r="DY541"/>
  <c r="DZ541"/>
  <c r="EA541"/>
  <c r="EB541"/>
  <c r="EC541"/>
  <c r="ED541"/>
  <c r="EE541"/>
  <c r="EF541"/>
  <c r="EG541"/>
  <c r="EH541"/>
  <c r="EI541"/>
  <c r="EJ541"/>
  <c r="EK541"/>
  <c r="EL541"/>
  <c r="EM541"/>
  <c r="EN541"/>
  <c r="EO541"/>
  <c r="EP541"/>
  <c r="EQ541"/>
  <c r="ER541"/>
  <c r="ES541"/>
  <c r="ET541"/>
  <c r="EU541"/>
  <c r="EV541"/>
  <c r="EW541"/>
  <c r="EX541"/>
  <c r="EY541"/>
  <c r="EZ541"/>
  <c r="FA541"/>
  <c r="FB541"/>
  <c r="FC541"/>
  <c r="FD541"/>
  <c r="FE541"/>
  <c r="FF541"/>
  <c r="FG541"/>
  <c r="FH541"/>
  <c r="FI541"/>
  <c r="FJ541"/>
  <c r="FK541"/>
  <c r="FL541"/>
  <c r="FM541"/>
  <c r="FN541"/>
  <c r="FO541"/>
  <c r="FP541"/>
  <c r="FQ541"/>
  <c r="FR541"/>
  <c r="FS541"/>
  <c r="FT541"/>
  <c r="FU541"/>
  <c r="FV541"/>
  <c r="FW541"/>
  <c r="FX541"/>
  <c r="FY541"/>
  <c r="FZ541"/>
  <c r="GA541"/>
  <c r="GB541"/>
  <c r="GC541"/>
  <c r="GD541"/>
  <c r="GE541"/>
  <c r="GF541"/>
  <c r="GG541"/>
  <c r="GH541"/>
  <c r="GI541"/>
  <c r="GJ541"/>
  <c r="GK541"/>
  <c r="GL541"/>
  <c r="GM541"/>
  <c r="GN541"/>
  <c r="GO541"/>
  <c r="GP541"/>
  <c r="GQ541"/>
  <c r="GR541"/>
  <c r="GS541"/>
  <c r="GT541"/>
  <c r="GU541"/>
  <c r="GV541"/>
  <c r="GW541"/>
  <c r="GX541"/>
  <c r="GY541"/>
  <c r="GZ541"/>
  <c r="HA541"/>
  <c r="HB541"/>
  <c r="HC541"/>
  <c r="HD541"/>
  <c r="HE541"/>
  <c r="HF541"/>
  <c r="HG541"/>
  <c r="HH541"/>
  <c r="HI541"/>
  <c r="HJ541"/>
  <c r="HK541"/>
  <c r="HL541"/>
  <c r="HM541"/>
  <c r="HN541"/>
  <c r="HO541"/>
  <c r="HP541"/>
  <c r="HQ541"/>
  <c r="HR541"/>
  <c r="HS541"/>
  <c r="HT541"/>
  <c r="HU541"/>
  <c r="HV541"/>
  <c r="HW541"/>
  <c r="HX541"/>
  <c r="HY541"/>
  <c r="HZ541"/>
  <c r="IA541"/>
  <c r="IB541"/>
  <c r="IC541"/>
  <c r="ID541"/>
  <c r="IE541"/>
  <c r="IF541"/>
  <c r="IG541"/>
  <c r="IH541"/>
  <c r="II541"/>
  <c r="IJ541"/>
  <c r="IK541"/>
  <c r="IL541"/>
  <c r="IM541"/>
  <c r="IN541"/>
  <c r="IO541"/>
  <c r="IP541"/>
  <c r="IQ541"/>
  <c r="IR541"/>
  <c r="IS541"/>
  <c r="IT541"/>
  <c r="IU541"/>
  <c r="IV541"/>
  <c r="A542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Z542"/>
  <c r="AA542"/>
  <c r="AB542"/>
  <c r="AC542"/>
  <c r="AD542"/>
  <c r="AE542"/>
  <c r="AF542"/>
  <c r="AG542"/>
  <c r="AH542"/>
  <c r="AI542"/>
  <c r="AJ542"/>
  <c r="AK542"/>
  <c r="AL542"/>
  <c r="AM542"/>
  <c r="AN542"/>
  <c r="AO542"/>
  <c r="AP542"/>
  <c r="AQ542"/>
  <c r="AR542"/>
  <c r="AS542"/>
  <c r="AT542"/>
  <c r="AU542"/>
  <c r="AV542"/>
  <c r="AW542"/>
  <c r="AX542"/>
  <c r="AY542"/>
  <c r="AZ542"/>
  <c r="BA542"/>
  <c r="BB542"/>
  <c r="BC542"/>
  <c r="BD542"/>
  <c r="BE542"/>
  <c r="BF542"/>
  <c r="BG542"/>
  <c r="BH542"/>
  <c r="BI542"/>
  <c r="BJ542"/>
  <c r="BK542"/>
  <c r="BL542"/>
  <c r="BM542"/>
  <c r="BN542"/>
  <c r="BO542"/>
  <c r="BP542"/>
  <c r="BQ542"/>
  <c r="BR542"/>
  <c r="BS542"/>
  <c r="BT542"/>
  <c r="BU542"/>
  <c r="BV542"/>
  <c r="BW542"/>
  <c r="BX542"/>
  <c r="BY542"/>
  <c r="BZ542"/>
  <c r="CA542"/>
  <c r="CB542"/>
  <c r="CC542"/>
  <c r="CD542"/>
  <c r="CE542"/>
  <c r="CF542"/>
  <c r="CG542"/>
  <c r="CH542"/>
  <c r="CI542"/>
  <c r="CJ542"/>
  <c r="CK542"/>
  <c r="CL542"/>
  <c r="CM542"/>
  <c r="CN542"/>
  <c r="CO542"/>
  <c r="CP542"/>
  <c r="CQ542"/>
  <c r="CR542"/>
  <c r="CS542"/>
  <c r="CT542"/>
  <c r="CU542"/>
  <c r="CV542"/>
  <c r="CW542"/>
  <c r="CX542"/>
  <c r="CY542"/>
  <c r="CZ542"/>
  <c r="DA542"/>
  <c r="DB542"/>
  <c r="DC542"/>
  <c r="DD542"/>
  <c r="DE542"/>
  <c r="DF542"/>
  <c r="DG542"/>
  <c r="DH542"/>
  <c r="DI542"/>
  <c r="DJ542"/>
  <c r="DK542"/>
  <c r="DL542"/>
  <c r="DM542"/>
  <c r="DN542"/>
  <c r="DO542"/>
  <c r="DP542"/>
  <c r="DQ542"/>
  <c r="DR542"/>
  <c r="DS542"/>
  <c r="DT542"/>
  <c r="DU542"/>
  <c r="DV542"/>
  <c r="DW542"/>
  <c r="DX542"/>
  <c r="DY542"/>
  <c r="DZ542"/>
  <c r="EA542"/>
  <c r="EB542"/>
  <c r="EC542"/>
  <c r="ED542"/>
  <c r="EE542"/>
  <c r="EF542"/>
  <c r="EG542"/>
  <c r="EH542"/>
  <c r="EI542"/>
  <c r="EJ542"/>
  <c r="EK542"/>
  <c r="EL542"/>
  <c r="EM542"/>
  <c r="EN542"/>
  <c r="EO542"/>
  <c r="EP542"/>
  <c r="EQ542"/>
  <c r="ER542"/>
  <c r="ES542"/>
  <c r="ET542"/>
  <c r="EU542"/>
  <c r="EV542"/>
  <c r="EW542"/>
  <c r="EX542"/>
  <c r="EY542"/>
  <c r="EZ542"/>
  <c r="FA542"/>
  <c r="FB542"/>
  <c r="FC542"/>
  <c r="FD542"/>
  <c r="FE542"/>
  <c r="FF542"/>
  <c r="FG542"/>
  <c r="FH542"/>
  <c r="FI542"/>
  <c r="FJ542"/>
  <c r="FK542"/>
  <c r="FL542"/>
  <c r="FM542"/>
  <c r="FN542"/>
  <c r="FO542"/>
  <c r="FP542"/>
  <c r="FQ542"/>
  <c r="FR542"/>
  <c r="FS542"/>
  <c r="FT542"/>
  <c r="FU542"/>
  <c r="FV542"/>
  <c r="FW542"/>
  <c r="FX542"/>
  <c r="FY542"/>
  <c r="FZ542"/>
  <c r="GA542"/>
  <c r="GB542"/>
  <c r="GC542"/>
  <c r="GD542"/>
  <c r="GE542"/>
  <c r="GF542"/>
  <c r="GG542"/>
  <c r="GH542"/>
  <c r="GI542"/>
  <c r="GJ542"/>
  <c r="GK542"/>
  <c r="GL542"/>
  <c r="GM542"/>
  <c r="GN542"/>
  <c r="GO542"/>
  <c r="GP542"/>
  <c r="GQ542"/>
  <c r="GR542"/>
  <c r="GS542"/>
  <c r="GT542"/>
  <c r="GU542"/>
  <c r="GV542"/>
  <c r="GW542"/>
  <c r="GX542"/>
  <c r="GY542"/>
  <c r="GZ542"/>
  <c r="HA542"/>
  <c r="HB542"/>
  <c r="HC542"/>
  <c r="HD542"/>
  <c r="HE542"/>
  <c r="HF542"/>
  <c r="HG542"/>
  <c r="HH542"/>
  <c r="HI542"/>
  <c r="HJ542"/>
  <c r="HK542"/>
  <c r="HL542"/>
  <c r="HM542"/>
  <c r="HN542"/>
  <c r="HO542"/>
  <c r="HP542"/>
  <c r="HQ542"/>
  <c r="HR542"/>
  <c r="HS542"/>
  <c r="HT542"/>
  <c r="HU542"/>
  <c r="HV542"/>
  <c r="HW542"/>
  <c r="HX542"/>
  <c r="HY542"/>
  <c r="HZ542"/>
  <c r="IA542"/>
  <c r="IB542"/>
  <c r="IC542"/>
  <c r="ID542"/>
  <c r="IE542"/>
  <c r="IF542"/>
  <c r="IG542"/>
  <c r="IH542"/>
  <c r="II542"/>
  <c r="IJ542"/>
  <c r="IK542"/>
  <c r="IL542"/>
  <c r="IM542"/>
  <c r="IN542"/>
  <c r="IO542"/>
  <c r="IP542"/>
  <c r="IQ542"/>
  <c r="IR542"/>
  <c r="IS542"/>
  <c r="IT542"/>
  <c r="IU542"/>
  <c r="IV542"/>
  <c r="A543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Z543"/>
  <c r="AA543"/>
  <c r="AB543"/>
  <c r="AC543"/>
  <c r="AD543"/>
  <c r="AE543"/>
  <c r="AF543"/>
  <c r="AG543"/>
  <c r="AH543"/>
  <c r="AI543"/>
  <c r="AJ543"/>
  <c r="AK543"/>
  <c r="AL543"/>
  <c r="AM543"/>
  <c r="AN543"/>
  <c r="AO543"/>
  <c r="AP543"/>
  <c r="AQ543"/>
  <c r="AR543"/>
  <c r="AS543"/>
  <c r="AT543"/>
  <c r="AU543"/>
  <c r="AV543"/>
  <c r="AW543"/>
  <c r="AX543"/>
  <c r="AY543"/>
  <c r="AZ543"/>
  <c r="BA543"/>
  <c r="BB543"/>
  <c r="BC543"/>
  <c r="BD543"/>
  <c r="BE543"/>
  <c r="BF543"/>
  <c r="BG543"/>
  <c r="BH543"/>
  <c r="BI543"/>
  <c r="BJ543"/>
  <c r="BK543"/>
  <c r="BL543"/>
  <c r="BM543"/>
  <c r="BN543"/>
  <c r="BO543"/>
  <c r="BP543"/>
  <c r="BQ543"/>
  <c r="BR543"/>
  <c r="BS543"/>
  <c r="BT543"/>
  <c r="BU543"/>
  <c r="BV543"/>
  <c r="BW543"/>
  <c r="BX543"/>
  <c r="BY543"/>
  <c r="BZ543"/>
  <c r="CA543"/>
  <c r="CB543"/>
  <c r="CC543"/>
  <c r="CD543"/>
  <c r="CE543"/>
  <c r="CF543"/>
  <c r="CG543"/>
  <c r="CH543"/>
  <c r="CI543"/>
  <c r="CJ543"/>
  <c r="CK543"/>
  <c r="CL543"/>
  <c r="CM543"/>
  <c r="CN543"/>
  <c r="CO543"/>
  <c r="CP543"/>
  <c r="CQ543"/>
  <c r="CR543"/>
  <c r="CS543"/>
  <c r="CT543"/>
  <c r="CU543"/>
  <c r="CV543"/>
  <c r="CW543"/>
  <c r="CX543"/>
  <c r="CY543"/>
  <c r="CZ543"/>
  <c r="DA543"/>
  <c r="DB543"/>
  <c r="DC543"/>
  <c r="DD543"/>
  <c r="DE543"/>
  <c r="DF543"/>
  <c r="DG543"/>
  <c r="DH543"/>
  <c r="DI543"/>
  <c r="DJ543"/>
  <c r="DK543"/>
  <c r="DL543"/>
  <c r="DM543"/>
  <c r="DN543"/>
  <c r="DO543"/>
  <c r="DP543"/>
  <c r="DQ543"/>
  <c r="DR543"/>
  <c r="DS543"/>
  <c r="DT543"/>
  <c r="DU543"/>
  <c r="DV543"/>
  <c r="DW543"/>
  <c r="DX543"/>
  <c r="DY543"/>
  <c r="DZ543"/>
  <c r="EA543"/>
  <c r="EB543"/>
  <c r="EC543"/>
  <c r="ED543"/>
  <c r="EE543"/>
  <c r="EF543"/>
  <c r="EG543"/>
  <c r="EH543"/>
  <c r="EI543"/>
  <c r="EJ543"/>
  <c r="EK543"/>
  <c r="EL543"/>
  <c r="EM543"/>
  <c r="EN543"/>
  <c r="EO543"/>
  <c r="EP543"/>
  <c r="EQ543"/>
  <c r="ER543"/>
  <c r="ES543"/>
  <c r="ET543"/>
  <c r="EU543"/>
  <c r="EV543"/>
  <c r="EW543"/>
  <c r="EX543"/>
  <c r="EY543"/>
  <c r="EZ543"/>
  <c r="FA543"/>
  <c r="FB543"/>
  <c r="FC543"/>
  <c r="FD543"/>
  <c r="FE543"/>
  <c r="FF543"/>
  <c r="FG543"/>
  <c r="FH543"/>
  <c r="FI543"/>
  <c r="FJ543"/>
  <c r="FK543"/>
  <c r="FL543"/>
  <c r="FM543"/>
  <c r="FN543"/>
  <c r="FO543"/>
  <c r="FP543"/>
  <c r="FQ543"/>
  <c r="FR543"/>
  <c r="FS543"/>
  <c r="FT543"/>
  <c r="FU543"/>
  <c r="FV543"/>
  <c r="FW543"/>
  <c r="FX543"/>
  <c r="FY543"/>
  <c r="FZ543"/>
  <c r="GA543"/>
  <c r="GB543"/>
  <c r="GC543"/>
  <c r="GD543"/>
  <c r="GE543"/>
  <c r="GF543"/>
  <c r="GG543"/>
  <c r="GH543"/>
  <c r="GI543"/>
  <c r="GJ543"/>
  <c r="GK543"/>
  <c r="GL543"/>
  <c r="GM543"/>
  <c r="GN543"/>
  <c r="GO543"/>
  <c r="GP543"/>
  <c r="GQ543"/>
  <c r="GR543"/>
  <c r="GS543"/>
  <c r="GT543"/>
  <c r="GU543"/>
  <c r="GV543"/>
  <c r="GW543"/>
  <c r="GX543"/>
  <c r="GY543"/>
  <c r="GZ543"/>
  <c r="HA543"/>
  <c r="HB543"/>
  <c r="HC543"/>
  <c r="HD543"/>
  <c r="HE543"/>
  <c r="HF543"/>
  <c r="HG543"/>
  <c r="HH543"/>
  <c r="HI543"/>
  <c r="HJ543"/>
  <c r="HK543"/>
  <c r="HL543"/>
  <c r="HM543"/>
  <c r="HN543"/>
  <c r="HO543"/>
  <c r="HP543"/>
  <c r="HQ543"/>
  <c r="HR543"/>
  <c r="HS543"/>
  <c r="HT543"/>
  <c r="HU543"/>
  <c r="HV543"/>
  <c r="HW543"/>
  <c r="HX543"/>
  <c r="HY543"/>
  <c r="HZ543"/>
  <c r="IA543"/>
  <c r="IB543"/>
  <c r="IC543"/>
  <c r="ID543"/>
  <c r="IE543"/>
  <c r="IF543"/>
  <c r="IG543"/>
  <c r="IH543"/>
  <c r="II543"/>
  <c r="IJ543"/>
  <c r="IK543"/>
  <c r="IL543"/>
  <c r="IM543"/>
  <c r="IN543"/>
  <c r="IO543"/>
  <c r="IP543"/>
  <c r="IQ543"/>
  <c r="IR543"/>
  <c r="IS543"/>
  <c r="IT543"/>
  <c r="IU543"/>
  <c r="IV543"/>
  <c r="A544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Z544"/>
  <c r="AA544"/>
  <c r="AB544"/>
  <c r="AC544"/>
  <c r="AD544"/>
  <c r="AE544"/>
  <c r="AF544"/>
  <c r="AG544"/>
  <c r="AH544"/>
  <c r="AI544"/>
  <c r="AJ544"/>
  <c r="AK544"/>
  <c r="AL544"/>
  <c r="AM544"/>
  <c r="AN544"/>
  <c r="AO544"/>
  <c r="AP544"/>
  <c r="AQ544"/>
  <c r="AR544"/>
  <c r="AS544"/>
  <c r="AT544"/>
  <c r="AU544"/>
  <c r="AV544"/>
  <c r="AW544"/>
  <c r="AX544"/>
  <c r="AY544"/>
  <c r="AZ544"/>
  <c r="BA544"/>
  <c r="BB544"/>
  <c r="BC544"/>
  <c r="BD544"/>
  <c r="BE544"/>
  <c r="BF544"/>
  <c r="BG544"/>
  <c r="BH544"/>
  <c r="BI544"/>
  <c r="BJ544"/>
  <c r="BK544"/>
  <c r="BL544"/>
  <c r="BM544"/>
  <c r="BN544"/>
  <c r="BO544"/>
  <c r="BP544"/>
  <c r="BQ544"/>
  <c r="BR544"/>
  <c r="BS544"/>
  <c r="BT544"/>
  <c r="BU544"/>
  <c r="BV544"/>
  <c r="BW544"/>
  <c r="BX544"/>
  <c r="BY544"/>
  <c r="BZ544"/>
  <c r="CA544"/>
  <c r="CB544"/>
  <c r="CC544"/>
  <c r="CD544"/>
  <c r="CE544"/>
  <c r="CF544"/>
  <c r="CG544"/>
  <c r="CH544"/>
  <c r="CI544"/>
  <c r="CJ544"/>
  <c r="CK544"/>
  <c r="CL544"/>
  <c r="CM544"/>
  <c r="CN544"/>
  <c r="CO544"/>
  <c r="CP544"/>
  <c r="CQ544"/>
  <c r="CR544"/>
  <c r="CS544"/>
  <c r="CT544"/>
  <c r="CU544"/>
  <c r="CV544"/>
  <c r="CW544"/>
  <c r="CX544"/>
  <c r="CY544"/>
  <c r="CZ544"/>
  <c r="DA544"/>
  <c r="DB544"/>
  <c r="DC544"/>
  <c r="DD544"/>
  <c r="DE544"/>
  <c r="DF544"/>
  <c r="DG544"/>
  <c r="DH544"/>
  <c r="DI544"/>
  <c r="DJ544"/>
  <c r="DK544"/>
  <c r="DL544"/>
  <c r="DM544"/>
  <c r="DN544"/>
  <c r="DO544"/>
  <c r="DP544"/>
  <c r="DQ544"/>
  <c r="DR544"/>
  <c r="DS544"/>
  <c r="DT544"/>
  <c r="DU544"/>
  <c r="DV544"/>
  <c r="DW544"/>
  <c r="DX544"/>
  <c r="DY544"/>
  <c r="DZ544"/>
  <c r="EA544"/>
  <c r="EB544"/>
  <c r="EC544"/>
  <c r="ED544"/>
  <c r="EE544"/>
  <c r="EF544"/>
  <c r="EG544"/>
  <c r="EH544"/>
  <c r="EI544"/>
  <c r="EJ544"/>
  <c r="EK544"/>
  <c r="EL544"/>
  <c r="EM544"/>
  <c r="EN544"/>
  <c r="EO544"/>
  <c r="EP544"/>
  <c r="EQ544"/>
  <c r="ER544"/>
  <c r="ES544"/>
  <c r="ET544"/>
  <c r="EU544"/>
  <c r="EV544"/>
  <c r="EW544"/>
  <c r="EX544"/>
  <c r="EY544"/>
  <c r="EZ544"/>
  <c r="FA544"/>
  <c r="FB544"/>
  <c r="FC544"/>
  <c r="FD544"/>
  <c r="FE544"/>
  <c r="FF544"/>
  <c r="FG544"/>
  <c r="FH544"/>
  <c r="FI544"/>
  <c r="FJ544"/>
  <c r="FK544"/>
  <c r="FL544"/>
  <c r="FM544"/>
  <c r="FN544"/>
  <c r="FO544"/>
  <c r="FP544"/>
  <c r="FQ544"/>
  <c r="FR544"/>
  <c r="FS544"/>
  <c r="FT544"/>
  <c r="FU544"/>
  <c r="FV544"/>
  <c r="FW544"/>
  <c r="FX544"/>
  <c r="FY544"/>
  <c r="FZ544"/>
  <c r="GA544"/>
  <c r="GB544"/>
  <c r="GC544"/>
  <c r="GD544"/>
  <c r="GE544"/>
  <c r="GF544"/>
  <c r="GG544"/>
  <c r="GH544"/>
  <c r="GI544"/>
  <c r="GJ544"/>
  <c r="GK544"/>
  <c r="GL544"/>
  <c r="GM544"/>
  <c r="GN544"/>
  <c r="GO544"/>
  <c r="GP544"/>
  <c r="GQ544"/>
  <c r="GR544"/>
  <c r="GS544"/>
  <c r="GT544"/>
  <c r="GU544"/>
  <c r="GV544"/>
  <c r="GW544"/>
  <c r="GX544"/>
  <c r="GY544"/>
  <c r="GZ544"/>
  <c r="HA544"/>
  <c r="HB544"/>
  <c r="HC544"/>
  <c r="HD544"/>
  <c r="HE544"/>
  <c r="HF544"/>
  <c r="HG544"/>
  <c r="HH544"/>
  <c r="HI544"/>
  <c r="HJ544"/>
  <c r="HK544"/>
  <c r="HL544"/>
  <c r="HM544"/>
  <c r="HN544"/>
  <c r="HO544"/>
  <c r="HP544"/>
  <c r="HQ544"/>
  <c r="HR544"/>
  <c r="HS544"/>
  <c r="HT544"/>
  <c r="HU544"/>
  <c r="HV544"/>
  <c r="HW544"/>
  <c r="HX544"/>
  <c r="HY544"/>
  <c r="HZ544"/>
  <c r="IA544"/>
  <c r="IB544"/>
  <c r="IC544"/>
  <c r="ID544"/>
  <c r="IE544"/>
  <c r="IF544"/>
  <c r="IG544"/>
  <c r="IH544"/>
  <c r="II544"/>
  <c r="IJ544"/>
  <c r="IK544"/>
  <c r="IL544"/>
  <c r="IM544"/>
  <c r="IN544"/>
  <c r="IO544"/>
  <c r="IP544"/>
  <c r="IQ544"/>
  <c r="IR544"/>
  <c r="IS544"/>
  <c r="IT544"/>
  <c r="IU544"/>
  <c r="IV544"/>
  <c r="A545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Z545"/>
  <c r="AA545"/>
  <c r="AB545"/>
  <c r="AC545"/>
  <c r="AD545"/>
  <c r="AE545"/>
  <c r="AF545"/>
  <c r="AG545"/>
  <c r="AH545"/>
  <c r="AI545"/>
  <c r="AJ545"/>
  <c r="AK545"/>
  <c r="AL545"/>
  <c r="AM545"/>
  <c r="AN545"/>
  <c r="AO545"/>
  <c r="AP545"/>
  <c r="AQ545"/>
  <c r="AR545"/>
  <c r="AS545"/>
  <c r="AT545"/>
  <c r="AU545"/>
  <c r="AV545"/>
  <c r="AW545"/>
  <c r="AX545"/>
  <c r="AY545"/>
  <c r="AZ545"/>
  <c r="BA545"/>
  <c r="BB545"/>
  <c r="BC545"/>
  <c r="BD545"/>
  <c r="BE545"/>
  <c r="BF545"/>
  <c r="BG545"/>
  <c r="BH545"/>
  <c r="BI545"/>
  <c r="BJ545"/>
  <c r="BK545"/>
  <c r="BL545"/>
  <c r="BM545"/>
  <c r="BN545"/>
  <c r="BO545"/>
  <c r="BP545"/>
  <c r="BQ545"/>
  <c r="BR545"/>
  <c r="BS545"/>
  <c r="BT545"/>
  <c r="BU545"/>
  <c r="BV545"/>
  <c r="BW545"/>
  <c r="BX545"/>
  <c r="BY545"/>
  <c r="BZ545"/>
  <c r="CA545"/>
  <c r="CB545"/>
  <c r="CC545"/>
  <c r="CD545"/>
  <c r="CE545"/>
  <c r="CF545"/>
  <c r="CG545"/>
  <c r="CH545"/>
  <c r="CI545"/>
  <c r="CJ545"/>
  <c r="CK545"/>
  <c r="CL545"/>
  <c r="CM545"/>
  <c r="CN545"/>
  <c r="CO545"/>
  <c r="CP545"/>
  <c r="CQ545"/>
  <c r="CR545"/>
  <c r="CS545"/>
  <c r="CT545"/>
  <c r="CU545"/>
  <c r="CV545"/>
  <c r="CW545"/>
  <c r="CX545"/>
  <c r="CY545"/>
  <c r="CZ545"/>
  <c r="DA545"/>
  <c r="DB545"/>
  <c r="DC545"/>
  <c r="DD545"/>
  <c r="DE545"/>
  <c r="DF545"/>
  <c r="DG545"/>
  <c r="DH545"/>
  <c r="DI545"/>
  <c r="DJ545"/>
  <c r="DK545"/>
  <c r="DL545"/>
  <c r="DM545"/>
  <c r="DN545"/>
  <c r="DO545"/>
  <c r="DP545"/>
  <c r="DQ545"/>
  <c r="DR545"/>
  <c r="DS545"/>
  <c r="DT545"/>
  <c r="DU545"/>
  <c r="DV545"/>
  <c r="DW545"/>
  <c r="DX545"/>
  <c r="DY545"/>
  <c r="DZ545"/>
  <c r="EA545"/>
  <c r="EB545"/>
  <c r="EC545"/>
  <c r="ED545"/>
  <c r="EE545"/>
  <c r="EF545"/>
  <c r="EG545"/>
  <c r="EH545"/>
  <c r="EI545"/>
  <c r="EJ545"/>
  <c r="EK545"/>
  <c r="EL545"/>
  <c r="EM545"/>
  <c r="EN545"/>
  <c r="EO545"/>
  <c r="EP545"/>
  <c r="EQ545"/>
  <c r="ER545"/>
  <c r="ES545"/>
  <c r="ET545"/>
  <c r="EU545"/>
  <c r="EV545"/>
  <c r="EW545"/>
  <c r="EX545"/>
  <c r="EY545"/>
  <c r="EZ545"/>
  <c r="FA545"/>
  <c r="FB545"/>
  <c r="FC545"/>
  <c r="FD545"/>
  <c r="FE545"/>
  <c r="FF545"/>
  <c r="FG545"/>
  <c r="FH545"/>
  <c r="FI545"/>
  <c r="FJ545"/>
  <c r="FK545"/>
  <c r="FL545"/>
  <c r="FM545"/>
  <c r="FN545"/>
  <c r="FO545"/>
  <c r="FP545"/>
  <c r="FQ545"/>
  <c r="FR545"/>
  <c r="FS545"/>
  <c r="FT545"/>
  <c r="FU545"/>
  <c r="FV545"/>
  <c r="FW545"/>
  <c r="FX545"/>
  <c r="FY545"/>
  <c r="FZ545"/>
  <c r="GA545"/>
  <c r="GB545"/>
  <c r="GC545"/>
  <c r="GD545"/>
  <c r="GE545"/>
  <c r="GF545"/>
  <c r="GG545"/>
  <c r="GH545"/>
  <c r="GI545"/>
  <c r="GJ545"/>
  <c r="GK545"/>
  <c r="GL545"/>
  <c r="GM545"/>
  <c r="GN545"/>
  <c r="GO545"/>
  <c r="GP545"/>
  <c r="GQ545"/>
  <c r="GR545"/>
  <c r="GS545"/>
  <c r="GT545"/>
  <c r="GU545"/>
  <c r="GV545"/>
  <c r="GW545"/>
  <c r="GX545"/>
  <c r="GY545"/>
  <c r="GZ545"/>
  <c r="HA545"/>
  <c r="HB545"/>
  <c r="HC545"/>
  <c r="HD545"/>
  <c r="HE545"/>
  <c r="HF545"/>
  <c r="HG545"/>
  <c r="HH545"/>
  <c r="HI545"/>
  <c r="HJ545"/>
  <c r="HK545"/>
  <c r="HL545"/>
  <c r="HM545"/>
  <c r="HN545"/>
  <c r="HO545"/>
  <c r="HP545"/>
  <c r="HQ545"/>
  <c r="HR545"/>
  <c r="HS545"/>
  <c r="HT545"/>
  <c r="HU545"/>
  <c r="HV545"/>
  <c r="HW545"/>
  <c r="HX545"/>
  <c r="HY545"/>
  <c r="HZ545"/>
  <c r="IA545"/>
  <c r="IB545"/>
  <c r="IC545"/>
  <c r="ID545"/>
  <c r="IE545"/>
  <c r="IF545"/>
  <c r="IG545"/>
  <c r="IH545"/>
  <c r="II545"/>
  <c r="IJ545"/>
  <c r="IK545"/>
  <c r="IL545"/>
  <c r="IM545"/>
  <c r="IN545"/>
  <c r="IO545"/>
  <c r="IP545"/>
  <c r="IQ545"/>
  <c r="IR545"/>
  <c r="IS545"/>
  <c r="IT545"/>
  <c r="IU545"/>
  <c r="IV545"/>
  <c r="A546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Z546"/>
  <c r="AA546"/>
  <c r="AB546"/>
  <c r="AC546"/>
  <c r="AD546"/>
  <c r="AE546"/>
  <c r="AF546"/>
  <c r="AG546"/>
  <c r="AH546"/>
  <c r="AI546"/>
  <c r="AJ546"/>
  <c r="AK546"/>
  <c r="AL546"/>
  <c r="AM546"/>
  <c r="AN546"/>
  <c r="AO546"/>
  <c r="AP546"/>
  <c r="AQ546"/>
  <c r="AR546"/>
  <c r="AS546"/>
  <c r="AT546"/>
  <c r="AU546"/>
  <c r="AV546"/>
  <c r="AW546"/>
  <c r="AX546"/>
  <c r="AY546"/>
  <c r="AZ546"/>
  <c r="BA546"/>
  <c r="BB546"/>
  <c r="BC546"/>
  <c r="BD546"/>
  <c r="BE546"/>
  <c r="BF546"/>
  <c r="BG546"/>
  <c r="BH546"/>
  <c r="BI546"/>
  <c r="BJ546"/>
  <c r="BK546"/>
  <c r="BL546"/>
  <c r="BM546"/>
  <c r="BN546"/>
  <c r="BO546"/>
  <c r="BP546"/>
  <c r="BQ546"/>
  <c r="BR546"/>
  <c r="BS546"/>
  <c r="BT546"/>
  <c r="BU546"/>
  <c r="BV546"/>
  <c r="BW546"/>
  <c r="BX546"/>
  <c r="BY546"/>
  <c r="BZ546"/>
  <c r="CA546"/>
  <c r="CB546"/>
  <c r="CC546"/>
  <c r="CD546"/>
  <c r="CE546"/>
  <c r="CF546"/>
  <c r="CG546"/>
  <c r="CH546"/>
  <c r="CI546"/>
  <c r="CJ546"/>
  <c r="CK546"/>
  <c r="CL546"/>
  <c r="CM546"/>
  <c r="CN546"/>
  <c r="CO546"/>
  <c r="CP546"/>
  <c r="CQ546"/>
  <c r="CR546"/>
  <c r="CS546"/>
  <c r="CT546"/>
  <c r="CU546"/>
  <c r="CV546"/>
  <c r="CW546"/>
  <c r="CX546"/>
  <c r="CY546"/>
  <c r="CZ546"/>
  <c r="DA546"/>
  <c r="DB546"/>
  <c r="DC546"/>
  <c r="DD546"/>
  <c r="DE546"/>
  <c r="DF546"/>
  <c r="DG546"/>
  <c r="DH546"/>
  <c r="DI546"/>
  <c r="DJ546"/>
  <c r="DK546"/>
  <c r="DL546"/>
  <c r="DM546"/>
  <c r="DN546"/>
  <c r="DO546"/>
  <c r="DP546"/>
  <c r="DQ546"/>
  <c r="DR546"/>
  <c r="DS546"/>
  <c r="DT546"/>
  <c r="DU546"/>
  <c r="DV546"/>
  <c r="DW546"/>
  <c r="DX546"/>
  <c r="DY546"/>
  <c r="DZ546"/>
  <c r="EA546"/>
  <c r="EB546"/>
  <c r="EC546"/>
  <c r="ED546"/>
  <c r="EE546"/>
  <c r="EF546"/>
  <c r="EG546"/>
  <c r="EH546"/>
  <c r="EI546"/>
  <c r="EJ546"/>
  <c r="EK546"/>
  <c r="EL546"/>
  <c r="EM546"/>
  <c r="EN546"/>
  <c r="EO546"/>
  <c r="EP546"/>
  <c r="EQ546"/>
  <c r="ER546"/>
  <c r="ES546"/>
  <c r="ET546"/>
  <c r="EU546"/>
  <c r="EV546"/>
  <c r="EW546"/>
  <c r="EX546"/>
  <c r="EY546"/>
  <c r="EZ546"/>
  <c r="FA546"/>
  <c r="FB546"/>
  <c r="FC546"/>
  <c r="FD546"/>
  <c r="FE546"/>
  <c r="FF546"/>
  <c r="FG546"/>
  <c r="FH546"/>
  <c r="FI546"/>
  <c r="FJ546"/>
  <c r="FK546"/>
  <c r="FL546"/>
  <c r="FM546"/>
  <c r="FN546"/>
  <c r="FO546"/>
  <c r="FP546"/>
  <c r="FQ546"/>
  <c r="FR546"/>
  <c r="FS546"/>
  <c r="FT546"/>
  <c r="FU546"/>
  <c r="FV546"/>
  <c r="FW546"/>
  <c r="FX546"/>
  <c r="FY546"/>
  <c r="FZ546"/>
  <c r="GA546"/>
  <c r="GB546"/>
  <c r="GC546"/>
  <c r="GD546"/>
  <c r="GE546"/>
  <c r="GF546"/>
  <c r="GG546"/>
  <c r="GH546"/>
  <c r="GI546"/>
  <c r="GJ546"/>
  <c r="GK546"/>
  <c r="GL546"/>
  <c r="GM546"/>
  <c r="GN546"/>
  <c r="GO546"/>
  <c r="GP546"/>
  <c r="GQ546"/>
  <c r="GR546"/>
  <c r="GS546"/>
  <c r="GT546"/>
  <c r="GU546"/>
  <c r="GV546"/>
  <c r="GW546"/>
  <c r="GX546"/>
  <c r="GY546"/>
  <c r="GZ546"/>
  <c r="HA546"/>
  <c r="HB546"/>
  <c r="HC546"/>
  <c r="HD546"/>
  <c r="HE546"/>
  <c r="HF546"/>
  <c r="HG546"/>
  <c r="HH546"/>
  <c r="HI546"/>
  <c r="HJ546"/>
  <c r="HK546"/>
  <c r="HL546"/>
  <c r="HM546"/>
  <c r="HN546"/>
  <c r="HO546"/>
  <c r="HP546"/>
  <c r="HQ546"/>
  <c r="HR546"/>
  <c r="HS546"/>
  <c r="HT546"/>
  <c r="HU546"/>
  <c r="HV546"/>
  <c r="HW546"/>
  <c r="HX546"/>
  <c r="HY546"/>
  <c r="HZ546"/>
  <c r="IA546"/>
  <c r="IB546"/>
  <c r="IC546"/>
  <c r="ID546"/>
  <c r="IE546"/>
  <c r="IF546"/>
  <c r="IG546"/>
  <c r="IH546"/>
  <c r="II546"/>
  <c r="IJ546"/>
  <c r="IK546"/>
  <c r="IL546"/>
  <c r="IM546"/>
  <c r="IN546"/>
  <c r="IO546"/>
  <c r="IP546"/>
  <c r="IQ546"/>
  <c r="IR546"/>
  <c r="IS546"/>
  <c r="IT546"/>
  <c r="IU546"/>
  <c r="IV546"/>
  <c r="A547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Z547"/>
  <c r="AA547"/>
  <c r="AB547"/>
  <c r="AC547"/>
  <c r="AD547"/>
  <c r="AE547"/>
  <c r="AF547"/>
  <c r="AG547"/>
  <c r="AH547"/>
  <c r="AI547"/>
  <c r="AJ547"/>
  <c r="AK547"/>
  <c r="AL547"/>
  <c r="AM547"/>
  <c r="AN547"/>
  <c r="AO547"/>
  <c r="AP547"/>
  <c r="AQ547"/>
  <c r="AR547"/>
  <c r="AS547"/>
  <c r="AT547"/>
  <c r="AU547"/>
  <c r="AV547"/>
  <c r="AW547"/>
  <c r="AX547"/>
  <c r="AY547"/>
  <c r="AZ547"/>
  <c r="BA547"/>
  <c r="BB547"/>
  <c r="BC547"/>
  <c r="BD547"/>
  <c r="BE547"/>
  <c r="BF547"/>
  <c r="BG547"/>
  <c r="BH547"/>
  <c r="BI547"/>
  <c r="BJ547"/>
  <c r="BK547"/>
  <c r="BL547"/>
  <c r="BM547"/>
  <c r="BN547"/>
  <c r="BO547"/>
  <c r="BP547"/>
  <c r="BQ547"/>
  <c r="BR547"/>
  <c r="BS547"/>
  <c r="BT547"/>
  <c r="BU547"/>
  <c r="BV547"/>
  <c r="BW547"/>
  <c r="BX547"/>
  <c r="BY547"/>
  <c r="BZ547"/>
  <c r="CA547"/>
  <c r="CB547"/>
  <c r="CC547"/>
  <c r="CD547"/>
  <c r="CE547"/>
  <c r="CF547"/>
  <c r="CG547"/>
  <c r="CH547"/>
  <c r="CI547"/>
  <c r="CJ547"/>
  <c r="CK547"/>
  <c r="CL547"/>
  <c r="CM547"/>
  <c r="CN547"/>
  <c r="CO547"/>
  <c r="CP547"/>
  <c r="CQ547"/>
  <c r="CR547"/>
  <c r="CS547"/>
  <c r="CT547"/>
  <c r="CU547"/>
  <c r="CV547"/>
  <c r="CW547"/>
  <c r="CX547"/>
  <c r="CY547"/>
  <c r="CZ547"/>
  <c r="DA547"/>
  <c r="DB547"/>
  <c r="DC547"/>
  <c r="DD547"/>
  <c r="DE547"/>
  <c r="DF547"/>
  <c r="DG547"/>
  <c r="DH547"/>
  <c r="DI547"/>
  <c r="DJ547"/>
  <c r="DK547"/>
  <c r="DL547"/>
  <c r="DM547"/>
  <c r="DN547"/>
  <c r="DO547"/>
  <c r="DP547"/>
  <c r="DQ547"/>
  <c r="DR547"/>
  <c r="DS547"/>
  <c r="DT547"/>
  <c r="DU547"/>
  <c r="DV547"/>
  <c r="DW547"/>
  <c r="DX547"/>
  <c r="DY547"/>
  <c r="DZ547"/>
  <c r="EA547"/>
  <c r="EB547"/>
  <c r="EC547"/>
  <c r="ED547"/>
  <c r="EE547"/>
  <c r="EF547"/>
  <c r="EG547"/>
  <c r="EH547"/>
  <c r="EI547"/>
  <c r="EJ547"/>
  <c r="EK547"/>
  <c r="EL547"/>
  <c r="EM547"/>
  <c r="EN547"/>
  <c r="EO547"/>
  <c r="EP547"/>
  <c r="EQ547"/>
  <c r="ER547"/>
  <c r="ES547"/>
  <c r="ET547"/>
  <c r="EU547"/>
  <c r="EV547"/>
  <c r="EW547"/>
  <c r="EX547"/>
  <c r="EY547"/>
  <c r="EZ547"/>
  <c r="FA547"/>
  <c r="FB547"/>
  <c r="FC547"/>
  <c r="FD547"/>
  <c r="FE547"/>
  <c r="FF547"/>
  <c r="FG547"/>
  <c r="FH547"/>
  <c r="FI547"/>
  <c r="FJ547"/>
  <c r="FK547"/>
  <c r="FL547"/>
  <c r="FM547"/>
  <c r="FN547"/>
  <c r="FO547"/>
  <c r="FP547"/>
  <c r="FQ547"/>
  <c r="FR547"/>
  <c r="FS547"/>
  <c r="FT547"/>
  <c r="FU547"/>
  <c r="FV547"/>
  <c r="FW547"/>
  <c r="FX547"/>
  <c r="FY547"/>
  <c r="FZ547"/>
  <c r="GA547"/>
  <c r="GB547"/>
  <c r="GC547"/>
  <c r="GD547"/>
  <c r="GE547"/>
  <c r="GF547"/>
  <c r="GG547"/>
  <c r="GH547"/>
  <c r="GI547"/>
  <c r="GJ547"/>
  <c r="GK547"/>
  <c r="GL547"/>
  <c r="GM547"/>
  <c r="GN547"/>
  <c r="GO547"/>
  <c r="GP547"/>
  <c r="GQ547"/>
  <c r="GR547"/>
  <c r="GS547"/>
  <c r="GT547"/>
  <c r="GU547"/>
  <c r="GV547"/>
  <c r="GW547"/>
  <c r="GX547"/>
  <c r="GY547"/>
  <c r="GZ547"/>
  <c r="HA547"/>
  <c r="HB547"/>
  <c r="HC547"/>
  <c r="HD547"/>
  <c r="HE547"/>
  <c r="HF547"/>
  <c r="HG547"/>
  <c r="HH547"/>
  <c r="HI547"/>
  <c r="HJ547"/>
  <c r="HK547"/>
  <c r="HL547"/>
  <c r="HM547"/>
  <c r="HN547"/>
  <c r="HO547"/>
  <c r="HP547"/>
  <c r="HQ547"/>
  <c r="HR547"/>
  <c r="HS547"/>
  <c r="HT547"/>
  <c r="HU547"/>
  <c r="HV547"/>
  <c r="HW547"/>
  <c r="HX547"/>
  <c r="HY547"/>
  <c r="HZ547"/>
  <c r="IA547"/>
  <c r="IB547"/>
  <c r="IC547"/>
  <c r="ID547"/>
  <c r="IE547"/>
  <c r="IF547"/>
  <c r="IG547"/>
  <c r="IH547"/>
  <c r="II547"/>
  <c r="IJ547"/>
  <c r="IK547"/>
  <c r="IL547"/>
  <c r="IM547"/>
  <c r="IN547"/>
  <c r="IO547"/>
  <c r="IP547"/>
  <c r="IQ547"/>
  <c r="IR547"/>
  <c r="IS547"/>
  <c r="IT547"/>
  <c r="IU547"/>
  <c r="IV547"/>
  <c r="A548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Z548"/>
  <c r="AA548"/>
  <c r="AB548"/>
  <c r="AC548"/>
  <c r="AD548"/>
  <c r="AE548"/>
  <c r="AF548"/>
  <c r="AG548"/>
  <c r="AH548"/>
  <c r="AI548"/>
  <c r="AJ548"/>
  <c r="AK548"/>
  <c r="AL548"/>
  <c r="AM548"/>
  <c r="AN548"/>
  <c r="AO548"/>
  <c r="AP548"/>
  <c r="AQ548"/>
  <c r="AR548"/>
  <c r="AS548"/>
  <c r="AT548"/>
  <c r="AU548"/>
  <c r="AV548"/>
  <c r="AW548"/>
  <c r="AX548"/>
  <c r="AY548"/>
  <c r="AZ548"/>
  <c r="BA548"/>
  <c r="BB548"/>
  <c r="BC548"/>
  <c r="BD548"/>
  <c r="BE548"/>
  <c r="BF548"/>
  <c r="BG548"/>
  <c r="BH548"/>
  <c r="BI548"/>
  <c r="BJ548"/>
  <c r="BK548"/>
  <c r="BL548"/>
  <c r="BM548"/>
  <c r="BN548"/>
  <c r="BO548"/>
  <c r="BP548"/>
  <c r="BQ548"/>
  <c r="BR548"/>
  <c r="BS548"/>
  <c r="BT548"/>
  <c r="BU548"/>
  <c r="BV548"/>
  <c r="BW548"/>
  <c r="BX548"/>
  <c r="BY548"/>
  <c r="BZ548"/>
  <c r="CA548"/>
  <c r="CB548"/>
  <c r="CC548"/>
  <c r="CD548"/>
  <c r="CE548"/>
  <c r="CF548"/>
  <c r="CG548"/>
  <c r="CH548"/>
  <c r="CI548"/>
  <c r="CJ548"/>
  <c r="CK548"/>
  <c r="CL548"/>
  <c r="CM548"/>
  <c r="CN548"/>
  <c r="CO548"/>
  <c r="CP548"/>
  <c r="CQ548"/>
  <c r="CR548"/>
  <c r="CS548"/>
  <c r="CT548"/>
  <c r="CU548"/>
  <c r="CV548"/>
  <c r="CW548"/>
  <c r="CX548"/>
  <c r="CY548"/>
  <c r="CZ548"/>
  <c r="DA548"/>
  <c r="DB548"/>
  <c r="DC548"/>
  <c r="DD548"/>
  <c r="DE548"/>
  <c r="DF548"/>
  <c r="DG548"/>
  <c r="DH548"/>
  <c r="DI548"/>
  <c r="DJ548"/>
  <c r="DK548"/>
  <c r="DL548"/>
  <c r="DM548"/>
  <c r="DN548"/>
  <c r="DO548"/>
  <c r="DP548"/>
  <c r="DQ548"/>
  <c r="DR548"/>
  <c r="DS548"/>
  <c r="DT548"/>
  <c r="DU548"/>
  <c r="DV548"/>
  <c r="DW548"/>
  <c r="DX548"/>
  <c r="DY548"/>
  <c r="DZ548"/>
  <c r="EA548"/>
  <c r="EB548"/>
  <c r="EC548"/>
  <c r="ED548"/>
  <c r="EE548"/>
  <c r="EF548"/>
  <c r="EG548"/>
  <c r="EH548"/>
  <c r="EI548"/>
  <c r="EJ548"/>
  <c r="EK548"/>
  <c r="EL548"/>
  <c r="EM548"/>
  <c r="EN548"/>
  <c r="EO548"/>
  <c r="EP548"/>
  <c r="EQ548"/>
  <c r="ER548"/>
  <c r="ES548"/>
  <c r="ET548"/>
  <c r="EU548"/>
  <c r="EV548"/>
  <c r="EW548"/>
  <c r="EX548"/>
  <c r="EY548"/>
  <c r="EZ548"/>
  <c r="FA548"/>
  <c r="FB548"/>
  <c r="FC548"/>
  <c r="FD548"/>
  <c r="FE548"/>
  <c r="FF548"/>
  <c r="FG548"/>
  <c r="FH548"/>
  <c r="FI548"/>
  <c r="FJ548"/>
  <c r="FK548"/>
  <c r="FL548"/>
  <c r="FM548"/>
  <c r="FN548"/>
  <c r="FO548"/>
  <c r="FP548"/>
  <c r="FQ548"/>
  <c r="FR548"/>
  <c r="FS548"/>
  <c r="FT548"/>
  <c r="FU548"/>
  <c r="FV548"/>
  <c r="FW548"/>
  <c r="FX548"/>
  <c r="FY548"/>
  <c r="FZ548"/>
  <c r="GA548"/>
  <c r="GB548"/>
  <c r="GC548"/>
  <c r="GD548"/>
  <c r="GE548"/>
  <c r="GF548"/>
  <c r="GG548"/>
  <c r="GH548"/>
  <c r="GI548"/>
  <c r="GJ548"/>
  <c r="GK548"/>
  <c r="GL548"/>
  <c r="GM548"/>
  <c r="GN548"/>
  <c r="GO548"/>
  <c r="GP548"/>
  <c r="GQ548"/>
  <c r="GR548"/>
  <c r="GS548"/>
  <c r="GT548"/>
  <c r="GU548"/>
  <c r="GV548"/>
  <c r="GW548"/>
  <c r="GX548"/>
  <c r="GY548"/>
  <c r="GZ548"/>
  <c r="HA548"/>
  <c r="HB548"/>
  <c r="HC548"/>
  <c r="HD548"/>
  <c r="HE548"/>
  <c r="HF548"/>
  <c r="HG548"/>
  <c r="HH548"/>
  <c r="HI548"/>
  <c r="HJ548"/>
  <c r="HK548"/>
  <c r="HL548"/>
  <c r="HM548"/>
  <c r="HN548"/>
  <c r="HO548"/>
  <c r="HP548"/>
  <c r="HQ548"/>
  <c r="HR548"/>
  <c r="HS548"/>
  <c r="HT548"/>
  <c r="HU548"/>
  <c r="HV548"/>
  <c r="HW548"/>
  <c r="HX548"/>
  <c r="HY548"/>
  <c r="HZ548"/>
  <c r="IA548"/>
  <c r="IB548"/>
  <c r="IC548"/>
  <c r="ID548"/>
  <c r="IE548"/>
  <c r="IF548"/>
  <c r="IG548"/>
  <c r="IH548"/>
  <c r="II548"/>
  <c r="IJ548"/>
  <c r="IK548"/>
  <c r="IL548"/>
  <c r="IM548"/>
  <c r="IN548"/>
  <c r="IO548"/>
  <c r="IP548"/>
  <c r="IQ548"/>
  <c r="IR548"/>
  <c r="IS548"/>
  <c r="IT548"/>
  <c r="IU548"/>
  <c r="IV548"/>
  <c r="A549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Z549"/>
  <c r="AA549"/>
  <c r="AB549"/>
  <c r="AC549"/>
  <c r="AD549"/>
  <c r="AE549"/>
  <c r="AF549"/>
  <c r="AG549"/>
  <c r="AH549"/>
  <c r="AI549"/>
  <c r="AJ549"/>
  <c r="AK549"/>
  <c r="AL549"/>
  <c r="AM549"/>
  <c r="AN549"/>
  <c r="AO549"/>
  <c r="AP549"/>
  <c r="AQ549"/>
  <c r="AR549"/>
  <c r="AS549"/>
  <c r="AT549"/>
  <c r="AU549"/>
  <c r="AV549"/>
  <c r="AW549"/>
  <c r="AX549"/>
  <c r="AY549"/>
  <c r="AZ549"/>
  <c r="BA549"/>
  <c r="BB549"/>
  <c r="BC549"/>
  <c r="BD549"/>
  <c r="BE549"/>
  <c r="BF549"/>
  <c r="BG549"/>
  <c r="BH549"/>
  <c r="BI549"/>
  <c r="BJ549"/>
  <c r="BK549"/>
  <c r="BL549"/>
  <c r="BM549"/>
  <c r="BN549"/>
  <c r="BO549"/>
  <c r="BP549"/>
  <c r="BQ549"/>
  <c r="BR549"/>
  <c r="BS549"/>
  <c r="BT549"/>
  <c r="BU549"/>
  <c r="BV549"/>
  <c r="BW549"/>
  <c r="BX549"/>
  <c r="BY549"/>
  <c r="BZ549"/>
  <c r="CA549"/>
  <c r="CB549"/>
  <c r="CC549"/>
  <c r="CD549"/>
  <c r="CE549"/>
  <c r="CF549"/>
  <c r="CG549"/>
  <c r="CH549"/>
  <c r="CI549"/>
  <c r="CJ549"/>
  <c r="CK549"/>
  <c r="CL549"/>
  <c r="CM549"/>
  <c r="CN549"/>
  <c r="CO549"/>
  <c r="CP549"/>
  <c r="CQ549"/>
  <c r="CR549"/>
  <c r="CS549"/>
  <c r="CT549"/>
  <c r="CU549"/>
  <c r="CV549"/>
  <c r="CW549"/>
  <c r="CX549"/>
  <c r="CY549"/>
  <c r="CZ549"/>
  <c r="DA549"/>
  <c r="DB549"/>
  <c r="DC549"/>
  <c r="DD549"/>
  <c r="DE549"/>
  <c r="DF549"/>
  <c r="DG549"/>
  <c r="DH549"/>
  <c r="DI549"/>
  <c r="DJ549"/>
  <c r="DK549"/>
  <c r="DL549"/>
  <c r="DM549"/>
  <c r="DN549"/>
  <c r="DO549"/>
  <c r="DP549"/>
  <c r="DQ549"/>
  <c r="DR549"/>
  <c r="DS549"/>
  <c r="DT549"/>
  <c r="DU549"/>
  <c r="DV549"/>
  <c r="DW549"/>
  <c r="DX549"/>
  <c r="DY549"/>
  <c r="DZ549"/>
  <c r="EA549"/>
  <c r="EB549"/>
  <c r="EC549"/>
  <c r="ED549"/>
  <c r="EE549"/>
  <c r="EF549"/>
  <c r="EG549"/>
  <c r="EH549"/>
  <c r="EI549"/>
  <c r="EJ549"/>
  <c r="EK549"/>
  <c r="EL549"/>
  <c r="EM549"/>
  <c r="EN549"/>
  <c r="EO549"/>
  <c r="EP549"/>
  <c r="EQ549"/>
  <c r="ER549"/>
  <c r="ES549"/>
  <c r="ET549"/>
  <c r="EU549"/>
  <c r="EV549"/>
  <c r="EW549"/>
  <c r="EX549"/>
  <c r="EY549"/>
  <c r="EZ549"/>
  <c r="FA549"/>
  <c r="FB549"/>
  <c r="FC549"/>
  <c r="FD549"/>
  <c r="FE549"/>
  <c r="FF549"/>
  <c r="FG549"/>
  <c r="FH549"/>
  <c r="FI549"/>
  <c r="FJ549"/>
  <c r="FK549"/>
  <c r="FL549"/>
  <c r="FM549"/>
  <c r="FN549"/>
  <c r="FO549"/>
  <c r="FP549"/>
  <c r="FQ549"/>
  <c r="FR549"/>
  <c r="FS549"/>
  <c r="FT549"/>
  <c r="FU549"/>
  <c r="FV549"/>
  <c r="FW549"/>
  <c r="FX549"/>
  <c r="FY549"/>
  <c r="FZ549"/>
  <c r="GA549"/>
  <c r="GB549"/>
  <c r="GC549"/>
  <c r="GD549"/>
  <c r="GE549"/>
  <c r="GF549"/>
  <c r="GG549"/>
  <c r="GH549"/>
  <c r="GI549"/>
  <c r="GJ549"/>
  <c r="GK549"/>
  <c r="GL549"/>
  <c r="GM549"/>
  <c r="GN549"/>
  <c r="GO549"/>
  <c r="GP549"/>
  <c r="GQ549"/>
  <c r="GR549"/>
  <c r="GS549"/>
  <c r="GT549"/>
  <c r="GU549"/>
  <c r="GV549"/>
  <c r="GW549"/>
  <c r="GX549"/>
  <c r="GY549"/>
  <c r="GZ549"/>
  <c r="HA549"/>
  <c r="HB549"/>
  <c r="HC549"/>
  <c r="HD549"/>
  <c r="HE549"/>
  <c r="HF549"/>
  <c r="HG549"/>
  <c r="HH549"/>
  <c r="HI549"/>
  <c r="HJ549"/>
  <c r="HK549"/>
  <c r="HL549"/>
  <c r="HM549"/>
  <c r="HN549"/>
  <c r="HO549"/>
  <c r="HP549"/>
  <c r="HQ549"/>
  <c r="HR549"/>
  <c r="HS549"/>
  <c r="HT549"/>
  <c r="HU549"/>
  <c r="HV549"/>
  <c r="HW549"/>
  <c r="HX549"/>
  <c r="HY549"/>
  <c r="HZ549"/>
  <c r="IA549"/>
  <c r="IB549"/>
  <c r="IC549"/>
  <c r="ID549"/>
  <c r="IE549"/>
  <c r="IF549"/>
  <c r="IG549"/>
  <c r="IH549"/>
  <c r="II549"/>
  <c r="IJ549"/>
  <c r="IK549"/>
  <c r="IL549"/>
  <c r="IM549"/>
  <c r="IN549"/>
  <c r="IO549"/>
  <c r="IP549"/>
  <c r="IQ549"/>
  <c r="IR549"/>
  <c r="IS549"/>
  <c r="IT549"/>
  <c r="IU549"/>
  <c r="IV549"/>
  <c r="A550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Z550"/>
  <c r="AA550"/>
  <c r="AB550"/>
  <c r="AC550"/>
  <c r="AD550"/>
  <c r="AE550"/>
  <c r="AF550"/>
  <c r="AG550"/>
  <c r="AH550"/>
  <c r="AI550"/>
  <c r="AJ550"/>
  <c r="AK550"/>
  <c r="AL550"/>
  <c r="AM550"/>
  <c r="AN550"/>
  <c r="AO550"/>
  <c r="AP550"/>
  <c r="AQ550"/>
  <c r="AR550"/>
  <c r="AS550"/>
  <c r="AT550"/>
  <c r="AU550"/>
  <c r="AV550"/>
  <c r="AW550"/>
  <c r="AX550"/>
  <c r="AY550"/>
  <c r="AZ550"/>
  <c r="BA550"/>
  <c r="BB550"/>
  <c r="BC550"/>
  <c r="BD550"/>
  <c r="BE550"/>
  <c r="BF550"/>
  <c r="BG550"/>
  <c r="BH550"/>
  <c r="BI550"/>
  <c r="BJ550"/>
  <c r="BK550"/>
  <c r="BL550"/>
  <c r="BM550"/>
  <c r="BN550"/>
  <c r="BO550"/>
  <c r="BP550"/>
  <c r="BQ550"/>
  <c r="BR550"/>
  <c r="BS550"/>
  <c r="BT550"/>
  <c r="BU550"/>
  <c r="BV550"/>
  <c r="BW550"/>
  <c r="BX550"/>
  <c r="BY550"/>
  <c r="BZ550"/>
  <c r="CA550"/>
  <c r="CB550"/>
  <c r="CC550"/>
  <c r="CD550"/>
  <c r="CE550"/>
  <c r="CF550"/>
  <c r="CG550"/>
  <c r="CH550"/>
  <c r="CI550"/>
  <c r="CJ550"/>
  <c r="CK550"/>
  <c r="CL550"/>
  <c r="CM550"/>
  <c r="CN550"/>
  <c r="CO550"/>
  <c r="CP550"/>
  <c r="CQ550"/>
  <c r="CR550"/>
  <c r="CS550"/>
  <c r="CT550"/>
  <c r="CU550"/>
  <c r="CV550"/>
  <c r="CW550"/>
  <c r="CX550"/>
  <c r="CY550"/>
  <c r="CZ550"/>
  <c r="DA550"/>
  <c r="DB550"/>
  <c r="DC550"/>
  <c r="DD550"/>
  <c r="DE550"/>
  <c r="DF550"/>
  <c r="DG550"/>
  <c r="DH550"/>
  <c r="DI550"/>
  <c r="DJ550"/>
  <c r="DK550"/>
  <c r="DL550"/>
  <c r="DM550"/>
  <c r="DN550"/>
  <c r="DO550"/>
  <c r="DP550"/>
  <c r="DQ550"/>
  <c r="DR550"/>
  <c r="DS550"/>
  <c r="DT550"/>
  <c r="DU550"/>
  <c r="DV550"/>
  <c r="DW550"/>
  <c r="DX550"/>
  <c r="DY550"/>
  <c r="DZ550"/>
  <c r="EA550"/>
  <c r="EB550"/>
  <c r="EC550"/>
  <c r="ED550"/>
  <c r="EE550"/>
  <c r="EF550"/>
  <c r="EG550"/>
  <c r="EH550"/>
  <c r="EI550"/>
  <c r="EJ550"/>
  <c r="EK550"/>
  <c r="EL550"/>
  <c r="EM550"/>
  <c r="EN550"/>
  <c r="EO550"/>
  <c r="EP550"/>
  <c r="EQ550"/>
  <c r="ER550"/>
  <c r="ES550"/>
  <c r="ET550"/>
  <c r="EU550"/>
  <c r="EV550"/>
  <c r="EW550"/>
  <c r="EX550"/>
  <c r="EY550"/>
  <c r="EZ550"/>
  <c r="FA550"/>
  <c r="FB550"/>
  <c r="FC550"/>
  <c r="FD550"/>
  <c r="FE550"/>
  <c r="FF550"/>
  <c r="FG550"/>
  <c r="FH550"/>
  <c r="FI550"/>
  <c r="FJ550"/>
  <c r="FK550"/>
  <c r="FL550"/>
  <c r="FM550"/>
  <c r="FN550"/>
  <c r="FO550"/>
  <c r="FP550"/>
  <c r="FQ550"/>
  <c r="FR550"/>
  <c r="FS550"/>
  <c r="FT550"/>
  <c r="FU550"/>
  <c r="FV550"/>
  <c r="FW550"/>
  <c r="FX550"/>
  <c r="FY550"/>
  <c r="FZ550"/>
  <c r="GA550"/>
  <c r="GB550"/>
  <c r="GC550"/>
  <c r="GD550"/>
  <c r="GE550"/>
  <c r="GF550"/>
  <c r="GG550"/>
  <c r="GH550"/>
  <c r="GI550"/>
  <c r="GJ550"/>
  <c r="GK550"/>
  <c r="GL550"/>
  <c r="GM550"/>
  <c r="GN550"/>
  <c r="GO550"/>
  <c r="GP550"/>
  <c r="GQ550"/>
  <c r="GR550"/>
  <c r="GS550"/>
  <c r="GT550"/>
  <c r="GU550"/>
  <c r="GV550"/>
  <c r="GW550"/>
  <c r="GX550"/>
  <c r="GY550"/>
  <c r="GZ550"/>
  <c r="HA550"/>
  <c r="HB550"/>
  <c r="HC550"/>
  <c r="HD550"/>
  <c r="HE550"/>
  <c r="HF550"/>
  <c r="HG550"/>
  <c r="HH550"/>
  <c r="HI550"/>
  <c r="HJ550"/>
  <c r="HK550"/>
  <c r="HL550"/>
  <c r="HM550"/>
  <c r="HN550"/>
  <c r="HO550"/>
  <c r="HP550"/>
  <c r="HQ550"/>
  <c r="HR550"/>
  <c r="HS550"/>
  <c r="HT550"/>
  <c r="HU550"/>
  <c r="HV550"/>
  <c r="HW550"/>
  <c r="HX550"/>
  <c r="HY550"/>
  <c r="HZ550"/>
  <c r="IA550"/>
  <c r="IB550"/>
  <c r="IC550"/>
  <c r="ID550"/>
  <c r="IE550"/>
  <c r="IF550"/>
  <c r="IG550"/>
  <c r="IH550"/>
  <c r="II550"/>
  <c r="IJ550"/>
  <c r="IK550"/>
  <c r="IL550"/>
  <c r="IM550"/>
  <c r="IN550"/>
  <c r="IO550"/>
  <c r="IP550"/>
  <c r="IQ550"/>
  <c r="IR550"/>
  <c r="IS550"/>
  <c r="IT550"/>
  <c r="IU550"/>
  <c r="IV550"/>
  <c r="A551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Z551"/>
  <c r="AA551"/>
  <c r="AB551"/>
  <c r="AC551"/>
  <c r="AD551"/>
  <c r="AE551"/>
  <c r="AF551"/>
  <c r="AG551"/>
  <c r="AH551"/>
  <c r="AI551"/>
  <c r="AJ551"/>
  <c r="AK551"/>
  <c r="AL551"/>
  <c r="AM551"/>
  <c r="AN551"/>
  <c r="AO551"/>
  <c r="AP551"/>
  <c r="AQ551"/>
  <c r="AR551"/>
  <c r="AS551"/>
  <c r="AT551"/>
  <c r="AU551"/>
  <c r="AV551"/>
  <c r="AW551"/>
  <c r="AX551"/>
  <c r="AY551"/>
  <c r="AZ551"/>
  <c r="BA551"/>
  <c r="BB551"/>
  <c r="BC551"/>
  <c r="BD551"/>
  <c r="BE551"/>
  <c r="BF551"/>
  <c r="BG551"/>
  <c r="BH551"/>
  <c r="BI551"/>
  <c r="BJ551"/>
  <c r="BK551"/>
  <c r="BL551"/>
  <c r="BM551"/>
  <c r="BN551"/>
  <c r="BO551"/>
  <c r="BP551"/>
  <c r="BQ551"/>
  <c r="BR551"/>
  <c r="BS551"/>
  <c r="BT551"/>
  <c r="BU551"/>
  <c r="BV551"/>
  <c r="BW551"/>
  <c r="BX551"/>
  <c r="BY551"/>
  <c r="BZ551"/>
  <c r="CA551"/>
  <c r="CB551"/>
  <c r="CC551"/>
  <c r="CD551"/>
  <c r="CE551"/>
  <c r="CF551"/>
  <c r="CG551"/>
  <c r="CH551"/>
  <c r="CI551"/>
  <c r="CJ551"/>
  <c r="CK551"/>
  <c r="CL551"/>
  <c r="CM551"/>
  <c r="CN551"/>
  <c r="CO551"/>
  <c r="CP551"/>
  <c r="CQ551"/>
  <c r="CR551"/>
  <c r="CS551"/>
  <c r="CT551"/>
  <c r="CU551"/>
  <c r="CV551"/>
  <c r="CW551"/>
  <c r="CX551"/>
  <c r="CY551"/>
  <c r="CZ551"/>
  <c r="DA551"/>
  <c r="DB551"/>
  <c r="DC551"/>
  <c r="DD551"/>
  <c r="DE551"/>
  <c r="DF551"/>
  <c r="DG551"/>
  <c r="DH551"/>
  <c r="DI551"/>
  <c r="DJ551"/>
  <c r="DK551"/>
  <c r="DL551"/>
  <c r="DM551"/>
  <c r="DN551"/>
  <c r="DO551"/>
  <c r="DP551"/>
  <c r="DQ551"/>
  <c r="DR551"/>
  <c r="DS551"/>
  <c r="DT551"/>
  <c r="DU551"/>
  <c r="DV551"/>
  <c r="DW551"/>
  <c r="DX551"/>
  <c r="DY551"/>
  <c r="DZ551"/>
  <c r="EA551"/>
  <c r="EB551"/>
  <c r="EC551"/>
  <c r="ED551"/>
  <c r="EE551"/>
  <c r="EF551"/>
  <c r="EG551"/>
  <c r="EH551"/>
  <c r="EI551"/>
  <c r="EJ551"/>
  <c r="EK551"/>
  <c r="EL551"/>
  <c r="EM551"/>
  <c r="EN551"/>
  <c r="EO551"/>
  <c r="EP551"/>
  <c r="EQ551"/>
  <c r="ER551"/>
  <c r="ES551"/>
  <c r="ET551"/>
  <c r="EU551"/>
  <c r="EV551"/>
  <c r="EW551"/>
  <c r="EX551"/>
  <c r="EY551"/>
  <c r="EZ551"/>
  <c r="FA551"/>
  <c r="FB551"/>
  <c r="FC551"/>
  <c r="FD551"/>
  <c r="FE551"/>
  <c r="FF551"/>
  <c r="FG551"/>
  <c r="FH551"/>
  <c r="FI551"/>
  <c r="FJ551"/>
  <c r="FK551"/>
  <c r="FL551"/>
  <c r="FM551"/>
  <c r="FN551"/>
  <c r="FO551"/>
  <c r="FP551"/>
  <c r="FQ551"/>
  <c r="FR551"/>
  <c r="FS551"/>
  <c r="FT551"/>
  <c r="FU551"/>
  <c r="FV551"/>
  <c r="FW551"/>
  <c r="FX551"/>
  <c r="FY551"/>
  <c r="FZ551"/>
  <c r="GA551"/>
  <c r="GB551"/>
  <c r="GC551"/>
  <c r="GD551"/>
  <c r="GE551"/>
  <c r="GF551"/>
  <c r="GG551"/>
  <c r="GH551"/>
  <c r="GI551"/>
  <c r="GJ551"/>
  <c r="GK551"/>
  <c r="GL551"/>
  <c r="GM551"/>
  <c r="GN551"/>
  <c r="GO551"/>
  <c r="GP551"/>
  <c r="GQ551"/>
  <c r="GR551"/>
  <c r="GS551"/>
  <c r="GT551"/>
  <c r="GU551"/>
  <c r="GV551"/>
  <c r="GW551"/>
  <c r="GX551"/>
  <c r="GY551"/>
  <c r="GZ551"/>
  <c r="HA551"/>
  <c r="HB551"/>
  <c r="HC551"/>
  <c r="HD551"/>
  <c r="HE551"/>
  <c r="HF551"/>
  <c r="HG551"/>
  <c r="HH551"/>
  <c r="HI551"/>
  <c r="HJ551"/>
  <c r="HK551"/>
  <c r="HL551"/>
  <c r="HM551"/>
  <c r="HN551"/>
  <c r="HO551"/>
  <c r="HP551"/>
  <c r="HQ551"/>
  <c r="HR551"/>
  <c r="HS551"/>
  <c r="HT551"/>
  <c r="HU551"/>
  <c r="HV551"/>
  <c r="HW551"/>
  <c r="HX551"/>
  <c r="HY551"/>
  <c r="HZ551"/>
  <c r="IA551"/>
  <c r="IB551"/>
  <c r="IC551"/>
  <c r="ID551"/>
  <c r="IE551"/>
  <c r="IF551"/>
  <c r="IG551"/>
  <c r="IH551"/>
  <c r="II551"/>
  <c r="IJ551"/>
  <c r="IK551"/>
  <c r="IL551"/>
  <c r="IM551"/>
  <c r="IN551"/>
  <c r="IO551"/>
  <c r="IP551"/>
  <c r="IQ551"/>
  <c r="IR551"/>
  <c r="IS551"/>
  <c r="IT551"/>
  <c r="IU551"/>
  <c r="IV551"/>
  <c r="A552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Z552"/>
  <c r="AA552"/>
  <c r="AB552"/>
  <c r="AC552"/>
  <c r="AD552"/>
  <c r="AE552"/>
  <c r="AF552"/>
  <c r="AG552"/>
  <c r="AH552"/>
  <c r="AI552"/>
  <c r="AJ552"/>
  <c r="AK552"/>
  <c r="AL552"/>
  <c r="AM552"/>
  <c r="AN552"/>
  <c r="AO552"/>
  <c r="AP552"/>
  <c r="AQ552"/>
  <c r="AR552"/>
  <c r="AS552"/>
  <c r="AT552"/>
  <c r="AU552"/>
  <c r="AV552"/>
  <c r="AW552"/>
  <c r="AX552"/>
  <c r="AY552"/>
  <c r="AZ552"/>
  <c r="BA552"/>
  <c r="BB552"/>
  <c r="BC552"/>
  <c r="BD552"/>
  <c r="BE552"/>
  <c r="BF552"/>
  <c r="BG552"/>
  <c r="BH552"/>
  <c r="BI552"/>
  <c r="BJ552"/>
  <c r="BK552"/>
  <c r="BL552"/>
  <c r="BM552"/>
  <c r="BN552"/>
  <c r="BO552"/>
  <c r="BP552"/>
  <c r="BQ552"/>
  <c r="BR552"/>
  <c r="BS552"/>
  <c r="BT552"/>
  <c r="BU552"/>
  <c r="BV552"/>
  <c r="BW552"/>
  <c r="BX552"/>
  <c r="BY552"/>
  <c r="BZ552"/>
  <c r="CA552"/>
  <c r="CB552"/>
  <c r="CC552"/>
  <c r="CD552"/>
  <c r="CE552"/>
  <c r="CF552"/>
  <c r="CG552"/>
  <c r="CH552"/>
  <c r="CI552"/>
  <c r="CJ552"/>
  <c r="CK552"/>
  <c r="CL552"/>
  <c r="CM552"/>
  <c r="CN552"/>
  <c r="CO552"/>
  <c r="CP552"/>
  <c r="CQ552"/>
  <c r="CR552"/>
  <c r="CS552"/>
  <c r="CT552"/>
  <c r="CU552"/>
  <c r="CV552"/>
  <c r="CW552"/>
  <c r="CX552"/>
  <c r="CY552"/>
  <c r="CZ552"/>
  <c r="DA552"/>
  <c r="DB552"/>
  <c r="DC552"/>
  <c r="DD552"/>
  <c r="DE552"/>
  <c r="DF552"/>
  <c r="DG552"/>
  <c r="DH552"/>
  <c r="DI552"/>
  <c r="DJ552"/>
  <c r="DK552"/>
  <c r="DL552"/>
  <c r="DM552"/>
  <c r="DN552"/>
  <c r="DO552"/>
  <c r="DP552"/>
  <c r="DQ552"/>
  <c r="DR552"/>
  <c r="DS552"/>
  <c r="DT552"/>
  <c r="DU552"/>
  <c r="DV552"/>
  <c r="DW552"/>
  <c r="DX552"/>
  <c r="DY552"/>
  <c r="DZ552"/>
  <c r="EA552"/>
  <c r="EB552"/>
  <c r="EC552"/>
  <c r="ED552"/>
  <c r="EE552"/>
  <c r="EF552"/>
  <c r="EG552"/>
  <c r="EH552"/>
  <c r="EI552"/>
  <c r="EJ552"/>
  <c r="EK552"/>
  <c r="EL552"/>
  <c r="EM552"/>
  <c r="EN552"/>
  <c r="EO552"/>
  <c r="EP552"/>
  <c r="EQ552"/>
  <c r="ER552"/>
  <c r="ES552"/>
  <c r="ET552"/>
  <c r="EU552"/>
  <c r="EV552"/>
  <c r="EW552"/>
  <c r="EX552"/>
  <c r="EY552"/>
  <c r="EZ552"/>
  <c r="FA552"/>
  <c r="FB552"/>
  <c r="FC552"/>
  <c r="FD552"/>
  <c r="FE552"/>
  <c r="FF552"/>
  <c r="FG552"/>
  <c r="FH552"/>
  <c r="FI552"/>
  <c r="FJ552"/>
  <c r="FK552"/>
  <c r="FL552"/>
  <c r="FM552"/>
  <c r="FN552"/>
  <c r="FO552"/>
  <c r="FP552"/>
  <c r="FQ552"/>
  <c r="FR552"/>
  <c r="FS552"/>
  <c r="FT552"/>
  <c r="FU552"/>
  <c r="FV552"/>
  <c r="FW552"/>
  <c r="FX552"/>
  <c r="FY552"/>
  <c r="FZ552"/>
  <c r="GA552"/>
  <c r="GB552"/>
  <c r="GC552"/>
  <c r="GD552"/>
  <c r="GE552"/>
  <c r="GF552"/>
  <c r="GG552"/>
  <c r="GH552"/>
  <c r="GI552"/>
  <c r="GJ552"/>
  <c r="GK552"/>
  <c r="GL552"/>
  <c r="GM552"/>
  <c r="GN552"/>
  <c r="GO552"/>
  <c r="GP552"/>
  <c r="GQ552"/>
  <c r="GR552"/>
  <c r="GS552"/>
  <c r="GT552"/>
  <c r="GU552"/>
  <c r="GV552"/>
  <c r="GW552"/>
  <c r="GX552"/>
  <c r="GY552"/>
  <c r="GZ552"/>
  <c r="HA552"/>
  <c r="HB552"/>
  <c r="HC552"/>
  <c r="HD552"/>
  <c r="HE552"/>
  <c r="HF552"/>
  <c r="HG552"/>
  <c r="HH552"/>
  <c r="HI552"/>
  <c r="HJ552"/>
  <c r="HK552"/>
  <c r="HL552"/>
  <c r="HM552"/>
  <c r="HN552"/>
  <c r="HO552"/>
  <c r="HP552"/>
  <c r="HQ552"/>
  <c r="HR552"/>
  <c r="HS552"/>
  <c r="HT552"/>
  <c r="HU552"/>
  <c r="HV552"/>
  <c r="HW552"/>
  <c r="HX552"/>
  <c r="HY552"/>
  <c r="HZ552"/>
  <c r="IA552"/>
  <c r="IB552"/>
  <c r="IC552"/>
  <c r="ID552"/>
  <c r="IE552"/>
  <c r="IF552"/>
  <c r="IG552"/>
  <c r="IH552"/>
  <c r="II552"/>
  <c r="IJ552"/>
  <c r="IK552"/>
  <c r="IL552"/>
  <c r="IM552"/>
  <c r="IN552"/>
  <c r="IO552"/>
  <c r="IP552"/>
  <c r="IQ552"/>
  <c r="IR552"/>
  <c r="IS552"/>
  <c r="IT552"/>
  <c r="IU552"/>
  <c r="IV552"/>
  <c r="A553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Z553"/>
  <c r="AA553"/>
  <c r="AB553"/>
  <c r="AC553"/>
  <c r="AD553"/>
  <c r="AE553"/>
  <c r="AF553"/>
  <c r="AG553"/>
  <c r="AH553"/>
  <c r="AI553"/>
  <c r="AJ553"/>
  <c r="AK553"/>
  <c r="AL553"/>
  <c r="AM553"/>
  <c r="AN553"/>
  <c r="AO553"/>
  <c r="AP553"/>
  <c r="AQ553"/>
  <c r="AR553"/>
  <c r="AS553"/>
  <c r="AT553"/>
  <c r="AU553"/>
  <c r="AV553"/>
  <c r="AW553"/>
  <c r="AX553"/>
  <c r="AY553"/>
  <c r="AZ553"/>
  <c r="BA553"/>
  <c r="BB553"/>
  <c r="BC553"/>
  <c r="BD553"/>
  <c r="BE553"/>
  <c r="BF553"/>
  <c r="BG553"/>
  <c r="BH553"/>
  <c r="BI553"/>
  <c r="BJ553"/>
  <c r="BK553"/>
  <c r="BL553"/>
  <c r="BM553"/>
  <c r="BN553"/>
  <c r="BO553"/>
  <c r="BP553"/>
  <c r="BQ553"/>
  <c r="BR553"/>
  <c r="BS553"/>
  <c r="BT553"/>
  <c r="BU553"/>
  <c r="BV553"/>
  <c r="BW553"/>
  <c r="BX553"/>
  <c r="BY553"/>
  <c r="BZ553"/>
  <c r="CA553"/>
  <c r="CB553"/>
  <c r="CC553"/>
  <c r="CD553"/>
  <c r="CE553"/>
  <c r="CF553"/>
  <c r="CG553"/>
  <c r="CH553"/>
  <c r="CI553"/>
  <c r="CJ553"/>
  <c r="CK553"/>
  <c r="CL553"/>
  <c r="CM553"/>
  <c r="CN553"/>
  <c r="CO553"/>
  <c r="CP553"/>
  <c r="CQ553"/>
  <c r="CR553"/>
  <c r="CS553"/>
  <c r="CT553"/>
  <c r="CU553"/>
  <c r="CV553"/>
  <c r="CW553"/>
  <c r="CX553"/>
  <c r="CY553"/>
  <c r="CZ553"/>
  <c r="DA553"/>
  <c r="DB553"/>
  <c r="DC553"/>
  <c r="DD553"/>
  <c r="DE553"/>
  <c r="DF553"/>
  <c r="DG553"/>
  <c r="DH553"/>
  <c r="DI553"/>
  <c r="DJ553"/>
  <c r="DK553"/>
  <c r="DL553"/>
  <c r="DM553"/>
  <c r="DN553"/>
  <c r="DO553"/>
  <c r="DP553"/>
  <c r="DQ553"/>
  <c r="DR553"/>
  <c r="DS553"/>
  <c r="DT553"/>
  <c r="DU553"/>
  <c r="DV553"/>
  <c r="DW553"/>
  <c r="DX553"/>
  <c r="DY553"/>
  <c r="DZ553"/>
  <c r="EA553"/>
  <c r="EB553"/>
  <c r="EC553"/>
  <c r="ED553"/>
  <c r="EE553"/>
  <c r="EF553"/>
  <c r="EG553"/>
  <c r="EH553"/>
  <c r="EI553"/>
  <c r="EJ553"/>
  <c r="EK553"/>
  <c r="EL553"/>
  <c r="EM553"/>
  <c r="EN553"/>
  <c r="EO553"/>
  <c r="EP553"/>
  <c r="EQ553"/>
  <c r="ER553"/>
  <c r="ES553"/>
  <c r="ET553"/>
  <c r="EU553"/>
  <c r="EV553"/>
  <c r="EW553"/>
  <c r="EX553"/>
  <c r="EY553"/>
  <c r="EZ553"/>
  <c r="FA553"/>
  <c r="FB553"/>
  <c r="FC553"/>
  <c r="FD553"/>
  <c r="FE553"/>
  <c r="FF553"/>
  <c r="FG553"/>
  <c r="FH553"/>
  <c r="FI553"/>
  <c r="FJ553"/>
  <c r="FK553"/>
  <c r="FL553"/>
  <c r="FM553"/>
  <c r="FN553"/>
  <c r="FO553"/>
  <c r="FP553"/>
  <c r="FQ553"/>
  <c r="FR553"/>
  <c r="FS553"/>
  <c r="FT553"/>
  <c r="FU553"/>
  <c r="FV553"/>
  <c r="FW553"/>
  <c r="FX553"/>
  <c r="FY553"/>
  <c r="FZ553"/>
  <c r="GA553"/>
  <c r="GB553"/>
  <c r="GC553"/>
  <c r="GD553"/>
  <c r="GE553"/>
  <c r="GF553"/>
  <c r="GG553"/>
  <c r="GH553"/>
  <c r="GI553"/>
  <c r="GJ553"/>
  <c r="GK553"/>
  <c r="GL553"/>
  <c r="GM553"/>
  <c r="GN553"/>
  <c r="GO553"/>
  <c r="GP553"/>
  <c r="GQ553"/>
  <c r="GR553"/>
  <c r="GS553"/>
  <c r="GT553"/>
  <c r="GU553"/>
  <c r="GV553"/>
  <c r="GW553"/>
  <c r="GX553"/>
  <c r="GY553"/>
  <c r="GZ553"/>
  <c r="HA553"/>
  <c r="HB553"/>
  <c r="HC553"/>
  <c r="HD553"/>
  <c r="HE553"/>
  <c r="HF553"/>
  <c r="HG553"/>
  <c r="HH553"/>
  <c r="HI553"/>
  <c r="HJ553"/>
  <c r="HK553"/>
  <c r="HL553"/>
  <c r="HM553"/>
  <c r="HN553"/>
  <c r="HO553"/>
  <c r="HP553"/>
  <c r="HQ553"/>
  <c r="HR553"/>
  <c r="HS553"/>
  <c r="HT553"/>
  <c r="HU553"/>
  <c r="HV553"/>
  <c r="HW553"/>
  <c r="HX553"/>
  <c r="HY553"/>
  <c r="HZ553"/>
  <c r="IA553"/>
  <c r="IB553"/>
  <c r="IC553"/>
  <c r="ID553"/>
  <c r="IE553"/>
  <c r="IF553"/>
  <c r="IG553"/>
  <c r="IH553"/>
  <c r="II553"/>
  <c r="IJ553"/>
  <c r="IK553"/>
  <c r="IL553"/>
  <c r="IM553"/>
  <c r="IN553"/>
  <c r="IO553"/>
  <c r="IP553"/>
  <c r="IQ553"/>
  <c r="IR553"/>
  <c r="IS553"/>
  <c r="IT553"/>
  <c r="IU553"/>
  <c r="IV553"/>
  <c r="A554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Z554"/>
  <c r="AA554"/>
  <c r="AB554"/>
  <c r="AC554"/>
  <c r="AD554"/>
  <c r="AE554"/>
  <c r="AF554"/>
  <c r="AG554"/>
  <c r="AH554"/>
  <c r="AI554"/>
  <c r="AJ554"/>
  <c r="AK554"/>
  <c r="AL554"/>
  <c r="AM554"/>
  <c r="AN554"/>
  <c r="AO554"/>
  <c r="AP554"/>
  <c r="AQ554"/>
  <c r="AR554"/>
  <c r="AS554"/>
  <c r="AT554"/>
  <c r="AU554"/>
  <c r="AV554"/>
  <c r="AW554"/>
  <c r="AX554"/>
  <c r="AY554"/>
  <c r="AZ554"/>
  <c r="BA554"/>
  <c r="BB554"/>
  <c r="BC554"/>
  <c r="BD554"/>
  <c r="BE554"/>
  <c r="BF554"/>
  <c r="BG554"/>
  <c r="BH554"/>
  <c r="BI554"/>
  <c r="BJ554"/>
  <c r="BK554"/>
  <c r="BL554"/>
  <c r="BM554"/>
  <c r="BN554"/>
  <c r="BO554"/>
  <c r="BP554"/>
  <c r="BQ554"/>
  <c r="BR554"/>
  <c r="BS554"/>
  <c r="BT554"/>
  <c r="BU554"/>
  <c r="BV554"/>
  <c r="BW554"/>
  <c r="BX554"/>
  <c r="BY554"/>
  <c r="BZ554"/>
  <c r="CA554"/>
  <c r="CB554"/>
  <c r="CC554"/>
  <c r="CD554"/>
  <c r="CE554"/>
  <c r="CF554"/>
  <c r="CG554"/>
  <c r="CH554"/>
  <c r="CI554"/>
  <c r="CJ554"/>
  <c r="CK554"/>
  <c r="CL554"/>
  <c r="CM554"/>
  <c r="CN554"/>
  <c r="CO554"/>
  <c r="CP554"/>
  <c r="CQ554"/>
  <c r="CR554"/>
  <c r="CS554"/>
  <c r="CT554"/>
  <c r="CU554"/>
  <c r="CV554"/>
  <c r="CW554"/>
  <c r="CX554"/>
  <c r="CY554"/>
  <c r="CZ554"/>
  <c r="DA554"/>
  <c r="DB554"/>
  <c r="DC554"/>
  <c r="DD554"/>
  <c r="DE554"/>
  <c r="DF554"/>
  <c r="DG554"/>
  <c r="DH554"/>
  <c r="DI554"/>
  <c r="DJ554"/>
  <c r="DK554"/>
  <c r="DL554"/>
  <c r="DM554"/>
  <c r="DN554"/>
  <c r="DO554"/>
  <c r="DP554"/>
  <c r="DQ554"/>
  <c r="DR554"/>
  <c r="DS554"/>
  <c r="DT554"/>
  <c r="DU554"/>
  <c r="DV554"/>
  <c r="DW554"/>
  <c r="DX554"/>
  <c r="DY554"/>
  <c r="DZ554"/>
  <c r="EA554"/>
  <c r="EB554"/>
  <c r="EC554"/>
  <c r="ED554"/>
  <c r="EE554"/>
  <c r="EF554"/>
  <c r="EG554"/>
  <c r="EH554"/>
  <c r="EI554"/>
  <c r="EJ554"/>
  <c r="EK554"/>
  <c r="EL554"/>
  <c r="EM554"/>
  <c r="EN554"/>
  <c r="EO554"/>
  <c r="EP554"/>
  <c r="EQ554"/>
  <c r="ER554"/>
  <c r="ES554"/>
  <c r="ET554"/>
  <c r="EU554"/>
  <c r="EV554"/>
  <c r="EW554"/>
  <c r="EX554"/>
  <c r="EY554"/>
  <c r="EZ554"/>
  <c r="FA554"/>
  <c r="FB554"/>
  <c r="FC554"/>
  <c r="FD554"/>
  <c r="FE554"/>
  <c r="FF554"/>
  <c r="FG554"/>
  <c r="FH554"/>
  <c r="FI554"/>
  <c r="FJ554"/>
  <c r="FK554"/>
  <c r="FL554"/>
  <c r="FM554"/>
  <c r="FN554"/>
  <c r="FO554"/>
  <c r="FP554"/>
  <c r="FQ554"/>
  <c r="FR554"/>
  <c r="FS554"/>
  <c r="FT554"/>
  <c r="FU554"/>
  <c r="FV554"/>
  <c r="FW554"/>
  <c r="FX554"/>
  <c r="FY554"/>
  <c r="FZ554"/>
  <c r="GA554"/>
  <c r="GB554"/>
  <c r="GC554"/>
  <c r="GD554"/>
  <c r="GE554"/>
  <c r="GF554"/>
  <c r="GG554"/>
  <c r="GH554"/>
  <c r="GI554"/>
  <c r="GJ554"/>
  <c r="GK554"/>
  <c r="GL554"/>
  <c r="GM554"/>
  <c r="GN554"/>
  <c r="GO554"/>
  <c r="GP554"/>
  <c r="GQ554"/>
  <c r="GR554"/>
  <c r="GS554"/>
  <c r="GT554"/>
  <c r="GU554"/>
  <c r="GV554"/>
  <c r="GW554"/>
  <c r="GX554"/>
  <c r="GY554"/>
  <c r="GZ554"/>
  <c r="HA554"/>
  <c r="HB554"/>
  <c r="HC554"/>
  <c r="HD554"/>
  <c r="HE554"/>
  <c r="HF554"/>
  <c r="HG554"/>
  <c r="HH554"/>
  <c r="HI554"/>
  <c r="HJ554"/>
  <c r="HK554"/>
  <c r="HL554"/>
  <c r="HM554"/>
  <c r="HN554"/>
  <c r="HO554"/>
  <c r="HP554"/>
  <c r="HQ554"/>
  <c r="HR554"/>
  <c r="HS554"/>
  <c r="HT554"/>
  <c r="HU554"/>
  <c r="HV554"/>
  <c r="HW554"/>
  <c r="HX554"/>
  <c r="HY554"/>
  <c r="HZ554"/>
  <c r="IA554"/>
  <c r="IB554"/>
  <c r="IC554"/>
  <c r="ID554"/>
  <c r="IE554"/>
  <c r="IF554"/>
  <c r="IG554"/>
  <c r="IH554"/>
  <c r="II554"/>
  <c r="IJ554"/>
  <c r="IK554"/>
  <c r="IL554"/>
  <c r="IM554"/>
  <c r="IN554"/>
  <c r="IO554"/>
  <c r="IP554"/>
  <c r="IQ554"/>
  <c r="IR554"/>
  <c r="IS554"/>
  <c r="IT554"/>
  <c r="IU554"/>
  <c r="IV554"/>
  <c r="A555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Z555"/>
  <c r="AA555"/>
  <c r="AB555"/>
  <c r="AC555"/>
  <c r="AD555"/>
  <c r="AE555"/>
  <c r="AF555"/>
  <c r="AG555"/>
  <c r="AH555"/>
  <c r="AI555"/>
  <c r="AJ555"/>
  <c r="AK555"/>
  <c r="AL555"/>
  <c r="AM555"/>
  <c r="AN555"/>
  <c r="AO555"/>
  <c r="AP555"/>
  <c r="AQ555"/>
  <c r="AR555"/>
  <c r="AS555"/>
  <c r="AT555"/>
  <c r="AU555"/>
  <c r="AV555"/>
  <c r="AW555"/>
  <c r="AX555"/>
  <c r="AY555"/>
  <c r="AZ555"/>
  <c r="BA555"/>
  <c r="BB555"/>
  <c r="BC555"/>
  <c r="BD555"/>
  <c r="BE555"/>
  <c r="BF555"/>
  <c r="BG555"/>
  <c r="BH555"/>
  <c r="BI555"/>
  <c r="BJ555"/>
  <c r="BK555"/>
  <c r="BL555"/>
  <c r="BM555"/>
  <c r="BN555"/>
  <c r="BO555"/>
  <c r="BP555"/>
  <c r="BQ555"/>
  <c r="BR555"/>
  <c r="BS555"/>
  <c r="BT555"/>
  <c r="BU555"/>
  <c r="BV555"/>
  <c r="BW555"/>
  <c r="BX555"/>
  <c r="BY555"/>
  <c r="BZ555"/>
  <c r="CA555"/>
  <c r="CB555"/>
  <c r="CC555"/>
  <c r="CD555"/>
  <c r="CE555"/>
  <c r="CF555"/>
  <c r="CG555"/>
  <c r="CH555"/>
  <c r="CI555"/>
  <c r="CJ555"/>
  <c r="CK555"/>
  <c r="CL555"/>
  <c r="CM555"/>
  <c r="CN555"/>
  <c r="CO555"/>
  <c r="CP555"/>
  <c r="CQ555"/>
  <c r="CR555"/>
  <c r="CS555"/>
  <c r="CT555"/>
  <c r="CU555"/>
  <c r="CV555"/>
  <c r="CW555"/>
  <c r="CX555"/>
  <c r="CY555"/>
  <c r="CZ555"/>
  <c r="DA555"/>
  <c r="DB555"/>
  <c r="DC555"/>
  <c r="DD555"/>
  <c r="DE555"/>
  <c r="DF555"/>
  <c r="DG555"/>
  <c r="DH555"/>
  <c r="DI555"/>
  <c r="DJ555"/>
  <c r="DK555"/>
  <c r="DL555"/>
  <c r="DM555"/>
  <c r="DN555"/>
  <c r="DO555"/>
  <c r="DP555"/>
  <c r="DQ555"/>
  <c r="DR555"/>
  <c r="DS555"/>
  <c r="DT555"/>
  <c r="DU555"/>
  <c r="DV555"/>
  <c r="DW555"/>
  <c r="DX555"/>
  <c r="DY555"/>
  <c r="DZ555"/>
  <c r="EA555"/>
  <c r="EB555"/>
  <c r="EC555"/>
  <c r="ED555"/>
  <c r="EE555"/>
  <c r="EF555"/>
  <c r="EG555"/>
  <c r="EH555"/>
  <c r="EI555"/>
  <c r="EJ555"/>
  <c r="EK555"/>
  <c r="EL555"/>
  <c r="EM555"/>
  <c r="EN555"/>
  <c r="EO555"/>
  <c r="EP555"/>
  <c r="EQ555"/>
  <c r="ER555"/>
  <c r="ES555"/>
  <c r="ET555"/>
  <c r="EU555"/>
  <c r="EV555"/>
  <c r="EW555"/>
  <c r="EX555"/>
  <c r="EY555"/>
  <c r="EZ555"/>
  <c r="FA555"/>
  <c r="FB555"/>
  <c r="FC555"/>
  <c r="FD555"/>
  <c r="FE555"/>
  <c r="FF555"/>
  <c r="FG555"/>
  <c r="FH555"/>
  <c r="FI555"/>
  <c r="FJ555"/>
  <c r="FK555"/>
  <c r="FL555"/>
  <c r="FM555"/>
  <c r="FN555"/>
  <c r="FO555"/>
  <c r="FP555"/>
  <c r="FQ555"/>
  <c r="FR555"/>
  <c r="FS555"/>
  <c r="FT555"/>
  <c r="FU555"/>
  <c r="FV555"/>
  <c r="FW555"/>
  <c r="FX555"/>
  <c r="FY555"/>
  <c r="FZ555"/>
  <c r="GA555"/>
  <c r="GB555"/>
  <c r="GC555"/>
  <c r="GD555"/>
  <c r="GE555"/>
  <c r="GF555"/>
  <c r="GG555"/>
  <c r="GH555"/>
  <c r="GI555"/>
  <c r="GJ555"/>
  <c r="GK555"/>
  <c r="GL555"/>
  <c r="GM555"/>
  <c r="GN555"/>
  <c r="GO555"/>
  <c r="GP555"/>
  <c r="GQ555"/>
  <c r="GR555"/>
  <c r="GS555"/>
  <c r="GT555"/>
  <c r="GU555"/>
  <c r="GV555"/>
  <c r="GW555"/>
  <c r="GX555"/>
  <c r="GY555"/>
  <c r="GZ555"/>
  <c r="HA555"/>
  <c r="HB555"/>
  <c r="HC555"/>
  <c r="HD555"/>
  <c r="HE555"/>
  <c r="HF555"/>
  <c r="HG555"/>
  <c r="HH555"/>
  <c r="HI555"/>
  <c r="HJ555"/>
  <c r="HK555"/>
  <c r="HL555"/>
  <c r="HM555"/>
  <c r="HN555"/>
  <c r="HO555"/>
  <c r="HP555"/>
  <c r="HQ555"/>
  <c r="HR555"/>
  <c r="HS555"/>
  <c r="HT555"/>
  <c r="HU555"/>
  <c r="HV555"/>
  <c r="HW555"/>
  <c r="HX555"/>
  <c r="HY555"/>
  <c r="HZ555"/>
  <c r="IA555"/>
  <c r="IB555"/>
  <c r="IC555"/>
  <c r="ID555"/>
  <c r="IE555"/>
  <c r="IF555"/>
  <c r="IG555"/>
  <c r="IH555"/>
  <c r="II555"/>
  <c r="IJ555"/>
  <c r="IK555"/>
  <c r="IL555"/>
  <c r="IM555"/>
  <c r="IN555"/>
  <c r="IO555"/>
  <c r="IP555"/>
  <c r="IQ555"/>
  <c r="IR555"/>
  <c r="IS555"/>
  <c r="IT555"/>
  <c r="IU555"/>
  <c r="IV555"/>
  <c r="A556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Z556"/>
  <c r="AA556"/>
  <c r="AB556"/>
  <c r="AC556"/>
  <c r="AD556"/>
  <c r="AE556"/>
  <c r="AF556"/>
  <c r="AG556"/>
  <c r="AH556"/>
  <c r="AI556"/>
  <c r="AJ556"/>
  <c r="AK556"/>
  <c r="AL556"/>
  <c r="AM556"/>
  <c r="AN556"/>
  <c r="AO556"/>
  <c r="AP556"/>
  <c r="AQ556"/>
  <c r="AR556"/>
  <c r="AS556"/>
  <c r="AT556"/>
  <c r="AU556"/>
  <c r="AV556"/>
  <c r="AW556"/>
  <c r="AX556"/>
  <c r="AY556"/>
  <c r="AZ556"/>
  <c r="BA556"/>
  <c r="BB556"/>
  <c r="BC556"/>
  <c r="BD556"/>
  <c r="BE556"/>
  <c r="BF556"/>
  <c r="BG556"/>
  <c r="BH556"/>
  <c r="BI556"/>
  <c r="BJ556"/>
  <c r="BK556"/>
  <c r="BL556"/>
  <c r="BM556"/>
  <c r="BN556"/>
  <c r="BO556"/>
  <c r="BP556"/>
  <c r="BQ556"/>
  <c r="BR556"/>
  <c r="BS556"/>
  <c r="BT556"/>
  <c r="BU556"/>
  <c r="BV556"/>
  <c r="BW556"/>
  <c r="BX556"/>
  <c r="BY556"/>
  <c r="BZ556"/>
  <c r="CA556"/>
  <c r="CB556"/>
  <c r="CC556"/>
  <c r="CD556"/>
  <c r="CE556"/>
  <c r="CF556"/>
  <c r="CG556"/>
  <c r="CH556"/>
  <c r="CI556"/>
  <c r="CJ556"/>
  <c r="CK556"/>
  <c r="CL556"/>
  <c r="CM556"/>
  <c r="CN556"/>
  <c r="CO556"/>
  <c r="CP556"/>
  <c r="CQ556"/>
  <c r="CR556"/>
  <c r="CS556"/>
  <c r="CT556"/>
  <c r="CU556"/>
  <c r="CV556"/>
  <c r="CW556"/>
  <c r="CX556"/>
  <c r="CY556"/>
  <c r="CZ556"/>
  <c r="DA556"/>
  <c r="DB556"/>
  <c r="DC556"/>
  <c r="DD556"/>
  <c r="DE556"/>
  <c r="DF556"/>
  <c r="DG556"/>
  <c r="DH556"/>
  <c r="DI556"/>
  <c r="DJ556"/>
  <c r="DK556"/>
  <c r="DL556"/>
  <c r="DM556"/>
  <c r="DN556"/>
  <c r="DO556"/>
  <c r="DP556"/>
  <c r="DQ556"/>
  <c r="DR556"/>
  <c r="DS556"/>
  <c r="DT556"/>
  <c r="DU556"/>
  <c r="DV556"/>
  <c r="DW556"/>
  <c r="DX556"/>
  <c r="DY556"/>
  <c r="DZ556"/>
  <c r="EA556"/>
  <c r="EB556"/>
  <c r="EC556"/>
  <c r="ED556"/>
  <c r="EE556"/>
  <c r="EF556"/>
  <c r="EG556"/>
  <c r="EH556"/>
  <c r="EI556"/>
  <c r="EJ556"/>
  <c r="EK556"/>
  <c r="EL556"/>
  <c r="EM556"/>
  <c r="EN556"/>
  <c r="EO556"/>
  <c r="EP556"/>
  <c r="EQ556"/>
  <c r="ER556"/>
  <c r="ES556"/>
  <c r="ET556"/>
  <c r="EU556"/>
  <c r="EV556"/>
  <c r="EW556"/>
  <c r="EX556"/>
  <c r="EY556"/>
  <c r="EZ556"/>
  <c r="FA556"/>
  <c r="FB556"/>
  <c r="FC556"/>
  <c r="FD556"/>
  <c r="FE556"/>
  <c r="FF556"/>
  <c r="FG556"/>
  <c r="FH556"/>
  <c r="FI556"/>
  <c r="FJ556"/>
  <c r="FK556"/>
  <c r="FL556"/>
  <c r="FM556"/>
  <c r="FN556"/>
  <c r="FO556"/>
  <c r="FP556"/>
  <c r="FQ556"/>
  <c r="FR556"/>
  <c r="FS556"/>
  <c r="FT556"/>
  <c r="FU556"/>
  <c r="FV556"/>
  <c r="FW556"/>
  <c r="FX556"/>
  <c r="FY556"/>
  <c r="FZ556"/>
  <c r="GA556"/>
  <c r="GB556"/>
  <c r="GC556"/>
  <c r="GD556"/>
  <c r="GE556"/>
  <c r="GF556"/>
  <c r="GG556"/>
  <c r="GH556"/>
  <c r="GI556"/>
  <c r="GJ556"/>
  <c r="GK556"/>
  <c r="GL556"/>
  <c r="GM556"/>
  <c r="GN556"/>
  <c r="GO556"/>
  <c r="GP556"/>
  <c r="GQ556"/>
  <c r="GR556"/>
  <c r="GS556"/>
  <c r="GT556"/>
  <c r="GU556"/>
  <c r="GV556"/>
  <c r="GW556"/>
  <c r="GX556"/>
  <c r="GY556"/>
  <c r="GZ556"/>
  <c r="HA556"/>
  <c r="HB556"/>
  <c r="HC556"/>
  <c r="HD556"/>
  <c r="HE556"/>
  <c r="HF556"/>
  <c r="HG556"/>
  <c r="HH556"/>
  <c r="HI556"/>
  <c r="HJ556"/>
  <c r="HK556"/>
  <c r="HL556"/>
  <c r="HM556"/>
  <c r="HN556"/>
  <c r="HO556"/>
  <c r="HP556"/>
  <c r="HQ556"/>
  <c r="HR556"/>
  <c r="HS556"/>
  <c r="HT556"/>
  <c r="HU556"/>
  <c r="HV556"/>
  <c r="HW556"/>
  <c r="HX556"/>
  <c r="HY556"/>
  <c r="HZ556"/>
  <c r="IA556"/>
  <c r="IB556"/>
  <c r="IC556"/>
  <c r="ID556"/>
  <c r="IE556"/>
  <c r="IF556"/>
  <c r="IG556"/>
  <c r="IH556"/>
  <c r="II556"/>
  <c r="IJ556"/>
  <c r="IK556"/>
  <c r="IL556"/>
  <c r="IM556"/>
  <c r="IN556"/>
  <c r="IO556"/>
  <c r="IP556"/>
  <c r="IQ556"/>
  <c r="IR556"/>
  <c r="IS556"/>
  <c r="IT556"/>
  <c r="IU556"/>
  <c r="IV556"/>
  <c r="A557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Z557"/>
  <c r="AA557"/>
  <c r="AB557"/>
  <c r="AC557"/>
  <c r="AD557"/>
  <c r="AE557"/>
  <c r="AF557"/>
  <c r="AG557"/>
  <c r="AH557"/>
  <c r="AI557"/>
  <c r="AJ557"/>
  <c r="AK557"/>
  <c r="AL557"/>
  <c r="AM557"/>
  <c r="AN557"/>
  <c r="AO557"/>
  <c r="AP557"/>
  <c r="AQ557"/>
  <c r="AR557"/>
  <c r="AS557"/>
  <c r="AT557"/>
  <c r="AU557"/>
  <c r="AV557"/>
  <c r="AW557"/>
  <c r="AX557"/>
  <c r="AY557"/>
  <c r="AZ557"/>
  <c r="BA557"/>
  <c r="BB557"/>
  <c r="BC557"/>
  <c r="BD557"/>
  <c r="BE557"/>
  <c r="BF557"/>
  <c r="BG557"/>
  <c r="BH557"/>
  <c r="BI557"/>
  <c r="BJ557"/>
  <c r="BK557"/>
  <c r="BL557"/>
  <c r="BM557"/>
  <c r="BN557"/>
  <c r="BO557"/>
  <c r="BP557"/>
  <c r="BQ557"/>
  <c r="BR557"/>
  <c r="BS557"/>
  <c r="BT557"/>
  <c r="BU557"/>
  <c r="BV557"/>
  <c r="BW557"/>
  <c r="BX557"/>
  <c r="BY557"/>
  <c r="BZ557"/>
  <c r="CA557"/>
  <c r="CB557"/>
  <c r="CC557"/>
  <c r="CD557"/>
  <c r="CE557"/>
  <c r="CF557"/>
  <c r="CG557"/>
  <c r="CH557"/>
  <c r="CI557"/>
  <c r="CJ557"/>
  <c r="CK557"/>
  <c r="CL557"/>
  <c r="CM557"/>
  <c r="CN557"/>
  <c r="CO557"/>
  <c r="CP557"/>
  <c r="CQ557"/>
  <c r="CR557"/>
  <c r="CS557"/>
  <c r="CT557"/>
  <c r="CU557"/>
  <c r="CV557"/>
  <c r="CW557"/>
  <c r="CX557"/>
  <c r="CY557"/>
  <c r="CZ557"/>
  <c r="DA557"/>
  <c r="DB557"/>
  <c r="DC557"/>
  <c r="DD557"/>
  <c r="DE557"/>
  <c r="DF557"/>
  <c r="DG557"/>
  <c r="DH557"/>
  <c r="DI557"/>
  <c r="DJ557"/>
  <c r="DK557"/>
  <c r="DL557"/>
  <c r="DM557"/>
  <c r="DN557"/>
  <c r="DO557"/>
  <c r="DP557"/>
  <c r="DQ557"/>
  <c r="DR557"/>
  <c r="DS557"/>
  <c r="DT557"/>
  <c r="DU557"/>
  <c r="DV557"/>
  <c r="DW557"/>
  <c r="DX557"/>
  <c r="DY557"/>
  <c r="DZ557"/>
  <c r="EA557"/>
  <c r="EB557"/>
  <c r="EC557"/>
  <c r="ED557"/>
  <c r="EE557"/>
  <c r="EF557"/>
  <c r="EG557"/>
  <c r="EH557"/>
  <c r="EI557"/>
  <c r="EJ557"/>
  <c r="EK557"/>
  <c r="EL557"/>
  <c r="EM557"/>
  <c r="EN557"/>
  <c r="EO557"/>
  <c r="EP557"/>
  <c r="EQ557"/>
  <c r="ER557"/>
  <c r="ES557"/>
  <c r="ET557"/>
  <c r="EU557"/>
  <c r="EV557"/>
  <c r="EW557"/>
  <c r="EX557"/>
  <c r="EY557"/>
  <c r="EZ557"/>
  <c r="FA557"/>
  <c r="FB557"/>
  <c r="FC557"/>
  <c r="FD557"/>
  <c r="FE557"/>
  <c r="FF557"/>
  <c r="FG557"/>
  <c r="FH557"/>
  <c r="FI557"/>
  <c r="FJ557"/>
  <c r="FK557"/>
  <c r="FL557"/>
  <c r="FM557"/>
  <c r="FN557"/>
  <c r="FO557"/>
  <c r="FP557"/>
  <c r="FQ557"/>
  <c r="FR557"/>
  <c r="FS557"/>
  <c r="FT557"/>
  <c r="FU557"/>
  <c r="FV557"/>
  <c r="FW557"/>
  <c r="FX557"/>
  <c r="FY557"/>
  <c r="FZ557"/>
  <c r="GA557"/>
  <c r="GB557"/>
  <c r="GC557"/>
  <c r="GD557"/>
  <c r="GE557"/>
  <c r="GF557"/>
  <c r="GG557"/>
  <c r="GH557"/>
  <c r="GI557"/>
  <c r="GJ557"/>
  <c r="GK557"/>
  <c r="GL557"/>
  <c r="GM557"/>
  <c r="GN557"/>
  <c r="GO557"/>
  <c r="GP557"/>
  <c r="GQ557"/>
  <c r="GR557"/>
  <c r="GS557"/>
  <c r="GT557"/>
  <c r="GU557"/>
  <c r="GV557"/>
  <c r="GW557"/>
  <c r="GX557"/>
  <c r="GY557"/>
  <c r="GZ557"/>
  <c r="HA557"/>
  <c r="HB557"/>
  <c r="HC557"/>
  <c r="HD557"/>
  <c r="HE557"/>
  <c r="HF557"/>
  <c r="HG557"/>
  <c r="HH557"/>
  <c r="HI557"/>
  <c r="HJ557"/>
  <c r="HK557"/>
  <c r="HL557"/>
  <c r="HM557"/>
  <c r="HN557"/>
  <c r="HO557"/>
  <c r="HP557"/>
  <c r="HQ557"/>
  <c r="HR557"/>
  <c r="HS557"/>
  <c r="HT557"/>
  <c r="HU557"/>
  <c r="HV557"/>
  <c r="HW557"/>
  <c r="HX557"/>
  <c r="HY557"/>
  <c r="HZ557"/>
  <c r="IA557"/>
  <c r="IB557"/>
  <c r="IC557"/>
  <c r="ID557"/>
  <c r="IE557"/>
  <c r="IF557"/>
  <c r="IG557"/>
  <c r="IH557"/>
  <c r="II557"/>
  <c r="IJ557"/>
  <c r="IK557"/>
  <c r="IL557"/>
  <c r="IM557"/>
  <c r="IN557"/>
  <c r="IO557"/>
  <c r="IP557"/>
  <c r="IQ557"/>
  <c r="IR557"/>
  <c r="IS557"/>
  <c r="IT557"/>
  <c r="IU557"/>
  <c r="IV557"/>
  <c r="A558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Z558"/>
  <c r="AA558"/>
  <c r="AB558"/>
  <c r="AC558"/>
  <c r="AD558"/>
  <c r="AE558"/>
  <c r="AF558"/>
  <c r="AG558"/>
  <c r="AH558"/>
  <c r="AI558"/>
  <c r="AJ558"/>
  <c r="AK558"/>
  <c r="AL558"/>
  <c r="AM558"/>
  <c r="AN558"/>
  <c r="AO558"/>
  <c r="AP558"/>
  <c r="AQ558"/>
  <c r="AR558"/>
  <c r="AS558"/>
  <c r="AT558"/>
  <c r="AU558"/>
  <c r="AV558"/>
  <c r="AW558"/>
  <c r="AX558"/>
  <c r="AY558"/>
  <c r="AZ558"/>
  <c r="BA558"/>
  <c r="BB558"/>
  <c r="BC558"/>
  <c r="BD558"/>
  <c r="BE558"/>
  <c r="BF558"/>
  <c r="BG558"/>
  <c r="BH558"/>
  <c r="BI558"/>
  <c r="BJ558"/>
  <c r="BK558"/>
  <c r="BL558"/>
  <c r="BM558"/>
  <c r="BN558"/>
  <c r="BO558"/>
  <c r="BP558"/>
  <c r="BQ558"/>
  <c r="BR558"/>
  <c r="BS558"/>
  <c r="BT558"/>
  <c r="BU558"/>
  <c r="BV558"/>
  <c r="BW558"/>
  <c r="BX558"/>
  <c r="BY558"/>
  <c r="BZ558"/>
  <c r="CA558"/>
  <c r="CB558"/>
  <c r="CC558"/>
  <c r="CD558"/>
  <c r="CE558"/>
  <c r="CF558"/>
  <c r="CG558"/>
  <c r="CH558"/>
  <c r="CI558"/>
  <c r="CJ558"/>
  <c r="CK558"/>
  <c r="CL558"/>
  <c r="CM558"/>
  <c r="CN558"/>
  <c r="CO558"/>
  <c r="CP558"/>
  <c r="CQ558"/>
  <c r="CR558"/>
  <c r="CS558"/>
  <c r="CT558"/>
  <c r="CU558"/>
  <c r="CV558"/>
  <c r="CW558"/>
  <c r="CX558"/>
  <c r="CY558"/>
  <c r="CZ558"/>
  <c r="DA558"/>
  <c r="DB558"/>
  <c r="DC558"/>
  <c r="DD558"/>
  <c r="DE558"/>
  <c r="DF558"/>
  <c r="DG558"/>
  <c r="DH558"/>
  <c r="DI558"/>
  <c r="DJ558"/>
  <c r="DK558"/>
  <c r="DL558"/>
  <c r="DM558"/>
  <c r="DN558"/>
  <c r="DO558"/>
  <c r="DP558"/>
  <c r="DQ558"/>
  <c r="DR558"/>
  <c r="DS558"/>
  <c r="DT558"/>
  <c r="DU558"/>
  <c r="DV558"/>
  <c r="DW558"/>
  <c r="DX558"/>
  <c r="DY558"/>
  <c r="DZ558"/>
  <c r="EA558"/>
  <c r="EB558"/>
  <c r="EC558"/>
  <c r="ED558"/>
  <c r="EE558"/>
  <c r="EF558"/>
  <c r="EG558"/>
  <c r="EH558"/>
  <c r="EI558"/>
  <c r="EJ558"/>
  <c r="EK558"/>
  <c r="EL558"/>
  <c r="EM558"/>
  <c r="EN558"/>
  <c r="EO558"/>
  <c r="EP558"/>
  <c r="EQ558"/>
  <c r="ER558"/>
  <c r="ES558"/>
  <c r="ET558"/>
  <c r="EU558"/>
  <c r="EV558"/>
  <c r="EW558"/>
  <c r="EX558"/>
  <c r="EY558"/>
  <c r="EZ558"/>
  <c r="FA558"/>
  <c r="FB558"/>
  <c r="FC558"/>
  <c r="FD558"/>
  <c r="FE558"/>
  <c r="FF558"/>
  <c r="FG558"/>
  <c r="FH558"/>
  <c r="FI558"/>
  <c r="FJ558"/>
  <c r="FK558"/>
  <c r="FL558"/>
  <c r="FM558"/>
  <c r="FN558"/>
  <c r="FO558"/>
  <c r="FP558"/>
  <c r="FQ558"/>
  <c r="FR558"/>
  <c r="FS558"/>
  <c r="FT558"/>
  <c r="FU558"/>
  <c r="FV558"/>
  <c r="FW558"/>
  <c r="FX558"/>
  <c r="FY558"/>
  <c r="FZ558"/>
  <c r="GA558"/>
  <c r="GB558"/>
  <c r="GC558"/>
  <c r="GD558"/>
  <c r="GE558"/>
  <c r="GF558"/>
  <c r="GG558"/>
  <c r="GH558"/>
  <c r="GI558"/>
  <c r="GJ558"/>
  <c r="GK558"/>
  <c r="GL558"/>
  <c r="GM558"/>
  <c r="GN558"/>
  <c r="GO558"/>
  <c r="GP558"/>
  <c r="GQ558"/>
  <c r="GR558"/>
  <c r="GS558"/>
  <c r="GT558"/>
  <c r="GU558"/>
  <c r="GV558"/>
  <c r="GW558"/>
  <c r="GX558"/>
  <c r="GY558"/>
  <c r="GZ558"/>
  <c r="HA558"/>
  <c r="HB558"/>
  <c r="HC558"/>
  <c r="HD558"/>
  <c r="HE558"/>
  <c r="HF558"/>
  <c r="HG558"/>
  <c r="HH558"/>
  <c r="HI558"/>
  <c r="HJ558"/>
  <c r="HK558"/>
  <c r="HL558"/>
  <c r="HM558"/>
  <c r="HN558"/>
  <c r="HO558"/>
  <c r="HP558"/>
  <c r="HQ558"/>
  <c r="HR558"/>
  <c r="HS558"/>
  <c r="HT558"/>
  <c r="HU558"/>
  <c r="HV558"/>
  <c r="HW558"/>
  <c r="HX558"/>
  <c r="HY558"/>
  <c r="HZ558"/>
  <c r="IA558"/>
  <c r="IB558"/>
  <c r="IC558"/>
  <c r="ID558"/>
  <c r="IE558"/>
  <c r="IF558"/>
  <c r="IG558"/>
  <c r="IH558"/>
  <c r="II558"/>
  <c r="IJ558"/>
  <c r="IK558"/>
  <c r="IL558"/>
  <c r="IM558"/>
  <c r="IN558"/>
  <c r="IO558"/>
  <c r="IP558"/>
  <c r="IQ558"/>
  <c r="IR558"/>
  <c r="IS558"/>
  <c r="IT558"/>
  <c r="IU558"/>
  <c r="IV558"/>
  <c r="A559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Z559"/>
  <c r="AA559"/>
  <c r="AB559"/>
  <c r="AC559"/>
  <c r="AD559"/>
  <c r="AE559"/>
  <c r="AF559"/>
  <c r="AG559"/>
  <c r="AH559"/>
  <c r="AI559"/>
  <c r="AJ559"/>
  <c r="AK559"/>
  <c r="AL559"/>
  <c r="AM559"/>
  <c r="AN559"/>
  <c r="AO559"/>
  <c r="AP559"/>
  <c r="AQ559"/>
  <c r="AR559"/>
  <c r="AS559"/>
  <c r="AT559"/>
  <c r="AU559"/>
  <c r="AV559"/>
  <c r="AW559"/>
  <c r="AX559"/>
  <c r="AY559"/>
  <c r="AZ559"/>
  <c r="BA559"/>
  <c r="BB559"/>
  <c r="BC559"/>
  <c r="BD559"/>
  <c r="BE559"/>
  <c r="BF559"/>
  <c r="BG559"/>
  <c r="BH559"/>
  <c r="BI559"/>
  <c r="BJ559"/>
  <c r="BK559"/>
  <c r="BL559"/>
  <c r="BM559"/>
  <c r="BN559"/>
  <c r="BO559"/>
  <c r="BP559"/>
  <c r="BQ559"/>
  <c r="BR559"/>
  <c r="BS559"/>
  <c r="BT559"/>
  <c r="BU559"/>
  <c r="BV559"/>
  <c r="BW559"/>
  <c r="BX559"/>
  <c r="BY559"/>
  <c r="BZ559"/>
  <c r="CA559"/>
  <c r="CB559"/>
  <c r="CC559"/>
  <c r="CD559"/>
  <c r="CE559"/>
  <c r="CF559"/>
  <c r="CG559"/>
  <c r="CH559"/>
  <c r="CI559"/>
  <c r="CJ559"/>
  <c r="CK559"/>
  <c r="CL559"/>
  <c r="CM559"/>
  <c r="CN559"/>
  <c r="CO559"/>
  <c r="CP559"/>
  <c r="CQ559"/>
  <c r="CR559"/>
  <c r="CS559"/>
  <c r="CT559"/>
  <c r="CU559"/>
  <c r="CV559"/>
  <c r="CW559"/>
  <c r="CX559"/>
  <c r="CY559"/>
  <c r="CZ559"/>
  <c r="DA559"/>
  <c r="DB559"/>
  <c r="DC559"/>
  <c r="DD559"/>
  <c r="DE559"/>
  <c r="DF559"/>
  <c r="DG559"/>
  <c r="DH559"/>
  <c r="DI559"/>
  <c r="DJ559"/>
  <c r="DK559"/>
  <c r="DL559"/>
  <c r="DM559"/>
  <c r="DN559"/>
  <c r="DO559"/>
  <c r="DP559"/>
  <c r="DQ559"/>
  <c r="DR559"/>
  <c r="DS559"/>
  <c r="DT559"/>
  <c r="DU559"/>
  <c r="DV559"/>
  <c r="DW559"/>
  <c r="DX559"/>
  <c r="DY559"/>
  <c r="DZ559"/>
  <c r="EA559"/>
  <c r="EB559"/>
  <c r="EC559"/>
  <c r="ED559"/>
  <c r="EE559"/>
  <c r="EF559"/>
  <c r="EG559"/>
  <c r="EH559"/>
  <c r="EI559"/>
  <c r="EJ559"/>
  <c r="EK559"/>
  <c r="EL559"/>
  <c r="EM559"/>
  <c r="EN559"/>
  <c r="EO559"/>
  <c r="EP559"/>
  <c r="EQ559"/>
  <c r="ER559"/>
  <c r="ES559"/>
  <c r="ET559"/>
  <c r="EU559"/>
  <c r="EV559"/>
  <c r="EW559"/>
  <c r="EX559"/>
  <c r="EY559"/>
  <c r="EZ559"/>
  <c r="FA559"/>
  <c r="FB559"/>
  <c r="FC559"/>
  <c r="FD559"/>
  <c r="FE559"/>
  <c r="FF559"/>
  <c r="FG559"/>
  <c r="FH559"/>
  <c r="FI559"/>
  <c r="FJ559"/>
  <c r="FK559"/>
  <c r="FL559"/>
  <c r="FM559"/>
  <c r="FN559"/>
  <c r="FO559"/>
  <c r="FP559"/>
  <c r="FQ559"/>
  <c r="FR559"/>
  <c r="FS559"/>
  <c r="FT559"/>
  <c r="FU559"/>
  <c r="FV559"/>
  <c r="FW559"/>
  <c r="FX559"/>
  <c r="FY559"/>
  <c r="FZ559"/>
  <c r="GA559"/>
  <c r="GB559"/>
  <c r="GC559"/>
  <c r="GD559"/>
  <c r="GE559"/>
  <c r="GF559"/>
  <c r="GG559"/>
  <c r="GH559"/>
  <c r="GI559"/>
  <c r="GJ559"/>
  <c r="GK559"/>
  <c r="GL559"/>
  <c r="GM559"/>
  <c r="GN559"/>
  <c r="GO559"/>
  <c r="GP559"/>
  <c r="GQ559"/>
  <c r="GR559"/>
  <c r="GS559"/>
  <c r="GT559"/>
  <c r="GU559"/>
  <c r="GV559"/>
  <c r="GW559"/>
  <c r="GX559"/>
  <c r="GY559"/>
  <c r="GZ559"/>
  <c r="HA559"/>
  <c r="HB559"/>
  <c r="HC559"/>
  <c r="HD559"/>
  <c r="HE559"/>
  <c r="HF559"/>
  <c r="HG559"/>
  <c r="HH559"/>
  <c r="HI559"/>
  <c r="HJ559"/>
  <c r="HK559"/>
  <c r="HL559"/>
  <c r="HM559"/>
  <c r="HN559"/>
  <c r="HO559"/>
  <c r="HP559"/>
  <c r="HQ559"/>
  <c r="HR559"/>
  <c r="HS559"/>
  <c r="HT559"/>
  <c r="HU559"/>
  <c r="HV559"/>
  <c r="HW559"/>
  <c r="HX559"/>
  <c r="HY559"/>
  <c r="HZ559"/>
  <c r="IA559"/>
  <c r="IB559"/>
  <c r="IC559"/>
  <c r="ID559"/>
  <c r="IE559"/>
  <c r="IF559"/>
  <c r="IG559"/>
  <c r="IH559"/>
  <c r="II559"/>
  <c r="IJ559"/>
  <c r="IK559"/>
  <c r="IL559"/>
  <c r="IM559"/>
  <c r="IN559"/>
  <c r="IO559"/>
  <c r="IP559"/>
  <c r="IQ559"/>
  <c r="IR559"/>
  <c r="IS559"/>
  <c r="IT559"/>
  <c r="IU559"/>
  <c r="IV559"/>
  <c r="A560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Z560"/>
  <c r="AA560"/>
  <c r="AB560"/>
  <c r="AC560"/>
  <c r="AD560"/>
  <c r="AE560"/>
  <c r="AF560"/>
  <c r="AG560"/>
  <c r="AH560"/>
  <c r="AI560"/>
  <c r="AJ560"/>
  <c r="AK560"/>
  <c r="AL560"/>
  <c r="AM560"/>
  <c r="AN560"/>
  <c r="AO560"/>
  <c r="AP560"/>
  <c r="AQ560"/>
  <c r="AR560"/>
  <c r="AS560"/>
  <c r="AT560"/>
  <c r="AU560"/>
  <c r="AV560"/>
  <c r="AW560"/>
  <c r="AX560"/>
  <c r="AY560"/>
  <c r="AZ560"/>
  <c r="BA560"/>
  <c r="BB560"/>
  <c r="BC560"/>
  <c r="BD560"/>
  <c r="BE560"/>
  <c r="BF560"/>
  <c r="BG560"/>
  <c r="BH560"/>
  <c r="BI560"/>
  <c r="BJ560"/>
  <c r="BK560"/>
  <c r="BL560"/>
  <c r="BM560"/>
  <c r="BN560"/>
  <c r="BO560"/>
  <c r="BP560"/>
  <c r="BQ560"/>
  <c r="BR560"/>
  <c r="BS560"/>
  <c r="BT560"/>
  <c r="BU560"/>
  <c r="BV560"/>
  <c r="BW560"/>
  <c r="BX560"/>
  <c r="BY560"/>
  <c r="BZ560"/>
  <c r="CA560"/>
  <c r="CB560"/>
  <c r="CC560"/>
  <c r="CD560"/>
  <c r="CE560"/>
  <c r="CF560"/>
  <c r="CG560"/>
  <c r="CH560"/>
  <c r="CI560"/>
  <c r="CJ560"/>
  <c r="CK560"/>
  <c r="CL560"/>
  <c r="CM560"/>
  <c r="CN560"/>
  <c r="CO560"/>
  <c r="CP560"/>
  <c r="CQ560"/>
  <c r="CR560"/>
  <c r="CS560"/>
  <c r="CT560"/>
  <c r="CU560"/>
  <c r="CV560"/>
  <c r="CW560"/>
  <c r="CX560"/>
  <c r="CY560"/>
  <c r="CZ560"/>
  <c r="DA560"/>
  <c r="DB560"/>
  <c r="DC560"/>
  <c r="DD560"/>
  <c r="DE560"/>
  <c r="DF560"/>
  <c r="DG560"/>
  <c r="DH560"/>
  <c r="DI560"/>
  <c r="DJ560"/>
  <c r="DK560"/>
  <c r="DL560"/>
  <c r="DM560"/>
  <c r="DN560"/>
  <c r="DO560"/>
  <c r="DP560"/>
  <c r="DQ560"/>
  <c r="DR560"/>
  <c r="DS560"/>
  <c r="DT560"/>
  <c r="DU560"/>
  <c r="DV560"/>
  <c r="DW560"/>
  <c r="DX560"/>
  <c r="DY560"/>
  <c r="DZ560"/>
  <c r="EA560"/>
  <c r="EB560"/>
  <c r="EC560"/>
  <c r="ED560"/>
  <c r="EE560"/>
  <c r="EF560"/>
  <c r="EG560"/>
  <c r="EH560"/>
  <c r="EI560"/>
  <c r="EJ560"/>
  <c r="EK560"/>
  <c r="EL560"/>
  <c r="EM560"/>
  <c r="EN560"/>
  <c r="EO560"/>
  <c r="EP560"/>
  <c r="EQ560"/>
  <c r="ER560"/>
  <c r="ES560"/>
  <c r="ET560"/>
  <c r="EU560"/>
  <c r="EV560"/>
  <c r="EW560"/>
  <c r="EX560"/>
  <c r="EY560"/>
  <c r="EZ560"/>
  <c r="FA560"/>
  <c r="FB560"/>
  <c r="FC560"/>
  <c r="FD560"/>
  <c r="FE560"/>
  <c r="FF560"/>
  <c r="FG560"/>
  <c r="FH560"/>
  <c r="FI560"/>
  <c r="FJ560"/>
  <c r="FK560"/>
  <c r="FL560"/>
  <c r="FM560"/>
  <c r="FN560"/>
  <c r="FO560"/>
  <c r="FP560"/>
  <c r="FQ560"/>
  <c r="FR560"/>
  <c r="FS560"/>
  <c r="FT560"/>
  <c r="FU560"/>
  <c r="FV560"/>
  <c r="FW560"/>
  <c r="FX560"/>
  <c r="FY560"/>
  <c r="FZ560"/>
  <c r="GA560"/>
  <c r="GB560"/>
  <c r="GC560"/>
  <c r="GD560"/>
  <c r="GE560"/>
  <c r="GF560"/>
  <c r="GG560"/>
  <c r="GH560"/>
  <c r="GI560"/>
  <c r="GJ560"/>
  <c r="GK560"/>
  <c r="GL560"/>
  <c r="GM560"/>
  <c r="GN560"/>
  <c r="GO560"/>
  <c r="GP560"/>
  <c r="GQ560"/>
  <c r="GR560"/>
  <c r="GS560"/>
  <c r="GT560"/>
  <c r="GU560"/>
  <c r="GV560"/>
  <c r="GW560"/>
  <c r="GX560"/>
  <c r="GY560"/>
  <c r="GZ560"/>
  <c r="HA560"/>
  <c r="HB560"/>
  <c r="HC560"/>
  <c r="HD560"/>
  <c r="HE560"/>
  <c r="HF560"/>
  <c r="HG560"/>
  <c r="HH560"/>
  <c r="HI560"/>
  <c r="HJ560"/>
  <c r="HK560"/>
  <c r="HL560"/>
  <c r="HM560"/>
  <c r="HN560"/>
  <c r="HO560"/>
  <c r="HP560"/>
  <c r="HQ560"/>
  <c r="HR560"/>
  <c r="HS560"/>
  <c r="HT560"/>
  <c r="HU560"/>
  <c r="HV560"/>
  <c r="HW560"/>
  <c r="HX560"/>
  <c r="HY560"/>
  <c r="HZ560"/>
  <c r="IA560"/>
  <c r="IB560"/>
  <c r="IC560"/>
  <c r="ID560"/>
  <c r="IE560"/>
  <c r="IF560"/>
  <c r="IG560"/>
  <c r="IH560"/>
  <c r="II560"/>
  <c r="IJ560"/>
  <c r="IK560"/>
  <c r="IL560"/>
  <c r="IM560"/>
  <c r="IN560"/>
  <c r="IO560"/>
  <c r="IP560"/>
  <c r="IQ560"/>
  <c r="IR560"/>
  <c r="IS560"/>
  <c r="IT560"/>
  <c r="IU560"/>
  <c r="IV560"/>
  <c r="A561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Z561"/>
  <c r="AA561"/>
  <c r="AB561"/>
  <c r="AC561"/>
  <c r="AD561"/>
  <c r="AE561"/>
  <c r="AF561"/>
  <c r="AG561"/>
  <c r="AH561"/>
  <c r="AI561"/>
  <c r="AJ561"/>
  <c r="AK561"/>
  <c r="AL561"/>
  <c r="AM561"/>
  <c r="AN561"/>
  <c r="AO561"/>
  <c r="AP561"/>
  <c r="AQ561"/>
  <c r="AR561"/>
  <c r="AS561"/>
  <c r="AT561"/>
  <c r="AU561"/>
  <c r="AV561"/>
  <c r="AW561"/>
  <c r="AX561"/>
  <c r="AY561"/>
  <c r="AZ561"/>
  <c r="BA561"/>
  <c r="BB561"/>
  <c r="BC561"/>
  <c r="BD561"/>
  <c r="BE561"/>
  <c r="BF561"/>
  <c r="BG561"/>
  <c r="BH561"/>
  <c r="BI561"/>
  <c r="BJ561"/>
  <c r="BK561"/>
  <c r="BL561"/>
  <c r="BM561"/>
  <c r="BN561"/>
  <c r="BO561"/>
  <c r="BP561"/>
  <c r="BQ561"/>
  <c r="BR561"/>
  <c r="BS561"/>
  <c r="BT561"/>
  <c r="BU561"/>
  <c r="BV561"/>
  <c r="BW561"/>
  <c r="BX561"/>
  <c r="BY561"/>
  <c r="BZ561"/>
  <c r="CA561"/>
  <c r="CB561"/>
  <c r="CC561"/>
  <c r="CD561"/>
  <c r="CE561"/>
  <c r="CF561"/>
  <c r="CG561"/>
  <c r="CH561"/>
  <c r="CI561"/>
  <c r="CJ561"/>
  <c r="CK561"/>
  <c r="CL561"/>
  <c r="CM561"/>
  <c r="CN561"/>
  <c r="CO561"/>
  <c r="CP561"/>
  <c r="CQ561"/>
  <c r="CR561"/>
  <c r="CS561"/>
  <c r="CT561"/>
  <c r="CU561"/>
  <c r="CV561"/>
  <c r="CW561"/>
  <c r="CX561"/>
  <c r="CY561"/>
  <c r="CZ561"/>
  <c r="DA561"/>
  <c r="DB561"/>
  <c r="DC561"/>
  <c r="DD561"/>
  <c r="DE561"/>
  <c r="DF561"/>
  <c r="DG561"/>
  <c r="DH561"/>
  <c r="DI561"/>
  <c r="DJ561"/>
  <c r="DK561"/>
  <c r="DL561"/>
  <c r="DM561"/>
  <c r="DN561"/>
  <c r="DO561"/>
  <c r="DP561"/>
  <c r="DQ561"/>
  <c r="DR561"/>
  <c r="DS561"/>
  <c r="DT561"/>
  <c r="DU561"/>
  <c r="DV561"/>
  <c r="DW561"/>
  <c r="DX561"/>
  <c r="DY561"/>
  <c r="DZ561"/>
  <c r="EA561"/>
  <c r="EB561"/>
  <c r="EC561"/>
  <c r="ED561"/>
  <c r="EE561"/>
  <c r="EF561"/>
  <c r="EG561"/>
  <c r="EH561"/>
  <c r="EI561"/>
  <c r="EJ561"/>
  <c r="EK561"/>
  <c r="EL561"/>
  <c r="EM561"/>
  <c r="EN561"/>
  <c r="EO561"/>
  <c r="EP561"/>
  <c r="EQ561"/>
  <c r="ER561"/>
  <c r="ES561"/>
  <c r="ET561"/>
  <c r="EU561"/>
  <c r="EV561"/>
  <c r="EW561"/>
  <c r="EX561"/>
  <c r="EY561"/>
  <c r="EZ561"/>
  <c r="FA561"/>
  <c r="FB561"/>
  <c r="FC561"/>
  <c r="FD561"/>
  <c r="FE561"/>
  <c r="FF561"/>
  <c r="FG561"/>
  <c r="FH561"/>
  <c r="FI561"/>
  <c r="FJ561"/>
  <c r="FK561"/>
  <c r="FL561"/>
  <c r="FM561"/>
  <c r="FN561"/>
  <c r="FO561"/>
  <c r="FP561"/>
  <c r="FQ561"/>
  <c r="FR561"/>
  <c r="FS561"/>
  <c r="FT561"/>
  <c r="FU561"/>
  <c r="FV561"/>
  <c r="FW561"/>
  <c r="FX561"/>
  <c r="FY561"/>
  <c r="FZ561"/>
  <c r="GA561"/>
  <c r="GB561"/>
  <c r="GC561"/>
  <c r="GD561"/>
  <c r="GE561"/>
  <c r="GF561"/>
  <c r="GG561"/>
  <c r="GH561"/>
  <c r="GI561"/>
  <c r="GJ561"/>
  <c r="GK561"/>
  <c r="GL561"/>
  <c r="GM561"/>
  <c r="GN561"/>
  <c r="GO561"/>
  <c r="GP561"/>
  <c r="GQ561"/>
  <c r="GR561"/>
  <c r="GS561"/>
  <c r="GT561"/>
  <c r="GU561"/>
  <c r="GV561"/>
  <c r="GW561"/>
  <c r="GX561"/>
  <c r="GY561"/>
  <c r="GZ561"/>
  <c r="HA561"/>
  <c r="HB561"/>
  <c r="HC561"/>
  <c r="HD561"/>
  <c r="HE561"/>
  <c r="HF561"/>
  <c r="HG561"/>
  <c r="HH561"/>
  <c r="HI561"/>
  <c r="HJ561"/>
  <c r="HK561"/>
  <c r="HL561"/>
  <c r="HM561"/>
  <c r="HN561"/>
  <c r="HO561"/>
  <c r="HP561"/>
  <c r="HQ561"/>
  <c r="HR561"/>
  <c r="HS561"/>
  <c r="HT561"/>
  <c r="HU561"/>
  <c r="HV561"/>
  <c r="HW561"/>
  <c r="HX561"/>
  <c r="HY561"/>
  <c r="HZ561"/>
  <c r="IA561"/>
  <c r="IB561"/>
  <c r="IC561"/>
  <c r="ID561"/>
  <c r="IE561"/>
  <c r="IF561"/>
  <c r="IG561"/>
  <c r="IH561"/>
  <c r="II561"/>
  <c r="IJ561"/>
  <c r="IK561"/>
  <c r="IL561"/>
  <c r="IM561"/>
  <c r="IN561"/>
  <c r="IO561"/>
  <c r="IP561"/>
  <c r="IQ561"/>
  <c r="IR561"/>
  <c r="IS561"/>
  <c r="IT561"/>
  <c r="IU561"/>
  <c r="IV561"/>
  <c r="A562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Z562"/>
  <c r="AA562"/>
  <c r="AB562"/>
  <c r="AC562"/>
  <c r="AD562"/>
  <c r="AE562"/>
  <c r="AF562"/>
  <c r="AG562"/>
  <c r="AH562"/>
  <c r="AI562"/>
  <c r="AJ562"/>
  <c r="AK562"/>
  <c r="AL562"/>
  <c r="AM562"/>
  <c r="AN562"/>
  <c r="AO562"/>
  <c r="AP562"/>
  <c r="AQ562"/>
  <c r="AR562"/>
  <c r="AS562"/>
  <c r="AT562"/>
  <c r="AU562"/>
  <c r="AV562"/>
  <c r="AW562"/>
  <c r="AX562"/>
  <c r="AY562"/>
  <c r="AZ562"/>
  <c r="BA562"/>
  <c r="BB562"/>
  <c r="BC562"/>
  <c r="BD562"/>
  <c r="BE562"/>
  <c r="BF562"/>
  <c r="BG562"/>
  <c r="BH562"/>
  <c r="BI562"/>
  <c r="BJ562"/>
  <c r="BK562"/>
  <c r="BL562"/>
  <c r="BM562"/>
  <c r="BN562"/>
  <c r="BO562"/>
  <c r="BP562"/>
  <c r="BQ562"/>
  <c r="BR562"/>
  <c r="BS562"/>
  <c r="BT562"/>
  <c r="BU562"/>
  <c r="BV562"/>
  <c r="BW562"/>
  <c r="BX562"/>
  <c r="BY562"/>
  <c r="BZ562"/>
  <c r="CA562"/>
  <c r="CB562"/>
  <c r="CC562"/>
  <c r="CD562"/>
  <c r="CE562"/>
  <c r="CF562"/>
  <c r="CG562"/>
  <c r="CH562"/>
  <c r="CI562"/>
  <c r="CJ562"/>
  <c r="CK562"/>
  <c r="CL562"/>
  <c r="CM562"/>
  <c r="CN562"/>
  <c r="CO562"/>
  <c r="CP562"/>
  <c r="CQ562"/>
  <c r="CR562"/>
  <c r="CS562"/>
  <c r="CT562"/>
  <c r="CU562"/>
  <c r="CV562"/>
  <c r="CW562"/>
  <c r="CX562"/>
  <c r="CY562"/>
  <c r="CZ562"/>
  <c r="DA562"/>
  <c r="DB562"/>
  <c r="DC562"/>
  <c r="DD562"/>
  <c r="DE562"/>
  <c r="DF562"/>
  <c r="DG562"/>
  <c r="DH562"/>
  <c r="DI562"/>
  <c r="DJ562"/>
  <c r="DK562"/>
  <c r="DL562"/>
  <c r="DM562"/>
  <c r="DN562"/>
  <c r="DO562"/>
  <c r="DP562"/>
  <c r="DQ562"/>
  <c r="DR562"/>
  <c r="DS562"/>
  <c r="DT562"/>
  <c r="DU562"/>
  <c r="DV562"/>
  <c r="DW562"/>
  <c r="DX562"/>
  <c r="DY562"/>
  <c r="DZ562"/>
  <c r="EA562"/>
  <c r="EB562"/>
  <c r="EC562"/>
  <c r="ED562"/>
  <c r="EE562"/>
  <c r="EF562"/>
  <c r="EG562"/>
  <c r="EH562"/>
  <c r="EI562"/>
  <c r="EJ562"/>
  <c r="EK562"/>
  <c r="EL562"/>
  <c r="EM562"/>
  <c r="EN562"/>
  <c r="EO562"/>
  <c r="EP562"/>
  <c r="EQ562"/>
  <c r="ER562"/>
  <c r="ES562"/>
  <c r="ET562"/>
  <c r="EU562"/>
  <c r="EV562"/>
  <c r="EW562"/>
  <c r="EX562"/>
  <c r="EY562"/>
  <c r="EZ562"/>
  <c r="FA562"/>
  <c r="FB562"/>
  <c r="FC562"/>
  <c r="FD562"/>
  <c r="FE562"/>
  <c r="FF562"/>
  <c r="FG562"/>
  <c r="FH562"/>
  <c r="FI562"/>
  <c r="FJ562"/>
  <c r="FK562"/>
  <c r="FL562"/>
  <c r="FM562"/>
  <c r="FN562"/>
  <c r="FO562"/>
  <c r="FP562"/>
  <c r="FQ562"/>
  <c r="FR562"/>
  <c r="FS562"/>
  <c r="FT562"/>
  <c r="FU562"/>
  <c r="FV562"/>
  <c r="FW562"/>
  <c r="FX562"/>
  <c r="FY562"/>
  <c r="FZ562"/>
  <c r="GA562"/>
  <c r="GB562"/>
  <c r="GC562"/>
  <c r="GD562"/>
  <c r="GE562"/>
  <c r="GF562"/>
  <c r="GG562"/>
  <c r="GH562"/>
  <c r="GI562"/>
  <c r="GJ562"/>
  <c r="GK562"/>
  <c r="GL562"/>
  <c r="GM562"/>
  <c r="GN562"/>
  <c r="GO562"/>
  <c r="GP562"/>
  <c r="GQ562"/>
  <c r="GR562"/>
  <c r="GS562"/>
  <c r="GT562"/>
  <c r="GU562"/>
  <c r="GV562"/>
  <c r="GW562"/>
  <c r="GX562"/>
  <c r="GY562"/>
  <c r="GZ562"/>
  <c r="HA562"/>
  <c r="HB562"/>
  <c r="HC562"/>
  <c r="HD562"/>
  <c r="HE562"/>
  <c r="HF562"/>
  <c r="HG562"/>
  <c r="HH562"/>
  <c r="HI562"/>
  <c r="HJ562"/>
  <c r="HK562"/>
  <c r="HL562"/>
  <c r="HM562"/>
  <c r="HN562"/>
  <c r="HO562"/>
  <c r="HP562"/>
  <c r="HQ562"/>
  <c r="HR562"/>
  <c r="HS562"/>
  <c r="HT562"/>
  <c r="HU562"/>
  <c r="HV562"/>
  <c r="HW562"/>
  <c r="HX562"/>
  <c r="HY562"/>
  <c r="HZ562"/>
  <c r="IA562"/>
  <c r="IB562"/>
  <c r="IC562"/>
  <c r="ID562"/>
  <c r="IE562"/>
  <c r="IF562"/>
  <c r="IG562"/>
  <c r="IH562"/>
  <c r="II562"/>
  <c r="IJ562"/>
  <c r="IK562"/>
  <c r="IL562"/>
  <c r="IM562"/>
  <c r="IN562"/>
  <c r="IO562"/>
  <c r="IP562"/>
  <c r="IQ562"/>
  <c r="IR562"/>
  <c r="IS562"/>
  <c r="IT562"/>
  <c r="IU562"/>
  <c r="IV562"/>
  <c r="A563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Z563"/>
  <c r="AA563"/>
  <c r="AB563"/>
  <c r="AC563"/>
  <c r="AD563"/>
  <c r="AE563"/>
  <c r="AF563"/>
  <c r="AG563"/>
  <c r="AH563"/>
  <c r="AI563"/>
  <c r="AJ563"/>
  <c r="AK563"/>
  <c r="AL563"/>
  <c r="AM563"/>
  <c r="AN563"/>
  <c r="AO563"/>
  <c r="AP563"/>
  <c r="AQ563"/>
  <c r="AR563"/>
  <c r="AS563"/>
  <c r="AT563"/>
  <c r="AU563"/>
  <c r="AV563"/>
  <c r="AW563"/>
  <c r="AX563"/>
  <c r="AY563"/>
  <c r="AZ563"/>
  <c r="BA563"/>
  <c r="BB563"/>
  <c r="BC563"/>
  <c r="BD563"/>
  <c r="BE563"/>
  <c r="BF563"/>
  <c r="BG563"/>
  <c r="BH563"/>
  <c r="BI563"/>
  <c r="BJ563"/>
  <c r="BK563"/>
  <c r="BL563"/>
  <c r="BM563"/>
  <c r="BN563"/>
  <c r="BO563"/>
  <c r="BP563"/>
  <c r="BQ563"/>
  <c r="BR563"/>
  <c r="BS563"/>
  <c r="BT563"/>
  <c r="BU563"/>
  <c r="BV563"/>
  <c r="BW563"/>
  <c r="BX563"/>
  <c r="BY563"/>
  <c r="BZ563"/>
  <c r="CA563"/>
  <c r="CB563"/>
  <c r="CC563"/>
  <c r="CD563"/>
  <c r="CE563"/>
  <c r="CF563"/>
  <c r="CG563"/>
  <c r="CH563"/>
  <c r="CI563"/>
  <c r="CJ563"/>
  <c r="CK563"/>
  <c r="CL563"/>
  <c r="CM563"/>
  <c r="CN563"/>
  <c r="CO563"/>
  <c r="CP563"/>
  <c r="CQ563"/>
  <c r="CR563"/>
  <c r="CS563"/>
  <c r="CT563"/>
  <c r="CU563"/>
  <c r="CV563"/>
  <c r="CW563"/>
  <c r="CX563"/>
  <c r="CY563"/>
  <c r="CZ563"/>
  <c r="DA563"/>
  <c r="DB563"/>
  <c r="DC563"/>
  <c r="DD563"/>
  <c r="DE563"/>
  <c r="DF563"/>
  <c r="DG563"/>
  <c r="DH563"/>
  <c r="DI563"/>
  <c r="DJ563"/>
  <c r="DK563"/>
  <c r="DL563"/>
  <c r="DM563"/>
  <c r="DN563"/>
  <c r="DO563"/>
  <c r="DP563"/>
  <c r="DQ563"/>
  <c r="DR563"/>
  <c r="DS563"/>
  <c r="DT563"/>
  <c r="DU563"/>
  <c r="DV563"/>
  <c r="DW563"/>
  <c r="DX563"/>
  <c r="DY563"/>
  <c r="DZ563"/>
  <c r="EA563"/>
  <c r="EB563"/>
  <c r="EC563"/>
  <c r="ED563"/>
  <c r="EE563"/>
  <c r="EF563"/>
  <c r="EG563"/>
  <c r="EH563"/>
  <c r="EI563"/>
  <c r="EJ563"/>
  <c r="EK563"/>
  <c r="EL563"/>
  <c r="EM563"/>
  <c r="EN563"/>
  <c r="EO563"/>
  <c r="EP563"/>
  <c r="EQ563"/>
  <c r="ER563"/>
  <c r="ES563"/>
  <c r="ET563"/>
  <c r="EU563"/>
  <c r="EV563"/>
  <c r="EW563"/>
  <c r="EX563"/>
  <c r="EY563"/>
  <c r="EZ563"/>
  <c r="FA563"/>
  <c r="FB563"/>
  <c r="FC563"/>
  <c r="FD563"/>
  <c r="FE563"/>
  <c r="FF563"/>
  <c r="FG563"/>
  <c r="FH563"/>
  <c r="FI563"/>
  <c r="FJ563"/>
  <c r="FK563"/>
  <c r="FL563"/>
  <c r="FM563"/>
  <c r="FN563"/>
  <c r="FO563"/>
  <c r="FP563"/>
  <c r="FQ563"/>
  <c r="FR563"/>
  <c r="FS563"/>
  <c r="FT563"/>
  <c r="FU563"/>
  <c r="FV563"/>
  <c r="FW563"/>
  <c r="FX563"/>
  <c r="FY563"/>
  <c r="FZ563"/>
  <c r="GA563"/>
  <c r="GB563"/>
  <c r="GC563"/>
  <c r="GD563"/>
  <c r="GE563"/>
  <c r="GF563"/>
  <c r="GG563"/>
  <c r="GH563"/>
  <c r="GI563"/>
  <c r="GJ563"/>
  <c r="GK563"/>
  <c r="GL563"/>
  <c r="GM563"/>
  <c r="GN563"/>
  <c r="GO563"/>
  <c r="GP563"/>
  <c r="GQ563"/>
  <c r="GR563"/>
  <c r="GS563"/>
  <c r="GT563"/>
  <c r="GU563"/>
  <c r="GV563"/>
  <c r="GW563"/>
  <c r="GX563"/>
  <c r="GY563"/>
  <c r="GZ563"/>
  <c r="HA563"/>
  <c r="HB563"/>
  <c r="HC563"/>
  <c r="HD563"/>
  <c r="HE563"/>
  <c r="HF563"/>
  <c r="HG563"/>
  <c r="HH563"/>
  <c r="HI563"/>
  <c r="HJ563"/>
  <c r="HK563"/>
  <c r="HL563"/>
  <c r="HM563"/>
  <c r="HN563"/>
  <c r="HO563"/>
  <c r="HP563"/>
  <c r="HQ563"/>
  <c r="HR563"/>
  <c r="HS563"/>
  <c r="HT563"/>
  <c r="HU563"/>
  <c r="HV563"/>
  <c r="HW563"/>
  <c r="HX563"/>
  <c r="HY563"/>
  <c r="HZ563"/>
  <c r="IA563"/>
  <c r="IB563"/>
  <c r="IC563"/>
  <c r="ID563"/>
  <c r="IE563"/>
  <c r="IF563"/>
  <c r="IG563"/>
  <c r="IH563"/>
  <c r="II563"/>
  <c r="IJ563"/>
  <c r="IK563"/>
  <c r="IL563"/>
  <c r="IM563"/>
  <c r="IN563"/>
  <c r="IO563"/>
  <c r="IP563"/>
  <c r="IQ563"/>
  <c r="IR563"/>
  <c r="IS563"/>
  <c r="IT563"/>
  <c r="IU563"/>
  <c r="IV563"/>
  <c r="A564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Z564"/>
  <c r="AA564"/>
  <c r="AB564"/>
  <c r="AC564"/>
  <c r="AD564"/>
  <c r="AE564"/>
  <c r="AF564"/>
  <c r="AG564"/>
  <c r="AH564"/>
  <c r="AI564"/>
  <c r="AJ564"/>
  <c r="AK564"/>
  <c r="AL564"/>
  <c r="AM564"/>
  <c r="AN564"/>
  <c r="AO564"/>
  <c r="AP564"/>
  <c r="AQ564"/>
  <c r="AR564"/>
  <c r="AS564"/>
  <c r="AT564"/>
  <c r="AU564"/>
  <c r="AV564"/>
  <c r="AW564"/>
  <c r="AX564"/>
  <c r="AY564"/>
  <c r="AZ564"/>
  <c r="BA564"/>
  <c r="BB564"/>
  <c r="BC564"/>
  <c r="BD564"/>
  <c r="BE564"/>
  <c r="BF564"/>
  <c r="BG564"/>
  <c r="BH564"/>
  <c r="BI564"/>
  <c r="BJ564"/>
  <c r="BK564"/>
  <c r="BL564"/>
  <c r="BM564"/>
  <c r="BN564"/>
  <c r="BO564"/>
  <c r="BP564"/>
  <c r="BQ564"/>
  <c r="BR564"/>
  <c r="BS564"/>
  <c r="BT564"/>
  <c r="BU564"/>
  <c r="BV564"/>
  <c r="BW564"/>
  <c r="BX564"/>
  <c r="BY564"/>
  <c r="BZ564"/>
  <c r="CA564"/>
  <c r="CB564"/>
  <c r="CC564"/>
  <c r="CD564"/>
  <c r="CE564"/>
  <c r="CF564"/>
  <c r="CG564"/>
  <c r="CH564"/>
  <c r="CI564"/>
  <c r="CJ564"/>
  <c r="CK564"/>
  <c r="CL564"/>
  <c r="CM564"/>
  <c r="CN564"/>
  <c r="CO564"/>
  <c r="CP564"/>
  <c r="CQ564"/>
  <c r="CR564"/>
  <c r="CS564"/>
  <c r="CT564"/>
  <c r="CU564"/>
  <c r="CV564"/>
  <c r="CW564"/>
  <c r="CX564"/>
  <c r="CY564"/>
  <c r="CZ564"/>
  <c r="DA564"/>
  <c r="DB564"/>
  <c r="DC564"/>
  <c r="DD564"/>
  <c r="DE564"/>
  <c r="DF564"/>
  <c r="DG564"/>
  <c r="DH564"/>
  <c r="DI564"/>
  <c r="DJ564"/>
  <c r="DK564"/>
  <c r="DL564"/>
  <c r="DM564"/>
  <c r="DN564"/>
  <c r="DO564"/>
  <c r="DP564"/>
  <c r="DQ564"/>
  <c r="DR564"/>
  <c r="DS564"/>
  <c r="DT564"/>
  <c r="DU564"/>
  <c r="DV564"/>
  <c r="DW564"/>
  <c r="DX564"/>
  <c r="DY564"/>
  <c r="DZ564"/>
  <c r="EA564"/>
  <c r="EB564"/>
  <c r="EC564"/>
  <c r="ED564"/>
  <c r="EE564"/>
  <c r="EF564"/>
  <c r="EG564"/>
  <c r="EH564"/>
  <c r="EI564"/>
  <c r="EJ564"/>
  <c r="EK564"/>
  <c r="EL564"/>
  <c r="EM564"/>
  <c r="EN564"/>
  <c r="EO564"/>
  <c r="EP564"/>
  <c r="EQ564"/>
  <c r="ER564"/>
  <c r="ES564"/>
  <c r="ET564"/>
  <c r="EU564"/>
  <c r="EV564"/>
  <c r="EW564"/>
  <c r="EX564"/>
  <c r="EY564"/>
  <c r="EZ564"/>
  <c r="FA564"/>
  <c r="FB564"/>
  <c r="FC564"/>
  <c r="FD564"/>
  <c r="FE564"/>
  <c r="FF564"/>
  <c r="FG564"/>
  <c r="FH564"/>
  <c r="FI564"/>
  <c r="FJ564"/>
  <c r="FK564"/>
  <c r="FL564"/>
  <c r="FM564"/>
  <c r="FN564"/>
  <c r="FO564"/>
  <c r="FP564"/>
  <c r="FQ564"/>
  <c r="FR564"/>
  <c r="FS564"/>
  <c r="FT564"/>
  <c r="FU564"/>
  <c r="FV564"/>
  <c r="FW564"/>
  <c r="FX564"/>
  <c r="FY564"/>
  <c r="FZ564"/>
  <c r="GA564"/>
  <c r="GB564"/>
  <c r="GC564"/>
  <c r="GD564"/>
  <c r="GE564"/>
  <c r="GF564"/>
  <c r="GG564"/>
  <c r="GH564"/>
  <c r="GI564"/>
  <c r="GJ564"/>
  <c r="GK564"/>
  <c r="GL564"/>
  <c r="GM564"/>
  <c r="GN564"/>
  <c r="GO564"/>
  <c r="GP564"/>
  <c r="GQ564"/>
  <c r="GR564"/>
  <c r="GS564"/>
  <c r="GT564"/>
  <c r="GU564"/>
  <c r="GV564"/>
  <c r="GW564"/>
  <c r="GX564"/>
  <c r="GY564"/>
  <c r="GZ564"/>
  <c r="HA564"/>
  <c r="HB564"/>
  <c r="HC564"/>
  <c r="HD564"/>
  <c r="HE564"/>
  <c r="HF564"/>
  <c r="HG564"/>
  <c r="HH564"/>
  <c r="HI564"/>
  <c r="HJ564"/>
  <c r="HK564"/>
  <c r="HL564"/>
  <c r="HM564"/>
  <c r="HN564"/>
  <c r="HO564"/>
  <c r="HP564"/>
  <c r="HQ564"/>
  <c r="HR564"/>
  <c r="HS564"/>
  <c r="HT564"/>
  <c r="HU564"/>
  <c r="HV564"/>
  <c r="HW564"/>
  <c r="HX564"/>
  <c r="HY564"/>
  <c r="HZ564"/>
  <c r="IA564"/>
  <c r="IB564"/>
  <c r="IC564"/>
  <c r="ID564"/>
  <c r="IE564"/>
  <c r="IF564"/>
  <c r="IG564"/>
  <c r="IH564"/>
  <c r="II564"/>
  <c r="IJ564"/>
  <c r="IK564"/>
  <c r="IL564"/>
  <c r="IM564"/>
  <c r="IN564"/>
  <c r="IO564"/>
  <c r="IP564"/>
  <c r="IQ564"/>
  <c r="IR564"/>
  <c r="IS564"/>
  <c r="IT564"/>
  <c r="IU564"/>
  <c r="IV564"/>
  <c r="A565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Z565"/>
  <c r="AA565"/>
  <c r="AB565"/>
  <c r="AC565"/>
  <c r="AD565"/>
  <c r="AE565"/>
  <c r="AF565"/>
  <c r="AG565"/>
  <c r="AH565"/>
  <c r="AI565"/>
  <c r="AJ565"/>
  <c r="AK565"/>
  <c r="AL565"/>
  <c r="AM565"/>
  <c r="AN565"/>
  <c r="AO565"/>
  <c r="AP565"/>
  <c r="AQ565"/>
  <c r="AR565"/>
  <c r="AS565"/>
  <c r="AT565"/>
  <c r="AU565"/>
  <c r="AV565"/>
  <c r="AW565"/>
  <c r="AX565"/>
  <c r="AY565"/>
  <c r="AZ565"/>
  <c r="BA565"/>
  <c r="BB565"/>
  <c r="BC565"/>
  <c r="BD565"/>
  <c r="BE565"/>
  <c r="BF565"/>
  <c r="BG565"/>
  <c r="BH565"/>
  <c r="BI565"/>
  <c r="BJ565"/>
  <c r="BK565"/>
  <c r="BL565"/>
  <c r="BM565"/>
  <c r="BN565"/>
  <c r="BO565"/>
  <c r="BP565"/>
  <c r="BQ565"/>
  <c r="BR565"/>
  <c r="BS565"/>
  <c r="BT565"/>
  <c r="BU565"/>
  <c r="BV565"/>
  <c r="BW565"/>
  <c r="BX565"/>
  <c r="BY565"/>
  <c r="BZ565"/>
  <c r="CA565"/>
  <c r="CB565"/>
  <c r="CC565"/>
  <c r="CD565"/>
  <c r="CE565"/>
  <c r="CF565"/>
  <c r="CG565"/>
  <c r="CH565"/>
  <c r="CI565"/>
  <c r="CJ565"/>
  <c r="CK565"/>
  <c r="CL565"/>
  <c r="CM565"/>
  <c r="CN565"/>
  <c r="CO565"/>
  <c r="CP565"/>
  <c r="CQ565"/>
  <c r="CR565"/>
  <c r="CS565"/>
  <c r="CT565"/>
  <c r="CU565"/>
  <c r="CV565"/>
  <c r="CW565"/>
  <c r="CX565"/>
  <c r="CY565"/>
  <c r="CZ565"/>
  <c r="DA565"/>
  <c r="DB565"/>
  <c r="DC565"/>
  <c r="DD565"/>
  <c r="DE565"/>
  <c r="DF565"/>
  <c r="DG565"/>
  <c r="DH565"/>
  <c r="DI565"/>
  <c r="DJ565"/>
  <c r="DK565"/>
  <c r="DL565"/>
  <c r="DM565"/>
  <c r="DN565"/>
  <c r="DO565"/>
  <c r="DP565"/>
  <c r="DQ565"/>
  <c r="DR565"/>
  <c r="DS565"/>
  <c r="DT565"/>
  <c r="DU565"/>
  <c r="DV565"/>
  <c r="DW565"/>
  <c r="DX565"/>
  <c r="DY565"/>
  <c r="DZ565"/>
  <c r="EA565"/>
  <c r="EB565"/>
  <c r="EC565"/>
  <c r="ED565"/>
  <c r="EE565"/>
  <c r="EF565"/>
  <c r="EG565"/>
  <c r="EH565"/>
  <c r="EI565"/>
  <c r="EJ565"/>
  <c r="EK565"/>
  <c r="EL565"/>
  <c r="EM565"/>
  <c r="EN565"/>
  <c r="EO565"/>
  <c r="EP565"/>
  <c r="EQ565"/>
  <c r="ER565"/>
  <c r="ES565"/>
  <c r="ET565"/>
  <c r="EU565"/>
  <c r="EV565"/>
  <c r="EW565"/>
  <c r="EX565"/>
  <c r="EY565"/>
  <c r="EZ565"/>
  <c r="FA565"/>
  <c r="FB565"/>
  <c r="FC565"/>
  <c r="FD565"/>
  <c r="FE565"/>
  <c r="FF565"/>
  <c r="FG565"/>
  <c r="FH565"/>
  <c r="FI565"/>
  <c r="FJ565"/>
  <c r="FK565"/>
  <c r="FL565"/>
  <c r="FM565"/>
  <c r="FN565"/>
  <c r="FO565"/>
  <c r="FP565"/>
  <c r="FQ565"/>
  <c r="FR565"/>
  <c r="FS565"/>
  <c r="FT565"/>
  <c r="FU565"/>
  <c r="FV565"/>
  <c r="FW565"/>
  <c r="FX565"/>
  <c r="FY565"/>
  <c r="FZ565"/>
  <c r="GA565"/>
  <c r="GB565"/>
  <c r="GC565"/>
  <c r="GD565"/>
  <c r="GE565"/>
  <c r="GF565"/>
  <c r="GG565"/>
  <c r="GH565"/>
  <c r="GI565"/>
  <c r="GJ565"/>
  <c r="GK565"/>
  <c r="GL565"/>
  <c r="GM565"/>
  <c r="GN565"/>
  <c r="GO565"/>
  <c r="GP565"/>
  <c r="GQ565"/>
  <c r="GR565"/>
  <c r="GS565"/>
  <c r="GT565"/>
  <c r="GU565"/>
  <c r="GV565"/>
  <c r="GW565"/>
  <c r="GX565"/>
  <c r="GY565"/>
  <c r="GZ565"/>
  <c r="HA565"/>
  <c r="HB565"/>
  <c r="HC565"/>
  <c r="HD565"/>
  <c r="HE565"/>
  <c r="HF565"/>
  <c r="HG565"/>
  <c r="HH565"/>
  <c r="HI565"/>
  <c r="HJ565"/>
  <c r="HK565"/>
  <c r="HL565"/>
  <c r="HM565"/>
  <c r="HN565"/>
  <c r="HO565"/>
  <c r="HP565"/>
  <c r="HQ565"/>
  <c r="HR565"/>
  <c r="HS565"/>
  <c r="HT565"/>
  <c r="HU565"/>
  <c r="HV565"/>
  <c r="HW565"/>
  <c r="HX565"/>
  <c r="HY565"/>
  <c r="HZ565"/>
  <c r="IA565"/>
  <c r="IB565"/>
  <c r="IC565"/>
  <c r="ID565"/>
  <c r="IE565"/>
  <c r="IF565"/>
  <c r="IG565"/>
  <c r="IH565"/>
  <c r="II565"/>
  <c r="IJ565"/>
  <c r="IK565"/>
  <c r="IL565"/>
  <c r="IM565"/>
  <c r="IN565"/>
  <c r="IO565"/>
  <c r="IP565"/>
  <c r="IQ565"/>
  <c r="IR565"/>
  <c r="IS565"/>
  <c r="IT565"/>
  <c r="IU565"/>
  <c r="IV565"/>
  <c r="A566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Z566"/>
  <c r="AA566"/>
  <c r="AB566"/>
  <c r="AC566"/>
  <c r="AD566"/>
  <c r="AE566"/>
  <c r="AF566"/>
  <c r="AG566"/>
  <c r="AH566"/>
  <c r="AI566"/>
  <c r="AJ566"/>
  <c r="AK566"/>
  <c r="AL566"/>
  <c r="AM566"/>
  <c r="AN566"/>
  <c r="AO566"/>
  <c r="AP566"/>
  <c r="AQ566"/>
  <c r="AR566"/>
  <c r="AS566"/>
  <c r="AT566"/>
  <c r="AU566"/>
  <c r="AV566"/>
  <c r="AW566"/>
  <c r="AX566"/>
  <c r="AY566"/>
  <c r="AZ566"/>
  <c r="BA566"/>
  <c r="BB566"/>
  <c r="BC566"/>
  <c r="BD566"/>
  <c r="BE566"/>
  <c r="BF566"/>
  <c r="BG566"/>
  <c r="BH566"/>
  <c r="BI566"/>
  <c r="BJ566"/>
  <c r="BK566"/>
  <c r="BL566"/>
  <c r="BM566"/>
  <c r="BN566"/>
  <c r="BO566"/>
  <c r="BP566"/>
  <c r="BQ566"/>
  <c r="BR566"/>
  <c r="BS566"/>
  <c r="BT566"/>
  <c r="BU566"/>
  <c r="BV566"/>
  <c r="BW566"/>
  <c r="BX566"/>
  <c r="BY566"/>
  <c r="BZ566"/>
  <c r="CA566"/>
  <c r="CB566"/>
  <c r="CC566"/>
  <c r="CD566"/>
  <c r="CE566"/>
  <c r="CF566"/>
  <c r="CG566"/>
  <c r="CH566"/>
  <c r="CI566"/>
  <c r="CJ566"/>
  <c r="CK566"/>
  <c r="CL566"/>
  <c r="CM566"/>
  <c r="CN566"/>
  <c r="CO566"/>
  <c r="CP566"/>
  <c r="CQ566"/>
  <c r="CR566"/>
  <c r="CS566"/>
  <c r="CT566"/>
  <c r="CU566"/>
  <c r="CV566"/>
  <c r="CW566"/>
  <c r="CX566"/>
  <c r="CY566"/>
  <c r="CZ566"/>
  <c r="DA566"/>
  <c r="DB566"/>
  <c r="DC566"/>
  <c r="DD566"/>
  <c r="DE566"/>
  <c r="DF566"/>
  <c r="DG566"/>
  <c r="DH566"/>
  <c r="DI566"/>
  <c r="DJ566"/>
  <c r="DK566"/>
  <c r="DL566"/>
  <c r="DM566"/>
  <c r="DN566"/>
  <c r="DO566"/>
  <c r="DP566"/>
  <c r="DQ566"/>
  <c r="DR566"/>
  <c r="DS566"/>
  <c r="DT566"/>
  <c r="DU566"/>
  <c r="DV566"/>
  <c r="DW566"/>
  <c r="DX566"/>
  <c r="DY566"/>
  <c r="DZ566"/>
  <c r="EA566"/>
  <c r="EB566"/>
  <c r="EC566"/>
  <c r="ED566"/>
  <c r="EE566"/>
  <c r="EF566"/>
  <c r="EG566"/>
  <c r="EH566"/>
  <c r="EI566"/>
  <c r="EJ566"/>
  <c r="EK566"/>
  <c r="EL566"/>
  <c r="EM566"/>
  <c r="EN566"/>
  <c r="EO566"/>
  <c r="EP566"/>
  <c r="EQ566"/>
  <c r="ER566"/>
  <c r="ES566"/>
  <c r="ET566"/>
  <c r="EU566"/>
  <c r="EV566"/>
  <c r="EW566"/>
  <c r="EX566"/>
  <c r="EY566"/>
  <c r="EZ566"/>
  <c r="FA566"/>
  <c r="FB566"/>
  <c r="FC566"/>
  <c r="FD566"/>
  <c r="FE566"/>
  <c r="FF566"/>
  <c r="FG566"/>
  <c r="FH566"/>
  <c r="FI566"/>
  <c r="FJ566"/>
  <c r="FK566"/>
  <c r="FL566"/>
  <c r="FM566"/>
  <c r="FN566"/>
  <c r="FO566"/>
  <c r="FP566"/>
  <c r="FQ566"/>
  <c r="FR566"/>
  <c r="FS566"/>
  <c r="FT566"/>
  <c r="FU566"/>
  <c r="FV566"/>
  <c r="FW566"/>
  <c r="FX566"/>
  <c r="FY566"/>
  <c r="FZ566"/>
  <c r="GA566"/>
  <c r="GB566"/>
  <c r="GC566"/>
  <c r="GD566"/>
  <c r="GE566"/>
  <c r="GF566"/>
  <c r="GG566"/>
  <c r="GH566"/>
  <c r="GI566"/>
  <c r="GJ566"/>
  <c r="GK566"/>
  <c r="GL566"/>
  <c r="GM566"/>
  <c r="GN566"/>
  <c r="GO566"/>
  <c r="GP566"/>
  <c r="GQ566"/>
  <c r="GR566"/>
  <c r="GS566"/>
  <c r="GT566"/>
  <c r="GU566"/>
  <c r="GV566"/>
  <c r="GW566"/>
  <c r="GX566"/>
  <c r="GY566"/>
  <c r="GZ566"/>
  <c r="HA566"/>
  <c r="HB566"/>
  <c r="HC566"/>
  <c r="HD566"/>
  <c r="HE566"/>
  <c r="HF566"/>
  <c r="HG566"/>
  <c r="HH566"/>
  <c r="HI566"/>
  <c r="HJ566"/>
  <c r="HK566"/>
  <c r="HL566"/>
  <c r="HM566"/>
  <c r="HN566"/>
  <c r="HO566"/>
  <c r="HP566"/>
  <c r="HQ566"/>
  <c r="HR566"/>
  <c r="HS566"/>
  <c r="HT566"/>
  <c r="HU566"/>
  <c r="HV566"/>
  <c r="HW566"/>
  <c r="HX566"/>
  <c r="HY566"/>
  <c r="HZ566"/>
  <c r="IA566"/>
  <c r="IB566"/>
  <c r="IC566"/>
  <c r="ID566"/>
  <c r="IE566"/>
  <c r="IF566"/>
  <c r="IG566"/>
  <c r="IH566"/>
  <c r="II566"/>
  <c r="IJ566"/>
  <c r="IK566"/>
  <c r="IL566"/>
  <c r="IM566"/>
  <c r="IN566"/>
  <c r="IO566"/>
  <c r="IP566"/>
  <c r="IQ566"/>
  <c r="IR566"/>
  <c r="IS566"/>
  <c r="IT566"/>
  <c r="IU566"/>
  <c r="IV566"/>
  <c r="A567"/>
  <c r="B567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Z567"/>
  <c r="AA567"/>
  <c r="AB567"/>
  <c r="AC567"/>
  <c r="AD567"/>
  <c r="AE567"/>
  <c r="AF567"/>
  <c r="AG567"/>
  <c r="AH567"/>
  <c r="AI567"/>
  <c r="AJ567"/>
  <c r="AK567"/>
  <c r="AL567"/>
  <c r="AM567"/>
  <c r="AN567"/>
  <c r="AO567"/>
  <c r="AP567"/>
  <c r="AQ567"/>
  <c r="AR567"/>
  <c r="AS567"/>
  <c r="AT567"/>
  <c r="AU567"/>
  <c r="AV567"/>
  <c r="AW567"/>
  <c r="AX567"/>
  <c r="AY567"/>
  <c r="AZ567"/>
  <c r="BA567"/>
  <c r="BB567"/>
  <c r="BC567"/>
  <c r="BD567"/>
  <c r="BE567"/>
  <c r="BF567"/>
  <c r="BG567"/>
  <c r="BH567"/>
  <c r="BI567"/>
  <c r="BJ567"/>
  <c r="BK567"/>
  <c r="BL567"/>
  <c r="BM567"/>
  <c r="BN567"/>
  <c r="BO567"/>
  <c r="BP567"/>
  <c r="BQ567"/>
  <c r="BR567"/>
  <c r="BS567"/>
  <c r="BT567"/>
  <c r="BU567"/>
  <c r="BV567"/>
  <c r="BW567"/>
  <c r="BX567"/>
  <c r="BY567"/>
  <c r="BZ567"/>
  <c r="CA567"/>
  <c r="CB567"/>
  <c r="CC567"/>
  <c r="CD567"/>
  <c r="CE567"/>
  <c r="CF567"/>
  <c r="CG567"/>
  <c r="CH567"/>
  <c r="CI567"/>
  <c r="CJ567"/>
  <c r="CK567"/>
  <c r="CL567"/>
  <c r="CM567"/>
  <c r="CN567"/>
  <c r="CO567"/>
  <c r="CP567"/>
  <c r="CQ567"/>
  <c r="CR567"/>
  <c r="CS567"/>
  <c r="CT567"/>
  <c r="CU567"/>
  <c r="CV567"/>
  <c r="CW567"/>
  <c r="CX567"/>
  <c r="CY567"/>
  <c r="CZ567"/>
  <c r="DA567"/>
  <c r="DB567"/>
  <c r="DC567"/>
  <c r="DD567"/>
  <c r="DE567"/>
  <c r="DF567"/>
  <c r="DG567"/>
  <c r="DH567"/>
  <c r="DI567"/>
  <c r="DJ567"/>
  <c r="DK567"/>
  <c r="DL567"/>
  <c r="DM567"/>
  <c r="DN567"/>
  <c r="DO567"/>
  <c r="DP567"/>
  <c r="DQ567"/>
  <c r="DR567"/>
  <c r="DS567"/>
  <c r="DT567"/>
  <c r="DU567"/>
  <c r="DV567"/>
  <c r="DW567"/>
  <c r="DX567"/>
  <c r="DY567"/>
  <c r="DZ567"/>
  <c r="EA567"/>
  <c r="EB567"/>
  <c r="EC567"/>
  <c r="ED567"/>
  <c r="EE567"/>
  <c r="EF567"/>
  <c r="EG567"/>
  <c r="EH567"/>
  <c r="EI567"/>
  <c r="EJ567"/>
  <c r="EK567"/>
  <c r="EL567"/>
  <c r="EM567"/>
  <c r="EN567"/>
  <c r="EO567"/>
  <c r="EP567"/>
  <c r="EQ567"/>
  <c r="ER567"/>
  <c r="ES567"/>
  <c r="ET567"/>
  <c r="EU567"/>
  <c r="EV567"/>
  <c r="EW567"/>
  <c r="EX567"/>
  <c r="EY567"/>
  <c r="EZ567"/>
  <c r="FA567"/>
  <c r="FB567"/>
  <c r="FC567"/>
  <c r="FD567"/>
  <c r="FE567"/>
  <c r="FF567"/>
  <c r="FG567"/>
  <c r="FH567"/>
  <c r="FI567"/>
  <c r="FJ567"/>
  <c r="FK567"/>
  <c r="FL567"/>
  <c r="FM567"/>
  <c r="FN567"/>
  <c r="FO567"/>
  <c r="FP567"/>
  <c r="FQ567"/>
  <c r="FR567"/>
  <c r="FS567"/>
  <c r="FT567"/>
  <c r="FU567"/>
  <c r="FV567"/>
  <c r="FW567"/>
  <c r="FX567"/>
  <c r="FY567"/>
  <c r="FZ567"/>
  <c r="GA567"/>
  <c r="GB567"/>
  <c r="GC567"/>
  <c r="GD567"/>
  <c r="GE567"/>
  <c r="GF567"/>
  <c r="GG567"/>
  <c r="GH567"/>
  <c r="GI567"/>
  <c r="GJ567"/>
  <c r="GK567"/>
  <c r="GL567"/>
  <c r="GM567"/>
  <c r="GN567"/>
  <c r="GO567"/>
  <c r="GP567"/>
  <c r="GQ567"/>
  <c r="GR567"/>
  <c r="GS567"/>
  <c r="GT567"/>
  <c r="GU567"/>
  <c r="GV567"/>
  <c r="GW567"/>
  <c r="GX567"/>
  <c r="GY567"/>
  <c r="GZ567"/>
  <c r="HA567"/>
  <c r="HB567"/>
  <c r="HC567"/>
  <c r="HD567"/>
  <c r="HE567"/>
  <c r="HF567"/>
  <c r="HG567"/>
  <c r="HH567"/>
  <c r="HI567"/>
  <c r="HJ567"/>
  <c r="HK567"/>
  <c r="HL567"/>
  <c r="HM567"/>
  <c r="HN567"/>
  <c r="HO567"/>
  <c r="HP567"/>
  <c r="HQ567"/>
  <c r="HR567"/>
  <c r="HS567"/>
  <c r="HT567"/>
  <c r="HU567"/>
  <c r="HV567"/>
  <c r="HW567"/>
  <c r="HX567"/>
  <c r="HY567"/>
  <c r="HZ567"/>
  <c r="IA567"/>
  <c r="IB567"/>
  <c r="IC567"/>
  <c r="ID567"/>
  <c r="IE567"/>
  <c r="IF567"/>
  <c r="IG567"/>
  <c r="IH567"/>
  <c r="II567"/>
  <c r="IJ567"/>
  <c r="IK567"/>
  <c r="IL567"/>
  <c r="IM567"/>
  <c r="IN567"/>
  <c r="IO567"/>
  <c r="IP567"/>
  <c r="IQ567"/>
  <c r="IR567"/>
  <c r="IS567"/>
  <c r="IT567"/>
  <c r="IU567"/>
  <c r="IV567"/>
  <c r="A568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Z568"/>
  <c r="AA568"/>
  <c r="AB568"/>
  <c r="AC568"/>
  <c r="AD568"/>
  <c r="AE568"/>
  <c r="AF568"/>
  <c r="AG568"/>
  <c r="AH568"/>
  <c r="AI568"/>
  <c r="AJ568"/>
  <c r="AK568"/>
  <c r="AL568"/>
  <c r="AM568"/>
  <c r="AN568"/>
  <c r="AO568"/>
  <c r="AP568"/>
  <c r="AQ568"/>
  <c r="AR568"/>
  <c r="AS568"/>
  <c r="AT568"/>
  <c r="AU568"/>
  <c r="AV568"/>
  <c r="AW568"/>
  <c r="AX568"/>
  <c r="AY568"/>
  <c r="AZ568"/>
  <c r="BA568"/>
  <c r="BB568"/>
  <c r="BC568"/>
  <c r="BD568"/>
  <c r="BE568"/>
  <c r="BF568"/>
  <c r="BG568"/>
  <c r="BH568"/>
  <c r="BI568"/>
  <c r="BJ568"/>
  <c r="BK568"/>
  <c r="BL568"/>
  <c r="BM568"/>
  <c r="BN568"/>
  <c r="BO568"/>
  <c r="BP568"/>
  <c r="BQ568"/>
  <c r="BR568"/>
  <c r="BS568"/>
  <c r="BT568"/>
  <c r="BU568"/>
  <c r="BV568"/>
  <c r="BW568"/>
  <c r="BX568"/>
  <c r="BY568"/>
  <c r="BZ568"/>
  <c r="CA568"/>
  <c r="CB568"/>
  <c r="CC568"/>
  <c r="CD568"/>
  <c r="CE568"/>
  <c r="CF568"/>
  <c r="CG568"/>
  <c r="CH568"/>
  <c r="CI568"/>
  <c r="CJ568"/>
  <c r="CK568"/>
  <c r="CL568"/>
  <c r="CM568"/>
  <c r="CN568"/>
  <c r="CO568"/>
  <c r="CP568"/>
  <c r="CQ568"/>
  <c r="CR568"/>
  <c r="CS568"/>
  <c r="CT568"/>
  <c r="CU568"/>
  <c r="CV568"/>
  <c r="CW568"/>
  <c r="CX568"/>
  <c r="CY568"/>
  <c r="CZ568"/>
  <c r="DA568"/>
  <c r="DB568"/>
  <c r="DC568"/>
  <c r="DD568"/>
  <c r="DE568"/>
  <c r="DF568"/>
  <c r="DG568"/>
  <c r="DH568"/>
  <c r="DI568"/>
  <c r="DJ568"/>
  <c r="DK568"/>
  <c r="DL568"/>
  <c r="DM568"/>
  <c r="DN568"/>
  <c r="DO568"/>
  <c r="DP568"/>
  <c r="DQ568"/>
  <c r="DR568"/>
  <c r="DS568"/>
  <c r="DT568"/>
  <c r="DU568"/>
  <c r="DV568"/>
  <c r="DW568"/>
  <c r="DX568"/>
  <c r="DY568"/>
  <c r="DZ568"/>
  <c r="EA568"/>
  <c r="EB568"/>
  <c r="EC568"/>
  <c r="ED568"/>
  <c r="EE568"/>
  <c r="EF568"/>
  <c r="EG568"/>
  <c r="EH568"/>
  <c r="EI568"/>
  <c r="EJ568"/>
  <c r="EK568"/>
  <c r="EL568"/>
  <c r="EM568"/>
  <c r="EN568"/>
  <c r="EO568"/>
  <c r="EP568"/>
  <c r="EQ568"/>
  <c r="ER568"/>
  <c r="ES568"/>
  <c r="ET568"/>
  <c r="EU568"/>
  <c r="EV568"/>
  <c r="EW568"/>
  <c r="EX568"/>
  <c r="EY568"/>
  <c r="EZ568"/>
  <c r="FA568"/>
  <c r="FB568"/>
  <c r="FC568"/>
  <c r="FD568"/>
  <c r="FE568"/>
  <c r="FF568"/>
  <c r="FG568"/>
  <c r="FH568"/>
  <c r="FI568"/>
  <c r="FJ568"/>
  <c r="FK568"/>
  <c r="FL568"/>
  <c r="FM568"/>
  <c r="FN568"/>
  <c r="FO568"/>
  <c r="FP568"/>
  <c r="FQ568"/>
  <c r="FR568"/>
  <c r="FS568"/>
  <c r="FT568"/>
  <c r="FU568"/>
  <c r="FV568"/>
  <c r="FW568"/>
  <c r="FX568"/>
  <c r="FY568"/>
  <c r="FZ568"/>
  <c r="GA568"/>
  <c r="GB568"/>
  <c r="GC568"/>
  <c r="GD568"/>
  <c r="GE568"/>
  <c r="GF568"/>
  <c r="GG568"/>
  <c r="GH568"/>
  <c r="GI568"/>
  <c r="GJ568"/>
  <c r="GK568"/>
  <c r="GL568"/>
  <c r="GM568"/>
  <c r="GN568"/>
  <c r="GO568"/>
  <c r="GP568"/>
  <c r="GQ568"/>
  <c r="GR568"/>
  <c r="GS568"/>
  <c r="GT568"/>
  <c r="GU568"/>
  <c r="GV568"/>
  <c r="GW568"/>
  <c r="GX568"/>
  <c r="GY568"/>
  <c r="GZ568"/>
  <c r="HA568"/>
  <c r="HB568"/>
  <c r="HC568"/>
  <c r="HD568"/>
  <c r="HE568"/>
  <c r="HF568"/>
  <c r="HG568"/>
  <c r="HH568"/>
  <c r="HI568"/>
  <c r="HJ568"/>
  <c r="HK568"/>
  <c r="HL568"/>
  <c r="HM568"/>
  <c r="HN568"/>
  <c r="HO568"/>
  <c r="HP568"/>
  <c r="HQ568"/>
  <c r="HR568"/>
  <c r="HS568"/>
  <c r="HT568"/>
  <c r="HU568"/>
  <c r="HV568"/>
  <c r="HW568"/>
  <c r="HX568"/>
  <c r="HY568"/>
  <c r="HZ568"/>
  <c r="IA568"/>
  <c r="IB568"/>
  <c r="IC568"/>
  <c r="ID568"/>
  <c r="IE568"/>
  <c r="IF568"/>
  <c r="IG568"/>
  <c r="IH568"/>
  <c r="II568"/>
  <c r="IJ568"/>
  <c r="IK568"/>
  <c r="IL568"/>
  <c r="IM568"/>
  <c r="IN568"/>
  <c r="IO568"/>
  <c r="IP568"/>
  <c r="IQ568"/>
  <c r="IR568"/>
  <c r="IS568"/>
  <c r="IT568"/>
  <c r="IU568"/>
  <c r="IV568"/>
  <c r="A569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Z569"/>
  <c r="AA569"/>
  <c r="AB569"/>
  <c r="AC569"/>
  <c r="AD569"/>
  <c r="AE569"/>
  <c r="AF569"/>
  <c r="AG569"/>
  <c r="AH569"/>
  <c r="AI569"/>
  <c r="AJ569"/>
  <c r="AK569"/>
  <c r="AL569"/>
  <c r="AM569"/>
  <c r="AN569"/>
  <c r="AO569"/>
  <c r="AP569"/>
  <c r="AQ569"/>
  <c r="AR569"/>
  <c r="AS569"/>
  <c r="AT569"/>
  <c r="AU569"/>
  <c r="AV569"/>
  <c r="AW569"/>
  <c r="AX569"/>
  <c r="AY569"/>
  <c r="AZ569"/>
  <c r="BA569"/>
  <c r="BB569"/>
  <c r="BC569"/>
  <c r="BD569"/>
  <c r="BE569"/>
  <c r="BF569"/>
  <c r="BG569"/>
  <c r="BH569"/>
  <c r="BI569"/>
  <c r="BJ569"/>
  <c r="BK569"/>
  <c r="BL569"/>
  <c r="BM569"/>
  <c r="BN569"/>
  <c r="BO569"/>
  <c r="BP569"/>
  <c r="BQ569"/>
  <c r="BR569"/>
  <c r="BS569"/>
  <c r="BT569"/>
  <c r="BU569"/>
  <c r="BV569"/>
  <c r="BW569"/>
  <c r="BX569"/>
  <c r="BY569"/>
  <c r="BZ569"/>
  <c r="CA569"/>
  <c r="CB569"/>
  <c r="CC569"/>
  <c r="CD569"/>
  <c r="CE569"/>
  <c r="CF569"/>
  <c r="CG569"/>
  <c r="CH569"/>
  <c r="CI569"/>
  <c r="CJ569"/>
  <c r="CK569"/>
  <c r="CL569"/>
  <c r="CM569"/>
  <c r="CN569"/>
  <c r="CO569"/>
  <c r="CP569"/>
  <c r="CQ569"/>
  <c r="CR569"/>
  <c r="CS569"/>
  <c r="CT569"/>
  <c r="CU569"/>
  <c r="CV569"/>
  <c r="CW569"/>
  <c r="CX569"/>
  <c r="CY569"/>
  <c r="CZ569"/>
  <c r="DA569"/>
  <c r="DB569"/>
  <c r="DC569"/>
  <c r="DD569"/>
  <c r="DE569"/>
  <c r="DF569"/>
  <c r="DG569"/>
  <c r="DH569"/>
  <c r="DI569"/>
  <c r="DJ569"/>
  <c r="DK569"/>
  <c r="DL569"/>
  <c r="DM569"/>
  <c r="DN569"/>
  <c r="DO569"/>
  <c r="DP569"/>
  <c r="DQ569"/>
  <c r="DR569"/>
  <c r="DS569"/>
  <c r="DT569"/>
  <c r="DU569"/>
  <c r="DV569"/>
  <c r="DW569"/>
  <c r="DX569"/>
  <c r="DY569"/>
  <c r="DZ569"/>
  <c r="EA569"/>
  <c r="EB569"/>
  <c r="EC569"/>
  <c r="ED569"/>
  <c r="EE569"/>
  <c r="EF569"/>
  <c r="EG569"/>
  <c r="EH569"/>
  <c r="EI569"/>
  <c r="EJ569"/>
  <c r="EK569"/>
  <c r="EL569"/>
  <c r="EM569"/>
  <c r="EN569"/>
  <c r="EO569"/>
  <c r="EP569"/>
  <c r="EQ569"/>
  <c r="ER569"/>
  <c r="ES569"/>
  <c r="ET569"/>
  <c r="EU569"/>
  <c r="EV569"/>
  <c r="EW569"/>
  <c r="EX569"/>
  <c r="EY569"/>
  <c r="EZ569"/>
  <c r="FA569"/>
  <c r="FB569"/>
  <c r="FC569"/>
  <c r="FD569"/>
  <c r="FE569"/>
  <c r="FF569"/>
  <c r="FG569"/>
  <c r="FH569"/>
  <c r="FI569"/>
  <c r="FJ569"/>
  <c r="FK569"/>
  <c r="FL569"/>
  <c r="FM569"/>
  <c r="FN569"/>
  <c r="FO569"/>
  <c r="FP569"/>
  <c r="FQ569"/>
  <c r="FR569"/>
  <c r="FS569"/>
  <c r="FT569"/>
  <c r="FU569"/>
  <c r="FV569"/>
  <c r="FW569"/>
  <c r="FX569"/>
  <c r="FY569"/>
  <c r="FZ569"/>
  <c r="GA569"/>
  <c r="GB569"/>
  <c r="GC569"/>
  <c r="GD569"/>
  <c r="GE569"/>
  <c r="GF569"/>
  <c r="GG569"/>
  <c r="GH569"/>
  <c r="GI569"/>
  <c r="GJ569"/>
  <c r="GK569"/>
  <c r="GL569"/>
  <c r="GM569"/>
  <c r="GN569"/>
  <c r="GO569"/>
  <c r="GP569"/>
  <c r="GQ569"/>
  <c r="GR569"/>
  <c r="GS569"/>
  <c r="GT569"/>
  <c r="GU569"/>
  <c r="GV569"/>
  <c r="GW569"/>
  <c r="GX569"/>
  <c r="GY569"/>
  <c r="GZ569"/>
  <c r="HA569"/>
  <c r="HB569"/>
  <c r="HC569"/>
  <c r="HD569"/>
  <c r="HE569"/>
  <c r="HF569"/>
  <c r="HG569"/>
  <c r="HH569"/>
  <c r="HI569"/>
  <c r="HJ569"/>
  <c r="HK569"/>
  <c r="HL569"/>
  <c r="HM569"/>
  <c r="HN569"/>
  <c r="HO569"/>
  <c r="HP569"/>
  <c r="HQ569"/>
  <c r="HR569"/>
  <c r="HS569"/>
  <c r="HT569"/>
  <c r="HU569"/>
  <c r="HV569"/>
  <c r="HW569"/>
  <c r="HX569"/>
  <c r="HY569"/>
  <c r="HZ569"/>
  <c r="IA569"/>
  <c r="IB569"/>
  <c r="IC569"/>
  <c r="ID569"/>
  <c r="IE569"/>
  <c r="IF569"/>
  <c r="IG569"/>
  <c r="IH569"/>
  <c r="II569"/>
  <c r="IJ569"/>
  <c r="IK569"/>
  <c r="IL569"/>
  <c r="IM569"/>
  <c r="IN569"/>
  <c r="IO569"/>
  <c r="IP569"/>
  <c r="IQ569"/>
  <c r="IR569"/>
  <c r="IS569"/>
  <c r="IT569"/>
  <c r="IU569"/>
  <c r="IV569"/>
  <c r="A570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Z570"/>
  <c r="AA570"/>
  <c r="AB570"/>
  <c r="AC570"/>
  <c r="AD570"/>
  <c r="AE570"/>
  <c r="AF570"/>
  <c r="AG570"/>
  <c r="AH570"/>
  <c r="AI570"/>
  <c r="AJ570"/>
  <c r="AK570"/>
  <c r="AL570"/>
  <c r="AM570"/>
  <c r="AN570"/>
  <c r="AO570"/>
  <c r="AP570"/>
  <c r="AQ570"/>
  <c r="AR570"/>
  <c r="AS570"/>
  <c r="AT570"/>
  <c r="AU570"/>
  <c r="AV570"/>
  <c r="AW570"/>
  <c r="AX570"/>
  <c r="AY570"/>
  <c r="AZ570"/>
  <c r="BA570"/>
  <c r="BB570"/>
  <c r="BC570"/>
  <c r="BD570"/>
  <c r="BE570"/>
  <c r="BF570"/>
  <c r="BG570"/>
  <c r="BH570"/>
  <c r="BI570"/>
  <c r="BJ570"/>
  <c r="BK570"/>
  <c r="BL570"/>
  <c r="BM570"/>
  <c r="BN570"/>
  <c r="BO570"/>
  <c r="BP570"/>
  <c r="BQ570"/>
  <c r="BR570"/>
  <c r="BS570"/>
  <c r="BT570"/>
  <c r="BU570"/>
  <c r="BV570"/>
  <c r="BW570"/>
  <c r="BX570"/>
  <c r="BY570"/>
  <c r="BZ570"/>
  <c r="CA570"/>
  <c r="CB570"/>
  <c r="CC570"/>
  <c r="CD570"/>
  <c r="CE570"/>
  <c r="CF570"/>
  <c r="CG570"/>
  <c r="CH570"/>
  <c r="CI570"/>
  <c r="CJ570"/>
  <c r="CK570"/>
  <c r="CL570"/>
  <c r="CM570"/>
  <c r="CN570"/>
  <c r="CO570"/>
  <c r="CP570"/>
  <c r="CQ570"/>
  <c r="CR570"/>
  <c r="CS570"/>
  <c r="CT570"/>
  <c r="CU570"/>
  <c r="CV570"/>
  <c r="CW570"/>
  <c r="CX570"/>
  <c r="CY570"/>
  <c r="CZ570"/>
  <c r="DA570"/>
  <c r="DB570"/>
  <c r="DC570"/>
  <c r="DD570"/>
  <c r="DE570"/>
  <c r="DF570"/>
  <c r="DG570"/>
  <c r="DH570"/>
  <c r="DI570"/>
  <c r="DJ570"/>
  <c r="DK570"/>
  <c r="DL570"/>
  <c r="DM570"/>
  <c r="DN570"/>
  <c r="DO570"/>
  <c r="DP570"/>
  <c r="DQ570"/>
  <c r="DR570"/>
  <c r="DS570"/>
  <c r="DT570"/>
  <c r="DU570"/>
  <c r="DV570"/>
  <c r="DW570"/>
  <c r="DX570"/>
  <c r="DY570"/>
  <c r="DZ570"/>
  <c r="EA570"/>
  <c r="EB570"/>
  <c r="EC570"/>
  <c r="ED570"/>
  <c r="EE570"/>
  <c r="EF570"/>
  <c r="EG570"/>
  <c r="EH570"/>
  <c r="EI570"/>
  <c r="EJ570"/>
  <c r="EK570"/>
  <c r="EL570"/>
  <c r="EM570"/>
  <c r="EN570"/>
  <c r="EO570"/>
  <c r="EP570"/>
  <c r="EQ570"/>
  <c r="ER570"/>
  <c r="ES570"/>
  <c r="ET570"/>
  <c r="EU570"/>
  <c r="EV570"/>
  <c r="EW570"/>
  <c r="EX570"/>
  <c r="EY570"/>
  <c r="EZ570"/>
  <c r="FA570"/>
  <c r="FB570"/>
  <c r="FC570"/>
  <c r="FD570"/>
  <c r="FE570"/>
  <c r="FF570"/>
  <c r="FG570"/>
  <c r="FH570"/>
  <c r="FI570"/>
  <c r="FJ570"/>
  <c r="FK570"/>
  <c r="FL570"/>
  <c r="FM570"/>
  <c r="FN570"/>
  <c r="FO570"/>
  <c r="FP570"/>
  <c r="FQ570"/>
  <c r="FR570"/>
  <c r="FS570"/>
  <c r="FT570"/>
  <c r="FU570"/>
  <c r="FV570"/>
  <c r="FW570"/>
  <c r="FX570"/>
  <c r="FY570"/>
  <c r="FZ570"/>
  <c r="GA570"/>
  <c r="GB570"/>
  <c r="GC570"/>
  <c r="GD570"/>
  <c r="GE570"/>
  <c r="GF570"/>
  <c r="GG570"/>
  <c r="GH570"/>
  <c r="GI570"/>
  <c r="GJ570"/>
  <c r="GK570"/>
  <c r="GL570"/>
  <c r="GM570"/>
  <c r="GN570"/>
  <c r="GO570"/>
  <c r="GP570"/>
  <c r="GQ570"/>
  <c r="GR570"/>
  <c r="GS570"/>
  <c r="GT570"/>
  <c r="GU570"/>
  <c r="GV570"/>
  <c r="GW570"/>
  <c r="GX570"/>
  <c r="GY570"/>
  <c r="GZ570"/>
  <c r="HA570"/>
  <c r="HB570"/>
  <c r="HC570"/>
  <c r="HD570"/>
  <c r="HE570"/>
  <c r="HF570"/>
  <c r="HG570"/>
  <c r="HH570"/>
  <c r="HI570"/>
  <c r="HJ570"/>
  <c r="HK570"/>
  <c r="HL570"/>
  <c r="HM570"/>
  <c r="HN570"/>
  <c r="HO570"/>
  <c r="HP570"/>
  <c r="HQ570"/>
  <c r="HR570"/>
  <c r="HS570"/>
  <c r="HT570"/>
  <c r="HU570"/>
  <c r="HV570"/>
  <c r="HW570"/>
  <c r="HX570"/>
  <c r="HY570"/>
  <c r="HZ570"/>
  <c r="IA570"/>
  <c r="IB570"/>
  <c r="IC570"/>
  <c r="ID570"/>
  <c r="IE570"/>
  <c r="IF570"/>
  <c r="IG570"/>
  <c r="IH570"/>
  <c r="II570"/>
  <c r="IJ570"/>
  <c r="IK570"/>
  <c r="IL570"/>
  <c r="IM570"/>
  <c r="IN570"/>
  <c r="IO570"/>
  <c r="IP570"/>
  <c r="IQ570"/>
  <c r="IR570"/>
  <c r="IS570"/>
  <c r="IT570"/>
  <c r="IU570"/>
  <c r="IV570"/>
  <c r="A571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Z571"/>
  <c r="AA571"/>
  <c r="AB571"/>
  <c r="AC571"/>
  <c r="AD571"/>
  <c r="AE571"/>
  <c r="AF571"/>
  <c r="AG571"/>
  <c r="AH571"/>
  <c r="AI571"/>
  <c r="AJ571"/>
  <c r="AK571"/>
  <c r="AL571"/>
  <c r="AM571"/>
  <c r="AN571"/>
  <c r="AO571"/>
  <c r="AP571"/>
  <c r="AQ571"/>
  <c r="AR571"/>
  <c r="AS571"/>
  <c r="AT571"/>
  <c r="AU571"/>
  <c r="AV571"/>
  <c r="AW571"/>
  <c r="AX571"/>
  <c r="AY571"/>
  <c r="AZ571"/>
  <c r="BA571"/>
  <c r="BB571"/>
  <c r="BC571"/>
  <c r="BD571"/>
  <c r="BE571"/>
  <c r="BF571"/>
  <c r="BG571"/>
  <c r="BH571"/>
  <c r="BI571"/>
  <c r="BJ571"/>
  <c r="BK571"/>
  <c r="BL571"/>
  <c r="BM571"/>
  <c r="BN571"/>
  <c r="BO571"/>
  <c r="BP571"/>
  <c r="BQ571"/>
  <c r="BR571"/>
  <c r="BS571"/>
  <c r="BT571"/>
  <c r="BU571"/>
  <c r="BV571"/>
  <c r="BW571"/>
  <c r="BX571"/>
  <c r="BY571"/>
  <c r="BZ571"/>
  <c r="CA571"/>
  <c r="CB571"/>
  <c r="CC571"/>
  <c r="CD571"/>
  <c r="CE571"/>
  <c r="CF571"/>
  <c r="CG571"/>
  <c r="CH571"/>
  <c r="CI571"/>
  <c r="CJ571"/>
  <c r="CK571"/>
  <c r="CL571"/>
  <c r="CM571"/>
  <c r="CN571"/>
  <c r="CO571"/>
  <c r="CP571"/>
  <c r="CQ571"/>
  <c r="CR571"/>
  <c r="CS571"/>
  <c r="CT571"/>
  <c r="CU571"/>
  <c r="CV571"/>
  <c r="CW571"/>
  <c r="CX571"/>
  <c r="CY571"/>
  <c r="CZ571"/>
  <c r="DA571"/>
  <c r="DB571"/>
  <c r="DC571"/>
  <c r="DD571"/>
  <c r="DE571"/>
  <c r="DF571"/>
  <c r="DG571"/>
  <c r="DH571"/>
  <c r="DI571"/>
  <c r="DJ571"/>
  <c r="DK571"/>
  <c r="DL571"/>
  <c r="DM571"/>
  <c r="DN571"/>
  <c r="DO571"/>
  <c r="DP571"/>
  <c r="DQ571"/>
  <c r="DR571"/>
  <c r="DS571"/>
  <c r="DT571"/>
  <c r="DU571"/>
  <c r="DV571"/>
  <c r="DW571"/>
  <c r="DX571"/>
  <c r="DY571"/>
  <c r="DZ571"/>
  <c r="EA571"/>
  <c r="EB571"/>
  <c r="EC571"/>
  <c r="ED571"/>
  <c r="EE571"/>
  <c r="EF571"/>
  <c r="EG571"/>
  <c r="EH571"/>
  <c r="EI571"/>
  <c r="EJ571"/>
  <c r="EK571"/>
  <c r="EL571"/>
  <c r="EM571"/>
  <c r="EN571"/>
  <c r="EO571"/>
  <c r="EP571"/>
  <c r="EQ571"/>
  <c r="ER571"/>
  <c r="ES571"/>
  <c r="ET571"/>
  <c r="EU571"/>
  <c r="EV571"/>
  <c r="EW571"/>
  <c r="EX571"/>
  <c r="EY571"/>
  <c r="EZ571"/>
  <c r="FA571"/>
  <c r="FB571"/>
  <c r="FC571"/>
  <c r="FD571"/>
  <c r="FE571"/>
  <c r="FF571"/>
  <c r="FG571"/>
  <c r="FH571"/>
  <c r="FI571"/>
  <c r="FJ571"/>
  <c r="FK571"/>
  <c r="FL571"/>
  <c r="FM571"/>
  <c r="FN571"/>
  <c r="FO571"/>
  <c r="FP571"/>
  <c r="FQ571"/>
  <c r="FR571"/>
  <c r="FS571"/>
  <c r="FT571"/>
  <c r="FU571"/>
  <c r="FV571"/>
  <c r="FW571"/>
  <c r="FX571"/>
  <c r="FY571"/>
  <c r="FZ571"/>
  <c r="GA571"/>
  <c r="GB571"/>
  <c r="GC571"/>
  <c r="GD571"/>
  <c r="GE571"/>
  <c r="GF571"/>
  <c r="GG571"/>
  <c r="GH571"/>
  <c r="GI571"/>
  <c r="GJ571"/>
  <c r="GK571"/>
  <c r="GL571"/>
  <c r="GM571"/>
  <c r="GN571"/>
  <c r="GO571"/>
  <c r="GP571"/>
  <c r="GQ571"/>
  <c r="GR571"/>
  <c r="GS571"/>
  <c r="GT571"/>
  <c r="GU571"/>
  <c r="GV571"/>
  <c r="GW571"/>
  <c r="GX571"/>
  <c r="GY571"/>
  <c r="GZ571"/>
  <c r="HA571"/>
  <c r="HB571"/>
  <c r="HC571"/>
  <c r="HD571"/>
  <c r="HE571"/>
  <c r="HF571"/>
  <c r="HG571"/>
  <c r="HH571"/>
  <c r="HI571"/>
  <c r="HJ571"/>
  <c r="HK571"/>
  <c r="HL571"/>
  <c r="HM571"/>
  <c r="HN571"/>
  <c r="HO571"/>
  <c r="HP571"/>
  <c r="HQ571"/>
  <c r="HR571"/>
  <c r="HS571"/>
  <c r="HT571"/>
  <c r="HU571"/>
  <c r="HV571"/>
  <c r="HW571"/>
  <c r="HX571"/>
  <c r="HY571"/>
  <c r="HZ571"/>
  <c r="IA571"/>
  <c r="IB571"/>
  <c r="IC571"/>
  <c r="ID571"/>
  <c r="IE571"/>
  <c r="IF571"/>
  <c r="IG571"/>
  <c r="IH571"/>
  <c r="II571"/>
  <c r="IJ571"/>
  <c r="IK571"/>
  <c r="IL571"/>
  <c r="IM571"/>
  <c r="IN571"/>
  <c r="IO571"/>
  <c r="IP571"/>
  <c r="IQ571"/>
  <c r="IR571"/>
  <c r="IS571"/>
  <c r="IT571"/>
  <c r="IU571"/>
  <c r="IV571"/>
  <c r="A572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Z572"/>
  <c r="AA572"/>
  <c r="AB572"/>
  <c r="AC572"/>
  <c r="AD572"/>
  <c r="AE572"/>
  <c r="AF572"/>
  <c r="AG572"/>
  <c r="AH572"/>
  <c r="AI572"/>
  <c r="AJ572"/>
  <c r="AK572"/>
  <c r="AL572"/>
  <c r="AM572"/>
  <c r="AN572"/>
  <c r="AO572"/>
  <c r="AP572"/>
  <c r="AQ572"/>
  <c r="AR572"/>
  <c r="AS572"/>
  <c r="AT572"/>
  <c r="AU572"/>
  <c r="AV572"/>
  <c r="AW572"/>
  <c r="AX572"/>
  <c r="AY572"/>
  <c r="AZ572"/>
  <c r="BA572"/>
  <c r="BB572"/>
  <c r="BC572"/>
  <c r="BD572"/>
  <c r="BE572"/>
  <c r="BF572"/>
  <c r="BG572"/>
  <c r="BH572"/>
  <c r="BI572"/>
  <c r="BJ572"/>
  <c r="BK572"/>
  <c r="BL572"/>
  <c r="BM572"/>
  <c r="BN572"/>
  <c r="BO572"/>
  <c r="BP572"/>
  <c r="BQ572"/>
  <c r="BR572"/>
  <c r="BS572"/>
  <c r="BT572"/>
  <c r="BU572"/>
  <c r="BV572"/>
  <c r="BW572"/>
  <c r="BX572"/>
  <c r="BY572"/>
  <c r="BZ572"/>
  <c r="CA572"/>
  <c r="CB572"/>
  <c r="CC572"/>
  <c r="CD572"/>
  <c r="CE572"/>
  <c r="CF572"/>
  <c r="CG572"/>
  <c r="CH572"/>
  <c r="CI572"/>
  <c r="CJ572"/>
  <c r="CK572"/>
  <c r="CL572"/>
  <c r="CM572"/>
  <c r="CN572"/>
  <c r="CO572"/>
  <c r="CP572"/>
  <c r="CQ572"/>
  <c r="CR572"/>
  <c r="CS572"/>
  <c r="CT572"/>
  <c r="CU572"/>
  <c r="CV572"/>
  <c r="CW572"/>
  <c r="CX572"/>
  <c r="CY572"/>
  <c r="CZ572"/>
  <c r="DA572"/>
  <c r="DB572"/>
  <c r="DC572"/>
  <c r="DD572"/>
  <c r="DE572"/>
  <c r="DF572"/>
  <c r="DG572"/>
  <c r="DH572"/>
  <c r="DI572"/>
  <c r="DJ572"/>
  <c r="DK572"/>
  <c r="DL572"/>
  <c r="DM572"/>
  <c r="DN572"/>
  <c r="DO572"/>
  <c r="DP572"/>
  <c r="DQ572"/>
  <c r="DR572"/>
  <c r="DS572"/>
  <c r="DT572"/>
  <c r="DU572"/>
  <c r="DV572"/>
  <c r="DW572"/>
  <c r="DX572"/>
  <c r="DY572"/>
  <c r="DZ572"/>
  <c r="EA572"/>
  <c r="EB572"/>
  <c r="EC572"/>
  <c r="ED572"/>
  <c r="EE572"/>
  <c r="EF572"/>
  <c r="EG572"/>
  <c r="EH572"/>
  <c r="EI572"/>
  <c r="EJ572"/>
  <c r="EK572"/>
  <c r="EL572"/>
  <c r="EM572"/>
  <c r="EN572"/>
  <c r="EO572"/>
  <c r="EP572"/>
  <c r="EQ572"/>
  <c r="ER572"/>
  <c r="ES572"/>
  <c r="ET572"/>
  <c r="EU572"/>
  <c r="EV572"/>
  <c r="EW572"/>
  <c r="EX572"/>
  <c r="EY572"/>
  <c r="EZ572"/>
  <c r="FA572"/>
  <c r="FB572"/>
  <c r="FC572"/>
  <c r="FD572"/>
  <c r="FE572"/>
  <c r="FF572"/>
  <c r="FG572"/>
  <c r="FH572"/>
  <c r="FI572"/>
  <c r="FJ572"/>
  <c r="FK572"/>
  <c r="FL572"/>
  <c r="FM572"/>
  <c r="FN572"/>
  <c r="FO572"/>
  <c r="FP572"/>
  <c r="FQ572"/>
  <c r="FR572"/>
  <c r="FS572"/>
  <c r="FT572"/>
  <c r="FU572"/>
  <c r="FV572"/>
  <c r="FW572"/>
  <c r="FX572"/>
  <c r="FY572"/>
  <c r="FZ572"/>
  <c r="GA572"/>
  <c r="GB572"/>
  <c r="GC572"/>
  <c r="GD572"/>
  <c r="GE572"/>
  <c r="GF572"/>
  <c r="GG572"/>
  <c r="GH572"/>
  <c r="GI572"/>
  <c r="GJ572"/>
  <c r="GK572"/>
  <c r="GL572"/>
  <c r="GM572"/>
  <c r="GN572"/>
  <c r="GO572"/>
  <c r="GP572"/>
  <c r="GQ572"/>
  <c r="GR572"/>
  <c r="GS572"/>
  <c r="GT572"/>
  <c r="GU572"/>
  <c r="GV572"/>
  <c r="GW572"/>
  <c r="GX572"/>
  <c r="GY572"/>
  <c r="GZ572"/>
  <c r="HA572"/>
  <c r="HB572"/>
  <c r="HC572"/>
  <c r="HD572"/>
  <c r="HE572"/>
  <c r="HF572"/>
  <c r="HG572"/>
  <c r="HH572"/>
  <c r="HI572"/>
  <c r="HJ572"/>
  <c r="HK572"/>
  <c r="HL572"/>
  <c r="HM572"/>
  <c r="HN572"/>
  <c r="HO572"/>
  <c r="HP572"/>
  <c r="HQ572"/>
  <c r="HR572"/>
  <c r="HS572"/>
  <c r="HT572"/>
  <c r="HU572"/>
  <c r="HV572"/>
  <c r="HW572"/>
  <c r="HX572"/>
  <c r="HY572"/>
  <c r="HZ572"/>
  <c r="IA572"/>
  <c r="IB572"/>
  <c r="IC572"/>
  <c r="ID572"/>
  <c r="IE572"/>
  <c r="IF572"/>
  <c r="IG572"/>
  <c r="IH572"/>
  <c r="II572"/>
  <c r="IJ572"/>
  <c r="IK572"/>
  <c r="IL572"/>
  <c r="IM572"/>
  <c r="IN572"/>
  <c r="IO572"/>
  <c r="IP572"/>
  <c r="IQ572"/>
  <c r="IR572"/>
  <c r="IS572"/>
  <c r="IT572"/>
  <c r="IU572"/>
  <c r="IV572"/>
  <c r="A573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Z573"/>
  <c r="AA573"/>
  <c r="AB573"/>
  <c r="AC573"/>
  <c r="AD573"/>
  <c r="AE573"/>
  <c r="AF573"/>
  <c r="AG573"/>
  <c r="AH573"/>
  <c r="AI573"/>
  <c r="AJ573"/>
  <c r="AK573"/>
  <c r="AL573"/>
  <c r="AM573"/>
  <c r="AN573"/>
  <c r="AO573"/>
  <c r="AP573"/>
  <c r="AQ573"/>
  <c r="AR573"/>
  <c r="AS573"/>
  <c r="AT573"/>
  <c r="AU573"/>
  <c r="AV573"/>
  <c r="AW573"/>
  <c r="AX573"/>
  <c r="AY573"/>
  <c r="AZ573"/>
  <c r="BA573"/>
  <c r="BB573"/>
  <c r="BC573"/>
  <c r="BD573"/>
  <c r="BE573"/>
  <c r="BF573"/>
  <c r="BG573"/>
  <c r="BH573"/>
  <c r="BI573"/>
  <c r="BJ573"/>
  <c r="BK573"/>
  <c r="BL573"/>
  <c r="BM573"/>
  <c r="BN573"/>
  <c r="BO573"/>
  <c r="BP573"/>
  <c r="BQ573"/>
  <c r="BR573"/>
  <c r="BS573"/>
  <c r="BT573"/>
  <c r="BU573"/>
  <c r="BV573"/>
  <c r="BW573"/>
  <c r="BX573"/>
  <c r="BY573"/>
  <c r="BZ573"/>
  <c r="CA573"/>
  <c r="CB573"/>
  <c r="CC573"/>
  <c r="CD573"/>
  <c r="CE573"/>
  <c r="CF573"/>
  <c r="CG573"/>
  <c r="CH573"/>
  <c r="CI573"/>
  <c r="CJ573"/>
  <c r="CK573"/>
  <c r="CL573"/>
  <c r="CM573"/>
  <c r="CN573"/>
  <c r="CO573"/>
  <c r="CP573"/>
  <c r="CQ573"/>
  <c r="CR573"/>
  <c r="CS573"/>
  <c r="CT573"/>
  <c r="CU573"/>
  <c r="CV573"/>
  <c r="CW573"/>
  <c r="CX573"/>
  <c r="CY573"/>
  <c r="CZ573"/>
  <c r="DA573"/>
  <c r="DB573"/>
  <c r="DC573"/>
  <c r="DD573"/>
  <c r="DE573"/>
  <c r="DF573"/>
  <c r="DG573"/>
  <c r="DH573"/>
  <c r="DI573"/>
  <c r="DJ573"/>
  <c r="DK573"/>
  <c r="DL573"/>
  <c r="DM573"/>
  <c r="DN573"/>
  <c r="DO573"/>
  <c r="DP573"/>
  <c r="DQ573"/>
  <c r="DR573"/>
  <c r="DS573"/>
  <c r="DT573"/>
  <c r="DU573"/>
  <c r="DV573"/>
  <c r="DW573"/>
  <c r="DX573"/>
  <c r="DY573"/>
  <c r="DZ573"/>
  <c r="EA573"/>
  <c r="EB573"/>
  <c r="EC573"/>
  <c r="ED573"/>
  <c r="EE573"/>
  <c r="EF573"/>
  <c r="EG573"/>
  <c r="EH573"/>
  <c r="EI573"/>
  <c r="EJ573"/>
  <c r="EK573"/>
  <c r="EL573"/>
  <c r="EM573"/>
  <c r="EN573"/>
  <c r="EO573"/>
  <c r="EP573"/>
  <c r="EQ573"/>
  <c r="ER573"/>
  <c r="ES573"/>
  <c r="ET573"/>
  <c r="EU573"/>
  <c r="EV573"/>
  <c r="EW573"/>
  <c r="EX573"/>
  <c r="EY573"/>
  <c r="EZ573"/>
  <c r="FA573"/>
  <c r="FB573"/>
  <c r="FC573"/>
  <c r="FD573"/>
  <c r="FE573"/>
  <c r="FF573"/>
  <c r="FG573"/>
  <c r="FH573"/>
  <c r="FI573"/>
  <c r="FJ573"/>
  <c r="FK573"/>
  <c r="FL573"/>
  <c r="FM573"/>
  <c r="FN573"/>
  <c r="FO573"/>
  <c r="FP573"/>
  <c r="FQ573"/>
  <c r="FR573"/>
  <c r="FS573"/>
  <c r="FT573"/>
  <c r="FU573"/>
  <c r="FV573"/>
  <c r="FW573"/>
  <c r="FX573"/>
  <c r="FY573"/>
  <c r="FZ573"/>
  <c r="GA573"/>
  <c r="GB573"/>
  <c r="GC573"/>
  <c r="GD573"/>
  <c r="GE573"/>
  <c r="GF573"/>
  <c r="GG573"/>
  <c r="GH573"/>
  <c r="GI573"/>
  <c r="GJ573"/>
  <c r="GK573"/>
  <c r="GL573"/>
  <c r="GM573"/>
  <c r="GN573"/>
  <c r="GO573"/>
  <c r="GP573"/>
  <c r="GQ573"/>
  <c r="GR573"/>
  <c r="GS573"/>
  <c r="GT573"/>
  <c r="GU573"/>
  <c r="GV573"/>
  <c r="GW573"/>
  <c r="GX573"/>
  <c r="GY573"/>
  <c r="GZ573"/>
  <c r="HA573"/>
  <c r="HB573"/>
  <c r="HC573"/>
  <c r="HD573"/>
  <c r="HE573"/>
  <c r="HF573"/>
  <c r="HG573"/>
  <c r="HH573"/>
  <c r="HI573"/>
  <c r="HJ573"/>
  <c r="HK573"/>
  <c r="HL573"/>
  <c r="HM573"/>
  <c r="HN573"/>
  <c r="HO573"/>
  <c r="HP573"/>
  <c r="HQ573"/>
  <c r="HR573"/>
  <c r="HS573"/>
  <c r="HT573"/>
  <c r="HU573"/>
  <c r="HV573"/>
  <c r="HW573"/>
  <c r="HX573"/>
  <c r="HY573"/>
  <c r="HZ573"/>
  <c r="IA573"/>
  <c r="IB573"/>
  <c r="IC573"/>
  <c r="ID573"/>
  <c r="IE573"/>
  <c r="IF573"/>
  <c r="IG573"/>
  <c r="IH573"/>
  <c r="II573"/>
  <c r="IJ573"/>
  <c r="IK573"/>
  <c r="IL573"/>
  <c r="IM573"/>
  <c r="IN573"/>
  <c r="IO573"/>
  <c r="IP573"/>
  <c r="IQ573"/>
  <c r="IR573"/>
  <c r="IS573"/>
  <c r="IT573"/>
  <c r="IU573"/>
  <c r="IV573"/>
  <c r="A574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Z574"/>
  <c r="AA574"/>
  <c r="AB574"/>
  <c r="AC574"/>
  <c r="AD574"/>
  <c r="AE574"/>
  <c r="AF574"/>
  <c r="AG574"/>
  <c r="AH574"/>
  <c r="AI574"/>
  <c r="AJ574"/>
  <c r="AK574"/>
  <c r="AL574"/>
  <c r="AM574"/>
  <c r="AN574"/>
  <c r="AO574"/>
  <c r="AP574"/>
  <c r="AQ574"/>
  <c r="AR574"/>
  <c r="AS574"/>
  <c r="AT574"/>
  <c r="AU574"/>
  <c r="AV574"/>
  <c r="AW574"/>
  <c r="AX574"/>
  <c r="AY574"/>
  <c r="AZ574"/>
  <c r="BA574"/>
  <c r="BB574"/>
  <c r="BC574"/>
  <c r="BD574"/>
  <c r="BE574"/>
  <c r="BF574"/>
  <c r="BG574"/>
  <c r="BH574"/>
  <c r="BI574"/>
  <c r="BJ574"/>
  <c r="BK574"/>
  <c r="BL574"/>
  <c r="BM574"/>
  <c r="BN574"/>
  <c r="BO574"/>
  <c r="BP574"/>
  <c r="BQ574"/>
  <c r="BR574"/>
  <c r="BS574"/>
  <c r="BT574"/>
  <c r="BU574"/>
  <c r="BV574"/>
  <c r="BW574"/>
  <c r="BX574"/>
  <c r="BY574"/>
  <c r="BZ574"/>
  <c r="CA574"/>
  <c r="CB574"/>
  <c r="CC574"/>
  <c r="CD574"/>
  <c r="CE574"/>
  <c r="CF574"/>
  <c r="CG574"/>
  <c r="CH574"/>
  <c r="CI574"/>
  <c r="CJ574"/>
  <c r="CK574"/>
  <c r="CL574"/>
  <c r="CM574"/>
  <c r="CN574"/>
  <c r="CO574"/>
  <c r="CP574"/>
  <c r="CQ574"/>
  <c r="CR574"/>
  <c r="CS574"/>
  <c r="CT574"/>
  <c r="CU574"/>
  <c r="CV574"/>
  <c r="CW574"/>
  <c r="CX574"/>
  <c r="CY574"/>
  <c r="CZ574"/>
  <c r="DA574"/>
  <c r="DB574"/>
  <c r="DC574"/>
  <c r="DD574"/>
  <c r="DE574"/>
  <c r="DF574"/>
  <c r="DG574"/>
  <c r="DH574"/>
  <c r="DI574"/>
  <c r="DJ574"/>
  <c r="DK574"/>
  <c r="DL574"/>
  <c r="DM574"/>
  <c r="DN574"/>
  <c r="DO574"/>
  <c r="DP574"/>
  <c r="DQ574"/>
  <c r="DR574"/>
  <c r="DS574"/>
  <c r="DT574"/>
  <c r="DU574"/>
  <c r="DV574"/>
  <c r="DW574"/>
  <c r="DX574"/>
  <c r="DY574"/>
  <c r="DZ574"/>
  <c r="EA574"/>
  <c r="EB574"/>
  <c r="EC574"/>
  <c r="ED574"/>
  <c r="EE574"/>
  <c r="EF574"/>
  <c r="EG574"/>
  <c r="EH574"/>
  <c r="EI574"/>
  <c r="EJ574"/>
  <c r="EK574"/>
  <c r="EL574"/>
  <c r="EM574"/>
  <c r="EN574"/>
  <c r="EO574"/>
  <c r="EP574"/>
  <c r="EQ574"/>
  <c r="ER574"/>
  <c r="ES574"/>
  <c r="ET574"/>
  <c r="EU574"/>
  <c r="EV574"/>
  <c r="EW574"/>
  <c r="EX574"/>
  <c r="EY574"/>
  <c r="EZ574"/>
  <c r="FA574"/>
  <c r="FB574"/>
  <c r="FC574"/>
  <c r="FD574"/>
  <c r="FE574"/>
  <c r="FF574"/>
  <c r="FG574"/>
  <c r="FH574"/>
  <c r="FI574"/>
  <c r="FJ574"/>
  <c r="FK574"/>
  <c r="FL574"/>
  <c r="FM574"/>
  <c r="FN574"/>
  <c r="FO574"/>
  <c r="FP574"/>
  <c r="FQ574"/>
  <c r="FR574"/>
  <c r="FS574"/>
  <c r="FT574"/>
  <c r="FU574"/>
  <c r="FV574"/>
  <c r="FW574"/>
  <c r="FX574"/>
  <c r="FY574"/>
  <c r="FZ574"/>
  <c r="GA574"/>
  <c r="GB574"/>
  <c r="GC574"/>
  <c r="GD574"/>
  <c r="GE574"/>
  <c r="GF574"/>
  <c r="GG574"/>
  <c r="GH574"/>
  <c r="GI574"/>
  <c r="GJ574"/>
  <c r="GK574"/>
  <c r="GL574"/>
  <c r="GM574"/>
  <c r="GN574"/>
  <c r="GO574"/>
  <c r="GP574"/>
  <c r="GQ574"/>
  <c r="GR574"/>
  <c r="GS574"/>
  <c r="GT574"/>
  <c r="GU574"/>
  <c r="GV574"/>
  <c r="GW574"/>
  <c r="GX574"/>
  <c r="GY574"/>
  <c r="GZ574"/>
  <c r="HA574"/>
  <c r="HB574"/>
  <c r="HC574"/>
  <c r="HD574"/>
  <c r="HE574"/>
  <c r="HF574"/>
  <c r="HG574"/>
  <c r="HH574"/>
  <c r="HI574"/>
  <c r="HJ574"/>
  <c r="HK574"/>
  <c r="HL574"/>
  <c r="HM574"/>
  <c r="HN574"/>
  <c r="HO574"/>
  <c r="HP574"/>
  <c r="HQ574"/>
  <c r="HR574"/>
  <c r="HS574"/>
  <c r="HT574"/>
  <c r="HU574"/>
  <c r="HV574"/>
  <c r="HW574"/>
  <c r="HX574"/>
  <c r="HY574"/>
  <c r="HZ574"/>
  <c r="IA574"/>
  <c r="IB574"/>
  <c r="IC574"/>
  <c r="ID574"/>
  <c r="IE574"/>
  <c r="IF574"/>
  <c r="IG574"/>
  <c r="IH574"/>
  <c r="II574"/>
  <c r="IJ574"/>
  <c r="IK574"/>
  <c r="IL574"/>
  <c r="IM574"/>
  <c r="IN574"/>
  <c r="IO574"/>
  <c r="IP574"/>
  <c r="IQ574"/>
  <c r="IR574"/>
  <c r="IS574"/>
  <c r="IT574"/>
  <c r="IU574"/>
  <c r="IV574"/>
  <c r="A575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Z575"/>
  <c r="AA575"/>
  <c r="AB575"/>
  <c r="AC575"/>
  <c r="AD575"/>
  <c r="AE575"/>
  <c r="AF575"/>
  <c r="AG575"/>
  <c r="AH575"/>
  <c r="AI575"/>
  <c r="AJ575"/>
  <c r="AK575"/>
  <c r="AL575"/>
  <c r="AM575"/>
  <c r="AN575"/>
  <c r="AO575"/>
  <c r="AP575"/>
  <c r="AQ575"/>
  <c r="AR575"/>
  <c r="AS575"/>
  <c r="AT575"/>
  <c r="AU575"/>
  <c r="AV575"/>
  <c r="AW575"/>
  <c r="AX575"/>
  <c r="AY575"/>
  <c r="AZ575"/>
  <c r="BA575"/>
  <c r="BB575"/>
  <c r="BC575"/>
  <c r="BD575"/>
  <c r="BE575"/>
  <c r="BF575"/>
  <c r="BG575"/>
  <c r="BH575"/>
  <c r="BI575"/>
  <c r="BJ575"/>
  <c r="BK575"/>
  <c r="BL575"/>
  <c r="BM575"/>
  <c r="BN575"/>
  <c r="BO575"/>
  <c r="BP575"/>
  <c r="BQ575"/>
  <c r="BR575"/>
  <c r="BS575"/>
  <c r="BT575"/>
  <c r="BU575"/>
  <c r="BV575"/>
  <c r="BW575"/>
  <c r="BX575"/>
  <c r="BY575"/>
  <c r="BZ575"/>
  <c r="CA575"/>
  <c r="CB575"/>
  <c r="CC575"/>
  <c r="CD575"/>
  <c r="CE575"/>
  <c r="CF575"/>
  <c r="CG575"/>
  <c r="CH575"/>
  <c r="CI575"/>
  <c r="CJ575"/>
  <c r="CK575"/>
  <c r="CL575"/>
  <c r="CM575"/>
  <c r="CN575"/>
  <c r="CO575"/>
  <c r="CP575"/>
  <c r="CQ575"/>
  <c r="CR575"/>
  <c r="CS575"/>
  <c r="CT575"/>
  <c r="CU575"/>
  <c r="CV575"/>
  <c r="CW575"/>
  <c r="CX575"/>
  <c r="CY575"/>
  <c r="CZ575"/>
  <c r="DA575"/>
  <c r="DB575"/>
  <c r="DC575"/>
  <c r="DD575"/>
  <c r="DE575"/>
  <c r="DF575"/>
  <c r="DG575"/>
  <c r="DH575"/>
  <c r="DI575"/>
  <c r="DJ575"/>
  <c r="DK575"/>
  <c r="DL575"/>
  <c r="DM575"/>
  <c r="DN575"/>
  <c r="DO575"/>
  <c r="DP575"/>
  <c r="DQ575"/>
  <c r="DR575"/>
  <c r="DS575"/>
  <c r="DT575"/>
  <c r="DU575"/>
  <c r="DV575"/>
  <c r="DW575"/>
  <c r="DX575"/>
  <c r="DY575"/>
  <c r="DZ575"/>
  <c r="EA575"/>
  <c r="EB575"/>
  <c r="EC575"/>
  <c r="ED575"/>
  <c r="EE575"/>
  <c r="EF575"/>
  <c r="EG575"/>
  <c r="EH575"/>
  <c r="EI575"/>
  <c r="EJ575"/>
  <c r="EK575"/>
  <c r="EL575"/>
  <c r="EM575"/>
  <c r="EN575"/>
  <c r="EO575"/>
  <c r="EP575"/>
  <c r="EQ575"/>
  <c r="ER575"/>
  <c r="ES575"/>
  <c r="ET575"/>
  <c r="EU575"/>
  <c r="EV575"/>
  <c r="EW575"/>
  <c r="EX575"/>
  <c r="EY575"/>
  <c r="EZ575"/>
  <c r="FA575"/>
  <c r="FB575"/>
  <c r="FC575"/>
  <c r="FD575"/>
  <c r="FE575"/>
  <c r="FF575"/>
  <c r="FG575"/>
  <c r="FH575"/>
  <c r="FI575"/>
  <c r="FJ575"/>
  <c r="FK575"/>
  <c r="FL575"/>
  <c r="FM575"/>
  <c r="FN575"/>
  <c r="FO575"/>
  <c r="FP575"/>
  <c r="FQ575"/>
  <c r="FR575"/>
  <c r="FS575"/>
  <c r="FT575"/>
  <c r="FU575"/>
  <c r="FV575"/>
  <c r="FW575"/>
  <c r="FX575"/>
  <c r="FY575"/>
  <c r="FZ575"/>
  <c r="GA575"/>
  <c r="GB575"/>
  <c r="GC575"/>
  <c r="GD575"/>
  <c r="GE575"/>
  <c r="GF575"/>
  <c r="GG575"/>
  <c r="GH575"/>
  <c r="GI575"/>
  <c r="GJ575"/>
  <c r="GK575"/>
  <c r="GL575"/>
  <c r="GM575"/>
  <c r="GN575"/>
  <c r="GO575"/>
  <c r="GP575"/>
  <c r="GQ575"/>
  <c r="GR575"/>
  <c r="GS575"/>
  <c r="GT575"/>
  <c r="GU575"/>
  <c r="GV575"/>
  <c r="GW575"/>
  <c r="GX575"/>
  <c r="GY575"/>
  <c r="GZ575"/>
  <c r="HA575"/>
  <c r="HB575"/>
  <c r="HC575"/>
  <c r="HD575"/>
  <c r="HE575"/>
  <c r="HF575"/>
  <c r="HG575"/>
  <c r="HH575"/>
  <c r="HI575"/>
  <c r="HJ575"/>
  <c r="HK575"/>
  <c r="HL575"/>
  <c r="HM575"/>
  <c r="HN575"/>
  <c r="HO575"/>
  <c r="HP575"/>
  <c r="HQ575"/>
  <c r="HR575"/>
  <c r="HS575"/>
  <c r="HT575"/>
  <c r="HU575"/>
  <c r="HV575"/>
  <c r="HW575"/>
  <c r="HX575"/>
  <c r="HY575"/>
  <c r="HZ575"/>
  <c r="IA575"/>
  <c r="IB575"/>
  <c r="IC575"/>
  <c r="ID575"/>
  <c r="IE575"/>
  <c r="IF575"/>
  <c r="IG575"/>
  <c r="IH575"/>
  <c r="II575"/>
  <c r="IJ575"/>
  <c r="IK575"/>
  <c r="IL575"/>
  <c r="IM575"/>
  <c r="IN575"/>
  <c r="IO575"/>
  <c r="IP575"/>
  <c r="IQ575"/>
  <c r="IR575"/>
  <c r="IS575"/>
  <c r="IT575"/>
  <c r="IU575"/>
  <c r="IV575"/>
  <c r="A576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Z576"/>
  <c r="AA576"/>
  <c r="AB576"/>
  <c r="AC576"/>
  <c r="AD576"/>
  <c r="AE576"/>
  <c r="AF576"/>
  <c r="AG576"/>
  <c r="AH576"/>
  <c r="AI576"/>
  <c r="AJ576"/>
  <c r="AK576"/>
  <c r="AL576"/>
  <c r="AM576"/>
  <c r="AN576"/>
  <c r="AO576"/>
  <c r="AP576"/>
  <c r="AQ576"/>
  <c r="AR576"/>
  <c r="AS576"/>
  <c r="AT576"/>
  <c r="AU576"/>
  <c r="AV576"/>
  <c r="AW576"/>
  <c r="AX576"/>
  <c r="AY576"/>
  <c r="AZ576"/>
  <c r="BA576"/>
  <c r="BB576"/>
  <c r="BC576"/>
  <c r="BD576"/>
  <c r="BE576"/>
  <c r="BF576"/>
  <c r="BG576"/>
  <c r="BH576"/>
  <c r="BI576"/>
  <c r="BJ576"/>
  <c r="BK576"/>
  <c r="BL576"/>
  <c r="BM576"/>
  <c r="BN576"/>
  <c r="BO576"/>
  <c r="BP576"/>
  <c r="BQ576"/>
  <c r="BR576"/>
  <c r="BS576"/>
  <c r="BT576"/>
  <c r="BU576"/>
  <c r="BV576"/>
  <c r="BW576"/>
  <c r="BX576"/>
  <c r="BY576"/>
  <c r="BZ576"/>
  <c r="CA576"/>
  <c r="CB576"/>
  <c r="CC576"/>
  <c r="CD576"/>
  <c r="CE576"/>
  <c r="CF576"/>
  <c r="CG576"/>
  <c r="CH576"/>
  <c r="CI576"/>
  <c r="CJ576"/>
  <c r="CK576"/>
  <c r="CL576"/>
  <c r="CM576"/>
  <c r="CN576"/>
  <c r="CO576"/>
  <c r="CP576"/>
  <c r="CQ576"/>
  <c r="CR576"/>
  <c r="CS576"/>
  <c r="CT576"/>
  <c r="CU576"/>
  <c r="CV576"/>
  <c r="CW576"/>
  <c r="CX576"/>
  <c r="CY576"/>
  <c r="CZ576"/>
  <c r="DA576"/>
  <c r="DB576"/>
  <c r="DC576"/>
  <c r="DD576"/>
  <c r="DE576"/>
  <c r="DF576"/>
  <c r="DG576"/>
  <c r="DH576"/>
  <c r="DI576"/>
  <c r="DJ576"/>
  <c r="DK576"/>
  <c r="DL576"/>
  <c r="DM576"/>
  <c r="DN576"/>
  <c r="DO576"/>
  <c r="DP576"/>
  <c r="DQ576"/>
  <c r="DR576"/>
  <c r="DS576"/>
  <c r="DT576"/>
  <c r="DU576"/>
  <c r="DV576"/>
  <c r="DW576"/>
  <c r="DX576"/>
  <c r="DY576"/>
  <c r="DZ576"/>
  <c r="EA576"/>
  <c r="EB576"/>
  <c r="EC576"/>
  <c r="ED576"/>
  <c r="EE576"/>
  <c r="EF576"/>
  <c r="EG576"/>
  <c r="EH576"/>
  <c r="EI576"/>
  <c r="EJ576"/>
  <c r="EK576"/>
  <c r="EL576"/>
  <c r="EM576"/>
  <c r="EN576"/>
  <c r="EO576"/>
  <c r="EP576"/>
  <c r="EQ576"/>
  <c r="ER576"/>
  <c r="ES576"/>
  <c r="ET576"/>
  <c r="EU576"/>
  <c r="EV576"/>
  <c r="EW576"/>
  <c r="EX576"/>
  <c r="EY576"/>
  <c r="EZ576"/>
  <c r="FA576"/>
  <c r="FB576"/>
  <c r="FC576"/>
  <c r="FD576"/>
  <c r="FE576"/>
  <c r="FF576"/>
  <c r="FG576"/>
  <c r="FH576"/>
  <c r="FI576"/>
  <c r="FJ576"/>
  <c r="FK576"/>
  <c r="FL576"/>
  <c r="FM576"/>
  <c r="FN576"/>
  <c r="FO576"/>
  <c r="FP576"/>
  <c r="FQ576"/>
  <c r="FR576"/>
  <c r="FS576"/>
  <c r="FT576"/>
  <c r="FU576"/>
  <c r="FV576"/>
  <c r="FW576"/>
  <c r="FX576"/>
  <c r="FY576"/>
  <c r="FZ576"/>
  <c r="GA576"/>
  <c r="GB576"/>
  <c r="GC576"/>
  <c r="GD576"/>
  <c r="GE576"/>
  <c r="GF576"/>
  <c r="GG576"/>
  <c r="GH576"/>
  <c r="GI576"/>
  <c r="GJ576"/>
  <c r="GK576"/>
  <c r="GL576"/>
  <c r="GM576"/>
  <c r="GN576"/>
  <c r="GO576"/>
  <c r="GP576"/>
  <c r="GQ576"/>
  <c r="GR576"/>
  <c r="GS576"/>
  <c r="GT576"/>
  <c r="GU576"/>
  <c r="GV576"/>
  <c r="GW576"/>
  <c r="GX576"/>
  <c r="GY576"/>
  <c r="GZ576"/>
  <c r="HA576"/>
  <c r="HB576"/>
  <c r="HC576"/>
  <c r="HD576"/>
  <c r="HE576"/>
  <c r="HF576"/>
  <c r="HG576"/>
  <c r="HH576"/>
  <c r="HI576"/>
  <c r="HJ576"/>
  <c r="HK576"/>
  <c r="HL576"/>
  <c r="HM576"/>
  <c r="HN576"/>
  <c r="HO576"/>
  <c r="HP576"/>
  <c r="HQ576"/>
  <c r="HR576"/>
  <c r="HS576"/>
  <c r="HT576"/>
  <c r="HU576"/>
  <c r="HV576"/>
  <c r="HW576"/>
  <c r="HX576"/>
  <c r="HY576"/>
  <c r="HZ576"/>
  <c r="IA576"/>
  <c r="IB576"/>
  <c r="IC576"/>
  <c r="ID576"/>
  <c r="IE576"/>
  <c r="IF576"/>
  <c r="IG576"/>
  <c r="IH576"/>
  <c r="II576"/>
  <c r="IJ576"/>
  <c r="IK576"/>
  <c r="IL576"/>
  <c r="IM576"/>
  <c r="IN576"/>
  <c r="IO576"/>
  <c r="IP576"/>
  <c r="IQ576"/>
  <c r="IR576"/>
  <c r="IS576"/>
  <c r="IT576"/>
  <c r="IU576"/>
  <c r="IV576"/>
  <c r="A577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Z577"/>
  <c r="AA577"/>
  <c r="AB577"/>
  <c r="AC577"/>
  <c r="AD577"/>
  <c r="AE577"/>
  <c r="AF577"/>
  <c r="AG577"/>
  <c r="AH577"/>
  <c r="AI577"/>
  <c r="AJ577"/>
  <c r="AK577"/>
  <c r="AL577"/>
  <c r="AM577"/>
  <c r="AN577"/>
  <c r="AO577"/>
  <c r="AP577"/>
  <c r="AQ577"/>
  <c r="AR577"/>
  <c r="AS577"/>
  <c r="AT577"/>
  <c r="AU577"/>
  <c r="AV577"/>
  <c r="AW577"/>
  <c r="AX577"/>
  <c r="AY577"/>
  <c r="AZ577"/>
  <c r="BA577"/>
  <c r="BB577"/>
  <c r="BC577"/>
  <c r="BD577"/>
  <c r="BE577"/>
  <c r="BF577"/>
  <c r="BG577"/>
  <c r="BH577"/>
  <c r="BI577"/>
  <c r="BJ577"/>
  <c r="BK577"/>
  <c r="BL577"/>
  <c r="BM577"/>
  <c r="BN577"/>
  <c r="BO577"/>
  <c r="BP577"/>
  <c r="BQ577"/>
  <c r="BR577"/>
  <c r="BS577"/>
  <c r="BT577"/>
  <c r="BU577"/>
  <c r="BV577"/>
  <c r="BW577"/>
  <c r="BX577"/>
  <c r="BY577"/>
  <c r="BZ577"/>
  <c r="CA577"/>
  <c r="CB577"/>
  <c r="CC577"/>
  <c r="CD577"/>
  <c r="CE577"/>
  <c r="CF577"/>
  <c r="CG577"/>
  <c r="CH577"/>
  <c r="CI577"/>
  <c r="CJ577"/>
  <c r="CK577"/>
  <c r="CL577"/>
  <c r="CM577"/>
  <c r="CN577"/>
  <c r="CO577"/>
  <c r="CP577"/>
  <c r="CQ577"/>
  <c r="CR577"/>
  <c r="CS577"/>
  <c r="CT577"/>
  <c r="CU577"/>
  <c r="CV577"/>
  <c r="CW577"/>
  <c r="CX577"/>
  <c r="CY577"/>
  <c r="CZ577"/>
  <c r="DA577"/>
  <c r="DB577"/>
  <c r="DC577"/>
  <c r="DD577"/>
  <c r="DE577"/>
  <c r="DF577"/>
  <c r="DG577"/>
  <c r="DH577"/>
  <c r="DI577"/>
  <c r="DJ577"/>
  <c r="DK577"/>
  <c r="DL577"/>
  <c r="DM577"/>
  <c r="DN577"/>
  <c r="DO577"/>
  <c r="DP577"/>
  <c r="DQ577"/>
  <c r="DR577"/>
  <c r="DS577"/>
  <c r="DT577"/>
  <c r="DU577"/>
  <c r="DV577"/>
  <c r="DW577"/>
  <c r="DX577"/>
  <c r="DY577"/>
  <c r="DZ577"/>
  <c r="EA577"/>
  <c r="EB577"/>
  <c r="EC577"/>
  <c r="ED577"/>
  <c r="EE577"/>
  <c r="EF577"/>
  <c r="EG577"/>
  <c r="EH577"/>
  <c r="EI577"/>
  <c r="EJ577"/>
  <c r="EK577"/>
  <c r="EL577"/>
  <c r="EM577"/>
  <c r="EN577"/>
  <c r="EO577"/>
  <c r="EP577"/>
  <c r="EQ577"/>
  <c r="ER577"/>
  <c r="ES577"/>
  <c r="ET577"/>
  <c r="EU577"/>
  <c r="EV577"/>
  <c r="EW577"/>
  <c r="EX577"/>
  <c r="EY577"/>
  <c r="EZ577"/>
  <c r="FA577"/>
  <c r="FB577"/>
  <c r="FC577"/>
  <c r="FD577"/>
  <c r="FE577"/>
  <c r="FF577"/>
  <c r="FG577"/>
  <c r="FH577"/>
  <c r="FI577"/>
  <c r="FJ577"/>
  <c r="FK577"/>
  <c r="FL577"/>
  <c r="FM577"/>
  <c r="FN577"/>
  <c r="FO577"/>
  <c r="FP577"/>
  <c r="FQ577"/>
  <c r="FR577"/>
  <c r="FS577"/>
  <c r="FT577"/>
  <c r="FU577"/>
  <c r="FV577"/>
  <c r="FW577"/>
  <c r="FX577"/>
  <c r="FY577"/>
  <c r="FZ577"/>
  <c r="GA577"/>
  <c r="GB577"/>
  <c r="GC577"/>
  <c r="GD577"/>
  <c r="GE577"/>
  <c r="GF577"/>
  <c r="GG577"/>
  <c r="GH577"/>
  <c r="GI577"/>
  <c r="GJ577"/>
  <c r="GK577"/>
  <c r="GL577"/>
  <c r="GM577"/>
  <c r="GN577"/>
  <c r="GO577"/>
  <c r="GP577"/>
  <c r="GQ577"/>
  <c r="GR577"/>
  <c r="GS577"/>
  <c r="GT577"/>
  <c r="GU577"/>
  <c r="GV577"/>
  <c r="GW577"/>
  <c r="GX577"/>
  <c r="GY577"/>
  <c r="GZ577"/>
  <c r="HA577"/>
  <c r="HB577"/>
  <c r="HC577"/>
  <c r="HD577"/>
  <c r="HE577"/>
  <c r="HF577"/>
  <c r="HG577"/>
  <c r="HH577"/>
  <c r="HI577"/>
  <c r="HJ577"/>
  <c r="HK577"/>
  <c r="HL577"/>
  <c r="HM577"/>
  <c r="HN577"/>
  <c r="HO577"/>
  <c r="HP577"/>
  <c r="HQ577"/>
  <c r="HR577"/>
  <c r="HS577"/>
  <c r="HT577"/>
  <c r="HU577"/>
  <c r="HV577"/>
  <c r="HW577"/>
  <c r="HX577"/>
  <c r="HY577"/>
  <c r="HZ577"/>
  <c r="IA577"/>
  <c r="IB577"/>
  <c r="IC577"/>
  <c r="ID577"/>
  <c r="IE577"/>
  <c r="IF577"/>
  <c r="IG577"/>
  <c r="IH577"/>
  <c r="II577"/>
  <c r="IJ577"/>
  <c r="IK577"/>
  <c r="IL577"/>
  <c r="IM577"/>
  <c r="IN577"/>
  <c r="IO577"/>
  <c r="IP577"/>
  <c r="IQ577"/>
  <c r="IR577"/>
  <c r="IS577"/>
  <c r="IT577"/>
  <c r="IU577"/>
  <c r="IV577"/>
  <c r="A578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Z578"/>
  <c r="AA578"/>
  <c r="AB578"/>
  <c r="AC578"/>
  <c r="AD578"/>
  <c r="AE578"/>
  <c r="AF578"/>
  <c r="AG578"/>
  <c r="AH578"/>
  <c r="AI578"/>
  <c r="AJ578"/>
  <c r="AK578"/>
  <c r="AL578"/>
  <c r="AM578"/>
  <c r="AN578"/>
  <c r="AO578"/>
  <c r="AP578"/>
  <c r="AQ578"/>
  <c r="AR578"/>
  <c r="AS578"/>
  <c r="AT578"/>
  <c r="AU578"/>
  <c r="AV578"/>
  <c r="AW578"/>
  <c r="AX578"/>
  <c r="AY578"/>
  <c r="AZ578"/>
  <c r="BA578"/>
  <c r="BB578"/>
  <c r="BC578"/>
  <c r="BD578"/>
  <c r="BE578"/>
  <c r="BF578"/>
  <c r="BG578"/>
  <c r="BH578"/>
  <c r="BI578"/>
  <c r="BJ578"/>
  <c r="BK578"/>
  <c r="BL578"/>
  <c r="BM578"/>
  <c r="BN578"/>
  <c r="BO578"/>
  <c r="BP578"/>
  <c r="BQ578"/>
  <c r="BR578"/>
  <c r="BS578"/>
  <c r="BT578"/>
  <c r="BU578"/>
  <c r="BV578"/>
  <c r="BW578"/>
  <c r="BX578"/>
  <c r="BY578"/>
  <c r="BZ578"/>
  <c r="CA578"/>
  <c r="CB578"/>
  <c r="CC578"/>
  <c r="CD578"/>
  <c r="CE578"/>
  <c r="CF578"/>
  <c r="CG578"/>
  <c r="CH578"/>
  <c r="CI578"/>
  <c r="CJ578"/>
  <c r="CK578"/>
  <c r="CL578"/>
  <c r="CM578"/>
  <c r="CN578"/>
  <c r="CO578"/>
  <c r="CP578"/>
  <c r="CQ578"/>
  <c r="CR578"/>
  <c r="CS578"/>
  <c r="CT578"/>
  <c r="CU578"/>
  <c r="CV578"/>
  <c r="CW578"/>
  <c r="CX578"/>
  <c r="CY578"/>
  <c r="CZ578"/>
  <c r="DA578"/>
  <c r="DB578"/>
  <c r="DC578"/>
  <c r="DD578"/>
  <c r="DE578"/>
  <c r="DF578"/>
  <c r="DG578"/>
  <c r="DH578"/>
  <c r="DI578"/>
  <c r="DJ578"/>
  <c r="DK578"/>
  <c r="DL578"/>
  <c r="DM578"/>
  <c r="DN578"/>
  <c r="DO578"/>
  <c r="DP578"/>
  <c r="DQ578"/>
  <c r="DR578"/>
  <c r="DS578"/>
  <c r="DT578"/>
  <c r="DU578"/>
  <c r="DV578"/>
  <c r="DW578"/>
  <c r="DX578"/>
  <c r="DY578"/>
  <c r="DZ578"/>
  <c r="EA578"/>
  <c r="EB578"/>
  <c r="EC578"/>
  <c r="ED578"/>
  <c r="EE578"/>
  <c r="EF578"/>
  <c r="EG578"/>
  <c r="EH578"/>
  <c r="EI578"/>
  <c r="EJ578"/>
  <c r="EK578"/>
  <c r="EL578"/>
  <c r="EM578"/>
  <c r="EN578"/>
  <c r="EO578"/>
  <c r="EP578"/>
  <c r="EQ578"/>
  <c r="ER578"/>
  <c r="ES578"/>
  <c r="ET578"/>
  <c r="EU578"/>
  <c r="EV578"/>
  <c r="EW578"/>
  <c r="EX578"/>
  <c r="EY578"/>
  <c r="EZ578"/>
  <c r="FA578"/>
  <c r="FB578"/>
  <c r="FC578"/>
  <c r="FD578"/>
  <c r="FE578"/>
  <c r="FF578"/>
  <c r="FG578"/>
  <c r="FH578"/>
  <c r="FI578"/>
  <c r="FJ578"/>
  <c r="FK578"/>
  <c r="FL578"/>
  <c r="FM578"/>
  <c r="FN578"/>
  <c r="FO578"/>
  <c r="FP578"/>
  <c r="FQ578"/>
  <c r="FR578"/>
  <c r="FS578"/>
  <c r="FT578"/>
  <c r="FU578"/>
  <c r="FV578"/>
  <c r="FW578"/>
  <c r="FX578"/>
  <c r="FY578"/>
  <c r="FZ578"/>
  <c r="GA578"/>
  <c r="GB578"/>
  <c r="GC578"/>
  <c r="GD578"/>
  <c r="GE578"/>
  <c r="GF578"/>
  <c r="GG578"/>
  <c r="GH578"/>
  <c r="GI578"/>
  <c r="GJ578"/>
  <c r="GK578"/>
  <c r="GL578"/>
  <c r="GM578"/>
  <c r="GN578"/>
  <c r="GO578"/>
  <c r="GP578"/>
  <c r="GQ578"/>
  <c r="GR578"/>
  <c r="GS578"/>
  <c r="GT578"/>
  <c r="GU578"/>
  <c r="GV578"/>
  <c r="GW578"/>
  <c r="GX578"/>
  <c r="GY578"/>
  <c r="GZ578"/>
  <c r="HA578"/>
  <c r="HB578"/>
  <c r="HC578"/>
  <c r="HD578"/>
  <c r="HE578"/>
  <c r="HF578"/>
  <c r="HG578"/>
  <c r="HH578"/>
  <c r="HI578"/>
  <c r="HJ578"/>
  <c r="HK578"/>
  <c r="HL578"/>
  <c r="HM578"/>
  <c r="HN578"/>
  <c r="HO578"/>
  <c r="HP578"/>
  <c r="HQ578"/>
  <c r="HR578"/>
  <c r="HS578"/>
  <c r="HT578"/>
  <c r="HU578"/>
  <c r="HV578"/>
  <c r="HW578"/>
  <c r="HX578"/>
  <c r="HY578"/>
  <c r="HZ578"/>
  <c r="IA578"/>
  <c r="IB578"/>
  <c r="IC578"/>
  <c r="ID578"/>
  <c r="IE578"/>
  <c r="IF578"/>
  <c r="IG578"/>
  <c r="IH578"/>
  <c r="II578"/>
  <c r="IJ578"/>
  <c r="IK578"/>
  <c r="IL578"/>
  <c r="IM578"/>
  <c r="IN578"/>
  <c r="IO578"/>
  <c r="IP578"/>
  <c r="IQ578"/>
  <c r="IR578"/>
  <c r="IS578"/>
  <c r="IT578"/>
  <c r="IU578"/>
  <c r="IV578"/>
  <c r="A579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Z579"/>
  <c r="AA579"/>
  <c r="AB579"/>
  <c r="AC579"/>
  <c r="AD579"/>
  <c r="AE579"/>
  <c r="AF579"/>
  <c r="AG579"/>
  <c r="AH579"/>
  <c r="AI579"/>
  <c r="AJ579"/>
  <c r="AK579"/>
  <c r="AL579"/>
  <c r="AM579"/>
  <c r="AN579"/>
  <c r="AO579"/>
  <c r="AP579"/>
  <c r="AQ579"/>
  <c r="AR579"/>
  <c r="AS579"/>
  <c r="AT579"/>
  <c r="AU579"/>
  <c r="AV579"/>
  <c r="AW579"/>
  <c r="AX579"/>
  <c r="AY579"/>
  <c r="AZ579"/>
  <c r="BA579"/>
  <c r="BB579"/>
  <c r="BC579"/>
  <c r="BD579"/>
  <c r="BE579"/>
  <c r="BF579"/>
  <c r="BG579"/>
  <c r="BH579"/>
  <c r="BI579"/>
  <c r="BJ579"/>
  <c r="BK579"/>
  <c r="BL579"/>
  <c r="BM579"/>
  <c r="BN579"/>
  <c r="BO579"/>
  <c r="BP579"/>
  <c r="BQ579"/>
  <c r="BR579"/>
  <c r="BS579"/>
  <c r="BT579"/>
  <c r="BU579"/>
  <c r="BV579"/>
  <c r="BW579"/>
  <c r="BX579"/>
  <c r="BY579"/>
  <c r="BZ579"/>
  <c r="CA579"/>
  <c r="CB579"/>
  <c r="CC579"/>
  <c r="CD579"/>
  <c r="CE579"/>
  <c r="CF579"/>
  <c r="CG579"/>
  <c r="CH579"/>
  <c r="CI579"/>
  <c r="CJ579"/>
  <c r="CK579"/>
  <c r="CL579"/>
  <c r="CM579"/>
  <c r="CN579"/>
  <c r="CO579"/>
  <c r="CP579"/>
  <c r="CQ579"/>
  <c r="CR579"/>
  <c r="CS579"/>
  <c r="CT579"/>
  <c r="CU579"/>
  <c r="CV579"/>
  <c r="CW579"/>
  <c r="CX579"/>
  <c r="CY579"/>
  <c r="CZ579"/>
  <c r="DA579"/>
  <c r="DB579"/>
  <c r="DC579"/>
  <c r="DD579"/>
  <c r="DE579"/>
  <c r="DF579"/>
  <c r="DG579"/>
  <c r="DH579"/>
  <c r="DI579"/>
  <c r="DJ579"/>
  <c r="DK579"/>
  <c r="DL579"/>
  <c r="DM579"/>
  <c r="DN579"/>
  <c r="DO579"/>
  <c r="DP579"/>
  <c r="DQ579"/>
  <c r="DR579"/>
  <c r="DS579"/>
  <c r="DT579"/>
  <c r="DU579"/>
  <c r="DV579"/>
  <c r="DW579"/>
  <c r="DX579"/>
  <c r="DY579"/>
  <c r="DZ579"/>
  <c r="EA579"/>
  <c r="EB579"/>
  <c r="EC579"/>
  <c r="ED579"/>
  <c r="EE579"/>
  <c r="EF579"/>
  <c r="EG579"/>
  <c r="EH579"/>
  <c r="EI579"/>
  <c r="EJ579"/>
  <c r="EK579"/>
  <c r="EL579"/>
  <c r="EM579"/>
  <c r="EN579"/>
  <c r="EO579"/>
  <c r="EP579"/>
  <c r="EQ579"/>
  <c r="ER579"/>
  <c r="ES579"/>
  <c r="ET579"/>
  <c r="EU579"/>
  <c r="EV579"/>
  <c r="EW579"/>
  <c r="EX579"/>
  <c r="EY579"/>
  <c r="EZ579"/>
  <c r="FA579"/>
  <c r="FB579"/>
  <c r="FC579"/>
  <c r="FD579"/>
  <c r="FE579"/>
  <c r="FF579"/>
  <c r="FG579"/>
  <c r="FH579"/>
  <c r="FI579"/>
  <c r="FJ579"/>
  <c r="FK579"/>
  <c r="FL579"/>
  <c r="FM579"/>
  <c r="FN579"/>
  <c r="FO579"/>
  <c r="FP579"/>
  <c r="FQ579"/>
  <c r="FR579"/>
  <c r="FS579"/>
  <c r="FT579"/>
  <c r="FU579"/>
  <c r="FV579"/>
  <c r="FW579"/>
  <c r="FX579"/>
  <c r="FY579"/>
  <c r="FZ579"/>
  <c r="GA579"/>
  <c r="GB579"/>
  <c r="GC579"/>
  <c r="GD579"/>
  <c r="GE579"/>
  <c r="GF579"/>
  <c r="GG579"/>
  <c r="GH579"/>
  <c r="GI579"/>
  <c r="GJ579"/>
  <c r="GK579"/>
  <c r="GL579"/>
  <c r="GM579"/>
  <c r="GN579"/>
  <c r="GO579"/>
  <c r="GP579"/>
  <c r="GQ579"/>
  <c r="GR579"/>
  <c r="GS579"/>
  <c r="GT579"/>
  <c r="GU579"/>
  <c r="GV579"/>
  <c r="GW579"/>
  <c r="GX579"/>
  <c r="GY579"/>
  <c r="GZ579"/>
  <c r="HA579"/>
  <c r="HB579"/>
  <c r="HC579"/>
  <c r="HD579"/>
  <c r="HE579"/>
  <c r="HF579"/>
  <c r="HG579"/>
  <c r="HH579"/>
  <c r="HI579"/>
  <c r="HJ579"/>
  <c r="HK579"/>
  <c r="HL579"/>
  <c r="HM579"/>
  <c r="HN579"/>
  <c r="HO579"/>
  <c r="HP579"/>
  <c r="HQ579"/>
  <c r="HR579"/>
  <c r="HS579"/>
  <c r="HT579"/>
  <c r="HU579"/>
  <c r="HV579"/>
  <c r="HW579"/>
  <c r="HX579"/>
  <c r="HY579"/>
  <c r="HZ579"/>
  <c r="IA579"/>
  <c r="IB579"/>
  <c r="IC579"/>
  <c r="ID579"/>
  <c r="IE579"/>
  <c r="IF579"/>
  <c r="IG579"/>
  <c r="IH579"/>
  <c r="II579"/>
  <c r="IJ579"/>
  <c r="IK579"/>
  <c r="IL579"/>
  <c r="IM579"/>
  <c r="IN579"/>
  <c r="IO579"/>
  <c r="IP579"/>
  <c r="IQ579"/>
  <c r="IR579"/>
  <c r="IS579"/>
  <c r="IT579"/>
  <c r="IU579"/>
  <c r="IV579"/>
  <c r="A580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Z580"/>
  <c r="AA580"/>
  <c r="AB580"/>
  <c r="AC580"/>
  <c r="AD580"/>
  <c r="AE580"/>
  <c r="AF580"/>
  <c r="AG580"/>
  <c r="AH580"/>
  <c r="AI580"/>
  <c r="AJ580"/>
  <c r="AK580"/>
  <c r="AL580"/>
  <c r="AM580"/>
  <c r="AN580"/>
  <c r="AO580"/>
  <c r="AP580"/>
  <c r="AQ580"/>
  <c r="AR580"/>
  <c r="AS580"/>
  <c r="AT580"/>
  <c r="AU580"/>
  <c r="AV580"/>
  <c r="AW580"/>
  <c r="AX580"/>
  <c r="AY580"/>
  <c r="AZ580"/>
  <c r="BA580"/>
  <c r="BB580"/>
  <c r="BC580"/>
  <c r="BD580"/>
  <c r="BE580"/>
  <c r="BF580"/>
  <c r="BG580"/>
  <c r="BH580"/>
  <c r="BI580"/>
  <c r="BJ580"/>
  <c r="BK580"/>
  <c r="BL580"/>
  <c r="BM580"/>
  <c r="BN580"/>
  <c r="BO580"/>
  <c r="BP580"/>
  <c r="BQ580"/>
  <c r="BR580"/>
  <c r="BS580"/>
  <c r="BT580"/>
  <c r="BU580"/>
  <c r="BV580"/>
  <c r="BW580"/>
  <c r="BX580"/>
  <c r="BY580"/>
  <c r="BZ580"/>
  <c r="CA580"/>
  <c r="CB580"/>
  <c r="CC580"/>
  <c r="CD580"/>
  <c r="CE580"/>
  <c r="CF580"/>
  <c r="CG580"/>
  <c r="CH580"/>
  <c r="CI580"/>
  <c r="CJ580"/>
  <c r="CK580"/>
  <c r="CL580"/>
  <c r="CM580"/>
  <c r="CN580"/>
  <c r="CO580"/>
  <c r="CP580"/>
  <c r="CQ580"/>
  <c r="CR580"/>
  <c r="CS580"/>
  <c r="CT580"/>
  <c r="CU580"/>
  <c r="CV580"/>
  <c r="CW580"/>
  <c r="CX580"/>
  <c r="CY580"/>
  <c r="CZ580"/>
  <c r="DA580"/>
  <c r="DB580"/>
  <c r="DC580"/>
  <c r="DD580"/>
  <c r="DE580"/>
  <c r="DF580"/>
  <c r="DG580"/>
  <c r="DH580"/>
  <c r="DI580"/>
  <c r="DJ580"/>
  <c r="DK580"/>
  <c r="DL580"/>
  <c r="DM580"/>
  <c r="DN580"/>
  <c r="DO580"/>
  <c r="DP580"/>
  <c r="DQ580"/>
  <c r="DR580"/>
  <c r="DS580"/>
  <c r="DT580"/>
  <c r="DU580"/>
  <c r="DV580"/>
  <c r="DW580"/>
  <c r="DX580"/>
  <c r="DY580"/>
  <c r="DZ580"/>
  <c r="EA580"/>
  <c r="EB580"/>
  <c r="EC580"/>
  <c r="ED580"/>
  <c r="EE580"/>
  <c r="EF580"/>
  <c r="EG580"/>
  <c r="EH580"/>
  <c r="EI580"/>
  <c r="EJ580"/>
  <c r="EK580"/>
  <c r="EL580"/>
  <c r="EM580"/>
  <c r="EN580"/>
  <c r="EO580"/>
  <c r="EP580"/>
  <c r="EQ580"/>
  <c r="ER580"/>
  <c r="ES580"/>
  <c r="ET580"/>
  <c r="EU580"/>
  <c r="EV580"/>
  <c r="EW580"/>
  <c r="EX580"/>
  <c r="EY580"/>
  <c r="EZ580"/>
  <c r="FA580"/>
  <c r="FB580"/>
  <c r="FC580"/>
  <c r="FD580"/>
  <c r="FE580"/>
  <c r="FF580"/>
  <c r="FG580"/>
  <c r="FH580"/>
  <c r="FI580"/>
  <c r="FJ580"/>
  <c r="FK580"/>
  <c r="FL580"/>
  <c r="FM580"/>
  <c r="FN580"/>
  <c r="FO580"/>
  <c r="FP580"/>
  <c r="FQ580"/>
  <c r="FR580"/>
  <c r="FS580"/>
  <c r="FT580"/>
  <c r="FU580"/>
  <c r="FV580"/>
  <c r="FW580"/>
  <c r="FX580"/>
  <c r="FY580"/>
  <c r="FZ580"/>
  <c r="GA580"/>
  <c r="GB580"/>
  <c r="GC580"/>
  <c r="GD580"/>
  <c r="GE580"/>
  <c r="GF580"/>
  <c r="GG580"/>
  <c r="GH580"/>
  <c r="GI580"/>
  <c r="GJ580"/>
  <c r="GK580"/>
  <c r="GL580"/>
  <c r="GM580"/>
  <c r="GN580"/>
  <c r="GO580"/>
  <c r="GP580"/>
  <c r="GQ580"/>
  <c r="GR580"/>
  <c r="GS580"/>
  <c r="GT580"/>
  <c r="GU580"/>
  <c r="GV580"/>
  <c r="GW580"/>
  <c r="GX580"/>
  <c r="GY580"/>
  <c r="GZ580"/>
  <c r="HA580"/>
  <c r="HB580"/>
  <c r="HC580"/>
  <c r="HD580"/>
  <c r="HE580"/>
  <c r="HF580"/>
  <c r="HG580"/>
  <c r="HH580"/>
  <c r="HI580"/>
  <c r="HJ580"/>
  <c r="HK580"/>
  <c r="HL580"/>
  <c r="HM580"/>
  <c r="HN580"/>
  <c r="HO580"/>
  <c r="HP580"/>
  <c r="HQ580"/>
  <c r="HR580"/>
  <c r="HS580"/>
  <c r="HT580"/>
  <c r="HU580"/>
  <c r="HV580"/>
  <c r="HW580"/>
  <c r="HX580"/>
  <c r="HY580"/>
  <c r="HZ580"/>
  <c r="IA580"/>
  <c r="IB580"/>
  <c r="IC580"/>
  <c r="ID580"/>
  <c r="IE580"/>
  <c r="IF580"/>
  <c r="IG580"/>
  <c r="IH580"/>
  <c r="II580"/>
  <c r="IJ580"/>
  <c r="IK580"/>
  <c r="IL580"/>
  <c r="IM580"/>
  <c r="IN580"/>
  <c r="IO580"/>
  <c r="IP580"/>
  <c r="IQ580"/>
  <c r="IR580"/>
  <c r="IS580"/>
  <c r="IT580"/>
  <c r="IU580"/>
  <c r="IV580"/>
  <c r="A581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Z581"/>
  <c r="AA581"/>
  <c r="AB581"/>
  <c r="AC581"/>
  <c r="AD581"/>
  <c r="AE581"/>
  <c r="AF581"/>
  <c r="AG581"/>
  <c r="AH581"/>
  <c r="AI581"/>
  <c r="AJ581"/>
  <c r="AK581"/>
  <c r="AL581"/>
  <c r="AM581"/>
  <c r="AN581"/>
  <c r="AO581"/>
  <c r="AP581"/>
  <c r="AQ581"/>
  <c r="AR581"/>
  <c r="AS581"/>
  <c r="AT581"/>
  <c r="AU581"/>
  <c r="AV581"/>
  <c r="AW581"/>
  <c r="AX581"/>
  <c r="AY581"/>
  <c r="AZ581"/>
  <c r="BA581"/>
  <c r="BB581"/>
  <c r="BC581"/>
  <c r="BD581"/>
  <c r="BE581"/>
  <c r="BF581"/>
  <c r="BG581"/>
  <c r="BH581"/>
  <c r="BI581"/>
  <c r="BJ581"/>
  <c r="BK581"/>
  <c r="BL581"/>
  <c r="BM581"/>
  <c r="BN581"/>
  <c r="BO581"/>
  <c r="BP581"/>
  <c r="BQ581"/>
  <c r="BR581"/>
  <c r="BS581"/>
  <c r="BT581"/>
  <c r="BU581"/>
  <c r="BV581"/>
  <c r="BW581"/>
  <c r="BX581"/>
  <c r="BY581"/>
  <c r="BZ581"/>
  <c r="CA581"/>
  <c r="CB581"/>
  <c r="CC581"/>
  <c r="CD581"/>
  <c r="CE581"/>
  <c r="CF581"/>
  <c r="CG581"/>
  <c r="CH581"/>
  <c r="CI581"/>
  <c r="CJ581"/>
  <c r="CK581"/>
  <c r="CL581"/>
  <c r="CM581"/>
  <c r="CN581"/>
  <c r="CO581"/>
  <c r="CP581"/>
  <c r="CQ581"/>
  <c r="CR581"/>
  <c r="CS581"/>
  <c r="CT581"/>
  <c r="CU581"/>
  <c r="CV581"/>
  <c r="CW581"/>
  <c r="CX581"/>
  <c r="CY581"/>
  <c r="CZ581"/>
  <c r="DA581"/>
  <c r="DB581"/>
  <c r="DC581"/>
  <c r="DD581"/>
  <c r="DE581"/>
  <c r="DF581"/>
  <c r="DG581"/>
  <c r="DH581"/>
  <c r="DI581"/>
  <c r="DJ581"/>
  <c r="DK581"/>
  <c r="DL581"/>
  <c r="DM581"/>
  <c r="DN581"/>
  <c r="DO581"/>
  <c r="DP581"/>
  <c r="DQ581"/>
  <c r="DR581"/>
  <c r="DS581"/>
  <c r="DT581"/>
  <c r="DU581"/>
  <c r="DV581"/>
  <c r="DW581"/>
  <c r="DX581"/>
  <c r="DY581"/>
  <c r="DZ581"/>
  <c r="EA581"/>
  <c r="EB581"/>
  <c r="EC581"/>
  <c r="ED581"/>
  <c r="EE581"/>
  <c r="EF581"/>
  <c r="EG581"/>
  <c r="EH581"/>
  <c r="EI581"/>
  <c r="EJ581"/>
  <c r="EK581"/>
  <c r="EL581"/>
  <c r="EM581"/>
  <c r="EN581"/>
  <c r="EO581"/>
  <c r="EP581"/>
  <c r="EQ581"/>
  <c r="ER581"/>
  <c r="ES581"/>
  <c r="ET581"/>
  <c r="EU581"/>
  <c r="EV581"/>
  <c r="EW581"/>
  <c r="EX581"/>
  <c r="EY581"/>
  <c r="EZ581"/>
  <c r="FA581"/>
  <c r="FB581"/>
  <c r="FC581"/>
  <c r="FD581"/>
  <c r="FE581"/>
  <c r="FF581"/>
  <c r="FG581"/>
  <c r="FH581"/>
  <c r="FI581"/>
  <c r="FJ581"/>
  <c r="FK581"/>
  <c r="FL581"/>
  <c r="FM581"/>
  <c r="FN581"/>
  <c r="FO581"/>
  <c r="FP581"/>
  <c r="FQ581"/>
  <c r="FR581"/>
  <c r="FS581"/>
  <c r="FT581"/>
  <c r="FU581"/>
  <c r="FV581"/>
  <c r="FW581"/>
  <c r="FX581"/>
  <c r="FY581"/>
  <c r="FZ581"/>
  <c r="GA581"/>
  <c r="GB581"/>
  <c r="GC581"/>
  <c r="GD581"/>
  <c r="GE581"/>
  <c r="GF581"/>
  <c r="GG581"/>
  <c r="GH581"/>
  <c r="GI581"/>
  <c r="GJ581"/>
  <c r="GK581"/>
  <c r="GL581"/>
  <c r="GM581"/>
  <c r="GN581"/>
  <c r="GO581"/>
  <c r="GP581"/>
  <c r="GQ581"/>
  <c r="GR581"/>
  <c r="GS581"/>
  <c r="GT581"/>
  <c r="GU581"/>
  <c r="GV581"/>
  <c r="GW581"/>
  <c r="GX581"/>
  <c r="GY581"/>
  <c r="GZ581"/>
  <c r="HA581"/>
  <c r="HB581"/>
  <c r="HC581"/>
  <c r="HD581"/>
  <c r="HE581"/>
  <c r="HF581"/>
  <c r="HG581"/>
  <c r="HH581"/>
  <c r="HI581"/>
  <c r="HJ581"/>
  <c r="HK581"/>
  <c r="HL581"/>
  <c r="HM581"/>
  <c r="HN581"/>
  <c r="HO581"/>
  <c r="HP581"/>
  <c r="HQ581"/>
  <c r="HR581"/>
  <c r="HS581"/>
  <c r="HT581"/>
  <c r="HU581"/>
  <c r="HV581"/>
  <c r="HW581"/>
  <c r="HX581"/>
  <c r="HY581"/>
  <c r="HZ581"/>
  <c r="IA581"/>
  <c r="IB581"/>
  <c r="IC581"/>
  <c r="ID581"/>
  <c r="IE581"/>
  <c r="IF581"/>
  <c r="IG581"/>
  <c r="IH581"/>
  <c r="II581"/>
  <c r="IJ581"/>
  <c r="IK581"/>
  <c r="IL581"/>
  <c r="IM581"/>
  <c r="IN581"/>
  <c r="IO581"/>
  <c r="IP581"/>
  <c r="IQ581"/>
  <c r="IR581"/>
  <c r="IS581"/>
  <c r="IT581"/>
  <c r="IU581"/>
  <c r="IV581"/>
  <c r="A582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Z582"/>
  <c r="AA582"/>
  <c r="AB582"/>
  <c r="AC582"/>
  <c r="AD582"/>
  <c r="AE582"/>
  <c r="AF582"/>
  <c r="AG582"/>
  <c r="AH582"/>
  <c r="AI582"/>
  <c r="AJ582"/>
  <c r="AK582"/>
  <c r="AL582"/>
  <c r="AM582"/>
  <c r="AN582"/>
  <c r="AO582"/>
  <c r="AP582"/>
  <c r="AQ582"/>
  <c r="AR582"/>
  <c r="AS582"/>
  <c r="AT582"/>
  <c r="AU582"/>
  <c r="AV582"/>
  <c r="AW582"/>
  <c r="AX582"/>
  <c r="AY582"/>
  <c r="AZ582"/>
  <c r="BA582"/>
  <c r="BB582"/>
  <c r="BC582"/>
  <c r="BD582"/>
  <c r="BE582"/>
  <c r="BF582"/>
  <c r="BG582"/>
  <c r="BH582"/>
  <c r="BI582"/>
  <c r="BJ582"/>
  <c r="BK582"/>
  <c r="BL582"/>
  <c r="BM582"/>
  <c r="BN582"/>
  <c r="BO582"/>
  <c r="BP582"/>
  <c r="BQ582"/>
  <c r="BR582"/>
  <c r="BS582"/>
  <c r="BT582"/>
  <c r="BU582"/>
  <c r="BV582"/>
  <c r="BW582"/>
  <c r="BX582"/>
  <c r="BY582"/>
  <c r="BZ582"/>
  <c r="CA582"/>
  <c r="CB582"/>
  <c r="CC582"/>
  <c r="CD582"/>
  <c r="CE582"/>
  <c r="CF582"/>
  <c r="CG582"/>
  <c r="CH582"/>
  <c r="CI582"/>
  <c r="CJ582"/>
  <c r="CK582"/>
  <c r="CL582"/>
  <c r="CM582"/>
  <c r="CN582"/>
  <c r="CO582"/>
  <c r="CP582"/>
  <c r="CQ582"/>
  <c r="CR582"/>
  <c r="CS582"/>
  <c r="CT582"/>
  <c r="CU582"/>
  <c r="CV582"/>
  <c r="CW582"/>
  <c r="CX582"/>
  <c r="CY582"/>
  <c r="CZ582"/>
  <c r="DA582"/>
  <c r="DB582"/>
  <c r="DC582"/>
  <c r="DD582"/>
  <c r="DE582"/>
  <c r="DF582"/>
  <c r="DG582"/>
  <c r="DH582"/>
  <c r="DI582"/>
  <c r="DJ582"/>
  <c r="DK582"/>
  <c r="DL582"/>
  <c r="DM582"/>
  <c r="DN582"/>
  <c r="DO582"/>
  <c r="DP582"/>
  <c r="DQ582"/>
  <c r="DR582"/>
  <c r="DS582"/>
  <c r="DT582"/>
  <c r="DU582"/>
  <c r="DV582"/>
  <c r="DW582"/>
  <c r="DX582"/>
  <c r="DY582"/>
  <c r="DZ582"/>
  <c r="EA582"/>
  <c r="EB582"/>
  <c r="EC582"/>
  <c r="ED582"/>
  <c r="EE582"/>
  <c r="EF582"/>
  <c r="EG582"/>
  <c r="EH582"/>
  <c r="EI582"/>
  <c r="EJ582"/>
  <c r="EK582"/>
  <c r="EL582"/>
  <c r="EM582"/>
  <c r="EN582"/>
  <c r="EO582"/>
  <c r="EP582"/>
  <c r="EQ582"/>
  <c r="ER582"/>
  <c r="ES582"/>
  <c r="ET582"/>
  <c r="EU582"/>
  <c r="EV582"/>
  <c r="EW582"/>
  <c r="EX582"/>
  <c r="EY582"/>
  <c r="EZ582"/>
  <c r="FA582"/>
  <c r="FB582"/>
  <c r="FC582"/>
  <c r="FD582"/>
  <c r="FE582"/>
  <c r="FF582"/>
  <c r="FG582"/>
  <c r="FH582"/>
  <c r="FI582"/>
  <c r="FJ582"/>
  <c r="FK582"/>
  <c r="FL582"/>
  <c r="FM582"/>
  <c r="FN582"/>
  <c r="FO582"/>
  <c r="FP582"/>
  <c r="FQ582"/>
  <c r="FR582"/>
  <c r="FS582"/>
  <c r="FT582"/>
  <c r="FU582"/>
  <c r="FV582"/>
  <c r="FW582"/>
  <c r="FX582"/>
  <c r="FY582"/>
  <c r="FZ582"/>
  <c r="GA582"/>
  <c r="GB582"/>
  <c r="GC582"/>
  <c r="GD582"/>
  <c r="GE582"/>
  <c r="GF582"/>
  <c r="GG582"/>
  <c r="GH582"/>
  <c r="GI582"/>
  <c r="GJ582"/>
  <c r="GK582"/>
  <c r="GL582"/>
  <c r="GM582"/>
  <c r="GN582"/>
  <c r="GO582"/>
  <c r="GP582"/>
  <c r="GQ582"/>
  <c r="GR582"/>
  <c r="GS582"/>
  <c r="GT582"/>
  <c r="GU582"/>
  <c r="GV582"/>
  <c r="GW582"/>
  <c r="GX582"/>
  <c r="GY582"/>
  <c r="GZ582"/>
  <c r="HA582"/>
  <c r="HB582"/>
  <c r="HC582"/>
  <c r="HD582"/>
  <c r="HE582"/>
  <c r="HF582"/>
  <c r="HG582"/>
  <c r="HH582"/>
  <c r="HI582"/>
  <c r="HJ582"/>
  <c r="HK582"/>
  <c r="HL582"/>
  <c r="HM582"/>
  <c r="HN582"/>
  <c r="HO582"/>
  <c r="HP582"/>
  <c r="HQ582"/>
  <c r="HR582"/>
  <c r="HS582"/>
  <c r="HT582"/>
  <c r="HU582"/>
  <c r="HV582"/>
  <c r="HW582"/>
  <c r="HX582"/>
  <c r="HY582"/>
  <c r="HZ582"/>
  <c r="IA582"/>
  <c r="IB582"/>
  <c r="IC582"/>
  <c r="ID582"/>
  <c r="IE582"/>
  <c r="IF582"/>
  <c r="IG582"/>
  <c r="IH582"/>
  <c r="II582"/>
  <c r="IJ582"/>
  <c r="IK582"/>
  <c r="IL582"/>
  <c r="IM582"/>
  <c r="IN582"/>
  <c r="IO582"/>
  <c r="IP582"/>
  <c r="IQ582"/>
  <c r="IR582"/>
  <c r="IS582"/>
  <c r="IT582"/>
  <c r="IU582"/>
  <c r="IV582"/>
  <c r="A583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Z583"/>
  <c r="AA583"/>
  <c r="AB583"/>
  <c r="AC583"/>
  <c r="AD583"/>
  <c r="AE583"/>
  <c r="AF583"/>
  <c r="AG583"/>
  <c r="AH583"/>
  <c r="AI583"/>
  <c r="AJ583"/>
  <c r="AK583"/>
  <c r="AL583"/>
  <c r="AM583"/>
  <c r="AN583"/>
  <c r="AO583"/>
  <c r="AP583"/>
  <c r="AQ583"/>
  <c r="AR583"/>
  <c r="AS583"/>
  <c r="AT583"/>
  <c r="AU583"/>
  <c r="AV583"/>
  <c r="AW583"/>
  <c r="AX583"/>
  <c r="AY583"/>
  <c r="AZ583"/>
  <c r="BA583"/>
  <c r="BB583"/>
  <c r="BC583"/>
  <c r="BD583"/>
  <c r="BE583"/>
  <c r="BF583"/>
  <c r="BG583"/>
  <c r="BH583"/>
  <c r="BI583"/>
  <c r="BJ583"/>
  <c r="BK583"/>
  <c r="BL583"/>
  <c r="BM583"/>
  <c r="BN583"/>
  <c r="BO583"/>
  <c r="BP583"/>
  <c r="BQ583"/>
  <c r="BR583"/>
  <c r="BS583"/>
  <c r="BT583"/>
  <c r="BU583"/>
  <c r="BV583"/>
  <c r="BW583"/>
  <c r="BX583"/>
  <c r="BY583"/>
  <c r="BZ583"/>
  <c r="CA583"/>
  <c r="CB583"/>
  <c r="CC583"/>
  <c r="CD583"/>
  <c r="CE583"/>
  <c r="CF583"/>
  <c r="CG583"/>
  <c r="CH583"/>
  <c r="CI583"/>
  <c r="CJ583"/>
  <c r="CK583"/>
  <c r="CL583"/>
  <c r="CM583"/>
  <c r="CN583"/>
  <c r="CO583"/>
  <c r="CP583"/>
  <c r="CQ583"/>
  <c r="CR583"/>
  <c r="CS583"/>
  <c r="CT583"/>
  <c r="CU583"/>
  <c r="CV583"/>
  <c r="CW583"/>
  <c r="CX583"/>
  <c r="CY583"/>
  <c r="CZ583"/>
  <c r="DA583"/>
  <c r="DB583"/>
  <c r="DC583"/>
  <c r="DD583"/>
  <c r="DE583"/>
  <c r="DF583"/>
  <c r="DG583"/>
  <c r="DH583"/>
  <c r="DI583"/>
  <c r="DJ583"/>
  <c r="DK583"/>
  <c r="DL583"/>
  <c r="DM583"/>
  <c r="DN583"/>
  <c r="DO583"/>
  <c r="DP583"/>
  <c r="DQ583"/>
  <c r="DR583"/>
  <c r="DS583"/>
  <c r="DT583"/>
  <c r="DU583"/>
  <c r="DV583"/>
  <c r="DW583"/>
  <c r="DX583"/>
  <c r="DY583"/>
  <c r="DZ583"/>
  <c r="EA583"/>
  <c r="EB583"/>
  <c r="EC583"/>
  <c r="ED583"/>
  <c r="EE583"/>
  <c r="EF583"/>
  <c r="EG583"/>
  <c r="EH583"/>
  <c r="EI583"/>
  <c r="EJ583"/>
  <c r="EK583"/>
  <c r="EL583"/>
  <c r="EM583"/>
  <c r="EN583"/>
  <c r="EO583"/>
  <c r="EP583"/>
  <c r="EQ583"/>
  <c r="ER583"/>
  <c r="ES583"/>
  <c r="ET583"/>
  <c r="EU583"/>
  <c r="EV583"/>
  <c r="EW583"/>
  <c r="EX583"/>
  <c r="EY583"/>
  <c r="EZ583"/>
  <c r="FA583"/>
  <c r="FB583"/>
  <c r="FC583"/>
  <c r="FD583"/>
  <c r="FE583"/>
  <c r="FF583"/>
  <c r="FG583"/>
  <c r="FH583"/>
  <c r="FI583"/>
  <c r="FJ583"/>
  <c r="FK583"/>
  <c r="FL583"/>
  <c r="FM583"/>
  <c r="FN583"/>
  <c r="FO583"/>
  <c r="FP583"/>
  <c r="FQ583"/>
  <c r="FR583"/>
  <c r="FS583"/>
  <c r="FT583"/>
  <c r="FU583"/>
  <c r="FV583"/>
  <c r="FW583"/>
  <c r="FX583"/>
  <c r="FY583"/>
  <c r="FZ583"/>
  <c r="GA583"/>
  <c r="GB583"/>
  <c r="GC583"/>
  <c r="GD583"/>
  <c r="GE583"/>
  <c r="GF583"/>
  <c r="GG583"/>
  <c r="GH583"/>
  <c r="GI583"/>
  <c r="GJ583"/>
  <c r="GK583"/>
  <c r="GL583"/>
  <c r="GM583"/>
  <c r="GN583"/>
  <c r="GO583"/>
  <c r="GP583"/>
  <c r="GQ583"/>
  <c r="GR583"/>
  <c r="GS583"/>
  <c r="GT583"/>
  <c r="GU583"/>
  <c r="GV583"/>
  <c r="GW583"/>
  <c r="GX583"/>
  <c r="GY583"/>
  <c r="GZ583"/>
  <c r="HA583"/>
  <c r="HB583"/>
  <c r="HC583"/>
  <c r="HD583"/>
  <c r="HE583"/>
  <c r="HF583"/>
  <c r="HG583"/>
  <c r="HH583"/>
  <c r="HI583"/>
  <c r="HJ583"/>
  <c r="HK583"/>
  <c r="HL583"/>
  <c r="HM583"/>
  <c r="HN583"/>
  <c r="HO583"/>
  <c r="HP583"/>
  <c r="HQ583"/>
  <c r="HR583"/>
  <c r="HS583"/>
  <c r="HT583"/>
  <c r="HU583"/>
  <c r="HV583"/>
  <c r="HW583"/>
  <c r="HX583"/>
  <c r="HY583"/>
  <c r="HZ583"/>
  <c r="IA583"/>
  <c r="IB583"/>
  <c r="IC583"/>
  <c r="ID583"/>
  <c r="IE583"/>
  <c r="IF583"/>
  <c r="IG583"/>
  <c r="IH583"/>
  <c r="II583"/>
  <c r="IJ583"/>
  <c r="IK583"/>
  <c r="IL583"/>
  <c r="IM583"/>
  <c r="IN583"/>
  <c r="IO583"/>
  <c r="IP583"/>
  <c r="IQ583"/>
  <c r="IR583"/>
  <c r="IS583"/>
  <c r="IT583"/>
  <c r="IU583"/>
  <c r="IV583"/>
  <c r="A584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Z584"/>
  <c r="AA584"/>
  <c r="AB584"/>
  <c r="AC584"/>
  <c r="AD584"/>
  <c r="AE584"/>
  <c r="AF584"/>
  <c r="AG584"/>
  <c r="AH584"/>
  <c r="AI584"/>
  <c r="AJ584"/>
  <c r="AK584"/>
  <c r="AL584"/>
  <c r="AM584"/>
  <c r="AN584"/>
  <c r="AO584"/>
  <c r="AP584"/>
  <c r="AQ584"/>
  <c r="AR584"/>
  <c r="AS584"/>
  <c r="AT584"/>
  <c r="AU584"/>
  <c r="AV584"/>
  <c r="AW584"/>
  <c r="AX584"/>
  <c r="AY584"/>
  <c r="AZ584"/>
  <c r="BA584"/>
  <c r="BB584"/>
  <c r="BC584"/>
  <c r="BD584"/>
  <c r="BE584"/>
  <c r="BF584"/>
  <c r="BG584"/>
  <c r="BH584"/>
  <c r="BI584"/>
  <c r="BJ584"/>
  <c r="BK584"/>
  <c r="BL584"/>
  <c r="BM584"/>
  <c r="BN584"/>
  <c r="BO584"/>
  <c r="BP584"/>
  <c r="BQ584"/>
  <c r="BR584"/>
  <c r="BS584"/>
  <c r="BT584"/>
  <c r="BU584"/>
  <c r="BV584"/>
  <c r="BW584"/>
  <c r="BX584"/>
  <c r="BY584"/>
  <c r="BZ584"/>
  <c r="CA584"/>
  <c r="CB584"/>
  <c r="CC584"/>
  <c r="CD584"/>
  <c r="CE584"/>
  <c r="CF584"/>
  <c r="CG584"/>
  <c r="CH584"/>
  <c r="CI584"/>
  <c r="CJ584"/>
  <c r="CK584"/>
  <c r="CL584"/>
  <c r="CM584"/>
  <c r="CN584"/>
  <c r="CO584"/>
  <c r="CP584"/>
  <c r="CQ584"/>
  <c r="CR584"/>
  <c r="CS584"/>
  <c r="CT584"/>
  <c r="CU584"/>
  <c r="CV584"/>
  <c r="CW584"/>
  <c r="CX584"/>
  <c r="CY584"/>
  <c r="CZ584"/>
  <c r="DA584"/>
  <c r="DB584"/>
  <c r="DC584"/>
  <c r="DD584"/>
  <c r="DE584"/>
  <c r="DF584"/>
  <c r="DG584"/>
  <c r="DH584"/>
  <c r="DI584"/>
  <c r="DJ584"/>
  <c r="DK584"/>
  <c r="DL584"/>
  <c r="DM584"/>
  <c r="DN584"/>
  <c r="DO584"/>
  <c r="DP584"/>
  <c r="DQ584"/>
  <c r="DR584"/>
  <c r="DS584"/>
  <c r="DT584"/>
  <c r="DU584"/>
  <c r="DV584"/>
  <c r="DW584"/>
  <c r="DX584"/>
  <c r="DY584"/>
  <c r="DZ584"/>
  <c r="EA584"/>
  <c r="EB584"/>
  <c r="EC584"/>
  <c r="ED584"/>
  <c r="EE584"/>
  <c r="EF584"/>
  <c r="EG584"/>
  <c r="EH584"/>
  <c r="EI584"/>
  <c r="EJ584"/>
  <c r="EK584"/>
  <c r="EL584"/>
  <c r="EM584"/>
  <c r="EN584"/>
  <c r="EO584"/>
  <c r="EP584"/>
  <c r="EQ584"/>
  <c r="ER584"/>
  <c r="ES584"/>
  <c r="ET584"/>
  <c r="EU584"/>
  <c r="EV584"/>
  <c r="EW584"/>
  <c r="EX584"/>
  <c r="EY584"/>
  <c r="EZ584"/>
  <c r="FA584"/>
  <c r="FB584"/>
  <c r="FC584"/>
  <c r="FD584"/>
  <c r="FE584"/>
  <c r="FF584"/>
  <c r="FG584"/>
  <c r="FH584"/>
  <c r="FI584"/>
  <c r="FJ584"/>
  <c r="FK584"/>
  <c r="FL584"/>
  <c r="FM584"/>
  <c r="FN584"/>
  <c r="FO584"/>
  <c r="FP584"/>
  <c r="FQ584"/>
  <c r="FR584"/>
  <c r="FS584"/>
  <c r="FT584"/>
  <c r="FU584"/>
  <c r="FV584"/>
  <c r="FW584"/>
  <c r="FX584"/>
  <c r="FY584"/>
  <c r="FZ584"/>
  <c r="GA584"/>
  <c r="GB584"/>
  <c r="GC584"/>
  <c r="GD584"/>
  <c r="GE584"/>
  <c r="GF584"/>
  <c r="GG584"/>
  <c r="GH584"/>
  <c r="GI584"/>
  <c r="GJ584"/>
  <c r="GK584"/>
  <c r="GL584"/>
  <c r="GM584"/>
  <c r="GN584"/>
  <c r="GO584"/>
  <c r="GP584"/>
  <c r="GQ584"/>
  <c r="GR584"/>
  <c r="GS584"/>
  <c r="GT584"/>
  <c r="GU584"/>
  <c r="GV584"/>
  <c r="GW584"/>
  <c r="GX584"/>
  <c r="GY584"/>
  <c r="GZ584"/>
  <c r="HA584"/>
  <c r="HB584"/>
  <c r="HC584"/>
  <c r="HD584"/>
  <c r="HE584"/>
  <c r="HF584"/>
  <c r="HG584"/>
  <c r="HH584"/>
  <c r="HI584"/>
  <c r="HJ584"/>
  <c r="HK584"/>
  <c r="HL584"/>
  <c r="HM584"/>
  <c r="HN584"/>
  <c r="HO584"/>
  <c r="HP584"/>
  <c r="HQ584"/>
  <c r="HR584"/>
  <c r="HS584"/>
  <c r="HT584"/>
  <c r="HU584"/>
  <c r="HV584"/>
  <c r="HW584"/>
  <c r="HX584"/>
  <c r="HY584"/>
  <c r="HZ584"/>
  <c r="IA584"/>
  <c r="IB584"/>
  <c r="IC584"/>
  <c r="ID584"/>
  <c r="IE584"/>
  <c r="IF584"/>
  <c r="IG584"/>
  <c r="IH584"/>
  <c r="II584"/>
  <c r="IJ584"/>
  <c r="IK584"/>
  <c r="IL584"/>
  <c r="IM584"/>
  <c r="IN584"/>
  <c r="IO584"/>
  <c r="IP584"/>
  <c r="IQ584"/>
  <c r="IR584"/>
  <c r="IS584"/>
  <c r="IT584"/>
  <c r="IU584"/>
  <c r="IV584"/>
  <c r="A585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Z585"/>
  <c r="AA585"/>
  <c r="AB585"/>
  <c r="AC585"/>
  <c r="AD585"/>
  <c r="AE585"/>
  <c r="AF585"/>
  <c r="AG585"/>
  <c r="AH585"/>
  <c r="AI585"/>
  <c r="AJ585"/>
  <c r="AK585"/>
  <c r="AL585"/>
  <c r="AM585"/>
  <c r="AN585"/>
  <c r="AO585"/>
  <c r="AP585"/>
  <c r="AQ585"/>
  <c r="AR585"/>
  <c r="AS585"/>
  <c r="AT585"/>
  <c r="AU585"/>
  <c r="AV585"/>
  <c r="AW585"/>
  <c r="AX585"/>
  <c r="AY585"/>
  <c r="AZ585"/>
  <c r="BA585"/>
  <c r="BB585"/>
  <c r="BC585"/>
  <c r="BD585"/>
  <c r="BE585"/>
  <c r="BF585"/>
  <c r="BG585"/>
  <c r="BH585"/>
  <c r="BI585"/>
  <c r="BJ585"/>
  <c r="BK585"/>
  <c r="BL585"/>
  <c r="BM585"/>
  <c r="BN585"/>
  <c r="BO585"/>
  <c r="BP585"/>
  <c r="BQ585"/>
  <c r="BR585"/>
  <c r="BS585"/>
  <c r="BT585"/>
  <c r="BU585"/>
  <c r="BV585"/>
  <c r="BW585"/>
  <c r="BX585"/>
  <c r="BY585"/>
  <c r="BZ585"/>
  <c r="CA585"/>
  <c r="CB585"/>
  <c r="CC585"/>
  <c r="CD585"/>
  <c r="CE585"/>
  <c r="CF585"/>
  <c r="CG585"/>
  <c r="CH585"/>
  <c r="CI585"/>
  <c r="CJ585"/>
  <c r="CK585"/>
  <c r="CL585"/>
  <c r="CM585"/>
  <c r="CN585"/>
  <c r="CO585"/>
  <c r="CP585"/>
  <c r="CQ585"/>
  <c r="CR585"/>
  <c r="CS585"/>
  <c r="CT585"/>
  <c r="CU585"/>
  <c r="CV585"/>
  <c r="CW585"/>
  <c r="CX585"/>
  <c r="CY585"/>
  <c r="CZ585"/>
  <c r="DA585"/>
  <c r="DB585"/>
  <c r="DC585"/>
  <c r="DD585"/>
  <c r="DE585"/>
  <c r="DF585"/>
  <c r="DG585"/>
  <c r="DH585"/>
  <c r="DI585"/>
  <c r="DJ585"/>
  <c r="DK585"/>
  <c r="DL585"/>
  <c r="DM585"/>
  <c r="DN585"/>
  <c r="DO585"/>
  <c r="DP585"/>
  <c r="DQ585"/>
  <c r="DR585"/>
  <c r="DS585"/>
  <c r="DT585"/>
  <c r="DU585"/>
  <c r="DV585"/>
  <c r="DW585"/>
  <c r="DX585"/>
  <c r="DY585"/>
  <c r="DZ585"/>
  <c r="EA585"/>
  <c r="EB585"/>
  <c r="EC585"/>
  <c r="ED585"/>
  <c r="EE585"/>
  <c r="EF585"/>
  <c r="EG585"/>
  <c r="EH585"/>
  <c r="EI585"/>
  <c r="EJ585"/>
  <c r="EK585"/>
  <c r="EL585"/>
  <c r="EM585"/>
  <c r="EN585"/>
  <c r="EO585"/>
  <c r="EP585"/>
  <c r="EQ585"/>
  <c r="ER585"/>
  <c r="ES585"/>
  <c r="ET585"/>
  <c r="EU585"/>
  <c r="EV585"/>
  <c r="EW585"/>
  <c r="EX585"/>
  <c r="EY585"/>
  <c r="EZ585"/>
  <c r="FA585"/>
  <c r="FB585"/>
  <c r="FC585"/>
  <c r="FD585"/>
  <c r="FE585"/>
  <c r="FF585"/>
  <c r="FG585"/>
  <c r="FH585"/>
  <c r="FI585"/>
  <c r="FJ585"/>
  <c r="FK585"/>
  <c r="FL585"/>
  <c r="FM585"/>
  <c r="FN585"/>
  <c r="FO585"/>
  <c r="FP585"/>
  <c r="FQ585"/>
  <c r="FR585"/>
  <c r="FS585"/>
  <c r="FT585"/>
  <c r="FU585"/>
  <c r="FV585"/>
  <c r="FW585"/>
  <c r="FX585"/>
  <c r="FY585"/>
  <c r="FZ585"/>
  <c r="GA585"/>
  <c r="GB585"/>
  <c r="GC585"/>
  <c r="GD585"/>
  <c r="GE585"/>
  <c r="GF585"/>
  <c r="GG585"/>
  <c r="GH585"/>
  <c r="GI585"/>
  <c r="GJ585"/>
  <c r="GK585"/>
  <c r="GL585"/>
  <c r="GM585"/>
  <c r="GN585"/>
  <c r="GO585"/>
  <c r="GP585"/>
  <c r="GQ585"/>
  <c r="GR585"/>
  <c r="GS585"/>
  <c r="GT585"/>
  <c r="GU585"/>
  <c r="GV585"/>
  <c r="GW585"/>
  <c r="GX585"/>
  <c r="GY585"/>
  <c r="GZ585"/>
  <c r="HA585"/>
  <c r="HB585"/>
  <c r="HC585"/>
  <c r="HD585"/>
  <c r="HE585"/>
  <c r="HF585"/>
  <c r="HG585"/>
  <c r="HH585"/>
  <c r="HI585"/>
  <c r="HJ585"/>
  <c r="HK585"/>
  <c r="HL585"/>
  <c r="HM585"/>
  <c r="HN585"/>
  <c r="HO585"/>
  <c r="HP585"/>
  <c r="HQ585"/>
  <c r="HR585"/>
  <c r="HS585"/>
  <c r="HT585"/>
  <c r="HU585"/>
  <c r="HV585"/>
  <c r="HW585"/>
  <c r="HX585"/>
  <c r="HY585"/>
  <c r="HZ585"/>
  <c r="IA585"/>
  <c r="IB585"/>
  <c r="IC585"/>
  <c r="ID585"/>
  <c r="IE585"/>
  <c r="IF585"/>
  <c r="IG585"/>
  <c r="IH585"/>
  <c r="II585"/>
  <c r="IJ585"/>
  <c r="IK585"/>
  <c r="IL585"/>
  <c r="IM585"/>
  <c r="IN585"/>
  <c r="IO585"/>
  <c r="IP585"/>
  <c r="IQ585"/>
  <c r="IR585"/>
  <c r="IS585"/>
  <c r="IT585"/>
  <c r="IU585"/>
  <c r="IV585"/>
  <c r="A586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Z586"/>
  <c r="AA586"/>
  <c r="AB586"/>
  <c r="AC586"/>
  <c r="AD586"/>
  <c r="AE586"/>
  <c r="AF586"/>
  <c r="AG586"/>
  <c r="AH586"/>
  <c r="AI586"/>
  <c r="AJ586"/>
  <c r="AK586"/>
  <c r="AL586"/>
  <c r="AM586"/>
  <c r="AN586"/>
  <c r="AO586"/>
  <c r="AP586"/>
  <c r="AQ586"/>
  <c r="AR586"/>
  <c r="AS586"/>
  <c r="AT586"/>
  <c r="AU586"/>
  <c r="AV586"/>
  <c r="AW586"/>
  <c r="AX586"/>
  <c r="AY586"/>
  <c r="AZ586"/>
  <c r="BA586"/>
  <c r="BB586"/>
  <c r="BC586"/>
  <c r="BD586"/>
  <c r="BE586"/>
  <c r="BF586"/>
  <c r="BG586"/>
  <c r="BH586"/>
  <c r="BI586"/>
  <c r="BJ586"/>
  <c r="BK586"/>
  <c r="BL586"/>
  <c r="BM586"/>
  <c r="BN586"/>
  <c r="BO586"/>
  <c r="BP586"/>
  <c r="BQ586"/>
  <c r="BR586"/>
  <c r="BS586"/>
  <c r="BT586"/>
  <c r="BU586"/>
  <c r="BV586"/>
  <c r="BW586"/>
  <c r="BX586"/>
  <c r="BY586"/>
  <c r="BZ586"/>
  <c r="CA586"/>
  <c r="CB586"/>
  <c r="CC586"/>
  <c r="CD586"/>
  <c r="CE586"/>
  <c r="CF586"/>
  <c r="CG586"/>
  <c r="CH586"/>
  <c r="CI586"/>
  <c r="CJ586"/>
  <c r="CK586"/>
  <c r="CL586"/>
  <c r="CM586"/>
  <c r="CN586"/>
  <c r="CO586"/>
  <c r="CP586"/>
  <c r="CQ586"/>
  <c r="CR586"/>
  <c r="CS586"/>
  <c r="CT586"/>
  <c r="CU586"/>
  <c r="CV586"/>
  <c r="CW586"/>
  <c r="CX586"/>
  <c r="CY586"/>
  <c r="CZ586"/>
  <c r="DA586"/>
  <c r="DB586"/>
  <c r="DC586"/>
  <c r="DD586"/>
  <c r="DE586"/>
  <c r="DF586"/>
  <c r="DG586"/>
  <c r="DH586"/>
  <c r="DI586"/>
  <c r="DJ586"/>
  <c r="DK586"/>
  <c r="DL586"/>
  <c r="DM586"/>
  <c r="DN586"/>
  <c r="DO586"/>
  <c r="DP586"/>
  <c r="DQ586"/>
  <c r="DR586"/>
  <c r="DS586"/>
  <c r="DT586"/>
  <c r="DU586"/>
  <c r="DV586"/>
  <c r="DW586"/>
  <c r="DX586"/>
  <c r="DY586"/>
  <c r="DZ586"/>
  <c r="EA586"/>
  <c r="EB586"/>
  <c r="EC586"/>
  <c r="ED586"/>
  <c r="EE586"/>
  <c r="EF586"/>
  <c r="EG586"/>
  <c r="EH586"/>
  <c r="EI586"/>
  <c r="EJ586"/>
  <c r="EK586"/>
  <c r="EL586"/>
  <c r="EM586"/>
  <c r="EN586"/>
  <c r="EO586"/>
  <c r="EP586"/>
  <c r="EQ586"/>
  <c r="ER586"/>
  <c r="ES586"/>
  <c r="ET586"/>
  <c r="EU586"/>
  <c r="EV586"/>
  <c r="EW586"/>
  <c r="EX586"/>
  <c r="EY586"/>
  <c r="EZ586"/>
  <c r="FA586"/>
  <c r="FB586"/>
  <c r="FC586"/>
  <c r="FD586"/>
  <c r="FE586"/>
  <c r="FF586"/>
  <c r="FG586"/>
  <c r="FH586"/>
  <c r="FI586"/>
  <c r="FJ586"/>
  <c r="FK586"/>
  <c r="FL586"/>
  <c r="FM586"/>
  <c r="FN586"/>
  <c r="FO586"/>
  <c r="FP586"/>
  <c r="FQ586"/>
  <c r="FR586"/>
  <c r="FS586"/>
  <c r="FT586"/>
  <c r="FU586"/>
  <c r="FV586"/>
  <c r="FW586"/>
  <c r="FX586"/>
  <c r="FY586"/>
  <c r="FZ586"/>
  <c r="GA586"/>
  <c r="GB586"/>
  <c r="GC586"/>
  <c r="GD586"/>
  <c r="GE586"/>
  <c r="GF586"/>
  <c r="GG586"/>
  <c r="GH586"/>
  <c r="GI586"/>
  <c r="GJ586"/>
  <c r="GK586"/>
  <c r="GL586"/>
  <c r="GM586"/>
  <c r="GN586"/>
  <c r="GO586"/>
  <c r="GP586"/>
  <c r="GQ586"/>
  <c r="GR586"/>
  <c r="GS586"/>
  <c r="GT586"/>
  <c r="GU586"/>
  <c r="GV586"/>
  <c r="GW586"/>
  <c r="GX586"/>
  <c r="GY586"/>
  <c r="GZ586"/>
  <c r="HA586"/>
  <c r="HB586"/>
  <c r="HC586"/>
  <c r="HD586"/>
  <c r="HE586"/>
  <c r="HF586"/>
  <c r="HG586"/>
  <c r="HH586"/>
  <c r="HI586"/>
  <c r="HJ586"/>
  <c r="HK586"/>
  <c r="HL586"/>
  <c r="HM586"/>
  <c r="HN586"/>
  <c r="HO586"/>
  <c r="HP586"/>
  <c r="HQ586"/>
  <c r="HR586"/>
  <c r="HS586"/>
  <c r="HT586"/>
  <c r="HU586"/>
  <c r="HV586"/>
  <c r="HW586"/>
  <c r="HX586"/>
  <c r="HY586"/>
  <c r="HZ586"/>
  <c r="IA586"/>
  <c r="IB586"/>
  <c r="IC586"/>
  <c r="ID586"/>
  <c r="IE586"/>
  <c r="IF586"/>
  <c r="IG586"/>
  <c r="IH586"/>
  <c r="II586"/>
  <c r="IJ586"/>
  <c r="IK586"/>
  <c r="IL586"/>
  <c r="IM586"/>
  <c r="IN586"/>
  <c r="IO586"/>
  <c r="IP586"/>
  <c r="IQ586"/>
  <c r="IR586"/>
  <c r="IS586"/>
  <c r="IT586"/>
  <c r="IU586"/>
  <c r="IV586"/>
  <c r="A587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Z587"/>
  <c r="AA587"/>
  <c r="AB587"/>
  <c r="AC587"/>
  <c r="AD587"/>
  <c r="AE587"/>
  <c r="AF587"/>
  <c r="AG587"/>
  <c r="AH587"/>
  <c r="AI587"/>
  <c r="AJ587"/>
  <c r="AK587"/>
  <c r="AL587"/>
  <c r="AM587"/>
  <c r="AN587"/>
  <c r="AO587"/>
  <c r="AP587"/>
  <c r="AQ587"/>
  <c r="AR587"/>
  <c r="AS587"/>
  <c r="AT587"/>
  <c r="AU587"/>
  <c r="AV587"/>
  <c r="AW587"/>
  <c r="AX587"/>
  <c r="AY587"/>
  <c r="AZ587"/>
  <c r="BA587"/>
  <c r="BB587"/>
  <c r="BC587"/>
  <c r="BD587"/>
  <c r="BE587"/>
  <c r="BF587"/>
  <c r="BG587"/>
  <c r="BH587"/>
  <c r="BI587"/>
  <c r="BJ587"/>
  <c r="BK587"/>
  <c r="BL587"/>
  <c r="BM587"/>
  <c r="BN587"/>
  <c r="BO587"/>
  <c r="BP587"/>
  <c r="BQ587"/>
  <c r="BR587"/>
  <c r="BS587"/>
  <c r="BT587"/>
  <c r="BU587"/>
  <c r="BV587"/>
  <c r="BW587"/>
  <c r="BX587"/>
  <c r="BY587"/>
  <c r="BZ587"/>
  <c r="CA587"/>
  <c r="CB587"/>
  <c r="CC587"/>
  <c r="CD587"/>
  <c r="CE587"/>
  <c r="CF587"/>
  <c r="CG587"/>
  <c r="CH587"/>
  <c r="CI587"/>
  <c r="CJ587"/>
  <c r="CK587"/>
  <c r="CL587"/>
  <c r="CM587"/>
  <c r="CN587"/>
  <c r="CO587"/>
  <c r="CP587"/>
  <c r="CQ587"/>
  <c r="CR587"/>
  <c r="CS587"/>
  <c r="CT587"/>
  <c r="CU587"/>
  <c r="CV587"/>
  <c r="CW587"/>
  <c r="CX587"/>
  <c r="CY587"/>
  <c r="CZ587"/>
  <c r="DA587"/>
  <c r="DB587"/>
  <c r="DC587"/>
  <c r="DD587"/>
  <c r="DE587"/>
  <c r="DF587"/>
  <c r="DG587"/>
  <c r="DH587"/>
  <c r="DI587"/>
  <c r="DJ587"/>
  <c r="DK587"/>
  <c r="DL587"/>
  <c r="DM587"/>
  <c r="DN587"/>
  <c r="DO587"/>
  <c r="DP587"/>
  <c r="DQ587"/>
  <c r="DR587"/>
  <c r="DS587"/>
  <c r="DT587"/>
  <c r="DU587"/>
  <c r="DV587"/>
  <c r="DW587"/>
  <c r="DX587"/>
  <c r="DY587"/>
  <c r="DZ587"/>
  <c r="EA587"/>
  <c r="EB587"/>
  <c r="EC587"/>
  <c r="ED587"/>
  <c r="EE587"/>
  <c r="EF587"/>
  <c r="EG587"/>
  <c r="EH587"/>
  <c r="EI587"/>
  <c r="EJ587"/>
  <c r="EK587"/>
  <c r="EL587"/>
  <c r="EM587"/>
  <c r="EN587"/>
  <c r="EO587"/>
  <c r="EP587"/>
  <c r="EQ587"/>
  <c r="ER587"/>
  <c r="ES587"/>
  <c r="ET587"/>
  <c r="EU587"/>
  <c r="EV587"/>
  <c r="EW587"/>
  <c r="EX587"/>
  <c r="EY587"/>
  <c r="EZ587"/>
  <c r="FA587"/>
  <c r="FB587"/>
  <c r="FC587"/>
  <c r="FD587"/>
  <c r="FE587"/>
  <c r="FF587"/>
  <c r="FG587"/>
  <c r="FH587"/>
  <c r="FI587"/>
  <c r="FJ587"/>
  <c r="FK587"/>
  <c r="FL587"/>
  <c r="FM587"/>
  <c r="FN587"/>
  <c r="FO587"/>
  <c r="FP587"/>
  <c r="FQ587"/>
  <c r="FR587"/>
  <c r="FS587"/>
  <c r="FT587"/>
  <c r="FU587"/>
  <c r="FV587"/>
  <c r="FW587"/>
  <c r="FX587"/>
  <c r="FY587"/>
  <c r="FZ587"/>
  <c r="GA587"/>
  <c r="GB587"/>
  <c r="GC587"/>
  <c r="GD587"/>
  <c r="GE587"/>
  <c r="GF587"/>
  <c r="GG587"/>
  <c r="GH587"/>
  <c r="GI587"/>
  <c r="GJ587"/>
  <c r="GK587"/>
  <c r="GL587"/>
  <c r="GM587"/>
  <c r="GN587"/>
  <c r="GO587"/>
  <c r="GP587"/>
  <c r="GQ587"/>
  <c r="GR587"/>
  <c r="GS587"/>
  <c r="GT587"/>
  <c r="GU587"/>
  <c r="GV587"/>
  <c r="GW587"/>
  <c r="GX587"/>
  <c r="GY587"/>
  <c r="GZ587"/>
  <c r="HA587"/>
  <c r="HB587"/>
  <c r="HC587"/>
  <c r="HD587"/>
  <c r="HE587"/>
  <c r="HF587"/>
  <c r="HG587"/>
  <c r="HH587"/>
  <c r="HI587"/>
  <c r="HJ587"/>
  <c r="HK587"/>
  <c r="HL587"/>
  <c r="HM587"/>
  <c r="HN587"/>
  <c r="HO587"/>
  <c r="HP587"/>
  <c r="HQ587"/>
  <c r="HR587"/>
  <c r="HS587"/>
  <c r="HT587"/>
  <c r="HU587"/>
  <c r="HV587"/>
  <c r="HW587"/>
  <c r="HX587"/>
  <c r="HY587"/>
  <c r="HZ587"/>
  <c r="IA587"/>
  <c r="IB587"/>
  <c r="IC587"/>
  <c r="ID587"/>
  <c r="IE587"/>
  <c r="IF587"/>
  <c r="IG587"/>
  <c r="IH587"/>
  <c r="II587"/>
  <c r="IJ587"/>
  <c r="IK587"/>
  <c r="IL587"/>
  <c r="IM587"/>
  <c r="IN587"/>
  <c r="IO587"/>
  <c r="IP587"/>
  <c r="IQ587"/>
  <c r="IR587"/>
  <c r="IS587"/>
  <c r="IT587"/>
  <c r="IU587"/>
  <c r="IV587"/>
  <c r="A588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Z588"/>
  <c r="AA588"/>
  <c r="AB588"/>
  <c r="AC588"/>
  <c r="AD588"/>
  <c r="AE588"/>
  <c r="AF588"/>
  <c r="AG588"/>
  <c r="AH588"/>
  <c r="AI588"/>
  <c r="AJ588"/>
  <c r="AK588"/>
  <c r="AL588"/>
  <c r="AM588"/>
  <c r="AN588"/>
  <c r="AO588"/>
  <c r="AP588"/>
  <c r="AQ588"/>
  <c r="AR588"/>
  <c r="AS588"/>
  <c r="AT588"/>
  <c r="AU588"/>
  <c r="AV588"/>
  <c r="AW588"/>
  <c r="AX588"/>
  <c r="AY588"/>
  <c r="AZ588"/>
  <c r="BA588"/>
  <c r="BB588"/>
  <c r="BC588"/>
  <c r="BD588"/>
  <c r="BE588"/>
  <c r="BF588"/>
  <c r="BG588"/>
  <c r="BH588"/>
  <c r="BI588"/>
  <c r="BJ588"/>
  <c r="BK588"/>
  <c r="BL588"/>
  <c r="BM588"/>
  <c r="BN588"/>
  <c r="BO588"/>
  <c r="BP588"/>
  <c r="BQ588"/>
  <c r="BR588"/>
  <c r="BS588"/>
  <c r="BT588"/>
  <c r="BU588"/>
  <c r="BV588"/>
  <c r="BW588"/>
  <c r="BX588"/>
  <c r="BY588"/>
  <c r="BZ588"/>
  <c r="CA588"/>
  <c r="CB588"/>
  <c r="CC588"/>
  <c r="CD588"/>
  <c r="CE588"/>
  <c r="CF588"/>
  <c r="CG588"/>
  <c r="CH588"/>
  <c r="CI588"/>
  <c r="CJ588"/>
  <c r="CK588"/>
  <c r="CL588"/>
  <c r="CM588"/>
  <c r="CN588"/>
  <c r="CO588"/>
  <c r="CP588"/>
  <c r="CQ588"/>
  <c r="CR588"/>
  <c r="CS588"/>
  <c r="CT588"/>
  <c r="CU588"/>
  <c r="CV588"/>
  <c r="CW588"/>
  <c r="CX588"/>
  <c r="CY588"/>
  <c r="CZ588"/>
  <c r="DA588"/>
  <c r="DB588"/>
  <c r="DC588"/>
  <c r="DD588"/>
  <c r="DE588"/>
  <c r="DF588"/>
  <c r="DG588"/>
  <c r="DH588"/>
  <c r="DI588"/>
  <c r="DJ588"/>
  <c r="DK588"/>
  <c r="DL588"/>
  <c r="DM588"/>
  <c r="DN588"/>
  <c r="DO588"/>
  <c r="DP588"/>
  <c r="DQ588"/>
  <c r="DR588"/>
  <c r="DS588"/>
  <c r="DT588"/>
  <c r="DU588"/>
  <c r="DV588"/>
  <c r="DW588"/>
  <c r="DX588"/>
  <c r="DY588"/>
  <c r="DZ588"/>
  <c r="EA588"/>
  <c r="EB588"/>
  <c r="EC588"/>
  <c r="ED588"/>
  <c r="EE588"/>
  <c r="EF588"/>
  <c r="EG588"/>
  <c r="EH588"/>
  <c r="EI588"/>
  <c r="EJ588"/>
  <c r="EK588"/>
  <c r="EL588"/>
  <c r="EM588"/>
  <c r="EN588"/>
  <c r="EO588"/>
  <c r="EP588"/>
  <c r="EQ588"/>
  <c r="ER588"/>
  <c r="ES588"/>
  <c r="ET588"/>
  <c r="EU588"/>
  <c r="EV588"/>
  <c r="EW588"/>
  <c r="EX588"/>
  <c r="EY588"/>
  <c r="EZ588"/>
  <c r="FA588"/>
  <c r="FB588"/>
  <c r="FC588"/>
  <c r="FD588"/>
  <c r="FE588"/>
  <c r="FF588"/>
  <c r="FG588"/>
  <c r="FH588"/>
  <c r="FI588"/>
  <c r="FJ588"/>
  <c r="FK588"/>
  <c r="FL588"/>
  <c r="FM588"/>
  <c r="FN588"/>
  <c r="FO588"/>
  <c r="FP588"/>
  <c r="FQ588"/>
  <c r="FR588"/>
  <c r="FS588"/>
  <c r="FT588"/>
  <c r="FU588"/>
  <c r="FV588"/>
  <c r="FW588"/>
  <c r="FX588"/>
  <c r="FY588"/>
  <c r="FZ588"/>
  <c r="GA588"/>
  <c r="GB588"/>
  <c r="GC588"/>
  <c r="GD588"/>
  <c r="GE588"/>
  <c r="GF588"/>
  <c r="GG588"/>
  <c r="GH588"/>
  <c r="GI588"/>
  <c r="GJ588"/>
  <c r="GK588"/>
  <c r="GL588"/>
  <c r="GM588"/>
  <c r="GN588"/>
  <c r="GO588"/>
  <c r="GP588"/>
  <c r="GQ588"/>
  <c r="GR588"/>
  <c r="GS588"/>
  <c r="GT588"/>
  <c r="GU588"/>
  <c r="GV588"/>
  <c r="GW588"/>
  <c r="GX588"/>
  <c r="GY588"/>
  <c r="GZ588"/>
  <c r="HA588"/>
  <c r="HB588"/>
  <c r="HC588"/>
  <c r="HD588"/>
  <c r="HE588"/>
  <c r="HF588"/>
  <c r="HG588"/>
  <c r="HH588"/>
  <c r="HI588"/>
  <c r="HJ588"/>
  <c r="HK588"/>
  <c r="HL588"/>
  <c r="HM588"/>
  <c r="HN588"/>
  <c r="HO588"/>
  <c r="HP588"/>
  <c r="HQ588"/>
  <c r="HR588"/>
  <c r="HS588"/>
  <c r="HT588"/>
  <c r="HU588"/>
  <c r="HV588"/>
  <c r="HW588"/>
  <c r="HX588"/>
  <c r="HY588"/>
  <c r="HZ588"/>
  <c r="IA588"/>
  <c r="IB588"/>
  <c r="IC588"/>
  <c r="ID588"/>
  <c r="IE588"/>
  <c r="IF588"/>
  <c r="IG588"/>
  <c r="IH588"/>
  <c r="II588"/>
  <c r="IJ588"/>
  <c r="IK588"/>
  <c r="IL588"/>
  <c r="IM588"/>
  <c r="IN588"/>
  <c r="IO588"/>
  <c r="IP588"/>
  <c r="IQ588"/>
  <c r="IR588"/>
  <c r="IS588"/>
  <c r="IT588"/>
  <c r="IU588"/>
  <c r="IV588"/>
  <c r="A589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Z589"/>
  <c r="AA589"/>
  <c r="AB589"/>
  <c r="AC589"/>
  <c r="AD589"/>
  <c r="AE589"/>
  <c r="AF589"/>
  <c r="AG589"/>
  <c r="AH589"/>
  <c r="AI589"/>
  <c r="AJ589"/>
  <c r="AK589"/>
  <c r="AL589"/>
  <c r="AM589"/>
  <c r="AN589"/>
  <c r="AO589"/>
  <c r="AP589"/>
  <c r="AQ589"/>
  <c r="AR589"/>
  <c r="AS589"/>
  <c r="AT589"/>
  <c r="AU589"/>
  <c r="AV589"/>
  <c r="AW589"/>
  <c r="AX589"/>
  <c r="AY589"/>
  <c r="AZ589"/>
  <c r="BA589"/>
  <c r="BB589"/>
  <c r="BC589"/>
  <c r="BD589"/>
  <c r="BE589"/>
  <c r="BF589"/>
  <c r="BG589"/>
  <c r="BH589"/>
  <c r="BI589"/>
  <c r="BJ589"/>
  <c r="BK589"/>
  <c r="BL589"/>
  <c r="BM589"/>
  <c r="BN589"/>
  <c r="BO589"/>
  <c r="BP589"/>
  <c r="BQ589"/>
  <c r="BR589"/>
  <c r="BS589"/>
  <c r="BT589"/>
  <c r="BU589"/>
  <c r="BV589"/>
  <c r="BW589"/>
  <c r="BX589"/>
  <c r="BY589"/>
  <c r="BZ589"/>
  <c r="CA589"/>
  <c r="CB589"/>
  <c r="CC589"/>
  <c r="CD589"/>
  <c r="CE589"/>
  <c r="CF589"/>
  <c r="CG589"/>
  <c r="CH589"/>
  <c r="CI589"/>
  <c r="CJ589"/>
  <c r="CK589"/>
  <c r="CL589"/>
  <c r="CM589"/>
  <c r="CN589"/>
  <c r="CO589"/>
  <c r="CP589"/>
  <c r="CQ589"/>
  <c r="CR589"/>
  <c r="CS589"/>
  <c r="CT589"/>
  <c r="CU589"/>
  <c r="CV589"/>
  <c r="CW589"/>
  <c r="CX589"/>
  <c r="CY589"/>
  <c r="CZ589"/>
  <c r="DA589"/>
  <c r="DB589"/>
  <c r="DC589"/>
  <c r="DD589"/>
  <c r="DE589"/>
  <c r="DF589"/>
  <c r="DG589"/>
  <c r="DH589"/>
  <c r="DI589"/>
  <c r="DJ589"/>
  <c r="DK589"/>
  <c r="DL589"/>
  <c r="DM589"/>
  <c r="DN589"/>
  <c r="DO589"/>
  <c r="DP589"/>
  <c r="DQ589"/>
  <c r="DR589"/>
  <c r="DS589"/>
  <c r="DT589"/>
  <c r="DU589"/>
  <c r="DV589"/>
  <c r="DW589"/>
  <c r="DX589"/>
  <c r="DY589"/>
  <c r="DZ589"/>
  <c r="EA589"/>
  <c r="EB589"/>
  <c r="EC589"/>
  <c r="ED589"/>
  <c r="EE589"/>
  <c r="EF589"/>
  <c r="EG589"/>
  <c r="EH589"/>
  <c r="EI589"/>
  <c r="EJ589"/>
  <c r="EK589"/>
  <c r="EL589"/>
  <c r="EM589"/>
  <c r="EN589"/>
  <c r="EO589"/>
  <c r="EP589"/>
  <c r="EQ589"/>
  <c r="ER589"/>
  <c r="ES589"/>
  <c r="ET589"/>
  <c r="EU589"/>
  <c r="EV589"/>
  <c r="EW589"/>
  <c r="EX589"/>
  <c r="EY589"/>
  <c r="EZ589"/>
  <c r="FA589"/>
  <c r="FB589"/>
  <c r="FC589"/>
  <c r="FD589"/>
  <c r="FE589"/>
  <c r="FF589"/>
  <c r="FG589"/>
  <c r="FH589"/>
  <c r="FI589"/>
  <c r="FJ589"/>
  <c r="FK589"/>
  <c r="FL589"/>
  <c r="FM589"/>
  <c r="FN589"/>
  <c r="FO589"/>
  <c r="FP589"/>
  <c r="FQ589"/>
  <c r="FR589"/>
  <c r="FS589"/>
  <c r="FT589"/>
  <c r="FU589"/>
  <c r="FV589"/>
  <c r="FW589"/>
  <c r="FX589"/>
  <c r="FY589"/>
  <c r="FZ589"/>
  <c r="GA589"/>
  <c r="GB589"/>
  <c r="GC589"/>
  <c r="GD589"/>
  <c r="GE589"/>
  <c r="GF589"/>
  <c r="GG589"/>
  <c r="GH589"/>
  <c r="GI589"/>
  <c r="GJ589"/>
  <c r="GK589"/>
  <c r="GL589"/>
  <c r="GM589"/>
  <c r="GN589"/>
  <c r="GO589"/>
  <c r="GP589"/>
  <c r="GQ589"/>
  <c r="GR589"/>
  <c r="GS589"/>
  <c r="GT589"/>
  <c r="GU589"/>
  <c r="GV589"/>
  <c r="GW589"/>
  <c r="GX589"/>
  <c r="GY589"/>
  <c r="GZ589"/>
  <c r="HA589"/>
  <c r="HB589"/>
  <c r="HC589"/>
  <c r="HD589"/>
  <c r="HE589"/>
  <c r="HF589"/>
  <c r="HG589"/>
  <c r="HH589"/>
  <c r="HI589"/>
  <c r="HJ589"/>
  <c r="HK589"/>
  <c r="HL589"/>
  <c r="HM589"/>
  <c r="HN589"/>
  <c r="HO589"/>
  <c r="HP589"/>
  <c r="HQ589"/>
  <c r="HR589"/>
  <c r="HS589"/>
  <c r="HT589"/>
  <c r="HU589"/>
  <c r="HV589"/>
  <c r="HW589"/>
  <c r="HX589"/>
  <c r="HY589"/>
  <c r="HZ589"/>
  <c r="IA589"/>
  <c r="IB589"/>
  <c r="IC589"/>
  <c r="ID589"/>
  <c r="IE589"/>
  <c r="IF589"/>
  <c r="IG589"/>
  <c r="IH589"/>
  <c r="II589"/>
  <c r="IJ589"/>
  <c r="IK589"/>
  <c r="IL589"/>
  <c r="IM589"/>
  <c r="IN589"/>
  <c r="IO589"/>
  <c r="IP589"/>
  <c r="IQ589"/>
  <c r="IR589"/>
  <c r="IS589"/>
  <c r="IT589"/>
  <c r="IU589"/>
  <c r="IV589"/>
  <c r="A590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Z590"/>
  <c r="AA590"/>
  <c r="AB590"/>
  <c r="AC590"/>
  <c r="AD590"/>
  <c r="AE590"/>
  <c r="AF590"/>
  <c r="AG590"/>
  <c r="AH590"/>
  <c r="AI590"/>
  <c r="AJ590"/>
  <c r="AK590"/>
  <c r="AL590"/>
  <c r="AM590"/>
  <c r="AN590"/>
  <c r="AO590"/>
  <c r="AP590"/>
  <c r="AQ590"/>
  <c r="AR590"/>
  <c r="AS590"/>
  <c r="AT590"/>
  <c r="AU590"/>
  <c r="AV590"/>
  <c r="AW590"/>
  <c r="AX590"/>
  <c r="AY590"/>
  <c r="AZ590"/>
  <c r="BA590"/>
  <c r="BB590"/>
  <c r="BC590"/>
  <c r="BD590"/>
  <c r="BE590"/>
  <c r="BF590"/>
  <c r="BG590"/>
  <c r="BH590"/>
  <c r="BI590"/>
  <c r="BJ590"/>
  <c r="BK590"/>
  <c r="BL590"/>
  <c r="BM590"/>
  <c r="BN590"/>
  <c r="BO590"/>
  <c r="BP590"/>
  <c r="BQ590"/>
  <c r="BR590"/>
  <c r="BS590"/>
  <c r="BT590"/>
  <c r="BU590"/>
  <c r="BV590"/>
  <c r="BW590"/>
  <c r="BX590"/>
  <c r="BY590"/>
  <c r="BZ590"/>
  <c r="CA590"/>
  <c r="CB590"/>
  <c r="CC590"/>
  <c r="CD590"/>
  <c r="CE590"/>
  <c r="CF590"/>
  <c r="CG590"/>
  <c r="CH590"/>
  <c r="CI590"/>
  <c r="CJ590"/>
  <c r="CK590"/>
  <c r="CL590"/>
  <c r="CM590"/>
  <c r="CN590"/>
  <c r="CO590"/>
  <c r="CP590"/>
  <c r="CQ590"/>
  <c r="CR590"/>
  <c r="CS590"/>
  <c r="CT590"/>
  <c r="CU590"/>
  <c r="CV590"/>
  <c r="CW590"/>
  <c r="CX590"/>
  <c r="CY590"/>
  <c r="CZ590"/>
  <c r="DA590"/>
  <c r="DB590"/>
  <c r="DC590"/>
  <c r="DD590"/>
  <c r="DE590"/>
  <c r="DF590"/>
  <c r="DG590"/>
  <c r="DH590"/>
  <c r="DI590"/>
  <c r="DJ590"/>
  <c r="DK590"/>
  <c r="DL590"/>
  <c r="DM590"/>
  <c r="DN590"/>
  <c r="DO590"/>
  <c r="DP590"/>
  <c r="DQ590"/>
  <c r="DR590"/>
  <c r="DS590"/>
  <c r="DT590"/>
  <c r="DU590"/>
  <c r="DV590"/>
  <c r="DW590"/>
  <c r="DX590"/>
  <c r="DY590"/>
  <c r="DZ590"/>
  <c r="EA590"/>
  <c r="EB590"/>
  <c r="EC590"/>
  <c r="ED590"/>
  <c r="EE590"/>
  <c r="EF590"/>
  <c r="EG590"/>
  <c r="EH590"/>
  <c r="EI590"/>
  <c r="EJ590"/>
  <c r="EK590"/>
  <c r="EL590"/>
  <c r="EM590"/>
  <c r="EN590"/>
  <c r="EO590"/>
  <c r="EP590"/>
  <c r="EQ590"/>
  <c r="ER590"/>
  <c r="ES590"/>
  <c r="ET590"/>
  <c r="EU590"/>
  <c r="EV590"/>
  <c r="EW590"/>
  <c r="EX590"/>
  <c r="EY590"/>
  <c r="EZ590"/>
  <c r="FA590"/>
  <c r="FB590"/>
  <c r="FC590"/>
  <c r="FD590"/>
  <c r="FE590"/>
  <c r="FF590"/>
  <c r="FG590"/>
  <c r="FH590"/>
  <c r="FI590"/>
  <c r="FJ590"/>
  <c r="FK590"/>
  <c r="FL590"/>
  <c r="FM590"/>
  <c r="FN590"/>
  <c r="FO590"/>
  <c r="FP590"/>
  <c r="FQ590"/>
  <c r="FR590"/>
  <c r="FS590"/>
  <c r="FT590"/>
  <c r="FU590"/>
  <c r="FV590"/>
  <c r="FW590"/>
  <c r="FX590"/>
  <c r="FY590"/>
  <c r="FZ590"/>
  <c r="GA590"/>
  <c r="GB590"/>
  <c r="GC590"/>
  <c r="GD590"/>
  <c r="GE590"/>
  <c r="GF590"/>
  <c r="GG590"/>
  <c r="GH590"/>
  <c r="GI590"/>
  <c r="GJ590"/>
  <c r="GK590"/>
  <c r="GL590"/>
  <c r="GM590"/>
  <c r="GN590"/>
  <c r="GO590"/>
  <c r="GP590"/>
  <c r="GQ590"/>
  <c r="GR590"/>
  <c r="GS590"/>
  <c r="GT590"/>
  <c r="GU590"/>
  <c r="GV590"/>
  <c r="GW590"/>
  <c r="GX590"/>
  <c r="GY590"/>
  <c r="GZ590"/>
  <c r="HA590"/>
  <c r="HB590"/>
  <c r="HC590"/>
  <c r="HD590"/>
  <c r="HE590"/>
  <c r="HF590"/>
  <c r="HG590"/>
  <c r="HH590"/>
  <c r="HI590"/>
  <c r="HJ590"/>
  <c r="HK590"/>
  <c r="HL590"/>
  <c r="HM590"/>
  <c r="HN590"/>
  <c r="HO590"/>
  <c r="HP590"/>
  <c r="HQ590"/>
  <c r="HR590"/>
  <c r="HS590"/>
  <c r="HT590"/>
  <c r="HU590"/>
  <c r="HV590"/>
  <c r="HW590"/>
  <c r="HX590"/>
  <c r="HY590"/>
  <c r="HZ590"/>
  <c r="IA590"/>
  <c r="IB590"/>
  <c r="IC590"/>
  <c r="ID590"/>
  <c r="IE590"/>
  <c r="IF590"/>
  <c r="IG590"/>
  <c r="IH590"/>
  <c r="II590"/>
  <c r="IJ590"/>
  <c r="IK590"/>
  <c r="IL590"/>
  <c r="IM590"/>
  <c r="IN590"/>
  <c r="IO590"/>
  <c r="IP590"/>
  <c r="IQ590"/>
  <c r="IR590"/>
  <c r="IS590"/>
  <c r="IT590"/>
  <c r="IU590"/>
  <c r="IV590"/>
  <c r="A591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Z591"/>
  <c r="AA591"/>
  <c r="AB591"/>
  <c r="AC591"/>
  <c r="AD591"/>
  <c r="AE591"/>
  <c r="AF591"/>
  <c r="AG591"/>
  <c r="AH591"/>
  <c r="AI591"/>
  <c r="AJ591"/>
  <c r="AK591"/>
  <c r="AL591"/>
  <c r="AM591"/>
  <c r="AN591"/>
  <c r="AO591"/>
  <c r="AP591"/>
  <c r="AQ591"/>
  <c r="AR591"/>
  <c r="AS591"/>
  <c r="AT591"/>
  <c r="AU591"/>
  <c r="AV591"/>
  <c r="AW591"/>
  <c r="AX591"/>
  <c r="AY591"/>
  <c r="AZ591"/>
  <c r="BA591"/>
  <c r="BB591"/>
  <c r="BC591"/>
  <c r="BD591"/>
  <c r="BE591"/>
  <c r="BF591"/>
  <c r="BG591"/>
  <c r="BH591"/>
  <c r="BI591"/>
  <c r="BJ591"/>
  <c r="BK591"/>
  <c r="BL591"/>
  <c r="BM591"/>
  <c r="BN591"/>
  <c r="BO591"/>
  <c r="BP591"/>
  <c r="BQ591"/>
  <c r="BR591"/>
  <c r="BS591"/>
  <c r="BT591"/>
  <c r="BU591"/>
  <c r="BV591"/>
  <c r="BW591"/>
  <c r="BX591"/>
  <c r="BY591"/>
  <c r="BZ591"/>
  <c r="CA591"/>
  <c r="CB591"/>
  <c r="CC591"/>
  <c r="CD591"/>
  <c r="CE591"/>
  <c r="CF591"/>
  <c r="CG591"/>
  <c r="CH591"/>
  <c r="CI591"/>
  <c r="CJ591"/>
  <c r="CK591"/>
  <c r="CL591"/>
  <c r="CM591"/>
  <c r="CN591"/>
  <c r="CO591"/>
  <c r="CP591"/>
  <c r="CQ591"/>
  <c r="CR591"/>
  <c r="CS591"/>
  <c r="CT591"/>
  <c r="CU591"/>
  <c r="CV591"/>
  <c r="CW591"/>
  <c r="CX591"/>
  <c r="CY591"/>
  <c r="CZ591"/>
  <c r="DA591"/>
  <c r="DB591"/>
  <c r="DC591"/>
  <c r="DD591"/>
  <c r="DE591"/>
  <c r="DF591"/>
  <c r="DG591"/>
  <c r="DH591"/>
  <c r="DI591"/>
  <c r="DJ591"/>
  <c r="DK591"/>
  <c r="DL591"/>
  <c r="DM591"/>
  <c r="DN591"/>
  <c r="DO591"/>
  <c r="DP591"/>
  <c r="DQ591"/>
  <c r="DR591"/>
  <c r="DS591"/>
  <c r="DT591"/>
  <c r="DU591"/>
  <c r="DV591"/>
  <c r="DW591"/>
  <c r="DX591"/>
  <c r="DY591"/>
  <c r="DZ591"/>
  <c r="EA591"/>
  <c r="EB591"/>
  <c r="EC591"/>
  <c r="ED591"/>
  <c r="EE591"/>
  <c r="EF591"/>
  <c r="EG591"/>
  <c r="EH591"/>
  <c r="EI591"/>
  <c r="EJ591"/>
  <c r="EK591"/>
  <c r="EL591"/>
  <c r="EM591"/>
  <c r="EN591"/>
  <c r="EO591"/>
  <c r="EP591"/>
  <c r="EQ591"/>
  <c r="ER591"/>
  <c r="ES591"/>
  <c r="ET591"/>
  <c r="EU591"/>
  <c r="EV591"/>
  <c r="EW591"/>
  <c r="EX591"/>
  <c r="EY591"/>
  <c r="EZ591"/>
  <c r="FA591"/>
  <c r="FB591"/>
  <c r="FC591"/>
  <c r="FD591"/>
  <c r="FE591"/>
  <c r="FF591"/>
  <c r="FG591"/>
  <c r="FH591"/>
  <c r="FI591"/>
  <c r="FJ591"/>
  <c r="FK591"/>
  <c r="FL591"/>
  <c r="FM591"/>
  <c r="FN591"/>
  <c r="FO591"/>
  <c r="FP591"/>
  <c r="FQ591"/>
  <c r="FR591"/>
  <c r="FS591"/>
  <c r="FT591"/>
  <c r="FU591"/>
  <c r="FV591"/>
  <c r="FW591"/>
  <c r="FX591"/>
  <c r="FY591"/>
  <c r="FZ591"/>
  <c r="GA591"/>
  <c r="GB591"/>
  <c r="GC591"/>
  <c r="GD591"/>
  <c r="GE591"/>
  <c r="GF591"/>
  <c r="GG591"/>
  <c r="GH591"/>
  <c r="GI591"/>
  <c r="GJ591"/>
  <c r="GK591"/>
  <c r="GL591"/>
  <c r="GM591"/>
  <c r="GN591"/>
  <c r="GO591"/>
  <c r="GP591"/>
  <c r="GQ591"/>
  <c r="GR591"/>
  <c r="GS591"/>
  <c r="GT591"/>
  <c r="GU591"/>
  <c r="GV591"/>
  <c r="GW591"/>
  <c r="GX591"/>
  <c r="GY591"/>
  <c r="GZ591"/>
  <c r="HA591"/>
  <c r="HB591"/>
  <c r="HC591"/>
  <c r="HD591"/>
  <c r="HE591"/>
  <c r="HF591"/>
  <c r="HG591"/>
  <c r="HH591"/>
  <c r="HI591"/>
  <c r="HJ591"/>
  <c r="HK591"/>
  <c r="HL591"/>
  <c r="HM591"/>
  <c r="HN591"/>
  <c r="HO591"/>
  <c r="HP591"/>
  <c r="HQ591"/>
  <c r="HR591"/>
  <c r="HS591"/>
  <c r="HT591"/>
  <c r="HU591"/>
  <c r="HV591"/>
  <c r="HW591"/>
  <c r="HX591"/>
  <c r="HY591"/>
  <c r="HZ591"/>
  <c r="IA591"/>
  <c r="IB591"/>
  <c r="IC591"/>
  <c r="ID591"/>
  <c r="IE591"/>
  <c r="IF591"/>
  <c r="IG591"/>
  <c r="IH591"/>
  <c r="II591"/>
  <c r="IJ591"/>
  <c r="IK591"/>
  <c r="IL591"/>
  <c r="IM591"/>
  <c r="IN591"/>
  <c r="IO591"/>
  <c r="IP591"/>
  <c r="IQ591"/>
  <c r="IR591"/>
  <c r="IS591"/>
  <c r="IT591"/>
  <c r="IU591"/>
  <c r="IV591"/>
  <c r="A592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Z592"/>
  <c r="AA592"/>
  <c r="AB592"/>
  <c r="AC592"/>
  <c r="AD592"/>
  <c r="AE592"/>
  <c r="AF592"/>
  <c r="AG592"/>
  <c r="AH592"/>
  <c r="AI592"/>
  <c r="AJ592"/>
  <c r="AK592"/>
  <c r="AL592"/>
  <c r="AM592"/>
  <c r="AN592"/>
  <c r="AO592"/>
  <c r="AP592"/>
  <c r="AQ592"/>
  <c r="AR592"/>
  <c r="AS592"/>
  <c r="AT592"/>
  <c r="AU592"/>
  <c r="AV592"/>
  <c r="AW592"/>
  <c r="AX592"/>
  <c r="AY592"/>
  <c r="AZ592"/>
  <c r="BA592"/>
  <c r="BB592"/>
  <c r="BC592"/>
  <c r="BD592"/>
  <c r="BE592"/>
  <c r="BF592"/>
  <c r="BG592"/>
  <c r="BH592"/>
  <c r="BI592"/>
  <c r="BJ592"/>
  <c r="BK592"/>
  <c r="BL592"/>
  <c r="BM592"/>
  <c r="BN592"/>
  <c r="BO592"/>
  <c r="BP592"/>
  <c r="BQ592"/>
  <c r="BR592"/>
  <c r="BS592"/>
  <c r="BT592"/>
  <c r="BU592"/>
  <c r="BV592"/>
  <c r="BW592"/>
  <c r="BX592"/>
  <c r="BY592"/>
  <c r="BZ592"/>
  <c r="CA592"/>
  <c r="CB592"/>
  <c r="CC592"/>
  <c r="CD592"/>
  <c r="CE592"/>
  <c r="CF592"/>
  <c r="CG592"/>
  <c r="CH592"/>
  <c r="CI592"/>
  <c r="CJ592"/>
  <c r="CK592"/>
  <c r="CL592"/>
  <c r="CM592"/>
  <c r="CN592"/>
  <c r="CO592"/>
  <c r="CP592"/>
  <c r="CQ592"/>
  <c r="CR592"/>
  <c r="CS592"/>
  <c r="CT592"/>
  <c r="CU592"/>
  <c r="CV592"/>
  <c r="CW592"/>
  <c r="CX592"/>
  <c r="CY592"/>
  <c r="CZ592"/>
  <c r="DA592"/>
  <c r="DB592"/>
  <c r="DC592"/>
  <c r="DD592"/>
  <c r="DE592"/>
  <c r="DF592"/>
  <c r="DG592"/>
  <c r="DH592"/>
  <c r="DI592"/>
  <c r="DJ592"/>
  <c r="DK592"/>
  <c r="DL592"/>
  <c r="DM592"/>
  <c r="DN592"/>
  <c r="DO592"/>
  <c r="DP592"/>
  <c r="DQ592"/>
  <c r="DR592"/>
  <c r="DS592"/>
  <c r="DT592"/>
  <c r="DU592"/>
  <c r="DV592"/>
  <c r="DW592"/>
  <c r="DX592"/>
  <c r="DY592"/>
  <c r="DZ592"/>
  <c r="EA592"/>
  <c r="EB592"/>
  <c r="EC592"/>
  <c r="ED592"/>
  <c r="EE592"/>
  <c r="EF592"/>
  <c r="EG592"/>
  <c r="EH592"/>
  <c r="EI592"/>
  <c r="EJ592"/>
  <c r="EK592"/>
  <c r="EL592"/>
  <c r="EM592"/>
  <c r="EN592"/>
  <c r="EO592"/>
  <c r="EP592"/>
  <c r="EQ592"/>
  <c r="ER592"/>
  <c r="ES592"/>
  <c r="ET592"/>
  <c r="EU592"/>
  <c r="EV592"/>
  <c r="EW592"/>
  <c r="EX592"/>
  <c r="EY592"/>
  <c r="EZ592"/>
  <c r="FA592"/>
  <c r="FB592"/>
  <c r="FC592"/>
  <c r="FD592"/>
  <c r="FE592"/>
  <c r="FF592"/>
  <c r="FG592"/>
  <c r="FH592"/>
  <c r="FI592"/>
  <c r="FJ592"/>
  <c r="FK592"/>
  <c r="FL592"/>
  <c r="FM592"/>
  <c r="FN592"/>
  <c r="FO592"/>
  <c r="FP592"/>
  <c r="FQ592"/>
  <c r="FR592"/>
  <c r="FS592"/>
  <c r="FT592"/>
  <c r="FU592"/>
  <c r="FV592"/>
  <c r="FW592"/>
  <c r="FX592"/>
  <c r="FY592"/>
  <c r="FZ592"/>
  <c r="GA592"/>
  <c r="GB592"/>
  <c r="GC592"/>
  <c r="GD592"/>
  <c r="GE592"/>
  <c r="GF592"/>
  <c r="GG592"/>
  <c r="GH592"/>
  <c r="GI592"/>
  <c r="GJ592"/>
  <c r="GK592"/>
  <c r="GL592"/>
  <c r="GM592"/>
  <c r="GN592"/>
  <c r="GO592"/>
  <c r="GP592"/>
  <c r="GQ592"/>
  <c r="GR592"/>
  <c r="GS592"/>
  <c r="GT592"/>
  <c r="GU592"/>
  <c r="GV592"/>
  <c r="GW592"/>
  <c r="GX592"/>
  <c r="GY592"/>
  <c r="GZ592"/>
  <c r="HA592"/>
  <c r="HB592"/>
  <c r="HC592"/>
  <c r="HD592"/>
  <c r="HE592"/>
  <c r="HF592"/>
  <c r="HG592"/>
  <c r="HH592"/>
  <c r="HI592"/>
  <c r="HJ592"/>
  <c r="HK592"/>
  <c r="HL592"/>
  <c r="HM592"/>
  <c r="HN592"/>
  <c r="HO592"/>
  <c r="HP592"/>
  <c r="HQ592"/>
  <c r="HR592"/>
  <c r="HS592"/>
  <c r="HT592"/>
  <c r="HU592"/>
  <c r="HV592"/>
  <c r="HW592"/>
  <c r="HX592"/>
  <c r="HY592"/>
  <c r="HZ592"/>
  <c r="IA592"/>
  <c r="IC592"/>
  <c r="ID592"/>
  <c r="IE592"/>
  <c r="IF592"/>
  <c r="IG592"/>
  <c r="IH592"/>
  <c r="II592"/>
  <c r="IJ592"/>
  <c r="IK592"/>
  <c r="IL592"/>
  <c r="IM592"/>
  <c r="IN592"/>
  <c r="IO592"/>
  <c r="IP592"/>
  <c r="IQ592"/>
  <c r="IR592"/>
  <c r="IS592"/>
  <c r="IT592"/>
  <c r="IU592"/>
  <c r="IV592"/>
  <c r="A593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Z593"/>
  <c r="AA593"/>
  <c r="AB593"/>
  <c r="AC593"/>
  <c r="AD593"/>
  <c r="AE593"/>
  <c r="AF593"/>
  <c r="AG593"/>
  <c r="AH593"/>
  <c r="AI593"/>
  <c r="AJ593"/>
  <c r="AK593"/>
  <c r="AL593"/>
  <c r="AM593"/>
  <c r="AN593"/>
  <c r="AO593"/>
  <c r="AP593"/>
  <c r="AQ593"/>
  <c r="AR593"/>
  <c r="AS593"/>
  <c r="AT593"/>
  <c r="AU593"/>
  <c r="AV593"/>
  <c r="AW593"/>
  <c r="AX593"/>
  <c r="AY593"/>
  <c r="AZ593"/>
  <c r="BA593"/>
  <c r="BB593"/>
  <c r="BC593"/>
  <c r="BD593"/>
  <c r="BE593"/>
  <c r="BF593"/>
  <c r="BG593"/>
  <c r="BH593"/>
  <c r="BI593"/>
  <c r="BJ593"/>
  <c r="BK593"/>
  <c r="BL593"/>
  <c r="BM593"/>
  <c r="BN593"/>
  <c r="BO593"/>
  <c r="BP593"/>
  <c r="BQ593"/>
  <c r="BR593"/>
  <c r="BS593"/>
  <c r="BT593"/>
  <c r="BU593"/>
  <c r="BV593"/>
  <c r="BW593"/>
  <c r="BX593"/>
  <c r="BY593"/>
  <c r="BZ593"/>
  <c r="CA593"/>
  <c r="CB593"/>
  <c r="CC593"/>
  <c r="CD593"/>
  <c r="CE593"/>
  <c r="CF593"/>
  <c r="CG593"/>
  <c r="CH593"/>
  <c r="CI593"/>
  <c r="CJ593"/>
  <c r="CK593"/>
  <c r="CL593"/>
  <c r="CM593"/>
  <c r="CN593"/>
  <c r="CO593"/>
  <c r="CP593"/>
  <c r="CQ593"/>
  <c r="CR593"/>
  <c r="CS593"/>
  <c r="CT593"/>
  <c r="CU593"/>
  <c r="CV593"/>
  <c r="CW593"/>
  <c r="CX593"/>
  <c r="CY593"/>
  <c r="CZ593"/>
  <c r="DA593"/>
  <c r="DB593"/>
  <c r="DC593"/>
  <c r="DD593"/>
  <c r="DE593"/>
  <c r="DF593"/>
  <c r="DG593"/>
  <c r="DH593"/>
  <c r="DI593"/>
  <c r="DJ593"/>
  <c r="DK593"/>
  <c r="DL593"/>
  <c r="DM593"/>
  <c r="DN593"/>
  <c r="DO593"/>
  <c r="DP593"/>
  <c r="DQ593"/>
  <c r="DR593"/>
  <c r="DS593"/>
  <c r="DT593"/>
  <c r="DU593"/>
  <c r="DV593"/>
  <c r="DW593"/>
  <c r="DX593"/>
  <c r="DY593"/>
  <c r="DZ593"/>
  <c r="EA593"/>
  <c r="EB593"/>
  <c r="EC593"/>
  <c r="ED593"/>
  <c r="EE593"/>
  <c r="EF593"/>
  <c r="EG593"/>
  <c r="EH593"/>
  <c r="EI593"/>
  <c r="EJ593"/>
  <c r="EK593"/>
  <c r="EL593"/>
  <c r="EM593"/>
  <c r="EN593"/>
  <c r="EO593"/>
  <c r="EP593"/>
  <c r="EQ593"/>
  <c r="ER593"/>
  <c r="ES593"/>
  <c r="ET593"/>
  <c r="EU593"/>
  <c r="EV593"/>
  <c r="EW593"/>
  <c r="EX593"/>
  <c r="EY593"/>
  <c r="EZ593"/>
  <c r="FA593"/>
  <c r="FB593"/>
  <c r="FC593"/>
  <c r="FD593"/>
  <c r="FE593"/>
  <c r="FF593"/>
  <c r="FG593"/>
  <c r="FH593"/>
  <c r="FI593"/>
  <c r="FJ593"/>
  <c r="FK593"/>
  <c r="FL593"/>
  <c r="FM593"/>
  <c r="FN593"/>
  <c r="FO593"/>
  <c r="FP593"/>
  <c r="FQ593"/>
  <c r="FR593"/>
  <c r="FS593"/>
  <c r="FT593"/>
  <c r="FU593"/>
  <c r="FV593"/>
  <c r="FW593"/>
  <c r="FX593"/>
  <c r="FY593"/>
  <c r="FZ593"/>
  <c r="GA593"/>
  <c r="GB593"/>
  <c r="GC593"/>
  <c r="GD593"/>
  <c r="GE593"/>
  <c r="GF593"/>
  <c r="GG593"/>
  <c r="GH593"/>
  <c r="GI593"/>
  <c r="GJ593"/>
  <c r="GK593"/>
  <c r="GL593"/>
  <c r="GM593"/>
  <c r="GN593"/>
  <c r="GO593"/>
  <c r="GP593"/>
  <c r="GQ593"/>
  <c r="GR593"/>
  <c r="GS593"/>
  <c r="GT593"/>
  <c r="GU593"/>
  <c r="GV593"/>
  <c r="GW593"/>
  <c r="GX593"/>
  <c r="GY593"/>
  <c r="GZ593"/>
  <c r="HA593"/>
  <c r="HB593"/>
  <c r="HC593"/>
  <c r="HD593"/>
  <c r="HE593"/>
  <c r="HF593"/>
  <c r="HG593"/>
  <c r="HH593"/>
  <c r="HI593"/>
  <c r="HJ593"/>
  <c r="HK593"/>
  <c r="HL593"/>
  <c r="HM593"/>
  <c r="HN593"/>
  <c r="HO593"/>
  <c r="HP593"/>
  <c r="HQ593"/>
  <c r="HR593"/>
  <c r="HS593"/>
  <c r="HT593"/>
  <c r="HU593"/>
  <c r="HV593"/>
  <c r="HW593"/>
  <c r="HX593"/>
  <c r="HY593"/>
  <c r="HZ593"/>
  <c r="IA593"/>
  <c r="IB593"/>
  <c r="IC593"/>
  <c r="ID593"/>
  <c r="IE593"/>
  <c r="IF593"/>
  <c r="IG593"/>
  <c r="IH593"/>
  <c r="II593"/>
  <c r="IJ593"/>
  <c r="IK593"/>
  <c r="IL593"/>
  <c r="IM593"/>
  <c r="IN593"/>
  <c r="IO593"/>
  <c r="IP593"/>
  <c r="IQ593"/>
  <c r="IR593"/>
  <c r="IS593"/>
  <c r="IT593"/>
  <c r="IU593"/>
  <c r="IV593"/>
  <c r="A594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Z594"/>
  <c r="AA594"/>
  <c r="AB594"/>
  <c r="AC594"/>
  <c r="AD594"/>
  <c r="AE594"/>
  <c r="AF594"/>
  <c r="AG594"/>
  <c r="AH594"/>
  <c r="AI594"/>
  <c r="AJ594"/>
  <c r="AK594"/>
  <c r="AL594"/>
  <c r="AM594"/>
  <c r="AN594"/>
  <c r="AO594"/>
  <c r="AP594"/>
  <c r="AQ594"/>
  <c r="AR594"/>
  <c r="AS594"/>
  <c r="AT594"/>
  <c r="AU594"/>
  <c r="AV594"/>
  <c r="AW594"/>
  <c r="AX594"/>
  <c r="AY594"/>
  <c r="AZ594"/>
  <c r="BA594"/>
  <c r="BB594"/>
  <c r="BC594"/>
  <c r="BD594"/>
  <c r="BE594"/>
  <c r="BF594"/>
  <c r="BG594"/>
  <c r="BH594"/>
  <c r="BI594"/>
  <c r="BJ594"/>
  <c r="BK594"/>
  <c r="BL594"/>
  <c r="BM594"/>
  <c r="BN594"/>
  <c r="BO594"/>
  <c r="BP594"/>
  <c r="BQ594"/>
  <c r="BR594"/>
  <c r="BS594"/>
  <c r="BT594"/>
  <c r="BU594"/>
  <c r="BV594"/>
  <c r="BW594"/>
  <c r="BX594"/>
  <c r="BY594"/>
  <c r="BZ594"/>
  <c r="CA594"/>
  <c r="CB594"/>
  <c r="CC594"/>
  <c r="CD594"/>
  <c r="CE594"/>
  <c r="CF594"/>
  <c r="CG594"/>
  <c r="CH594"/>
  <c r="CI594"/>
  <c r="CJ594"/>
  <c r="CK594"/>
  <c r="CL594"/>
  <c r="CM594"/>
  <c r="CN594"/>
  <c r="CO594"/>
  <c r="CP594"/>
  <c r="CQ594"/>
  <c r="CR594"/>
  <c r="CS594"/>
  <c r="CT594"/>
  <c r="CU594"/>
  <c r="CV594"/>
  <c r="CW594"/>
  <c r="CX594"/>
  <c r="CY594"/>
  <c r="CZ594"/>
  <c r="DA594"/>
  <c r="DB594"/>
  <c r="DC594"/>
  <c r="DD594"/>
  <c r="DE594"/>
  <c r="DF594"/>
  <c r="DG594"/>
  <c r="DH594"/>
  <c r="DI594"/>
  <c r="DJ594"/>
  <c r="DK594"/>
  <c r="DL594"/>
  <c r="DM594"/>
  <c r="DN594"/>
  <c r="DO594"/>
  <c r="DP594"/>
  <c r="DQ594"/>
  <c r="DR594"/>
  <c r="DS594"/>
  <c r="DT594"/>
  <c r="DU594"/>
  <c r="DV594"/>
  <c r="DW594"/>
  <c r="DX594"/>
  <c r="DY594"/>
  <c r="DZ594"/>
  <c r="EA594"/>
  <c r="EB594"/>
  <c r="EC594"/>
  <c r="ED594"/>
  <c r="EE594"/>
  <c r="EF594"/>
  <c r="EG594"/>
  <c r="EH594"/>
  <c r="EI594"/>
  <c r="EJ594"/>
  <c r="EK594"/>
  <c r="EL594"/>
  <c r="EM594"/>
  <c r="EN594"/>
  <c r="EO594"/>
  <c r="EP594"/>
  <c r="EQ594"/>
  <c r="ER594"/>
  <c r="ES594"/>
  <c r="ET594"/>
  <c r="EU594"/>
  <c r="EV594"/>
  <c r="EW594"/>
  <c r="EX594"/>
  <c r="EY594"/>
  <c r="EZ594"/>
  <c r="FA594"/>
  <c r="FB594"/>
  <c r="FC594"/>
  <c r="FD594"/>
  <c r="FE594"/>
  <c r="FF594"/>
  <c r="FG594"/>
  <c r="FH594"/>
  <c r="FI594"/>
  <c r="FJ594"/>
  <c r="FK594"/>
  <c r="FL594"/>
  <c r="FM594"/>
  <c r="FN594"/>
  <c r="FO594"/>
  <c r="FP594"/>
  <c r="FQ594"/>
  <c r="FR594"/>
  <c r="FS594"/>
  <c r="FT594"/>
  <c r="FU594"/>
  <c r="FV594"/>
  <c r="FW594"/>
  <c r="FX594"/>
  <c r="FY594"/>
  <c r="FZ594"/>
  <c r="GA594"/>
  <c r="GB594"/>
  <c r="GC594"/>
  <c r="GD594"/>
  <c r="GE594"/>
  <c r="GF594"/>
  <c r="GG594"/>
  <c r="GH594"/>
  <c r="GI594"/>
  <c r="GJ594"/>
  <c r="GK594"/>
  <c r="GL594"/>
  <c r="GM594"/>
  <c r="GN594"/>
  <c r="GO594"/>
  <c r="GP594"/>
  <c r="GQ594"/>
  <c r="GR594"/>
  <c r="GS594"/>
  <c r="GT594"/>
  <c r="GU594"/>
  <c r="GV594"/>
  <c r="GW594"/>
  <c r="GX594"/>
  <c r="GY594"/>
  <c r="GZ594"/>
  <c r="HA594"/>
  <c r="HB594"/>
  <c r="HC594"/>
  <c r="HD594"/>
  <c r="HE594"/>
  <c r="HF594"/>
  <c r="HG594"/>
  <c r="HH594"/>
  <c r="HI594"/>
  <c r="HJ594"/>
  <c r="HK594"/>
  <c r="HL594"/>
  <c r="HM594"/>
  <c r="HN594"/>
  <c r="HO594"/>
  <c r="HP594"/>
  <c r="HQ594"/>
  <c r="HR594"/>
  <c r="HS594"/>
  <c r="HT594"/>
  <c r="HU594"/>
  <c r="HV594"/>
  <c r="HW594"/>
  <c r="HX594"/>
  <c r="HY594"/>
  <c r="HZ594"/>
  <c r="IA594"/>
  <c r="IB594"/>
  <c r="IC594"/>
  <c r="ID594"/>
  <c r="IE594"/>
  <c r="IF594"/>
  <c r="IG594"/>
  <c r="IH594"/>
  <c r="II594"/>
  <c r="IJ594"/>
  <c r="IK594"/>
  <c r="IL594"/>
  <c r="IM594"/>
  <c r="IN594"/>
  <c r="IO594"/>
  <c r="IP594"/>
  <c r="IQ594"/>
  <c r="IR594"/>
  <c r="IS594"/>
  <c r="IT594"/>
  <c r="IU594"/>
  <c r="IV594"/>
  <c r="A595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Z595"/>
  <c r="AA595"/>
  <c r="AB595"/>
  <c r="AC595"/>
  <c r="AD595"/>
  <c r="AE595"/>
  <c r="AF595"/>
  <c r="AG595"/>
  <c r="AH595"/>
  <c r="AI595"/>
  <c r="AJ595"/>
  <c r="AK595"/>
  <c r="AL595"/>
  <c r="AM595"/>
  <c r="AN595"/>
  <c r="AO595"/>
  <c r="AP595"/>
  <c r="AQ595"/>
  <c r="AR595"/>
  <c r="AS595"/>
  <c r="AT595"/>
  <c r="AU595"/>
  <c r="AV595"/>
  <c r="AW595"/>
  <c r="AX595"/>
  <c r="AY595"/>
  <c r="AZ595"/>
  <c r="BA595"/>
  <c r="BB595"/>
  <c r="BC595"/>
  <c r="BD595"/>
  <c r="BE595"/>
  <c r="BF595"/>
  <c r="BG595"/>
  <c r="BH595"/>
  <c r="BI595"/>
  <c r="BJ595"/>
  <c r="BK595"/>
  <c r="BL595"/>
  <c r="BM595"/>
  <c r="BN595"/>
  <c r="BO595"/>
  <c r="BP595"/>
  <c r="BQ595"/>
  <c r="BR595"/>
  <c r="BS595"/>
  <c r="BT595"/>
  <c r="BU595"/>
  <c r="BV595"/>
  <c r="BW595"/>
  <c r="BX595"/>
  <c r="BY595"/>
  <c r="BZ595"/>
  <c r="CA595"/>
  <c r="CB595"/>
  <c r="CC595"/>
  <c r="CD595"/>
  <c r="CE595"/>
  <c r="CF595"/>
  <c r="CG595"/>
  <c r="CH595"/>
  <c r="CI595"/>
  <c r="CJ595"/>
  <c r="CK595"/>
  <c r="CL595"/>
  <c r="CM595"/>
  <c r="CN595"/>
  <c r="CO595"/>
  <c r="CP595"/>
  <c r="CQ595"/>
  <c r="CR595"/>
  <c r="CS595"/>
  <c r="CT595"/>
  <c r="CU595"/>
  <c r="CV595"/>
  <c r="CW595"/>
  <c r="CX595"/>
  <c r="CY595"/>
  <c r="CZ595"/>
  <c r="DA595"/>
  <c r="DB595"/>
  <c r="DC595"/>
  <c r="DD595"/>
  <c r="DE595"/>
  <c r="DF595"/>
  <c r="DG595"/>
  <c r="DH595"/>
  <c r="DI595"/>
  <c r="DJ595"/>
  <c r="DK595"/>
  <c r="DL595"/>
  <c r="DM595"/>
  <c r="DN595"/>
  <c r="DO595"/>
  <c r="DP595"/>
  <c r="DQ595"/>
  <c r="DR595"/>
  <c r="DS595"/>
  <c r="DT595"/>
  <c r="DU595"/>
  <c r="DV595"/>
  <c r="DW595"/>
  <c r="DX595"/>
  <c r="DY595"/>
  <c r="DZ595"/>
  <c r="EA595"/>
  <c r="EB595"/>
  <c r="EC595"/>
  <c r="ED595"/>
  <c r="EE595"/>
  <c r="EF595"/>
  <c r="EG595"/>
  <c r="EH595"/>
  <c r="EI595"/>
  <c r="EJ595"/>
  <c r="EK595"/>
  <c r="EL595"/>
  <c r="EM595"/>
  <c r="EN595"/>
  <c r="EO595"/>
  <c r="EP595"/>
  <c r="EQ595"/>
  <c r="ER595"/>
  <c r="ES595"/>
  <c r="ET595"/>
  <c r="EU595"/>
  <c r="EV595"/>
  <c r="EW595"/>
  <c r="EX595"/>
  <c r="EY595"/>
  <c r="EZ595"/>
  <c r="FA595"/>
  <c r="FB595"/>
  <c r="FC595"/>
  <c r="FD595"/>
  <c r="FE595"/>
  <c r="FF595"/>
  <c r="FG595"/>
  <c r="FH595"/>
  <c r="FI595"/>
  <c r="FJ595"/>
  <c r="FK595"/>
  <c r="FL595"/>
  <c r="FM595"/>
  <c r="FN595"/>
  <c r="FO595"/>
  <c r="FP595"/>
  <c r="FQ595"/>
  <c r="FR595"/>
  <c r="FS595"/>
  <c r="FT595"/>
  <c r="FU595"/>
  <c r="FV595"/>
  <c r="FW595"/>
  <c r="FX595"/>
  <c r="FY595"/>
  <c r="FZ595"/>
  <c r="GA595"/>
  <c r="GB595"/>
  <c r="GC595"/>
  <c r="GD595"/>
  <c r="GE595"/>
  <c r="GF595"/>
  <c r="GG595"/>
  <c r="GH595"/>
  <c r="GI595"/>
  <c r="GJ595"/>
  <c r="GK595"/>
  <c r="GL595"/>
  <c r="GM595"/>
  <c r="GN595"/>
  <c r="GO595"/>
  <c r="GP595"/>
  <c r="GQ595"/>
  <c r="GR595"/>
  <c r="GS595"/>
  <c r="GT595"/>
  <c r="GU595"/>
  <c r="GV595"/>
  <c r="GW595"/>
  <c r="GX595"/>
  <c r="GY595"/>
  <c r="GZ595"/>
  <c r="HA595"/>
  <c r="HB595"/>
  <c r="HC595"/>
  <c r="HD595"/>
  <c r="HE595"/>
  <c r="HF595"/>
  <c r="HG595"/>
  <c r="HH595"/>
  <c r="HI595"/>
  <c r="HJ595"/>
  <c r="HK595"/>
  <c r="HL595"/>
  <c r="HM595"/>
  <c r="HN595"/>
  <c r="HO595"/>
  <c r="HP595"/>
  <c r="HQ595"/>
  <c r="HR595"/>
  <c r="HS595"/>
  <c r="HT595"/>
  <c r="HU595"/>
  <c r="HV595"/>
  <c r="HW595"/>
  <c r="HX595"/>
  <c r="HY595"/>
  <c r="HZ595"/>
  <c r="IA595"/>
  <c r="IB595"/>
  <c r="IC595"/>
  <c r="ID595"/>
  <c r="IE595"/>
  <c r="IF595"/>
  <c r="IG595"/>
  <c r="IH595"/>
  <c r="II595"/>
  <c r="IJ595"/>
  <c r="IK595"/>
  <c r="IL595"/>
  <c r="IM595"/>
  <c r="IN595"/>
  <c r="IO595"/>
  <c r="IP595"/>
  <c r="IQ595"/>
  <c r="IR595"/>
  <c r="IS595"/>
  <c r="IT595"/>
  <c r="IU595"/>
  <c r="IV595"/>
  <c r="A596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Z596"/>
  <c r="AA596"/>
  <c r="AB596"/>
  <c r="AC596"/>
  <c r="AD596"/>
  <c r="AE596"/>
  <c r="AF596"/>
  <c r="AG596"/>
  <c r="AH596"/>
  <c r="AI596"/>
  <c r="AJ596"/>
  <c r="AK596"/>
  <c r="AL596"/>
  <c r="AM596"/>
  <c r="AN596"/>
  <c r="AO596"/>
  <c r="AP596"/>
  <c r="AQ596"/>
  <c r="AR596"/>
  <c r="AS596"/>
  <c r="AT596"/>
  <c r="AU596"/>
  <c r="AV596"/>
  <c r="AW596"/>
  <c r="AX596"/>
  <c r="AY596"/>
  <c r="AZ596"/>
  <c r="BA596"/>
  <c r="BB596"/>
  <c r="BC596"/>
  <c r="BD596"/>
  <c r="BE596"/>
  <c r="BF596"/>
  <c r="BG596"/>
  <c r="BH596"/>
  <c r="BI596"/>
  <c r="BJ596"/>
  <c r="BK596"/>
  <c r="BL596"/>
  <c r="BM596"/>
  <c r="BN596"/>
  <c r="BO596"/>
  <c r="BP596"/>
  <c r="BQ596"/>
  <c r="BR596"/>
  <c r="BS596"/>
  <c r="BT596"/>
  <c r="BU596"/>
  <c r="BV596"/>
  <c r="BW596"/>
  <c r="BX596"/>
  <c r="BY596"/>
  <c r="BZ596"/>
  <c r="CA596"/>
  <c r="CB596"/>
  <c r="CC596"/>
  <c r="CD596"/>
  <c r="CE596"/>
  <c r="CF596"/>
  <c r="CG596"/>
  <c r="CH596"/>
  <c r="CI596"/>
  <c r="CJ596"/>
  <c r="CK596"/>
  <c r="CL596"/>
  <c r="CM596"/>
  <c r="CN596"/>
  <c r="CO596"/>
  <c r="CP596"/>
  <c r="CQ596"/>
  <c r="CR596"/>
  <c r="CS596"/>
  <c r="CT596"/>
  <c r="CU596"/>
  <c r="CV596"/>
  <c r="CW596"/>
  <c r="CX596"/>
  <c r="CY596"/>
  <c r="CZ596"/>
  <c r="DA596"/>
  <c r="DB596"/>
  <c r="DC596"/>
  <c r="DD596"/>
  <c r="DE596"/>
  <c r="DF596"/>
  <c r="DG596"/>
  <c r="DH596"/>
  <c r="DI596"/>
  <c r="DJ596"/>
  <c r="DK596"/>
  <c r="DL596"/>
  <c r="DM596"/>
  <c r="DN596"/>
  <c r="DO596"/>
  <c r="DP596"/>
  <c r="DQ596"/>
  <c r="DR596"/>
  <c r="DS596"/>
  <c r="DT596"/>
  <c r="DU596"/>
  <c r="DV596"/>
  <c r="DW596"/>
  <c r="DX596"/>
  <c r="DY596"/>
  <c r="DZ596"/>
  <c r="EA596"/>
  <c r="EB596"/>
  <c r="EC596"/>
  <c r="ED596"/>
  <c r="EE596"/>
  <c r="EF596"/>
  <c r="EG596"/>
  <c r="EH596"/>
  <c r="EI596"/>
  <c r="EJ596"/>
  <c r="EK596"/>
  <c r="EL596"/>
  <c r="EM596"/>
  <c r="EN596"/>
  <c r="EO596"/>
  <c r="EP596"/>
  <c r="EQ596"/>
  <c r="ER596"/>
  <c r="ES596"/>
  <c r="ET596"/>
  <c r="EU596"/>
  <c r="EV596"/>
  <c r="EW596"/>
  <c r="EX596"/>
  <c r="EY596"/>
  <c r="EZ596"/>
  <c r="FA596"/>
  <c r="FB596"/>
  <c r="FC596"/>
  <c r="FD596"/>
  <c r="FE596"/>
  <c r="FF596"/>
  <c r="FG596"/>
  <c r="FH596"/>
  <c r="FI596"/>
  <c r="FJ596"/>
  <c r="FK596"/>
  <c r="FL596"/>
  <c r="FM596"/>
  <c r="FN596"/>
  <c r="FO596"/>
  <c r="FP596"/>
  <c r="FQ596"/>
  <c r="FR596"/>
  <c r="FS596"/>
  <c r="FT596"/>
  <c r="FU596"/>
  <c r="FV596"/>
  <c r="FW596"/>
  <c r="FX596"/>
  <c r="FY596"/>
  <c r="FZ596"/>
  <c r="GA596"/>
  <c r="GB596"/>
  <c r="GC596"/>
  <c r="GD596"/>
  <c r="GE596"/>
  <c r="GF596"/>
  <c r="GG596"/>
  <c r="GH596"/>
  <c r="GI596"/>
  <c r="GJ596"/>
  <c r="GK596"/>
  <c r="GL596"/>
  <c r="GM596"/>
  <c r="GN596"/>
  <c r="GO596"/>
  <c r="GP596"/>
  <c r="GQ596"/>
  <c r="GR596"/>
  <c r="GS596"/>
  <c r="GT596"/>
  <c r="GU596"/>
  <c r="GV596"/>
  <c r="GW596"/>
  <c r="GX596"/>
  <c r="GY596"/>
  <c r="GZ596"/>
  <c r="HA596"/>
  <c r="HB596"/>
  <c r="HC596"/>
  <c r="HD596"/>
  <c r="HE596"/>
  <c r="HF596"/>
  <c r="HG596"/>
  <c r="HH596"/>
  <c r="HI596"/>
  <c r="HJ596"/>
  <c r="HK596"/>
  <c r="HL596"/>
  <c r="HM596"/>
  <c r="HN596"/>
  <c r="HO596"/>
  <c r="HP596"/>
  <c r="HQ596"/>
  <c r="HR596"/>
  <c r="HS596"/>
  <c r="HT596"/>
  <c r="HU596"/>
  <c r="HV596"/>
  <c r="HW596"/>
  <c r="HX596"/>
  <c r="HY596"/>
  <c r="HZ596"/>
  <c r="IA596"/>
  <c r="IB596"/>
  <c r="IC596"/>
  <c r="ID596"/>
  <c r="IE596"/>
  <c r="IF596"/>
  <c r="IG596"/>
  <c r="IH596"/>
  <c r="II596"/>
  <c r="IJ596"/>
  <c r="IK596"/>
  <c r="IL596"/>
  <c r="IM596"/>
  <c r="IN596"/>
  <c r="IO596"/>
  <c r="IP596"/>
  <c r="IQ596"/>
  <c r="IR596"/>
  <c r="IS596"/>
  <c r="IT596"/>
  <c r="IU596"/>
  <c r="IV596"/>
  <c r="A597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Z597"/>
  <c r="AA597"/>
  <c r="AB597"/>
  <c r="AC597"/>
  <c r="AD597"/>
  <c r="AE597"/>
  <c r="AF597"/>
  <c r="AG597"/>
  <c r="AH597"/>
  <c r="AI597"/>
  <c r="AJ597"/>
  <c r="AK597"/>
  <c r="AL597"/>
  <c r="AM597"/>
  <c r="AN597"/>
  <c r="AO597"/>
  <c r="AP597"/>
  <c r="AQ597"/>
  <c r="AR597"/>
  <c r="AS597"/>
  <c r="AT597"/>
  <c r="AU597"/>
  <c r="AV597"/>
  <c r="AW597"/>
  <c r="AX597"/>
  <c r="AY597"/>
  <c r="AZ597"/>
  <c r="BA597"/>
  <c r="BB597"/>
  <c r="BC597"/>
  <c r="BD597"/>
  <c r="BE597"/>
  <c r="BF597"/>
  <c r="BG597"/>
  <c r="BH597"/>
  <c r="BI597"/>
  <c r="BJ597"/>
  <c r="BK597"/>
  <c r="BL597"/>
  <c r="BM597"/>
  <c r="BN597"/>
  <c r="BO597"/>
  <c r="BP597"/>
  <c r="BQ597"/>
  <c r="BR597"/>
  <c r="BS597"/>
  <c r="BT597"/>
  <c r="BU597"/>
  <c r="BV597"/>
  <c r="BW597"/>
  <c r="BX597"/>
  <c r="BY597"/>
  <c r="BZ597"/>
  <c r="CA597"/>
  <c r="CB597"/>
  <c r="CC597"/>
  <c r="CD597"/>
  <c r="CE597"/>
  <c r="CF597"/>
  <c r="CG597"/>
  <c r="CH597"/>
  <c r="CI597"/>
  <c r="CJ597"/>
  <c r="CK597"/>
  <c r="CL597"/>
  <c r="CM597"/>
  <c r="CN597"/>
  <c r="CO597"/>
  <c r="CP597"/>
  <c r="CQ597"/>
  <c r="CR597"/>
  <c r="CS597"/>
  <c r="CT597"/>
  <c r="CU597"/>
  <c r="CV597"/>
  <c r="CW597"/>
  <c r="CX597"/>
  <c r="CY597"/>
  <c r="CZ597"/>
  <c r="DA597"/>
  <c r="DB597"/>
  <c r="DC597"/>
  <c r="DD597"/>
  <c r="DE597"/>
  <c r="DF597"/>
  <c r="DG597"/>
  <c r="DH597"/>
  <c r="DI597"/>
  <c r="DJ597"/>
  <c r="DK597"/>
  <c r="DL597"/>
  <c r="DM597"/>
  <c r="DN597"/>
  <c r="DO597"/>
  <c r="DP597"/>
  <c r="DQ597"/>
  <c r="DR597"/>
  <c r="DS597"/>
  <c r="DT597"/>
  <c r="DU597"/>
  <c r="DV597"/>
  <c r="DW597"/>
  <c r="DX597"/>
  <c r="DY597"/>
  <c r="DZ597"/>
  <c r="EA597"/>
  <c r="EB597"/>
  <c r="EC597"/>
  <c r="ED597"/>
  <c r="EE597"/>
  <c r="EF597"/>
  <c r="EG597"/>
  <c r="EH597"/>
  <c r="EI597"/>
  <c r="EJ597"/>
  <c r="EK597"/>
  <c r="EL597"/>
  <c r="EM597"/>
  <c r="EN597"/>
  <c r="EO597"/>
  <c r="EP597"/>
  <c r="EQ597"/>
  <c r="ER597"/>
  <c r="ES597"/>
  <c r="ET597"/>
  <c r="EU597"/>
  <c r="EV597"/>
  <c r="EW597"/>
  <c r="EX597"/>
  <c r="EY597"/>
  <c r="EZ597"/>
  <c r="FA597"/>
  <c r="FB597"/>
  <c r="FC597"/>
  <c r="FD597"/>
  <c r="FE597"/>
  <c r="FF597"/>
  <c r="FG597"/>
  <c r="FH597"/>
  <c r="FI597"/>
  <c r="FJ597"/>
  <c r="FK597"/>
  <c r="FL597"/>
  <c r="FM597"/>
  <c r="FN597"/>
  <c r="FO597"/>
  <c r="FP597"/>
  <c r="FQ597"/>
  <c r="FR597"/>
  <c r="FS597"/>
  <c r="FT597"/>
  <c r="FU597"/>
  <c r="FV597"/>
  <c r="FW597"/>
  <c r="FX597"/>
  <c r="FY597"/>
  <c r="FZ597"/>
  <c r="GA597"/>
  <c r="GB597"/>
  <c r="GC597"/>
  <c r="GD597"/>
  <c r="GE597"/>
  <c r="GF597"/>
  <c r="GG597"/>
  <c r="GH597"/>
  <c r="GI597"/>
  <c r="GJ597"/>
  <c r="GK597"/>
  <c r="GL597"/>
  <c r="GM597"/>
  <c r="GN597"/>
  <c r="GO597"/>
  <c r="GP597"/>
  <c r="GQ597"/>
  <c r="GR597"/>
  <c r="GS597"/>
  <c r="GT597"/>
  <c r="GU597"/>
  <c r="GV597"/>
  <c r="GW597"/>
  <c r="GX597"/>
  <c r="GY597"/>
  <c r="GZ597"/>
  <c r="HA597"/>
  <c r="HB597"/>
  <c r="HC597"/>
  <c r="HD597"/>
  <c r="HE597"/>
  <c r="HF597"/>
  <c r="HG597"/>
  <c r="HH597"/>
  <c r="HI597"/>
  <c r="HJ597"/>
  <c r="HK597"/>
  <c r="HL597"/>
  <c r="HM597"/>
  <c r="HN597"/>
  <c r="HO597"/>
  <c r="HP597"/>
  <c r="HQ597"/>
  <c r="HR597"/>
  <c r="HS597"/>
  <c r="HT597"/>
  <c r="HU597"/>
  <c r="HV597"/>
  <c r="HW597"/>
  <c r="HX597"/>
  <c r="HY597"/>
  <c r="HZ597"/>
  <c r="IA597"/>
  <c r="IB597"/>
  <c r="IC597"/>
  <c r="ID597"/>
  <c r="IE597"/>
  <c r="IF597"/>
  <c r="IG597"/>
  <c r="IH597"/>
  <c r="II597"/>
  <c r="IJ597"/>
  <c r="IK597"/>
  <c r="IL597"/>
  <c r="IM597"/>
  <c r="IN597"/>
  <c r="IO597"/>
  <c r="IP597"/>
  <c r="IQ597"/>
  <c r="IR597"/>
  <c r="IS597"/>
  <c r="IT597"/>
  <c r="IU597"/>
  <c r="IV597"/>
  <c r="A598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Z598"/>
  <c r="AA598"/>
  <c r="AB598"/>
  <c r="AC598"/>
  <c r="AD598"/>
  <c r="AE598"/>
  <c r="AF598"/>
  <c r="AG598"/>
  <c r="AH598"/>
  <c r="AI598"/>
  <c r="AJ598"/>
  <c r="AK598"/>
  <c r="AL598"/>
  <c r="AM598"/>
  <c r="AN598"/>
  <c r="AO598"/>
  <c r="AP598"/>
  <c r="AQ598"/>
  <c r="AS598"/>
  <c r="AT598"/>
  <c r="AU598"/>
  <c r="A599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U599"/>
  <c r="V599"/>
  <c r="W599"/>
  <c r="X599"/>
  <c r="Y599"/>
  <c r="Z599"/>
  <c r="AA599"/>
  <c r="AB599"/>
  <c r="AC599"/>
  <c r="AD599"/>
  <c r="AE599"/>
  <c r="AG599"/>
  <c r="AH599"/>
  <c r="AI599"/>
  <c r="AJ599"/>
  <c r="AK599"/>
  <c r="AL599"/>
  <c r="AM599"/>
  <c r="AN599"/>
  <c r="AO599"/>
  <c r="AP599"/>
  <c r="AQ599"/>
  <c r="AR599"/>
  <c r="AS599"/>
  <c r="AT599"/>
  <c r="AU599"/>
  <c r="AV599"/>
  <c r="AW599"/>
  <c r="AX599"/>
  <c r="AY599"/>
  <c r="AZ599"/>
  <c r="BA599"/>
  <c r="BB599"/>
  <c r="BC599"/>
  <c r="BD599"/>
  <c r="BE599"/>
  <c r="BF599"/>
  <c r="BG599"/>
  <c r="BH599"/>
  <c r="BI599"/>
  <c r="BJ599"/>
  <c r="BK599"/>
  <c r="BL599"/>
  <c r="BM599"/>
  <c r="BN599"/>
  <c r="BO599"/>
  <c r="BP599"/>
  <c r="BQ599"/>
  <c r="BR599"/>
  <c r="BS599"/>
  <c r="BT599"/>
  <c r="BU599"/>
  <c r="BV599"/>
  <c r="BW599"/>
  <c r="BX599"/>
  <c r="BY599"/>
  <c r="BZ599"/>
  <c r="CA599"/>
  <c r="CB599"/>
  <c r="CC599"/>
  <c r="CD599"/>
  <c r="CE599"/>
  <c r="CF599"/>
  <c r="CG599"/>
  <c r="CH599"/>
  <c r="CI599"/>
  <c r="CJ599"/>
  <c r="CK599"/>
  <c r="CL599"/>
  <c r="CM599"/>
  <c r="CN599"/>
  <c r="CO599"/>
  <c r="CP599"/>
  <c r="CQ599"/>
  <c r="CR599"/>
  <c r="CS599"/>
  <c r="CT599"/>
  <c r="CU599"/>
  <c r="CV599"/>
  <c r="CW599"/>
  <c r="CX599"/>
  <c r="CY599"/>
  <c r="CZ599"/>
  <c r="DA599"/>
  <c r="DB599"/>
  <c r="DC599"/>
  <c r="DD599"/>
  <c r="DE599"/>
  <c r="DF599"/>
  <c r="DG599"/>
  <c r="DH599"/>
  <c r="DI599"/>
  <c r="DJ599"/>
  <c r="DK599"/>
  <c r="DL599"/>
  <c r="DM599"/>
  <c r="DN599"/>
  <c r="DO599"/>
  <c r="DP599"/>
  <c r="DQ599"/>
  <c r="DR599"/>
  <c r="DS599"/>
  <c r="DT599"/>
  <c r="DU599"/>
  <c r="DV599"/>
  <c r="DW599"/>
  <c r="DX599"/>
  <c r="DY599"/>
  <c r="DZ599"/>
  <c r="EA599"/>
  <c r="EB599"/>
  <c r="EC599"/>
  <c r="ED599"/>
  <c r="EE599"/>
  <c r="EF599"/>
  <c r="EG599"/>
  <c r="EH599"/>
  <c r="EI599"/>
  <c r="EJ599"/>
  <c r="EK599"/>
  <c r="EL599"/>
  <c r="EM599"/>
  <c r="EN599"/>
  <c r="EO599"/>
  <c r="EP599"/>
  <c r="EQ599"/>
  <c r="ER599"/>
  <c r="ES599"/>
  <c r="ET599"/>
  <c r="EU599"/>
  <c r="EV599"/>
  <c r="EW599"/>
  <c r="EX599"/>
  <c r="EY599"/>
  <c r="EZ599"/>
  <c r="FA599"/>
  <c r="FB599"/>
  <c r="FC599"/>
  <c r="FD599"/>
  <c r="FE599"/>
  <c r="FF599"/>
  <c r="FG599"/>
  <c r="FH599"/>
  <c r="FI599"/>
  <c r="FJ599"/>
  <c r="FK599"/>
  <c r="FL599"/>
  <c r="FM599"/>
  <c r="FN599"/>
  <c r="FO599"/>
  <c r="FP599"/>
  <c r="FQ599"/>
  <c r="FR599"/>
  <c r="FS599"/>
  <c r="FT599"/>
  <c r="FU599"/>
  <c r="FV599"/>
  <c r="FW599"/>
  <c r="FX599"/>
  <c r="FY599"/>
  <c r="FZ599"/>
  <c r="GA599"/>
  <c r="GB599"/>
  <c r="GC599"/>
  <c r="GD599"/>
  <c r="GE599"/>
  <c r="GF599"/>
  <c r="GG599"/>
  <c r="GH599"/>
  <c r="GI599"/>
  <c r="GJ599"/>
  <c r="GK599"/>
  <c r="GL599"/>
  <c r="GM599"/>
  <c r="GN599"/>
  <c r="GO599"/>
  <c r="GP599"/>
  <c r="GQ599"/>
  <c r="GR599"/>
  <c r="GS599"/>
  <c r="GT599"/>
  <c r="GU599"/>
  <c r="GV599"/>
  <c r="GW599"/>
  <c r="GX599"/>
  <c r="GY599"/>
  <c r="GZ599"/>
  <c r="HA599"/>
  <c r="HB599"/>
  <c r="HC599"/>
  <c r="HD599"/>
  <c r="HE599"/>
  <c r="HF599"/>
  <c r="HG599"/>
  <c r="HH599"/>
  <c r="HI599"/>
  <c r="HJ599"/>
  <c r="HK599"/>
  <c r="HL599"/>
  <c r="HM599"/>
  <c r="HN599"/>
  <c r="HO599"/>
  <c r="HP599"/>
  <c r="HQ599"/>
  <c r="HR599"/>
  <c r="HS599"/>
  <c r="HT599"/>
  <c r="HU599"/>
  <c r="HV599"/>
  <c r="HW599"/>
  <c r="HX599"/>
  <c r="HY599"/>
  <c r="HZ599"/>
  <c r="IA599"/>
  <c r="IU28"/>
  <c r="IT28"/>
  <c r="B29"/>
  <c r="C29"/>
  <c r="D29"/>
  <c r="T599"/>
  <c r="V3"/>
  <c r="S4"/>
  <c r="P5"/>
  <c r="E29"/>
  <c r="AA5"/>
  <c r="IB592"/>
  <c r="F18" i="14" l="1"/>
  <c r="F7"/>
  <c r="F16"/>
  <c r="F20"/>
  <c r="F3"/>
  <c r="F5"/>
  <c r="F2"/>
  <c r="F6"/>
  <c r="F4"/>
  <c r="IS28" i="5"/>
  <c r="AF599" l="1"/>
  <c r="AI3" l="1"/>
  <c r="E17" i="14" l="1"/>
  <c r="C17"/>
  <c r="F17" s="1"/>
  <c r="D17"/>
</calcChain>
</file>

<file path=xl/comments1.xml><?xml version="1.0" encoding="utf-8"?>
<comments xmlns="http://schemas.openxmlformats.org/spreadsheetml/2006/main">
  <authors>
    <author>Henri Laurent</author>
  </authors>
  <commentList>
    <comment ref="A2" authorId="0">
      <text>
        <r>
          <rPr>
            <sz val="9"/>
            <color indexed="81"/>
            <rFont val="Tahoma"/>
            <family val="2"/>
          </rPr>
          <t xml:space="preserve">Enter the classes to the right. Overall and by class rankings will be calculated. One boat can be in one class only.
Entrer les différentes classes à droite. Les classement Général et par Classe seront calculés.
Un bateau ne peut apartenir qu'à une seule Classe.
</t>
        </r>
      </text>
    </comment>
    <comment ref="J4" authorId="0">
      <text>
        <r>
          <rPr>
            <b/>
            <sz val="9"/>
            <color indexed="81"/>
            <rFont val="Tahoma"/>
            <family val="2"/>
          </rPr>
          <t>Copier les cellules de la colonne O et les sauver dans le fichier concurrents.ccr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" authorId="0">
      <text>
        <r>
          <rPr>
            <b/>
            <sz val="9"/>
            <color indexed="81"/>
            <rFont val="Tahoma"/>
            <family val="2"/>
          </rPr>
          <t xml:space="preserve">Has to be unique
Doit être Unique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" authorId="0">
      <text>
        <r>
          <rPr>
            <b/>
            <sz val="9"/>
            <color indexed="81"/>
            <rFont val="Tahoma"/>
            <family val="2"/>
          </rPr>
          <t xml:space="preserve">Has to be unique
Doit être Unique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" authorId="0">
      <text>
        <r>
          <rPr>
            <b/>
            <sz val="9"/>
            <color indexed="81"/>
            <rFont val="Tahoma"/>
            <family val="2"/>
          </rPr>
          <t xml:space="preserve">IRc Rating
1.000 if not entered
1.000 par défaut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5" authorId="0">
      <text>
        <r>
          <rPr>
            <sz val="9"/>
            <color indexed="81"/>
            <rFont val="Tahoma"/>
            <family val="2"/>
          </rPr>
          <t xml:space="preserve">Display on Map
Afficher sur la carte
0 : No -Non
1 : Yes - Oui
</t>
        </r>
      </text>
    </comment>
  </commentList>
</comments>
</file>

<file path=xl/comments2.xml><?xml version="1.0" encoding="utf-8"?>
<comments xmlns="http://schemas.openxmlformats.org/spreadsheetml/2006/main">
  <authors>
    <author>Henri Laurent</author>
  </authors>
  <commentList>
    <comment ref="A12" authorId="0">
      <text>
        <r>
          <rPr>
            <b/>
            <sz val="9"/>
            <color indexed="81"/>
            <rFont val="Tahoma"/>
            <family val="2"/>
          </rPr>
          <t xml:space="preserve">Adrena format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<sst xmlns="http://schemas.openxmlformats.org/spreadsheetml/2006/main" count="515" uniqueCount="500">
  <si>
    <t>SUN FAST 3200</t>
  </si>
  <si>
    <t>A35</t>
  </si>
  <si>
    <t>AAAAABfSd2s=</t>
  </si>
  <si>
    <t>AAAAABfSd2w=</t>
  </si>
  <si>
    <t>AAAAABfSd20=</t>
  </si>
  <si>
    <t>JPK 10.10</t>
  </si>
  <si>
    <t>POGO 8.50</t>
  </si>
  <si>
    <t>Type</t>
  </si>
  <si>
    <t>nb coques</t>
  </si>
  <si>
    <t>Longueur</t>
  </si>
  <si>
    <t>Largeur</t>
  </si>
  <si>
    <t>Couleur</t>
  </si>
  <si>
    <t>AAAAAD/vRSs=</t>
  </si>
  <si>
    <t>AAAAAHe/2us=</t>
  </si>
  <si>
    <t>r</t>
  </si>
  <si>
    <t>g</t>
  </si>
  <si>
    <t>b</t>
  </si>
  <si>
    <t>Hex</t>
  </si>
  <si>
    <t>Colour</t>
  </si>
  <si>
    <t>int color</t>
  </si>
  <si>
    <t>HN rating</t>
  </si>
  <si>
    <t>free_text_1</t>
  </si>
  <si>
    <t>free_text_2</t>
  </si>
  <si>
    <t>Boat Name
Nom bateau</t>
  </si>
  <si>
    <t>Class
Classe</t>
  </si>
  <si>
    <t>Color
Couleur</t>
  </si>
  <si>
    <t>Black / Noir</t>
  </si>
  <si>
    <t>Blue / Bleu</t>
  </si>
  <si>
    <t>Cyan / Bleu clair</t>
  </si>
  <si>
    <t>Green / Vert</t>
  </si>
  <si>
    <t>Magenta / Mauve</t>
  </si>
  <si>
    <t>Red / Rouge</t>
  </si>
  <si>
    <t>White / Blanc</t>
  </si>
  <si>
    <t>Yellow / Jaune</t>
  </si>
  <si>
    <t>Polars</t>
  </si>
  <si>
    <t>Polars end here</t>
  </si>
  <si>
    <t>Add a polar at the end of the list if needed</t>
  </si>
  <si>
    <t>Vous pouvez ajouter une polaire à la fin de la liste</t>
  </si>
  <si>
    <t>a31.pol</t>
  </si>
  <si>
    <t>a35.pol</t>
  </si>
  <si>
    <t>a40rc.pol</t>
  </si>
  <si>
    <t>akilaria40_rc2.pol</t>
  </si>
  <si>
    <t>amelkirk.pol</t>
  </si>
  <si>
    <t>amel_54.pol</t>
  </si>
  <si>
    <t>amel_55.pol</t>
  </si>
  <si>
    <t>amel_64.pol</t>
  </si>
  <si>
    <t>amel_euros41.pol</t>
  </si>
  <si>
    <t>amel_fango.pol</t>
  </si>
  <si>
    <t>amel_maramu.pol</t>
  </si>
  <si>
    <t>amel_santorin.pol</t>
  </si>
  <si>
    <t>amel_sharki.pol</t>
  </si>
  <si>
    <t>amel_supermaramu2000.pol</t>
  </si>
  <si>
    <t>bavaria31.pol</t>
  </si>
  <si>
    <t>bavaria32.pol</t>
  </si>
  <si>
    <t>bavaria320.pol</t>
  </si>
  <si>
    <t>bavaria33.pol</t>
  </si>
  <si>
    <t>bavaria34.pol</t>
  </si>
  <si>
    <t>bavaria34cruiser.pol</t>
  </si>
  <si>
    <t>bavaria350.pol</t>
  </si>
  <si>
    <t>bavaria35match.pol</t>
  </si>
  <si>
    <t>bavaria36cruiser.pol</t>
  </si>
  <si>
    <t>bavaria37cruiser.pol</t>
  </si>
  <si>
    <t>bavaria38.pol</t>
  </si>
  <si>
    <t>bavaria38cruiser.pol</t>
  </si>
  <si>
    <t>bavaria39cruiser.pol</t>
  </si>
  <si>
    <t>bavaria40cruiser.pol</t>
  </si>
  <si>
    <t>bavaria41cruiser.pol</t>
  </si>
  <si>
    <t>bavaria42cruiser.pol</t>
  </si>
  <si>
    <t>bavaria42match.pol</t>
  </si>
  <si>
    <t>bavaria44.pol</t>
  </si>
  <si>
    <t>bavaria46cruiser.pol</t>
  </si>
  <si>
    <t>bavaria50.pol</t>
  </si>
  <si>
    <t>bavaria50cruiser.pol</t>
  </si>
  <si>
    <t>beneteau25.pol</t>
  </si>
  <si>
    <t>beneteau57.pol</t>
  </si>
  <si>
    <t>bepox700.pol</t>
  </si>
  <si>
    <t>bluedjinn.pol</t>
  </si>
  <si>
    <t>bluedjinnplus.pol</t>
  </si>
  <si>
    <t>catamaran54.pol</t>
  </si>
  <si>
    <t>cigale14.pol</t>
  </si>
  <si>
    <t>class40.pol</t>
  </si>
  <si>
    <t>class40v2.pol</t>
  </si>
  <si>
    <t>columbia50.pol</t>
  </si>
  <si>
    <t>contessa32.pol</t>
  </si>
  <si>
    <t>dehler29.pol</t>
  </si>
  <si>
    <t>dehler32.pol</t>
  </si>
  <si>
    <t>dehler33.pol</t>
  </si>
  <si>
    <t>dehler34.pol</t>
  </si>
  <si>
    <t>dehler35.pol</t>
  </si>
  <si>
    <t>dehler36.pol</t>
  </si>
  <si>
    <t>dehler38.pol</t>
  </si>
  <si>
    <t>dehler41.pol</t>
  </si>
  <si>
    <t>dehler44.pol</t>
  </si>
  <si>
    <t>djinn7.pol</t>
  </si>
  <si>
    <t>djinn7plus.pol</t>
  </si>
  <si>
    <t>dragonfly28.pol</t>
  </si>
  <si>
    <t>dufour24.pol</t>
  </si>
  <si>
    <t>dufour27.pol</t>
  </si>
  <si>
    <t>dufour2800.pol</t>
  </si>
  <si>
    <t>dufour30classic.pol</t>
  </si>
  <si>
    <t>dufour31.pol</t>
  </si>
  <si>
    <t>dufour325.pol</t>
  </si>
  <si>
    <t>dufour32classic.pol</t>
  </si>
  <si>
    <t>dufour34.pol</t>
  </si>
  <si>
    <t>dufour34_1974.pol</t>
  </si>
  <si>
    <t>dufour35classic.pol</t>
  </si>
  <si>
    <t>dufour365.pol</t>
  </si>
  <si>
    <t>dufour365gl.pol</t>
  </si>
  <si>
    <t>dufour36classic.pol</t>
  </si>
  <si>
    <t>dufour3800.pol</t>
  </si>
  <si>
    <t>dufour382gl.pol</t>
  </si>
  <si>
    <t>dufour385gl.pol</t>
  </si>
  <si>
    <t>dufour38cl.pol</t>
  </si>
  <si>
    <t>dufour40gte.pol</t>
  </si>
  <si>
    <t>dufour40perf.pol</t>
  </si>
  <si>
    <t>dufour410gl.pol</t>
  </si>
  <si>
    <t>dufour41classic.pol</t>
  </si>
  <si>
    <t>dufour425gl.pol</t>
  </si>
  <si>
    <t>dufour44perf.pol</t>
  </si>
  <si>
    <t>dufour45classic.pol</t>
  </si>
  <si>
    <t>dufour45perf.pol</t>
  </si>
  <si>
    <t>dufour4800.pol</t>
  </si>
  <si>
    <t>dufour485.pol</t>
  </si>
  <si>
    <t>dufoursylphe.pol</t>
  </si>
  <si>
    <t>ecumedemer.pol</t>
  </si>
  <si>
    <t>edel6.pol</t>
  </si>
  <si>
    <t>elan295.pol</t>
  </si>
  <si>
    <t>elan310.pol</t>
  </si>
  <si>
    <t>elan340.pol</t>
  </si>
  <si>
    <t>elan350.pol</t>
  </si>
  <si>
    <t>elan37.pol</t>
  </si>
  <si>
    <t>elan380.pol</t>
  </si>
  <si>
    <t>elan410.pol</t>
  </si>
  <si>
    <t>elan450.pol</t>
  </si>
  <si>
    <t>elane5.pol</t>
  </si>
  <si>
    <t>espace1000.pol</t>
  </si>
  <si>
    <t>etap32i.pol</t>
  </si>
  <si>
    <t>evasion32.pol</t>
  </si>
  <si>
    <t>evasion34.pol</t>
  </si>
  <si>
    <t>express27.pol</t>
  </si>
  <si>
    <t>far36od.pol</t>
  </si>
  <si>
    <t>feeling39di.pol</t>
  </si>
  <si>
    <t>figaro1.pol</t>
  </si>
  <si>
    <t>figaro2.pol</t>
  </si>
  <si>
    <t>first210.pol</t>
  </si>
  <si>
    <t>first211.pol</t>
  </si>
  <si>
    <t>first21_7.pol</t>
  </si>
  <si>
    <t>first235.pol</t>
  </si>
  <si>
    <t>first24.pol</t>
  </si>
  <si>
    <t>first25_7.pol</t>
  </si>
  <si>
    <t>first26.pol</t>
  </si>
  <si>
    <t>first260spirit.pol</t>
  </si>
  <si>
    <t>first27.pol</t>
  </si>
  <si>
    <t>first27_7.pol</t>
  </si>
  <si>
    <t>first285.pol</t>
  </si>
  <si>
    <t>first29.pol</t>
  </si>
  <si>
    <t>first30.pol</t>
  </si>
  <si>
    <t>first305.pol</t>
  </si>
  <si>
    <t>first30es.pol</t>
  </si>
  <si>
    <t>first30jk.pol</t>
  </si>
  <si>
    <t>first30spirit.pol</t>
  </si>
  <si>
    <t>first310.pol</t>
  </si>
  <si>
    <t>first310s.pol</t>
  </si>
  <si>
    <t>first31_7.pol</t>
  </si>
  <si>
    <t>first31_7_bg.pol</t>
  </si>
  <si>
    <t>first32.pol</t>
  </si>
  <si>
    <t>first325.pol</t>
  </si>
  <si>
    <t>first325gte.pol</t>
  </si>
  <si>
    <t>first32s5.pol</t>
  </si>
  <si>
    <t>first33_7.pol</t>
  </si>
  <si>
    <t>first345.pol</t>
  </si>
  <si>
    <t>first34_7.pol</t>
  </si>
  <si>
    <t>first35.pol</t>
  </si>
  <si>
    <t>first35s5.pol</t>
  </si>
  <si>
    <t>first36_7.pol</t>
  </si>
  <si>
    <t>first375.pol</t>
  </si>
  <si>
    <t>first38.pol</t>
  </si>
  <si>
    <t>first38s5.pol</t>
  </si>
  <si>
    <t>first40.pol</t>
  </si>
  <si>
    <t>first405.pol</t>
  </si>
  <si>
    <t>first40_7.pol</t>
  </si>
  <si>
    <t>first41s5.pol</t>
  </si>
  <si>
    <t>first42.pol</t>
  </si>
  <si>
    <t>first42s7.pol</t>
  </si>
  <si>
    <t>first435.pol</t>
  </si>
  <si>
    <t>first44_7.pol</t>
  </si>
  <si>
    <t>first45.pol</t>
  </si>
  <si>
    <t>first45f5.pol</t>
  </si>
  <si>
    <t>first47_7.pol</t>
  </si>
  <si>
    <t>first50.pol</t>
  </si>
  <si>
    <t>firstclass10.pol</t>
  </si>
  <si>
    <t>firstclass12.pol</t>
  </si>
  <si>
    <t>firstclass8.pol</t>
  </si>
  <si>
    <t>fp_galathea.pol</t>
  </si>
  <si>
    <t>fp_helia.pol</t>
  </si>
  <si>
    <t>fp_lucia40.pol</t>
  </si>
  <si>
    <t>fp_salina.pol</t>
  </si>
  <si>
    <t>fp_sanya.pol</t>
  </si>
  <si>
    <t>gibsea105plus.pol</t>
  </si>
  <si>
    <t>gibsea28.pol</t>
  </si>
  <si>
    <t>gibsea312.pol</t>
  </si>
  <si>
    <t>gibsea33.pol</t>
  </si>
  <si>
    <t>gibsea334.pol</t>
  </si>
  <si>
    <t>gibsea402.pol</t>
  </si>
  <si>
    <t>gibsea442.pol</t>
  </si>
  <si>
    <t>ginfizzketch.pol</t>
  </si>
  <si>
    <t>gladiateur.pol</t>
  </si>
  <si>
    <t>grandsoleil34.pol</t>
  </si>
  <si>
    <t>grandsoleil341.pol</t>
  </si>
  <si>
    <t>grandsoleil343.pol</t>
  </si>
  <si>
    <t>grandsoleil37.pol</t>
  </si>
  <si>
    <t>grandsoleil39.pol</t>
  </si>
  <si>
    <t>grandsoleil40.pol</t>
  </si>
  <si>
    <t>grandsoleil42.pol</t>
  </si>
  <si>
    <t>grandsoleil43.pol</t>
  </si>
  <si>
    <t>grandsoleil44.pol</t>
  </si>
  <si>
    <t>grandsoleil45.pol</t>
  </si>
  <si>
    <t>grandsoleil46.pol</t>
  </si>
  <si>
    <t>grandsoleil463.pol</t>
  </si>
  <si>
    <t>grandsoleil47n.pol</t>
  </si>
  <si>
    <t>grandsoleil50.pol</t>
  </si>
  <si>
    <t>grandsoleil52p.pol</t>
  </si>
  <si>
    <t>grandsurprise.pol</t>
  </si>
  <si>
    <t>hallberg-rassy310.pol</t>
  </si>
  <si>
    <t>hallberg-rassy342.pol</t>
  </si>
  <si>
    <t>hallberg-rassy372.pol</t>
  </si>
  <si>
    <t>hallberg-rassy39.pol</t>
  </si>
  <si>
    <t>hallberg-rassy40.pol</t>
  </si>
  <si>
    <t>hallberg-rassy412.pol</t>
  </si>
  <si>
    <t>hallberg-rassy43mklll.pol</t>
  </si>
  <si>
    <t>hallberg-rassy48mkll.pol</t>
  </si>
  <si>
    <t>hallberg-rassy55.pol</t>
  </si>
  <si>
    <t>hallberg-rassy64.pol</t>
  </si>
  <si>
    <t>hanse312.pol</t>
  </si>
  <si>
    <t>hanse315.pol</t>
  </si>
  <si>
    <t>hanse320.pol</t>
  </si>
  <si>
    <t>hanse325.pol</t>
  </si>
  <si>
    <t>hanse341.pol</t>
  </si>
  <si>
    <t>hanse342.pol</t>
  </si>
  <si>
    <t>hanse345.pol</t>
  </si>
  <si>
    <t>hanse355.pol</t>
  </si>
  <si>
    <t>hanse370.pol</t>
  </si>
  <si>
    <t>hanse371.pol</t>
  </si>
  <si>
    <t>hanse375.pol</t>
  </si>
  <si>
    <t>hanse385.pol</t>
  </si>
  <si>
    <t>hanse400.pol</t>
  </si>
  <si>
    <t>hanse411.pol</t>
  </si>
  <si>
    <t>hanse415.pol</t>
  </si>
  <si>
    <t>hanse430.pol</t>
  </si>
  <si>
    <t>hanse445.pol</t>
  </si>
  <si>
    <t>hanse470e.pol</t>
  </si>
  <si>
    <t>hanse540e.pol</t>
  </si>
  <si>
    <t>imoca.pol</t>
  </si>
  <si>
    <t>imoca2012.pol</t>
  </si>
  <si>
    <t>Imoca_VG2016.pol</t>
  </si>
  <si>
    <t>Imoca_VG2016_pro.pol</t>
  </si>
  <si>
    <t>imx38.pol</t>
  </si>
  <si>
    <t>imx40.pol</t>
  </si>
  <si>
    <t>imx45.pol</t>
  </si>
  <si>
    <t>j105.pol</t>
  </si>
  <si>
    <t>j109.pol</t>
  </si>
  <si>
    <t>j111.pol</t>
  </si>
  <si>
    <t>j120.pol</t>
  </si>
  <si>
    <t>j122.pol</t>
  </si>
  <si>
    <t>j133.pol</t>
  </si>
  <si>
    <t>j24.pol</t>
  </si>
  <si>
    <t>j29.pol</t>
  </si>
  <si>
    <t>j33.pol</t>
  </si>
  <si>
    <t>j35.pol</t>
  </si>
  <si>
    <t>j80.pol</t>
  </si>
  <si>
    <t>j92.pol</t>
  </si>
  <si>
    <t>j97.pol</t>
  </si>
  <si>
    <t>jod35.pol</t>
  </si>
  <si>
    <t>jpk1010.pol</t>
  </si>
  <si>
    <t>jpk110.pol</t>
  </si>
  <si>
    <t>jpk38fc.pol</t>
  </si>
  <si>
    <t>jpk960.pol</t>
  </si>
  <si>
    <t>kelt850.pol</t>
  </si>
  <si>
    <t>lagoon380.pol</t>
  </si>
  <si>
    <t>landmark43.pol</t>
  </si>
  <si>
    <t>m34.pol</t>
  </si>
  <si>
    <t>maxi_multi_2013.pol</t>
  </si>
  <si>
    <t>maxus21.pol</t>
  </si>
  <si>
    <t>melges24.pol</t>
  </si>
  <si>
    <t>melges32.pol</t>
  </si>
  <si>
    <t>melody.pol</t>
  </si>
  <si>
    <t>mills39_5.pol</t>
  </si>
  <si>
    <t>moody28.pol</t>
  </si>
  <si>
    <t>moody29.pol</t>
  </si>
  <si>
    <t>moody376.pol</t>
  </si>
  <si>
    <t>moody38.pol</t>
  </si>
  <si>
    <t>moody39.pol</t>
  </si>
  <si>
    <t>moody42ds.pol</t>
  </si>
  <si>
    <t>multi23.pol</t>
  </si>
  <si>
    <t>multi50.pol</t>
  </si>
  <si>
    <t>mumm30.pol</t>
  </si>
  <si>
    <t>mumm36.pol</t>
  </si>
  <si>
    <t>muscadet.pol</t>
  </si>
  <si>
    <t>myboat.pol</t>
  </si>
  <si>
    <t>mytest.pol</t>
  </si>
  <si>
    <t>nacira650.pol</t>
  </si>
  <si>
    <t>najad440.pol</t>
  </si>
  <si>
    <t>nautitech44.pol</t>
  </si>
  <si>
    <t>oceanis31.pol</t>
  </si>
  <si>
    <t>oceanis311.pol</t>
  </si>
  <si>
    <t>oceanis320.pol</t>
  </si>
  <si>
    <t>oceanis321.pol</t>
  </si>
  <si>
    <t>oceanis323clipper.pol</t>
  </si>
  <si>
    <t>oceanis331.pol</t>
  </si>
  <si>
    <t>oceanis34.pol</t>
  </si>
  <si>
    <t>oceanis343clipper.pol</t>
  </si>
  <si>
    <t>oceanis350.pol</t>
  </si>
  <si>
    <t>oceanis351.pol</t>
  </si>
  <si>
    <t>oceanis361.pol</t>
  </si>
  <si>
    <t>oceanis37.pol</t>
  </si>
  <si>
    <t>oceanis373.pol</t>
  </si>
  <si>
    <t>oceanis381.pol</t>
  </si>
  <si>
    <t>oceanis390.pol</t>
  </si>
  <si>
    <t>oceanis393.pol</t>
  </si>
  <si>
    <t>oceanis40.pol</t>
  </si>
  <si>
    <t>oceanis400.pol</t>
  </si>
  <si>
    <t>oceanis41.pol</t>
  </si>
  <si>
    <t>oceanis411.pol</t>
  </si>
  <si>
    <t>oceanis41gte.pol</t>
  </si>
  <si>
    <t>oceanis423_perffixe.pol</t>
  </si>
  <si>
    <t>oceanis423_perfrepliable.pol</t>
  </si>
  <si>
    <t>oceanis423_std.pol</t>
  </si>
  <si>
    <t>oceanis42cc.pol</t>
  </si>
  <si>
    <t>oceanis43.pol</t>
  </si>
  <si>
    <t>oceanis430.pol</t>
  </si>
  <si>
    <t>oceanis440.pol</t>
  </si>
  <si>
    <t>oceanis45.pol</t>
  </si>
  <si>
    <t>oceanis46.pol</t>
  </si>
  <si>
    <t>oceanis473.pol</t>
  </si>
  <si>
    <t>oceanis50.pol</t>
  </si>
  <si>
    <t>oceanis54.pol</t>
  </si>
  <si>
    <t>oceanis55.pol</t>
  </si>
  <si>
    <t>oceanis58.pol</t>
  </si>
  <si>
    <t>pdq36.pol</t>
  </si>
  <si>
    <t>pogo1050.pol</t>
  </si>
  <si>
    <t>pogo1250.pol</t>
  </si>
  <si>
    <t>pogo30.pol</t>
  </si>
  <si>
    <t>pogo40.pol</t>
  </si>
  <si>
    <t>pogo40_s2.pol</t>
  </si>
  <si>
    <t>pogo50.pol</t>
  </si>
  <si>
    <t>pogo650.pol</t>
  </si>
  <si>
    <t>pogo850.pol</t>
  </si>
  <si>
    <t>rm1070qr.pol</t>
  </si>
  <si>
    <t>rm1200.pol</t>
  </si>
  <si>
    <t>rm1270qr.pol</t>
  </si>
  <si>
    <t>rm880.pol</t>
  </si>
  <si>
    <t>rush32.pol</t>
  </si>
  <si>
    <t>sagitta35.pol</t>
  </si>
  <si>
    <t>salona33.pol</t>
  </si>
  <si>
    <t>salona34.pol</t>
  </si>
  <si>
    <t>salona35.pol</t>
  </si>
  <si>
    <t>salona37.pol</t>
  </si>
  <si>
    <t>salona38.pol</t>
  </si>
  <si>
    <t>salona40.pol</t>
  </si>
  <si>
    <t>salona41.pol</t>
  </si>
  <si>
    <t>salona42.pol</t>
  </si>
  <si>
    <t>salona44.pol</t>
  </si>
  <si>
    <t>salona45.pol</t>
  </si>
  <si>
    <t>sangria.pol</t>
  </si>
  <si>
    <t>santacruz50.pol</t>
  </si>
  <si>
    <t>seascape27.pol</t>
  </si>
  <si>
    <t>selection37.pol</t>
  </si>
  <si>
    <t>sense46.pol</t>
  </si>
  <si>
    <t>sense50.pol</t>
  </si>
  <si>
    <t>southernwind102.pol</t>
  </si>
  <si>
    <t>sunfast26.pol</t>
  </si>
  <si>
    <t>sunfast32.pol</t>
  </si>
  <si>
    <t>sunfast3200.pol</t>
  </si>
  <si>
    <t>sunfast32000_routage.pol</t>
  </si>
  <si>
    <t>sunfast3200_trunc.pol</t>
  </si>
  <si>
    <t>sunfast32i.pol</t>
  </si>
  <si>
    <t>sunfast36.pol</t>
  </si>
  <si>
    <t>sunfast3600.pol</t>
  </si>
  <si>
    <t>sunfast37.pol</t>
  </si>
  <si>
    <t>sunfast39tq.pol</t>
  </si>
  <si>
    <t>sunfast40.pol</t>
  </si>
  <si>
    <t>sunfast40_3.pol</t>
  </si>
  <si>
    <t>sunfast43.pol</t>
  </si>
  <si>
    <t>sunfizz.pol</t>
  </si>
  <si>
    <t>sunkiss45.pol</t>
  </si>
  <si>
    <t>sunlegend41.pol</t>
  </si>
  <si>
    <t>sunlight30.pol</t>
  </si>
  <si>
    <t>sunmagic44.pol</t>
  </si>
  <si>
    <t>sunodyssey28_1.pol</t>
  </si>
  <si>
    <t>sunodyssey29_2.pol</t>
  </si>
  <si>
    <t>sunodyssey30i.pol</t>
  </si>
  <si>
    <t>sunodyssey32.pol</t>
  </si>
  <si>
    <t>sunodyssey32i.pol</t>
  </si>
  <si>
    <t>sunodyssey34_2.pol</t>
  </si>
  <si>
    <t>sunodyssey35.pol</t>
  </si>
  <si>
    <t>sunodyssey36i.pol</t>
  </si>
  <si>
    <t>sunodyssey37.pol</t>
  </si>
  <si>
    <t>sunodyssey379.pol</t>
  </si>
  <si>
    <t>sunodyssey37_1.pol</t>
  </si>
  <si>
    <t>sunodyssey39i.pol</t>
  </si>
  <si>
    <t>sunodyssey40.pol</t>
  </si>
  <si>
    <t>sunodyssey409dk.pol</t>
  </si>
  <si>
    <t>sunodyssey40_3.pol</t>
  </si>
  <si>
    <t>sunodyssey42ds.pol</t>
  </si>
  <si>
    <t>sunodyssey42i.pol</t>
  </si>
  <si>
    <t>sunodyssey42_2.pol</t>
  </si>
  <si>
    <t>sunodyssey43.pol</t>
  </si>
  <si>
    <t>sunodyssey44i.pol</t>
  </si>
  <si>
    <t>sunodyssey45.pol</t>
  </si>
  <si>
    <t>sunodyssey45_1.pol</t>
  </si>
  <si>
    <t>sunodyssey49ds.pol</t>
  </si>
  <si>
    <t>sunodyssey49ip.pol</t>
  </si>
  <si>
    <t>sunodyssey509.pol</t>
  </si>
  <si>
    <t>sunrise34.pol</t>
  </si>
  <si>
    <t>sunshine38.pol</t>
  </si>
  <si>
    <t>surprise.pol</t>
  </si>
  <si>
    <t>swan37.pol</t>
  </si>
  <si>
    <t>swan38.pol</t>
  </si>
  <si>
    <t>swan39.pol</t>
  </si>
  <si>
    <t>swan40.pol</t>
  </si>
  <si>
    <t>swan44.pol</t>
  </si>
  <si>
    <t>swan45.pol</t>
  </si>
  <si>
    <t>swan46.pol</t>
  </si>
  <si>
    <t>swan47.pol</t>
  </si>
  <si>
    <t>swan48.pol</t>
  </si>
  <si>
    <t>swan56.pol</t>
  </si>
  <si>
    <t>swan57.pol</t>
  </si>
  <si>
    <t>swan65.pol</t>
  </si>
  <si>
    <t>swan75.pol</t>
  </si>
  <si>
    <t>symphonie.pol</t>
  </si>
  <si>
    <t>tartan10.pol</t>
  </si>
  <si>
    <t>tayana42.pol</t>
  </si>
  <si>
    <t>tofinou950.pol</t>
  </si>
  <si>
    <t>ultime.pol</t>
  </si>
  <si>
    <t>volvoocean65.pol</t>
  </si>
  <si>
    <t>x332.pol</t>
  </si>
  <si>
    <t>x332sport.pol</t>
  </si>
  <si>
    <t>x34.pol</t>
  </si>
  <si>
    <t>x35od.pol</t>
  </si>
  <si>
    <t>x362.pol</t>
  </si>
  <si>
    <t>x37.pol</t>
  </si>
  <si>
    <t>x382.pol</t>
  </si>
  <si>
    <t>x40.pol</t>
  </si>
  <si>
    <t>x402.pol</t>
  </si>
  <si>
    <t>x40carb.pol</t>
  </si>
  <si>
    <t>x41.pol</t>
  </si>
  <si>
    <t>x412.pol</t>
  </si>
  <si>
    <t>x43.pol</t>
  </si>
  <si>
    <t>x442.pol</t>
  </si>
  <si>
    <t>x46.pol</t>
  </si>
  <si>
    <t>x50.pol</t>
  </si>
  <si>
    <t>x55.pol</t>
  </si>
  <si>
    <t>x65.pol</t>
  </si>
  <si>
    <t>xc35.pol</t>
  </si>
  <si>
    <t>xc42.pol</t>
  </si>
  <si>
    <t>xc45.pol</t>
  </si>
  <si>
    <t>xc50.pol</t>
  </si>
  <si>
    <t>xp33.pol</t>
  </si>
  <si>
    <t>xp38.pol</t>
  </si>
  <si>
    <t>xp44.pol</t>
  </si>
  <si>
    <t>Polar
Polaire</t>
  </si>
  <si>
    <t>IRC Rating</t>
  </si>
  <si>
    <t>Display
Afficher</t>
  </si>
  <si>
    <t>Skipper</t>
  </si>
  <si>
    <t>Classes</t>
  </si>
  <si>
    <t>Id in race
Ref. dans la course</t>
  </si>
  <si>
    <t>Race File Path</t>
  </si>
  <si>
    <t>Race File Name</t>
  </si>
  <si>
    <t>Race Name
Nom de la course</t>
  </si>
  <si>
    <t>RaceName</t>
  </si>
  <si>
    <t>Class_2</t>
  </si>
  <si>
    <t>Class_3</t>
  </si>
  <si>
    <t>Class_1</t>
  </si>
  <si>
    <t>Boat 1</t>
  </si>
  <si>
    <t>Boat 2</t>
  </si>
  <si>
    <t>Boat 3</t>
  </si>
  <si>
    <t>Boat 4</t>
  </si>
  <si>
    <t>Do not Modify</t>
  </si>
  <si>
    <t>Skipper_1</t>
  </si>
  <si>
    <t>Skipper_2</t>
  </si>
  <si>
    <t>Skipper_3</t>
  </si>
  <si>
    <t>Skipper_4</t>
  </si>
  <si>
    <t>Cells that will be copied in the race file
Cellules copiées dans le fichier course</t>
  </si>
  <si>
    <t>YB Race Id</t>
  </si>
  <si>
    <t>minifastnet2017</t>
  </si>
  <si>
    <t>YB Files address</t>
  </si>
  <si>
    <t>Adrena race file</t>
  </si>
  <si>
    <t>Default Boat Color</t>
  </si>
  <si>
    <t>Go to the race tracking section of the race website to find the YB Race Id</t>
  </si>
  <si>
    <t>C:\Temp\</t>
  </si>
  <si>
    <t>Most recent positions report</t>
  </si>
  <si>
    <t>email to :</t>
  </si>
  <si>
    <t>subject :</t>
  </si>
  <si>
    <t xml:space="preserve">adrena </t>
  </si>
  <si>
    <t>Subscription interval hours</t>
  </si>
  <si>
    <t>To get the most recent positions report by email
Pour recevoir un fichier avec les dernières positions</t>
  </si>
  <si>
    <t>To subscribe to the most recent positions report by email
Pour s'abonner aux fichiers de positions</t>
  </si>
  <si>
    <r>
      <t xml:space="preserve">Here the race tracking url is : http://yb.tl/minifastnet2017, the race Id is </t>
    </r>
    <r>
      <rPr>
        <b/>
        <sz val="11"/>
        <color theme="1"/>
        <rFont val="Calibri"/>
        <family val="2"/>
        <scheme val="minor"/>
      </rPr>
      <t>minifastnet2017</t>
    </r>
  </si>
  <si>
    <t>If you can't find it, search Google for</t>
  </si>
  <si>
    <t>Recent versions of Expedition have a YB Tracking option which requires this code</t>
  </si>
</sst>
</file>

<file path=xl/styles.xml><?xml version="1.0" encoding="utf-8"?>
<styleSheet xmlns="http://schemas.openxmlformats.org/spreadsheetml/2006/main">
  <numFmts count="1">
    <numFmt numFmtId="164" formatCode="0.000"/>
  </numFmts>
  <fonts count="14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CC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 tint="0.499984740745262"/>
      <name val="Calibri"/>
      <family val="2"/>
      <scheme val="minor"/>
    </font>
    <font>
      <u/>
      <sz val="11"/>
      <color rgb="FF0070C0"/>
      <name val="Calibri"/>
      <family val="2"/>
    </font>
    <font>
      <b/>
      <sz val="11"/>
      <color rgb="FF0000CC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007F"/>
        <bgColor indexed="64"/>
      </patternFill>
    </fill>
    <fill>
      <patternFill patternType="solid">
        <fgColor rgb="FFFF8000"/>
        <bgColor indexed="64"/>
      </patternFill>
    </fill>
    <fill>
      <patternFill patternType="solid">
        <fgColor rgb="FF004000"/>
        <bgColor indexed="64"/>
      </patternFill>
    </fill>
    <fill>
      <patternFill patternType="solid">
        <fgColor rgb="FF0000FE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89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00F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4" fillId="0" borderId="0" applyNumberFormat="0" applyFill="0" applyBorder="0" applyAlignment="0" applyProtection="0"/>
    <xf numFmtId="0" fontId="1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101">
    <xf numFmtId="0" fontId="0" fillId="0" borderId="0" xfId="0"/>
    <xf numFmtId="0" fontId="1" fillId="0" borderId="0" xfId="2"/>
    <xf numFmtId="164" fontId="0" fillId="0" borderId="0" xfId="0" applyNumberFormat="1"/>
    <xf numFmtId="0" fontId="0" fillId="2" borderId="0" xfId="0" applyFill="1"/>
    <xf numFmtId="0" fontId="5" fillId="0" borderId="0" xfId="0" applyFont="1"/>
    <xf numFmtId="0" fontId="5" fillId="0" borderId="0" xfId="0" applyFont="1" applyFill="1"/>
    <xf numFmtId="0" fontId="5" fillId="3" borderId="0" xfId="0" applyFont="1" applyFill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/>
    <xf numFmtId="0" fontId="0" fillId="0" borderId="8" xfId="0" applyBorder="1"/>
    <xf numFmtId="0" fontId="0" fillId="0" borderId="6" xfId="0" applyBorder="1"/>
    <xf numFmtId="0" fontId="0" fillId="0" borderId="7" xfId="0" applyBorder="1"/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7" borderId="3" xfId="0" applyFill="1" applyBorder="1"/>
    <xf numFmtId="0" fontId="0" fillId="8" borderId="3" xfId="0" applyFill="1" applyBorder="1"/>
    <xf numFmtId="0" fontId="0" fillId="4" borderId="3" xfId="0" applyFill="1" applyBorder="1"/>
    <xf numFmtId="0" fontId="0" fillId="9" borderId="3" xfId="0" applyFill="1" applyBorder="1"/>
    <xf numFmtId="0" fontId="0" fillId="10" borderId="3" xfId="0" applyFill="1" applyBorder="1"/>
    <xf numFmtId="0" fontId="0" fillId="6" borderId="4" xfId="0" applyFill="1" applyBorder="1"/>
    <xf numFmtId="0" fontId="0" fillId="0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6" fillId="0" borderId="3" xfId="0" applyFont="1" applyBorder="1"/>
    <xf numFmtId="0" fontId="6" fillId="0" borderId="4" xfId="0" applyFont="1" applyBorder="1"/>
    <xf numFmtId="0" fontId="6" fillId="0" borderId="6" xfId="0" applyFont="1" applyBorder="1"/>
    <xf numFmtId="0" fontId="6" fillId="0" borderId="0" xfId="0" applyFont="1" applyBorder="1"/>
    <xf numFmtId="0" fontId="6" fillId="0" borderId="7" xfId="0" applyFont="1" applyBorder="1"/>
    <xf numFmtId="0" fontId="0" fillId="0" borderId="13" xfId="0" applyBorder="1"/>
    <xf numFmtId="0" fontId="6" fillId="0" borderId="13" xfId="0" applyFont="1" applyBorder="1"/>
    <xf numFmtId="0" fontId="6" fillId="0" borderId="14" xfId="0" applyFont="1" applyBorder="1"/>
    <xf numFmtId="0" fontId="6" fillId="0" borderId="15" xfId="0" applyFont="1" applyBorder="1"/>
    <xf numFmtId="0" fontId="0" fillId="0" borderId="2" xfId="0" applyBorder="1"/>
    <xf numFmtId="0" fontId="6" fillId="0" borderId="8" xfId="0" applyFont="1" applyBorder="1"/>
    <xf numFmtId="0" fontId="6" fillId="0" borderId="9" xfId="0" applyFont="1" applyBorder="1"/>
    <xf numFmtId="0" fontId="6" fillId="0" borderId="10" xfId="0" applyFont="1" applyBorder="1"/>
    <xf numFmtId="0" fontId="0" fillId="4" borderId="15" xfId="0" applyFill="1" applyBorder="1"/>
    <xf numFmtId="0" fontId="0" fillId="12" borderId="7" xfId="0" applyFill="1" applyBorder="1"/>
    <xf numFmtId="0" fontId="0" fillId="2" borderId="7" xfId="0" applyFill="1" applyBorder="1"/>
    <xf numFmtId="0" fontId="0" fillId="11" borderId="7" xfId="0" applyFill="1" applyBorder="1"/>
    <xf numFmtId="0" fontId="0" fillId="13" borderId="7" xfId="0" applyFill="1" applyBorder="1"/>
    <xf numFmtId="0" fontId="0" fillId="5" borderId="7" xfId="0" applyFill="1" applyBorder="1"/>
    <xf numFmtId="0" fontId="0" fillId="14" borderId="10" xfId="0" applyFill="1" applyBorder="1"/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5" fillId="0" borderId="0" xfId="0" applyNumberFormat="1" applyFont="1"/>
    <xf numFmtId="0" fontId="0" fillId="15" borderId="3" xfId="0" applyFill="1" applyBorder="1"/>
    <xf numFmtId="0" fontId="0" fillId="13" borderId="3" xfId="0" applyFill="1" applyBorder="1"/>
    <xf numFmtId="0" fontId="0" fillId="11" borderId="3" xfId="0" applyFill="1" applyBorder="1"/>
    <xf numFmtId="0" fontId="0" fillId="16" borderId="3" xfId="0" applyFill="1" applyBorder="1"/>
    <xf numFmtId="0" fontId="0" fillId="17" borderId="3" xfId="0" applyFill="1" applyBorder="1"/>
    <xf numFmtId="0" fontId="0" fillId="2" borderId="4" xfId="0" applyFill="1" applyBorder="1"/>
    <xf numFmtId="0" fontId="0" fillId="0" borderId="15" xfId="0" applyBorder="1"/>
    <xf numFmtId="0" fontId="0" fillId="0" borderId="13" xfId="0" applyBorder="1" applyAlignment="1">
      <alignment wrapText="1"/>
    </xf>
    <xf numFmtId="0" fontId="0" fillId="0" borderId="1" xfId="0" applyBorder="1"/>
    <xf numFmtId="164" fontId="0" fillId="0" borderId="0" xfId="0" applyNumberFormat="1" applyBorder="1"/>
    <xf numFmtId="0" fontId="5" fillId="3" borderId="1" xfId="0" applyFont="1" applyFill="1" applyBorder="1" applyAlignment="1">
      <alignment horizontal="center" vertical="center" wrapText="1"/>
    </xf>
    <xf numFmtId="0" fontId="6" fillId="0" borderId="14" xfId="0" applyFont="1" applyBorder="1" applyProtection="1">
      <protection locked="0"/>
    </xf>
    <xf numFmtId="0" fontId="6" fillId="0" borderId="0" xfId="0" applyFont="1" applyBorder="1" applyProtection="1">
      <protection locked="0"/>
    </xf>
    <xf numFmtId="164" fontId="6" fillId="0" borderId="0" xfId="0" applyNumberFormat="1" applyFont="1" applyBorder="1" applyProtection="1">
      <protection locked="0"/>
    </xf>
    <xf numFmtId="0" fontId="6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8" xfId="0" applyFont="1" applyBorder="1" applyAlignment="1" applyProtection="1">
      <alignment horizontal="center"/>
      <protection locked="0"/>
    </xf>
    <xf numFmtId="0" fontId="6" fillId="0" borderId="11" xfId="0" applyFont="1" applyBorder="1" applyAlignment="1" applyProtection="1">
      <alignment horizontal="center"/>
      <protection locked="0"/>
    </xf>
    <xf numFmtId="164" fontId="6" fillId="0" borderId="11" xfId="0" applyNumberFormat="1" applyFont="1" applyBorder="1" applyAlignment="1" applyProtection="1">
      <alignment horizontal="center"/>
      <protection locked="0"/>
    </xf>
    <xf numFmtId="0" fontId="6" fillId="0" borderId="12" xfId="0" applyFont="1" applyBorder="1" applyAlignment="1" applyProtection="1">
      <alignment horizontal="center"/>
      <protection locked="0"/>
    </xf>
    <xf numFmtId="0" fontId="6" fillId="0" borderId="2" xfId="0" applyFont="1" applyBorder="1" applyProtection="1">
      <protection locked="0"/>
    </xf>
    <xf numFmtId="0" fontId="6" fillId="0" borderId="3" xfId="0" applyFont="1" applyBorder="1" applyProtection="1">
      <protection locked="0"/>
    </xf>
    <xf numFmtId="0" fontId="6" fillId="0" borderId="4" xfId="0" applyFont="1" applyBorder="1" applyProtection="1">
      <protection locked="0"/>
    </xf>
    <xf numFmtId="0" fontId="6" fillId="0" borderId="0" xfId="0" applyFont="1" applyProtection="1">
      <protection locked="0"/>
    </xf>
    <xf numFmtId="0" fontId="5" fillId="18" borderId="1" xfId="0" applyFont="1" applyFill="1" applyBorder="1" applyAlignment="1">
      <alignment horizontal="center" vertical="center" wrapText="1"/>
    </xf>
    <xf numFmtId="0" fontId="6" fillId="0" borderId="9" xfId="0" applyFont="1" applyBorder="1" applyProtection="1">
      <protection locked="0"/>
    </xf>
    <xf numFmtId="0" fontId="9" fillId="0" borderId="6" xfId="0" applyFont="1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center"/>
      <protection locked="0"/>
    </xf>
    <xf numFmtId="0" fontId="5" fillId="3" borderId="2" xfId="0" applyFont="1" applyFill="1" applyBorder="1" applyAlignment="1">
      <alignment horizontal="center" vertical="center" wrapText="1"/>
    </xf>
    <xf numFmtId="164" fontId="5" fillId="3" borderId="2" xfId="0" applyNumberFormat="1" applyFont="1" applyFill="1" applyBorder="1" applyAlignment="1">
      <alignment horizontal="center" vertical="center" wrapText="1"/>
    </xf>
    <xf numFmtId="0" fontId="11" fillId="0" borderId="14" xfId="0" applyFont="1" applyBorder="1" applyAlignment="1" applyProtection="1">
      <alignment horizontal="center"/>
      <protection locked="0"/>
    </xf>
    <xf numFmtId="0" fontId="12" fillId="0" borderId="0" xfId="3" applyFont="1" applyAlignment="1" applyProtection="1"/>
    <xf numFmtId="0" fontId="12" fillId="0" borderId="0" xfId="0" applyFont="1"/>
    <xf numFmtId="0" fontId="0" fillId="0" borderId="5" xfId="0" applyBorder="1"/>
    <xf numFmtId="0" fontId="13" fillId="19" borderId="12" xfId="0" applyFont="1" applyFill="1" applyBorder="1" applyAlignment="1" applyProtection="1">
      <alignment horizontal="center" vertical="center"/>
      <protection locked="0"/>
    </xf>
    <xf numFmtId="0" fontId="0" fillId="20" borderId="0" xfId="0" applyFill="1" applyAlignment="1">
      <alignment horizontal="center"/>
    </xf>
    <xf numFmtId="0" fontId="0" fillId="20" borderId="0" xfId="0" applyFill="1"/>
    <xf numFmtId="164" fontId="0" fillId="20" borderId="0" xfId="0" applyNumberFormat="1" applyFill="1"/>
    <xf numFmtId="0" fontId="9" fillId="0" borderId="8" xfId="0" applyFont="1" applyBorder="1" applyAlignment="1" applyProtection="1">
      <alignment horizontal="center"/>
      <protection locked="0"/>
    </xf>
    <xf numFmtId="0" fontId="9" fillId="0" borderId="9" xfId="0" applyFont="1" applyBorder="1" applyAlignment="1" applyProtection="1">
      <alignment horizontal="center"/>
      <protection locked="0"/>
    </xf>
    <xf numFmtId="0" fontId="6" fillId="0" borderId="9" xfId="0" applyFont="1" applyBorder="1" applyAlignment="1" applyProtection="1">
      <alignment horizontal="center"/>
      <protection locked="0"/>
    </xf>
    <xf numFmtId="164" fontId="6" fillId="0" borderId="9" xfId="0" applyNumberFormat="1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8" fillId="2" borderId="1" xfId="0" applyFont="1" applyFill="1" applyBorder="1" applyAlignment="1" applyProtection="1">
      <alignment horizontal="center"/>
      <protection locked="0"/>
    </xf>
    <xf numFmtId="0" fontId="0" fillId="0" borderId="5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</cellXfs>
  <cellStyles count="4">
    <cellStyle name="Lien hypertexte" xfId="3" builtinId="8"/>
    <cellStyle name="Lien hypertexte 2" xfId="1"/>
    <cellStyle name="Normal" xfId="0" builtinId="0"/>
    <cellStyle name="Normal 2" xfId="2"/>
  </cellStyles>
  <dxfs count="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CC"/>
      <color rgb="FF8000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6/relationships/vbaProject" Target="vbaProject.bin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hyperlink" Target="http://yb.tl/minifastnet2017-adrena.txt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5"/>
  <dimension ref="A1:IV599"/>
  <sheetViews>
    <sheetView workbookViewId="0">
      <selection activeCell="IB599" sqref="IB599"/>
    </sheetView>
  </sheetViews>
  <sheetFormatPr baseColWidth="10" defaultRowHeight="14.4"/>
  <sheetData>
    <row r="1" spans="1:256">
      <c r="A1" t="e">
        <f>IF(#REF!,"AAAAADXyrQA=",0)</f>
        <v>#REF!</v>
      </c>
      <c r="B1" t="e">
        <f>AND(#REF!,"AAAAADXyrQE=")</f>
        <v>#REF!</v>
      </c>
      <c r="C1" t="e">
        <f>AND(#REF!,"AAAAADXyrQI=")</f>
        <v>#REF!</v>
      </c>
      <c r="D1" t="e">
        <f>AND(#REF!,"AAAAADXyrQM=")</f>
        <v>#REF!</v>
      </c>
      <c r="E1" t="e">
        <f>AND(#REF!,"AAAAADXyrQQ=")</f>
        <v>#REF!</v>
      </c>
      <c r="F1" t="e">
        <f>AND(#REF!,"AAAAADXyrQU=")</f>
        <v>#REF!</v>
      </c>
      <c r="G1" t="e">
        <f>AND(#REF!,"AAAAADXyrQY=")</f>
        <v>#REF!</v>
      </c>
      <c r="H1" t="e">
        <f>AND(#REF!,"AAAAADXyrQc=")</f>
        <v>#REF!</v>
      </c>
      <c r="I1" t="e">
        <f>AND(#REF!,"AAAAADXyrQg=")</f>
        <v>#REF!</v>
      </c>
      <c r="J1" t="e">
        <f>AND(#REF!,"AAAAADXyrQk=")</f>
        <v>#REF!</v>
      </c>
      <c r="K1" t="e">
        <f>AND(#REF!,"AAAAADXyrQo=")</f>
        <v>#REF!</v>
      </c>
      <c r="L1" t="e">
        <f>AND(#REF!,"AAAAADXyrQs=")</f>
        <v>#REF!</v>
      </c>
      <c r="M1" t="e">
        <f>AND(#REF!,"AAAAADXyrQw=")</f>
        <v>#REF!</v>
      </c>
      <c r="N1" t="e">
        <f>IF(#REF!,"AAAAADXyrQ0=",0)</f>
        <v>#REF!</v>
      </c>
      <c r="O1" t="e">
        <f>AND(#REF!,"AAAAADXyrQ4=")</f>
        <v>#REF!</v>
      </c>
      <c r="P1" t="e">
        <f>AND(#REF!,"AAAAADXyrQ8=")</f>
        <v>#REF!</v>
      </c>
      <c r="Q1" t="e">
        <f>AND(#REF!,"AAAAADXyrRA=")</f>
        <v>#REF!</v>
      </c>
      <c r="R1" t="e">
        <f>AND(#REF!,"AAAAADXyrRE=")</f>
        <v>#REF!</v>
      </c>
      <c r="S1" t="e">
        <f>AND(#REF!,"AAAAADXyrRI=")</f>
        <v>#REF!</v>
      </c>
      <c r="T1" t="e">
        <f>AND(#REF!,"AAAAADXyrRM=")</f>
        <v>#REF!</v>
      </c>
      <c r="U1" t="e">
        <f>AND(#REF!,"AAAAADXyrRQ=")</f>
        <v>#REF!</v>
      </c>
      <c r="V1" t="e">
        <f>AND(#REF!,"AAAAADXyrRU=")</f>
        <v>#REF!</v>
      </c>
      <c r="W1" t="e">
        <f>AND(#REF!,"AAAAADXyrRY=")</f>
        <v>#REF!</v>
      </c>
      <c r="X1" t="e">
        <f>AND(#REF!,"AAAAADXyrRc=")</f>
        <v>#REF!</v>
      </c>
      <c r="Y1" t="e">
        <f>AND(#REF!,"AAAAADXyrRg=")</f>
        <v>#REF!</v>
      </c>
      <c r="Z1" t="e">
        <f>AND(#REF!,"AAAAADXyrRk=")</f>
        <v>#REF!</v>
      </c>
      <c r="AA1" t="e">
        <f>IF(#REF!,"AAAAADXyrRo=",0)</f>
        <v>#REF!</v>
      </c>
      <c r="AB1" t="e">
        <f>AND(#REF!,"AAAAADXyrRs=")</f>
        <v>#REF!</v>
      </c>
      <c r="AC1" t="e">
        <f>AND(#REF!,"AAAAADXyrRw=")</f>
        <v>#REF!</v>
      </c>
      <c r="AD1" t="e">
        <f>AND(#REF!,"AAAAADXyrR0=")</f>
        <v>#REF!</v>
      </c>
      <c r="AE1" t="e">
        <f>AND(#REF!,"AAAAADXyrR4=")</f>
        <v>#REF!</v>
      </c>
      <c r="AF1" t="e">
        <f>AND(#REF!,"AAAAADXyrR8=")</f>
        <v>#REF!</v>
      </c>
      <c r="AG1" t="e">
        <f>AND(#REF!,"AAAAADXyrSA=")</f>
        <v>#REF!</v>
      </c>
      <c r="AH1" t="e">
        <f>AND(#REF!,"AAAAADXyrSE=")</f>
        <v>#REF!</v>
      </c>
      <c r="AI1" t="e">
        <f>AND(#REF!,"AAAAADXyrSI=")</f>
        <v>#REF!</v>
      </c>
      <c r="AJ1" t="e">
        <f>AND(#REF!,"AAAAADXyrSM=")</f>
        <v>#REF!</v>
      </c>
      <c r="AK1" t="e">
        <f>AND(#REF!,"AAAAADXyrSQ=")</f>
        <v>#REF!</v>
      </c>
      <c r="AL1" t="e">
        <f>AND(#REF!,"AAAAADXyrSU=")</f>
        <v>#REF!</v>
      </c>
      <c r="AM1" t="e">
        <f>AND(#REF!,"AAAAADXyrSY=")</f>
        <v>#REF!</v>
      </c>
      <c r="AN1" t="e">
        <f>IF(#REF!,"AAAAADXyrSc=",0)</f>
        <v>#REF!</v>
      </c>
      <c r="AO1" t="e">
        <f>AND(#REF!,"AAAAADXyrSg=")</f>
        <v>#REF!</v>
      </c>
      <c r="AP1" t="e">
        <f>AND(#REF!,"AAAAADXyrSk=")</f>
        <v>#REF!</v>
      </c>
      <c r="AQ1" t="e">
        <f>AND(#REF!,"AAAAADXyrSo=")</f>
        <v>#REF!</v>
      </c>
      <c r="AR1" t="e">
        <f>AND(#REF!,"AAAAADXyrSs=")</f>
        <v>#REF!</v>
      </c>
      <c r="AS1" t="e">
        <f>AND(#REF!,"AAAAADXyrSw=")</f>
        <v>#REF!</v>
      </c>
      <c r="AT1" t="e">
        <f>AND(#REF!,"AAAAADXyrS0=")</f>
        <v>#REF!</v>
      </c>
      <c r="AU1" t="e">
        <f>AND(#REF!,"AAAAADXyrS4=")</f>
        <v>#REF!</v>
      </c>
      <c r="AV1" t="e">
        <f>AND(#REF!,"AAAAADXyrS8=")</f>
        <v>#REF!</v>
      </c>
      <c r="AW1" t="e">
        <f>AND(#REF!,"AAAAADXyrTA=")</f>
        <v>#REF!</v>
      </c>
      <c r="AX1" t="e">
        <f>AND(#REF!,"AAAAADXyrTE=")</f>
        <v>#REF!</v>
      </c>
      <c r="AY1" t="e">
        <f>AND(#REF!,"AAAAADXyrTI=")</f>
        <v>#REF!</v>
      </c>
      <c r="AZ1" t="e">
        <f>AND(#REF!,"AAAAADXyrTM=")</f>
        <v>#REF!</v>
      </c>
      <c r="BA1" t="e">
        <f>IF(#REF!,"AAAAADXyrTQ=",0)</f>
        <v>#REF!</v>
      </c>
      <c r="BB1" t="e">
        <f>AND(#REF!,"AAAAADXyrTU=")</f>
        <v>#REF!</v>
      </c>
      <c r="BC1" t="e">
        <f>AND(#REF!,"AAAAADXyrTY=")</f>
        <v>#REF!</v>
      </c>
      <c r="BD1" t="e">
        <f>AND(#REF!,"AAAAADXyrTc=")</f>
        <v>#REF!</v>
      </c>
      <c r="BE1" t="e">
        <f>AND(#REF!,"AAAAADXyrTg=")</f>
        <v>#REF!</v>
      </c>
      <c r="BF1" t="e">
        <f>AND(#REF!,"AAAAADXyrTk=")</f>
        <v>#REF!</v>
      </c>
      <c r="BG1" t="e">
        <f>AND(#REF!,"AAAAADXyrTo=")</f>
        <v>#REF!</v>
      </c>
      <c r="BH1" t="e">
        <f>AND(#REF!,"AAAAADXyrTs=")</f>
        <v>#REF!</v>
      </c>
      <c r="BI1" t="e">
        <f>AND(#REF!,"AAAAADXyrTw=")</f>
        <v>#REF!</v>
      </c>
      <c r="BJ1" t="e">
        <f>AND(#REF!,"AAAAADXyrT0=")</f>
        <v>#REF!</v>
      </c>
      <c r="BK1" t="e">
        <f>AND(#REF!,"AAAAADXyrT4=")</f>
        <v>#REF!</v>
      </c>
      <c r="BL1" t="e">
        <f>AND(#REF!,"AAAAADXyrT8=")</f>
        <v>#REF!</v>
      </c>
      <c r="BM1" t="e">
        <f>AND(#REF!,"AAAAADXyrUA=")</f>
        <v>#REF!</v>
      </c>
      <c r="BN1" t="e">
        <f>IF(#REF!,"AAAAADXyrUE=",0)</f>
        <v>#REF!</v>
      </c>
      <c r="BO1" t="e">
        <f>AND(#REF!,"AAAAADXyrUI=")</f>
        <v>#REF!</v>
      </c>
      <c r="BP1" t="e">
        <f>AND(#REF!,"AAAAADXyrUM=")</f>
        <v>#REF!</v>
      </c>
      <c r="BQ1" t="e">
        <f>AND(#REF!,"AAAAADXyrUQ=")</f>
        <v>#REF!</v>
      </c>
      <c r="BR1" t="e">
        <f>AND(#REF!,"AAAAADXyrUU=")</f>
        <v>#REF!</v>
      </c>
      <c r="BS1" t="e">
        <f>AND(#REF!,"AAAAADXyrUY=")</f>
        <v>#REF!</v>
      </c>
      <c r="BT1" t="e">
        <f>AND(#REF!,"AAAAADXyrUc=")</f>
        <v>#REF!</v>
      </c>
      <c r="BU1" t="e">
        <f>AND(#REF!,"AAAAADXyrUg=")</f>
        <v>#REF!</v>
      </c>
      <c r="BV1" t="e">
        <f>AND(#REF!,"AAAAADXyrUk=")</f>
        <v>#REF!</v>
      </c>
      <c r="BW1" t="e">
        <f>AND(#REF!,"AAAAADXyrUo=")</f>
        <v>#REF!</v>
      </c>
      <c r="BX1" t="e">
        <f>AND(#REF!,"AAAAADXyrUs=")</f>
        <v>#REF!</v>
      </c>
      <c r="BY1" t="e">
        <f>AND(#REF!,"AAAAADXyrUw=")</f>
        <v>#REF!</v>
      </c>
      <c r="BZ1" t="e">
        <f>AND(#REF!,"AAAAADXyrU0=")</f>
        <v>#REF!</v>
      </c>
      <c r="CA1" t="e">
        <f>IF(#REF!,"AAAAADXyrU4=",0)</f>
        <v>#REF!</v>
      </c>
      <c r="CB1" t="e">
        <f>AND(#REF!,"AAAAADXyrU8=")</f>
        <v>#REF!</v>
      </c>
      <c r="CC1" t="e">
        <f>AND(#REF!,"AAAAADXyrVA=")</f>
        <v>#REF!</v>
      </c>
      <c r="CD1" t="e">
        <f>AND(#REF!,"AAAAADXyrVE=")</f>
        <v>#REF!</v>
      </c>
      <c r="CE1" t="e">
        <f>AND(#REF!,"AAAAADXyrVI=")</f>
        <v>#REF!</v>
      </c>
      <c r="CF1" t="e">
        <f>AND(#REF!,"AAAAADXyrVM=")</f>
        <v>#REF!</v>
      </c>
      <c r="CG1" t="e">
        <f>AND(#REF!,"AAAAADXyrVQ=")</f>
        <v>#REF!</v>
      </c>
      <c r="CH1" t="e">
        <f>AND(#REF!,"AAAAADXyrVU=")</f>
        <v>#REF!</v>
      </c>
      <c r="CI1" t="e">
        <f>AND(#REF!,"AAAAADXyrVY=")</f>
        <v>#REF!</v>
      </c>
      <c r="CJ1" t="e">
        <f>AND(#REF!,"AAAAADXyrVc=")</f>
        <v>#REF!</v>
      </c>
      <c r="CK1" t="e">
        <f>AND(#REF!,"AAAAADXyrVg=")</f>
        <v>#REF!</v>
      </c>
      <c r="CL1" t="e">
        <f>AND(#REF!,"AAAAADXyrVk=")</f>
        <v>#REF!</v>
      </c>
      <c r="CM1" t="e">
        <f>AND(#REF!,"AAAAADXyrVo=")</f>
        <v>#REF!</v>
      </c>
      <c r="CN1" t="e">
        <f>IF(#REF!,"AAAAADXyrVs=",0)</f>
        <v>#REF!</v>
      </c>
      <c r="CO1" t="e">
        <f>AND(#REF!,"AAAAADXyrVw=")</f>
        <v>#REF!</v>
      </c>
      <c r="CP1" t="e">
        <f>AND(#REF!,"AAAAADXyrV0=")</f>
        <v>#REF!</v>
      </c>
      <c r="CQ1" t="e">
        <f>AND(#REF!,"AAAAADXyrV4=")</f>
        <v>#REF!</v>
      </c>
      <c r="CR1" t="e">
        <f>AND(#REF!,"AAAAADXyrV8=")</f>
        <v>#REF!</v>
      </c>
      <c r="CS1" t="e">
        <f>AND(#REF!,"AAAAADXyrWA=")</f>
        <v>#REF!</v>
      </c>
      <c r="CT1" t="e">
        <f>AND(#REF!,"AAAAADXyrWE=")</f>
        <v>#REF!</v>
      </c>
      <c r="CU1" t="e">
        <f>AND(#REF!,"AAAAADXyrWI=")</f>
        <v>#REF!</v>
      </c>
      <c r="CV1" t="e">
        <f>AND(#REF!,"AAAAADXyrWM=")</f>
        <v>#REF!</v>
      </c>
      <c r="CW1" t="e">
        <f>AND(#REF!,"AAAAADXyrWQ=")</f>
        <v>#REF!</v>
      </c>
      <c r="CX1" t="e">
        <f>AND(#REF!,"AAAAADXyrWU=")</f>
        <v>#REF!</v>
      </c>
      <c r="CY1" t="e">
        <f>AND(#REF!,"AAAAADXyrWY=")</f>
        <v>#REF!</v>
      </c>
      <c r="CZ1" t="e">
        <f>AND(#REF!,"AAAAADXyrWc=")</f>
        <v>#REF!</v>
      </c>
      <c r="DA1" t="e">
        <f>IF(#REF!,"AAAAADXyrWg=",0)</f>
        <v>#REF!</v>
      </c>
      <c r="DB1" t="e">
        <f>AND(#REF!,"AAAAADXyrWk=")</f>
        <v>#REF!</v>
      </c>
      <c r="DC1" t="e">
        <f>AND(#REF!,"AAAAADXyrWo=")</f>
        <v>#REF!</v>
      </c>
      <c r="DD1" t="e">
        <f>AND(#REF!,"AAAAADXyrWs=")</f>
        <v>#REF!</v>
      </c>
      <c r="DE1" t="e">
        <f>AND(#REF!,"AAAAADXyrWw=")</f>
        <v>#REF!</v>
      </c>
      <c r="DF1" t="e">
        <f>AND(#REF!,"AAAAADXyrW0=")</f>
        <v>#REF!</v>
      </c>
      <c r="DG1" t="e">
        <f>AND(#REF!,"AAAAADXyrW4=")</f>
        <v>#REF!</v>
      </c>
      <c r="DH1" t="e">
        <f>AND(#REF!,"AAAAADXyrW8=")</f>
        <v>#REF!</v>
      </c>
      <c r="DI1" t="e">
        <f>AND(#REF!,"AAAAADXyrXA=")</f>
        <v>#REF!</v>
      </c>
      <c r="DJ1" t="e">
        <f>AND(#REF!,"AAAAADXyrXE=")</f>
        <v>#REF!</v>
      </c>
      <c r="DK1" t="e">
        <f>AND(#REF!,"AAAAADXyrXI=")</f>
        <v>#REF!</v>
      </c>
      <c r="DL1" t="e">
        <f>AND(#REF!,"AAAAADXyrXM=")</f>
        <v>#REF!</v>
      </c>
      <c r="DM1" t="e">
        <f>AND(#REF!,"AAAAADXyrXQ=")</f>
        <v>#REF!</v>
      </c>
      <c r="DN1" t="e">
        <f>IF(#REF!,"AAAAADXyrXU=",0)</f>
        <v>#REF!</v>
      </c>
      <c r="DO1" t="e">
        <f>AND(#REF!,"AAAAADXyrXY=")</f>
        <v>#REF!</v>
      </c>
      <c r="DP1" t="e">
        <f>AND(#REF!,"AAAAADXyrXc=")</f>
        <v>#REF!</v>
      </c>
      <c r="DQ1" t="e">
        <f>AND(#REF!,"AAAAADXyrXg=")</f>
        <v>#REF!</v>
      </c>
      <c r="DR1" t="e">
        <f>AND(#REF!,"AAAAADXyrXk=")</f>
        <v>#REF!</v>
      </c>
      <c r="DS1" t="e">
        <f>AND(#REF!,"AAAAADXyrXo=")</f>
        <v>#REF!</v>
      </c>
      <c r="DT1" t="e">
        <f>AND(#REF!,"AAAAADXyrXs=")</f>
        <v>#REF!</v>
      </c>
      <c r="DU1" t="e">
        <f>AND(#REF!,"AAAAADXyrXw=")</f>
        <v>#REF!</v>
      </c>
      <c r="DV1" t="e">
        <f>AND(#REF!,"AAAAADXyrX0=")</f>
        <v>#REF!</v>
      </c>
      <c r="DW1" t="e">
        <f>AND(#REF!,"AAAAADXyrX4=")</f>
        <v>#REF!</v>
      </c>
      <c r="DX1" t="e">
        <f>AND(#REF!,"AAAAADXyrX8=")</f>
        <v>#REF!</v>
      </c>
      <c r="DY1" t="e">
        <f>AND(#REF!,"AAAAADXyrYA=")</f>
        <v>#REF!</v>
      </c>
      <c r="DZ1" t="e">
        <f>AND(#REF!,"AAAAADXyrYE=")</f>
        <v>#REF!</v>
      </c>
      <c r="EA1" t="e">
        <f>IF(#REF!,"AAAAADXyrYI=",0)</f>
        <v>#REF!</v>
      </c>
      <c r="EB1" t="e">
        <f>AND(#REF!,"AAAAADXyrYM=")</f>
        <v>#REF!</v>
      </c>
      <c r="EC1" t="e">
        <f>AND(#REF!,"AAAAADXyrYQ=")</f>
        <v>#REF!</v>
      </c>
      <c r="ED1" t="e">
        <f>AND(#REF!,"AAAAADXyrYU=")</f>
        <v>#REF!</v>
      </c>
      <c r="EE1" t="e">
        <f>AND(#REF!,"AAAAADXyrYY=")</f>
        <v>#REF!</v>
      </c>
      <c r="EF1" t="e">
        <f>AND(#REF!,"AAAAADXyrYc=")</f>
        <v>#REF!</v>
      </c>
      <c r="EG1" t="e">
        <f>AND(#REF!,"AAAAADXyrYg=")</f>
        <v>#REF!</v>
      </c>
      <c r="EH1" t="e">
        <f>AND(#REF!,"AAAAADXyrYk=")</f>
        <v>#REF!</v>
      </c>
      <c r="EI1" t="e">
        <f>AND(#REF!,"AAAAADXyrYo=")</f>
        <v>#REF!</v>
      </c>
      <c r="EJ1" t="e">
        <f>AND(#REF!,"AAAAADXyrYs=")</f>
        <v>#REF!</v>
      </c>
      <c r="EK1" t="e">
        <f>AND(#REF!,"AAAAADXyrYw=")</f>
        <v>#REF!</v>
      </c>
      <c r="EL1" t="e">
        <f>AND(#REF!,"AAAAADXyrY0=")</f>
        <v>#REF!</v>
      </c>
      <c r="EM1" t="e">
        <f>AND(#REF!,"AAAAADXyrY4=")</f>
        <v>#REF!</v>
      </c>
      <c r="EN1" t="e">
        <f>IF(#REF!,"AAAAADXyrY8=",0)</f>
        <v>#REF!</v>
      </c>
      <c r="EO1" t="e">
        <f>AND(#REF!,"AAAAADXyrZA=")</f>
        <v>#REF!</v>
      </c>
      <c r="EP1" t="e">
        <f>AND(#REF!,"AAAAADXyrZE=")</f>
        <v>#REF!</v>
      </c>
      <c r="EQ1" t="e">
        <f>AND(#REF!,"AAAAADXyrZI=")</f>
        <v>#REF!</v>
      </c>
      <c r="ER1" t="e">
        <f>AND(#REF!,"AAAAADXyrZM=")</f>
        <v>#REF!</v>
      </c>
      <c r="ES1" t="e">
        <f>AND(#REF!,"AAAAADXyrZQ=")</f>
        <v>#REF!</v>
      </c>
      <c r="ET1" t="e">
        <f>AND(#REF!,"AAAAADXyrZU=")</f>
        <v>#REF!</v>
      </c>
      <c r="EU1" t="e">
        <f>AND(#REF!,"AAAAADXyrZY=")</f>
        <v>#REF!</v>
      </c>
      <c r="EV1" t="e">
        <f>AND(#REF!,"AAAAADXyrZc=")</f>
        <v>#REF!</v>
      </c>
      <c r="EW1" t="e">
        <f>AND(#REF!,"AAAAADXyrZg=")</f>
        <v>#REF!</v>
      </c>
      <c r="EX1" t="e">
        <f>AND(#REF!,"AAAAADXyrZk=")</f>
        <v>#REF!</v>
      </c>
      <c r="EY1" t="e">
        <f>AND(#REF!,"AAAAADXyrZo=")</f>
        <v>#REF!</v>
      </c>
      <c r="EZ1" t="e">
        <f>AND(#REF!,"AAAAADXyrZs=")</f>
        <v>#REF!</v>
      </c>
      <c r="FA1" t="e">
        <f>IF(#REF!,"AAAAADXyrZw=",0)</f>
        <v>#REF!</v>
      </c>
      <c r="FB1" t="e">
        <f>AND(#REF!,"AAAAADXyrZ0=")</f>
        <v>#REF!</v>
      </c>
      <c r="FC1" t="e">
        <f>AND(#REF!,"AAAAADXyrZ4=")</f>
        <v>#REF!</v>
      </c>
      <c r="FD1" t="e">
        <f>AND(#REF!,"AAAAADXyrZ8=")</f>
        <v>#REF!</v>
      </c>
      <c r="FE1" t="e">
        <f>AND(#REF!,"AAAAADXyraA=")</f>
        <v>#REF!</v>
      </c>
      <c r="FF1" t="e">
        <f>AND(#REF!,"AAAAADXyraE=")</f>
        <v>#REF!</v>
      </c>
      <c r="FG1" t="e">
        <f>AND(#REF!,"AAAAADXyraI=")</f>
        <v>#REF!</v>
      </c>
      <c r="FH1" t="e">
        <f>AND(#REF!,"AAAAADXyraM=")</f>
        <v>#REF!</v>
      </c>
      <c r="FI1" t="e">
        <f>AND(#REF!,"AAAAADXyraQ=")</f>
        <v>#REF!</v>
      </c>
      <c r="FJ1" t="e">
        <f>AND(#REF!,"AAAAADXyraU=")</f>
        <v>#REF!</v>
      </c>
      <c r="FK1" t="e">
        <f>AND(#REF!,"AAAAADXyraY=")</f>
        <v>#REF!</v>
      </c>
      <c r="FL1" t="e">
        <f>AND(#REF!,"AAAAADXyrac=")</f>
        <v>#REF!</v>
      </c>
      <c r="FM1" t="e">
        <f>AND(#REF!,"AAAAADXyrag=")</f>
        <v>#REF!</v>
      </c>
      <c r="FN1" t="e">
        <f>IF(#REF!,"AAAAADXyrak=",0)</f>
        <v>#REF!</v>
      </c>
      <c r="FO1" t="e">
        <f>AND(#REF!,"AAAAADXyrao=")</f>
        <v>#REF!</v>
      </c>
      <c r="FP1" t="e">
        <f>AND(#REF!,"AAAAADXyras=")</f>
        <v>#REF!</v>
      </c>
      <c r="FQ1" t="e">
        <f>AND(#REF!,"AAAAADXyraw=")</f>
        <v>#REF!</v>
      </c>
      <c r="FR1" t="e">
        <f>AND(#REF!,"AAAAADXyra0=")</f>
        <v>#REF!</v>
      </c>
      <c r="FS1" t="e">
        <f>AND(#REF!,"AAAAADXyra4=")</f>
        <v>#REF!</v>
      </c>
      <c r="FT1" t="e">
        <f>AND(#REF!,"AAAAADXyra8=")</f>
        <v>#REF!</v>
      </c>
      <c r="FU1" t="e">
        <f>AND(#REF!,"AAAAADXyrbA=")</f>
        <v>#REF!</v>
      </c>
      <c r="FV1" t="e">
        <f>AND(#REF!,"AAAAADXyrbE=")</f>
        <v>#REF!</v>
      </c>
      <c r="FW1" t="e">
        <f>AND(#REF!,"AAAAADXyrbI=")</f>
        <v>#REF!</v>
      </c>
      <c r="FX1" t="e">
        <f>AND(#REF!,"AAAAADXyrbM=")</f>
        <v>#REF!</v>
      </c>
      <c r="FY1" t="e">
        <f>AND(#REF!,"AAAAADXyrbQ=")</f>
        <v>#REF!</v>
      </c>
      <c r="FZ1" t="e">
        <f>AND(#REF!,"AAAAADXyrbU=")</f>
        <v>#REF!</v>
      </c>
      <c r="GA1" t="e">
        <f>IF(#REF!,"AAAAADXyrbY=",0)</f>
        <v>#REF!</v>
      </c>
      <c r="GB1" t="e">
        <f>AND(#REF!,"AAAAADXyrbc=")</f>
        <v>#REF!</v>
      </c>
      <c r="GC1" t="e">
        <f>AND(#REF!,"AAAAADXyrbg=")</f>
        <v>#REF!</v>
      </c>
      <c r="GD1" t="e">
        <f>AND(#REF!,"AAAAADXyrbk=")</f>
        <v>#REF!</v>
      </c>
      <c r="GE1" t="e">
        <f>AND(#REF!,"AAAAADXyrbo=")</f>
        <v>#REF!</v>
      </c>
      <c r="GF1" t="e">
        <f>AND(#REF!,"AAAAADXyrbs=")</f>
        <v>#REF!</v>
      </c>
      <c r="GG1" t="e">
        <f>AND(#REF!,"AAAAADXyrbw=")</f>
        <v>#REF!</v>
      </c>
      <c r="GH1" t="e">
        <f>AND(#REF!,"AAAAADXyrb0=")</f>
        <v>#REF!</v>
      </c>
      <c r="GI1" t="e">
        <f>AND(#REF!,"AAAAADXyrb4=")</f>
        <v>#REF!</v>
      </c>
      <c r="GJ1" t="e">
        <f>AND(#REF!,"AAAAADXyrb8=")</f>
        <v>#REF!</v>
      </c>
      <c r="GK1" t="e">
        <f>AND(#REF!,"AAAAADXyrcA=")</f>
        <v>#REF!</v>
      </c>
      <c r="GL1" t="e">
        <f>AND(#REF!,"AAAAADXyrcE=")</f>
        <v>#REF!</v>
      </c>
      <c r="GM1" t="e">
        <f>AND(#REF!,"AAAAADXyrcI=")</f>
        <v>#REF!</v>
      </c>
      <c r="GN1" t="e">
        <f>IF(#REF!,"AAAAADXyrcM=",0)</f>
        <v>#REF!</v>
      </c>
      <c r="GO1" t="e">
        <f>AND(#REF!,"AAAAADXyrcQ=")</f>
        <v>#REF!</v>
      </c>
      <c r="GP1" t="e">
        <f>AND(#REF!,"AAAAADXyrcU=")</f>
        <v>#REF!</v>
      </c>
      <c r="GQ1" t="e">
        <f>AND(#REF!,"AAAAADXyrcY=")</f>
        <v>#REF!</v>
      </c>
      <c r="GR1" t="e">
        <f>AND(#REF!,"AAAAADXyrcc=")</f>
        <v>#REF!</v>
      </c>
      <c r="GS1" t="e">
        <f>AND(#REF!,"AAAAADXyrcg=")</f>
        <v>#REF!</v>
      </c>
      <c r="GT1" t="e">
        <f>AND(#REF!,"AAAAADXyrck=")</f>
        <v>#REF!</v>
      </c>
      <c r="GU1" t="e">
        <f>AND(#REF!,"AAAAADXyrco=")</f>
        <v>#REF!</v>
      </c>
      <c r="GV1" t="e">
        <f>AND(#REF!,"AAAAADXyrcs=")</f>
        <v>#REF!</v>
      </c>
      <c r="GW1" t="e">
        <f>AND(#REF!,"AAAAADXyrcw=")</f>
        <v>#REF!</v>
      </c>
      <c r="GX1" t="e">
        <f>AND(#REF!,"AAAAADXyrc0=")</f>
        <v>#REF!</v>
      </c>
      <c r="GY1" t="e">
        <f>AND(#REF!,"AAAAADXyrc4=")</f>
        <v>#REF!</v>
      </c>
      <c r="GZ1" t="e">
        <f>AND(#REF!,"AAAAADXyrc8=")</f>
        <v>#REF!</v>
      </c>
      <c r="HA1" t="e">
        <f>IF(#REF!,"AAAAADXyrdA=",0)</f>
        <v>#REF!</v>
      </c>
      <c r="HB1" t="e">
        <f>AND(#REF!,"AAAAADXyrdE=")</f>
        <v>#REF!</v>
      </c>
      <c r="HC1" t="e">
        <f>AND(#REF!,"AAAAADXyrdI=")</f>
        <v>#REF!</v>
      </c>
      <c r="HD1" t="e">
        <f>AND(#REF!,"AAAAADXyrdM=")</f>
        <v>#REF!</v>
      </c>
      <c r="HE1" t="e">
        <f>AND(#REF!,"AAAAADXyrdQ=")</f>
        <v>#REF!</v>
      </c>
      <c r="HF1" t="e">
        <f>AND(#REF!,"AAAAADXyrdU=")</f>
        <v>#REF!</v>
      </c>
      <c r="HG1" t="e">
        <f>AND(#REF!,"AAAAADXyrdY=")</f>
        <v>#REF!</v>
      </c>
      <c r="HH1" t="e">
        <f>AND(#REF!,"AAAAADXyrdc=")</f>
        <v>#REF!</v>
      </c>
      <c r="HI1" t="e">
        <f>AND(#REF!,"AAAAADXyrdg=")</f>
        <v>#REF!</v>
      </c>
      <c r="HJ1" t="e">
        <f>AND(#REF!,"AAAAADXyrdk=")</f>
        <v>#REF!</v>
      </c>
      <c r="HK1" t="e">
        <f>AND(#REF!,"AAAAADXyrdo=")</f>
        <v>#REF!</v>
      </c>
      <c r="HL1" t="e">
        <f>AND(#REF!,"AAAAADXyrds=")</f>
        <v>#REF!</v>
      </c>
      <c r="HM1" t="e">
        <f>AND(#REF!,"AAAAADXyrdw=")</f>
        <v>#REF!</v>
      </c>
      <c r="HN1" t="e">
        <f>IF(#REF!,"AAAAADXyrd0=",0)</f>
        <v>#REF!</v>
      </c>
      <c r="HO1" t="e">
        <f>AND(#REF!,"AAAAADXyrd4=")</f>
        <v>#REF!</v>
      </c>
      <c r="HP1" t="e">
        <f>AND(#REF!,"AAAAADXyrd8=")</f>
        <v>#REF!</v>
      </c>
      <c r="HQ1" t="e">
        <f>AND(#REF!,"AAAAADXyreA=")</f>
        <v>#REF!</v>
      </c>
      <c r="HR1" t="e">
        <f>AND(#REF!,"AAAAADXyreE=")</f>
        <v>#REF!</v>
      </c>
      <c r="HS1" t="e">
        <f>AND(#REF!,"AAAAADXyreI=")</f>
        <v>#REF!</v>
      </c>
      <c r="HT1" t="e">
        <f>AND(#REF!,"AAAAADXyreM=")</f>
        <v>#REF!</v>
      </c>
      <c r="HU1" t="e">
        <f>AND(#REF!,"AAAAADXyreQ=")</f>
        <v>#REF!</v>
      </c>
      <c r="HV1" t="e">
        <f>AND(#REF!,"AAAAADXyreU=")</f>
        <v>#REF!</v>
      </c>
      <c r="HW1" t="e">
        <f>AND(#REF!,"AAAAADXyreY=")</f>
        <v>#REF!</v>
      </c>
      <c r="HX1" t="e">
        <f>AND(#REF!,"AAAAADXyrec=")</f>
        <v>#REF!</v>
      </c>
      <c r="HY1" t="e">
        <f>AND(#REF!,"AAAAADXyreg=")</f>
        <v>#REF!</v>
      </c>
      <c r="HZ1" t="e">
        <f>AND(#REF!,"AAAAADXyrek=")</f>
        <v>#REF!</v>
      </c>
      <c r="IA1" t="e">
        <f>IF(#REF!,"AAAAADXyreo=",0)</f>
        <v>#REF!</v>
      </c>
      <c r="IB1" t="e">
        <f>AND(#REF!,"AAAAADXyres=")</f>
        <v>#REF!</v>
      </c>
      <c r="IC1" t="e">
        <f>AND(#REF!,"AAAAADXyrew=")</f>
        <v>#REF!</v>
      </c>
      <c r="ID1" t="e">
        <f>AND(#REF!,"AAAAADXyre0=")</f>
        <v>#REF!</v>
      </c>
      <c r="IE1" t="e">
        <f>AND(#REF!,"AAAAADXyre4=")</f>
        <v>#REF!</v>
      </c>
      <c r="IF1" t="e">
        <f>AND(#REF!,"AAAAADXyre8=")</f>
        <v>#REF!</v>
      </c>
      <c r="IG1" t="e">
        <f>AND(#REF!,"AAAAADXyrfA=")</f>
        <v>#REF!</v>
      </c>
      <c r="IH1" t="e">
        <f>AND(#REF!,"AAAAADXyrfE=")</f>
        <v>#REF!</v>
      </c>
      <c r="II1" t="e">
        <f>AND(#REF!,"AAAAADXyrfI=")</f>
        <v>#REF!</v>
      </c>
      <c r="IJ1" t="e">
        <f>AND(#REF!,"AAAAADXyrfM=")</f>
        <v>#REF!</v>
      </c>
      <c r="IK1" t="e">
        <f>AND(#REF!,"AAAAADXyrfQ=")</f>
        <v>#REF!</v>
      </c>
      <c r="IL1" t="e">
        <f>AND(#REF!,"AAAAADXyrfU=")</f>
        <v>#REF!</v>
      </c>
      <c r="IM1" t="e">
        <f>AND(#REF!,"AAAAADXyrfY=")</f>
        <v>#REF!</v>
      </c>
      <c r="IN1" t="e">
        <f>IF(#REF!,"AAAAADXyrfc=",0)</f>
        <v>#REF!</v>
      </c>
      <c r="IO1" t="e">
        <f>AND(#REF!,"AAAAADXyrfg=")</f>
        <v>#REF!</v>
      </c>
      <c r="IP1" t="e">
        <f>AND(#REF!,"AAAAADXyrfk=")</f>
        <v>#REF!</v>
      </c>
      <c r="IQ1" t="e">
        <f>AND(#REF!,"AAAAADXyrfo=")</f>
        <v>#REF!</v>
      </c>
      <c r="IR1" t="e">
        <f>AND(#REF!,"AAAAADXyrfs=")</f>
        <v>#REF!</v>
      </c>
      <c r="IS1" t="e">
        <f>AND(#REF!,"AAAAADXyrfw=")</f>
        <v>#REF!</v>
      </c>
      <c r="IT1" t="e">
        <f>AND(#REF!,"AAAAADXyrf0=")</f>
        <v>#REF!</v>
      </c>
      <c r="IU1" t="e">
        <f>AND(#REF!,"AAAAADXyrf4=")</f>
        <v>#REF!</v>
      </c>
      <c r="IV1" t="e">
        <f>AND(#REF!,"AAAAADXyrf8=")</f>
        <v>#REF!</v>
      </c>
    </row>
    <row r="2" spans="1:256">
      <c r="A2" t="e">
        <f>AND(#REF!,"AAAAAH7/nwA=")</f>
        <v>#REF!</v>
      </c>
      <c r="B2" t="e">
        <f>AND(#REF!,"AAAAAH7/nwE=")</f>
        <v>#REF!</v>
      </c>
      <c r="C2" t="e">
        <f>AND(#REF!,"AAAAAH7/nwI=")</f>
        <v>#REF!</v>
      </c>
      <c r="D2" t="e">
        <f>AND(#REF!,"AAAAAH7/nwM=")</f>
        <v>#REF!</v>
      </c>
      <c r="E2" t="e">
        <f>IF(#REF!,"AAAAAH7/nwQ=",0)</f>
        <v>#REF!</v>
      </c>
      <c r="F2" t="e">
        <f>AND(#REF!,"AAAAAH7/nwU=")</f>
        <v>#REF!</v>
      </c>
      <c r="G2" t="e">
        <f>AND(#REF!,"AAAAAH7/nwY=")</f>
        <v>#REF!</v>
      </c>
      <c r="H2" t="e">
        <f>AND(#REF!,"AAAAAH7/nwc=")</f>
        <v>#REF!</v>
      </c>
      <c r="I2" t="e">
        <f>AND(#REF!,"AAAAAH7/nwg=")</f>
        <v>#REF!</v>
      </c>
      <c r="J2" t="e">
        <f>AND(#REF!,"AAAAAH7/nwk=")</f>
        <v>#REF!</v>
      </c>
      <c r="K2" t="e">
        <f>AND(#REF!,"AAAAAH7/nwo=")</f>
        <v>#REF!</v>
      </c>
      <c r="L2" t="e">
        <f>AND(#REF!,"AAAAAH7/nws=")</f>
        <v>#REF!</v>
      </c>
      <c r="M2" t="e">
        <f>AND(#REF!,"AAAAAH7/nww=")</f>
        <v>#REF!</v>
      </c>
      <c r="N2" t="e">
        <f>AND(#REF!,"AAAAAH7/nw0=")</f>
        <v>#REF!</v>
      </c>
      <c r="O2" t="e">
        <f>AND(#REF!,"AAAAAH7/nw4=")</f>
        <v>#REF!</v>
      </c>
      <c r="P2" t="e">
        <f>AND(#REF!,"AAAAAH7/nw8=")</f>
        <v>#REF!</v>
      </c>
      <c r="Q2" t="e">
        <f>AND(#REF!,"AAAAAH7/nxA=")</f>
        <v>#REF!</v>
      </c>
      <c r="R2" t="e">
        <f>IF(#REF!,"AAAAAH7/nxE=",0)</f>
        <v>#REF!</v>
      </c>
      <c r="S2" t="e">
        <f>AND(#REF!,"AAAAAH7/nxI=")</f>
        <v>#REF!</v>
      </c>
      <c r="T2" t="e">
        <f>AND(#REF!,"AAAAAH7/nxM=")</f>
        <v>#REF!</v>
      </c>
      <c r="U2" t="e">
        <f>AND(#REF!,"AAAAAH7/nxQ=")</f>
        <v>#REF!</v>
      </c>
      <c r="V2" t="e">
        <f>AND(#REF!,"AAAAAH7/nxU=")</f>
        <v>#REF!</v>
      </c>
      <c r="W2" t="e">
        <f>AND(#REF!,"AAAAAH7/nxY=")</f>
        <v>#REF!</v>
      </c>
      <c r="X2" t="e">
        <f>AND(#REF!,"AAAAAH7/nxc=")</f>
        <v>#REF!</v>
      </c>
      <c r="Y2" t="e">
        <f>AND(#REF!,"AAAAAH7/nxg=")</f>
        <v>#REF!</v>
      </c>
      <c r="Z2" t="e">
        <f>AND(#REF!,"AAAAAH7/nxk=")</f>
        <v>#REF!</v>
      </c>
      <c r="AA2" t="e">
        <f>AND(#REF!,"AAAAAH7/nxo=")</f>
        <v>#REF!</v>
      </c>
      <c r="AB2" t="e">
        <f>AND(#REF!,"AAAAAH7/nxs=")</f>
        <v>#REF!</v>
      </c>
      <c r="AC2" t="e">
        <f>AND(#REF!,"AAAAAH7/nxw=")</f>
        <v>#REF!</v>
      </c>
      <c r="AD2" t="e">
        <f>AND(#REF!,"AAAAAH7/nx0=")</f>
        <v>#REF!</v>
      </c>
      <c r="AE2" t="e">
        <f>IF(#REF!,"AAAAAH7/nx4=",0)</f>
        <v>#REF!</v>
      </c>
      <c r="AF2" t="e">
        <f>AND(#REF!,"AAAAAH7/nx8=")</f>
        <v>#REF!</v>
      </c>
      <c r="AG2" t="e">
        <f>AND(#REF!,"AAAAAH7/nyA=")</f>
        <v>#REF!</v>
      </c>
      <c r="AH2" t="e">
        <f>AND(#REF!,"AAAAAH7/nyE=")</f>
        <v>#REF!</v>
      </c>
      <c r="AI2" t="e">
        <f>AND(#REF!,"AAAAAH7/nyI=")</f>
        <v>#REF!</v>
      </c>
      <c r="AJ2" t="e">
        <f>AND(#REF!,"AAAAAH7/nyM=")</f>
        <v>#REF!</v>
      </c>
      <c r="AK2" t="e">
        <f>AND(#REF!,"AAAAAH7/nyQ=")</f>
        <v>#REF!</v>
      </c>
      <c r="AL2" t="e">
        <f>AND(#REF!,"AAAAAH7/nyU=")</f>
        <v>#REF!</v>
      </c>
      <c r="AM2" t="e">
        <f>AND(#REF!,"AAAAAH7/nyY=")</f>
        <v>#REF!</v>
      </c>
      <c r="AN2" t="e">
        <f>AND(#REF!,"AAAAAH7/nyc=")</f>
        <v>#REF!</v>
      </c>
      <c r="AO2" t="e">
        <f>AND(#REF!,"AAAAAH7/nyg=")</f>
        <v>#REF!</v>
      </c>
      <c r="AP2" t="e">
        <f>AND(#REF!,"AAAAAH7/nyk=")</f>
        <v>#REF!</v>
      </c>
      <c r="AQ2" t="e">
        <f>AND(#REF!,"AAAAAH7/nyo=")</f>
        <v>#REF!</v>
      </c>
      <c r="AR2" t="e">
        <f>IF(#REF!,"AAAAAH7/nys=",0)</f>
        <v>#REF!</v>
      </c>
      <c r="AS2" t="e">
        <f>AND(#REF!,"AAAAAH7/nyw=")</f>
        <v>#REF!</v>
      </c>
      <c r="AT2" t="e">
        <f>AND(#REF!,"AAAAAH7/ny0=")</f>
        <v>#REF!</v>
      </c>
      <c r="AU2" t="e">
        <f>AND(#REF!,"AAAAAH7/ny4=")</f>
        <v>#REF!</v>
      </c>
      <c r="AV2" t="e">
        <f>AND(#REF!,"AAAAAH7/ny8=")</f>
        <v>#REF!</v>
      </c>
      <c r="AW2" t="e">
        <f>AND(#REF!,"AAAAAH7/nzA=")</f>
        <v>#REF!</v>
      </c>
      <c r="AX2" t="e">
        <f>AND(#REF!,"AAAAAH7/nzE=")</f>
        <v>#REF!</v>
      </c>
      <c r="AY2" t="e">
        <f>AND(#REF!,"AAAAAH7/nzI=")</f>
        <v>#REF!</v>
      </c>
      <c r="AZ2" t="e">
        <f>AND(#REF!,"AAAAAH7/nzM=")</f>
        <v>#REF!</v>
      </c>
      <c r="BA2" t="e">
        <f>AND(#REF!,"AAAAAH7/nzQ=")</f>
        <v>#REF!</v>
      </c>
      <c r="BB2" t="e">
        <f>AND(#REF!,"AAAAAH7/nzU=")</f>
        <v>#REF!</v>
      </c>
      <c r="BC2" t="e">
        <f>AND(#REF!,"AAAAAH7/nzY=")</f>
        <v>#REF!</v>
      </c>
      <c r="BD2" t="e">
        <f>AND(#REF!,"AAAAAH7/nzc=")</f>
        <v>#REF!</v>
      </c>
      <c r="BE2" t="e">
        <f>IF(#REF!,"AAAAAH7/nzg=",0)</f>
        <v>#REF!</v>
      </c>
      <c r="BF2" t="e">
        <f>AND(#REF!,"AAAAAH7/nzk=")</f>
        <v>#REF!</v>
      </c>
      <c r="BG2" t="e">
        <f>AND(#REF!,"AAAAAH7/nzo=")</f>
        <v>#REF!</v>
      </c>
      <c r="BH2" t="e">
        <f>AND(#REF!,"AAAAAH7/nzs=")</f>
        <v>#REF!</v>
      </c>
      <c r="BI2" t="e">
        <f>AND(#REF!,"AAAAAH7/nzw=")</f>
        <v>#REF!</v>
      </c>
      <c r="BJ2" t="e">
        <f>AND(#REF!,"AAAAAH7/nz0=")</f>
        <v>#REF!</v>
      </c>
      <c r="BK2" t="e">
        <f>AND(#REF!,"AAAAAH7/nz4=")</f>
        <v>#REF!</v>
      </c>
      <c r="BL2" t="e">
        <f>AND(#REF!,"AAAAAH7/nz8=")</f>
        <v>#REF!</v>
      </c>
      <c r="BM2" t="e">
        <f>AND(#REF!,"AAAAAH7/n0A=")</f>
        <v>#REF!</v>
      </c>
      <c r="BN2" t="e">
        <f>AND(#REF!,"AAAAAH7/n0E=")</f>
        <v>#REF!</v>
      </c>
      <c r="BO2" t="e">
        <f>AND(#REF!,"AAAAAH7/n0I=")</f>
        <v>#REF!</v>
      </c>
      <c r="BP2" t="e">
        <f>AND(#REF!,"AAAAAH7/n0M=")</f>
        <v>#REF!</v>
      </c>
      <c r="BQ2" t="e">
        <f>AND(#REF!,"AAAAAH7/n0Q=")</f>
        <v>#REF!</v>
      </c>
      <c r="BR2" t="e">
        <f>IF(#REF!,"AAAAAH7/n0U=",0)</f>
        <v>#REF!</v>
      </c>
      <c r="BS2" t="e">
        <f>AND(#REF!,"AAAAAH7/n0Y=")</f>
        <v>#REF!</v>
      </c>
      <c r="BT2" t="e">
        <f>AND(#REF!,"AAAAAH7/n0c=")</f>
        <v>#REF!</v>
      </c>
      <c r="BU2" t="e">
        <f>AND(#REF!,"AAAAAH7/n0g=")</f>
        <v>#REF!</v>
      </c>
      <c r="BV2" t="e">
        <f>AND(#REF!,"AAAAAH7/n0k=")</f>
        <v>#REF!</v>
      </c>
      <c r="BW2" t="e">
        <f>AND(#REF!,"AAAAAH7/n0o=")</f>
        <v>#REF!</v>
      </c>
      <c r="BX2" t="e">
        <f>AND(#REF!,"AAAAAH7/n0s=")</f>
        <v>#REF!</v>
      </c>
      <c r="BY2" t="e">
        <f>AND(#REF!,"AAAAAH7/n0w=")</f>
        <v>#REF!</v>
      </c>
      <c r="BZ2" t="e">
        <f>AND(#REF!,"AAAAAH7/n00=")</f>
        <v>#REF!</v>
      </c>
      <c r="CA2" t="e">
        <f>AND(#REF!,"AAAAAH7/n04=")</f>
        <v>#REF!</v>
      </c>
      <c r="CB2" t="e">
        <f>AND(#REF!,"AAAAAH7/n08=")</f>
        <v>#REF!</v>
      </c>
      <c r="CC2" t="e">
        <f>AND(#REF!,"AAAAAH7/n1A=")</f>
        <v>#REF!</v>
      </c>
      <c r="CD2" t="e">
        <f>AND(#REF!,"AAAAAH7/n1E=")</f>
        <v>#REF!</v>
      </c>
      <c r="CE2" t="e">
        <f>IF(#REF!,"AAAAAH7/n1I=",0)</f>
        <v>#REF!</v>
      </c>
      <c r="CF2" t="e">
        <f>AND(#REF!,"AAAAAH7/n1M=")</f>
        <v>#REF!</v>
      </c>
      <c r="CG2" t="e">
        <f>AND(#REF!,"AAAAAH7/n1Q=")</f>
        <v>#REF!</v>
      </c>
      <c r="CH2" t="e">
        <f>AND(#REF!,"AAAAAH7/n1U=")</f>
        <v>#REF!</v>
      </c>
      <c r="CI2" t="e">
        <f>AND(#REF!,"AAAAAH7/n1Y=")</f>
        <v>#REF!</v>
      </c>
      <c r="CJ2" t="e">
        <f>AND(#REF!,"AAAAAH7/n1c=")</f>
        <v>#REF!</v>
      </c>
      <c r="CK2" t="e">
        <f>AND(#REF!,"AAAAAH7/n1g=")</f>
        <v>#REF!</v>
      </c>
      <c r="CL2" t="e">
        <f>AND(#REF!,"AAAAAH7/n1k=")</f>
        <v>#REF!</v>
      </c>
      <c r="CM2" t="e">
        <f>AND(#REF!,"AAAAAH7/n1o=")</f>
        <v>#REF!</v>
      </c>
      <c r="CN2" t="e">
        <f>AND(#REF!,"AAAAAH7/n1s=")</f>
        <v>#REF!</v>
      </c>
      <c r="CO2" t="e">
        <f>AND(#REF!,"AAAAAH7/n1w=")</f>
        <v>#REF!</v>
      </c>
      <c r="CP2" t="e">
        <f>AND(#REF!,"AAAAAH7/n10=")</f>
        <v>#REF!</v>
      </c>
      <c r="CQ2" t="e">
        <f>AND(#REF!,"AAAAAH7/n14=")</f>
        <v>#REF!</v>
      </c>
      <c r="CR2" t="e">
        <f>IF(#REF!,"AAAAAH7/n18=",0)</f>
        <v>#REF!</v>
      </c>
      <c r="CS2" t="e">
        <f>AND(#REF!,"AAAAAH7/n2A=")</f>
        <v>#REF!</v>
      </c>
      <c r="CT2" t="e">
        <f>AND(#REF!,"AAAAAH7/n2E=")</f>
        <v>#REF!</v>
      </c>
      <c r="CU2" t="e">
        <f>AND(#REF!,"AAAAAH7/n2I=")</f>
        <v>#REF!</v>
      </c>
      <c r="CV2" t="e">
        <f>AND(#REF!,"AAAAAH7/n2M=")</f>
        <v>#REF!</v>
      </c>
      <c r="CW2" t="e">
        <f>AND(#REF!,"AAAAAH7/n2Q=")</f>
        <v>#REF!</v>
      </c>
      <c r="CX2" t="e">
        <f>AND(#REF!,"AAAAAH7/n2U=")</f>
        <v>#REF!</v>
      </c>
      <c r="CY2" t="e">
        <f>AND(#REF!,"AAAAAH7/n2Y=")</f>
        <v>#REF!</v>
      </c>
      <c r="CZ2" t="e">
        <f>AND(#REF!,"AAAAAH7/n2c=")</f>
        <v>#REF!</v>
      </c>
      <c r="DA2" t="e">
        <f>AND(#REF!,"AAAAAH7/n2g=")</f>
        <v>#REF!</v>
      </c>
      <c r="DB2" t="e">
        <f>AND(#REF!,"AAAAAH7/n2k=")</f>
        <v>#REF!</v>
      </c>
      <c r="DC2" t="e">
        <f>AND(#REF!,"AAAAAH7/n2o=")</f>
        <v>#REF!</v>
      </c>
      <c r="DD2" t="e">
        <f>AND(#REF!,"AAAAAH7/n2s=")</f>
        <v>#REF!</v>
      </c>
      <c r="DE2" t="e">
        <f>IF(#REF!,"AAAAAH7/n2w=",0)</f>
        <v>#REF!</v>
      </c>
      <c r="DF2" t="e">
        <f>AND(#REF!,"AAAAAH7/n20=")</f>
        <v>#REF!</v>
      </c>
      <c r="DG2" t="e">
        <f>AND(#REF!,"AAAAAH7/n24=")</f>
        <v>#REF!</v>
      </c>
      <c r="DH2" t="e">
        <f>AND(#REF!,"AAAAAH7/n28=")</f>
        <v>#REF!</v>
      </c>
      <c r="DI2" t="e">
        <f>AND(#REF!,"AAAAAH7/n3A=")</f>
        <v>#REF!</v>
      </c>
      <c r="DJ2" t="e">
        <f>AND(#REF!,"AAAAAH7/n3E=")</f>
        <v>#REF!</v>
      </c>
      <c r="DK2" t="e">
        <f>AND(#REF!,"AAAAAH7/n3I=")</f>
        <v>#REF!</v>
      </c>
      <c r="DL2" t="e">
        <f>AND(#REF!,"AAAAAH7/n3M=")</f>
        <v>#REF!</v>
      </c>
      <c r="DM2" t="e">
        <f>AND(#REF!,"AAAAAH7/n3Q=")</f>
        <v>#REF!</v>
      </c>
      <c r="DN2" t="e">
        <f>AND(#REF!,"AAAAAH7/n3U=")</f>
        <v>#REF!</v>
      </c>
      <c r="DO2" t="e">
        <f>AND(#REF!,"AAAAAH7/n3Y=")</f>
        <v>#REF!</v>
      </c>
      <c r="DP2" t="e">
        <f>AND(#REF!,"AAAAAH7/n3c=")</f>
        <v>#REF!</v>
      </c>
      <c r="DQ2" t="e">
        <f>AND(#REF!,"AAAAAH7/n3g=")</f>
        <v>#REF!</v>
      </c>
      <c r="DR2" t="e">
        <f>IF(#REF!,"AAAAAH7/n3k=",0)</f>
        <v>#REF!</v>
      </c>
      <c r="DS2" t="e">
        <f>AND(#REF!,"AAAAAH7/n3o=")</f>
        <v>#REF!</v>
      </c>
      <c r="DT2" t="e">
        <f>AND(#REF!,"AAAAAH7/n3s=")</f>
        <v>#REF!</v>
      </c>
      <c r="DU2" t="e">
        <f>AND(#REF!,"AAAAAH7/n3w=")</f>
        <v>#REF!</v>
      </c>
      <c r="DV2" t="e">
        <f>AND(#REF!,"AAAAAH7/n30=")</f>
        <v>#REF!</v>
      </c>
      <c r="DW2" t="e">
        <f>AND(#REF!,"AAAAAH7/n34=")</f>
        <v>#REF!</v>
      </c>
      <c r="DX2" t="e">
        <f>AND(#REF!,"AAAAAH7/n38=")</f>
        <v>#REF!</v>
      </c>
      <c r="DY2" t="e">
        <f>AND(#REF!,"AAAAAH7/n4A=")</f>
        <v>#REF!</v>
      </c>
      <c r="DZ2" t="e">
        <f>AND(#REF!,"AAAAAH7/n4E=")</f>
        <v>#REF!</v>
      </c>
      <c r="EA2" t="e">
        <f>AND(#REF!,"AAAAAH7/n4I=")</f>
        <v>#REF!</v>
      </c>
      <c r="EB2" t="e">
        <f>AND(#REF!,"AAAAAH7/n4M=")</f>
        <v>#REF!</v>
      </c>
      <c r="EC2" t="e">
        <f>AND(#REF!,"AAAAAH7/n4Q=")</f>
        <v>#REF!</v>
      </c>
      <c r="ED2" t="e">
        <f>AND(#REF!,"AAAAAH7/n4U=")</f>
        <v>#REF!</v>
      </c>
      <c r="EE2" t="e">
        <f>IF(#REF!,"AAAAAH7/n4Y=",0)</f>
        <v>#REF!</v>
      </c>
      <c r="EF2" t="e">
        <f>AND(#REF!,"AAAAAH7/n4c=")</f>
        <v>#REF!</v>
      </c>
      <c r="EG2" t="e">
        <f>AND(#REF!,"AAAAAH7/n4g=")</f>
        <v>#REF!</v>
      </c>
      <c r="EH2" t="e">
        <f>AND(#REF!,"AAAAAH7/n4k=")</f>
        <v>#REF!</v>
      </c>
      <c r="EI2" t="e">
        <f>AND(#REF!,"AAAAAH7/n4o=")</f>
        <v>#REF!</v>
      </c>
      <c r="EJ2" t="e">
        <f>AND(#REF!,"AAAAAH7/n4s=")</f>
        <v>#REF!</v>
      </c>
      <c r="EK2" t="e">
        <f>AND(#REF!,"AAAAAH7/n4w=")</f>
        <v>#REF!</v>
      </c>
      <c r="EL2" t="e">
        <f>AND(#REF!,"AAAAAH7/n40=")</f>
        <v>#REF!</v>
      </c>
      <c r="EM2" t="e">
        <f>AND(#REF!,"AAAAAH7/n44=")</f>
        <v>#REF!</v>
      </c>
      <c r="EN2" t="e">
        <f>AND(#REF!,"AAAAAH7/n48=")</f>
        <v>#REF!</v>
      </c>
      <c r="EO2" t="e">
        <f>AND(#REF!,"AAAAAH7/n5A=")</f>
        <v>#REF!</v>
      </c>
      <c r="EP2" t="e">
        <f>AND(#REF!,"AAAAAH7/n5E=")</f>
        <v>#REF!</v>
      </c>
      <c r="EQ2" t="e">
        <f>AND(#REF!,"AAAAAH7/n5I=")</f>
        <v>#REF!</v>
      </c>
      <c r="ER2" t="e">
        <f>IF(#REF!,"AAAAAH7/n5M=",0)</f>
        <v>#REF!</v>
      </c>
      <c r="ES2" t="e">
        <f>AND(#REF!,"AAAAAH7/n5Q=")</f>
        <v>#REF!</v>
      </c>
      <c r="ET2" t="e">
        <f>AND(#REF!,"AAAAAH7/n5U=")</f>
        <v>#REF!</v>
      </c>
      <c r="EU2" t="e">
        <f>AND(#REF!,"AAAAAH7/n5Y=")</f>
        <v>#REF!</v>
      </c>
      <c r="EV2" t="e">
        <f>AND(#REF!,"AAAAAH7/n5c=")</f>
        <v>#REF!</v>
      </c>
      <c r="EW2" t="e">
        <f>AND(#REF!,"AAAAAH7/n5g=")</f>
        <v>#REF!</v>
      </c>
      <c r="EX2" t="e">
        <f>AND(#REF!,"AAAAAH7/n5k=")</f>
        <v>#REF!</v>
      </c>
      <c r="EY2" t="e">
        <f>AND(#REF!,"AAAAAH7/n5o=")</f>
        <v>#REF!</v>
      </c>
      <c r="EZ2" t="e">
        <f>AND(#REF!,"AAAAAH7/n5s=")</f>
        <v>#REF!</v>
      </c>
      <c r="FA2" t="e">
        <f>AND(#REF!,"AAAAAH7/n5w=")</f>
        <v>#REF!</v>
      </c>
      <c r="FB2" t="e">
        <f>AND(#REF!,"AAAAAH7/n50=")</f>
        <v>#REF!</v>
      </c>
      <c r="FC2" t="e">
        <f>AND(#REF!,"AAAAAH7/n54=")</f>
        <v>#REF!</v>
      </c>
      <c r="FD2" t="e">
        <f>AND(#REF!,"AAAAAH7/n58=")</f>
        <v>#REF!</v>
      </c>
      <c r="FE2" t="e">
        <f>IF(#REF!,"AAAAAH7/n6A=",0)</f>
        <v>#REF!</v>
      </c>
      <c r="FF2" t="e">
        <f>AND(#REF!,"AAAAAH7/n6E=")</f>
        <v>#REF!</v>
      </c>
      <c r="FG2" t="e">
        <f>AND(#REF!,"AAAAAH7/n6I=")</f>
        <v>#REF!</v>
      </c>
      <c r="FH2" t="e">
        <f>AND(#REF!,"AAAAAH7/n6M=")</f>
        <v>#REF!</v>
      </c>
      <c r="FI2" t="e">
        <f>AND(#REF!,"AAAAAH7/n6Q=")</f>
        <v>#REF!</v>
      </c>
      <c r="FJ2" t="e">
        <f>AND(#REF!,"AAAAAH7/n6U=")</f>
        <v>#REF!</v>
      </c>
      <c r="FK2" t="e">
        <f>AND(#REF!,"AAAAAH7/n6Y=")</f>
        <v>#REF!</v>
      </c>
      <c r="FL2" t="e">
        <f>AND(#REF!,"AAAAAH7/n6c=")</f>
        <v>#REF!</v>
      </c>
      <c r="FM2" t="e">
        <f>AND(#REF!,"AAAAAH7/n6g=")</f>
        <v>#REF!</v>
      </c>
      <c r="FN2" t="e">
        <f>AND(#REF!,"AAAAAH7/n6k=")</f>
        <v>#REF!</v>
      </c>
      <c r="FO2" t="e">
        <f>AND(#REF!,"AAAAAH7/n6o=")</f>
        <v>#REF!</v>
      </c>
      <c r="FP2" t="e">
        <f>AND(#REF!,"AAAAAH7/n6s=")</f>
        <v>#REF!</v>
      </c>
      <c r="FQ2" t="e">
        <f>AND(#REF!,"AAAAAH7/n6w=")</f>
        <v>#REF!</v>
      </c>
      <c r="FR2" t="e">
        <f>IF(#REF!,"AAAAAH7/n60=",0)</f>
        <v>#REF!</v>
      </c>
      <c r="FS2" t="e">
        <f>AND(#REF!,"AAAAAH7/n64=")</f>
        <v>#REF!</v>
      </c>
      <c r="FT2" t="e">
        <f>AND(#REF!,"AAAAAH7/n68=")</f>
        <v>#REF!</v>
      </c>
      <c r="FU2" t="e">
        <f>AND(#REF!,"AAAAAH7/n7A=")</f>
        <v>#REF!</v>
      </c>
      <c r="FV2" t="e">
        <f>AND(#REF!,"AAAAAH7/n7E=")</f>
        <v>#REF!</v>
      </c>
      <c r="FW2" t="e">
        <f>AND(#REF!,"AAAAAH7/n7I=")</f>
        <v>#REF!</v>
      </c>
      <c r="FX2" t="e">
        <f>AND(#REF!,"AAAAAH7/n7M=")</f>
        <v>#REF!</v>
      </c>
      <c r="FY2" t="e">
        <f>AND(#REF!,"AAAAAH7/n7Q=")</f>
        <v>#REF!</v>
      </c>
      <c r="FZ2" t="e">
        <f>AND(#REF!,"AAAAAH7/n7U=")</f>
        <v>#REF!</v>
      </c>
      <c r="GA2" t="e">
        <f>AND(#REF!,"AAAAAH7/n7Y=")</f>
        <v>#REF!</v>
      </c>
      <c r="GB2" t="e">
        <f>AND(#REF!,"AAAAAH7/n7c=")</f>
        <v>#REF!</v>
      </c>
      <c r="GC2" t="e">
        <f>AND(#REF!,"AAAAAH7/n7g=")</f>
        <v>#REF!</v>
      </c>
      <c r="GD2" t="e">
        <f>AND(#REF!,"AAAAAH7/n7k=")</f>
        <v>#REF!</v>
      </c>
      <c r="GE2" t="e">
        <f>IF(#REF!,"AAAAAH7/n7o=",0)</f>
        <v>#REF!</v>
      </c>
      <c r="GF2" t="e">
        <f>AND(#REF!,"AAAAAH7/n7s=")</f>
        <v>#REF!</v>
      </c>
      <c r="GG2" t="e">
        <f>AND(#REF!,"AAAAAH7/n7w=")</f>
        <v>#REF!</v>
      </c>
      <c r="GH2" t="e">
        <f>AND(#REF!,"AAAAAH7/n70=")</f>
        <v>#REF!</v>
      </c>
      <c r="GI2" t="e">
        <f>AND(#REF!,"AAAAAH7/n74=")</f>
        <v>#REF!</v>
      </c>
      <c r="GJ2" t="e">
        <f>AND(#REF!,"AAAAAH7/n78=")</f>
        <v>#REF!</v>
      </c>
      <c r="GK2" t="e">
        <f>AND(#REF!,"AAAAAH7/n8A=")</f>
        <v>#REF!</v>
      </c>
      <c r="GL2" t="e">
        <f>AND(#REF!,"AAAAAH7/n8E=")</f>
        <v>#REF!</v>
      </c>
      <c r="GM2" t="e">
        <f>AND(#REF!,"AAAAAH7/n8I=")</f>
        <v>#REF!</v>
      </c>
      <c r="GN2" t="e">
        <f>AND(#REF!,"AAAAAH7/n8M=")</f>
        <v>#REF!</v>
      </c>
      <c r="GO2" t="e">
        <f>AND(#REF!,"AAAAAH7/n8Q=")</f>
        <v>#REF!</v>
      </c>
      <c r="GP2" t="e">
        <f>AND(#REF!,"AAAAAH7/n8U=")</f>
        <v>#REF!</v>
      </c>
      <c r="GQ2" t="e">
        <f>AND(#REF!,"AAAAAH7/n8Y=")</f>
        <v>#REF!</v>
      </c>
      <c r="GR2" t="e">
        <f>IF(#REF!,"AAAAAH7/n8c=",0)</f>
        <v>#REF!</v>
      </c>
      <c r="GS2" t="e">
        <f>AND(#REF!,"AAAAAH7/n8g=")</f>
        <v>#REF!</v>
      </c>
      <c r="GT2" t="e">
        <f>AND(#REF!,"AAAAAH7/n8k=")</f>
        <v>#REF!</v>
      </c>
      <c r="GU2" t="e">
        <f>AND(#REF!,"AAAAAH7/n8o=")</f>
        <v>#REF!</v>
      </c>
      <c r="GV2" t="e">
        <f>AND(#REF!,"AAAAAH7/n8s=")</f>
        <v>#REF!</v>
      </c>
      <c r="GW2" t="e">
        <f>AND(#REF!,"AAAAAH7/n8w=")</f>
        <v>#REF!</v>
      </c>
      <c r="GX2" t="e">
        <f>AND(#REF!,"AAAAAH7/n80=")</f>
        <v>#REF!</v>
      </c>
      <c r="GY2" t="e">
        <f>AND(#REF!,"AAAAAH7/n84=")</f>
        <v>#REF!</v>
      </c>
      <c r="GZ2" t="e">
        <f>AND(#REF!,"AAAAAH7/n88=")</f>
        <v>#REF!</v>
      </c>
      <c r="HA2" t="e">
        <f>AND(#REF!,"AAAAAH7/n9A=")</f>
        <v>#REF!</v>
      </c>
      <c r="HB2" t="e">
        <f>AND(#REF!,"AAAAAH7/n9E=")</f>
        <v>#REF!</v>
      </c>
      <c r="HC2" t="e">
        <f>AND(#REF!,"AAAAAH7/n9I=")</f>
        <v>#REF!</v>
      </c>
      <c r="HD2" t="e">
        <f>AND(#REF!,"AAAAAH7/n9M=")</f>
        <v>#REF!</v>
      </c>
      <c r="HE2" t="e">
        <f>IF(#REF!,"AAAAAH7/n9Q=",0)</f>
        <v>#REF!</v>
      </c>
      <c r="HF2" t="e">
        <f>AND(#REF!,"AAAAAH7/n9U=")</f>
        <v>#REF!</v>
      </c>
      <c r="HG2" t="e">
        <f>AND(#REF!,"AAAAAH7/n9Y=")</f>
        <v>#REF!</v>
      </c>
      <c r="HH2" t="e">
        <f>AND(#REF!,"AAAAAH7/n9c=")</f>
        <v>#REF!</v>
      </c>
      <c r="HI2" t="e">
        <f>AND(#REF!,"AAAAAH7/n9g=")</f>
        <v>#REF!</v>
      </c>
      <c r="HJ2" t="e">
        <f>AND(#REF!,"AAAAAH7/n9k=")</f>
        <v>#REF!</v>
      </c>
      <c r="HK2" t="e">
        <f>AND(#REF!,"AAAAAH7/n9o=")</f>
        <v>#REF!</v>
      </c>
      <c r="HL2" t="e">
        <f>AND(#REF!,"AAAAAH7/n9s=")</f>
        <v>#REF!</v>
      </c>
      <c r="HM2" t="e">
        <f>AND(#REF!,"AAAAAH7/n9w=")</f>
        <v>#REF!</v>
      </c>
      <c r="HN2" t="e">
        <f>AND(#REF!,"AAAAAH7/n90=")</f>
        <v>#REF!</v>
      </c>
      <c r="HO2" t="e">
        <f>AND(#REF!,"AAAAAH7/n94=")</f>
        <v>#REF!</v>
      </c>
      <c r="HP2" t="e">
        <f>AND(#REF!,"AAAAAH7/n98=")</f>
        <v>#REF!</v>
      </c>
      <c r="HQ2" t="e">
        <f>AND(#REF!,"AAAAAH7/n+A=")</f>
        <v>#REF!</v>
      </c>
      <c r="HR2" t="e">
        <f>IF(#REF!,"AAAAAH7/n+E=",0)</f>
        <v>#REF!</v>
      </c>
      <c r="HS2" t="e">
        <f>AND(#REF!,"AAAAAH7/n+I=")</f>
        <v>#REF!</v>
      </c>
      <c r="HT2" t="e">
        <f>AND(#REF!,"AAAAAH7/n+M=")</f>
        <v>#REF!</v>
      </c>
      <c r="HU2" t="e">
        <f>AND(#REF!,"AAAAAH7/n+Q=")</f>
        <v>#REF!</v>
      </c>
      <c r="HV2" t="e">
        <f>AND(#REF!,"AAAAAH7/n+U=")</f>
        <v>#REF!</v>
      </c>
      <c r="HW2" t="e">
        <f>AND(#REF!,"AAAAAH7/n+Y=")</f>
        <v>#REF!</v>
      </c>
      <c r="HX2" t="e">
        <f>AND(#REF!,"AAAAAH7/n+c=")</f>
        <v>#REF!</v>
      </c>
      <c r="HY2" t="e">
        <f>AND(#REF!,"AAAAAH7/n+g=")</f>
        <v>#REF!</v>
      </c>
      <c r="HZ2" t="e">
        <f>AND(#REF!,"AAAAAH7/n+k=")</f>
        <v>#REF!</v>
      </c>
      <c r="IA2" t="e">
        <f>AND(#REF!,"AAAAAH7/n+o=")</f>
        <v>#REF!</v>
      </c>
      <c r="IB2" t="e">
        <f>AND(#REF!,"AAAAAH7/n+s=")</f>
        <v>#REF!</v>
      </c>
      <c r="IC2" t="e">
        <f>AND(#REF!,"AAAAAH7/n+w=")</f>
        <v>#REF!</v>
      </c>
      <c r="ID2" t="e">
        <f>AND(#REF!,"AAAAAH7/n+0=")</f>
        <v>#REF!</v>
      </c>
      <c r="IE2" t="e">
        <f>IF(#REF!,"AAAAAH7/n+4=",0)</f>
        <v>#REF!</v>
      </c>
      <c r="IF2" t="e">
        <f>AND(#REF!,"AAAAAH7/n+8=")</f>
        <v>#REF!</v>
      </c>
      <c r="IG2" t="e">
        <f>AND(#REF!,"AAAAAH7/n/A=")</f>
        <v>#REF!</v>
      </c>
      <c r="IH2" t="e">
        <f>AND(#REF!,"AAAAAH7/n/E=")</f>
        <v>#REF!</v>
      </c>
      <c r="II2" t="e">
        <f>AND(#REF!,"AAAAAH7/n/I=")</f>
        <v>#REF!</v>
      </c>
      <c r="IJ2" t="e">
        <f>AND(#REF!,"AAAAAH7/n/M=")</f>
        <v>#REF!</v>
      </c>
      <c r="IK2" t="e">
        <f>AND(#REF!,"AAAAAH7/n/Q=")</f>
        <v>#REF!</v>
      </c>
      <c r="IL2" t="e">
        <f>AND(#REF!,"AAAAAH7/n/U=")</f>
        <v>#REF!</v>
      </c>
      <c r="IM2" t="e">
        <f>AND(#REF!,"AAAAAH7/n/Y=")</f>
        <v>#REF!</v>
      </c>
      <c r="IN2" t="e">
        <f>AND(#REF!,"AAAAAH7/n/c=")</f>
        <v>#REF!</v>
      </c>
      <c r="IO2" t="e">
        <f>AND(#REF!,"AAAAAH7/n/g=")</f>
        <v>#REF!</v>
      </c>
      <c r="IP2" t="e">
        <f>AND(#REF!,"AAAAAH7/n/k=")</f>
        <v>#REF!</v>
      </c>
      <c r="IQ2" t="e">
        <f>AND(#REF!,"AAAAAH7/n/o=")</f>
        <v>#REF!</v>
      </c>
      <c r="IR2" t="e">
        <f>IF(#REF!,"AAAAAH7/n/s=",0)</f>
        <v>#REF!</v>
      </c>
      <c r="IS2" t="e">
        <f>AND(#REF!,"AAAAAH7/n/w=")</f>
        <v>#REF!</v>
      </c>
      <c r="IT2" t="e">
        <f>AND(#REF!,"AAAAAH7/n/0=")</f>
        <v>#REF!</v>
      </c>
      <c r="IU2" t="e">
        <f>AND(#REF!,"AAAAAH7/n/4=")</f>
        <v>#REF!</v>
      </c>
      <c r="IV2" t="e">
        <f>AND(#REF!,"AAAAAH7/n/8=")</f>
        <v>#REF!</v>
      </c>
    </row>
    <row r="3" spans="1:256">
      <c r="A3" t="e">
        <f>AND(#REF!,"AAAAAF93vwA=")</f>
        <v>#REF!</v>
      </c>
      <c r="B3" t="e">
        <f>AND(#REF!,"AAAAAF93vwE=")</f>
        <v>#REF!</v>
      </c>
      <c r="C3" t="e">
        <f>AND(#REF!,"AAAAAF93vwI=")</f>
        <v>#REF!</v>
      </c>
      <c r="D3" t="e">
        <f>AND(#REF!,"AAAAAF93vwM=")</f>
        <v>#REF!</v>
      </c>
      <c r="E3" t="e">
        <f>AND(#REF!,"AAAAAF93vwQ=")</f>
        <v>#REF!</v>
      </c>
      <c r="F3" t="e">
        <f>AND(#REF!,"AAAAAF93vwU=")</f>
        <v>#REF!</v>
      </c>
      <c r="G3" t="e">
        <f>AND(#REF!,"AAAAAF93vwY=")</f>
        <v>#REF!</v>
      </c>
      <c r="H3" t="e">
        <f>AND(#REF!,"AAAAAF93vwc=")</f>
        <v>#REF!</v>
      </c>
      <c r="I3" t="e">
        <f>IF(#REF!,"AAAAAF93vwg=",0)</f>
        <v>#REF!</v>
      </c>
      <c r="J3" t="e">
        <f>AND(#REF!,"AAAAAF93vwk=")</f>
        <v>#REF!</v>
      </c>
      <c r="K3" t="e">
        <f>AND(#REF!,"AAAAAF93vwo=")</f>
        <v>#REF!</v>
      </c>
      <c r="L3" t="e">
        <f>AND(#REF!,"AAAAAF93vws=")</f>
        <v>#REF!</v>
      </c>
      <c r="M3" t="e">
        <f>AND(#REF!,"AAAAAF93vww=")</f>
        <v>#REF!</v>
      </c>
      <c r="N3" t="e">
        <f>AND(#REF!,"AAAAAF93vw0=")</f>
        <v>#REF!</v>
      </c>
      <c r="O3" t="e">
        <f>AND(#REF!,"AAAAAF93vw4=")</f>
        <v>#REF!</v>
      </c>
      <c r="P3" t="e">
        <f>AND(#REF!,"AAAAAF93vw8=")</f>
        <v>#REF!</v>
      </c>
      <c r="Q3" t="e">
        <f>AND(#REF!,"AAAAAF93vxA=")</f>
        <v>#REF!</v>
      </c>
      <c r="R3" t="e">
        <f>AND(#REF!,"AAAAAF93vxE=")</f>
        <v>#REF!</v>
      </c>
      <c r="S3" t="e">
        <f>AND(#REF!,"AAAAAF93vxI=")</f>
        <v>#REF!</v>
      </c>
      <c r="T3" t="e">
        <f>AND(#REF!,"AAAAAF93vxM=")</f>
        <v>#REF!</v>
      </c>
      <c r="U3" t="e">
        <f>AND(#REF!,"AAAAAF93vxQ=")</f>
        <v>#REF!</v>
      </c>
      <c r="V3" t="e">
        <f>IF(#REF!,"AAAAAF93vxU=",0)</f>
        <v>#REF!</v>
      </c>
      <c r="W3" t="e">
        <f>AND(#REF!,"AAAAAF93vxY=")</f>
        <v>#REF!</v>
      </c>
      <c r="X3" t="e">
        <f>AND(#REF!,"AAAAAF93vxc=")</f>
        <v>#REF!</v>
      </c>
      <c r="Y3" t="e">
        <f>AND(#REF!,"AAAAAF93vxg=")</f>
        <v>#REF!</v>
      </c>
      <c r="Z3" t="e">
        <f>AND(#REF!,"AAAAAF93vxk=")</f>
        <v>#REF!</v>
      </c>
      <c r="AA3" t="e">
        <f>AND(#REF!,"AAAAAF93vxo=")</f>
        <v>#REF!</v>
      </c>
      <c r="AB3" t="e">
        <f>AND(#REF!,"AAAAAF93vxs=")</f>
        <v>#REF!</v>
      </c>
      <c r="AC3" t="e">
        <f>AND(#REF!,"AAAAAF93vxw=")</f>
        <v>#REF!</v>
      </c>
      <c r="AD3" t="e">
        <f>AND(#REF!,"AAAAAF93vx0=")</f>
        <v>#REF!</v>
      </c>
      <c r="AE3" t="e">
        <f>AND(#REF!,"AAAAAF93vx4=")</f>
        <v>#REF!</v>
      </c>
      <c r="AF3" t="e">
        <f>AND(#REF!,"AAAAAF93vx8=")</f>
        <v>#REF!</v>
      </c>
      <c r="AG3" t="e">
        <f>AND(#REF!,"AAAAAF93vyA=")</f>
        <v>#REF!</v>
      </c>
      <c r="AH3" t="e">
        <f>AND(#REF!,"AAAAAF93vyE=")</f>
        <v>#REF!</v>
      </c>
      <c r="AI3" t="e">
        <f>IF(#REF!,"AAAAAF93vyI=",0)</f>
        <v>#REF!</v>
      </c>
      <c r="AJ3" t="e">
        <f>AND(#REF!,"AAAAAF93vyM=")</f>
        <v>#REF!</v>
      </c>
      <c r="AK3" t="e">
        <f>AND(#REF!,"AAAAAF93vyQ=")</f>
        <v>#REF!</v>
      </c>
      <c r="AL3" t="e">
        <f>AND(#REF!,"AAAAAF93vyU=")</f>
        <v>#REF!</v>
      </c>
      <c r="AM3" t="e">
        <f>AND(#REF!,"AAAAAF93vyY=")</f>
        <v>#REF!</v>
      </c>
      <c r="AN3" t="e">
        <f>AND(#REF!,"AAAAAF93vyc=")</f>
        <v>#REF!</v>
      </c>
      <c r="AO3" t="e">
        <f>AND(#REF!,"AAAAAF93vyg=")</f>
        <v>#REF!</v>
      </c>
      <c r="AP3" t="e">
        <f>AND(#REF!,"AAAAAF93vyk=")</f>
        <v>#REF!</v>
      </c>
      <c r="AQ3" t="e">
        <f>AND(#REF!,"AAAAAF93vyo=")</f>
        <v>#REF!</v>
      </c>
      <c r="AR3" t="e">
        <f>AND(#REF!,"AAAAAF93vys=")</f>
        <v>#REF!</v>
      </c>
      <c r="AS3" t="e">
        <f>AND(#REF!,"AAAAAF93vyw=")</f>
        <v>#REF!</v>
      </c>
      <c r="AT3" t="e">
        <f>AND(#REF!,"AAAAAF93vy0=")</f>
        <v>#REF!</v>
      </c>
      <c r="AU3" t="e">
        <f>AND(#REF!,"AAAAAF93vy4=")</f>
        <v>#REF!</v>
      </c>
      <c r="AV3" t="e">
        <f>IF(#REF!,"AAAAAF93vy8=",0)</f>
        <v>#REF!</v>
      </c>
      <c r="AW3" t="e">
        <f>AND(#REF!,"AAAAAF93vzA=")</f>
        <v>#REF!</v>
      </c>
      <c r="AX3" t="e">
        <f>AND(#REF!,"AAAAAF93vzE=")</f>
        <v>#REF!</v>
      </c>
      <c r="AY3" t="e">
        <f>AND(#REF!,"AAAAAF93vzI=")</f>
        <v>#REF!</v>
      </c>
      <c r="AZ3" t="e">
        <f>AND(#REF!,"AAAAAF93vzM=")</f>
        <v>#REF!</v>
      </c>
      <c r="BA3" t="e">
        <f>AND(#REF!,"AAAAAF93vzQ=")</f>
        <v>#REF!</v>
      </c>
      <c r="BB3" t="e">
        <f>AND(#REF!,"AAAAAF93vzU=")</f>
        <v>#REF!</v>
      </c>
      <c r="BC3" t="e">
        <f>AND(#REF!,"AAAAAF93vzY=")</f>
        <v>#REF!</v>
      </c>
      <c r="BD3" t="e">
        <f>AND(#REF!,"AAAAAF93vzc=")</f>
        <v>#REF!</v>
      </c>
      <c r="BE3" t="e">
        <f>AND(#REF!,"AAAAAF93vzg=")</f>
        <v>#REF!</v>
      </c>
      <c r="BF3" t="e">
        <f>AND(#REF!,"AAAAAF93vzk=")</f>
        <v>#REF!</v>
      </c>
      <c r="BG3" t="e">
        <f>AND(#REF!,"AAAAAF93vzo=")</f>
        <v>#REF!</v>
      </c>
      <c r="BH3" t="e">
        <f>AND(#REF!,"AAAAAF93vzs=")</f>
        <v>#REF!</v>
      </c>
      <c r="BI3" t="e">
        <f>IF(#REF!,"AAAAAF93vzw=",0)</f>
        <v>#REF!</v>
      </c>
      <c r="BJ3" t="e">
        <f>AND(#REF!,"AAAAAF93vz0=")</f>
        <v>#REF!</v>
      </c>
      <c r="BK3" t="e">
        <f>AND(#REF!,"AAAAAF93vz4=")</f>
        <v>#REF!</v>
      </c>
      <c r="BL3" t="e">
        <f>AND(#REF!,"AAAAAF93vz8=")</f>
        <v>#REF!</v>
      </c>
      <c r="BM3" t="e">
        <f>AND(#REF!,"AAAAAF93v0A=")</f>
        <v>#REF!</v>
      </c>
      <c r="BN3" t="e">
        <f>AND(#REF!,"AAAAAF93v0E=")</f>
        <v>#REF!</v>
      </c>
      <c r="BO3" t="e">
        <f>AND(#REF!,"AAAAAF93v0I=")</f>
        <v>#REF!</v>
      </c>
      <c r="BP3" t="e">
        <f>AND(#REF!,"AAAAAF93v0M=")</f>
        <v>#REF!</v>
      </c>
      <c r="BQ3" t="e">
        <f>AND(#REF!,"AAAAAF93v0Q=")</f>
        <v>#REF!</v>
      </c>
      <c r="BR3" t="e">
        <f>AND(#REF!,"AAAAAF93v0U=")</f>
        <v>#REF!</v>
      </c>
      <c r="BS3" t="e">
        <f>AND(#REF!,"AAAAAF93v0Y=")</f>
        <v>#REF!</v>
      </c>
      <c r="BT3" t="e">
        <f>AND(#REF!,"AAAAAF93v0c=")</f>
        <v>#REF!</v>
      </c>
      <c r="BU3" t="e">
        <f>AND(#REF!,"AAAAAF93v0g=")</f>
        <v>#REF!</v>
      </c>
      <c r="BV3" t="e">
        <f>IF(#REF!,"AAAAAF93v0k=",0)</f>
        <v>#REF!</v>
      </c>
      <c r="BW3" t="e">
        <f>AND(#REF!,"AAAAAF93v0o=")</f>
        <v>#REF!</v>
      </c>
      <c r="BX3" t="e">
        <f>AND(#REF!,"AAAAAF93v0s=")</f>
        <v>#REF!</v>
      </c>
      <c r="BY3" t="e">
        <f>AND(#REF!,"AAAAAF93v0w=")</f>
        <v>#REF!</v>
      </c>
      <c r="BZ3" t="e">
        <f>AND(#REF!,"AAAAAF93v00=")</f>
        <v>#REF!</v>
      </c>
      <c r="CA3" t="e">
        <f>AND(#REF!,"AAAAAF93v04=")</f>
        <v>#REF!</v>
      </c>
      <c r="CB3" t="e">
        <f>AND(#REF!,"AAAAAF93v08=")</f>
        <v>#REF!</v>
      </c>
      <c r="CC3" t="e">
        <f>AND(#REF!,"AAAAAF93v1A=")</f>
        <v>#REF!</v>
      </c>
      <c r="CD3" t="e">
        <f>AND(#REF!,"AAAAAF93v1E=")</f>
        <v>#REF!</v>
      </c>
      <c r="CE3" t="e">
        <f>AND(#REF!,"AAAAAF93v1I=")</f>
        <v>#REF!</v>
      </c>
      <c r="CF3" t="e">
        <f>AND(#REF!,"AAAAAF93v1M=")</f>
        <v>#REF!</v>
      </c>
      <c r="CG3" t="e">
        <f>AND(#REF!,"AAAAAF93v1Q=")</f>
        <v>#REF!</v>
      </c>
      <c r="CH3" t="e">
        <f>AND(#REF!,"AAAAAF93v1U=")</f>
        <v>#REF!</v>
      </c>
      <c r="CI3" t="e">
        <f>IF(#REF!,"AAAAAF93v1Y=",0)</f>
        <v>#REF!</v>
      </c>
      <c r="CJ3" t="e">
        <f>AND(#REF!,"AAAAAF93v1c=")</f>
        <v>#REF!</v>
      </c>
      <c r="CK3" t="e">
        <f>AND(#REF!,"AAAAAF93v1g=")</f>
        <v>#REF!</v>
      </c>
      <c r="CL3" t="e">
        <f>AND(#REF!,"AAAAAF93v1k=")</f>
        <v>#REF!</v>
      </c>
      <c r="CM3" t="e">
        <f>AND(#REF!,"AAAAAF93v1o=")</f>
        <v>#REF!</v>
      </c>
      <c r="CN3" t="e">
        <f>AND(#REF!,"AAAAAF93v1s=")</f>
        <v>#REF!</v>
      </c>
      <c r="CO3" t="e">
        <f>AND(#REF!,"AAAAAF93v1w=")</f>
        <v>#REF!</v>
      </c>
      <c r="CP3" t="e">
        <f>AND(#REF!,"AAAAAF93v10=")</f>
        <v>#REF!</v>
      </c>
      <c r="CQ3" t="e">
        <f>AND(#REF!,"AAAAAF93v14=")</f>
        <v>#REF!</v>
      </c>
      <c r="CR3" t="e">
        <f>AND(#REF!,"AAAAAF93v18=")</f>
        <v>#REF!</v>
      </c>
      <c r="CS3" t="e">
        <f>AND(#REF!,"AAAAAF93v2A=")</f>
        <v>#REF!</v>
      </c>
      <c r="CT3" t="e">
        <f>AND(#REF!,"AAAAAF93v2E=")</f>
        <v>#REF!</v>
      </c>
      <c r="CU3" t="e">
        <f>AND(#REF!,"AAAAAF93v2I=")</f>
        <v>#REF!</v>
      </c>
      <c r="CV3" t="e">
        <f>IF(#REF!,"AAAAAF93v2M=",0)</f>
        <v>#REF!</v>
      </c>
      <c r="CW3" t="e">
        <f>AND(#REF!,"AAAAAF93v2Q=")</f>
        <v>#REF!</v>
      </c>
      <c r="CX3" t="e">
        <f>AND(#REF!,"AAAAAF93v2U=")</f>
        <v>#REF!</v>
      </c>
      <c r="CY3" t="e">
        <f>AND(#REF!,"AAAAAF93v2Y=")</f>
        <v>#REF!</v>
      </c>
      <c r="CZ3" t="e">
        <f>AND(#REF!,"AAAAAF93v2c=")</f>
        <v>#REF!</v>
      </c>
      <c r="DA3" t="e">
        <f>AND(#REF!,"AAAAAF93v2g=")</f>
        <v>#REF!</v>
      </c>
      <c r="DB3" t="e">
        <f>AND(#REF!,"AAAAAF93v2k=")</f>
        <v>#REF!</v>
      </c>
      <c r="DC3" t="e">
        <f>AND(#REF!,"AAAAAF93v2o=")</f>
        <v>#REF!</v>
      </c>
      <c r="DD3" t="e">
        <f>AND(#REF!,"AAAAAF93v2s=")</f>
        <v>#REF!</v>
      </c>
      <c r="DE3" t="e">
        <f>AND(#REF!,"AAAAAF93v2w=")</f>
        <v>#REF!</v>
      </c>
      <c r="DF3" t="e">
        <f>AND(#REF!,"AAAAAF93v20=")</f>
        <v>#REF!</v>
      </c>
      <c r="DG3" t="e">
        <f>AND(#REF!,"AAAAAF93v24=")</f>
        <v>#REF!</v>
      </c>
      <c r="DH3" t="e">
        <f>AND(#REF!,"AAAAAF93v28=")</f>
        <v>#REF!</v>
      </c>
      <c r="DI3" t="e">
        <f>IF(#REF!,"AAAAAF93v3A=",0)</f>
        <v>#REF!</v>
      </c>
      <c r="DJ3" t="e">
        <f>AND(#REF!,"AAAAAF93v3E=")</f>
        <v>#REF!</v>
      </c>
      <c r="DK3" t="e">
        <f>AND(#REF!,"AAAAAF93v3I=")</f>
        <v>#REF!</v>
      </c>
      <c r="DL3" t="e">
        <f>AND(#REF!,"AAAAAF93v3M=")</f>
        <v>#REF!</v>
      </c>
      <c r="DM3" t="e">
        <f>AND(#REF!,"AAAAAF93v3Q=")</f>
        <v>#REF!</v>
      </c>
      <c r="DN3" t="e">
        <f>AND(#REF!,"AAAAAF93v3U=")</f>
        <v>#REF!</v>
      </c>
      <c r="DO3" t="e">
        <f>AND(#REF!,"AAAAAF93v3Y=")</f>
        <v>#REF!</v>
      </c>
      <c r="DP3" t="e">
        <f>AND(#REF!,"AAAAAF93v3c=")</f>
        <v>#REF!</v>
      </c>
      <c r="DQ3" t="e">
        <f>AND(#REF!,"AAAAAF93v3g=")</f>
        <v>#REF!</v>
      </c>
      <c r="DR3" t="e">
        <f>AND(#REF!,"AAAAAF93v3k=")</f>
        <v>#REF!</v>
      </c>
      <c r="DS3" t="e">
        <f>AND(#REF!,"AAAAAF93v3o=")</f>
        <v>#REF!</v>
      </c>
      <c r="DT3" t="e">
        <f>AND(#REF!,"AAAAAF93v3s=")</f>
        <v>#REF!</v>
      </c>
      <c r="DU3" t="e">
        <f>AND(#REF!,"AAAAAF93v3w=")</f>
        <v>#REF!</v>
      </c>
      <c r="DV3" t="e">
        <f>IF(#REF!,"AAAAAF93v30=",0)</f>
        <v>#REF!</v>
      </c>
      <c r="DW3" t="e">
        <f>AND(#REF!,"AAAAAF93v34=")</f>
        <v>#REF!</v>
      </c>
      <c r="DX3" t="e">
        <f>AND(#REF!,"AAAAAF93v38=")</f>
        <v>#REF!</v>
      </c>
      <c r="DY3" t="e">
        <f>AND(#REF!,"AAAAAF93v4A=")</f>
        <v>#REF!</v>
      </c>
      <c r="DZ3" t="e">
        <f>AND(#REF!,"AAAAAF93v4E=")</f>
        <v>#REF!</v>
      </c>
      <c r="EA3" t="e">
        <f>AND(#REF!,"AAAAAF93v4I=")</f>
        <v>#REF!</v>
      </c>
      <c r="EB3" t="e">
        <f>AND(#REF!,"AAAAAF93v4M=")</f>
        <v>#REF!</v>
      </c>
      <c r="EC3" t="e">
        <f>AND(#REF!,"AAAAAF93v4Q=")</f>
        <v>#REF!</v>
      </c>
      <c r="ED3" t="e">
        <f>AND(#REF!,"AAAAAF93v4U=")</f>
        <v>#REF!</v>
      </c>
      <c r="EE3" t="e">
        <f>AND(#REF!,"AAAAAF93v4Y=")</f>
        <v>#REF!</v>
      </c>
      <c r="EF3" t="e">
        <f>AND(#REF!,"AAAAAF93v4c=")</f>
        <v>#REF!</v>
      </c>
      <c r="EG3" t="e">
        <f>AND(#REF!,"AAAAAF93v4g=")</f>
        <v>#REF!</v>
      </c>
      <c r="EH3" t="e">
        <f>AND(#REF!,"AAAAAF93v4k=")</f>
        <v>#REF!</v>
      </c>
      <c r="EI3" t="e">
        <f>IF(#REF!,"AAAAAF93v4o=",0)</f>
        <v>#REF!</v>
      </c>
      <c r="EJ3" t="e">
        <f>AND(#REF!,"AAAAAF93v4s=")</f>
        <v>#REF!</v>
      </c>
      <c r="EK3" t="e">
        <f>AND(#REF!,"AAAAAF93v4w=")</f>
        <v>#REF!</v>
      </c>
      <c r="EL3" t="e">
        <f>AND(#REF!,"AAAAAF93v40=")</f>
        <v>#REF!</v>
      </c>
      <c r="EM3" t="e">
        <f>AND(#REF!,"AAAAAF93v44=")</f>
        <v>#REF!</v>
      </c>
      <c r="EN3" t="e">
        <f>AND(#REF!,"AAAAAF93v48=")</f>
        <v>#REF!</v>
      </c>
      <c r="EO3" t="e">
        <f>AND(#REF!,"AAAAAF93v5A=")</f>
        <v>#REF!</v>
      </c>
      <c r="EP3" t="e">
        <f>AND(#REF!,"AAAAAF93v5E=")</f>
        <v>#REF!</v>
      </c>
      <c r="EQ3" t="e">
        <f>AND(#REF!,"AAAAAF93v5I=")</f>
        <v>#REF!</v>
      </c>
      <c r="ER3" t="e">
        <f>AND(#REF!,"AAAAAF93v5M=")</f>
        <v>#REF!</v>
      </c>
      <c r="ES3" t="e">
        <f>AND(#REF!,"AAAAAF93v5Q=")</f>
        <v>#REF!</v>
      </c>
      <c r="ET3" t="e">
        <f>AND(#REF!,"AAAAAF93v5U=")</f>
        <v>#REF!</v>
      </c>
      <c r="EU3" t="e">
        <f>AND(#REF!,"AAAAAF93v5Y=")</f>
        <v>#REF!</v>
      </c>
      <c r="EV3" t="e">
        <f>IF(#REF!,"AAAAAF93v5c=",0)</f>
        <v>#REF!</v>
      </c>
      <c r="EW3" t="e">
        <f>AND(#REF!,"AAAAAF93v5g=")</f>
        <v>#REF!</v>
      </c>
      <c r="EX3" t="e">
        <f>AND(#REF!,"AAAAAF93v5k=")</f>
        <v>#REF!</v>
      </c>
      <c r="EY3" t="e">
        <f>AND(#REF!,"AAAAAF93v5o=")</f>
        <v>#REF!</v>
      </c>
      <c r="EZ3" t="e">
        <f>AND(#REF!,"AAAAAF93v5s=")</f>
        <v>#REF!</v>
      </c>
      <c r="FA3" t="e">
        <f>AND(#REF!,"AAAAAF93v5w=")</f>
        <v>#REF!</v>
      </c>
      <c r="FB3" t="e">
        <f>AND(#REF!,"AAAAAF93v50=")</f>
        <v>#REF!</v>
      </c>
      <c r="FC3" t="e">
        <f>AND(#REF!,"AAAAAF93v54=")</f>
        <v>#REF!</v>
      </c>
      <c r="FD3" t="e">
        <f>AND(#REF!,"AAAAAF93v58=")</f>
        <v>#REF!</v>
      </c>
      <c r="FE3" t="e">
        <f>AND(#REF!,"AAAAAF93v6A=")</f>
        <v>#REF!</v>
      </c>
      <c r="FF3" t="e">
        <f>AND(#REF!,"AAAAAF93v6E=")</f>
        <v>#REF!</v>
      </c>
      <c r="FG3" t="e">
        <f>AND(#REF!,"AAAAAF93v6I=")</f>
        <v>#REF!</v>
      </c>
      <c r="FH3" t="e">
        <f>AND(#REF!,"AAAAAF93v6M=")</f>
        <v>#REF!</v>
      </c>
      <c r="FI3" t="e">
        <f>IF(#REF!,"AAAAAF93v6Q=",0)</f>
        <v>#REF!</v>
      </c>
      <c r="FJ3" t="e">
        <f>AND(#REF!,"AAAAAF93v6U=")</f>
        <v>#REF!</v>
      </c>
      <c r="FK3" t="e">
        <f>AND(#REF!,"AAAAAF93v6Y=")</f>
        <v>#REF!</v>
      </c>
      <c r="FL3" t="e">
        <f>AND(#REF!,"AAAAAF93v6c=")</f>
        <v>#REF!</v>
      </c>
      <c r="FM3" t="e">
        <f>AND(#REF!,"AAAAAF93v6g=")</f>
        <v>#REF!</v>
      </c>
      <c r="FN3" t="e">
        <f>AND(#REF!,"AAAAAF93v6k=")</f>
        <v>#REF!</v>
      </c>
      <c r="FO3" t="e">
        <f>AND(#REF!,"AAAAAF93v6o=")</f>
        <v>#REF!</v>
      </c>
      <c r="FP3" t="e">
        <f>AND(#REF!,"AAAAAF93v6s=")</f>
        <v>#REF!</v>
      </c>
      <c r="FQ3" t="e">
        <f>AND(#REF!,"AAAAAF93v6w=")</f>
        <v>#REF!</v>
      </c>
      <c r="FR3" t="e">
        <f>AND(#REF!,"AAAAAF93v60=")</f>
        <v>#REF!</v>
      </c>
      <c r="FS3" t="e">
        <f>AND(#REF!,"AAAAAF93v64=")</f>
        <v>#REF!</v>
      </c>
      <c r="FT3" t="e">
        <f>IF(#REF!,"AAAAAF93v68=",0)</f>
        <v>#REF!</v>
      </c>
      <c r="FU3" t="e">
        <f>AND(#REF!,"AAAAAF93v7A=")</f>
        <v>#REF!</v>
      </c>
      <c r="FV3" t="e">
        <f>AND(#REF!,"AAAAAF93v7E=")</f>
        <v>#REF!</v>
      </c>
      <c r="FW3" t="e">
        <f>AND(#REF!,"AAAAAF93v7I=")</f>
        <v>#REF!</v>
      </c>
      <c r="FX3" t="e">
        <f>AND(#REF!,"AAAAAF93v7M=")</f>
        <v>#REF!</v>
      </c>
      <c r="FY3" t="e">
        <f>AND(#REF!,"AAAAAF93v7Q=")</f>
        <v>#REF!</v>
      </c>
      <c r="FZ3" t="e">
        <f>AND(#REF!,"AAAAAF93v7U=")</f>
        <v>#REF!</v>
      </c>
      <c r="GA3" t="e">
        <f>AND(#REF!,"AAAAAF93v7Y=")</f>
        <v>#REF!</v>
      </c>
      <c r="GB3" t="e">
        <f>AND(#REF!,"AAAAAF93v7c=")</f>
        <v>#REF!</v>
      </c>
      <c r="GC3" t="e">
        <f>AND(#REF!,"AAAAAF93v7g=")</f>
        <v>#REF!</v>
      </c>
      <c r="GD3" t="e">
        <f>AND(#REF!,"AAAAAF93v7k=")</f>
        <v>#REF!</v>
      </c>
      <c r="GE3" t="e">
        <f>IF(#REF!,"AAAAAF93v7o=",0)</f>
        <v>#REF!</v>
      </c>
      <c r="GF3" t="e">
        <f>AND(#REF!,"AAAAAF93v7s=")</f>
        <v>#REF!</v>
      </c>
      <c r="GG3" t="e">
        <f>AND(#REF!,"AAAAAF93v7w=")</f>
        <v>#REF!</v>
      </c>
      <c r="GH3" t="e">
        <f>AND(#REF!,"AAAAAF93v70=")</f>
        <v>#REF!</v>
      </c>
      <c r="GI3" t="e">
        <f>AND(#REF!,"AAAAAF93v74=")</f>
        <v>#REF!</v>
      </c>
      <c r="GJ3" t="e">
        <f>AND(#REF!,"AAAAAF93v78=")</f>
        <v>#REF!</v>
      </c>
      <c r="GK3" t="e">
        <f>AND(#REF!,"AAAAAF93v8A=")</f>
        <v>#REF!</v>
      </c>
      <c r="GL3" t="e">
        <f>AND(#REF!,"AAAAAF93v8E=")</f>
        <v>#REF!</v>
      </c>
      <c r="GM3" t="e">
        <f>AND(#REF!,"AAAAAF93v8I=")</f>
        <v>#REF!</v>
      </c>
      <c r="GN3" t="e">
        <f>AND(#REF!,"AAAAAF93v8M=")</f>
        <v>#REF!</v>
      </c>
      <c r="GO3" t="e">
        <f>AND(#REF!,"AAAAAF93v8Q=")</f>
        <v>#REF!</v>
      </c>
      <c r="GP3" t="e">
        <f>IF(#REF!,"AAAAAF93v8U=",0)</f>
        <v>#REF!</v>
      </c>
      <c r="GQ3" t="e">
        <f>AND(#REF!,"AAAAAF93v8Y=")</f>
        <v>#REF!</v>
      </c>
      <c r="GR3" t="e">
        <f>AND(#REF!,"AAAAAF93v8c=")</f>
        <v>#REF!</v>
      </c>
      <c r="GS3" t="e">
        <f>AND(#REF!,"AAAAAF93v8g=")</f>
        <v>#REF!</v>
      </c>
      <c r="GT3" t="e">
        <f>AND(#REF!,"AAAAAF93v8k=")</f>
        <v>#REF!</v>
      </c>
      <c r="GU3" t="e">
        <f>AND(#REF!,"AAAAAF93v8o=")</f>
        <v>#REF!</v>
      </c>
      <c r="GV3" t="e">
        <f>AND(#REF!,"AAAAAF93v8s=")</f>
        <v>#REF!</v>
      </c>
      <c r="GW3" t="e">
        <f>AND(#REF!,"AAAAAF93v8w=")</f>
        <v>#REF!</v>
      </c>
      <c r="GX3" t="e">
        <f>AND(#REF!,"AAAAAF93v80=")</f>
        <v>#REF!</v>
      </c>
      <c r="GY3" t="e">
        <f>AND(#REF!,"AAAAAF93v84=")</f>
        <v>#REF!</v>
      </c>
      <c r="GZ3" t="e">
        <f>AND(#REF!,"AAAAAF93v88=")</f>
        <v>#REF!</v>
      </c>
      <c r="HA3" t="e">
        <f>IF(#REF!,"AAAAAF93v9A=",0)</f>
        <v>#REF!</v>
      </c>
      <c r="HB3" t="e">
        <f>AND(#REF!,"AAAAAF93v9E=")</f>
        <v>#REF!</v>
      </c>
      <c r="HC3" t="e">
        <f>AND(#REF!,"AAAAAF93v9I=")</f>
        <v>#REF!</v>
      </c>
      <c r="HD3" t="e">
        <f>AND(#REF!,"AAAAAF93v9M=")</f>
        <v>#REF!</v>
      </c>
      <c r="HE3" t="e">
        <f>AND(#REF!,"AAAAAF93v9Q=")</f>
        <v>#REF!</v>
      </c>
      <c r="HF3" t="e">
        <f>AND(#REF!,"AAAAAF93v9U=")</f>
        <v>#REF!</v>
      </c>
      <c r="HG3" t="e">
        <f>AND(#REF!,"AAAAAF93v9Y=")</f>
        <v>#REF!</v>
      </c>
      <c r="HH3" t="e">
        <f>AND(#REF!,"AAAAAF93v9c=")</f>
        <v>#REF!</v>
      </c>
      <c r="HI3" t="e">
        <f>AND(#REF!,"AAAAAF93v9g=")</f>
        <v>#REF!</v>
      </c>
      <c r="HJ3" t="e">
        <f>AND(#REF!,"AAAAAF93v9k=")</f>
        <v>#REF!</v>
      </c>
      <c r="HK3" t="e">
        <f>AND(#REF!,"AAAAAF93v9o=")</f>
        <v>#REF!</v>
      </c>
      <c r="HL3" t="e">
        <f>IF(#REF!,"AAAAAF93v9s=",0)</f>
        <v>#REF!</v>
      </c>
      <c r="HM3" t="e">
        <f>AND(#REF!,"AAAAAF93v9w=")</f>
        <v>#REF!</v>
      </c>
      <c r="HN3" t="e">
        <f>AND(#REF!,"AAAAAF93v90=")</f>
        <v>#REF!</v>
      </c>
      <c r="HO3" t="e">
        <f>AND(#REF!,"AAAAAF93v94=")</f>
        <v>#REF!</v>
      </c>
      <c r="HP3" t="e">
        <f>AND(#REF!,"AAAAAF93v98=")</f>
        <v>#REF!</v>
      </c>
      <c r="HQ3" t="e">
        <f>AND(#REF!,"AAAAAF93v+A=")</f>
        <v>#REF!</v>
      </c>
      <c r="HR3" t="e">
        <f>AND(#REF!,"AAAAAF93v+E=")</f>
        <v>#REF!</v>
      </c>
      <c r="HS3" t="e">
        <f>AND(#REF!,"AAAAAF93v+I=")</f>
        <v>#REF!</v>
      </c>
      <c r="HT3" t="e">
        <f>AND(#REF!,"AAAAAF93v+M=")</f>
        <v>#REF!</v>
      </c>
      <c r="HU3" t="e">
        <f>AND(#REF!,"AAAAAF93v+Q=")</f>
        <v>#REF!</v>
      </c>
      <c r="HV3" t="e">
        <f>AND(#REF!,"AAAAAF93v+U=")</f>
        <v>#REF!</v>
      </c>
      <c r="HW3" t="e">
        <f>IF(#REF!,"AAAAAF93v+Y=",0)</f>
        <v>#REF!</v>
      </c>
      <c r="HX3" t="e">
        <f>AND(#REF!,"AAAAAF93v+c=")</f>
        <v>#REF!</v>
      </c>
      <c r="HY3" t="e">
        <f>AND(#REF!,"AAAAAF93v+g=")</f>
        <v>#REF!</v>
      </c>
      <c r="HZ3" t="e">
        <f>AND(#REF!,"AAAAAF93v+k=")</f>
        <v>#REF!</v>
      </c>
      <c r="IA3" t="e">
        <f>AND(#REF!,"AAAAAF93v+o=")</f>
        <v>#REF!</v>
      </c>
      <c r="IB3" t="e">
        <f>AND(#REF!,"AAAAAF93v+s=")</f>
        <v>#REF!</v>
      </c>
      <c r="IC3" t="e">
        <f>AND(#REF!,"AAAAAF93v+w=")</f>
        <v>#REF!</v>
      </c>
      <c r="ID3" t="e">
        <f>AND(#REF!,"AAAAAF93v+0=")</f>
        <v>#REF!</v>
      </c>
      <c r="IE3" t="e">
        <f>AND(#REF!,"AAAAAF93v+4=")</f>
        <v>#REF!</v>
      </c>
      <c r="IF3" t="e">
        <f>AND(#REF!,"AAAAAF93v+8=")</f>
        <v>#REF!</v>
      </c>
      <c r="IG3" t="e">
        <f>AND(#REF!,"AAAAAF93v/A=")</f>
        <v>#REF!</v>
      </c>
      <c r="IH3" t="e">
        <f>IF(#REF!,"AAAAAF93v/E=",0)</f>
        <v>#REF!</v>
      </c>
      <c r="II3" t="e">
        <f>AND(#REF!,"AAAAAF93v/I=")</f>
        <v>#REF!</v>
      </c>
      <c r="IJ3" t="e">
        <f>AND(#REF!,"AAAAAF93v/M=")</f>
        <v>#REF!</v>
      </c>
      <c r="IK3" t="e">
        <f>AND(#REF!,"AAAAAF93v/Q=")</f>
        <v>#REF!</v>
      </c>
      <c r="IL3" t="e">
        <f>AND(#REF!,"AAAAAF93v/U=")</f>
        <v>#REF!</v>
      </c>
      <c r="IM3" t="e">
        <f>AND(#REF!,"AAAAAF93v/Y=")</f>
        <v>#REF!</v>
      </c>
      <c r="IN3" t="e">
        <f>AND(#REF!,"AAAAAF93v/c=")</f>
        <v>#REF!</v>
      </c>
      <c r="IO3" t="e">
        <f>AND(#REF!,"AAAAAF93v/g=")</f>
        <v>#REF!</v>
      </c>
      <c r="IP3" t="e">
        <f>AND(#REF!,"AAAAAF93v/k=")</f>
        <v>#REF!</v>
      </c>
      <c r="IQ3" t="e">
        <f>AND(#REF!,"AAAAAF93v/o=")</f>
        <v>#REF!</v>
      </c>
      <c r="IR3" t="e">
        <f>AND(#REF!,"AAAAAF93v/s=")</f>
        <v>#REF!</v>
      </c>
      <c r="IS3" t="e">
        <f>IF(#REF!,"AAAAAF93v/w=",0)</f>
        <v>#REF!</v>
      </c>
      <c r="IT3" t="e">
        <f>AND(#REF!,"AAAAAF93v/0=")</f>
        <v>#REF!</v>
      </c>
      <c r="IU3" t="e">
        <f>AND(#REF!,"AAAAAF93v/4=")</f>
        <v>#REF!</v>
      </c>
      <c r="IV3" t="e">
        <f>AND(#REF!,"AAAAAF93v/8=")</f>
        <v>#REF!</v>
      </c>
    </row>
    <row r="4" spans="1:256">
      <c r="A4" t="e">
        <f>AND(#REF!,"AAAAAFn7lwA=")</f>
        <v>#REF!</v>
      </c>
      <c r="B4" t="e">
        <f>AND(#REF!,"AAAAAFn7lwE=")</f>
        <v>#REF!</v>
      </c>
      <c r="C4" t="e">
        <f>AND(#REF!,"AAAAAFn7lwI=")</f>
        <v>#REF!</v>
      </c>
      <c r="D4" t="e">
        <f>AND(#REF!,"AAAAAFn7lwM=")</f>
        <v>#REF!</v>
      </c>
      <c r="E4" t="e">
        <f>AND(#REF!,"AAAAAFn7lwQ=")</f>
        <v>#REF!</v>
      </c>
      <c r="F4" t="e">
        <f>AND(#REF!,"AAAAAFn7lwU=")</f>
        <v>#REF!</v>
      </c>
      <c r="G4" t="e">
        <f>AND(#REF!,"AAAAAFn7lwY=")</f>
        <v>#REF!</v>
      </c>
      <c r="H4" t="e">
        <f>IF(#REF!,"AAAAAFn7lwc=",0)</f>
        <v>#REF!</v>
      </c>
      <c r="I4" t="e">
        <f>AND(#REF!,"AAAAAFn7lwg=")</f>
        <v>#REF!</v>
      </c>
      <c r="J4" t="e">
        <f>AND(#REF!,"AAAAAFn7lwk=")</f>
        <v>#REF!</v>
      </c>
      <c r="K4" t="e">
        <f>AND(#REF!,"AAAAAFn7lwo=")</f>
        <v>#REF!</v>
      </c>
      <c r="L4" t="e">
        <f>AND(#REF!,"AAAAAFn7lws=")</f>
        <v>#REF!</v>
      </c>
      <c r="M4" t="e">
        <f>AND(#REF!,"AAAAAFn7lww=")</f>
        <v>#REF!</v>
      </c>
      <c r="N4" t="e">
        <f>AND(#REF!,"AAAAAFn7lw0=")</f>
        <v>#REF!</v>
      </c>
      <c r="O4" t="e">
        <f>AND(#REF!,"AAAAAFn7lw4=")</f>
        <v>#REF!</v>
      </c>
      <c r="P4" t="e">
        <f>AND(#REF!,"AAAAAFn7lw8=")</f>
        <v>#REF!</v>
      </c>
      <c r="Q4" t="e">
        <f>AND(#REF!,"AAAAAFn7lxA=")</f>
        <v>#REF!</v>
      </c>
      <c r="R4" t="e">
        <f>AND(#REF!,"AAAAAFn7lxE=")</f>
        <v>#REF!</v>
      </c>
      <c r="S4" t="e">
        <f>IF(#REF!,"AAAAAFn7lxI=",0)</f>
        <v>#REF!</v>
      </c>
      <c r="T4" t="e">
        <f>AND(#REF!,"AAAAAFn7lxM=")</f>
        <v>#REF!</v>
      </c>
      <c r="U4" t="e">
        <f>AND(#REF!,"AAAAAFn7lxQ=")</f>
        <v>#REF!</v>
      </c>
      <c r="V4" t="e">
        <f>AND(#REF!,"AAAAAFn7lxU=")</f>
        <v>#REF!</v>
      </c>
      <c r="W4" t="e">
        <f>AND(#REF!,"AAAAAFn7lxY=")</f>
        <v>#REF!</v>
      </c>
      <c r="X4" t="e">
        <f>AND(#REF!,"AAAAAFn7lxc=")</f>
        <v>#REF!</v>
      </c>
      <c r="Y4" t="e">
        <f>AND(#REF!,"AAAAAFn7lxg=")</f>
        <v>#REF!</v>
      </c>
      <c r="Z4" t="e">
        <f>AND(#REF!,"AAAAAFn7lxk=")</f>
        <v>#REF!</v>
      </c>
      <c r="AA4" t="e">
        <f>AND(#REF!,"AAAAAFn7lxo=")</f>
        <v>#REF!</v>
      </c>
      <c r="AB4" t="e">
        <f>AND(#REF!,"AAAAAFn7lxs=")</f>
        <v>#REF!</v>
      </c>
      <c r="AC4" t="e">
        <f>AND(#REF!,"AAAAAFn7lxw=")</f>
        <v>#REF!</v>
      </c>
      <c r="AD4" t="e">
        <f>IF(#REF!,"AAAAAFn7lx0=",0)</f>
        <v>#REF!</v>
      </c>
      <c r="AE4" t="e">
        <f>AND(#REF!,"AAAAAFn7lx4=")</f>
        <v>#REF!</v>
      </c>
      <c r="AF4" t="e">
        <f>AND(#REF!,"AAAAAFn7lx8=")</f>
        <v>#REF!</v>
      </c>
      <c r="AG4" t="e">
        <f>AND(#REF!,"AAAAAFn7lyA=")</f>
        <v>#REF!</v>
      </c>
      <c r="AH4" t="e">
        <f>AND(#REF!,"AAAAAFn7lyE=")</f>
        <v>#REF!</v>
      </c>
      <c r="AI4" t="e">
        <f>AND(#REF!,"AAAAAFn7lyI=")</f>
        <v>#REF!</v>
      </c>
      <c r="AJ4" t="e">
        <f>AND(#REF!,"AAAAAFn7lyM=")</f>
        <v>#REF!</v>
      </c>
      <c r="AK4" t="e">
        <f>AND(#REF!,"AAAAAFn7lyQ=")</f>
        <v>#REF!</v>
      </c>
      <c r="AL4" t="e">
        <f>AND(#REF!,"AAAAAFn7lyU=")</f>
        <v>#REF!</v>
      </c>
      <c r="AM4" t="e">
        <f>AND(#REF!,"AAAAAFn7lyY=")</f>
        <v>#REF!</v>
      </c>
      <c r="AN4" t="e">
        <f>AND(#REF!,"AAAAAFn7lyc=")</f>
        <v>#REF!</v>
      </c>
      <c r="AO4" t="e">
        <f>IF(#REF!,"AAAAAFn7lyg=",0)</f>
        <v>#REF!</v>
      </c>
      <c r="AP4" t="e">
        <f>AND(#REF!,"AAAAAFn7lyk=")</f>
        <v>#REF!</v>
      </c>
      <c r="AQ4" t="e">
        <f>AND(#REF!,"AAAAAFn7lyo=")</f>
        <v>#REF!</v>
      </c>
      <c r="AR4" t="e">
        <f>AND(#REF!,"AAAAAFn7lys=")</f>
        <v>#REF!</v>
      </c>
      <c r="AS4" t="e">
        <f>AND(#REF!,"AAAAAFn7lyw=")</f>
        <v>#REF!</v>
      </c>
      <c r="AT4" t="e">
        <f>AND(#REF!,"AAAAAFn7ly0=")</f>
        <v>#REF!</v>
      </c>
      <c r="AU4" t="e">
        <f>AND(#REF!,"AAAAAFn7ly4=")</f>
        <v>#REF!</v>
      </c>
      <c r="AV4" t="e">
        <f>AND(#REF!,"AAAAAFn7ly8=")</f>
        <v>#REF!</v>
      </c>
      <c r="AW4" t="e">
        <f>AND(#REF!,"AAAAAFn7lzA=")</f>
        <v>#REF!</v>
      </c>
      <c r="AX4" t="e">
        <f>AND(#REF!,"AAAAAFn7lzE=")</f>
        <v>#REF!</v>
      </c>
      <c r="AY4" t="e">
        <f>AND(#REF!,"AAAAAFn7lzI=")</f>
        <v>#REF!</v>
      </c>
      <c r="AZ4" t="e">
        <f>IF(#REF!,"AAAAAFn7lzM=",0)</f>
        <v>#REF!</v>
      </c>
      <c r="BA4" t="e">
        <f>AND(#REF!,"AAAAAFn7lzQ=")</f>
        <v>#REF!</v>
      </c>
      <c r="BB4" t="e">
        <f>AND(#REF!,"AAAAAFn7lzU=")</f>
        <v>#REF!</v>
      </c>
      <c r="BC4" t="e">
        <f>AND(#REF!,"AAAAAFn7lzY=")</f>
        <v>#REF!</v>
      </c>
      <c r="BD4" t="e">
        <f>AND(#REF!,"AAAAAFn7lzc=")</f>
        <v>#REF!</v>
      </c>
      <c r="BE4" t="e">
        <f>AND(#REF!,"AAAAAFn7lzg=")</f>
        <v>#REF!</v>
      </c>
      <c r="BF4" t="e">
        <f>AND(#REF!,"AAAAAFn7lzk=")</f>
        <v>#REF!</v>
      </c>
      <c r="BG4" t="e">
        <f>AND(#REF!,"AAAAAFn7lzo=")</f>
        <v>#REF!</v>
      </c>
      <c r="BH4" t="e">
        <f>AND(#REF!,"AAAAAFn7lzs=")</f>
        <v>#REF!</v>
      </c>
      <c r="BI4" t="e">
        <f>AND(#REF!,"AAAAAFn7lzw=")</f>
        <v>#REF!</v>
      </c>
      <c r="BJ4" t="e">
        <f>AND(#REF!,"AAAAAFn7lz0=")</f>
        <v>#REF!</v>
      </c>
      <c r="BK4" t="e">
        <f>IF(#REF!,"AAAAAFn7lz4=",0)</f>
        <v>#REF!</v>
      </c>
      <c r="BL4" t="e">
        <f>AND(#REF!,"AAAAAFn7lz8=")</f>
        <v>#REF!</v>
      </c>
      <c r="BM4" t="e">
        <f>AND(#REF!,"AAAAAFn7l0A=")</f>
        <v>#REF!</v>
      </c>
      <c r="BN4" t="e">
        <f>AND(#REF!,"AAAAAFn7l0E=")</f>
        <v>#REF!</v>
      </c>
      <c r="BO4" t="e">
        <f>AND(#REF!,"AAAAAFn7l0I=")</f>
        <v>#REF!</v>
      </c>
      <c r="BP4" t="e">
        <f>AND(#REF!,"AAAAAFn7l0M=")</f>
        <v>#REF!</v>
      </c>
      <c r="BQ4" t="e">
        <f>AND(#REF!,"AAAAAFn7l0Q=")</f>
        <v>#REF!</v>
      </c>
      <c r="BR4" t="e">
        <f>AND(#REF!,"AAAAAFn7l0U=")</f>
        <v>#REF!</v>
      </c>
      <c r="BS4" t="e">
        <f>AND(#REF!,"AAAAAFn7l0Y=")</f>
        <v>#REF!</v>
      </c>
      <c r="BT4" t="e">
        <f>AND(#REF!,"AAAAAFn7l0c=")</f>
        <v>#REF!</v>
      </c>
      <c r="BU4" t="e">
        <f>AND(#REF!,"AAAAAFn7l0g=")</f>
        <v>#REF!</v>
      </c>
      <c r="BV4" t="e">
        <f>IF(#REF!,"AAAAAFn7l0k=",0)</f>
        <v>#REF!</v>
      </c>
      <c r="BW4" t="e">
        <f>AND(#REF!,"AAAAAFn7l0o=")</f>
        <v>#REF!</v>
      </c>
      <c r="BX4" t="e">
        <f>AND(#REF!,"AAAAAFn7l0s=")</f>
        <v>#REF!</v>
      </c>
      <c r="BY4" t="e">
        <f>AND(#REF!,"AAAAAFn7l0w=")</f>
        <v>#REF!</v>
      </c>
      <c r="BZ4" t="e">
        <f>AND(#REF!,"AAAAAFn7l00=")</f>
        <v>#REF!</v>
      </c>
      <c r="CA4" t="e">
        <f>AND(#REF!,"AAAAAFn7l04=")</f>
        <v>#REF!</v>
      </c>
      <c r="CB4" t="e">
        <f>AND(#REF!,"AAAAAFn7l08=")</f>
        <v>#REF!</v>
      </c>
      <c r="CC4" t="e">
        <f>AND(#REF!,"AAAAAFn7l1A=")</f>
        <v>#REF!</v>
      </c>
      <c r="CD4" t="e">
        <f>AND(#REF!,"AAAAAFn7l1E=")</f>
        <v>#REF!</v>
      </c>
      <c r="CE4" t="e">
        <f>AND(#REF!,"AAAAAFn7l1I=")</f>
        <v>#REF!</v>
      </c>
      <c r="CF4" t="e">
        <f>AND(#REF!,"AAAAAFn7l1M=")</f>
        <v>#REF!</v>
      </c>
      <c r="CG4" t="e">
        <f>IF(#REF!,"AAAAAFn7l1Q=",0)</f>
        <v>#REF!</v>
      </c>
      <c r="CH4" t="e">
        <f>AND(#REF!,"AAAAAFn7l1U=")</f>
        <v>#REF!</v>
      </c>
      <c r="CI4" t="e">
        <f>AND(#REF!,"AAAAAFn7l1Y=")</f>
        <v>#REF!</v>
      </c>
      <c r="CJ4" t="e">
        <f>AND(#REF!,"AAAAAFn7l1c=")</f>
        <v>#REF!</v>
      </c>
      <c r="CK4" t="e">
        <f>AND(#REF!,"AAAAAFn7l1g=")</f>
        <v>#REF!</v>
      </c>
      <c r="CL4" t="e">
        <f>AND(#REF!,"AAAAAFn7l1k=")</f>
        <v>#REF!</v>
      </c>
      <c r="CM4" t="e">
        <f>AND(#REF!,"AAAAAFn7l1o=")</f>
        <v>#REF!</v>
      </c>
      <c r="CN4" t="e">
        <f>AND(#REF!,"AAAAAFn7l1s=")</f>
        <v>#REF!</v>
      </c>
      <c r="CO4" t="e">
        <f>AND(#REF!,"AAAAAFn7l1w=")</f>
        <v>#REF!</v>
      </c>
      <c r="CP4" t="e">
        <f>AND(#REF!,"AAAAAFn7l10=")</f>
        <v>#REF!</v>
      </c>
      <c r="CQ4" t="e">
        <f>AND(#REF!,"AAAAAFn7l14=")</f>
        <v>#REF!</v>
      </c>
      <c r="CR4" t="e">
        <f>IF(#REF!,"AAAAAFn7l18=",0)</f>
        <v>#REF!</v>
      </c>
      <c r="CS4" t="e">
        <f>AND(#REF!,"AAAAAFn7l2A=")</f>
        <v>#REF!</v>
      </c>
      <c r="CT4" t="e">
        <f>AND(#REF!,"AAAAAFn7l2E=")</f>
        <v>#REF!</v>
      </c>
      <c r="CU4" t="e">
        <f>AND(#REF!,"AAAAAFn7l2I=")</f>
        <v>#REF!</v>
      </c>
      <c r="CV4" t="e">
        <f>AND(#REF!,"AAAAAFn7l2M=")</f>
        <v>#REF!</v>
      </c>
      <c r="CW4" t="e">
        <f>AND(#REF!,"AAAAAFn7l2Q=")</f>
        <v>#REF!</v>
      </c>
      <c r="CX4" t="e">
        <f>AND(#REF!,"AAAAAFn7l2U=")</f>
        <v>#REF!</v>
      </c>
      <c r="CY4" t="e">
        <f>AND(#REF!,"AAAAAFn7l2Y=")</f>
        <v>#REF!</v>
      </c>
      <c r="CZ4" t="e">
        <f>AND(#REF!,"AAAAAFn7l2c=")</f>
        <v>#REF!</v>
      </c>
      <c r="DA4" t="e">
        <f>AND(#REF!,"AAAAAFn7l2g=")</f>
        <v>#REF!</v>
      </c>
      <c r="DB4" t="e">
        <f>AND(#REF!,"AAAAAFn7l2k=")</f>
        <v>#REF!</v>
      </c>
      <c r="DC4" t="e">
        <f>IF(#REF!,"AAAAAFn7l2o=",0)</f>
        <v>#REF!</v>
      </c>
      <c r="DD4" t="e">
        <f>AND(#REF!,"AAAAAFn7l2s=")</f>
        <v>#REF!</v>
      </c>
      <c r="DE4" t="e">
        <f>AND(#REF!,"AAAAAFn7l2w=")</f>
        <v>#REF!</v>
      </c>
      <c r="DF4" t="e">
        <f>AND(#REF!,"AAAAAFn7l20=")</f>
        <v>#REF!</v>
      </c>
      <c r="DG4" t="e">
        <f>AND(#REF!,"AAAAAFn7l24=")</f>
        <v>#REF!</v>
      </c>
      <c r="DH4" t="e">
        <f>AND(#REF!,"AAAAAFn7l28=")</f>
        <v>#REF!</v>
      </c>
      <c r="DI4" t="e">
        <f>AND(#REF!,"AAAAAFn7l3A=")</f>
        <v>#REF!</v>
      </c>
      <c r="DJ4" t="e">
        <f>AND(#REF!,"AAAAAFn7l3E=")</f>
        <v>#REF!</v>
      </c>
      <c r="DK4" t="e">
        <f>AND(#REF!,"AAAAAFn7l3I=")</f>
        <v>#REF!</v>
      </c>
      <c r="DL4" t="e">
        <f>AND(#REF!,"AAAAAFn7l3M=")</f>
        <v>#REF!</v>
      </c>
      <c r="DM4" t="e">
        <f>AND(#REF!,"AAAAAFn7l3Q=")</f>
        <v>#REF!</v>
      </c>
      <c r="DN4" t="e">
        <f>IF(#REF!,"AAAAAFn7l3U=",0)</f>
        <v>#REF!</v>
      </c>
      <c r="DO4" t="e">
        <f>AND(#REF!,"AAAAAFn7l3Y=")</f>
        <v>#REF!</v>
      </c>
      <c r="DP4" t="e">
        <f>AND(#REF!,"AAAAAFn7l3c=")</f>
        <v>#REF!</v>
      </c>
      <c r="DQ4" t="e">
        <f>AND(#REF!,"AAAAAFn7l3g=")</f>
        <v>#REF!</v>
      </c>
      <c r="DR4" t="e">
        <f>AND(#REF!,"AAAAAFn7l3k=")</f>
        <v>#REF!</v>
      </c>
      <c r="DS4" t="e">
        <f>AND(#REF!,"AAAAAFn7l3o=")</f>
        <v>#REF!</v>
      </c>
      <c r="DT4" t="e">
        <f>AND(#REF!,"AAAAAFn7l3s=")</f>
        <v>#REF!</v>
      </c>
      <c r="DU4" t="e">
        <f>AND(#REF!,"AAAAAFn7l3w=")</f>
        <v>#REF!</v>
      </c>
      <c r="DV4" t="e">
        <f>AND(#REF!,"AAAAAFn7l30=")</f>
        <v>#REF!</v>
      </c>
      <c r="DW4" t="e">
        <f>AND(#REF!,"AAAAAFn7l34=")</f>
        <v>#REF!</v>
      </c>
      <c r="DX4" t="e">
        <f>AND(#REF!,"AAAAAFn7l38=")</f>
        <v>#REF!</v>
      </c>
      <c r="DY4" t="e">
        <f>IF(#REF!,"AAAAAFn7l4A=",0)</f>
        <v>#REF!</v>
      </c>
      <c r="DZ4" t="e">
        <f>AND(#REF!,"AAAAAFn7l4E=")</f>
        <v>#REF!</v>
      </c>
      <c r="EA4" t="e">
        <f>AND(#REF!,"AAAAAFn7l4I=")</f>
        <v>#REF!</v>
      </c>
      <c r="EB4" t="e">
        <f>AND(#REF!,"AAAAAFn7l4M=")</f>
        <v>#REF!</v>
      </c>
      <c r="EC4" t="e">
        <f>AND(#REF!,"AAAAAFn7l4Q=")</f>
        <v>#REF!</v>
      </c>
      <c r="ED4" t="e">
        <f>AND(#REF!,"AAAAAFn7l4U=")</f>
        <v>#REF!</v>
      </c>
      <c r="EE4" t="e">
        <f>AND(#REF!,"AAAAAFn7l4Y=")</f>
        <v>#REF!</v>
      </c>
      <c r="EF4" t="e">
        <f>AND(#REF!,"AAAAAFn7l4c=")</f>
        <v>#REF!</v>
      </c>
      <c r="EG4" t="e">
        <f>AND(#REF!,"AAAAAFn7l4g=")</f>
        <v>#REF!</v>
      </c>
      <c r="EH4" t="e">
        <f>AND(#REF!,"AAAAAFn7l4k=")</f>
        <v>#REF!</v>
      </c>
      <c r="EI4" t="e">
        <f>AND(#REF!,"AAAAAFn7l4o=")</f>
        <v>#REF!</v>
      </c>
      <c r="EJ4" t="e">
        <f>IF(#REF!,"AAAAAFn7l4s=",0)</f>
        <v>#REF!</v>
      </c>
      <c r="EK4" t="e">
        <f>AND(#REF!,"AAAAAFn7l4w=")</f>
        <v>#REF!</v>
      </c>
      <c r="EL4" t="e">
        <f>AND(#REF!,"AAAAAFn7l40=")</f>
        <v>#REF!</v>
      </c>
      <c r="EM4" t="e">
        <f>AND(#REF!,"AAAAAFn7l44=")</f>
        <v>#REF!</v>
      </c>
      <c r="EN4" t="e">
        <f>AND(#REF!,"AAAAAFn7l48=")</f>
        <v>#REF!</v>
      </c>
      <c r="EO4" t="e">
        <f>AND(#REF!,"AAAAAFn7l5A=")</f>
        <v>#REF!</v>
      </c>
      <c r="EP4" t="e">
        <f>AND(#REF!,"AAAAAFn7l5E=")</f>
        <v>#REF!</v>
      </c>
      <c r="EQ4" t="e">
        <f>AND(#REF!,"AAAAAFn7l5I=")</f>
        <v>#REF!</v>
      </c>
      <c r="ER4" t="e">
        <f>AND(#REF!,"AAAAAFn7l5M=")</f>
        <v>#REF!</v>
      </c>
      <c r="ES4" t="e">
        <f>AND(#REF!,"AAAAAFn7l5Q=")</f>
        <v>#REF!</v>
      </c>
      <c r="ET4" t="e">
        <f>AND(#REF!,"AAAAAFn7l5U=")</f>
        <v>#REF!</v>
      </c>
      <c r="EU4" t="e">
        <f>IF(#REF!,"AAAAAFn7l5Y=",0)</f>
        <v>#REF!</v>
      </c>
      <c r="EV4" t="e">
        <f>AND(#REF!,"AAAAAFn7l5c=")</f>
        <v>#REF!</v>
      </c>
      <c r="EW4" t="e">
        <f>AND(#REF!,"AAAAAFn7l5g=")</f>
        <v>#REF!</v>
      </c>
      <c r="EX4" t="e">
        <f>AND(#REF!,"AAAAAFn7l5k=")</f>
        <v>#REF!</v>
      </c>
      <c r="EY4" t="e">
        <f>AND(#REF!,"AAAAAFn7l5o=")</f>
        <v>#REF!</v>
      </c>
      <c r="EZ4" t="e">
        <f>AND(#REF!,"AAAAAFn7l5s=")</f>
        <v>#REF!</v>
      </c>
      <c r="FA4" t="e">
        <f>AND(#REF!,"AAAAAFn7l5w=")</f>
        <v>#REF!</v>
      </c>
      <c r="FB4" t="e">
        <f>AND(#REF!,"AAAAAFn7l50=")</f>
        <v>#REF!</v>
      </c>
      <c r="FC4" t="e">
        <f>AND(#REF!,"AAAAAFn7l54=")</f>
        <v>#REF!</v>
      </c>
      <c r="FD4" t="e">
        <f>AND(#REF!,"AAAAAFn7l58=")</f>
        <v>#REF!</v>
      </c>
      <c r="FE4" t="e">
        <f>AND(#REF!,"AAAAAFn7l6A=")</f>
        <v>#REF!</v>
      </c>
      <c r="FF4" t="e">
        <f>IF(#REF!,"AAAAAFn7l6E=",0)</f>
        <v>#REF!</v>
      </c>
      <c r="FG4" t="e">
        <f>AND(#REF!,"AAAAAFn7l6I=")</f>
        <v>#REF!</v>
      </c>
      <c r="FH4" t="e">
        <f>AND(#REF!,"AAAAAFn7l6M=")</f>
        <v>#REF!</v>
      </c>
      <c r="FI4" t="e">
        <f>AND(#REF!,"AAAAAFn7l6Q=")</f>
        <v>#REF!</v>
      </c>
      <c r="FJ4" t="e">
        <f>AND(#REF!,"AAAAAFn7l6U=")</f>
        <v>#REF!</v>
      </c>
      <c r="FK4" t="e">
        <f>AND(#REF!,"AAAAAFn7l6Y=")</f>
        <v>#REF!</v>
      </c>
      <c r="FL4" t="e">
        <f>AND(#REF!,"AAAAAFn7l6c=")</f>
        <v>#REF!</v>
      </c>
      <c r="FM4" t="e">
        <f>AND(#REF!,"AAAAAFn7l6g=")</f>
        <v>#REF!</v>
      </c>
      <c r="FN4" t="e">
        <f>AND(#REF!,"AAAAAFn7l6k=")</f>
        <v>#REF!</v>
      </c>
      <c r="FO4" t="e">
        <f>AND(#REF!,"AAAAAFn7l6o=")</f>
        <v>#REF!</v>
      </c>
      <c r="FP4" t="e">
        <f>AND(#REF!,"AAAAAFn7l6s=")</f>
        <v>#REF!</v>
      </c>
      <c r="FQ4" t="e">
        <f>IF(#REF!,"AAAAAFn7l6w=",0)</f>
        <v>#REF!</v>
      </c>
      <c r="FR4" t="e">
        <f>AND(#REF!,"AAAAAFn7l60=")</f>
        <v>#REF!</v>
      </c>
      <c r="FS4" t="e">
        <f>AND(#REF!,"AAAAAFn7l64=")</f>
        <v>#REF!</v>
      </c>
      <c r="FT4" t="e">
        <f>AND(#REF!,"AAAAAFn7l68=")</f>
        <v>#REF!</v>
      </c>
      <c r="FU4" t="e">
        <f>AND(#REF!,"AAAAAFn7l7A=")</f>
        <v>#REF!</v>
      </c>
      <c r="FV4" t="e">
        <f>AND(#REF!,"AAAAAFn7l7E=")</f>
        <v>#REF!</v>
      </c>
      <c r="FW4" t="e">
        <f>AND(#REF!,"AAAAAFn7l7I=")</f>
        <v>#REF!</v>
      </c>
      <c r="FX4" t="e">
        <f>AND(#REF!,"AAAAAFn7l7M=")</f>
        <v>#REF!</v>
      </c>
      <c r="FY4" t="e">
        <f>AND(#REF!,"AAAAAFn7l7Q=")</f>
        <v>#REF!</v>
      </c>
      <c r="FZ4" t="e">
        <f>AND(#REF!,"AAAAAFn7l7U=")</f>
        <v>#REF!</v>
      </c>
      <c r="GA4" t="e">
        <f>AND(#REF!,"AAAAAFn7l7Y=")</f>
        <v>#REF!</v>
      </c>
      <c r="GB4" t="e">
        <f>IF(#REF!,"AAAAAFn7l7c=",0)</f>
        <v>#REF!</v>
      </c>
      <c r="GC4" t="e">
        <f>AND(#REF!,"AAAAAFn7l7g=")</f>
        <v>#REF!</v>
      </c>
      <c r="GD4" t="e">
        <f>AND(#REF!,"AAAAAFn7l7k=")</f>
        <v>#REF!</v>
      </c>
      <c r="GE4" t="e">
        <f>AND(#REF!,"AAAAAFn7l7o=")</f>
        <v>#REF!</v>
      </c>
      <c r="GF4" t="e">
        <f>AND(#REF!,"AAAAAFn7l7s=")</f>
        <v>#REF!</v>
      </c>
      <c r="GG4" t="e">
        <f>AND(#REF!,"AAAAAFn7l7w=")</f>
        <v>#REF!</v>
      </c>
      <c r="GH4" t="e">
        <f>AND(#REF!,"AAAAAFn7l70=")</f>
        <v>#REF!</v>
      </c>
      <c r="GI4" t="e">
        <f>AND(#REF!,"AAAAAFn7l74=")</f>
        <v>#REF!</v>
      </c>
      <c r="GJ4" t="e">
        <f>AND(#REF!,"AAAAAFn7l78=")</f>
        <v>#REF!</v>
      </c>
      <c r="GK4" t="e">
        <f>AND(#REF!,"AAAAAFn7l8A=")</f>
        <v>#REF!</v>
      </c>
      <c r="GL4" t="e">
        <f>AND(#REF!,"AAAAAFn7l8E=")</f>
        <v>#REF!</v>
      </c>
      <c r="GM4" t="e">
        <f>IF(#REF!,"AAAAAFn7l8I=",0)</f>
        <v>#REF!</v>
      </c>
      <c r="GN4" t="e">
        <f>AND(#REF!,"AAAAAFn7l8M=")</f>
        <v>#REF!</v>
      </c>
      <c r="GO4" t="e">
        <f>AND(#REF!,"AAAAAFn7l8Q=")</f>
        <v>#REF!</v>
      </c>
      <c r="GP4" t="e">
        <f>AND(#REF!,"AAAAAFn7l8U=")</f>
        <v>#REF!</v>
      </c>
      <c r="GQ4" t="e">
        <f>AND(#REF!,"AAAAAFn7l8Y=")</f>
        <v>#REF!</v>
      </c>
      <c r="GR4" t="e">
        <f>AND(#REF!,"AAAAAFn7l8c=")</f>
        <v>#REF!</v>
      </c>
      <c r="GS4" t="e">
        <f>AND(#REF!,"AAAAAFn7l8g=")</f>
        <v>#REF!</v>
      </c>
      <c r="GT4" t="e">
        <f>AND(#REF!,"AAAAAFn7l8k=")</f>
        <v>#REF!</v>
      </c>
      <c r="GU4" t="e">
        <f>AND(#REF!,"AAAAAFn7l8o=")</f>
        <v>#REF!</v>
      </c>
      <c r="GV4" t="e">
        <f>AND(#REF!,"AAAAAFn7l8s=")</f>
        <v>#REF!</v>
      </c>
      <c r="GW4" t="e">
        <f>AND(#REF!,"AAAAAFn7l8w=")</f>
        <v>#REF!</v>
      </c>
      <c r="GX4" t="e">
        <f>IF(#REF!,"AAAAAFn7l80=",0)</f>
        <v>#REF!</v>
      </c>
      <c r="GY4" t="e">
        <f>AND(#REF!,"AAAAAFn7l84=")</f>
        <v>#REF!</v>
      </c>
      <c r="GZ4" t="e">
        <f>AND(#REF!,"AAAAAFn7l88=")</f>
        <v>#REF!</v>
      </c>
      <c r="HA4" t="e">
        <f>AND(#REF!,"AAAAAFn7l9A=")</f>
        <v>#REF!</v>
      </c>
      <c r="HB4" t="e">
        <f>AND(#REF!,"AAAAAFn7l9E=")</f>
        <v>#REF!</v>
      </c>
      <c r="HC4" t="e">
        <f>AND(#REF!,"AAAAAFn7l9I=")</f>
        <v>#REF!</v>
      </c>
      <c r="HD4" t="e">
        <f>AND(#REF!,"AAAAAFn7l9M=")</f>
        <v>#REF!</v>
      </c>
      <c r="HE4" t="e">
        <f>AND(#REF!,"AAAAAFn7l9Q=")</f>
        <v>#REF!</v>
      </c>
      <c r="HF4" t="e">
        <f>AND(#REF!,"AAAAAFn7l9U=")</f>
        <v>#REF!</v>
      </c>
      <c r="HG4" t="e">
        <f>AND(#REF!,"AAAAAFn7l9Y=")</f>
        <v>#REF!</v>
      </c>
      <c r="HH4" t="e">
        <f>AND(#REF!,"AAAAAFn7l9c=")</f>
        <v>#REF!</v>
      </c>
      <c r="HI4" t="e">
        <f>IF(#REF!,"AAAAAFn7l9g=",0)</f>
        <v>#REF!</v>
      </c>
      <c r="HJ4" t="e">
        <f>AND(#REF!,"AAAAAFn7l9k=")</f>
        <v>#REF!</v>
      </c>
      <c r="HK4" t="e">
        <f>AND(#REF!,"AAAAAFn7l9o=")</f>
        <v>#REF!</v>
      </c>
      <c r="HL4" t="e">
        <f>AND(#REF!,"AAAAAFn7l9s=")</f>
        <v>#REF!</v>
      </c>
      <c r="HM4" t="e">
        <f>AND(#REF!,"AAAAAFn7l9w=")</f>
        <v>#REF!</v>
      </c>
      <c r="HN4" t="e">
        <f>AND(#REF!,"AAAAAFn7l90=")</f>
        <v>#REF!</v>
      </c>
      <c r="HO4" t="e">
        <f>AND(#REF!,"AAAAAFn7l94=")</f>
        <v>#REF!</v>
      </c>
      <c r="HP4" t="e">
        <f>AND(#REF!,"AAAAAFn7l98=")</f>
        <v>#REF!</v>
      </c>
      <c r="HQ4" t="e">
        <f>AND(#REF!,"AAAAAFn7l+A=")</f>
        <v>#REF!</v>
      </c>
      <c r="HR4" t="e">
        <f>AND(#REF!,"AAAAAFn7l+E=")</f>
        <v>#REF!</v>
      </c>
      <c r="HS4" t="e">
        <f>AND(#REF!,"AAAAAFn7l+I=")</f>
        <v>#REF!</v>
      </c>
      <c r="HT4" t="e">
        <f>IF(#REF!,"AAAAAFn7l+M=",0)</f>
        <v>#REF!</v>
      </c>
      <c r="HU4" t="e">
        <f>AND(#REF!,"AAAAAFn7l+Q=")</f>
        <v>#REF!</v>
      </c>
      <c r="HV4" t="e">
        <f>AND(#REF!,"AAAAAFn7l+U=")</f>
        <v>#REF!</v>
      </c>
      <c r="HW4" t="e">
        <f>AND(#REF!,"AAAAAFn7l+Y=")</f>
        <v>#REF!</v>
      </c>
      <c r="HX4" t="e">
        <f>AND(#REF!,"AAAAAFn7l+c=")</f>
        <v>#REF!</v>
      </c>
      <c r="HY4" t="e">
        <f>AND(#REF!,"AAAAAFn7l+g=")</f>
        <v>#REF!</v>
      </c>
      <c r="HZ4" t="e">
        <f>AND(#REF!,"AAAAAFn7l+k=")</f>
        <v>#REF!</v>
      </c>
      <c r="IA4" t="e">
        <f>AND(#REF!,"AAAAAFn7l+o=")</f>
        <v>#REF!</v>
      </c>
      <c r="IB4" t="e">
        <f>AND(#REF!,"AAAAAFn7l+s=")</f>
        <v>#REF!</v>
      </c>
      <c r="IC4" t="e">
        <f>AND(#REF!,"AAAAAFn7l+w=")</f>
        <v>#REF!</v>
      </c>
      <c r="ID4" t="e">
        <f>AND(#REF!,"AAAAAFn7l+0=")</f>
        <v>#REF!</v>
      </c>
      <c r="IE4" t="e">
        <f>IF(#REF!,"AAAAAFn7l+4=",0)</f>
        <v>#REF!</v>
      </c>
      <c r="IF4" t="e">
        <f>AND(#REF!,"AAAAAFn7l+8=")</f>
        <v>#REF!</v>
      </c>
      <c r="IG4" t="e">
        <f>AND(#REF!,"AAAAAFn7l/A=")</f>
        <v>#REF!</v>
      </c>
      <c r="IH4" t="e">
        <f>AND(#REF!,"AAAAAFn7l/E=")</f>
        <v>#REF!</v>
      </c>
      <c r="II4" t="e">
        <f>AND(#REF!,"AAAAAFn7l/I=")</f>
        <v>#REF!</v>
      </c>
      <c r="IJ4" t="e">
        <f>AND(#REF!,"AAAAAFn7l/M=")</f>
        <v>#REF!</v>
      </c>
      <c r="IK4" t="e">
        <f>AND(#REF!,"AAAAAFn7l/Q=")</f>
        <v>#REF!</v>
      </c>
      <c r="IL4" t="e">
        <f>AND(#REF!,"AAAAAFn7l/U=")</f>
        <v>#REF!</v>
      </c>
      <c r="IM4" t="e">
        <f>AND(#REF!,"AAAAAFn7l/Y=")</f>
        <v>#REF!</v>
      </c>
      <c r="IN4" t="e">
        <f>AND(#REF!,"AAAAAFn7l/c=")</f>
        <v>#REF!</v>
      </c>
      <c r="IO4" t="e">
        <f>AND(#REF!,"AAAAAFn7l/g=")</f>
        <v>#REF!</v>
      </c>
      <c r="IP4" t="e">
        <f>IF(#REF!,"AAAAAFn7l/k=",0)</f>
        <v>#REF!</v>
      </c>
      <c r="IQ4" t="e">
        <f>AND(#REF!,"AAAAAFn7l/o=")</f>
        <v>#REF!</v>
      </c>
      <c r="IR4" t="e">
        <f>AND(#REF!,"AAAAAFn7l/s=")</f>
        <v>#REF!</v>
      </c>
      <c r="IS4" t="e">
        <f>AND(#REF!,"AAAAAFn7l/w=")</f>
        <v>#REF!</v>
      </c>
      <c r="IT4" t="e">
        <f>AND(#REF!,"AAAAAFn7l/0=")</f>
        <v>#REF!</v>
      </c>
      <c r="IU4" t="e">
        <f>AND(#REF!,"AAAAAFn7l/4=")</f>
        <v>#REF!</v>
      </c>
      <c r="IV4" t="e">
        <f>AND(#REF!,"AAAAAFn7l/8=")</f>
        <v>#REF!</v>
      </c>
    </row>
    <row r="5" spans="1:256">
      <c r="A5" t="e">
        <f>AND(#REF!,"AAAAAD9/9gA=")</f>
        <v>#REF!</v>
      </c>
      <c r="B5" t="e">
        <f>AND(#REF!,"AAAAAD9/9gE=")</f>
        <v>#REF!</v>
      </c>
      <c r="C5" t="e">
        <f>AND(#REF!,"AAAAAD9/9gI=")</f>
        <v>#REF!</v>
      </c>
      <c r="D5" t="e">
        <f>AND(#REF!,"AAAAAD9/9gM=")</f>
        <v>#REF!</v>
      </c>
      <c r="E5" t="e">
        <f>IF(#REF!,"AAAAAD9/9gQ=",0)</f>
        <v>#REF!</v>
      </c>
      <c r="F5" t="e">
        <f>AND(#REF!,"AAAAAD9/9gU=")</f>
        <v>#REF!</v>
      </c>
      <c r="G5" t="e">
        <f>AND(#REF!,"AAAAAD9/9gY=")</f>
        <v>#REF!</v>
      </c>
      <c r="H5" t="e">
        <f>AND(#REF!,"AAAAAD9/9gc=")</f>
        <v>#REF!</v>
      </c>
      <c r="I5" t="e">
        <f>AND(#REF!,"AAAAAD9/9gg=")</f>
        <v>#REF!</v>
      </c>
      <c r="J5" t="e">
        <f>AND(#REF!,"AAAAAD9/9gk=")</f>
        <v>#REF!</v>
      </c>
      <c r="K5" t="e">
        <f>AND(#REF!,"AAAAAD9/9go=")</f>
        <v>#REF!</v>
      </c>
      <c r="L5" t="e">
        <f>AND(#REF!,"AAAAAD9/9gs=")</f>
        <v>#REF!</v>
      </c>
      <c r="M5" t="e">
        <f>AND(#REF!,"AAAAAD9/9gw=")</f>
        <v>#REF!</v>
      </c>
      <c r="N5" t="e">
        <f>AND(#REF!,"AAAAAD9/9g0=")</f>
        <v>#REF!</v>
      </c>
      <c r="O5" t="e">
        <f>AND(#REF!,"AAAAAD9/9g4=")</f>
        <v>#REF!</v>
      </c>
      <c r="P5" t="e">
        <f>IF(#REF!,"AAAAAD9/9g8=",0)</f>
        <v>#REF!</v>
      </c>
      <c r="Q5" t="e">
        <f>AND(#REF!,"AAAAAD9/9hA=")</f>
        <v>#REF!</v>
      </c>
      <c r="R5" t="e">
        <f>AND(#REF!,"AAAAAD9/9hE=")</f>
        <v>#REF!</v>
      </c>
      <c r="S5" t="e">
        <f>AND(#REF!,"AAAAAD9/9hI=")</f>
        <v>#REF!</v>
      </c>
      <c r="T5" t="e">
        <f>AND(#REF!,"AAAAAD9/9hM=")</f>
        <v>#REF!</v>
      </c>
      <c r="U5" t="e">
        <f>AND(#REF!,"AAAAAD9/9hQ=")</f>
        <v>#REF!</v>
      </c>
      <c r="V5" t="e">
        <f>AND(#REF!,"AAAAAD9/9hU=")</f>
        <v>#REF!</v>
      </c>
      <c r="W5" t="e">
        <f>AND(#REF!,"AAAAAD9/9hY=")</f>
        <v>#REF!</v>
      </c>
      <c r="X5" t="e">
        <f>AND(#REF!,"AAAAAD9/9hc=")</f>
        <v>#REF!</v>
      </c>
      <c r="Y5" t="e">
        <f>AND(#REF!,"AAAAAD9/9hg=")</f>
        <v>#REF!</v>
      </c>
      <c r="Z5" t="e">
        <f>AND(#REF!,"AAAAAD9/9hk=")</f>
        <v>#REF!</v>
      </c>
      <c r="AA5" t="e">
        <f>IF(#REF!,"AAAAAD9/9ho=",0)</f>
        <v>#REF!</v>
      </c>
      <c r="AB5" t="e">
        <f>AND(#REF!,"AAAAAD9/9hs=")</f>
        <v>#REF!</v>
      </c>
      <c r="AC5" t="e">
        <f>AND(#REF!,"AAAAAD9/9hw=")</f>
        <v>#REF!</v>
      </c>
      <c r="AD5" t="e">
        <f>AND(#REF!,"AAAAAD9/9h0=")</f>
        <v>#REF!</v>
      </c>
      <c r="AE5" t="e">
        <f>AND(#REF!,"AAAAAD9/9h4=")</f>
        <v>#REF!</v>
      </c>
      <c r="AF5" t="e">
        <f>AND(#REF!,"AAAAAD9/9h8=")</f>
        <v>#REF!</v>
      </c>
      <c r="AG5" t="e">
        <f>AND(#REF!,"AAAAAD9/9iA=")</f>
        <v>#REF!</v>
      </c>
      <c r="AH5" t="e">
        <f>AND(#REF!,"AAAAAD9/9iE=")</f>
        <v>#REF!</v>
      </c>
      <c r="AI5" t="e">
        <f>AND(#REF!,"AAAAAD9/9iI=")</f>
        <v>#REF!</v>
      </c>
      <c r="AJ5" t="e">
        <f>AND(#REF!,"AAAAAD9/9iM=")</f>
        <v>#REF!</v>
      </c>
      <c r="AK5" t="e">
        <f>AND(#REF!,"AAAAAD9/9iQ=")</f>
        <v>#REF!</v>
      </c>
      <c r="AL5" t="e">
        <f>IF(#REF!,"AAAAAD9/9iU=",0)</f>
        <v>#REF!</v>
      </c>
      <c r="AM5" t="e">
        <f>AND(#REF!,"AAAAAD9/9iY=")</f>
        <v>#REF!</v>
      </c>
      <c r="AN5" t="e">
        <f>AND(#REF!,"AAAAAD9/9ic=")</f>
        <v>#REF!</v>
      </c>
      <c r="AO5" t="e">
        <f>AND(#REF!,"AAAAAD9/9ig=")</f>
        <v>#REF!</v>
      </c>
      <c r="AP5" t="e">
        <f>AND(#REF!,"AAAAAD9/9ik=")</f>
        <v>#REF!</v>
      </c>
      <c r="AQ5" t="e">
        <f>AND(#REF!,"AAAAAD9/9io=")</f>
        <v>#REF!</v>
      </c>
      <c r="AR5" t="e">
        <f>AND(#REF!,"AAAAAD9/9is=")</f>
        <v>#REF!</v>
      </c>
      <c r="AS5" t="e">
        <f>AND(#REF!,"AAAAAD9/9iw=")</f>
        <v>#REF!</v>
      </c>
      <c r="AT5" t="e">
        <f>AND(#REF!,"AAAAAD9/9i0=")</f>
        <v>#REF!</v>
      </c>
      <c r="AU5" t="e">
        <f>AND(#REF!,"AAAAAD9/9i4=")</f>
        <v>#REF!</v>
      </c>
      <c r="AV5" t="e">
        <f>AND(#REF!,"AAAAAD9/9i8=")</f>
        <v>#REF!</v>
      </c>
      <c r="AW5" t="e">
        <f>IF(#REF!,"AAAAAD9/9jA=",0)</f>
        <v>#REF!</v>
      </c>
      <c r="AX5" t="e">
        <f>AND(#REF!,"AAAAAD9/9jE=")</f>
        <v>#REF!</v>
      </c>
      <c r="AY5" t="e">
        <f>AND(#REF!,"AAAAAD9/9jI=")</f>
        <v>#REF!</v>
      </c>
      <c r="AZ5" t="e">
        <f>AND(#REF!,"AAAAAD9/9jM=")</f>
        <v>#REF!</v>
      </c>
      <c r="BA5" t="e">
        <f>AND(#REF!,"AAAAAD9/9jQ=")</f>
        <v>#REF!</v>
      </c>
      <c r="BB5" t="e">
        <f>AND(#REF!,"AAAAAD9/9jU=")</f>
        <v>#REF!</v>
      </c>
      <c r="BC5" t="e">
        <f>AND(#REF!,"AAAAAD9/9jY=")</f>
        <v>#REF!</v>
      </c>
      <c r="BD5" t="e">
        <f>AND(#REF!,"AAAAAD9/9jc=")</f>
        <v>#REF!</v>
      </c>
      <c r="BE5" t="e">
        <f>AND(#REF!,"AAAAAD9/9jg=")</f>
        <v>#REF!</v>
      </c>
      <c r="BF5" t="e">
        <f>AND(#REF!,"AAAAAD9/9jk=")</f>
        <v>#REF!</v>
      </c>
      <c r="BG5" t="e">
        <f>AND(#REF!,"AAAAAD9/9jo=")</f>
        <v>#REF!</v>
      </c>
      <c r="BH5" t="e">
        <f>IF(#REF!,"AAAAAD9/9js=",0)</f>
        <v>#REF!</v>
      </c>
      <c r="BI5" t="e">
        <f>AND(#REF!,"AAAAAD9/9jw=")</f>
        <v>#REF!</v>
      </c>
      <c r="BJ5" t="e">
        <f>AND(#REF!,"AAAAAD9/9j0=")</f>
        <v>#REF!</v>
      </c>
      <c r="BK5" t="e">
        <f>AND(#REF!,"AAAAAD9/9j4=")</f>
        <v>#REF!</v>
      </c>
      <c r="BL5" t="e">
        <f>AND(#REF!,"AAAAAD9/9j8=")</f>
        <v>#REF!</v>
      </c>
      <c r="BM5" t="e">
        <f>AND(#REF!,"AAAAAD9/9kA=")</f>
        <v>#REF!</v>
      </c>
      <c r="BN5" t="e">
        <f>AND(#REF!,"AAAAAD9/9kE=")</f>
        <v>#REF!</v>
      </c>
      <c r="BO5" t="e">
        <f>AND(#REF!,"AAAAAD9/9kI=")</f>
        <v>#REF!</v>
      </c>
      <c r="BP5" t="e">
        <f>AND(#REF!,"AAAAAD9/9kM=")</f>
        <v>#REF!</v>
      </c>
      <c r="BQ5" t="e">
        <f>AND(#REF!,"AAAAAD9/9kQ=")</f>
        <v>#REF!</v>
      </c>
      <c r="BR5" t="e">
        <f>AND(#REF!,"AAAAAD9/9kU=")</f>
        <v>#REF!</v>
      </c>
      <c r="BS5" t="e">
        <f>IF(#REF!,"AAAAAD9/9kY=",0)</f>
        <v>#REF!</v>
      </c>
      <c r="BT5" t="e">
        <f>AND(#REF!,"AAAAAD9/9kc=")</f>
        <v>#REF!</v>
      </c>
      <c r="BU5" t="e">
        <f>AND(#REF!,"AAAAAD9/9kg=")</f>
        <v>#REF!</v>
      </c>
      <c r="BV5" t="e">
        <f>AND(#REF!,"AAAAAD9/9kk=")</f>
        <v>#REF!</v>
      </c>
      <c r="BW5" t="e">
        <f>AND(#REF!,"AAAAAD9/9ko=")</f>
        <v>#REF!</v>
      </c>
      <c r="BX5" t="e">
        <f>AND(#REF!,"AAAAAD9/9ks=")</f>
        <v>#REF!</v>
      </c>
      <c r="BY5" t="e">
        <f>AND(#REF!,"AAAAAD9/9kw=")</f>
        <v>#REF!</v>
      </c>
      <c r="BZ5" t="e">
        <f>AND(#REF!,"AAAAAD9/9k0=")</f>
        <v>#REF!</v>
      </c>
      <c r="CA5" t="e">
        <f>AND(#REF!,"AAAAAD9/9k4=")</f>
        <v>#REF!</v>
      </c>
      <c r="CB5" t="e">
        <f>AND(#REF!,"AAAAAD9/9k8=")</f>
        <v>#REF!</v>
      </c>
      <c r="CC5" t="e">
        <f>AND(#REF!,"AAAAAD9/9lA=")</f>
        <v>#REF!</v>
      </c>
      <c r="CD5" t="e">
        <f>IF(#REF!,"AAAAAD9/9lE=",0)</f>
        <v>#REF!</v>
      </c>
      <c r="CE5" t="e">
        <f>AND(#REF!,"AAAAAD9/9lI=")</f>
        <v>#REF!</v>
      </c>
      <c r="CF5" t="e">
        <f>AND(#REF!,"AAAAAD9/9lM=")</f>
        <v>#REF!</v>
      </c>
      <c r="CG5" t="e">
        <f>AND(#REF!,"AAAAAD9/9lQ=")</f>
        <v>#REF!</v>
      </c>
      <c r="CH5" t="e">
        <f>AND(#REF!,"AAAAAD9/9lU=")</f>
        <v>#REF!</v>
      </c>
      <c r="CI5" t="e">
        <f>AND(#REF!,"AAAAAD9/9lY=")</f>
        <v>#REF!</v>
      </c>
      <c r="CJ5" t="e">
        <f>AND(#REF!,"AAAAAD9/9lc=")</f>
        <v>#REF!</v>
      </c>
      <c r="CK5" t="e">
        <f>AND(#REF!,"AAAAAD9/9lg=")</f>
        <v>#REF!</v>
      </c>
      <c r="CL5" t="e">
        <f>AND(#REF!,"AAAAAD9/9lk=")</f>
        <v>#REF!</v>
      </c>
      <c r="CM5" t="e">
        <f>AND(#REF!,"AAAAAD9/9lo=")</f>
        <v>#REF!</v>
      </c>
      <c r="CN5" t="e">
        <f>AND(#REF!,"AAAAAD9/9ls=")</f>
        <v>#REF!</v>
      </c>
      <c r="CO5" t="e">
        <f>IF(#REF!,"AAAAAD9/9lw=",0)</f>
        <v>#REF!</v>
      </c>
      <c r="CP5" t="e">
        <f>AND(#REF!,"AAAAAD9/9l0=")</f>
        <v>#REF!</v>
      </c>
      <c r="CQ5" t="e">
        <f>AND(#REF!,"AAAAAD9/9l4=")</f>
        <v>#REF!</v>
      </c>
      <c r="CR5" t="e">
        <f>AND(#REF!,"AAAAAD9/9l8=")</f>
        <v>#REF!</v>
      </c>
      <c r="CS5" t="e">
        <f>AND(#REF!,"AAAAAD9/9mA=")</f>
        <v>#REF!</v>
      </c>
      <c r="CT5" t="e">
        <f>AND(#REF!,"AAAAAD9/9mE=")</f>
        <v>#REF!</v>
      </c>
      <c r="CU5" t="e">
        <f>AND(#REF!,"AAAAAD9/9mI=")</f>
        <v>#REF!</v>
      </c>
      <c r="CV5" t="e">
        <f>AND(#REF!,"AAAAAD9/9mM=")</f>
        <v>#REF!</v>
      </c>
      <c r="CW5" t="e">
        <f>AND(#REF!,"AAAAAD9/9mQ=")</f>
        <v>#REF!</v>
      </c>
      <c r="CX5" t="e">
        <f>AND(#REF!,"AAAAAD9/9mU=")</f>
        <v>#REF!</v>
      </c>
      <c r="CY5" t="e">
        <f>AND(#REF!,"AAAAAD9/9mY=")</f>
        <v>#REF!</v>
      </c>
      <c r="CZ5" t="e">
        <f>IF(#REF!,"AAAAAD9/9mc=",0)</f>
        <v>#REF!</v>
      </c>
      <c r="DA5" t="e">
        <f>AND(#REF!,"AAAAAD9/9mg=")</f>
        <v>#REF!</v>
      </c>
      <c r="DB5" t="e">
        <f>AND(#REF!,"AAAAAD9/9mk=")</f>
        <v>#REF!</v>
      </c>
      <c r="DC5" t="e">
        <f>AND(#REF!,"AAAAAD9/9mo=")</f>
        <v>#REF!</v>
      </c>
      <c r="DD5" t="e">
        <f>AND(#REF!,"AAAAAD9/9ms=")</f>
        <v>#REF!</v>
      </c>
      <c r="DE5" t="e">
        <f>AND(#REF!,"AAAAAD9/9mw=")</f>
        <v>#REF!</v>
      </c>
      <c r="DF5" t="e">
        <f>AND(#REF!,"AAAAAD9/9m0=")</f>
        <v>#REF!</v>
      </c>
      <c r="DG5" t="e">
        <f>AND(#REF!,"AAAAAD9/9m4=")</f>
        <v>#REF!</v>
      </c>
      <c r="DH5" t="e">
        <f>AND(#REF!,"AAAAAD9/9m8=")</f>
        <v>#REF!</v>
      </c>
      <c r="DI5" t="e">
        <f>AND(#REF!,"AAAAAD9/9nA=")</f>
        <v>#REF!</v>
      </c>
      <c r="DJ5" t="e">
        <f>AND(#REF!,"AAAAAD9/9nE=")</f>
        <v>#REF!</v>
      </c>
      <c r="DK5" t="e">
        <f>IF(#REF!,"AAAAAD9/9nI=",0)</f>
        <v>#REF!</v>
      </c>
      <c r="DL5" t="e">
        <f>AND(#REF!,"AAAAAD9/9nM=")</f>
        <v>#REF!</v>
      </c>
      <c r="DM5" t="e">
        <f>AND(#REF!,"AAAAAD9/9nQ=")</f>
        <v>#REF!</v>
      </c>
      <c r="DN5" t="e">
        <f>AND(#REF!,"AAAAAD9/9nU=")</f>
        <v>#REF!</v>
      </c>
      <c r="DO5" t="e">
        <f>AND(#REF!,"AAAAAD9/9nY=")</f>
        <v>#REF!</v>
      </c>
      <c r="DP5" t="e">
        <f>AND(#REF!,"AAAAAD9/9nc=")</f>
        <v>#REF!</v>
      </c>
      <c r="DQ5" t="e">
        <f>AND(#REF!,"AAAAAD9/9ng=")</f>
        <v>#REF!</v>
      </c>
      <c r="DR5" t="e">
        <f>AND(#REF!,"AAAAAD9/9nk=")</f>
        <v>#REF!</v>
      </c>
      <c r="DS5" t="e">
        <f>AND(#REF!,"AAAAAD9/9no=")</f>
        <v>#REF!</v>
      </c>
      <c r="DT5" t="e">
        <f>AND(#REF!,"AAAAAD9/9ns=")</f>
        <v>#REF!</v>
      </c>
      <c r="DU5" t="e">
        <f>AND(#REF!,"AAAAAD9/9nw=")</f>
        <v>#REF!</v>
      </c>
      <c r="DV5" t="e">
        <f>IF(#REF!,"AAAAAD9/9n0=",0)</f>
        <v>#REF!</v>
      </c>
      <c r="DW5" t="e">
        <f>AND(#REF!,"AAAAAD9/9n4=")</f>
        <v>#REF!</v>
      </c>
      <c r="DX5" t="e">
        <f>AND(#REF!,"AAAAAD9/9n8=")</f>
        <v>#REF!</v>
      </c>
      <c r="DY5" t="e">
        <f>AND(#REF!,"AAAAAD9/9oA=")</f>
        <v>#REF!</v>
      </c>
      <c r="DZ5" t="e">
        <f>AND(#REF!,"AAAAAD9/9oE=")</f>
        <v>#REF!</v>
      </c>
      <c r="EA5" t="e">
        <f>AND(#REF!,"AAAAAD9/9oI=")</f>
        <v>#REF!</v>
      </c>
      <c r="EB5" t="e">
        <f>AND(#REF!,"AAAAAD9/9oM=")</f>
        <v>#REF!</v>
      </c>
      <c r="EC5" t="e">
        <f>AND(#REF!,"AAAAAD9/9oQ=")</f>
        <v>#REF!</v>
      </c>
      <c r="ED5" t="e">
        <f>AND(#REF!,"AAAAAD9/9oU=")</f>
        <v>#REF!</v>
      </c>
      <c r="EE5" t="e">
        <f>AND(#REF!,"AAAAAD9/9oY=")</f>
        <v>#REF!</v>
      </c>
      <c r="EF5" t="e">
        <f>AND(#REF!,"AAAAAD9/9oc=")</f>
        <v>#REF!</v>
      </c>
      <c r="EG5" t="e">
        <f>IF(#REF!,"AAAAAD9/9og=",0)</f>
        <v>#REF!</v>
      </c>
      <c r="EH5" t="e">
        <f>AND(#REF!,"AAAAAD9/9ok=")</f>
        <v>#REF!</v>
      </c>
      <c r="EI5" t="e">
        <f>AND(#REF!,"AAAAAD9/9oo=")</f>
        <v>#REF!</v>
      </c>
      <c r="EJ5" t="e">
        <f>AND(#REF!,"AAAAAD9/9os=")</f>
        <v>#REF!</v>
      </c>
      <c r="EK5" t="e">
        <f>AND(#REF!,"AAAAAD9/9ow=")</f>
        <v>#REF!</v>
      </c>
      <c r="EL5" t="e">
        <f>AND(#REF!,"AAAAAD9/9o0=")</f>
        <v>#REF!</v>
      </c>
      <c r="EM5" t="e">
        <f>AND(#REF!,"AAAAAD9/9o4=")</f>
        <v>#REF!</v>
      </c>
      <c r="EN5" t="e">
        <f>AND(#REF!,"AAAAAD9/9o8=")</f>
        <v>#REF!</v>
      </c>
      <c r="EO5" t="e">
        <f>AND(#REF!,"AAAAAD9/9pA=")</f>
        <v>#REF!</v>
      </c>
      <c r="EP5" t="e">
        <f>AND(#REF!,"AAAAAD9/9pE=")</f>
        <v>#REF!</v>
      </c>
      <c r="EQ5" t="e">
        <f>AND(#REF!,"AAAAAD9/9pI=")</f>
        <v>#REF!</v>
      </c>
      <c r="ER5" t="e">
        <f>IF(#REF!,"AAAAAD9/9pM=",0)</f>
        <v>#REF!</v>
      </c>
      <c r="ES5" t="e">
        <f>AND(#REF!,"AAAAAD9/9pQ=")</f>
        <v>#REF!</v>
      </c>
      <c r="ET5" t="e">
        <f>AND(#REF!,"AAAAAD9/9pU=")</f>
        <v>#REF!</v>
      </c>
      <c r="EU5" t="e">
        <f>AND(#REF!,"AAAAAD9/9pY=")</f>
        <v>#REF!</v>
      </c>
      <c r="EV5" t="e">
        <f>AND(#REF!,"AAAAAD9/9pc=")</f>
        <v>#REF!</v>
      </c>
      <c r="EW5" t="e">
        <f>AND(#REF!,"AAAAAD9/9pg=")</f>
        <v>#REF!</v>
      </c>
      <c r="EX5" t="e">
        <f>AND(#REF!,"AAAAAD9/9pk=")</f>
        <v>#REF!</v>
      </c>
      <c r="EY5" t="e">
        <f>AND(#REF!,"AAAAAD9/9po=")</f>
        <v>#REF!</v>
      </c>
      <c r="EZ5" t="e">
        <f>AND(#REF!,"AAAAAD9/9ps=")</f>
        <v>#REF!</v>
      </c>
      <c r="FA5" t="e">
        <f>AND(#REF!,"AAAAAD9/9pw=")</f>
        <v>#REF!</v>
      </c>
      <c r="FB5" t="e">
        <f>AND(#REF!,"AAAAAD9/9p0=")</f>
        <v>#REF!</v>
      </c>
      <c r="FC5" t="e">
        <f>IF(#REF!,"AAAAAD9/9p4=",0)</f>
        <v>#REF!</v>
      </c>
      <c r="FD5" t="e">
        <f>AND(#REF!,"AAAAAD9/9p8=")</f>
        <v>#REF!</v>
      </c>
      <c r="FE5" t="e">
        <f>AND(#REF!,"AAAAAD9/9qA=")</f>
        <v>#REF!</v>
      </c>
      <c r="FF5" t="e">
        <f>AND(#REF!,"AAAAAD9/9qE=")</f>
        <v>#REF!</v>
      </c>
      <c r="FG5" t="e">
        <f>AND(#REF!,"AAAAAD9/9qI=")</f>
        <v>#REF!</v>
      </c>
      <c r="FH5" t="e">
        <f>AND(#REF!,"AAAAAD9/9qM=")</f>
        <v>#REF!</v>
      </c>
      <c r="FI5" t="e">
        <f>AND(#REF!,"AAAAAD9/9qQ=")</f>
        <v>#REF!</v>
      </c>
      <c r="FJ5" t="e">
        <f>AND(#REF!,"AAAAAD9/9qU=")</f>
        <v>#REF!</v>
      </c>
      <c r="FK5" t="e">
        <f>AND(#REF!,"AAAAAD9/9qY=")</f>
        <v>#REF!</v>
      </c>
      <c r="FL5" t="e">
        <f>AND(#REF!,"AAAAAD9/9qc=")</f>
        <v>#REF!</v>
      </c>
      <c r="FM5" t="e">
        <f>AND(#REF!,"AAAAAD9/9qg=")</f>
        <v>#REF!</v>
      </c>
      <c r="FN5" t="e">
        <f>IF(#REF!,"AAAAAD9/9qk=",0)</f>
        <v>#REF!</v>
      </c>
      <c r="FO5" t="e">
        <f>AND(#REF!,"AAAAAD9/9qo=")</f>
        <v>#REF!</v>
      </c>
      <c r="FP5" t="e">
        <f>AND(#REF!,"AAAAAD9/9qs=")</f>
        <v>#REF!</v>
      </c>
      <c r="FQ5" t="e">
        <f>AND(#REF!,"AAAAAD9/9qw=")</f>
        <v>#REF!</v>
      </c>
      <c r="FR5" t="e">
        <f>AND(#REF!,"AAAAAD9/9q0=")</f>
        <v>#REF!</v>
      </c>
      <c r="FS5" t="e">
        <f>AND(#REF!,"AAAAAD9/9q4=")</f>
        <v>#REF!</v>
      </c>
      <c r="FT5" t="e">
        <f>AND(#REF!,"AAAAAD9/9q8=")</f>
        <v>#REF!</v>
      </c>
      <c r="FU5" t="e">
        <f>AND(#REF!,"AAAAAD9/9rA=")</f>
        <v>#REF!</v>
      </c>
      <c r="FV5" t="e">
        <f>AND(#REF!,"AAAAAD9/9rE=")</f>
        <v>#REF!</v>
      </c>
      <c r="FW5" t="e">
        <f>AND(#REF!,"AAAAAD9/9rI=")</f>
        <v>#REF!</v>
      </c>
      <c r="FX5" t="e">
        <f>AND(#REF!,"AAAAAD9/9rM=")</f>
        <v>#REF!</v>
      </c>
      <c r="FY5" t="e">
        <f>IF(#REF!,"AAAAAD9/9rQ=",0)</f>
        <v>#REF!</v>
      </c>
      <c r="FZ5" t="e">
        <f>AND(#REF!,"AAAAAD9/9rU=")</f>
        <v>#REF!</v>
      </c>
      <c r="GA5" t="e">
        <f>AND(#REF!,"AAAAAD9/9rY=")</f>
        <v>#REF!</v>
      </c>
      <c r="GB5" t="e">
        <f>AND(#REF!,"AAAAAD9/9rc=")</f>
        <v>#REF!</v>
      </c>
      <c r="GC5" t="e">
        <f>AND(#REF!,"AAAAAD9/9rg=")</f>
        <v>#REF!</v>
      </c>
      <c r="GD5" t="e">
        <f>AND(#REF!,"AAAAAD9/9rk=")</f>
        <v>#REF!</v>
      </c>
      <c r="GE5" t="e">
        <f>AND(#REF!,"AAAAAD9/9ro=")</f>
        <v>#REF!</v>
      </c>
      <c r="GF5" t="e">
        <f>AND(#REF!,"AAAAAD9/9rs=")</f>
        <v>#REF!</v>
      </c>
      <c r="GG5" t="e">
        <f>AND(#REF!,"AAAAAD9/9rw=")</f>
        <v>#REF!</v>
      </c>
      <c r="GH5" t="e">
        <f>AND(#REF!,"AAAAAD9/9r0=")</f>
        <v>#REF!</v>
      </c>
      <c r="GI5" t="e">
        <f>AND(#REF!,"AAAAAD9/9r4=")</f>
        <v>#REF!</v>
      </c>
      <c r="GJ5" t="e">
        <f>IF(#REF!,"AAAAAD9/9r8=",0)</f>
        <v>#REF!</v>
      </c>
      <c r="GK5" t="e">
        <f>AND(#REF!,"AAAAAD9/9sA=")</f>
        <v>#REF!</v>
      </c>
      <c r="GL5" t="e">
        <f>AND(#REF!,"AAAAAD9/9sE=")</f>
        <v>#REF!</v>
      </c>
      <c r="GM5" t="e">
        <f>AND(#REF!,"AAAAAD9/9sI=")</f>
        <v>#REF!</v>
      </c>
      <c r="GN5" t="e">
        <f>AND(#REF!,"AAAAAD9/9sM=")</f>
        <v>#REF!</v>
      </c>
      <c r="GO5" t="e">
        <f>AND(#REF!,"AAAAAD9/9sQ=")</f>
        <v>#REF!</v>
      </c>
      <c r="GP5" t="e">
        <f>AND(#REF!,"AAAAAD9/9sU=")</f>
        <v>#REF!</v>
      </c>
      <c r="GQ5" t="e">
        <f>AND(#REF!,"AAAAAD9/9sY=")</f>
        <v>#REF!</v>
      </c>
      <c r="GR5" t="e">
        <f>AND(#REF!,"AAAAAD9/9sc=")</f>
        <v>#REF!</v>
      </c>
      <c r="GS5" t="e">
        <f>AND(#REF!,"AAAAAD9/9sg=")</f>
        <v>#REF!</v>
      </c>
      <c r="GT5" t="e">
        <f>AND(#REF!,"AAAAAD9/9sk=")</f>
        <v>#REF!</v>
      </c>
      <c r="GU5" t="e">
        <f>IF(#REF!,"AAAAAD9/9so=",0)</f>
        <v>#REF!</v>
      </c>
      <c r="GV5" t="e">
        <f>AND(#REF!,"AAAAAD9/9ss=")</f>
        <v>#REF!</v>
      </c>
      <c r="GW5" t="e">
        <f>AND(#REF!,"AAAAAD9/9sw=")</f>
        <v>#REF!</v>
      </c>
      <c r="GX5" t="e">
        <f>AND(#REF!,"AAAAAD9/9s0=")</f>
        <v>#REF!</v>
      </c>
      <c r="GY5" t="e">
        <f>AND(#REF!,"AAAAAD9/9s4=")</f>
        <v>#REF!</v>
      </c>
      <c r="GZ5" t="e">
        <f>AND(#REF!,"AAAAAD9/9s8=")</f>
        <v>#REF!</v>
      </c>
      <c r="HA5" t="e">
        <f>AND(#REF!,"AAAAAD9/9tA=")</f>
        <v>#REF!</v>
      </c>
      <c r="HB5" t="e">
        <f>AND(#REF!,"AAAAAD9/9tE=")</f>
        <v>#REF!</v>
      </c>
      <c r="HC5" t="e">
        <f>AND(#REF!,"AAAAAD9/9tI=")</f>
        <v>#REF!</v>
      </c>
      <c r="HD5" t="e">
        <f>AND(#REF!,"AAAAAD9/9tM=")</f>
        <v>#REF!</v>
      </c>
      <c r="HE5" t="e">
        <f>AND(#REF!,"AAAAAD9/9tQ=")</f>
        <v>#REF!</v>
      </c>
      <c r="HF5" t="e">
        <f>IF(#REF!,"AAAAAD9/9tU=",0)</f>
        <v>#REF!</v>
      </c>
      <c r="HG5" t="e">
        <f>AND(#REF!,"AAAAAD9/9tY=")</f>
        <v>#REF!</v>
      </c>
      <c r="HH5" t="e">
        <f>AND(#REF!,"AAAAAD9/9tc=")</f>
        <v>#REF!</v>
      </c>
      <c r="HI5" t="e">
        <f>AND(#REF!,"AAAAAD9/9tg=")</f>
        <v>#REF!</v>
      </c>
      <c r="HJ5" t="e">
        <f>AND(#REF!,"AAAAAD9/9tk=")</f>
        <v>#REF!</v>
      </c>
      <c r="HK5" t="e">
        <f>AND(#REF!,"AAAAAD9/9to=")</f>
        <v>#REF!</v>
      </c>
      <c r="HL5" t="e">
        <f>AND(#REF!,"AAAAAD9/9ts=")</f>
        <v>#REF!</v>
      </c>
      <c r="HM5" t="e">
        <f>AND(#REF!,"AAAAAD9/9tw=")</f>
        <v>#REF!</v>
      </c>
      <c r="HN5" t="e">
        <f>AND(#REF!,"AAAAAD9/9t0=")</f>
        <v>#REF!</v>
      </c>
      <c r="HO5" t="e">
        <f>AND(#REF!,"AAAAAD9/9t4=")</f>
        <v>#REF!</v>
      </c>
      <c r="HP5" t="e">
        <f>AND(#REF!,"AAAAAD9/9t8=")</f>
        <v>#REF!</v>
      </c>
      <c r="HQ5" t="e">
        <f>IF(#REF!,"AAAAAD9/9uA=",0)</f>
        <v>#REF!</v>
      </c>
      <c r="HR5" t="e">
        <f>AND(#REF!,"AAAAAD9/9uE=")</f>
        <v>#REF!</v>
      </c>
      <c r="HS5" t="e">
        <f>AND(#REF!,"AAAAAD9/9uI=")</f>
        <v>#REF!</v>
      </c>
      <c r="HT5" t="e">
        <f>AND(#REF!,"AAAAAD9/9uM=")</f>
        <v>#REF!</v>
      </c>
      <c r="HU5" t="e">
        <f>AND(#REF!,"AAAAAD9/9uQ=")</f>
        <v>#REF!</v>
      </c>
      <c r="HV5" t="e">
        <f>AND(#REF!,"AAAAAD9/9uU=")</f>
        <v>#REF!</v>
      </c>
      <c r="HW5" t="e">
        <f>AND(#REF!,"AAAAAD9/9uY=")</f>
        <v>#REF!</v>
      </c>
      <c r="HX5" t="e">
        <f>AND(#REF!,"AAAAAD9/9uc=")</f>
        <v>#REF!</v>
      </c>
      <c r="HY5" t="e">
        <f>AND(#REF!,"AAAAAD9/9ug=")</f>
        <v>#REF!</v>
      </c>
      <c r="HZ5" t="e">
        <f>AND(#REF!,"AAAAAD9/9uk=")</f>
        <v>#REF!</v>
      </c>
      <c r="IA5" t="e">
        <f>AND(#REF!,"AAAAAD9/9uo=")</f>
        <v>#REF!</v>
      </c>
      <c r="IB5" t="e">
        <f>IF(#REF!,"AAAAAD9/9us=",0)</f>
        <v>#REF!</v>
      </c>
      <c r="IC5" t="e">
        <f>AND(#REF!,"AAAAAD9/9uw=")</f>
        <v>#REF!</v>
      </c>
      <c r="ID5" t="e">
        <f>AND(#REF!,"AAAAAD9/9u0=")</f>
        <v>#REF!</v>
      </c>
      <c r="IE5" t="e">
        <f>AND(#REF!,"AAAAAD9/9u4=")</f>
        <v>#REF!</v>
      </c>
      <c r="IF5" t="e">
        <f>AND(#REF!,"AAAAAD9/9u8=")</f>
        <v>#REF!</v>
      </c>
      <c r="IG5" t="e">
        <f>AND(#REF!,"AAAAAD9/9vA=")</f>
        <v>#REF!</v>
      </c>
      <c r="IH5" t="e">
        <f>AND(#REF!,"AAAAAD9/9vE=")</f>
        <v>#REF!</v>
      </c>
      <c r="II5" t="e">
        <f>AND(#REF!,"AAAAAD9/9vI=")</f>
        <v>#REF!</v>
      </c>
      <c r="IJ5" t="e">
        <f>AND(#REF!,"AAAAAD9/9vM=")</f>
        <v>#REF!</v>
      </c>
      <c r="IK5" t="e">
        <f>AND(#REF!,"AAAAAD9/9vQ=")</f>
        <v>#REF!</v>
      </c>
      <c r="IL5" t="e">
        <f>AND(#REF!,"AAAAAD9/9vU=")</f>
        <v>#REF!</v>
      </c>
      <c r="IM5" t="e">
        <f>IF(#REF!,"AAAAAD9/9vY=",0)</f>
        <v>#REF!</v>
      </c>
      <c r="IN5" t="e">
        <f>IF(#REF!,"AAAAAD9/9vc=",0)</f>
        <v>#REF!</v>
      </c>
      <c r="IO5" t="e">
        <f>IF(#REF!,"AAAAAD9/9vg=",0)</f>
        <v>#REF!</v>
      </c>
      <c r="IP5" t="e">
        <f>IF(#REF!,"AAAAAD9/9vk=",0)</f>
        <v>#REF!</v>
      </c>
      <c r="IQ5" t="e">
        <f>IF(#REF!,"AAAAAD9/9vo=",0)</f>
        <v>#REF!</v>
      </c>
      <c r="IR5" t="e">
        <f>IF(#REF!,"AAAAAD9/9vs=",0)</f>
        <v>#REF!</v>
      </c>
      <c r="IS5" t="e">
        <f>IF(#REF!,"AAAAAD9/9vw=",0)</f>
        <v>#REF!</v>
      </c>
      <c r="IT5" t="e">
        <f>IF(#REF!,"AAAAAD9/9v0=",0)</f>
        <v>#REF!</v>
      </c>
      <c r="IU5" t="e">
        <f>IF(#REF!,"AAAAAD9/9v4=",0)</f>
        <v>#REF!</v>
      </c>
      <c r="IV5" t="e">
        <f>IF(#REF!,"AAAAAD9/9v8=",0)</f>
        <v>#REF!</v>
      </c>
    </row>
    <row r="6" spans="1:256">
      <c r="A6" t="e">
        <f>IF(#REF!,"AAAAAH3v/gA=",0)</f>
        <v>#REF!</v>
      </c>
      <c r="B6" t="e">
        <f>IF(#REF!,"AAAAAH3v/gE=",0)</f>
        <v>#REF!</v>
      </c>
      <c r="C6" t="e">
        <f>IF(#REF!,"AAAAAH3v/gI=",0)</f>
        <v>#REF!</v>
      </c>
      <c r="D6" t="e">
        <f>AND(#REF!,"AAAAAH3v/gM=")</f>
        <v>#REF!</v>
      </c>
      <c r="E6" t="e">
        <f>AND(#REF!,"AAAAAH3v/gQ=")</f>
        <v>#REF!</v>
      </c>
      <c r="F6" t="e">
        <f>AND(#REF!,"AAAAAH3v/gU=")</f>
        <v>#REF!</v>
      </c>
      <c r="G6" t="e">
        <f>AND(#REF!,"AAAAAH3v/gY=")</f>
        <v>#REF!</v>
      </c>
      <c r="H6" t="e">
        <f>AND(#REF!,"AAAAAH3v/gc=")</f>
        <v>#REF!</v>
      </c>
      <c r="I6" t="e">
        <f>AND(#REF!,"AAAAAH3v/gg=")</f>
        <v>#REF!</v>
      </c>
      <c r="J6" t="e">
        <f>AND(#REF!,"AAAAAH3v/gk=")</f>
        <v>#REF!</v>
      </c>
      <c r="K6" t="e">
        <f>AND(#REF!,"AAAAAH3v/go=")</f>
        <v>#REF!</v>
      </c>
      <c r="L6" t="e">
        <f>AND(#REF!,"AAAAAH3v/gs=")</f>
        <v>#REF!</v>
      </c>
      <c r="M6" t="e">
        <f>AND(#REF!,"AAAAAH3v/gw=")</f>
        <v>#REF!</v>
      </c>
      <c r="N6" t="e">
        <f>AND(#REF!,"AAAAAH3v/g0=")</f>
        <v>#REF!</v>
      </c>
      <c r="O6" t="e">
        <f>AND(#REF!,"AAAAAH3v/g4=")</f>
        <v>#REF!</v>
      </c>
      <c r="P6" t="e">
        <f>AND(#REF!,"AAAAAH3v/g8=")</f>
        <v>#REF!</v>
      </c>
      <c r="Q6" t="e">
        <f>AND(#REF!,"AAAAAH3v/hA=")</f>
        <v>#REF!</v>
      </c>
      <c r="R6" t="e">
        <f>AND(#REF!,"AAAAAH3v/hE=")</f>
        <v>#REF!</v>
      </c>
      <c r="S6" t="e">
        <f>AND(#REF!,"AAAAAH3v/hI=")</f>
        <v>#REF!</v>
      </c>
      <c r="T6" t="e">
        <f>AND(#REF!,"AAAAAH3v/hM=")</f>
        <v>#REF!</v>
      </c>
      <c r="U6" t="e">
        <f>AND(#REF!,"AAAAAH3v/hQ=")</f>
        <v>#REF!</v>
      </c>
      <c r="V6" t="e">
        <f>AND(#REF!,"AAAAAH3v/hU=")</f>
        <v>#REF!</v>
      </c>
      <c r="W6" t="e">
        <f>AND(#REF!,"AAAAAH3v/hY=")</f>
        <v>#REF!</v>
      </c>
      <c r="X6" t="e">
        <f>AND(#REF!,"AAAAAH3v/hc=")</f>
        <v>#REF!</v>
      </c>
      <c r="Y6" t="e">
        <f>AND(#REF!,"AAAAAH3v/hg=")</f>
        <v>#REF!</v>
      </c>
      <c r="Z6" t="e">
        <f>AND(#REF!,"AAAAAH3v/hk=")</f>
        <v>#REF!</v>
      </c>
      <c r="AA6" t="e">
        <f>AND(#REF!,"AAAAAH3v/ho=")</f>
        <v>#REF!</v>
      </c>
      <c r="AB6" t="e">
        <f>AND(#REF!,"AAAAAH3v/hs=")</f>
        <v>#REF!</v>
      </c>
      <c r="AC6" t="e">
        <f>AND(#REF!,"AAAAAH3v/hw=")</f>
        <v>#REF!</v>
      </c>
      <c r="AD6" t="e">
        <f>AND(#REF!,"AAAAAH3v/h0=")</f>
        <v>#REF!</v>
      </c>
      <c r="AE6" t="e">
        <f>AND(#REF!,"AAAAAH3v/h4=")</f>
        <v>#REF!</v>
      </c>
      <c r="AF6" t="e">
        <f>AND(#REF!,"AAAAAH3v/h8=")</f>
        <v>#REF!</v>
      </c>
      <c r="AG6" t="e">
        <f>AND(#REF!,"AAAAAH3v/iA=")</f>
        <v>#REF!</v>
      </c>
      <c r="AH6" t="e">
        <f>AND(#REF!,"AAAAAH3v/iE=")</f>
        <v>#REF!</v>
      </c>
      <c r="AI6" t="e">
        <f>AND(#REF!,"AAAAAH3v/iI=")</f>
        <v>#REF!</v>
      </c>
      <c r="AJ6" t="e">
        <f>AND(#REF!,"AAAAAH3v/iM=")</f>
        <v>#REF!</v>
      </c>
      <c r="AK6" t="e">
        <f>AND(#REF!,"AAAAAH3v/iQ=")</f>
        <v>#REF!</v>
      </c>
      <c r="AL6" t="e">
        <f>AND(#REF!,"AAAAAH3v/iU=")</f>
        <v>#REF!</v>
      </c>
      <c r="AM6" t="e">
        <f>AND(#REF!,"AAAAAH3v/iY=")</f>
        <v>#REF!</v>
      </c>
      <c r="AN6" t="e">
        <f>IF(#REF!,"AAAAAH3v/ic=",0)</f>
        <v>#REF!</v>
      </c>
      <c r="AO6" t="e">
        <f>AND(#REF!,"AAAAAH3v/ig=")</f>
        <v>#REF!</v>
      </c>
      <c r="AP6" t="e">
        <f>AND(#REF!,"AAAAAH3v/ik=")</f>
        <v>#REF!</v>
      </c>
      <c r="AQ6" t="e">
        <f>AND(#REF!,"AAAAAH3v/io=")</f>
        <v>#REF!</v>
      </c>
      <c r="AR6" t="e">
        <f>AND(#REF!,"AAAAAH3v/is=")</f>
        <v>#REF!</v>
      </c>
      <c r="AS6" t="e">
        <f>AND(#REF!,"AAAAAH3v/iw=")</f>
        <v>#REF!</v>
      </c>
      <c r="AT6" t="e">
        <f>AND(#REF!,"AAAAAH3v/i0=")</f>
        <v>#REF!</v>
      </c>
      <c r="AU6" t="e">
        <f>AND(#REF!,"AAAAAH3v/i4=")</f>
        <v>#REF!</v>
      </c>
      <c r="AV6" t="e">
        <f>AND(#REF!,"AAAAAH3v/i8=")</f>
        <v>#REF!</v>
      </c>
      <c r="AW6" t="e">
        <f>AND(#REF!,"AAAAAH3v/jA=")</f>
        <v>#REF!</v>
      </c>
      <c r="AX6" t="e">
        <f>AND(#REF!,"AAAAAH3v/jE=")</f>
        <v>#REF!</v>
      </c>
      <c r="AY6" t="e">
        <f>AND(#REF!,"AAAAAH3v/jI=")</f>
        <v>#REF!</v>
      </c>
      <c r="AZ6" t="e">
        <f>AND(#REF!,"AAAAAH3v/jM=")</f>
        <v>#REF!</v>
      </c>
      <c r="BA6" t="e">
        <f>AND(#REF!,"AAAAAH3v/jQ=")</f>
        <v>#REF!</v>
      </c>
      <c r="BB6" t="e">
        <f>AND(#REF!,"AAAAAH3v/jU=")</f>
        <v>#REF!</v>
      </c>
      <c r="BC6" t="e">
        <f>AND(#REF!,"AAAAAH3v/jY=")</f>
        <v>#REF!</v>
      </c>
      <c r="BD6" t="e">
        <f>AND(#REF!,"AAAAAH3v/jc=")</f>
        <v>#REF!</v>
      </c>
      <c r="BE6" t="e">
        <f>AND(#REF!,"AAAAAH3v/jg=")</f>
        <v>#REF!</v>
      </c>
      <c r="BF6" t="e">
        <f>AND(#REF!,"AAAAAH3v/jk=")</f>
        <v>#REF!</v>
      </c>
      <c r="BG6" t="e">
        <f>AND(#REF!,"AAAAAH3v/jo=")</f>
        <v>#REF!</v>
      </c>
      <c r="BH6" t="e">
        <f>AND(#REF!,"AAAAAH3v/js=")</f>
        <v>#REF!</v>
      </c>
      <c r="BI6" t="e">
        <f>AND(#REF!,"AAAAAH3v/jw=")</f>
        <v>#REF!</v>
      </c>
      <c r="BJ6" t="e">
        <f>AND(#REF!,"AAAAAH3v/j0=")</f>
        <v>#REF!</v>
      </c>
      <c r="BK6" t="e">
        <f>AND(#REF!,"AAAAAH3v/j4=")</f>
        <v>#REF!</v>
      </c>
      <c r="BL6" t="e">
        <f>AND(#REF!,"AAAAAH3v/j8=")</f>
        <v>#REF!</v>
      </c>
      <c r="BM6" t="e">
        <f>AND(#REF!,"AAAAAH3v/kA=")</f>
        <v>#REF!</v>
      </c>
      <c r="BN6" t="e">
        <f>AND(#REF!,"AAAAAH3v/kE=")</f>
        <v>#REF!</v>
      </c>
      <c r="BO6" t="e">
        <f>AND(#REF!,"AAAAAH3v/kI=")</f>
        <v>#REF!</v>
      </c>
      <c r="BP6" t="e">
        <f>AND(#REF!,"AAAAAH3v/kM=")</f>
        <v>#REF!</v>
      </c>
      <c r="BQ6" t="e">
        <f>AND(#REF!,"AAAAAH3v/kQ=")</f>
        <v>#REF!</v>
      </c>
      <c r="BR6" t="e">
        <f>AND(#REF!,"AAAAAH3v/kU=")</f>
        <v>#REF!</v>
      </c>
      <c r="BS6" t="e">
        <f>AND(#REF!,"AAAAAH3v/kY=")</f>
        <v>#REF!</v>
      </c>
      <c r="BT6" t="e">
        <f>AND(#REF!,"AAAAAH3v/kc=")</f>
        <v>#REF!</v>
      </c>
      <c r="BU6" t="e">
        <f>AND(#REF!,"AAAAAH3v/kg=")</f>
        <v>#REF!</v>
      </c>
      <c r="BV6" t="e">
        <f>AND(#REF!,"AAAAAH3v/kk=")</f>
        <v>#REF!</v>
      </c>
      <c r="BW6" t="e">
        <f>AND(#REF!,"AAAAAH3v/ko=")</f>
        <v>#REF!</v>
      </c>
      <c r="BX6" t="e">
        <f>AND(#REF!,"AAAAAH3v/ks=")</f>
        <v>#REF!</v>
      </c>
      <c r="BY6" t="e">
        <f>IF(#REF!,"AAAAAH3v/kw=",0)</f>
        <v>#REF!</v>
      </c>
      <c r="BZ6" t="e">
        <f>AND(#REF!,"AAAAAH3v/k0=")</f>
        <v>#REF!</v>
      </c>
      <c r="CA6" t="e">
        <f>AND(#REF!,"AAAAAH3v/k4=")</f>
        <v>#REF!</v>
      </c>
      <c r="CB6" t="e">
        <f>AND(#REF!,"AAAAAH3v/k8=")</f>
        <v>#REF!</v>
      </c>
      <c r="CC6" t="e">
        <f>AND(#REF!,"AAAAAH3v/lA=")</f>
        <v>#REF!</v>
      </c>
      <c r="CD6" t="e">
        <f>AND(#REF!,"AAAAAH3v/lE=")</f>
        <v>#REF!</v>
      </c>
      <c r="CE6" t="e">
        <f>AND(#REF!,"AAAAAH3v/lI=")</f>
        <v>#REF!</v>
      </c>
      <c r="CF6" t="e">
        <f>AND(#REF!,"AAAAAH3v/lM=")</f>
        <v>#REF!</v>
      </c>
      <c r="CG6" t="e">
        <f>AND(#REF!,"AAAAAH3v/lQ=")</f>
        <v>#REF!</v>
      </c>
      <c r="CH6" t="e">
        <f>AND(#REF!,"AAAAAH3v/lU=")</f>
        <v>#REF!</v>
      </c>
      <c r="CI6" t="e">
        <f>AND(#REF!,"AAAAAH3v/lY=")</f>
        <v>#REF!</v>
      </c>
      <c r="CJ6" t="e">
        <f>AND(#REF!,"AAAAAH3v/lc=")</f>
        <v>#REF!</v>
      </c>
      <c r="CK6" t="e">
        <f>AND(#REF!,"AAAAAH3v/lg=")</f>
        <v>#REF!</v>
      </c>
      <c r="CL6" t="e">
        <f>AND(#REF!,"AAAAAH3v/lk=")</f>
        <v>#REF!</v>
      </c>
      <c r="CM6" t="e">
        <f>AND(#REF!,"AAAAAH3v/lo=")</f>
        <v>#REF!</v>
      </c>
      <c r="CN6" t="e">
        <f>AND(#REF!,"AAAAAH3v/ls=")</f>
        <v>#REF!</v>
      </c>
      <c r="CO6" t="e">
        <f>AND(#REF!,"AAAAAH3v/lw=")</f>
        <v>#REF!</v>
      </c>
      <c r="CP6" t="e">
        <f>AND(#REF!,"AAAAAH3v/l0=")</f>
        <v>#REF!</v>
      </c>
      <c r="CQ6" t="e">
        <f>AND(#REF!,"AAAAAH3v/l4=")</f>
        <v>#REF!</v>
      </c>
      <c r="CR6" t="e">
        <f>AND(#REF!,"AAAAAH3v/l8=")</f>
        <v>#REF!</v>
      </c>
      <c r="CS6" t="e">
        <f>AND(#REF!,"AAAAAH3v/mA=")</f>
        <v>#REF!</v>
      </c>
      <c r="CT6" t="e">
        <f>AND(#REF!,"AAAAAH3v/mE=")</f>
        <v>#REF!</v>
      </c>
      <c r="CU6" t="e">
        <f>AND(#REF!,"AAAAAH3v/mI=")</f>
        <v>#REF!</v>
      </c>
      <c r="CV6" t="e">
        <f>AND(#REF!,"AAAAAH3v/mM=")</f>
        <v>#REF!</v>
      </c>
      <c r="CW6" t="e">
        <f>AND(#REF!,"AAAAAH3v/mQ=")</f>
        <v>#REF!</v>
      </c>
      <c r="CX6" t="e">
        <f>AND(#REF!,"AAAAAH3v/mU=")</f>
        <v>#REF!</v>
      </c>
      <c r="CY6" t="e">
        <f>AND(#REF!,"AAAAAH3v/mY=")</f>
        <v>#REF!</v>
      </c>
      <c r="CZ6" t="e">
        <f>AND(#REF!,"AAAAAH3v/mc=")</f>
        <v>#REF!</v>
      </c>
      <c r="DA6" t="e">
        <f>AND(#REF!,"AAAAAH3v/mg=")</f>
        <v>#REF!</v>
      </c>
      <c r="DB6" t="e">
        <f>AND(#REF!,"AAAAAH3v/mk=")</f>
        <v>#REF!</v>
      </c>
      <c r="DC6" t="e">
        <f>AND(#REF!,"AAAAAH3v/mo=")</f>
        <v>#REF!</v>
      </c>
      <c r="DD6" t="e">
        <f>AND(#REF!,"AAAAAH3v/ms=")</f>
        <v>#REF!</v>
      </c>
      <c r="DE6" t="e">
        <f>AND(#REF!,"AAAAAH3v/mw=")</f>
        <v>#REF!</v>
      </c>
      <c r="DF6" t="e">
        <f>AND(#REF!,"AAAAAH3v/m0=")</f>
        <v>#REF!</v>
      </c>
      <c r="DG6" t="e">
        <f>AND(#REF!,"AAAAAH3v/m4=")</f>
        <v>#REF!</v>
      </c>
      <c r="DH6" t="e">
        <f>AND(#REF!,"AAAAAH3v/m8=")</f>
        <v>#REF!</v>
      </c>
      <c r="DI6" t="e">
        <f>AND(#REF!,"AAAAAH3v/nA=")</f>
        <v>#REF!</v>
      </c>
      <c r="DJ6" t="e">
        <f>IF(#REF!,"AAAAAH3v/nE=",0)</f>
        <v>#REF!</v>
      </c>
      <c r="DK6" t="e">
        <f>AND(#REF!,"AAAAAH3v/nI=")</f>
        <v>#REF!</v>
      </c>
      <c r="DL6" t="e">
        <f>AND(#REF!,"AAAAAH3v/nM=")</f>
        <v>#REF!</v>
      </c>
      <c r="DM6" t="e">
        <f>AND(#REF!,"AAAAAH3v/nQ=")</f>
        <v>#REF!</v>
      </c>
      <c r="DN6" t="e">
        <f>AND(#REF!,"AAAAAH3v/nU=")</f>
        <v>#REF!</v>
      </c>
      <c r="DO6" t="e">
        <f>AND(#REF!,"AAAAAH3v/nY=")</f>
        <v>#REF!</v>
      </c>
      <c r="DP6" t="e">
        <f>AND(#REF!,"AAAAAH3v/nc=")</f>
        <v>#REF!</v>
      </c>
      <c r="DQ6" t="e">
        <f>AND(#REF!,"AAAAAH3v/ng=")</f>
        <v>#REF!</v>
      </c>
      <c r="DR6" t="e">
        <f>AND(#REF!,"AAAAAH3v/nk=")</f>
        <v>#REF!</v>
      </c>
      <c r="DS6" t="e">
        <f>AND(#REF!,"AAAAAH3v/no=")</f>
        <v>#REF!</v>
      </c>
      <c r="DT6" t="e">
        <f>AND(#REF!,"AAAAAH3v/ns=")</f>
        <v>#REF!</v>
      </c>
      <c r="DU6" t="e">
        <f>AND(#REF!,"AAAAAH3v/nw=")</f>
        <v>#REF!</v>
      </c>
      <c r="DV6" t="e">
        <f>AND(#REF!,"AAAAAH3v/n0=")</f>
        <v>#REF!</v>
      </c>
      <c r="DW6" t="e">
        <f>AND(#REF!,"AAAAAH3v/n4=")</f>
        <v>#REF!</v>
      </c>
      <c r="DX6" t="e">
        <f>AND(#REF!,"AAAAAH3v/n8=")</f>
        <v>#REF!</v>
      </c>
      <c r="DY6" t="e">
        <f>AND(#REF!,"AAAAAH3v/oA=")</f>
        <v>#REF!</v>
      </c>
      <c r="DZ6" t="e">
        <f>AND(#REF!,"AAAAAH3v/oE=")</f>
        <v>#REF!</v>
      </c>
      <c r="EA6" t="e">
        <f>AND(#REF!,"AAAAAH3v/oI=")</f>
        <v>#REF!</v>
      </c>
      <c r="EB6" t="e">
        <f>AND(#REF!,"AAAAAH3v/oM=")</f>
        <v>#REF!</v>
      </c>
      <c r="EC6" t="e">
        <f>AND(#REF!,"AAAAAH3v/oQ=")</f>
        <v>#REF!</v>
      </c>
      <c r="ED6" t="e">
        <f>AND(#REF!,"AAAAAH3v/oU=")</f>
        <v>#REF!</v>
      </c>
      <c r="EE6" t="e">
        <f>AND(#REF!,"AAAAAH3v/oY=")</f>
        <v>#REF!</v>
      </c>
      <c r="EF6" t="e">
        <f>AND(#REF!,"AAAAAH3v/oc=")</f>
        <v>#REF!</v>
      </c>
      <c r="EG6" t="e">
        <f>AND(#REF!,"AAAAAH3v/og=")</f>
        <v>#REF!</v>
      </c>
      <c r="EH6" t="e">
        <f>AND(#REF!,"AAAAAH3v/ok=")</f>
        <v>#REF!</v>
      </c>
      <c r="EI6" t="e">
        <f>AND(#REF!,"AAAAAH3v/oo=")</f>
        <v>#REF!</v>
      </c>
      <c r="EJ6" t="e">
        <f>AND(#REF!,"AAAAAH3v/os=")</f>
        <v>#REF!</v>
      </c>
      <c r="EK6" t="e">
        <f>AND(#REF!,"AAAAAH3v/ow=")</f>
        <v>#REF!</v>
      </c>
      <c r="EL6" t="e">
        <f>AND(#REF!,"AAAAAH3v/o0=")</f>
        <v>#REF!</v>
      </c>
      <c r="EM6" t="e">
        <f>AND(#REF!,"AAAAAH3v/o4=")</f>
        <v>#REF!</v>
      </c>
      <c r="EN6" t="e">
        <f>AND(#REF!,"AAAAAH3v/o8=")</f>
        <v>#REF!</v>
      </c>
      <c r="EO6" t="e">
        <f>AND(#REF!,"AAAAAH3v/pA=")</f>
        <v>#REF!</v>
      </c>
      <c r="EP6" t="e">
        <f>AND(#REF!,"AAAAAH3v/pE=")</f>
        <v>#REF!</v>
      </c>
      <c r="EQ6" t="e">
        <f>AND(#REF!,"AAAAAH3v/pI=")</f>
        <v>#REF!</v>
      </c>
      <c r="ER6" t="e">
        <f>AND(#REF!,"AAAAAH3v/pM=")</f>
        <v>#REF!</v>
      </c>
      <c r="ES6" t="e">
        <f>AND(#REF!,"AAAAAH3v/pQ=")</f>
        <v>#REF!</v>
      </c>
      <c r="ET6" t="e">
        <f>AND(#REF!,"AAAAAH3v/pU=")</f>
        <v>#REF!</v>
      </c>
      <c r="EU6" t="e">
        <f>IF(#REF!,"AAAAAH3v/pY=",0)</f>
        <v>#REF!</v>
      </c>
      <c r="EV6" t="e">
        <f>AND(#REF!,"AAAAAH3v/pc=")</f>
        <v>#REF!</v>
      </c>
      <c r="EW6" t="e">
        <f>AND(#REF!,"AAAAAH3v/pg=")</f>
        <v>#REF!</v>
      </c>
      <c r="EX6" t="e">
        <f>AND(#REF!,"AAAAAH3v/pk=")</f>
        <v>#REF!</v>
      </c>
      <c r="EY6" t="e">
        <f>AND(#REF!,"AAAAAH3v/po=")</f>
        <v>#REF!</v>
      </c>
      <c r="EZ6" t="e">
        <f>AND(#REF!,"AAAAAH3v/ps=")</f>
        <v>#REF!</v>
      </c>
      <c r="FA6" t="e">
        <f>AND(#REF!,"AAAAAH3v/pw=")</f>
        <v>#REF!</v>
      </c>
      <c r="FB6" t="e">
        <f>AND(#REF!,"AAAAAH3v/p0=")</f>
        <v>#REF!</v>
      </c>
      <c r="FC6" t="e">
        <f>AND(#REF!,"AAAAAH3v/p4=")</f>
        <v>#REF!</v>
      </c>
      <c r="FD6" t="e">
        <f>AND(#REF!,"AAAAAH3v/p8=")</f>
        <v>#REF!</v>
      </c>
      <c r="FE6" t="e">
        <f>AND(#REF!,"AAAAAH3v/qA=")</f>
        <v>#REF!</v>
      </c>
      <c r="FF6" t="e">
        <f>AND(#REF!,"AAAAAH3v/qE=")</f>
        <v>#REF!</v>
      </c>
      <c r="FG6" t="e">
        <f>AND(#REF!,"AAAAAH3v/qI=")</f>
        <v>#REF!</v>
      </c>
      <c r="FH6" t="e">
        <f>AND(#REF!,"AAAAAH3v/qM=")</f>
        <v>#REF!</v>
      </c>
      <c r="FI6" t="e">
        <f>AND(#REF!,"AAAAAH3v/qQ=")</f>
        <v>#REF!</v>
      </c>
      <c r="FJ6" t="e">
        <f>AND(#REF!,"AAAAAH3v/qU=")</f>
        <v>#REF!</v>
      </c>
      <c r="FK6" t="e">
        <f>AND(#REF!,"AAAAAH3v/qY=")</f>
        <v>#REF!</v>
      </c>
      <c r="FL6" t="e">
        <f>AND(#REF!,"AAAAAH3v/qc=")</f>
        <v>#REF!</v>
      </c>
      <c r="FM6" t="e">
        <f>AND(#REF!,"AAAAAH3v/qg=")</f>
        <v>#REF!</v>
      </c>
      <c r="FN6" t="e">
        <f>AND(#REF!,"AAAAAH3v/qk=")</f>
        <v>#REF!</v>
      </c>
      <c r="FO6" t="e">
        <f>AND(#REF!,"AAAAAH3v/qo=")</f>
        <v>#REF!</v>
      </c>
      <c r="FP6" t="e">
        <f>AND(#REF!,"AAAAAH3v/qs=")</f>
        <v>#REF!</v>
      </c>
      <c r="FQ6" t="e">
        <f>AND(#REF!,"AAAAAH3v/qw=")</f>
        <v>#REF!</v>
      </c>
      <c r="FR6" t="e">
        <f>AND(#REF!,"AAAAAH3v/q0=")</f>
        <v>#REF!</v>
      </c>
      <c r="FS6" t="e">
        <f>AND(#REF!,"AAAAAH3v/q4=")</f>
        <v>#REF!</v>
      </c>
      <c r="FT6" t="e">
        <f>AND(#REF!,"AAAAAH3v/q8=")</f>
        <v>#REF!</v>
      </c>
      <c r="FU6" t="e">
        <f>AND(#REF!,"AAAAAH3v/rA=")</f>
        <v>#REF!</v>
      </c>
      <c r="FV6" t="e">
        <f>AND(#REF!,"AAAAAH3v/rE=")</f>
        <v>#REF!</v>
      </c>
      <c r="FW6" t="e">
        <f>AND(#REF!,"AAAAAH3v/rI=")</f>
        <v>#REF!</v>
      </c>
      <c r="FX6" t="e">
        <f>AND(#REF!,"AAAAAH3v/rM=")</f>
        <v>#REF!</v>
      </c>
      <c r="FY6" t="e">
        <f>AND(#REF!,"AAAAAH3v/rQ=")</f>
        <v>#REF!</v>
      </c>
      <c r="FZ6" t="e">
        <f>AND(#REF!,"AAAAAH3v/rU=")</f>
        <v>#REF!</v>
      </c>
      <c r="GA6" t="e">
        <f>AND(#REF!,"AAAAAH3v/rY=")</f>
        <v>#REF!</v>
      </c>
      <c r="GB6" t="e">
        <f>AND(#REF!,"AAAAAH3v/rc=")</f>
        <v>#REF!</v>
      </c>
      <c r="GC6" t="e">
        <f>AND(#REF!,"AAAAAH3v/rg=")</f>
        <v>#REF!</v>
      </c>
      <c r="GD6" t="e">
        <f>AND(#REF!,"AAAAAH3v/rk=")</f>
        <v>#REF!</v>
      </c>
      <c r="GE6" t="e">
        <f>AND(#REF!,"AAAAAH3v/ro=")</f>
        <v>#REF!</v>
      </c>
      <c r="GF6" t="e">
        <f>IF(#REF!,"AAAAAH3v/rs=",0)</f>
        <v>#REF!</v>
      </c>
      <c r="GG6" t="e">
        <f>AND(#REF!,"AAAAAH3v/rw=")</f>
        <v>#REF!</v>
      </c>
      <c r="GH6" t="e">
        <f>AND(#REF!,"AAAAAH3v/r0=")</f>
        <v>#REF!</v>
      </c>
      <c r="GI6" t="e">
        <f>AND(#REF!,"AAAAAH3v/r4=")</f>
        <v>#REF!</v>
      </c>
      <c r="GJ6" t="e">
        <f>AND(#REF!,"AAAAAH3v/r8=")</f>
        <v>#REF!</v>
      </c>
      <c r="GK6" t="e">
        <f>AND(#REF!,"AAAAAH3v/sA=")</f>
        <v>#REF!</v>
      </c>
      <c r="GL6" t="e">
        <f>AND(#REF!,"AAAAAH3v/sE=")</f>
        <v>#REF!</v>
      </c>
      <c r="GM6" t="e">
        <f>AND(#REF!,"AAAAAH3v/sI=")</f>
        <v>#REF!</v>
      </c>
      <c r="GN6" t="e">
        <f>AND(#REF!,"AAAAAH3v/sM=")</f>
        <v>#REF!</v>
      </c>
      <c r="GO6" t="e">
        <f>AND(#REF!,"AAAAAH3v/sQ=")</f>
        <v>#REF!</v>
      </c>
      <c r="GP6" t="e">
        <f>AND(#REF!,"AAAAAH3v/sU=")</f>
        <v>#REF!</v>
      </c>
      <c r="GQ6" t="e">
        <f>AND(#REF!,"AAAAAH3v/sY=")</f>
        <v>#REF!</v>
      </c>
      <c r="GR6" t="e">
        <f>AND(#REF!,"AAAAAH3v/sc=")</f>
        <v>#REF!</v>
      </c>
      <c r="GS6" t="e">
        <f>AND(#REF!,"AAAAAH3v/sg=")</f>
        <v>#REF!</v>
      </c>
      <c r="GT6" t="e">
        <f>AND(#REF!,"AAAAAH3v/sk=")</f>
        <v>#REF!</v>
      </c>
      <c r="GU6" t="e">
        <f>AND(#REF!,"AAAAAH3v/so=")</f>
        <v>#REF!</v>
      </c>
      <c r="GV6" t="e">
        <f>AND(#REF!,"AAAAAH3v/ss=")</f>
        <v>#REF!</v>
      </c>
      <c r="GW6" t="e">
        <f>AND(#REF!,"AAAAAH3v/sw=")</f>
        <v>#REF!</v>
      </c>
      <c r="GX6" t="e">
        <f>AND(#REF!,"AAAAAH3v/s0=")</f>
        <v>#REF!</v>
      </c>
      <c r="GY6" t="e">
        <f>AND(#REF!,"AAAAAH3v/s4=")</f>
        <v>#REF!</v>
      </c>
      <c r="GZ6" t="e">
        <f>AND(#REF!,"AAAAAH3v/s8=")</f>
        <v>#REF!</v>
      </c>
      <c r="HA6" t="e">
        <f>AND(#REF!,"AAAAAH3v/tA=")</f>
        <v>#REF!</v>
      </c>
      <c r="HB6" t="e">
        <f>AND(#REF!,"AAAAAH3v/tE=")</f>
        <v>#REF!</v>
      </c>
      <c r="HC6" t="e">
        <f>AND(#REF!,"AAAAAH3v/tI=")</f>
        <v>#REF!</v>
      </c>
      <c r="HD6" t="e">
        <f>AND(#REF!,"AAAAAH3v/tM=")</f>
        <v>#REF!</v>
      </c>
      <c r="HE6" t="e">
        <f>AND(#REF!,"AAAAAH3v/tQ=")</f>
        <v>#REF!</v>
      </c>
      <c r="HF6" t="e">
        <f>AND(#REF!,"AAAAAH3v/tU=")</f>
        <v>#REF!</v>
      </c>
      <c r="HG6" t="e">
        <f>AND(#REF!,"AAAAAH3v/tY=")</f>
        <v>#REF!</v>
      </c>
      <c r="HH6" t="e">
        <f>AND(#REF!,"AAAAAH3v/tc=")</f>
        <v>#REF!</v>
      </c>
      <c r="HI6" t="e">
        <f>AND(#REF!,"AAAAAH3v/tg=")</f>
        <v>#REF!</v>
      </c>
      <c r="HJ6" t="e">
        <f>AND(#REF!,"AAAAAH3v/tk=")</f>
        <v>#REF!</v>
      </c>
      <c r="HK6" t="e">
        <f>AND(#REF!,"AAAAAH3v/to=")</f>
        <v>#REF!</v>
      </c>
      <c r="HL6" t="e">
        <f>AND(#REF!,"AAAAAH3v/ts=")</f>
        <v>#REF!</v>
      </c>
      <c r="HM6" t="e">
        <f>AND(#REF!,"AAAAAH3v/tw=")</f>
        <v>#REF!</v>
      </c>
      <c r="HN6" t="e">
        <f>AND(#REF!,"AAAAAH3v/t0=")</f>
        <v>#REF!</v>
      </c>
      <c r="HO6" t="e">
        <f>AND(#REF!,"AAAAAH3v/t4=")</f>
        <v>#REF!</v>
      </c>
      <c r="HP6" t="e">
        <f>AND(#REF!,"AAAAAH3v/t8=")</f>
        <v>#REF!</v>
      </c>
      <c r="HQ6" t="e">
        <f>IF(#REF!,"AAAAAH3v/uA=",0)</f>
        <v>#REF!</v>
      </c>
      <c r="HR6" t="e">
        <f>AND(#REF!,"AAAAAH3v/uE=")</f>
        <v>#REF!</v>
      </c>
      <c r="HS6" t="e">
        <f>AND(#REF!,"AAAAAH3v/uI=")</f>
        <v>#REF!</v>
      </c>
      <c r="HT6" t="e">
        <f>AND(#REF!,"AAAAAH3v/uM=")</f>
        <v>#REF!</v>
      </c>
      <c r="HU6" t="e">
        <f>AND(#REF!,"AAAAAH3v/uQ=")</f>
        <v>#REF!</v>
      </c>
      <c r="HV6" t="e">
        <f>AND(#REF!,"AAAAAH3v/uU=")</f>
        <v>#REF!</v>
      </c>
      <c r="HW6" t="e">
        <f>AND(#REF!,"AAAAAH3v/uY=")</f>
        <v>#REF!</v>
      </c>
      <c r="HX6" t="e">
        <f>AND(#REF!,"AAAAAH3v/uc=")</f>
        <v>#REF!</v>
      </c>
      <c r="HY6" t="e">
        <f>AND(#REF!,"AAAAAH3v/ug=")</f>
        <v>#REF!</v>
      </c>
      <c r="HZ6" t="e">
        <f>AND(#REF!,"AAAAAH3v/uk=")</f>
        <v>#REF!</v>
      </c>
      <c r="IA6" t="e">
        <f>AND(#REF!,"AAAAAH3v/uo=")</f>
        <v>#REF!</v>
      </c>
      <c r="IB6" t="e">
        <f>AND(#REF!,"AAAAAH3v/us=")</f>
        <v>#REF!</v>
      </c>
      <c r="IC6" t="e">
        <f>AND(#REF!,"AAAAAH3v/uw=")</f>
        <v>#REF!</v>
      </c>
      <c r="ID6" t="e">
        <f>AND(#REF!,"AAAAAH3v/u0=")</f>
        <v>#REF!</v>
      </c>
      <c r="IE6" t="e">
        <f>AND(#REF!,"AAAAAH3v/u4=")</f>
        <v>#REF!</v>
      </c>
      <c r="IF6" t="e">
        <f>AND(#REF!,"AAAAAH3v/u8=")</f>
        <v>#REF!</v>
      </c>
      <c r="IG6" t="e">
        <f>AND(#REF!,"AAAAAH3v/vA=")</f>
        <v>#REF!</v>
      </c>
      <c r="IH6" t="e">
        <f>AND(#REF!,"AAAAAH3v/vE=")</f>
        <v>#REF!</v>
      </c>
      <c r="II6" t="e">
        <f>AND(#REF!,"AAAAAH3v/vI=")</f>
        <v>#REF!</v>
      </c>
      <c r="IJ6" t="e">
        <f>AND(#REF!,"AAAAAH3v/vM=")</f>
        <v>#REF!</v>
      </c>
      <c r="IK6" t="e">
        <f>AND(#REF!,"AAAAAH3v/vQ=")</f>
        <v>#REF!</v>
      </c>
      <c r="IL6" t="e">
        <f>AND(#REF!,"AAAAAH3v/vU=")</f>
        <v>#REF!</v>
      </c>
      <c r="IM6" t="e">
        <f>AND(#REF!,"AAAAAH3v/vY=")</f>
        <v>#REF!</v>
      </c>
      <c r="IN6" t="e">
        <f>AND(#REF!,"AAAAAH3v/vc=")</f>
        <v>#REF!</v>
      </c>
      <c r="IO6" t="e">
        <f>AND(#REF!,"AAAAAH3v/vg=")</f>
        <v>#REF!</v>
      </c>
      <c r="IP6" t="e">
        <f>AND(#REF!,"AAAAAH3v/vk=")</f>
        <v>#REF!</v>
      </c>
      <c r="IQ6" t="e">
        <f>AND(#REF!,"AAAAAH3v/vo=")</f>
        <v>#REF!</v>
      </c>
      <c r="IR6" t="e">
        <f>AND(#REF!,"AAAAAH3v/vs=")</f>
        <v>#REF!</v>
      </c>
      <c r="IS6" t="e">
        <f>AND(#REF!,"AAAAAH3v/vw=")</f>
        <v>#REF!</v>
      </c>
      <c r="IT6" t="e">
        <f>AND(#REF!,"AAAAAH3v/v0=")</f>
        <v>#REF!</v>
      </c>
      <c r="IU6" t="e">
        <f>AND(#REF!,"AAAAAH3v/v4=")</f>
        <v>#REF!</v>
      </c>
      <c r="IV6" t="e">
        <f>AND(#REF!,"AAAAAH3v/v8=")</f>
        <v>#REF!</v>
      </c>
    </row>
    <row r="7" spans="1:256">
      <c r="A7" t="e">
        <f>AND(#REF!,"AAAAAH/ZYwA=")</f>
        <v>#REF!</v>
      </c>
      <c r="B7" t="e">
        <f>AND(#REF!,"AAAAAH/ZYwE=")</f>
        <v>#REF!</v>
      </c>
      <c r="C7" t="e">
        <f>AND(#REF!,"AAAAAH/ZYwI=")</f>
        <v>#REF!</v>
      </c>
      <c r="D7" t="e">
        <f>AND(#REF!,"AAAAAH/ZYwM=")</f>
        <v>#REF!</v>
      </c>
      <c r="E7" t="e">
        <f>AND(#REF!,"AAAAAH/ZYwQ=")</f>
        <v>#REF!</v>
      </c>
      <c r="F7" t="e">
        <f>IF(#REF!,"AAAAAH/ZYwU=",0)</f>
        <v>#REF!</v>
      </c>
      <c r="G7" t="e">
        <f>AND(#REF!,"AAAAAH/ZYwY=")</f>
        <v>#REF!</v>
      </c>
      <c r="H7" t="e">
        <f>AND(#REF!,"AAAAAH/ZYwc=")</f>
        <v>#REF!</v>
      </c>
      <c r="I7" t="e">
        <f>AND(#REF!,"AAAAAH/ZYwg=")</f>
        <v>#REF!</v>
      </c>
      <c r="J7" t="e">
        <f>AND(#REF!,"AAAAAH/ZYwk=")</f>
        <v>#REF!</v>
      </c>
      <c r="K7" t="e">
        <f>AND(#REF!,"AAAAAH/ZYwo=")</f>
        <v>#REF!</v>
      </c>
      <c r="L7" t="e">
        <f>AND(#REF!,"AAAAAH/ZYws=")</f>
        <v>#REF!</v>
      </c>
      <c r="M7" t="e">
        <f>AND(#REF!,"AAAAAH/ZYww=")</f>
        <v>#REF!</v>
      </c>
      <c r="N7" t="e">
        <f>AND(#REF!,"AAAAAH/ZYw0=")</f>
        <v>#REF!</v>
      </c>
      <c r="O7" t="e">
        <f>AND(#REF!,"AAAAAH/ZYw4=")</f>
        <v>#REF!</v>
      </c>
      <c r="P7" t="e">
        <f>AND(#REF!,"AAAAAH/ZYw8=")</f>
        <v>#REF!</v>
      </c>
      <c r="Q7" t="e">
        <f>AND(#REF!,"AAAAAH/ZYxA=")</f>
        <v>#REF!</v>
      </c>
      <c r="R7" t="e">
        <f>AND(#REF!,"AAAAAH/ZYxE=")</f>
        <v>#REF!</v>
      </c>
      <c r="S7" t="e">
        <f>AND(#REF!,"AAAAAH/ZYxI=")</f>
        <v>#REF!</v>
      </c>
      <c r="T7" t="e">
        <f>AND(#REF!,"AAAAAH/ZYxM=")</f>
        <v>#REF!</v>
      </c>
      <c r="U7" t="e">
        <f>AND(#REF!,"AAAAAH/ZYxQ=")</f>
        <v>#REF!</v>
      </c>
      <c r="V7" t="e">
        <f>AND(#REF!,"AAAAAH/ZYxU=")</f>
        <v>#REF!</v>
      </c>
      <c r="W7" t="e">
        <f>AND(#REF!,"AAAAAH/ZYxY=")</f>
        <v>#REF!</v>
      </c>
      <c r="X7" t="e">
        <f>AND(#REF!,"AAAAAH/ZYxc=")</f>
        <v>#REF!</v>
      </c>
      <c r="Y7" t="e">
        <f>AND(#REF!,"AAAAAH/ZYxg=")</f>
        <v>#REF!</v>
      </c>
      <c r="Z7" t="e">
        <f>AND(#REF!,"AAAAAH/ZYxk=")</f>
        <v>#REF!</v>
      </c>
      <c r="AA7" t="e">
        <f>AND(#REF!,"AAAAAH/ZYxo=")</f>
        <v>#REF!</v>
      </c>
      <c r="AB7" t="e">
        <f>AND(#REF!,"AAAAAH/ZYxs=")</f>
        <v>#REF!</v>
      </c>
      <c r="AC7" t="e">
        <f>AND(#REF!,"AAAAAH/ZYxw=")</f>
        <v>#REF!</v>
      </c>
      <c r="AD7" t="e">
        <f>AND(#REF!,"AAAAAH/ZYx0=")</f>
        <v>#REF!</v>
      </c>
      <c r="AE7" t="e">
        <f>AND(#REF!,"AAAAAH/ZYx4=")</f>
        <v>#REF!</v>
      </c>
      <c r="AF7" t="e">
        <f>AND(#REF!,"AAAAAH/ZYx8=")</f>
        <v>#REF!</v>
      </c>
      <c r="AG7" t="e">
        <f>AND(#REF!,"AAAAAH/ZYyA=")</f>
        <v>#REF!</v>
      </c>
      <c r="AH7" t="e">
        <f>AND(#REF!,"AAAAAH/ZYyE=")</f>
        <v>#REF!</v>
      </c>
      <c r="AI7" t="e">
        <f>AND(#REF!,"AAAAAH/ZYyI=")</f>
        <v>#REF!</v>
      </c>
      <c r="AJ7" t="e">
        <f>AND(#REF!,"AAAAAH/ZYyM=")</f>
        <v>#REF!</v>
      </c>
      <c r="AK7" t="e">
        <f>AND(#REF!,"AAAAAH/ZYyQ=")</f>
        <v>#REF!</v>
      </c>
      <c r="AL7" t="e">
        <f>AND(#REF!,"AAAAAH/ZYyU=")</f>
        <v>#REF!</v>
      </c>
      <c r="AM7" t="e">
        <f>AND(#REF!,"AAAAAH/ZYyY=")</f>
        <v>#REF!</v>
      </c>
      <c r="AN7" t="e">
        <f>AND(#REF!,"AAAAAH/ZYyc=")</f>
        <v>#REF!</v>
      </c>
      <c r="AO7" t="e">
        <f>AND(#REF!,"AAAAAH/ZYyg=")</f>
        <v>#REF!</v>
      </c>
      <c r="AP7" t="e">
        <f>AND(#REF!,"AAAAAH/ZYyk=")</f>
        <v>#REF!</v>
      </c>
      <c r="AQ7" t="e">
        <f>IF(#REF!,"AAAAAH/ZYyo=",0)</f>
        <v>#REF!</v>
      </c>
      <c r="AR7" t="e">
        <f>AND(#REF!,"AAAAAH/ZYys=")</f>
        <v>#REF!</v>
      </c>
      <c r="AS7" t="e">
        <f>AND(#REF!,"AAAAAH/ZYyw=")</f>
        <v>#REF!</v>
      </c>
      <c r="AT7" t="e">
        <f>AND(#REF!,"AAAAAH/ZYy0=")</f>
        <v>#REF!</v>
      </c>
      <c r="AU7" t="e">
        <f>AND(#REF!,"AAAAAH/ZYy4=")</f>
        <v>#REF!</v>
      </c>
      <c r="AV7" t="e">
        <f>AND(#REF!,"AAAAAH/ZYy8=")</f>
        <v>#REF!</v>
      </c>
      <c r="AW7" t="e">
        <f>AND(#REF!,"AAAAAH/ZYzA=")</f>
        <v>#REF!</v>
      </c>
      <c r="AX7" t="e">
        <f>AND(#REF!,"AAAAAH/ZYzE=")</f>
        <v>#REF!</v>
      </c>
      <c r="AY7" t="e">
        <f>AND(#REF!,"AAAAAH/ZYzI=")</f>
        <v>#REF!</v>
      </c>
      <c r="AZ7" t="e">
        <f>AND(#REF!,"AAAAAH/ZYzM=")</f>
        <v>#REF!</v>
      </c>
      <c r="BA7" t="e">
        <f>AND(#REF!,"AAAAAH/ZYzQ=")</f>
        <v>#REF!</v>
      </c>
      <c r="BB7" t="e">
        <f>AND(#REF!,"AAAAAH/ZYzU=")</f>
        <v>#REF!</v>
      </c>
      <c r="BC7" t="e">
        <f>AND(#REF!,"AAAAAH/ZYzY=")</f>
        <v>#REF!</v>
      </c>
      <c r="BD7" t="e">
        <f>AND(#REF!,"AAAAAH/ZYzc=")</f>
        <v>#REF!</v>
      </c>
      <c r="BE7" t="e">
        <f>AND(#REF!,"AAAAAH/ZYzg=")</f>
        <v>#REF!</v>
      </c>
      <c r="BF7" t="e">
        <f>AND(#REF!,"AAAAAH/ZYzk=")</f>
        <v>#REF!</v>
      </c>
      <c r="BG7" t="e">
        <f>AND(#REF!,"AAAAAH/ZYzo=")</f>
        <v>#REF!</v>
      </c>
      <c r="BH7" t="e">
        <f>AND(#REF!,"AAAAAH/ZYzs=")</f>
        <v>#REF!</v>
      </c>
      <c r="BI7" t="e">
        <f>AND(#REF!,"AAAAAH/ZYzw=")</f>
        <v>#REF!</v>
      </c>
      <c r="BJ7" t="e">
        <f>AND(#REF!,"AAAAAH/ZYz0=")</f>
        <v>#REF!</v>
      </c>
      <c r="BK7" t="e">
        <f>AND(#REF!,"AAAAAH/ZYz4=")</f>
        <v>#REF!</v>
      </c>
      <c r="BL7" t="e">
        <f>AND(#REF!,"AAAAAH/ZYz8=")</f>
        <v>#REF!</v>
      </c>
      <c r="BM7" t="e">
        <f>AND(#REF!,"AAAAAH/ZY0A=")</f>
        <v>#REF!</v>
      </c>
      <c r="BN7" t="e">
        <f>AND(#REF!,"AAAAAH/ZY0E=")</f>
        <v>#REF!</v>
      </c>
      <c r="BO7" t="e">
        <f>AND(#REF!,"AAAAAH/ZY0I=")</f>
        <v>#REF!</v>
      </c>
      <c r="BP7" t="e">
        <f>AND(#REF!,"AAAAAH/ZY0M=")</f>
        <v>#REF!</v>
      </c>
      <c r="BQ7" t="e">
        <f>AND(#REF!,"AAAAAH/ZY0Q=")</f>
        <v>#REF!</v>
      </c>
      <c r="BR7" t="e">
        <f>AND(#REF!,"AAAAAH/ZY0U=")</f>
        <v>#REF!</v>
      </c>
      <c r="BS7" t="e">
        <f>AND(#REF!,"AAAAAH/ZY0Y=")</f>
        <v>#REF!</v>
      </c>
      <c r="BT7" t="e">
        <f>AND(#REF!,"AAAAAH/ZY0c=")</f>
        <v>#REF!</v>
      </c>
      <c r="BU7" t="e">
        <f>AND(#REF!,"AAAAAH/ZY0g=")</f>
        <v>#REF!</v>
      </c>
      <c r="BV7" t="e">
        <f>AND(#REF!,"AAAAAH/ZY0k=")</f>
        <v>#REF!</v>
      </c>
      <c r="BW7" t="e">
        <f>AND(#REF!,"AAAAAH/ZY0o=")</f>
        <v>#REF!</v>
      </c>
      <c r="BX7" t="e">
        <f>AND(#REF!,"AAAAAH/ZY0s=")</f>
        <v>#REF!</v>
      </c>
      <c r="BY7" t="e">
        <f>AND(#REF!,"AAAAAH/ZY0w=")</f>
        <v>#REF!</v>
      </c>
      <c r="BZ7" t="e">
        <f>AND(#REF!,"AAAAAH/ZY00=")</f>
        <v>#REF!</v>
      </c>
      <c r="CA7" t="e">
        <f>AND(#REF!,"AAAAAH/ZY04=")</f>
        <v>#REF!</v>
      </c>
      <c r="CB7" t="e">
        <f>IF(#REF!,"AAAAAH/ZY08=",0)</f>
        <v>#REF!</v>
      </c>
      <c r="CC7" t="e">
        <f>AND(#REF!,"AAAAAH/ZY1A=")</f>
        <v>#REF!</v>
      </c>
      <c r="CD7" t="e">
        <f>AND(#REF!,"AAAAAH/ZY1E=")</f>
        <v>#REF!</v>
      </c>
      <c r="CE7" t="e">
        <f>AND(#REF!,"AAAAAH/ZY1I=")</f>
        <v>#REF!</v>
      </c>
      <c r="CF7" t="e">
        <f>AND(#REF!,"AAAAAH/ZY1M=")</f>
        <v>#REF!</v>
      </c>
      <c r="CG7" t="e">
        <f>AND(#REF!,"AAAAAH/ZY1Q=")</f>
        <v>#REF!</v>
      </c>
      <c r="CH7" t="e">
        <f>AND(#REF!,"AAAAAH/ZY1U=")</f>
        <v>#REF!</v>
      </c>
      <c r="CI7" t="e">
        <f>AND(#REF!,"AAAAAH/ZY1Y=")</f>
        <v>#REF!</v>
      </c>
      <c r="CJ7" t="e">
        <f>AND(#REF!,"AAAAAH/ZY1c=")</f>
        <v>#REF!</v>
      </c>
      <c r="CK7" t="e">
        <f>AND(#REF!,"AAAAAH/ZY1g=")</f>
        <v>#REF!</v>
      </c>
      <c r="CL7" t="e">
        <f>AND(#REF!,"AAAAAH/ZY1k=")</f>
        <v>#REF!</v>
      </c>
      <c r="CM7" t="e">
        <f>AND(#REF!,"AAAAAH/ZY1o=")</f>
        <v>#REF!</v>
      </c>
      <c r="CN7" t="e">
        <f>AND(#REF!,"AAAAAH/ZY1s=")</f>
        <v>#REF!</v>
      </c>
      <c r="CO7" t="e">
        <f>AND(#REF!,"AAAAAH/ZY1w=")</f>
        <v>#REF!</v>
      </c>
      <c r="CP7" t="e">
        <f>AND(#REF!,"AAAAAH/ZY10=")</f>
        <v>#REF!</v>
      </c>
      <c r="CQ7" t="e">
        <f>AND(#REF!,"AAAAAH/ZY14=")</f>
        <v>#REF!</v>
      </c>
      <c r="CR7" t="e">
        <f>AND(#REF!,"AAAAAH/ZY18=")</f>
        <v>#REF!</v>
      </c>
      <c r="CS7" t="e">
        <f>AND(#REF!,"AAAAAH/ZY2A=")</f>
        <v>#REF!</v>
      </c>
      <c r="CT7" t="e">
        <f>AND(#REF!,"AAAAAH/ZY2E=")</f>
        <v>#REF!</v>
      </c>
      <c r="CU7" t="e">
        <f>AND(#REF!,"AAAAAH/ZY2I=")</f>
        <v>#REF!</v>
      </c>
      <c r="CV7" t="e">
        <f>AND(#REF!,"AAAAAH/ZY2M=")</f>
        <v>#REF!</v>
      </c>
      <c r="CW7" t="e">
        <f>AND(#REF!,"AAAAAH/ZY2Q=")</f>
        <v>#REF!</v>
      </c>
      <c r="CX7" t="e">
        <f>AND(#REF!,"AAAAAH/ZY2U=")</f>
        <v>#REF!</v>
      </c>
      <c r="CY7" t="e">
        <f>AND(#REF!,"AAAAAH/ZY2Y=")</f>
        <v>#REF!</v>
      </c>
      <c r="CZ7" t="e">
        <f>AND(#REF!,"AAAAAH/ZY2c=")</f>
        <v>#REF!</v>
      </c>
      <c r="DA7" t="e">
        <f>AND(#REF!,"AAAAAH/ZY2g=")</f>
        <v>#REF!</v>
      </c>
      <c r="DB7" t="e">
        <f>AND(#REF!,"AAAAAH/ZY2k=")</f>
        <v>#REF!</v>
      </c>
      <c r="DC7" t="e">
        <f>AND(#REF!,"AAAAAH/ZY2o=")</f>
        <v>#REF!</v>
      </c>
      <c r="DD7" t="e">
        <f>AND(#REF!,"AAAAAH/ZY2s=")</f>
        <v>#REF!</v>
      </c>
      <c r="DE7" t="e">
        <f>AND(#REF!,"AAAAAH/ZY2w=")</f>
        <v>#REF!</v>
      </c>
      <c r="DF7" t="e">
        <f>AND(#REF!,"AAAAAH/ZY20=")</f>
        <v>#REF!</v>
      </c>
      <c r="DG7" t="e">
        <f>AND(#REF!,"AAAAAH/ZY24=")</f>
        <v>#REF!</v>
      </c>
      <c r="DH7" t="e">
        <f>AND(#REF!,"AAAAAH/ZY28=")</f>
        <v>#REF!</v>
      </c>
      <c r="DI7" t="e">
        <f>AND(#REF!,"AAAAAH/ZY3A=")</f>
        <v>#REF!</v>
      </c>
      <c r="DJ7" t="e">
        <f>AND(#REF!,"AAAAAH/ZY3E=")</f>
        <v>#REF!</v>
      </c>
      <c r="DK7" t="e">
        <f>AND(#REF!,"AAAAAH/ZY3I=")</f>
        <v>#REF!</v>
      </c>
      <c r="DL7" t="e">
        <f>AND(#REF!,"AAAAAH/ZY3M=")</f>
        <v>#REF!</v>
      </c>
      <c r="DM7" t="e">
        <f>IF(#REF!,"AAAAAH/ZY3Q=",0)</f>
        <v>#REF!</v>
      </c>
      <c r="DN7" t="e">
        <f>AND(#REF!,"AAAAAH/ZY3U=")</f>
        <v>#REF!</v>
      </c>
      <c r="DO7" t="e">
        <f>AND(#REF!,"AAAAAH/ZY3Y=")</f>
        <v>#REF!</v>
      </c>
      <c r="DP7" t="e">
        <f>AND(#REF!,"AAAAAH/ZY3c=")</f>
        <v>#REF!</v>
      </c>
      <c r="DQ7" t="e">
        <f>AND(#REF!,"AAAAAH/ZY3g=")</f>
        <v>#REF!</v>
      </c>
      <c r="DR7" t="e">
        <f>AND(#REF!,"AAAAAH/ZY3k=")</f>
        <v>#REF!</v>
      </c>
      <c r="DS7" t="e">
        <f>AND(#REF!,"AAAAAH/ZY3o=")</f>
        <v>#REF!</v>
      </c>
      <c r="DT7" t="e">
        <f>AND(#REF!,"AAAAAH/ZY3s=")</f>
        <v>#REF!</v>
      </c>
      <c r="DU7" t="e">
        <f>AND(#REF!,"AAAAAH/ZY3w=")</f>
        <v>#REF!</v>
      </c>
      <c r="DV7" t="e">
        <f>AND(#REF!,"AAAAAH/ZY30=")</f>
        <v>#REF!</v>
      </c>
      <c r="DW7" t="e">
        <f>AND(#REF!,"AAAAAH/ZY34=")</f>
        <v>#REF!</v>
      </c>
      <c r="DX7" t="e">
        <f>AND(#REF!,"AAAAAH/ZY38=")</f>
        <v>#REF!</v>
      </c>
      <c r="DY7" t="e">
        <f>AND(#REF!,"AAAAAH/ZY4A=")</f>
        <v>#REF!</v>
      </c>
      <c r="DZ7" t="e">
        <f>AND(#REF!,"AAAAAH/ZY4E=")</f>
        <v>#REF!</v>
      </c>
      <c r="EA7" t="e">
        <f>AND(#REF!,"AAAAAH/ZY4I=")</f>
        <v>#REF!</v>
      </c>
      <c r="EB7" t="e">
        <f>AND(#REF!,"AAAAAH/ZY4M=")</f>
        <v>#REF!</v>
      </c>
      <c r="EC7" t="e">
        <f>AND(#REF!,"AAAAAH/ZY4Q=")</f>
        <v>#REF!</v>
      </c>
      <c r="ED7" t="e">
        <f>AND(#REF!,"AAAAAH/ZY4U=")</f>
        <v>#REF!</v>
      </c>
      <c r="EE7" t="e">
        <f>AND(#REF!,"AAAAAH/ZY4Y=")</f>
        <v>#REF!</v>
      </c>
      <c r="EF7" t="e">
        <f>AND(#REF!,"AAAAAH/ZY4c=")</f>
        <v>#REF!</v>
      </c>
      <c r="EG7" t="e">
        <f>AND(#REF!,"AAAAAH/ZY4g=")</f>
        <v>#REF!</v>
      </c>
      <c r="EH7" t="e">
        <f>AND(#REF!,"AAAAAH/ZY4k=")</f>
        <v>#REF!</v>
      </c>
      <c r="EI7" t="e">
        <f>AND(#REF!,"AAAAAH/ZY4o=")</f>
        <v>#REF!</v>
      </c>
      <c r="EJ7" t="e">
        <f>AND(#REF!,"AAAAAH/ZY4s=")</f>
        <v>#REF!</v>
      </c>
      <c r="EK7" t="e">
        <f>AND(#REF!,"AAAAAH/ZY4w=")</f>
        <v>#REF!</v>
      </c>
      <c r="EL7" t="e">
        <f>AND(#REF!,"AAAAAH/ZY40=")</f>
        <v>#REF!</v>
      </c>
      <c r="EM7" t="e">
        <f>AND(#REF!,"AAAAAH/ZY44=")</f>
        <v>#REF!</v>
      </c>
      <c r="EN7" t="e">
        <f>AND(#REF!,"AAAAAH/ZY48=")</f>
        <v>#REF!</v>
      </c>
      <c r="EO7" t="e">
        <f>AND(#REF!,"AAAAAH/ZY5A=")</f>
        <v>#REF!</v>
      </c>
      <c r="EP7" t="e">
        <f>AND(#REF!,"AAAAAH/ZY5E=")</f>
        <v>#REF!</v>
      </c>
      <c r="EQ7" t="e">
        <f>AND(#REF!,"AAAAAH/ZY5I=")</f>
        <v>#REF!</v>
      </c>
      <c r="ER7" t="e">
        <f>AND(#REF!,"AAAAAH/ZY5M=")</f>
        <v>#REF!</v>
      </c>
      <c r="ES7" t="e">
        <f>AND(#REF!,"AAAAAH/ZY5Q=")</f>
        <v>#REF!</v>
      </c>
      <c r="ET7" t="e">
        <f>AND(#REF!,"AAAAAH/ZY5U=")</f>
        <v>#REF!</v>
      </c>
      <c r="EU7" t="e">
        <f>AND(#REF!,"AAAAAH/ZY5Y=")</f>
        <v>#REF!</v>
      </c>
      <c r="EV7" t="e">
        <f>AND(#REF!,"AAAAAH/ZY5c=")</f>
        <v>#REF!</v>
      </c>
      <c r="EW7" t="e">
        <f>AND(#REF!,"AAAAAH/ZY5g=")</f>
        <v>#REF!</v>
      </c>
      <c r="EX7" t="e">
        <f>IF(#REF!,"AAAAAH/ZY5k=",0)</f>
        <v>#REF!</v>
      </c>
      <c r="EY7" t="e">
        <f>AND(#REF!,"AAAAAH/ZY5o=")</f>
        <v>#REF!</v>
      </c>
      <c r="EZ7" t="e">
        <f>AND(#REF!,"AAAAAH/ZY5s=")</f>
        <v>#REF!</v>
      </c>
      <c r="FA7" t="e">
        <f>AND(#REF!,"AAAAAH/ZY5w=")</f>
        <v>#REF!</v>
      </c>
      <c r="FB7" t="e">
        <f>AND(#REF!,"AAAAAH/ZY50=")</f>
        <v>#REF!</v>
      </c>
      <c r="FC7" t="e">
        <f>AND(#REF!,"AAAAAH/ZY54=")</f>
        <v>#REF!</v>
      </c>
      <c r="FD7" t="e">
        <f>AND(#REF!,"AAAAAH/ZY58=")</f>
        <v>#REF!</v>
      </c>
      <c r="FE7" t="e">
        <f>AND(#REF!,"AAAAAH/ZY6A=")</f>
        <v>#REF!</v>
      </c>
      <c r="FF7" t="e">
        <f>AND(#REF!,"AAAAAH/ZY6E=")</f>
        <v>#REF!</v>
      </c>
      <c r="FG7" t="e">
        <f>AND(#REF!,"AAAAAH/ZY6I=")</f>
        <v>#REF!</v>
      </c>
      <c r="FH7" t="e">
        <f>AND(#REF!,"AAAAAH/ZY6M=")</f>
        <v>#REF!</v>
      </c>
      <c r="FI7" t="e">
        <f>AND(#REF!,"AAAAAH/ZY6Q=")</f>
        <v>#REF!</v>
      </c>
      <c r="FJ7" t="e">
        <f>AND(#REF!,"AAAAAH/ZY6U=")</f>
        <v>#REF!</v>
      </c>
      <c r="FK7" t="e">
        <f>AND(#REF!,"AAAAAH/ZY6Y=")</f>
        <v>#REF!</v>
      </c>
      <c r="FL7" t="e">
        <f>AND(#REF!,"AAAAAH/ZY6c=")</f>
        <v>#REF!</v>
      </c>
      <c r="FM7" t="e">
        <f>AND(#REF!,"AAAAAH/ZY6g=")</f>
        <v>#REF!</v>
      </c>
      <c r="FN7" t="e">
        <f>AND(#REF!,"AAAAAH/ZY6k=")</f>
        <v>#REF!</v>
      </c>
      <c r="FO7" t="e">
        <f>AND(#REF!,"AAAAAH/ZY6o=")</f>
        <v>#REF!</v>
      </c>
      <c r="FP7" t="e">
        <f>AND(#REF!,"AAAAAH/ZY6s=")</f>
        <v>#REF!</v>
      </c>
      <c r="FQ7" t="e">
        <f>AND(#REF!,"AAAAAH/ZY6w=")</f>
        <v>#REF!</v>
      </c>
      <c r="FR7" t="e">
        <f>AND(#REF!,"AAAAAH/ZY60=")</f>
        <v>#REF!</v>
      </c>
      <c r="FS7" t="e">
        <f>AND(#REF!,"AAAAAH/ZY64=")</f>
        <v>#REF!</v>
      </c>
      <c r="FT7" t="e">
        <f>AND(#REF!,"AAAAAH/ZY68=")</f>
        <v>#REF!</v>
      </c>
      <c r="FU7" t="e">
        <f>AND(#REF!,"AAAAAH/ZY7A=")</f>
        <v>#REF!</v>
      </c>
      <c r="FV7" t="e">
        <f>AND(#REF!,"AAAAAH/ZY7E=")</f>
        <v>#REF!</v>
      </c>
      <c r="FW7" t="e">
        <f>AND(#REF!,"AAAAAH/ZY7I=")</f>
        <v>#REF!</v>
      </c>
      <c r="FX7" t="e">
        <f>AND(#REF!,"AAAAAH/ZY7M=")</f>
        <v>#REF!</v>
      </c>
      <c r="FY7" t="e">
        <f>AND(#REF!,"AAAAAH/ZY7Q=")</f>
        <v>#REF!</v>
      </c>
      <c r="FZ7" t="e">
        <f>AND(#REF!,"AAAAAH/ZY7U=")</f>
        <v>#REF!</v>
      </c>
      <c r="GA7" t="e">
        <f>AND(#REF!,"AAAAAH/ZY7Y=")</f>
        <v>#REF!</v>
      </c>
      <c r="GB7" t="e">
        <f>AND(#REF!,"AAAAAH/ZY7c=")</f>
        <v>#REF!</v>
      </c>
      <c r="GC7" t="e">
        <f>AND(#REF!,"AAAAAH/ZY7g=")</f>
        <v>#REF!</v>
      </c>
      <c r="GD7" t="e">
        <f>AND(#REF!,"AAAAAH/ZY7k=")</f>
        <v>#REF!</v>
      </c>
      <c r="GE7" t="e">
        <f>AND(#REF!,"AAAAAH/ZY7o=")</f>
        <v>#REF!</v>
      </c>
      <c r="GF7" t="e">
        <f>AND(#REF!,"AAAAAH/ZY7s=")</f>
        <v>#REF!</v>
      </c>
      <c r="GG7" t="e">
        <f>AND(#REF!,"AAAAAH/ZY7w=")</f>
        <v>#REF!</v>
      </c>
      <c r="GH7" t="e">
        <f>AND(#REF!,"AAAAAH/ZY70=")</f>
        <v>#REF!</v>
      </c>
      <c r="GI7" t="e">
        <f>IF(#REF!,"AAAAAH/ZY74=",0)</f>
        <v>#REF!</v>
      </c>
      <c r="GJ7" t="e">
        <f>AND(#REF!,"AAAAAH/ZY78=")</f>
        <v>#REF!</v>
      </c>
      <c r="GK7" t="e">
        <f>AND(#REF!,"AAAAAH/ZY8A=")</f>
        <v>#REF!</v>
      </c>
      <c r="GL7" t="e">
        <f>AND(#REF!,"AAAAAH/ZY8E=")</f>
        <v>#REF!</v>
      </c>
      <c r="GM7" t="e">
        <f>AND(#REF!,"AAAAAH/ZY8I=")</f>
        <v>#REF!</v>
      </c>
      <c r="GN7" t="e">
        <f>AND(#REF!,"AAAAAH/ZY8M=")</f>
        <v>#REF!</v>
      </c>
      <c r="GO7" t="e">
        <f>AND(#REF!,"AAAAAH/ZY8Q=")</f>
        <v>#REF!</v>
      </c>
      <c r="GP7" t="e">
        <f>AND(#REF!,"AAAAAH/ZY8U=")</f>
        <v>#REF!</v>
      </c>
      <c r="GQ7" t="e">
        <f>AND(#REF!,"AAAAAH/ZY8Y=")</f>
        <v>#REF!</v>
      </c>
      <c r="GR7" t="e">
        <f>AND(#REF!,"AAAAAH/ZY8c=")</f>
        <v>#REF!</v>
      </c>
      <c r="GS7" t="e">
        <f>AND(#REF!,"AAAAAH/ZY8g=")</f>
        <v>#REF!</v>
      </c>
      <c r="GT7" t="e">
        <f>AND(#REF!,"AAAAAH/ZY8k=")</f>
        <v>#REF!</v>
      </c>
      <c r="GU7" t="e">
        <f>AND(#REF!,"AAAAAH/ZY8o=")</f>
        <v>#REF!</v>
      </c>
      <c r="GV7" t="e">
        <f>AND(#REF!,"AAAAAH/ZY8s=")</f>
        <v>#REF!</v>
      </c>
      <c r="GW7" t="e">
        <f>AND(#REF!,"AAAAAH/ZY8w=")</f>
        <v>#REF!</v>
      </c>
      <c r="GX7" t="e">
        <f>AND(#REF!,"AAAAAH/ZY80=")</f>
        <v>#REF!</v>
      </c>
      <c r="GY7" t="e">
        <f>AND(#REF!,"AAAAAH/ZY84=")</f>
        <v>#REF!</v>
      </c>
      <c r="GZ7" t="e">
        <f>AND(#REF!,"AAAAAH/ZY88=")</f>
        <v>#REF!</v>
      </c>
      <c r="HA7" t="e">
        <f>AND(#REF!,"AAAAAH/ZY9A=")</f>
        <v>#REF!</v>
      </c>
      <c r="HB7" t="e">
        <f>AND(#REF!,"AAAAAH/ZY9E=")</f>
        <v>#REF!</v>
      </c>
      <c r="HC7" t="e">
        <f>AND(#REF!,"AAAAAH/ZY9I=")</f>
        <v>#REF!</v>
      </c>
      <c r="HD7" t="e">
        <f>AND(#REF!,"AAAAAH/ZY9M=")</f>
        <v>#REF!</v>
      </c>
      <c r="HE7" t="e">
        <f>AND(#REF!,"AAAAAH/ZY9Q=")</f>
        <v>#REF!</v>
      </c>
      <c r="HF7" t="e">
        <f>AND(#REF!,"AAAAAH/ZY9U=")</f>
        <v>#REF!</v>
      </c>
      <c r="HG7" t="e">
        <f>AND(#REF!,"AAAAAH/ZY9Y=")</f>
        <v>#REF!</v>
      </c>
      <c r="HH7" t="e">
        <f>AND(#REF!,"AAAAAH/ZY9c=")</f>
        <v>#REF!</v>
      </c>
      <c r="HI7" t="e">
        <f>AND(#REF!,"AAAAAH/ZY9g=")</f>
        <v>#REF!</v>
      </c>
      <c r="HJ7" t="e">
        <f>AND(#REF!,"AAAAAH/ZY9k=")</f>
        <v>#REF!</v>
      </c>
      <c r="HK7" t="e">
        <f>AND(#REF!,"AAAAAH/ZY9o=")</f>
        <v>#REF!</v>
      </c>
      <c r="HL7" t="e">
        <f>AND(#REF!,"AAAAAH/ZY9s=")</f>
        <v>#REF!</v>
      </c>
      <c r="HM7" t="e">
        <f>AND(#REF!,"AAAAAH/ZY9w=")</f>
        <v>#REF!</v>
      </c>
      <c r="HN7" t="e">
        <f>AND(#REF!,"AAAAAH/ZY90=")</f>
        <v>#REF!</v>
      </c>
      <c r="HO7" t="e">
        <f>AND(#REF!,"AAAAAH/ZY94=")</f>
        <v>#REF!</v>
      </c>
      <c r="HP7" t="e">
        <f>AND(#REF!,"AAAAAH/ZY98=")</f>
        <v>#REF!</v>
      </c>
      <c r="HQ7" t="e">
        <f>AND(#REF!,"AAAAAH/ZY+A=")</f>
        <v>#REF!</v>
      </c>
      <c r="HR7" t="e">
        <f>AND(#REF!,"AAAAAH/ZY+E=")</f>
        <v>#REF!</v>
      </c>
      <c r="HS7" t="e">
        <f>AND(#REF!,"AAAAAH/ZY+I=")</f>
        <v>#REF!</v>
      </c>
      <c r="HT7" t="e">
        <f>IF(#REF!,"AAAAAH/ZY+M=",0)</f>
        <v>#REF!</v>
      </c>
      <c r="HU7" t="e">
        <f>AND(#REF!,"AAAAAH/ZY+Q=")</f>
        <v>#REF!</v>
      </c>
      <c r="HV7" t="e">
        <f>AND(#REF!,"AAAAAH/ZY+U=")</f>
        <v>#REF!</v>
      </c>
      <c r="HW7" t="e">
        <f>AND(#REF!,"AAAAAH/ZY+Y=")</f>
        <v>#REF!</v>
      </c>
      <c r="HX7" t="e">
        <f>AND(#REF!,"AAAAAH/ZY+c=")</f>
        <v>#REF!</v>
      </c>
      <c r="HY7" t="e">
        <f>AND(#REF!,"AAAAAH/ZY+g=")</f>
        <v>#REF!</v>
      </c>
      <c r="HZ7" t="e">
        <f>AND(#REF!,"AAAAAH/ZY+k=")</f>
        <v>#REF!</v>
      </c>
      <c r="IA7" t="e">
        <f>AND(#REF!,"AAAAAH/ZY+o=")</f>
        <v>#REF!</v>
      </c>
      <c r="IB7" t="e">
        <f>AND(#REF!,"AAAAAH/ZY+s=")</f>
        <v>#REF!</v>
      </c>
      <c r="IC7" t="e">
        <f>AND(#REF!,"AAAAAH/ZY+w=")</f>
        <v>#REF!</v>
      </c>
      <c r="ID7" t="e">
        <f>AND(#REF!,"AAAAAH/ZY+0=")</f>
        <v>#REF!</v>
      </c>
      <c r="IE7" t="e">
        <f>AND(#REF!,"AAAAAH/ZY+4=")</f>
        <v>#REF!</v>
      </c>
      <c r="IF7" t="e">
        <f>AND(#REF!,"AAAAAH/ZY+8=")</f>
        <v>#REF!</v>
      </c>
      <c r="IG7" t="e">
        <f>AND(#REF!,"AAAAAH/ZY/A=")</f>
        <v>#REF!</v>
      </c>
      <c r="IH7" t="e">
        <f>AND(#REF!,"AAAAAH/ZY/E=")</f>
        <v>#REF!</v>
      </c>
      <c r="II7" t="e">
        <f>AND(#REF!,"AAAAAH/ZY/I=")</f>
        <v>#REF!</v>
      </c>
      <c r="IJ7" t="e">
        <f>AND(#REF!,"AAAAAH/ZY/M=")</f>
        <v>#REF!</v>
      </c>
      <c r="IK7" t="e">
        <f>AND(#REF!,"AAAAAH/ZY/Q=")</f>
        <v>#REF!</v>
      </c>
      <c r="IL7" t="e">
        <f>AND(#REF!,"AAAAAH/ZY/U=")</f>
        <v>#REF!</v>
      </c>
      <c r="IM7" t="e">
        <f>AND(#REF!,"AAAAAH/ZY/Y=")</f>
        <v>#REF!</v>
      </c>
      <c r="IN7" t="e">
        <f>AND(#REF!,"AAAAAH/ZY/c=")</f>
        <v>#REF!</v>
      </c>
      <c r="IO7" t="e">
        <f>AND(#REF!,"AAAAAH/ZY/g=")</f>
        <v>#REF!</v>
      </c>
      <c r="IP7" t="e">
        <f>AND(#REF!,"AAAAAH/ZY/k=")</f>
        <v>#REF!</v>
      </c>
      <c r="IQ7" t="e">
        <f>AND(#REF!,"AAAAAH/ZY/o=")</f>
        <v>#REF!</v>
      </c>
      <c r="IR7" t="e">
        <f>AND(#REF!,"AAAAAH/ZY/s=")</f>
        <v>#REF!</v>
      </c>
      <c r="IS7" t="e">
        <f>AND(#REF!,"AAAAAH/ZY/w=")</f>
        <v>#REF!</v>
      </c>
      <c r="IT7" t="e">
        <f>AND(#REF!,"AAAAAH/ZY/0=")</f>
        <v>#REF!</v>
      </c>
      <c r="IU7" t="e">
        <f>AND(#REF!,"AAAAAH/ZY/4=")</f>
        <v>#REF!</v>
      </c>
      <c r="IV7" t="e">
        <f>AND(#REF!,"AAAAAH/ZY/8=")</f>
        <v>#REF!</v>
      </c>
    </row>
    <row r="8" spans="1:256">
      <c r="A8" t="e">
        <f>AND(#REF!,"AAAAAG9fvAA=")</f>
        <v>#REF!</v>
      </c>
      <c r="B8" t="e">
        <f>AND(#REF!,"AAAAAG9fvAE=")</f>
        <v>#REF!</v>
      </c>
      <c r="C8" t="e">
        <f>AND(#REF!,"AAAAAG9fvAI=")</f>
        <v>#REF!</v>
      </c>
      <c r="D8" t="e">
        <f>AND(#REF!,"AAAAAG9fvAM=")</f>
        <v>#REF!</v>
      </c>
      <c r="E8" t="e">
        <f>AND(#REF!,"AAAAAG9fvAQ=")</f>
        <v>#REF!</v>
      </c>
      <c r="F8" t="e">
        <f>AND(#REF!,"AAAAAG9fvAU=")</f>
        <v>#REF!</v>
      </c>
      <c r="G8" t="e">
        <f>AND(#REF!,"AAAAAG9fvAY=")</f>
        <v>#REF!</v>
      </c>
      <c r="H8" t="e">
        <f>AND(#REF!,"AAAAAG9fvAc=")</f>
        <v>#REF!</v>
      </c>
      <c r="I8" t="e">
        <f>IF(#REF!,"AAAAAG9fvAg=",0)</f>
        <v>#REF!</v>
      </c>
      <c r="J8" t="e">
        <f>AND(#REF!,"AAAAAG9fvAk=")</f>
        <v>#REF!</v>
      </c>
      <c r="K8" t="e">
        <f>AND(#REF!,"AAAAAG9fvAo=")</f>
        <v>#REF!</v>
      </c>
      <c r="L8" t="e">
        <f>AND(#REF!,"AAAAAG9fvAs=")</f>
        <v>#REF!</v>
      </c>
      <c r="M8" t="e">
        <f>AND(#REF!,"AAAAAG9fvAw=")</f>
        <v>#REF!</v>
      </c>
      <c r="N8" t="e">
        <f>AND(#REF!,"AAAAAG9fvA0=")</f>
        <v>#REF!</v>
      </c>
      <c r="O8" t="e">
        <f>AND(#REF!,"AAAAAG9fvA4=")</f>
        <v>#REF!</v>
      </c>
      <c r="P8" t="e">
        <f>AND(#REF!,"AAAAAG9fvA8=")</f>
        <v>#REF!</v>
      </c>
      <c r="Q8" t="e">
        <f>AND(#REF!,"AAAAAG9fvBA=")</f>
        <v>#REF!</v>
      </c>
      <c r="R8" t="e">
        <f>AND(#REF!,"AAAAAG9fvBE=")</f>
        <v>#REF!</v>
      </c>
      <c r="S8" t="e">
        <f>AND(#REF!,"AAAAAG9fvBI=")</f>
        <v>#REF!</v>
      </c>
      <c r="T8" t="e">
        <f>AND(#REF!,"AAAAAG9fvBM=")</f>
        <v>#REF!</v>
      </c>
      <c r="U8" t="e">
        <f>AND(#REF!,"AAAAAG9fvBQ=")</f>
        <v>#REF!</v>
      </c>
      <c r="V8" t="e">
        <f>AND(#REF!,"AAAAAG9fvBU=")</f>
        <v>#REF!</v>
      </c>
      <c r="W8" t="e">
        <f>AND(#REF!,"AAAAAG9fvBY=")</f>
        <v>#REF!</v>
      </c>
      <c r="X8" t="e">
        <f>AND(#REF!,"AAAAAG9fvBc=")</f>
        <v>#REF!</v>
      </c>
      <c r="Y8" t="e">
        <f>AND(#REF!,"AAAAAG9fvBg=")</f>
        <v>#REF!</v>
      </c>
      <c r="Z8" t="e">
        <f>AND(#REF!,"AAAAAG9fvBk=")</f>
        <v>#REF!</v>
      </c>
      <c r="AA8" t="e">
        <f>AND(#REF!,"AAAAAG9fvBo=")</f>
        <v>#REF!</v>
      </c>
      <c r="AB8" t="e">
        <f>AND(#REF!,"AAAAAG9fvBs=")</f>
        <v>#REF!</v>
      </c>
      <c r="AC8" t="e">
        <f>AND(#REF!,"AAAAAG9fvBw=")</f>
        <v>#REF!</v>
      </c>
      <c r="AD8" t="e">
        <f>AND(#REF!,"AAAAAG9fvB0=")</f>
        <v>#REF!</v>
      </c>
      <c r="AE8" t="e">
        <f>AND(#REF!,"AAAAAG9fvB4=")</f>
        <v>#REF!</v>
      </c>
      <c r="AF8" t="e">
        <f>AND(#REF!,"AAAAAG9fvB8=")</f>
        <v>#REF!</v>
      </c>
      <c r="AG8" t="e">
        <f>AND(#REF!,"AAAAAG9fvCA=")</f>
        <v>#REF!</v>
      </c>
      <c r="AH8" t="e">
        <f>AND(#REF!,"AAAAAG9fvCE=")</f>
        <v>#REF!</v>
      </c>
      <c r="AI8" t="e">
        <f>AND(#REF!,"AAAAAG9fvCI=")</f>
        <v>#REF!</v>
      </c>
      <c r="AJ8" t="e">
        <f>AND(#REF!,"AAAAAG9fvCM=")</f>
        <v>#REF!</v>
      </c>
      <c r="AK8" t="e">
        <f>AND(#REF!,"AAAAAG9fvCQ=")</f>
        <v>#REF!</v>
      </c>
      <c r="AL8" t="e">
        <f>AND(#REF!,"AAAAAG9fvCU=")</f>
        <v>#REF!</v>
      </c>
      <c r="AM8" t="e">
        <f>AND(#REF!,"AAAAAG9fvCY=")</f>
        <v>#REF!</v>
      </c>
      <c r="AN8" t="e">
        <f>AND(#REF!,"AAAAAG9fvCc=")</f>
        <v>#REF!</v>
      </c>
      <c r="AO8" t="e">
        <f>AND(#REF!,"AAAAAG9fvCg=")</f>
        <v>#REF!</v>
      </c>
      <c r="AP8" t="e">
        <f>AND(#REF!,"AAAAAG9fvCk=")</f>
        <v>#REF!</v>
      </c>
      <c r="AQ8" t="e">
        <f>AND(#REF!,"AAAAAG9fvCo=")</f>
        <v>#REF!</v>
      </c>
      <c r="AR8" t="e">
        <f>AND(#REF!,"AAAAAG9fvCs=")</f>
        <v>#REF!</v>
      </c>
      <c r="AS8" t="e">
        <f>AND(#REF!,"AAAAAG9fvCw=")</f>
        <v>#REF!</v>
      </c>
      <c r="AT8" t="e">
        <f>IF(#REF!,"AAAAAG9fvC0=",0)</f>
        <v>#REF!</v>
      </c>
      <c r="AU8" t="e">
        <f>AND(#REF!,"AAAAAG9fvC4=")</f>
        <v>#REF!</v>
      </c>
      <c r="AV8" t="e">
        <f>AND(#REF!,"AAAAAG9fvC8=")</f>
        <v>#REF!</v>
      </c>
      <c r="AW8" t="e">
        <f>AND(#REF!,"AAAAAG9fvDA=")</f>
        <v>#REF!</v>
      </c>
      <c r="AX8" t="e">
        <f>AND(#REF!,"AAAAAG9fvDE=")</f>
        <v>#REF!</v>
      </c>
      <c r="AY8" t="e">
        <f>AND(#REF!,"AAAAAG9fvDI=")</f>
        <v>#REF!</v>
      </c>
      <c r="AZ8" t="e">
        <f>AND(#REF!,"AAAAAG9fvDM=")</f>
        <v>#REF!</v>
      </c>
      <c r="BA8" t="e">
        <f>AND(#REF!,"AAAAAG9fvDQ=")</f>
        <v>#REF!</v>
      </c>
      <c r="BB8" t="e">
        <f>AND(#REF!,"AAAAAG9fvDU=")</f>
        <v>#REF!</v>
      </c>
      <c r="BC8" t="e">
        <f>AND(#REF!,"AAAAAG9fvDY=")</f>
        <v>#REF!</v>
      </c>
      <c r="BD8" t="e">
        <f>AND(#REF!,"AAAAAG9fvDc=")</f>
        <v>#REF!</v>
      </c>
      <c r="BE8" t="e">
        <f>AND(#REF!,"AAAAAG9fvDg=")</f>
        <v>#REF!</v>
      </c>
      <c r="BF8" t="e">
        <f>AND(#REF!,"AAAAAG9fvDk=")</f>
        <v>#REF!</v>
      </c>
      <c r="BG8" t="e">
        <f>AND(#REF!,"AAAAAG9fvDo=")</f>
        <v>#REF!</v>
      </c>
      <c r="BH8" t="e">
        <f>AND(#REF!,"AAAAAG9fvDs=")</f>
        <v>#REF!</v>
      </c>
      <c r="BI8" t="e">
        <f>AND(#REF!,"AAAAAG9fvDw=")</f>
        <v>#REF!</v>
      </c>
      <c r="BJ8" t="e">
        <f>AND(#REF!,"AAAAAG9fvD0=")</f>
        <v>#REF!</v>
      </c>
      <c r="BK8" t="e">
        <f>AND(#REF!,"AAAAAG9fvD4=")</f>
        <v>#REF!</v>
      </c>
      <c r="BL8" t="e">
        <f>AND(#REF!,"AAAAAG9fvD8=")</f>
        <v>#REF!</v>
      </c>
      <c r="BM8" t="e">
        <f>AND(#REF!,"AAAAAG9fvEA=")</f>
        <v>#REF!</v>
      </c>
      <c r="BN8" t="e">
        <f>AND(#REF!,"AAAAAG9fvEE=")</f>
        <v>#REF!</v>
      </c>
      <c r="BO8" t="e">
        <f>AND(#REF!,"AAAAAG9fvEI=")</f>
        <v>#REF!</v>
      </c>
      <c r="BP8" t="e">
        <f>AND(#REF!,"AAAAAG9fvEM=")</f>
        <v>#REF!</v>
      </c>
      <c r="BQ8" t="e">
        <f>AND(#REF!,"AAAAAG9fvEQ=")</f>
        <v>#REF!</v>
      </c>
      <c r="BR8" t="e">
        <f>AND(#REF!,"AAAAAG9fvEU=")</f>
        <v>#REF!</v>
      </c>
      <c r="BS8" t="e">
        <f>AND(#REF!,"AAAAAG9fvEY=")</f>
        <v>#REF!</v>
      </c>
      <c r="BT8" t="e">
        <f>AND(#REF!,"AAAAAG9fvEc=")</f>
        <v>#REF!</v>
      </c>
      <c r="BU8" t="e">
        <f>AND(#REF!,"AAAAAG9fvEg=")</f>
        <v>#REF!</v>
      </c>
      <c r="BV8" t="e">
        <f>AND(#REF!,"AAAAAG9fvEk=")</f>
        <v>#REF!</v>
      </c>
      <c r="BW8" t="e">
        <f>AND(#REF!,"AAAAAG9fvEo=")</f>
        <v>#REF!</v>
      </c>
      <c r="BX8" t="e">
        <f>AND(#REF!,"AAAAAG9fvEs=")</f>
        <v>#REF!</v>
      </c>
      <c r="BY8" t="e">
        <f>AND(#REF!,"AAAAAG9fvEw=")</f>
        <v>#REF!</v>
      </c>
      <c r="BZ8" t="e">
        <f>AND(#REF!,"AAAAAG9fvE0=")</f>
        <v>#REF!</v>
      </c>
      <c r="CA8" t="e">
        <f>AND(#REF!,"AAAAAG9fvE4=")</f>
        <v>#REF!</v>
      </c>
      <c r="CB8" t="e">
        <f>AND(#REF!,"AAAAAG9fvE8=")</f>
        <v>#REF!</v>
      </c>
      <c r="CC8" t="e">
        <f>AND(#REF!,"AAAAAG9fvFA=")</f>
        <v>#REF!</v>
      </c>
      <c r="CD8" t="e">
        <f>AND(#REF!,"AAAAAG9fvFE=")</f>
        <v>#REF!</v>
      </c>
      <c r="CE8" t="e">
        <f>IF(#REF!,"AAAAAG9fvFI=",0)</f>
        <v>#REF!</v>
      </c>
      <c r="CF8" t="e">
        <f>AND(#REF!,"AAAAAG9fvFM=")</f>
        <v>#REF!</v>
      </c>
      <c r="CG8" t="e">
        <f>AND(#REF!,"AAAAAG9fvFQ=")</f>
        <v>#REF!</v>
      </c>
      <c r="CH8" t="e">
        <f>AND(#REF!,"AAAAAG9fvFU=")</f>
        <v>#REF!</v>
      </c>
      <c r="CI8" t="e">
        <f>AND(#REF!,"AAAAAG9fvFY=")</f>
        <v>#REF!</v>
      </c>
      <c r="CJ8" t="e">
        <f>AND(#REF!,"AAAAAG9fvFc=")</f>
        <v>#REF!</v>
      </c>
      <c r="CK8" t="e">
        <f>AND(#REF!,"AAAAAG9fvFg=")</f>
        <v>#REF!</v>
      </c>
      <c r="CL8" t="e">
        <f>AND(#REF!,"AAAAAG9fvFk=")</f>
        <v>#REF!</v>
      </c>
      <c r="CM8" t="e">
        <f>AND(#REF!,"AAAAAG9fvFo=")</f>
        <v>#REF!</v>
      </c>
      <c r="CN8" t="e">
        <f>AND(#REF!,"AAAAAG9fvFs=")</f>
        <v>#REF!</v>
      </c>
      <c r="CO8" t="e">
        <f>AND(#REF!,"AAAAAG9fvFw=")</f>
        <v>#REF!</v>
      </c>
      <c r="CP8" t="e">
        <f>AND(#REF!,"AAAAAG9fvF0=")</f>
        <v>#REF!</v>
      </c>
      <c r="CQ8" t="e">
        <f>AND(#REF!,"AAAAAG9fvF4=")</f>
        <v>#REF!</v>
      </c>
      <c r="CR8" t="e">
        <f>AND(#REF!,"AAAAAG9fvF8=")</f>
        <v>#REF!</v>
      </c>
      <c r="CS8" t="e">
        <f>AND(#REF!,"AAAAAG9fvGA=")</f>
        <v>#REF!</v>
      </c>
      <c r="CT8" t="e">
        <f>AND(#REF!,"AAAAAG9fvGE=")</f>
        <v>#REF!</v>
      </c>
      <c r="CU8" t="e">
        <f>AND(#REF!,"AAAAAG9fvGI=")</f>
        <v>#REF!</v>
      </c>
      <c r="CV8" t="e">
        <f>AND(#REF!,"AAAAAG9fvGM=")</f>
        <v>#REF!</v>
      </c>
      <c r="CW8" t="e">
        <f>AND(#REF!,"AAAAAG9fvGQ=")</f>
        <v>#REF!</v>
      </c>
      <c r="CX8" t="e">
        <f>AND(#REF!,"AAAAAG9fvGU=")</f>
        <v>#REF!</v>
      </c>
      <c r="CY8" t="e">
        <f>AND(#REF!,"AAAAAG9fvGY=")</f>
        <v>#REF!</v>
      </c>
      <c r="CZ8" t="e">
        <f>AND(#REF!,"AAAAAG9fvGc=")</f>
        <v>#REF!</v>
      </c>
      <c r="DA8" t="e">
        <f>AND(#REF!,"AAAAAG9fvGg=")</f>
        <v>#REF!</v>
      </c>
      <c r="DB8" t="e">
        <f>AND(#REF!,"AAAAAG9fvGk=")</f>
        <v>#REF!</v>
      </c>
      <c r="DC8" t="e">
        <f>AND(#REF!,"AAAAAG9fvGo=")</f>
        <v>#REF!</v>
      </c>
      <c r="DD8" t="e">
        <f>AND(#REF!,"AAAAAG9fvGs=")</f>
        <v>#REF!</v>
      </c>
      <c r="DE8" t="e">
        <f>AND(#REF!,"AAAAAG9fvGw=")</f>
        <v>#REF!</v>
      </c>
      <c r="DF8" t="e">
        <f>AND(#REF!,"AAAAAG9fvG0=")</f>
        <v>#REF!</v>
      </c>
      <c r="DG8" t="e">
        <f>AND(#REF!,"AAAAAG9fvG4=")</f>
        <v>#REF!</v>
      </c>
      <c r="DH8" t="e">
        <f>AND(#REF!,"AAAAAG9fvG8=")</f>
        <v>#REF!</v>
      </c>
      <c r="DI8" t="e">
        <f>AND(#REF!,"AAAAAG9fvHA=")</f>
        <v>#REF!</v>
      </c>
      <c r="DJ8" t="e">
        <f>AND(#REF!,"AAAAAG9fvHE=")</f>
        <v>#REF!</v>
      </c>
      <c r="DK8" t="e">
        <f>AND(#REF!,"AAAAAG9fvHI=")</f>
        <v>#REF!</v>
      </c>
      <c r="DL8" t="e">
        <f>AND(#REF!,"AAAAAG9fvHM=")</f>
        <v>#REF!</v>
      </c>
      <c r="DM8" t="e">
        <f>AND(#REF!,"AAAAAG9fvHQ=")</f>
        <v>#REF!</v>
      </c>
      <c r="DN8" t="e">
        <f>AND(#REF!,"AAAAAG9fvHU=")</f>
        <v>#REF!</v>
      </c>
      <c r="DO8" t="e">
        <f>AND(#REF!,"AAAAAG9fvHY=")</f>
        <v>#REF!</v>
      </c>
      <c r="DP8" t="e">
        <f>IF(#REF!,"AAAAAG9fvHc=",0)</f>
        <v>#REF!</v>
      </c>
      <c r="DQ8" t="e">
        <f>AND(#REF!,"AAAAAG9fvHg=")</f>
        <v>#REF!</v>
      </c>
      <c r="DR8" t="e">
        <f>AND(#REF!,"AAAAAG9fvHk=")</f>
        <v>#REF!</v>
      </c>
      <c r="DS8" t="e">
        <f>AND(#REF!,"AAAAAG9fvHo=")</f>
        <v>#REF!</v>
      </c>
      <c r="DT8" t="e">
        <f>AND(#REF!,"AAAAAG9fvHs=")</f>
        <v>#REF!</v>
      </c>
      <c r="DU8" t="e">
        <f>AND(#REF!,"AAAAAG9fvHw=")</f>
        <v>#REF!</v>
      </c>
      <c r="DV8" t="e">
        <f>AND(#REF!,"AAAAAG9fvH0=")</f>
        <v>#REF!</v>
      </c>
      <c r="DW8" t="e">
        <f>AND(#REF!,"AAAAAG9fvH4=")</f>
        <v>#REF!</v>
      </c>
      <c r="DX8" t="e">
        <f>AND(#REF!,"AAAAAG9fvH8=")</f>
        <v>#REF!</v>
      </c>
      <c r="DY8" t="e">
        <f>AND(#REF!,"AAAAAG9fvIA=")</f>
        <v>#REF!</v>
      </c>
      <c r="DZ8" t="e">
        <f>AND(#REF!,"AAAAAG9fvIE=")</f>
        <v>#REF!</v>
      </c>
      <c r="EA8" t="e">
        <f>AND(#REF!,"AAAAAG9fvII=")</f>
        <v>#REF!</v>
      </c>
      <c r="EB8" t="e">
        <f>AND(#REF!,"AAAAAG9fvIM=")</f>
        <v>#REF!</v>
      </c>
      <c r="EC8" t="e">
        <f>AND(#REF!,"AAAAAG9fvIQ=")</f>
        <v>#REF!</v>
      </c>
      <c r="ED8" t="e">
        <f>AND(#REF!,"AAAAAG9fvIU=")</f>
        <v>#REF!</v>
      </c>
      <c r="EE8" t="e">
        <f>AND(#REF!,"AAAAAG9fvIY=")</f>
        <v>#REF!</v>
      </c>
      <c r="EF8" t="e">
        <f>AND(#REF!,"AAAAAG9fvIc=")</f>
        <v>#REF!</v>
      </c>
      <c r="EG8" t="e">
        <f>AND(#REF!,"AAAAAG9fvIg=")</f>
        <v>#REF!</v>
      </c>
      <c r="EH8" t="e">
        <f>AND(#REF!,"AAAAAG9fvIk=")</f>
        <v>#REF!</v>
      </c>
      <c r="EI8" t="e">
        <f>AND(#REF!,"AAAAAG9fvIo=")</f>
        <v>#REF!</v>
      </c>
      <c r="EJ8" t="e">
        <f>AND(#REF!,"AAAAAG9fvIs=")</f>
        <v>#REF!</v>
      </c>
      <c r="EK8" t="e">
        <f>AND(#REF!,"AAAAAG9fvIw=")</f>
        <v>#REF!</v>
      </c>
      <c r="EL8" t="e">
        <f>AND(#REF!,"AAAAAG9fvI0=")</f>
        <v>#REF!</v>
      </c>
      <c r="EM8" t="e">
        <f>AND(#REF!,"AAAAAG9fvI4=")</f>
        <v>#REF!</v>
      </c>
      <c r="EN8" t="e">
        <f>AND(#REF!,"AAAAAG9fvI8=")</f>
        <v>#REF!</v>
      </c>
      <c r="EO8" t="e">
        <f>AND(#REF!,"AAAAAG9fvJA=")</f>
        <v>#REF!</v>
      </c>
      <c r="EP8" t="e">
        <f>AND(#REF!,"AAAAAG9fvJE=")</f>
        <v>#REF!</v>
      </c>
      <c r="EQ8" t="e">
        <f>AND(#REF!,"AAAAAG9fvJI=")</f>
        <v>#REF!</v>
      </c>
      <c r="ER8" t="e">
        <f>AND(#REF!,"AAAAAG9fvJM=")</f>
        <v>#REF!</v>
      </c>
      <c r="ES8" t="e">
        <f>AND(#REF!,"AAAAAG9fvJQ=")</f>
        <v>#REF!</v>
      </c>
      <c r="ET8" t="e">
        <f>AND(#REF!,"AAAAAG9fvJU=")</f>
        <v>#REF!</v>
      </c>
      <c r="EU8" t="e">
        <f>AND(#REF!,"AAAAAG9fvJY=")</f>
        <v>#REF!</v>
      </c>
      <c r="EV8" t="e">
        <f>AND(#REF!,"AAAAAG9fvJc=")</f>
        <v>#REF!</v>
      </c>
      <c r="EW8" t="e">
        <f>AND(#REF!,"AAAAAG9fvJg=")</f>
        <v>#REF!</v>
      </c>
      <c r="EX8" t="e">
        <f>AND(#REF!,"AAAAAG9fvJk=")</f>
        <v>#REF!</v>
      </c>
      <c r="EY8" t="e">
        <f>AND(#REF!,"AAAAAG9fvJo=")</f>
        <v>#REF!</v>
      </c>
      <c r="EZ8" t="e">
        <f>AND(#REF!,"AAAAAG9fvJs=")</f>
        <v>#REF!</v>
      </c>
      <c r="FA8" t="e">
        <f>IF(#REF!,"AAAAAG9fvJw=",0)</f>
        <v>#REF!</v>
      </c>
      <c r="FB8" t="e">
        <f>AND(#REF!,"AAAAAG9fvJ0=")</f>
        <v>#REF!</v>
      </c>
      <c r="FC8" t="e">
        <f>AND(#REF!,"AAAAAG9fvJ4=")</f>
        <v>#REF!</v>
      </c>
      <c r="FD8" t="e">
        <f>AND(#REF!,"AAAAAG9fvJ8=")</f>
        <v>#REF!</v>
      </c>
      <c r="FE8" t="e">
        <f>AND(#REF!,"AAAAAG9fvKA=")</f>
        <v>#REF!</v>
      </c>
      <c r="FF8" t="e">
        <f>AND(#REF!,"AAAAAG9fvKE=")</f>
        <v>#REF!</v>
      </c>
      <c r="FG8" t="e">
        <f>AND(#REF!,"AAAAAG9fvKI=")</f>
        <v>#REF!</v>
      </c>
      <c r="FH8" t="e">
        <f>AND(#REF!,"AAAAAG9fvKM=")</f>
        <v>#REF!</v>
      </c>
      <c r="FI8" t="e">
        <f>AND(#REF!,"AAAAAG9fvKQ=")</f>
        <v>#REF!</v>
      </c>
      <c r="FJ8" t="e">
        <f>AND(#REF!,"AAAAAG9fvKU=")</f>
        <v>#REF!</v>
      </c>
      <c r="FK8" t="e">
        <f>AND(#REF!,"AAAAAG9fvKY=")</f>
        <v>#REF!</v>
      </c>
      <c r="FL8" t="e">
        <f>AND(#REF!,"AAAAAG9fvKc=")</f>
        <v>#REF!</v>
      </c>
      <c r="FM8" t="e">
        <f>AND(#REF!,"AAAAAG9fvKg=")</f>
        <v>#REF!</v>
      </c>
      <c r="FN8" t="e">
        <f>AND(#REF!,"AAAAAG9fvKk=")</f>
        <v>#REF!</v>
      </c>
      <c r="FO8" t="e">
        <f>AND(#REF!,"AAAAAG9fvKo=")</f>
        <v>#REF!</v>
      </c>
      <c r="FP8" t="e">
        <f>AND(#REF!,"AAAAAG9fvKs=")</f>
        <v>#REF!</v>
      </c>
      <c r="FQ8" t="e">
        <f>AND(#REF!,"AAAAAG9fvKw=")</f>
        <v>#REF!</v>
      </c>
      <c r="FR8" t="e">
        <f>AND(#REF!,"AAAAAG9fvK0=")</f>
        <v>#REF!</v>
      </c>
      <c r="FS8" t="e">
        <f>AND(#REF!,"AAAAAG9fvK4=")</f>
        <v>#REF!</v>
      </c>
      <c r="FT8" t="e">
        <f>AND(#REF!,"AAAAAG9fvK8=")</f>
        <v>#REF!</v>
      </c>
      <c r="FU8" t="e">
        <f>AND(#REF!,"AAAAAG9fvLA=")</f>
        <v>#REF!</v>
      </c>
      <c r="FV8" t="e">
        <f>AND(#REF!,"AAAAAG9fvLE=")</f>
        <v>#REF!</v>
      </c>
      <c r="FW8" t="e">
        <f>AND(#REF!,"AAAAAG9fvLI=")</f>
        <v>#REF!</v>
      </c>
      <c r="FX8" t="e">
        <f>AND(#REF!,"AAAAAG9fvLM=")</f>
        <v>#REF!</v>
      </c>
      <c r="FY8" t="e">
        <f>AND(#REF!,"AAAAAG9fvLQ=")</f>
        <v>#REF!</v>
      </c>
      <c r="FZ8" t="e">
        <f>AND(#REF!,"AAAAAG9fvLU=")</f>
        <v>#REF!</v>
      </c>
      <c r="GA8" t="e">
        <f>AND(#REF!,"AAAAAG9fvLY=")</f>
        <v>#REF!</v>
      </c>
      <c r="GB8" t="e">
        <f>AND(#REF!,"AAAAAG9fvLc=")</f>
        <v>#REF!</v>
      </c>
      <c r="GC8" t="e">
        <f>AND(#REF!,"AAAAAG9fvLg=")</f>
        <v>#REF!</v>
      </c>
      <c r="GD8" t="e">
        <f>AND(#REF!,"AAAAAG9fvLk=")</f>
        <v>#REF!</v>
      </c>
      <c r="GE8" t="e">
        <f>AND(#REF!,"AAAAAG9fvLo=")</f>
        <v>#REF!</v>
      </c>
      <c r="GF8" t="e">
        <f>AND(#REF!,"AAAAAG9fvLs=")</f>
        <v>#REF!</v>
      </c>
      <c r="GG8" t="e">
        <f>AND(#REF!,"AAAAAG9fvLw=")</f>
        <v>#REF!</v>
      </c>
      <c r="GH8" t="e">
        <f>AND(#REF!,"AAAAAG9fvL0=")</f>
        <v>#REF!</v>
      </c>
      <c r="GI8" t="e">
        <f>AND(#REF!,"AAAAAG9fvL4=")</f>
        <v>#REF!</v>
      </c>
      <c r="GJ8" t="e">
        <f>AND(#REF!,"AAAAAG9fvL8=")</f>
        <v>#REF!</v>
      </c>
      <c r="GK8" t="e">
        <f>AND(#REF!,"AAAAAG9fvMA=")</f>
        <v>#REF!</v>
      </c>
      <c r="GL8" t="e">
        <f>IF(#REF!,"AAAAAG9fvME=",0)</f>
        <v>#REF!</v>
      </c>
      <c r="GM8" t="e">
        <f>AND(#REF!,"AAAAAG9fvMI=")</f>
        <v>#REF!</v>
      </c>
      <c r="GN8" t="e">
        <f>AND(#REF!,"AAAAAG9fvMM=")</f>
        <v>#REF!</v>
      </c>
      <c r="GO8" t="e">
        <f>AND(#REF!,"AAAAAG9fvMQ=")</f>
        <v>#REF!</v>
      </c>
      <c r="GP8" t="e">
        <f>AND(#REF!,"AAAAAG9fvMU=")</f>
        <v>#REF!</v>
      </c>
      <c r="GQ8" t="e">
        <f>AND(#REF!,"AAAAAG9fvMY=")</f>
        <v>#REF!</v>
      </c>
      <c r="GR8" t="e">
        <f>AND(#REF!,"AAAAAG9fvMc=")</f>
        <v>#REF!</v>
      </c>
      <c r="GS8" t="e">
        <f>AND(#REF!,"AAAAAG9fvMg=")</f>
        <v>#REF!</v>
      </c>
      <c r="GT8" t="e">
        <f>AND(#REF!,"AAAAAG9fvMk=")</f>
        <v>#REF!</v>
      </c>
      <c r="GU8" t="e">
        <f>AND(#REF!,"AAAAAG9fvMo=")</f>
        <v>#REF!</v>
      </c>
      <c r="GV8" t="e">
        <f>AND(#REF!,"AAAAAG9fvMs=")</f>
        <v>#REF!</v>
      </c>
      <c r="GW8" t="e">
        <f>AND(#REF!,"AAAAAG9fvMw=")</f>
        <v>#REF!</v>
      </c>
      <c r="GX8" t="e">
        <f>AND(#REF!,"AAAAAG9fvM0=")</f>
        <v>#REF!</v>
      </c>
      <c r="GY8" t="e">
        <f>AND(#REF!,"AAAAAG9fvM4=")</f>
        <v>#REF!</v>
      </c>
      <c r="GZ8" t="e">
        <f>AND(#REF!,"AAAAAG9fvM8=")</f>
        <v>#REF!</v>
      </c>
      <c r="HA8" t="e">
        <f>AND(#REF!,"AAAAAG9fvNA=")</f>
        <v>#REF!</v>
      </c>
      <c r="HB8" t="e">
        <f>AND(#REF!,"AAAAAG9fvNE=")</f>
        <v>#REF!</v>
      </c>
      <c r="HC8" t="e">
        <f>AND(#REF!,"AAAAAG9fvNI=")</f>
        <v>#REF!</v>
      </c>
      <c r="HD8" t="e">
        <f>AND(#REF!,"AAAAAG9fvNM=")</f>
        <v>#REF!</v>
      </c>
      <c r="HE8" t="e">
        <f>AND(#REF!,"AAAAAG9fvNQ=")</f>
        <v>#REF!</v>
      </c>
      <c r="HF8" t="e">
        <f>AND(#REF!,"AAAAAG9fvNU=")</f>
        <v>#REF!</v>
      </c>
      <c r="HG8" t="e">
        <f>AND(#REF!,"AAAAAG9fvNY=")</f>
        <v>#REF!</v>
      </c>
      <c r="HH8" t="e">
        <f>AND(#REF!,"AAAAAG9fvNc=")</f>
        <v>#REF!</v>
      </c>
      <c r="HI8" t="e">
        <f>AND(#REF!,"AAAAAG9fvNg=")</f>
        <v>#REF!</v>
      </c>
      <c r="HJ8" t="e">
        <f>AND(#REF!,"AAAAAG9fvNk=")</f>
        <v>#REF!</v>
      </c>
      <c r="HK8" t="e">
        <f>AND(#REF!,"AAAAAG9fvNo=")</f>
        <v>#REF!</v>
      </c>
      <c r="HL8" t="e">
        <f>AND(#REF!,"AAAAAG9fvNs=")</f>
        <v>#REF!</v>
      </c>
      <c r="HM8" t="e">
        <f>AND(#REF!,"AAAAAG9fvNw=")</f>
        <v>#REF!</v>
      </c>
      <c r="HN8" t="e">
        <f>AND(#REF!,"AAAAAG9fvN0=")</f>
        <v>#REF!</v>
      </c>
      <c r="HO8" t="e">
        <f>AND(#REF!,"AAAAAG9fvN4=")</f>
        <v>#REF!</v>
      </c>
      <c r="HP8" t="e">
        <f>AND(#REF!,"AAAAAG9fvN8=")</f>
        <v>#REF!</v>
      </c>
      <c r="HQ8" t="e">
        <f>AND(#REF!,"AAAAAG9fvOA=")</f>
        <v>#REF!</v>
      </c>
      <c r="HR8" t="e">
        <f>AND(#REF!,"AAAAAG9fvOE=")</f>
        <v>#REF!</v>
      </c>
      <c r="HS8" t="e">
        <f>AND(#REF!,"AAAAAG9fvOI=")</f>
        <v>#REF!</v>
      </c>
      <c r="HT8" t="e">
        <f>AND(#REF!,"AAAAAG9fvOM=")</f>
        <v>#REF!</v>
      </c>
      <c r="HU8" t="e">
        <f>AND(#REF!,"AAAAAG9fvOQ=")</f>
        <v>#REF!</v>
      </c>
      <c r="HV8" t="e">
        <f>AND(#REF!,"AAAAAG9fvOU=")</f>
        <v>#REF!</v>
      </c>
      <c r="HW8" t="e">
        <f>IF(#REF!,"AAAAAG9fvOY=",0)</f>
        <v>#REF!</v>
      </c>
      <c r="HX8" t="e">
        <f>AND(#REF!,"AAAAAG9fvOc=")</f>
        <v>#REF!</v>
      </c>
      <c r="HY8" t="e">
        <f>AND(#REF!,"AAAAAG9fvOg=")</f>
        <v>#REF!</v>
      </c>
      <c r="HZ8" t="e">
        <f>AND(#REF!,"AAAAAG9fvOk=")</f>
        <v>#REF!</v>
      </c>
      <c r="IA8" t="e">
        <f>AND(#REF!,"AAAAAG9fvOo=")</f>
        <v>#REF!</v>
      </c>
      <c r="IB8" t="e">
        <f>AND(#REF!,"AAAAAG9fvOs=")</f>
        <v>#REF!</v>
      </c>
      <c r="IC8" t="e">
        <f>AND(#REF!,"AAAAAG9fvOw=")</f>
        <v>#REF!</v>
      </c>
      <c r="ID8" t="e">
        <f>AND(#REF!,"AAAAAG9fvO0=")</f>
        <v>#REF!</v>
      </c>
      <c r="IE8" t="e">
        <f>AND(#REF!,"AAAAAG9fvO4=")</f>
        <v>#REF!</v>
      </c>
      <c r="IF8" t="e">
        <f>AND(#REF!,"AAAAAG9fvO8=")</f>
        <v>#REF!</v>
      </c>
      <c r="IG8" t="e">
        <f>AND(#REF!,"AAAAAG9fvPA=")</f>
        <v>#REF!</v>
      </c>
      <c r="IH8" t="e">
        <f>AND(#REF!,"AAAAAG9fvPE=")</f>
        <v>#REF!</v>
      </c>
      <c r="II8" t="e">
        <f>AND(#REF!,"AAAAAG9fvPI=")</f>
        <v>#REF!</v>
      </c>
      <c r="IJ8" t="e">
        <f>AND(#REF!,"AAAAAG9fvPM=")</f>
        <v>#REF!</v>
      </c>
      <c r="IK8" t="e">
        <f>AND(#REF!,"AAAAAG9fvPQ=")</f>
        <v>#REF!</v>
      </c>
      <c r="IL8" t="e">
        <f>AND(#REF!,"AAAAAG9fvPU=")</f>
        <v>#REF!</v>
      </c>
      <c r="IM8" t="e">
        <f>AND(#REF!,"AAAAAG9fvPY=")</f>
        <v>#REF!</v>
      </c>
      <c r="IN8" t="e">
        <f>AND(#REF!,"AAAAAG9fvPc=")</f>
        <v>#REF!</v>
      </c>
      <c r="IO8" t="e">
        <f>AND(#REF!,"AAAAAG9fvPg=")</f>
        <v>#REF!</v>
      </c>
      <c r="IP8" t="e">
        <f>AND(#REF!,"AAAAAG9fvPk=")</f>
        <v>#REF!</v>
      </c>
      <c r="IQ8" t="e">
        <f>AND(#REF!,"AAAAAG9fvPo=")</f>
        <v>#REF!</v>
      </c>
      <c r="IR8" t="e">
        <f>AND(#REF!,"AAAAAG9fvPs=")</f>
        <v>#REF!</v>
      </c>
      <c r="IS8" t="e">
        <f>AND(#REF!,"AAAAAG9fvPw=")</f>
        <v>#REF!</v>
      </c>
      <c r="IT8" t="e">
        <f>AND(#REF!,"AAAAAG9fvP0=")</f>
        <v>#REF!</v>
      </c>
      <c r="IU8" t="e">
        <f>AND(#REF!,"AAAAAG9fvP4=")</f>
        <v>#REF!</v>
      </c>
      <c r="IV8" t="e">
        <f>AND(#REF!,"AAAAAG9fvP8=")</f>
        <v>#REF!</v>
      </c>
    </row>
    <row r="9" spans="1:256">
      <c r="A9" t="e">
        <f>AND(#REF!,"AAAAAH3/WwA=")</f>
        <v>#REF!</v>
      </c>
      <c r="B9" t="e">
        <f>AND(#REF!,"AAAAAH3/WwE=")</f>
        <v>#REF!</v>
      </c>
      <c r="C9" t="e">
        <f>AND(#REF!,"AAAAAH3/WwI=")</f>
        <v>#REF!</v>
      </c>
      <c r="D9" t="e">
        <f>AND(#REF!,"AAAAAH3/WwM=")</f>
        <v>#REF!</v>
      </c>
      <c r="E9" t="e">
        <f>AND(#REF!,"AAAAAH3/WwQ=")</f>
        <v>#REF!</v>
      </c>
      <c r="F9" t="e">
        <f>AND(#REF!,"AAAAAH3/WwU=")</f>
        <v>#REF!</v>
      </c>
      <c r="G9" t="e">
        <f>AND(#REF!,"AAAAAH3/WwY=")</f>
        <v>#REF!</v>
      </c>
      <c r="H9" t="e">
        <f>AND(#REF!,"AAAAAH3/Wwc=")</f>
        <v>#REF!</v>
      </c>
      <c r="I9" t="e">
        <f>AND(#REF!,"AAAAAH3/Wwg=")</f>
        <v>#REF!</v>
      </c>
      <c r="J9" t="e">
        <f>AND(#REF!,"AAAAAH3/Wwk=")</f>
        <v>#REF!</v>
      </c>
      <c r="K9" t="e">
        <f>AND(#REF!,"AAAAAH3/Wwo=")</f>
        <v>#REF!</v>
      </c>
      <c r="L9" t="e">
        <f>IF(#REF!,"AAAAAH3/Wws=",0)</f>
        <v>#REF!</v>
      </c>
      <c r="M9" t="e">
        <f>AND(#REF!,"AAAAAH3/Www=")</f>
        <v>#REF!</v>
      </c>
      <c r="N9" t="e">
        <f>AND(#REF!,"AAAAAH3/Ww0=")</f>
        <v>#REF!</v>
      </c>
      <c r="O9" t="e">
        <f>AND(#REF!,"AAAAAH3/Ww4=")</f>
        <v>#REF!</v>
      </c>
      <c r="P9" t="e">
        <f>AND(#REF!,"AAAAAH3/Ww8=")</f>
        <v>#REF!</v>
      </c>
      <c r="Q9" t="e">
        <f>AND(#REF!,"AAAAAH3/WxA=")</f>
        <v>#REF!</v>
      </c>
      <c r="R9" t="e">
        <f>AND(#REF!,"AAAAAH3/WxE=")</f>
        <v>#REF!</v>
      </c>
      <c r="S9" t="e">
        <f>AND(#REF!,"AAAAAH3/WxI=")</f>
        <v>#REF!</v>
      </c>
      <c r="T9" t="e">
        <f>AND(#REF!,"AAAAAH3/WxM=")</f>
        <v>#REF!</v>
      </c>
      <c r="U9" t="e">
        <f>AND(#REF!,"AAAAAH3/WxQ=")</f>
        <v>#REF!</v>
      </c>
      <c r="V9" t="e">
        <f>AND(#REF!,"AAAAAH3/WxU=")</f>
        <v>#REF!</v>
      </c>
      <c r="W9" t="e">
        <f>AND(#REF!,"AAAAAH3/WxY=")</f>
        <v>#REF!</v>
      </c>
      <c r="X9" t="e">
        <f>AND(#REF!,"AAAAAH3/Wxc=")</f>
        <v>#REF!</v>
      </c>
      <c r="Y9" t="e">
        <f>AND(#REF!,"AAAAAH3/Wxg=")</f>
        <v>#REF!</v>
      </c>
      <c r="Z9" t="e">
        <f>AND(#REF!,"AAAAAH3/Wxk=")</f>
        <v>#REF!</v>
      </c>
      <c r="AA9" t="e">
        <f>AND(#REF!,"AAAAAH3/Wxo=")</f>
        <v>#REF!</v>
      </c>
      <c r="AB9" t="e">
        <f>AND(#REF!,"AAAAAH3/Wxs=")</f>
        <v>#REF!</v>
      </c>
      <c r="AC9" t="e">
        <f>AND(#REF!,"AAAAAH3/Wxw=")</f>
        <v>#REF!</v>
      </c>
      <c r="AD9" t="e">
        <f>AND(#REF!,"AAAAAH3/Wx0=")</f>
        <v>#REF!</v>
      </c>
      <c r="AE9" t="e">
        <f>AND(#REF!,"AAAAAH3/Wx4=")</f>
        <v>#REF!</v>
      </c>
      <c r="AF9" t="e">
        <f>AND(#REF!,"AAAAAH3/Wx8=")</f>
        <v>#REF!</v>
      </c>
      <c r="AG9" t="e">
        <f>AND(#REF!,"AAAAAH3/WyA=")</f>
        <v>#REF!</v>
      </c>
      <c r="AH9" t="e">
        <f>AND(#REF!,"AAAAAH3/WyE=")</f>
        <v>#REF!</v>
      </c>
      <c r="AI9" t="e">
        <f>AND(#REF!,"AAAAAH3/WyI=")</f>
        <v>#REF!</v>
      </c>
      <c r="AJ9" t="e">
        <f>AND(#REF!,"AAAAAH3/WyM=")</f>
        <v>#REF!</v>
      </c>
      <c r="AK9" t="e">
        <f>AND(#REF!,"AAAAAH3/WyQ=")</f>
        <v>#REF!</v>
      </c>
      <c r="AL9" t="e">
        <f>AND(#REF!,"AAAAAH3/WyU=")</f>
        <v>#REF!</v>
      </c>
      <c r="AM9" t="e">
        <f>AND(#REF!,"AAAAAH3/WyY=")</f>
        <v>#REF!</v>
      </c>
      <c r="AN9" t="e">
        <f>AND(#REF!,"AAAAAH3/Wyc=")</f>
        <v>#REF!</v>
      </c>
      <c r="AO9" t="e">
        <f>AND(#REF!,"AAAAAH3/Wyg=")</f>
        <v>#REF!</v>
      </c>
      <c r="AP9" t="e">
        <f>AND(#REF!,"AAAAAH3/Wyk=")</f>
        <v>#REF!</v>
      </c>
      <c r="AQ9" t="e">
        <f>AND(#REF!,"AAAAAH3/Wyo=")</f>
        <v>#REF!</v>
      </c>
      <c r="AR9" t="e">
        <f>AND(#REF!,"AAAAAH3/Wys=")</f>
        <v>#REF!</v>
      </c>
      <c r="AS9" t="e">
        <f>AND(#REF!,"AAAAAH3/Wyw=")</f>
        <v>#REF!</v>
      </c>
      <c r="AT9" t="e">
        <f>AND(#REF!,"AAAAAH3/Wy0=")</f>
        <v>#REF!</v>
      </c>
      <c r="AU9" t="e">
        <f>AND(#REF!,"AAAAAH3/Wy4=")</f>
        <v>#REF!</v>
      </c>
      <c r="AV9" t="e">
        <f>AND(#REF!,"AAAAAH3/Wy8=")</f>
        <v>#REF!</v>
      </c>
      <c r="AW9" t="e">
        <f>IF(#REF!,"AAAAAH3/WzA=",0)</f>
        <v>#REF!</v>
      </c>
      <c r="AX9" t="e">
        <f>AND(#REF!,"AAAAAH3/WzE=")</f>
        <v>#REF!</v>
      </c>
      <c r="AY9" t="e">
        <f>AND(#REF!,"AAAAAH3/WzI=")</f>
        <v>#REF!</v>
      </c>
      <c r="AZ9" t="e">
        <f>AND(#REF!,"AAAAAH3/WzM=")</f>
        <v>#REF!</v>
      </c>
      <c r="BA9" t="e">
        <f>AND(#REF!,"AAAAAH3/WzQ=")</f>
        <v>#REF!</v>
      </c>
      <c r="BB9" t="e">
        <f>AND(#REF!,"AAAAAH3/WzU=")</f>
        <v>#REF!</v>
      </c>
      <c r="BC9" t="e">
        <f>AND(#REF!,"AAAAAH3/WzY=")</f>
        <v>#REF!</v>
      </c>
      <c r="BD9" t="e">
        <f>AND(#REF!,"AAAAAH3/Wzc=")</f>
        <v>#REF!</v>
      </c>
      <c r="BE9" t="e">
        <f>AND(#REF!,"AAAAAH3/Wzg=")</f>
        <v>#REF!</v>
      </c>
      <c r="BF9" t="e">
        <f>AND(#REF!,"AAAAAH3/Wzk=")</f>
        <v>#REF!</v>
      </c>
      <c r="BG9" t="e">
        <f>AND(#REF!,"AAAAAH3/Wzo=")</f>
        <v>#REF!</v>
      </c>
      <c r="BH9" t="e">
        <f>AND(#REF!,"AAAAAH3/Wzs=")</f>
        <v>#REF!</v>
      </c>
      <c r="BI9" t="e">
        <f>AND(#REF!,"AAAAAH3/Wzw=")</f>
        <v>#REF!</v>
      </c>
      <c r="BJ9" t="e">
        <f>AND(#REF!,"AAAAAH3/Wz0=")</f>
        <v>#REF!</v>
      </c>
      <c r="BK9" t="e">
        <f>AND(#REF!,"AAAAAH3/Wz4=")</f>
        <v>#REF!</v>
      </c>
      <c r="BL9" t="e">
        <f>AND(#REF!,"AAAAAH3/Wz8=")</f>
        <v>#REF!</v>
      </c>
      <c r="BM9" t="e">
        <f>AND(#REF!,"AAAAAH3/W0A=")</f>
        <v>#REF!</v>
      </c>
      <c r="BN9" t="e">
        <f>AND(#REF!,"AAAAAH3/W0E=")</f>
        <v>#REF!</v>
      </c>
      <c r="BO9" t="e">
        <f>AND(#REF!,"AAAAAH3/W0I=")</f>
        <v>#REF!</v>
      </c>
      <c r="BP9" t="e">
        <f>AND(#REF!,"AAAAAH3/W0M=")</f>
        <v>#REF!</v>
      </c>
      <c r="BQ9" t="e">
        <f>AND(#REF!,"AAAAAH3/W0Q=")</f>
        <v>#REF!</v>
      </c>
      <c r="BR9" t="e">
        <f>AND(#REF!,"AAAAAH3/W0U=")</f>
        <v>#REF!</v>
      </c>
      <c r="BS9" t="e">
        <f>AND(#REF!,"AAAAAH3/W0Y=")</f>
        <v>#REF!</v>
      </c>
      <c r="BT9" t="e">
        <f>AND(#REF!,"AAAAAH3/W0c=")</f>
        <v>#REF!</v>
      </c>
      <c r="BU9" t="e">
        <f>AND(#REF!,"AAAAAH3/W0g=")</f>
        <v>#REF!</v>
      </c>
      <c r="BV9" t="e">
        <f>AND(#REF!,"AAAAAH3/W0k=")</f>
        <v>#REF!</v>
      </c>
      <c r="BW9" t="e">
        <f>AND(#REF!,"AAAAAH3/W0o=")</f>
        <v>#REF!</v>
      </c>
      <c r="BX9" t="e">
        <f>AND(#REF!,"AAAAAH3/W0s=")</f>
        <v>#REF!</v>
      </c>
      <c r="BY9" t="e">
        <f>AND(#REF!,"AAAAAH3/W0w=")</f>
        <v>#REF!</v>
      </c>
      <c r="BZ9" t="e">
        <f>AND(#REF!,"AAAAAH3/W00=")</f>
        <v>#REF!</v>
      </c>
      <c r="CA9" t="e">
        <f>AND(#REF!,"AAAAAH3/W04=")</f>
        <v>#REF!</v>
      </c>
      <c r="CB9" t="e">
        <f>AND(#REF!,"AAAAAH3/W08=")</f>
        <v>#REF!</v>
      </c>
      <c r="CC9" t="e">
        <f>AND(#REF!,"AAAAAH3/W1A=")</f>
        <v>#REF!</v>
      </c>
      <c r="CD9" t="e">
        <f>AND(#REF!,"AAAAAH3/W1E=")</f>
        <v>#REF!</v>
      </c>
      <c r="CE9" t="e">
        <f>AND(#REF!,"AAAAAH3/W1I=")</f>
        <v>#REF!</v>
      </c>
      <c r="CF9" t="e">
        <f>AND(#REF!,"AAAAAH3/W1M=")</f>
        <v>#REF!</v>
      </c>
      <c r="CG9" t="e">
        <f>AND(#REF!,"AAAAAH3/W1Q=")</f>
        <v>#REF!</v>
      </c>
      <c r="CH9" t="e">
        <f>IF(#REF!,"AAAAAH3/W1U=",0)</f>
        <v>#REF!</v>
      </c>
      <c r="CI9" t="e">
        <f>AND(#REF!,"AAAAAH3/W1Y=")</f>
        <v>#REF!</v>
      </c>
      <c r="CJ9" t="e">
        <f>AND(#REF!,"AAAAAH3/W1c=")</f>
        <v>#REF!</v>
      </c>
      <c r="CK9" t="e">
        <f>AND(#REF!,"AAAAAH3/W1g=")</f>
        <v>#REF!</v>
      </c>
      <c r="CL9" t="e">
        <f>AND(#REF!,"AAAAAH3/W1k=")</f>
        <v>#REF!</v>
      </c>
      <c r="CM9" t="e">
        <f>AND(#REF!,"AAAAAH3/W1o=")</f>
        <v>#REF!</v>
      </c>
      <c r="CN9" t="e">
        <f>AND(#REF!,"AAAAAH3/W1s=")</f>
        <v>#REF!</v>
      </c>
      <c r="CO9" t="e">
        <f>AND(#REF!,"AAAAAH3/W1w=")</f>
        <v>#REF!</v>
      </c>
      <c r="CP9" t="e">
        <f>AND(#REF!,"AAAAAH3/W10=")</f>
        <v>#REF!</v>
      </c>
      <c r="CQ9" t="e">
        <f>AND(#REF!,"AAAAAH3/W14=")</f>
        <v>#REF!</v>
      </c>
      <c r="CR9" t="e">
        <f>AND(#REF!,"AAAAAH3/W18=")</f>
        <v>#REF!</v>
      </c>
      <c r="CS9" t="e">
        <f>AND(#REF!,"AAAAAH3/W2A=")</f>
        <v>#REF!</v>
      </c>
      <c r="CT9" t="e">
        <f>AND(#REF!,"AAAAAH3/W2E=")</f>
        <v>#REF!</v>
      </c>
      <c r="CU9" t="e">
        <f>AND(#REF!,"AAAAAH3/W2I=")</f>
        <v>#REF!</v>
      </c>
      <c r="CV9" t="e">
        <f>AND(#REF!,"AAAAAH3/W2M=")</f>
        <v>#REF!</v>
      </c>
      <c r="CW9" t="e">
        <f>AND(#REF!,"AAAAAH3/W2Q=")</f>
        <v>#REF!</v>
      </c>
      <c r="CX9" t="e">
        <f>AND(#REF!,"AAAAAH3/W2U=")</f>
        <v>#REF!</v>
      </c>
      <c r="CY9" t="e">
        <f>AND(#REF!,"AAAAAH3/W2Y=")</f>
        <v>#REF!</v>
      </c>
      <c r="CZ9" t="e">
        <f>AND(#REF!,"AAAAAH3/W2c=")</f>
        <v>#REF!</v>
      </c>
      <c r="DA9" t="e">
        <f>AND(#REF!,"AAAAAH3/W2g=")</f>
        <v>#REF!</v>
      </c>
      <c r="DB9" t="e">
        <f>AND(#REF!,"AAAAAH3/W2k=")</f>
        <v>#REF!</v>
      </c>
      <c r="DC9" t="e">
        <f>AND(#REF!,"AAAAAH3/W2o=")</f>
        <v>#REF!</v>
      </c>
      <c r="DD9" t="e">
        <f>AND(#REF!,"AAAAAH3/W2s=")</f>
        <v>#REF!</v>
      </c>
      <c r="DE9" t="e">
        <f>AND(#REF!,"AAAAAH3/W2w=")</f>
        <v>#REF!</v>
      </c>
      <c r="DF9" t="e">
        <f>AND(#REF!,"AAAAAH3/W20=")</f>
        <v>#REF!</v>
      </c>
      <c r="DG9" t="e">
        <f>AND(#REF!,"AAAAAH3/W24=")</f>
        <v>#REF!</v>
      </c>
      <c r="DH9" t="e">
        <f>AND(#REF!,"AAAAAH3/W28=")</f>
        <v>#REF!</v>
      </c>
      <c r="DI9" t="e">
        <f>AND(#REF!,"AAAAAH3/W3A=")</f>
        <v>#REF!</v>
      </c>
      <c r="DJ9" t="e">
        <f>AND(#REF!,"AAAAAH3/W3E=")</f>
        <v>#REF!</v>
      </c>
      <c r="DK9" t="e">
        <f>AND(#REF!,"AAAAAH3/W3I=")</f>
        <v>#REF!</v>
      </c>
      <c r="DL9" t="e">
        <f>AND(#REF!,"AAAAAH3/W3M=")</f>
        <v>#REF!</v>
      </c>
      <c r="DM9" t="e">
        <f>AND(#REF!,"AAAAAH3/W3Q=")</f>
        <v>#REF!</v>
      </c>
      <c r="DN9" t="e">
        <f>AND(#REF!,"AAAAAH3/W3U=")</f>
        <v>#REF!</v>
      </c>
      <c r="DO9" t="e">
        <f>AND(#REF!,"AAAAAH3/W3Y=")</f>
        <v>#REF!</v>
      </c>
      <c r="DP9" t="e">
        <f>AND(#REF!,"AAAAAH3/W3c=")</f>
        <v>#REF!</v>
      </c>
      <c r="DQ9" t="e">
        <f>AND(#REF!,"AAAAAH3/W3g=")</f>
        <v>#REF!</v>
      </c>
      <c r="DR9" t="e">
        <f>AND(#REF!,"AAAAAH3/W3k=")</f>
        <v>#REF!</v>
      </c>
      <c r="DS9" t="e">
        <f>IF(#REF!,"AAAAAH3/W3o=",0)</f>
        <v>#REF!</v>
      </c>
      <c r="DT9" t="e">
        <f>AND(#REF!,"AAAAAH3/W3s=")</f>
        <v>#REF!</v>
      </c>
      <c r="DU9" t="e">
        <f>AND(#REF!,"AAAAAH3/W3w=")</f>
        <v>#REF!</v>
      </c>
      <c r="DV9" t="e">
        <f>AND(#REF!,"AAAAAH3/W30=")</f>
        <v>#REF!</v>
      </c>
      <c r="DW9" t="e">
        <f>AND(#REF!,"AAAAAH3/W34=")</f>
        <v>#REF!</v>
      </c>
      <c r="DX9" t="e">
        <f>AND(#REF!,"AAAAAH3/W38=")</f>
        <v>#REF!</v>
      </c>
      <c r="DY9" t="e">
        <f>AND(#REF!,"AAAAAH3/W4A=")</f>
        <v>#REF!</v>
      </c>
      <c r="DZ9" t="e">
        <f>AND(#REF!,"AAAAAH3/W4E=")</f>
        <v>#REF!</v>
      </c>
      <c r="EA9" t="e">
        <f>AND(#REF!,"AAAAAH3/W4I=")</f>
        <v>#REF!</v>
      </c>
      <c r="EB9" t="e">
        <f>AND(#REF!,"AAAAAH3/W4M=")</f>
        <v>#REF!</v>
      </c>
      <c r="EC9" t="e">
        <f>AND(#REF!,"AAAAAH3/W4Q=")</f>
        <v>#REF!</v>
      </c>
      <c r="ED9" t="e">
        <f>AND(#REF!,"AAAAAH3/W4U=")</f>
        <v>#REF!</v>
      </c>
      <c r="EE9" t="e">
        <f>AND(#REF!,"AAAAAH3/W4Y=")</f>
        <v>#REF!</v>
      </c>
      <c r="EF9" t="e">
        <f>AND(#REF!,"AAAAAH3/W4c=")</f>
        <v>#REF!</v>
      </c>
      <c r="EG9" t="e">
        <f>AND(#REF!,"AAAAAH3/W4g=")</f>
        <v>#REF!</v>
      </c>
      <c r="EH9" t="e">
        <f>AND(#REF!,"AAAAAH3/W4k=")</f>
        <v>#REF!</v>
      </c>
      <c r="EI9" t="e">
        <f>AND(#REF!,"AAAAAH3/W4o=")</f>
        <v>#REF!</v>
      </c>
      <c r="EJ9" t="e">
        <f>AND(#REF!,"AAAAAH3/W4s=")</f>
        <v>#REF!</v>
      </c>
      <c r="EK9" t="e">
        <f>AND(#REF!,"AAAAAH3/W4w=")</f>
        <v>#REF!</v>
      </c>
      <c r="EL9" t="e">
        <f>AND(#REF!,"AAAAAH3/W40=")</f>
        <v>#REF!</v>
      </c>
      <c r="EM9" t="e">
        <f>AND(#REF!,"AAAAAH3/W44=")</f>
        <v>#REF!</v>
      </c>
      <c r="EN9" t="e">
        <f>AND(#REF!,"AAAAAH3/W48=")</f>
        <v>#REF!</v>
      </c>
      <c r="EO9" t="e">
        <f>AND(#REF!,"AAAAAH3/W5A=")</f>
        <v>#REF!</v>
      </c>
      <c r="EP9" t="e">
        <f>AND(#REF!,"AAAAAH3/W5E=")</f>
        <v>#REF!</v>
      </c>
      <c r="EQ9" t="e">
        <f>AND(#REF!,"AAAAAH3/W5I=")</f>
        <v>#REF!</v>
      </c>
      <c r="ER9" t="e">
        <f>AND(#REF!,"AAAAAH3/W5M=")</f>
        <v>#REF!</v>
      </c>
      <c r="ES9" t="e">
        <f>AND(#REF!,"AAAAAH3/W5Q=")</f>
        <v>#REF!</v>
      </c>
      <c r="ET9" t="e">
        <f>AND(#REF!,"AAAAAH3/W5U=")</f>
        <v>#REF!</v>
      </c>
      <c r="EU9" t="e">
        <f>AND(#REF!,"AAAAAH3/W5Y=")</f>
        <v>#REF!</v>
      </c>
      <c r="EV9" t="e">
        <f>AND(#REF!,"AAAAAH3/W5c=")</f>
        <v>#REF!</v>
      </c>
      <c r="EW9" t="e">
        <f>AND(#REF!,"AAAAAH3/W5g=")</f>
        <v>#REF!</v>
      </c>
      <c r="EX9" t="e">
        <f>AND(#REF!,"AAAAAH3/W5k=")</f>
        <v>#REF!</v>
      </c>
      <c r="EY9" t="e">
        <f>AND(#REF!,"AAAAAH3/W5o=")</f>
        <v>#REF!</v>
      </c>
      <c r="EZ9" t="e">
        <f>AND(#REF!,"AAAAAH3/W5s=")</f>
        <v>#REF!</v>
      </c>
      <c r="FA9" t="e">
        <f>AND(#REF!,"AAAAAH3/W5w=")</f>
        <v>#REF!</v>
      </c>
      <c r="FB9" t="e">
        <f>AND(#REF!,"AAAAAH3/W50=")</f>
        <v>#REF!</v>
      </c>
      <c r="FC9" t="e">
        <f>AND(#REF!,"AAAAAH3/W54=")</f>
        <v>#REF!</v>
      </c>
      <c r="FD9" t="e">
        <f>IF(#REF!,"AAAAAH3/W58=",0)</f>
        <v>#REF!</v>
      </c>
      <c r="FE9" t="e">
        <f>AND(#REF!,"AAAAAH3/W6A=")</f>
        <v>#REF!</v>
      </c>
      <c r="FF9" t="e">
        <f>AND(#REF!,"AAAAAH3/W6E=")</f>
        <v>#REF!</v>
      </c>
      <c r="FG9" t="e">
        <f>AND(#REF!,"AAAAAH3/W6I=")</f>
        <v>#REF!</v>
      </c>
      <c r="FH9" t="e">
        <f>AND(#REF!,"AAAAAH3/W6M=")</f>
        <v>#REF!</v>
      </c>
      <c r="FI9" t="e">
        <f>AND(#REF!,"AAAAAH3/W6Q=")</f>
        <v>#REF!</v>
      </c>
      <c r="FJ9" t="e">
        <f>AND(#REF!,"AAAAAH3/W6U=")</f>
        <v>#REF!</v>
      </c>
      <c r="FK9" t="e">
        <f>AND(#REF!,"AAAAAH3/W6Y=")</f>
        <v>#REF!</v>
      </c>
      <c r="FL9" t="e">
        <f>AND(#REF!,"AAAAAH3/W6c=")</f>
        <v>#REF!</v>
      </c>
      <c r="FM9" t="e">
        <f>AND(#REF!,"AAAAAH3/W6g=")</f>
        <v>#REF!</v>
      </c>
      <c r="FN9" t="e">
        <f>AND(#REF!,"AAAAAH3/W6k=")</f>
        <v>#REF!</v>
      </c>
      <c r="FO9" t="e">
        <f>AND(#REF!,"AAAAAH3/W6o=")</f>
        <v>#REF!</v>
      </c>
      <c r="FP9" t="e">
        <f>AND(#REF!,"AAAAAH3/W6s=")</f>
        <v>#REF!</v>
      </c>
      <c r="FQ9" t="e">
        <f>AND(#REF!,"AAAAAH3/W6w=")</f>
        <v>#REF!</v>
      </c>
      <c r="FR9" t="e">
        <f>AND(#REF!,"AAAAAH3/W60=")</f>
        <v>#REF!</v>
      </c>
      <c r="FS9" t="e">
        <f>AND(#REF!,"AAAAAH3/W64=")</f>
        <v>#REF!</v>
      </c>
      <c r="FT9" t="e">
        <f>AND(#REF!,"AAAAAH3/W68=")</f>
        <v>#REF!</v>
      </c>
      <c r="FU9" t="e">
        <f>AND(#REF!,"AAAAAH3/W7A=")</f>
        <v>#REF!</v>
      </c>
      <c r="FV9" t="e">
        <f>AND(#REF!,"AAAAAH3/W7E=")</f>
        <v>#REF!</v>
      </c>
      <c r="FW9" t="e">
        <f>AND(#REF!,"AAAAAH3/W7I=")</f>
        <v>#REF!</v>
      </c>
      <c r="FX9" t="e">
        <f>AND(#REF!,"AAAAAH3/W7M=")</f>
        <v>#REF!</v>
      </c>
      <c r="FY9" t="e">
        <f>AND(#REF!,"AAAAAH3/W7Q=")</f>
        <v>#REF!</v>
      </c>
      <c r="FZ9" t="e">
        <f>AND(#REF!,"AAAAAH3/W7U=")</f>
        <v>#REF!</v>
      </c>
      <c r="GA9" t="e">
        <f>AND(#REF!,"AAAAAH3/W7Y=")</f>
        <v>#REF!</v>
      </c>
      <c r="GB9" t="e">
        <f>AND(#REF!,"AAAAAH3/W7c=")</f>
        <v>#REF!</v>
      </c>
      <c r="GC9" t="e">
        <f>AND(#REF!,"AAAAAH3/W7g=")</f>
        <v>#REF!</v>
      </c>
      <c r="GD9" t="e">
        <f>AND(#REF!,"AAAAAH3/W7k=")</f>
        <v>#REF!</v>
      </c>
      <c r="GE9" t="e">
        <f>AND(#REF!,"AAAAAH3/W7o=")</f>
        <v>#REF!</v>
      </c>
      <c r="GF9" t="e">
        <f>AND(#REF!,"AAAAAH3/W7s=")</f>
        <v>#REF!</v>
      </c>
      <c r="GG9" t="e">
        <f>AND(#REF!,"AAAAAH3/W7w=")</f>
        <v>#REF!</v>
      </c>
      <c r="GH9" t="e">
        <f>AND(#REF!,"AAAAAH3/W70=")</f>
        <v>#REF!</v>
      </c>
      <c r="GI9" t="e">
        <f>AND(#REF!,"AAAAAH3/W74=")</f>
        <v>#REF!</v>
      </c>
      <c r="GJ9" t="e">
        <f>AND(#REF!,"AAAAAH3/W78=")</f>
        <v>#REF!</v>
      </c>
      <c r="GK9" t="e">
        <f>AND(#REF!,"AAAAAH3/W8A=")</f>
        <v>#REF!</v>
      </c>
      <c r="GL9" t="e">
        <f>AND(#REF!,"AAAAAH3/W8E=")</f>
        <v>#REF!</v>
      </c>
      <c r="GM9" t="e">
        <f>AND(#REF!,"AAAAAH3/W8I=")</f>
        <v>#REF!</v>
      </c>
      <c r="GN9" t="e">
        <f>AND(#REF!,"AAAAAH3/W8M=")</f>
        <v>#REF!</v>
      </c>
      <c r="GO9" t="e">
        <f>IF(#REF!,"AAAAAH3/W8Q=",0)</f>
        <v>#REF!</v>
      </c>
      <c r="GP9" t="e">
        <f>AND(#REF!,"AAAAAH3/W8U=")</f>
        <v>#REF!</v>
      </c>
      <c r="GQ9" t="e">
        <f>AND(#REF!,"AAAAAH3/W8Y=")</f>
        <v>#REF!</v>
      </c>
      <c r="GR9" t="e">
        <f>AND(#REF!,"AAAAAH3/W8c=")</f>
        <v>#REF!</v>
      </c>
      <c r="GS9" t="e">
        <f>AND(#REF!,"AAAAAH3/W8g=")</f>
        <v>#REF!</v>
      </c>
      <c r="GT9" t="e">
        <f>AND(#REF!,"AAAAAH3/W8k=")</f>
        <v>#REF!</v>
      </c>
      <c r="GU9" t="e">
        <f>AND(#REF!,"AAAAAH3/W8o=")</f>
        <v>#REF!</v>
      </c>
      <c r="GV9" t="e">
        <f>AND(#REF!,"AAAAAH3/W8s=")</f>
        <v>#REF!</v>
      </c>
      <c r="GW9" t="e">
        <f>AND(#REF!,"AAAAAH3/W8w=")</f>
        <v>#REF!</v>
      </c>
      <c r="GX9" t="e">
        <f>AND(#REF!,"AAAAAH3/W80=")</f>
        <v>#REF!</v>
      </c>
      <c r="GY9" t="e">
        <f>AND(#REF!,"AAAAAH3/W84=")</f>
        <v>#REF!</v>
      </c>
      <c r="GZ9" t="e">
        <f>AND(#REF!,"AAAAAH3/W88=")</f>
        <v>#REF!</v>
      </c>
      <c r="HA9" t="e">
        <f>AND(#REF!,"AAAAAH3/W9A=")</f>
        <v>#REF!</v>
      </c>
      <c r="HB9" t="e">
        <f>AND(#REF!,"AAAAAH3/W9E=")</f>
        <v>#REF!</v>
      </c>
      <c r="HC9" t="e">
        <f>AND(#REF!,"AAAAAH3/W9I=")</f>
        <v>#REF!</v>
      </c>
      <c r="HD9" t="e">
        <f>AND(#REF!,"AAAAAH3/W9M=")</f>
        <v>#REF!</v>
      </c>
      <c r="HE9" t="e">
        <f>AND(#REF!,"AAAAAH3/W9Q=")</f>
        <v>#REF!</v>
      </c>
      <c r="HF9" t="e">
        <f>AND(#REF!,"AAAAAH3/W9U=")</f>
        <v>#REF!</v>
      </c>
      <c r="HG9" t="e">
        <f>AND(#REF!,"AAAAAH3/W9Y=")</f>
        <v>#REF!</v>
      </c>
      <c r="HH9" t="e">
        <f>AND(#REF!,"AAAAAH3/W9c=")</f>
        <v>#REF!</v>
      </c>
      <c r="HI9" t="e">
        <f>AND(#REF!,"AAAAAH3/W9g=")</f>
        <v>#REF!</v>
      </c>
      <c r="HJ9" t="e">
        <f>AND(#REF!,"AAAAAH3/W9k=")</f>
        <v>#REF!</v>
      </c>
      <c r="HK9" t="e">
        <f>AND(#REF!,"AAAAAH3/W9o=")</f>
        <v>#REF!</v>
      </c>
      <c r="HL9" t="e">
        <f>AND(#REF!,"AAAAAH3/W9s=")</f>
        <v>#REF!</v>
      </c>
      <c r="HM9" t="e">
        <f>AND(#REF!,"AAAAAH3/W9w=")</f>
        <v>#REF!</v>
      </c>
      <c r="HN9" t="e">
        <f>AND(#REF!,"AAAAAH3/W90=")</f>
        <v>#REF!</v>
      </c>
      <c r="HO9" t="e">
        <f>AND(#REF!,"AAAAAH3/W94=")</f>
        <v>#REF!</v>
      </c>
      <c r="HP9" t="e">
        <f>AND(#REF!,"AAAAAH3/W98=")</f>
        <v>#REF!</v>
      </c>
      <c r="HQ9" t="e">
        <f>AND(#REF!,"AAAAAH3/W+A=")</f>
        <v>#REF!</v>
      </c>
      <c r="HR9" t="e">
        <f>AND(#REF!,"AAAAAH3/W+E=")</f>
        <v>#REF!</v>
      </c>
      <c r="HS9" t="e">
        <f>AND(#REF!,"AAAAAH3/W+I=")</f>
        <v>#REF!</v>
      </c>
      <c r="HT9" t="e">
        <f>AND(#REF!,"AAAAAH3/W+M=")</f>
        <v>#REF!</v>
      </c>
      <c r="HU9" t="e">
        <f>AND(#REF!,"AAAAAH3/W+Q=")</f>
        <v>#REF!</v>
      </c>
      <c r="HV9" t="e">
        <f>AND(#REF!,"AAAAAH3/W+U=")</f>
        <v>#REF!</v>
      </c>
      <c r="HW9" t="e">
        <f>AND(#REF!,"AAAAAH3/W+Y=")</f>
        <v>#REF!</v>
      </c>
      <c r="HX9" t="e">
        <f>AND(#REF!,"AAAAAH3/W+c=")</f>
        <v>#REF!</v>
      </c>
      <c r="HY9" t="e">
        <f>AND(#REF!,"AAAAAH3/W+g=")</f>
        <v>#REF!</v>
      </c>
      <c r="HZ9" t="e">
        <f>IF(#REF!,"AAAAAH3/W+k=",0)</f>
        <v>#REF!</v>
      </c>
      <c r="IA9" t="e">
        <f>AND(#REF!,"AAAAAH3/W+o=")</f>
        <v>#REF!</v>
      </c>
      <c r="IB9" t="e">
        <f>AND(#REF!,"AAAAAH3/W+s=")</f>
        <v>#REF!</v>
      </c>
      <c r="IC9" t="e">
        <f>AND(#REF!,"AAAAAH3/W+w=")</f>
        <v>#REF!</v>
      </c>
      <c r="ID9" t="e">
        <f>AND(#REF!,"AAAAAH3/W+0=")</f>
        <v>#REF!</v>
      </c>
      <c r="IE9" t="e">
        <f>AND(#REF!,"AAAAAH3/W+4=")</f>
        <v>#REF!</v>
      </c>
      <c r="IF9" t="e">
        <f>AND(#REF!,"AAAAAH3/W+8=")</f>
        <v>#REF!</v>
      </c>
      <c r="IG9" t="e">
        <f>AND(#REF!,"AAAAAH3/W/A=")</f>
        <v>#REF!</v>
      </c>
      <c r="IH9" t="e">
        <f>AND(#REF!,"AAAAAH3/W/E=")</f>
        <v>#REF!</v>
      </c>
      <c r="II9" t="e">
        <f>AND(#REF!,"AAAAAH3/W/I=")</f>
        <v>#REF!</v>
      </c>
      <c r="IJ9" t="e">
        <f>AND(#REF!,"AAAAAH3/W/M=")</f>
        <v>#REF!</v>
      </c>
      <c r="IK9" t="e">
        <f>AND(#REF!,"AAAAAH3/W/Q=")</f>
        <v>#REF!</v>
      </c>
      <c r="IL9" t="e">
        <f>AND(#REF!,"AAAAAH3/W/U=")</f>
        <v>#REF!</v>
      </c>
      <c r="IM9" t="e">
        <f>AND(#REF!,"AAAAAH3/W/Y=")</f>
        <v>#REF!</v>
      </c>
      <c r="IN9" t="e">
        <f>AND(#REF!,"AAAAAH3/W/c=")</f>
        <v>#REF!</v>
      </c>
      <c r="IO9" t="e">
        <f>AND(#REF!,"AAAAAH3/W/g=")</f>
        <v>#REF!</v>
      </c>
      <c r="IP9" t="e">
        <f>AND(#REF!,"AAAAAH3/W/k=")</f>
        <v>#REF!</v>
      </c>
      <c r="IQ9" t="e">
        <f>AND(#REF!,"AAAAAH3/W/o=")</f>
        <v>#REF!</v>
      </c>
      <c r="IR9" t="e">
        <f>AND(#REF!,"AAAAAH3/W/s=")</f>
        <v>#REF!</v>
      </c>
      <c r="IS9" t="e">
        <f>AND(#REF!,"AAAAAH3/W/w=")</f>
        <v>#REF!</v>
      </c>
      <c r="IT9" t="e">
        <f>AND(#REF!,"AAAAAH3/W/0=")</f>
        <v>#REF!</v>
      </c>
      <c r="IU9" t="e">
        <f>AND(#REF!,"AAAAAH3/W/4=")</f>
        <v>#REF!</v>
      </c>
      <c r="IV9" t="e">
        <f>AND(#REF!,"AAAAAH3/W/8=")</f>
        <v>#REF!</v>
      </c>
    </row>
    <row r="10" spans="1:256">
      <c r="A10" t="e">
        <f>AND(#REF!,"AAAAAH5u5wA=")</f>
        <v>#REF!</v>
      </c>
      <c r="B10" t="e">
        <f>AND(#REF!,"AAAAAH5u5wE=")</f>
        <v>#REF!</v>
      </c>
      <c r="C10" t="e">
        <f>AND(#REF!,"AAAAAH5u5wI=")</f>
        <v>#REF!</v>
      </c>
      <c r="D10" t="e">
        <f>AND(#REF!,"AAAAAH5u5wM=")</f>
        <v>#REF!</v>
      </c>
      <c r="E10" t="e">
        <f>AND(#REF!,"AAAAAH5u5wQ=")</f>
        <v>#REF!</v>
      </c>
      <c r="F10" t="e">
        <f>AND(#REF!,"AAAAAH5u5wU=")</f>
        <v>#REF!</v>
      </c>
      <c r="G10" t="e">
        <f>AND(#REF!,"AAAAAH5u5wY=")</f>
        <v>#REF!</v>
      </c>
      <c r="H10" t="e">
        <f>AND(#REF!,"AAAAAH5u5wc=")</f>
        <v>#REF!</v>
      </c>
      <c r="I10" t="e">
        <f>AND(#REF!,"AAAAAH5u5wg=")</f>
        <v>#REF!</v>
      </c>
      <c r="J10" t="e">
        <f>AND(#REF!,"AAAAAH5u5wk=")</f>
        <v>#REF!</v>
      </c>
      <c r="K10" t="e">
        <f>AND(#REF!,"AAAAAH5u5wo=")</f>
        <v>#REF!</v>
      </c>
      <c r="L10" t="e">
        <f>AND(#REF!,"AAAAAH5u5ws=")</f>
        <v>#REF!</v>
      </c>
      <c r="M10" t="e">
        <f>AND(#REF!,"AAAAAH5u5ww=")</f>
        <v>#REF!</v>
      </c>
      <c r="N10" t="e">
        <f>AND(#REF!,"AAAAAH5u5w0=")</f>
        <v>#REF!</v>
      </c>
      <c r="O10" t="e">
        <f>IF(#REF!,"AAAAAH5u5w4=",0)</f>
        <v>#REF!</v>
      </c>
      <c r="P10" t="e">
        <f>AND(#REF!,"AAAAAH5u5w8=")</f>
        <v>#REF!</v>
      </c>
      <c r="Q10" t="e">
        <f>AND(#REF!,"AAAAAH5u5xA=")</f>
        <v>#REF!</v>
      </c>
      <c r="R10" t="e">
        <f>AND(#REF!,"AAAAAH5u5xE=")</f>
        <v>#REF!</v>
      </c>
      <c r="S10" t="e">
        <f>AND(#REF!,"AAAAAH5u5xI=")</f>
        <v>#REF!</v>
      </c>
      <c r="T10" t="e">
        <f>AND(#REF!,"AAAAAH5u5xM=")</f>
        <v>#REF!</v>
      </c>
      <c r="U10" t="e">
        <f>AND(#REF!,"AAAAAH5u5xQ=")</f>
        <v>#REF!</v>
      </c>
      <c r="V10" t="e">
        <f>AND(#REF!,"AAAAAH5u5xU=")</f>
        <v>#REF!</v>
      </c>
      <c r="W10" t="e">
        <f>AND(#REF!,"AAAAAH5u5xY=")</f>
        <v>#REF!</v>
      </c>
      <c r="X10" t="e">
        <f>AND(#REF!,"AAAAAH5u5xc=")</f>
        <v>#REF!</v>
      </c>
      <c r="Y10" t="e">
        <f>AND(#REF!,"AAAAAH5u5xg=")</f>
        <v>#REF!</v>
      </c>
      <c r="Z10" t="e">
        <f>AND(#REF!,"AAAAAH5u5xk=")</f>
        <v>#REF!</v>
      </c>
      <c r="AA10" t="e">
        <f>AND(#REF!,"AAAAAH5u5xo=")</f>
        <v>#REF!</v>
      </c>
      <c r="AB10" t="e">
        <f>AND(#REF!,"AAAAAH5u5xs=")</f>
        <v>#REF!</v>
      </c>
      <c r="AC10" t="e">
        <f>AND(#REF!,"AAAAAH5u5xw=")</f>
        <v>#REF!</v>
      </c>
      <c r="AD10" t="e">
        <f>AND(#REF!,"AAAAAH5u5x0=")</f>
        <v>#REF!</v>
      </c>
      <c r="AE10" t="e">
        <f>AND(#REF!,"AAAAAH5u5x4=")</f>
        <v>#REF!</v>
      </c>
      <c r="AF10" t="e">
        <f>AND(#REF!,"AAAAAH5u5x8=")</f>
        <v>#REF!</v>
      </c>
      <c r="AG10" t="e">
        <f>AND(#REF!,"AAAAAH5u5yA=")</f>
        <v>#REF!</v>
      </c>
      <c r="AH10" t="e">
        <f>AND(#REF!,"AAAAAH5u5yE=")</f>
        <v>#REF!</v>
      </c>
      <c r="AI10" t="e">
        <f>AND(#REF!,"AAAAAH5u5yI=")</f>
        <v>#REF!</v>
      </c>
      <c r="AJ10" t="e">
        <f>AND(#REF!,"AAAAAH5u5yM=")</f>
        <v>#REF!</v>
      </c>
      <c r="AK10" t="e">
        <f>AND(#REF!,"AAAAAH5u5yQ=")</f>
        <v>#REF!</v>
      </c>
      <c r="AL10" t="e">
        <f>AND(#REF!,"AAAAAH5u5yU=")</f>
        <v>#REF!</v>
      </c>
      <c r="AM10" t="e">
        <f>AND(#REF!,"AAAAAH5u5yY=")</f>
        <v>#REF!</v>
      </c>
      <c r="AN10" t="e">
        <f>AND(#REF!,"AAAAAH5u5yc=")</f>
        <v>#REF!</v>
      </c>
      <c r="AO10" t="e">
        <f>AND(#REF!,"AAAAAH5u5yg=")</f>
        <v>#REF!</v>
      </c>
      <c r="AP10" t="e">
        <f>AND(#REF!,"AAAAAH5u5yk=")</f>
        <v>#REF!</v>
      </c>
      <c r="AQ10" t="e">
        <f>AND(#REF!,"AAAAAH5u5yo=")</f>
        <v>#REF!</v>
      </c>
      <c r="AR10" t="e">
        <f>AND(#REF!,"AAAAAH5u5ys=")</f>
        <v>#REF!</v>
      </c>
      <c r="AS10" t="e">
        <f>AND(#REF!,"AAAAAH5u5yw=")</f>
        <v>#REF!</v>
      </c>
      <c r="AT10" t="e">
        <f>AND(#REF!,"AAAAAH5u5y0=")</f>
        <v>#REF!</v>
      </c>
      <c r="AU10" t="e">
        <f>AND(#REF!,"AAAAAH5u5y4=")</f>
        <v>#REF!</v>
      </c>
      <c r="AV10" t="e">
        <f>AND(#REF!,"AAAAAH5u5y8=")</f>
        <v>#REF!</v>
      </c>
      <c r="AW10" t="e">
        <f>AND(#REF!,"AAAAAH5u5zA=")</f>
        <v>#REF!</v>
      </c>
      <c r="AX10" t="e">
        <f>AND(#REF!,"AAAAAH5u5zE=")</f>
        <v>#REF!</v>
      </c>
      <c r="AY10" t="e">
        <f>AND(#REF!,"AAAAAH5u5zI=")</f>
        <v>#REF!</v>
      </c>
      <c r="AZ10" t="e">
        <f>IF(#REF!,"AAAAAH5u5zM=",0)</f>
        <v>#REF!</v>
      </c>
      <c r="BA10" t="e">
        <f>AND(#REF!,"AAAAAH5u5zQ=")</f>
        <v>#REF!</v>
      </c>
      <c r="BB10" t="e">
        <f>AND(#REF!,"AAAAAH5u5zU=")</f>
        <v>#REF!</v>
      </c>
      <c r="BC10" t="e">
        <f>AND(#REF!,"AAAAAH5u5zY=")</f>
        <v>#REF!</v>
      </c>
      <c r="BD10" t="e">
        <f>AND(#REF!,"AAAAAH5u5zc=")</f>
        <v>#REF!</v>
      </c>
      <c r="BE10" t="e">
        <f>AND(#REF!,"AAAAAH5u5zg=")</f>
        <v>#REF!</v>
      </c>
      <c r="BF10" t="e">
        <f>AND(#REF!,"AAAAAH5u5zk=")</f>
        <v>#REF!</v>
      </c>
      <c r="BG10" t="e">
        <f>AND(#REF!,"AAAAAH5u5zo=")</f>
        <v>#REF!</v>
      </c>
      <c r="BH10" t="e">
        <f>AND(#REF!,"AAAAAH5u5zs=")</f>
        <v>#REF!</v>
      </c>
      <c r="BI10" t="e">
        <f>AND(#REF!,"AAAAAH5u5zw=")</f>
        <v>#REF!</v>
      </c>
      <c r="BJ10" t="e">
        <f>AND(#REF!,"AAAAAH5u5z0=")</f>
        <v>#REF!</v>
      </c>
      <c r="BK10" t="e">
        <f>AND(#REF!,"AAAAAH5u5z4=")</f>
        <v>#REF!</v>
      </c>
      <c r="BL10" t="e">
        <f>AND(#REF!,"AAAAAH5u5z8=")</f>
        <v>#REF!</v>
      </c>
      <c r="BM10" t="e">
        <f>AND(#REF!,"AAAAAH5u50A=")</f>
        <v>#REF!</v>
      </c>
      <c r="BN10" t="e">
        <f>AND(#REF!,"AAAAAH5u50E=")</f>
        <v>#REF!</v>
      </c>
      <c r="BO10" t="e">
        <f>AND(#REF!,"AAAAAH5u50I=")</f>
        <v>#REF!</v>
      </c>
      <c r="BP10" t="e">
        <f>AND(#REF!,"AAAAAH5u50M=")</f>
        <v>#REF!</v>
      </c>
      <c r="BQ10" t="e">
        <f>AND(#REF!,"AAAAAH5u50Q=")</f>
        <v>#REF!</v>
      </c>
      <c r="BR10" t="e">
        <f>AND(#REF!,"AAAAAH5u50U=")</f>
        <v>#REF!</v>
      </c>
      <c r="BS10" t="e">
        <f>AND(#REF!,"AAAAAH5u50Y=")</f>
        <v>#REF!</v>
      </c>
      <c r="BT10" t="e">
        <f>AND(#REF!,"AAAAAH5u50c=")</f>
        <v>#REF!</v>
      </c>
      <c r="BU10" t="e">
        <f>AND(#REF!,"AAAAAH5u50g=")</f>
        <v>#REF!</v>
      </c>
      <c r="BV10" t="e">
        <f>AND(#REF!,"AAAAAH5u50k=")</f>
        <v>#REF!</v>
      </c>
      <c r="BW10" t="e">
        <f>AND(#REF!,"AAAAAH5u50o=")</f>
        <v>#REF!</v>
      </c>
      <c r="BX10" t="e">
        <f>AND(#REF!,"AAAAAH5u50s=")</f>
        <v>#REF!</v>
      </c>
      <c r="BY10" t="e">
        <f>AND(#REF!,"AAAAAH5u50w=")</f>
        <v>#REF!</v>
      </c>
      <c r="BZ10" t="e">
        <f>AND(#REF!,"AAAAAH5u500=")</f>
        <v>#REF!</v>
      </c>
      <c r="CA10" t="e">
        <f>AND(#REF!,"AAAAAH5u504=")</f>
        <v>#REF!</v>
      </c>
      <c r="CB10" t="e">
        <f>AND(#REF!,"AAAAAH5u508=")</f>
        <v>#REF!</v>
      </c>
      <c r="CC10" t="e">
        <f>AND(#REF!,"AAAAAH5u51A=")</f>
        <v>#REF!</v>
      </c>
      <c r="CD10" t="e">
        <f>AND(#REF!,"AAAAAH5u51E=")</f>
        <v>#REF!</v>
      </c>
      <c r="CE10" t="e">
        <f>AND(#REF!,"AAAAAH5u51I=")</f>
        <v>#REF!</v>
      </c>
      <c r="CF10" t="e">
        <f>AND(#REF!,"AAAAAH5u51M=")</f>
        <v>#REF!</v>
      </c>
      <c r="CG10" t="e">
        <f>AND(#REF!,"AAAAAH5u51Q=")</f>
        <v>#REF!</v>
      </c>
      <c r="CH10" t="e">
        <f>AND(#REF!,"AAAAAH5u51U=")</f>
        <v>#REF!</v>
      </c>
      <c r="CI10" t="e">
        <f>AND(#REF!,"AAAAAH5u51Y=")</f>
        <v>#REF!</v>
      </c>
      <c r="CJ10" t="e">
        <f>AND(#REF!,"AAAAAH5u51c=")</f>
        <v>#REF!</v>
      </c>
      <c r="CK10" t="e">
        <f>IF(#REF!,"AAAAAH5u51g=",0)</f>
        <v>#REF!</v>
      </c>
      <c r="CL10" t="e">
        <f>AND(#REF!,"AAAAAH5u51k=")</f>
        <v>#REF!</v>
      </c>
      <c r="CM10" t="e">
        <f>AND(#REF!,"AAAAAH5u51o=")</f>
        <v>#REF!</v>
      </c>
      <c r="CN10" t="e">
        <f>AND(#REF!,"AAAAAH5u51s=")</f>
        <v>#REF!</v>
      </c>
      <c r="CO10" t="e">
        <f>AND(#REF!,"AAAAAH5u51w=")</f>
        <v>#REF!</v>
      </c>
      <c r="CP10" t="e">
        <f>AND(#REF!,"AAAAAH5u510=")</f>
        <v>#REF!</v>
      </c>
      <c r="CQ10" t="e">
        <f>AND(#REF!,"AAAAAH5u514=")</f>
        <v>#REF!</v>
      </c>
      <c r="CR10" t="e">
        <f>AND(#REF!,"AAAAAH5u518=")</f>
        <v>#REF!</v>
      </c>
      <c r="CS10" t="e">
        <f>AND(#REF!,"AAAAAH5u52A=")</f>
        <v>#REF!</v>
      </c>
      <c r="CT10" t="e">
        <f>AND(#REF!,"AAAAAH5u52E=")</f>
        <v>#REF!</v>
      </c>
      <c r="CU10" t="e">
        <f>AND(#REF!,"AAAAAH5u52I=")</f>
        <v>#REF!</v>
      </c>
      <c r="CV10" t="e">
        <f>AND(#REF!,"AAAAAH5u52M=")</f>
        <v>#REF!</v>
      </c>
      <c r="CW10" t="e">
        <f>AND(#REF!,"AAAAAH5u52Q=")</f>
        <v>#REF!</v>
      </c>
      <c r="CX10" t="e">
        <f>AND(#REF!,"AAAAAH5u52U=")</f>
        <v>#REF!</v>
      </c>
      <c r="CY10" t="e">
        <f>AND(#REF!,"AAAAAH5u52Y=")</f>
        <v>#REF!</v>
      </c>
      <c r="CZ10" t="e">
        <f>AND(#REF!,"AAAAAH5u52c=")</f>
        <v>#REF!</v>
      </c>
      <c r="DA10" t="e">
        <f>AND(#REF!,"AAAAAH5u52g=")</f>
        <v>#REF!</v>
      </c>
      <c r="DB10" t="e">
        <f>AND(#REF!,"AAAAAH5u52k=")</f>
        <v>#REF!</v>
      </c>
      <c r="DC10" t="e">
        <f>AND(#REF!,"AAAAAH5u52o=")</f>
        <v>#REF!</v>
      </c>
      <c r="DD10" t="e">
        <f>AND(#REF!,"AAAAAH5u52s=")</f>
        <v>#REF!</v>
      </c>
      <c r="DE10" t="e">
        <f>AND(#REF!,"AAAAAH5u52w=")</f>
        <v>#REF!</v>
      </c>
      <c r="DF10" t="e">
        <f>AND(#REF!,"AAAAAH5u520=")</f>
        <v>#REF!</v>
      </c>
      <c r="DG10" t="e">
        <f>AND(#REF!,"AAAAAH5u524=")</f>
        <v>#REF!</v>
      </c>
      <c r="DH10" t="e">
        <f>AND(#REF!,"AAAAAH5u528=")</f>
        <v>#REF!</v>
      </c>
      <c r="DI10" t="e">
        <f>AND(#REF!,"AAAAAH5u53A=")</f>
        <v>#REF!</v>
      </c>
      <c r="DJ10" t="e">
        <f>AND(#REF!,"AAAAAH5u53E=")</f>
        <v>#REF!</v>
      </c>
      <c r="DK10" t="e">
        <f>AND(#REF!,"AAAAAH5u53I=")</f>
        <v>#REF!</v>
      </c>
      <c r="DL10" t="e">
        <f>AND(#REF!,"AAAAAH5u53M=")</f>
        <v>#REF!</v>
      </c>
      <c r="DM10" t="e">
        <f>AND(#REF!,"AAAAAH5u53Q=")</f>
        <v>#REF!</v>
      </c>
      <c r="DN10" t="e">
        <f>AND(#REF!,"AAAAAH5u53U=")</f>
        <v>#REF!</v>
      </c>
      <c r="DO10" t="e">
        <f>AND(#REF!,"AAAAAH5u53Y=")</f>
        <v>#REF!</v>
      </c>
      <c r="DP10" t="e">
        <f>AND(#REF!,"AAAAAH5u53c=")</f>
        <v>#REF!</v>
      </c>
      <c r="DQ10" t="e">
        <f>AND(#REF!,"AAAAAH5u53g=")</f>
        <v>#REF!</v>
      </c>
      <c r="DR10" t="e">
        <f>AND(#REF!,"AAAAAH5u53k=")</f>
        <v>#REF!</v>
      </c>
      <c r="DS10" t="e">
        <f>AND(#REF!,"AAAAAH5u53o=")</f>
        <v>#REF!</v>
      </c>
      <c r="DT10" t="e">
        <f>AND(#REF!,"AAAAAH5u53s=")</f>
        <v>#REF!</v>
      </c>
      <c r="DU10" t="e">
        <f>AND(#REF!,"AAAAAH5u53w=")</f>
        <v>#REF!</v>
      </c>
      <c r="DV10" t="e">
        <f>IF(#REF!,"AAAAAH5u530=",0)</f>
        <v>#REF!</v>
      </c>
      <c r="DW10" t="e">
        <f>AND(#REF!,"AAAAAH5u534=")</f>
        <v>#REF!</v>
      </c>
      <c r="DX10" t="e">
        <f>AND(#REF!,"AAAAAH5u538=")</f>
        <v>#REF!</v>
      </c>
      <c r="DY10" t="e">
        <f>AND(#REF!,"AAAAAH5u54A=")</f>
        <v>#REF!</v>
      </c>
      <c r="DZ10" t="e">
        <f>AND(#REF!,"AAAAAH5u54E=")</f>
        <v>#REF!</v>
      </c>
      <c r="EA10" t="e">
        <f>AND(#REF!,"AAAAAH5u54I=")</f>
        <v>#REF!</v>
      </c>
      <c r="EB10" t="e">
        <f>AND(#REF!,"AAAAAH5u54M=")</f>
        <v>#REF!</v>
      </c>
      <c r="EC10" t="e">
        <f>AND(#REF!,"AAAAAH5u54Q=")</f>
        <v>#REF!</v>
      </c>
      <c r="ED10" t="e">
        <f>AND(#REF!,"AAAAAH5u54U=")</f>
        <v>#REF!</v>
      </c>
      <c r="EE10" t="e">
        <f>AND(#REF!,"AAAAAH5u54Y=")</f>
        <v>#REF!</v>
      </c>
      <c r="EF10" t="e">
        <f>AND(#REF!,"AAAAAH5u54c=")</f>
        <v>#REF!</v>
      </c>
      <c r="EG10" t="e">
        <f>AND(#REF!,"AAAAAH5u54g=")</f>
        <v>#REF!</v>
      </c>
      <c r="EH10" t="e">
        <f>AND(#REF!,"AAAAAH5u54k=")</f>
        <v>#REF!</v>
      </c>
      <c r="EI10" t="e">
        <f>AND(#REF!,"AAAAAH5u54o=")</f>
        <v>#REF!</v>
      </c>
      <c r="EJ10" t="e">
        <f>AND(#REF!,"AAAAAH5u54s=")</f>
        <v>#REF!</v>
      </c>
      <c r="EK10" t="e">
        <f>AND(#REF!,"AAAAAH5u54w=")</f>
        <v>#REF!</v>
      </c>
      <c r="EL10" t="e">
        <f>AND(#REF!,"AAAAAH5u540=")</f>
        <v>#REF!</v>
      </c>
      <c r="EM10" t="e">
        <f>AND(#REF!,"AAAAAH5u544=")</f>
        <v>#REF!</v>
      </c>
      <c r="EN10" t="e">
        <f>AND(#REF!,"AAAAAH5u548=")</f>
        <v>#REF!</v>
      </c>
      <c r="EO10" t="e">
        <f>AND(#REF!,"AAAAAH5u55A=")</f>
        <v>#REF!</v>
      </c>
      <c r="EP10" t="e">
        <f>AND(#REF!,"AAAAAH5u55E=")</f>
        <v>#REF!</v>
      </c>
      <c r="EQ10" t="e">
        <f>AND(#REF!,"AAAAAH5u55I=")</f>
        <v>#REF!</v>
      </c>
      <c r="ER10" t="e">
        <f>AND(#REF!,"AAAAAH5u55M=")</f>
        <v>#REF!</v>
      </c>
      <c r="ES10" t="e">
        <f>AND(#REF!,"AAAAAH5u55Q=")</f>
        <v>#REF!</v>
      </c>
      <c r="ET10" t="e">
        <f>AND(#REF!,"AAAAAH5u55U=")</f>
        <v>#REF!</v>
      </c>
      <c r="EU10" t="e">
        <f>AND(#REF!,"AAAAAH5u55Y=")</f>
        <v>#REF!</v>
      </c>
      <c r="EV10" t="e">
        <f>AND(#REF!,"AAAAAH5u55c=")</f>
        <v>#REF!</v>
      </c>
      <c r="EW10" t="e">
        <f>AND(#REF!,"AAAAAH5u55g=")</f>
        <v>#REF!</v>
      </c>
      <c r="EX10" t="e">
        <f>AND(#REF!,"AAAAAH5u55k=")</f>
        <v>#REF!</v>
      </c>
      <c r="EY10" t="e">
        <f>AND(#REF!,"AAAAAH5u55o=")</f>
        <v>#REF!</v>
      </c>
      <c r="EZ10" t="e">
        <f>AND(#REF!,"AAAAAH5u55s=")</f>
        <v>#REF!</v>
      </c>
      <c r="FA10" t="e">
        <f>AND(#REF!,"AAAAAH5u55w=")</f>
        <v>#REF!</v>
      </c>
      <c r="FB10" t="e">
        <f>AND(#REF!,"AAAAAH5u550=")</f>
        <v>#REF!</v>
      </c>
      <c r="FC10" t="e">
        <f>AND(#REF!,"AAAAAH5u554=")</f>
        <v>#REF!</v>
      </c>
      <c r="FD10" t="e">
        <f>AND(#REF!,"AAAAAH5u558=")</f>
        <v>#REF!</v>
      </c>
      <c r="FE10" t="e">
        <f>AND(#REF!,"AAAAAH5u56A=")</f>
        <v>#REF!</v>
      </c>
      <c r="FF10" t="e">
        <f>AND(#REF!,"AAAAAH5u56E=")</f>
        <v>#REF!</v>
      </c>
      <c r="FG10" t="e">
        <f>IF(#REF!,"AAAAAH5u56I=",0)</f>
        <v>#REF!</v>
      </c>
      <c r="FH10" t="e">
        <f>AND(#REF!,"AAAAAH5u56M=")</f>
        <v>#REF!</v>
      </c>
      <c r="FI10" t="e">
        <f>AND(#REF!,"AAAAAH5u56Q=")</f>
        <v>#REF!</v>
      </c>
      <c r="FJ10" t="e">
        <f>AND(#REF!,"AAAAAH5u56U=")</f>
        <v>#REF!</v>
      </c>
      <c r="FK10" t="e">
        <f>AND(#REF!,"AAAAAH5u56Y=")</f>
        <v>#REF!</v>
      </c>
      <c r="FL10" t="e">
        <f>AND(#REF!,"AAAAAH5u56c=")</f>
        <v>#REF!</v>
      </c>
      <c r="FM10" t="e">
        <f>AND(#REF!,"AAAAAH5u56g=")</f>
        <v>#REF!</v>
      </c>
      <c r="FN10" t="e">
        <f>AND(#REF!,"AAAAAH5u56k=")</f>
        <v>#REF!</v>
      </c>
      <c r="FO10" t="e">
        <f>AND(#REF!,"AAAAAH5u56o=")</f>
        <v>#REF!</v>
      </c>
      <c r="FP10" t="e">
        <f>AND(#REF!,"AAAAAH5u56s=")</f>
        <v>#REF!</v>
      </c>
      <c r="FQ10" t="e">
        <f>AND(#REF!,"AAAAAH5u56w=")</f>
        <v>#REF!</v>
      </c>
      <c r="FR10" t="e">
        <f>AND(#REF!,"AAAAAH5u560=")</f>
        <v>#REF!</v>
      </c>
      <c r="FS10" t="e">
        <f>AND(#REF!,"AAAAAH5u564=")</f>
        <v>#REF!</v>
      </c>
      <c r="FT10" t="e">
        <f>AND(#REF!,"AAAAAH5u568=")</f>
        <v>#REF!</v>
      </c>
      <c r="FU10" t="e">
        <f>AND(#REF!,"AAAAAH5u57A=")</f>
        <v>#REF!</v>
      </c>
      <c r="FV10" t="e">
        <f>AND(#REF!,"AAAAAH5u57E=")</f>
        <v>#REF!</v>
      </c>
      <c r="FW10" t="e">
        <f>AND(#REF!,"AAAAAH5u57I=")</f>
        <v>#REF!</v>
      </c>
      <c r="FX10" t="e">
        <f>AND(#REF!,"AAAAAH5u57M=")</f>
        <v>#REF!</v>
      </c>
      <c r="FY10" t="e">
        <f>AND(#REF!,"AAAAAH5u57Q=")</f>
        <v>#REF!</v>
      </c>
      <c r="FZ10" t="e">
        <f>AND(#REF!,"AAAAAH5u57U=")</f>
        <v>#REF!</v>
      </c>
      <c r="GA10" t="e">
        <f>AND(#REF!,"AAAAAH5u57Y=")</f>
        <v>#REF!</v>
      </c>
      <c r="GB10" t="e">
        <f>AND(#REF!,"AAAAAH5u57c=")</f>
        <v>#REF!</v>
      </c>
      <c r="GC10" t="e">
        <f>AND(#REF!,"AAAAAH5u57g=")</f>
        <v>#REF!</v>
      </c>
      <c r="GD10" t="e">
        <f>AND(#REF!,"AAAAAH5u57k=")</f>
        <v>#REF!</v>
      </c>
      <c r="GE10" t="e">
        <f>AND(#REF!,"AAAAAH5u57o=")</f>
        <v>#REF!</v>
      </c>
      <c r="GF10" t="e">
        <f>AND(#REF!,"AAAAAH5u57s=")</f>
        <v>#REF!</v>
      </c>
      <c r="GG10" t="e">
        <f>AND(#REF!,"AAAAAH5u57w=")</f>
        <v>#REF!</v>
      </c>
      <c r="GH10" t="e">
        <f>AND(#REF!,"AAAAAH5u570=")</f>
        <v>#REF!</v>
      </c>
      <c r="GI10" t="e">
        <f>AND(#REF!,"AAAAAH5u574=")</f>
        <v>#REF!</v>
      </c>
      <c r="GJ10" t="e">
        <f>AND(#REF!,"AAAAAH5u578=")</f>
        <v>#REF!</v>
      </c>
      <c r="GK10" t="e">
        <f>AND(#REF!,"AAAAAH5u58A=")</f>
        <v>#REF!</v>
      </c>
      <c r="GL10" t="e">
        <f>AND(#REF!,"AAAAAH5u58E=")</f>
        <v>#REF!</v>
      </c>
      <c r="GM10" t="e">
        <f>AND(#REF!,"AAAAAH5u58I=")</f>
        <v>#REF!</v>
      </c>
      <c r="GN10" t="e">
        <f>AND(#REF!,"AAAAAH5u58M=")</f>
        <v>#REF!</v>
      </c>
      <c r="GO10" t="e">
        <f>AND(#REF!,"AAAAAH5u58Q=")</f>
        <v>#REF!</v>
      </c>
      <c r="GP10" t="e">
        <f>AND(#REF!,"AAAAAH5u58U=")</f>
        <v>#REF!</v>
      </c>
      <c r="GQ10" t="e">
        <f>AND(#REF!,"AAAAAH5u58Y=")</f>
        <v>#REF!</v>
      </c>
      <c r="GR10" t="e">
        <f>IF(#REF!,"AAAAAH5u58c=",0)</f>
        <v>#REF!</v>
      </c>
      <c r="GS10" t="e">
        <f>AND(#REF!,"AAAAAH5u58g=")</f>
        <v>#REF!</v>
      </c>
      <c r="GT10" t="e">
        <f>AND(#REF!,"AAAAAH5u58k=")</f>
        <v>#REF!</v>
      </c>
      <c r="GU10" t="e">
        <f>AND(#REF!,"AAAAAH5u58o=")</f>
        <v>#REF!</v>
      </c>
      <c r="GV10" t="e">
        <f>AND(#REF!,"AAAAAH5u58s=")</f>
        <v>#REF!</v>
      </c>
      <c r="GW10" t="e">
        <f>AND(#REF!,"AAAAAH5u58w=")</f>
        <v>#REF!</v>
      </c>
      <c r="GX10" t="e">
        <f>AND(#REF!,"AAAAAH5u580=")</f>
        <v>#REF!</v>
      </c>
      <c r="GY10" t="e">
        <f>AND(#REF!,"AAAAAH5u584=")</f>
        <v>#REF!</v>
      </c>
      <c r="GZ10" t="e">
        <f>AND(#REF!,"AAAAAH5u588=")</f>
        <v>#REF!</v>
      </c>
      <c r="HA10" t="e">
        <f>AND(#REF!,"AAAAAH5u59A=")</f>
        <v>#REF!</v>
      </c>
      <c r="HB10" t="e">
        <f>AND(#REF!,"AAAAAH5u59E=")</f>
        <v>#REF!</v>
      </c>
      <c r="HC10" t="e">
        <f>AND(#REF!,"AAAAAH5u59I=")</f>
        <v>#REF!</v>
      </c>
      <c r="HD10" t="e">
        <f>AND(#REF!,"AAAAAH5u59M=")</f>
        <v>#REF!</v>
      </c>
      <c r="HE10" t="e">
        <f>AND(#REF!,"AAAAAH5u59Q=")</f>
        <v>#REF!</v>
      </c>
      <c r="HF10" t="e">
        <f>AND(#REF!,"AAAAAH5u59U=")</f>
        <v>#REF!</v>
      </c>
      <c r="HG10" t="e">
        <f>AND(#REF!,"AAAAAH5u59Y=")</f>
        <v>#REF!</v>
      </c>
      <c r="HH10" t="e">
        <f>AND(#REF!,"AAAAAH5u59c=")</f>
        <v>#REF!</v>
      </c>
      <c r="HI10" t="e">
        <f>AND(#REF!,"AAAAAH5u59g=")</f>
        <v>#REF!</v>
      </c>
      <c r="HJ10" t="e">
        <f>AND(#REF!,"AAAAAH5u59k=")</f>
        <v>#REF!</v>
      </c>
      <c r="HK10" t="e">
        <f>AND(#REF!,"AAAAAH5u59o=")</f>
        <v>#REF!</v>
      </c>
      <c r="HL10" t="e">
        <f>AND(#REF!,"AAAAAH5u59s=")</f>
        <v>#REF!</v>
      </c>
      <c r="HM10" t="e">
        <f>AND(#REF!,"AAAAAH5u59w=")</f>
        <v>#REF!</v>
      </c>
      <c r="HN10" t="e">
        <f>AND(#REF!,"AAAAAH5u590=")</f>
        <v>#REF!</v>
      </c>
      <c r="HO10" t="e">
        <f>AND(#REF!,"AAAAAH5u594=")</f>
        <v>#REF!</v>
      </c>
      <c r="HP10" t="e">
        <f>AND(#REF!,"AAAAAH5u598=")</f>
        <v>#REF!</v>
      </c>
      <c r="HQ10" t="e">
        <f>AND(#REF!,"AAAAAH5u5+A=")</f>
        <v>#REF!</v>
      </c>
      <c r="HR10" t="e">
        <f>AND(#REF!,"AAAAAH5u5+E=")</f>
        <v>#REF!</v>
      </c>
      <c r="HS10" t="e">
        <f>AND(#REF!,"AAAAAH5u5+I=")</f>
        <v>#REF!</v>
      </c>
      <c r="HT10" t="e">
        <f>AND(#REF!,"AAAAAH5u5+M=")</f>
        <v>#REF!</v>
      </c>
      <c r="HU10" t="e">
        <f>AND(#REF!,"AAAAAH5u5+Q=")</f>
        <v>#REF!</v>
      </c>
      <c r="HV10" t="e">
        <f>AND(#REF!,"AAAAAH5u5+U=")</f>
        <v>#REF!</v>
      </c>
      <c r="HW10" t="e">
        <f>AND(#REF!,"AAAAAH5u5+Y=")</f>
        <v>#REF!</v>
      </c>
      <c r="HX10" t="e">
        <f>AND(#REF!,"AAAAAH5u5+c=")</f>
        <v>#REF!</v>
      </c>
      <c r="HY10" t="e">
        <f>AND(#REF!,"AAAAAH5u5+g=")</f>
        <v>#REF!</v>
      </c>
      <c r="HZ10" t="e">
        <f>AND(#REF!,"AAAAAH5u5+k=")</f>
        <v>#REF!</v>
      </c>
      <c r="IA10" t="e">
        <f>AND(#REF!,"AAAAAH5u5+o=")</f>
        <v>#REF!</v>
      </c>
      <c r="IB10" t="e">
        <f>AND(#REF!,"AAAAAH5u5+s=")</f>
        <v>#REF!</v>
      </c>
      <c r="IC10" t="e">
        <f>IF(#REF!,"AAAAAH5u5+w=",0)</f>
        <v>#REF!</v>
      </c>
      <c r="ID10" t="e">
        <f>AND(#REF!,"AAAAAH5u5+0=")</f>
        <v>#REF!</v>
      </c>
      <c r="IE10" t="e">
        <f>AND(#REF!,"AAAAAH5u5+4=")</f>
        <v>#REF!</v>
      </c>
      <c r="IF10" t="e">
        <f>AND(#REF!,"AAAAAH5u5+8=")</f>
        <v>#REF!</v>
      </c>
      <c r="IG10" t="e">
        <f>AND(#REF!,"AAAAAH5u5/A=")</f>
        <v>#REF!</v>
      </c>
      <c r="IH10" t="e">
        <f>AND(#REF!,"AAAAAH5u5/E=")</f>
        <v>#REF!</v>
      </c>
      <c r="II10" t="e">
        <f>AND(#REF!,"AAAAAH5u5/I=")</f>
        <v>#REF!</v>
      </c>
      <c r="IJ10" t="e">
        <f>AND(#REF!,"AAAAAH5u5/M=")</f>
        <v>#REF!</v>
      </c>
      <c r="IK10" t="e">
        <f>AND(#REF!,"AAAAAH5u5/Q=")</f>
        <v>#REF!</v>
      </c>
      <c r="IL10" t="e">
        <f>AND(#REF!,"AAAAAH5u5/U=")</f>
        <v>#REF!</v>
      </c>
      <c r="IM10" t="e">
        <f>AND(#REF!,"AAAAAH5u5/Y=")</f>
        <v>#REF!</v>
      </c>
      <c r="IN10" t="e">
        <f>AND(#REF!,"AAAAAH5u5/c=")</f>
        <v>#REF!</v>
      </c>
      <c r="IO10" t="e">
        <f>AND(#REF!,"AAAAAH5u5/g=")</f>
        <v>#REF!</v>
      </c>
      <c r="IP10" t="e">
        <f>AND(#REF!,"AAAAAH5u5/k=")</f>
        <v>#REF!</v>
      </c>
      <c r="IQ10" t="e">
        <f>AND(#REF!,"AAAAAH5u5/o=")</f>
        <v>#REF!</v>
      </c>
      <c r="IR10" t="e">
        <f>AND(#REF!,"AAAAAH5u5/s=")</f>
        <v>#REF!</v>
      </c>
      <c r="IS10" t="e">
        <f>AND(#REF!,"AAAAAH5u5/w=")</f>
        <v>#REF!</v>
      </c>
      <c r="IT10" t="e">
        <f>AND(#REF!,"AAAAAH5u5/0=")</f>
        <v>#REF!</v>
      </c>
      <c r="IU10" t="e">
        <f>AND(#REF!,"AAAAAH5u5/4=")</f>
        <v>#REF!</v>
      </c>
      <c r="IV10" t="e">
        <f>AND(#REF!,"AAAAAH5u5/8=")</f>
        <v>#REF!</v>
      </c>
    </row>
    <row r="11" spans="1:256">
      <c r="A11" t="e">
        <f>AND(#REF!,"AAAAAH3dtAA=")</f>
        <v>#REF!</v>
      </c>
      <c r="B11" t="e">
        <f>AND(#REF!,"AAAAAH3dtAE=")</f>
        <v>#REF!</v>
      </c>
      <c r="C11" t="e">
        <f>AND(#REF!,"AAAAAH3dtAI=")</f>
        <v>#REF!</v>
      </c>
      <c r="D11" t="e">
        <f>AND(#REF!,"AAAAAH3dtAM=")</f>
        <v>#REF!</v>
      </c>
      <c r="E11" t="e">
        <f>AND(#REF!,"AAAAAH3dtAQ=")</f>
        <v>#REF!</v>
      </c>
      <c r="F11" t="e">
        <f>AND(#REF!,"AAAAAH3dtAU=")</f>
        <v>#REF!</v>
      </c>
      <c r="G11" t="e">
        <f>AND(#REF!,"AAAAAH3dtAY=")</f>
        <v>#REF!</v>
      </c>
      <c r="H11" t="e">
        <f>AND(#REF!,"AAAAAH3dtAc=")</f>
        <v>#REF!</v>
      </c>
      <c r="I11" t="e">
        <f>AND(#REF!,"AAAAAH3dtAg=")</f>
        <v>#REF!</v>
      </c>
      <c r="J11" t="e">
        <f>AND(#REF!,"AAAAAH3dtAk=")</f>
        <v>#REF!</v>
      </c>
      <c r="K11" t="e">
        <f>AND(#REF!,"AAAAAH3dtAo=")</f>
        <v>#REF!</v>
      </c>
      <c r="L11" t="e">
        <f>AND(#REF!,"AAAAAH3dtAs=")</f>
        <v>#REF!</v>
      </c>
      <c r="M11" t="e">
        <f>AND(#REF!,"AAAAAH3dtAw=")</f>
        <v>#REF!</v>
      </c>
      <c r="N11" t="e">
        <f>AND(#REF!,"AAAAAH3dtA0=")</f>
        <v>#REF!</v>
      </c>
      <c r="O11" t="e">
        <f>AND(#REF!,"AAAAAH3dtA4=")</f>
        <v>#REF!</v>
      </c>
      <c r="P11" t="e">
        <f>AND(#REF!,"AAAAAH3dtA8=")</f>
        <v>#REF!</v>
      </c>
      <c r="Q11" t="e">
        <f>AND(#REF!,"AAAAAH3dtBA=")</f>
        <v>#REF!</v>
      </c>
      <c r="R11" t="e">
        <f>IF(#REF!,"AAAAAH3dtBE=",0)</f>
        <v>#REF!</v>
      </c>
      <c r="S11" t="e">
        <f>AND(#REF!,"AAAAAH3dtBI=")</f>
        <v>#REF!</v>
      </c>
      <c r="T11" t="e">
        <f>AND(#REF!,"AAAAAH3dtBM=")</f>
        <v>#REF!</v>
      </c>
      <c r="U11" t="e">
        <f>AND(#REF!,"AAAAAH3dtBQ=")</f>
        <v>#REF!</v>
      </c>
      <c r="V11" t="e">
        <f>AND(#REF!,"AAAAAH3dtBU=")</f>
        <v>#REF!</v>
      </c>
      <c r="W11" t="e">
        <f>AND(#REF!,"AAAAAH3dtBY=")</f>
        <v>#REF!</v>
      </c>
      <c r="X11" t="e">
        <f>AND(#REF!,"AAAAAH3dtBc=")</f>
        <v>#REF!</v>
      </c>
      <c r="Y11" t="e">
        <f>AND(#REF!,"AAAAAH3dtBg=")</f>
        <v>#REF!</v>
      </c>
      <c r="Z11" t="e">
        <f>AND(#REF!,"AAAAAH3dtBk=")</f>
        <v>#REF!</v>
      </c>
      <c r="AA11" t="e">
        <f>AND(#REF!,"AAAAAH3dtBo=")</f>
        <v>#REF!</v>
      </c>
      <c r="AB11" t="e">
        <f>AND(#REF!,"AAAAAH3dtBs=")</f>
        <v>#REF!</v>
      </c>
      <c r="AC11" t="e">
        <f>AND(#REF!,"AAAAAH3dtBw=")</f>
        <v>#REF!</v>
      </c>
      <c r="AD11" t="e">
        <f>AND(#REF!,"AAAAAH3dtB0=")</f>
        <v>#REF!</v>
      </c>
      <c r="AE11" t="e">
        <f>AND(#REF!,"AAAAAH3dtB4=")</f>
        <v>#REF!</v>
      </c>
      <c r="AF11" t="e">
        <f>AND(#REF!,"AAAAAH3dtB8=")</f>
        <v>#REF!</v>
      </c>
      <c r="AG11" t="e">
        <f>AND(#REF!,"AAAAAH3dtCA=")</f>
        <v>#REF!</v>
      </c>
      <c r="AH11" t="e">
        <f>AND(#REF!,"AAAAAH3dtCE=")</f>
        <v>#REF!</v>
      </c>
      <c r="AI11" t="e">
        <f>AND(#REF!,"AAAAAH3dtCI=")</f>
        <v>#REF!</v>
      </c>
      <c r="AJ11" t="e">
        <f>AND(#REF!,"AAAAAH3dtCM=")</f>
        <v>#REF!</v>
      </c>
      <c r="AK11" t="e">
        <f>AND(#REF!,"AAAAAH3dtCQ=")</f>
        <v>#REF!</v>
      </c>
      <c r="AL11" t="e">
        <f>AND(#REF!,"AAAAAH3dtCU=")</f>
        <v>#REF!</v>
      </c>
      <c r="AM11" t="e">
        <f>AND(#REF!,"AAAAAH3dtCY=")</f>
        <v>#REF!</v>
      </c>
      <c r="AN11" t="e">
        <f>AND(#REF!,"AAAAAH3dtCc=")</f>
        <v>#REF!</v>
      </c>
      <c r="AO11" t="e">
        <f>AND(#REF!,"AAAAAH3dtCg=")</f>
        <v>#REF!</v>
      </c>
      <c r="AP11" t="e">
        <f>AND(#REF!,"AAAAAH3dtCk=")</f>
        <v>#REF!</v>
      </c>
      <c r="AQ11" t="e">
        <f>AND(#REF!,"AAAAAH3dtCo=")</f>
        <v>#REF!</v>
      </c>
      <c r="AR11" t="e">
        <f>AND(#REF!,"AAAAAH3dtCs=")</f>
        <v>#REF!</v>
      </c>
      <c r="AS11" t="e">
        <f>AND(#REF!,"AAAAAH3dtCw=")</f>
        <v>#REF!</v>
      </c>
      <c r="AT11" t="e">
        <f>AND(#REF!,"AAAAAH3dtC0=")</f>
        <v>#REF!</v>
      </c>
      <c r="AU11" t="e">
        <f>AND(#REF!,"AAAAAH3dtC4=")</f>
        <v>#REF!</v>
      </c>
      <c r="AV11" t="e">
        <f>AND(#REF!,"AAAAAH3dtC8=")</f>
        <v>#REF!</v>
      </c>
      <c r="AW11" t="e">
        <f>AND(#REF!,"AAAAAH3dtDA=")</f>
        <v>#REF!</v>
      </c>
      <c r="AX11" t="e">
        <f>AND(#REF!,"AAAAAH3dtDE=")</f>
        <v>#REF!</v>
      </c>
      <c r="AY11" t="e">
        <f>AND(#REF!,"AAAAAH3dtDI=")</f>
        <v>#REF!</v>
      </c>
      <c r="AZ11" t="e">
        <f>AND(#REF!,"AAAAAH3dtDM=")</f>
        <v>#REF!</v>
      </c>
      <c r="BA11" t="e">
        <f>AND(#REF!,"AAAAAH3dtDQ=")</f>
        <v>#REF!</v>
      </c>
      <c r="BB11" t="e">
        <f>AND(#REF!,"AAAAAH3dtDU=")</f>
        <v>#REF!</v>
      </c>
      <c r="BC11" t="e">
        <f>IF(#REF!,"AAAAAH3dtDY=",0)</f>
        <v>#REF!</v>
      </c>
      <c r="BD11" t="e">
        <f>AND(#REF!,"AAAAAH3dtDc=")</f>
        <v>#REF!</v>
      </c>
      <c r="BE11" t="e">
        <f>AND(#REF!,"AAAAAH3dtDg=")</f>
        <v>#REF!</v>
      </c>
      <c r="BF11" t="e">
        <f>AND(#REF!,"AAAAAH3dtDk=")</f>
        <v>#REF!</v>
      </c>
      <c r="BG11" t="e">
        <f>AND(#REF!,"AAAAAH3dtDo=")</f>
        <v>#REF!</v>
      </c>
      <c r="BH11" t="e">
        <f>AND(#REF!,"AAAAAH3dtDs=")</f>
        <v>#REF!</v>
      </c>
      <c r="BI11" t="e">
        <f>AND(#REF!,"AAAAAH3dtDw=")</f>
        <v>#REF!</v>
      </c>
      <c r="BJ11" t="e">
        <f>AND(#REF!,"AAAAAH3dtD0=")</f>
        <v>#REF!</v>
      </c>
      <c r="BK11" t="e">
        <f>AND(#REF!,"AAAAAH3dtD4=")</f>
        <v>#REF!</v>
      </c>
      <c r="BL11" t="e">
        <f>AND(#REF!,"AAAAAH3dtD8=")</f>
        <v>#REF!</v>
      </c>
      <c r="BM11" t="e">
        <f>AND(#REF!,"AAAAAH3dtEA=")</f>
        <v>#REF!</v>
      </c>
      <c r="BN11" t="e">
        <f>AND(#REF!,"AAAAAH3dtEE=")</f>
        <v>#REF!</v>
      </c>
      <c r="BO11" t="e">
        <f>AND(#REF!,"AAAAAH3dtEI=")</f>
        <v>#REF!</v>
      </c>
      <c r="BP11" t="e">
        <f>AND(#REF!,"AAAAAH3dtEM=")</f>
        <v>#REF!</v>
      </c>
      <c r="BQ11" t="e">
        <f>AND(#REF!,"AAAAAH3dtEQ=")</f>
        <v>#REF!</v>
      </c>
      <c r="BR11" t="e">
        <f>AND(#REF!,"AAAAAH3dtEU=")</f>
        <v>#REF!</v>
      </c>
      <c r="BS11" t="e">
        <f>AND(#REF!,"AAAAAH3dtEY=")</f>
        <v>#REF!</v>
      </c>
      <c r="BT11" t="e">
        <f>AND(#REF!,"AAAAAH3dtEc=")</f>
        <v>#REF!</v>
      </c>
      <c r="BU11" t="e">
        <f>AND(#REF!,"AAAAAH3dtEg=")</f>
        <v>#REF!</v>
      </c>
      <c r="BV11" t="e">
        <f>AND(#REF!,"AAAAAH3dtEk=")</f>
        <v>#REF!</v>
      </c>
      <c r="BW11" t="e">
        <f>AND(#REF!,"AAAAAH3dtEo=")</f>
        <v>#REF!</v>
      </c>
      <c r="BX11" t="e">
        <f>AND(#REF!,"AAAAAH3dtEs=")</f>
        <v>#REF!</v>
      </c>
      <c r="BY11" t="e">
        <f>AND(#REF!,"AAAAAH3dtEw=")</f>
        <v>#REF!</v>
      </c>
      <c r="BZ11" t="e">
        <f>AND(#REF!,"AAAAAH3dtE0=")</f>
        <v>#REF!</v>
      </c>
      <c r="CA11" t="e">
        <f>AND(#REF!,"AAAAAH3dtE4=")</f>
        <v>#REF!</v>
      </c>
      <c r="CB11" t="e">
        <f>AND(#REF!,"AAAAAH3dtE8=")</f>
        <v>#REF!</v>
      </c>
      <c r="CC11" t="e">
        <f>AND(#REF!,"AAAAAH3dtFA=")</f>
        <v>#REF!</v>
      </c>
      <c r="CD11" t="e">
        <f>AND(#REF!,"AAAAAH3dtFE=")</f>
        <v>#REF!</v>
      </c>
      <c r="CE11" t="e">
        <f>AND(#REF!,"AAAAAH3dtFI=")</f>
        <v>#REF!</v>
      </c>
      <c r="CF11" t="e">
        <f>AND(#REF!,"AAAAAH3dtFM=")</f>
        <v>#REF!</v>
      </c>
      <c r="CG11" t="e">
        <f>AND(#REF!,"AAAAAH3dtFQ=")</f>
        <v>#REF!</v>
      </c>
      <c r="CH11" t="e">
        <f>AND(#REF!,"AAAAAH3dtFU=")</f>
        <v>#REF!</v>
      </c>
      <c r="CI11" t="e">
        <f>AND(#REF!,"AAAAAH3dtFY=")</f>
        <v>#REF!</v>
      </c>
      <c r="CJ11" t="e">
        <f>AND(#REF!,"AAAAAH3dtFc=")</f>
        <v>#REF!</v>
      </c>
      <c r="CK11" t="e">
        <f>AND(#REF!,"AAAAAH3dtFg=")</f>
        <v>#REF!</v>
      </c>
      <c r="CL11" t="e">
        <f>AND(#REF!,"AAAAAH3dtFk=")</f>
        <v>#REF!</v>
      </c>
      <c r="CM11" t="e">
        <f>AND(#REF!,"AAAAAH3dtFo=")</f>
        <v>#REF!</v>
      </c>
      <c r="CN11" t="e">
        <f>IF(#REF!,"AAAAAH3dtFs=",0)</f>
        <v>#REF!</v>
      </c>
      <c r="CO11" t="e">
        <f>AND(#REF!,"AAAAAH3dtFw=")</f>
        <v>#REF!</v>
      </c>
      <c r="CP11" t="e">
        <f>AND(#REF!,"AAAAAH3dtF0=")</f>
        <v>#REF!</v>
      </c>
      <c r="CQ11" t="e">
        <f>AND(#REF!,"AAAAAH3dtF4=")</f>
        <v>#REF!</v>
      </c>
      <c r="CR11" t="e">
        <f>AND(#REF!,"AAAAAH3dtF8=")</f>
        <v>#REF!</v>
      </c>
      <c r="CS11" t="e">
        <f>AND(#REF!,"AAAAAH3dtGA=")</f>
        <v>#REF!</v>
      </c>
      <c r="CT11" t="e">
        <f>AND(#REF!,"AAAAAH3dtGE=")</f>
        <v>#REF!</v>
      </c>
      <c r="CU11" t="e">
        <f>AND(#REF!,"AAAAAH3dtGI=")</f>
        <v>#REF!</v>
      </c>
      <c r="CV11" t="e">
        <f>AND(#REF!,"AAAAAH3dtGM=")</f>
        <v>#REF!</v>
      </c>
      <c r="CW11" t="e">
        <f>AND(#REF!,"AAAAAH3dtGQ=")</f>
        <v>#REF!</v>
      </c>
      <c r="CX11" t="e">
        <f>AND(#REF!,"AAAAAH3dtGU=")</f>
        <v>#REF!</v>
      </c>
      <c r="CY11" t="e">
        <f>AND(#REF!,"AAAAAH3dtGY=")</f>
        <v>#REF!</v>
      </c>
      <c r="CZ11" t="e">
        <f>AND(#REF!,"AAAAAH3dtGc=")</f>
        <v>#REF!</v>
      </c>
      <c r="DA11" t="e">
        <f>AND(#REF!,"AAAAAH3dtGg=")</f>
        <v>#REF!</v>
      </c>
      <c r="DB11" t="e">
        <f>AND(#REF!,"AAAAAH3dtGk=")</f>
        <v>#REF!</v>
      </c>
      <c r="DC11" t="e">
        <f>AND(#REF!,"AAAAAH3dtGo=")</f>
        <v>#REF!</v>
      </c>
      <c r="DD11" t="e">
        <f>AND(#REF!,"AAAAAH3dtGs=")</f>
        <v>#REF!</v>
      </c>
      <c r="DE11" t="e">
        <f>AND(#REF!,"AAAAAH3dtGw=")</f>
        <v>#REF!</v>
      </c>
      <c r="DF11" t="e">
        <f>AND(#REF!,"AAAAAH3dtG0=")</f>
        <v>#REF!</v>
      </c>
      <c r="DG11" t="e">
        <f>AND(#REF!,"AAAAAH3dtG4=")</f>
        <v>#REF!</v>
      </c>
      <c r="DH11" t="e">
        <f>AND(#REF!,"AAAAAH3dtG8=")</f>
        <v>#REF!</v>
      </c>
      <c r="DI11" t="e">
        <f>AND(#REF!,"AAAAAH3dtHA=")</f>
        <v>#REF!</v>
      </c>
      <c r="DJ11" t="e">
        <f>AND(#REF!,"AAAAAH3dtHE=")</f>
        <v>#REF!</v>
      </c>
      <c r="DK11" t="e">
        <f>AND(#REF!,"AAAAAH3dtHI=")</f>
        <v>#REF!</v>
      </c>
      <c r="DL11" t="e">
        <f>AND(#REF!,"AAAAAH3dtHM=")</f>
        <v>#REF!</v>
      </c>
      <c r="DM11" t="e">
        <f>AND(#REF!,"AAAAAH3dtHQ=")</f>
        <v>#REF!</v>
      </c>
      <c r="DN11" t="e">
        <f>AND(#REF!,"AAAAAH3dtHU=")</f>
        <v>#REF!</v>
      </c>
      <c r="DO11" t="e">
        <f>AND(#REF!,"AAAAAH3dtHY=")</f>
        <v>#REF!</v>
      </c>
      <c r="DP11" t="e">
        <f>AND(#REF!,"AAAAAH3dtHc=")</f>
        <v>#REF!</v>
      </c>
      <c r="DQ11" t="e">
        <f>AND(#REF!,"AAAAAH3dtHg=")</f>
        <v>#REF!</v>
      </c>
      <c r="DR11" t="e">
        <f>AND(#REF!,"AAAAAH3dtHk=")</f>
        <v>#REF!</v>
      </c>
      <c r="DS11" t="e">
        <f>AND(#REF!,"AAAAAH3dtHo=")</f>
        <v>#REF!</v>
      </c>
      <c r="DT11" t="e">
        <f>AND(#REF!,"AAAAAH3dtHs=")</f>
        <v>#REF!</v>
      </c>
      <c r="DU11" t="e">
        <f>AND(#REF!,"AAAAAH3dtHw=")</f>
        <v>#REF!</v>
      </c>
      <c r="DV11" t="e">
        <f>AND(#REF!,"AAAAAH3dtH0=")</f>
        <v>#REF!</v>
      </c>
      <c r="DW11" t="e">
        <f>AND(#REF!,"AAAAAH3dtH4=")</f>
        <v>#REF!</v>
      </c>
      <c r="DX11" t="e">
        <f>AND(#REF!,"AAAAAH3dtH8=")</f>
        <v>#REF!</v>
      </c>
      <c r="DY11" t="e">
        <f>IF(#REF!,"AAAAAH3dtIA=",0)</f>
        <v>#REF!</v>
      </c>
      <c r="DZ11" t="e">
        <f>AND(#REF!,"AAAAAH3dtIE=")</f>
        <v>#REF!</v>
      </c>
      <c r="EA11" t="e">
        <f>AND(#REF!,"AAAAAH3dtII=")</f>
        <v>#REF!</v>
      </c>
      <c r="EB11" t="e">
        <f>AND(#REF!,"AAAAAH3dtIM=")</f>
        <v>#REF!</v>
      </c>
      <c r="EC11" t="e">
        <f>AND(#REF!,"AAAAAH3dtIQ=")</f>
        <v>#REF!</v>
      </c>
      <c r="ED11" t="e">
        <f>AND(#REF!,"AAAAAH3dtIU=")</f>
        <v>#REF!</v>
      </c>
      <c r="EE11" t="e">
        <f>AND(#REF!,"AAAAAH3dtIY=")</f>
        <v>#REF!</v>
      </c>
      <c r="EF11" t="e">
        <f>AND(#REF!,"AAAAAH3dtIc=")</f>
        <v>#REF!</v>
      </c>
      <c r="EG11" t="e">
        <f>AND(#REF!,"AAAAAH3dtIg=")</f>
        <v>#REF!</v>
      </c>
      <c r="EH11" t="e">
        <f>AND(#REF!,"AAAAAH3dtIk=")</f>
        <v>#REF!</v>
      </c>
      <c r="EI11" t="e">
        <f>AND(#REF!,"AAAAAH3dtIo=")</f>
        <v>#REF!</v>
      </c>
      <c r="EJ11" t="e">
        <f>AND(#REF!,"AAAAAH3dtIs=")</f>
        <v>#REF!</v>
      </c>
      <c r="EK11" t="e">
        <f>AND(#REF!,"AAAAAH3dtIw=")</f>
        <v>#REF!</v>
      </c>
      <c r="EL11" t="e">
        <f>AND(#REF!,"AAAAAH3dtI0=")</f>
        <v>#REF!</v>
      </c>
      <c r="EM11" t="e">
        <f>AND(#REF!,"AAAAAH3dtI4=")</f>
        <v>#REF!</v>
      </c>
      <c r="EN11" t="e">
        <f>AND(#REF!,"AAAAAH3dtI8=")</f>
        <v>#REF!</v>
      </c>
      <c r="EO11" t="e">
        <f>AND(#REF!,"AAAAAH3dtJA=")</f>
        <v>#REF!</v>
      </c>
      <c r="EP11" t="e">
        <f>AND(#REF!,"AAAAAH3dtJE=")</f>
        <v>#REF!</v>
      </c>
      <c r="EQ11" t="e">
        <f>AND(#REF!,"AAAAAH3dtJI=")</f>
        <v>#REF!</v>
      </c>
      <c r="ER11" t="e">
        <f>AND(#REF!,"AAAAAH3dtJM=")</f>
        <v>#REF!</v>
      </c>
      <c r="ES11" t="e">
        <f>AND(#REF!,"AAAAAH3dtJQ=")</f>
        <v>#REF!</v>
      </c>
      <c r="ET11" t="e">
        <f>AND(#REF!,"AAAAAH3dtJU=")</f>
        <v>#REF!</v>
      </c>
      <c r="EU11" t="e">
        <f>AND(#REF!,"AAAAAH3dtJY=")</f>
        <v>#REF!</v>
      </c>
      <c r="EV11" t="e">
        <f>AND(#REF!,"AAAAAH3dtJc=")</f>
        <v>#REF!</v>
      </c>
      <c r="EW11" t="e">
        <f>AND(#REF!,"AAAAAH3dtJg=")</f>
        <v>#REF!</v>
      </c>
      <c r="EX11" t="e">
        <f>AND(#REF!,"AAAAAH3dtJk=")</f>
        <v>#REF!</v>
      </c>
      <c r="EY11" t="e">
        <f>AND(#REF!,"AAAAAH3dtJo=")</f>
        <v>#REF!</v>
      </c>
      <c r="EZ11" t="e">
        <f>AND(#REF!,"AAAAAH3dtJs=")</f>
        <v>#REF!</v>
      </c>
      <c r="FA11" t="e">
        <f>AND(#REF!,"AAAAAH3dtJw=")</f>
        <v>#REF!</v>
      </c>
      <c r="FB11" t="e">
        <f>AND(#REF!,"AAAAAH3dtJ0=")</f>
        <v>#REF!</v>
      </c>
      <c r="FC11" t="e">
        <f>AND(#REF!,"AAAAAH3dtJ4=")</f>
        <v>#REF!</v>
      </c>
      <c r="FD11" t="e">
        <f>AND(#REF!,"AAAAAH3dtJ8=")</f>
        <v>#REF!</v>
      </c>
      <c r="FE11" t="e">
        <f>AND(#REF!,"AAAAAH3dtKA=")</f>
        <v>#REF!</v>
      </c>
      <c r="FF11" t="e">
        <f>AND(#REF!,"AAAAAH3dtKE=")</f>
        <v>#REF!</v>
      </c>
      <c r="FG11" t="e">
        <f>AND(#REF!,"AAAAAH3dtKI=")</f>
        <v>#REF!</v>
      </c>
      <c r="FH11" t="e">
        <f>AND(#REF!,"AAAAAH3dtKM=")</f>
        <v>#REF!</v>
      </c>
      <c r="FI11" t="e">
        <f>AND(#REF!,"AAAAAH3dtKQ=")</f>
        <v>#REF!</v>
      </c>
      <c r="FJ11" t="e">
        <f>IF(#REF!,"AAAAAH3dtKU=",0)</f>
        <v>#REF!</v>
      </c>
      <c r="FK11" t="e">
        <f>AND(#REF!,"AAAAAH3dtKY=")</f>
        <v>#REF!</v>
      </c>
      <c r="FL11" t="e">
        <f>AND(#REF!,"AAAAAH3dtKc=")</f>
        <v>#REF!</v>
      </c>
      <c r="FM11" t="e">
        <f>AND(#REF!,"AAAAAH3dtKg=")</f>
        <v>#REF!</v>
      </c>
      <c r="FN11" t="e">
        <f>AND(#REF!,"AAAAAH3dtKk=")</f>
        <v>#REF!</v>
      </c>
      <c r="FO11" t="e">
        <f>AND(#REF!,"AAAAAH3dtKo=")</f>
        <v>#REF!</v>
      </c>
      <c r="FP11" t="e">
        <f>AND(#REF!,"AAAAAH3dtKs=")</f>
        <v>#REF!</v>
      </c>
      <c r="FQ11" t="e">
        <f>AND(#REF!,"AAAAAH3dtKw=")</f>
        <v>#REF!</v>
      </c>
      <c r="FR11" t="e">
        <f>AND(#REF!,"AAAAAH3dtK0=")</f>
        <v>#REF!</v>
      </c>
      <c r="FS11" t="e">
        <f>AND(#REF!,"AAAAAH3dtK4=")</f>
        <v>#REF!</v>
      </c>
      <c r="FT11" t="e">
        <f>AND(#REF!,"AAAAAH3dtK8=")</f>
        <v>#REF!</v>
      </c>
      <c r="FU11" t="e">
        <f>AND(#REF!,"AAAAAH3dtLA=")</f>
        <v>#REF!</v>
      </c>
      <c r="FV11" t="e">
        <f>AND(#REF!,"AAAAAH3dtLE=")</f>
        <v>#REF!</v>
      </c>
      <c r="FW11" t="e">
        <f>AND(#REF!,"AAAAAH3dtLI=")</f>
        <v>#REF!</v>
      </c>
      <c r="FX11" t="e">
        <f>AND(#REF!,"AAAAAH3dtLM=")</f>
        <v>#REF!</v>
      </c>
      <c r="FY11" t="e">
        <f>AND(#REF!,"AAAAAH3dtLQ=")</f>
        <v>#REF!</v>
      </c>
      <c r="FZ11" t="e">
        <f>AND(#REF!,"AAAAAH3dtLU=")</f>
        <v>#REF!</v>
      </c>
      <c r="GA11" t="e">
        <f>AND(#REF!,"AAAAAH3dtLY=")</f>
        <v>#REF!</v>
      </c>
      <c r="GB11" t="e">
        <f>AND(#REF!,"AAAAAH3dtLc=")</f>
        <v>#REF!</v>
      </c>
      <c r="GC11" t="e">
        <f>AND(#REF!,"AAAAAH3dtLg=")</f>
        <v>#REF!</v>
      </c>
      <c r="GD11" t="e">
        <f>AND(#REF!,"AAAAAH3dtLk=")</f>
        <v>#REF!</v>
      </c>
      <c r="GE11" t="e">
        <f>AND(#REF!,"AAAAAH3dtLo=")</f>
        <v>#REF!</v>
      </c>
      <c r="GF11" t="e">
        <f>AND(#REF!,"AAAAAH3dtLs=")</f>
        <v>#REF!</v>
      </c>
      <c r="GG11" t="e">
        <f>AND(#REF!,"AAAAAH3dtLw=")</f>
        <v>#REF!</v>
      </c>
      <c r="GH11" t="e">
        <f>AND(#REF!,"AAAAAH3dtL0=")</f>
        <v>#REF!</v>
      </c>
      <c r="GI11" t="e">
        <f>AND(#REF!,"AAAAAH3dtL4=")</f>
        <v>#REF!</v>
      </c>
      <c r="GJ11" t="e">
        <f>AND(#REF!,"AAAAAH3dtL8=")</f>
        <v>#REF!</v>
      </c>
      <c r="GK11" t="e">
        <f>AND(#REF!,"AAAAAH3dtMA=")</f>
        <v>#REF!</v>
      </c>
      <c r="GL11" t="e">
        <f>AND(#REF!,"AAAAAH3dtME=")</f>
        <v>#REF!</v>
      </c>
      <c r="GM11" t="e">
        <f>AND(#REF!,"AAAAAH3dtMI=")</f>
        <v>#REF!</v>
      </c>
      <c r="GN11" t="e">
        <f>AND(#REF!,"AAAAAH3dtMM=")</f>
        <v>#REF!</v>
      </c>
      <c r="GO11" t="e">
        <f>AND(#REF!,"AAAAAH3dtMQ=")</f>
        <v>#REF!</v>
      </c>
      <c r="GP11" t="e">
        <f>AND(#REF!,"AAAAAH3dtMU=")</f>
        <v>#REF!</v>
      </c>
      <c r="GQ11" t="e">
        <f>AND(#REF!,"AAAAAH3dtMY=")</f>
        <v>#REF!</v>
      </c>
      <c r="GR11" t="e">
        <f>AND(#REF!,"AAAAAH3dtMc=")</f>
        <v>#REF!</v>
      </c>
      <c r="GS11" t="e">
        <f>AND(#REF!,"AAAAAH3dtMg=")</f>
        <v>#REF!</v>
      </c>
      <c r="GT11" t="e">
        <f>AND(#REF!,"AAAAAH3dtMk=")</f>
        <v>#REF!</v>
      </c>
      <c r="GU11" t="e">
        <f>IF(#REF!,"AAAAAH3dtMo=",0)</f>
        <v>#REF!</v>
      </c>
      <c r="GV11" t="e">
        <f>AND(#REF!,"AAAAAH3dtMs=")</f>
        <v>#REF!</v>
      </c>
      <c r="GW11" t="e">
        <f>AND(#REF!,"AAAAAH3dtMw=")</f>
        <v>#REF!</v>
      </c>
      <c r="GX11" t="e">
        <f>AND(#REF!,"AAAAAH3dtM0=")</f>
        <v>#REF!</v>
      </c>
      <c r="GY11" t="e">
        <f>AND(#REF!,"AAAAAH3dtM4=")</f>
        <v>#REF!</v>
      </c>
      <c r="GZ11" t="e">
        <f>AND(#REF!,"AAAAAH3dtM8=")</f>
        <v>#REF!</v>
      </c>
      <c r="HA11" t="e">
        <f>AND(#REF!,"AAAAAH3dtNA=")</f>
        <v>#REF!</v>
      </c>
      <c r="HB11" t="e">
        <f>AND(#REF!,"AAAAAH3dtNE=")</f>
        <v>#REF!</v>
      </c>
      <c r="HC11" t="e">
        <f>AND(#REF!,"AAAAAH3dtNI=")</f>
        <v>#REF!</v>
      </c>
      <c r="HD11" t="e">
        <f>AND(#REF!,"AAAAAH3dtNM=")</f>
        <v>#REF!</v>
      </c>
      <c r="HE11" t="e">
        <f>AND(#REF!,"AAAAAH3dtNQ=")</f>
        <v>#REF!</v>
      </c>
      <c r="HF11" t="e">
        <f>AND(#REF!,"AAAAAH3dtNU=")</f>
        <v>#REF!</v>
      </c>
      <c r="HG11" t="e">
        <f>AND(#REF!,"AAAAAH3dtNY=")</f>
        <v>#REF!</v>
      </c>
      <c r="HH11" t="e">
        <f>AND(#REF!,"AAAAAH3dtNc=")</f>
        <v>#REF!</v>
      </c>
      <c r="HI11" t="e">
        <f>AND(#REF!,"AAAAAH3dtNg=")</f>
        <v>#REF!</v>
      </c>
      <c r="HJ11" t="e">
        <f>AND(#REF!,"AAAAAH3dtNk=")</f>
        <v>#REF!</v>
      </c>
      <c r="HK11" t="e">
        <f>AND(#REF!,"AAAAAH3dtNo=")</f>
        <v>#REF!</v>
      </c>
      <c r="HL11" t="e">
        <f>AND(#REF!,"AAAAAH3dtNs=")</f>
        <v>#REF!</v>
      </c>
      <c r="HM11" t="e">
        <f>AND(#REF!,"AAAAAH3dtNw=")</f>
        <v>#REF!</v>
      </c>
      <c r="HN11" t="e">
        <f>AND(#REF!,"AAAAAH3dtN0=")</f>
        <v>#REF!</v>
      </c>
      <c r="HO11" t="e">
        <f>AND(#REF!,"AAAAAH3dtN4=")</f>
        <v>#REF!</v>
      </c>
      <c r="HP11" t="e">
        <f>AND(#REF!,"AAAAAH3dtN8=")</f>
        <v>#REF!</v>
      </c>
      <c r="HQ11" t="e">
        <f>AND(#REF!,"AAAAAH3dtOA=")</f>
        <v>#REF!</v>
      </c>
      <c r="HR11" t="e">
        <f>AND(#REF!,"AAAAAH3dtOE=")</f>
        <v>#REF!</v>
      </c>
      <c r="HS11" t="e">
        <f>AND(#REF!,"AAAAAH3dtOI=")</f>
        <v>#REF!</v>
      </c>
      <c r="HT11" t="e">
        <f>AND(#REF!,"AAAAAH3dtOM=")</f>
        <v>#REF!</v>
      </c>
      <c r="HU11" t="e">
        <f>AND(#REF!,"AAAAAH3dtOQ=")</f>
        <v>#REF!</v>
      </c>
      <c r="HV11" t="e">
        <f>AND(#REF!,"AAAAAH3dtOU=")</f>
        <v>#REF!</v>
      </c>
      <c r="HW11" t="e">
        <f>AND(#REF!,"AAAAAH3dtOY=")</f>
        <v>#REF!</v>
      </c>
      <c r="HX11" t="e">
        <f>AND(#REF!,"AAAAAH3dtOc=")</f>
        <v>#REF!</v>
      </c>
      <c r="HY11" t="e">
        <f>AND(#REF!,"AAAAAH3dtOg=")</f>
        <v>#REF!</v>
      </c>
      <c r="HZ11" t="e">
        <f>AND(#REF!,"AAAAAH3dtOk=")</f>
        <v>#REF!</v>
      </c>
      <c r="IA11" t="e">
        <f>AND(#REF!,"AAAAAH3dtOo=")</f>
        <v>#REF!</v>
      </c>
      <c r="IB11" t="e">
        <f>AND(#REF!,"AAAAAH3dtOs=")</f>
        <v>#REF!</v>
      </c>
      <c r="IC11" t="e">
        <f>AND(#REF!,"AAAAAH3dtOw=")</f>
        <v>#REF!</v>
      </c>
      <c r="ID11" t="e">
        <f>AND(#REF!,"AAAAAH3dtO0=")</f>
        <v>#REF!</v>
      </c>
      <c r="IE11" t="e">
        <f>AND(#REF!,"AAAAAH3dtO4=")</f>
        <v>#REF!</v>
      </c>
      <c r="IF11" t="e">
        <f>IF(#REF!,"AAAAAH3dtO8=",0)</f>
        <v>#REF!</v>
      </c>
      <c r="IG11" t="e">
        <f>AND(#REF!,"AAAAAH3dtPA=")</f>
        <v>#REF!</v>
      </c>
      <c r="IH11" t="e">
        <f>AND(#REF!,"AAAAAH3dtPE=")</f>
        <v>#REF!</v>
      </c>
      <c r="II11" t="e">
        <f>AND(#REF!,"AAAAAH3dtPI=")</f>
        <v>#REF!</v>
      </c>
      <c r="IJ11" t="e">
        <f>AND(#REF!,"AAAAAH3dtPM=")</f>
        <v>#REF!</v>
      </c>
      <c r="IK11" t="e">
        <f>AND(#REF!,"AAAAAH3dtPQ=")</f>
        <v>#REF!</v>
      </c>
      <c r="IL11" t="e">
        <f>AND(#REF!,"AAAAAH3dtPU=")</f>
        <v>#REF!</v>
      </c>
      <c r="IM11" t="e">
        <f>AND(#REF!,"AAAAAH3dtPY=")</f>
        <v>#REF!</v>
      </c>
      <c r="IN11" t="e">
        <f>AND(#REF!,"AAAAAH3dtPc=")</f>
        <v>#REF!</v>
      </c>
      <c r="IO11" t="e">
        <f>AND(#REF!,"AAAAAH3dtPg=")</f>
        <v>#REF!</v>
      </c>
      <c r="IP11" t="e">
        <f>AND(#REF!,"AAAAAH3dtPk=")</f>
        <v>#REF!</v>
      </c>
      <c r="IQ11" t="e">
        <f>AND(#REF!,"AAAAAH3dtPo=")</f>
        <v>#REF!</v>
      </c>
      <c r="IR11" t="e">
        <f>AND(#REF!,"AAAAAH3dtPs=")</f>
        <v>#REF!</v>
      </c>
      <c r="IS11" t="e">
        <f>AND(#REF!,"AAAAAH3dtPw=")</f>
        <v>#REF!</v>
      </c>
      <c r="IT11" t="e">
        <f>AND(#REF!,"AAAAAH3dtP0=")</f>
        <v>#REF!</v>
      </c>
      <c r="IU11" t="e">
        <f>AND(#REF!,"AAAAAH3dtP4=")</f>
        <v>#REF!</v>
      </c>
      <c r="IV11" t="e">
        <f>AND(#REF!,"AAAAAH3dtP8=")</f>
        <v>#REF!</v>
      </c>
    </row>
    <row r="12" spans="1:256">
      <c r="A12" t="e">
        <f>AND(#REF!,"AAAAAHC7/QA=")</f>
        <v>#REF!</v>
      </c>
      <c r="B12" t="e">
        <f>AND(#REF!,"AAAAAHC7/QE=")</f>
        <v>#REF!</v>
      </c>
      <c r="C12" t="e">
        <f>AND(#REF!,"AAAAAHC7/QI=")</f>
        <v>#REF!</v>
      </c>
      <c r="D12" t="e">
        <f>AND(#REF!,"AAAAAHC7/QM=")</f>
        <v>#REF!</v>
      </c>
      <c r="E12" t="e">
        <f>AND(#REF!,"AAAAAHC7/QQ=")</f>
        <v>#REF!</v>
      </c>
      <c r="F12" t="e">
        <f>AND(#REF!,"AAAAAHC7/QU=")</f>
        <v>#REF!</v>
      </c>
      <c r="G12" t="e">
        <f>AND(#REF!,"AAAAAHC7/QY=")</f>
        <v>#REF!</v>
      </c>
      <c r="H12" t="e">
        <f>AND(#REF!,"AAAAAHC7/Qc=")</f>
        <v>#REF!</v>
      </c>
      <c r="I12" t="e">
        <f>AND(#REF!,"AAAAAHC7/Qg=")</f>
        <v>#REF!</v>
      </c>
      <c r="J12" t="e">
        <f>AND(#REF!,"AAAAAHC7/Qk=")</f>
        <v>#REF!</v>
      </c>
      <c r="K12" t="e">
        <f>AND(#REF!,"AAAAAHC7/Qo=")</f>
        <v>#REF!</v>
      </c>
      <c r="L12" t="e">
        <f>AND(#REF!,"AAAAAHC7/Qs=")</f>
        <v>#REF!</v>
      </c>
      <c r="M12" t="e">
        <f>AND(#REF!,"AAAAAHC7/Qw=")</f>
        <v>#REF!</v>
      </c>
      <c r="N12" t="e">
        <f>AND(#REF!,"AAAAAHC7/Q0=")</f>
        <v>#REF!</v>
      </c>
      <c r="O12" t="e">
        <f>AND(#REF!,"AAAAAHC7/Q4=")</f>
        <v>#REF!</v>
      </c>
      <c r="P12" t="e">
        <f>AND(#REF!,"AAAAAHC7/Q8=")</f>
        <v>#REF!</v>
      </c>
      <c r="Q12" t="e">
        <f>AND(#REF!,"AAAAAHC7/RA=")</f>
        <v>#REF!</v>
      </c>
      <c r="R12" t="e">
        <f>AND(#REF!,"AAAAAHC7/RE=")</f>
        <v>#REF!</v>
      </c>
      <c r="S12" t="e">
        <f>AND(#REF!,"AAAAAHC7/RI=")</f>
        <v>#REF!</v>
      </c>
      <c r="T12" t="e">
        <f>AND(#REF!,"AAAAAHC7/RM=")</f>
        <v>#REF!</v>
      </c>
      <c r="U12" t="e">
        <f>IF(#REF!,"AAAAAHC7/RQ=",0)</f>
        <v>#REF!</v>
      </c>
      <c r="V12" t="e">
        <f>AND(#REF!,"AAAAAHC7/RU=")</f>
        <v>#REF!</v>
      </c>
      <c r="W12" t="e">
        <f>AND(#REF!,"AAAAAHC7/RY=")</f>
        <v>#REF!</v>
      </c>
      <c r="X12" t="e">
        <f>AND(#REF!,"AAAAAHC7/Rc=")</f>
        <v>#REF!</v>
      </c>
      <c r="Y12" t="e">
        <f>AND(#REF!,"AAAAAHC7/Rg=")</f>
        <v>#REF!</v>
      </c>
      <c r="Z12" t="e">
        <f>AND(#REF!,"AAAAAHC7/Rk=")</f>
        <v>#REF!</v>
      </c>
      <c r="AA12" t="e">
        <f>AND(#REF!,"AAAAAHC7/Ro=")</f>
        <v>#REF!</v>
      </c>
      <c r="AB12" t="e">
        <f>AND(#REF!,"AAAAAHC7/Rs=")</f>
        <v>#REF!</v>
      </c>
      <c r="AC12" t="e">
        <f>AND(#REF!,"AAAAAHC7/Rw=")</f>
        <v>#REF!</v>
      </c>
      <c r="AD12" t="e">
        <f>AND(#REF!,"AAAAAHC7/R0=")</f>
        <v>#REF!</v>
      </c>
      <c r="AE12" t="e">
        <f>AND(#REF!,"AAAAAHC7/R4=")</f>
        <v>#REF!</v>
      </c>
      <c r="AF12" t="e">
        <f>AND(#REF!,"AAAAAHC7/R8=")</f>
        <v>#REF!</v>
      </c>
      <c r="AG12" t="e">
        <f>AND(#REF!,"AAAAAHC7/SA=")</f>
        <v>#REF!</v>
      </c>
      <c r="AH12" t="e">
        <f>AND(#REF!,"AAAAAHC7/SE=")</f>
        <v>#REF!</v>
      </c>
      <c r="AI12" t="e">
        <f>AND(#REF!,"AAAAAHC7/SI=")</f>
        <v>#REF!</v>
      </c>
      <c r="AJ12" t="e">
        <f>AND(#REF!,"AAAAAHC7/SM=")</f>
        <v>#REF!</v>
      </c>
      <c r="AK12" t="e">
        <f>AND(#REF!,"AAAAAHC7/SQ=")</f>
        <v>#REF!</v>
      </c>
      <c r="AL12" t="e">
        <f>AND(#REF!,"AAAAAHC7/SU=")</f>
        <v>#REF!</v>
      </c>
      <c r="AM12" t="e">
        <f>AND(#REF!,"AAAAAHC7/SY=")</f>
        <v>#REF!</v>
      </c>
      <c r="AN12" t="e">
        <f>AND(#REF!,"AAAAAHC7/Sc=")</f>
        <v>#REF!</v>
      </c>
      <c r="AO12" t="e">
        <f>AND(#REF!,"AAAAAHC7/Sg=")</f>
        <v>#REF!</v>
      </c>
      <c r="AP12" t="e">
        <f>AND(#REF!,"AAAAAHC7/Sk=")</f>
        <v>#REF!</v>
      </c>
      <c r="AQ12" t="e">
        <f>AND(#REF!,"AAAAAHC7/So=")</f>
        <v>#REF!</v>
      </c>
      <c r="AR12" t="e">
        <f>AND(#REF!,"AAAAAHC7/Ss=")</f>
        <v>#REF!</v>
      </c>
      <c r="AS12" t="e">
        <f>AND(#REF!,"AAAAAHC7/Sw=")</f>
        <v>#REF!</v>
      </c>
      <c r="AT12" t="e">
        <f>AND(#REF!,"AAAAAHC7/S0=")</f>
        <v>#REF!</v>
      </c>
      <c r="AU12" t="e">
        <f>AND(#REF!,"AAAAAHC7/S4=")</f>
        <v>#REF!</v>
      </c>
      <c r="AV12" t="e">
        <f>AND(#REF!,"AAAAAHC7/S8=")</f>
        <v>#REF!</v>
      </c>
      <c r="AW12" t="e">
        <f>AND(#REF!,"AAAAAHC7/TA=")</f>
        <v>#REF!</v>
      </c>
      <c r="AX12" t="e">
        <f>AND(#REF!,"AAAAAHC7/TE=")</f>
        <v>#REF!</v>
      </c>
      <c r="AY12" t="e">
        <f>AND(#REF!,"AAAAAHC7/TI=")</f>
        <v>#REF!</v>
      </c>
      <c r="AZ12" t="e">
        <f>AND(#REF!,"AAAAAHC7/TM=")</f>
        <v>#REF!</v>
      </c>
      <c r="BA12" t="e">
        <f>AND(#REF!,"AAAAAHC7/TQ=")</f>
        <v>#REF!</v>
      </c>
      <c r="BB12" t="e">
        <f>AND(#REF!,"AAAAAHC7/TU=")</f>
        <v>#REF!</v>
      </c>
      <c r="BC12" t="e">
        <f>AND(#REF!,"AAAAAHC7/TY=")</f>
        <v>#REF!</v>
      </c>
      <c r="BD12" t="e">
        <f>AND(#REF!,"AAAAAHC7/Tc=")</f>
        <v>#REF!</v>
      </c>
      <c r="BE12" t="e">
        <f>AND(#REF!,"AAAAAHC7/Tg=")</f>
        <v>#REF!</v>
      </c>
      <c r="BF12" t="e">
        <f>IF(#REF!,"AAAAAHC7/Tk=",0)</f>
        <v>#REF!</v>
      </c>
      <c r="BG12" t="e">
        <f>AND(#REF!,"AAAAAHC7/To=")</f>
        <v>#REF!</v>
      </c>
      <c r="BH12" t="e">
        <f>AND(#REF!,"AAAAAHC7/Ts=")</f>
        <v>#REF!</v>
      </c>
      <c r="BI12" t="e">
        <f>AND(#REF!,"AAAAAHC7/Tw=")</f>
        <v>#REF!</v>
      </c>
      <c r="BJ12" t="e">
        <f>AND(#REF!,"AAAAAHC7/T0=")</f>
        <v>#REF!</v>
      </c>
      <c r="BK12" t="e">
        <f>AND(#REF!,"AAAAAHC7/T4=")</f>
        <v>#REF!</v>
      </c>
      <c r="BL12" t="e">
        <f>AND(#REF!,"AAAAAHC7/T8=")</f>
        <v>#REF!</v>
      </c>
      <c r="BM12" t="e">
        <f>AND(#REF!,"AAAAAHC7/UA=")</f>
        <v>#REF!</v>
      </c>
      <c r="BN12" t="e">
        <f>AND(#REF!,"AAAAAHC7/UE=")</f>
        <v>#REF!</v>
      </c>
      <c r="BO12" t="e">
        <f>AND(#REF!,"AAAAAHC7/UI=")</f>
        <v>#REF!</v>
      </c>
      <c r="BP12" t="e">
        <f>AND(#REF!,"AAAAAHC7/UM=")</f>
        <v>#REF!</v>
      </c>
      <c r="BQ12" t="e">
        <f>AND(#REF!,"AAAAAHC7/UQ=")</f>
        <v>#REF!</v>
      </c>
      <c r="BR12" t="e">
        <f>AND(#REF!,"AAAAAHC7/UU=")</f>
        <v>#REF!</v>
      </c>
      <c r="BS12" t="e">
        <f>AND(#REF!,"AAAAAHC7/UY=")</f>
        <v>#REF!</v>
      </c>
      <c r="BT12" t="e">
        <f>AND(#REF!,"AAAAAHC7/Uc=")</f>
        <v>#REF!</v>
      </c>
      <c r="BU12" t="e">
        <f>AND(#REF!,"AAAAAHC7/Ug=")</f>
        <v>#REF!</v>
      </c>
      <c r="BV12" t="e">
        <f>AND(#REF!,"AAAAAHC7/Uk=")</f>
        <v>#REF!</v>
      </c>
      <c r="BW12" t="e">
        <f>AND(#REF!,"AAAAAHC7/Uo=")</f>
        <v>#REF!</v>
      </c>
      <c r="BX12" t="e">
        <f>AND(#REF!,"AAAAAHC7/Us=")</f>
        <v>#REF!</v>
      </c>
      <c r="BY12" t="e">
        <f>AND(#REF!,"AAAAAHC7/Uw=")</f>
        <v>#REF!</v>
      </c>
      <c r="BZ12" t="e">
        <f>AND(#REF!,"AAAAAHC7/U0=")</f>
        <v>#REF!</v>
      </c>
      <c r="CA12" t="e">
        <f>AND(#REF!,"AAAAAHC7/U4=")</f>
        <v>#REF!</v>
      </c>
      <c r="CB12" t="e">
        <f>AND(#REF!,"AAAAAHC7/U8=")</f>
        <v>#REF!</v>
      </c>
      <c r="CC12" t="e">
        <f>AND(#REF!,"AAAAAHC7/VA=")</f>
        <v>#REF!</v>
      </c>
      <c r="CD12" t="e">
        <f>AND(#REF!,"AAAAAHC7/VE=")</f>
        <v>#REF!</v>
      </c>
      <c r="CE12" t="e">
        <f>AND(#REF!,"AAAAAHC7/VI=")</f>
        <v>#REF!</v>
      </c>
      <c r="CF12" t="e">
        <f>AND(#REF!,"AAAAAHC7/VM=")</f>
        <v>#REF!</v>
      </c>
      <c r="CG12" t="e">
        <f>AND(#REF!,"AAAAAHC7/VQ=")</f>
        <v>#REF!</v>
      </c>
      <c r="CH12" t="e">
        <f>AND(#REF!,"AAAAAHC7/VU=")</f>
        <v>#REF!</v>
      </c>
      <c r="CI12" t="e">
        <f>AND(#REF!,"AAAAAHC7/VY=")</f>
        <v>#REF!</v>
      </c>
      <c r="CJ12" t="e">
        <f>AND(#REF!,"AAAAAHC7/Vc=")</f>
        <v>#REF!</v>
      </c>
      <c r="CK12" t="e">
        <f>AND(#REF!,"AAAAAHC7/Vg=")</f>
        <v>#REF!</v>
      </c>
      <c r="CL12" t="e">
        <f>AND(#REF!,"AAAAAHC7/Vk=")</f>
        <v>#REF!</v>
      </c>
      <c r="CM12" t="e">
        <f>AND(#REF!,"AAAAAHC7/Vo=")</f>
        <v>#REF!</v>
      </c>
      <c r="CN12" t="e">
        <f>AND(#REF!,"AAAAAHC7/Vs=")</f>
        <v>#REF!</v>
      </c>
      <c r="CO12" t="e">
        <f>AND(#REF!,"AAAAAHC7/Vw=")</f>
        <v>#REF!</v>
      </c>
      <c r="CP12" t="e">
        <f>AND(#REF!,"AAAAAHC7/V0=")</f>
        <v>#REF!</v>
      </c>
      <c r="CQ12" t="e">
        <f>IF(#REF!,"AAAAAHC7/V4=",0)</f>
        <v>#REF!</v>
      </c>
      <c r="CR12" t="e">
        <f>AND(#REF!,"AAAAAHC7/V8=")</f>
        <v>#REF!</v>
      </c>
      <c r="CS12" t="e">
        <f>AND(#REF!,"AAAAAHC7/WA=")</f>
        <v>#REF!</v>
      </c>
      <c r="CT12" t="e">
        <f>AND(#REF!,"AAAAAHC7/WE=")</f>
        <v>#REF!</v>
      </c>
      <c r="CU12" t="e">
        <f>AND(#REF!,"AAAAAHC7/WI=")</f>
        <v>#REF!</v>
      </c>
      <c r="CV12" t="e">
        <f>AND(#REF!,"AAAAAHC7/WM=")</f>
        <v>#REF!</v>
      </c>
      <c r="CW12" t="e">
        <f>AND(#REF!,"AAAAAHC7/WQ=")</f>
        <v>#REF!</v>
      </c>
      <c r="CX12" t="e">
        <f>AND(#REF!,"AAAAAHC7/WU=")</f>
        <v>#REF!</v>
      </c>
      <c r="CY12" t="e">
        <f>AND(#REF!,"AAAAAHC7/WY=")</f>
        <v>#REF!</v>
      </c>
      <c r="CZ12" t="e">
        <f>AND(#REF!,"AAAAAHC7/Wc=")</f>
        <v>#REF!</v>
      </c>
      <c r="DA12" t="e">
        <f>AND(#REF!,"AAAAAHC7/Wg=")</f>
        <v>#REF!</v>
      </c>
      <c r="DB12" t="e">
        <f>AND(#REF!,"AAAAAHC7/Wk=")</f>
        <v>#REF!</v>
      </c>
      <c r="DC12" t="e">
        <f>AND(#REF!,"AAAAAHC7/Wo=")</f>
        <v>#REF!</v>
      </c>
      <c r="DD12" t="e">
        <f>AND(#REF!,"AAAAAHC7/Ws=")</f>
        <v>#REF!</v>
      </c>
      <c r="DE12" t="e">
        <f>AND(#REF!,"AAAAAHC7/Ww=")</f>
        <v>#REF!</v>
      </c>
      <c r="DF12" t="e">
        <f>AND(#REF!,"AAAAAHC7/W0=")</f>
        <v>#REF!</v>
      </c>
      <c r="DG12" t="e">
        <f>AND(#REF!,"AAAAAHC7/W4=")</f>
        <v>#REF!</v>
      </c>
      <c r="DH12" t="e">
        <f>AND(#REF!,"AAAAAHC7/W8=")</f>
        <v>#REF!</v>
      </c>
      <c r="DI12" t="e">
        <f>AND(#REF!,"AAAAAHC7/XA=")</f>
        <v>#REF!</v>
      </c>
      <c r="DJ12" t="e">
        <f>AND(#REF!,"AAAAAHC7/XE=")</f>
        <v>#REF!</v>
      </c>
      <c r="DK12" t="e">
        <f>AND(#REF!,"AAAAAHC7/XI=")</f>
        <v>#REF!</v>
      </c>
      <c r="DL12" t="e">
        <f>AND(#REF!,"AAAAAHC7/XM=")</f>
        <v>#REF!</v>
      </c>
      <c r="DM12" t="e">
        <f>AND(#REF!,"AAAAAHC7/XQ=")</f>
        <v>#REF!</v>
      </c>
      <c r="DN12" t="e">
        <f>AND(#REF!,"AAAAAHC7/XU=")</f>
        <v>#REF!</v>
      </c>
      <c r="DO12" t="e">
        <f>AND(#REF!,"AAAAAHC7/XY=")</f>
        <v>#REF!</v>
      </c>
      <c r="DP12" t="e">
        <f>AND(#REF!,"AAAAAHC7/Xc=")</f>
        <v>#REF!</v>
      </c>
      <c r="DQ12" t="e">
        <f>AND(#REF!,"AAAAAHC7/Xg=")</f>
        <v>#REF!</v>
      </c>
      <c r="DR12" t="e">
        <f>AND(#REF!,"AAAAAHC7/Xk=")</f>
        <v>#REF!</v>
      </c>
      <c r="DS12" t="e">
        <f>AND(#REF!,"AAAAAHC7/Xo=")</f>
        <v>#REF!</v>
      </c>
      <c r="DT12" t="e">
        <f>AND(#REF!,"AAAAAHC7/Xs=")</f>
        <v>#REF!</v>
      </c>
      <c r="DU12" t="e">
        <f>AND(#REF!,"AAAAAHC7/Xw=")</f>
        <v>#REF!</v>
      </c>
      <c r="DV12" t="e">
        <f>AND(#REF!,"AAAAAHC7/X0=")</f>
        <v>#REF!</v>
      </c>
      <c r="DW12" t="e">
        <f>AND(#REF!,"AAAAAHC7/X4=")</f>
        <v>#REF!</v>
      </c>
      <c r="DX12" t="e">
        <f>AND(#REF!,"AAAAAHC7/X8=")</f>
        <v>#REF!</v>
      </c>
      <c r="DY12" t="e">
        <f>AND(#REF!,"AAAAAHC7/YA=")</f>
        <v>#REF!</v>
      </c>
      <c r="DZ12" t="e">
        <f>AND(#REF!,"AAAAAHC7/YE=")</f>
        <v>#REF!</v>
      </c>
      <c r="EA12" t="e">
        <f>AND(#REF!,"AAAAAHC7/YI=")</f>
        <v>#REF!</v>
      </c>
      <c r="EB12" t="e">
        <f>IF(#REF!,"AAAAAHC7/YM=",0)</f>
        <v>#REF!</v>
      </c>
      <c r="EC12" t="e">
        <f>AND(#REF!,"AAAAAHC7/YQ=")</f>
        <v>#REF!</v>
      </c>
      <c r="ED12" t="e">
        <f>AND(#REF!,"AAAAAHC7/YU=")</f>
        <v>#REF!</v>
      </c>
      <c r="EE12" t="e">
        <f>AND(#REF!,"AAAAAHC7/YY=")</f>
        <v>#REF!</v>
      </c>
      <c r="EF12" t="e">
        <f>AND(#REF!,"AAAAAHC7/Yc=")</f>
        <v>#REF!</v>
      </c>
      <c r="EG12" t="e">
        <f>AND(#REF!,"AAAAAHC7/Yg=")</f>
        <v>#REF!</v>
      </c>
      <c r="EH12" t="e">
        <f>AND(#REF!,"AAAAAHC7/Yk=")</f>
        <v>#REF!</v>
      </c>
      <c r="EI12" t="e">
        <f>AND(#REF!,"AAAAAHC7/Yo=")</f>
        <v>#REF!</v>
      </c>
      <c r="EJ12" t="e">
        <f>AND(#REF!,"AAAAAHC7/Ys=")</f>
        <v>#REF!</v>
      </c>
      <c r="EK12" t="e">
        <f>AND(#REF!,"AAAAAHC7/Yw=")</f>
        <v>#REF!</v>
      </c>
      <c r="EL12" t="e">
        <f>AND(#REF!,"AAAAAHC7/Y0=")</f>
        <v>#REF!</v>
      </c>
      <c r="EM12" t="e">
        <f>AND(#REF!,"AAAAAHC7/Y4=")</f>
        <v>#REF!</v>
      </c>
      <c r="EN12" t="e">
        <f>AND(#REF!,"AAAAAHC7/Y8=")</f>
        <v>#REF!</v>
      </c>
      <c r="EO12" t="e">
        <f>AND(#REF!,"AAAAAHC7/ZA=")</f>
        <v>#REF!</v>
      </c>
      <c r="EP12" t="e">
        <f>AND(#REF!,"AAAAAHC7/ZE=")</f>
        <v>#REF!</v>
      </c>
      <c r="EQ12" t="e">
        <f>AND(#REF!,"AAAAAHC7/ZI=")</f>
        <v>#REF!</v>
      </c>
      <c r="ER12" t="e">
        <f>AND(#REF!,"AAAAAHC7/ZM=")</f>
        <v>#REF!</v>
      </c>
      <c r="ES12" t="e">
        <f>AND(#REF!,"AAAAAHC7/ZQ=")</f>
        <v>#REF!</v>
      </c>
      <c r="ET12" t="e">
        <f>AND(#REF!,"AAAAAHC7/ZU=")</f>
        <v>#REF!</v>
      </c>
      <c r="EU12" t="e">
        <f>AND(#REF!,"AAAAAHC7/ZY=")</f>
        <v>#REF!</v>
      </c>
      <c r="EV12" t="e">
        <f>AND(#REF!,"AAAAAHC7/Zc=")</f>
        <v>#REF!</v>
      </c>
      <c r="EW12" t="e">
        <f>AND(#REF!,"AAAAAHC7/Zg=")</f>
        <v>#REF!</v>
      </c>
      <c r="EX12" t="e">
        <f>AND(#REF!,"AAAAAHC7/Zk=")</f>
        <v>#REF!</v>
      </c>
      <c r="EY12" t="e">
        <f>AND(#REF!,"AAAAAHC7/Zo=")</f>
        <v>#REF!</v>
      </c>
      <c r="EZ12" t="e">
        <f>AND(#REF!,"AAAAAHC7/Zs=")</f>
        <v>#REF!</v>
      </c>
      <c r="FA12" t="e">
        <f>AND(#REF!,"AAAAAHC7/Zw=")</f>
        <v>#REF!</v>
      </c>
      <c r="FB12" t="e">
        <f>AND(#REF!,"AAAAAHC7/Z0=")</f>
        <v>#REF!</v>
      </c>
      <c r="FC12" t="e">
        <f>AND(#REF!,"AAAAAHC7/Z4=")</f>
        <v>#REF!</v>
      </c>
      <c r="FD12" t="e">
        <f>AND(#REF!,"AAAAAHC7/Z8=")</f>
        <v>#REF!</v>
      </c>
      <c r="FE12" t="e">
        <f>AND(#REF!,"AAAAAHC7/aA=")</f>
        <v>#REF!</v>
      </c>
      <c r="FF12" t="e">
        <f>AND(#REF!,"AAAAAHC7/aE=")</f>
        <v>#REF!</v>
      </c>
      <c r="FG12" t="e">
        <f>AND(#REF!,"AAAAAHC7/aI=")</f>
        <v>#REF!</v>
      </c>
      <c r="FH12" t="e">
        <f>AND(#REF!,"AAAAAHC7/aM=")</f>
        <v>#REF!</v>
      </c>
      <c r="FI12" t="e">
        <f>AND(#REF!,"AAAAAHC7/aQ=")</f>
        <v>#REF!</v>
      </c>
      <c r="FJ12" t="e">
        <f>AND(#REF!,"AAAAAHC7/aU=")</f>
        <v>#REF!</v>
      </c>
      <c r="FK12" t="e">
        <f>AND(#REF!,"AAAAAHC7/aY=")</f>
        <v>#REF!</v>
      </c>
      <c r="FL12" t="e">
        <f>AND(#REF!,"AAAAAHC7/ac=")</f>
        <v>#REF!</v>
      </c>
      <c r="FM12" t="e">
        <f>IF(#REF!,"AAAAAHC7/ag=",0)</f>
        <v>#REF!</v>
      </c>
      <c r="FN12" t="e">
        <f>AND(#REF!,"AAAAAHC7/ak=")</f>
        <v>#REF!</v>
      </c>
      <c r="FO12" t="e">
        <f>AND(#REF!,"AAAAAHC7/ao=")</f>
        <v>#REF!</v>
      </c>
      <c r="FP12" t="e">
        <f>AND(#REF!,"AAAAAHC7/as=")</f>
        <v>#REF!</v>
      </c>
      <c r="FQ12" t="e">
        <f>AND(#REF!,"AAAAAHC7/aw=")</f>
        <v>#REF!</v>
      </c>
      <c r="FR12" t="e">
        <f>AND(#REF!,"AAAAAHC7/a0=")</f>
        <v>#REF!</v>
      </c>
      <c r="FS12" t="e">
        <f>AND(#REF!,"AAAAAHC7/a4=")</f>
        <v>#REF!</v>
      </c>
      <c r="FT12" t="e">
        <f>AND(#REF!,"AAAAAHC7/a8=")</f>
        <v>#REF!</v>
      </c>
      <c r="FU12" t="e">
        <f>AND(#REF!,"AAAAAHC7/bA=")</f>
        <v>#REF!</v>
      </c>
      <c r="FV12" t="e">
        <f>AND(#REF!,"AAAAAHC7/bE=")</f>
        <v>#REF!</v>
      </c>
      <c r="FW12" t="e">
        <f>AND(#REF!,"AAAAAHC7/bI=")</f>
        <v>#REF!</v>
      </c>
      <c r="FX12" t="e">
        <f>AND(#REF!,"AAAAAHC7/bM=")</f>
        <v>#REF!</v>
      </c>
      <c r="FY12" t="e">
        <f>AND(#REF!,"AAAAAHC7/bQ=")</f>
        <v>#REF!</v>
      </c>
      <c r="FZ12" t="e">
        <f>AND(#REF!,"AAAAAHC7/bU=")</f>
        <v>#REF!</v>
      </c>
      <c r="GA12" t="e">
        <f>AND(#REF!,"AAAAAHC7/bY=")</f>
        <v>#REF!</v>
      </c>
      <c r="GB12" t="e">
        <f>AND(#REF!,"AAAAAHC7/bc=")</f>
        <v>#REF!</v>
      </c>
      <c r="GC12" t="e">
        <f>AND(#REF!,"AAAAAHC7/bg=")</f>
        <v>#REF!</v>
      </c>
      <c r="GD12" t="e">
        <f>AND(#REF!,"AAAAAHC7/bk=")</f>
        <v>#REF!</v>
      </c>
      <c r="GE12" t="e">
        <f>AND(#REF!,"AAAAAHC7/bo=")</f>
        <v>#REF!</v>
      </c>
      <c r="GF12" t="e">
        <f>AND(#REF!,"AAAAAHC7/bs=")</f>
        <v>#REF!</v>
      </c>
      <c r="GG12" t="e">
        <f>AND(#REF!,"AAAAAHC7/bw=")</f>
        <v>#REF!</v>
      </c>
      <c r="GH12" t="e">
        <f>AND(#REF!,"AAAAAHC7/b0=")</f>
        <v>#REF!</v>
      </c>
      <c r="GI12" t="e">
        <f>AND(#REF!,"AAAAAHC7/b4=")</f>
        <v>#REF!</v>
      </c>
      <c r="GJ12" t="e">
        <f>AND(#REF!,"AAAAAHC7/b8=")</f>
        <v>#REF!</v>
      </c>
      <c r="GK12" t="e">
        <f>AND(#REF!,"AAAAAHC7/cA=")</f>
        <v>#REF!</v>
      </c>
      <c r="GL12" t="e">
        <f>AND(#REF!,"AAAAAHC7/cE=")</f>
        <v>#REF!</v>
      </c>
      <c r="GM12" t="e">
        <f>AND(#REF!,"AAAAAHC7/cI=")</f>
        <v>#REF!</v>
      </c>
      <c r="GN12" t="e">
        <f>AND(#REF!,"AAAAAHC7/cM=")</f>
        <v>#REF!</v>
      </c>
      <c r="GO12" t="e">
        <f>AND(#REF!,"AAAAAHC7/cQ=")</f>
        <v>#REF!</v>
      </c>
      <c r="GP12" t="e">
        <f>AND(#REF!,"AAAAAHC7/cU=")</f>
        <v>#REF!</v>
      </c>
      <c r="GQ12" t="e">
        <f>AND(#REF!,"AAAAAHC7/cY=")</f>
        <v>#REF!</v>
      </c>
      <c r="GR12" t="e">
        <f>AND(#REF!,"AAAAAHC7/cc=")</f>
        <v>#REF!</v>
      </c>
      <c r="GS12" t="e">
        <f>AND(#REF!,"AAAAAHC7/cg=")</f>
        <v>#REF!</v>
      </c>
      <c r="GT12" t="e">
        <f>AND(#REF!,"AAAAAHC7/ck=")</f>
        <v>#REF!</v>
      </c>
      <c r="GU12" t="e">
        <f>AND(#REF!,"AAAAAHC7/co=")</f>
        <v>#REF!</v>
      </c>
      <c r="GV12" t="e">
        <f>AND(#REF!,"AAAAAHC7/cs=")</f>
        <v>#REF!</v>
      </c>
      <c r="GW12" t="e">
        <f>AND(#REF!,"AAAAAHC7/cw=")</f>
        <v>#REF!</v>
      </c>
      <c r="GX12" t="e">
        <f>IF(#REF!,"AAAAAHC7/c0=",0)</f>
        <v>#REF!</v>
      </c>
      <c r="GY12" t="e">
        <f>AND(#REF!,"AAAAAHC7/c4=")</f>
        <v>#REF!</v>
      </c>
      <c r="GZ12" t="e">
        <f>AND(#REF!,"AAAAAHC7/c8=")</f>
        <v>#REF!</v>
      </c>
      <c r="HA12" t="e">
        <f>AND(#REF!,"AAAAAHC7/dA=")</f>
        <v>#REF!</v>
      </c>
      <c r="HB12" t="e">
        <f>AND(#REF!,"AAAAAHC7/dE=")</f>
        <v>#REF!</v>
      </c>
      <c r="HC12" t="e">
        <f>AND(#REF!,"AAAAAHC7/dI=")</f>
        <v>#REF!</v>
      </c>
      <c r="HD12" t="e">
        <f>AND(#REF!,"AAAAAHC7/dM=")</f>
        <v>#REF!</v>
      </c>
      <c r="HE12" t="e">
        <f>AND(#REF!,"AAAAAHC7/dQ=")</f>
        <v>#REF!</v>
      </c>
      <c r="HF12" t="e">
        <f>AND(#REF!,"AAAAAHC7/dU=")</f>
        <v>#REF!</v>
      </c>
      <c r="HG12" t="e">
        <f>AND(#REF!,"AAAAAHC7/dY=")</f>
        <v>#REF!</v>
      </c>
      <c r="HH12" t="e">
        <f>AND(#REF!,"AAAAAHC7/dc=")</f>
        <v>#REF!</v>
      </c>
      <c r="HI12" t="e">
        <f>AND(#REF!,"AAAAAHC7/dg=")</f>
        <v>#REF!</v>
      </c>
      <c r="HJ12" t="e">
        <f>AND(#REF!,"AAAAAHC7/dk=")</f>
        <v>#REF!</v>
      </c>
      <c r="HK12" t="e">
        <f>AND(#REF!,"AAAAAHC7/do=")</f>
        <v>#REF!</v>
      </c>
      <c r="HL12" t="e">
        <f>AND(#REF!,"AAAAAHC7/ds=")</f>
        <v>#REF!</v>
      </c>
      <c r="HM12" t="e">
        <f>AND(#REF!,"AAAAAHC7/dw=")</f>
        <v>#REF!</v>
      </c>
      <c r="HN12" t="e">
        <f>AND(#REF!,"AAAAAHC7/d0=")</f>
        <v>#REF!</v>
      </c>
      <c r="HO12" t="e">
        <f>AND(#REF!,"AAAAAHC7/d4=")</f>
        <v>#REF!</v>
      </c>
      <c r="HP12" t="e">
        <f>AND(#REF!,"AAAAAHC7/d8=")</f>
        <v>#REF!</v>
      </c>
      <c r="HQ12" t="e">
        <f>AND(#REF!,"AAAAAHC7/eA=")</f>
        <v>#REF!</v>
      </c>
      <c r="HR12" t="e">
        <f>AND(#REF!,"AAAAAHC7/eE=")</f>
        <v>#REF!</v>
      </c>
      <c r="HS12" t="e">
        <f>AND(#REF!,"AAAAAHC7/eI=")</f>
        <v>#REF!</v>
      </c>
      <c r="HT12" t="e">
        <f>AND(#REF!,"AAAAAHC7/eM=")</f>
        <v>#REF!</v>
      </c>
      <c r="HU12" t="e">
        <f>AND(#REF!,"AAAAAHC7/eQ=")</f>
        <v>#REF!</v>
      </c>
      <c r="HV12" t="e">
        <f>AND(#REF!,"AAAAAHC7/eU=")</f>
        <v>#REF!</v>
      </c>
      <c r="HW12" t="e">
        <f>AND(#REF!,"AAAAAHC7/eY=")</f>
        <v>#REF!</v>
      </c>
      <c r="HX12" t="e">
        <f>AND(#REF!,"AAAAAHC7/ec=")</f>
        <v>#REF!</v>
      </c>
      <c r="HY12" t="e">
        <f>AND(#REF!,"AAAAAHC7/eg=")</f>
        <v>#REF!</v>
      </c>
      <c r="HZ12" t="e">
        <f>AND(#REF!,"AAAAAHC7/ek=")</f>
        <v>#REF!</v>
      </c>
      <c r="IA12" t="e">
        <f>AND(#REF!,"AAAAAHC7/eo=")</f>
        <v>#REF!</v>
      </c>
      <c r="IB12" t="e">
        <f>AND(#REF!,"AAAAAHC7/es=")</f>
        <v>#REF!</v>
      </c>
      <c r="IC12" t="e">
        <f>AND(#REF!,"AAAAAHC7/ew=")</f>
        <v>#REF!</v>
      </c>
      <c r="ID12" t="e">
        <f>AND(#REF!,"AAAAAHC7/e0=")</f>
        <v>#REF!</v>
      </c>
      <c r="IE12" t="e">
        <f>AND(#REF!,"AAAAAHC7/e4=")</f>
        <v>#REF!</v>
      </c>
      <c r="IF12" t="e">
        <f>AND(#REF!,"AAAAAHC7/e8=")</f>
        <v>#REF!</v>
      </c>
      <c r="IG12" t="e">
        <f>AND(#REF!,"AAAAAHC7/fA=")</f>
        <v>#REF!</v>
      </c>
      <c r="IH12" t="e">
        <f>AND(#REF!,"AAAAAHC7/fE=")</f>
        <v>#REF!</v>
      </c>
      <c r="II12" t="e">
        <f>IF(#REF!,"AAAAAHC7/fI=",0)</f>
        <v>#REF!</v>
      </c>
      <c r="IJ12" t="e">
        <f>AND(#REF!,"AAAAAHC7/fM=")</f>
        <v>#REF!</v>
      </c>
      <c r="IK12" t="e">
        <f>AND(#REF!,"AAAAAHC7/fQ=")</f>
        <v>#REF!</v>
      </c>
      <c r="IL12" t="e">
        <f>AND(#REF!,"AAAAAHC7/fU=")</f>
        <v>#REF!</v>
      </c>
      <c r="IM12" t="e">
        <f>AND(#REF!,"AAAAAHC7/fY=")</f>
        <v>#REF!</v>
      </c>
      <c r="IN12" t="e">
        <f>AND(#REF!,"AAAAAHC7/fc=")</f>
        <v>#REF!</v>
      </c>
      <c r="IO12" t="e">
        <f>AND(#REF!,"AAAAAHC7/fg=")</f>
        <v>#REF!</v>
      </c>
      <c r="IP12" t="e">
        <f>AND(#REF!,"AAAAAHC7/fk=")</f>
        <v>#REF!</v>
      </c>
      <c r="IQ12" t="e">
        <f>AND(#REF!,"AAAAAHC7/fo=")</f>
        <v>#REF!</v>
      </c>
      <c r="IR12" t="e">
        <f>AND(#REF!,"AAAAAHC7/fs=")</f>
        <v>#REF!</v>
      </c>
      <c r="IS12" t="e">
        <f>AND(#REF!,"AAAAAHC7/fw=")</f>
        <v>#REF!</v>
      </c>
      <c r="IT12" t="e">
        <f>AND(#REF!,"AAAAAHC7/f0=")</f>
        <v>#REF!</v>
      </c>
      <c r="IU12" t="e">
        <f>AND(#REF!,"AAAAAHC7/f4=")</f>
        <v>#REF!</v>
      </c>
      <c r="IV12" t="e">
        <f>AND(#REF!,"AAAAAHC7/f8=")</f>
        <v>#REF!</v>
      </c>
    </row>
    <row r="13" spans="1:256">
      <c r="A13" t="e">
        <f>AND(#REF!,"AAAAAG/SswA=")</f>
        <v>#REF!</v>
      </c>
      <c r="B13" t="e">
        <f>AND(#REF!,"AAAAAG/SswE=")</f>
        <v>#REF!</v>
      </c>
      <c r="C13" t="e">
        <f>AND(#REF!,"AAAAAG/SswI=")</f>
        <v>#REF!</v>
      </c>
      <c r="D13" t="e">
        <f>AND(#REF!,"AAAAAG/SswM=")</f>
        <v>#REF!</v>
      </c>
      <c r="E13" t="e">
        <f>AND(#REF!,"AAAAAG/SswQ=")</f>
        <v>#REF!</v>
      </c>
      <c r="F13" t="e">
        <f>AND(#REF!,"AAAAAG/SswU=")</f>
        <v>#REF!</v>
      </c>
      <c r="G13" t="e">
        <f>AND(#REF!,"AAAAAG/SswY=")</f>
        <v>#REF!</v>
      </c>
      <c r="H13" t="e">
        <f>AND(#REF!,"AAAAAG/Sswc=")</f>
        <v>#REF!</v>
      </c>
      <c r="I13" t="e">
        <f>AND(#REF!,"AAAAAG/Sswg=")</f>
        <v>#REF!</v>
      </c>
      <c r="J13" t="e">
        <f>AND(#REF!,"AAAAAG/Sswk=")</f>
        <v>#REF!</v>
      </c>
      <c r="K13" t="e">
        <f>AND(#REF!,"AAAAAG/Sswo=")</f>
        <v>#REF!</v>
      </c>
      <c r="L13" t="e">
        <f>AND(#REF!,"AAAAAG/Ssws=")</f>
        <v>#REF!</v>
      </c>
      <c r="M13" t="e">
        <f>AND(#REF!,"AAAAAG/Ssww=")</f>
        <v>#REF!</v>
      </c>
      <c r="N13" t="e">
        <f>AND(#REF!,"AAAAAG/Ssw0=")</f>
        <v>#REF!</v>
      </c>
      <c r="O13" t="e">
        <f>AND(#REF!,"AAAAAG/Ssw4=")</f>
        <v>#REF!</v>
      </c>
      <c r="P13" t="e">
        <f>AND(#REF!,"AAAAAG/Ssw8=")</f>
        <v>#REF!</v>
      </c>
      <c r="Q13" t="e">
        <f>AND(#REF!,"AAAAAG/SsxA=")</f>
        <v>#REF!</v>
      </c>
      <c r="R13" t="e">
        <f>AND(#REF!,"AAAAAG/SsxE=")</f>
        <v>#REF!</v>
      </c>
      <c r="S13" t="e">
        <f>AND(#REF!,"AAAAAG/SsxI=")</f>
        <v>#REF!</v>
      </c>
      <c r="T13" t="e">
        <f>AND(#REF!,"AAAAAG/SsxM=")</f>
        <v>#REF!</v>
      </c>
      <c r="U13" t="e">
        <f>AND(#REF!,"AAAAAG/SsxQ=")</f>
        <v>#REF!</v>
      </c>
      <c r="V13" t="e">
        <f>AND(#REF!,"AAAAAG/SsxU=")</f>
        <v>#REF!</v>
      </c>
      <c r="W13" t="e">
        <f>AND(#REF!,"AAAAAG/SsxY=")</f>
        <v>#REF!</v>
      </c>
      <c r="X13" t="e">
        <f>IF(#REF!,"AAAAAG/Ssxc=",0)</f>
        <v>#REF!</v>
      </c>
      <c r="Y13" t="e">
        <f>AND(#REF!,"AAAAAG/Ssxg=")</f>
        <v>#REF!</v>
      </c>
      <c r="Z13" t="e">
        <f>AND(#REF!,"AAAAAG/Ssxk=")</f>
        <v>#REF!</v>
      </c>
      <c r="AA13" t="e">
        <f>AND(#REF!,"AAAAAG/Ssxo=")</f>
        <v>#REF!</v>
      </c>
      <c r="AB13" t="e">
        <f>AND(#REF!,"AAAAAG/Ssxs=")</f>
        <v>#REF!</v>
      </c>
      <c r="AC13" t="e">
        <f>AND(#REF!,"AAAAAG/Ssxw=")</f>
        <v>#REF!</v>
      </c>
      <c r="AD13" t="e">
        <f>AND(#REF!,"AAAAAG/Ssx0=")</f>
        <v>#REF!</v>
      </c>
      <c r="AE13" t="e">
        <f>AND(#REF!,"AAAAAG/Ssx4=")</f>
        <v>#REF!</v>
      </c>
      <c r="AF13" t="e">
        <f>AND(#REF!,"AAAAAG/Ssx8=")</f>
        <v>#REF!</v>
      </c>
      <c r="AG13" t="e">
        <f>AND(#REF!,"AAAAAG/SsyA=")</f>
        <v>#REF!</v>
      </c>
      <c r="AH13" t="e">
        <f>AND(#REF!,"AAAAAG/SsyE=")</f>
        <v>#REF!</v>
      </c>
      <c r="AI13" t="e">
        <f>AND(#REF!,"AAAAAG/SsyI=")</f>
        <v>#REF!</v>
      </c>
      <c r="AJ13" t="e">
        <f>AND(#REF!,"AAAAAG/SsyM=")</f>
        <v>#REF!</v>
      </c>
      <c r="AK13" t="e">
        <f>AND(#REF!,"AAAAAG/SsyQ=")</f>
        <v>#REF!</v>
      </c>
      <c r="AL13" t="e">
        <f>AND(#REF!,"AAAAAG/SsyU=")</f>
        <v>#REF!</v>
      </c>
      <c r="AM13" t="e">
        <f>AND(#REF!,"AAAAAG/SsyY=")</f>
        <v>#REF!</v>
      </c>
      <c r="AN13" t="e">
        <f>AND(#REF!,"AAAAAG/Ssyc=")</f>
        <v>#REF!</v>
      </c>
      <c r="AO13" t="e">
        <f>AND(#REF!,"AAAAAG/Ssyg=")</f>
        <v>#REF!</v>
      </c>
      <c r="AP13" t="e">
        <f>AND(#REF!,"AAAAAG/Ssyk=")</f>
        <v>#REF!</v>
      </c>
      <c r="AQ13" t="e">
        <f>AND(#REF!,"AAAAAG/Ssyo=")</f>
        <v>#REF!</v>
      </c>
      <c r="AR13" t="e">
        <f>AND(#REF!,"AAAAAG/Ssys=")</f>
        <v>#REF!</v>
      </c>
      <c r="AS13" t="e">
        <f>AND(#REF!,"AAAAAG/Ssyw=")</f>
        <v>#REF!</v>
      </c>
      <c r="AT13" t="e">
        <f>AND(#REF!,"AAAAAG/Ssy0=")</f>
        <v>#REF!</v>
      </c>
      <c r="AU13" t="e">
        <f>AND(#REF!,"AAAAAG/Ssy4=")</f>
        <v>#REF!</v>
      </c>
      <c r="AV13" t="e">
        <f>AND(#REF!,"AAAAAG/Ssy8=")</f>
        <v>#REF!</v>
      </c>
      <c r="AW13" t="e">
        <f>AND(#REF!,"AAAAAG/SszA=")</f>
        <v>#REF!</v>
      </c>
      <c r="AX13" t="e">
        <f>AND(#REF!,"AAAAAG/SszE=")</f>
        <v>#REF!</v>
      </c>
      <c r="AY13" t="e">
        <f>AND(#REF!,"AAAAAG/SszI=")</f>
        <v>#REF!</v>
      </c>
      <c r="AZ13" t="e">
        <f>AND(#REF!,"AAAAAG/SszM=")</f>
        <v>#REF!</v>
      </c>
      <c r="BA13" t="e">
        <f>AND(#REF!,"AAAAAG/SszQ=")</f>
        <v>#REF!</v>
      </c>
      <c r="BB13" t="e">
        <f>AND(#REF!,"AAAAAG/SszU=")</f>
        <v>#REF!</v>
      </c>
      <c r="BC13" t="e">
        <f>AND(#REF!,"AAAAAG/SszY=")</f>
        <v>#REF!</v>
      </c>
      <c r="BD13" t="e">
        <f>AND(#REF!,"AAAAAG/Sszc=")</f>
        <v>#REF!</v>
      </c>
      <c r="BE13" t="e">
        <f>AND(#REF!,"AAAAAG/Sszg=")</f>
        <v>#REF!</v>
      </c>
      <c r="BF13" t="e">
        <f>AND(#REF!,"AAAAAG/Sszk=")</f>
        <v>#REF!</v>
      </c>
      <c r="BG13" t="e">
        <f>AND(#REF!,"AAAAAG/Sszo=")</f>
        <v>#REF!</v>
      </c>
      <c r="BH13" t="e">
        <f>AND(#REF!,"AAAAAG/Sszs=")</f>
        <v>#REF!</v>
      </c>
      <c r="BI13" t="e">
        <f>IF(#REF!,"AAAAAG/Sszw=",0)</f>
        <v>#REF!</v>
      </c>
      <c r="BJ13" t="e">
        <f>AND(#REF!,"AAAAAG/Ssz0=")</f>
        <v>#REF!</v>
      </c>
      <c r="BK13" t="e">
        <f>AND(#REF!,"AAAAAG/Ssz4=")</f>
        <v>#REF!</v>
      </c>
      <c r="BL13" t="e">
        <f>AND(#REF!,"AAAAAG/Ssz8=")</f>
        <v>#REF!</v>
      </c>
      <c r="BM13" t="e">
        <f>AND(#REF!,"AAAAAG/Ss0A=")</f>
        <v>#REF!</v>
      </c>
      <c r="BN13" t="e">
        <f>AND(#REF!,"AAAAAG/Ss0E=")</f>
        <v>#REF!</v>
      </c>
      <c r="BO13" t="e">
        <f>AND(#REF!,"AAAAAG/Ss0I=")</f>
        <v>#REF!</v>
      </c>
      <c r="BP13" t="e">
        <f>AND(#REF!,"AAAAAG/Ss0M=")</f>
        <v>#REF!</v>
      </c>
      <c r="BQ13" t="e">
        <f>AND(#REF!,"AAAAAG/Ss0Q=")</f>
        <v>#REF!</v>
      </c>
      <c r="BR13" t="e">
        <f>AND(#REF!,"AAAAAG/Ss0U=")</f>
        <v>#REF!</v>
      </c>
      <c r="BS13" t="e">
        <f>AND(#REF!,"AAAAAG/Ss0Y=")</f>
        <v>#REF!</v>
      </c>
      <c r="BT13" t="e">
        <f>AND(#REF!,"AAAAAG/Ss0c=")</f>
        <v>#REF!</v>
      </c>
      <c r="BU13" t="e">
        <f>AND(#REF!,"AAAAAG/Ss0g=")</f>
        <v>#REF!</v>
      </c>
      <c r="BV13" t="e">
        <f>AND(#REF!,"AAAAAG/Ss0k=")</f>
        <v>#REF!</v>
      </c>
      <c r="BW13" t="e">
        <f>AND(#REF!,"AAAAAG/Ss0o=")</f>
        <v>#REF!</v>
      </c>
      <c r="BX13" t="e">
        <f>AND(#REF!,"AAAAAG/Ss0s=")</f>
        <v>#REF!</v>
      </c>
      <c r="BY13" t="e">
        <f>AND(#REF!,"AAAAAG/Ss0w=")</f>
        <v>#REF!</v>
      </c>
      <c r="BZ13" t="e">
        <f>AND(#REF!,"AAAAAG/Ss00=")</f>
        <v>#REF!</v>
      </c>
      <c r="CA13" t="e">
        <f>AND(#REF!,"AAAAAG/Ss04=")</f>
        <v>#REF!</v>
      </c>
      <c r="CB13" t="e">
        <f>AND(#REF!,"AAAAAG/Ss08=")</f>
        <v>#REF!</v>
      </c>
      <c r="CC13" t="e">
        <f>AND(#REF!,"AAAAAG/Ss1A=")</f>
        <v>#REF!</v>
      </c>
      <c r="CD13" t="e">
        <f>AND(#REF!,"AAAAAG/Ss1E=")</f>
        <v>#REF!</v>
      </c>
      <c r="CE13" t="e">
        <f>AND(#REF!,"AAAAAG/Ss1I=")</f>
        <v>#REF!</v>
      </c>
      <c r="CF13" t="e">
        <f>AND(#REF!,"AAAAAG/Ss1M=")</f>
        <v>#REF!</v>
      </c>
      <c r="CG13" t="e">
        <f>AND(#REF!,"AAAAAG/Ss1Q=")</f>
        <v>#REF!</v>
      </c>
      <c r="CH13" t="e">
        <f>AND(#REF!,"AAAAAG/Ss1U=")</f>
        <v>#REF!</v>
      </c>
      <c r="CI13" t="e">
        <f>AND(#REF!,"AAAAAG/Ss1Y=")</f>
        <v>#REF!</v>
      </c>
      <c r="CJ13" t="e">
        <f>AND(#REF!,"AAAAAG/Ss1c=")</f>
        <v>#REF!</v>
      </c>
      <c r="CK13" t="e">
        <f>AND(#REF!,"AAAAAG/Ss1g=")</f>
        <v>#REF!</v>
      </c>
      <c r="CL13" t="e">
        <f>AND(#REF!,"AAAAAG/Ss1k=")</f>
        <v>#REF!</v>
      </c>
      <c r="CM13" t="e">
        <f>AND(#REF!,"AAAAAG/Ss1o=")</f>
        <v>#REF!</v>
      </c>
      <c r="CN13" t="e">
        <f>AND(#REF!,"AAAAAG/Ss1s=")</f>
        <v>#REF!</v>
      </c>
      <c r="CO13" t="e">
        <f>AND(#REF!,"AAAAAG/Ss1w=")</f>
        <v>#REF!</v>
      </c>
      <c r="CP13" t="e">
        <f>AND(#REF!,"AAAAAG/Ss10=")</f>
        <v>#REF!</v>
      </c>
      <c r="CQ13" t="e">
        <f>AND(#REF!,"AAAAAG/Ss14=")</f>
        <v>#REF!</v>
      </c>
      <c r="CR13" t="e">
        <f>AND(#REF!,"AAAAAG/Ss18=")</f>
        <v>#REF!</v>
      </c>
      <c r="CS13" t="e">
        <f>AND(#REF!,"AAAAAG/Ss2A=")</f>
        <v>#REF!</v>
      </c>
      <c r="CT13" t="e">
        <f>IF(#REF!,"AAAAAG/Ss2E=",0)</f>
        <v>#REF!</v>
      </c>
      <c r="CU13" t="e">
        <f>AND(#REF!,"AAAAAG/Ss2I=")</f>
        <v>#REF!</v>
      </c>
      <c r="CV13" t="e">
        <f>AND(#REF!,"AAAAAG/Ss2M=")</f>
        <v>#REF!</v>
      </c>
      <c r="CW13" t="e">
        <f>AND(#REF!,"AAAAAG/Ss2Q=")</f>
        <v>#REF!</v>
      </c>
      <c r="CX13" t="e">
        <f>AND(#REF!,"AAAAAG/Ss2U=")</f>
        <v>#REF!</v>
      </c>
      <c r="CY13" t="e">
        <f>AND(#REF!,"AAAAAG/Ss2Y=")</f>
        <v>#REF!</v>
      </c>
      <c r="CZ13" t="e">
        <f>AND(#REF!,"AAAAAG/Ss2c=")</f>
        <v>#REF!</v>
      </c>
      <c r="DA13" t="e">
        <f>AND(#REF!,"AAAAAG/Ss2g=")</f>
        <v>#REF!</v>
      </c>
      <c r="DB13" t="e">
        <f>AND(#REF!,"AAAAAG/Ss2k=")</f>
        <v>#REF!</v>
      </c>
      <c r="DC13" t="e">
        <f>AND(#REF!,"AAAAAG/Ss2o=")</f>
        <v>#REF!</v>
      </c>
      <c r="DD13" t="e">
        <f>AND(#REF!,"AAAAAG/Ss2s=")</f>
        <v>#REF!</v>
      </c>
      <c r="DE13" t="e">
        <f>AND(#REF!,"AAAAAG/Ss2w=")</f>
        <v>#REF!</v>
      </c>
      <c r="DF13" t="e">
        <f>AND(#REF!,"AAAAAG/Ss20=")</f>
        <v>#REF!</v>
      </c>
      <c r="DG13" t="e">
        <f>AND(#REF!,"AAAAAG/Ss24=")</f>
        <v>#REF!</v>
      </c>
      <c r="DH13" t="e">
        <f>AND(#REF!,"AAAAAG/Ss28=")</f>
        <v>#REF!</v>
      </c>
      <c r="DI13" t="e">
        <f>AND(#REF!,"AAAAAG/Ss3A=")</f>
        <v>#REF!</v>
      </c>
      <c r="DJ13" t="e">
        <f>AND(#REF!,"AAAAAG/Ss3E=")</f>
        <v>#REF!</v>
      </c>
      <c r="DK13" t="e">
        <f>AND(#REF!,"AAAAAG/Ss3I=")</f>
        <v>#REF!</v>
      </c>
      <c r="DL13" t="e">
        <f>AND(#REF!,"AAAAAG/Ss3M=")</f>
        <v>#REF!</v>
      </c>
      <c r="DM13" t="e">
        <f>AND(#REF!,"AAAAAG/Ss3Q=")</f>
        <v>#REF!</v>
      </c>
      <c r="DN13" t="e">
        <f>AND(#REF!,"AAAAAG/Ss3U=")</f>
        <v>#REF!</v>
      </c>
      <c r="DO13" t="e">
        <f>AND(#REF!,"AAAAAG/Ss3Y=")</f>
        <v>#REF!</v>
      </c>
      <c r="DP13" t="e">
        <f>AND(#REF!,"AAAAAG/Ss3c=")</f>
        <v>#REF!</v>
      </c>
      <c r="DQ13" t="e">
        <f>AND(#REF!,"AAAAAG/Ss3g=")</f>
        <v>#REF!</v>
      </c>
      <c r="DR13" t="e">
        <f>AND(#REF!,"AAAAAG/Ss3k=")</f>
        <v>#REF!</v>
      </c>
      <c r="DS13" t="e">
        <f>AND(#REF!,"AAAAAG/Ss3o=")</f>
        <v>#REF!</v>
      </c>
      <c r="DT13" t="e">
        <f>AND(#REF!,"AAAAAG/Ss3s=")</f>
        <v>#REF!</v>
      </c>
      <c r="DU13" t="e">
        <f>AND(#REF!,"AAAAAG/Ss3w=")</f>
        <v>#REF!</v>
      </c>
      <c r="DV13" t="e">
        <f>AND(#REF!,"AAAAAG/Ss30=")</f>
        <v>#REF!</v>
      </c>
      <c r="DW13" t="e">
        <f>AND(#REF!,"AAAAAG/Ss34=")</f>
        <v>#REF!</v>
      </c>
      <c r="DX13" t="e">
        <f>AND(#REF!,"AAAAAG/Ss38=")</f>
        <v>#REF!</v>
      </c>
      <c r="DY13" t="e">
        <f>AND(#REF!,"AAAAAG/Ss4A=")</f>
        <v>#REF!</v>
      </c>
      <c r="DZ13" t="e">
        <f>AND(#REF!,"AAAAAG/Ss4E=")</f>
        <v>#REF!</v>
      </c>
      <c r="EA13" t="e">
        <f>AND(#REF!,"AAAAAG/Ss4I=")</f>
        <v>#REF!</v>
      </c>
      <c r="EB13" t="e">
        <f>AND(#REF!,"AAAAAG/Ss4M=")</f>
        <v>#REF!</v>
      </c>
      <c r="EC13" t="e">
        <f>AND(#REF!,"AAAAAG/Ss4Q=")</f>
        <v>#REF!</v>
      </c>
      <c r="ED13" t="e">
        <f>AND(#REF!,"AAAAAG/Ss4U=")</f>
        <v>#REF!</v>
      </c>
      <c r="EE13" t="e">
        <f>IF(#REF!,"AAAAAG/Ss4Y=",0)</f>
        <v>#REF!</v>
      </c>
      <c r="EF13" t="e">
        <f>AND(#REF!,"AAAAAG/Ss4c=")</f>
        <v>#REF!</v>
      </c>
      <c r="EG13" t="e">
        <f>AND(#REF!,"AAAAAG/Ss4g=")</f>
        <v>#REF!</v>
      </c>
      <c r="EH13" t="e">
        <f>AND(#REF!,"AAAAAG/Ss4k=")</f>
        <v>#REF!</v>
      </c>
      <c r="EI13" t="e">
        <f>AND(#REF!,"AAAAAG/Ss4o=")</f>
        <v>#REF!</v>
      </c>
      <c r="EJ13" t="e">
        <f>AND(#REF!,"AAAAAG/Ss4s=")</f>
        <v>#REF!</v>
      </c>
      <c r="EK13" t="e">
        <f>AND(#REF!,"AAAAAG/Ss4w=")</f>
        <v>#REF!</v>
      </c>
      <c r="EL13" t="e">
        <f>AND(#REF!,"AAAAAG/Ss40=")</f>
        <v>#REF!</v>
      </c>
      <c r="EM13" t="e">
        <f>AND(#REF!,"AAAAAG/Ss44=")</f>
        <v>#REF!</v>
      </c>
      <c r="EN13" t="e">
        <f>AND(#REF!,"AAAAAG/Ss48=")</f>
        <v>#REF!</v>
      </c>
      <c r="EO13" t="e">
        <f>AND(#REF!,"AAAAAG/Ss5A=")</f>
        <v>#REF!</v>
      </c>
      <c r="EP13" t="e">
        <f>AND(#REF!,"AAAAAG/Ss5E=")</f>
        <v>#REF!</v>
      </c>
      <c r="EQ13" t="e">
        <f>AND(#REF!,"AAAAAG/Ss5I=")</f>
        <v>#REF!</v>
      </c>
      <c r="ER13" t="e">
        <f>AND(#REF!,"AAAAAG/Ss5M=")</f>
        <v>#REF!</v>
      </c>
      <c r="ES13" t="e">
        <f>AND(#REF!,"AAAAAG/Ss5Q=")</f>
        <v>#REF!</v>
      </c>
      <c r="ET13" t="e">
        <f>AND(#REF!,"AAAAAG/Ss5U=")</f>
        <v>#REF!</v>
      </c>
      <c r="EU13" t="e">
        <f>AND(#REF!,"AAAAAG/Ss5Y=")</f>
        <v>#REF!</v>
      </c>
      <c r="EV13" t="e">
        <f>AND(#REF!,"AAAAAG/Ss5c=")</f>
        <v>#REF!</v>
      </c>
      <c r="EW13" t="e">
        <f>AND(#REF!,"AAAAAG/Ss5g=")</f>
        <v>#REF!</v>
      </c>
      <c r="EX13" t="e">
        <f>AND(#REF!,"AAAAAG/Ss5k=")</f>
        <v>#REF!</v>
      </c>
      <c r="EY13" t="e">
        <f>AND(#REF!,"AAAAAG/Ss5o=")</f>
        <v>#REF!</v>
      </c>
      <c r="EZ13" t="e">
        <f>AND(#REF!,"AAAAAG/Ss5s=")</f>
        <v>#REF!</v>
      </c>
      <c r="FA13" t="e">
        <f>AND(#REF!,"AAAAAG/Ss5w=")</f>
        <v>#REF!</v>
      </c>
      <c r="FB13" t="e">
        <f>AND(#REF!,"AAAAAG/Ss50=")</f>
        <v>#REF!</v>
      </c>
      <c r="FC13" t="e">
        <f>AND(#REF!,"AAAAAG/Ss54=")</f>
        <v>#REF!</v>
      </c>
      <c r="FD13" t="e">
        <f>AND(#REF!,"AAAAAG/Ss58=")</f>
        <v>#REF!</v>
      </c>
      <c r="FE13" t="e">
        <f>AND(#REF!,"AAAAAG/Ss6A=")</f>
        <v>#REF!</v>
      </c>
      <c r="FF13" t="e">
        <f>AND(#REF!,"AAAAAG/Ss6E=")</f>
        <v>#REF!</v>
      </c>
      <c r="FG13" t="e">
        <f>AND(#REF!,"AAAAAG/Ss6I=")</f>
        <v>#REF!</v>
      </c>
      <c r="FH13" t="e">
        <f>AND(#REF!,"AAAAAG/Ss6M=")</f>
        <v>#REF!</v>
      </c>
      <c r="FI13" t="e">
        <f>AND(#REF!,"AAAAAG/Ss6Q=")</f>
        <v>#REF!</v>
      </c>
      <c r="FJ13" t="e">
        <f>AND(#REF!,"AAAAAG/Ss6U=")</f>
        <v>#REF!</v>
      </c>
      <c r="FK13" t="e">
        <f>AND(#REF!,"AAAAAG/Ss6Y=")</f>
        <v>#REF!</v>
      </c>
      <c r="FL13" t="e">
        <f>AND(#REF!,"AAAAAG/Ss6c=")</f>
        <v>#REF!</v>
      </c>
      <c r="FM13" t="e">
        <f>AND(#REF!,"AAAAAG/Ss6g=")</f>
        <v>#REF!</v>
      </c>
      <c r="FN13" t="e">
        <f>AND(#REF!,"AAAAAG/Ss6k=")</f>
        <v>#REF!</v>
      </c>
      <c r="FO13" t="e">
        <f>AND(#REF!,"AAAAAG/Ss6o=")</f>
        <v>#REF!</v>
      </c>
      <c r="FP13" t="e">
        <f>IF(#REF!,"AAAAAG/Ss6s=",0)</f>
        <v>#REF!</v>
      </c>
      <c r="FQ13" t="e">
        <f>AND(#REF!,"AAAAAG/Ss6w=")</f>
        <v>#REF!</v>
      </c>
      <c r="FR13" t="e">
        <f>AND(#REF!,"AAAAAG/Ss60=")</f>
        <v>#REF!</v>
      </c>
      <c r="FS13" t="e">
        <f>AND(#REF!,"AAAAAG/Ss64=")</f>
        <v>#REF!</v>
      </c>
      <c r="FT13" t="e">
        <f>AND(#REF!,"AAAAAG/Ss68=")</f>
        <v>#REF!</v>
      </c>
      <c r="FU13" t="e">
        <f>AND(#REF!,"AAAAAG/Ss7A=")</f>
        <v>#REF!</v>
      </c>
      <c r="FV13" t="e">
        <f>AND(#REF!,"AAAAAG/Ss7E=")</f>
        <v>#REF!</v>
      </c>
      <c r="FW13" t="e">
        <f>AND(#REF!,"AAAAAG/Ss7I=")</f>
        <v>#REF!</v>
      </c>
      <c r="FX13" t="e">
        <f>AND(#REF!,"AAAAAG/Ss7M=")</f>
        <v>#REF!</v>
      </c>
      <c r="FY13" t="e">
        <f>AND(#REF!,"AAAAAG/Ss7Q=")</f>
        <v>#REF!</v>
      </c>
      <c r="FZ13" t="e">
        <f>AND(#REF!,"AAAAAG/Ss7U=")</f>
        <v>#REF!</v>
      </c>
      <c r="GA13" t="e">
        <f>AND(#REF!,"AAAAAG/Ss7Y=")</f>
        <v>#REF!</v>
      </c>
      <c r="GB13" t="e">
        <f>AND(#REF!,"AAAAAG/Ss7c=")</f>
        <v>#REF!</v>
      </c>
      <c r="GC13" t="e">
        <f>AND(#REF!,"AAAAAG/Ss7g=")</f>
        <v>#REF!</v>
      </c>
      <c r="GD13" t="e">
        <f>AND(#REF!,"AAAAAG/Ss7k=")</f>
        <v>#REF!</v>
      </c>
      <c r="GE13" t="e">
        <f>AND(#REF!,"AAAAAG/Ss7o=")</f>
        <v>#REF!</v>
      </c>
      <c r="GF13" t="e">
        <f>AND(#REF!,"AAAAAG/Ss7s=")</f>
        <v>#REF!</v>
      </c>
      <c r="GG13" t="e">
        <f>AND(#REF!,"AAAAAG/Ss7w=")</f>
        <v>#REF!</v>
      </c>
      <c r="GH13" t="e">
        <f>AND(#REF!,"AAAAAG/Ss70=")</f>
        <v>#REF!</v>
      </c>
      <c r="GI13" t="e">
        <f>AND(#REF!,"AAAAAG/Ss74=")</f>
        <v>#REF!</v>
      </c>
      <c r="GJ13" t="e">
        <f>AND(#REF!,"AAAAAG/Ss78=")</f>
        <v>#REF!</v>
      </c>
      <c r="GK13" t="e">
        <f>AND(#REF!,"AAAAAG/Ss8A=")</f>
        <v>#REF!</v>
      </c>
      <c r="GL13" t="e">
        <f>AND(#REF!,"AAAAAG/Ss8E=")</f>
        <v>#REF!</v>
      </c>
      <c r="GM13" t="e">
        <f>AND(#REF!,"AAAAAG/Ss8I=")</f>
        <v>#REF!</v>
      </c>
      <c r="GN13" t="e">
        <f>AND(#REF!,"AAAAAG/Ss8M=")</f>
        <v>#REF!</v>
      </c>
      <c r="GO13" t="e">
        <f>AND(#REF!,"AAAAAG/Ss8Q=")</f>
        <v>#REF!</v>
      </c>
      <c r="GP13" t="e">
        <f>AND(#REF!,"AAAAAG/Ss8U=")</f>
        <v>#REF!</v>
      </c>
      <c r="GQ13" t="e">
        <f>AND(#REF!,"AAAAAG/Ss8Y=")</f>
        <v>#REF!</v>
      </c>
      <c r="GR13" t="e">
        <f>AND(#REF!,"AAAAAG/Ss8c=")</f>
        <v>#REF!</v>
      </c>
      <c r="GS13" t="e">
        <f>AND(#REF!,"AAAAAG/Ss8g=")</f>
        <v>#REF!</v>
      </c>
      <c r="GT13" t="e">
        <f>AND(#REF!,"AAAAAG/Ss8k=")</f>
        <v>#REF!</v>
      </c>
      <c r="GU13" t="e">
        <f>AND(#REF!,"AAAAAG/Ss8o=")</f>
        <v>#REF!</v>
      </c>
      <c r="GV13" t="e">
        <f>AND(#REF!,"AAAAAG/Ss8s=")</f>
        <v>#REF!</v>
      </c>
      <c r="GW13" t="e">
        <f>AND(#REF!,"AAAAAG/Ss8w=")</f>
        <v>#REF!</v>
      </c>
      <c r="GX13" t="e">
        <f>AND(#REF!,"AAAAAG/Ss80=")</f>
        <v>#REF!</v>
      </c>
      <c r="GY13" t="e">
        <f>AND(#REF!,"AAAAAG/Ss84=")</f>
        <v>#REF!</v>
      </c>
      <c r="GZ13" t="e">
        <f>AND(#REF!,"AAAAAG/Ss88=")</f>
        <v>#REF!</v>
      </c>
      <c r="HA13" t="e">
        <f>IF(#REF!,"AAAAAG/Ss9A=",0)</f>
        <v>#REF!</v>
      </c>
      <c r="HB13" t="e">
        <f>AND(#REF!,"AAAAAG/Ss9E=")</f>
        <v>#REF!</v>
      </c>
      <c r="HC13" t="e">
        <f>AND(#REF!,"AAAAAG/Ss9I=")</f>
        <v>#REF!</v>
      </c>
      <c r="HD13" t="e">
        <f>AND(#REF!,"AAAAAG/Ss9M=")</f>
        <v>#REF!</v>
      </c>
      <c r="HE13" t="e">
        <f>AND(#REF!,"AAAAAG/Ss9Q=")</f>
        <v>#REF!</v>
      </c>
      <c r="HF13" t="e">
        <f>AND(#REF!,"AAAAAG/Ss9U=")</f>
        <v>#REF!</v>
      </c>
      <c r="HG13" t="e">
        <f>AND(#REF!,"AAAAAG/Ss9Y=")</f>
        <v>#REF!</v>
      </c>
      <c r="HH13" t="e">
        <f>AND(#REF!,"AAAAAG/Ss9c=")</f>
        <v>#REF!</v>
      </c>
      <c r="HI13" t="e">
        <f>AND(#REF!,"AAAAAG/Ss9g=")</f>
        <v>#REF!</v>
      </c>
      <c r="HJ13" t="e">
        <f>AND(#REF!,"AAAAAG/Ss9k=")</f>
        <v>#REF!</v>
      </c>
      <c r="HK13" t="e">
        <f>AND(#REF!,"AAAAAG/Ss9o=")</f>
        <v>#REF!</v>
      </c>
      <c r="HL13" t="e">
        <f>AND(#REF!,"AAAAAG/Ss9s=")</f>
        <v>#REF!</v>
      </c>
      <c r="HM13" t="e">
        <f>AND(#REF!,"AAAAAG/Ss9w=")</f>
        <v>#REF!</v>
      </c>
      <c r="HN13" t="e">
        <f>AND(#REF!,"AAAAAG/Ss90=")</f>
        <v>#REF!</v>
      </c>
      <c r="HO13" t="e">
        <f>AND(#REF!,"AAAAAG/Ss94=")</f>
        <v>#REF!</v>
      </c>
      <c r="HP13" t="e">
        <f>AND(#REF!,"AAAAAG/Ss98=")</f>
        <v>#REF!</v>
      </c>
      <c r="HQ13" t="e">
        <f>AND(#REF!,"AAAAAG/Ss+A=")</f>
        <v>#REF!</v>
      </c>
      <c r="HR13" t="e">
        <f>AND(#REF!,"AAAAAG/Ss+E=")</f>
        <v>#REF!</v>
      </c>
      <c r="HS13" t="e">
        <f>AND(#REF!,"AAAAAG/Ss+I=")</f>
        <v>#REF!</v>
      </c>
      <c r="HT13" t="e">
        <f>AND(#REF!,"AAAAAG/Ss+M=")</f>
        <v>#REF!</v>
      </c>
      <c r="HU13" t="e">
        <f>AND(#REF!,"AAAAAG/Ss+Q=")</f>
        <v>#REF!</v>
      </c>
      <c r="HV13" t="e">
        <f>AND(#REF!,"AAAAAG/Ss+U=")</f>
        <v>#REF!</v>
      </c>
      <c r="HW13" t="e">
        <f>AND(#REF!,"AAAAAG/Ss+Y=")</f>
        <v>#REF!</v>
      </c>
      <c r="HX13" t="e">
        <f>AND(#REF!,"AAAAAG/Ss+c=")</f>
        <v>#REF!</v>
      </c>
      <c r="HY13" t="e">
        <f>AND(#REF!,"AAAAAG/Ss+g=")</f>
        <v>#REF!</v>
      </c>
      <c r="HZ13" t="e">
        <f>AND(#REF!,"AAAAAG/Ss+k=")</f>
        <v>#REF!</v>
      </c>
      <c r="IA13" t="e">
        <f>AND(#REF!,"AAAAAG/Ss+o=")</f>
        <v>#REF!</v>
      </c>
      <c r="IB13" t="e">
        <f>AND(#REF!,"AAAAAG/Ss+s=")</f>
        <v>#REF!</v>
      </c>
      <c r="IC13" t="e">
        <f>AND(#REF!,"AAAAAG/Ss+w=")</f>
        <v>#REF!</v>
      </c>
      <c r="ID13" t="e">
        <f>AND(#REF!,"AAAAAG/Ss+0=")</f>
        <v>#REF!</v>
      </c>
      <c r="IE13" t="e">
        <f>AND(#REF!,"AAAAAG/Ss+4=")</f>
        <v>#REF!</v>
      </c>
      <c r="IF13" t="e">
        <f>AND(#REF!,"AAAAAG/Ss+8=")</f>
        <v>#REF!</v>
      </c>
      <c r="IG13" t="e">
        <f>AND(#REF!,"AAAAAG/Ss/A=")</f>
        <v>#REF!</v>
      </c>
      <c r="IH13" t="e">
        <f>AND(#REF!,"AAAAAG/Ss/E=")</f>
        <v>#REF!</v>
      </c>
      <c r="II13" t="e">
        <f>AND(#REF!,"AAAAAG/Ss/I=")</f>
        <v>#REF!</v>
      </c>
      <c r="IJ13" t="e">
        <f>AND(#REF!,"AAAAAG/Ss/M=")</f>
        <v>#REF!</v>
      </c>
      <c r="IK13" t="e">
        <f>AND(#REF!,"AAAAAG/Ss/Q=")</f>
        <v>#REF!</v>
      </c>
      <c r="IL13" t="e">
        <f>IF(#REF!,"AAAAAG/Ss/U=",0)</f>
        <v>#REF!</v>
      </c>
      <c r="IM13" t="e">
        <f>AND(#REF!,"AAAAAG/Ss/Y=")</f>
        <v>#REF!</v>
      </c>
      <c r="IN13" t="e">
        <f>AND(#REF!,"AAAAAG/Ss/c=")</f>
        <v>#REF!</v>
      </c>
      <c r="IO13" t="e">
        <f>AND(#REF!,"AAAAAG/Ss/g=")</f>
        <v>#REF!</v>
      </c>
      <c r="IP13" t="e">
        <f>AND(#REF!,"AAAAAG/Ss/k=")</f>
        <v>#REF!</v>
      </c>
      <c r="IQ13" t="e">
        <f>AND(#REF!,"AAAAAG/Ss/o=")</f>
        <v>#REF!</v>
      </c>
      <c r="IR13" t="e">
        <f>AND(#REF!,"AAAAAG/Ss/s=")</f>
        <v>#REF!</v>
      </c>
      <c r="IS13" t="e">
        <f>AND(#REF!,"AAAAAG/Ss/w=")</f>
        <v>#REF!</v>
      </c>
      <c r="IT13" t="e">
        <f>AND(#REF!,"AAAAAG/Ss/0=")</f>
        <v>#REF!</v>
      </c>
      <c r="IU13" t="e">
        <f>AND(#REF!,"AAAAAG/Ss/4=")</f>
        <v>#REF!</v>
      </c>
      <c r="IV13" t="e">
        <f>AND(#REF!,"AAAAAG/Ss/8=")</f>
        <v>#REF!</v>
      </c>
    </row>
    <row r="14" spans="1:256">
      <c r="A14" t="e">
        <f>AND(#REF!,"AAAAAGr7uQA=")</f>
        <v>#REF!</v>
      </c>
      <c r="B14" t="e">
        <f>AND(#REF!,"AAAAAGr7uQE=")</f>
        <v>#REF!</v>
      </c>
      <c r="C14" t="e">
        <f>AND(#REF!,"AAAAAGr7uQI=")</f>
        <v>#REF!</v>
      </c>
      <c r="D14" t="e">
        <f>AND(#REF!,"AAAAAGr7uQM=")</f>
        <v>#REF!</v>
      </c>
      <c r="E14" t="e">
        <f>AND(#REF!,"AAAAAGr7uQQ=")</f>
        <v>#REF!</v>
      </c>
      <c r="F14" t="e">
        <f>AND(#REF!,"AAAAAGr7uQU=")</f>
        <v>#REF!</v>
      </c>
      <c r="G14" t="e">
        <f>AND(#REF!,"AAAAAGr7uQY=")</f>
        <v>#REF!</v>
      </c>
      <c r="H14" t="e">
        <f>AND(#REF!,"AAAAAGr7uQc=")</f>
        <v>#REF!</v>
      </c>
      <c r="I14" t="e">
        <f>AND(#REF!,"AAAAAGr7uQg=")</f>
        <v>#REF!</v>
      </c>
      <c r="J14" t="e">
        <f>AND(#REF!,"AAAAAGr7uQk=")</f>
        <v>#REF!</v>
      </c>
      <c r="K14" t="e">
        <f>AND(#REF!,"AAAAAGr7uQo=")</f>
        <v>#REF!</v>
      </c>
      <c r="L14" t="e">
        <f>AND(#REF!,"AAAAAGr7uQs=")</f>
        <v>#REF!</v>
      </c>
      <c r="M14" t="e">
        <f>AND(#REF!,"AAAAAGr7uQw=")</f>
        <v>#REF!</v>
      </c>
      <c r="N14" t="e">
        <f>AND(#REF!,"AAAAAGr7uQ0=")</f>
        <v>#REF!</v>
      </c>
      <c r="O14" t="e">
        <f>AND(#REF!,"AAAAAGr7uQ4=")</f>
        <v>#REF!</v>
      </c>
      <c r="P14" t="e">
        <f>AND(#REF!,"AAAAAGr7uQ8=")</f>
        <v>#REF!</v>
      </c>
      <c r="Q14" t="e">
        <f>AND(#REF!,"AAAAAGr7uRA=")</f>
        <v>#REF!</v>
      </c>
      <c r="R14" t="e">
        <f>AND(#REF!,"AAAAAGr7uRE=")</f>
        <v>#REF!</v>
      </c>
      <c r="S14" t="e">
        <f>AND(#REF!,"AAAAAGr7uRI=")</f>
        <v>#REF!</v>
      </c>
      <c r="T14" t="e">
        <f>AND(#REF!,"AAAAAGr7uRM=")</f>
        <v>#REF!</v>
      </c>
      <c r="U14" t="e">
        <f>AND(#REF!,"AAAAAGr7uRQ=")</f>
        <v>#REF!</v>
      </c>
      <c r="V14" t="e">
        <f>AND(#REF!,"AAAAAGr7uRU=")</f>
        <v>#REF!</v>
      </c>
      <c r="W14" t="e">
        <f>AND(#REF!,"AAAAAGr7uRY=")</f>
        <v>#REF!</v>
      </c>
      <c r="X14" t="e">
        <f>AND(#REF!,"AAAAAGr7uRc=")</f>
        <v>#REF!</v>
      </c>
      <c r="Y14" t="e">
        <f>AND(#REF!,"AAAAAGr7uRg=")</f>
        <v>#REF!</v>
      </c>
      <c r="Z14" t="e">
        <f>AND(#REF!,"AAAAAGr7uRk=")</f>
        <v>#REF!</v>
      </c>
      <c r="AA14" t="e">
        <f>IF(#REF!,"AAAAAGr7uRo=",0)</f>
        <v>#REF!</v>
      </c>
      <c r="AB14" t="e">
        <f>AND(#REF!,"AAAAAGr7uRs=")</f>
        <v>#REF!</v>
      </c>
      <c r="AC14" t="e">
        <f>AND(#REF!,"AAAAAGr7uRw=")</f>
        <v>#REF!</v>
      </c>
      <c r="AD14" t="e">
        <f>AND(#REF!,"AAAAAGr7uR0=")</f>
        <v>#REF!</v>
      </c>
      <c r="AE14" t="e">
        <f>AND(#REF!,"AAAAAGr7uR4=")</f>
        <v>#REF!</v>
      </c>
      <c r="AF14" t="e">
        <f>AND(#REF!,"AAAAAGr7uR8=")</f>
        <v>#REF!</v>
      </c>
      <c r="AG14" t="e">
        <f>AND(#REF!,"AAAAAGr7uSA=")</f>
        <v>#REF!</v>
      </c>
      <c r="AH14" t="e">
        <f>AND(#REF!,"AAAAAGr7uSE=")</f>
        <v>#REF!</v>
      </c>
      <c r="AI14" t="e">
        <f>AND(#REF!,"AAAAAGr7uSI=")</f>
        <v>#REF!</v>
      </c>
      <c r="AJ14" t="e">
        <f>AND(#REF!,"AAAAAGr7uSM=")</f>
        <v>#REF!</v>
      </c>
      <c r="AK14" t="e">
        <f>AND(#REF!,"AAAAAGr7uSQ=")</f>
        <v>#REF!</v>
      </c>
      <c r="AL14" t="e">
        <f>AND(#REF!,"AAAAAGr7uSU=")</f>
        <v>#REF!</v>
      </c>
      <c r="AM14" t="e">
        <f>AND(#REF!,"AAAAAGr7uSY=")</f>
        <v>#REF!</v>
      </c>
      <c r="AN14" t="e">
        <f>AND(#REF!,"AAAAAGr7uSc=")</f>
        <v>#REF!</v>
      </c>
      <c r="AO14" t="e">
        <f>AND(#REF!,"AAAAAGr7uSg=")</f>
        <v>#REF!</v>
      </c>
      <c r="AP14" t="e">
        <f>AND(#REF!,"AAAAAGr7uSk=")</f>
        <v>#REF!</v>
      </c>
      <c r="AQ14" t="e">
        <f>AND(#REF!,"AAAAAGr7uSo=")</f>
        <v>#REF!</v>
      </c>
      <c r="AR14" t="e">
        <f>AND(#REF!,"AAAAAGr7uSs=")</f>
        <v>#REF!</v>
      </c>
      <c r="AS14" t="e">
        <f>AND(#REF!,"AAAAAGr7uSw=")</f>
        <v>#REF!</v>
      </c>
      <c r="AT14" t="e">
        <f>AND(#REF!,"AAAAAGr7uS0=")</f>
        <v>#REF!</v>
      </c>
      <c r="AU14" t="e">
        <f>AND(#REF!,"AAAAAGr7uS4=")</f>
        <v>#REF!</v>
      </c>
      <c r="AV14" t="e">
        <f>AND(#REF!,"AAAAAGr7uS8=")</f>
        <v>#REF!</v>
      </c>
      <c r="AW14" t="e">
        <f>AND(#REF!,"AAAAAGr7uTA=")</f>
        <v>#REF!</v>
      </c>
      <c r="AX14" t="e">
        <f>AND(#REF!,"AAAAAGr7uTE=")</f>
        <v>#REF!</v>
      </c>
      <c r="AY14" t="e">
        <f>AND(#REF!,"AAAAAGr7uTI=")</f>
        <v>#REF!</v>
      </c>
      <c r="AZ14" t="e">
        <f>AND(#REF!,"AAAAAGr7uTM=")</f>
        <v>#REF!</v>
      </c>
      <c r="BA14" t="e">
        <f>AND(#REF!,"AAAAAGr7uTQ=")</f>
        <v>#REF!</v>
      </c>
      <c r="BB14" t="e">
        <f>AND(#REF!,"AAAAAGr7uTU=")</f>
        <v>#REF!</v>
      </c>
      <c r="BC14" t="e">
        <f>AND(#REF!,"AAAAAGr7uTY=")</f>
        <v>#REF!</v>
      </c>
      <c r="BD14" t="e">
        <f>AND(#REF!,"AAAAAGr7uTc=")</f>
        <v>#REF!</v>
      </c>
      <c r="BE14" t="e">
        <f>AND(#REF!,"AAAAAGr7uTg=")</f>
        <v>#REF!</v>
      </c>
      <c r="BF14" t="e">
        <f>AND(#REF!,"AAAAAGr7uTk=")</f>
        <v>#REF!</v>
      </c>
      <c r="BG14" t="e">
        <f>AND(#REF!,"AAAAAGr7uTo=")</f>
        <v>#REF!</v>
      </c>
      <c r="BH14" t="e">
        <f>AND(#REF!,"AAAAAGr7uTs=")</f>
        <v>#REF!</v>
      </c>
      <c r="BI14" t="e">
        <f>AND(#REF!,"AAAAAGr7uTw=")</f>
        <v>#REF!</v>
      </c>
      <c r="BJ14" t="e">
        <f>AND(#REF!,"AAAAAGr7uT0=")</f>
        <v>#REF!</v>
      </c>
      <c r="BK14" t="e">
        <f>AND(#REF!,"AAAAAGr7uT4=")</f>
        <v>#REF!</v>
      </c>
      <c r="BL14" t="e">
        <f>IF(#REF!,"AAAAAGr7uT8=",0)</f>
        <v>#REF!</v>
      </c>
      <c r="BM14" t="e">
        <f>AND(#REF!,"AAAAAGr7uUA=")</f>
        <v>#REF!</v>
      </c>
      <c r="BN14" t="e">
        <f>AND(#REF!,"AAAAAGr7uUE=")</f>
        <v>#REF!</v>
      </c>
      <c r="BO14" t="e">
        <f>AND(#REF!,"AAAAAGr7uUI=")</f>
        <v>#REF!</v>
      </c>
      <c r="BP14" t="e">
        <f>AND(#REF!,"AAAAAGr7uUM=")</f>
        <v>#REF!</v>
      </c>
      <c r="BQ14" t="e">
        <f>AND(#REF!,"AAAAAGr7uUQ=")</f>
        <v>#REF!</v>
      </c>
      <c r="BR14" t="e">
        <f>AND(#REF!,"AAAAAGr7uUU=")</f>
        <v>#REF!</v>
      </c>
      <c r="BS14" t="e">
        <f>AND(#REF!,"AAAAAGr7uUY=")</f>
        <v>#REF!</v>
      </c>
      <c r="BT14" t="e">
        <f>AND(#REF!,"AAAAAGr7uUc=")</f>
        <v>#REF!</v>
      </c>
      <c r="BU14" t="e">
        <f>AND(#REF!,"AAAAAGr7uUg=")</f>
        <v>#REF!</v>
      </c>
      <c r="BV14" t="e">
        <f>AND(#REF!,"AAAAAGr7uUk=")</f>
        <v>#REF!</v>
      </c>
      <c r="BW14" t="e">
        <f>AND(#REF!,"AAAAAGr7uUo=")</f>
        <v>#REF!</v>
      </c>
      <c r="BX14" t="e">
        <f>AND(#REF!,"AAAAAGr7uUs=")</f>
        <v>#REF!</v>
      </c>
      <c r="BY14" t="e">
        <f>AND(#REF!,"AAAAAGr7uUw=")</f>
        <v>#REF!</v>
      </c>
      <c r="BZ14" t="e">
        <f>AND(#REF!,"AAAAAGr7uU0=")</f>
        <v>#REF!</v>
      </c>
      <c r="CA14" t="e">
        <f>AND(#REF!,"AAAAAGr7uU4=")</f>
        <v>#REF!</v>
      </c>
      <c r="CB14" t="e">
        <f>AND(#REF!,"AAAAAGr7uU8=")</f>
        <v>#REF!</v>
      </c>
      <c r="CC14" t="e">
        <f>AND(#REF!,"AAAAAGr7uVA=")</f>
        <v>#REF!</v>
      </c>
      <c r="CD14" t="e">
        <f>AND(#REF!,"AAAAAGr7uVE=")</f>
        <v>#REF!</v>
      </c>
      <c r="CE14" t="e">
        <f>AND(#REF!,"AAAAAGr7uVI=")</f>
        <v>#REF!</v>
      </c>
      <c r="CF14" t="e">
        <f>AND(#REF!,"AAAAAGr7uVM=")</f>
        <v>#REF!</v>
      </c>
      <c r="CG14" t="e">
        <f>AND(#REF!,"AAAAAGr7uVQ=")</f>
        <v>#REF!</v>
      </c>
      <c r="CH14" t="e">
        <f>AND(#REF!,"AAAAAGr7uVU=")</f>
        <v>#REF!</v>
      </c>
      <c r="CI14" t="e">
        <f>AND(#REF!,"AAAAAGr7uVY=")</f>
        <v>#REF!</v>
      </c>
      <c r="CJ14" t="e">
        <f>AND(#REF!,"AAAAAGr7uVc=")</f>
        <v>#REF!</v>
      </c>
      <c r="CK14" t="e">
        <f>AND(#REF!,"AAAAAGr7uVg=")</f>
        <v>#REF!</v>
      </c>
      <c r="CL14" t="e">
        <f>AND(#REF!,"AAAAAGr7uVk=")</f>
        <v>#REF!</v>
      </c>
      <c r="CM14" t="e">
        <f>AND(#REF!,"AAAAAGr7uVo=")</f>
        <v>#REF!</v>
      </c>
      <c r="CN14" t="e">
        <f>AND(#REF!,"AAAAAGr7uVs=")</f>
        <v>#REF!</v>
      </c>
      <c r="CO14" t="e">
        <f>AND(#REF!,"AAAAAGr7uVw=")</f>
        <v>#REF!</v>
      </c>
      <c r="CP14" t="e">
        <f>AND(#REF!,"AAAAAGr7uV0=")</f>
        <v>#REF!</v>
      </c>
      <c r="CQ14" t="e">
        <f>AND(#REF!,"AAAAAGr7uV4=")</f>
        <v>#REF!</v>
      </c>
      <c r="CR14" t="e">
        <f>AND(#REF!,"AAAAAGr7uV8=")</f>
        <v>#REF!</v>
      </c>
      <c r="CS14" t="e">
        <f>AND(#REF!,"AAAAAGr7uWA=")</f>
        <v>#REF!</v>
      </c>
      <c r="CT14" t="e">
        <f>AND(#REF!,"AAAAAGr7uWE=")</f>
        <v>#REF!</v>
      </c>
      <c r="CU14" t="e">
        <f>AND(#REF!,"AAAAAGr7uWI=")</f>
        <v>#REF!</v>
      </c>
      <c r="CV14" t="e">
        <f>AND(#REF!,"AAAAAGr7uWM=")</f>
        <v>#REF!</v>
      </c>
      <c r="CW14" t="e">
        <f>IF(#REF!,"AAAAAGr7uWQ=",0)</f>
        <v>#REF!</v>
      </c>
      <c r="CX14" t="e">
        <f>AND(#REF!,"AAAAAGr7uWU=")</f>
        <v>#REF!</v>
      </c>
      <c r="CY14" t="e">
        <f>AND(#REF!,"AAAAAGr7uWY=")</f>
        <v>#REF!</v>
      </c>
      <c r="CZ14" t="e">
        <f>AND(#REF!,"AAAAAGr7uWc=")</f>
        <v>#REF!</v>
      </c>
      <c r="DA14" t="e">
        <f>AND(#REF!,"AAAAAGr7uWg=")</f>
        <v>#REF!</v>
      </c>
      <c r="DB14" t="e">
        <f>AND(#REF!,"AAAAAGr7uWk=")</f>
        <v>#REF!</v>
      </c>
      <c r="DC14" t="e">
        <f>AND(#REF!,"AAAAAGr7uWo=")</f>
        <v>#REF!</v>
      </c>
      <c r="DD14" t="e">
        <f>AND(#REF!,"AAAAAGr7uWs=")</f>
        <v>#REF!</v>
      </c>
      <c r="DE14" t="e">
        <f>AND(#REF!,"AAAAAGr7uWw=")</f>
        <v>#REF!</v>
      </c>
      <c r="DF14" t="e">
        <f>AND(#REF!,"AAAAAGr7uW0=")</f>
        <v>#REF!</v>
      </c>
      <c r="DG14" t="e">
        <f>AND(#REF!,"AAAAAGr7uW4=")</f>
        <v>#REF!</v>
      </c>
      <c r="DH14" t="e">
        <f>AND(#REF!,"AAAAAGr7uW8=")</f>
        <v>#REF!</v>
      </c>
      <c r="DI14" t="e">
        <f>AND(#REF!,"AAAAAGr7uXA=")</f>
        <v>#REF!</v>
      </c>
      <c r="DJ14" t="e">
        <f>AND(#REF!,"AAAAAGr7uXE=")</f>
        <v>#REF!</v>
      </c>
      <c r="DK14" t="e">
        <f>AND(#REF!,"AAAAAGr7uXI=")</f>
        <v>#REF!</v>
      </c>
      <c r="DL14" t="e">
        <f>AND(#REF!,"AAAAAGr7uXM=")</f>
        <v>#REF!</v>
      </c>
      <c r="DM14" t="e">
        <f>AND(#REF!,"AAAAAGr7uXQ=")</f>
        <v>#REF!</v>
      </c>
      <c r="DN14" t="e">
        <f>AND(#REF!,"AAAAAGr7uXU=")</f>
        <v>#REF!</v>
      </c>
      <c r="DO14" t="e">
        <f>AND(#REF!,"AAAAAGr7uXY=")</f>
        <v>#REF!</v>
      </c>
      <c r="DP14" t="e">
        <f>AND(#REF!,"AAAAAGr7uXc=")</f>
        <v>#REF!</v>
      </c>
      <c r="DQ14" t="e">
        <f>AND(#REF!,"AAAAAGr7uXg=")</f>
        <v>#REF!</v>
      </c>
      <c r="DR14" t="e">
        <f>AND(#REF!,"AAAAAGr7uXk=")</f>
        <v>#REF!</v>
      </c>
      <c r="DS14" t="e">
        <f>AND(#REF!,"AAAAAGr7uXo=")</f>
        <v>#REF!</v>
      </c>
      <c r="DT14" t="e">
        <f>AND(#REF!,"AAAAAGr7uXs=")</f>
        <v>#REF!</v>
      </c>
      <c r="DU14" t="e">
        <f>AND(#REF!,"AAAAAGr7uXw=")</f>
        <v>#REF!</v>
      </c>
      <c r="DV14" t="e">
        <f>AND(#REF!,"AAAAAGr7uX0=")</f>
        <v>#REF!</v>
      </c>
      <c r="DW14" t="e">
        <f>AND(#REF!,"AAAAAGr7uX4=")</f>
        <v>#REF!</v>
      </c>
      <c r="DX14" t="e">
        <f>AND(#REF!,"AAAAAGr7uX8=")</f>
        <v>#REF!</v>
      </c>
      <c r="DY14" t="e">
        <f>AND(#REF!,"AAAAAGr7uYA=")</f>
        <v>#REF!</v>
      </c>
      <c r="DZ14" t="e">
        <f>AND(#REF!,"AAAAAGr7uYE=")</f>
        <v>#REF!</v>
      </c>
      <c r="EA14" t="e">
        <f>AND(#REF!,"AAAAAGr7uYI=")</f>
        <v>#REF!</v>
      </c>
      <c r="EB14" t="e">
        <f>AND(#REF!,"AAAAAGr7uYM=")</f>
        <v>#REF!</v>
      </c>
      <c r="EC14" t="e">
        <f>AND(#REF!,"AAAAAGr7uYQ=")</f>
        <v>#REF!</v>
      </c>
      <c r="ED14" t="e">
        <f>AND(#REF!,"AAAAAGr7uYU=")</f>
        <v>#REF!</v>
      </c>
      <c r="EE14" t="e">
        <f>AND(#REF!,"AAAAAGr7uYY=")</f>
        <v>#REF!</v>
      </c>
      <c r="EF14" t="e">
        <f>AND(#REF!,"AAAAAGr7uYc=")</f>
        <v>#REF!</v>
      </c>
      <c r="EG14" t="e">
        <f>AND(#REF!,"AAAAAGr7uYg=")</f>
        <v>#REF!</v>
      </c>
      <c r="EH14" t="e">
        <f>IF(#REF!,"AAAAAGr7uYk=",0)</f>
        <v>#REF!</v>
      </c>
      <c r="EI14" t="e">
        <f>AND(#REF!,"AAAAAGr7uYo=")</f>
        <v>#REF!</v>
      </c>
      <c r="EJ14" t="e">
        <f>AND(#REF!,"AAAAAGr7uYs=")</f>
        <v>#REF!</v>
      </c>
      <c r="EK14" t="e">
        <f>AND(#REF!,"AAAAAGr7uYw=")</f>
        <v>#REF!</v>
      </c>
      <c r="EL14" t="e">
        <f>AND(#REF!,"AAAAAGr7uY0=")</f>
        <v>#REF!</v>
      </c>
      <c r="EM14" t="e">
        <f>AND(#REF!,"AAAAAGr7uY4=")</f>
        <v>#REF!</v>
      </c>
      <c r="EN14" t="e">
        <f>AND(#REF!,"AAAAAGr7uY8=")</f>
        <v>#REF!</v>
      </c>
      <c r="EO14" t="e">
        <f>AND(#REF!,"AAAAAGr7uZA=")</f>
        <v>#REF!</v>
      </c>
      <c r="EP14" t="e">
        <f>AND(#REF!,"AAAAAGr7uZE=")</f>
        <v>#REF!</v>
      </c>
      <c r="EQ14" t="e">
        <f>AND(#REF!,"AAAAAGr7uZI=")</f>
        <v>#REF!</v>
      </c>
      <c r="ER14" t="e">
        <f>AND(#REF!,"AAAAAGr7uZM=")</f>
        <v>#REF!</v>
      </c>
      <c r="ES14" t="e">
        <f>AND(#REF!,"AAAAAGr7uZQ=")</f>
        <v>#REF!</v>
      </c>
      <c r="ET14" t="e">
        <f>AND(#REF!,"AAAAAGr7uZU=")</f>
        <v>#REF!</v>
      </c>
      <c r="EU14" t="e">
        <f>AND(#REF!,"AAAAAGr7uZY=")</f>
        <v>#REF!</v>
      </c>
      <c r="EV14" t="e">
        <f>AND(#REF!,"AAAAAGr7uZc=")</f>
        <v>#REF!</v>
      </c>
      <c r="EW14" t="e">
        <f>AND(#REF!,"AAAAAGr7uZg=")</f>
        <v>#REF!</v>
      </c>
      <c r="EX14" t="e">
        <f>AND(#REF!,"AAAAAGr7uZk=")</f>
        <v>#REF!</v>
      </c>
      <c r="EY14" t="e">
        <f>AND(#REF!,"AAAAAGr7uZo=")</f>
        <v>#REF!</v>
      </c>
      <c r="EZ14" t="e">
        <f>AND(#REF!,"AAAAAGr7uZs=")</f>
        <v>#REF!</v>
      </c>
      <c r="FA14" t="e">
        <f>AND(#REF!,"AAAAAGr7uZw=")</f>
        <v>#REF!</v>
      </c>
      <c r="FB14" t="e">
        <f>AND(#REF!,"AAAAAGr7uZ0=")</f>
        <v>#REF!</v>
      </c>
      <c r="FC14" t="e">
        <f>AND(#REF!,"AAAAAGr7uZ4=")</f>
        <v>#REF!</v>
      </c>
      <c r="FD14" t="e">
        <f>AND(#REF!,"AAAAAGr7uZ8=")</f>
        <v>#REF!</v>
      </c>
      <c r="FE14" t="e">
        <f>AND(#REF!,"AAAAAGr7uaA=")</f>
        <v>#REF!</v>
      </c>
      <c r="FF14" t="e">
        <f>AND(#REF!,"AAAAAGr7uaE=")</f>
        <v>#REF!</v>
      </c>
      <c r="FG14" t="e">
        <f>AND(#REF!,"AAAAAGr7uaI=")</f>
        <v>#REF!</v>
      </c>
      <c r="FH14" t="e">
        <f>AND(#REF!,"AAAAAGr7uaM=")</f>
        <v>#REF!</v>
      </c>
      <c r="FI14" t="e">
        <f>AND(#REF!,"AAAAAGr7uaQ=")</f>
        <v>#REF!</v>
      </c>
      <c r="FJ14" t="e">
        <f>AND(#REF!,"AAAAAGr7uaU=")</f>
        <v>#REF!</v>
      </c>
      <c r="FK14" t="e">
        <f>AND(#REF!,"AAAAAGr7uaY=")</f>
        <v>#REF!</v>
      </c>
      <c r="FL14" t="e">
        <f>AND(#REF!,"AAAAAGr7uac=")</f>
        <v>#REF!</v>
      </c>
      <c r="FM14" t="e">
        <f>AND(#REF!,"AAAAAGr7uag=")</f>
        <v>#REF!</v>
      </c>
      <c r="FN14" t="e">
        <f>AND(#REF!,"AAAAAGr7uak=")</f>
        <v>#REF!</v>
      </c>
      <c r="FO14" t="e">
        <f>AND(#REF!,"AAAAAGr7uao=")</f>
        <v>#REF!</v>
      </c>
      <c r="FP14" t="e">
        <f>AND(#REF!,"AAAAAGr7uas=")</f>
        <v>#REF!</v>
      </c>
      <c r="FQ14" t="e">
        <f>AND(#REF!,"AAAAAGr7uaw=")</f>
        <v>#REF!</v>
      </c>
      <c r="FR14" t="e">
        <f>AND(#REF!,"AAAAAGr7ua0=")</f>
        <v>#REF!</v>
      </c>
      <c r="FS14" t="e">
        <f>IF(#REF!,"AAAAAGr7ua4=",0)</f>
        <v>#REF!</v>
      </c>
      <c r="FT14" t="e">
        <f>AND(#REF!,"AAAAAGr7ua8=")</f>
        <v>#REF!</v>
      </c>
      <c r="FU14" t="e">
        <f>AND(#REF!,"AAAAAGr7ubA=")</f>
        <v>#REF!</v>
      </c>
      <c r="FV14" t="e">
        <f>AND(#REF!,"AAAAAGr7ubE=")</f>
        <v>#REF!</v>
      </c>
      <c r="FW14" t="e">
        <f>AND(#REF!,"AAAAAGr7ubI=")</f>
        <v>#REF!</v>
      </c>
      <c r="FX14" t="e">
        <f>AND(#REF!,"AAAAAGr7ubM=")</f>
        <v>#REF!</v>
      </c>
      <c r="FY14" t="e">
        <f>AND(#REF!,"AAAAAGr7ubQ=")</f>
        <v>#REF!</v>
      </c>
      <c r="FZ14" t="e">
        <f>AND(#REF!,"AAAAAGr7ubU=")</f>
        <v>#REF!</v>
      </c>
      <c r="GA14" t="e">
        <f>AND(#REF!,"AAAAAGr7ubY=")</f>
        <v>#REF!</v>
      </c>
      <c r="GB14" t="e">
        <f>AND(#REF!,"AAAAAGr7ubc=")</f>
        <v>#REF!</v>
      </c>
      <c r="GC14" t="e">
        <f>AND(#REF!,"AAAAAGr7ubg=")</f>
        <v>#REF!</v>
      </c>
      <c r="GD14" t="e">
        <f>AND(#REF!,"AAAAAGr7ubk=")</f>
        <v>#REF!</v>
      </c>
      <c r="GE14" t="e">
        <f>AND(#REF!,"AAAAAGr7ubo=")</f>
        <v>#REF!</v>
      </c>
      <c r="GF14" t="e">
        <f>AND(#REF!,"AAAAAGr7ubs=")</f>
        <v>#REF!</v>
      </c>
      <c r="GG14" t="e">
        <f>AND(#REF!,"AAAAAGr7ubw=")</f>
        <v>#REF!</v>
      </c>
      <c r="GH14" t="e">
        <f>AND(#REF!,"AAAAAGr7ub0=")</f>
        <v>#REF!</v>
      </c>
      <c r="GI14" t="e">
        <f>AND(#REF!,"AAAAAGr7ub4=")</f>
        <v>#REF!</v>
      </c>
      <c r="GJ14" t="e">
        <f>AND(#REF!,"AAAAAGr7ub8=")</f>
        <v>#REF!</v>
      </c>
      <c r="GK14" t="e">
        <f>AND(#REF!,"AAAAAGr7ucA=")</f>
        <v>#REF!</v>
      </c>
      <c r="GL14" t="e">
        <f>AND(#REF!,"AAAAAGr7ucE=")</f>
        <v>#REF!</v>
      </c>
      <c r="GM14" t="e">
        <f>AND(#REF!,"AAAAAGr7ucI=")</f>
        <v>#REF!</v>
      </c>
      <c r="GN14" t="e">
        <f>AND(#REF!,"AAAAAGr7ucM=")</f>
        <v>#REF!</v>
      </c>
      <c r="GO14" t="e">
        <f>AND(#REF!,"AAAAAGr7ucQ=")</f>
        <v>#REF!</v>
      </c>
      <c r="GP14" t="e">
        <f>AND(#REF!,"AAAAAGr7ucU=")</f>
        <v>#REF!</v>
      </c>
      <c r="GQ14" t="e">
        <f>AND(#REF!,"AAAAAGr7ucY=")</f>
        <v>#REF!</v>
      </c>
      <c r="GR14" t="e">
        <f>AND(#REF!,"AAAAAGr7ucc=")</f>
        <v>#REF!</v>
      </c>
      <c r="GS14" t="e">
        <f>AND(#REF!,"AAAAAGr7ucg=")</f>
        <v>#REF!</v>
      </c>
      <c r="GT14" t="e">
        <f>AND(#REF!,"AAAAAGr7uck=")</f>
        <v>#REF!</v>
      </c>
      <c r="GU14" t="e">
        <f>AND(#REF!,"AAAAAGr7uco=")</f>
        <v>#REF!</v>
      </c>
      <c r="GV14" t="e">
        <f>AND(#REF!,"AAAAAGr7ucs=")</f>
        <v>#REF!</v>
      </c>
      <c r="GW14" t="e">
        <f>AND(#REF!,"AAAAAGr7ucw=")</f>
        <v>#REF!</v>
      </c>
      <c r="GX14" t="e">
        <f>AND(#REF!,"AAAAAGr7uc0=")</f>
        <v>#REF!</v>
      </c>
      <c r="GY14" t="e">
        <f>AND(#REF!,"AAAAAGr7uc4=")</f>
        <v>#REF!</v>
      </c>
      <c r="GZ14" t="e">
        <f>AND(#REF!,"AAAAAGr7uc8=")</f>
        <v>#REF!</v>
      </c>
      <c r="HA14" t="e">
        <f>AND(#REF!,"AAAAAGr7udA=")</f>
        <v>#REF!</v>
      </c>
      <c r="HB14" t="e">
        <f>AND(#REF!,"AAAAAGr7udE=")</f>
        <v>#REF!</v>
      </c>
      <c r="HC14" t="e">
        <f>AND(#REF!,"AAAAAGr7udI=")</f>
        <v>#REF!</v>
      </c>
      <c r="HD14" t="e">
        <f>IF(#REF!,"AAAAAGr7udM=",0)</f>
        <v>#REF!</v>
      </c>
      <c r="HE14" t="e">
        <f>AND(#REF!,"AAAAAGr7udQ=")</f>
        <v>#REF!</v>
      </c>
      <c r="HF14" t="e">
        <f>AND(#REF!,"AAAAAGr7udU=")</f>
        <v>#REF!</v>
      </c>
      <c r="HG14" t="e">
        <f>AND(#REF!,"AAAAAGr7udY=")</f>
        <v>#REF!</v>
      </c>
      <c r="HH14" t="e">
        <f>AND(#REF!,"AAAAAGr7udc=")</f>
        <v>#REF!</v>
      </c>
      <c r="HI14" t="e">
        <f>AND(#REF!,"AAAAAGr7udg=")</f>
        <v>#REF!</v>
      </c>
      <c r="HJ14" t="e">
        <f>AND(#REF!,"AAAAAGr7udk=")</f>
        <v>#REF!</v>
      </c>
      <c r="HK14" t="e">
        <f>AND(#REF!,"AAAAAGr7udo=")</f>
        <v>#REF!</v>
      </c>
      <c r="HL14" t="e">
        <f>AND(#REF!,"AAAAAGr7uds=")</f>
        <v>#REF!</v>
      </c>
      <c r="HM14" t="e">
        <f>AND(#REF!,"AAAAAGr7udw=")</f>
        <v>#REF!</v>
      </c>
      <c r="HN14" t="e">
        <f>AND(#REF!,"AAAAAGr7ud0=")</f>
        <v>#REF!</v>
      </c>
      <c r="HO14" t="e">
        <f>AND(#REF!,"AAAAAGr7ud4=")</f>
        <v>#REF!</v>
      </c>
      <c r="HP14" t="e">
        <f>AND(#REF!,"AAAAAGr7ud8=")</f>
        <v>#REF!</v>
      </c>
      <c r="HQ14" t="e">
        <f>AND(#REF!,"AAAAAGr7ueA=")</f>
        <v>#REF!</v>
      </c>
      <c r="HR14" t="e">
        <f>AND(#REF!,"AAAAAGr7ueE=")</f>
        <v>#REF!</v>
      </c>
      <c r="HS14" t="e">
        <f>AND(#REF!,"AAAAAGr7ueI=")</f>
        <v>#REF!</v>
      </c>
      <c r="HT14" t="e">
        <f>AND(#REF!,"AAAAAGr7ueM=")</f>
        <v>#REF!</v>
      </c>
      <c r="HU14" t="e">
        <f>AND(#REF!,"AAAAAGr7ueQ=")</f>
        <v>#REF!</v>
      </c>
      <c r="HV14" t="e">
        <f>AND(#REF!,"AAAAAGr7ueU=")</f>
        <v>#REF!</v>
      </c>
      <c r="HW14" t="e">
        <f>AND(#REF!,"AAAAAGr7ueY=")</f>
        <v>#REF!</v>
      </c>
      <c r="HX14" t="e">
        <f>AND(#REF!,"AAAAAGr7uec=")</f>
        <v>#REF!</v>
      </c>
      <c r="HY14" t="e">
        <f>AND(#REF!,"AAAAAGr7ueg=")</f>
        <v>#REF!</v>
      </c>
      <c r="HZ14" t="e">
        <f>AND(#REF!,"AAAAAGr7uek=")</f>
        <v>#REF!</v>
      </c>
      <c r="IA14" t="e">
        <f>AND(#REF!,"AAAAAGr7ueo=")</f>
        <v>#REF!</v>
      </c>
      <c r="IB14" t="e">
        <f>AND(#REF!,"AAAAAGr7ues=")</f>
        <v>#REF!</v>
      </c>
      <c r="IC14" t="e">
        <f>AND(#REF!,"AAAAAGr7uew=")</f>
        <v>#REF!</v>
      </c>
      <c r="ID14" t="e">
        <f>AND(#REF!,"AAAAAGr7ue0=")</f>
        <v>#REF!</v>
      </c>
      <c r="IE14" t="e">
        <f>AND(#REF!,"AAAAAGr7ue4=")</f>
        <v>#REF!</v>
      </c>
      <c r="IF14" t="e">
        <f>AND(#REF!,"AAAAAGr7ue8=")</f>
        <v>#REF!</v>
      </c>
      <c r="IG14" t="e">
        <f>AND(#REF!,"AAAAAGr7ufA=")</f>
        <v>#REF!</v>
      </c>
      <c r="IH14" t="e">
        <f>AND(#REF!,"AAAAAGr7ufE=")</f>
        <v>#REF!</v>
      </c>
      <c r="II14" t="e">
        <f>AND(#REF!,"AAAAAGr7ufI=")</f>
        <v>#REF!</v>
      </c>
      <c r="IJ14" t="e">
        <f>AND(#REF!,"AAAAAGr7ufM=")</f>
        <v>#REF!</v>
      </c>
      <c r="IK14" t="e">
        <f>AND(#REF!,"AAAAAGr7ufQ=")</f>
        <v>#REF!</v>
      </c>
      <c r="IL14" t="e">
        <f>AND(#REF!,"AAAAAGr7ufU=")</f>
        <v>#REF!</v>
      </c>
      <c r="IM14" t="e">
        <f>AND(#REF!,"AAAAAGr7ufY=")</f>
        <v>#REF!</v>
      </c>
      <c r="IN14" t="e">
        <f>AND(#REF!,"AAAAAGr7ufc=")</f>
        <v>#REF!</v>
      </c>
      <c r="IO14" t="e">
        <f>IF(#REF!,"AAAAAGr7ufg=",0)</f>
        <v>#REF!</v>
      </c>
      <c r="IP14" t="e">
        <f>AND(#REF!,"AAAAAGr7ufk=")</f>
        <v>#REF!</v>
      </c>
      <c r="IQ14" t="e">
        <f>AND(#REF!,"AAAAAGr7ufo=")</f>
        <v>#REF!</v>
      </c>
      <c r="IR14" t="e">
        <f>AND(#REF!,"AAAAAGr7ufs=")</f>
        <v>#REF!</v>
      </c>
      <c r="IS14" t="e">
        <f>AND(#REF!,"AAAAAGr7ufw=")</f>
        <v>#REF!</v>
      </c>
      <c r="IT14" t="e">
        <f>AND(#REF!,"AAAAAGr7uf0=")</f>
        <v>#REF!</v>
      </c>
      <c r="IU14" t="e">
        <f>AND(#REF!,"AAAAAGr7uf4=")</f>
        <v>#REF!</v>
      </c>
      <c r="IV14" t="e">
        <f>AND(#REF!,"AAAAAGr7uf8=")</f>
        <v>#REF!</v>
      </c>
    </row>
    <row r="15" spans="1:256">
      <c r="A15" t="e">
        <f>AND(#REF!,"AAAAAD/y+wA=")</f>
        <v>#REF!</v>
      </c>
      <c r="B15" t="e">
        <f>AND(#REF!,"AAAAAD/y+wE=")</f>
        <v>#REF!</v>
      </c>
      <c r="C15" t="e">
        <f>AND(#REF!,"AAAAAD/y+wI=")</f>
        <v>#REF!</v>
      </c>
      <c r="D15" t="e">
        <f>AND(#REF!,"AAAAAD/y+wM=")</f>
        <v>#REF!</v>
      </c>
      <c r="E15" t="e">
        <f>AND(#REF!,"AAAAAD/y+wQ=")</f>
        <v>#REF!</v>
      </c>
      <c r="F15" t="e">
        <f>AND(#REF!,"AAAAAD/y+wU=")</f>
        <v>#REF!</v>
      </c>
      <c r="G15" t="e">
        <f>AND(#REF!,"AAAAAD/y+wY=")</f>
        <v>#REF!</v>
      </c>
      <c r="H15" t="e">
        <f>AND(#REF!,"AAAAAD/y+wc=")</f>
        <v>#REF!</v>
      </c>
      <c r="I15" t="e">
        <f>AND(#REF!,"AAAAAD/y+wg=")</f>
        <v>#REF!</v>
      </c>
      <c r="J15" t="e">
        <f>AND(#REF!,"AAAAAD/y+wk=")</f>
        <v>#REF!</v>
      </c>
      <c r="K15" t="e">
        <f>AND(#REF!,"AAAAAD/y+wo=")</f>
        <v>#REF!</v>
      </c>
      <c r="L15" t="e">
        <f>AND(#REF!,"AAAAAD/y+ws=")</f>
        <v>#REF!</v>
      </c>
      <c r="M15" t="e">
        <f>AND(#REF!,"AAAAAD/y+ww=")</f>
        <v>#REF!</v>
      </c>
      <c r="N15" t="e">
        <f>AND(#REF!,"AAAAAD/y+w0=")</f>
        <v>#REF!</v>
      </c>
      <c r="O15" t="e">
        <f>AND(#REF!,"AAAAAD/y+w4=")</f>
        <v>#REF!</v>
      </c>
      <c r="P15" t="e">
        <f>AND(#REF!,"AAAAAD/y+w8=")</f>
        <v>#REF!</v>
      </c>
      <c r="Q15" t="e">
        <f>AND(#REF!,"AAAAAD/y+xA=")</f>
        <v>#REF!</v>
      </c>
      <c r="R15" t="e">
        <f>AND(#REF!,"AAAAAD/y+xE=")</f>
        <v>#REF!</v>
      </c>
      <c r="S15" t="e">
        <f>AND(#REF!,"AAAAAD/y+xI=")</f>
        <v>#REF!</v>
      </c>
      <c r="T15" t="e">
        <f>AND(#REF!,"AAAAAD/y+xM=")</f>
        <v>#REF!</v>
      </c>
      <c r="U15" t="e">
        <f>AND(#REF!,"AAAAAD/y+xQ=")</f>
        <v>#REF!</v>
      </c>
      <c r="V15" t="e">
        <f>AND(#REF!,"AAAAAD/y+xU=")</f>
        <v>#REF!</v>
      </c>
      <c r="W15" t="e">
        <f>AND(#REF!,"AAAAAD/y+xY=")</f>
        <v>#REF!</v>
      </c>
      <c r="X15" t="e">
        <f>AND(#REF!,"AAAAAD/y+xc=")</f>
        <v>#REF!</v>
      </c>
      <c r="Y15" t="e">
        <f>AND(#REF!,"AAAAAD/y+xg=")</f>
        <v>#REF!</v>
      </c>
      <c r="Z15" t="e">
        <f>AND(#REF!,"AAAAAD/y+xk=")</f>
        <v>#REF!</v>
      </c>
      <c r="AA15" t="e">
        <f>AND(#REF!,"AAAAAD/y+xo=")</f>
        <v>#REF!</v>
      </c>
      <c r="AB15" t="e">
        <f>AND(#REF!,"AAAAAD/y+xs=")</f>
        <v>#REF!</v>
      </c>
      <c r="AC15" t="e">
        <f>AND(#REF!,"AAAAAD/y+xw=")</f>
        <v>#REF!</v>
      </c>
      <c r="AD15" t="e">
        <f>IF(#REF!,"AAAAAD/y+x0=",0)</f>
        <v>#REF!</v>
      </c>
      <c r="AE15" t="e">
        <f>AND(#REF!,"AAAAAD/y+x4=")</f>
        <v>#REF!</v>
      </c>
      <c r="AF15" t="e">
        <f>AND(#REF!,"AAAAAD/y+x8=")</f>
        <v>#REF!</v>
      </c>
      <c r="AG15" t="e">
        <f>AND(#REF!,"AAAAAD/y+yA=")</f>
        <v>#REF!</v>
      </c>
      <c r="AH15" t="e">
        <f>AND(#REF!,"AAAAAD/y+yE=")</f>
        <v>#REF!</v>
      </c>
      <c r="AI15" t="e">
        <f>AND(#REF!,"AAAAAD/y+yI=")</f>
        <v>#REF!</v>
      </c>
      <c r="AJ15" t="e">
        <f>AND(#REF!,"AAAAAD/y+yM=")</f>
        <v>#REF!</v>
      </c>
      <c r="AK15" t="e">
        <f>AND(#REF!,"AAAAAD/y+yQ=")</f>
        <v>#REF!</v>
      </c>
      <c r="AL15" t="e">
        <f>AND(#REF!,"AAAAAD/y+yU=")</f>
        <v>#REF!</v>
      </c>
      <c r="AM15" t="e">
        <f>AND(#REF!,"AAAAAD/y+yY=")</f>
        <v>#REF!</v>
      </c>
      <c r="AN15" t="e">
        <f>AND(#REF!,"AAAAAD/y+yc=")</f>
        <v>#REF!</v>
      </c>
      <c r="AO15" t="e">
        <f>AND(#REF!,"AAAAAD/y+yg=")</f>
        <v>#REF!</v>
      </c>
      <c r="AP15" t="e">
        <f>AND(#REF!,"AAAAAD/y+yk=")</f>
        <v>#REF!</v>
      </c>
      <c r="AQ15" t="e">
        <f>AND(#REF!,"AAAAAD/y+yo=")</f>
        <v>#REF!</v>
      </c>
      <c r="AR15" t="e">
        <f>AND(#REF!,"AAAAAD/y+ys=")</f>
        <v>#REF!</v>
      </c>
      <c r="AS15" t="e">
        <f>AND(#REF!,"AAAAAD/y+yw=")</f>
        <v>#REF!</v>
      </c>
      <c r="AT15" t="e">
        <f>AND(#REF!,"AAAAAD/y+y0=")</f>
        <v>#REF!</v>
      </c>
      <c r="AU15" t="e">
        <f>AND(#REF!,"AAAAAD/y+y4=")</f>
        <v>#REF!</v>
      </c>
      <c r="AV15" t="e">
        <f>AND(#REF!,"AAAAAD/y+y8=")</f>
        <v>#REF!</v>
      </c>
      <c r="AW15" t="e">
        <f>AND(#REF!,"AAAAAD/y+zA=")</f>
        <v>#REF!</v>
      </c>
      <c r="AX15" t="e">
        <f>AND(#REF!,"AAAAAD/y+zE=")</f>
        <v>#REF!</v>
      </c>
      <c r="AY15" t="e">
        <f>AND(#REF!,"AAAAAD/y+zI=")</f>
        <v>#REF!</v>
      </c>
      <c r="AZ15" t="e">
        <f>AND(#REF!,"AAAAAD/y+zM=")</f>
        <v>#REF!</v>
      </c>
      <c r="BA15" t="e">
        <f>AND(#REF!,"AAAAAD/y+zQ=")</f>
        <v>#REF!</v>
      </c>
      <c r="BB15" t="e">
        <f>AND(#REF!,"AAAAAD/y+zU=")</f>
        <v>#REF!</v>
      </c>
      <c r="BC15" t="e">
        <f>AND(#REF!,"AAAAAD/y+zY=")</f>
        <v>#REF!</v>
      </c>
      <c r="BD15" t="e">
        <f>AND(#REF!,"AAAAAD/y+zc=")</f>
        <v>#REF!</v>
      </c>
      <c r="BE15" t="e">
        <f>AND(#REF!,"AAAAAD/y+zg=")</f>
        <v>#REF!</v>
      </c>
      <c r="BF15" t="e">
        <f>AND(#REF!,"AAAAAD/y+zk=")</f>
        <v>#REF!</v>
      </c>
      <c r="BG15" t="e">
        <f>AND(#REF!,"AAAAAD/y+zo=")</f>
        <v>#REF!</v>
      </c>
      <c r="BH15" t="e">
        <f>AND(#REF!,"AAAAAD/y+zs=")</f>
        <v>#REF!</v>
      </c>
      <c r="BI15" t="e">
        <f>AND(#REF!,"AAAAAD/y+zw=")</f>
        <v>#REF!</v>
      </c>
      <c r="BJ15" t="e">
        <f>AND(#REF!,"AAAAAD/y+z0=")</f>
        <v>#REF!</v>
      </c>
      <c r="BK15" t="e">
        <f>AND(#REF!,"AAAAAD/y+z4=")</f>
        <v>#REF!</v>
      </c>
      <c r="BL15" t="e">
        <f>AND(#REF!,"AAAAAD/y+z8=")</f>
        <v>#REF!</v>
      </c>
      <c r="BM15" t="e">
        <f>AND(#REF!,"AAAAAD/y+0A=")</f>
        <v>#REF!</v>
      </c>
      <c r="BN15" t="e">
        <f>AND(#REF!,"AAAAAD/y+0E=")</f>
        <v>#REF!</v>
      </c>
      <c r="BO15" t="e">
        <f>IF(#REF!,"AAAAAD/y+0I=",0)</f>
        <v>#REF!</v>
      </c>
      <c r="BP15" t="e">
        <f>AND(#REF!,"AAAAAD/y+0M=")</f>
        <v>#REF!</v>
      </c>
      <c r="BQ15" t="e">
        <f>AND(#REF!,"AAAAAD/y+0Q=")</f>
        <v>#REF!</v>
      </c>
      <c r="BR15" t="e">
        <f>AND(#REF!,"AAAAAD/y+0U=")</f>
        <v>#REF!</v>
      </c>
      <c r="BS15" t="e">
        <f>AND(#REF!,"AAAAAD/y+0Y=")</f>
        <v>#REF!</v>
      </c>
      <c r="BT15" t="e">
        <f>AND(#REF!,"AAAAAD/y+0c=")</f>
        <v>#REF!</v>
      </c>
      <c r="BU15" t="e">
        <f>AND(#REF!,"AAAAAD/y+0g=")</f>
        <v>#REF!</v>
      </c>
      <c r="BV15" t="e">
        <f>AND(#REF!,"AAAAAD/y+0k=")</f>
        <v>#REF!</v>
      </c>
      <c r="BW15" t="e">
        <f>AND(#REF!,"AAAAAD/y+0o=")</f>
        <v>#REF!</v>
      </c>
      <c r="BX15" t="e">
        <f>AND(#REF!,"AAAAAD/y+0s=")</f>
        <v>#REF!</v>
      </c>
      <c r="BY15" t="e">
        <f>AND(#REF!,"AAAAAD/y+0w=")</f>
        <v>#REF!</v>
      </c>
      <c r="BZ15" t="e">
        <f>AND(#REF!,"AAAAAD/y+00=")</f>
        <v>#REF!</v>
      </c>
      <c r="CA15" t="e">
        <f>AND(#REF!,"AAAAAD/y+04=")</f>
        <v>#REF!</v>
      </c>
      <c r="CB15" t="e">
        <f>AND(#REF!,"AAAAAD/y+08=")</f>
        <v>#REF!</v>
      </c>
      <c r="CC15" t="e">
        <f>AND(#REF!,"AAAAAD/y+1A=")</f>
        <v>#REF!</v>
      </c>
      <c r="CD15" t="e">
        <f>AND(#REF!,"AAAAAD/y+1E=")</f>
        <v>#REF!</v>
      </c>
      <c r="CE15" t="e">
        <f>AND(#REF!,"AAAAAD/y+1I=")</f>
        <v>#REF!</v>
      </c>
      <c r="CF15" t="e">
        <f>AND(#REF!,"AAAAAD/y+1M=")</f>
        <v>#REF!</v>
      </c>
      <c r="CG15" t="e">
        <f>AND(#REF!,"AAAAAD/y+1Q=")</f>
        <v>#REF!</v>
      </c>
      <c r="CH15" t="e">
        <f>AND(#REF!,"AAAAAD/y+1U=")</f>
        <v>#REF!</v>
      </c>
      <c r="CI15" t="e">
        <f>AND(#REF!,"AAAAAD/y+1Y=")</f>
        <v>#REF!</v>
      </c>
      <c r="CJ15" t="e">
        <f>AND(#REF!,"AAAAAD/y+1c=")</f>
        <v>#REF!</v>
      </c>
      <c r="CK15" t="e">
        <f>AND(#REF!,"AAAAAD/y+1g=")</f>
        <v>#REF!</v>
      </c>
      <c r="CL15" t="e">
        <f>AND(#REF!,"AAAAAD/y+1k=")</f>
        <v>#REF!</v>
      </c>
      <c r="CM15" t="e">
        <f>AND(#REF!,"AAAAAD/y+1o=")</f>
        <v>#REF!</v>
      </c>
      <c r="CN15" t="e">
        <f>AND(#REF!,"AAAAAD/y+1s=")</f>
        <v>#REF!</v>
      </c>
      <c r="CO15" t="e">
        <f>AND(#REF!,"AAAAAD/y+1w=")</f>
        <v>#REF!</v>
      </c>
      <c r="CP15" t="e">
        <f>AND(#REF!,"AAAAAD/y+10=")</f>
        <v>#REF!</v>
      </c>
      <c r="CQ15" t="e">
        <f>AND(#REF!,"AAAAAD/y+14=")</f>
        <v>#REF!</v>
      </c>
      <c r="CR15" t="e">
        <f>AND(#REF!,"AAAAAD/y+18=")</f>
        <v>#REF!</v>
      </c>
      <c r="CS15" t="e">
        <f>AND(#REF!,"AAAAAD/y+2A=")</f>
        <v>#REF!</v>
      </c>
      <c r="CT15" t="e">
        <f>AND(#REF!,"AAAAAD/y+2E=")</f>
        <v>#REF!</v>
      </c>
      <c r="CU15" t="e">
        <f>AND(#REF!,"AAAAAD/y+2I=")</f>
        <v>#REF!</v>
      </c>
      <c r="CV15" t="e">
        <f>AND(#REF!,"AAAAAD/y+2M=")</f>
        <v>#REF!</v>
      </c>
      <c r="CW15" t="e">
        <f>AND(#REF!,"AAAAAD/y+2Q=")</f>
        <v>#REF!</v>
      </c>
      <c r="CX15" t="e">
        <f>AND(#REF!,"AAAAAD/y+2U=")</f>
        <v>#REF!</v>
      </c>
      <c r="CY15" t="e">
        <f>AND(#REF!,"AAAAAD/y+2Y=")</f>
        <v>#REF!</v>
      </c>
      <c r="CZ15" t="e">
        <f>IF(#REF!,"AAAAAD/y+2c=",0)</f>
        <v>#REF!</v>
      </c>
      <c r="DA15" t="e">
        <f>AND(#REF!,"AAAAAD/y+2g=")</f>
        <v>#REF!</v>
      </c>
      <c r="DB15" t="e">
        <f>AND(#REF!,"AAAAAD/y+2k=")</f>
        <v>#REF!</v>
      </c>
      <c r="DC15" t="e">
        <f>AND(#REF!,"AAAAAD/y+2o=")</f>
        <v>#REF!</v>
      </c>
      <c r="DD15" t="e">
        <f>AND(#REF!,"AAAAAD/y+2s=")</f>
        <v>#REF!</v>
      </c>
      <c r="DE15" t="e">
        <f>AND(#REF!,"AAAAAD/y+2w=")</f>
        <v>#REF!</v>
      </c>
      <c r="DF15" t="e">
        <f>AND(#REF!,"AAAAAD/y+20=")</f>
        <v>#REF!</v>
      </c>
      <c r="DG15" t="e">
        <f>AND(#REF!,"AAAAAD/y+24=")</f>
        <v>#REF!</v>
      </c>
      <c r="DH15" t="e">
        <f>AND(#REF!,"AAAAAD/y+28=")</f>
        <v>#REF!</v>
      </c>
      <c r="DI15" t="e">
        <f>AND(#REF!,"AAAAAD/y+3A=")</f>
        <v>#REF!</v>
      </c>
      <c r="DJ15" t="e">
        <f>AND(#REF!,"AAAAAD/y+3E=")</f>
        <v>#REF!</v>
      </c>
      <c r="DK15" t="e">
        <f>AND(#REF!,"AAAAAD/y+3I=")</f>
        <v>#REF!</v>
      </c>
      <c r="DL15" t="e">
        <f>AND(#REF!,"AAAAAD/y+3M=")</f>
        <v>#REF!</v>
      </c>
      <c r="DM15" t="e">
        <f>AND(#REF!,"AAAAAD/y+3Q=")</f>
        <v>#REF!</v>
      </c>
      <c r="DN15" t="e">
        <f>AND(#REF!,"AAAAAD/y+3U=")</f>
        <v>#REF!</v>
      </c>
      <c r="DO15" t="e">
        <f>AND(#REF!,"AAAAAD/y+3Y=")</f>
        <v>#REF!</v>
      </c>
      <c r="DP15" t="e">
        <f>AND(#REF!,"AAAAAD/y+3c=")</f>
        <v>#REF!</v>
      </c>
      <c r="DQ15" t="e">
        <f>AND(#REF!,"AAAAAD/y+3g=")</f>
        <v>#REF!</v>
      </c>
      <c r="DR15" t="e">
        <f>AND(#REF!,"AAAAAD/y+3k=")</f>
        <v>#REF!</v>
      </c>
      <c r="DS15" t="e">
        <f>AND(#REF!,"AAAAAD/y+3o=")</f>
        <v>#REF!</v>
      </c>
      <c r="DT15" t="e">
        <f>AND(#REF!,"AAAAAD/y+3s=")</f>
        <v>#REF!</v>
      </c>
      <c r="DU15" t="e">
        <f>AND(#REF!,"AAAAAD/y+3w=")</f>
        <v>#REF!</v>
      </c>
      <c r="DV15" t="e">
        <f>AND(#REF!,"AAAAAD/y+30=")</f>
        <v>#REF!</v>
      </c>
      <c r="DW15" t="e">
        <f>AND(#REF!,"AAAAAD/y+34=")</f>
        <v>#REF!</v>
      </c>
      <c r="DX15" t="e">
        <f>AND(#REF!,"AAAAAD/y+38=")</f>
        <v>#REF!</v>
      </c>
      <c r="DY15" t="e">
        <f>AND(#REF!,"AAAAAD/y+4A=")</f>
        <v>#REF!</v>
      </c>
      <c r="DZ15" t="e">
        <f>AND(#REF!,"AAAAAD/y+4E=")</f>
        <v>#REF!</v>
      </c>
      <c r="EA15" t="e">
        <f>AND(#REF!,"AAAAAD/y+4I=")</f>
        <v>#REF!</v>
      </c>
      <c r="EB15" t="e">
        <f>AND(#REF!,"AAAAAD/y+4M=")</f>
        <v>#REF!</v>
      </c>
      <c r="EC15" t="e">
        <f>AND(#REF!,"AAAAAD/y+4Q=")</f>
        <v>#REF!</v>
      </c>
      <c r="ED15" t="e">
        <f>AND(#REF!,"AAAAAD/y+4U=")</f>
        <v>#REF!</v>
      </c>
      <c r="EE15" t="e">
        <f>AND(#REF!,"AAAAAD/y+4Y=")</f>
        <v>#REF!</v>
      </c>
      <c r="EF15" t="e">
        <f>AND(#REF!,"AAAAAD/y+4c=")</f>
        <v>#REF!</v>
      </c>
      <c r="EG15" t="e">
        <f>AND(#REF!,"AAAAAD/y+4g=")</f>
        <v>#REF!</v>
      </c>
      <c r="EH15" t="e">
        <f>AND(#REF!,"AAAAAD/y+4k=")</f>
        <v>#REF!</v>
      </c>
      <c r="EI15" t="e">
        <f>AND(#REF!,"AAAAAD/y+4o=")</f>
        <v>#REF!</v>
      </c>
      <c r="EJ15" t="e">
        <f>AND(#REF!,"AAAAAD/y+4s=")</f>
        <v>#REF!</v>
      </c>
      <c r="EK15" t="e">
        <f>IF(#REF!,"AAAAAD/y+4w=",0)</f>
        <v>#REF!</v>
      </c>
      <c r="EL15" t="e">
        <f>AND(#REF!,"AAAAAD/y+40=")</f>
        <v>#REF!</v>
      </c>
      <c r="EM15" t="e">
        <f>AND(#REF!,"AAAAAD/y+44=")</f>
        <v>#REF!</v>
      </c>
      <c r="EN15" t="e">
        <f>AND(#REF!,"AAAAAD/y+48=")</f>
        <v>#REF!</v>
      </c>
      <c r="EO15" t="e">
        <f>AND(#REF!,"AAAAAD/y+5A=")</f>
        <v>#REF!</v>
      </c>
      <c r="EP15" t="e">
        <f>AND(#REF!,"AAAAAD/y+5E=")</f>
        <v>#REF!</v>
      </c>
      <c r="EQ15" t="e">
        <f>AND(#REF!,"AAAAAD/y+5I=")</f>
        <v>#REF!</v>
      </c>
      <c r="ER15" t="e">
        <f>AND(#REF!,"AAAAAD/y+5M=")</f>
        <v>#REF!</v>
      </c>
      <c r="ES15" t="e">
        <f>AND(#REF!,"AAAAAD/y+5Q=")</f>
        <v>#REF!</v>
      </c>
      <c r="ET15" t="e">
        <f>AND(#REF!,"AAAAAD/y+5U=")</f>
        <v>#REF!</v>
      </c>
      <c r="EU15" t="e">
        <f>AND(#REF!,"AAAAAD/y+5Y=")</f>
        <v>#REF!</v>
      </c>
      <c r="EV15" t="e">
        <f>AND(#REF!,"AAAAAD/y+5c=")</f>
        <v>#REF!</v>
      </c>
      <c r="EW15" t="e">
        <f>AND(#REF!,"AAAAAD/y+5g=")</f>
        <v>#REF!</v>
      </c>
      <c r="EX15" t="e">
        <f>AND(#REF!,"AAAAAD/y+5k=")</f>
        <v>#REF!</v>
      </c>
      <c r="EY15" t="e">
        <f>AND(#REF!,"AAAAAD/y+5o=")</f>
        <v>#REF!</v>
      </c>
      <c r="EZ15" t="e">
        <f>AND(#REF!,"AAAAAD/y+5s=")</f>
        <v>#REF!</v>
      </c>
      <c r="FA15" t="e">
        <f>AND(#REF!,"AAAAAD/y+5w=")</f>
        <v>#REF!</v>
      </c>
      <c r="FB15" t="e">
        <f>AND(#REF!,"AAAAAD/y+50=")</f>
        <v>#REF!</v>
      </c>
      <c r="FC15" t="e">
        <f>AND(#REF!,"AAAAAD/y+54=")</f>
        <v>#REF!</v>
      </c>
      <c r="FD15" t="e">
        <f>AND(#REF!,"AAAAAD/y+58=")</f>
        <v>#REF!</v>
      </c>
      <c r="FE15" t="e">
        <f>AND(#REF!,"AAAAAD/y+6A=")</f>
        <v>#REF!</v>
      </c>
      <c r="FF15" t="e">
        <f>AND(#REF!,"AAAAAD/y+6E=")</f>
        <v>#REF!</v>
      </c>
      <c r="FG15" t="e">
        <f>AND(#REF!,"AAAAAD/y+6I=")</f>
        <v>#REF!</v>
      </c>
      <c r="FH15" t="e">
        <f>AND(#REF!,"AAAAAD/y+6M=")</f>
        <v>#REF!</v>
      </c>
      <c r="FI15" t="e">
        <f>AND(#REF!,"AAAAAD/y+6Q=")</f>
        <v>#REF!</v>
      </c>
      <c r="FJ15" t="e">
        <f>AND(#REF!,"AAAAAD/y+6U=")</f>
        <v>#REF!</v>
      </c>
      <c r="FK15" t="e">
        <f>AND(#REF!,"AAAAAD/y+6Y=")</f>
        <v>#REF!</v>
      </c>
      <c r="FL15" t="e">
        <f>AND(#REF!,"AAAAAD/y+6c=")</f>
        <v>#REF!</v>
      </c>
      <c r="FM15" t="e">
        <f>AND(#REF!,"AAAAAD/y+6g=")</f>
        <v>#REF!</v>
      </c>
      <c r="FN15" t="e">
        <f>AND(#REF!,"AAAAAD/y+6k=")</f>
        <v>#REF!</v>
      </c>
      <c r="FO15" t="e">
        <f>AND(#REF!,"AAAAAD/y+6o=")</f>
        <v>#REF!</v>
      </c>
      <c r="FP15" t="e">
        <f>AND(#REF!,"AAAAAD/y+6s=")</f>
        <v>#REF!</v>
      </c>
      <c r="FQ15" t="e">
        <f>AND(#REF!,"AAAAAD/y+6w=")</f>
        <v>#REF!</v>
      </c>
      <c r="FR15" t="e">
        <f>AND(#REF!,"AAAAAD/y+60=")</f>
        <v>#REF!</v>
      </c>
      <c r="FS15" t="e">
        <f>AND(#REF!,"AAAAAD/y+64=")</f>
        <v>#REF!</v>
      </c>
      <c r="FT15" t="e">
        <f>AND(#REF!,"AAAAAD/y+68=")</f>
        <v>#REF!</v>
      </c>
      <c r="FU15" t="e">
        <f>AND(#REF!,"AAAAAD/y+7A=")</f>
        <v>#REF!</v>
      </c>
      <c r="FV15" t="e">
        <f>IF(#REF!,"AAAAAD/y+7E=",0)</f>
        <v>#REF!</v>
      </c>
      <c r="FW15" t="e">
        <f>AND(#REF!,"AAAAAD/y+7I=")</f>
        <v>#REF!</v>
      </c>
      <c r="FX15" t="e">
        <f>AND(#REF!,"AAAAAD/y+7M=")</f>
        <v>#REF!</v>
      </c>
      <c r="FY15" t="e">
        <f>AND(#REF!,"AAAAAD/y+7Q=")</f>
        <v>#REF!</v>
      </c>
      <c r="FZ15" t="e">
        <f>AND(#REF!,"AAAAAD/y+7U=")</f>
        <v>#REF!</v>
      </c>
      <c r="GA15" t="e">
        <f>AND(#REF!,"AAAAAD/y+7Y=")</f>
        <v>#REF!</v>
      </c>
      <c r="GB15" t="e">
        <f>AND(#REF!,"AAAAAD/y+7c=")</f>
        <v>#REF!</v>
      </c>
      <c r="GC15" t="e">
        <f>AND(#REF!,"AAAAAD/y+7g=")</f>
        <v>#REF!</v>
      </c>
      <c r="GD15" t="e">
        <f>AND(#REF!,"AAAAAD/y+7k=")</f>
        <v>#REF!</v>
      </c>
      <c r="GE15" t="e">
        <f>AND(#REF!,"AAAAAD/y+7o=")</f>
        <v>#REF!</v>
      </c>
      <c r="GF15" t="e">
        <f>AND(#REF!,"AAAAAD/y+7s=")</f>
        <v>#REF!</v>
      </c>
      <c r="GG15" t="e">
        <f>AND(#REF!,"AAAAAD/y+7w=")</f>
        <v>#REF!</v>
      </c>
      <c r="GH15" t="e">
        <f>AND(#REF!,"AAAAAD/y+70=")</f>
        <v>#REF!</v>
      </c>
      <c r="GI15" t="e">
        <f>AND(#REF!,"AAAAAD/y+74=")</f>
        <v>#REF!</v>
      </c>
      <c r="GJ15" t="e">
        <f>AND(#REF!,"AAAAAD/y+78=")</f>
        <v>#REF!</v>
      </c>
      <c r="GK15" t="e">
        <f>AND(#REF!,"AAAAAD/y+8A=")</f>
        <v>#REF!</v>
      </c>
      <c r="GL15" t="e">
        <f>AND(#REF!,"AAAAAD/y+8E=")</f>
        <v>#REF!</v>
      </c>
      <c r="GM15" t="e">
        <f>AND(#REF!,"AAAAAD/y+8I=")</f>
        <v>#REF!</v>
      </c>
      <c r="GN15" t="e">
        <f>AND(#REF!,"AAAAAD/y+8M=")</f>
        <v>#REF!</v>
      </c>
      <c r="GO15" t="e">
        <f>AND(#REF!,"AAAAAD/y+8Q=")</f>
        <v>#REF!</v>
      </c>
      <c r="GP15" t="e">
        <f>AND(#REF!,"AAAAAD/y+8U=")</f>
        <v>#REF!</v>
      </c>
      <c r="GQ15" t="e">
        <f>AND(#REF!,"AAAAAD/y+8Y=")</f>
        <v>#REF!</v>
      </c>
      <c r="GR15" t="e">
        <f>AND(#REF!,"AAAAAD/y+8c=")</f>
        <v>#REF!</v>
      </c>
      <c r="GS15" t="e">
        <f>AND(#REF!,"AAAAAD/y+8g=")</f>
        <v>#REF!</v>
      </c>
      <c r="GT15" t="e">
        <f>AND(#REF!,"AAAAAD/y+8k=")</f>
        <v>#REF!</v>
      </c>
      <c r="GU15" t="e">
        <f>AND(#REF!,"AAAAAD/y+8o=")</f>
        <v>#REF!</v>
      </c>
      <c r="GV15" t="e">
        <f>AND(#REF!,"AAAAAD/y+8s=")</f>
        <v>#REF!</v>
      </c>
      <c r="GW15" t="e">
        <f>AND(#REF!,"AAAAAD/y+8w=")</f>
        <v>#REF!</v>
      </c>
      <c r="GX15" t="e">
        <f>AND(#REF!,"AAAAAD/y+80=")</f>
        <v>#REF!</v>
      </c>
      <c r="GY15" t="e">
        <f>AND(#REF!,"AAAAAD/y+84=")</f>
        <v>#REF!</v>
      </c>
      <c r="GZ15" t="e">
        <f>AND(#REF!,"AAAAAD/y+88=")</f>
        <v>#REF!</v>
      </c>
      <c r="HA15" t="e">
        <f>AND(#REF!,"AAAAAD/y+9A=")</f>
        <v>#REF!</v>
      </c>
      <c r="HB15" t="e">
        <f>AND(#REF!,"AAAAAD/y+9E=")</f>
        <v>#REF!</v>
      </c>
      <c r="HC15" t="e">
        <f>AND(#REF!,"AAAAAD/y+9I=")</f>
        <v>#REF!</v>
      </c>
      <c r="HD15" t="e">
        <f>AND(#REF!,"AAAAAD/y+9M=")</f>
        <v>#REF!</v>
      </c>
      <c r="HE15" t="e">
        <f>AND(#REF!,"AAAAAD/y+9Q=")</f>
        <v>#REF!</v>
      </c>
      <c r="HF15" t="e">
        <f>AND(#REF!,"AAAAAD/y+9U=")</f>
        <v>#REF!</v>
      </c>
      <c r="HG15" t="e">
        <f>IF(#REF!,"AAAAAD/y+9Y=",0)</f>
        <v>#REF!</v>
      </c>
      <c r="HH15" t="e">
        <f>AND(#REF!,"AAAAAD/y+9c=")</f>
        <v>#REF!</v>
      </c>
      <c r="HI15" t="e">
        <f>AND(#REF!,"AAAAAD/y+9g=")</f>
        <v>#REF!</v>
      </c>
      <c r="HJ15" t="e">
        <f>AND(#REF!,"AAAAAD/y+9k=")</f>
        <v>#REF!</v>
      </c>
      <c r="HK15" t="e">
        <f>AND(#REF!,"AAAAAD/y+9o=")</f>
        <v>#REF!</v>
      </c>
      <c r="HL15" t="e">
        <f>AND(#REF!,"AAAAAD/y+9s=")</f>
        <v>#REF!</v>
      </c>
      <c r="HM15" t="e">
        <f>AND(#REF!,"AAAAAD/y+9w=")</f>
        <v>#REF!</v>
      </c>
      <c r="HN15" t="e">
        <f>AND(#REF!,"AAAAAD/y+90=")</f>
        <v>#REF!</v>
      </c>
      <c r="HO15" t="e">
        <f>AND(#REF!,"AAAAAD/y+94=")</f>
        <v>#REF!</v>
      </c>
      <c r="HP15" t="e">
        <f>AND(#REF!,"AAAAAD/y+98=")</f>
        <v>#REF!</v>
      </c>
      <c r="HQ15" t="e">
        <f>AND(#REF!,"AAAAAD/y++A=")</f>
        <v>#REF!</v>
      </c>
      <c r="HR15" t="e">
        <f>AND(#REF!,"AAAAAD/y++E=")</f>
        <v>#REF!</v>
      </c>
      <c r="HS15" t="e">
        <f>AND(#REF!,"AAAAAD/y++I=")</f>
        <v>#REF!</v>
      </c>
      <c r="HT15" t="e">
        <f>AND(#REF!,"AAAAAD/y++M=")</f>
        <v>#REF!</v>
      </c>
      <c r="HU15" t="e">
        <f>AND(#REF!,"AAAAAD/y++Q=")</f>
        <v>#REF!</v>
      </c>
      <c r="HV15" t="e">
        <f>AND(#REF!,"AAAAAD/y++U=")</f>
        <v>#REF!</v>
      </c>
      <c r="HW15" t="e">
        <f>AND(#REF!,"AAAAAD/y++Y=")</f>
        <v>#REF!</v>
      </c>
      <c r="HX15" t="e">
        <f>AND(#REF!,"AAAAAD/y++c=")</f>
        <v>#REF!</v>
      </c>
      <c r="HY15" t="e">
        <f>AND(#REF!,"AAAAAD/y++g=")</f>
        <v>#REF!</v>
      </c>
      <c r="HZ15" t="e">
        <f>AND(#REF!,"AAAAAD/y++k=")</f>
        <v>#REF!</v>
      </c>
      <c r="IA15" t="e">
        <f>AND(#REF!,"AAAAAD/y++o=")</f>
        <v>#REF!</v>
      </c>
      <c r="IB15" t="e">
        <f>AND(#REF!,"AAAAAD/y++s=")</f>
        <v>#REF!</v>
      </c>
      <c r="IC15" t="e">
        <f>AND(#REF!,"AAAAAD/y++w=")</f>
        <v>#REF!</v>
      </c>
      <c r="ID15" t="e">
        <f>AND(#REF!,"AAAAAD/y++0=")</f>
        <v>#REF!</v>
      </c>
      <c r="IE15" t="e">
        <f>AND(#REF!,"AAAAAD/y++4=")</f>
        <v>#REF!</v>
      </c>
      <c r="IF15" t="e">
        <f>AND(#REF!,"AAAAAD/y++8=")</f>
        <v>#REF!</v>
      </c>
      <c r="IG15" t="e">
        <f>AND(#REF!,"AAAAAD/y+/A=")</f>
        <v>#REF!</v>
      </c>
      <c r="IH15" t="e">
        <f>AND(#REF!,"AAAAAD/y+/E=")</f>
        <v>#REF!</v>
      </c>
      <c r="II15" t="e">
        <f>AND(#REF!,"AAAAAD/y+/I=")</f>
        <v>#REF!</v>
      </c>
      <c r="IJ15" t="e">
        <f>AND(#REF!,"AAAAAD/y+/M=")</f>
        <v>#REF!</v>
      </c>
      <c r="IK15" t="e">
        <f>AND(#REF!,"AAAAAD/y+/Q=")</f>
        <v>#REF!</v>
      </c>
      <c r="IL15" t="e">
        <f>AND(#REF!,"AAAAAD/y+/U=")</f>
        <v>#REF!</v>
      </c>
      <c r="IM15" t="e">
        <f>AND(#REF!,"AAAAAD/y+/Y=")</f>
        <v>#REF!</v>
      </c>
      <c r="IN15" t="e">
        <f>AND(#REF!,"AAAAAD/y+/c=")</f>
        <v>#REF!</v>
      </c>
      <c r="IO15" t="e">
        <f>AND(#REF!,"AAAAAD/y+/g=")</f>
        <v>#REF!</v>
      </c>
      <c r="IP15" t="e">
        <f>AND(#REF!,"AAAAAD/y+/k=")</f>
        <v>#REF!</v>
      </c>
      <c r="IQ15" t="e">
        <f>AND(#REF!,"AAAAAD/y+/o=")</f>
        <v>#REF!</v>
      </c>
      <c r="IR15" t="e">
        <f>IF(#REF!,"AAAAAD/y+/s=",0)</f>
        <v>#REF!</v>
      </c>
      <c r="IS15" t="e">
        <f>AND(#REF!,"AAAAAD/y+/w=")</f>
        <v>#REF!</v>
      </c>
      <c r="IT15" t="e">
        <f>AND(#REF!,"AAAAAD/y+/0=")</f>
        <v>#REF!</v>
      </c>
      <c r="IU15" t="e">
        <f>AND(#REF!,"AAAAAD/y+/4=")</f>
        <v>#REF!</v>
      </c>
      <c r="IV15" t="e">
        <f>AND(#REF!,"AAAAAD/y+/8=")</f>
        <v>#REF!</v>
      </c>
    </row>
    <row r="16" spans="1:256">
      <c r="A16" t="e">
        <f>AND(#REF!,"AAAAAH/7/wA=")</f>
        <v>#REF!</v>
      </c>
      <c r="B16" t="e">
        <f>AND(#REF!,"AAAAAH/7/wE=")</f>
        <v>#REF!</v>
      </c>
      <c r="C16" t="e">
        <f>AND(#REF!,"AAAAAH/7/wI=")</f>
        <v>#REF!</v>
      </c>
      <c r="D16" t="e">
        <f>AND(#REF!,"AAAAAH/7/wM=")</f>
        <v>#REF!</v>
      </c>
      <c r="E16" t="e">
        <f>AND(#REF!,"AAAAAH/7/wQ=")</f>
        <v>#REF!</v>
      </c>
      <c r="F16" t="e">
        <f>AND(#REF!,"AAAAAH/7/wU=")</f>
        <v>#REF!</v>
      </c>
      <c r="G16" t="e">
        <f>AND(#REF!,"AAAAAH/7/wY=")</f>
        <v>#REF!</v>
      </c>
      <c r="H16" t="e">
        <f>AND(#REF!,"AAAAAH/7/wc=")</f>
        <v>#REF!</v>
      </c>
      <c r="I16" t="e">
        <f>AND(#REF!,"AAAAAH/7/wg=")</f>
        <v>#REF!</v>
      </c>
      <c r="J16" t="e">
        <f>AND(#REF!,"AAAAAH/7/wk=")</f>
        <v>#REF!</v>
      </c>
      <c r="K16" t="e">
        <f>AND(#REF!,"AAAAAH/7/wo=")</f>
        <v>#REF!</v>
      </c>
      <c r="L16" t="e">
        <f>AND(#REF!,"AAAAAH/7/ws=")</f>
        <v>#REF!</v>
      </c>
      <c r="M16" t="e">
        <f>AND(#REF!,"AAAAAH/7/ww=")</f>
        <v>#REF!</v>
      </c>
      <c r="N16" t="e">
        <f>AND(#REF!,"AAAAAH/7/w0=")</f>
        <v>#REF!</v>
      </c>
      <c r="O16" t="e">
        <f>AND(#REF!,"AAAAAH/7/w4=")</f>
        <v>#REF!</v>
      </c>
      <c r="P16" t="e">
        <f>AND(#REF!,"AAAAAH/7/w8=")</f>
        <v>#REF!</v>
      </c>
      <c r="Q16" t="e">
        <f>AND(#REF!,"AAAAAH/7/xA=")</f>
        <v>#REF!</v>
      </c>
      <c r="R16" t="e">
        <f>AND(#REF!,"AAAAAH/7/xE=")</f>
        <v>#REF!</v>
      </c>
      <c r="S16" t="e">
        <f>AND(#REF!,"AAAAAH/7/xI=")</f>
        <v>#REF!</v>
      </c>
      <c r="T16" t="e">
        <f>AND(#REF!,"AAAAAH/7/xM=")</f>
        <v>#REF!</v>
      </c>
      <c r="U16" t="e">
        <f>AND(#REF!,"AAAAAH/7/xQ=")</f>
        <v>#REF!</v>
      </c>
      <c r="V16" t="e">
        <f>AND(#REF!,"AAAAAH/7/xU=")</f>
        <v>#REF!</v>
      </c>
      <c r="W16" t="e">
        <f>AND(#REF!,"AAAAAH/7/xY=")</f>
        <v>#REF!</v>
      </c>
      <c r="X16" t="e">
        <f>AND(#REF!,"AAAAAH/7/xc=")</f>
        <v>#REF!</v>
      </c>
      <c r="Y16" t="e">
        <f>AND(#REF!,"AAAAAH/7/xg=")</f>
        <v>#REF!</v>
      </c>
      <c r="Z16" t="e">
        <f>AND(#REF!,"AAAAAH/7/xk=")</f>
        <v>#REF!</v>
      </c>
      <c r="AA16" t="e">
        <f>AND(#REF!,"AAAAAH/7/xo=")</f>
        <v>#REF!</v>
      </c>
      <c r="AB16" t="e">
        <f>AND(#REF!,"AAAAAH/7/xs=")</f>
        <v>#REF!</v>
      </c>
      <c r="AC16" t="e">
        <f>AND(#REF!,"AAAAAH/7/xw=")</f>
        <v>#REF!</v>
      </c>
      <c r="AD16" t="e">
        <f>AND(#REF!,"AAAAAH/7/x0=")</f>
        <v>#REF!</v>
      </c>
      <c r="AE16" t="e">
        <f>AND(#REF!,"AAAAAH/7/x4=")</f>
        <v>#REF!</v>
      </c>
      <c r="AF16" t="e">
        <f>AND(#REF!,"AAAAAH/7/x8=")</f>
        <v>#REF!</v>
      </c>
      <c r="AG16" t="e">
        <f>IF(#REF!,"AAAAAH/7/yA=",0)</f>
        <v>#REF!</v>
      </c>
      <c r="AH16" t="e">
        <f>AND(#REF!,"AAAAAH/7/yE=")</f>
        <v>#REF!</v>
      </c>
      <c r="AI16" t="e">
        <f>AND(#REF!,"AAAAAH/7/yI=")</f>
        <v>#REF!</v>
      </c>
      <c r="AJ16" t="e">
        <f>AND(#REF!,"AAAAAH/7/yM=")</f>
        <v>#REF!</v>
      </c>
      <c r="AK16" t="e">
        <f>AND(#REF!,"AAAAAH/7/yQ=")</f>
        <v>#REF!</v>
      </c>
      <c r="AL16" t="e">
        <f>AND(#REF!,"AAAAAH/7/yU=")</f>
        <v>#REF!</v>
      </c>
      <c r="AM16" t="e">
        <f>AND(#REF!,"AAAAAH/7/yY=")</f>
        <v>#REF!</v>
      </c>
      <c r="AN16" t="e">
        <f>AND(#REF!,"AAAAAH/7/yc=")</f>
        <v>#REF!</v>
      </c>
      <c r="AO16" t="e">
        <f>AND(#REF!,"AAAAAH/7/yg=")</f>
        <v>#REF!</v>
      </c>
      <c r="AP16" t="e">
        <f>AND(#REF!,"AAAAAH/7/yk=")</f>
        <v>#REF!</v>
      </c>
      <c r="AQ16" t="e">
        <f>AND(#REF!,"AAAAAH/7/yo=")</f>
        <v>#REF!</v>
      </c>
      <c r="AR16" t="e">
        <f>AND(#REF!,"AAAAAH/7/ys=")</f>
        <v>#REF!</v>
      </c>
      <c r="AS16" t="e">
        <f>AND(#REF!,"AAAAAH/7/yw=")</f>
        <v>#REF!</v>
      </c>
      <c r="AT16" t="e">
        <f>AND(#REF!,"AAAAAH/7/y0=")</f>
        <v>#REF!</v>
      </c>
      <c r="AU16" t="e">
        <f>AND(#REF!,"AAAAAH/7/y4=")</f>
        <v>#REF!</v>
      </c>
      <c r="AV16" t="e">
        <f>AND(#REF!,"AAAAAH/7/y8=")</f>
        <v>#REF!</v>
      </c>
      <c r="AW16" t="e">
        <f>AND(#REF!,"AAAAAH/7/zA=")</f>
        <v>#REF!</v>
      </c>
      <c r="AX16" t="e">
        <f>AND(#REF!,"AAAAAH/7/zE=")</f>
        <v>#REF!</v>
      </c>
      <c r="AY16" t="e">
        <f>AND(#REF!,"AAAAAH/7/zI=")</f>
        <v>#REF!</v>
      </c>
      <c r="AZ16" t="e">
        <f>AND(#REF!,"AAAAAH/7/zM=")</f>
        <v>#REF!</v>
      </c>
      <c r="BA16" t="e">
        <f>AND(#REF!,"AAAAAH/7/zQ=")</f>
        <v>#REF!</v>
      </c>
      <c r="BB16" t="e">
        <f>AND(#REF!,"AAAAAH/7/zU=")</f>
        <v>#REF!</v>
      </c>
      <c r="BC16" t="e">
        <f>AND(#REF!,"AAAAAH/7/zY=")</f>
        <v>#REF!</v>
      </c>
      <c r="BD16" t="e">
        <f>AND(#REF!,"AAAAAH/7/zc=")</f>
        <v>#REF!</v>
      </c>
      <c r="BE16" t="e">
        <f>AND(#REF!,"AAAAAH/7/zg=")</f>
        <v>#REF!</v>
      </c>
      <c r="BF16" t="e">
        <f>AND(#REF!,"AAAAAH/7/zk=")</f>
        <v>#REF!</v>
      </c>
      <c r="BG16" t="e">
        <f>AND(#REF!,"AAAAAH/7/zo=")</f>
        <v>#REF!</v>
      </c>
      <c r="BH16" t="e">
        <f>AND(#REF!,"AAAAAH/7/zs=")</f>
        <v>#REF!</v>
      </c>
      <c r="BI16" t="e">
        <f>AND(#REF!,"AAAAAH/7/zw=")</f>
        <v>#REF!</v>
      </c>
      <c r="BJ16" t="e">
        <f>AND(#REF!,"AAAAAH/7/z0=")</f>
        <v>#REF!</v>
      </c>
      <c r="BK16" t="e">
        <f>AND(#REF!,"AAAAAH/7/z4=")</f>
        <v>#REF!</v>
      </c>
      <c r="BL16" t="e">
        <f>AND(#REF!,"AAAAAH/7/z8=")</f>
        <v>#REF!</v>
      </c>
      <c r="BM16" t="e">
        <f>AND(#REF!,"AAAAAH/7/0A=")</f>
        <v>#REF!</v>
      </c>
      <c r="BN16" t="e">
        <f>AND(#REF!,"AAAAAH/7/0E=")</f>
        <v>#REF!</v>
      </c>
      <c r="BO16" t="e">
        <f>AND(#REF!,"AAAAAH/7/0I=")</f>
        <v>#REF!</v>
      </c>
      <c r="BP16" t="e">
        <f>AND(#REF!,"AAAAAH/7/0M=")</f>
        <v>#REF!</v>
      </c>
      <c r="BQ16" t="e">
        <f>AND(#REF!,"AAAAAH/7/0Q=")</f>
        <v>#REF!</v>
      </c>
      <c r="BR16" t="e">
        <f>IF(#REF!,"AAAAAH/7/0U=",0)</f>
        <v>#REF!</v>
      </c>
      <c r="BS16" t="e">
        <f>AND(#REF!,"AAAAAH/7/0Y=")</f>
        <v>#REF!</v>
      </c>
      <c r="BT16" t="e">
        <f>AND(#REF!,"AAAAAH/7/0c=")</f>
        <v>#REF!</v>
      </c>
      <c r="BU16" t="e">
        <f>AND(#REF!,"AAAAAH/7/0g=")</f>
        <v>#REF!</v>
      </c>
      <c r="BV16" t="e">
        <f>AND(#REF!,"AAAAAH/7/0k=")</f>
        <v>#REF!</v>
      </c>
      <c r="BW16" t="e">
        <f>AND(#REF!,"AAAAAH/7/0o=")</f>
        <v>#REF!</v>
      </c>
      <c r="BX16" t="e">
        <f>AND(#REF!,"AAAAAH/7/0s=")</f>
        <v>#REF!</v>
      </c>
      <c r="BY16" t="e">
        <f>AND(#REF!,"AAAAAH/7/0w=")</f>
        <v>#REF!</v>
      </c>
      <c r="BZ16" t="e">
        <f>AND(#REF!,"AAAAAH/7/00=")</f>
        <v>#REF!</v>
      </c>
      <c r="CA16" t="e">
        <f>AND(#REF!,"AAAAAH/7/04=")</f>
        <v>#REF!</v>
      </c>
      <c r="CB16" t="e">
        <f>AND(#REF!,"AAAAAH/7/08=")</f>
        <v>#REF!</v>
      </c>
      <c r="CC16" t="e">
        <f>AND(#REF!,"AAAAAH/7/1A=")</f>
        <v>#REF!</v>
      </c>
      <c r="CD16" t="e">
        <f>AND(#REF!,"AAAAAH/7/1E=")</f>
        <v>#REF!</v>
      </c>
      <c r="CE16" t="e">
        <f>AND(#REF!,"AAAAAH/7/1I=")</f>
        <v>#REF!</v>
      </c>
      <c r="CF16" t="e">
        <f>AND(#REF!,"AAAAAH/7/1M=")</f>
        <v>#REF!</v>
      </c>
      <c r="CG16" t="e">
        <f>AND(#REF!,"AAAAAH/7/1Q=")</f>
        <v>#REF!</v>
      </c>
      <c r="CH16" t="e">
        <f>AND(#REF!,"AAAAAH/7/1U=")</f>
        <v>#REF!</v>
      </c>
      <c r="CI16" t="e">
        <f>AND(#REF!,"AAAAAH/7/1Y=")</f>
        <v>#REF!</v>
      </c>
      <c r="CJ16" t="e">
        <f>AND(#REF!,"AAAAAH/7/1c=")</f>
        <v>#REF!</v>
      </c>
      <c r="CK16" t="e">
        <f>AND(#REF!,"AAAAAH/7/1g=")</f>
        <v>#REF!</v>
      </c>
      <c r="CL16" t="e">
        <f>AND(#REF!,"AAAAAH/7/1k=")</f>
        <v>#REF!</v>
      </c>
      <c r="CM16" t="e">
        <f>AND(#REF!,"AAAAAH/7/1o=")</f>
        <v>#REF!</v>
      </c>
      <c r="CN16" t="e">
        <f>AND(#REF!,"AAAAAH/7/1s=")</f>
        <v>#REF!</v>
      </c>
      <c r="CO16" t="e">
        <f>AND(#REF!,"AAAAAH/7/1w=")</f>
        <v>#REF!</v>
      </c>
      <c r="CP16" t="e">
        <f>AND(#REF!,"AAAAAH/7/10=")</f>
        <v>#REF!</v>
      </c>
      <c r="CQ16" t="e">
        <f>AND(#REF!,"AAAAAH/7/14=")</f>
        <v>#REF!</v>
      </c>
      <c r="CR16" t="e">
        <f>AND(#REF!,"AAAAAH/7/18=")</f>
        <v>#REF!</v>
      </c>
      <c r="CS16" t="e">
        <f>AND(#REF!,"AAAAAH/7/2A=")</f>
        <v>#REF!</v>
      </c>
      <c r="CT16" t="e">
        <f>AND(#REF!,"AAAAAH/7/2E=")</f>
        <v>#REF!</v>
      </c>
      <c r="CU16" t="e">
        <f>AND(#REF!,"AAAAAH/7/2I=")</f>
        <v>#REF!</v>
      </c>
      <c r="CV16" t="e">
        <f>AND(#REF!,"AAAAAH/7/2M=")</f>
        <v>#REF!</v>
      </c>
      <c r="CW16" t="e">
        <f>AND(#REF!,"AAAAAH/7/2Q=")</f>
        <v>#REF!</v>
      </c>
      <c r="CX16" t="e">
        <f>AND(#REF!,"AAAAAH/7/2U=")</f>
        <v>#REF!</v>
      </c>
      <c r="CY16" t="e">
        <f>AND(#REF!,"AAAAAH/7/2Y=")</f>
        <v>#REF!</v>
      </c>
      <c r="CZ16" t="e">
        <f>AND(#REF!,"AAAAAH/7/2c=")</f>
        <v>#REF!</v>
      </c>
      <c r="DA16" t="e">
        <f>AND(#REF!,"AAAAAH/7/2g=")</f>
        <v>#REF!</v>
      </c>
      <c r="DB16" t="e">
        <f>AND(#REF!,"AAAAAH/7/2k=")</f>
        <v>#REF!</v>
      </c>
      <c r="DC16" t="e">
        <f>IF(#REF!,"AAAAAH/7/2o=",0)</f>
        <v>#REF!</v>
      </c>
      <c r="DD16" t="e">
        <f>AND(#REF!,"AAAAAH/7/2s=")</f>
        <v>#REF!</v>
      </c>
      <c r="DE16" t="e">
        <f>AND(#REF!,"AAAAAH/7/2w=")</f>
        <v>#REF!</v>
      </c>
      <c r="DF16" t="e">
        <f>AND(#REF!,"AAAAAH/7/20=")</f>
        <v>#REF!</v>
      </c>
      <c r="DG16" t="e">
        <f>AND(#REF!,"AAAAAH/7/24=")</f>
        <v>#REF!</v>
      </c>
      <c r="DH16" t="e">
        <f>AND(#REF!,"AAAAAH/7/28=")</f>
        <v>#REF!</v>
      </c>
      <c r="DI16" t="e">
        <f>AND(#REF!,"AAAAAH/7/3A=")</f>
        <v>#REF!</v>
      </c>
      <c r="DJ16" t="e">
        <f>AND(#REF!,"AAAAAH/7/3E=")</f>
        <v>#REF!</v>
      </c>
      <c r="DK16" t="e">
        <f>AND(#REF!,"AAAAAH/7/3I=")</f>
        <v>#REF!</v>
      </c>
      <c r="DL16" t="e">
        <f>AND(#REF!,"AAAAAH/7/3M=")</f>
        <v>#REF!</v>
      </c>
      <c r="DM16" t="e">
        <f>AND(#REF!,"AAAAAH/7/3Q=")</f>
        <v>#REF!</v>
      </c>
      <c r="DN16" t="e">
        <f>AND(#REF!,"AAAAAH/7/3U=")</f>
        <v>#REF!</v>
      </c>
      <c r="DO16" t="e">
        <f>AND(#REF!,"AAAAAH/7/3Y=")</f>
        <v>#REF!</v>
      </c>
      <c r="DP16" t="e">
        <f>AND(#REF!,"AAAAAH/7/3c=")</f>
        <v>#REF!</v>
      </c>
      <c r="DQ16" t="e">
        <f>AND(#REF!,"AAAAAH/7/3g=")</f>
        <v>#REF!</v>
      </c>
      <c r="DR16" t="e">
        <f>AND(#REF!,"AAAAAH/7/3k=")</f>
        <v>#REF!</v>
      </c>
      <c r="DS16" t="e">
        <f>AND(#REF!,"AAAAAH/7/3o=")</f>
        <v>#REF!</v>
      </c>
      <c r="DT16" t="e">
        <f>AND(#REF!,"AAAAAH/7/3s=")</f>
        <v>#REF!</v>
      </c>
      <c r="DU16" t="e">
        <f>AND(#REF!,"AAAAAH/7/3w=")</f>
        <v>#REF!</v>
      </c>
      <c r="DV16" t="e">
        <f>AND(#REF!,"AAAAAH/7/30=")</f>
        <v>#REF!</v>
      </c>
      <c r="DW16" t="e">
        <f>AND(#REF!,"AAAAAH/7/34=")</f>
        <v>#REF!</v>
      </c>
      <c r="DX16" t="e">
        <f>AND(#REF!,"AAAAAH/7/38=")</f>
        <v>#REF!</v>
      </c>
      <c r="DY16" t="e">
        <f>AND(#REF!,"AAAAAH/7/4A=")</f>
        <v>#REF!</v>
      </c>
      <c r="DZ16" t="e">
        <f>AND(#REF!,"AAAAAH/7/4E=")</f>
        <v>#REF!</v>
      </c>
      <c r="EA16" t="e">
        <f>AND(#REF!,"AAAAAH/7/4I=")</f>
        <v>#REF!</v>
      </c>
      <c r="EB16" t="e">
        <f>AND(#REF!,"AAAAAH/7/4M=")</f>
        <v>#REF!</v>
      </c>
      <c r="EC16" t="e">
        <f>AND(#REF!,"AAAAAH/7/4Q=")</f>
        <v>#REF!</v>
      </c>
      <c r="ED16" t="e">
        <f>AND(#REF!,"AAAAAH/7/4U=")</f>
        <v>#REF!</v>
      </c>
      <c r="EE16" t="e">
        <f>AND(#REF!,"AAAAAH/7/4Y=")</f>
        <v>#REF!</v>
      </c>
      <c r="EF16" t="e">
        <f>AND(#REF!,"AAAAAH/7/4c=")</f>
        <v>#REF!</v>
      </c>
      <c r="EG16" t="e">
        <f>AND(#REF!,"AAAAAH/7/4g=")</f>
        <v>#REF!</v>
      </c>
      <c r="EH16" t="e">
        <f>AND(#REF!,"AAAAAH/7/4k=")</f>
        <v>#REF!</v>
      </c>
      <c r="EI16" t="e">
        <f>AND(#REF!,"AAAAAH/7/4o=")</f>
        <v>#REF!</v>
      </c>
      <c r="EJ16" t="e">
        <f>AND(#REF!,"AAAAAH/7/4s=")</f>
        <v>#REF!</v>
      </c>
      <c r="EK16" t="e">
        <f>AND(#REF!,"AAAAAH/7/4w=")</f>
        <v>#REF!</v>
      </c>
      <c r="EL16" t="e">
        <f>AND(#REF!,"AAAAAH/7/40=")</f>
        <v>#REF!</v>
      </c>
      <c r="EM16" t="e">
        <f>AND(#REF!,"AAAAAH/7/44=")</f>
        <v>#REF!</v>
      </c>
      <c r="EN16" t="e">
        <f>IF(#REF!,"AAAAAH/7/48=",0)</f>
        <v>#REF!</v>
      </c>
      <c r="EO16" t="e">
        <f>AND(#REF!,"AAAAAH/7/5A=")</f>
        <v>#REF!</v>
      </c>
      <c r="EP16" t="e">
        <f>AND(#REF!,"AAAAAH/7/5E=")</f>
        <v>#REF!</v>
      </c>
      <c r="EQ16" t="e">
        <f>AND(#REF!,"AAAAAH/7/5I=")</f>
        <v>#REF!</v>
      </c>
      <c r="ER16" t="e">
        <f>AND(#REF!,"AAAAAH/7/5M=")</f>
        <v>#REF!</v>
      </c>
      <c r="ES16" t="e">
        <f>AND(#REF!,"AAAAAH/7/5Q=")</f>
        <v>#REF!</v>
      </c>
      <c r="ET16" t="e">
        <f>AND(#REF!,"AAAAAH/7/5U=")</f>
        <v>#REF!</v>
      </c>
      <c r="EU16" t="e">
        <f>AND(#REF!,"AAAAAH/7/5Y=")</f>
        <v>#REF!</v>
      </c>
      <c r="EV16" t="e">
        <f>AND(#REF!,"AAAAAH/7/5c=")</f>
        <v>#REF!</v>
      </c>
      <c r="EW16" t="e">
        <f>AND(#REF!,"AAAAAH/7/5g=")</f>
        <v>#REF!</v>
      </c>
      <c r="EX16" t="e">
        <f>AND(#REF!,"AAAAAH/7/5k=")</f>
        <v>#REF!</v>
      </c>
      <c r="EY16" t="e">
        <f>AND(#REF!,"AAAAAH/7/5o=")</f>
        <v>#REF!</v>
      </c>
      <c r="EZ16" t="e">
        <f>AND(#REF!,"AAAAAH/7/5s=")</f>
        <v>#REF!</v>
      </c>
      <c r="FA16" t="e">
        <f>AND(#REF!,"AAAAAH/7/5w=")</f>
        <v>#REF!</v>
      </c>
      <c r="FB16" t="e">
        <f>AND(#REF!,"AAAAAH/7/50=")</f>
        <v>#REF!</v>
      </c>
      <c r="FC16" t="e">
        <f>AND(#REF!,"AAAAAH/7/54=")</f>
        <v>#REF!</v>
      </c>
      <c r="FD16" t="e">
        <f>AND(#REF!,"AAAAAH/7/58=")</f>
        <v>#REF!</v>
      </c>
      <c r="FE16" t="e">
        <f>AND(#REF!,"AAAAAH/7/6A=")</f>
        <v>#REF!</v>
      </c>
      <c r="FF16" t="e">
        <f>AND(#REF!,"AAAAAH/7/6E=")</f>
        <v>#REF!</v>
      </c>
      <c r="FG16" t="e">
        <f>AND(#REF!,"AAAAAH/7/6I=")</f>
        <v>#REF!</v>
      </c>
      <c r="FH16" t="e">
        <f>AND(#REF!,"AAAAAH/7/6M=")</f>
        <v>#REF!</v>
      </c>
      <c r="FI16" t="e">
        <f>AND(#REF!,"AAAAAH/7/6Q=")</f>
        <v>#REF!</v>
      </c>
      <c r="FJ16" t="e">
        <f>AND(#REF!,"AAAAAH/7/6U=")</f>
        <v>#REF!</v>
      </c>
      <c r="FK16" t="e">
        <f>AND(#REF!,"AAAAAH/7/6Y=")</f>
        <v>#REF!</v>
      </c>
      <c r="FL16" t="e">
        <f>AND(#REF!,"AAAAAH/7/6c=")</f>
        <v>#REF!</v>
      </c>
      <c r="FM16" t="e">
        <f>AND(#REF!,"AAAAAH/7/6g=")</f>
        <v>#REF!</v>
      </c>
      <c r="FN16" t="e">
        <f>AND(#REF!,"AAAAAH/7/6k=")</f>
        <v>#REF!</v>
      </c>
      <c r="FO16" t="e">
        <f>AND(#REF!,"AAAAAH/7/6o=")</f>
        <v>#REF!</v>
      </c>
      <c r="FP16" t="e">
        <f>AND(#REF!,"AAAAAH/7/6s=")</f>
        <v>#REF!</v>
      </c>
      <c r="FQ16" t="e">
        <f>AND(#REF!,"AAAAAH/7/6w=")</f>
        <v>#REF!</v>
      </c>
      <c r="FR16" t="e">
        <f>AND(#REF!,"AAAAAH/7/60=")</f>
        <v>#REF!</v>
      </c>
      <c r="FS16" t="e">
        <f>AND(#REF!,"AAAAAH/7/64=")</f>
        <v>#REF!</v>
      </c>
      <c r="FT16" t="e">
        <f>AND(#REF!,"AAAAAH/7/68=")</f>
        <v>#REF!</v>
      </c>
      <c r="FU16" t="e">
        <f>AND(#REF!,"AAAAAH/7/7A=")</f>
        <v>#REF!</v>
      </c>
      <c r="FV16" t="e">
        <f>AND(#REF!,"AAAAAH/7/7E=")</f>
        <v>#REF!</v>
      </c>
      <c r="FW16" t="e">
        <f>AND(#REF!,"AAAAAH/7/7I=")</f>
        <v>#REF!</v>
      </c>
      <c r="FX16" t="e">
        <f>AND(#REF!,"AAAAAH/7/7M=")</f>
        <v>#REF!</v>
      </c>
      <c r="FY16" t="e">
        <f>IF(#REF!,"AAAAAH/7/7Q=",0)</f>
        <v>#REF!</v>
      </c>
      <c r="FZ16" t="e">
        <f>AND(#REF!,"AAAAAH/7/7U=")</f>
        <v>#REF!</v>
      </c>
      <c r="GA16" t="e">
        <f>AND(#REF!,"AAAAAH/7/7Y=")</f>
        <v>#REF!</v>
      </c>
      <c r="GB16" t="e">
        <f>AND(#REF!,"AAAAAH/7/7c=")</f>
        <v>#REF!</v>
      </c>
      <c r="GC16" t="e">
        <f>AND(#REF!,"AAAAAH/7/7g=")</f>
        <v>#REF!</v>
      </c>
      <c r="GD16" t="e">
        <f>AND(#REF!,"AAAAAH/7/7k=")</f>
        <v>#REF!</v>
      </c>
      <c r="GE16" t="e">
        <f>AND(#REF!,"AAAAAH/7/7o=")</f>
        <v>#REF!</v>
      </c>
      <c r="GF16" t="e">
        <f>AND(#REF!,"AAAAAH/7/7s=")</f>
        <v>#REF!</v>
      </c>
      <c r="GG16" t="e">
        <f>AND(#REF!,"AAAAAH/7/7w=")</f>
        <v>#REF!</v>
      </c>
      <c r="GH16" t="e">
        <f>AND(#REF!,"AAAAAH/7/70=")</f>
        <v>#REF!</v>
      </c>
      <c r="GI16" t="e">
        <f>AND(#REF!,"AAAAAH/7/74=")</f>
        <v>#REF!</v>
      </c>
      <c r="GJ16" t="e">
        <f>AND(#REF!,"AAAAAH/7/78=")</f>
        <v>#REF!</v>
      </c>
      <c r="GK16" t="e">
        <f>AND(#REF!,"AAAAAH/7/8A=")</f>
        <v>#REF!</v>
      </c>
      <c r="GL16" t="e">
        <f>AND(#REF!,"AAAAAH/7/8E=")</f>
        <v>#REF!</v>
      </c>
      <c r="GM16" t="e">
        <f>AND(#REF!,"AAAAAH/7/8I=")</f>
        <v>#REF!</v>
      </c>
      <c r="GN16" t="e">
        <f>AND(#REF!,"AAAAAH/7/8M=")</f>
        <v>#REF!</v>
      </c>
      <c r="GO16" t="e">
        <f>AND(#REF!,"AAAAAH/7/8Q=")</f>
        <v>#REF!</v>
      </c>
      <c r="GP16" t="e">
        <f>AND(#REF!,"AAAAAH/7/8U=")</f>
        <v>#REF!</v>
      </c>
      <c r="GQ16" t="e">
        <f>AND(#REF!,"AAAAAH/7/8Y=")</f>
        <v>#REF!</v>
      </c>
      <c r="GR16" t="e">
        <f>AND(#REF!,"AAAAAH/7/8c=")</f>
        <v>#REF!</v>
      </c>
      <c r="GS16" t="e">
        <f>AND(#REF!,"AAAAAH/7/8g=")</f>
        <v>#REF!</v>
      </c>
      <c r="GT16" t="e">
        <f>AND(#REF!,"AAAAAH/7/8k=")</f>
        <v>#REF!</v>
      </c>
      <c r="GU16" t="e">
        <f>AND(#REF!,"AAAAAH/7/8o=")</f>
        <v>#REF!</v>
      </c>
      <c r="GV16" t="e">
        <f>AND(#REF!,"AAAAAH/7/8s=")</f>
        <v>#REF!</v>
      </c>
      <c r="GW16" t="e">
        <f>AND(#REF!,"AAAAAH/7/8w=")</f>
        <v>#REF!</v>
      </c>
      <c r="GX16" t="e">
        <f>AND(#REF!,"AAAAAH/7/80=")</f>
        <v>#REF!</v>
      </c>
      <c r="GY16" t="e">
        <f>AND(#REF!,"AAAAAH/7/84=")</f>
        <v>#REF!</v>
      </c>
      <c r="GZ16" t="e">
        <f>AND(#REF!,"AAAAAH/7/88=")</f>
        <v>#REF!</v>
      </c>
      <c r="HA16" t="e">
        <f>AND(#REF!,"AAAAAH/7/9A=")</f>
        <v>#REF!</v>
      </c>
      <c r="HB16" t="e">
        <f>AND(#REF!,"AAAAAH/7/9E=")</f>
        <v>#REF!</v>
      </c>
      <c r="HC16" t="e">
        <f>AND(#REF!,"AAAAAH/7/9I=")</f>
        <v>#REF!</v>
      </c>
      <c r="HD16" t="e">
        <f>AND(#REF!,"AAAAAH/7/9M=")</f>
        <v>#REF!</v>
      </c>
      <c r="HE16" t="e">
        <f>AND(#REF!,"AAAAAH/7/9Q=")</f>
        <v>#REF!</v>
      </c>
      <c r="HF16" t="e">
        <f>AND(#REF!,"AAAAAH/7/9U=")</f>
        <v>#REF!</v>
      </c>
      <c r="HG16" t="e">
        <f>AND(#REF!,"AAAAAH/7/9Y=")</f>
        <v>#REF!</v>
      </c>
      <c r="HH16" t="e">
        <f>AND(#REF!,"AAAAAH/7/9c=")</f>
        <v>#REF!</v>
      </c>
      <c r="HI16" t="e">
        <f>AND(#REF!,"AAAAAH/7/9g=")</f>
        <v>#REF!</v>
      </c>
      <c r="HJ16" t="e">
        <f>IF(#REF!,"AAAAAH/7/9k=",0)</f>
        <v>#REF!</v>
      </c>
      <c r="HK16" t="e">
        <f>AND(#REF!,"AAAAAH/7/9o=")</f>
        <v>#REF!</v>
      </c>
      <c r="HL16" t="e">
        <f>AND(#REF!,"AAAAAH/7/9s=")</f>
        <v>#REF!</v>
      </c>
      <c r="HM16" t="e">
        <f>AND(#REF!,"AAAAAH/7/9w=")</f>
        <v>#REF!</v>
      </c>
      <c r="HN16" t="e">
        <f>AND(#REF!,"AAAAAH/7/90=")</f>
        <v>#REF!</v>
      </c>
      <c r="HO16" t="e">
        <f>AND(#REF!,"AAAAAH/7/94=")</f>
        <v>#REF!</v>
      </c>
      <c r="HP16" t="e">
        <f>AND(#REF!,"AAAAAH/7/98=")</f>
        <v>#REF!</v>
      </c>
      <c r="HQ16" t="e">
        <f>AND(#REF!,"AAAAAH/7/+A=")</f>
        <v>#REF!</v>
      </c>
      <c r="HR16" t="e">
        <f>AND(#REF!,"AAAAAH/7/+E=")</f>
        <v>#REF!</v>
      </c>
      <c r="HS16" t="e">
        <f>AND(#REF!,"AAAAAH/7/+I=")</f>
        <v>#REF!</v>
      </c>
      <c r="HT16" t="e">
        <f>AND(#REF!,"AAAAAH/7/+M=")</f>
        <v>#REF!</v>
      </c>
      <c r="HU16" t="e">
        <f>AND(#REF!,"AAAAAH/7/+Q=")</f>
        <v>#REF!</v>
      </c>
      <c r="HV16" t="e">
        <f>AND(#REF!,"AAAAAH/7/+U=")</f>
        <v>#REF!</v>
      </c>
      <c r="HW16" t="e">
        <f>AND(#REF!,"AAAAAH/7/+Y=")</f>
        <v>#REF!</v>
      </c>
      <c r="HX16" t="e">
        <f>AND(#REF!,"AAAAAH/7/+c=")</f>
        <v>#REF!</v>
      </c>
      <c r="HY16" t="e">
        <f>AND(#REF!,"AAAAAH/7/+g=")</f>
        <v>#REF!</v>
      </c>
      <c r="HZ16" t="e">
        <f>AND(#REF!,"AAAAAH/7/+k=")</f>
        <v>#REF!</v>
      </c>
      <c r="IA16" t="e">
        <f>AND(#REF!,"AAAAAH/7/+o=")</f>
        <v>#REF!</v>
      </c>
      <c r="IB16" t="e">
        <f>AND(#REF!,"AAAAAH/7/+s=")</f>
        <v>#REF!</v>
      </c>
      <c r="IC16" t="e">
        <f>AND(#REF!,"AAAAAH/7/+w=")</f>
        <v>#REF!</v>
      </c>
      <c r="ID16" t="e">
        <f>AND(#REF!,"AAAAAH/7/+0=")</f>
        <v>#REF!</v>
      </c>
      <c r="IE16" t="e">
        <f>AND(#REF!,"AAAAAH/7/+4=")</f>
        <v>#REF!</v>
      </c>
      <c r="IF16" t="e">
        <f>AND(#REF!,"AAAAAH/7/+8=")</f>
        <v>#REF!</v>
      </c>
      <c r="IG16" t="e">
        <f>AND(#REF!,"AAAAAH/7//A=")</f>
        <v>#REF!</v>
      </c>
      <c r="IH16" t="e">
        <f>AND(#REF!,"AAAAAH/7//E=")</f>
        <v>#REF!</v>
      </c>
      <c r="II16" t="e">
        <f>AND(#REF!,"AAAAAH/7//I=")</f>
        <v>#REF!</v>
      </c>
      <c r="IJ16" t="e">
        <f>AND(#REF!,"AAAAAH/7//M=")</f>
        <v>#REF!</v>
      </c>
      <c r="IK16" t="e">
        <f>AND(#REF!,"AAAAAH/7//Q=")</f>
        <v>#REF!</v>
      </c>
      <c r="IL16" t="e">
        <f>AND(#REF!,"AAAAAH/7//U=")</f>
        <v>#REF!</v>
      </c>
      <c r="IM16" t="e">
        <f>AND(#REF!,"AAAAAH/7//Y=")</f>
        <v>#REF!</v>
      </c>
      <c r="IN16" t="e">
        <f>AND(#REF!,"AAAAAH/7//c=")</f>
        <v>#REF!</v>
      </c>
      <c r="IO16" t="e">
        <f>AND(#REF!,"AAAAAH/7//g=")</f>
        <v>#REF!</v>
      </c>
      <c r="IP16" t="e">
        <f>AND(#REF!,"AAAAAH/7//k=")</f>
        <v>#REF!</v>
      </c>
      <c r="IQ16" t="e">
        <f>AND(#REF!,"AAAAAH/7//o=")</f>
        <v>#REF!</v>
      </c>
      <c r="IR16" t="e">
        <f>AND(#REF!,"AAAAAH/7//s=")</f>
        <v>#REF!</v>
      </c>
      <c r="IS16" t="e">
        <f>AND(#REF!,"AAAAAH/7//w=")</f>
        <v>#REF!</v>
      </c>
      <c r="IT16" t="e">
        <f>AND(#REF!,"AAAAAH/7//0=")</f>
        <v>#REF!</v>
      </c>
      <c r="IU16" t="e">
        <f>IF(#REF!,"AAAAAH/7//4=",0)</f>
        <v>#REF!</v>
      </c>
      <c r="IV16" t="e">
        <f>AND(#REF!,"AAAAAH/7//8=")</f>
        <v>#REF!</v>
      </c>
    </row>
    <row r="17" spans="1:256">
      <c r="A17" t="e">
        <f>AND(#REF!,"AAAAAHe//wA=")</f>
        <v>#REF!</v>
      </c>
      <c r="B17" t="e">
        <f>AND(#REF!,"AAAAAHe//wE=")</f>
        <v>#REF!</v>
      </c>
      <c r="C17" t="e">
        <f>AND(#REF!,"AAAAAHe//wI=")</f>
        <v>#REF!</v>
      </c>
      <c r="D17" t="e">
        <f>AND(#REF!,"AAAAAHe//wM=")</f>
        <v>#REF!</v>
      </c>
      <c r="E17" t="e">
        <f>AND(#REF!,"AAAAAHe//wQ=")</f>
        <v>#REF!</v>
      </c>
      <c r="F17" t="e">
        <f>AND(#REF!,"AAAAAHe//wU=")</f>
        <v>#REF!</v>
      </c>
      <c r="G17" t="e">
        <f>AND(#REF!,"AAAAAHe//wY=")</f>
        <v>#REF!</v>
      </c>
      <c r="H17" t="e">
        <f>AND(#REF!,"AAAAAHe//wc=")</f>
        <v>#REF!</v>
      </c>
      <c r="I17" t="e">
        <f>AND(#REF!,"AAAAAHe//wg=")</f>
        <v>#REF!</v>
      </c>
      <c r="J17" t="e">
        <f>AND(#REF!,"AAAAAHe//wk=")</f>
        <v>#REF!</v>
      </c>
      <c r="K17" t="e">
        <f>AND(#REF!,"AAAAAHe//wo=")</f>
        <v>#REF!</v>
      </c>
      <c r="L17" t="e">
        <f>AND(#REF!,"AAAAAHe//ws=")</f>
        <v>#REF!</v>
      </c>
      <c r="M17" t="e">
        <f>AND(#REF!,"AAAAAHe//ww=")</f>
        <v>#REF!</v>
      </c>
      <c r="N17" t="e">
        <f>AND(#REF!,"AAAAAHe//w0=")</f>
        <v>#REF!</v>
      </c>
      <c r="O17" t="e">
        <f>AND(#REF!,"AAAAAHe//w4=")</f>
        <v>#REF!</v>
      </c>
      <c r="P17" t="e">
        <f>AND(#REF!,"AAAAAHe//w8=")</f>
        <v>#REF!</v>
      </c>
      <c r="Q17" t="e">
        <f>AND(#REF!,"AAAAAHe//xA=")</f>
        <v>#REF!</v>
      </c>
      <c r="R17" t="e">
        <f>AND(#REF!,"AAAAAHe//xE=")</f>
        <v>#REF!</v>
      </c>
      <c r="S17" t="e">
        <f>AND(#REF!,"AAAAAHe//xI=")</f>
        <v>#REF!</v>
      </c>
      <c r="T17" t="e">
        <f>AND(#REF!,"AAAAAHe//xM=")</f>
        <v>#REF!</v>
      </c>
      <c r="U17" t="e">
        <f>AND(#REF!,"AAAAAHe//xQ=")</f>
        <v>#REF!</v>
      </c>
      <c r="V17" t="e">
        <f>AND(#REF!,"AAAAAHe//xU=")</f>
        <v>#REF!</v>
      </c>
      <c r="W17" t="e">
        <f>AND(#REF!,"AAAAAHe//xY=")</f>
        <v>#REF!</v>
      </c>
      <c r="X17" t="e">
        <f>AND(#REF!,"AAAAAHe//xc=")</f>
        <v>#REF!</v>
      </c>
      <c r="Y17" t="e">
        <f>AND(#REF!,"AAAAAHe//xg=")</f>
        <v>#REF!</v>
      </c>
      <c r="Z17" t="e">
        <f>AND(#REF!,"AAAAAHe//xk=")</f>
        <v>#REF!</v>
      </c>
      <c r="AA17" t="e">
        <f>AND(#REF!,"AAAAAHe//xo=")</f>
        <v>#REF!</v>
      </c>
      <c r="AB17" t="e">
        <f>AND(#REF!,"AAAAAHe//xs=")</f>
        <v>#REF!</v>
      </c>
      <c r="AC17" t="e">
        <f>AND(#REF!,"AAAAAHe//xw=")</f>
        <v>#REF!</v>
      </c>
      <c r="AD17" t="e">
        <f>AND(#REF!,"AAAAAHe//x0=")</f>
        <v>#REF!</v>
      </c>
      <c r="AE17" t="e">
        <f>AND(#REF!,"AAAAAHe//x4=")</f>
        <v>#REF!</v>
      </c>
      <c r="AF17" t="e">
        <f>AND(#REF!,"AAAAAHe//x8=")</f>
        <v>#REF!</v>
      </c>
      <c r="AG17" t="e">
        <f>AND(#REF!,"AAAAAHe//yA=")</f>
        <v>#REF!</v>
      </c>
      <c r="AH17" t="e">
        <f>AND(#REF!,"AAAAAHe//yE=")</f>
        <v>#REF!</v>
      </c>
      <c r="AI17" t="e">
        <f>AND(#REF!,"AAAAAHe//yI=")</f>
        <v>#REF!</v>
      </c>
      <c r="AJ17" t="e">
        <f>IF(#REF!,"AAAAAHe//yM=",0)</f>
        <v>#REF!</v>
      </c>
      <c r="AK17" t="e">
        <f>AND(#REF!,"AAAAAHe//yQ=")</f>
        <v>#REF!</v>
      </c>
      <c r="AL17" t="e">
        <f>AND(#REF!,"AAAAAHe//yU=")</f>
        <v>#REF!</v>
      </c>
      <c r="AM17" t="e">
        <f>AND(#REF!,"AAAAAHe//yY=")</f>
        <v>#REF!</v>
      </c>
      <c r="AN17" t="e">
        <f>AND(#REF!,"AAAAAHe//yc=")</f>
        <v>#REF!</v>
      </c>
      <c r="AO17" t="e">
        <f>AND(#REF!,"AAAAAHe//yg=")</f>
        <v>#REF!</v>
      </c>
      <c r="AP17" t="e">
        <f>AND(#REF!,"AAAAAHe//yk=")</f>
        <v>#REF!</v>
      </c>
      <c r="AQ17" t="e">
        <f>AND(#REF!,"AAAAAHe//yo=")</f>
        <v>#REF!</v>
      </c>
      <c r="AR17" t="e">
        <f>AND(#REF!,"AAAAAHe//ys=")</f>
        <v>#REF!</v>
      </c>
      <c r="AS17" t="e">
        <f>AND(#REF!,"AAAAAHe//yw=")</f>
        <v>#REF!</v>
      </c>
      <c r="AT17" t="e">
        <f>AND(#REF!,"AAAAAHe//y0=")</f>
        <v>#REF!</v>
      </c>
      <c r="AU17" t="e">
        <f>AND(#REF!,"AAAAAHe//y4=")</f>
        <v>#REF!</v>
      </c>
      <c r="AV17" t="e">
        <f>AND(#REF!,"AAAAAHe//y8=")</f>
        <v>#REF!</v>
      </c>
      <c r="AW17" t="e">
        <f>AND(#REF!,"AAAAAHe//zA=")</f>
        <v>#REF!</v>
      </c>
      <c r="AX17" t="e">
        <f>AND(#REF!,"AAAAAHe//zE=")</f>
        <v>#REF!</v>
      </c>
      <c r="AY17" t="e">
        <f>AND(#REF!,"AAAAAHe//zI=")</f>
        <v>#REF!</v>
      </c>
      <c r="AZ17" t="e">
        <f>AND(#REF!,"AAAAAHe//zM=")</f>
        <v>#REF!</v>
      </c>
      <c r="BA17" t="e">
        <f>AND(#REF!,"AAAAAHe//zQ=")</f>
        <v>#REF!</v>
      </c>
      <c r="BB17" t="e">
        <f>AND(#REF!,"AAAAAHe//zU=")</f>
        <v>#REF!</v>
      </c>
      <c r="BC17" t="e">
        <f>AND(#REF!,"AAAAAHe//zY=")</f>
        <v>#REF!</v>
      </c>
      <c r="BD17" t="e">
        <f>AND(#REF!,"AAAAAHe//zc=")</f>
        <v>#REF!</v>
      </c>
      <c r="BE17" t="e">
        <f>AND(#REF!,"AAAAAHe//zg=")</f>
        <v>#REF!</v>
      </c>
      <c r="BF17" t="e">
        <f>AND(#REF!,"AAAAAHe//zk=")</f>
        <v>#REF!</v>
      </c>
      <c r="BG17" t="e">
        <f>AND(#REF!,"AAAAAHe//zo=")</f>
        <v>#REF!</v>
      </c>
      <c r="BH17" t="e">
        <f>AND(#REF!,"AAAAAHe//zs=")</f>
        <v>#REF!</v>
      </c>
      <c r="BI17" t="e">
        <f>AND(#REF!,"AAAAAHe//zw=")</f>
        <v>#REF!</v>
      </c>
      <c r="BJ17" t="e">
        <f>AND(#REF!,"AAAAAHe//z0=")</f>
        <v>#REF!</v>
      </c>
      <c r="BK17" t="e">
        <f>AND(#REF!,"AAAAAHe//z4=")</f>
        <v>#REF!</v>
      </c>
      <c r="BL17" t="e">
        <f>AND(#REF!,"AAAAAHe//z8=")</f>
        <v>#REF!</v>
      </c>
      <c r="BM17" t="e">
        <f>AND(#REF!,"AAAAAHe//0A=")</f>
        <v>#REF!</v>
      </c>
      <c r="BN17" t="e">
        <f>AND(#REF!,"AAAAAHe//0E=")</f>
        <v>#REF!</v>
      </c>
      <c r="BO17" t="e">
        <f>AND(#REF!,"AAAAAHe//0I=")</f>
        <v>#REF!</v>
      </c>
      <c r="BP17" t="e">
        <f>AND(#REF!,"AAAAAHe//0M=")</f>
        <v>#REF!</v>
      </c>
      <c r="BQ17" t="e">
        <f>AND(#REF!,"AAAAAHe//0Q=")</f>
        <v>#REF!</v>
      </c>
      <c r="BR17" t="e">
        <f>AND(#REF!,"AAAAAHe//0U=")</f>
        <v>#REF!</v>
      </c>
      <c r="BS17" t="e">
        <f>AND(#REF!,"AAAAAHe//0Y=")</f>
        <v>#REF!</v>
      </c>
      <c r="BT17" t="e">
        <f>AND(#REF!,"AAAAAHe//0c=")</f>
        <v>#REF!</v>
      </c>
      <c r="BU17" t="e">
        <f>IF(#REF!,"AAAAAHe//0g=",0)</f>
        <v>#REF!</v>
      </c>
      <c r="BV17" t="e">
        <f>AND(#REF!,"AAAAAHe//0k=")</f>
        <v>#REF!</v>
      </c>
      <c r="BW17" t="e">
        <f>AND(#REF!,"AAAAAHe//0o=")</f>
        <v>#REF!</v>
      </c>
      <c r="BX17" t="e">
        <f>AND(#REF!,"AAAAAHe//0s=")</f>
        <v>#REF!</v>
      </c>
      <c r="BY17" t="e">
        <f>AND(#REF!,"AAAAAHe//0w=")</f>
        <v>#REF!</v>
      </c>
      <c r="BZ17" t="e">
        <f>AND(#REF!,"AAAAAHe//00=")</f>
        <v>#REF!</v>
      </c>
      <c r="CA17" t="e">
        <f>AND(#REF!,"AAAAAHe//04=")</f>
        <v>#REF!</v>
      </c>
      <c r="CB17" t="e">
        <f>AND(#REF!,"AAAAAHe//08=")</f>
        <v>#REF!</v>
      </c>
      <c r="CC17" t="e">
        <f>AND(#REF!,"AAAAAHe//1A=")</f>
        <v>#REF!</v>
      </c>
      <c r="CD17" t="e">
        <f>AND(#REF!,"AAAAAHe//1E=")</f>
        <v>#REF!</v>
      </c>
      <c r="CE17" t="e">
        <f>AND(#REF!,"AAAAAHe//1I=")</f>
        <v>#REF!</v>
      </c>
      <c r="CF17" t="e">
        <f>AND(#REF!,"AAAAAHe//1M=")</f>
        <v>#REF!</v>
      </c>
      <c r="CG17" t="e">
        <f>AND(#REF!,"AAAAAHe//1Q=")</f>
        <v>#REF!</v>
      </c>
      <c r="CH17" t="e">
        <f>AND(#REF!,"AAAAAHe//1U=")</f>
        <v>#REF!</v>
      </c>
      <c r="CI17" t="e">
        <f>AND(#REF!,"AAAAAHe//1Y=")</f>
        <v>#REF!</v>
      </c>
      <c r="CJ17" t="e">
        <f>AND(#REF!,"AAAAAHe//1c=")</f>
        <v>#REF!</v>
      </c>
      <c r="CK17" t="e">
        <f>AND(#REF!,"AAAAAHe//1g=")</f>
        <v>#REF!</v>
      </c>
      <c r="CL17" t="e">
        <f>AND(#REF!,"AAAAAHe//1k=")</f>
        <v>#REF!</v>
      </c>
      <c r="CM17" t="e">
        <f>AND(#REF!,"AAAAAHe//1o=")</f>
        <v>#REF!</v>
      </c>
      <c r="CN17" t="e">
        <f>AND(#REF!,"AAAAAHe//1s=")</f>
        <v>#REF!</v>
      </c>
      <c r="CO17" t="e">
        <f>AND(#REF!,"AAAAAHe//1w=")</f>
        <v>#REF!</v>
      </c>
      <c r="CP17" t="e">
        <f>AND(#REF!,"AAAAAHe//10=")</f>
        <v>#REF!</v>
      </c>
      <c r="CQ17" t="e">
        <f>AND(#REF!,"AAAAAHe//14=")</f>
        <v>#REF!</v>
      </c>
      <c r="CR17" t="e">
        <f>AND(#REF!,"AAAAAHe//18=")</f>
        <v>#REF!</v>
      </c>
      <c r="CS17" t="e">
        <f>AND(#REF!,"AAAAAHe//2A=")</f>
        <v>#REF!</v>
      </c>
      <c r="CT17" t="e">
        <f>AND(#REF!,"AAAAAHe//2E=")</f>
        <v>#REF!</v>
      </c>
      <c r="CU17" t="e">
        <f>AND(#REF!,"AAAAAHe//2I=")</f>
        <v>#REF!</v>
      </c>
      <c r="CV17" t="e">
        <f>AND(#REF!,"AAAAAHe//2M=")</f>
        <v>#REF!</v>
      </c>
      <c r="CW17" t="e">
        <f>AND(#REF!,"AAAAAHe//2Q=")</f>
        <v>#REF!</v>
      </c>
      <c r="CX17" t="e">
        <f>AND(#REF!,"AAAAAHe//2U=")</f>
        <v>#REF!</v>
      </c>
      <c r="CY17" t="e">
        <f>AND(#REF!,"AAAAAHe//2Y=")</f>
        <v>#REF!</v>
      </c>
      <c r="CZ17" t="e">
        <f>AND(#REF!,"AAAAAHe//2c=")</f>
        <v>#REF!</v>
      </c>
      <c r="DA17" t="e">
        <f>AND(#REF!,"AAAAAHe//2g=")</f>
        <v>#REF!</v>
      </c>
      <c r="DB17" t="e">
        <f>AND(#REF!,"AAAAAHe//2k=")</f>
        <v>#REF!</v>
      </c>
      <c r="DC17" t="e">
        <f>AND(#REF!,"AAAAAHe//2o=")</f>
        <v>#REF!</v>
      </c>
      <c r="DD17" t="e">
        <f>AND(#REF!,"AAAAAHe//2s=")</f>
        <v>#REF!</v>
      </c>
      <c r="DE17" t="e">
        <f>AND(#REF!,"AAAAAHe//2w=")</f>
        <v>#REF!</v>
      </c>
      <c r="DF17" t="e">
        <f>IF(#REF!,"AAAAAHe//20=",0)</f>
        <v>#REF!</v>
      </c>
      <c r="DG17" t="e">
        <f>AND(#REF!,"AAAAAHe//24=")</f>
        <v>#REF!</v>
      </c>
      <c r="DH17" t="e">
        <f>AND(#REF!,"AAAAAHe//28=")</f>
        <v>#REF!</v>
      </c>
      <c r="DI17" t="e">
        <f>AND(#REF!,"AAAAAHe//3A=")</f>
        <v>#REF!</v>
      </c>
      <c r="DJ17" t="e">
        <f>AND(#REF!,"AAAAAHe//3E=")</f>
        <v>#REF!</v>
      </c>
      <c r="DK17" t="e">
        <f>AND(#REF!,"AAAAAHe//3I=")</f>
        <v>#REF!</v>
      </c>
      <c r="DL17" t="e">
        <f>AND(#REF!,"AAAAAHe//3M=")</f>
        <v>#REF!</v>
      </c>
      <c r="DM17" t="e">
        <f>AND(#REF!,"AAAAAHe//3Q=")</f>
        <v>#REF!</v>
      </c>
      <c r="DN17" t="e">
        <f>AND(#REF!,"AAAAAHe//3U=")</f>
        <v>#REF!</v>
      </c>
      <c r="DO17" t="e">
        <f>AND(#REF!,"AAAAAHe//3Y=")</f>
        <v>#REF!</v>
      </c>
      <c r="DP17" t="e">
        <f>AND(#REF!,"AAAAAHe//3c=")</f>
        <v>#REF!</v>
      </c>
      <c r="DQ17" t="e">
        <f>AND(#REF!,"AAAAAHe//3g=")</f>
        <v>#REF!</v>
      </c>
      <c r="DR17" t="e">
        <f>AND(#REF!,"AAAAAHe//3k=")</f>
        <v>#REF!</v>
      </c>
      <c r="DS17" t="e">
        <f>AND(#REF!,"AAAAAHe//3o=")</f>
        <v>#REF!</v>
      </c>
      <c r="DT17" t="e">
        <f>AND(#REF!,"AAAAAHe//3s=")</f>
        <v>#REF!</v>
      </c>
      <c r="DU17" t="e">
        <f>AND(#REF!,"AAAAAHe//3w=")</f>
        <v>#REF!</v>
      </c>
      <c r="DV17" t="e">
        <f>AND(#REF!,"AAAAAHe//30=")</f>
        <v>#REF!</v>
      </c>
      <c r="DW17" t="e">
        <f>AND(#REF!,"AAAAAHe//34=")</f>
        <v>#REF!</v>
      </c>
      <c r="DX17" t="e">
        <f>AND(#REF!,"AAAAAHe//38=")</f>
        <v>#REF!</v>
      </c>
      <c r="DY17" t="e">
        <f>AND(#REF!,"AAAAAHe//4A=")</f>
        <v>#REF!</v>
      </c>
      <c r="DZ17" t="e">
        <f>AND(#REF!,"AAAAAHe//4E=")</f>
        <v>#REF!</v>
      </c>
      <c r="EA17" t="e">
        <f>AND(#REF!,"AAAAAHe//4I=")</f>
        <v>#REF!</v>
      </c>
      <c r="EB17" t="e">
        <f>AND(#REF!,"AAAAAHe//4M=")</f>
        <v>#REF!</v>
      </c>
      <c r="EC17" t="e">
        <f>AND(#REF!,"AAAAAHe//4Q=")</f>
        <v>#REF!</v>
      </c>
      <c r="ED17" t="e">
        <f>AND(#REF!,"AAAAAHe//4U=")</f>
        <v>#REF!</v>
      </c>
      <c r="EE17" t="e">
        <f>AND(#REF!,"AAAAAHe//4Y=")</f>
        <v>#REF!</v>
      </c>
      <c r="EF17" t="e">
        <f>AND(#REF!,"AAAAAHe//4c=")</f>
        <v>#REF!</v>
      </c>
      <c r="EG17" t="e">
        <f>AND(#REF!,"AAAAAHe//4g=")</f>
        <v>#REF!</v>
      </c>
      <c r="EH17" t="e">
        <f>AND(#REF!,"AAAAAHe//4k=")</f>
        <v>#REF!</v>
      </c>
      <c r="EI17" t="e">
        <f>AND(#REF!,"AAAAAHe//4o=")</f>
        <v>#REF!</v>
      </c>
      <c r="EJ17" t="e">
        <f>AND(#REF!,"AAAAAHe//4s=")</f>
        <v>#REF!</v>
      </c>
      <c r="EK17" t="e">
        <f>AND(#REF!,"AAAAAHe//4w=")</f>
        <v>#REF!</v>
      </c>
      <c r="EL17" t="e">
        <f>AND(#REF!,"AAAAAHe//40=")</f>
        <v>#REF!</v>
      </c>
      <c r="EM17" t="e">
        <f>AND(#REF!,"AAAAAHe//44=")</f>
        <v>#REF!</v>
      </c>
      <c r="EN17" t="e">
        <f>AND(#REF!,"AAAAAHe//48=")</f>
        <v>#REF!</v>
      </c>
      <c r="EO17" t="e">
        <f>AND(#REF!,"AAAAAHe//5A=")</f>
        <v>#REF!</v>
      </c>
      <c r="EP17" t="e">
        <f>AND(#REF!,"AAAAAHe//5E=")</f>
        <v>#REF!</v>
      </c>
      <c r="EQ17" t="e">
        <f>IF(#REF!,"AAAAAHe//5I=",0)</f>
        <v>#REF!</v>
      </c>
      <c r="ER17" t="e">
        <f>AND(#REF!,"AAAAAHe//5M=")</f>
        <v>#REF!</v>
      </c>
      <c r="ES17" t="e">
        <f>AND(#REF!,"AAAAAHe//5Q=")</f>
        <v>#REF!</v>
      </c>
      <c r="ET17" t="e">
        <f>AND(#REF!,"AAAAAHe//5U=")</f>
        <v>#REF!</v>
      </c>
      <c r="EU17" t="e">
        <f>AND(#REF!,"AAAAAHe//5Y=")</f>
        <v>#REF!</v>
      </c>
      <c r="EV17" t="e">
        <f>AND(#REF!,"AAAAAHe//5c=")</f>
        <v>#REF!</v>
      </c>
      <c r="EW17" t="e">
        <f>AND(#REF!,"AAAAAHe//5g=")</f>
        <v>#REF!</v>
      </c>
      <c r="EX17" t="e">
        <f>AND(#REF!,"AAAAAHe//5k=")</f>
        <v>#REF!</v>
      </c>
      <c r="EY17" t="e">
        <f>AND(#REF!,"AAAAAHe//5o=")</f>
        <v>#REF!</v>
      </c>
      <c r="EZ17" t="e">
        <f>AND(#REF!,"AAAAAHe//5s=")</f>
        <v>#REF!</v>
      </c>
      <c r="FA17" t="e">
        <f>AND(#REF!,"AAAAAHe//5w=")</f>
        <v>#REF!</v>
      </c>
      <c r="FB17" t="e">
        <f>AND(#REF!,"AAAAAHe//50=")</f>
        <v>#REF!</v>
      </c>
      <c r="FC17" t="e">
        <f>AND(#REF!,"AAAAAHe//54=")</f>
        <v>#REF!</v>
      </c>
      <c r="FD17" t="e">
        <f>AND(#REF!,"AAAAAHe//58=")</f>
        <v>#REF!</v>
      </c>
      <c r="FE17" t="e">
        <f>AND(#REF!,"AAAAAHe//6A=")</f>
        <v>#REF!</v>
      </c>
      <c r="FF17" t="e">
        <f>AND(#REF!,"AAAAAHe//6E=")</f>
        <v>#REF!</v>
      </c>
      <c r="FG17" t="e">
        <f>AND(#REF!,"AAAAAHe//6I=")</f>
        <v>#REF!</v>
      </c>
      <c r="FH17" t="e">
        <f>AND(#REF!,"AAAAAHe//6M=")</f>
        <v>#REF!</v>
      </c>
      <c r="FI17" t="e">
        <f>AND(#REF!,"AAAAAHe//6Q=")</f>
        <v>#REF!</v>
      </c>
      <c r="FJ17" t="e">
        <f>AND(#REF!,"AAAAAHe//6U=")</f>
        <v>#REF!</v>
      </c>
      <c r="FK17" t="e">
        <f>AND(#REF!,"AAAAAHe//6Y=")</f>
        <v>#REF!</v>
      </c>
      <c r="FL17" t="e">
        <f>AND(#REF!,"AAAAAHe//6c=")</f>
        <v>#REF!</v>
      </c>
      <c r="FM17" t="e">
        <f>AND(#REF!,"AAAAAHe//6g=")</f>
        <v>#REF!</v>
      </c>
      <c r="FN17" t="e">
        <f>AND(#REF!,"AAAAAHe//6k=")</f>
        <v>#REF!</v>
      </c>
      <c r="FO17" t="e">
        <f>AND(#REF!,"AAAAAHe//6o=")</f>
        <v>#REF!</v>
      </c>
      <c r="FP17" t="e">
        <f>AND(#REF!,"AAAAAHe//6s=")</f>
        <v>#REF!</v>
      </c>
      <c r="FQ17" t="e">
        <f>AND(#REF!,"AAAAAHe//6w=")</f>
        <v>#REF!</v>
      </c>
      <c r="FR17" t="e">
        <f>AND(#REF!,"AAAAAHe//60=")</f>
        <v>#REF!</v>
      </c>
      <c r="FS17" t="e">
        <f>AND(#REF!,"AAAAAHe//64=")</f>
        <v>#REF!</v>
      </c>
      <c r="FT17" t="e">
        <f>AND(#REF!,"AAAAAHe//68=")</f>
        <v>#REF!</v>
      </c>
      <c r="FU17" t="e">
        <f>AND(#REF!,"AAAAAHe//7A=")</f>
        <v>#REF!</v>
      </c>
      <c r="FV17" t="e">
        <f>AND(#REF!,"AAAAAHe//7E=")</f>
        <v>#REF!</v>
      </c>
      <c r="FW17" t="e">
        <f>AND(#REF!,"AAAAAHe//7I=")</f>
        <v>#REF!</v>
      </c>
      <c r="FX17" t="e">
        <f>AND(#REF!,"AAAAAHe//7M=")</f>
        <v>#REF!</v>
      </c>
      <c r="FY17" t="e">
        <f>AND(#REF!,"AAAAAHe//7Q=")</f>
        <v>#REF!</v>
      </c>
      <c r="FZ17" t="e">
        <f>AND(#REF!,"AAAAAHe//7U=")</f>
        <v>#REF!</v>
      </c>
      <c r="GA17" t="e">
        <f>AND(#REF!,"AAAAAHe//7Y=")</f>
        <v>#REF!</v>
      </c>
      <c r="GB17" t="e">
        <f>IF(#REF!,"AAAAAHe//7c=",0)</f>
        <v>#REF!</v>
      </c>
      <c r="GC17" t="e">
        <f>AND(#REF!,"AAAAAHe//7g=")</f>
        <v>#REF!</v>
      </c>
      <c r="GD17" t="e">
        <f>AND(#REF!,"AAAAAHe//7k=")</f>
        <v>#REF!</v>
      </c>
      <c r="GE17" t="e">
        <f>AND(#REF!,"AAAAAHe//7o=")</f>
        <v>#REF!</v>
      </c>
      <c r="GF17" t="e">
        <f>AND(#REF!,"AAAAAHe//7s=")</f>
        <v>#REF!</v>
      </c>
      <c r="GG17" t="e">
        <f>AND(#REF!,"AAAAAHe//7w=")</f>
        <v>#REF!</v>
      </c>
      <c r="GH17" t="e">
        <f>AND(#REF!,"AAAAAHe//70=")</f>
        <v>#REF!</v>
      </c>
      <c r="GI17" t="e">
        <f>AND(#REF!,"AAAAAHe//74=")</f>
        <v>#REF!</v>
      </c>
      <c r="GJ17" t="e">
        <f>AND(#REF!,"AAAAAHe//78=")</f>
        <v>#REF!</v>
      </c>
      <c r="GK17" t="e">
        <f>AND(#REF!,"AAAAAHe//8A=")</f>
        <v>#REF!</v>
      </c>
      <c r="GL17" t="e">
        <f>AND(#REF!,"AAAAAHe//8E=")</f>
        <v>#REF!</v>
      </c>
      <c r="GM17" t="e">
        <f>AND(#REF!,"AAAAAHe//8I=")</f>
        <v>#REF!</v>
      </c>
      <c r="GN17" t="e">
        <f>AND(#REF!,"AAAAAHe//8M=")</f>
        <v>#REF!</v>
      </c>
      <c r="GO17" t="e">
        <f>AND(#REF!,"AAAAAHe//8Q=")</f>
        <v>#REF!</v>
      </c>
      <c r="GP17" t="e">
        <f>AND(#REF!,"AAAAAHe//8U=")</f>
        <v>#REF!</v>
      </c>
      <c r="GQ17" t="e">
        <f>AND(#REF!,"AAAAAHe//8Y=")</f>
        <v>#REF!</v>
      </c>
      <c r="GR17" t="e">
        <f>AND(#REF!,"AAAAAHe//8c=")</f>
        <v>#REF!</v>
      </c>
      <c r="GS17" t="e">
        <f>AND(#REF!,"AAAAAHe//8g=")</f>
        <v>#REF!</v>
      </c>
      <c r="GT17" t="e">
        <f>AND(#REF!,"AAAAAHe//8k=")</f>
        <v>#REF!</v>
      </c>
      <c r="GU17" t="e">
        <f>AND(#REF!,"AAAAAHe//8o=")</f>
        <v>#REF!</v>
      </c>
      <c r="GV17" t="e">
        <f>AND(#REF!,"AAAAAHe//8s=")</f>
        <v>#REF!</v>
      </c>
      <c r="GW17" t="e">
        <f>AND(#REF!,"AAAAAHe//8w=")</f>
        <v>#REF!</v>
      </c>
      <c r="GX17" t="e">
        <f>AND(#REF!,"AAAAAHe//80=")</f>
        <v>#REF!</v>
      </c>
      <c r="GY17" t="e">
        <f>AND(#REF!,"AAAAAHe//84=")</f>
        <v>#REF!</v>
      </c>
      <c r="GZ17" t="e">
        <f>AND(#REF!,"AAAAAHe//88=")</f>
        <v>#REF!</v>
      </c>
      <c r="HA17" t="e">
        <f>AND(#REF!,"AAAAAHe//9A=")</f>
        <v>#REF!</v>
      </c>
      <c r="HB17" t="e">
        <f>AND(#REF!,"AAAAAHe//9E=")</f>
        <v>#REF!</v>
      </c>
      <c r="HC17" t="e">
        <f>AND(#REF!,"AAAAAHe//9I=")</f>
        <v>#REF!</v>
      </c>
      <c r="HD17" t="e">
        <f>AND(#REF!,"AAAAAHe//9M=")</f>
        <v>#REF!</v>
      </c>
      <c r="HE17" t="e">
        <f>AND(#REF!,"AAAAAHe//9Q=")</f>
        <v>#REF!</v>
      </c>
      <c r="HF17" t="e">
        <f>AND(#REF!,"AAAAAHe//9U=")</f>
        <v>#REF!</v>
      </c>
      <c r="HG17" t="e">
        <f>AND(#REF!,"AAAAAHe//9Y=")</f>
        <v>#REF!</v>
      </c>
      <c r="HH17" t="e">
        <f>AND(#REF!,"AAAAAHe//9c=")</f>
        <v>#REF!</v>
      </c>
      <c r="HI17" t="e">
        <f>AND(#REF!,"AAAAAHe//9g=")</f>
        <v>#REF!</v>
      </c>
      <c r="HJ17" t="e">
        <f>AND(#REF!,"AAAAAHe//9k=")</f>
        <v>#REF!</v>
      </c>
      <c r="HK17" t="e">
        <f>AND(#REF!,"AAAAAHe//9o=")</f>
        <v>#REF!</v>
      </c>
      <c r="HL17" t="e">
        <f>AND(#REF!,"AAAAAHe//9s=")</f>
        <v>#REF!</v>
      </c>
      <c r="HM17" t="e">
        <f>IF(#REF!,"AAAAAHe//9w=",0)</f>
        <v>#REF!</v>
      </c>
      <c r="HN17" t="e">
        <f>AND(#REF!,"AAAAAHe//90=")</f>
        <v>#REF!</v>
      </c>
      <c r="HO17" t="e">
        <f>AND(#REF!,"AAAAAHe//94=")</f>
        <v>#REF!</v>
      </c>
      <c r="HP17" t="e">
        <f>AND(#REF!,"AAAAAHe//98=")</f>
        <v>#REF!</v>
      </c>
      <c r="HQ17" t="e">
        <f>AND(#REF!,"AAAAAHe//+A=")</f>
        <v>#REF!</v>
      </c>
      <c r="HR17" t="e">
        <f>AND(#REF!,"AAAAAHe//+E=")</f>
        <v>#REF!</v>
      </c>
      <c r="HS17" t="e">
        <f>AND(#REF!,"AAAAAHe//+I=")</f>
        <v>#REF!</v>
      </c>
      <c r="HT17" t="e">
        <f>AND(#REF!,"AAAAAHe//+M=")</f>
        <v>#REF!</v>
      </c>
      <c r="HU17" t="e">
        <f>AND(#REF!,"AAAAAHe//+Q=")</f>
        <v>#REF!</v>
      </c>
      <c r="HV17" t="e">
        <f>AND(#REF!,"AAAAAHe//+U=")</f>
        <v>#REF!</v>
      </c>
      <c r="HW17" t="e">
        <f>AND(#REF!,"AAAAAHe//+Y=")</f>
        <v>#REF!</v>
      </c>
      <c r="HX17" t="e">
        <f>AND(#REF!,"AAAAAHe//+c=")</f>
        <v>#REF!</v>
      </c>
      <c r="HY17" t="e">
        <f>AND(#REF!,"AAAAAHe//+g=")</f>
        <v>#REF!</v>
      </c>
      <c r="HZ17" t="e">
        <f>AND(#REF!,"AAAAAHe//+k=")</f>
        <v>#REF!</v>
      </c>
      <c r="IA17" t="e">
        <f>AND(#REF!,"AAAAAHe//+o=")</f>
        <v>#REF!</v>
      </c>
      <c r="IB17" t="e">
        <f>AND(#REF!,"AAAAAHe//+s=")</f>
        <v>#REF!</v>
      </c>
      <c r="IC17" t="e">
        <f>AND(#REF!,"AAAAAHe//+w=")</f>
        <v>#REF!</v>
      </c>
      <c r="ID17" t="e">
        <f>AND(#REF!,"AAAAAHe//+0=")</f>
        <v>#REF!</v>
      </c>
      <c r="IE17" t="e">
        <f>AND(#REF!,"AAAAAHe//+4=")</f>
        <v>#REF!</v>
      </c>
      <c r="IF17" t="e">
        <f>AND(#REF!,"AAAAAHe//+8=")</f>
        <v>#REF!</v>
      </c>
      <c r="IG17" t="e">
        <f>AND(#REF!,"AAAAAHe///A=")</f>
        <v>#REF!</v>
      </c>
      <c r="IH17" t="e">
        <f>AND(#REF!,"AAAAAHe///E=")</f>
        <v>#REF!</v>
      </c>
      <c r="II17" t="e">
        <f>AND(#REF!,"AAAAAHe///I=")</f>
        <v>#REF!</v>
      </c>
      <c r="IJ17" t="e">
        <f>AND(#REF!,"AAAAAHe///M=")</f>
        <v>#REF!</v>
      </c>
      <c r="IK17" t="e">
        <f>AND(#REF!,"AAAAAHe///Q=")</f>
        <v>#REF!</v>
      </c>
      <c r="IL17" t="e">
        <f>AND(#REF!,"AAAAAHe///U=")</f>
        <v>#REF!</v>
      </c>
      <c r="IM17" t="e">
        <f>AND(#REF!,"AAAAAHe///Y=")</f>
        <v>#REF!</v>
      </c>
      <c r="IN17" t="e">
        <f>AND(#REF!,"AAAAAHe///c=")</f>
        <v>#REF!</v>
      </c>
      <c r="IO17" t="e">
        <f>AND(#REF!,"AAAAAHe///g=")</f>
        <v>#REF!</v>
      </c>
      <c r="IP17" t="e">
        <f>AND(#REF!,"AAAAAHe///k=")</f>
        <v>#REF!</v>
      </c>
      <c r="IQ17" t="e">
        <f>AND(#REF!,"AAAAAHe///o=")</f>
        <v>#REF!</v>
      </c>
      <c r="IR17" t="e">
        <f>AND(#REF!,"AAAAAHe///s=")</f>
        <v>#REF!</v>
      </c>
      <c r="IS17" t="e">
        <f>AND(#REF!,"AAAAAHe///w=")</f>
        <v>#REF!</v>
      </c>
      <c r="IT17" t="e">
        <f>AND(#REF!,"AAAAAHe///0=")</f>
        <v>#REF!</v>
      </c>
      <c r="IU17" t="e">
        <f>AND(#REF!,"AAAAAHe///4=")</f>
        <v>#REF!</v>
      </c>
      <c r="IV17" t="e">
        <f>AND(#REF!,"AAAAAHe///8=")</f>
        <v>#REF!</v>
      </c>
    </row>
    <row r="18" spans="1:256">
      <c r="A18" t="e">
        <f>AND(#REF!,"AAAAAH37zwA=")</f>
        <v>#REF!</v>
      </c>
      <c r="B18" t="e">
        <f>IF(#REF!,"AAAAAH37zwE=",0)</f>
        <v>#REF!</v>
      </c>
      <c r="C18" t="e">
        <f>AND(#REF!,"AAAAAH37zwI=")</f>
        <v>#REF!</v>
      </c>
      <c r="D18" t="e">
        <f>AND(#REF!,"AAAAAH37zwM=")</f>
        <v>#REF!</v>
      </c>
      <c r="E18" t="e">
        <f>AND(#REF!,"AAAAAH37zwQ=")</f>
        <v>#REF!</v>
      </c>
      <c r="F18" t="e">
        <f>AND(#REF!,"AAAAAH37zwU=")</f>
        <v>#REF!</v>
      </c>
      <c r="G18" t="e">
        <f>AND(#REF!,"AAAAAH37zwY=")</f>
        <v>#REF!</v>
      </c>
      <c r="H18" t="e">
        <f>AND(#REF!,"AAAAAH37zwc=")</f>
        <v>#REF!</v>
      </c>
      <c r="I18" t="e">
        <f>AND(#REF!,"AAAAAH37zwg=")</f>
        <v>#REF!</v>
      </c>
      <c r="J18" t="e">
        <f>AND(#REF!,"AAAAAH37zwk=")</f>
        <v>#REF!</v>
      </c>
      <c r="K18" t="e">
        <f>AND(#REF!,"AAAAAH37zwo=")</f>
        <v>#REF!</v>
      </c>
      <c r="L18" t="e">
        <f>AND(#REF!,"AAAAAH37zws=")</f>
        <v>#REF!</v>
      </c>
      <c r="M18" t="e">
        <f>AND(#REF!,"AAAAAH37zww=")</f>
        <v>#REF!</v>
      </c>
      <c r="N18" t="e">
        <f>AND(#REF!,"AAAAAH37zw0=")</f>
        <v>#REF!</v>
      </c>
      <c r="O18" t="e">
        <f>AND(#REF!,"AAAAAH37zw4=")</f>
        <v>#REF!</v>
      </c>
      <c r="P18" t="e">
        <f>AND(#REF!,"AAAAAH37zw8=")</f>
        <v>#REF!</v>
      </c>
      <c r="Q18" t="e">
        <f>AND(#REF!,"AAAAAH37zxA=")</f>
        <v>#REF!</v>
      </c>
      <c r="R18" t="e">
        <f>AND(#REF!,"AAAAAH37zxE=")</f>
        <v>#REF!</v>
      </c>
      <c r="S18" t="e">
        <f>AND(#REF!,"AAAAAH37zxI=")</f>
        <v>#REF!</v>
      </c>
      <c r="T18" t="e">
        <f>AND(#REF!,"AAAAAH37zxM=")</f>
        <v>#REF!</v>
      </c>
      <c r="U18" t="e">
        <f>AND(#REF!,"AAAAAH37zxQ=")</f>
        <v>#REF!</v>
      </c>
      <c r="V18" t="e">
        <f>AND(#REF!,"AAAAAH37zxU=")</f>
        <v>#REF!</v>
      </c>
      <c r="W18" t="e">
        <f>AND(#REF!,"AAAAAH37zxY=")</f>
        <v>#REF!</v>
      </c>
      <c r="X18" t="e">
        <f>AND(#REF!,"AAAAAH37zxc=")</f>
        <v>#REF!</v>
      </c>
      <c r="Y18" t="e">
        <f>AND(#REF!,"AAAAAH37zxg=")</f>
        <v>#REF!</v>
      </c>
      <c r="Z18" t="e">
        <f>AND(#REF!,"AAAAAH37zxk=")</f>
        <v>#REF!</v>
      </c>
      <c r="AA18" t="e">
        <f>AND(#REF!,"AAAAAH37zxo=")</f>
        <v>#REF!</v>
      </c>
      <c r="AB18" t="e">
        <f>AND(#REF!,"AAAAAH37zxs=")</f>
        <v>#REF!</v>
      </c>
      <c r="AC18" t="e">
        <f>AND(#REF!,"AAAAAH37zxw=")</f>
        <v>#REF!</v>
      </c>
      <c r="AD18" t="e">
        <f>AND(#REF!,"AAAAAH37zx0=")</f>
        <v>#REF!</v>
      </c>
      <c r="AE18" t="e">
        <f>AND(#REF!,"AAAAAH37zx4=")</f>
        <v>#REF!</v>
      </c>
      <c r="AF18" t="e">
        <f>AND(#REF!,"AAAAAH37zx8=")</f>
        <v>#REF!</v>
      </c>
      <c r="AG18" t="e">
        <f>AND(#REF!,"AAAAAH37zyA=")</f>
        <v>#REF!</v>
      </c>
      <c r="AH18" t="e">
        <f>AND(#REF!,"AAAAAH37zyE=")</f>
        <v>#REF!</v>
      </c>
      <c r="AI18" t="e">
        <f>AND(#REF!,"AAAAAH37zyI=")</f>
        <v>#REF!</v>
      </c>
      <c r="AJ18" t="e">
        <f>AND(#REF!,"AAAAAH37zyM=")</f>
        <v>#REF!</v>
      </c>
      <c r="AK18" t="e">
        <f>AND(#REF!,"AAAAAH37zyQ=")</f>
        <v>#REF!</v>
      </c>
      <c r="AL18" t="e">
        <f>AND(#REF!,"AAAAAH37zyU=")</f>
        <v>#REF!</v>
      </c>
      <c r="AM18" t="e">
        <f>IF(#REF!,"AAAAAH37zyY=",0)</f>
        <v>#REF!</v>
      </c>
      <c r="AN18" t="e">
        <f>AND(#REF!,"AAAAAH37zyc=")</f>
        <v>#REF!</v>
      </c>
      <c r="AO18" t="e">
        <f>AND(#REF!,"AAAAAH37zyg=")</f>
        <v>#REF!</v>
      </c>
      <c r="AP18" t="e">
        <f>AND(#REF!,"AAAAAH37zyk=")</f>
        <v>#REF!</v>
      </c>
      <c r="AQ18" t="e">
        <f>AND(#REF!,"AAAAAH37zyo=")</f>
        <v>#REF!</v>
      </c>
      <c r="AR18" t="e">
        <f>AND(#REF!,"AAAAAH37zys=")</f>
        <v>#REF!</v>
      </c>
      <c r="AS18" t="e">
        <f>AND(#REF!,"AAAAAH37zyw=")</f>
        <v>#REF!</v>
      </c>
      <c r="AT18" t="e">
        <f>AND(#REF!,"AAAAAH37zy0=")</f>
        <v>#REF!</v>
      </c>
      <c r="AU18" t="e">
        <f>AND(#REF!,"AAAAAH37zy4=")</f>
        <v>#REF!</v>
      </c>
      <c r="AV18" t="e">
        <f>AND(#REF!,"AAAAAH37zy8=")</f>
        <v>#REF!</v>
      </c>
      <c r="AW18" t="e">
        <f>AND(#REF!,"AAAAAH37zzA=")</f>
        <v>#REF!</v>
      </c>
      <c r="AX18" t="e">
        <f>AND(#REF!,"AAAAAH37zzE=")</f>
        <v>#REF!</v>
      </c>
      <c r="AY18" t="e">
        <f>AND(#REF!,"AAAAAH37zzI=")</f>
        <v>#REF!</v>
      </c>
      <c r="AZ18" t="e">
        <f>AND(#REF!,"AAAAAH37zzM=")</f>
        <v>#REF!</v>
      </c>
      <c r="BA18" t="e">
        <f>AND(#REF!,"AAAAAH37zzQ=")</f>
        <v>#REF!</v>
      </c>
      <c r="BB18" t="e">
        <f>AND(#REF!,"AAAAAH37zzU=")</f>
        <v>#REF!</v>
      </c>
      <c r="BC18" t="e">
        <f>AND(#REF!,"AAAAAH37zzY=")</f>
        <v>#REF!</v>
      </c>
      <c r="BD18" t="e">
        <f>AND(#REF!,"AAAAAH37zzc=")</f>
        <v>#REF!</v>
      </c>
      <c r="BE18" t="e">
        <f>AND(#REF!,"AAAAAH37zzg=")</f>
        <v>#REF!</v>
      </c>
      <c r="BF18" t="e">
        <f>AND(#REF!,"AAAAAH37zzk=")</f>
        <v>#REF!</v>
      </c>
      <c r="BG18" t="e">
        <f>AND(#REF!,"AAAAAH37zzo=")</f>
        <v>#REF!</v>
      </c>
      <c r="BH18" t="e">
        <f>AND(#REF!,"AAAAAH37zzs=")</f>
        <v>#REF!</v>
      </c>
      <c r="BI18" t="e">
        <f>AND(#REF!,"AAAAAH37zzw=")</f>
        <v>#REF!</v>
      </c>
      <c r="BJ18" t="e">
        <f>AND(#REF!,"AAAAAH37zz0=")</f>
        <v>#REF!</v>
      </c>
      <c r="BK18" t="e">
        <f>AND(#REF!,"AAAAAH37zz4=")</f>
        <v>#REF!</v>
      </c>
      <c r="BL18" t="e">
        <f>AND(#REF!,"AAAAAH37zz8=")</f>
        <v>#REF!</v>
      </c>
      <c r="BM18" t="e">
        <f>AND(#REF!,"AAAAAH37z0A=")</f>
        <v>#REF!</v>
      </c>
      <c r="BN18" t="e">
        <f>AND(#REF!,"AAAAAH37z0E=")</f>
        <v>#REF!</v>
      </c>
      <c r="BO18" t="e">
        <f>AND(#REF!,"AAAAAH37z0I=")</f>
        <v>#REF!</v>
      </c>
      <c r="BP18" t="e">
        <f>AND(#REF!,"AAAAAH37z0M=")</f>
        <v>#REF!</v>
      </c>
      <c r="BQ18" t="e">
        <f>AND(#REF!,"AAAAAH37z0Q=")</f>
        <v>#REF!</v>
      </c>
      <c r="BR18" t="e">
        <f>AND(#REF!,"AAAAAH37z0U=")</f>
        <v>#REF!</v>
      </c>
      <c r="BS18" t="e">
        <f>AND(#REF!,"AAAAAH37z0Y=")</f>
        <v>#REF!</v>
      </c>
      <c r="BT18" t="e">
        <f>AND(#REF!,"AAAAAH37z0c=")</f>
        <v>#REF!</v>
      </c>
      <c r="BU18" t="e">
        <f>AND(#REF!,"AAAAAH37z0g=")</f>
        <v>#REF!</v>
      </c>
      <c r="BV18" t="e">
        <f>AND(#REF!,"AAAAAH37z0k=")</f>
        <v>#REF!</v>
      </c>
      <c r="BW18" t="e">
        <f>AND(#REF!,"AAAAAH37z0o=")</f>
        <v>#REF!</v>
      </c>
      <c r="BX18" t="e">
        <f>IF(#REF!,"AAAAAH37z0s=",0)</f>
        <v>#REF!</v>
      </c>
      <c r="BY18" t="e">
        <f>AND(#REF!,"AAAAAH37z0w=")</f>
        <v>#REF!</v>
      </c>
      <c r="BZ18" t="e">
        <f>AND(#REF!,"AAAAAH37z00=")</f>
        <v>#REF!</v>
      </c>
      <c r="CA18" t="e">
        <f>AND(#REF!,"AAAAAH37z04=")</f>
        <v>#REF!</v>
      </c>
      <c r="CB18" t="e">
        <f>AND(#REF!,"AAAAAH37z08=")</f>
        <v>#REF!</v>
      </c>
      <c r="CC18" t="e">
        <f>AND(#REF!,"AAAAAH37z1A=")</f>
        <v>#REF!</v>
      </c>
      <c r="CD18" t="e">
        <f>AND(#REF!,"AAAAAH37z1E=")</f>
        <v>#REF!</v>
      </c>
      <c r="CE18" t="e">
        <f>AND(#REF!,"AAAAAH37z1I=")</f>
        <v>#REF!</v>
      </c>
      <c r="CF18" t="e">
        <f>AND(#REF!,"AAAAAH37z1M=")</f>
        <v>#REF!</v>
      </c>
      <c r="CG18" t="e">
        <f>AND(#REF!,"AAAAAH37z1Q=")</f>
        <v>#REF!</v>
      </c>
      <c r="CH18" t="e">
        <f>AND(#REF!,"AAAAAH37z1U=")</f>
        <v>#REF!</v>
      </c>
      <c r="CI18" t="e">
        <f>AND(#REF!,"AAAAAH37z1Y=")</f>
        <v>#REF!</v>
      </c>
      <c r="CJ18" t="e">
        <f>AND(#REF!,"AAAAAH37z1c=")</f>
        <v>#REF!</v>
      </c>
      <c r="CK18" t="e">
        <f>AND(#REF!,"AAAAAH37z1g=")</f>
        <v>#REF!</v>
      </c>
      <c r="CL18" t="e">
        <f>AND(#REF!,"AAAAAH37z1k=")</f>
        <v>#REF!</v>
      </c>
      <c r="CM18" t="e">
        <f>AND(#REF!,"AAAAAH37z1o=")</f>
        <v>#REF!</v>
      </c>
      <c r="CN18" t="e">
        <f>AND(#REF!,"AAAAAH37z1s=")</f>
        <v>#REF!</v>
      </c>
      <c r="CO18" t="e">
        <f>AND(#REF!,"AAAAAH37z1w=")</f>
        <v>#REF!</v>
      </c>
      <c r="CP18" t="e">
        <f>AND(#REF!,"AAAAAH37z10=")</f>
        <v>#REF!</v>
      </c>
      <c r="CQ18" t="e">
        <f>AND(#REF!,"AAAAAH37z14=")</f>
        <v>#REF!</v>
      </c>
      <c r="CR18" t="e">
        <f>AND(#REF!,"AAAAAH37z18=")</f>
        <v>#REF!</v>
      </c>
      <c r="CS18" t="e">
        <f>AND(#REF!,"AAAAAH37z2A=")</f>
        <v>#REF!</v>
      </c>
      <c r="CT18" t="e">
        <f>AND(#REF!,"AAAAAH37z2E=")</f>
        <v>#REF!</v>
      </c>
      <c r="CU18" t="e">
        <f>AND(#REF!,"AAAAAH37z2I=")</f>
        <v>#REF!</v>
      </c>
      <c r="CV18" t="e">
        <f>AND(#REF!,"AAAAAH37z2M=")</f>
        <v>#REF!</v>
      </c>
      <c r="CW18" t="e">
        <f>AND(#REF!,"AAAAAH37z2Q=")</f>
        <v>#REF!</v>
      </c>
      <c r="CX18" t="e">
        <f>AND(#REF!,"AAAAAH37z2U=")</f>
        <v>#REF!</v>
      </c>
      <c r="CY18" t="e">
        <f>AND(#REF!,"AAAAAH37z2Y=")</f>
        <v>#REF!</v>
      </c>
      <c r="CZ18" t="e">
        <f>AND(#REF!,"AAAAAH37z2c=")</f>
        <v>#REF!</v>
      </c>
      <c r="DA18" t="e">
        <f>AND(#REF!,"AAAAAH37z2g=")</f>
        <v>#REF!</v>
      </c>
      <c r="DB18" t="e">
        <f>AND(#REF!,"AAAAAH37z2k=")</f>
        <v>#REF!</v>
      </c>
      <c r="DC18" t="e">
        <f>AND(#REF!,"AAAAAH37z2o=")</f>
        <v>#REF!</v>
      </c>
      <c r="DD18" t="e">
        <f>AND(#REF!,"AAAAAH37z2s=")</f>
        <v>#REF!</v>
      </c>
      <c r="DE18" t="e">
        <f>AND(#REF!,"AAAAAH37z2w=")</f>
        <v>#REF!</v>
      </c>
      <c r="DF18" t="e">
        <f>AND(#REF!,"AAAAAH37z20=")</f>
        <v>#REF!</v>
      </c>
      <c r="DG18" t="e">
        <f>AND(#REF!,"AAAAAH37z24=")</f>
        <v>#REF!</v>
      </c>
      <c r="DH18" t="e">
        <f>AND(#REF!,"AAAAAH37z28=")</f>
        <v>#REF!</v>
      </c>
      <c r="DI18" t="e">
        <f>IF(#REF!,"AAAAAH37z3A=",0)</f>
        <v>#REF!</v>
      </c>
      <c r="DJ18" t="e">
        <f>AND(#REF!,"AAAAAH37z3E=")</f>
        <v>#REF!</v>
      </c>
      <c r="DK18" t="e">
        <f>AND(#REF!,"AAAAAH37z3I=")</f>
        <v>#REF!</v>
      </c>
      <c r="DL18" t="e">
        <f>AND(#REF!,"AAAAAH37z3M=")</f>
        <v>#REF!</v>
      </c>
      <c r="DM18" t="e">
        <f>AND(#REF!,"AAAAAH37z3Q=")</f>
        <v>#REF!</v>
      </c>
      <c r="DN18" t="e">
        <f>AND(#REF!,"AAAAAH37z3U=")</f>
        <v>#REF!</v>
      </c>
      <c r="DO18" t="e">
        <f>AND(#REF!,"AAAAAH37z3Y=")</f>
        <v>#REF!</v>
      </c>
      <c r="DP18" t="e">
        <f>AND(#REF!,"AAAAAH37z3c=")</f>
        <v>#REF!</v>
      </c>
      <c r="DQ18" t="e">
        <f>AND(#REF!,"AAAAAH37z3g=")</f>
        <v>#REF!</v>
      </c>
      <c r="DR18" t="e">
        <f>AND(#REF!,"AAAAAH37z3k=")</f>
        <v>#REF!</v>
      </c>
      <c r="DS18" t="e">
        <f>AND(#REF!,"AAAAAH37z3o=")</f>
        <v>#REF!</v>
      </c>
      <c r="DT18" t="e">
        <f>AND(#REF!,"AAAAAH37z3s=")</f>
        <v>#REF!</v>
      </c>
      <c r="DU18" t="e">
        <f>AND(#REF!,"AAAAAH37z3w=")</f>
        <v>#REF!</v>
      </c>
      <c r="DV18" t="e">
        <f>AND(#REF!,"AAAAAH37z30=")</f>
        <v>#REF!</v>
      </c>
      <c r="DW18" t="e">
        <f>AND(#REF!,"AAAAAH37z34=")</f>
        <v>#REF!</v>
      </c>
      <c r="DX18" t="e">
        <f>AND(#REF!,"AAAAAH37z38=")</f>
        <v>#REF!</v>
      </c>
      <c r="DY18" t="e">
        <f>AND(#REF!,"AAAAAH37z4A=")</f>
        <v>#REF!</v>
      </c>
      <c r="DZ18" t="e">
        <f>AND(#REF!,"AAAAAH37z4E=")</f>
        <v>#REF!</v>
      </c>
      <c r="EA18" t="e">
        <f>AND(#REF!,"AAAAAH37z4I=")</f>
        <v>#REF!</v>
      </c>
      <c r="EB18" t="e">
        <f>AND(#REF!,"AAAAAH37z4M=")</f>
        <v>#REF!</v>
      </c>
      <c r="EC18" t="e">
        <f>AND(#REF!,"AAAAAH37z4Q=")</f>
        <v>#REF!</v>
      </c>
      <c r="ED18" t="e">
        <f>AND(#REF!,"AAAAAH37z4U=")</f>
        <v>#REF!</v>
      </c>
      <c r="EE18" t="e">
        <f>AND(#REF!,"AAAAAH37z4Y=")</f>
        <v>#REF!</v>
      </c>
      <c r="EF18" t="e">
        <f>AND(#REF!,"AAAAAH37z4c=")</f>
        <v>#REF!</v>
      </c>
      <c r="EG18" t="e">
        <f>AND(#REF!,"AAAAAH37z4g=")</f>
        <v>#REF!</v>
      </c>
      <c r="EH18" t="e">
        <f>AND(#REF!,"AAAAAH37z4k=")</f>
        <v>#REF!</v>
      </c>
      <c r="EI18" t="e">
        <f>AND(#REF!,"AAAAAH37z4o=")</f>
        <v>#REF!</v>
      </c>
      <c r="EJ18" t="e">
        <f>AND(#REF!,"AAAAAH37z4s=")</f>
        <v>#REF!</v>
      </c>
      <c r="EK18" t="e">
        <f>AND(#REF!,"AAAAAH37z4w=")</f>
        <v>#REF!</v>
      </c>
      <c r="EL18" t="e">
        <f>AND(#REF!,"AAAAAH37z40=")</f>
        <v>#REF!</v>
      </c>
      <c r="EM18" t="e">
        <f>AND(#REF!,"AAAAAH37z44=")</f>
        <v>#REF!</v>
      </c>
      <c r="EN18" t="e">
        <f>AND(#REF!,"AAAAAH37z48=")</f>
        <v>#REF!</v>
      </c>
      <c r="EO18" t="e">
        <f>AND(#REF!,"AAAAAH37z5A=")</f>
        <v>#REF!</v>
      </c>
      <c r="EP18" t="e">
        <f>AND(#REF!,"AAAAAH37z5E=")</f>
        <v>#REF!</v>
      </c>
      <c r="EQ18" t="e">
        <f>AND(#REF!,"AAAAAH37z5I=")</f>
        <v>#REF!</v>
      </c>
      <c r="ER18" t="e">
        <f>AND(#REF!,"AAAAAH37z5M=")</f>
        <v>#REF!</v>
      </c>
      <c r="ES18" t="e">
        <f>AND(#REF!,"AAAAAH37z5Q=")</f>
        <v>#REF!</v>
      </c>
      <c r="ET18" t="e">
        <f>IF(#REF!,"AAAAAH37z5U=",0)</f>
        <v>#REF!</v>
      </c>
      <c r="EU18" t="e">
        <f>AND(#REF!,"AAAAAH37z5Y=")</f>
        <v>#REF!</v>
      </c>
      <c r="EV18" t="e">
        <f>AND(#REF!,"AAAAAH37z5c=")</f>
        <v>#REF!</v>
      </c>
      <c r="EW18" t="e">
        <f>AND(#REF!,"AAAAAH37z5g=")</f>
        <v>#REF!</v>
      </c>
      <c r="EX18" t="e">
        <f>AND(#REF!,"AAAAAH37z5k=")</f>
        <v>#REF!</v>
      </c>
      <c r="EY18" t="e">
        <f>AND(#REF!,"AAAAAH37z5o=")</f>
        <v>#REF!</v>
      </c>
      <c r="EZ18" t="e">
        <f>AND(#REF!,"AAAAAH37z5s=")</f>
        <v>#REF!</v>
      </c>
      <c r="FA18" t="e">
        <f>AND(#REF!,"AAAAAH37z5w=")</f>
        <v>#REF!</v>
      </c>
      <c r="FB18" t="e">
        <f>AND(#REF!,"AAAAAH37z50=")</f>
        <v>#REF!</v>
      </c>
      <c r="FC18" t="e">
        <f>AND(#REF!,"AAAAAH37z54=")</f>
        <v>#REF!</v>
      </c>
      <c r="FD18" t="e">
        <f>AND(#REF!,"AAAAAH37z58=")</f>
        <v>#REF!</v>
      </c>
      <c r="FE18" t="e">
        <f>AND(#REF!,"AAAAAH37z6A=")</f>
        <v>#REF!</v>
      </c>
      <c r="FF18" t="e">
        <f>AND(#REF!,"AAAAAH37z6E=")</f>
        <v>#REF!</v>
      </c>
      <c r="FG18" t="e">
        <f>AND(#REF!,"AAAAAH37z6I=")</f>
        <v>#REF!</v>
      </c>
      <c r="FH18" t="e">
        <f>AND(#REF!,"AAAAAH37z6M=")</f>
        <v>#REF!</v>
      </c>
      <c r="FI18" t="e">
        <f>AND(#REF!,"AAAAAH37z6Q=")</f>
        <v>#REF!</v>
      </c>
      <c r="FJ18" t="e">
        <f>AND(#REF!,"AAAAAH37z6U=")</f>
        <v>#REF!</v>
      </c>
      <c r="FK18" t="e">
        <f>AND(#REF!,"AAAAAH37z6Y=")</f>
        <v>#REF!</v>
      </c>
      <c r="FL18" t="e">
        <f>AND(#REF!,"AAAAAH37z6c=")</f>
        <v>#REF!</v>
      </c>
      <c r="FM18" t="e">
        <f>AND(#REF!,"AAAAAH37z6g=")</f>
        <v>#REF!</v>
      </c>
      <c r="FN18" t="e">
        <f>AND(#REF!,"AAAAAH37z6k=")</f>
        <v>#REF!</v>
      </c>
      <c r="FO18" t="e">
        <f>AND(#REF!,"AAAAAH37z6o=")</f>
        <v>#REF!</v>
      </c>
      <c r="FP18" t="e">
        <f>AND(#REF!,"AAAAAH37z6s=")</f>
        <v>#REF!</v>
      </c>
      <c r="FQ18" t="e">
        <f>AND(#REF!,"AAAAAH37z6w=")</f>
        <v>#REF!</v>
      </c>
      <c r="FR18" t="e">
        <f>AND(#REF!,"AAAAAH37z60=")</f>
        <v>#REF!</v>
      </c>
      <c r="FS18" t="e">
        <f>AND(#REF!,"AAAAAH37z64=")</f>
        <v>#REF!</v>
      </c>
      <c r="FT18" t="e">
        <f>AND(#REF!,"AAAAAH37z68=")</f>
        <v>#REF!</v>
      </c>
      <c r="FU18" t="e">
        <f>AND(#REF!,"AAAAAH37z7A=")</f>
        <v>#REF!</v>
      </c>
      <c r="FV18" t="e">
        <f>AND(#REF!,"AAAAAH37z7E=")</f>
        <v>#REF!</v>
      </c>
      <c r="FW18" t="e">
        <f>AND(#REF!,"AAAAAH37z7I=")</f>
        <v>#REF!</v>
      </c>
      <c r="FX18" t="e">
        <f>AND(#REF!,"AAAAAH37z7M=")</f>
        <v>#REF!</v>
      </c>
      <c r="FY18" t="e">
        <f>AND(#REF!,"AAAAAH37z7Q=")</f>
        <v>#REF!</v>
      </c>
      <c r="FZ18" t="e">
        <f>AND(#REF!,"AAAAAH37z7U=")</f>
        <v>#REF!</v>
      </c>
      <c r="GA18" t="e">
        <f>AND(#REF!,"AAAAAH37z7Y=")</f>
        <v>#REF!</v>
      </c>
      <c r="GB18" t="e">
        <f>AND(#REF!,"AAAAAH37z7c=")</f>
        <v>#REF!</v>
      </c>
      <c r="GC18" t="e">
        <f>AND(#REF!,"AAAAAH37z7g=")</f>
        <v>#REF!</v>
      </c>
      <c r="GD18" t="e">
        <f>AND(#REF!,"AAAAAH37z7k=")</f>
        <v>#REF!</v>
      </c>
      <c r="GE18" t="e">
        <f>IF(#REF!,"AAAAAH37z7o=",0)</f>
        <v>#REF!</v>
      </c>
      <c r="GF18" t="e">
        <f>AND(#REF!,"AAAAAH37z7s=")</f>
        <v>#REF!</v>
      </c>
      <c r="GG18" t="e">
        <f>AND(#REF!,"AAAAAH37z7w=")</f>
        <v>#REF!</v>
      </c>
      <c r="GH18" t="e">
        <f>AND(#REF!,"AAAAAH37z70=")</f>
        <v>#REF!</v>
      </c>
      <c r="GI18" t="e">
        <f>AND(#REF!,"AAAAAH37z74=")</f>
        <v>#REF!</v>
      </c>
      <c r="GJ18" t="e">
        <f>AND(#REF!,"AAAAAH37z78=")</f>
        <v>#REF!</v>
      </c>
      <c r="GK18" t="e">
        <f>AND(#REF!,"AAAAAH37z8A=")</f>
        <v>#REF!</v>
      </c>
      <c r="GL18" t="e">
        <f>AND(#REF!,"AAAAAH37z8E=")</f>
        <v>#REF!</v>
      </c>
      <c r="GM18" t="e">
        <f>AND(#REF!,"AAAAAH37z8I=")</f>
        <v>#REF!</v>
      </c>
      <c r="GN18" t="e">
        <f>AND(#REF!,"AAAAAH37z8M=")</f>
        <v>#REF!</v>
      </c>
      <c r="GO18" t="e">
        <f>AND(#REF!,"AAAAAH37z8Q=")</f>
        <v>#REF!</v>
      </c>
      <c r="GP18" t="e">
        <f>AND(#REF!,"AAAAAH37z8U=")</f>
        <v>#REF!</v>
      </c>
      <c r="GQ18" t="e">
        <f>AND(#REF!,"AAAAAH37z8Y=")</f>
        <v>#REF!</v>
      </c>
      <c r="GR18" t="e">
        <f>AND(#REF!,"AAAAAH37z8c=")</f>
        <v>#REF!</v>
      </c>
      <c r="GS18" t="e">
        <f>AND(#REF!,"AAAAAH37z8g=")</f>
        <v>#REF!</v>
      </c>
      <c r="GT18" t="e">
        <f>AND(#REF!,"AAAAAH37z8k=")</f>
        <v>#REF!</v>
      </c>
      <c r="GU18" t="e">
        <f>AND(#REF!,"AAAAAH37z8o=")</f>
        <v>#REF!</v>
      </c>
      <c r="GV18" t="e">
        <f>AND(#REF!,"AAAAAH37z8s=")</f>
        <v>#REF!</v>
      </c>
      <c r="GW18" t="e">
        <f>AND(#REF!,"AAAAAH37z8w=")</f>
        <v>#REF!</v>
      </c>
      <c r="GX18" t="e">
        <f>AND(#REF!,"AAAAAH37z80=")</f>
        <v>#REF!</v>
      </c>
      <c r="GY18" t="e">
        <f>AND(#REF!,"AAAAAH37z84=")</f>
        <v>#REF!</v>
      </c>
      <c r="GZ18" t="e">
        <f>AND(#REF!,"AAAAAH37z88=")</f>
        <v>#REF!</v>
      </c>
      <c r="HA18" t="e">
        <f>AND(#REF!,"AAAAAH37z9A=")</f>
        <v>#REF!</v>
      </c>
      <c r="HB18" t="e">
        <f>AND(#REF!,"AAAAAH37z9E=")</f>
        <v>#REF!</v>
      </c>
      <c r="HC18" t="e">
        <f>AND(#REF!,"AAAAAH37z9I=")</f>
        <v>#REF!</v>
      </c>
      <c r="HD18" t="e">
        <f>AND(#REF!,"AAAAAH37z9M=")</f>
        <v>#REF!</v>
      </c>
      <c r="HE18" t="e">
        <f>AND(#REF!,"AAAAAH37z9Q=")</f>
        <v>#REF!</v>
      </c>
      <c r="HF18" t="e">
        <f>AND(#REF!,"AAAAAH37z9U=")</f>
        <v>#REF!</v>
      </c>
      <c r="HG18" t="e">
        <f>AND(#REF!,"AAAAAH37z9Y=")</f>
        <v>#REF!</v>
      </c>
      <c r="HH18" t="e">
        <f>AND(#REF!,"AAAAAH37z9c=")</f>
        <v>#REF!</v>
      </c>
      <c r="HI18" t="e">
        <f>AND(#REF!,"AAAAAH37z9g=")</f>
        <v>#REF!</v>
      </c>
      <c r="HJ18" t="e">
        <f>AND(#REF!,"AAAAAH37z9k=")</f>
        <v>#REF!</v>
      </c>
      <c r="HK18" t="e">
        <f>AND(#REF!,"AAAAAH37z9o=")</f>
        <v>#REF!</v>
      </c>
      <c r="HL18" t="e">
        <f>AND(#REF!,"AAAAAH37z9s=")</f>
        <v>#REF!</v>
      </c>
      <c r="HM18" t="e">
        <f>AND(#REF!,"AAAAAH37z9w=")</f>
        <v>#REF!</v>
      </c>
      <c r="HN18" t="e">
        <f>AND(#REF!,"AAAAAH37z90=")</f>
        <v>#REF!</v>
      </c>
      <c r="HO18" t="e">
        <f>AND(#REF!,"AAAAAH37z94=")</f>
        <v>#REF!</v>
      </c>
      <c r="HP18" t="e">
        <f>IF(#REF!,"AAAAAH37z98=",0)</f>
        <v>#REF!</v>
      </c>
      <c r="HQ18" t="e">
        <f>AND(#REF!,"AAAAAH37z+A=")</f>
        <v>#REF!</v>
      </c>
      <c r="HR18" t="e">
        <f>AND(#REF!,"AAAAAH37z+E=")</f>
        <v>#REF!</v>
      </c>
      <c r="HS18" t="e">
        <f>AND(#REF!,"AAAAAH37z+I=")</f>
        <v>#REF!</v>
      </c>
      <c r="HT18" t="e">
        <f>AND(#REF!,"AAAAAH37z+M=")</f>
        <v>#REF!</v>
      </c>
      <c r="HU18" t="e">
        <f>AND(#REF!,"AAAAAH37z+Q=")</f>
        <v>#REF!</v>
      </c>
      <c r="HV18" t="e">
        <f>AND(#REF!,"AAAAAH37z+U=")</f>
        <v>#REF!</v>
      </c>
      <c r="HW18" t="e">
        <f>AND(#REF!,"AAAAAH37z+Y=")</f>
        <v>#REF!</v>
      </c>
      <c r="HX18" t="e">
        <f>AND(#REF!,"AAAAAH37z+c=")</f>
        <v>#REF!</v>
      </c>
      <c r="HY18" t="e">
        <f>AND(#REF!,"AAAAAH37z+g=")</f>
        <v>#REF!</v>
      </c>
      <c r="HZ18" t="e">
        <f>AND(#REF!,"AAAAAH37z+k=")</f>
        <v>#REF!</v>
      </c>
      <c r="IA18" t="e">
        <f>AND(#REF!,"AAAAAH37z+o=")</f>
        <v>#REF!</v>
      </c>
      <c r="IB18" t="e">
        <f>AND(#REF!,"AAAAAH37z+s=")</f>
        <v>#REF!</v>
      </c>
      <c r="IC18" t="e">
        <f>AND(#REF!,"AAAAAH37z+w=")</f>
        <v>#REF!</v>
      </c>
      <c r="ID18" t="e">
        <f>AND(#REF!,"AAAAAH37z+0=")</f>
        <v>#REF!</v>
      </c>
      <c r="IE18" t="e">
        <f>AND(#REF!,"AAAAAH37z+4=")</f>
        <v>#REF!</v>
      </c>
      <c r="IF18" t="e">
        <f>AND(#REF!,"AAAAAH37z+8=")</f>
        <v>#REF!</v>
      </c>
      <c r="IG18" t="e">
        <f>AND(#REF!,"AAAAAH37z/A=")</f>
        <v>#REF!</v>
      </c>
      <c r="IH18" t="e">
        <f>AND(#REF!,"AAAAAH37z/E=")</f>
        <v>#REF!</v>
      </c>
      <c r="II18" t="e">
        <f>AND(#REF!,"AAAAAH37z/I=")</f>
        <v>#REF!</v>
      </c>
      <c r="IJ18" t="e">
        <f>AND(#REF!,"AAAAAH37z/M=")</f>
        <v>#REF!</v>
      </c>
      <c r="IK18" t="e">
        <f>AND(#REF!,"AAAAAH37z/Q=")</f>
        <v>#REF!</v>
      </c>
      <c r="IL18" t="e">
        <f>AND(#REF!,"AAAAAH37z/U=")</f>
        <v>#REF!</v>
      </c>
      <c r="IM18" t="e">
        <f>AND(#REF!,"AAAAAH37z/Y=")</f>
        <v>#REF!</v>
      </c>
      <c r="IN18" t="e">
        <f>AND(#REF!,"AAAAAH37z/c=")</f>
        <v>#REF!</v>
      </c>
      <c r="IO18" t="e">
        <f>AND(#REF!,"AAAAAH37z/g=")</f>
        <v>#REF!</v>
      </c>
      <c r="IP18" t="e">
        <f>AND(#REF!,"AAAAAH37z/k=")</f>
        <v>#REF!</v>
      </c>
      <c r="IQ18" t="e">
        <f>AND(#REF!,"AAAAAH37z/o=")</f>
        <v>#REF!</v>
      </c>
      <c r="IR18" t="e">
        <f>AND(#REF!,"AAAAAH37z/s=")</f>
        <v>#REF!</v>
      </c>
      <c r="IS18" t="e">
        <f>AND(#REF!,"AAAAAH37z/w=")</f>
        <v>#REF!</v>
      </c>
      <c r="IT18" t="e">
        <f>AND(#REF!,"AAAAAH37z/0=")</f>
        <v>#REF!</v>
      </c>
      <c r="IU18" t="e">
        <f>AND(#REF!,"AAAAAH37z/4=")</f>
        <v>#REF!</v>
      </c>
      <c r="IV18" t="e">
        <f>AND(#REF!,"AAAAAH37z/8=")</f>
        <v>#REF!</v>
      </c>
    </row>
    <row r="19" spans="1:256">
      <c r="A19" t="e">
        <f>AND(#REF!,"AAAAADTH7gA=")</f>
        <v>#REF!</v>
      </c>
      <c r="B19" t="e">
        <f>AND(#REF!,"AAAAADTH7gE=")</f>
        <v>#REF!</v>
      </c>
      <c r="C19" t="e">
        <f>AND(#REF!,"AAAAADTH7gI=")</f>
        <v>#REF!</v>
      </c>
      <c r="D19" t="e">
        <f>AND(#REF!,"AAAAADTH7gM=")</f>
        <v>#REF!</v>
      </c>
      <c r="E19" t="e">
        <f>IF(#REF!,"AAAAADTH7gQ=",0)</f>
        <v>#REF!</v>
      </c>
      <c r="F19" t="e">
        <f>AND(#REF!,"AAAAADTH7gU=")</f>
        <v>#REF!</v>
      </c>
      <c r="G19" t="e">
        <f>AND(#REF!,"AAAAADTH7gY=")</f>
        <v>#REF!</v>
      </c>
      <c r="H19" t="e">
        <f>AND(#REF!,"AAAAADTH7gc=")</f>
        <v>#REF!</v>
      </c>
      <c r="I19" t="e">
        <f>AND(#REF!,"AAAAADTH7gg=")</f>
        <v>#REF!</v>
      </c>
      <c r="J19" t="e">
        <f>AND(#REF!,"AAAAADTH7gk=")</f>
        <v>#REF!</v>
      </c>
      <c r="K19" t="e">
        <f>AND(#REF!,"AAAAADTH7go=")</f>
        <v>#REF!</v>
      </c>
      <c r="L19" t="e">
        <f>AND(#REF!,"AAAAADTH7gs=")</f>
        <v>#REF!</v>
      </c>
      <c r="M19" t="e">
        <f>AND(#REF!,"AAAAADTH7gw=")</f>
        <v>#REF!</v>
      </c>
      <c r="N19" t="e">
        <f>AND(#REF!,"AAAAADTH7g0=")</f>
        <v>#REF!</v>
      </c>
      <c r="O19" t="e">
        <f>AND(#REF!,"AAAAADTH7g4=")</f>
        <v>#REF!</v>
      </c>
      <c r="P19" t="e">
        <f>AND(#REF!,"AAAAADTH7g8=")</f>
        <v>#REF!</v>
      </c>
      <c r="Q19" t="e">
        <f>AND(#REF!,"AAAAADTH7hA=")</f>
        <v>#REF!</v>
      </c>
      <c r="R19" t="e">
        <f>AND(#REF!,"AAAAADTH7hE=")</f>
        <v>#REF!</v>
      </c>
      <c r="S19" t="e">
        <f>AND(#REF!,"AAAAADTH7hI=")</f>
        <v>#REF!</v>
      </c>
      <c r="T19" t="e">
        <f>AND(#REF!,"AAAAADTH7hM=")</f>
        <v>#REF!</v>
      </c>
      <c r="U19" t="e">
        <f>AND(#REF!,"AAAAADTH7hQ=")</f>
        <v>#REF!</v>
      </c>
      <c r="V19" t="e">
        <f>AND(#REF!,"AAAAADTH7hU=")</f>
        <v>#REF!</v>
      </c>
      <c r="W19" t="e">
        <f>AND(#REF!,"AAAAADTH7hY=")</f>
        <v>#REF!</v>
      </c>
      <c r="X19" t="e">
        <f>AND(#REF!,"AAAAADTH7hc=")</f>
        <v>#REF!</v>
      </c>
      <c r="Y19" t="e">
        <f>AND(#REF!,"AAAAADTH7hg=")</f>
        <v>#REF!</v>
      </c>
      <c r="Z19" t="e">
        <f>AND(#REF!,"AAAAADTH7hk=")</f>
        <v>#REF!</v>
      </c>
      <c r="AA19" t="e">
        <f>AND(#REF!,"AAAAADTH7ho=")</f>
        <v>#REF!</v>
      </c>
      <c r="AB19" t="e">
        <f>AND(#REF!,"AAAAADTH7hs=")</f>
        <v>#REF!</v>
      </c>
      <c r="AC19" t="e">
        <f>AND(#REF!,"AAAAADTH7hw=")</f>
        <v>#REF!</v>
      </c>
      <c r="AD19" t="e">
        <f>AND(#REF!,"AAAAADTH7h0=")</f>
        <v>#REF!</v>
      </c>
      <c r="AE19" t="e">
        <f>AND(#REF!,"AAAAADTH7h4=")</f>
        <v>#REF!</v>
      </c>
      <c r="AF19" t="e">
        <f>AND(#REF!,"AAAAADTH7h8=")</f>
        <v>#REF!</v>
      </c>
      <c r="AG19" t="e">
        <f>AND(#REF!,"AAAAADTH7iA=")</f>
        <v>#REF!</v>
      </c>
      <c r="AH19" t="e">
        <f>AND(#REF!,"AAAAADTH7iE=")</f>
        <v>#REF!</v>
      </c>
      <c r="AI19" t="e">
        <f>AND(#REF!,"AAAAADTH7iI=")</f>
        <v>#REF!</v>
      </c>
      <c r="AJ19" t="e">
        <f>AND(#REF!,"AAAAADTH7iM=")</f>
        <v>#REF!</v>
      </c>
      <c r="AK19" t="e">
        <f>AND(#REF!,"AAAAADTH7iQ=")</f>
        <v>#REF!</v>
      </c>
      <c r="AL19" t="e">
        <f>AND(#REF!,"AAAAADTH7iU=")</f>
        <v>#REF!</v>
      </c>
      <c r="AM19" t="e">
        <f>AND(#REF!,"AAAAADTH7iY=")</f>
        <v>#REF!</v>
      </c>
      <c r="AN19" t="e">
        <f>AND(#REF!,"AAAAADTH7ic=")</f>
        <v>#REF!</v>
      </c>
      <c r="AO19" t="e">
        <f>AND(#REF!,"AAAAADTH7ig=")</f>
        <v>#REF!</v>
      </c>
      <c r="AP19" t="e">
        <f>IF(#REF!,"AAAAADTH7ik=",0)</f>
        <v>#REF!</v>
      </c>
      <c r="AQ19" t="e">
        <f>AND(#REF!,"AAAAADTH7io=")</f>
        <v>#REF!</v>
      </c>
      <c r="AR19" t="e">
        <f>AND(#REF!,"AAAAADTH7is=")</f>
        <v>#REF!</v>
      </c>
      <c r="AS19" t="e">
        <f>AND(#REF!,"AAAAADTH7iw=")</f>
        <v>#REF!</v>
      </c>
      <c r="AT19" t="e">
        <f>AND(#REF!,"AAAAADTH7i0=")</f>
        <v>#REF!</v>
      </c>
      <c r="AU19" t="e">
        <f>AND(#REF!,"AAAAADTH7i4=")</f>
        <v>#REF!</v>
      </c>
      <c r="AV19" t="e">
        <f>AND(#REF!,"AAAAADTH7i8=")</f>
        <v>#REF!</v>
      </c>
      <c r="AW19" t="e">
        <f>AND(#REF!,"AAAAADTH7jA=")</f>
        <v>#REF!</v>
      </c>
      <c r="AX19" t="e">
        <f>AND(#REF!,"AAAAADTH7jE=")</f>
        <v>#REF!</v>
      </c>
      <c r="AY19" t="e">
        <f>AND(#REF!,"AAAAADTH7jI=")</f>
        <v>#REF!</v>
      </c>
      <c r="AZ19" t="e">
        <f>AND(#REF!,"AAAAADTH7jM=")</f>
        <v>#REF!</v>
      </c>
      <c r="BA19" t="e">
        <f>AND(#REF!,"AAAAADTH7jQ=")</f>
        <v>#REF!</v>
      </c>
      <c r="BB19" t="e">
        <f>AND(#REF!,"AAAAADTH7jU=")</f>
        <v>#REF!</v>
      </c>
      <c r="BC19" t="e">
        <f>AND(#REF!,"AAAAADTH7jY=")</f>
        <v>#REF!</v>
      </c>
      <c r="BD19" t="e">
        <f>AND(#REF!,"AAAAADTH7jc=")</f>
        <v>#REF!</v>
      </c>
      <c r="BE19" t="e">
        <f>AND(#REF!,"AAAAADTH7jg=")</f>
        <v>#REF!</v>
      </c>
      <c r="BF19" t="e">
        <f>AND(#REF!,"AAAAADTH7jk=")</f>
        <v>#REF!</v>
      </c>
      <c r="BG19" t="e">
        <f>AND(#REF!,"AAAAADTH7jo=")</f>
        <v>#REF!</v>
      </c>
      <c r="BH19" t="e">
        <f>AND(#REF!,"AAAAADTH7js=")</f>
        <v>#REF!</v>
      </c>
      <c r="BI19" t="e">
        <f>AND(#REF!,"AAAAADTH7jw=")</f>
        <v>#REF!</v>
      </c>
      <c r="BJ19" t="e">
        <f>AND(#REF!,"AAAAADTH7j0=")</f>
        <v>#REF!</v>
      </c>
      <c r="BK19" t="e">
        <f>AND(#REF!,"AAAAADTH7j4=")</f>
        <v>#REF!</v>
      </c>
      <c r="BL19" t="e">
        <f>AND(#REF!,"AAAAADTH7j8=")</f>
        <v>#REF!</v>
      </c>
      <c r="BM19" t="e">
        <f>AND(#REF!,"AAAAADTH7kA=")</f>
        <v>#REF!</v>
      </c>
      <c r="BN19" t="e">
        <f>AND(#REF!,"AAAAADTH7kE=")</f>
        <v>#REF!</v>
      </c>
      <c r="BO19" t="e">
        <f>AND(#REF!,"AAAAADTH7kI=")</f>
        <v>#REF!</v>
      </c>
      <c r="BP19" t="e">
        <f>AND(#REF!,"AAAAADTH7kM=")</f>
        <v>#REF!</v>
      </c>
      <c r="BQ19" t="e">
        <f>AND(#REF!,"AAAAADTH7kQ=")</f>
        <v>#REF!</v>
      </c>
      <c r="BR19" t="e">
        <f>AND(#REF!,"AAAAADTH7kU=")</f>
        <v>#REF!</v>
      </c>
      <c r="BS19" t="e">
        <f>AND(#REF!,"AAAAADTH7kY=")</f>
        <v>#REF!</v>
      </c>
      <c r="BT19" t="e">
        <f>AND(#REF!,"AAAAADTH7kc=")</f>
        <v>#REF!</v>
      </c>
      <c r="BU19" t="e">
        <f>AND(#REF!,"AAAAADTH7kg=")</f>
        <v>#REF!</v>
      </c>
      <c r="BV19" t="e">
        <f>AND(#REF!,"AAAAADTH7kk=")</f>
        <v>#REF!</v>
      </c>
      <c r="BW19" t="e">
        <f>AND(#REF!,"AAAAADTH7ko=")</f>
        <v>#REF!</v>
      </c>
      <c r="BX19" t="e">
        <f>AND(#REF!,"AAAAADTH7ks=")</f>
        <v>#REF!</v>
      </c>
      <c r="BY19" t="e">
        <f>AND(#REF!,"AAAAADTH7kw=")</f>
        <v>#REF!</v>
      </c>
      <c r="BZ19" t="e">
        <f>AND(#REF!,"AAAAADTH7k0=")</f>
        <v>#REF!</v>
      </c>
      <c r="CA19" t="e">
        <f>IF(#REF!,"AAAAADTH7k4=",0)</f>
        <v>#REF!</v>
      </c>
      <c r="CB19" t="e">
        <f>AND(#REF!,"AAAAADTH7k8=")</f>
        <v>#REF!</v>
      </c>
      <c r="CC19" t="e">
        <f>AND(#REF!,"AAAAADTH7lA=")</f>
        <v>#REF!</v>
      </c>
      <c r="CD19" t="e">
        <f>AND(#REF!,"AAAAADTH7lE=")</f>
        <v>#REF!</v>
      </c>
      <c r="CE19" t="e">
        <f>AND(#REF!,"AAAAADTH7lI=")</f>
        <v>#REF!</v>
      </c>
      <c r="CF19" t="e">
        <f>AND(#REF!,"AAAAADTH7lM=")</f>
        <v>#REF!</v>
      </c>
      <c r="CG19" t="e">
        <f>AND(#REF!,"AAAAADTH7lQ=")</f>
        <v>#REF!</v>
      </c>
      <c r="CH19" t="e">
        <f>AND(#REF!,"AAAAADTH7lU=")</f>
        <v>#REF!</v>
      </c>
      <c r="CI19" t="e">
        <f>AND(#REF!,"AAAAADTH7lY=")</f>
        <v>#REF!</v>
      </c>
      <c r="CJ19" t="e">
        <f>AND(#REF!,"AAAAADTH7lc=")</f>
        <v>#REF!</v>
      </c>
      <c r="CK19" t="e">
        <f>AND(#REF!,"AAAAADTH7lg=")</f>
        <v>#REF!</v>
      </c>
      <c r="CL19" t="e">
        <f>AND(#REF!,"AAAAADTH7lk=")</f>
        <v>#REF!</v>
      </c>
      <c r="CM19" t="e">
        <f>AND(#REF!,"AAAAADTH7lo=")</f>
        <v>#REF!</v>
      </c>
      <c r="CN19" t="e">
        <f>AND(#REF!,"AAAAADTH7ls=")</f>
        <v>#REF!</v>
      </c>
      <c r="CO19" t="e">
        <f>AND(#REF!,"AAAAADTH7lw=")</f>
        <v>#REF!</v>
      </c>
      <c r="CP19" t="e">
        <f>AND(#REF!,"AAAAADTH7l0=")</f>
        <v>#REF!</v>
      </c>
      <c r="CQ19" t="e">
        <f>AND(#REF!,"AAAAADTH7l4=")</f>
        <v>#REF!</v>
      </c>
      <c r="CR19" t="e">
        <f>AND(#REF!,"AAAAADTH7l8=")</f>
        <v>#REF!</v>
      </c>
      <c r="CS19" t="e">
        <f>AND(#REF!,"AAAAADTH7mA=")</f>
        <v>#REF!</v>
      </c>
      <c r="CT19" t="e">
        <f>AND(#REF!,"AAAAADTH7mE=")</f>
        <v>#REF!</v>
      </c>
      <c r="CU19" t="e">
        <f>AND(#REF!,"AAAAADTH7mI=")</f>
        <v>#REF!</v>
      </c>
      <c r="CV19" t="e">
        <f>AND(#REF!,"AAAAADTH7mM=")</f>
        <v>#REF!</v>
      </c>
      <c r="CW19" t="e">
        <f>AND(#REF!,"AAAAADTH7mQ=")</f>
        <v>#REF!</v>
      </c>
      <c r="CX19" t="e">
        <f>AND(#REF!,"AAAAADTH7mU=")</f>
        <v>#REF!</v>
      </c>
      <c r="CY19" t="e">
        <f>AND(#REF!,"AAAAADTH7mY=")</f>
        <v>#REF!</v>
      </c>
      <c r="CZ19" t="e">
        <f>AND(#REF!,"AAAAADTH7mc=")</f>
        <v>#REF!</v>
      </c>
      <c r="DA19" t="e">
        <f>AND(#REF!,"AAAAADTH7mg=")</f>
        <v>#REF!</v>
      </c>
      <c r="DB19" t="e">
        <f>AND(#REF!,"AAAAADTH7mk=")</f>
        <v>#REF!</v>
      </c>
      <c r="DC19" t="e">
        <f>AND(#REF!,"AAAAADTH7mo=")</f>
        <v>#REF!</v>
      </c>
      <c r="DD19" t="e">
        <f>AND(#REF!,"AAAAADTH7ms=")</f>
        <v>#REF!</v>
      </c>
      <c r="DE19" t="e">
        <f>AND(#REF!,"AAAAADTH7mw=")</f>
        <v>#REF!</v>
      </c>
      <c r="DF19" t="e">
        <f>AND(#REF!,"AAAAADTH7m0=")</f>
        <v>#REF!</v>
      </c>
      <c r="DG19" t="e">
        <f>AND(#REF!,"AAAAADTH7m4=")</f>
        <v>#REF!</v>
      </c>
      <c r="DH19" t="e">
        <f>AND(#REF!,"AAAAADTH7m8=")</f>
        <v>#REF!</v>
      </c>
      <c r="DI19" t="e">
        <f>AND(#REF!,"AAAAADTH7nA=")</f>
        <v>#REF!</v>
      </c>
      <c r="DJ19" t="e">
        <f>AND(#REF!,"AAAAADTH7nE=")</f>
        <v>#REF!</v>
      </c>
      <c r="DK19" t="e">
        <f>AND(#REF!,"AAAAADTH7nI=")</f>
        <v>#REF!</v>
      </c>
      <c r="DL19" t="e">
        <f>IF(#REF!,"AAAAADTH7nM=",0)</f>
        <v>#REF!</v>
      </c>
      <c r="DM19" t="e">
        <f>AND(#REF!,"AAAAADTH7nQ=")</f>
        <v>#REF!</v>
      </c>
      <c r="DN19" t="e">
        <f>AND(#REF!,"AAAAADTH7nU=")</f>
        <v>#REF!</v>
      </c>
      <c r="DO19" t="e">
        <f>AND(#REF!,"AAAAADTH7nY=")</f>
        <v>#REF!</v>
      </c>
      <c r="DP19" t="e">
        <f>AND(#REF!,"AAAAADTH7nc=")</f>
        <v>#REF!</v>
      </c>
      <c r="DQ19" t="e">
        <f>AND(#REF!,"AAAAADTH7ng=")</f>
        <v>#REF!</v>
      </c>
      <c r="DR19" t="e">
        <f>AND(#REF!,"AAAAADTH7nk=")</f>
        <v>#REF!</v>
      </c>
      <c r="DS19" t="e">
        <f>AND(#REF!,"AAAAADTH7no=")</f>
        <v>#REF!</v>
      </c>
      <c r="DT19" t="e">
        <f>AND(#REF!,"AAAAADTH7ns=")</f>
        <v>#REF!</v>
      </c>
      <c r="DU19" t="e">
        <f>AND(#REF!,"AAAAADTH7nw=")</f>
        <v>#REF!</v>
      </c>
      <c r="DV19" t="e">
        <f>AND(#REF!,"AAAAADTH7n0=")</f>
        <v>#REF!</v>
      </c>
      <c r="DW19" t="e">
        <f>AND(#REF!,"AAAAADTH7n4=")</f>
        <v>#REF!</v>
      </c>
      <c r="DX19" t="e">
        <f>AND(#REF!,"AAAAADTH7n8=")</f>
        <v>#REF!</v>
      </c>
      <c r="DY19" t="e">
        <f>AND(#REF!,"AAAAADTH7oA=")</f>
        <v>#REF!</v>
      </c>
      <c r="DZ19" t="e">
        <f>AND(#REF!,"AAAAADTH7oE=")</f>
        <v>#REF!</v>
      </c>
      <c r="EA19" t="e">
        <f>AND(#REF!,"AAAAADTH7oI=")</f>
        <v>#REF!</v>
      </c>
      <c r="EB19" t="e">
        <f>AND(#REF!,"AAAAADTH7oM=")</f>
        <v>#REF!</v>
      </c>
      <c r="EC19" t="e">
        <f>AND(#REF!,"AAAAADTH7oQ=")</f>
        <v>#REF!</v>
      </c>
      <c r="ED19" t="e">
        <f>AND(#REF!,"AAAAADTH7oU=")</f>
        <v>#REF!</v>
      </c>
      <c r="EE19" t="e">
        <f>AND(#REF!,"AAAAADTH7oY=")</f>
        <v>#REF!</v>
      </c>
      <c r="EF19" t="e">
        <f>AND(#REF!,"AAAAADTH7oc=")</f>
        <v>#REF!</v>
      </c>
      <c r="EG19" t="e">
        <f>AND(#REF!,"AAAAADTH7og=")</f>
        <v>#REF!</v>
      </c>
      <c r="EH19" t="e">
        <f>AND(#REF!,"AAAAADTH7ok=")</f>
        <v>#REF!</v>
      </c>
      <c r="EI19" t="e">
        <f>AND(#REF!,"AAAAADTH7oo=")</f>
        <v>#REF!</v>
      </c>
      <c r="EJ19" t="e">
        <f>AND(#REF!,"AAAAADTH7os=")</f>
        <v>#REF!</v>
      </c>
      <c r="EK19" t="e">
        <f>AND(#REF!,"AAAAADTH7ow=")</f>
        <v>#REF!</v>
      </c>
      <c r="EL19" t="e">
        <f>AND(#REF!,"AAAAADTH7o0=")</f>
        <v>#REF!</v>
      </c>
      <c r="EM19" t="e">
        <f>AND(#REF!,"AAAAADTH7o4=")</f>
        <v>#REF!</v>
      </c>
      <c r="EN19" t="e">
        <f>AND(#REF!,"AAAAADTH7o8=")</f>
        <v>#REF!</v>
      </c>
      <c r="EO19" t="e">
        <f>AND(#REF!,"AAAAADTH7pA=")</f>
        <v>#REF!</v>
      </c>
      <c r="EP19" t="e">
        <f>AND(#REF!,"AAAAADTH7pE=")</f>
        <v>#REF!</v>
      </c>
      <c r="EQ19" t="e">
        <f>AND(#REF!,"AAAAADTH7pI=")</f>
        <v>#REF!</v>
      </c>
      <c r="ER19" t="e">
        <f>AND(#REF!,"AAAAADTH7pM=")</f>
        <v>#REF!</v>
      </c>
      <c r="ES19" t="e">
        <f>AND(#REF!,"AAAAADTH7pQ=")</f>
        <v>#REF!</v>
      </c>
      <c r="ET19" t="e">
        <f>AND(#REF!,"AAAAADTH7pU=")</f>
        <v>#REF!</v>
      </c>
      <c r="EU19" t="e">
        <f>AND(#REF!,"AAAAADTH7pY=")</f>
        <v>#REF!</v>
      </c>
      <c r="EV19" t="e">
        <f>AND(#REF!,"AAAAADTH7pc=")</f>
        <v>#REF!</v>
      </c>
      <c r="EW19" t="e">
        <f>IF(#REF!,"AAAAADTH7pg=",0)</f>
        <v>#REF!</v>
      </c>
      <c r="EX19" t="e">
        <f>AND(#REF!,"AAAAADTH7pk=")</f>
        <v>#REF!</v>
      </c>
      <c r="EY19" t="e">
        <f>AND(#REF!,"AAAAADTH7po=")</f>
        <v>#REF!</v>
      </c>
      <c r="EZ19" t="e">
        <f>AND(#REF!,"AAAAADTH7ps=")</f>
        <v>#REF!</v>
      </c>
      <c r="FA19" t="e">
        <f>AND(#REF!,"AAAAADTH7pw=")</f>
        <v>#REF!</v>
      </c>
      <c r="FB19" t="e">
        <f>AND(#REF!,"AAAAADTH7p0=")</f>
        <v>#REF!</v>
      </c>
      <c r="FC19" t="e">
        <f>AND(#REF!,"AAAAADTH7p4=")</f>
        <v>#REF!</v>
      </c>
      <c r="FD19" t="e">
        <f>AND(#REF!,"AAAAADTH7p8=")</f>
        <v>#REF!</v>
      </c>
      <c r="FE19" t="e">
        <f>AND(#REF!,"AAAAADTH7qA=")</f>
        <v>#REF!</v>
      </c>
      <c r="FF19" t="e">
        <f>AND(#REF!,"AAAAADTH7qE=")</f>
        <v>#REF!</v>
      </c>
      <c r="FG19" t="e">
        <f>AND(#REF!,"AAAAADTH7qI=")</f>
        <v>#REF!</v>
      </c>
      <c r="FH19" t="e">
        <f>AND(#REF!,"AAAAADTH7qM=")</f>
        <v>#REF!</v>
      </c>
      <c r="FI19" t="e">
        <f>AND(#REF!,"AAAAADTH7qQ=")</f>
        <v>#REF!</v>
      </c>
      <c r="FJ19" t="e">
        <f>AND(#REF!,"AAAAADTH7qU=")</f>
        <v>#REF!</v>
      </c>
      <c r="FK19" t="e">
        <f>AND(#REF!,"AAAAADTH7qY=")</f>
        <v>#REF!</v>
      </c>
      <c r="FL19" t="e">
        <f>AND(#REF!,"AAAAADTH7qc=")</f>
        <v>#REF!</v>
      </c>
      <c r="FM19" t="e">
        <f>AND(#REF!,"AAAAADTH7qg=")</f>
        <v>#REF!</v>
      </c>
      <c r="FN19" t="e">
        <f>AND(#REF!,"AAAAADTH7qk=")</f>
        <v>#REF!</v>
      </c>
      <c r="FO19" t="e">
        <f>AND(#REF!,"AAAAADTH7qo=")</f>
        <v>#REF!</v>
      </c>
      <c r="FP19" t="e">
        <f>AND(#REF!,"AAAAADTH7qs=")</f>
        <v>#REF!</v>
      </c>
      <c r="FQ19" t="e">
        <f>AND(#REF!,"AAAAADTH7qw=")</f>
        <v>#REF!</v>
      </c>
      <c r="FR19" t="e">
        <f>AND(#REF!,"AAAAADTH7q0=")</f>
        <v>#REF!</v>
      </c>
      <c r="FS19" t="e">
        <f>AND(#REF!,"AAAAADTH7q4=")</f>
        <v>#REF!</v>
      </c>
      <c r="FT19" t="e">
        <f>AND(#REF!,"AAAAADTH7q8=")</f>
        <v>#REF!</v>
      </c>
      <c r="FU19" t="e">
        <f>AND(#REF!,"AAAAADTH7rA=")</f>
        <v>#REF!</v>
      </c>
      <c r="FV19" t="e">
        <f>AND(#REF!,"AAAAADTH7rE=")</f>
        <v>#REF!</v>
      </c>
      <c r="FW19" t="e">
        <f>AND(#REF!,"AAAAADTH7rI=")</f>
        <v>#REF!</v>
      </c>
      <c r="FX19" t="e">
        <f>AND(#REF!,"AAAAADTH7rM=")</f>
        <v>#REF!</v>
      </c>
      <c r="FY19" t="e">
        <f>AND(#REF!,"AAAAADTH7rQ=")</f>
        <v>#REF!</v>
      </c>
      <c r="FZ19" t="e">
        <f>AND(#REF!,"AAAAADTH7rU=")</f>
        <v>#REF!</v>
      </c>
      <c r="GA19" t="e">
        <f>AND(#REF!,"AAAAADTH7rY=")</f>
        <v>#REF!</v>
      </c>
      <c r="GB19" t="e">
        <f>AND(#REF!,"AAAAADTH7rc=")</f>
        <v>#REF!</v>
      </c>
      <c r="GC19" t="e">
        <f>AND(#REF!,"AAAAADTH7rg=")</f>
        <v>#REF!</v>
      </c>
      <c r="GD19" t="e">
        <f>AND(#REF!,"AAAAADTH7rk=")</f>
        <v>#REF!</v>
      </c>
      <c r="GE19" t="e">
        <f>AND(#REF!,"AAAAADTH7ro=")</f>
        <v>#REF!</v>
      </c>
      <c r="GF19" t="e">
        <f>AND(#REF!,"AAAAADTH7rs=")</f>
        <v>#REF!</v>
      </c>
      <c r="GG19" t="e">
        <f>AND(#REF!,"AAAAADTH7rw=")</f>
        <v>#REF!</v>
      </c>
      <c r="GH19" t="e">
        <f>IF(#REF!,"AAAAADTH7r0=",0)</f>
        <v>#REF!</v>
      </c>
      <c r="GI19" t="e">
        <f>AND(#REF!,"AAAAADTH7r4=")</f>
        <v>#REF!</v>
      </c>
      <c r="GJ19" t="e">
        <f>AND(#REF!,"AAAAADTH7r8=")</f>
        <v>#REF!</v>
      </c>
      <c r="GK19" t="e">
        <f>AND(#REF!,"AAAAADTH7sA=")</f>
        <v>#REF!</v>
      </c>
      <c r="GL19" t="e">
        <f>AND(#REF!,"AAAAADTH7sE=")</f>
        <v>#REF!</v>
      </c>
      <c r="GM19" t="e">
        <f>AND(#REF!,"AAAAADTH7sI=")</f>
        <v>#REF!</v>
      </c>
      <c r="GN19" t="e">
        <f>AND(#REF!,"AAAAADTH7sM=")</f>
        <v>#REF!</v>
      </c>
      <c r="GO19" t="e">
        <f>AND(#REF!,"AAAAADTH7sQ=")</f>
        <v>#REF!</v>
      </c>
      <c r="GP19" t="e">
        <f>AND(#REF!,"AAAAADTH7sU=")</f>
        <v>#REF!</v>
      </c>
      <c r="GQ19" t="e">
        <f>AND(#REF!,"AAAAADTH7sY=")</f>
        <v>#REF!</v>
      </c>
      <c r="GR19" t="e">
        <f>AND(#REF!,"AAAAADTH7sc=")</f>
        <v>#REF!</v>
      </c>
      <c r="GS19" t="e">
        <f>AND(#REF!,"AAAAADTH7sg=")</f>
        <v>#REF!</v>
      </c>
      <c r="GT19" t="e">
        <f>AND(#REF!,"AAAAADTH7sk=")</f>
        <v>#REF!</v>
      </c>
      <c r="GU19" t="e">
        <f>AND(#REF!,"AAAAADTH7so=")</f>
        <v>#REF!</v>
      </c>
      <c r="GV19" t="e">
        <f>AND(#REF!,"AAAAADTH7ss=")</f>
        <v>#REF!</v>
      </c>
      <c r="GW19" t="e">
        <f>AND(#REF!,"AAAAADTH7sw=")</f>
        <v>#REF!</v>
      </c>
      <c r="GX19" t="e">
        <f>AND(#REF!,"AAAAADTH7s0=")</f>
        <v>#REF!</v>
      </c>
      <c r="GY19" t="e">
        <f>AND(#REF!,"AAAAADTH7s4=")</f>
        <v>#REF!</v>
      </c>
      <c r="GZ19" t="e">
        <f>AND(#REF!,"AAAAADTH7s8=")</f>
        <v>#REF!</v>
      </c>
      <c r="HA19" t="e">
        <f>AND(#REF!,"AAAAADTH7tA=")</f>
        <v>#REF!</v>
      </c>
      <c r="HB19" t="e">
        <f>AND(#REF!,"AAAAADTH7tE=")</f>
        <v>#REF!</v>
      </c>
      <c r="HC19" t="e">
        <f>AND(#REF!,"AAAAADTH7tI=")</f>
        <v>#REF!</v>
      </c>
      <c r="HD19" t="e">
        <f>AND(#REF!,"AAAAADTH7tM=")</f>
        <v>#REF!</v>
      </c>
      <c r="HE19" t="e">
        <f>AND(#REF!,"AAAAADTH7tQ=")</f>
        <v>#REF!</v>
      </c>
      <c r="HF19" t="e">
        <f>AND(#REF!,"AAAAADTH7tU=")</f>
        <v>#REF!</v>
      </c>
      <c r="HG19" t="e">
        <f>AND(#REF!,"AAAAADTH7tY=")</f>
        <v>#REF!</v>
      </c>
      <c r="HH19" t="e">
        <f>AND(#REF!,"AAAAADTH7tc=")</f>
        <v>#REF!</v>
      </c>
      <c r="HI19" t="e">
        <f>AND(#REF!,"AAAAADTH7tg=")</f>
        <v>#REF!</v>
      </c>
      <c r="HJ19" t="e">
        <f>AND(#REF!,"AAAAADTH7tk=")</f>
        <v>#REF!</v>
      </c>
      <c r="HK19" t="e">
        <f>AND(#REF!,"AAAAADTH7to=")</f>
        <v>#REF!</v>
      </c>
      <c r="HL19" t="e">
        <f>AND(#REF!,"AAAAADTH7ts=")</f>
        <v>#REF!</v>
      </c>
      <c r="HM19" t="e">
        <f>AND(#REF!,"AAAAADTH7tw=")</f>
        <v>#REF!</v>
      </c>
      <c r="HN19" t="e">
        <f>AND(#REF!,"AAAAADTH7t0=")</f>
        <v>#REF!</v>
      </c>
      <c r="HO19" t="e">
        <f>AND(#REF!,"AAAAADTH7t4=")</f>
        <v>#REF!</v>
      </c>
      <c r="HP19" t="e">
        <f>AND(#REF!,"AAAAADTH7t8=")</f>
        <v>#REF!</v>
      </c>
      <c r="HQ19" t="e">
        <f>AND(#REF!,"AAAAADTH7uA=")</f>
        <v>#REF!</v>
      </c>
      <c r="HR19" t="e">
        <f>AND(#REF!,"AAAAADTH7uE=")</f>
        <v>#REF!</v>
      </c>
      <c r="HS19" t="e">
        <f>IF(#REF!,"AAAAADTH7uI=",0)</f>
        <v>#REF!</v>
      </c>
      <c r="HT19" t="e">
        <f>AND(#REF!,"AAAAADTH7uM=")</f>
        <v>#REF!</v>
      </c>
      <c r="HU19" t="e">
        <f>AND(#REF!,"AAAAADTH7uQ=")</f>
        <v>#REF!</v>
      </c>
      <c r="HV19" t="e">
        <f>AND(#REF!,"AAAAADTH7uU=")</f>
        <v>#REF!</v>
      </c>
      <c r="HW19" t="e">
        <f>AND(#REF!,"AAAAADTH7uY=")</f>
        <v>#REF!</v>
      </c>
      <c r="HX19" t="e">
        <f>AND(#REF!,"AAAAADTH7uc=")</f>
        <v>#REF!</v>
      </c>
      <c r="HY19" t="e">
        <f>AND(#REF!,"AAAAADTH7ug=")</f>
        <v>#REF!</v>
      </c>
      <c r="HZ19" t="e">
        <f>AND(#REF!,"AAAAADTH7uk=")</f>
        <v>#REF!</v>
      </c>
      <c r="IA19" t="e">
        <f>AND(#REF!,"AAAAADTH7uo=")</f>
        <v>#REF!</v>
      </c>
      <c r="IB19" t="e">
        <f>AND(#REF!,"AAAAADTH7us=")</f>
        <v>#REF!</v>
      </c>
      <c r="IC19" t="e">
        <f>AND(#REF!,"AAAAADTH7uw=")</f>
        <v>#REF!</v>
      </c>
      <c r="ID19" t="e">
        <f>AND(#REF!,"AAAAADTH7u0=")</f>
        <v>#REF!</v>
      </c>
      <c r="IE19" t="e">
        <f>AND(#REF!,"AAAAADTH7u4=")</f>
        <v>#REF!</v>
      </c>
      <c r="IF19" t="e">
        <f>AND(#REF!,"AAAAADTH7u8=")</f>
        <v>#REF!</v>
      </c>
      <c r="IG19" t="e">
        <f>AND(#REF!,"AAAAADTH7vA=")</f>
        <v>#REF!</v>
      </c>
      <c r="IH19" t="e">
        <f>AND(#REF!,"AAAAADTH7vE=")</f>
        <v>#REF!</v>
      </c>
      <c r="II19" t="e">
        <f>AND(#REF!,"AAAAADTH7vI=")</f>
        <v>#REF!</v>
      </c>
      <c r="IJ19" t="e">
        <f>AND(#REF!,"AAAAADTH7vM=")</f>
        <v>#REF!</v>
      </c>
      <c r="IK19" t="e">
        <f>AND(#REF!,"AAAAADTH7vQ=")</f>
        <v>#REF!</v>
      </c>
      <c r="IL19" t="e">
        <f>AND(#REF!,"AAAAADTH7vU=")</f>
        <v>#REF!</v>
      </c>
      <c r="IM19" t="e">
        <f>AND(#REF!,"AAAAADTH7vY=")</f>
        <v>#REF!</v>
      </c>
      <c r="IN19" t="e">
        <f>AND(#REF!,"AAAAADTH7vc=")</f>
        <v>#REF!</v>
      </c>
      <c r="IO19" t="e">
        <f>AND(#REF!,"AAAAADTH7vg=")</f>
        <v>#REF!</v>
      </c>
      <c r="IP19" t="e">
        <f>AND(#REF!,"AAAAADTH7vk=")</f>
        <v>#REF!</v>
      </c>
      <c r="IQ19" t="e">
        <f>AND(#REF!,"AAAAADTH7vo=")</f>
        <v>#REF!</v>
      </c>
      <c r="IR19" t="e">
        <f>AND(#REF!,"AAAAADTH7vs=")</f>
        <v>#REF!</v>
      </c>
      <c r="IS19" t="e">
        <f>AND(#REF!,"AAAAADTH7vw=")</f>
        <v>#REF!</v>
      </c>
      <c r="IT19" t="e">
        <f>AND(#REF!,"AAAAADTH7v0=")</f>
        <v>#REF!</v>
      </c>
      <c r="IU19" t="e">
        <f>AND(#REF!,"AAAAADTH7v4=")</f>
        <v>#REF!</v>
      </c>
      <c r="IV19" t="e">
        <f>AND(#REF!,"AAAAADTH7v8=")</f>
        <v>#REF!</v>
      </c>
    </row>
    <row r="20" spans="1:256">
      <c r="A20" t="e">
        <f>AND(#REF!,"AAAAAH+T3QA=")</f>
        <v>#REF!</v>
      </c>
      <c r="B20" t="e">
        <f>AND(#REF!,"AAAAAH+T3QE=")</f>
        <v>#REF!</v>
      </c>
      <c r="C20" t="e">
        <f>AND(#REF!,"AAAAAH+T3QI=")</f>
        <v>#REF!</v>
      </c>
      <c r="D20" t="e">
        <f>AND(#REF!,"AAAAAH+T3QM=")</f>
        <v>#REF!</v>
      </c>
      <c r="E20" t="e">
        <f>AND(#REF!,"AAAAAH+T3QQ=")</f>
        <v>#REF!</v>
      </c>
      <c r="F20" t="e">
        <f>AND(#REF!,"AAAAAH+T3QU=")</f>
        <v>#REF!</v>
      </c>
      <c r="G20" t="e">
        <f>AND(#REF!,"AAAAAH+T3QY=")</f>
        <v>#REF!</v>
      </c>
      <c r="H20" t="e">
        <f>IF(#REF!,"AAAAAH+T3Qc=",0)</f>
        <v>#REF!</v>
      </c>
      <c r="I20" t="e">
        <f>AND(#REF!,"AAAAAH+T3Qg=")</f>
        <v>#REF!</v>
      </c>
      <c r="J20" t="e">
        <f>AND(#REF!,"AAAAAH+T3Qk=")</f>
        <v>#REF!</v>
      </c>
      <c r="K20" t="e">
        <f>AND(#REF!,"AAAAAH+T3Qo=")</f>
        <v>#REF!</v>
      </c>
      <c r="L20" t="e">
        <f>AND(#REF!,"AAAAAH+T3Qs=")</f>
        <v>#REF!</v>
      </c>
      <c r="M20" t="e">
        <f>AND(#REF!,"AAAAAH+T3Qw=")</f>
        <v>#REF!</v>
      </c>
      <c r="N20" t="e">
        <f>AND(#REF!,"AAAAAH+T3Q0=")</f>
        <v>#REF!</v>
      </c>
      <c r="O20" t="e">
        <f>AND(#REF!,"AAAAAH+T3Q4=")</f>
        <v>#REF!</v>
      </c>
      <c r="P20" t="e">
        <f>AND(#REF!,"AAAAAH+T3Q8=")</f>
        <v>#REF!</v>
      </c>
      <c r="Q20" t="e">
        <f>AND(#REF!,"AAAAAH+T3RA=")</f>
        <v>#REF!</v>
      </c>
      <c r="R20" t="e">
        <f>AND(#REF!,"AAAAAH+T3RE=")</f>
        <v>#REF!</v>
      </c>
      <c r="S20" t="e">
        <f>AND(#REF!,"AAAAAH+T3RI=")</f>
        <v>#REF!</v>
      </c>
      <c r="T20" t="e">
        <f>AND(#REF!,"AAAAAH+T3RM=")</f>
        <v>#REF!</v>
      </c>
      <c r="U20" t="e">
        <f>AND(#REF!,"AAAAAH+T3RQ=")</f>
        <v>#REF!</v>
      </c>
      <c r="V20" t="e">
        <f>AND(#REF!,"AAAAAH+T3RU=")</f>
        <v>#REF!</v>
      </c>
      <c r="W20" t="e">
        <f>AND(#REF!,"AAAAAH+T3RY=")</f>
        <v>#REF!</v>
      </c>
      <c r="X20" t="e">
        <f>AND(#REF!,"AAAAAH+T3Rc=")</f>
        <v>#REF!</v>
      </c>
      <c r="Y20" t="e">
        <f>AND(#REF!,"AAAAAH+T3Rg=")</f>
        <v>#REF!</v>
      </c>
      <c r="Z20" t="e">
        <f>AND(#REF!,"AAAAAH+T3Rk=")</f>
        <v>#REF!</v>
      </c>
      <c r="AA20" t="e">
        <f>AND(#REF!,"AAAAAH+T3Ro=")</f>
        <v>#REF!</v>
      </c>
      <c r="AB20" t="e">
        <f>AND(#REF!,"AAAAAH+T3Rs=")</f>
        <v>#REF!</v>
      </c>
      <c r="AC20" t="e">
        <f>AND(#REF!,"AAAAAH+T3Rw=")</f>
        <v>#REF!</v>
      </c>
      <c r="AD20" t="e">
        <f>AND(#REF!,"AAAAAH+T3R0=")</f>
        <v>#REF!</v>
      </c>
      <c r="AE20" t="e">
        <f>AND(#REF!,"AAAAAH+T3R4=")</f>
        <v>#REF!</v>
      </c>
      <c r="AF20" t="e">
        <f>AND(#REF!,"AAAAAH+T3R8=")</f>
        <v>#REF!</v>
      </c>
      <c r="AG20" t="e">
        <f>AND(#REF!,"AAAAAH+T3SA=")</f>
        <v>#REF!</v>
      </c>
      <c r="AH20" t="e">
        <f>AND(#REF!,"AAAAAH+T3SE=")</f>
        <v>#REF!</v>
      </c>
      <c r="AI20" t="e">
        <f>AND(#REF!,"AAAAAH+T3SI=")</f>
        <v>#REF!</v>
      </c>
      <c r="AJ20" t="e">
        <f>AND(#REF!,"AAAAAH+T3SM=")</f>
        <v>#REF!</v>
      </c>
      <c r="AK20" t="e">
        <f>AND(#REF!,"AAAAAH+T3SQ=")</f>
        <v>#REF!</v>
      </c>
      <c r="AL20" t="e">
        <f>AND(#REF!,"AAAAAH+T3SU=")</f>
        <v>#REF!</v>
      </c>
      <c r="AM20" t="e">
        <f>AND(#REF!,"AAAAAH+T3SY=")</f>
        <v>#REF!</v>
      </c>
      <c r="AN20" t="e">
        <f>AND(#REF!,"AAAAAH+T3Sc=")</f>
        <v>#REF!</v>
      </c>
      <c r="AO20" t="e">
        <f>AND(#REF!,"AAAAAH+T3Sg=")</f>
        <v>#REF!</v>
      </c>
      <c r="AP20" t="e">
        <f>AND(#REF!,"AAAAAH+T3Sk=")</f>
        <v>#REF!</v>
      </c>
      <c r="AQ20" t="e">
        <f>AND(#REF!,"AAAAAH+T3So=")</f>
        <v>#REF!</v>
      </c>
      <c r="AR20" t="e">
        <f>AND(#REF!,"AAAAAH+T3Ss=")</f>
        <v>#REF!</v>
      </c>
      <c r="AS20" t="e">
        <f>IF(#REF!,"AAAAAH+T3Sw=",0)</f>
        <v>#REF!</v>
      </c>
      <c r="AT20" t="e">
        <f>AND(#REF!,"AAAAAH+T3S0=")</f>
        <v>#REF!</v>
      </c>
      <c r="AU20" t="e">
        <f>AND(#REF!,"AAAAAH+T3S4=")</f>
        <v>#REF!</v>
      </c>
      <c r="AV20" t="e">
        <f>AND(#REF!,"AAAAAH+T3S8=")</f>
        <v>#REF!</v>
      </c>
      <c r="AW20" t="e">
        <f>AND(#REF!,"AAAAAH+T3TA=")</f>
        <v>#REF!</v>
      </c>
      <c r="AX20" t="e">
        <f>AND(#REF!,"AAAAAH+T3TE=")</f>
        <v>#REF!</v>
      </c>
      <c r="AY20" t="e">
        <f>AND(#REF!,"AAAAAH+T3TI=")</f>
        <v>#REF!</v>
      </c>
      <c r="AZ20" t="e">
        <f>AND(#REF!,"AAAAAH+T3TM=")</f>
        <v>#REF!</v>
      </c>
      <c r="BA20" t="e">
        <f>AND(#REF!,"AAAAAH+T3TQ=")</f>
        <v>#REF!</v>
      </c>
      <c r="BB20" t="e">
        <f>AND(#REF!,"AAAAAH+T3TU=")</f>
        <v>#REF!</v>
      </c>
      <c r="BC20" t="e">
        <f>AND(#REF!,"AAAAAH+T3TY=")</f>
        <v>#REF!</v>
      </c>
      <c r="BD20" t="e">
        <f>AND(#REF!,"AAAAAH+T3Tc=")</f>
        <v>#REF!</v>
      </c>
      <c r="BE20" t="e">
        <f>AND(#REF!,"AAAAAH+T3Tg=")</f>
        <v>#REF!</v>
      </c>
      <c r="BF20" t="e">
        <f>AND(#REF!,"AAAAAH+T3Tk=")</f>
        <v>#REF!</v>
      </c>
      <c r="BG20" t="e">
        <f>AND(#REF!,"AAAAAH+T3To=")</f>
        <v>#REF!</v>
      </c>
      <c r="BH20" t="e">
        <f>AND(#REF!,"AAAAAH+T3Ts=")</f>
        <v>#REF!</v>
      </c>
      <c r="BI20" t="e">
        <f>AND(#REF!,"AAAAAH+T3Tw=")</f>
        <v>#REF!</v>
      </c>
      <c r="BJ20" t="e">
        <f>AND(#REF!,"AAAAAH+T3T0=")</f>
        <v>#REF!</v>
      </c>
      <c r="BK20" t="e">
        <f>AND(#REF!,"AAAAAH+T3T4=")</f>
        <v>#REF!</v>
      </c>
      <c r="BL20" t="e">
        <f>AND(#REF!,"AAAAAH+T3T8=")</f>
        <v>#REF!</v>
      </c>
      <c r="BM20" t="e">
        <f>AND(#REF!,"AAAAAH+T3UA=")</f>
        <v>#REF!</v>
      </c>
      <c r="BN20" t="e">
        <f>AND(#REF!,"AAAAAH+T3UE=")</f>
        <v>#REF!</v>
      </c>
      <c r="BO20" t="e">
        <f>AND(#REF!,"AAAAAH+T3UI=")</f>
        <v>#REF!</v>
      </c>
      <c r="BP20" t="e">
        <f>AND(#REF!,"AAAAAH+T3UM=")</f>
        <v>#REF!</v>
      </c>
      <c r="BQ20" t="e">
        <f>AND(#REF!,"AAAAAH+T3UQ=")</f>
        <v>#REF!</v>
      </c>
      <c r="BR20" t="e">
        <f>AND(#REF!,"AAAAAH+T3UU=")</f>
        <v>#REF!</v>
      </c>
      <c r="BS20" t="e">
        <f>AND(#REF!,"AAAAAH+T3UY=")</f>
        <v>#REF!</v>
      </c>
      <c r="BT20" t="e">
        <f>AND(#REF!,"AAAAAH+T3Uc=")</f>
        <v>#REF!</v>
      </c>
      <c r="BU20" t="e">
        <f>AND(#REF!,"AAAAAH+T3Ug=")</f>
        <v>#REF!</v>
      </c>
      <c r="BV20" t="e">
        <f>AND(#REF!,"AAAAAH+T3Uk=")</f>
        <v>#REF!</v>
      </c>
      <c r="BW20" t="e">
        <f>AND(#REF!,"AAAAAH+T3Uo=")</f>
        <v>#REF!</v>
      </c>
      <c r="BX20" t="e">
        <f>AND(#REF!,"AAAAAH+T3Us=")</f>
        <v>#REF!</v>
      </c>
      <c r="BY20" t="e">
        <f>AND(#REF!,"AAAAAH+T3Uw=")</f>
        <v>#REF!</v>
      </c>
      <c r="BZ20" t="e">
        <f>AND(#REF!,"AAAAAH+T3U0=")</f>
        <v>#REF!</v>
      </c>
      <c r="CA20" t="e">
        <f>AND(#REF!,"AAAAAH+T3U4=")</f>
        <v>#REF!</v>
      </c>
      <c r="CB20" t="e">
        <f>AND(#REF!,"AAAAAH+T3U8=")</f>
        <v>#REF!</v>
      </c>
      <c r="CC20" t="e">
        <f>AND(#REF!,"AAAAAH+T3VA=")</f>
        <v>#REF!</v>
      </c>
      <c r="CD20" t="e">
        <f>IF(#REF!,"AAAAAH+T3VE=",0)</f>
        <v>#REF!</v>
      </c>
      <c r="CE20" t="e">
        <f>AND(#REF!,"AAAAAH+T3VI=")</f>
        <v>#REF!</v>
      </c>
      <c r="CF20" t="e">
        <f>AND(#REF!,"AAAAAH+T3VM=")</f>
        <v>#REF!</v>
      </c>
      <c r="CG20" t="e">
        <f>AND(#REF!,"AAAAAH+T3VQ=")</f>
        <v>#REF!</v>
      </c>
      <c r="CH20" t="e">
        <f>AND(#REF!,"AAAAAH+T3VU=")</f>
        <v>#REF!</v>
      </c>
      <c r="CI20" t="e">
        <f>AND(#REF!,"AAAAAH+T3VY=")</f>
        <v>#REF!</v>
      </c>
      <c r="CJ20" t="e">
        <f>AND(#REF!,"AAAAAH+T3Vc=")</f>
        <v>#REF!</v>
      </c>
      <c r="CK20" t="e">
        <f>AND(#REF!,"AAAAAH+T3Vg=")</f>
        <v>#REF!</v>
      </c>
      <c r="CL20" t="e">
        <f>AND(#REF!,"AAAAAH+T3Vk=")</f>
        <v>#REF!</v>
      </c>
      <c r="CM20" t="e">
        <f>AND(#REF!,"AAAAAH+T3Vo=")</f>
        <v>#REF!</v>
      </c>
      <c r="CN20" t="e">
        <f>AND(#REF!,"AAAAAH+T3Vs=")</f>
        <v>#REF!</v>
      </c>
      <c r="CO20" t="e">
        <f>AND(#REF!,"AAAAAH+T3Vw=")</f>
        <v>#REF!</v>
      </c>
      <c r="CP20" t="e">
        <f>AND(#REF!,"AAAAAH+T3V0=")</f>
        <v>#REF!</v>
      </c>
      <c r="CQ20" t="e">
        <f>AND(#REF!,"AAAAAH+T3V4=")</f>
        <v>#REF!</v>
      </c>
      <c r="CR20" t="e">
        <f>AND(#REF!,"AAAAAH+T3V8=")</f>
        <v>#REF!</v>
      </c>
      <c r="CS20" t="e">
        <f>AND(#REF!,"AAAAAH+T3WA=")</f>
        <v>#REF!</v>
      </c>
      <c r="CT20" t="e">
        <f>AND(#REF!,"AAAAAH+T3WE=")</f>
        <v>#REF!</v>
      </c>
      <c r="CU20" t="e">
        <f>AND(#REF!,"AAAAAH+T3WI=")</f>
        <v>#REF!</v>
      </c>
      <c r="CV20" t="e">
        <f>AND(#REF!,"AAAAAH+T3WM=")</f>
        <v>#REF!</v>
      </c>
      <c r="CW20" t="e">
        <f>AND(#REF!,"AAAAAH+T3WQ=")</f>
        <v>#REF!</v>
      </c>
      <c r="CX20" t="e">
        <f>AND(#REF!,"AAAAAH+T3WU=")</f>
        <v>#REF!</v>
      </c>
      <c r="CY20" t="e">
        <f>AND(#REF!,"AAAAAH+T3WY=")</f>
        <v>#REF!</v>
      </c>
      <c r="CZ20" t="e">
        <f>AND(#REF!,"AAAAAH+T3Wc=")</f>
        <v>#REF!</v>
      </c>
      <c r="DA20" t="e">
        <f>AND(#REF!,"AAAAAH+T3Wg=")</f>
        <v>#REF!</v>
      </c>
      <c r="DB20" t="e">
        <f>AND(#REF!,"AAAAAH+T3Wk=")</f>
        <v>#REF!</v>
      </c>
      <c r="DC20" t="e">
        <f>AND(#REF!,"AAAAAH+T3Wo=")</f>
        <v>#REF!</v>
      </c>
      <c r="DD20" t="e">
        <f>AND(#REF!,"AAAAAH+T3Ws=")</f>
        <v>#REF!</v>
      </c>
      <c r="DE20" t="e">
        <f>AND(#REF!,"AAAAAH+T3Ww=")</f>
        <v>#REF!</v>
      </c>
      <c r="DF20" t="e">
        <f>AND(#REF!,"AAAAAH+T3W0=")</f>
        <v>#REF!</v>
      </c>
      <c r="DG20" t="e">
        <f>AND(#REF!,"AAAAAH+T3W4=")</f>
        <v>#REF!</v>
      </c>
      <c r="DH20" t="e">
        <f>AND(#REF!,"AAAAAH+T3W8=")</f>
        <v>#REF!</v>
      </c>
      <c r="DI20" t="e">
        <f>AND(#REF!,"AAAAAH+T3XA=")</f>
        <v>#REF!</v>
      </c>
      <c r="DJ20" t="e">
        <f>AND(#REF!,"AAAAAH+T3XE=")</f>
        <v>#REF!</v>
      </c>
      <c r="DK20" t="e">
        <f>AND(#REF!,"AAAAAH+T3XI=")</f>
        <v>#REF!</v>
      </c>
      <c r="DL20" t="e">
        <f>AND(#REF!,"AAAAAH+T3XM=")</f>
        <v>#REF!</v>
      </c>
      <c r="DM20" t="e">
        <f>AND(#REF!,"AAAAAH+T3XQ=")</f>
        <v>#REF!</v>
      </c>
      <c r="DN20" t="e">
        <f>AND(#REF!,"AAAAAH+T3XU=")</f>
        <v>#REF!</v>
      </c>
      <c r="DO20" t="e">
        <f>IF(#REF!,"AAAAAH+T3XY=",0)</f>
        <v>#REF!</v>
      </c>
      <c r="DP20" t="e">
        <f>AND(#REF!,"AAAAAH+T3Xc=")</f>
        <v>#REF!</v>
      </c>
      <c r="DQ20" t="e">
        <f>AND(#REF!,"AAAAAH+T3Xg=")</f>
        <v>#REF!</v>
      </c>
      <c r="DR20" t="e">
        <f>AND(#REF!,"AAAAAH+T3Xk=")</f>
        <v>#REF!</v>
      </c>
      <c r="DS20" t="e">
        <f>AND(#REF!,"AAAAAH+T3Xo=")</f>
        <v>#REF!</v>
      </c>
      <c r="DT20" t="e">
        <f>AND(#REF!,"AAAAAH+T3Xs=")</f>
        <v>#REF!</v>
      </c>
      <c r="DU20" t="e">
        <f>AND(#REF!,"AAAAAH+T3Xw=")</f>
        <v>#REF!</v>
      </c>
      <c r="DV20" t="e">
        <f>AND(#REF!,"AAAAAH+T3X0=")</f>
        <v>#REF!</v>
      </c>
      <c r="DW20" t="e">
        <f>AND(#REF!,"AAAAAH+T3X4=")</f>
        <v>#REF!</v>
      </c>
      <c r="DX20" t="e">
        <f>AND(#REF!,"AAAAAH+T3X8=")</f>
        <v>#REF!</v>
      </c>
      <c r="DY20" t="e">
        <f>AND(#REF!,"AAAAAH+T3YA=")</f>
        <v>#REF!</v>
      </c>
      <c r="DZ20" t="e">
        <f>AND(#REF!,"AAAAAH+T3YE=")</f>
        <v>#REF!</v>
      </c>
      <c r="EA20" t="e">
        <f>AND(#REF!,"AAAAAH+T3YI=")</f>
        <v>#REF!</v>
      </c>
      <c r="EB20" t="e">
        <f>AND(#REF!,"AAAAAH+T3YM=")</f>
        <v>#REF!</v>
      </c>
      <c r="EC20" t="e">
        <f>AND(#REF!,"AAAAAH+T3YQ=")</f>
        <v>#REF!</v>
      </c>
      <c r="ED20" t="e">
        <f>AND(#REF!,"AAAAAH+T3YU=")</f>
        <v>#REF!</v>
      </c>
      <c r="EE20" t="e">
        <f>AND(#REF!,"AAAAAH+T3YY=")</f>
        <v>#REF!</v>
      </c>
      <c r="EF20" t="e">
        <f>AND(#REF!,"AAAAAH+T3Yc=")</f>
        <v>#REF!</v>
      </c>
      <c r="EG20" t="e">
        <f>AND(#REF!,"AAAAAH+T3Yg=")</f>
        <v>#REF!</v>
      </c>
      <c r="EH20" t="e">
        <f>AND(#REF!,"AAAAAH+T3Yk=")</f>
        <v>#REF!</v>
      </c>
      <c r="EI20" t="e">
        <f>AND(#REF!,"AAAAAH+T3Yo=")</f>
        <v>#REF!</v>
      </c>
      <c r="EJ20" t="e">
        <f>AND(#REF!,"AAAAAH+T3Ys=")</f>
        <v>#REF!</v>
      </c>
      <c r="EK20" t="e">
        <f>AND(#REF!,"AAAAAH+T3Yw=")</f>
        <v>#REF!</v>
      </c>
      <c r="EL20" t="e">
        <f>AND(#REF!,"AAAAAH+T3Y0=")</f>
        <v>#REF!</v>
      </c>
      <c r="EM20" t="e">
        <f>AND(#REF!,"AAAAAH+T3Y4=")</f>
        <v>#REF!</v>
      </c>
      <c r="EN20" t="e">
        <f>AND(#REF!,"AAAAAH+T3Y8=")</f>
        <v>#REF!</v>
      </c>
      <c r="EO20" t="e">
        <f>AND(#REF!,"AAAAAH+T3ZA=")</f>
        <v>#REF!</v>
      </c>
      <c r="EP20" t="e">
        <f>AND(#REF!,"AAAAAH+T3ZE=")</f>
        <v>#REF!</v>
      </c>
      <c r="EQ20" t="e">
        <f>AND(#REF!,"AAAAAH+T3ZI=")</f>
        <v>#REF!</v>
      </c>
      <c r="ER20" t="e">
        <f>AND(#REF!,"AAAAAH+T3ZM=")</f>
        <v>#REF!</v>
      </c>
      <c r="ES20" t="e">
        <f>AND(#REF!,"AAAAAH+T3ZQ=")</f>
        <v>#REF!</v>
      </c>
      <c r="ET20" t="e">
        <f>AND(#REF!,"AAAAAH+T3ZU=")</f>
        <v>#REF!</v>
      </c>
      <c r="EU20" t="e">
        <f>AND(#REF!,"AAAAAH+T3ZY=")</f>
        <v>#REF!</v>
      </c>
      <c r="EV20" t="e">
        <f>AND(#REF!,"AAAAAH+T3Zc=")</f>
        <v>#REF!</v>
      </c>
      <c r="EW20" t="e">
        <f>AND(#REF!,"AAAAAH+T3Zg=")</f>
        <v>#REF!</v>
      </c>
      <c r="EX20" t="e">
        <f>AND(#REF!,"AAAAAH+T3Zk=")</f>
        <v>#REF!</v>
      </c>
      <c r="EY20" t="e">
        <f>AND(#REF!,"AAAAAH+T3Zo=")</f>
        <v>#REF!</v>
      </c>
      <c r="EZ20" t="e">
        <f>IF(#REF!,"AAAAAH+T3Zs=",0)</f>
        <v>#REF!</v>
      </c>
      <c r="FA20" t="e">
        <f>AND(#REF!,"AAAAAH+T3Zw=")</f>
        <v>#REF!</v>
      </c>
      <c r="FB20" t="e">
        <f>AND(#REF!,"AAAAAH+T3Z0=")</f>
        <v>#REF!</v>
      </c>
      <c r="FC20" t="e">
        <f>AND(#REF!,"AAAAAH+T3Z4=")</f>
        <v>#REF!</v>
      </c>
      <c r="FD20" t="e">
        <f>AND(#REF!,"AAAAAH+T3Z8=")</f>
        <v>#REF!</v>
      </c>
      <c r="FE20" t="e">
        <f>AND(#REF!,"AAAAAH+T3aA=")</f>
        <v>#REF!</v>
      </c>
      <c r="FF20" t="e">
        <f>AND(#REF!,"AAAAAH+T3aE=")</f>
        <v>#REF!</v>
      </c>
      <c r="FG20" t="e">
        <f>AND(#REF!,"AAAAAH+T3aI=")</f>
        <v>#REF!</v>
      </c>
      <c r="FH20" t="e">
        <f>AND(#REF!,"AAAAAH+T3aM=")</f>
        <v>#REF!</v>
      </c>
      <c r="FI20" t="e">
        <f>AND(#REF!,"AAAAAH+T3aQ=")</f>
        <v>#REF!</v>
      </c>
      <c r="FJ20" t="e">
        <f>AND(#REF!,"AAAAAH+T3aU=")</f>
        <v>#REF!</v>
      </c>
      <c r="FK20" t="e">
        <f>AND(#REF!,"AAAAAH+T3aY=")</f>
        <v>#REF!</v>
      </c>
      <c r="FL20" t="e">
        <f>AND(#REF!,"AAAAAH+T3ac=")</f>
        <v>#REF!</v>
      </c>
      <c r="FM20" t="e">
        <f>AND(#REF!,"AAAAAH+T3ag=")</f>
        <v>#REF!</v>
      </c>
      <c r="FN20" t="e">
        <f>AND(#REF!,"AAAAAH+T3ak=")</f>
        <v>#REF!</v>
      </c>
      <c r="FO20" t="e">
        <f>AND(#REF!,"AAAAAH+T3ao=")</f>
        <v>#REF!</v>
      </c>
      <c r="FP20" t="e">
        <f>AND(#REF!,"AAAAAH+T3as=")</f>
        <v>#REF!</v>
      </c>
      <c r="FQ20" t="e">
        <f>AND(#REF!,"AAAAAH+T3aw=")</f>
        <v>#REF!</v>
      </c>
      <c r="FR20" t="e">
        <f>AND(#REF!,"AAAAAH+T3a0=")</f>
        <v>#REF!</v>
      </c>
      <c r="FS20" t="e">
        <f>AND(#REF!,"AAAAAH+T3a4=")</f>
        <v>#REF!</v>
      </c>
      <c r="FT20" t="e">
        <f>AND(#REF!,"AAAAAH+T3a8=")</f>
        <v>#REF!</v>
      </c>
      <c r="FU20" t="e">
        <f>AND(#REF!,"AAAAAH+T3bA=")</f>
        <v>#REF!</v>
      </c>
      <c r="FV20" t="e">
        <f>AND(#REF!,"AAAAAH+T3bE=")</f>
        <v>#REF!</v>
      </c>
      <c r="FW20" t="e">
        <f>AND(#REF!,"AAAAAH+T3bI=")</f>
        <v>#REF!</v>
      </c>
      <c r="FX20" t="e">
        <f>AND(#REF!,"AAAAAH+T3bM=")</f>
        <v>#REF!</v>
      </c>
      <c r="FY20" t="e">
        <f>AND(#REF!,"AAAAAH+T3bQ=")</f>
        <v>#REF!</v>
      </c>
      <c r="FZ20" t="e">
        <f>AND(#REF!,"AAAAAH+T3bU=")</f>
        <v>#REF!</v>
      </c>
      <c r="GA20" t="e">
        <f>AND(#REF!,"AAAAAH+T3bY=")</f>
        <v>#REF!</v>
      </c>
      <c r="GB20" t="e">
        <f>AND(#REF!,"AAAAAH+T3bc=")</f>
        <v>#REF!</v>
      </c>
      <c r="GC20" t="e">
        <f>AND(#REF!,"AAAAAH+T3bg=")</f>
        <v>#REF!</v>
      </c>
      <c r="GD20" t="e">
        <f>AND(#REF!,"AAAAAH+T3bk=")</f>
        <v>#REF!</v>
      </c>
      <c r="GE20" t="e">
        <f>AND(#REF!,"AAAAAH+T3bo=")</f>
        <v>#REF!</v>
      </c>
      <c r="GF20" t="e">
        <f>AND(#REF!,"AAAAAH+T3bs=")</f>
        <v>#REF!</v>
      </c>
      <c r="GG20" t="e">
        <f>AND(#REF!,"AAAAAH+T3bw=")</f>
        <v>#REF!</v>
      </c>
      <c r="GH20" t="e">
        <f>AND(#REF!,"AAAAAH+T3b0=")</f>
        <v>#REF!</v>
      </c>
      <c r="GI20" t="e">
        <f>AND(#REF!,"AAAAAH+T3b4=")</f>
        <v>#REF!</v>
      </c>
      <c r="GJ20" t="e">
        <f>AND(#REF!,"AAAAAH+T3b8=")</f>
        <v>#REF!</v>
      </c>
      <c r="GK20" t="e">
        <f>IF(#REF!,"AAAAAH+T3cA=",0)</f>
        <v>#REF!</v>
      </c>
      <c r="GL20" t="e">
        <f>AND(#REF!,"AAAAAH+T3cE=")</f>
        <v>#REF!</v>
      </c>
      <c r="GM20" t="e">
        <f>AND(#REF!,"AAAAAH+T3cI=")</f>
        <v>#REF!</v>
      </c>
      <c r="GN20" t="e">
        <f>AND(#REF!,"AAAAAH+T3cM=")</f>
        <v>#REF!</v>
      </c>
      <c r="GO20" t="e">
        <f>AND(#REF!,"AAAAAH+T3cQ=")</f>
        <v>#REF!</v>
      </c>
      <c r="GP20" t="e">
        <f>AND(#REF!,"AAAAAH+T3cU=")</f>
        <v>#REF!</v>
      </c>
      <c r="GQ20" t="e">
        <f>AND(#REF!,"AAAAAH+T3cY=")</f>
        <v>#REF!</v>
      </c>
      <c r="GR20" t="e">
        <f>AND(#REF!,"AAAAAH+T3cc=")</f>
        <v>#REF!</v>
      </c>
      <c r="GS20" t="e">
        <f>AND(#REF!,"AAAAAH+T3cg=")</f>
        <v>#REF!</v>
      </c>
      <c r="GT20" t="e">
        <f>AND(#REF!,"AAAAAH+T3ck=")</f>
        <v>#REF!</v>
      </c>
      <c r="GU20" t="e">
        <f>AND(#REF!,"AAAAAH+T3co=")</f>
        <v>#REF!</v>
      </c>
      <c r="GV20" t="e">
        <f>AND(#REF!,"AAAAAH+T3cs=")</f>
        <v>#REF!</v>
      </c>
      <c r="GW20" t="e">
        <f>AND(#REF!,"AAAAAH+T3cw=")</f>
        <v>#REF!</v>
      </c>
      <c r="GX20" t="e">
        <f>AND(#REF!,"AAAAAH+T3c0=")</f>
        <v>#REF!</v>
      </c>
      <c r="GY20" t="e">
        <f>AND(#REF!,"AAAAAH+T3c4=")</f>
        <v>#REF!</v>
      </c>
      <c r="GZ20" t="e">
        <f>AND(#REF!,"AAAAAH+T3c8=")</f>
        <v>#REF!</v>
      </c>
      <c r="HA20" t="e">
        <f>AND(#REF!,"AAAAAH+T3dA=")</f>
        <v>#REF!</v>
      </c>
      <c r="HB20" t="e">
        <f>AND(#REF!,"AAAAAH+T3dE=")</f>
        <v>#REF!</v>
      </c>
      <c r="HC20" t="e">
        <f>AND(#REF!,"AAAAAH+T3dI=")</f>
        <v>#REF!</v>
      </c>
      <c r="HD20" t="e">
        <f>AND(#REF!,"AAAAAH+T3dM=")</f>
        <v>#REF!</v>
      </c>
      <c r="HE20" t="e">
        <f>AND(#REF!,"AAAAAH+T3dQ=")</f>
        <v>#REF!</v>
      </c>
      <c r="HF20" t="e">
        <f>AND(#REF!,"AAAAAH+T3dU=")</f>
        <v>#REF!</v>
      </c>
      <c r="HG20" t="e">
        <f>AND(#REF!,"AAAAAH+T3dY=")</f>
        <v>#REF!</v>
      </c>
      <c r="HH20" t="e">
        <f>AND(#REF!,"AAAAAH+T3dc=")</f>
        <v>#REF!</v>
      </c>
      <c r="HI20" t="e">
        <f>AND(#REF!,"AAAAAH+T3dg=")</f>
        <v>#REF!</v>
      </c>
      <c r="HJ20" t="e">
        <f>AND(#REF!,"AAAAAH+T3dk=")</f>
        <v>#REF!</v>
      </c>
      <c r="HK20" t="e">
        <f>AND(#REF!,"AAAAAH+T3do=")</f>
        <v>#REF!</v>
      </c>
      <c r="HL20" t="e">
        <f>AND(#REF!,"AAAAAH+T3ds=")</f>
        <v>#REF!</v>
      </c>
      <c r="HM20" t="e">
        <f>AND(#REF!,"AAAAAH+T3dw=")</f>
        <v>#REF!</v>
      </c>
      <c r="HN20" t="e">
        <f>AND(#REF!,"AAAAAH+T3d0=")</f>
        <v>#REF!</v>
      </c>
      <c r="HO20" t="e">
        <f>AND(#REF!,"AAAAAH+T3d4=")</f>
        <v>#REF!</v>
      </c>
      <c r="HP20" t="e">
        <f>AND(#REF!,"AAAAAH+T3d8=")</f>
        <v>#REF!</v>
      </c>
      <c r="HQ20" t="e">
        <f>AND(#REF!,"AAAAAH+T3eA=")</f>
        <v>#REF!</v>
      </c>
      <c r="HR20" t="e">
        <f>AND(#REF!,"AAAAAH+T3eE=")</f>
        <v>#REF!</v>
      </c>
      <c r="HS20" t="e">
        <f>AND(#REF!,"AAAAAH+T3eI=")</f>
        <v>#REF!</v>
      </c>
      <c r="HT20" t="e">
        <f>AND(#REF!,"AAAAAH+T3eM=")</f>
        <v>#REF!</v>
      </c>
      <c r="HU20" t="e">
        <f>AND(#REF!,"AAAAAH+T3eQ=")</f>
        <v>#REF!</v>
      </c>
      <c r="HV20" t="e">
        <f>IF(#REF!,"AAAAAH+T3eU=",0)</f>
        <v>#REF!</v>
      </c>
      <c r="HW20" t="e">
        <f>AND(#REF!,"AAAAAH+T3eY=")</f>
        <v>#REF!</v>
      </c>
      <c r="HX20" t="e">
        <f>AND(#REF!,"AAAAAH+T3ec=")</f>
        <v>#REF!</v>
      </c>
      <c r="HY20" t="e">
        <f>AND(#REF!,"AAAAAH+T3eg=")</f>
        <v>#REF!</v>
      </c>
      <c r="HZ20" t="e">
        <f>AND(#REF!,"AAAAAH+T3ek=")</f>
        <v>#REF!</v>
      </c>
      <c r="IA20" t="e">
        <f>AND(#REF!,"AAAAAH+T3eo=")</f>
        <v>#REF!</v>
      </c>
      <c r="IB20" t="e">
        <f>AND(#REF!,"AAAAAH+T3es=")</f>
        <v>#REF!</v>
      </c>
      <c r="IC20" t="e">
        <f>AND(#REF!,"AAAAAH+T3ew=")</f>
        <v>#REF!</v>
      </c>
      <c r="ID20" t="e">
        <f>AND(#REF!,"AAAAAH+T3e0=")</f>
        <v>#REF!</v>
      </c>
      <c r="IE20" t="e">
        <f>AND(#REF!,"AAAAAH+T3e4=")</f>
        <v>#REF!</v>
      </c>
      <c r="IF20" t="e">
        <f>AND(#REF!,"AAAAAH+T3e8=")</f>
        <v>#REF!</v>
      </c>
      <c r="IG20" t="e">
        <f>AND(#REF!,"AAAAAH+T3fA=")</f>
        <v>#REF!</v>
      </c>
      <c r="IH20" t="e">
        <f>AND(#REF!,"AAAAAH+T3fE=")</f>
        <v>#REF!</v>
      </c>
      <c r="II20" t="e">
        <f>AND(#REF!,"AAAAAH+T3fI=")</f>
        <v>#REF!</v>
      </c>
      <c r="IJ20" t="e">
        <f>AND(#REF!,"AAAAAH+T3fM=")</f>
        <v>#REF!</v>
      </c>
      <c r="IK20" t="e">
        <f>AND(#REF!,"AAAAAH+T3fQ=")</f>
        <v>#REF!</v>
      </c>
      <c r="IL20" t="e">
        <f>AND(#REF!,"AAAAAH+T3fU=")</f>
        <v>#REF!</v>
      </c>
      <c r="IM20" t="e">
        <f>AND(#REF!,"AAAAAH+T3fY=")</f>
        <v>#REF!</v>
      </c>
      <c r="IN20" t="e">
        <f>AND(#REF!,"AAAAAH+T3fc=")</f>
        <v>#REF!</v>
      </c>
      <c r="IO20" t="e">
        <f>AND(#REF!,"AAAAAH+T3fg=")</f>
        <v>#REF!</v>
      </c>
      <c r="IP20" t="e">
        <f>AND(#REF!,"AAAAAH+T3fk=")</f>
        <v>#REF!</v>
      </c>
      <c r="IQ20" t="e">
        <f>AND(#REF!,"AAAAAH+T3fo=")</f>
        <v>#REF!</v>
      </c>
      <c r="IR20" t="e">
        <f>AND(#REF!,"AAAAAH+T3fs=")</f>
        <v>#REF!</v>
      </c>
      <c r="IS20" t="e">
        <f>AND(#REF!,"AAAAAH+T3fw=")</f>
        <v>#REF!</v>
      </c>
      <c r="IT20" t="e">
        <f>AND(#REF!,"AAAAAH+T3f0=")</f>
        <v>#REF!</v>
      </c>
      <c r="IU20" t="e">
        <f>AND(#REF!,"AAAAAH+T3f4=")</f>
        <v>#REF!</v>
      </c>
      <c r="IV20" t="e">
        <f>AND(#REF!,"AAAAAH+T3f8=")</f>
        <v>#REF!</v>
      </c>
    </row>
    <row r="21" spans="1:256">
      <c r="A21" t="e">
        <f>AND(#REF!,"AAAAAD/+/wA=")</f>
        <v>#REF!</v>
      </c>
      <c r="B21" t="e">
        <f>AND(#REF!,"AAAAAD/+/wE=")</f>
        <v>#REF!</v>
      </c>
      <c r="C21" t="e">
        <f>AND(#REF!,"AAAAAD/+/wI=")</f>
        <v>#REF!</v>
      </c>
      <c r="D21" t="e">
        <f>AND(#REF!,"AAAAAD/+/wM=")</f>
        <v>#REF!</v>
      </c>
      <c r="E21" t="e">
        <f>AND(#REF!,"AAAAAD/+/wQ=")</f>
        <v>#REF!</v>
      </c>
      <c r="F21" t="e">
        <f>AND(#REF!,"AAAAAD/+/wU=")</f>
        <v>#REF!</v>
      </c>
      <c r="G21" t="e">
        <f>AND(#REF!,"AAAAAD/+/wY=")</f>
        <v>#REF!</v>
      </c>
      <c r="H21" t="e">
        <f>AND(#REF!,"AAAAAD/+/wc=")</f>
        <v>#REF!</v>
      </c>
      <c r="I21" t="e">
        <f>AND(#REF!,"AAAAAD/+/wg=")</f>
        <v>#REF!</v>
      </c>
      <c r="J21" t="e">
        <f>AND(#REF!,"AAAAAD/+/wk=")</f>
        <v>#REF!</v>
      </c>
      <c r="K21" t="e">
        <f>IF(#REF!,"AAAAAD/+/wo=",0)</f>
        <v>#REF!</v>
      </c>
      <c r="L21" t="e">
        <f>AND(#REF!,"AAAAAD/+/ws=")</f>
        <v>#REF!</v>
      </c>
      <c r="M21" t="e">
        <f>AND(#REF!,"AAAAAD/+/ww=")</f>
        <v>#REF!</v>
      </c>
      <c r="N21" t="e">
        <f>AND(#REF!,"AAAAAD/+/w0=")</f>
        <v>#REF!</v>
      </c>
      <c r="O21" t="e">
        <f>AND(#REF!,"AAAAAD/+/w4=")</f>
        <v>#REF!</v>
      </c>
      <c r="P21" t="e">
        <f>AND(#REF!,"AAAAAD/+/w8=")</f>
        <v>#REF!</v>
      </c>
      <c r="Q21" t="e">
        <f>AND(#REF!,"AAAAAD/+/xA=")</f>
        <v>#REF!</v>
      </c>
      <c r="R21" t="e">
        <f>AND(#REF!,"AAAAAD/+/xE=")</f>
        <v>#REF!</v>
      </c>
      <c r="S21" t="e">
        <f>AND(#REF!,"AAAAAD/+/xI=")</f>
        <v>#REF!</v>
      </c>
      <c r="T21" t="e">
        <f>AND(#REF!,"AAAAAD/+/xM=")</f>
        <v>#REF!</v>
      </c>
      <c r="U21" t="e">
        <f>AND(#REF!,"AAAAAD/+/xQ=")</f>
        <v>#REF!</v>
      </c>
      <c r="V21" t="e">
        <f>AND(#REF!,"AAAAAD/+/xU=")</f>
        <v>#REF!</v>
      </c>
      <c r="W21" t="e">
        <f>AND(#REF!,"AAAAAD/+/xY=")</f>
        <v>#REF!</v>
      </c>
      <c r="X21" t="e">
        <f>AND(#REF!,"AAAAAD/+/xc=")</f>
        <v>#REF!</v>
      </c>
      <c r="Y21" t="e">
        <f>AND(#REF!,"AAAAAD/+/xg=")</f>
        <v>#REF!</v>
      </c>
      <c r="Z21" t="e">
        <f>AND(#REF!,"AAAAAD/+/xk=")</f>
        <v>#REF!</v>
      </c>
      <c r="AA21" t="e">
        <f>AND(#REF!,"AAAAAD/+/xo=")</f>
        <v>#REF!</v>
      </c>
      <c r="AB21" t="e">
        <f>AND(#REF!,"AAAAAD/+/xs=")</f>
        <v>#REF!</v>
      </c>
      <c r="AC21" t="e">
        <f>AND(#REF!,"AAAAAD/+/xw=")</f>
        <v>#REF!</v>
      </c>
      <c r="AD21" t="e">
        <f>AND(#REF!,"AAAAAD/+/x0=")</f>
        <v>#REF!</v>
      </c>
      <c r="AE21" t="e">
        <f>AND(#REF!,"AAAAAD/+/x4=")</f>
        <v>#REF!</v>
      </c>
      <c r="AF21" t="e">
        <f>AND(#REF!,"AAAAAD/+/x8=")</f>
        <v>#REF!</v>
      </c>
      <c r="AG21" t="e">
        <f>AND(#REF!,"AAAAAD/+/yA=")</f>
        <v>#REF!</v>
      </c>
      <c r="AH21" t="e">
        <f>AND(#REF!,"AAAAAD/+/yE=")</f>
        <v>#REF!</v>
      </c>
      <c r="AI21" t="e">
        <f>AND(#REF!,"AAAAAD/+/yI=")</f>
        <v>#REF!</v>
      </c>
      <c r="AJ21" t="e">
        <f>AND(#REF!,"AAAAAD/+/yM=")</f>
        <v>#REF!</v>
      </c>
      <c r="AK21" t="e">
        <f>AND(#REF!,"AAAAAD/+/yQ=")</f>
        <v>#REF!</v>
      </c>
      <c r="AL21" t="e">
        <f>AND(#REF!,"AAAAAD/+/yU=")</f>
        <v>#REF!</v>
      </c>
      <c r="AM21" t="e">
        <f>AND(#REF!,"AAAAAD/+/yY=")</f>
        <v>#REF!</v>
      </c>
      <c r="AN21" t="e">
        <f>AND(#REF!,"AAAAAD/+/yc=")</f>
        <v>#REF!</v>
      </c>
      <c r="AO21" t="e">
        <f>AND(#REF!,"AAAAAD/+/yg=")</f>
        <v>#REF!</v>
      </c>
      <c r="AP21" t="e">
        <f>AND(#REF!,"AAAAAD/+/yk=")</f>
        <v>#REF!</v>
      </c>
      <c r="AQ21" t="e">
        <f>AND(#REF!,"AAAAAD/+/yo=")</f>
        <v>#REF!</v>
      </c>
      <c r="AR21" t="e">
        <f>AND(#REF!,"AAAAAD/+/ys=")</f>
        <v>#REF!</v>
      </c>
      <c r="AS21" t="e">
        <f>AND(#REF!,"AAAAAD/+/yw=")</f>
        <v>#REF!</v>
      </c>
      <c r="AT21" t="e">
        <f>AND(#REF!,"AAAAAD/+/y0=")</f>
        <v>#REF!</v>
      </c>
      <c r="AU21" t="e">
        <f>AND(#REF!,"AAAAAD/+/y4=")</f>
        <v>#REF!</v>
      </c>
      <c r="AV21" t="e">
        <f>IF(#REF!,"AAAAAD/+/y8=",0)</f>
        <v>#REF!</v>
      </c>
      <c r="AW21" t="e">
        <f>AND(#REF!,"AAAAAD/+/zA=")</f>
        <v>#REF!</v>
      </c>
      <c r="AX21" t="e">
        <f>AND(#REF!,"AAAAAD/+/zE=")</f>
        <v>#REF!</v>
      </c>
      <c r="AY21" t="e">
        <f>AND(#REF!,"AAAAAD/+/zI=")</f>
        <v>#REF!</v>
      </c>
      <c r="AZ21" t="e">
        <f>AND(#REF!,"AAAAAD/+/zM=")</f>
        <v>#REF!</v>
      </c>
      <c r="BA21" t="e">
        <f>AND(#REF!,"AAAAAD/+/zQ=")</f>
        <v>#REF!</v>
      </c>
      <c r="BB21" t="e">
        <f>AND(#REF!,"AAAAAD/+/zU=")</f>
        <v>#REF!</v>
      </c>
      <c r="BC21" t="e">
        <f>AND(#REF!,"AAAAAD/+/zY=")</f>
        <v>#REF!</v>
      </c>
      <c r="BD21" t="e">
        <f>AND(#REF!,"AAAAAD/+/zc=")</f>
        <v>#REF!</v>
      </c>
      <c r="BE21" t="e">
        <f>AND(#REF!,"AAAAAD/+/zg=")</f>
        <v>#REF!</v>
      </c>
      <c r="BF21" t="e">
        <f>AND(#REF!,"AAAAAD/+/zk=")</f>
        <v>#REF!</v>
      </c>
      <c r="BG21" t="e">
        <f>AND(#REF!,"AAAAAD/+/zo=")</f>
        <v>#REF!</v>
      </c>
      <c r="BH21" t="e">
        <f>AND(#REF!,"AAAAAD/+/zs=")</f>
        <v>#REF!</v>
      </c>
      <c r="BI21" t="e">
        <f>AND(#REF!,"AAAAAD/+/zw=")</f>
        <v>#REF!</v>
      </c>
      <c r="BJ21" t="e">
        <f>AND(#REF!,"AAAAAD/+/z0=")</f>
        <v>#REF!</v>
      </c>
      <c r="BK21" t="e">
        <f>AND(#REF!,"AAAAAD/+/z4=")</f>
        <v>#REF!</v>
      </c>
      <c r="BL21" t="e">
        <f>AND(#REF!,"AAAAAD/+/z8=")</f>
        <v>#REF!</v>
      </c>
      <c r="BM21" t="e">
        <f>AND(#REF!,"AAAAAD/+/0A=")</f>
        <v>#REF!</v>
      </c>
      <c r="BN21" t="e">
        <f>AND(#REF!,"AAAAAD/+/0E=")</f>
        <v>#REF!</v>
      </c>
      <c r="BO21" t="e">
        <f>AND(#REF!,"AAAAAD/+/0I=")</f>
        <v>#REF!</v>
      </c>
      <c r="BP21" t="e">
        <f>AND(#REF!,"AAAAAD/+/0M=")</f>
        <v>#REF!</v>
      </c>
      <c r="BQ21" t="e">
        <f>AND(#REF!,"AAAAAD/+/0Q=")</f>
        <v>#REF!</v>
      </c>
      <c r="BR21" t="e">
        <f>AND(#REF!,"AAAAAD/+/0U=")</f>
        <v>#REF!</v>
      </c>
      <c r="BS21" t="e">
        <f>AND(#REF!,"AAAAAD/+/0Y=")</f>
        <v>#REF!</v>
      </c>
      <c r="BT21" t="e">
        <f>AND(#REF!,"AAAAAD/+/0c=")</f>
        <v>#REF!</v>
      </c>
      <c r="BU21" t="e">
        <f>AND(#REF!,"AAAAAD/+/0g=")</f>
        <v>#REF!</v>
      </c>
      <c r="BV21" t="e">
        <f>AND(#REF!,"AAAAAD/+/0k=")</f>
        <v>#REF!</v>
      </c>
      <c r="BW21" t="e">
        <f>AND(#REF!,"AAAAAD/+/0o=")</f>
        <v>#REF!</v>
      </c>
      <c r="BX21" t="e">
        <f>AND(#REF!,"AAAAAD/+/0s=")</f>
        <v>#REF!</v>
      </c>
      <c r="BY21" t="e">
        <f>AND(#REF!,"AAAAAD/+/0w=")</f>
        <v>#REF!</v>
      </c>
      <c r="BZ21" t="e">
        <f>AND(#REF!,"AAAAAD/+/00=")</f>
        <v>#REF!</v>
      </c>
      <c r="CA21" t="e">
        <f>AND(#REF!,"AAAAAD/+/04=")</f>
        <v>#REF!</v>
      </c>
      <c r="CB21" t="e">
        <f>AND(#REF!,"AAAAAD/+/08=")</f>
        <v>#REF!</v>
      </c>
      <c r="CC21" t="e">
        <f>AND(#REF!,"AAAAAD/+/1A=")</f>
        <v>#REF!</v>
      </c>
      <c r="CD21" t="e">
        <f>AND(#REF!,"AAAAAD/+/1E=")</f>
        <v>#REF!</v>
      </c>
      <c r="CE21" t="e">
        <f>AND(#REF!,"AAAAAD/+/1I=")</f>
        <v>#REF!</v>
      </c>
      <c r="CF21" t="e">
        <f>AND(#REF!,"AAAAAD/+/1M=")</f>
        <v>#REF!</v>
      </c>
      <c r="CG21" t="e">
        <f>IF(#REF!,"AAAAAD/+/1Q=",0)</f>
        <v>#REF!</v>
      </c>
      <c r="CH21" t="e">
        <f>AND(#REF!,"AAAAAD/+/1U=")</f>
        <v>#REF!</v>
      </c>
      <c r="CI21" t="e">
        <f>AND(#REF!,"AAAAAD/+/1Y=")</f>
        <v>#REF!</v>
      </c>
      <c r="CJ21" t="e">
        <f>AND(#REF!,"AAAAAD/+/1c=")</f>
        <v>#REF!</v>
      </c>
      <c r="CK21" t="e">
        <f>AND(#REF!,"AAAAAD/+/1g=")</f>
        <v>#REF!</v>
      </c>
      <c r="CL21" t="e">
        <f>AND(#REF!,"AAAAAD/+/1k=")</f>
        <v>#REF!</v>
      </c>
      <c r="CM21" t="e">
        <f>AND(#REF!,"AAAAAD/+/1o=")</f>
        <v>#REF!</v>
      </c>
      <c r="CN21" t="e">
        <f>AND(#REF!,"AAAAAD/+/1s=")</f>
        <v>#REF!</v>
      </c>
      <c r="CO21" t="e">
        <f>AND(#REF!,"AAAAAD/+/1w=")</f>
        <v>#REF!</v>
      </c>
      <c r="CP21" t="e">
        <f>AND(#REF!,"AAAAAD/+/10=")</f>
        <v>#REF!</v>
      </c>
      <c r="CQ21" t="e">
        <f>AND(#REF!,"AAAAAD/+/14=")</f>
        <v>#REF!</v>
      </c>
      <c r="CR21" t="e">
        <f>AND(#REF!,"AAAAAD/+/18=")</f>
        <v>#REF!</v>
      </c>
      <c r="CS21" t="e">
        <f>AND(#REF!,"AAAAAD/+/2A=")</f>
        <v>#REF!</v>
      </c>
      <c r="CT21" t="e">
        <f>AND(#REF!,"AAAAAD/+/2E=")</f>
        <v>#REF!</v>
      </c>
      <c r="CU21" t="e">
        <f>AND(#REF!,"AAAAAD/+/2I=")</f>
        <v>#REF!</v>
      </c>
      <c r="CV21" t="e">
        <f>AND(#REF!,"AAAAAD/+/2M=")</f>
        <v>#REF!</v>
      </c>
      <c r="CW21" t="e">
        <f>AND(#REF!,"AAAAAD/+/2Q=")</f>
        <v>#REF!</v>
      </c>
      <c r="CX21" t="e">
        <f>AND(#REF!,"AAAAAD/+/2U=")</f>
        <v>#REF!</v>
      </c>
      <c r="CY21" t="e">
        <f>AND(#REF!,"AAAAAD/+/2Y=")</f>
        <v>#REF!</v>
      </c>
      <c r="CZ21" t="e">
        <f>AND(#REF!,"AAAAAD/+/2c=")</f>
        <v>#REF!</v>
      </c>
      <c r="DA21" t="e">
        <f>AND(#REF!,"AAAAAD/+/2g=")</f>
        <v>#REF!</v>
      </c>
      <c r="DB21" t="e">
        <f>AND(#REF!,"AAAAAD/+/2k=")</f>
        <v>#REF!</v>
      </c>
      <c r="DC21" t="e">
        <f>AND(#REF!,"AAAAAD/+/2o=")</f>
        <v>#REF!</v>
      </c>
      <c r="DD21" t="e">
        <f>AND(#REF!,"AAAAAD/+/2s=")</f>
        <v>#REF!</v>
      </c>
      <c r="DE21" t="e">
        <f>AND(#REF!,"AAAAAD/+/2w=")</f>
        <v>#REF!</v>
      </c>
      <c r="DF21" t="e">
        <f>AND(#REF!,"AAAAAD/+/20=")</f>
        <v>#REF!</v>
      </c>
      <c r="DG21" t="e">
        <f>AND(#REF!,"AAAAAD/+/24=")</f>
        <v>#REF!</v>
      </c>
      <c r="DH21" t="e">
        <f>AND(#REF!,"AAAAAD/+/28=")</f>
        <v>#REF!</v>
      </c>
      <c r="DI21" t="e">
        <f>AND(#REF!,"AAAAAD/+/3A=")</f>
        <v>#REF!</v>
      </c>
      <c r="DJ21" t="e">
        <f>AND(#REF!,"AAAAAD/+/3E=")</f>
        <v>#REF!</v>
      </c>
      <c r="DK21" t="e">
        <f>AND(#REF!,"AAAAAD/+/3I=")</f>
        <v>#REF!</v>
      </c>
      <c r="DL21" t="e">
        <f>AND(#REF!,"AAAAAD/+/3M=")</f>
        <v>#REF!</v>
      </c>
      <c r="DM21" t="e">
        <f>AND(#REF!,"AAAAAD/+/3Q=")</f>
        <v>#REF!</v>
      </c>
      <c r="DN21" t="e">
        <f>AND(#REF!,"AAAAAD/+/3U=")</f>
        <v>#REF!</v>
      </c>
      <c r="DO21" t="e">
        <f>AND(#REF!,"AAAAAD/+/3Y=")</f>
        <v>#REF!</v>
      </c>
      <c r="DP21" t="e">
        <f>AND(#REF!,"AAAAAD/+/3c=")</f>
        <v>#REF!</v>
      </c>
      <c r="DQ21" t="e">
        <f>AND(#REF!,"AAAAAD/+/3g=")</f>
        <v>#REF!</v>
      </c>
      <c r="DR21" t="e">
        <f>IF(#REF!,"AAAAAD/+/3k=",0)</f>
        <v>#REF!</v>
      </c>
      <c r="DS21" t="e">
        <f>AND(#REF!,"AAAAAD/+/3o=")</f>
        <v>#REF!</v>
      </c>
      <c r="DT21" t="e">
        <f>AND(#REF!,"AAAAAD/+/3s=")</f>
        <v>#REF!</v>
      </c>
      <c r="DU21" t="e">
        <f>AND(#REF!,"AAAAAD/+/3w=")</f>
        <v>#REF!</v>
      </c>
      <c r="DV21" t="e">
        <f>AND(#REF!,"AAAAAD/+/30=")</f>
        <v>#REF!</v>
      </c>
      <c r="DW21" t="e">
        <f>AND(#REF!,"AAAAAD/+/34=")</f>
        <v>#REF!</v>
      </c>
      <c r="DX21" t="e">
        <f>AND(#REF!,"AAAAAD/+/38=")</f>
        <v>#REF!</v>
      </c>
      <c r="DY21" t="e">
        <f>AND(#REF!,"AAAAAD/+/4A=")</f>
        <v>#REF!</v>
      </c>
      <c r="DZ21" t="e">
        <f>AND(#REF!,"AAAAAD/+/4E=")</f>
        <v>#REF!</v>
      </c>
      <c r="EA21" t="e">
        <f>AND(#REF!,"AAAAAD/+/4I=")</f>
        <v>#REF!</v>
      </c>
      <c r="EB21" t="e">
        <f>AND(#REF!,"AAAAAD/+/4M=")</f>
        <v>#REF!</v>
      </c>
      <c r="EC21" t="e">
        <f>AND(#REF!,"AAAAAD/+/4Q=")</f>
        <v>#REF!</v>
      </c>
      <c r="ED21" t="e">
        <f>AND(#REF!,"AAAAAD/+/4U=")</f>
        <v>#REF!</v>
      </c>
      <c r="EE21" t="e">
        <f>AND(#REF!,"AAAAAD/+/4Y=")</f>
        <v>#REF!</v>
      </c>
      <c r="EF21" t="e">
        <f>AND(#REF!,"AAAAAD/+/4c=")</f>
        <v>#REF!</v>
      </c>
      <c r="EG21" t="e">
        <f>AND(#REF!,"AAAAAD/+/4g=")</f>
        <v>#REF!</v>
      </c>
      <c r="EH21" t="e">
        <f>AND(#REF!,"AAAAAD/+/4k=")</f>
        <v>#REF!</v>
      </c>
      <c r="EI21" t="e">
        <f>AND(#REF!,"AAAAAD/+/4o=")</f>
        <v>#REF!</v>
      </c>
      <c r="EJ21" t="e">
        <f>AND(#REF!,"AAAAAD/+/4s=")</f>
        <v>#REF!</v>
      </c>
      <c r="EK21" t="e">
        <f>AND(#REF!,"AAAAAD/+/4w=")</f>
        <v>#REF!</v>
      </c>
      <c r="EL21" t="e">
        <f>AND(#REF!,"AAAAAD/+/40=")</f>
        <v>#REF!</v>
      </c>
      <c r="EM21" t="e">
        <f>AND(#REF!,"AAAAAD/+/44=")</f>
        <v>#REF!</v>
      </c>
      <c r="EN21" t="e">
        <f>AND(#REF!,"AAAAAD/+/48=")</f>
        <v>#REF!</v>
      </c>
      <c r="EO21" t="e">
        <f>AND(#REF!,"AAAAAD/+/5A=")</f>
        <v>#REF!</v>
      </c>
      <c r="EP21" t="e">
        <f>AND(#REF!,"AAAAAD/+/5E=")</f>
        <v>#REF!</v>
      </c>
      <c r="EQ21" t="e">
        <f>AND(#REF!,"AAAAAD/+/5I=")</f>
        <v>#REF!</v>
      </c>
      <c r="ER21" t="e">
        <f>AND(#REF!,"AAAAAD/+/5M=")</f>
        <v>#REF!</v>
      </c>
      <c r="ES21" t="e">
        <f>AND(#REF!,"AAAAAD/+/5Q=")</f>
        <v>#REF!</v>
      </c>
      <c r="ET21" t="e">
        <f>AND(#REF!,"AAAAAD/+/5U=")</f>
        <v>#REF!</v>
      </c>
      <c r="EU21" t="e">
        <f>AND(#REF!,"AAAAAD/+/5Y=")</f>
        <v>#REF!</v>
      </c>
      <c r="EV21" t="e">
        <f>AND(#REF!,"AAAAAD/+/5c=")</f>
        <v>#REF!</v>
      </c>
      <c r="EW21" t="e">
        <f>AND(#REF!,"AAAAAD/+/5g=")</f>
        <v>#REF!</v>
      </c>
      <c r="EX21" t="e">
        <f>AND(#REF!,"AAAAAD/+/5k=")</f>
        <v>#REF!</v>
      </c>
      <c r="EY21" t="e">
        <f>AND(#REF!,"AAAAAD/+/5o=")</f>
        <v>#REF!</v>
      </c>
      <c r="EZ21" t="e">
        <f>AND(#REF!,"AAAAAD/+/5s=")</f>
        <v>#REF!</v>
      </c>
      <c r="FA21" t="e">
        <f>AND(#REF!,"AAAAAD/+/5w=")</f>
        <v>#REF!</v>
      </c>
      <c r="FB21" t="e">
        <f>AND(#REF!,"AAAAAD/+/50=")</f>
        <v>#REF!</v>
      </c>
      <c r="FC21" t="e">
        <f>IF(#REF!,"AAAAAD/+/54=",0)</f>
        <v>#REF!</v>
      </c>
      <c r="FD21" t="e">
        <f>AND(#REF!,"AAAAAD/+/58=")</f>
        <v>#REF!</v>
      </c>
      <c r="FE21" t="e">
        <f>AND(#REF!,"AAAAAD/+/6A=")</f>
        <v>#REF!</v>
      </c>
      <c r="FF21" t="e">
        <f>AND(#REF!,"AAAAAD/+/6E=")</f>
        <v>#REF!</v>
      </c>
      <c r="FG21" t="e">
        <f>AND(#REF!,"AAAAAD/+/6I=")</f>
        <v>#REF!</v>
      </c>
      <c r="FH21" t="e">
        <f>AND(#REF!,"AAAAAD/+/6M=")</f>
        <v>#REF!</v>
      </c>
      <c r="FI21" t="e">
        <f>AND(#REF!,"AAAAAD/+/6Q=")</f>
        <v>#REF!</v>
      </c>
      <c r="FJ21" t="e">
        <f>AND(#REF!,"AAAAAD/+/6U=")</f>
        <v>#REF!</v>
      </c>
      <c r="FK21" t="e">
        <f>AND(#REF!,"AAAAAD/+/6Y=")</f>
        <v>#REF!</v>
      </c>
      <c r="FL21" t="e">
        <f>AND(#REF!,"AAAAAD/+/6c=")</f>
        <v>#REF!</v>
      </c>
      <c r="FM21" t="e">
        <f>AND(#REF!,"AAAAAD/+/6g=")</f>
        <v>#REF!</v>
      </c>
      <c r="FN21" t="e">
        <f>AND(#REF!,"AAAAAD/+/6k=")</f>
        <v>#REF!</v>
      </c>
      <c r="FO21" t="e">
        <f>AND(#REF!,"AAAAAD/+/6o=")</f>
        <v>#REF!</v>
      </c>
      <c r="FP21" t="e">
        <f>AND(#REF!,"AAAAAD/+/6s=")</f>
        <v>#REF!</v>
      </c>
      <c r="FQ21" t="e">
        <f>AND(#REF!,"AAAAAD/+/6w=")</f>
        <v>#REF!</v>
      </c>
      <c r="FR21" t="e">
        <f>AND(#REF!,"AAAAAD/+/60=")</f>
        <v>#REF!</v>
      </c>
      <c r="FS21" t="e">
        <f>AND(#REF!,"AAAAAD/+/64=")</f>
        <v>#REF!</v>
      </c>
      <c r="FT21" t="e">
        <f>AND(#REF!,"AAAAAD/+/68=")</f>
        <v>#REF!</v>
      </c>
      <c r="FU21" t="e">
        <f>AND(#REF!,"AAAAAD/+/7A=")</f>
        <v>#REF!</v>
      </c>
      <c r="FV21" t="e">
        <f>AND(#REF!,"AAAAAD/+/7E=")</f>
        <v>#REF!</v>
      </c>
      <c r="FW21" t="e">
        <f>AND(#REF!,"AAAAAD/+/7I=")</f>
        <v>#REF!</v>
      </c>
      <c r="FX21" t="e">
        <f>AND(#REF!,"AAAAAD/+/7M=")</f>
        <v>#REF!</v>
      </c>
      <c r="FY21" t="e">
        <f>AND(#REF!,"AAAAAD/+/7Q=")</f>
        <v>#REF!</v>
      </c>
      <c r="FZ21" t="e">
        <f>AND(#REF!,"AAAAAD/+/7U=")</f>
        <v>#REF!</v>
      </c>
      <c r="GA21" t="e">
        <f>AND(#REF!,"AAAAAD/+/7Y=")</f>
        <v>#REF!</v>
      </c>
      <c r="GB21" t="e">
        <f>AND(#REF!,"AAAAAD/+/7c=")</f>
        <v>#REF!</v>
      </c>
      <c r="GC21" t="e">
        <f>AND(#REF!,"AAAAAD/+/7g=")</f>
        <v>#REF!</v>
      </c>
      <c r="GD21" t="e">
        <f>AND(#REF!,"AAAAAD/+/7k=")</f>
        <v>#REF!</v>
      </c>
      <c r="GE21" t="e">
        <f>AND(#REF!,"AAAAAD/+/7o=")</f>
        <v>#REF!</v>
      </c>
      <c r="GF21" t="e">
        <f>AND(#REF!,"AAAAAD/+/7s=")</f>
        <v>#REF!</v>
      </c>
      <c r="GG21" t="e">
        <f>AND(#REF!,"AAAAAD/+/7w=")</f>
        <v>#REF!</v>
      </c>
      <c r="GH21" t="e">
        <f>AND(#REF!,"AAAAAD/+/70=")</f>
        <v>#REF!</v>
      </c>
      <c r="GI21" t="e">
        <f>AND(#REF!,"AAAAAD/+/74=")</f>
        <v>#REF!</v>
      </c>
      <c r="GJ21" t="e">
        <f>AND(#REF!,"AAAAAD/+/78=")</f>
        <v>#REF!</v>
      </c>
      <c r="GK21" t="e">
        <f>AND(#REF!,"AAAAAD/+/8A=")</f>
        <v>#REF!</v>
      </c>
      <c r="GL21" t="e">
        <f>AND(#REF!,"AAAAAD/+/8E=")</f>
        <v>#REF!</v>
      </c>
      <c r="GM21" t="e">
        <f>AND(#REF!,"AAAAAD/+/8I=")</f>
        <v>#REF!</v>
      </c>
      <c r="GN21" t="e">
        <f>IF(#REF!,"AAAAAD/+/8M=",0)</f>
        <v>#REF!</v>
      </c>
      <c r="GO21" t="e">
        <f>AND(#REF!,"AAAAAD/+/8Q=")</f>
        <v>#REF!</v>
      </c>
      <c r="GP21" t="e">
        <f>AND(#REF!,"AAAAAD/+/8U=")</f>
        <v>#REF!</v>
      </c>
      <c r="GQ21" t="e">
        <f>AND(#REF!,"AAAAAD/+/8Y=")</f>
        <v>#REF!</v>
      </c>
      <c r="GR21" t="e">
        <f>AND(#REF!,"AAAAAD/+/8c=")</f>
        <v>#REF!</v>
      </c>
      <c r="GS21" t="e">
        <f>AND(#REF!,"AAAAAD/+/8g=")</f>
        <v>#REF!</v>
      </c>
      <c r="GT21" t="e">
        <f>AND(#REF!,"AAAAAD/+/8k=")</f>
        <v>#REF!</v>
      </c>
      <c r="GU21" t="e">
        <f>AND(#REF!,"AAAAAD/+/8o=")</f>
        <v>#REF!</v>
      </c>
      <c r="GV21" t="e">
        <f>AND(#REF!,"AAAAAD/+/8s=")</f>
        <v>#REF!</v>
      </c>
      <c r="GW21" t="e">
        <f>AND(#REF!,"AAAAAD/+/8w=")</f>
        <v>#REF!</v>
      </c>
      <c r="GX21" t="e">
        <f>AND(#REF!,"AAAAAD/+/80=")</f>
        <v>#REF!</v>
      </c>
      <c r="GY21" t="e">
        <f>AND(#REF!,"AAAAAD/+/84=")</f>
        <v>#REF!</v>
      </c>
      <c r="GZ21" t="e">
        <f>AND(#REF!,"AAAAAD/+/88=")</f>
        <v>#REF!</v>
      </c>
      <c r="HA21" t="e">
        <f>AND(#REF!,"AAAAAD/+/9A=")</f>
        <v>#REF!</v>
      </c>
      <c r="HB21" t="e">
        <f>AND(#REF!,"AAAAAD/+/9E=")</f>
        <v>#REF!</v>
      </c>
      <c r="HC21" t="e">
        <f>AND(#REF!,"AAAAAD/+/9I=")</f>
        <v>#REF!</v>
      </c>
      <c r="HD21" t="e">
        <f>AND(#REF!,"AAAAAD/+/9M=")</f>
        <v>#REF!</v>
      </c>
      <c r="HE21" t="e">
        <f>AND(#REF!,"AAAAAD/+/9Q=")</f>
        <v>#REF!</v>
      </c>
      <c r="HF21" t="e">
        <f>AND(#REF!,"AAAAAD/+/9U=")</f>
        <v>#REF!</v>
      </c>
      <c r="HG21" t="e">
        <f>AND(#REF!,"AAAAAD/+/9Y=")</f>
        <v>#REF!</v>
      </c>
      <c r="HH21" t="e">
        <f>AND(#REF!,"AAAAAD/+/9c=")</f>
        <v>#REF!</v>
      </c>
      <c r="HI21" t="e">
        <f>AND(#REF!,"AAAAAD/+/9g=")</f>
        <v>#REF!</v>
      </c>
      <c r="HJ21" t="e">
        <f>AND(#REF!,"AAAAAD/+/9k=")</f>
        <v>#REF!</v>
      </c>
      <c r="HK21" t="e">
        <f>AND(#REF!,"AAAAAD/+/9o=")</f>
        <v>#REF!</v>
      </c>
      <c r="HL21" t="e">
        <f>AND(#REF!,"AAAAAD/+/9s=")</f>
        <v>#REF!</v>
      </c>
      <c r="HM21" t="e">
        <f>AND(#REF!,"AAAAAD/+/9w=")</f>
        <v>#REF!</v>
      </c>
      <c r="HN21" t="e">
        <f>AND(#REF!,"AAAAAD/+/90=")</f>
        <v>#REF!</v>
      </c>
      <c r="HO21" t="e">
        <f>AND(#REF!,"AAAAAD/+/94=")</f>
        <v>#REF!</v>
      </c>
      <c r="HP21" t="e">
        <f>AND(#REF!,"AAAAAD/+/98=")</f>
        <v>#REF!</v>
      </c>
      <c r="HQ21" t="e">
        <f>AND(#REF!,"AAAAAD/+/+A=")</f>
        <v>#REF!</v>
      </c>
      <c r="HR21" t="e">
        <f>AND(#REF!,"AAAAAD/+/+E=")</f>
        <v>#REF!</v>
      </c>
      <c r="HS21" t="e">
        <f>AND(#REF!,"AAAAAD/+/+I=")</f>
        <v>#REF!</v>
      </c>
      <c r="HT21" t="e">
        <f>AND(#REF!,"AAAAAD/+/+M=")</f>
        <v>#REF!</v>
      </c>
      <c r="HU21" t="e">
        <f>AND(#REF!,"AAAAAD/+/+Q=")</f>
        <v>#REF!</v>
      </c>
      <c r="HV21" t="e">
        <f>AND(#REF!,"AAAAAD/+/+U=")</f>
        <v>#REF!</v>
      </c>
      <c r="HW21" t="e">
        <f>AND(#REF!,"AAAAAD/+/+Y=")</f>
        <v>#REF!</v>
      </c>
      <c r="HX21" t="e">
        <f>AND(#REF!,"AAAAAD/+/+c=")</f>
        <v>#REF!</v>
      </c>
      <c r="HY21" t="e">
        <f>IF(#REF!,"AAAAAD/+/+g=",0)</f>
        <v>#REF!</v>
      </c>
      <c r="HZ21" t="e">
        <f>AND(#REF!,"AAAAAD/+/+k=")</f>
        <v>#REF!</v>
      </c>
      <c r="IA21" t="e">
        <f>AND(#REF!,"AAAAAD/+/+o=")</f>
        <v>#REF!</v>
      </c>
      <c r="IB21" t="e">
        <f>AND(#REF!,"AAAAAD/+/+s=")</f>
        <v>#REF!</v>
      </c>
      <c r="IC21" t="e">
        <f>AND(#REF!,"AAAAAD/+/+w=")</f>
        <v>#REF!</v>
      </c>
      <c r="ID21" t="e">
        <f>AND(#REF!,"AAAAAD/+/+0=")</f>
        <v>#REF!</v>
      </c>
      <c r="IE21" t="e">
        <f>AND(#REF!,"AAAAAD/+/+4=")</f>
        <v>#REF!</v>
      </c>
      <c r="IF21" t="e">
        <f>AND(#REF!,"AAAAAD/+/+8=")</f>
        <v>#REF!</v>
      </c>
      <c r="IG21" t="e">
        <f>AND(#REF!,"AAAAAD/+//A=")</f>
        <v>#REF!</v>
      </c>
      <c r="IH21" t="e">
        <f>AND(#REF!,"AAAAAD/+//E=")</f>
        <v>#REF!</v>
      </c>
      <c r="II21" t="e">
        <f>AND(#REF!,"AAAAAD/+//I=")</f>
        <v>#REF!</v>
      </c>
      <c r="IJ21" t="e">
        <f>AND(#REF!,"AAAAAD/+//M=")</f>
        <v>#REF!</v>
      </c>
      <c r="IK21" t="e">
        <f>AND(#REF!,"AAAAAD/+//Q=")</f>
        <v>#REF!</v>
      </c>
      <c r="IL21" t="e">
        <f>AND(#REF!,"AAAAAD/+//U=")</f>
        <v>#REF!</v>
      </c>
      <c r="IM21" t="e">
        <f>AND(#REF!,"AAAAAD/+//Y=")</f>
        <v>#REF!</v>
      </c>
      <c r="IN21" t="e">
        <f>AND(#REF!,"AAAAAD/+//c=")</f>
        <v>#REF!</v>
      </c>
      <c r="IO21" t="e">
        <f>AND(#REF!,"AAAAAD/+//g=")</f>
        <v>#REF!</v>
      </c>
      <c r="IP21" t="e">
        <f>AND(#REF!,"AAAAAD/+//k=")</f>
        <v>#REF!</v>
      </c>
      <c r="IQ21" t="e">
        <f>AND(#REF!,"AAAAAD/+//o=")</f>
        <v>#REF!</v>
      </c>
      <c r="IR21" t="e">
        <f>AND(#REF!,"AAAAAD/+//s=")</f>
        <v>#REF!</v>
      </c>
      <c r="IS21" t="e">
        <f>AND(#REF!,"AAAAAD/+//w=")</f>
        <v>#REF!</v>
      </c>
      <c r="IT21" t="e">
        <f>AND(#REF!,"AAAAAD/+//0=")</f>
        <v>#REF!</v>
      </c>
      <c r="IU21" t="e">
        <f>AND(#REF!,"AAAAAD/+//4=")</f>
        <v>#REF!</v>
      </c>
      <c r="IV21" t="e">
        <f>AND(#REF!,"AAAAAD/+//8=")</f>
        <v>#REF!</v>
      </c>
    </row>
    <row r="22" spans="1:256">
      <c r="A22" t="e">
        <f>AND(#REF!,"AAAAAH//wwA=")</f>
        <v>#REF!</v>
      </c>
      <c r="B22" t="e">
        <f>AND(#REF!,"AAAAAH//wwE=")</f>
        <v>#REF!</v>
      </c>
      <c r="C22" t="e">
        <f>AND(#REF!,"AAAAAH//wwI=")</f>
        <v>#REF!</v>
      </c>
      <c r="D22" t="e">
        <f>AND(#REF!,"AAAAAH//wwM=")</f>
        <v>#REF!</v>
      </c>
      <c r="E22" t="e">
        <f>AND(#REF!,"AAAAAH//wwQ=")</f>
        <v>#REF!</v>
      </c>
      <c r="F22" t="e">
        <f>AND(#REF!,"AAAAAH//wwU=")</f>
        <v>#REF!</v>
      </c>
      <c r="G22" t="e">
        <f>AND(#REF!,"AAAAAH//wwY=")</f>
        <v>#REF!</v>
      </c>
      <c r="H22" t="e">
        <f>AND(#REF!,"AAAAAH//wwc=")</f>
        <v>#REF!</v>
      </c>
      <c r="I22" t="e">
        <f>AND(#REF!,"AAAAAH//wwg=")</f>
        <v>#REF!</v>
      </c>
      <c r="J22" t="e">
        <f>AND(#REF!,"AAAAAH//wwk=")</f>
        <v>#REF!</v>
      </c>
      <c r="K22" t="e">
        <f>AND(#REF!,"AAAAAH//wwo=")</f>
        <v>#REF!</v>
      </c>
      <c r="L22" t="e">
        <f>AND(#REF!,"AAAAAH//wws=")</f>
        <v>#REF!</v>
      </c>
      <c r="M22" t="e">
        <f>AND(#REF!,"AAAAAH//www=")</f>
        <v>#REF!</v>
      </c>
      <c r="N22" t="e">
        <f>IF(#REF!,"AAAAAH//ww0=",0)</f>
        <v>#REF!</v>
      </c>
      <c r="O22" t="e">
        <f>AND(#REF!,"AAAAAH//ww4=")</f>
        <v>#REF!</v>
      </c>
      <c r="P22" t="e">
        <f>AND(#REF!,"AAAAAH//ww8=")</f>
        <v>#REF!</v>
      </c>
      <c r="Q22" t="e">
        <f>AND(#REF!,"AAAAAH//wxA=")</f>
        <v>#REF!</v>
      </c>
      <c r="R22" t="e">
        <f>AND(#REF!,"AAAAAH//wxE=")</f>
        <v>#REF!</v>
      </c>
      <c r="S22" t="e">
        <f>AND(#REF!,"AAAAAH//wxI=")</f>
        <v>#REF!</v>
      </c>
      <c r="T22" t="e">
        <f>AND(#REF!,"AAAAAH//wxM=")</f>
        <v>#REF!</v>
      </c>
      <c r="U22" t="e">
        <f>AND(#REF!,"AAAAAH//wxQ=")</f>
        <v>#REF!</v>
      </c>
      <c r="V22" t="e">
        <f>AND(#REF!,"AAAAAH//wxU=")</f>
        <v>#REF!</v>
      </c>
      <c r="W22" t="e">
        <f>AND(#REF!,"AAAAAH//wxY=")</f>
        <v>#REF!</v>
      </c>
      <c r="X22" t="e">
        <f>AND(#REF!,"AAAAAH//wxc=")</f>
        <v>#REF!</v>
      </c>
      <c r="Y22" t="e">
        <f>AND(#REF!,"AAAAAH//wxg=")</f>
        <v>#REF!</v>
      </c>
      <c r="Z22" t="e">
        <f>AND(#REF!,"AAAAAH//wxk=")</f>
        <v>#REF!</v>
      </c>
      <c r="AA22" t="e">
        <f>AND(#REF!,"AAAAAH//wxo=")</f>
        <v>#REF!</v>
      </c>
      <c r="AB22" t="e">
        <f>AND(#REF!,"AAAAAH//wxs=")</f>
        <v>#REF!</v>
      </c>
      <c r="AC22" t="e">
        <f>AND(#REF!,"AAAAAH//wxw=")</f>
        <v>#REF!</v>
      </c>
      <c r="AD22" t="e">
        <f>AND(#REF!,"AAAAAH//wx0=")</f>
        <v>#REF!</v>
      </c>
      <c r="AE22" t="e">
        <f>AND(#REF!,"AAAAAH//wx4=")</f>
        <v>#REF!</v>
      </c>
      <c r="AF22" t="e">
        <f>AND(#REF!,"AAAAAH//wx8=")</f>
        <v>#REF!</v>
      </c>
      <c r="AG22" t="e">
        <f>AND(#REF!,"AAAAAH//wyA=")</f>
        <v>#REF!</v>
      </c>
      <c r="AH22" t="e">
        <f>AND(#REF!,"AAAAAH//wyE=")</f>
        <v>#REF!</v>
      </c>
      <c r="AI22" t="e">
        <f>AND(#REF!,"AAAAAH//wyI=")</f>
        <v>#REF!</v>
      </c>
      <c r="AJ22" t="e">
        <f>AND(#REF!,"AAAAAH//wyM=")</f>
        <v>#REF!</v>
      </c>
      <c r="AK22" t="e">
        <f>AND(#REF!,"AAAAAH//wyQ=")</f>
        <v>#REF!</v>
      </c>
      <c r="AL22" t="e">
        <f>AND(#REF!,"AAAAAH//wyU=")</f>
        <v>#REF!</v>
      </c>
      <c r="AM22" t="e">
        <f>AND(#REF!,"AAAAAH//wyY=")</f>
        <v>#REF!</v>
      </c>
      <c r="AN22" t="e">
        <f>AND(#REF!,"AAAAAH//wyc=")</f>
        <v>#REF!</v>
      </c>
      <c r="AO22" t="e">
        <f>AND(#REF!,"AAAAAH//wyg=")</f>
        <v>#REF!</v>
      </c>
      <c r="AP22" t="e">
        <f>AND(#REF!,"AAAAAH//wyk=")</f>
        <v>#REF!</v>
      </c>
      <c r="AQ22" t="e">
        <f>AND(#REF!,"AAAAAH//wyo=")</f>
        <v>#REF!</v>
      </c>
      <c r="AR22" t="e">
        <f>AND(#REF!,"AAAAAH//wys=")</f>
        <v>#REF!</v>
      </c>
      <c r="AS22" t="e">
        <f>AND(#REF!,"AAAAAH//wyw=")</f>
        <v>#REF!</v>
      </c>
      <c r="AT22" t="e">
        <f>AND(#REF!,"AAAAAH//wy0=")</f>
        <v>#REF!</v>
      </c>
      <c r="AU22" t="e">
        <f>AND(#REF!,"AAAAAH//wy4=")</f>
        <v>#REF!</v>
      </c>
      <c r="AV22" t="e">
        <f>AND(#REF!,"AAAAAH//wy8=")</f>
        <v>#REF!</v>
      </c>
      <c r="AW22" t="e">
        <f>AND(#REF!,"AAAAAH//wzA=")</f>
        <v>#REF!</v>
      </c>
      <c r="AX22" t="e">
        <f>AND(#REF!,"AAAAAH//wzE=")</f>
        <v>#REF!</v>
      </c>
      <c r="AY22" t="e">
        <f>IF(#REF!,"AAAAAH//wzI=",0)</f>
        <v>#REF!</v>
      </c>
      <c r="AZ22" t="e">
        <f>AND(#REF!,"AAAAAH//wzM=")</f>
        <v>#REF!</v>
      </c>
      <c r="BA22" t="e">
        <f>AND(#REF!,"AAAAAH//wzQ=")</f>
        <v>#REF!</v>
      </c>
      <c r="BB22" t="e">
        <f>AND(#REF!,"AAAAAH//wzU=")</f>
        <v>#REF!</v>
      </c>
      <c r="BC22" t="e">
        <f>AND(#REF!,"AAAAAH//wzY=")</f>
        <v>#REF!</v>
      </c>
      <c r="BD22" t="e">
        <f>AND(#REF!,"AAAAAH//wzc=")</f>
        <v>#REF!</v>
      </c>
      <c r="BE22" t="e">
        <f>AND(#REF!,"AAAAAH//wzg=")</f>
        <v>#REF!</v>
      </c>
      <c r="BF22" t="e">
        <f>AND(#REF!,"AAAAAH//wzk=")</f>
        <v>#REF!</v>
      </c>
      <c r="BG22" t="e">
        <f>AND(#REF!,"AAAAAH//wzo=")</f>
        <v>#REF!</v>
      </c>
      <c r="BH22" t="e">
        <f>AND(#REF!,"AAAAAH//wzs=")</f>
        <v>#REF!</v>
      </c>
      <c r="BI22" t="e">
        <f>AND(#REF!,"AAAAAH//wzw=")</f>
        <v>#REF!</v>
      </c>
      <c r="BJ22" t="e">
        <f>AND(#REF!,"AAAAAH//wz0=")</f>
        <v>#REF!</v>
      </c>
      <c r="BK22" t="e">
        <f>AND(#REF!,"AAAAAH//wz4=")</f>
        <v>#REF!</v>
      </c>
      <c r="BL22" t="e">
        <f>AND(#REF!,"AAAAAH//wz8=")</f>
        <v>#REF!</v>
      </c>
      <c r="BM22" t="e">
        <f>AND(#REF!,"AAAAAH//w0A=")</f>
        <v>#REF!</v>
      </c>
      <c r="BN22" t="e">
        <f>AND(#REF!,"AAAAAH//w0E=")</f>
        <v>#REF!</v>
      </c>
      <c r="BO22" t="e">
        <f>AND(#REF!,"AAAAAH//w0I=")</f>
        <v>#REF!</v>
      </c>
      <c r="BP22" t="e">
        <f>AND(#REF!,"AAAAAH//w0M=")</f>
        <v>#REF!</v>
      </c>
      <c r="BQ22" t="e">
        <f>AND(#REF!,"AAAAAH//w0Q=")</f>
        <v>#REF!</v>
      </c>
      <c r="BR22" t="e">
        <f>AND(#REF!,"AAAAAH//w0U=")</f>
        <v>#REF!</v>
      </c>
      <c r="BS22" t="e">
        <f>AND(#REF!,"AAAAAH//w0Y=")</f>
        <v>#REF!</v>
      </c>
      <c r="BT22" t="e">
        <f>AND(#REF!,"AAAAAH//w0c=")</f>
        <v>#REF!</v>
      </c>
      <c r="BU22" t="e">
        <f>AND(#REF!,"AAAAAH//w0g=")</f>
        <v>#REF!</v>
      </c>
      <c r="BV22" t="e">
        <f>AND(#REF!,"AAAAAH//w0k=")</f>
        <v>#REF!</v>
      </c>
      <c r="BW22" t="e">
        <f>AND(#REF!,"AAAAAH//w0o=")</f>
        <v>#REF!</v>
      </c>
      <c r="BX22" t="e">
        <f>AND(#REF!,"AAAAAH//w0s=")</f>
        <v>#REF!</v>
      </c>
      <c r="BY22" t="e">
        <f>AND(#REF!,"AAAAAH//w0w=")</f>
        <v>#REF!</v>
      </c>
      <c r="BZ22" t="e">
        <f>AND(#REF!,"AAAAAH//w00=")</f>
        <v>#REF!</v>
      </c>
      <c r="CA22" t="e">
        <f>AND(#REF!,"AAAAAH//w04=")</f>
        <v>#REF!</v>
      </c>
      <c r="CB22" t="e">
        <f>AND(#REF!,"AAAAAH//w08=")</f>
        <v>#REF!</v>
      </c>
      <c r="CC22" t="e">
        <f>AND(#REF!,"AAAAAH//w1A=")</f>
        <v>#REF!</v>
      </c>
      <c r="CD22" t="e">
        <f>AND(#REF!,"AAAAAH//w1E=")</f>
        <v>#REF!</v>
      </c>
      <c r="CE22" t="e">
        <f>AND(#REF!,"AAAAAH//w1I=")</f>
        <v>#REF!</v>
      </c>
      <c r="CF22" t="e">
        <f>AND(#REF!,"AAAAAH//w1M=")</f>
        <v>#REF!</v>
      </c>
      <c r="CG22" t="e">
        <f>AND(#REF!,"AAAAAH//w1Q=")</f>
        <v>#REF!</v>
      </c>
      <c r="CH22" t="e">
        <f>AND(#REF!,"AAAAAH//w1U=")</f>
        <v>#REF!</v>
      </c>
      <c r="CI22" t="e">
        <f>AND(#REF!,"AAAAAH//w1Y=")</f>
        <v>#REF!</v>
      </c>
      <c r="CJ22" t="e">
        <f>IF(#REF!,"AAAAAH//w1c=",0)</f>
        <v>#REF!</v>
      </c>
      <c r="CK22" t="e">
        <f>AND(#REF!,"AAAAAH//w1g=")</f>
        <v>#REF!</v>
      </c>
      <c r="CL22" t="e">
        <f>AND(#REF!,"AAAAAH//w1k=")</f>
        <v>#REF!</v>
      </c>
      <c r="CM22" t="e">
        <f>AND(#REF!,"AAAAAH//w1o=")</f>
        <v>#REF!</v>
      </c>
      <c r="CN22" t="e">
        <f>AND(#REF!,"AAAAAH//w1s=")</f>
        <v>#REF!</v>
      </c>
      <c r="CO22" t="e">
        <f>AND(#REF!,"AAAAAH//w1w=")</f>
        <v>#REF!</v>
      </c>
      <c r="CP22" t="e">
        <f>AND(#REF!,"AAAAAH//w10=")</f>
        <v>#REF!</v>
      </c>
      <c r="CQ22" t="e">
        <f>AND(#REF!,"AAAAAH//w14=")</f>
        <v>#REF!</v>
      </c>
      <c r="CR22" t="e">
        <f>AND(#REF!,"AAAAAH//w18=")</f>
        <v>#REF!</v>
      </c>
      <c r="CS22" t="e">
        <f>AND(#REF!,"AAAAAH//w2A=")</f>
        <v>#REF!</v>
      </c>
      <c r="CT22" t="e">
        <f>AND(#REF!,"AAAAAH//w2E=")</f>
        <v>#REF!</v>
      </c>
      <c r="CU22" t="e">
        <f>AND(#REF!,"AAAAAH//w2I=")</f>
        <v>#REF!</v>
      </c>
      <c r="CV22" t="e">
        <f>AND(#REF!,"AAAAAH//w2M=")</f>
        <v>#REF!</v>
      </c>
      <c r="CW22" t="e">
        <f>AND(#REF!,"AAAAAH//w2Q=")</f>
        <v>#REF!</v>
      </c>
      <c r="CX22" t="e">
        <f>AND(#REF!,"AAAAAH//w2U=")</f>
        <v>#REF!</v>
      </c>
      <c r="CY22" t="e">
        <f>AND(#REF!,"AAAAAH//w2Y=")</f>
        <v>#REF!</v>
      </c>
      <c r="CZ22" t="e">
        <f>AND(#REF!,"AAAAAH//w2c=")</f>
        <v>#REF!</v>
      </c>
      <c r="DA22" t="e">
        <f>AND(#REF!,"AAAAAH//w2g=")</f>
        <v>#REF!</v>
      </c>
      <c r="DB22" t="e">
        <f>AND(#REF!,"AAAAAH//w2k=")</f>
        <v>#REF!</v>
      </c>
      <c r="DC22" t="e">
        <f>AND(#REF!,"AAAAAH//w2o=")</f>
        <v>#REF!</v>
      </c>
      <c r="DD22" t="e">
        <f>AND(#REF!,"AAAAAH//w2s=")</f>
        <v>#REF!</v>
      </c>
      <c r="DE22" t="e">
        <f>AND(#REF!,"AAAAAH//w2w=")</f>
        <v>#REF!</v>
      </c>
      <c r="DF22" t="e">
        <f>AND(#REF!,"AAAAAH//w20=")</f>
        <v>#REF!</v>
      </c>
      <c r="DG22" t="e">
        <f>AND(#REF!,"AAAAAH//w24=")</f>
        <v>#REF!</v>
      </c>
      <c r="DH22" t="e">
        <f>AND(#REF!,"AAAAAH//w28=")</f>
        <v>#REF!</v>
      </c>
      <c r="DI22" t="e">
        <f>AND(#REF!,"AAAAAH//w3A=")</f>
        <v>#REF!</v>
      </c>
      <c r="DJ22" t="e">
        <f>AND(#REF!,"AAAAAH//w3E=")</f>
        <v>#REF!</v>
      </c>
      <c r="DK22" t="e">
        <f>AND(#REF!,"AAAAAH//w3I=")</f>
        <v>#REF!</v>
      </c>
      <c r="DL22" t="e">
        <f>AND(#REF!,"AAAAAH//w3M=")</f>
        <v>#REF!</v>
      </c>
      <c r="DM22" t="e">
        <f>AND(#REF!,"AAAAAH//w3Q=")</f>
        <v>#REF!</v>
      </c>
      <c r="DN22" t="e">
        <f>AND(#REF!,"AAAAAH//w3U=")</f>
        <v>#REF!</v>
      </c>
      <c r="DO22" t="e">
        <f>AND(#REF!,"AAAAAH//w3Y=")</f>
        <v>#REF!</v>
      </c>
      <c r="DP22" t="e">
        <f>AND(#REF!,"AAAAAH//w3c=")</f>
        <v>#REF!</v>
      </c>
      <c r="DQ22" t="e">
        <f>AND(#REF!,"AAAAAH//w3g=")</f>
        <v>#REF!</v>
      </c>
      <c r="DR22" t="e">
        <f>AND(#REF!,"AAAAAH//w3k=")</f>
        <v>#REF!</v>
      </c>
      <c r="DS22" t="e">
        <f>AND(#REF!,"AAAAAH//w3o=")</f>
        <v>#REF!</v>
      </c>
      <c r="DT22" t="e">
        <f>AND(#REF!,"AAAAAH//w3s=")</f>
        <v>#REF!</v>
      </c>
      <c r="DU22" t="e">
        <f>IF(#REF!,"AAAAAH//w3w=",0)</f>
        <v>#REF!</v>
      </c>
      <c r="DV22" t="e">
        <f>AND(#REF!,"AAAAAH//w30=")</f>
        <v>#REF!</v>
      </c>
      <c r="DW22" t="e">
        <f>AND(#REF!,"AAAAAH//w34=")</f>
        <v>#REF!</v>
      </c>
      <c r="DX22" t="e">
        <f>AND(#REF!,"AAAAAH//w38=")</f>
        <v>#REF!</v>
      </c>
      <c r="DY22" t="e">
        <f>AND(#REF!,"AAAAAH//w4A=")</f>
        <v>#REF!</v>
      </c>
      <c r="DZ22" t="e">
        <f>AND(#REF!,"AAAAAH//w4E=")</f>
        <v>#REF!</v>
      </c>
      <c r="EA22" t="e">
        <f>AND(#REF!,"AAAAAH//w4I=")</f>
        <v>#REF!</v>
      </c>
      <c r="EB22" t="e">
        <f>AND(#REF!,"AAAAAH//w4M=")</f>
        <v>#REF!</v>
      </c>
      <c r="EC22" t="e">
        <f>AND(#REF!,"AAAAAH//w4Q=")</f>
        <v>#REF!</v>
      </c>
      <c r="ED22" t="e">
        <f>AND(#REF!,"AAAAAH//w4U=")</f>
        <v>#REF!</v>
      </c>
      <c r="EE22" t="e">
        <f>AND(#REF!,"AAAAAH//w4Y=")</f>
        <v>#REF!</v>
      </c>
      <c r="EF22" t="e">
        <f>AND(#REF!,"AAAAAH//w4c=")</f>
        <v>#REF!</v>
      </c>
      <c r="EG22" t="e">
        <f>AND(#REF!,"AAAAAH//w4g=")</f>
        <v>#REF!</v>
      </c>
      <c r="EH22" t="e">
        <f>AND(#REF!,"AAAAAH//w4k=")</f>
        <v>#REF!</v>
      </c>
      <c r="EI22" t="e">
        <f>AND(#REF!,"AAAAAH//w4o=")</f>
        <v>#REF!</v>
      </c>
      <c r="EJ22" t="e">
        <f>AND(#REF!,"AAAAAH//w4s=")</f>
        <v>#REF!</v>
      </c>
      <c r="EK22" t="e">
        <f>AND(#REF!,"AAAAAH//w4w=")</f>
        <v>#REF!</v>
      </c>
      <c r="EL22" t="e">
        <f>AND(#REF!,"AAAAAH//w40=")</f>
        <v>#REF!</v>
      </c>
      <c r="EM22" t="e">
        <f>AND(#REF!,"AAAAAH//w44=")</f>
        <v>#REF!</v>
      </c>
      <c r="EN22" t="e">
        <f>AND(#REF!,"AAAAAH//w48=")</f>
        <v>#REF!</v>
      </c>
      <c r="EO22" t="e">
        <f>AND(#REF!,"AAAAAH//w5A=")</f>
        <v>#REF!</v>
      </c>
      <c r="EP22" t="e">
        <f>AND(#REF!,"AAAAAH//w5E=")</f>
        <v>#REF!</v>
      </c>
      <c r="EQ22" t="e">
        <f>AND(#REF!,"AAAAAH//w5I=")</f>
        <v>#REF!</v>
      </c>
      <c r="ER22" t="e">
        <f>AND(#REF!,"AAAAAH//w5M=")</f>
        <v>#REF!</v>
      </c>
      <c r="ES22" t="e">
        <f>AND(#REF!,"AAAAAH//w5Q=")</f>
        <v>#REF!</v>
      </c>
      <c r="ET22" t="e">
        <f>AND(#REF!,"AAAAAH//w5U=")</f>
        <v>#REF!</v>
      </c>
      <c r="EU22" t="e">
        <f>AND(#REF!,"AAAAAH//w5Y=")</f>
        <v>#REF!</v>
      </c>
      <c r="EV22" t="e">
        <f>AND(#REF!,"AAAAAH//w5c=")</f>
        <v>#REF!</v>
      </c>
      <c r="EW22" t="e">
        <f>AND(#REF!,"AAAAAH//w5g=")</f>
        <v>#REF!</v>
      </c>
      <c r="EX22" t="e">
        <f>AND(#REF!,"AAAAAH//w5k=")</f>
        <v>#REF!</v>
      </c>
      <c r="EY22" t="e">
        <f>AND(#REF!,"AAAAAH//w5o=")</f>
        <v>#REF!</v>
      </c>
      <c r="EZ22" t="e">
        <f>AND(#REF!,"AAAAAH//w5s=")</f>
        <v>#REF!</v>
      </c>
      <c r="FA22" t="e">
        <f>AND(#REF!,"AAAAAH//w5w=")</f>
        <v>#REF!</v>
      </c>
      <c r="FB22" t="e">
        <f>AND(#REF!,"AAAAAH//w50=")</f>
        <v>#REF!</v>
      </c>
      <c r="FC22" t="e">
        <f>AND(#REF!,"AAAAAH//w54=")</f>
        <v>#REF!</v>
      </c>
      <c r="FD22" t="e">
        <f>AND(#REF!,"AAAAAH//w58=")</f>
        <v>#REF!</v>
      </c>
      <c r="FE22" t="e">
        <f>AND(#REF!,"AAAAAH//w6A=")</f>
        <v>#REF!</v>
      </c>
      <c r="FF22" t="e">
        <f>IF(#REF!,"AAAAAH//w6E=",0)</f>
        <v>#REF!</v>
      </c>
      <c r="FG22" t="e">
        <f>AND(#REF!,"AAAAAH//w6I=")</f>
        <v>#REF!</v>
      </c>
      <c r="FH22" t="e">
        <f>AND(#REF!,"AAAAAH//w6M=")</f>
        <v>#REF!</v>
      </c>
      <c r="FI22" t="e">
        <f>AND(#REF!,"AAAAAH//w6Q=")</f>
        <v>#REF!</v>
      </c>
      <c r="FJ22" t="e">
        <f>AND(#REF!,"AAAAAH//w6U=")</f>
        <v>#REF!</v>
      </c>
      <c r="FK22" t="e">
        <f>AND(#REF!,"AAAAAH//w6Y=")</f>
        <v>#REF!</v>
      </c>
      <c r="FL22" t="e">
        <f>AND(#REF!,"AAAAAH//w6c=")</f>
        <v>#REF!</v>
      </c>
      <c r="FM22" t="e">
        <f>AND(#REF!,"AAAAAH//w6g=")</f>
        <v>#REF!</v>
      </c>
      <c r="FN22" t="e">
        <f>AND(#REF!,"AAAAAH//w6k=")</f>
        <v>#REF!</v>
      </c>
      <c r="FO22" t="e">
        <f>AND(#REF!,"AAAAAH//w6o=")</f>
        <v>#REF!</v>
      </c>
      <c r="FP22" t="e">
        <f>AND(#REF!,"AAAAAH//w6s=")</f>
        <v>#REF!</v>
      </c>
      <c r="FQ22" t="e">
        <f>AND(#REF!,"AAAAAH//w6w=")</f>
        <v>#REF!</v>
      </c>
      <c r="FR22" t="e">
        <f>AND(#REF!,"AAAAAH//w60=")</f>
        <v>#REF!</v>
      </c>
      <c r="FS22" t="e">
        <f>AND(#REF!,"AAAAAH//w64=")</f>
        <v>#REF!</v>
      </c>
      <c r="FT22" t="e">
        <f>AND(#REF!,"AAAAAH//w68=")</f>
        <v>#REF!</v>
      </c>
      <c r="FU22" t="e">
        <f>AND(#REF!,"AAAAAH//w7A=")</f>
        <v>#REF!</v>
      </c>
      <c r="FV22" t="e">
        <f>AND(#REF!,"AAAAAH//w7E=")</f>
        <v>#REF!</v>
      </c>
      <c r="FW22" t="e">
        <f>AND(#REF!,"AAAAAH//w7I=")</f>
        <v>#REF!</v>
      </c>
      <c r="FX22" t="e">
        <f>AND(#REF!,"AAAAAH//w7M=")</f>
        <v>#REF!</v>
      </c>
      <c r="FY22" t="e">
        <f>AND(#REF!,"AAAAAH//w7Q=")</f>
        <v>#REF!</v>
      </c>
      <c r="FZ22" t="e">
        <f>AND(#REF!,"AAAAAH//w7U=")</f>
        <v>#REF!</v>
      </c>
      <c r="GA22" t="e">
        <f>AND(#REF!,"AAAAAH//w7Y=")</f>
        <v>#REF!</v>
      </c>
      <c r="GB22" t="e">
        <f>AND(#REF!,"AAAAAH//w7c=")</f>
        <v>#REF!</v>
      </c>
      <c r="GC22" t="e">
        <f>AND(#REF!,"AAAAAH//w7g=")</f>
        <v>#REF!</v>
      </c>
      <c r="GD22" t="e">
        <f>AND(#REF!,"AAAAAH//w7k=")</f>
        <v>#REF!</v>
      </c>
      <c r="GE22" t="e">
        <f>AND(#REF!,"AAAAAH//w7o=")</f>
        <v>#REF!</v>
      </c>
      <c r="GF22" t="e">
        <f>AND(#REF!,"AAAAAH//w7s=")</f>
        <v>#REF!</v>
      </c>
      <c r="GG22" t="e">
        <f>AND(#REF!,"AAAAAH//w7w=")</f>
        <v>#REF!</v>
      </c>
      <c r="GH22" t="e">
        <f>AND(#REF!,"AAAAAH//w70=")</f>
        <v>#REF!</v>
      </c>
      <c r="GI22" t="e">
        <f>AND(#REF!,"AAAAAH//w74=")</f>
        <v>#REF!</v>
      </c>
      <c r="GJ22" t="e">
        <f>AND(#REF!,"AAAAAH//w78=")</f>
        <v>#REF!</v>
      </c>
      <c r="GK22" t="e">
        <f>AND(#REF!,"AAAAAH//w8A=")</f>
        <v>#REF!</v>
      </c>
      <c r="GL22" t="e">
        <f>AND(#REF!,"AAAAAH//w8E=")</f>
        <v>#REF!</v>
      </c>
      <c r="GM22" t="e">
        <f>AND(#REF!,"AAAAAH//w8I=")</f>
        <v>#REF!</v>
      </c>
      <c r="GN22" t="e">
        <f>AND(#REF!,"AAAAAH//w8M=")</f>
        <v>#REF!</v>
      </c>
      <c r="GO22" t="e">
        <f>AND(#REF!,"AAAAAH//w8Q=")</f>
        <v>#REF!</v>
      </c>
      <c r="GP22" t="e">
        <f>AND(#REF!,"AAAAAH//w8U=")</f>
        <v>#REF!</v>
      </c>
      <c r="GQ22" t="e">
        <f>IF(#REF!,"AAAAAH//w8Y=",0)</f>
        <v>#REF!</v>
      </c>
      <c r="GR22" t="e">
        <f>AND(#REF!,"AAAAAH//w8c=")</f>
        <v>#REF!</v>
      </c>
      <c r="GS22" t="e">
        <f>AND(#REF!,"AAAAAH//w8g=")</f>
        <v>#REF!</v>
      </c>
      <c r="GT22" t="e">
        <f>AND(#REF!,"AAAAAH//w8k=")</f>
        <v>#REF!</v>
      </c>
      <c r="GU22" t="e">
        <f>AND(#REF!,"AAAAAH//w8o=")</f>
        <v>#REF!</v>
      </c>
      <c r="GV22" t="e">
        <f>AND(#REF!,"AAAAAH//w8s=")</f>
        <v>#REF!</v>
      </c>
      <c r="GW22" t="e">
        <f>AND(#REF!,"AAAAAH//w8w=")</f>
        <v>#REF!</v>
      </c>
      <c r="GX22" t="e">
        <f>AND(#REF!,"AAAAAH//w80=")</f>
        <v>#REF!</v>
      </c>
      <c r="GY22" t="e">
        <f>AND(#REF!,"AAAAAH//w84=")</f>
        <v>#REF!</v>
      </c>
      <c r="GZ22" t="e">
        <f>AND(#REF!,"AAAAAH//w88=")</f>
        <v>#REF!</v>
      </c>
      <c r="HA22" t="e">
        <f>AND(#REF!,"AAAAAH//w9A=")</f>
        <v>#REF!</v>
      </c>
      <c r="HB22" t="e">
        <f>AND(#REF!,"AAAAAH//w9E=")</f>
        <v>#REF!</v>
      </c>
      <c r="HC22" t="e">
        <f>AND(#REF!,"AAAAAH//w9I=")</f>
        <v>#REF!</v>
      </c>
      <c r="HD22" t="e">
        <f>AND(#REF!,"AAAAAH//w9M=")</f>
        <v>#REF!</v>
      </c>
      <c r="HE22" t="e">
        <f>AND(#REF!,"AAAAAH//w9Q=")</f>
        <v>#REF!</v>
      </c>
      <c r="HF22" t="e">
        <f>AND(#REF!,"AAAAAH//w9U=")</f>
        <v>#REF!</v>
      </c>
      <c r="HG22" t="e">
        <f>AND(#REF!,"AAAAAH//w9Y=")</f>
        <v>#REF!</v>
      </c>
      <c r="HH22" t="e">
        <f>AND(#REF!,"AAAAAH//w9c=")</f>
        <v>#REF!</v>
      </c>
      <c r="HI22" t="e">
        <f>AND(#REF!,"AAAAAH//w9g=")</f>
        <v>#REF!</v>
      </c>
      <c r="HJ22" t="e">
        <f>AND(#REF!,"AAAAAH//w9k=")</f>
        <v>#REF!</v>
      </c>
      <c r="HK22" t="e">
        <f>AND(#REF!,"AAAAAH//w9o=")</f>
        <v>#REF!</v>
      </c>
      <c r="HL22" t="e">
        <f>AND(#REF!,"AAAAAH//w9s=")</f>
        <v>#REF!</v>
      </c>
      <c r="HM22" t="e">
        <f>AND(#REF!,"AAAAAH//w9w=")</f>
        <v>#REF!</v>
      </c>
      <c r="HN22" t="e">
        <f>AND(#REF!,"AAAAAH//w90=")</f>
        <v>#REF!</v>
      </c>
      <c r="HO22" t="e">
        <f>AND(#REF!,"AAAAAH//w94=")</f>
        <v>#REF!</v>
      </c>
      <c r="HP22" t="e">
        <f>AND(#REF!,"AAAAAH//w98=")</f>
        <v>#REF!</v>
      </c>
      <c r="HQ22" t="e">
        <f>AND(#REF!,"AAAAAH//w+A=")</f>
        <v>#REF!</v>
      </c>
      <c r="HR22" t="e">
        <f>AND(#REF!,"AAAAAH//w+E=")</f>
        <v>#REF!</v>
      </c>
      <c r="HS22" t="e">
        <f>AND(#REF!,"AAAAAH//w+I=")</f>
        <v>#REF!</v>
      </c>
      <c r="HT22" t="e">
        <f>AND(#REF!,"AAAAAH//w+M=")</f>
        <v>#REF!</v>
      </c>
      <c r="HU22" t="e">
        <f>AND(#REF!,"AAAAAH//w+Q=")</f>
        <v>#REF!</v>
      </c>
      <c r="HV22" t="e">
        <f>AND(#REF!,"AAAAAH//w+U=")</f>
        <v>#REF!</v>
      </c>
      <c r="HW22" t="e">
        <f>AND(#REF!,"AAAAAH//w+Y=")</f>
        <v>#REF!</v>
      </c>
      <c r="HX22" t="e">
        <f>AND(#REF!,"AAAAAH//w+c=")</f>
        <v>#REF!</v>
      </c>
      <c r="HY22" t="e">
        <f>AND(#REF!,"AAAAAH//w+g=")</f>
        <v>#REF!</v>
      </c>
      <c r="HZ22" t="e">
        <f>AND(#REF!,"AAAAAH//w+k=")</f>
        <v>#REF!</v>
      </c>
      <c r="IA22" t="e">
        <f>AND(#REF!,"AAAAAH//w+o=")</f>
        <v>#REF!</v>
      </c>
      <c r="IB22" t="e">
        <f>IF(#REF!,"AAAAAH//w+s=",0)</f>
        <v>#REF!</v>
      </c>
      <c r="IC22" t="e">
        <f>AND(#REF!,"AAAAAH//w+w=")</f>
        <v>#REF!</v>
      </c>
      <c r="ID22" t="e">
        <f>AND(#REF!,"AAAAAH//w+0=")</f>
        <v>#REF!</v>
      </c>
      <c r="IE22" t="e">
        <f>AND(#REF!,"AAAAAH//w+4=")</f>
        <v>#REF!</v>
      </c>
      <c r="IF22" t="e">
        <f>AND(#REF!,"AAAAAH//w+8=")</f>
        <v>#REF!</v>
      </c>
      <c r="IG22" t="e">
        <f>AND(#REF!,"AAAAAH//w/A=")</f>
        <v>#REF!</v>
      </c>
      <c r="IH22" t="e">
        <f>AND(#REF!,"AAAAAH//w/E=")</f>
        <v>#REF!</v>
      </c>
      <c r="II22" t="e">
        <f>AND(#REF!,"AAAAAH//w/I=")</f>
        <v>#REF!</v>
      </c>
      <c r="IJ22" t="e">
        <f>AND(#REF!,"AAAAAH//w/M=")</f>
        <v>#REF!</v>
      </c>
      <c r="IK22" t="e">
        <f>AND(#REF!,"AAAAAH//w/Q=")</f>
        <v>#REF!</v>
      </c>
      <c r="IL22" t="e">
        <f>AND(#REF!,"AAAAAH//w/U=")</f>
        <v>#REF!</v>
      </c>
      <c r="IM22" t="e">
        <f>AND(#REF!,"AAAAAH//w/Y=")</f>
        <v>#REF!</v>
      </c>
      <c r="IN22" t="e">
        <f>AND(#REF!,"AAAAAH//w/c=")</f>
        <v>#REF!</v>
      </c>
      <c r="IO22" t="e">
        <f>AND(#REF!,"AAAAAH//w/g=")</f>
        <v>#REF!</v>
      </c>
      <c r="IP22" t="e">
        <f>AND(#REF!,"AAAAAH//w/k=")</f>
        <v>#REF!</v>
      </c>
      <c r="IQ22" t="e">
        <f>AND(#REF!,"AAAAAH//w/o=")</f>
        <v>#REF!</v>
      </c>
      <c r="IR22" t="e">
        <f>AND(#REF!,"AAAAAH//w/s=")</f>
        <v>#REF!</v>
      </c>
      <c r="IS22" t="e">
        <f>AND(#REF!,"AAAAAH//w/w=")</f>
        <v>#REF!</v>
      </c>
      <c r="IT22" t="e">
        <f>AND(#REF!,"AAAAAH//w/0=")</f>
        <v>#REF!</v>
      </c>
      <c r="IU22" t="e">
        <f>AND(#REF!,"AAAAAH//w/4=")</f>
        <v>#REF!</v>
      </c>
      <c r="IV22" t="e">
        <f>AND(#REF!,"AAAAAH//w/8=")</f>
        <v>#REF!</v>
      </c>
    </row>
    <row r="23" spans="1:256">
      <c r="A23" t="e">
        <f>AND(#REF!,"AAAAABfSdwA=")</f>
        <v>#REF!</v>
      </c>
      <c r="B23" t="e">
        <f>AND(#REF!,"AAAAABfSdwE=")</f>
        <v>#REF!</v>
      </c>
      <c r="C23" t="e">
        <f>AND(#REF!,"AAAAABfSdwI=")</f>
        <v>#REF!</v>
      </c>
      <c r="D23" t="e">
        <f>AND(#REF!,"AAAAABfSdwM=")</f>
        <v>#REF!</v>
      </c>
      <c r="E23" t="e">
        <f>AND(#REF!,"AAAAABfSdwQ=")</f>
        <v>#REF!</v>
      </c>
      <c r="F23" t="e">
        <f>AND(#REF!,"AAAAABfSdwU=")</f>
        <v>#REF!</v>
      </c>
      <c r="G23" t="e">
        <f>AND(#REF!,"AAAAABfSdwY=")</f>
        <v>#REF!</v>
      </c>
      <c r="H23" t="e">
        <f>AND(#REF!,"AAAAABfSdwc=")</f>
        <v>#REF!</v>
      </c>
      <c r="I23" t="e">
        <f>AND(#REF!,"AAAAABfSdwg=")</f>
        <v>#REF!</v>
      </c>
      <c r="J23" t="e">
        <f>AND(#REF!,"AAAAABfSdwk=")</f>
        <v>#REF!</v>
      </c>
      <c r="K23" t="e">
        <f>AND(#REF!,"AAAAABfSdwo=")</f>
        <v>#REF!</v>
      </c>
      <c r="L23" t="e">
        <f>AND(#REF!,"AAAAABfSdws=")</f>
        <v>#REF!</v>
      </c>
      <c r="M23" t="e">
        <f>AND(#REF!,"AAAAABfSdww=")</f>
        <v>#REF!</v>
      </c>
      <c r="N23" t="e">
        <f>AND(#REF!,"AAAAABfSdw0=")</f>
        <v>#REF!</v>
      </c>
      <c r="O23" t="e">
        <f>AND(#REF!,"AAAAABfSdw4=")</f>
        <v>#REF!</v>
      </c>
      <c r="P23" t="e">
        <f>AND(#REF!,"AAAAABfSdw8=")</f>
        <v>#REF!</v>
      </c>
      <c r="Q23" t="e">
        <f>IF(#REF!,"AAAAABfSdxA=",0)</f>
        <v>#REF!</v>
      </c>
      <c r="R23" t="e">
        <f>IF(#REF!,"AAAAABfSdxE=",0)</f>
        <v>#REF!</v>
      </c>
      <c r="S23" t="e">
        <f>IF(#REF!,"AAAAABfSdxI=",0)</f>
        <v>#REF!</v>
      </c>
      <c r="T23" t="e">
        <f>IF(#REF!,"AAAAABfSdxM=",0)</f>
        <v>#REF!</v>
      </c>
      <c r="U23" t="e">
        <f>IF(#REF!,"AAAAABfSdxQ=",0)</f>
        <v>#REF!</v>
      </c>
      <c r="V23" t="e">
        <f>IF(#REF!,"AAAAABfSdxU=",0)</f>
        <v>#REF!</v>
      </c>
      <c r="W23" t="e">
        <f>IF(#REF!,"AAAAABfSdxY=",0)</f>
        <v>#REF!</v>
      </c>
      <c r="X23" t="e">
        <f>IF(#REF!,"AAAAABfSdxc=",0)</f>
        <v>#REF!</v>
      </c>
      <c r="Y23" t="e">
        <f>IF(#REF!,"AAAAABfSdxg=",0)</f>
        <v>#REF!</v>
      </c>
      <c r="Z23" t="e">
        <f>IF(#REF!,"AAAAABfSdxk=",0)</f>
        <v>#REF!</v>
      </c>
      <c r="AA23" t="e">
        <f>IF(#REF!,"AAAAABfSdxo=",0)</f>
        <v>#REF!</v>
      </c>
      <c r="AB23" t="e">
        <f>IF(#REF!,"AAAAABfSdxs=",0)</f>
        <v>#REF!</v>
      </c>
      <c r="AC23" t="e">
        <f>IF(#REF!,"AAAAABfSdxw=",0)</f>
        <v>#REF!</v>
      </c>
      <c r="AD23" t="e">
        <f>IF(#REF!,"AAAAABfSdx0=",0)</f>
        <v>#REF!</v>
      </c>
      <c r="AE23" t="e">
        <f>IF(#REF!,"AAAAABfSdx4=",0)</f>
        <v>#REF!</v>
      </c>
      <c r="AF23" t="e">
        <f>IF(#REF!,"AAAAABfSdx8=",0)</f>
        <v>#REF!</v>
      </c>
      <c r="AG23" t="e">
        <f>IF(#REF!,"AAAAABfSdyA=",0)</f>
        <v>#REF!</v>
      </c>
      <c r="AH23" t="e">
        <f>IF(#REF!,"AAAAABfSdyE=",0)</f>
        <v>#REF!</v>
      </c>
      <c r="AI23" t="e">
        <f>IF(#REF!,"AAAAABfSdyI=",0)</f>
        <v>#REF!</v>
      </c>
      <c r="AJ23" t="e">
        <f>IF(#REF!,"AAAAABfSdyM=",0)</f>
        <v>#REF!</v>
      </c>
      <c r="AK23" t="e">
        <f>IF(#REF!,"AAAAABfSdyQ=",0)</f>
        <v>#REF!</v>
      </c>
      <c r="AL23" t="e">
        <f>IF(#REF!,"AAAAABfSdyU=",0)</f>
        <v>#REF!</v>
      </c>
      <c r="AM23" t="e">
        <f>IF(#REF!,"AAAAABfSdyY=",0)</f>
        <v>#REF!</v>
      </c>
      <c r="AN23" t="e">
        <f>IF(#REF!,"AAAAABfSdyc=",0)</f>
        <v>#REF!</v>
      </c>
      <c r="AO23" t="e">
        <f>IF(#REF!,"AAAAABfSdyg=",0)</f>
        <v>#REF!</v>
      </c>
      <c r="AP23" t="e">
        <f>IF(#REF!,"AAAAABfSdyk=",0)</f>
        <v>#REF!</v>
      </c>
      <c r="AQ23" t="e">
        <f>IF(#REF!,"AAAAABfSdyo=",0)</f>
        <v>#REF!</v>
      </c>
      <c r="AR23" t="e">
        <f>IF(#REF!,"AAAAABfSdys=",0)</f>
        <v>#REF!</v>
      </c>
      <c r="AS23" t="e">
        <f>IF(#REF!,"AAAAABfSdyw=",0)</f>
        <v>#REF!</v>
      </c>
      <c r="AT23" t="e">
        <f>IF(#REF!,"AAAAABfSdy0=",0)</f>
        <v>#REF!</v>
      </c>
      <c r="AU23" t="e">
        <f>IF(#REF!,"AAAAABfSdy4=",0)</f>
        <v>#REF!</v>
      </c>
      <c r="AV23" t="e">
        <f>IF(#REF!,"AAAAABfSdy8=",0)</f>
        <v>#REF!</v>
      </c>
      <c r="AW23" t="e">
        <f>IF(#REF!,"AAAAABfSdzA=",0)</f>
        <v>#REF!</v>
      </c>
      <c r="AX23" t="e">
        <f>IF(#REF!,"AAAAABfSdzE=",0)</f>
        <v>#REF!</v>
      </c>
      <c r="AY23" t="e">
        <f>IF(#REF!,"AAAAABfSdzI=",0)</f>
        <v>#REF!</v>
      </c>
      <c r="AZ23" t="e">
        <f>IF(#REF!,"AAAAABfSdzM=",0)</f>
        <v>#REF!</v>
      </c>
      <c r="BA23" t="e">
        <f>IF(#REF!,"AAAAABfSdzQ=",0)</f>
        <v>#REF!</v>
      </c>
      <c r="BB23" t="e">
        <f>IF(#REF!,"AAAAABfSdzU=",0)</f>
        <v>#REF!</v>
      </c>
      <c r="BC23" t="e">
        <f>IF(#REF!,"AAAAABfSdzY=",0)</f>
        <v>#REF!</v>
      </c>
      <c r="BD23" t="e">
        <f>IF(#REF!,"AAAAABfSdzc=",0)</f>
        <v>#REF!</v>
      </c>
      <c r="BE23" t="e">
        <f>IF(#REF!,"AAAAABfSdzg=",0)</f>
        <v>#REF!</v>
      </c>
      <c r="BF23" t="e">
        <f>IF(#REF!,"AAAAABfSdzk=",0)</f>
        <v>#REF!</v>
      </c>
      <c r="BG23" t="e">
        <f>IF(#REF!,"AAAAABfSdzo=",0)</f>
        <v>#REF!</v>
      </c>
      <c r="BH23" t="e">
        <f>IF(#REF!,"AAAAABfSdzs=",0)</f>
        <v>#REF!</v>
      </c>
      <c r="BI23" t="e">
        <f>IF(#REF!,"AAAAABfSdzw=",0)</f>
        <v>#REF!</v>
      </c>
      <c r="BJ23" t="e">
        <f>IF(#REF!,"AAAAABfSdz0=",0)</f>
        <v>#REF!</v>
      </c>
      <c r="BK23" t="e">
        <f>IF(#REF!,"AAAAABfSdz4=",0)</f>
        <v>#REF!</v>
      </c>
      <c r="BL23" t="e">
        <f>IF(#REF!,"AAAAABfSdz8=",0)</f>
        <v>#REF!</v>
      </c>
      <c r="BM23" t="e">
        <f>IF(#REF!,"AAAAABfSd0A=",0)</f>
        <v>#REF!</v>
      </c>
      <c r="BN23" t="e">
        <f>IF(#REF!,"AAAAABfSd0E=",0)</f>
        <v>#REF!</v>
      </c>
      <c r="BO23" t="e">
        <f>IF(#REF!,"AAAAABfSd0I=",0)</f>
        <v>#REF!</v>
      </c>
      <c r="BP23" t="e">
        <f>IF(#REF!,"AAAAABfSd0M=",0)</f>
        <v>#REF!</v>
      </c>
      <c r="BQ23" t="e">
        <f>IF(#REF!,"AAAAABfSd0Q=",0)</f>
        <v>#REF!</v>
      </c>
      <c r="BR23" t="e">
        <f>IF(#REF!,"AAAAABfSd0U=",0)</f>
        <v>#REF!</v>
      </c>
      <c r="BS23" t="e">
        <f>IF(#REF!,"AAAAABfSd0Y=",0)</f>
        <v>#REF!</v>
      </c>
      <c r="BT23" t="e">
        <f>IF(#REF!,"AAAAABfSd0c=",0)</f>
        <v>#REF!</v>
      </c>
      <c r="BU23" t="e">
        <f>IF(#REF!,"AAAAABfSd0g=",0)</f>
        <v>#REF!</v>
      </c>
      <c r="BV23" t="e">
        <f>IF(#REF!,"AAAAABfSd0k=",0)</f>
        <v>#REF!</v>
      </c>
      <c r="BW23" t="e">
        <f>IF(#REF!,"AAAAABfSd0o=",0)</f>
        <v>#REF!</v>
      </c>
      <c r="BX23" t="e">
        <f>IF(#REF!,"AAAAABfSd0s=",0)</f>
        <v>#REF!</v>
      </c>
      <c r="BY23" t="e">
        <f>IF(#REF!,"AAAAABfSd0w=",0)</f>
        <v>#REF!</v>
      </c>
      <c r="BZ23" t="e">
        <f>IF(#REF!,"AAAAABfSd00=",0)</f>
        <v>#REF!</v>
      </c>
      <c r="CA23" t="e">
        <f>IF(#REF!,"AAAAABfSd04=",0)</f>
        <v>#REF!</v>
      </c>
      <c r="CB23" t="e">
        <f>IF(#REF!,"AAAAABfSd08=",0)</f>
        <v>#REF!</v>
      </c>
      <c r="CC23" t="e">
        <f>IF(#REF!,"AAAAABfSd1A=",0)</f>
        <v>#REF!</v>
      </c>
      <c r="CD23" t="e">
        <f>IF(#REF!,"AAAAABfSd1E=",0)</f>
        <v>#REF!</v>
      </c>
      <c r="CE23" t="e">
        <f>IF(#REF!,"AAAAABfSd1I=",0)</f>
        <v>#REF!</v>
      </c>
      <c r="CF23" t="e">
        <f>IF(#REF!,"AAAAABfSd1M=",0)</f>
        <v>#REF!</v>
      </c>
      <c r="CG23" t="e">
        <f>IF(#REF!,"AAAAABfSd1Q=",0)</f>
        <v>#REF!</v>
      </c>
      <c r="CH23" t="e">
        <f>IF(#REF!,"AAAAABfSd1U=",0)</f>
        <v>#REF!</v>
      </c>
      <c r="CI23" t="e">
        <f>IF(#REF!,"AAAAABfSd1Y=",0)</f>
        <v>#REF!</v>
      </c>
      <c r="CJ23" t="e">
        <f>IF(#REF!,"AAAAABfSd1c=",0)</f>
        <v>#REF!</v>
      </c>
      <c r="CK23" t="e">
        <f>IF(#REF!,"AAAAABfSd1g=",0)</f>
        <v>#REF!</v>
      </c>
      <c r="CL23" t="e">
        <f>IF(#REF!,"AAAAABfSd1k=",0)</f>
        <v>#REF!</v>
      </c>
      <c r="CM23" t="e">
        <f>IF(#REF!,"AAAAABfSd1o=",0)</f>
        <v>#REF!</v>
      </c>
      <c r="CN23" t="e">
        <f>IF(#REF!,"AAAAABfSd1s=",0)</f>
        <v>#REF!</v>
      </c>
      <c r="CO23" t="e">
        <f>IF(#REF!,"AAAAABfSd1w=",0)</f>
        <v>#REF!</v>
      </c>
      <c r="CP23" t="e">
        <f>IF(#REF!,"AAAAABfSd10=",0)</f>
        <v>#REF!</v>
      </c>
      <c r="CQ23" t="e">
        <f>IF(#REF!,"AAAAABfSd14=",0)</f>
        <v>#REF!</v>
      </c>
      <c r="CR23" t="e">
        <f>IF(#REF!,"AAAAABfSd18=",0)</f>
        <v>#REF!</v>
      </c>
      <c r="CS23" t="e">
        <f>IF(#REF!,"AAAAABfSd2A=",0)</f>
        <v>#REF!</v>
      </c>
      <c r="CT23" t="e">
        <f>IF(#REF!,"AAAAABfSd2E=",0)</f>
        <v>#REF!</v>
      </c>
      <c r="CU23" t="e">
        <f>IF(#REF!,"AAAAABfSd2I=",0)</f>
        <v>#REF!</v>
      </c>
      <c r="CV23" t="e">
        <f>IF(#REF!,"AAAAABfSd2M=",0)</f>
        <v>#REF!</v>
      </c>
      <c r="CW23" t="e">
        <f>IF(#REF!,"AAAAABfSd2Q=",0)</f>
        <v>#REF!</v>
      </c>
      <c r="CX23" t="e">
        <f>IF(#REF!,"AAAAABfSd2U=",0)</f>
        <v>#REF!</v>
      </c>
      <c r="CY23" t="e">
        <f>AND(#REF!,"AAAAABfSd2Y=")</f>
        <v>#REF!</v>
      </c>
      <c r="CZ23" t="e">
        <f>IF(#REF!,"AAAAABfSd2c=",0)</f>
        <v>#REF!</v>
      </c>
      <c r="DA23" t="e">
        <f>IF(#REF!,"AAAAABfSd2g=",0)</f>
        <v>#REF!</v>
      </c>
      <c r="DB23" t="e">
        <f>AND(#REF!,"AAAAABfSd2k=")</f>
        <v>#REF!</v>
      </c>
      <c r="DC23" t="e">
        <f>IF(#REF!,"AAAAABfSd2o=",0)</f>
        <v>#REF!</v>
      </c>
      <c r="DD23" t="s">
        <v>2</v>
      </c>
      <c r="DE23" t="s">
        <v>3</v>
      </c>
      <c r="DF23" s="1" t="s">
        <v>4</v>
      </c>
      <c r="DG23" t="e">
        <f>IF("N",[0]!_xlnm._FilterDatabase,"AAAAABfSd24=")</f>
        <v>#VALUE!</v>
      </c>
      <c r="DH23" t="e">
        <f>IF("N",_xludf._xlfn.IFERROR,"AAAAABfSd28=")</f>
        <v>#VALUE!</v>
      </c>
    </row>
    <row r="24" spans="1:256">
      <c r="A24" t="e">
        <f>AND(#REF!,"AAAAAF4t7gA=")</f>
        <v>#REF!</v>
      </c>
      <c r="B24" t="e">
        <f>AND(#REF!,"AAAAAF4t7gE=")</f>
        <v>#REF!</v>
      </c>
      <c r="C24" t="e">
        <f>AND(#REF!,"AAAAAF4t7gI=")</f>
        <v>#REF!</v>
      </c>
      <c r="D24" t="e">
        <f>AND(#REF!,"AAAAAF4t7gM=")</f>
        <v>#REF!</v>
      </c>
      <c r="E24" t="e">
        <f>AND(#REF!,"AAAAAF4t7gQ=")</f>
        <v>#REF!</v>
      </c>
      <c r="F24" t="e">
        <f>AND(#REF!,"AAAAAF4t7gU=")</f>
        <v>#REF!</v>
      </c>
      <c r="G24" t="e">
        <f>AND(#REF!,"AAAAAF4t7gY=")</f>
        <v>#REF!</v>
      </c>
      <c r="H24" t="e">
        <f>AND(#REF!,"AAAAAF4t7gc=")</f>
        <v>#REF!</v>
      </c>
      <c r="I24" t="e">
        <f>AND(#REF!,"AAAAAF4t7gg=")</f>
        <v>#REF!</v>
      </c>
      <c r="J24" t="e">
        <f>AND(#REF!,"AAAAAF4t7gk=")</f>
        <v>#REF!</v>
      </c>
      <c r="K24" t="e">
        <f>AND(#REF!,"AAAAAF4t7go=")</f>
        <v>#REF!</v>
      </c>
      <c r="L24" t="e">
        <f>AND(#REF!,"AAAAAF4t7gs=")</f>
        <v>#REF!</v>
      </c>
      <c r="M24" t="e">
        <f>AND(#REF!,"AAAAAF4t7gw=")</f>
        <v>#REF!</v>
      </c>
      <c r="N24" t="e">
        <f>AND(#REF!,"AAAAAF4t7g0=")</f>
        <v>#REF!</v>
      </c>
      <c r="O24" t="e">
        <f>AND(#REF!,"AAAAAF4t7g4=")</f>
        <v>#REF!</v>
      </c>
      <c r="P24" t="e">
        <f>AND(#REF!,"AAAAAF4t7g8=")</f>
        <v>#REF!</v>
      </c>
      <c r="Q24" t="e">
        <f>AND(#REF!,"AAAAAF4t7hA=")</f>
        <v>#REF!</v>
      </c>
      <c r="R24" t="e">
        <f>AND(#REF!,"AAAAAF4t7hE=")</f>
        <v>#REF!</v>
      </c>
      <c r="S24" t="e">
        <f>AND(#REF!,"AAAAAF4t7hI=")</f>
        <v>#REF!</v>
      </c>
      <c r="T24" t="e">
        <f>AND(#REF!,"AAAAAF4t7hM=")</f>
        <v>#REF!</v>
      </c>
      <c r="U24" t="e">
        <f>AND(#REF!,"AAAAAF4t7hQ=")</f>
        <v>#REF!</v>
      </c>
      <c r="V24" t="e">
        <f>AND(#REF!,"AAAAAF4t7hU=")</f>
        <v>#REF!</v>
      </c>
      <c r="W24" t="e">
        <f>AND(#REF!,"AAAAAF4t7hY=")</f>
        <v>#REF!</v>
      </c>
      <c r="X24" t="e">
        <f>AND(#REF!,"AAAAAF4t7hc=")</f>
        <v>#REF!</v>
      </c>
      <c r="Y24" t="e">
        <f>AND(#REF!,"AAAAAF4t7hg=")</f>
        <v>#REF!</v>
      </c>
      <c r="Z24" t="e">
        <f>AND(#REF!,"AAAAAF4t7hk=")</f>
        <v>#REF!</v>
      </c>
      <c r="AA24" t="e">
        <f>AND(#REF!,"AAAAAF4t7ho=")</f>
        <v>#REF!</v>
      </c>
      <c r="AB24" t="e">
        <f>AND(#REF!,"AAAAAF4t7hs=")</f>
        <v>#REF!</v>
      </c>
      <c r="AC24" t="e">
        <f>AND(#REF!,"AAAAAF4t7hw=")</f>
        <v>#REF!</v>
      </c>
      <c r="AD24" t="e">
        <f>AND(#REF!,"AAAAAF4t7h0=")</f>
        <v>#REF!</v>
      </c>
      <c r="AE24" t="e">
        <f>AND(#REF!,"AAAAAF4t7h4=")</f>
        <v>#REF!</v>
      </c>
      <c r="AF24" t="e">
        <f>AND(#REF!,"AAAAAF4t7h8=")</f>
        <v>#REF!</v>
      </c>
      <c r="AG24" t="e">
        <f>AND(#REF!,"AAAAAF4t7iA=")</f>
        <v>#REF!</v>
      </c>
      <c r="AH24" t="e">
        <f>AND(#REF!,"AAAAAF4t7iE=")</f>
        <v>#REF!</v>
      </c>
      <c r="AI24" t="e">
        <f>AND(#REF!,"AAAAAF4t7iI=")</f>
        <v>#REF!</v>
      </c>
      <c r="AJ24" t="e">
        <f>AND(#REF!,"AAAAAF4t7iM=")</f>
        <v>#REF!</v>
      </c>
      <c r="AK24" t="e">
        <f>AND(#REF!,"AAAAAF4t7iQ=")</f>
        <v>#REF!</v>
      </c>
      <c r="AL24" t="e">
        <f>AND(#REF!,"AAAAAF4t7iU=")</f>
        <v>#REF!</v>
      </c>
      <c r="AM24" t="e">
        <f>AND(#REF!,"AAAAAF4t7iY=")</f>
        <v>#REF!</v>
      </c>
      <c r="AN24" t="e">
        <f>AND(#REF!,"AAAAAF4t7ic=")</f>
        <v>#REF!</v>
      </c>
      <c r="AO24" t="e">
        <f>AND(#REF!,"AAAAAF4t7ig=")</f>
        <v>#REF!</v>
      </c>
      <c r="AP24" t="e">
        <f>AND(#REF!,"AAAAAF4t7ik=")</f>
        <v>#REF!</v>
      </c>
      <c r="AQ24" t="e">
        <f>AND(#REF!,"AAAAAF4t7io=")</f>
        <v>#REF!</v>
      </c>
      <c r="AR24" t="e">
        <f>AND(#REF!,"AAAAAF4t7is=")</f>
        <v>#REF!</v>
      </c>
      <c r="AS24" t="e">
        <f>AND(#REF!,"AAAAAF4t7iw=")</f>
        <v>#REF!</v>
      </c>
      <c r="AT24" t="e">
        <f>AND(#REF!,"AAAAAF4t7i0=")</f>
        <v>#REF!</v>
      </c>
      <c r="AU24" t="e">
        <f>AND(#REF!,"AAAAAF4t7i4=")</f>
        <v>#REF!</v>
      </c>
      <c r="AV24" t="e">
        <f>AND(#REF!,"AAAAAF4t7i8=")</f>
        <v>#REF!</v>
      </c>
      <c r="AW24" t="e">
        <f>AND(#REF!,"AAAAAF4t7jA=")</f>
        <v>#REF!</v>
      </c>
      <c r="AX24" t="e">
        <f>AND(#REF!,"AAAAAF4t7jE=")</f>
        <v>#REF!</v>
      </c>
      <c r="AY24" t="e">
        <f>AND(#REF!,"AAAAAF4t7jI=")</f>
        <v>#REF!</v>
      </c>
      <c r="AZ24" t="e">
        <f>AND(#REF!,"AAAAAF4t7jM=")</f>
        <v>#REF!</v>
      </c>
      <c r="BA24" t="e">
        <f>AND(#REF!,"AAAAAF4t7jQ=")</f>
        <v>#REF!</v>
      </c>
      <c r="BB24" t="e">
        <f>AND(#REF!,"AAAAAF4t7jU=")</f>
        <v>#REF!</v>
      </c>
      <c r="BC24" t="e">
        <f>AND(#REF!,"AAAAAF4t7jY=")</f>
        <v>#REF!</v>
      </c>
      <c r="BD24" t="e">
        <f>AND(#REF!,"AAAAAF4t7jc=")</f>
        <v>#REF!</v>
      </c>
      <c r="BE24" t="e">
        <f>AND(#REF!,"AAAAAF4t7jg=")</f>
        <v>#REF!</v>
      </c>
      <c r="BF24" t="e">
        <f>AND(#REF!,"AAAAAF4t7jk=")</f>
        <v>#REF!</v>
      </c>
      <c r="BG24" t="e">
        <f>AND(#REF!,"AAAAAF4t7jo=")</f>
        <v>#REF!</v>
      </c>
      <c r="BH24" t="e">
        <f>AND(#REF!,"AAAAAF4t7js=")</f>
        <v>#REF!</v>
      </c>
      <c r="BI24" t="e">
        <f>AND(#REF!,"AAAAAF4t7jw=")</f>
        <v>#REF!</v>
      </c>
      <c r="BJ24" t="e">
        <f>AND(#REF!,"AAAAAF4t7j0=")</f>
        <v>#REF!</v>
      </c>
      <c r="BK24" t="e">
        <f>AND(#REF!,"AAAAAF4t7j4=")</f>
        <v>#REF!</v>
      </c>
      <c r="BL24" t="e">
        <f>AND(#REF!,"AAAAAF4t7j8=")</f>
        <v>#REF!</v>
      </c>
      <c r="BM24" t="e">
        <f>AND(#REF!,"AAAAAF4t7kA=")</f>
        <v>#REF!</v>
      </c>
      <c r="BN24" t="e">
        <f>AND(#REF!,"AAAAAF4t7kE=")</f>
        <v>#REF!</v>
      </c>
      <c r="BO24" t="e">
        <f>AND(#REF!,"AAAAAF4t7kI=")</f>
        <v>#REF!</v>
      </c>
      <c r="BP24" t="e">
        <f>AND(#REF!,"AAAAAF4t7kM=")</f>
        <v>#REF!</v>
      </c>
      <c r="BQ24" t="e">
        <f>AND(#REF!,"AAAAAF4t7kQ=")</f>
        <v>#REF!</v>
      </c>
      <c r="BR24" t="e">
        <f>AND(#REF!,"AAAAAF4t7kU=")</f>
        <v>#REF!</v>
      </c>
      <c r="BS24" t="e">
        <f>AND(#REF!,"AAAAAF4t7kY=")</f>
        <v>#REF!</v>
      </c>
      <c r="BT24" t="e">
        <f>AND(#REF!,"AAAAAF4t7kc=")</f>
        <v>#REF!</v>
      </c>
      <c r="BU24" t="e">
        <f>AND(#REF!,"AAAAAF4t7kg=")</f>
        <v>#REF!</v>
      </c>
      <c r="BV24" t="e">
        <f>AND(#REF!,"AAAAAF4t7kk=")</f>
        <v>#REF!</v>
      </c>
      <c r="BW24" t="e">
        <f>AND(#REF!,"AAAAAF4t7ko=")</f>
        <v>#REF!</v>
      </c>
      <c r="BX24" t="e">
        <f>AND(#REF!,"AAAAAF4t7ks=")</f>
        <v>#REF!</v>
      </c>
      <c r="BY24" t="e">
        <f>AND(#REF!,"AAAAAF4t7kw=")</f>
        <v>#REF!</v>
      </c>
      <c r="BZ24" t="e">
        <f>AND(#REF!,"AAAAAF4t7k0=")</f>
        <v>#REF!</v>
      </c>
      <c r="CA24" t="e">
        <f>AND(#REF!,"AAAAAF4t7k4=")</f>
        <v>#REF!</v>
      </c>
      <c r="CB24" t="e">
        <f>AND(#REF!,"AAAAAF4t7k8=")</f>
        <v>#REF!</v>
      </c>
      <c r="CC24" t="e">
        <f>AND(#REF!,"AAAAAF4t7lA=")</f>
        <v>#REF!</v>
      </c>
      <c r="CD24" t="e">
        <f>AND(#REF!,"AAAAAF4t7lE=")</f>
        <v>#REF!</v>
      </c>
      <c r="CE24" t="e">
        <f>AND(#REF!,"AAAAAF4t7lI=")</f>
        <v>#REF!</v>
      </c>
      <c r="CF24" t="e">
        <f>AND(#REF!,"AAAAAF4t7lM=")</f>
        <v>#REF!</v>
      </c>
      <c r="CG24" t="e">
        <f>AND(#REF!,"AAAAAF4t7lQ=")</f>
        <v>#REF!</v>
      </c>
      <c r="CH24" t="e">
        <f>AND(#REF!,"AAAAAF4t7lU=")</f>
        <v>#REF!</v>
      </c>
      <c r="CI24" t="e">
        <f>AND(#REF!,"AAAAAF4t7lY=")</f>
        <v>#REF!</v>
      </c>
      <c r="CJ24" t="e">
        <f>AND(#REF!,"AAAAAF4t7lc=")</f>
        <v>#REF!</v>
      </c>
      <c r="CK24" t="e">
        <f>AND(#REF!,"AAAAAF4t7lg=")</f>
        <v>#REF!</v>
      </c>
      <c r="CL24" t="e">
        <f>AND(#REF!,"AAAAAF4t7lk=")</f>
        <v>#REF!</v>
      </c>
      <c r="CM24" t="e">
        <f>AND(#REF!,"AAAAAF4t7lo=")</f>
        <v>#REF!</v>
      </c>
      <c r="CN24" t="e">
        <f>AND(#REF!,"AAAAAF4t7ls=")</f>
        <v>#REF!</v>
      </c>
      <c r="CO24" t="e">
        <f>AND(#REF!,"AAAAAF4t7lw=")</f>
        <v>#REF!</v>
      </c>
      <c r="CP24" t="e">
        <f>AND(#REF!,"AAAAAF4t7l0=")</f>
        <v>#REF!</v>
      </c>
      <c r="CQ24" t="e">
        <f>AND(#REF!,"AAAAAF4t7l4=")</f>
        <v>#REF!</v>
      </c>
      <c r="CR24" t="e">
        <f>AND(#REF!,"AAAAAF4t7l8=")</f>
        <v>#REF!</v>
      </c>
      <c r="CS24" t="e">
        <f>AND(#REF!,"AAAAAF4t7mA=")</f>
        <v>#REF!</v>
      </c>
      <c r="CT24" t="e">
        <f>AND(#REF!,"AAAAAF4t7mE=")</f>
        <v>#REF!</v>
      </c>
      <c r="CU24" t="e">
        <f>AND(#REF!,"AAAAAF4t7mI=")</f>
        <v>#REF!</v>
      </c>
      <c r="CV24" t="e">
        <f>AND(#REF!,"AAAAAF4t7mM=")</f>
        <v>#REF!</v>
      </c>
      <c r="CW24" t="e">
        <f>AND(#REF!,"AAAAAF4t7mQ=")</f>
        <v>#REF!</v>
      </c>
      <c r="CX24" t="e">
        <f>AND(#REF!,"AAAAAF4t7mU=")</f>
        <v>#REF!</v>
      </c>
      <c r="CY24" t="e">
        <f>AND(#REF!,"AAAAAF4t7mY=")</f>
        <v>#REF!</v>
      </c>
      <c r="CZ24" t="e">
        <f>AND(#REF!,"AAAAAF4t7mc=")</f>
        <v>#REF!</v>
      </c>
      <c r="DA24" t="e">
        <f>AND(#REF!,"AAAAAF4t7mg=")</f>
        <v>#REF!</v>
      </c>
      <c r="DB24" t="e">
        <f>AND(#REF!,"AAAAAF4t7mk=")</f>
        <v>#REF!</v>
      </c>
      <c r="DC24" t="e">
        <f>AND(#REF!,"AAAAAF4t7mo=")</f>
        <v>#REF!</v>
      </c>
      <c r="DD24" t="e">
        <f>AND(#REF!,"AAAAAF4t7ms=")</f>
        <v>#REF!</v>
      </c>
      <c r="DE24" t="e">
        <f>AND(#REF!,"AAAAAF4t7mw=")</f>
        <v>#REF!</v>
      </c>
      <c r="DF24" t="e">
        <f>AND(#REF!,"AAAAAF4t7m0=")</f>
        <v>#REF!</v>
      </c>
      <c r="DG24" t="e">
        <f>AND(#REF!,"AAAAAF4t7m4=")</f>
        <v>#REF!</v>
      </c>
      <c r="DH24" t="e">
        <f>AND(#REF!,"AAAAAF4t7m8=")</f>
        <v>#REF!</v>
      </c>
      <c r="DI24" t="e">
        <f>AND(#REF!,"AAAAAF4t7nA=")</f>
        <v>#REF!</v>
      </c>
      <c r="DJ24" t="e">
        <f>AND(#REF!,"AAAAAF4t7nE=")</f>
        <v>#REF!</v>
      </c>
      <c r="DK24" t="e">
        <f>AND(#REF!,"AAAAAF4t7nI=")</f>
        <v>#REF!</v>
      </c>
      <c r="DL24" t="e">
        <f>AND(#REF!,"AAAAAF4t7nM=")</f>
        <v>#REF!</v>
      </c>
      <c r="DM24" t="e">
        <f>AND(#REF!,"AAAAAF4t7nQ=")</f>
        <v>#REF!</v>
      </c>
      <c r="DN24" t="e">
        <f>AND(#REF!,"AAAAAF4t7nU=")</f>
        <v>#REF!</v>
      </c>
      <c r="DO24" t="e">
        <f>AND(#REF!,"AAAAAF4t7nY=")</f>
        <v>#REF!</v>
      </c>
      <c r="DP24" t="e">
        <f>AND(#REF!,"AAAAAF4t7nc=")</f>
        <v>#REF!</v>
      </c>
      <c r="DQ24" t="e">
        <f>AND(#REF!,"AAAAAF4t7ng=")</f>
        <v>#REF!</v>
      </c>
      <c r="DR24" t="e">
        <f>AND(#REF!,"AAAAAF4t7nk=")</f>
        <v>#REF!</v>
      </c>
      <c r="DS24" t="e">
        <f>AND(#REF!,"AAAAAF4t7no=")</f>
        <v>#REF!</v>
      </c>
      <c r="DT24" t="e">
        <f>AND(#REF!,"AAAAAF4t7ns=")</f>
        <v>#REF!</v>
      </c>
      <c r="DU24" t="e">
        <f>AND(#REF!,"AAAAAF4t7nw=")</f>
        <v>#REF!</v>
      </c>
      <c r="DV24" t="e">
        <f>AND(#REF!,"AAAAAF4t7n0=")</f>
        <v>#REF!</v>
      </c>
      <c r="DW24" t="e">
        <f>AND(#REF!,"AAAAAF4t7n4=")</f>
        <v>#REF!</v>
      </c>
      <c r="DX24" t="e">
        <f>AND(#REF!,"AAAAAF4t7n8=")</f>
        <v>#REF!</v>
      </c>
      <c r="DY24" t="e">
        <f>AND(#REF!,"AAAAAF4t7oA=")</f>
        <v>#REF!</v>
      </c>
      <c r="DZ24" t="e">
        <f>AND(#REF!,"AAAAAF4t7oE=")</f>
        <v>#REF!</v>
      </c>
      <c r="EA24" t="e">
        <f>AND(#REF!,"AAAAAF4t7oI=")</f>
        <v>#REF!</v>
      </c>
      <c r="EB24" t="e">
        <f>AND(#REF!,"AAAAAF4t7oM=")</f>
        <v>#REF!</v>
      </c>
      <c r="EC24" t="e">
        <f>AND(#REF!,"AAAAAF4t7oQ=")</f>
        <v>#REF!</v>
      </c>
      <c r="ED24" t="e">
        <f>AND(#REF!,"AAAAAF4t7oU=")</f>
        <v>#REF!</v>
      </c>
      <c r="EE24" t="e">
        <f>AND(#REF!,"AAAAAF4t7oY=")</f>
        <v>#REF!</v>
      </c>
      <c r="EF24" t="e">
        <f>AND(#REF!,"AAAAAF4t7oc=")</f>
        <v>#REF!</v>
      </c>
      <c r="EG24" t="e">
        <f>AND(#REF!,"AAAAAF4t7og=")</f>
        <v>#REF!</v>
      </c>
      <c r="EH24" t="e">
        <f>AND(#REF!,"AAAAAF4t7ok=")</f>
        <v>#REF!</v>
      </c>
      <c r="EI24" t="e">
        <f>AND(#REF!,"AAAAAF4t7oo=")</f>
        <v>#REF!</v>
      </c>
      <c r="EJ24" t="e">
        <f>AND(#REF!,"AAAAAF4t7os=")</f>
        <v>#REF!</v>
      </c>
      <c r="EK24" t="e">
        <f>AND(#REF!,"AAAAAF4t7ow=")</f>
        <v>#REF!</v>
      </c>
      <c r="EL24" t="e">
        <f>AND(#REF!,"AAAAAF4t7o0=")</f>
        <v>#REF!</v>
      </c>
      <c r="EM24" t="e">
        <f>AND(#REF!,"AAAAAF4t7o4=")</f>
        <v>#REF!</v>
      </c>
      <c r="EN24" t="e">
        <f>AND(#REF!,"AAAAAF4t7o8=")</f>
        <v>#REF!</v>
      </c>
      <c r="EO24" t="e">
        <f>AND(#REF!,"AAAAAF4t7pA=")</f>
        <v>#REF!</v>
      </c>
      <c r="EP24" t="e">
        <f>AND(#REF!,"AAAAAF4t7pE=")</f>
        <v>#REF!</v>
      </c>
      <c r="EQ24" t="e">
        <f>AND(#REF!,"AAAAAF4t7pI=")</f>
        <v>#REF!</v>
      </c>
      <c r="ER24" t="e">
        <f>AND(#REF!,"AAAAAF4t7pM=")</f>
        <v>#REF!</v>
      </c>
      <c r="ES24" t="e">
        <f>AND(#REF!,"AAAAAF4t7pQ=")</f>
        <v>#REF!</v>
      </c>
      <c r="ET24" t="e">
        <f>AND(#REF!,"AAAAAF4t7pU=")</f>
        <v>#REF!</v>
      </c>
      <c r="EU24" t="e">
        <f>AND(#REF!,"AAAAAF4t7pY=")</f>
        <v>#REF!</v>
      </c>
      <c r="EV24" t="e">
        <f>AND(#REF!,"AAAAAF4t7pc=")</f>
        <v>#REF!</v>
      </c>
      <c r="EW24" t="e">
        <f>AND(#REF!,"AAAAAF4t7pg=")</f>
        <v>#REF!</v>
      </c>
      <c r="EX24" t="e">
        <f>AND(#REF!,"AAAAAF4t7pk=")</f>
        <v>#REF!</v>
      </c>
      <c r="EY24" t="e">
        <f>AND(#REF!,"AAAAAF4t7po=")</f>
        <v>#REF!</v>
      </c>
      <c r="EZ24" t="e">
        <f>AND(#REF!,"AAAAAF4t7ps=")</f>
        <v>#REF!</v>
      </c>
      <c r="FA24" t="e">
        <f>AND(#REF!,"AAAAAF4t7pw=")</f>
        <v>#REF!</v>
      </c>
      <c r="FB24" t="e">
        <f>AND(#REF!,"AAAAAF4t7p0=")</f>
        <v>#REF!</v>
      </c>
      <c r="FC24" t="e">
        <f>AND(#REF!,"AAAAAF4t7p4=")</f>
        <v>#REF!</v>
      </c>
      <c r="FD24" t="e">
        <f>AND(#REF!,"AAAAAF4t7p8=")</f>
        <v>#REF!</v>
      </c>
      <c r="FE24" t="e">
        <f>AND(#REF!,"AAAAAF4t7qA=")</f>
        <v>#REF!</v>
      </c>
      <c r="FF24" t="e">
        <f>AND(#REF!,"AAAAAF4t7qE=")</f>
        <v>#REF!</v>
      </c>
      <c r="FG24" t="e">
        <f>AND(#REF!,"AAAAAF4t7qI=")</f>
        <v>#REF!</v>
      </c>
      <c r="FH24" t="e">
        <f>AND(#REF!,"AAAAAF4t7qM=")</f>
        <v>#REF!</v>
      </c>
      <c r="FI24" t="e">
        <f>AND(#REF!,"AAAAAF4t7qQ=")</f>
        <v>#REF!</v>
      </c>
      <c r="FJ24" t="e">
        <f>AND(#REF!,"AAAAAF4t7qU=")</f>
        <v>#REF!</v>
      </c>
      <c r="FK24" t="e">
        <f>AND(#REF!,"AAAAAF4t7qY=")</f>
        <v>#REF!</v>
      </c>
      <c r="FL24" t="e">
        <f>AND(#REF!,"AAAAAF4t7qc=")</f>
        <v>#REF!</v>
      </c>
      <c r="FM24" t="e">
        <f>AND(#REF!,"AAAAAF4t7qg=")</f>
        <v>#REF!</v>
      </c>
      <c r="FN24" t="e">
        <f>AND(#REF!,"AAAAAF4t7qk=")</f>
        <v>#REF!</v>
      </c>
      <c r="FO24" t="e">
        <f>AND(#REF!,"AAAAAF4t7qo=")</f>
        <v>#REF!</v>
      </c>
      <c r="FP24" t="e">
        <f>AND(#REF!,"AAAAAF4t7qs=")</f>
        <v>#REF!</v>
      </c>
      <c r="FQ24" t="e">
        <f>AND(#REF!,"AAAAAF4t7qw=")</f>
        <v>#REF!</v>
      </c>
      <c r="FR24" t="e">
        <f>AND(#REF!,"AAAAAF4t7q0=")</f>
        <v>#REF!</v>
      </c>
      <c r="FS24" t="e">
        <f>AND(#REF!,"AAAAAF4t7q4=")</f>
        <v>#REF!</v>
      </c>
      <c r="FT24" t="e">
        <f>AND(#REF!,"AAAAAF4t7q8=")</f>
        <v>#REF!</v>
      </c>
      <c r="FU24" t="e">
        <f>AND(#REF!,"AAAAAF4t7rA=")</f>
        <v>#REF!</v>
      </c>
      <c r="FV24" t="e">
        <f>AND(#REF!,"AAAAAF4t7rE=")</f>
        <v>#REF!</v>
      </c>
      <c r="FW24" t="e">
        <f>AND(#REF!,"AAAAAF4t7rI=")</f>
        <v>#REF!</v>
      </c>
      <c r="FX24" t="e">
        <f>AND(#REF!,"AAAAAF4t7rM=")</f>
        <v>#REF!</v>
      </c>
      <c r="FY24" t="e">
        <f>AND(#REF!,"AAAAAF4t7rQ=")</f>
        <v>#REF!</v>
      </c>
      <c r="FZ24" t="e">
        <f>AND(#REF!,"AAAAAF4t7rU=")</f>
        <v>#REF!</v>
      </c>
      <c r="GA24" t="e">
        <f>AND(#REF!,"AAAAAF4t7rY=")</f>
        <v>#REF!</v>
      </c>
      <c r="GB24" t="e">
        <f>AND(#REF!,"AAAAAF4t7rc=")</f>
        <v>#REF!</v>
      </c>
      <c r="GC24" t="e">
        <f>AND(#REF!,"AAAAAF4t7rg=")</f>
        <v>#REF!</v>
      </c>
      <c r="GD24" t="e">
        <f>AND(#REF!,"AAAAAF4t7rk=")</f>
        <v>#REF!</v>
      </c>
      <c r="GE24" t="e">
        <f>AND(#REF!,"AAAAAF4t7ro=")</f>
        <v>#REF!</v>
      </c>
      <c r="GF24" t="e">
        <f>AND(#REF!,"AAAAAF4t7rs=")</f>
        <v>#REF!</v>
      </c>
      <c r="GG24" t="e">
        <f>AND(#REF!,"AAAAAF4t7rw=")</f>
        <v>#REF!</v>
      </c>
      <c r="GH24" t="e">
        <f>AND(#REF!,"AAAAAF4t7r0=")</f>
        <v>#REF!</v>
      </c>
      <c r="GI24" t="e">
        <f>AND(#REF!,"AAAAAF4t7r4=")</f>
        <v>#REF!</v>
      </c>
      <c r="GJ24" t="e">
        <f>AND(#REF!,"AAAAAF4t7r8=")</f>
        <v>#REF!</v>
      </c>
      <c r="GK24" t="e">
        <f>AND(#REF!,"AAAAAF4t7sA=")</f>
        <v>#REF!</v>
      </c>
      <c r="GL24" t="e">
        <f>AND(#REF!,"AAAAAF4t7sE=")</f>
        <v>#REF!</v>
      </c>
      <c r="GM24" t="e">
        <f>AND(#REF!,"AAAAAF4t7sI=")</f>
        <v>#REF!</v>
      </c>
      <c r="GN24" t="e">
        <f>AND(#REF!,"AAAAAF4t7sM=")</f>
        <v>#REF!</v>
      </c>
      <c r="GO24" t="e">
        <f>AND(#REF!,"AAAAAF4t7sQ=")</f>
        <v>#REF!</v>
      </c>
      <c r="GP24" t="e">
        <f>AND(#REF!,"AAAAAF4t7sU=")</f>
        <v>#REF!</v>
      </c>
      <c r="GQ24" t="e">
        <f>AND(#REF!,"AAAAAF4t7sY=")</f>
        <v>#REF!</v>
      </c>
      <c r="GR24" t="e">
        <f>AND(#REF!,"AAAAAF4t7sc=")</f>
        <v>#REF!</v>
      </c>
      <c r="GS24" t="e">
        <f>AND(#REF!,"AAAAAF4t7sg=")</f>
        <v>#REF!</v>
      </c>
      <c r="GT24" t="e">
        <f>AND(#REF!,"AAAAAF4t7sk=")</f>
        <v>#REF!</v>
      </c>
      <c r="GU24" t="e">
        <f>AND(#REF!,"AAAAAF4t7so=")</f>
        <v>#REF!</v>
      </c>
      <c r="GV24" t="e">
        <f>AND(#REF!,"AAAAAF4t7ss=")</f>
        <v>#REF!</v>
      </c>
      <c r="GW24" t="e">
        <f>AND(#REF!,"AAAAAF4t7sw=")</f>
        <v>#REF!</v>
      </c>
      <c r="GX24" t="e">
        <f>AND(#REF!,"AAAAAF4t7s0=")</f>
        <v>#REF!</v>
      </c>
      <c r="GY24" t="e">
        <f>AND(#REF!,"AAAAAF4t7s4=")</f>
        <v>#REF!</v>
      </c>
      <c r="GZ24" t="e">
        <f>AND(#REF!,"AAAAAF4t7s8=")</f>
        <v>#REF!</v>
      </c>
      <c r="HA24" t="e">
        <f>AND(#REF!,"AAAAAF4t7tA=")</f>
        <v>#REF!</v>
      </c>
      <c r="HB24" t="e">
        <f>AND(#REF!,"AAAAAF4t7tE=")</f>
        <v>#REF!</v>
      </c>
      <c r="HC24" t="e">
        <f>AND(#REF!,"AAAAAF4t7tI=")</f>
        <v>#REF!</v>
      </c>
      <c r="HD24" t="e">
        <f>AND(#REF!,"AAAAAF4t7tM=")</f>
        <v>#REF!</v>
      </c>
      <c r="HE24" t="e">
        <f>AND(#REF!,"AAAAAF4t7tQ=")</f>
        <v>#REF!</v>
      </c>
      <c r="HF24" t="e">
        <f>AND(#REF!,"AAAAAF4t7tU=")</f>
        <v>#REF!</v>
      </c>
      <c r="HG24" t="e">
        <f>AND(#REF!,"AAAAAF4t7tY=")</f>
        <v>#REF!</v>
      </c>
      <c r="HH24" t="e">
        <f>AND(#REF!,"AAAAAF4t7tc=")</f>
        <v>#REF!</v>
      </c>
      <c r="HI24" t="e">
        <f>AND(#REF!,"AAAAAF4t7tg=")</f>
        <v>#REF!</v>
      </c>
      <c r="HJ24" t="e">
        <f>AND(#REF!,"AAAAAF4t7tk=")</f>
        <v>#REF!</v>
      </c>
      <c r="HK24" t="e">
        <f>AND(#REF!,"AAAAAF4t7to=")</f>
        <v>#REF!</v>
      </c>
      <c r="HL24" t="e">
        <f>AND(#REF!,"AAAAAF4t7ts=")</f>
        <v>#REF!</v>
      </c>
      <c r="HM24" t="e">
        <f>AND(#REF!,"AAAAAF4t7tw=")</f>
        <v>#REF!</v>
      </c>
      <c r="HN24" t="e">
        <f>AND(#REF!,"AAAAAF4t7t0=")</f>
        <v>#REF!</v>
      </c>
      <c r="HO24" t="e">
        <f>AND(#REF!,"AAAAAF4t7t4=")</f>
        <v>#REF!</v>
      </c>
      <c r="HP24" t="e">
        <f>AND(#REF!,"AAAAAF4t7t8=")</f>
        <v>#REF!</v>
      </c>
      <c r="HQ24" t="e">
        <f>AND(#REF!,"AAAAAF4t7uA=")</f>
        <v>#REF!</v>
      </c>
      <c r="HR24" t="e">
        <f>AND(#REF!,"AAAAAF4t7uE=")</f>
        <v>#REF!</v>
      </c>
      <c r="HS24" t="e">
        <f>AND(#REF!,"AAAAAF4t7uI=")</f>
        <v>#REF!</v>
      </c>
      <c r="HT24" t="e">
        <f>AND(#REF!,"AAAAAF4t7uM=")</f>
        <v>#REF!</v>
      </c>
      <c r="HU24" t="e">
        <f>AND(#REF!,"AAAAAF4t7uQ=")</f>
        <v>#REF!</v>
      </c>
      <c r="HV24" t="e">
        <f>AND(#REF!,"AAAAAF4t7uU=")</f>
        <v>#REF!</v>
      </c>
      <c r="HW24" t="e">
        <f>AND(#REF!,"AAAAAF4t7uY=")</f>
        <v>#REF!</v>
      </c>
      <c r="HX24" t="e">
        <f>AND(#REF!,"AAAAAF4t7uc=")</f>
        <v>#REF!</v>
      </c>
      <c r="HY24" t="e">
        <f>AND(#REF!,"AAAAAF4t7ug=")</f>
        <v>#REF!</v>
      </c>
      <c r="HZ24" t="e">
        <f>AND(#REF!,"AAAAAF4t7uk=")</f>
        <v>#REF!</v>
      </c>
      <c r="IA24" t="e">
        <f>AND(#REF!,"AAAAAF4t7uo=")</f>
        <v>#REF!</v>
      </c>
      <c r="IB24" t="e">
        <f>AND(#REF!,"AAAAAF4t7us=")</f>
        <v>#REF!</v>
      </c>
      <c r="IC24" t="e">
        <f>AND(#REF!,"AAAAAF4t7uw=")</f>
        <v>#REF!</v>
      </c>
      <c r="ID24" t="e">
        <f>AND(#REF!,"AAAAAF4t7u0=")</f>
        <v>#REF!</v>
      </c>
      <c r="IE24" t="e">
        <f>AND(#REF!,"AAAAAF4t7u4=")</f>
        <v>#REF!</v>
      </c>
      <c r="IF24" t="e">
        <f>AND(#REF!,"AAAAAF4t7u8=")</f>
        <v>#REF!</v>
      </c>
      <c r="IG24" t="e">
        <f>AND(#REF!,"AAAAAF4t7vA=")</f>
        <v>#REF!</v>
      </c>
      <c r="IH24" t="e">
        <f>AND(#REF!,"AAAAAF4t7vE=")</f>
        <v>#REF!</v>
      </c>
      <c r="II24" t="e">
        <f>AND(#REF!,"AAAAAF4t7vI=")</f>
        <v>#REF!</v>
      </c>
      <c r="IJ24" t="e">
        <f>AND(#REF!,"AAAAAF4t7vM=")</f>
        <v>#REF!</v>
      </c>
      <c r="IK24" t="e">
        <f>AND(#REF!,"AAAAAF4t7vQ=")</f>
        <v>#REF!</v>
      </c>
      <c r="IL24" t="e">
        <f>AND(#REF!,"AAAAAF4t7vU=")</f>
        <v>#REF!</v>
      </c>
      <c r="IM24" t="e">
        <f>AND(#REF!,"AAAAAF4t7vY=")</f>
        <v>#REF!</v>
      </c>
      <c r="IN24" t="e">
        <f>AND(#REF!,"AAAAAF4t7vc=")</f>
        <v>#REF!</v>
      </c>
      <c r="IO24" t="e">
        <f>AND(#REF!,"AAAAAF4t7vg=")</f>
        <v>#REF!</v>
      </c>
      <c r="IP24" t="e">
        <f>AND(#REF!,"AAAAAF4t7vk=")</f>
        <v>#REF!</v>
      </c>
      <c r="IQ24" t="e">
        <f>AND(#REF!,"AAAAAF4t7vo=")</f>
        <v>#REF!</v>
      </c>
      <c r="IR24" t="e">
        <f>AND(#REF!,"AAAAAF4t7vs=")</f>
        <v>#REF!</v>
      </c>
      <c r="IS24" t="e">
        <f>AND(#REF!,"AAAAAF4t7vw=")</f>
        <v>#REF!</v>
      </c>
      <c r="IT24" t="e">
        <f>AND(#REF!,"AAAAAF4t7v0=")</f>
        <v>#REF!</v>
      </c>
      <c r="IU24" t="e">
        <f>AND(#REF!,"AAAAAF4t7v4=")</f>
        <v>#REF!</v>
      </c>
      <c r="IV24" t="e">
        <f>AND(#REF!,"AAAAAF4t7v8=")</f>
        <v>#REF!</v>
      </c>
    </row>
    <row r="25" spans="1:256">
      <c r="A25" t="e">
        <f>AND(#REF!,"AAAAAH/p/wA=")</f>
        <v>#REF!</v>
      </c>
      <c r="B25" t="e">
        <f>AND(#REF!,"AAAAAH/p/wE=")</f>
        <v>#REF!</v>
      </c>
      <c r="C25" t="e">
        <f>AND(#REF!,"AAAAAH/p/wI=")</f>
        <v>#REF!</v>
      </c>
      <c r="D25" t="e">
        <f>AND(#REF!,"AAAAAH/p/wM=")</f>
        <v>#REF!</v>
      </c>
      <c r="E25" t="e">
        <f>AND(#REF!,"AAAAAH/p/wQ=")</f>
        <v>#REF!</v>
      </c>
      <c r="F25" t="e">
        <f>AND(#REF!,"AAAAAH/p/wU=")</f>
        <v>#REF!</v>
      </c>
      <c r="G25" t="e">
        <f>AND(#REF!,"AAAAAH/p/wY=")</f>
        <v>#REF!</v>
      </c>
      <c r="H25" t="e">
        <f>AND(#REF!,"AAAAAH/p/wc=")</f>
        <v>#REF!</v>
      </c>
      <c r="I25" t="e">
        <f>AND(#REF!,"AAAAAH/p/wg=")</f>
        <v>#REF!</v>
      </c>
      <c r="J25" t="e">
        <f>AND(#REF!,"AAAAAH/p/wk=")</f>
        <v>#REF!</v>
      </c>
      <c r="K25" t="e">
        <f>AND(#REF!,"AAAAAH/p/wo=")</f>
        <v>#REF!</v>
      </c>
      <c r="L25" t="e">
        <f>AND(#REF!,"AAAAAH/p/ws=")</f>
        <v>#REF!</v>
      </c>
      <c r="M25" t="e">
        <f>AND(#REF!,"AAAAAH/p/ww=")</f>
        <v>#REF!</v>
      </c>
      <c r="N25" t="e">
        <f>AND(#REF!,"AAAAAH/p/w0=")</f>
        <v>#REF!</v>
      </c>
      <c r="O25" t="e">
        <f>AND(#REF!,"AAAAAH/p/w4=")</f>
        <v>#REF!</v>
      </c>
      <c r="P25" t="e">
        <f>AND(#REF!,"AAAAAH/p/w8=")</f>
        <v>#REF!</v>
      </c>
      <c r="Q25" t="e">
        <f>AND(#REF!,"AAAAAH/p/xA=")</f>
        <v>#REF!</v>
      </c>
      <c r="R25" t="e">
        <f>AND(#REF!,"AAAAAH/p/xE=")</f>
        <v>#REF!</v>
      </c>
      <c r="S25" t="e">
        <f>AND(#REF!,"AAAAAH/p/xI=")</f>
        <v>#REF!</v>
      </c>
      <c r="T25" t="e">
        <f>AND(#REF!,"AAAAAH/p/xM=")</f>
        <v>#REF!</v>
      </c>
      <c r="U25" t="e">
        <f>AND(#REF!,"AAAAAH/p/xQ=")</f>
        <v>#REF!</v>
      </c>
      <c r="V25" t="e">
        <f>AND(#REF!,"AAAAAH/p/xU=")</f>
        <v>#REF!</v>
      </c>
      <c r="W25" t="e">
        <f>AND(#REF!,"AAAAAH/p/xY=")</f>
        <v>#REF!</v>
      </c>
      <c r="X25" t="e">
        <f>AND(#REF!,"AAAAAH/p/xc=")</f>
        <v>#REF!</v>
      </c>
      <c r="Y25" t="e">
        <f>AND(#REF!,"AAAAAH/p/xg=")</f>
        <v>#REF!</v>
      </c>
      <c r="Z25" t="e">
        <f>AND(#REF!,"AAAAAH/p/xk=")</f>
        <v>#REF!</v>
      </c>
      <c r="AA25" t="e">
        <f>AND(#REF!,"AAAAAH/p/xo=")</f>
        <v>#REF!</v>
      </c>
      <c r="AB25" t="e">
        <f>AND(#REF!,"AAAAAH/p/xs=")</f>
        <v>#REF!</v>
      </c>
      <c r="AC25" t="e">
        <f>AND(#REF!,"AAAAAH/p/xw=")</f>
        <v>#REF!</v>
      </c>
      <c r="AD25" t="e">
        <f>AND(#REF!,"AAAAAH/p/x0=")</f>
        <v>#REF!</v>
      </c>
      <c r="AE25" t="e">
        <f>AND(#REF!,"AAAAAH/p/x4=")</f>
        <v>#REF!</v>
      </c>
      <c r="AF25" t="e">
        <f>AND(#REF!,"AAAAAH/p/x8=")</f>
        <v>#REF!</v>
      </c>
      <c r="AG25" t="e">
        <f>AND(#REF!,"AAAAAH/p/yA=")</f>
        <v>#REF!</v>
      </c>
      <c r="AH25" t="e">
        <f>AND(#REF!,"AAAAAH/p/yE=")</f>
        <v>#REF!</v>
      </c>
      <c r="AI25" t="e">
        <f>AND(#REF!,"AAAAAH/p/yI=")</f>
        <v>#REF!</v>
      </c>
      <c r="AJ25" t="e">
        <f>AND(#REF!,"AAAAAH/p/yM=")</f>
        <v>#REF!</v>
      </c>
      <c r="AK25" t="e">
        <f>AND(#REF!,"AAAAAH/p/yQ=")</f>
        <v>#REF!</v>
      </c>
      <c r="AL25" t="e">
        <f>AND(#REF!,"AAAAAH/p/yU=")</f>
        <v>#REF!</v>
      </c>
      <c r="AM25" t="e">
        <f>AND(#REF!,"AAAAAH/p/yY=")</f>
        <v>#REF!</v>
      </c>
      <c r="AN25" t="e">
        <f>AND(#REF!,"AAAAAH/p/yc=")</f>
        <v>#REF!</v>
      </c>
      <c r="AO25" t="e">
        <f>AND(#REF!,"AAAAAH/p/yg=")</f>
        <v>#REF!</v>
      </c>
      <c r="AP25" t="e">
        <f>AND(#REF!,"AAAAAH/p/yk=")</f>
        <v>#REF!</v>
      </c>
      <c r="AQ25" t="e">
        <f>AND(#REF!,"AAAAAH/p/yo=")</f>
        <v>#REF!</v>
      </c>
      <c r="AR25" t="e">
        <f>AND(#REF!,"AAAAAH/p/ys=")</f>
        <v>#REF!</v>
      </c>
      <c r="AS25" t="e">
        <f>AND(#REF!,"AAAAAH/p/yw=")</f>
        <v>#REF!</v>
      </c>
      <c r="AT25" t="e">
        <f>AND(#REF!,"AAAAAH/p/y0=")</f>
        <v>#REF!</v>
      </c>
      <c r="AU25" t="e">
        <f>AND(#REF!,"AAAAAH/p/y4=")</f>
        <v>#REF!</v>
      </c>
      <c r="AV25" t="e">
        <f>AND(#REF!,"AAAAAH/p/y8=")</f>
        <v>#REF!</v>
      </c>
      <c r="AW25" t="e">
        <f>AND(#REF!,"AAAAAH/p/zA=")</f>
        <v>#REF!</v>
      </c>
      <c r="AX25" t="e">
        <f>AND(#REF!,"AAAAAH/p/zE=")</f>
        <v>#REF!</v>
      </c>
      <c r="AY25" t="e">
        <f>AND(#REF!,"AAAAAH/p/zI=")</f>
        <v>#REF!</v>
      </c>
      <c r="AZ25" t="e">
        <f>AND(#REF!,"AAAAAH/p/zM=")</f>
        <v>#REF!</v>
      </c>
      <c r="BA25" t="e">
        <f>AND(#REF!,"AAAAAH/p/zQ=")</f>
        <v>#REF!</v>
      </c>
      <c r="BB25" t="e">
        <f>AND(#REF!,"AAAAAH/p/zU=")</f>
        <v>#REF!</v>
      </c>
      <c r="BC25" t="e">
        <f>AND(#REF!,"AAAAAH/p/zY=")</f>
        <v>#REF!</v>
      </c>
      <c r="BD25" t="e">
        <f>AND(#REF!,"AAAAAH/p/zc=")</f>
        <v>#REF!</v>
      </c>
      <c r="BE25" t="e">
        <f>AND(#REF!,"AAAAAH/p/zg=")</f>
        <v>#REF!</v>
      </c>
      <c r="BF25" t="e">
        <f>AND(#REF!,"AAAAAH/p/zk=")</f>
        <v>#REF!</v>
      </c>
      <c r="BG25" t="e">
        <f>AND(#REF!,"AAAAAH/p/zo=")</f>
        <v>#REF!</v>
      </c>
      <c r="BH25" t="e">
        <f>AND(#REF!,"AAAAAH/p/zs=")</f>
        <v>#REF!</v>
      </c>
      <c r="BI25" t="e">
        <f>AND(#REF!,"AAAAAH/p/zw=")</f>
        <v>#REF!</v>
      </c>
      <c r="BJ25" t="e">
        <f>AND(#REF!,"AAAAAH/p/z0=")</f>
        <v>#REF!</v>
      </c>
      <c r="BK25" t="e">
        <f>AND(#REF!,"AAAAAH/p/z4=")</f>
        <v>#REF!</v>
      </c>
      <c r="BL25" t="e">
        <f>AND(#REF!,"AAAAAH/p/z8=")</f>
        <v>#REF!</v>
      </c>
      <c r="BM25" t="e">
        <f>AND(#REF!,"AAAAAH/p/0A=")</f>
        <v>#REF!</v>
      </c>
      <c r="BN25" t="e">
        <f>AND(#REF!,"AAAAAH/p/0E=")</f>
        <v>#REF!</v>
      </c>
      <c r="BO25" t="e">
        <f>AND(#REF!,"AAAAAH/p/0I=")</f>
        <v>#REF!</v>
      </c>
      <c r="BP25" t="e">
        <f>AND(#REF!,"AAAAAH/p/0M=")</f>
        <v>#REF!</v>
      </c>
      <c r="BQ25" t="e">
        <f>AND(#REF!,"AAAAAH/p/0Q=")</f>
        <v>#REF!</v>
      </c>
      <c r="BR25" t="e">
        <f>AND(#REF!,"AAAAAH/p/0U=")</f>
        <v>#REF!</v>
      </c>
      <c r="BS25" t="e">
        <f>AND(#REF!,"AAAAAH/p/0Y=")</f>
        <v>#REF!</v>
      </c>
      <c r="BT25" t="e">
        <f>AND(#REF!,"AAAAAH/p/0c=")</f>
        <v>#REF!</v>
      </c>
      <c r="BU25" t="e">
        <f>AND(#REF!,"AAAAAH/p/0g=")</f>
        <v>#REF!</v>
      </c>
      <c r="BV25" t="e">
        <f>AND(#REF!,"AAAAAH/p/0k=")</f>
        <v>#REF!</v>
      </c>
      <c r="BW25" t="e">
        <f>AND(#REF!,"AAAAAH/p/0o=")</f>
        <v>#REF!</v>
      </c>
      <c r="BX25" t="e">
        <f>AND(#REF!,"AAAAAH/p/0s=")</f>
        <v>#REF!</v>
      </c>
      <c r="BY25" t="e">
        <f>AND(#REF!,"AAAAAH/p/0w=")</f>
        <v>#REF!</v>
      </c>
      <c r="BZ25" t="e">
        <f>AND(#REF!,"AAAAAH/p/00=")</f>
        <v>#REF!</v>
      </c>
      <c r="CA25" t="e">
        <f>AND(#REF!,"AAAAAH/p/04=")</f>
        <v>#REF!</v>
      </c>
      <c r="CB25" t="e">
        <f>AND(#REF!,"AAAAAH/p/08=")</f>
        <v>#REF!</v>
      </c>
      <c r="CC25" t="e">
        <f>AND(#REF!,"AAAAAH/p/1A=")</f>
        <v>#REF!</v>
      </c>
      <c r="CD25" t="e">
        <f>AND(#REF!,"AAAAAH/p/1E=")</f>
        <v>#REF!</v>
      </c>
      <c r="CE25" t="e">
        <f>AND(#REF!,"AAAAAH/p/1I=")</f>
        <v>#REF!</v>
      </c>
      <c r="CF25" t="e">
        <f>AND(#REF!,"AAAAAH/p/1M=")</f>
        <v>#REF!</v>
      </c>
      <c r="CG25" t="e">
        <f>AND(#REF!,"AAAAAH/p/1Q=")</f>
        <v>#REF!</v>
      </c>
      <c r="CH25" t="e">
        <f>AND(#REF!,"AAAAAH/p/1U=")</f>
        <v>#REF!</v>
      </c>
      <c r="CI25" t="e">
        <f>AND(#REF!,"AAAAAH/p/1Y=")</f>
        <v>#REF!</v>
      </c>
      <c r="CJ25" t="e">
        <f>AND(#REF!,"AAAAAH/p/1c=")</f>
        <v>#REF!</v>
      </c>
      <c r="CK25" t="e">
        <f>AND(#REF!,"AAAAAH/p/1g=")</f>
        <v>#REF!</v>
      </c>
      <c r="CL25" t="e">
        <f>AND(#REF!,"AAAAAH/p/1k=")</f>
        <v>#REF!</v>
      </c>
      <c r="CM25" t="e">
        <f>AND(#REF!,"AAAAAH/p/1o=")</f>
        <v>#REF!</v>
      </c>
      <c r="CN25" t="e">
        <f>AND(#REF!,"AAAAAH/p/1s=")</f>
        <v>#REF!</v>
      </c>
      <c r="CO25" t="e">
        <f>AND(#REF!,"AAAAAH/p/1w=")</f>
        <v>#REF!</v>
      </c>
      <c r="CP25" t="e">
        <f>AND(#REF!,"AAAAAH/p/10=")</f>
        <v>#REF!</v>
      </c>
      <c r="CQ25" t="e">
        <f>AND(#REF!,"AAAAAH/p/14=")</f>
        <v>#REF!</v>
      </c>
      <c r="CR25" t="e">
        <f>AND(#REF!,"AAAAAH/p/18=")</f>
        <v>#REF!</v>
      </c>
      <c r="CS25" t="e">
        <f>AND(#REF!,"AAAAAH/p/2A=")</f>
        <v>#REF!</v>
      </c>
      <c r="CT25" t="e">
        <f>AND(#REF!,"AAAAAH/p/2E=")</f>
        <v>#REF!</v>
      </c>
      <c r="CU25" t="e">
        <f>AND(#REF!,"AAAAAH/p/2I=")</f>
        <v>#REF!</v>
      </c>
      <c r="CV25" t="e">
        <f>AND(#REF!,"AAAAAH/p/2M=")</f>
        <v>#REF!</v>
      </c>
      <c r="CW25" t="e">
        <f>AND(#REF!,"AAAAAH/p/2Q=")</f>
        <v>#REF!</v>
      </c>
      <c r="CX25" t="e">
        <f>AND(#REF!,"AAAAAH/p/2U=")</f>
        <v>#REF!</v>
      </c>
      <c r="CY25" t="e">
        <f>AND(#REF!,"AAAAAH/p/2Y=")</f>
        <v>#REF!</v>
      </c>
      <c r="CZ25" t="e">
        <f>AND(#REF!,"AAAAAH/p/2c=")</f>
        <v>#REF!</v>
      </c>
      <c r="DA25" t="e">
        <f>AND(#REF!,"AAAAAH/p/2g=")</f>
        <v>#REF!</v>
      </c>
      <c r="DB25" t="e">
        <f>AND(#REF!,"AAAAAH/p/2k=")</f>
        <v>#REF!</v>
      </c>
      <c r="DC25" t="e">
        <f>AND(#REF!,"AAAAAH/p/2o=")</f>
        <v>#REF!</v>
      </c>
      <c r="DD25" t="e">
        <f>AND(#REF!,"AAAAAH/p/2s=")</f>
        <v>#REF!</v>
      </c>
      <c r="DE25" t="e">
        <f>AND(#REF!,"AAAAAH/p/2w=")</f>
        <v>#REF!</v>
      </c>
      <c r="DF25" t="e">
        <f>AND(#REF!,"AAAAAH/p/20=")</f>
        <v>#REF!</v>
      </c>
      <c r="DG25" t="e">
        <f>AND(#REF!,"AAAAAH/p/24=")</f>
        <v>#REF!</v>
      </c>
      <c r="DH25" t="e">
        <f>AND(#REF!,"AAAAAH/p/28=")</f>
        <v>#REF!</v>
      </c>
      <c r="DI25" t="e">
        <f>AND(#REF!,"AAAAAH/p/3A=")</f>
        <v>#REF!</v>
      </c>
      <c r="DJ25" t="e">
        <f>AND(#REF!,"AAAAAH/p/3E=")</f>
        <v>#REF!</v>
      </c>
      <c r="DK25" t="e">
        <f>AND(#REF!,"AAAAAH/p/3I=")</f>
        <v>#REF!</v>
      </c>
      <c r="DL25" t="e">
        <f>AND(#REF!,"AAAAAH/p/3M=")</f>
        <v>#REF!</v>
      </c>
      <c r="DM25" t="e">
        <f>AND(#REF!,"AAAAAH/p/3Q=")</f>
        <v>#REF!</v>
      </c>
      <c r="DN25" t="e">
        <f>AND(#REF!,"AAAAAH/p/3U=")</f>
        <v>#REF!</v>
      </c>
      <c r="DO25" t="e">
        <f>AND(#REF!,"AAAAAH/p/3Y=")</f>
        <v>#REF!</v>
      </c>
      <c r="DP25" t="e">
        <f>AND(#REF!,"AAAAAH/p/3c=")</f>
        <v>#REF!</v>
      </c>
      <c r="DQ25" t="e">
        <f>AND(#REF!,"AAAAAH/p/3g=")</f>
        <v>#REF!</v>
      </c>
      <c r="DR25" t="e">
        <f>AND(#REF!,"AAAAAH/p/3k=")</f>
        <v>#REF!</v>
      </c>
      <c r="DS25" t="e">
        <f>AND(#REF!,"AAAAAH/p/3o=")</f>
        <v>#REF!</v>
      </c>
      <c r="DT25" t="e">
        <f>AND(#REF!,"AAAAAH/p/3s=")</f>
        <v>#REF!</v>
      </c>
      <c r="DU25" t="e">
        <f>AND(#REF!,"AAAAAH/p/3w=")</f>
        <v>#REF!</v>
      </c>
      <c r="DV25" t="e">
        <f>AND(#REF!,"AAAAAH/p/30=")</f>
        <v>#REF!</v>
      </c>
      <c r="DW25" t="e">
        <f>AND(#REF!,"AAAAAH/p/34=")</f>
        <v>#REF!</v>
      </c>
      <c r="DX25" t="e">
        <f>AND(#REF!,"AAAAAH/p/38=")</f>
        <v>#REF!</v>
      </c>
      <c r="DY25" t="e">
        <f>AND(#REF!,"AAAAAH/p/4A=")</f>
        <v>#REF!</v>
      </c>
      <c r="DZ25" t="e">
        <f>AND(#REF!,"AAAAAH/p/4E=")</f>
        <v>#REF!</v>
      </c>
      <c r="EA25" t="e">
        <f>AND(#REF!,"AAAAAH/p/4I=")</f>
        <v>#REF!</v>
      </c>
      <c r="EB25" t="e">
        <f>AND(#REF!,"AAAAAH/p/4M=")</f>
        <v>#REF!</v>
      </c>
      <c r="EC25" t="e">
        <f>AND(#REF!,"AAAAAH/p/4Q=")</f>
        <v>#REF!</v>
      </c>
      <c r="ED25" t="e">
        <f>AND(#REF!,"AAAAAH/p/4U=")</f>
        <v>#REF!</v>
      </c>
      <c r="EE25" t="e">
        <f>AND(#REF!,"AAAAAH/p/4Y=")</f>
        <v>#REF!</v>
      </c>
      <c r="EF25" t="e">
        <f>AND(#REF!,"AAAAAH/p/4c=")</f>
        <v>#REF!</v>
      </c>
      <c r="EG25" t="e">
        <f>AND(#REF!,"AAAAAH/p/4g=")</f>
        <v>#REF!</v>
      </c>
      <c r="EH25" t="e">
        <f>AND(#REF!,"AAAAAH/p/4k=")</f>
        <v>#REF!</v>
      </c>
      <c r="EI25" t="e">
        <f>AND(#REF!,"AAAAAH/p/4o=")</f>
        <v>#REF!</v>
      </c>
      <c r="EJ25" t="e">
        <f>AND(#REF!,"AAAAAH/p/4s=")</f>
        <v>#REF!</v>
      </c>
      <c r="EK25" t="e">
        <f>AND(#REF!,"AAAAAH/p/4w=")</f>
        <v>#REF!</v>
      </c>
      <c r="EL25" t="e">
        <f>AND(#REF!,"AAAAAH/p/40=")</f>
        <v>#REF!</v>
      </c>
      <c r="EM25" t="e">
        <f>AND(#REF!,"AAAAAH/p/44=")</f>
        <v>#REF!</v>
      </c>
      <c r="EN25" t="e">
        <f>AND(#REF!,"AAAAAH/p/48=")</f>
        <v>#REF!</v>
      </c>
      <c r="EO25" t="e">
        <f>AND(#REF!,"AAAAAH/p/5A=")</f>
        <v>#REF!</v>
      </c>
      <c r="EP25" t="e">
        <f>AND(#REF!,"AAAAAH/p/5E=")</f>
        <v>#REF!</v>
      </c>
      <c r="EQ25" t="e">
        <f>AND(#REF!,"AAAAAH/p/5I=")</f>
        <v>#REF!</v>
      </c>
      <c r="ER25" t="e">
        <f>AND(#REF!,"AAAAAH/p/5M=")</f>
        <v>#REF!</v>
      </c>
      <c r="ES25" t="e">
        <f>AND(#REF!,"AAAAAH/p/5Q=")</f>
        <v>#REF!</v>
      </c>
      <c r="ET25" t="e">
        <f>AND(#REF!,"AAAAAH/p/5U=")</f>
        <v>#REF!</v>
      </c>
      <c r="EU25" t="e">
        <f>AND(#REF!,"AAAAAH/p/5Y=")</f>
        <v>#REF!</v>
      </c>
      <c r="EV25" t="e">
        <f>AND(#REF!,"AAAAAH/p/5c=")</f>
        <v>#REF!</v>
      </c>
      <c r="EW25" t="e">
        <f>AND(#REF!,"AAAAAH/p/5g=")</f>
        <v>#REF!</v>
      </c>
      <c r="EX25" t="e">
        <f>AND(#REF!,"AAAAAH/p/5k=")</f>
        <v>#REF!</v>
      </c>
      <c r="EY25" t="e">
        <f>AND(#REF!,"AAAAAH/p/5o=")</f>
        <v>#REF!</v>
      </c>
      <c r="EZ25" t="e">
        <f>AND(#REF!,"AAAAAH/p/5s=")</f>
        <v>#REF!</v>
      </c>
      <c r="FA25" t="e">
        <f>AND(#REF!,"AAAAAH/p/5w=")</f>
        <v>#REF!</v>
      </c>
      <c r="FB25" t="e">
        <f>AND(#REF!,"AAAAAH/p/50=")</f>
        <v>#REF!</v>
      </c>
      <c r="FC25" t="e">
        <f>AND(#REF!,"AAAAAH/p/54=")</f>
        <v>#REF!</v>
      </c>
      <c r="FD25" t="e">
        <f>AND(#REF!,"AAAAAH/p/58=")</f>
        <v>#REF!</v>
      </c>
      <c r="FE25" t="e">
        <f>AND(#REF!,"AAAAAH/p/6A=")</f>
        <v>#REF!</v>
      </c>
      <c r="FF25" t="e">
        <f>AND(#REF!,"AAAAAH/p/6E=")</f>
        <v>#REF!</v>
      </c>
      <c r="FG25" t="e">
        <f>AND(#REF!,"AAAAAH/p/6I=")</f>
        <v>#REF!</v>
      </c>
      <c r="FH25" t="e">
        <f>AND(#REF!,"AAAAAH/p/6M=")</f>
        <v>#REF!</v>
      </c>
      <c r="FI25" t="e">
        <f>AND(#REF!,"AAAAAH/p/6Q=")</f>
        <v>#REF!</v>
      </c>
      <c r="FJ25" t="e">
        <f>AND(#REF!,"AAAAAH/p/6U=")</f>
        <v>#REF!</v>
      </c>
      <c r="FK25" t="e">
        <f>AND(#REF!,"AAAAAH/p/6Y=")</f>
        <v>#REF!</v>
      </c>
      <c r="FL25" t="e">
        <f>AND(#REF!,"AAAAAH/p/6c=")</f>
        <v>#REF!</v>
      </c>
      <c r="FM25" t="e">
        <f>AND(#REF!,"AAAAAH/p/6g=")</f>
        <v>#REF!</v>
      </c>
      <c r="FN25" t="e">
        <f>AND(#REF!,"AAAAAH/p/6k=")</f>
        <v>#REF!</v>
      </c>
      <c r="FO25" t="e">
        <f>AND(#REF!,"AAAAAH/p/6o=")</f>
        <v>#REF!</v>
      </c>
      <c r="FP25" t="e">
        <f>AND(#REF!,"AAAAAH/p/6s=")</f>
        <v>#REF!</v>
      </c>
      <c r="FQ25" t="e">
        <f>AND(#REF!,"AAAAAH/p/6w=")</f>
        <v>#REF!</v>
      </c>
      <c r="FR25" t="e">
        <f>AND(#REF!,"AAAAAH/p/60=")</f>
        <v>#REF!</v>
      </c>
      <c r="FS25" t="e">
        <f>AND(#REF!,"AAAAAH/p/64=")</f>
        <v>#REF!</v>
      </c>
      <c r="FT25" t="e">
        <f>AND(#REF!,"AAAAAH/p/68=")</f>
        <v>#REF!</v>
      </c>
      <c r="FU25" t="e">
        <f>AND(#REF!,"AAAAAH/p/7A=")</f>
        <v>#REF!</v>
      </c>
      <c r="FV25" t="e">
        <f>AND(#REF!,"AAAAAH/p/7E=")</f>
        <v>#REF!</v>
      </c>
      <c r="FW25" t="e">
        <f>AND(#REF!,"AAAAAH/p/7I=")</f>
        <v>#REF!</v>
      </c>
      <c r="FX25" t="e">
        <f>AND(#REF!,"AAAAAH/p/7M=")</f>
        <v>#REF!</v>
      </c>
      <c r="FY25" t="e">
        <f>AND(#REF!,"AAAAAH/p/7Q=")</f>
        <v>#REF!</v>
      </c>
      <c r="FZ25" t="e">
        <f>AND(#REF!,"AAAAAH/p/7U=")</f>
        <v>#REF!</v>
      </c>
      <c r="GA25" t="e">
        <f>AND(#REF!,"AAAAAH/p/7Y=")</f>
        <v>#REF!</v>
      </c>
      <c r="GB25" t="e">
        <f>AND(#REF!,"AAAAAH/p/7c=")</f>
        <v>#REF!</v>
      </c>
      <c r="GC25" t="e">
        <f>AND(#REF!,"AAAAAH/p/7g=")</f>
        <v>#REF!</v>
      </c>
      <c r="GD25" t="e">
        <f>AND(#REF!,"AAAAAH/p/7k=")</f>
        <v>#REF!</v>
      </c>
      <c r="GE25" t="e">
        <f>AND(#REF!,"AAAAAH/p/7o=")</f>
        <v>#REF!</v>
      </c>
      <c r="GF25" t="e">
        <f>AND(#REF!,"AAAAAH/p/7s=")</f>
        <v>#REF!</v>
      </c>
      <c r="GG25" t="e">
        <f>AND(#REF!,"AAAAAH/p/7w=")</f>
        <v>#REF!</v>
      </c>
      <c r="GH25" t="e">
        <f>AND(#REF!,"AAAAAH/p/70=")</f>
        <v>#REF!</v>
      </c>
      <c r="GI25" t="e">
        <f>AND(#REF!,"AAAAAH/p/74=")</f>
        <v>#REF!</v>
      </c>
      <c r="GJ25" t="e">
        <f>AND(#REF!,"AAAAAH/p/78=")</f>
        <v>#REF!</v>
      </c>
      <c r="GK25" t="e">
        <f>AND(#REF!,"AAAAAH/p/8A=")</f>
        <v>#REF!</v>
      </c>
      <c r="GL25" t="e">
        <f>AND(#REF!,"AAAAAH/p/8E=")</f>
        <v>#REF!</v>
      </c>
      <c r="GM25" t="e">
        <f>AND(#REF!,"AAAAAH/p/8I=")</f>
        <v>#REF!</v>
      </c>
      <c r="GN25" t="e">
        <f>AND(#REF!,"AAAAAH/p/8M=")</f>
        <v>#REF!</v>
      </c>
      <c r="GO25" t="e">
        <f>AND(#REF!,"AAAAAH/p/8Q=")</f>
        <v>#REF!</v>
      </c>
      <c r="GP25" t="e">
        <f>AND(#REF!,"AAAAAH/p/8U=")</f>
        <v>#REF!</v>
      </c>
      <c r="GQ25" t="e">
        <f>AND(#REF!,"AAAAAH/p/8Y=")</f>
        <v>#REF!</v>
      </c>
      <c r="GR25" t="e">
        <f>AND(#REF!,"AAAAAH/p/8c=")</f>
        <v>#REF!</v>
      </c>
      <c r="GS25" t="e">
        <f>AND(#REF!,"AAAAAH/p/8g=")</f>
        <v>#REF!</v>
      </c>
      <c r="GT25" t="e">
        <f>AND(#REF!,"AAAAAH/p/8k=")</f>
        <v>#REF!</v>
      </c>
      <c r="GU25" t="e">
        <f>AND(#REF!,"AAAAAH/p/8o=")</f>
        <v>#REF!</v>
      </c>
      <c r="GV25" t="e">
        <f>AND(#REF!,"AAAAAH/p/8s=")</f>
        <v>#REF!</v>
      </c>
      <c r="GW25" t="e">
        <f>AND(#REF!,"AAAAAH/p/8w=")</f>
        <v>#REF!</v>
      </c>
      <c r="GX25" t="e">
        <f>AND(#REF!,"AAAAAH/p/80=")</f>
        <v>#REF!</v>
      </c>
      <c r="GY25" t="e">
        <f>AND(#REF!,"AAAAAH/p/84=")</f>
        <v>#REF!</v>
      </c>
      <c r="GZ25" t="e">
        <f>AND(#REF!,"AAAAAH/p/88=")</f>
        <v>#REF!</v>
      </c>
      <c r="HA25" t="e">
        <f>AND(#REF!,"AAAAAH/p/9A=")</f>
        <v>#REF!</v>
      </c>
      <c r="HB25" t="e">
        <f>AND(#REF!,"AAAAAH/p/9E=")</f>
        <v>#REF!</v>
      </c>
      <c r="HC25" t="e">
        <f>AND(#REF!,"AAAAAH/p/9I=")</f>
        <v>#REF!</v>
      </c>
      <c r="HD25" t="e">
        <f>AND(#REF!,"AAAAAH/p/9M=")</f>
        <v>#REF!</v>
      </c>
      <c r="HE25" t="e">
        <f>AND(#REF!,"AAAAAH/p/9Q=")</f>
        <v>#REF!</v>
      </c>
      <c r="HF25" t="e">
        <f>AND(#REF!,"AAAAAH/p/9U=")</f>
        <v>#REF!</v>
      </c>
      <c r="HG25" t="e">
        <f>AND(#REF!,"AAAAAH/p/9Y=")</f>
        <v>#REF!</v>
      </c>
      <c r="HH25" t="e">
        <f>AND(#REF!,"AAAAAH/p/9c=")</f>
        <v>#REF!</v>
      </c>
      <c r="HI25" t="e">
        <f>AND(#REF!,"AAAAAH/p/9g=")</f>
        <v>#REF!</v>
      </c>
      <c r="HJ25" t="e">
        <f>AND(#REF!,"AAAAAH/p/9k=")</f>
        <v>#REF!</v>
      </c>
      <c r="HK25" t="e">
        <f>AND(#REF!,"AAAAAH/p/9o=")</f>
        <v>#REF!</v>
      </c>
      <c r="HL25" t="e">
        <f>AND(#REF!,"AAAAAH/p/9s=")</f>
        <v>#REF!</v>
      </c>
      <c r="HM25" t="e">
        <f>AND(#REF!,"AAAAAH/p/9w=")</f>
        <v>#REF!</v>
      </c>
      <c r="HN25" t="e">
        <f>AND(#REF!,"AAAAAH/p/90=")</f>
        <v>#REF!</v>
      </c>
      <c r="HO25" t="e">
        <f>AND(#REF!,"AAAAAH/p/94=")</f>
        <v>#REF!</v>
      </c>
      <c r="HP25" t="e">
        <f>AND(#REF!,"AAAAAH/p/98=")</f>
        <v>#REF!</v>
      </c>
      <c r="HQ25" t="e">
        <f>AND(#REF!,"AAAAAH/p/+A=")</f>
        <v>#REF!</v>
      </c>
      <c r="HR25" t="e">
        <f>AND(#REF!,"AAAAAH/p/+E=")</f>
        <v>#REF!</v>
      </c>
      <c r="HS25" t="e">
        <f>AND(#REF!,"AAAAAH/p/+I=")</f>
        <v>#REF!</v>
      </c>
      <c r="HT25" t="e">
        <f>AND(#REF!,"AAAAAH/p/+M=")</f>
        <v>#REF!</v>
      </c>
      <c r="HU25" t="e">
        <f>AND(#REF!,"AAAAAH/p/+Q=")</f>
        <v>#REF!</v>
      </c>
      <c r="HV25" t="e">
        <f>AND(#REF!,"AAAAAH/p/+U=")</f>
        <v>#REF!</v>
      </c>
      <c r="HW25" t="e">
        <f>AND(#REF!,"AAAAAH/p/+Y=")</f>
        <v>#REF!</v>
      </c>
      <c r="HX25" t="e">
        <f>AND(#REF!,"AAAAAH/p/+c=")</f>
        <v>#REF!</v>
      </c>
      <c r="HY25" t="e">
        <f>AND(#REF!,"AAAAAH/p/+g=")</f>
        <v>#REF!</v>
      </c>
      <c r="HZ25" t="e">
        <f>AND(#REF!,"AAAAAH/p/+k=")</f>
        <v>#REF!</v>
      </c>
      <c r="IA25" t="e">
        <f>AND(#REF!,"AAAAAH/p/+o=")</f>
        <v>#REF!</v>
      </c>
      <c r="IB25" t="e">
        <f>AND(#REF!,"AAAAAH/p/+s=")</f>
        <v>#REF!</v>
      </c>
      <c r="IC25" t="e">
        <f>AND(#REF!,"AAAAAH/p/+w=")</f>
        <v>#REF!</v>
      </c>
      <c r="ID25" t="e">
        <f>AND(#REF!,"AAAAAH/p/+0=")</f>
        <v>#REF!</v>
      </c>
      <c r="IE25" t="e">
        <f>AND(#REF!,"AAAAAH/p/+4=")</f>
        <v>#REF!</v>
      </c>
      <c r="IF25" t="e">
        <f>AND(#REF!,"AAAAAH/p/+8=")</f>
        <v>#REF!</v>
      </c>
      <c r="IG25" t="e">
        <f>AND(#REF!,"AAAAAH/p//A=")</f>
        <v>#REF!</v>
      </c>
      <c r="IH25" t="e">
        <f>AND(#REF!,"AAAAAH/p//E=")</f>
        <v>#REF!</v>
      </c>
      <c r="II25" t="e">
        <f>AND(#REF!,"AAAAAH/p//I=")</f>
        <v>#REF!</v>
      </c>
      <c r="IJ25" t="e">
        <f>AND(#REF!,"AAAAAH/p//M=")</f>
        <v>#REF!</v>
      </c>
      <c r="IK25" t="e">
        <f>AND(#REF!,"AAAAAH/p//Q=")</f>
        <v>#REF!</v>
      </c>
      <c r="IL25" t="e">
        <f>AND(#REF!,"AAAAAH/p//U=")</f>
        <v>#REF!</v>
      </c>
      <c r="IM25" t="e">
        <f>AND(#REF!,"AAAAAH/p//Y=")</f>
        <v>#REF!</v>
      </c>
      <c r="IN25" t="e">
        <f>AND(#REF!,"AAAAAH/p//c=")</f>
        <v>#REF!</v>
      </c>
      <c r="IO25" t="e">
        <f>AND(#REF!,"AAAAAH/p//g=")</f>
        <v>#REF!</v>
      </c>
      <c r="IP25" t="e">
        <f>AND(#REF!,"AAAAAH/p//k=")</f>
        <v>#REF!</v>
      </c>
      <c r="IQ25" t="e">
        <f>AND(#REF!,"AAAAAH/p//o=")</f>
        <v>#REF!</v>
      </c>
      <c r="IR25" t="e">
        <f>AND(#REF!,"AAAAAH/p//s=")</f>
        <v>#REF!</v>
      </c>
      <c r="IS25" t="e">
        <f>AND(#REF!,"AAAAAH/p//w=")</f>
        <v>#REF!</v>
      </c>
      <c r="IT25" t="e">
        <f>AND(#REF!,"AAAAAH/p//0=")</f>
        <v>#REF!</v>
      </c>
      <c r="IU25" t="e">
        <f>AND(#REF!,"AAAAAH/p//4=")</f>
        <v>#REF!</v>
      </c>
      <c r="IV25" t="e">
        <f>AND(#REF!,"AAAAAH/p//8=")</f>
        <v>#REF!</v>
      </c>
    </row>
    <row r="26" spans="1:256">
      <c r="A26" t="e">
        <f>AND(#REF!,"AAAAAGef/gA=")</f>
        <v>#REF!</v>
      </c>
      <c r="B26" t="e">
        <f>AND(#REF!,"AAAAAGef/gE=")</f>
        <v>#REF!</v>
      </c>
      <c r="C26" t="e">
        <f>AND(#REF!,"AAAAAGef/gI=")</f>
        <v>#REF!</v>
      </c>
      <c r="D26" t="e">
        <f>AND(#REF!,"AAAAAGef/gM=")</f>
        <v>#REF!</v>
      </c>
      <c r="E26" t="e">
        <f>AND(#REF!,"AAAAAGef/gQ=")</f>
        <v>#REF!</v>
      </c>
      <c r="F26" t="e">
        <f>AND(#REF!,"AAAAAGef/gU=")</f>
        <v>#REF!</v>
      </c>
      <c r="G26" t="e">
        <f>AND(#REF!,"AAAAAGef/gY=")</f>
        <v>#REF!</v>
      </c>
      <c r="H26" t="e">
        <f>AND(#REF!,"AAAAAGef/gc=")</f>
        <v>#REF!</v>
      </c>
      <c r="I26" t="e">
        <f>AND(#REF!,"AAAAAGef/gg=")</f>
        <v>#REF!</v>
      </c>
      <c r="J26" t="e">
        <f>AND(#REF!,"AAAAAGef/gk=")</f>
        <v>#REF!</v>
      </c>
      <c r="K26" t="e">
        <f>AND(#REF!,"AAAAAGef/go=")</f>
        <v>#REF!</v>
      </c>
      <c r="L26" t="e">
        <f>AND(#REF!,"AAAAAGef/gs=")</f>
        <v>#REF!</v>
      </c>
      <c r="M26" t="e">
        <f>AND(#REF!,"AAAAAGef/gw=")</f>
        <v>#REF!</v>
      </c>
      <c r="N26" t="e">
        <f>AND(#REF!,"AAAAAGef/g0=")</f>
        <v>#REF!</v>
      </c>
      <c r="O26" t="e">
        <f>AND(#REF!,"AAAAAGef/g4=")</f>
        <v>#REF!</v>
      </c>
      <c r="P26" t="e">
        <f>AND(#REF!,"AAAAAGef/g8=")</f>
        <v>#REF!</v>
      </c>
      <c r="Q26" t="e">
        <f>AND(#REF!,"AAAAAGef/hA=")</f>
        <v>#REF!</v>
      </c>
      <c r="R26" t="e">
        <f>AND(#REF!,"AAAAAGef/hE=")</f>
        <v>#REF!</v>
      </c>
      <c r="S26" t="e">
        <f>AND(#REF!,"AAAAAGef/hI=")</f>
        <v>#REF!</v>
      </c>
      <c r="T26" t="e">
        <f>AND(#REF!,"AAAAAGef/hM=")</f>
        <v>#REF!</v>
      </c>
      <c r="U26" t="e">
        <f>AND(#REF!,"AAAAAGef/hQ=")</f>
        <v>#REF!</v>
      </c>
      <c r="V26" t="e">
        <f>AND(#REF!,"AAAAAGef/hU=")</f>
        <v>#REF!</v>
      </c>
      <c r="W26" t="e">
        <f>AND(#REF!,"AAAAAGef/hY=")</f>
        <v>#REF!</v>
      </c>
      <c r="X26" t="e">
        <f>AND(#REF!,"AAAAAGef/hc=")</f>
        <v>#REF!</v>
      </c>
      <c r="Y26" t="e">
        <f>AND(#REF!,"AAAAAGef/hg=")</f>
        <v>#REF!</v>
      </c>
      <c r="Z26" t="e">
        <f>AND(#REF!,"AAAAAGef/hk=")</f>
        <v>#REF!</v>
      </c>
      <c r="AA26" t="e">
        <f>AND(#REF!,"AAAAAGef/ho=")</f>
        <v>#REF!</v>
      </c>
      <c r="AB26" t="e">
        <f>AND(#REF!,"AAAAAGef/hs=")</f>
        <v>#REF!</v>
      </c>
      <c r="AC26" t="e">
        <f>AND(#REF!,"AAAAAGef/hw=")</f>
        <v>#REF!</v>
      </c>
      <c r="AD26" t="e">
        <f>AND(#REF!,"AAAAAGef/h0=")</f>
        <v>#REF!</v>
      </c>
      <c r="AE26" t="e">
        <f>AND(#REF!,"AAAAAGef/h4=")</f>
        <v>#REF!</v>
      </c>
      <c r="AF26" t="e">
        <f>AND(#REF!,"AAAAAGef/h8=")</f>
        <v>#REF!</v>
      </c>
      <c r="AG26" t="e">
        <f>AND(#REF!,"AAAAAGef/iA=")</f>
        <v>#REF!</v>
      </c>
      <c r="AH26" t="e">
        <f>AND(#REF!,"AAAAAGef/iE=")</f>
        <v>#REF!</v>
      </c>
      <c r="AI26" t="e">
        <f>AND(#REF!,"AAAAAGef/iI=")</f>
        <v>#REF!</v>
      </c>
      <c r="AJ26" t="e">
        <f>AND(#REF!,"AAAAAGef/iM=")</f>
        <v>#REF!</v>
      </c>
      <c r="AK26" t="e">
        <f>AND(#REF!,"AAAAAGef/iQ=")</f>
        <v>#REF!</v>
      </c>
      <c r="AL26" t="e">
        <f>AND(#REF!,"AAAAAGef/iU=")</f>
        <v>#REF!</v>
      </c>
      <c r="AM26" t="e">
        <f>AND(#REF!,"AAAAAGef/iY=")</f>
        <v>#REF!</v>
      </c>
      <c r="AN26" t="e">
        <f>AND(#REF!,"AAAAAGef/ic=")</f>
        <v>#REF!</v>
      </c>
      <c r="AO26" t="e">
        <f>AND(#REF!,"AAAAAGef/ig=")</f>
        <v>#REF!</v>
      </c>
      <c r="AP26" t="e">
        <f>AND(#REF!,"AAAAAGef/ik=")</f>
        <v>#REF!</v>
      </c>
      <c r="AQ26" t="e">
        <f>AND(#REF!,"AAAAAGef/io=")</f>
        <v>#REF!</v>
      </c>
      <c r="AR26" t="e">
        <f>AND(#REF!,"AAAAAGef/is=")</f>
        <v>#REF!</v>
      </c>
      <c r="AS26" t="e">
        <f>AND(#REF!,"AAAAAGef/iw=")</f>
        <v>#REF!</v>
      </c>
      <c r="AT26" t="e">
        <f>AND(#REF!,"AAAAAGef/i0=")</f>
        <v>#REF!</v>
      </c>
      <c r="AU26" t="e">
        <f>AND(#REF!,"AAAAAGef/i4=")</f>
        <v>#REF!</v>
      </c>
      <c r="AV26" t="e">
        <f>AND(#REF!,"AAAAAGef/i8=")</f>
        <v>#REF!</v>
      </c>
      <c r="AW26" t="e">
        <f>AND(#REF!,"AAAAAGef/jA=")</f>
        <v>#REF!</v>
      </c>
      <c r="AX26" t="e">
        <f>AND(#REF!,"AAAAAGef/jE=")</f>
        <v>#REF!</v>
      </c>
      <c r="AY26" t="e">
        <f>AND(#REF!,"AAAAAGef/jI=")</f>
        <v>#REF!</v>
      </c>
      <c r="AZ26" t="e">
        <f>AND(#REF!,"AAAAAGef/jM=")</f>
        <v>#REF!</v>
      </c>
      <c r="BA26" t="e">
        <f>AND(#REF!,"AAAAAGef/jQ=")</f>
        <v>#REF!</v>
      </c>
      <c r="BB26" t="e">
        <f>AND(#REF!,"AAAAAGef/jU=")</f>
        <v>#REF!</v>
      </c>
      <c r="BC26" t="e">
        <f>AND(#REF!,"AAAAAGef/jY=")</f>
        <v>#REF!</v>
      </c>
      <c r="BD26" t="e">
        <f>AND(#REF!,"AAAAAGef/jc=")</f>
        <v>#REF!</v>
      </c>
      <c r="BE26" t="e">
        <f>AND(#REF!,"AAAAAGef/jg=")</f>
        <v>#REF!</v>
      </c>
      <c r="BF26" t="e">
        <f>AND(#REF!,"AAAAAGef/jk=")</f>
        <v>#REF!</v>
      </c>
      <c r="BG26" t="e">
        <f>AND(#REF!,"AAAAAGef/jo=")</f>
        <v>#REF!</v>
      </c>
      <c r="BH26" t="e">
        <f>AND(#REF!,"AAAAAGef/js=")</f>
        <v>#REF!</v>
      </c>
      <c r="BI26" t="e">
        <f>AND(#REF!,"AAAAAGef/jw=")</f>
        <v>#REF!</v>
      </c>
      <c r="BJ26" t="e">
        <f>AND(#REF!,"AAAAAGef/j0=")</f>
        <v>#REF!</v>
      </c>
      <c r="BK26" t="e">
        <f>AND(#REF!,"AAAAAGef/j4=")</f>
        <v>#REF!</v>
      </c>
      <c r="BL26" t="e">
        <f>AND(#REF!,"AAAAAGef/j8=")</f>
        <v>#REF!</v>
      </c>
      <c r="BM26" t="e">
        <f>AND(#REF!,"AAAAAGef/kA=")</f>
        <v>#REF!</v>
      </c>
      <c r="BN26" t="e">
        <f>AND(#REF!,"AAAAAGef/kE=")</f>
        <v>#REF!</v>
      </c>
      <c r="BO26" t="e">
        <f>AND(#REF!,"AAAAAGef/kI=")</f>
        <v>#REF!</v>
      </c>
      <c r="BP26" t="e">
        <f>AND(#REF!,"AAAAAGef/kM=")</f>
        <v>#REF!</v>
      </c>
      <c r="BQ26" t="e">
        <f>AND(#REF!,"AAAAAGef/kQ=")</f>
        <v>#REF!</v>
      </c>
      <c r="BR26" t="e">
        <f>AND(#REF!,"AAAAAGef/kU=")</f>
        <v>#REF!</v>
      </c>
      <c r="BS26" t="e">
        <f>AND(#REF!,"AAAAAGef/kY=")</f>
        <v>#REF!</v>
      </c>
      <c r="BT26" t="e">
        <f>AND(#REF!,"AAAAAGef/kc=")</f>
        <v>#REF!</v>
      </c>
      <c r="BU26" t="e">
        <f>AND(#REF!,"AAAAAGef/kg=")</f>
        <v>#REF!</v>
      </c>
      <c r="BV26" t="e">
        <f>AND(#REF!,"AAAAAGef/kk=")</f>
        <v>#REF!</v>
      </c>
      <c r="BW26" t="e">
        <f>AND(#REF!,"AAAAAGef/ko=")</f>
        <v>#REF!</v>
      </c>
      <c r="BX26" t="e">
        <f>AND(#REF!,"AAAAAGef/ks=")</f>
        <v>#REF!</v>
      </c>
      <c r="BY26" t="e">
        <f>AND(#REF!,"AAAAAGef/kw=")</f>
        <v>#REF!</v>
      </c>
      <c r="BZ26" t="e">
        <f>AND(#REF!,"AAAAAGef/k0=")</f>
        <v>#REF!</v>
      </c>
      <c r="CA26" t="e">
        <f>AND(#REF!,"AAAAAGef/k4=")</f>
        <v>#REF!</v>
      </c>
      <c r="CB26" t="e">
        <f>AND(#REF!,"AAAAAGef/k8=")</f>
        <v>#REF!</v>
      </c>
      <c r="CC26" t="e">
        <f>AND(#REF!,"AAAAAGef/lA=")</f>
        <v>#REF!</v>
      </c>
      <c r="CD26" t="e">
        <f>AND(#REF!,"AAAAAGef/lE=")</f>
        <v>#REF!</v>
      </c>
      <c r="CE26" t="e">
        <f>AND(#REF!,"AAAAAGef/lI=")</f>
        <v>#REF!</v>
      </c>
      <c r="CF26" t="e">
        <f>AND(#REF!,"AAAAAGef/lM=")</f>
        <v>#REF!</v>
      </c>
      <c r="CG26" t="e">
        <f>AND(#REF!,"AAAAAGef/lQ=")</f>
        <v>#REF!</v>
      </c>
      <c r="CH26" t="e">
        <f>AND(#REF!,"AAAAAGef/lU=")</f>
        <v>#REF!</v>
      </c>
      <c r="CI26" t="e">
        <f>AND(#REF!,"AAAAAGef/lY=")</f>
        <v>#REF!</v>
      </c>
      <c r="CJ26" t="e">
        <f>AND(#REF!,"AAAAAGef/lc=")</f>
        <v>#REF!</v>
      </c>
      <c r="CK26" t="e">
        <f>AND(#REF!,"AAAAAGef/lg=")</f>
        <v>#REF!</v>
      </c>
      <c r="CL26" t="e">
        <f>AND(#REF!,"AAAAAGef/lk=")</f>
        <v>#REF!</v>
      </c>
      <c r="CM26" t="e">
        <f>AND(#REF!,"AAAAAGef/lo=")</f>
        <v>#REF!</v>
      </c>
      <c r="CN26" t="e">
        <f>AND(#REF!,"AAAAAGef/ls=")</f>
        <v>#REF!</v>
      </c>
      <c r="CO26" t="e">
        <f>AND(#REF!,"AAAAAGef/lw=")</f>
        <v>#REF!</v>
      </c>
      <c r="CP26" t="e">
        <f>AND(#REF!,"AAAAAGef/l0=")</f>
        <v>#REF!</v>
      </c>
      <c r="CQ26" t="e">
        <f>AND(#REF!,"AAAAAGef/l4=")</f>
        <v>#REF!</v>
      </c>
      <c r="CR26" t="e">
        <f>AND(#REF!,"AAAAAGef/l8=")</f>
        <v>#REF!</v>
      </c>
      <c r="CS26" t="e">
        <f>AND(#REF!,"AAAAAGef/mA=")</f>
        <v>#REF!</v>
      </c>
      <c r="CT26" t="e">
        <f>AND(#REF!,"AAAAAGef/mE=")</f>
        <v>#REF!</v>
      </c>
      <c r="CU26" t="e">
        <f>AND(#REF!,"AAAAAGef/mI=")</f>
        <v>#REF!</v>
      </c>
      <c r="CV26" t="e">
        <f>AND(#REF!,"AAAAAGef/mM=")</f>
        <v>#REF!</v>
      </c>
      <c r="CW26" t="e">
        <f>AND(#REF!,"AAAAAGef/mQ=")</f>
        <v>#REF!</v>
      </c>
      <c r="CX26" t="e">
        <f>AND(#REF!,"AAAAAGef/mU=")</f>
        <v>#REF!</v>
      </c>
      <c r="CY26" t="e">
        <f>AND(#REF!,"AAAAAGef/mY=")</f>
        <v>#REF!</v>
      </c>
      <c r="CZ26" t="e">
        <f>AND(#REF!,"AAAAAGef/mc=")</f>
        <v>#REF!</v>
      </c>
      <c r="DA26" t="e">
        <f>AND(#REF!,"AAAAAGef/mg=")</f>
        <v>#REF!</v>
      </c>
      <c r="DB26" t="e">
        <f>AND(#REF!,"AAAAAGef/mk=")</f>
        <v>#REF!</v>
      </c>
      <c r="DC26" t="e">
        <f>AND(#REF!,"AAAAAGef/mo=")</f>
        <v>#REF!</v>
      </c>
      <c r="DD26" t="e">
        <f>AND(#REF!,"AAAAAGef/ms=")</f>
        <v>#REF!</v>
      </c>
      <c r="DE26" t="e">
        <f>AND(#REF!,"AAAAAGef/mw=")</f>
        <v>#REF!</v>
      </c>
      <c r="DF26" t="e">
        <f>AND(#REF!,"AAAAAGef/m0=")</f>
        <v>#REF!</v>
      </c>
      <c r="DG26" t="e">
        <f>AND(#REF!,"AAAAAGef/m4=")</f>
        <v>#REF!</v>
      </c>
      <c r="DH26" t="e">
        <f>AND(#REF!,"AAAAAGef/m8=")</f>
        <v>#REF!</v>
      </c>
      <c r="DI26" t="e">
        <f>AND(#REF!,"AAAAAGef/nA=")</f>
        <v>#REF!</v>
      </c>
      <c r="DJ26" t="e">
        <f>AND(#REF!,"AAAAAGef/nE=")</f>
        <v>#REF!</v>
      </c>
      <c r="DK26" t="e">
        <f>AND(#REF!,"AAAAAGef/nI=")</f>
        <v>#REF!</v>
      </c>
      <c r="DL26" t="e">
        <f>AND(#REF!,"AAAAAGef/nM=")</f>
        <v>#REF!</v>
      </c>
      <c r="DM26" t="e">
        <f>AND(#REF!,"AAAAAGef/nQ=")</f>
        <v>#REF!</v>
      </c>
      <c r="DN26" t="e">
        <f>AND(#REF!,"AAAAAGef/nU=")</f>
        <v>#REF!</v>
      </c>
      <c r="DO26" t="e">
        <f>AND(#REF!,"AAAAAGef/nY=")</f>
        <v>#REF!</v>
      </c>
      <c r="DP26" t="e">
        <f>AND(#REF!,"AAAAAGef/nc=")</f>
        <v>#REF!</v>
      </c>
      <c r="DQ26" t="e">
        <f>AND(#REF!,"AAAAAGef/ng=")</f>
        <v>#REF!</v>
      </c>
      <c r="DR26" t="e">
        <f>AND(#REF!,"AAAAAGef/nk=")</f>
        <v>#REF!</v>
      </c>
      <c r="DS26" t="e">
        <f>AND(#REF!,"AAAAAGef/no=")</f>
        <v>#REF!</v>
      </c>
      <c r="DT26" t="e">
        <f>AND(#REF!,"AAAAAGef/ns=")</f>
        <v>#REF!</v>
      </c>
      <c r="DU26" t="e">
        <f>AND(#REF!,"AAAAAGef/nw=")</f>
        <v>#REF!</v>
      </c>
      <c r="DV26" t="e">
        <f>AND(#REF!,"AAAAAGef/n0=")</f>
        <v>#REF!</v>
      </c>
      <c r="DW26" t="e">
        <f>AND(#REF!,"AAAAAGef/n4=")</f>
        <v>#REF!</v>
      </c>
      <c r="DX26" t="e">
        <f>AND(#REF!,"AAAAAGef/n8=")</f>
        <v>#REF!</v>
      </c>
      <c r="DY26" t="e">
        <f>AND(#REF!,"AAAAAGef/oA=")</f>
        <v>#REF!</v>
      </c>
      <c r="DZ26" t="e">
        <f>AND(#REF!,"AAAAAGef/oE=")</f>
        <v>#REF!</v>
      </c>
      <c r="EA26" t="e">
        <f>AND(#REF!,"AAAAAGef/oI=")</f>
        <v>#REF!</v>
      </c>
      <c r="EB26" t="e">
        <f>AND(#REF!,"AAAAAGef/oM=")</f>
        <v>#REF!</v>
      </c>
      <c r="EC26" t="e">
        <f>AND(#REF!,"AAAAAGef/oQ=")</f>
        <v>#REF!</v>
      </c>
      <c r="ED26" t="e">
        <f>AND(#REF!,"AAAAAGef/oU=")</f>
        <v>#REF!</v>
      </c>
      <c r="EE26" t="e">
        <f>AND(#REF!,"AAAAAGef/oY=")</f>
        <v>#REF!</v>
      </c>
      <c r="EF26" t="e">
        <f>AND(#REF!,"AAAAAGef/oc=")</f>
        <v>#REF!</v>
      </c>
      <c r="EG26" t="e">
        <f>AND(#REF!,"AAAAAGef/og=")</f>
        <v>#REF!</v>
      </c>
      <c r="EH26" t="e">
        <f>AND(#REF!,"AAAAAGef/ok=")</f>
        <v>#REF!</v>
      </c>
      <c r="EI26" t="e">
        <f>AND(#REF!,"AAAAAGef/oo=")</f>
        <v>#REF!</v>
      </c>
      <c r="EJ26" t="e">
        <f>AND(#REF!,"AAAAAGef/os=")</f>
        <v>#REF!</v>
      </c>
      <c r="EK26" t="e">
        <f>AND(#REF!,"AAAAAGef/ow=")</f>
        <v>#REF!</v>
      </c>
      <c r="EL26" t="e">
        <f>AND(#REF!,"AAAAAGef/o0=")</f>
        <v>#REF!</v>
      </c>
      <c r="EM26" t="e">
        <f>AND(#REF!,"AAAAAGef/o4=")</f>
        <v>#REF!</v>
      </c>
      <c r="EN26" t="e">
        <f>AND(#REF!,"AAAAAGef/o8=")</f>
        <v>#REF!</v>
      </c>
      <c r="EO26" t="e">
        <f>AND(#REF!,"AAAAAGef/pA=")</f>
        <v>#REF!</v>
      </c>
      <c r="EP26" t="e">
        <f>AND(#REF!,"AAAAAGef/pE=")</f>
        <v>#REF!</v>
      </c>
      <c r="EQ26" t="e">
        <f>AND(#REF!,"AAAAAGef/pI=")</f>
        <v>#REF!</v>
      </c>
      <c r="ER26" t="e">
        <f>AND(#REF!,"AAAAAGef/pM=")</f>
        <v>#REF!</v>
      </c>
      <c r="ES26" t="e">
        <f>AND(#REF!,"AAAAAGef/pQ=")</f>
        <v>#REF!</v>
      </c>
      <c r="ET26" t="e">
        <f>AND(#REF!,"AAAAAGef/pU=")</f>
        <v>#REF!</v>
      </c>
      <c r="EU26" t="e">
        <f>AND(#REF!,"AAAAAGef/pY=")</f>
        <v>#REF!</v>
      </c>
      <c r="EV26" t="e">
        <f>AND(#REF!,"AAAAAGef/pc=")</f>
        <v>#REF!</v>
      </c>
      <c r="EW26" t="e">
        <f>AND(#REF!,"AAAAAGef/pg=")</f>
        <v>#REF!</v>
      </c>
      <c r="EX26" t="e">
        <f>AND(#REF!,"AAAAAGef/pk=")</f>
        <v>#REF!</v>
      </c>
      <c r="EY26" t="e">
        <f>AND(#REF!,"AAAAAGef/po=")</f>
        <v>#REF!</v>
      </c>
      <c r="EZ26" t="e">
        <f>AND(#REF!,"AAAAAGef/ps=")</f>
        <v>#REF!</v>
      </c>
      <c r="FA26" t="e">
        <f>AND(#REF!,"AAAAAGef/pw=")</f>
        <v>#REF!</v>
      </c>
      <c r="FB26" t="e">
        <f>AND(#REF!,"AAAAAGef/p0=")</f>
        <v>#REF!</v>
      </c>
      <c r="FC26" t="e">
        <f>AND(#REF!,"AAAAAGef/p4=")</f>
        <v>#REF!</v>
      </c>
      <c r="FD26" t="e">
        <f>AND(#REF!,"AAAAAGef/p8=")</f>
        <v>#REF!</v>
      </c>
      <c r="FE26" t="e">
        <f>AND(#REF!,"AAAAAGef/qA=")</f>
        <v>#REF!</v>
      </c>
      <c r="FF26" t="e">
        <f>AND(#REF!,"AAAAAGef/qE=")</f>
        <v>#REF!</v>
      </c>
      <c r="FG26" t="e">
        <f>AND(#REF!,"AAAAAGef/qI=")</f>
        <v>#REF!</v>
      </c>
      <c r="FH26" t="e">
        <f>AND(#REF!,"AAAAAGef/qM=")</f>
        <v>#REF!</v>
      </c>
      <c r="FI26" t="e">
        <f>AND(#REF!,"AAAAAGef/qQ=")</f>
        <v>#REF!</v>
      </c>
      <c r="FJ26" t="e">
        <f>AND(#REF!,"AAAAAGef/qU=")</f>
        <v>#REF!</v>
      </c>
      <c r="FK26" t="e">
        <f>AND(#REF!,"AAAAAGef/qY=")</f>
        <v>#REF!</v>
      </c>
      <c r="FL26" t="e">
        <f>AND(#REF!,"AAAAAGef/qc=")</f>
        <v>#REF!</v>
      </c>
      <c r="FM26" t="e">
        <f>AND(#REF!,"AAAAAGef/qg=")</f>
        <v>#REF!</v>
      </c>
      <c r="FN26" t="e">
        <f>AND(#REF!,"AAAAAGef/qk=")</f>
        <v>#REF!</v>
      </c>
      <c r="FO26" t="e">
        <f>AND(#REF!,"AAAAAGef/qo=")</f>
        <v>#REF!</v>
      </c>
      <c r="FP26" t="e">
        <f>AND(#REF!,"AAAAAGef/qs=")</f>
        <v>#REF!</v>
      </c>
      <c r="FQ26" t="e">
        <f>AND(#REF!,"AAAAAGef/qw=")</f>
        <v>#REF!</v>
      </c>
      <c r="FR26" t="e">
        <f>AND(#REF!,"AAAAAGef/q0=")</f>
        <v>#REF!</v>
      </c>
      <c r="FS26" t="e">
        <f>AND(#REF!,"AAAAAGef/q4=")</f>
        <v>#REF!</v>
      </c>
      <c r="FT26" t="e">
        <f>AND(#REF!,"AAAAAGef/q8=")</f>
        <v>#REF!</v>
      </c>
      <c r="FU26" t="e">
        <f>AND(#REF!,"AAAAAGef/rA=")</f>
        <v>#REF!</v>
      </c>
      <c r="FV26" t="e">
        <f>AND(#REF!,"AAAAAGef/rE=")</f>
        <v>#REF!</v>
      </c>
      <c r="FW26" t="e">
        <f>AND(#REF!,"AAAAAGef/rI=")</f>
        <v>#REF!</v>
      </c>
      <c r="FX26" t="e">
        <f>AND(#REF!,"AAAAAGef/rM=")</f>
        <v>#REF!</v>
      </c>
      <c r="FY26" t="e">
        <f>AND(#REF!,"AAAAAGef/rQ=")</f>
        <v>#REF!</v>
      </c>
      <c r="FZ26" t="e">
        <f>AND(#REF!,"AAAAAGef/rU=")</f>
        <v>#REF!</v>
      </c>
      <c r="GA26" t="e">
        <f>AND(#REF!,"AAAAAGef/rY=")</f>
        <v>#REF!</v>
      </c>
      <c r="GB26" t="e">
        <f>AND(#REF!,"AAAAAGef/rc=")</f>
        <v>#REF!</v>
      </c>
      <c r="GC26" t="e">
        <f>AND(#REF!,"AAAAAGef/rg=")</f>
        <v>#REF!</v>
      </c>
      <c r="GD26" t="e">
        <f>AND(#REF!,"AAAAAGef/rk=")</f>
        <v>#REF!</v>
      </c>
      <c r="GE26" t="e">
        <f>AND(#REF!,"AAAAAGef/ro=")</f>
        <v>#REF!</v>
      </c>
      <c r="GF26" t="e">
        <f>AND(#REF!,"AAAAAGef/rs=")</f>
        <v>#REF!</v>
      </c>
      <c r="GG26" t="e">
        <f>AND(#REF!,"AAAAAGef/rw=")</f>
        <v>#REF!</v>
      </c>
      <c r="GH26" t="e">
        <f>AND(#REF!,"AAAAAGef/r0=")</f>
        <v>#REF!</v>
      </c>
      <c r="GI26" t="e">
        <f>AND(#REF!,"AAAAAGef/r4=")</f>
        <v>#REF!</v>
      </c>
      <c r="GJ26" t="e">
        <f>AND(#REF!,"AAAAAGef/r8=")</f>
        <v>#REF!</v>
      </c>
      <c r="GK26" t="e">
        <f>AND(#REF!,"AAAAAGef/sA=")</f>
        <v>#REF!</v>
      </c>
      <c r="GL26" t="e">
        <f>AND(#REF!,"AAAAAGef/sE=")</f>
        <v>#REF!</v>
      </c>
      <c r="GM26" t="e">
        <f>AND(#REF!,"AAAAAGef/sI=")</f>
        <v>#REF!</v>
      </c>
      <c r="GN26" t="e">
        <f>AND(#REF!,"AAAAAGef/sM=")</f>
        <v>#REF!</v>
      </c>
      <c r="GO26" t="e">
        <f>AND(#REF!,"AAAAAGef/sQ=")</f>
        <v>#REF!</v>
      </c>
      <c r="GP26" t="e">
        <f>AND(#REF!,"AAAAAGef/sU=")</f>
        <v>#REF!</v>
      </c>
      <c r="GQ26" t="e">
        <f>AND(#REF!,"AAAAAGef/sY=")</f>
        <v>#REF!</v>
      </c>
      <c r="GR26" t="e">
        <f>AND(#REF!,"AAAAAGef/sc=")</f>
        <v>#REF!</v>
      </c>
      <c r="GS26" t="e">
        <f>AND(#REF!,"AAAAAGef/sg=")</f>
        <v>#REF!</v>
      </c>
      <c r="GT26" t="e">
        <f>AND(#REF!,"AAAAAGef/sk=")</f>
        <v>#REF!</v>
      </c>
      <c r="GU26" t="e">
        <f>AND(#REF!,"AAAAAGef/so=")</f>
        <v>#REF!</v>
      </c>
      <c r="GV26" t="e">
        <f>AND(#REF!,"AAAAAGef/ss=")</f>
        <v>#REF!</v>
      </c>
      <c r="GW26" t="e">
        <f>AND(#REF!,"AAAAAGef/sw=")</f>
        <v>#REF!</v>
      </c>
      <c r="GX26" t="e">
        <f>AND(#REF!,"AAAAAGef/s0=")</f>
        <v>#REF!</v>
      </c>
      <c r="GY26" t="e">
        <f>AND(#REF!,"AAAAAGef/s4=")</f>
        <v>#REF!</v>
      </c>
      <c r="GZ26" t="e">
        <f>AND(#REF!,"AAAAAGef/s8=")</f>
        <v>#REF!</v>
      </c>
      <c r="HA26" t="e">
        <f>AND(#REF!,"AAAAAGef/tA=")</f>
        <v>#REF!</v>
      </c>
      <c r="HB26" t="e">
        <f>AND(#REF!,"AAAAAGef/tE=")</f>
        <v>#REF!</v>
      </c>
      <c r="HC26" t="e">
        <f>AND(#REF!,"AAAAAGef/tI=")</f>
        <v>#REF!</v>
      </c>
      <c r="HD26" t="e">
        <f>AND(#REF!,"AAAAAGef/tM=")</f>
        <v>#REF!</v>
      </c>
      <c r="HE26" t="e">
        <f>AND(#REF!,"AAAAAGef/tQ=")</f>
        <v>#REF!</v>
      </c>
      <c r="HF26" t="e">
        <f>AND(#REF!,"AAAAAGef/tU=")</f>
        <v>#REF!</v>
      </c>
      <c r="HG26" t="e">
        <f>AND(#REF!,"AAAAAGef/tY=")</f>
        <v>#REF!</v>
      </c>
      <c r="HH26" t="e">
        <f>AND(#REF!,"AAAAAGef/tc=")</f>
        <v>#REF!</v>
      </c>
      <c r="HI26" t="e">
        <f>AND(#REF!,"AAAAAGef/tg=")</f>
        <v>#REF!</v>
      </c>
      <c r="HJ26" t="e">
        <f>AND(#REF!,"AAAAAGef/tk=")</f>
        <v>#REF!</v>
      </c>
      <c r="HK26" t="e">
        <f>AND(#REF!,"AAAAAGef/to=")</f>
        <v>#REF!</v>
      </c>
      <c r="HL26" t="e">
        <f>AND(#REF!,"AAAAAGef/ts=")</f>
        <v>#REF!</v>
      </c>
      <c r="HM26" t="e">
        <f>AND(#REF!,"AAAAAGef/tw=")</f>
        <v>#REF!</v>
      </c>
      <c r="HN26" t="e">
        <f>AND(#REF!,"AAAAAGef/t0=")</f>
        <v>#REF!</v>
      </c>
      <c r="HO26" t="e">
        <f>AND(#REF!,"AAAAAGef/t4=")</f>
        <v>#REF!</v>
      </c>
      <c r="HP26" t="e">
        <f>AND(#REF!,"AAAAAGef/t8=")</f>
        <v>#REF!</v>
      </c>
      <c r="HQ26" t="e">
        <f>AND(#REF!,"AAAAAGef/uA=")</f>
        <v>#REF!</v>
      </c>
      <c r="HR26" t="e">
        <f>AND(#REF!,"AAAAAGef/uE=")</f>
        <v>#REF!</v>
      </c>
      <c r="HS26" t="e">
        <f>AND(#REF!,"AAAAAGef/uI=")</f>
        <v>#REF!</v>
      </c>
      <c r="HT26" t="e">
        <f>AND(#REF!,"AAAAAGef/uM=")</f>
        <v>#REF!</v>
      </c>
      <c r="HU26" t="e">
        <f>AND(#REF!,"AAAAAGef/uQ=")</f>
        <v>#REF!</v>
      </c>
      <c r="HV26" t="e">
        <f>AND(#REF!,"AAAAAGef/uU=")</f>
        <v>#REF!</v>
      </c>
      <c r="HW26" t="e">
        <f>AND(#REF!,"AAAAAGef/uY=")</f>
        <v>#REF!</v>
      </c>
      <c r="HX26" t="e">
        <f>AND(#REF!,"AAAAAGef/uc=")</f>
        <v>#REF!</v>
      </c>
      <c r="HY26" t="e">
        <f>AND(#REF!,"AAAAAGef/ug=")</f>
        <v>#REF!</v>
      </c>
      <c r="HZ26" t="e">
        <f>AND(#REF!,"AAAAAGef/uk=")</f>
        <v>#REF!</v>
      </c>
      <c r="IA26" t="e">
        <f>AND(#REF!,"AAAAAGef/uo=")</f>
        <v>#REF!</v>
      </c>
      <c r="IB26" t="e">
        <f>AND(#REF!,"AAAAAGef/us=")</f>
        <v>#REF!</v>
      </c>
      <c r="IC26" t="e">
        <f>AND(#REF!,"AAAAAGef/uw=")</f>
        <v>#REF!</v>
      </c>
      <c r="ID26" t="e">
        <f>AND(#REF!,"AAAAAGef/u0=")</f>
        <v>#REF!</v>
      </c>
      <c r="IE26" t="e">
        <f>AND(#REF!,"AAAAAGef/u4=")</f>
        <v>#REF!</v>
      </c>
      <c r="IF26" t="e">
        <f>AND(#REF!,"AAAAAGef/u8=")</f>
        <v>#REF!</v>
      </c>
      <c r="IG26" t="e">
        <f>AND(#REF!,"AAAAAGef/vA=")</f>
        <v>#REF!</v>
      </c>
      <c r="IH26" t="e">
        <f>AND(#REF!,"AAAAAGef/vE=")</f>
        <v>#REF!</v>
      </c>
      <c r="II26" t="e">
        <f>AND(#REF!,"AAAAAGef/vI=")</f>
        <v>#REF!</v>
      </c>
      <c r="IJ26" t="e">
        <f>AND(#REF!,"AAAAAGef/vM=")</f>
        <v>#REF!</v>
      </c>
      <c r="IK26" t="e">
        <f>AND(#REF!,"AAAAAGef/vQ=")</f>
        <v>#REF!</v>
      </c>
      <c r="IL26" t="e">
        <f>AND(#REF!,"AAAAAGef/vU=")</f>
        <v>#REF!</v>
      </c>
      <c r="IM26" t="e">
        <f>AND(#REF!,"AAAAAGef/vY=")</f>
        <v>#REF!</v>
      </c>
      <c r="IN26" t="e">
        <f>AND(#REF!,"AAAAAGef/vc=")</f>
        <v>#REF!</v>
      </c>
      <c r="IO26" t="e">
        <f>AND(#REF!,"AAAAAGef/vg=")</f>
        <v>#REF!</v>
      </c>
      <c r="IP26" t="e">
        <f>AND(#REF!,"AAAAAGef/vk=")</f>
        <v>#REF!</v>
      </c>
      <c r="IQ26" t="e">
        <f>AND(#REF!,"AAAAAGef/vo=")</f>
        <v>#REF!</v>
      </c>
      <c r="IR26" t="e">
        <f>AND(#REF!,"AAAAAGef/vs=")</f>
        <v>#REF!</v>
      </c>
      <c r="IS26" t="e">
        <f>AND(#REF!,"AAAAAGef/vw=")</f>
        <v>#REF!</v>
      </c>
      <c r="IT26" t="e">
        <f>AND(#REF!,"AAAAAGef/v0=")</f>
        <v>#REF!</v>
      </c>
      <c r="IU26" t="e">
        <f>AND(#REF!,"AAAAAGef/v4=")</f>
        <v>#REF!</v>
      </c>
      <c r="IV26" t="e">
        <f>AND(#REF!,"AAAAAGef/v8=")</f>
        <v>#REF!</v>
      </c>
    </row>
    <row r="27" spans="1:256">
      <c r="A27" t="e">
        <f>AND(#REF!,"AAAAAH0//wA=")</f>
        <v>#REF!</v>
      </c>
      <c r="B27" t="e">
        <f>AND(#REF!,"AAAAAH0//wE=")</f>
        <v>#REF!</v>
      </c>
      <c r="C27" t="e">
        <f>AND(#REF!,"AAAAAH0//wI=")</f>
        <v>#REF!</v>
      </c>
      <c r="D27" t="e">
        <f>AND(#REF!,"AAAAAH0//wM=")</f>
        <v>#REF!</v>
      </c>
      <c r="E27" t="e">
        <f>AND(#REF!,"AAAAAH0//wQ=")</f>
        <v>#REF!</v>
      </c>
      <c r="F27" t="e">
        <f>AND(#REF!,"AAAAAH0//wU=")</f>
        <v>#REF!</v>
      </c>
      <c r="G27" t="e">
        <f>AND(#REF!,"AAAAAH0//wY=")</f>
        <v>#REF!</v>
      </c>
      <c r="H27" t="e">
        <f>AND(#REF!,"AAAAAH0//wc=")</f>
        <v>#REF!</v>
      </c>
      <c r="I27" t="e">
        <f>AND(#REF!,"AAAAAH0//wg=")</f>
        <v>#REF!</v>
      </c>
      <c r="J27" t="e">
        <f>AND(#REF!,"AAAAAH0//wk=")</f>
        <v>#REF!</v>
      </c>
      <c r="K27" t="e">
        <f>AND(#REF!,"AAAAAH0//wo=")</f>
        <v>#REF!</v>
      </c>
      <c r="L27" t="e">
        <f>AND(#REF!,"AAAAAH0//ws=")</f>
        <v>#REF!</v>
      </c>
      <c r="M27" t="e">
        <f>AND(#REF!,"AAAAAH0//ww=")</f>
        <v>#REF!</v>
      </c>
      <c r="N27" t="e">
        <f>AND(#REF!,"AAAAAH0//w0=")</f>
        <v>#REF!</v>
      </c>
      <c r="O27" t="e">
        <f>AND(#REF!,"AAAAAH0//w4=")</f>
        <v>#REF!</v>
      </c>
      <c r="P27" t="e">
        <f>AND(#REF!,"AAAAAH0//w8=")</f>
        <v>#REF!</v>
      </c>
      <c r="Q27" t="e">
        <f>AND(#REF!,"AAAAAH0//xA=")</f>
        <v>#REF!</v>
      </c>
      <c r="R27" t="e">
        <f>AND(#REF!,"AAAAAH0//xE=")</f>
        <v>#REF!</v>
      </c>
      <c r="S27" t="e">
        <f>AND(#REF!,"AAAAAH0//xI=")</f>
        <v>#REF!</v>
      </c>
      <c r="T27" t="e">
        <f>AND(#REF!,"AAAAAH0//xM=")</f>
        <v>#REF!</v>
      </c>
      <c r="U27" t="e">
        <f>AND(#REF!,"AAAAAH0//xQ=")</f>
        <v>#REF!</v>
      </c>
      <c r="V27" t="e">
        <f>AND(#REF!,"AAAAAH0//xU=")</f>
        <v>#REF!</v>
      </c>
      <c r="W27" t="e">
        <f>AND(#REF!,"AAAAAH0//xY=")</f>
        <v>#REF!</v>
      </c>
      <c r="X27" t="e">
        <f>AND(#REF!,"AAAAAH0//xc=")</f>
        <v>#REF!</v>
      </c>
      <c r="Y27" t="e">
        <f>AND(#REF!,"AAAAAH0//xg=")</f>
        <v>#REF!</v>
      </c>
      <c r="Z27" t="e">
        <f>AND(#REF!,"AAAAAH0//xk=")</f>
        <v>#REF!</v>
      </c>
      <c r="AA27" t="e">
        <f>AND(#REF!,"AAAAAH0//xo=")</f>
        <v>#REF!</v>
      </c>
      <c r="AB27" t="e">
        <f>AND(#REF!,"AAAAAH0//xs=")</f>
        <v>#REF!</v>
      </c>
      <c r="AC27" t="e">
        <f>AND(#REF!,"AAAAAH0//xw=")</f>
        <v>#REF!</v>
      </c>
      <c r="AD27" t="e">
        <f>AND(#REF!,"AAAAAH0//x0=")</f>
        <v>#REF!</v>
      </c>
      <c r="AE27" t="e">
        <f>AND(#REF!,"AAAAAH0//x4=")</f>
        <v>#REF!</v>
      </c>
      <c r="AF27" t="e">
        <f>AND(#REF!,"AAAAAH0//x8=")</f>
        <v>#REF!</v>
      </c>
      <c r="AG27" t="e">
        <f>AND(#REF!,"AAAAAH0//yA=")</f>
        <v>#REF!</v>
      </c>
      <c r="AH27" t="e">
        <f>AND(#REF!,"AAAAAH0//yE=")</f>
        <v>#REF!</v>
      </c>
      <c r="AI27" t="e">
        <f>AND(#REF!,"AAAAAH0//yI=")</f>
        <v>#REF!</v>
      </c>
      <c r="AJ27" t="e">
        <f>AND(#REF!,"AAAAAH0//yM=")</f>
        <v>#REF!</v>
      </c>
      <c r="AK27" t="e">
        <f>AND(#REF!,"AAAAAH0//yQ=")</f>
        <v>#REF!</v>
      </c>
      <c r="AL27" t="e">
        <f>AND(#REF!,"AAAAAH0//yU=")</f>
        <v>#REF!</v>
      </c>
      <c r="AM27" t="e">
        <f>AND(#REF!,"AAAAAH0//yY=")</f>
        <v>#REF!</v>
      </c>
      <c r="AN27" t="e">
        <f>AND(#REF!,"AAAAAH0//yc=")</f>
        <v>#REF!</v>
      </c>
      <c r="AO27" t="e">
        <f>AND(#REF!,"AAAAAH0//yg=")</f>
        <v>#REF!</v>
      </c>
      <c r="AP27" t="e">
        <f>AND(#REF!,"AAAAAH0//yk=")</f>
        <v>#REF!</v>
      </c>
      <c r="AQ27" t="e">
        <f>AND(#REF!,"AAAAAH0//yo=")</f>
        <v>#REF!</v>
      </c>
      <c r="AR27" t="e">
        <f>AND(#REF!,"AAAAAH0//ys=")</f>
        <v>#REF!</v>
      </c>
      <c r="AS27" t="e">
        <f>AND(#REF!,"AAAAAH0//yw=")</f>
        <v>#REF!</v>
      </c>
      <c r="AT27" t="e">
        <f>AND(#REF!,"AAAAAH0//y0=")</f>
        <v>#REF!</v>
      </c>
      <c r="AU27" t="e">
        <f>AND(#REF!,"AAAAAH0//y4=")</f>
        <v>#REF!</v>
      </c>
      <c r="AV27" t="e">
        <f>AND(#REF!,"AAAAAH0//y8=")</f>
        <v>#REF!</v>
      </c>
      <c r="AW27" t="e">
        <f>AND(#REF!,"AAAAAH0//zA=")</f>
        <v>#REF!</v>
      </c>
      <c r="AX27" t="e">
        <f>AND(#REF!,"AAAAAH0//zE=")</f>
        <v>#REF!</v>
      </c>
      <c r="AY27" t="e">
        <f>AND(#REF!,"AAAAAH0//zI=")</f>
        <v>#REF!</v>
      </c>
      <c r="AZ27" t="e">
        <f>AND(#REF!,"AAAAAH0//zM=")</f>
        <v>#REF!</v>
      </c>
      <c r="BA27" t="e">
        <f>AND(#REF!,"AAAAAH0//zQ=")</f>
        <v>#REF!</v>
      </c>
      <c r="BB27" t="e">
        <f>AND(#REF!,"AAAAAH0//zU=")</f>
        <v>#REF!</v>
      </c>
      <c r="BC27" t="e">
        <f>AND(#REF!,"AAAAAH0//zY=")</f>
        <v>#REF!</v>
      </c>
      <c r="BD27" t="e">
        <f>AND(#REF!,"AAAAAH0//zc=")</f>
        <v>#REF!</v>
      </c>
      <c r="BE27" t="e">
        <f>AND(#REF!,"AAAAAH0//zg=")</f>
        <v>#REF!</v>
      </c>
      <c r="BF27" t="e">
        <f>AND(#REF!,"AAAAAH0//zk=")</f>
        <v>#REF!</v>
      </c>
      <c r="BG27" t="e">
        <f>AND(#REF!,"AAAAAH0//zo=")</f>
        <v>#REF!</v>
      </c>
      <c r="BH27" t="e">
        <f>AND(#REF!,"AAAAAH0//zs=")</f>
        <v>#REF!</v>
      </c>
      <c r="BI27" t="e">
        <f>AND(#REF!,"AAAAAH0//zw=")</f>
        <v>#REF!</v>
      </c>
      <c r="BJ27" t="e">
        <f>AND(#REF!,"AAAAAH0//z0=")</f>
        <v>#REF!</v>
      </c>
      <c r="BK27" t="e">
        <f>AND(#REF!,"AAAAAH0//z4=")</f>
        <v>#REF!</v>
      </c>
      <c r="BL27" t="e">
        <f>AND(#REF!,"AAAAAH0//z8=")</f>
        <v>#REF!</v>
      </c>
      <c r="BM27" t="e">
        <f>AND(#REF!,"AAAAAH0//0A=")</f>
        <v>#REF!</v>
      </c>
      <c r="BN27" t="e">
        <f>AND(#REF!,"AAAAAH0//0E=")</f>
        <v>#REF!</v>
      </c>
      <c r="BO27" t="e">
        <f>AND(#REF!,"AAAAAH0//0I=")</f>
        <v>#REF!</v>
      </c>
      <c r="BP27" t="e">
        <f>AND(#REF!,"AAAAAH0//0M=")</f>
        <v>#REF!</v>
      </c>
      <c r="BQ27" t="e">
        <f>AND(#REF!,"AAAAAH0//0Q=")</f>
        <v>#REF!</v>
      </c>
      <c r="BR27" t="e">
        <f>AND(#REF!,"AAAAAH0//0U=")</f>
        <v>#REF!</v>
      </c>
      <c r="BS27" t="e">
        <f>AND(#REF!,"AAAAAH0//0Y=")</f>
        <v>#REF!</v>
      </c>
      <c r="BT27" t="e">
        <f>AND(#REF!,"AAAAAH0//0c=")</f>
        <v>#REF!</v>
      </c>
      <c r="BU27" t="e">
        <f>AND(#REF!,"AAAAAH0//0g=")</f>
        <v>#REF!</v>
      </c>
      <c r="BV27" t="e">
        <f>AND(#REF!,"AAAAAH0//0k=")</f>
        <v>#REF!</v>
      </c>
      <c r="BW27" t="e">
        <f>AND(#REF!,"AAAAAH0//0o=")</f>
        <v>#REF!</v>
      </c>
      <c r="BX27" t="e">
        <f>AND(#REF!,"AAAAAH0//0s=")</f>
        <v>#REF!</v>
      </c>
      <c r="BY27" t="e">
        <f>AND(#REF!,"AAAAAH0//0w=")</f>
        <v>#REF!</v>
      </c>
      <c r="BZ27" t="e">
        <f>AND(#REF!,"AAAAAH0//00=")</f>
        <v>#REF!</v>
      </c>
      <c r="CA27" t="e">
        <f>AND(#REF!,"AAAAAH0//04=")</f>
        <v>#REF!</v>
      </c>
      <c r="CB27" t="e">
        <f>AND(#REF!,"AAAAAH0//08=")</f>
        <v>#REF!</v>
      </c>
      <c r="CC27" t="e">
        <f>AND(#REF!,"AAAAAH0//1A=")</f>
        <v>#REF!</v>
      </c>
      <c r="CD27" t="e">
        <f>AND(#REF!,"AAAAAH0//1E=")</f>
        <v>#REF!</v>
      </c>
      <c r="CE27" t="e">
        <f>AND(#REF!,"AAAAAH0//1I=")</f>
        <v>#REF!</v>
      </c>
      <c r="CF27" t="e">
        <f>AND(#REF!,"AAAAAH0//1M=")</f>
        <v>#REF!</v>
      </c>
      <c r="CG27" t="e">
        <f>AND(#REF!,"AAAAAH0//1Q=")</f>
        <v>#REF!</v>
      </c>
      <c r="CH27" t="e">
        <f>AND(#REF!,"AAAAAH0//1U=")</f>
        <v>#REF!</v>
      </c>
      <c r="CI27" t="e">
        <f>AND(#REF!,"AAAAAH0//1Y=")</f>
        <v>#REF!</v>
      </c>
      <c r="CJ27" t="e">
        <f>AND(#REF!,"AAAAAH0//1c=")</f>
        <v>#REF!</v>
      </c>
      <c r="CK27" t="e">
        <f>AND(#REF!,"AAAAAH0//1g=")</f>
        <v>#REF!</v>
      </c>
      <c r="CL27" t="e">
        <f>AND(#REF!,"AAAAAH0//1k=")</f>
        <v>#REF!</v>
      </c>
      <c r="CM27" t="e">
        <f>AND(#REF!,"AAAAAH0//1o=")</f>
        <v>#REF!</v>
      </c>
      <c r="CN27" t="e">
        <f>AND(#REF!,"AAAAAH0//1s=")</f>
        <v>#REF!</v>
      </c>
      <c r="CO27" t="e">
        <f>AND(#REF!,"AAAAAH0//1w=")</f>
        <v>#REF!</v>
      </c>
      <c r="CP27" t="e">
        <f>AND(#REF!,"AAAAAH0//10=")</f>
        <v>#REF!</v>
      </c>
      <c r="CQ27" t="e">
        <f>AND(#REF!,"AAAAAH0//14=")</f>
        <v>#REF!</v>
      </c>
      <c r="CR27" t="e">
        <f>AND(#REF!,"AAAAAH0//18=")</f>
        <v>#REF!</v>
      </c>
      <c r="CS27" t="e">
        <f>AND(#REF!,"AAAAAH0//2A=")</f>
        <v>#REF!</v>
      </c>
      <c r="CT27" t="e">
        <f>AND(#REF!,"AAAAAH0//2E=")</f>
        <v>#REF!</v>
      </c>
      <c r="CU27" t="e">
        <f>AND(#REF!,"AAAAAH0//2I=")</f>
        <v>#REF!</v>
      </c>
      <c r="CV27" t="e">
        <f>AND(#REF!,"AAAAAH0//2M=")</f>
        <v>#REF!</v>
      </c>
      <c r="CW27" t="e">
        <f>AND(#REF!,"AAAAAH0//2Q=")</f>
        <v>#REF!</v>
      </c>
      <c r="CX27" t="e">
        <f>AND(#REF!,"AAAAAH0//2U=")</f>
        <v>#REF!</v>
      </c>
      <c r="CY27" t="e">
        <f>AND(#REF!,"AAAAAH0//2Y=")</f>
        <v>#REF!</v>
      </c>
      <c r="CZ27" t="e">
        <f>AND(#REF!,"AAAAAH0//2c=")</f>
        <v>#REF!</v>
      </c>
      <c r="DA27" t="e">
        <f>AND(#REF!,"AAAAAH0//2g=")</f>
        <v>#REF!</v>
      </c>
      <c r="DB27" t="e">
        <f>AND(#REF!,"AAAAAH0//2k=")</f>
        <v>#REF!</v>
      </c>
      <c r="DC27" t="e">
        <f>AND(#REF!,"AAAAAH0//2o=")</f>
        <v>#REF!</v>
      </c>
      <c r="DD27" t="e">
        <f>AND(#REF!,"AAAAAH0//2s=")</f>
        <v>#REF!</v>
      </c>
      <c r="DE27" t="e">
        <f>AND(#REF!,"AAAAAH0//2w=")</f>
        <v>#REF!</v>
      </c>
      <c r="DF27" t="e">
        <f>AND(#REF!,"AAAAAH0//20=")</f>
        <v>#REF!</v>
      </c>
      <c r="DG27" t="e">
        <f>AND(#REF!,"AAAAAH0//24=")</f>
        <v>#REF!</v>
      </c>
      <c r="DH27" t="e">
        <f>AND(#REF!,"AAAAAH0//28=")</f>
        <v>#REF!</v>
      </c>
      <c r="DI27" t="e">
        <f>AND(#REF!,"AAAAAH0//3A=")</f>
        <v>#REF!</v>
      </c>
      <c r="DJ27" t="e">
        <f>AND(#REF!,"AAAAAH0//3E=")</f>
        <v>#REF!</v>
      </c>
      <c r="DK27" t="e">
        <f>AND(#REF!,"AAAAAH0//3I=")</f>
        <v>#REF!</v>
      </c>
      <c r="DL27" t="e">
        <f>AND(#REF!,"AAAAAH0//3M=")</f>
        <v>#REF!</v>
      </c>
      <c r="DM27" t="e">
        <f>AND(#REF!,"AAAAAH0//3Q=")</f>
        <v>#REF!</v>
      </c>
      <c r="DN27" t="e">
        <f>AND(#REF!,"AAAAAH0//3U=")</f>
        <v>#REF!</v>
      </c>
      <c r="DO27" t="e">
        <f>AND(#REF!,"AAAAAH0//3Y=")</f>
        <v>#REF!</v>
      </c>
      <c r="DP27" t="e">
        <f>AND(#REF!,"AAAAAH0//3c=")</f>
        <v>#REF!</v>
      </c>
      <c r="DQ27" t="e">
        <f>AND(#REF!,"AAAAAH0//3g=")</f>
        <v>#REF!</v>
      </c>
      <c r="DR27" t="e">
        <f>AND(#REF!,"AAAAAH0//3k=")</f>
        <v>#REF!</v>
      </c>
      <c r="DS27" t="e">
        <f>AND(#REF!,"AAAAAH0//3o=")</f>
        <v>#REF!</v>
      </c>
      <c r="DT27" t="e">
        <f>AND(#REF!,"AAAAAH0//3s=")</f>
        <v>#REF!</v>
      </c>
      <c r="DU27" t="e">
        <f>AND(#REF!,"AAAAAH0//3w=")</f>
        <v>#REF!</v>
      </c>
      <c r="DV27" t="e">
        <f>AND(#REF!,"AAAAAH0//30=")</f>
        <v>#REF!</v>
      </c>
      <c r="DW27" t="e">
        <f>AND(#REF!,"AAAAAH0//34=")</f>
        <v>#REF!</v>
      </c>
      <c r="DX27" t="e">
        <f>AND(#REF!,"AAAAAH0//38=")</f>
        <v>#REF!</v>
      </c>
      <c r="DY27" t="e">
        <f>AND(#REF!,"AAAAAH0//4A=")</f>
        <v>#REF!</v>
      </c>
      <c r="DZ27" t="e">
        <f>AND(#REF!,"AAAAAH0//4E=")</f>
        <v>#REF!</v>
      </c>
      <c r="EA27" t="e">
        <f>AND(#REF!,"AAAAAH0//4I=")</f>
        <v>#REF!</v>
      </c>
      <c r="EB27" t="e">
        <f>AND(#REF!,"AAAAAH0//4M=")</f>
        <v>#REF!</v>
      </c>
      <c r="EC27" t="e">
        <f>AND(#REF!,"AAAAAH0//4Q=")</f>
        <v>#REF!</v>
      </c>
      <c r="ED27" t="e">
        <f>AND(#REF!,"AAAAAH0//4U=")</f>
        <v>#REF!</v>
      </c>
      <c r="EE27" t="e">
        <f>AND(#REF!,"AAAAAH0//4Y=")</f>
        <v>#REF!</v>
      </c>
      <c r="EF27" t="e">
        <f>AND(#REF!,"AAAAAH0//4c=")</f>
        <v>#REF!</v>
      </c>
      <c r="EG27" t="e">
        <f>AND(#REF!,"AAAAAH0//4g=")</f>
        <v>#REF!</v>
      </c>
      <c r="EH27" t="e">
        <f>AND(#REF!,"AAAAAH0//4k=")</f>
        <v>#REF!</v>
      </c>
      <c r="EI27" t="e">
        <f>AND(#REF!,"AAAAAH0//4o=")</f>
        <v>#REF!</v>
      </c>
      <c r="EJ27" t="e">
        <f>AND(#REF!,"AAAAAH0//4s=")</f>
        <v>#REF!</v>
      </c>
      <c r="EK27" t="e">
        <f>AND(#REF!,"AAAAAH0//4w=")</f>
        <v>#REF!</v>
      </c>
      <c r="EL27" t="e">
        <f>AND(#REF!,"AAAAAH0//40=")</f>
        <v>#REF!</v>
      </c>
      <c r="EM27" t="e">
        <f>AND(#REF!,"AAAAAH0//44=")</f>
        <v>#REF!</v>
      </c>
      <c r="EN27" t="e">
        <f>AND(#REF!,"AAAAAH0//48=")</f>
        <v>#REF!</v>
      </c>
      <c r="EO27" t="e">
        <f>AND(#REF!,"AAAAAH0//5A=")</f>
        <v>#REF!</v>
      </c>
      <c r="EP27" t="e">
        <f>AND(#REF!,"AAAAAH0//5E=")</f>
        <v>#REF!</v>
      </c>
      <c r="EQ27" t="e">
        <f>AND(#REF!,"AAAAAH0//5I=")</f>
        <v>#REF!</v>
      </c>
      <c r="ER27" t="e">
        <f>AND(#REF!,"AAAAAH0//5M=")</f>
        <v>#REF!</v>
      </c>
      <c r="ES27" t="e">
        <f>AND(#REF!,"AAAAAH0//5Q=")</f>
        <v>#REF!</v>
      </c>
      <c r="ET27" t="e">
        <f>AND(#REF!,"AAAAAH0//5U=")</f>
        <v>#REF!</v>
      </c>
      <c r="EU27" t="e">
        <f>AND(#REF!,"AAAAAH0//5Y=")</f>
        <v>#REF!</v>
      </c>
      <c r="EV27" t="e">
        <f>AND(#REF!,"AAAAAH0//5c=")</f>
        <v>#REF!</v>
      </c>
      <c r="EW27" t="e">
        <f>AND(#REF!,"AAAAAH0//5g=")</f>
        <v>#REF!</v>
      </c>
      <c r="EX27" t="e">
        <f>AND(#REF!,"AAAAAH0//5k=")</f>
        <v>#REF!</v>
      </c>
      <c r="EY27" t="e">
        <f>AND(#REF!,"AAAAAH0//5o=")</f>
        <v>#REF!</v>
      </c>
      <c r="EZ27" t="e">
        <f>AND(#REF!,"AAAAAH0//5s=")</f>
        <v>#REF!</v>
      </c>
      <c r="FA27" t="e">
        <f>AND(#REF!,"AAAAAH0//5w=")</f>
        <v>#REF!</v>
      </c>
      <c r="FB27" t="e">
        <f>AND(#REF!,"AAAAAH0//50=")</f>
        <v>#REF!</v>
      </c>
      <c r="FC27" t="e">
        <f>AND(#REF!,"AAAAAH0//54=")</f>
        <v>#REF!</v>
      </c>
      <c r="FD27" t="e">
        <f>AND(#REF!,"AAAAAH0//58=")</f>
        <v>#REF!</v>
      </c>
      <c r="FE27" t="e">
        <f>AND(#REF!,"AAAAAH0//6A=")</f>
        <v>#REF!</v>
      </c>
      <c r="FF27" t="e">
        <f>AND(#REF!,"AAAAAH0//6E=")</f>
        <v>#REF!</v>
      </c>
      <c r="FG27" t="e">
        <f>AND(#REF!,"AAAAAH0//6I=")</f>
        <v>#REF!</v>
      </c>
      <c r="FH27" t="e">
        <f>AND(#REF!,"AAAAAH0//6M=")</f>
        <v>#REF!</v>
      </c>
      <c r="FI27" t="e">
        <f>AND(#REF!,"AAAAAH0//6Q=")</f>
        <v>#REF!</v>
      </c>
      <c r="FJ27" t="e">
        <f>AND(#REF!,"AAAAAH0//6U=")</f>
        <v>#REF!</v>
      </c>
      <c r="FK27" t="e">
        <f>AND(#REF!,"AAAAAH0//6Y=")</f>
        <v>#REF!</v>
      </c>
      <c r="FL27" t="e">
        <f>AND(#REF!,"AAAAAH0//6c=")</f>
        <v>#REF!</v>
      </c>
      <c r="FM27" t="e">
        <f>AND(#REF!,"AAAAAH0//6g=")</f>
        <v>#REF!</v>
      </c>
      <c r="FN27" t="e">
        <f>AND(#REF!,"AAAAAH0//6k=")</f>
        <v>#REF!</v>
      </c>
      <c r="FO27" t="e">
        <f>AND(#REF!,"AAAAAH0//6o=")</f>
        <v>#REF!</v>
      </c>
      <c r="FP27" t="e">
        <f>AND(#REF!,"AAAAAH0//6s=")</f>
        <v>#REF!</v>
      </c>
      <c r="FQ27" t="e">
        <f>AND(#REF!,"AAAAAH0//6w=")</f>
        <v>#REF!</v>
      </c>
      <c r="FR27" t="e">
        <f>AND(#REF!,"AAAAAH0//60=")</f>
        <v>#REF!</v>
      </c>
      <c r="FS27" t="e">
        <f>AND(#REF!,"AAAAAH0//64=")</f>
        <v>#REF!</v>
      </c>
      <c r="FT27" t="e">
        <f>AND(#REF!,"AAAAAH0//68=")</f>
        <v>#REF!</v>
      </c>
      <c r="FU27" t="e">
        <f>AND(#REF!,"AAAAAH0//7A=")</f>
        <v>#REF!</v>
      </c>
      <c r="FV27" t="e">
        <f>AND(#REF!,"AAAAAH0//7E=")</f>
        <v>#REF!</v>
      </c>
      <c r="FW27" t="e">
        <f>AND(#REF!,"AAAAAH0//7I=")</f>
        <v>#REF!</v>
      </c>
      <c r="FX27" t="e">
        <f>AND(#REF!,"AAAAAH0//7M=")</f>
        <v>#REF!</v>
      </c>
      <c r="FY27" t="e">
        <f>AND(#REF!,"AAAAAH0//7Q=")</f>
        <v>#REF!</v>
      </c>
      <c r="FZ27" t="e">
        <f>AND(#REF!,"AAAAAH0//7U=")</f>
        <v>#REF!</v>
      </c>
      <c r="GA27" t="e">
        <f>AND(#REF!,"AAAAAH0//7Y=")</f>
        <v>#REF!</v>
      </c>
      <c r="GB27" t="e">
        <f>AND(#REF!,"AAAAAH0//7c=")</f>
        <v>#REF!</v>
      </c>
      <c r="GC27" t="e">
        <f>AND(#REF!,"AAAAAH0//7g=")</f>
        <v>#REF!</v>
      </c>
      <c r="GD27" t="e">
        <f>AND(#REF!,"AAAAAH0//7k=")</f>
        <v>#REF!</v>
      </c>
      <c r="GE27" t="e">
        <f>AND(#REF!,"AAAAAH0//7o=")</f>
        <v>#REF!</v>
      </c>
      <c r="GF27" t="e">
        <f>AND(#REF!,"AAAAAH0//7s=")</f>
        <v>#REF!</v>
      </c>
      <c r="GG27" t="e">
        <f>AND(#REF!,"AAAAAH0//7w=")</f>
        <v>#REF!</v>
      </c>
      <c r="GH27" t="e">
        <f>AND(#REF!,"AAAAAH0//70=")</f>
        <v>#REF!</v>
      </c>
      <c r="GI27" t="e">
        <f>AND(#REF!,"AAAAAH0//74=")</f>
        <v>#REF!</v>
      </c>
      <c r="GJ27" t="e">
        <f>AND(#REF!,"AAAAAH0//78=")</f>
        <v>#REF!</v>
      </c>
      <c r="GK27" t="e">
        <f>AND(#REF!,"AAAAAH0//8A=")</f>
        <v>#REF!</v>
      </c>
      <c r="GL27" t="e">
        <f>AND(#REF!,"AAAAAH0//8E=")</f>
        <v>#REF!</v>
      </c>
      <c r="GM27" t="e">
        <f>AND(#REF!,"AAAAAH0//8I=")</f>
        <v>#REF!</v>
      </c>
      <c r="GN27" t="e">
        <f>AND(#REF!,"AAAAAH0//8M=")</f>
        <v>#REF!</v>
      </c>
      <c r="GO27" t="e">
        <f>AND(#REF!,"AAAAAH0//8Q=")</f>
        <v>#REF!</v>
      </c>
      <c r="GP27" t="e">
        <f>AND(#REF!,"AAAAAH0//8U=")</f>
        <v>#REF!</v>
      </c>
      <c r="GQ27" t="e">
        <f>AND(#REF!,"AAAAAH0//8Y=")</f>
        <v>#REF!</v>
      </c>
      <c r="GR27" t="e">
        <f>AND(#REF!,"AAAAAH0//8c=")</f>
        <v>#REF!</v>
      </c>
      <c r="GS27" t="e">
        <f>AND(#REF!,"AAAAAH0//8g=")</f>
        <v>#REF!</v>
      </c>
      <c r="GT27" t="e">
        <f>AND(#REF!,"AAAAAH0//8k=")</f>
        <v>#REF!</v>
      </c>
      <c r="GU27" t="e">
        <f>AND(#REF!,"AAAAAH0//8o=")</f>
        <v>#REF!</v>
      </c>
      <c r="GV27" t="e">
        <f>AND(#REF!,"AAAAAH0//8s=")</f>
        <v>#REF!</v>
      </c>
      <c r="GW27" t="e">
        <f>AND(#REF!,"AAAAAH0//8w=")</f>
        <v>#REF!</v>
      </c>
      <c r="GX27" t="e">
        <f>AND(#REF!,"AAAAAH0//80=")</f>
        <v>#REF!</v>
      </c>
      <c r="GY27" t="e">
        <f>AND(#REF!,"AAAAAH0//84=")</f>
        <v>#REF!</v>
      </c>
      <c r="GZ27" t="e">
        <f>AND(#REF!,"AAAAAH0//88=")</f>
        <v>#REF!</v>
      </c>
      <c r="HA27" t="e">
        <f>AND(#REF!,"AAAAAH0//9A=")</f>
        <v>#REF!</v>
      </c>
      <c r="HB27" t="e">
        <f>AND(#REF!,"AAAAAH0//9E=")</f>
        <v>#REF!</v>
      </c>
      <c r="HC27" t="e">
        <f>AND(#REF!,"AAAAAH0//9I=")</f>
        <v>#REF!</v>
      </c>
      <c r="HD27" t="e">
        <f>AND(#REF!,"AAAAAH0//9M=")</f>
        <v>#REF!</v>
      </c>
      <c r="HE27" t="e">
        <f>AND(#REF!,"AAAAAH0//9Q=")</f>
        <v>#REF!</v>
      </c>
      <c r="HF27" t="e">
        <f>AND(#REF!,"AAAAAH0//9U=")</f>
        <v>#REF!</v>
      </c>
      <c r="HG27" t="e">
        <f>AND(#REF!,"AAAAAH0//9Y=")</f>
        <v>#REF!</v>
      </c>
      <c r="HH27" t="e">
        <f>AND(#REF!,"AAAAAH0//9c=")</f>
        <v>#REF!</v>
      </c>
      <c r="HI27" t="e">
        <f>AND(#REF!,"AAAAAH0//9g=")</f>
        <v>#REF!</v>
      </c>
      <c r="HJ27" t="e">
        <f>AND(#REF!,"AAAAAH0//9k=")</f>
        <v>#REF!</v>
      </c>
      <c r="HK27" t="e">
        <f>AND(#REF!,"AAAAAH0//9o=")</f>
        <v>#REF!</v>
      </c>
      <c r="HL27" t="e">
        <f>AND(#REF!,"AAAAAH0//9s=")</f>
        <v>#REF!</v>
      </c>
      <c r="HM27" t="e">
        <f>AND(#REF!,"AAAAAH0//9w=")</f>
        <v>#REF!</v>
      </c>
      <c r="HN27" t="e">
        <f>AND(#REF!,"AAAAAH0//90=")</f>
        <v>#REF!</v>
      </c>
      <c r="HO27" t="e">
        <f>AND(#REF!,"AAAAAH0//94=")</f>
        <v>#REF!</v>
      </c>
      <c r="HP27" t="e">
        <f>AND(#REF!,"AAAAAH0//98=")</f>
        <v>#REF!</v>
      </c>
      <c r="HQ27" t="e">
        <f>AND(#REF!,"AAAAAH0//+A=")</f>
        <v>#REF!</v>
      </c>
      <c r="HR27" t="e">
        <f>AND(#REF!,"AAAAAH0//+E=")</f>
        <v>#REF!</v>
      </c>
      <c r="HS27" t="e">
        <f>AND(#REF!,"AAAAAH0//+I=")</f>
        <v>#REF!</v>
      </c>
      <c r="HT27" t="e">
        <f>AND(#REF!,"AAAAAH0//+M=")</f>
        <v>#REF!</v>
      </c>
      <c r="HU27" t="e">
        <f>AND(#REF!,"AAAAAH0//+Q=")</f>
        <v>#REF!</v>
      </c>
      <c r="HV27" t="e">
        <f>AND(#REF!,"AAAAAH0//+U=")</f>
        <v>#REF!</v>
      </c>
      <c r="HW27" t="e">
        <f>AND(#REF!,"AAAAAH0//+Y=")</f>
        <v>#REF!</v>
      </c>
      <c r="HX27" t="e">
        <f>AND(#REF!,"AAAAAH0//+c=")</f>
        <v>#REF!</v>
      </c>
      <c r="HY27" t="e">
        <f>AND(#REF!,"AAAAAH0//+g=")</f>
        <v>#REF!</v>
      </c>
      <c r="HZ27" t="e">
        <f>AND(#REF!,"AAAAAH0//+k=")</f>
        <v>#REF!</v>
      </c>
      <c r="IA27" t="e">
        <f>AND(#REF!,"AAAAAH0//+o=")</f>
        <v>#REF!</v>
      </c>
      <c r="IB27" t="e">
        <f>AND(#REF!,"AAAAAH0//+s=")</f>
        <v>#REF!</v>
      </c>
      <c r="IC27" t="e">
        <f>AND(#REF!,"AAAAAH0//+w=")</f>
        <v>#REF!</v>
      </c>
      <c r="ID27" t="e">
        <f>AND(#REF!,"AAAAAH0//+0=")</f>
        <v>#REF!</v>
      </c>
      <c r="IE27" t="e">
        <f>AND(#REF!,"AAAAAH0//+4=")</f>
        <v>#REF!</v>
      </c>
      <c r="IF27" t="e">
        <f>AND(#REF!,"AAAAAH0//+8=")</f>
        <v>#REF!</v>
      </c>
      <c r="IG27" t="e">
        <f>AND(#REF!,"AAAAAH0///A=")</f>
        <v>#REF!</v>
      </c>
      <c r="IH27" t="e">
        <f>AND(#REF!,"AAAAAH0///E=")</f>
        <v>#REF!</v>
      </c>
      <c r="II27" t="e">
        <f>AND(#REF!,"AAAAAH0///I=")</f>
        <v>#REF!</v>
      </c>
      <c r="IJ27" t="e">
        <f>AND(#REF!,"AAAAAH0///M=")</f>
        <v>#REF!</v>
      </c>
      <c r="IK27" t="e">
        <f>AND(#REF!,"AAAAAH0///Q=")</f>
        <v>#REF!</v>
      </c>
      <c r="IL27" t="e">
        <f>AND(#REF!,"AAAAAH0///U=")</f>
        <v>#REF!</v>
      </c>
      <c r="IM27" t="e">
        <f>AND(#REF!,"AAAAAH0///Y=")</f>
        <v>#REF!</v>
      </c>
      <c r="IN27" t="e">
        <f>AND(#REF!,"AAAAAH0///c=")</f>
        <v>#REF!</v>
      </c>
      <c r="IO27" t="e">
        <f>AND(#REF!,"AAAAAH0///g=")</f>
        <v>#REF!</v>
      </c>
      <c r="IP27" t="e">
        <f>AND(#REF!,"AAAAAH0///k=")</f>
        <v>#REF!</v>
      </c>
      <c r="IQ27" t="e">
        <f>AND(#REF!,"AAAAAH0///o=")</f>
        <v>#REF!</v>
      </c>
      <c r="IR27" t="e">
        <f>AND(#REF!,"AAAAAH0///s=")</f>
        <v>#REF!</v>
      </c>
      <c r="IS27" t="e">
        <f>AND(#REF!,"AAAAAH0///w=")</f>
        <v>#REF!</v>
      </c>
      <c r="IT27" t="e">
        <f>AND(#REF!,"AAAAAH0///0=")</f>
        <v>#REF!</v>
      </c>
      <c r="IU27" t="e">
        <f>AND(#REF!,"AAAAAH0///4=")</f>
        <v>#REF!</v>
      </c>
      <c r="IV27" t="e">
        <f>AND(#REF!,"AAAAAH0///8=")</f>
        <v>#REF!</v>
      </c>
    </row>
    <row r="28" spans="1:256">
      <c r="A28" t="e">
        <f>AND(#REF!,"AAAAAGflOgA=")</f>
        <v>#REF!</v>
      </c>
      <c r="B28" t="e">
        <f>AND(#REF!,"AAAAAGflOgE=")</f>
        <v>#REF!</v>
      </c>
      <c r="C28" t="e">
        <f>AND(#REF!,"AAAAAGflOgI=")</f>
        <v>#REF!</v>
      </c>
      <c r="D28" t="e">
        <f>AND(#REF!,"AAAAAGflOgM=")</f>
        <v>#REF!</v>
      </c>
      <c r="E28" t="e">
        <f>AND(#REF!,"AAAAAGflOgQ=")</f>
        <v>#REF!</v>
      </c>
      <c r="F28" t="e">
        <f>AND(#REF!,"AAAAAGflOgU=")</f>
        <v>#REF!</v>
      </c>
      <c r="G28" t="e">
        <f>AND(#REF!,"AAAAAGflOgY=")</f>
        <v>#REF!</v>
      </c>
      <c r="H28" t="e">
        <f>AND(#REF!,"AAAAAGflOgc=")</f>
        <v>#REF!</v>
      </c>
      <c r="I28" t="e">
        <f>AND(#REF!,"AAAAAGflOgg=")</f>
        <v>#REF!</v>
      </c>
      <c r="J28" t="e">
        <f>AND(#REF!,"AAAAAGflOgk=")</f>
        <v>#REF!</v>
      </c>
      <c r="K28" t="e">
        <f>AND(#REF!,"AAAAAGflOgo=")</f>
        <v>#REF!</v>
      </c>
      <c r="L28" t="e">
        <f>AND(#REF!,"AAAAAGflOgs=")</f>
        <v>#REF!</v>
      </c>
      <c r="M28" t="e">
        <f>AND(#REF!,"AAAAAGflOgw=")</f>
        <v>#REF!</v>
      </c>
      <c r="N28" t="e">
        <f>AND(#REF!,"AAAAAGflOg0=")</f>
        <v>#REF!</v>
      </c>
      <c r="O28" t="e">
        <f>AND(#REF!,"AAAAAGflOg4=")</f>
        <v>#REF!</v>
      </c>
      <c r="P28" t="e">
        <f>AND(#REF!,"AAAAAGflOg8=")</f>
        <v>#REF!</v>
      </c>
      <c r="Q28" t="e">
        <f>AND(#REF!,"AAAAAGflOhA=")</f>
        <v>#REF!</v>
      </c>
      <c r="R28" t="e">
        <f>AND(#REF!,"AAAAAGflOhE=")</f>
        <v>#REF!</v>
      </c>
      <c r="S28" t="e">
        <f>AND(#REF!,"AAAAAGflOhI=")</f>
        <v>#REF!</v>
      </c>
      <c r="T28" t="e">
        <f>AND(#REF!,"AAAAAGflOhM=")</f>
        <v>#REF!</v>
      </c>
      <c r="U28" t="e">
        <f>AND(#REF!,"AAAAAGflOhQ=")</f>
        <v>#REF!</v>
      </c>
      <c r="V28" t="e">
        <f>AND(#REF!,"AAAAAGflOhU=")</f>
        <v>#REF!</v>
      </c>
      <c r="W28" t="e">
        <f>AND(#REF!,"AAAAAGflOhY=")</f>
        <v>#REF!</v>
      </c>
      <c r="X28" t="e">
        <f>AND(#REF!,"AAAAAGflOhc=")</f>
        <v>#REF!</v>
      </c>
      <c r="Y28" t="e">
        <f>AND(#REF!,"AAAAAGflOhg=")</f>
        <v>#REF!</v>
      </c>
      <c r="Z28" t="e">
        <f>AND(#REF!,"AAAAAGflOhk=")</f>
        <v>#REF!</v>
      </c>
      <c r="AA28" t="e">
        <f>AND(#REF!,"AAAAAGflOho=")</f>
        <v>#REF!</v>
      </c>
      <c r="AB28" t="e">
        <f>AND(#REF!,"AAAAAGflOhs=")</f>
        <v>#REF!</v>
      </c>
      <c r="AC28" t="e">
        <f>AND(#REF!,"AAAAAGflOhw=")</f>
        <v>#REF!</v>
      </c>
      <c r="AD28" t="e">
        <f>AND(#REF!,"AAAAAGflOh0=")</f>
        <v>#REF!</v>
      </c>
      <c r="AE28" t="e">
        <f>AND(#REF!,"AAAAAGflOh4=")</f>
        <v>#REF!</v>
      </c>
      <c r="AF28" t="e">
        <f>AND(#REF!,"AAAAAGflOh8=")</f>
        <v>#REF!</v>
      </c>
      <c r="AG28" t="e">
        <f>AND(#REF!,"AAAAAGflOiA=")</f>
        <v>#REF!</v>
      </c>
      <c r="AH28" t="e">
        <f>AND(#REF!,"AAAAAGflOiE=")</f>
        <v>#REF!</v>
      </c>
      <c r="AI28" t="e">
        <f>AND(#REF!,"AAAAAGflOiI=")</f>
        <v>#REF!</v>
      </c>
      <c r="AJ28" t="e">
        <f>AND(#REF!,"AAAAAGflOiM=")</f>
        <v>#REF!</v>
      </c>
      <c r="AK28" t="e">
        <f>AND(#REF!,"AAAAAGflOiQ=")</f>
        <v>#REF!</v>
      </c>
      <c r="AL28" t="e">
        <f>AND(#REF!,"AAAAAGflOiU=")</f>
        <v>#REF!</v>
      </c>
      <c r="AM28" t="e">
        <f>AND(#REF!,"AAAAAGflOiY=")</f>
        <v>#REF!</v>
      </c>
      <c r="AN28" t="e">
        <f>AND(#REF!,"AAAAAGflOic=")</f>
        <v>#REF!</v>
      </c>
      <c r="AO28" t="e">
        <f>AND(#REF!,"AAAAAGflOig=")</f>
        <v>#REF!</v>
      </c>
      <c r="AP28" t="e">
        <f>AND(#REF!,"AAAAAGflOik=")</f>
        <v>#REF!</v>
      </c>
      <c r="AQ28" t="e">
        <f>AND(#REF!,"AAAAAGflOio=")</f>
        <v>#REF!</v>
      </c>
      <c r="AR28" t="e">
        <f>AND(#REF!,"AAAAAGflOis=")</f>
        <v>#REF!</v>
      </c>
      <c r="AS28" t="e">
        <f>AND(#REF!,"AAAAAGflOiw=")</f>
        <v>#REF!</v>
      </c>
      <c r="AT28" t="e">
        <f>AND(#REF!,"AAAAAGflOi0=")</f>
        <v>#REF!</v>
      </c>
      <c r="AU28" t="e">
        <f>AND(#REF!,"AAAAAGflOi4=")</f>
        <v>#REF!</v>
      </c>
      <c r="AV28" t="e">
        <f>AND(#REF!,"AAAAAGflOi8=")</f>
        <v>#REF!</v>
      </c>
      <c r="AW28" t="e">
        <f>AND(#REF!,"AAAAAGflOjA=")</f>
        <v>#REF!</v>
      </c>
      <c r="AX28" t="e">
        <f>AND(#REF!,"AAAAAGflOjE=")</f>
        <v>#REF!</v>
      </c>
      <c r="AY28" t="e">
        <f>AND(#REF!,"AAAAAGflOjI=")</f>
        <v>#REF!</v>
      </c>
      <c r="AZ28" t="e">
        <f>AND(#REF!,"AAAAAGflOjM=")</f>
        <v>#REF!</v>
      </c>
      <c r="BA28" t="e">
        <f>AND(#REF!,"AAAAAGflOjQ=")</f>
        <v>#REF!</v>
      </c>
      <c r="BB28" t="e">
        <f>AND(#REF!,"AAAAAGflOjU=")</f>
        <v>#REF!</v>
      </c>
      <c r="BC28" t="e">
        <f>AND(#REF!,"AAAAAGflOjY=")</f>
        <v>#REF!</v>
      </c>
      <c r="BD28" t="e">
        <f>AND(#REF!,"AAAAAGflOjc=")</f>
        <v>#REF!</v>
      </c>
      <c r="BE28" t="e">
        <f>AND(#REF!,"AAAAAGflOjg=")</f>
        <v>#REF!</v>
      </c>
      <c r="BF28" t="e">
        <f>AND(#REF!,"AAAAAGflOjk=")</f>
        <v>#REF!</v>
      </c>
      <c r="BG28" t="e">
        <f>AND(#REF!,"AAAAAGflOjo=")</f>
        <v>#REF!</v>
      </c>
      <c r="BH28" t="e">
        <f>AND(#REF!,"AAAAAGflOjs=")</f>
        <v>#REF!</v>
      </c>
      <c r="BI28" t="e">
        <f>AND(#REF!,"AAAAAGflOjw=")</f>
        <v>#REF!</v>
      </c>
      <c r="BJ28" t="e">
        <f>AND(#REF!,"AAAAAGflOj0=")</f>
        <v>#REF!</v>
      </c>
      <c r="BK28" t="e">
        <f>AND(#REF!,"AAAAAGflOj4=")</f>
        <v>#REF!</v>
      </c>
      <c r="BL28" t="e">
        <f>AND(#REF!,"AAAAAGflOj8=")</f>
        <v>#REF!</v>
      </c>
      <c r="BM28" t="e">
        <f>AND(#REF!,"AAAAAGflOkA=")</f>
        <v>#REF!</v>
      </c>
      <c r="BN28" t="e">
        <f>AND(#REF!,"AAAAAGflOkE=")</f>
        <v>#REF!</v>
      </c>
      <c r="BO28" t="e">
        <f>AND(#REF!,"AAAAAGflOkI=")</f>
        <v>#REF!</v>
      </c>
      <c r="BP28" t="e">
        <f>AND(#REF!,"AAAAAGflOkM=")</f>
        <v>#REF!</v>
      </c>
      <c r="BQ28" t="e">
        <f>AND(#REF!,"AAAAAGflOkQ=")</f>
        <v>#REF!</v>
      </c>
      <c r="BR28" t="e">
        <f>AND(#REF!,"AAAAAGflOkU=")</f>
        <v>#REF!</v>
      </c>
      <c r="BS28" t="e">
        <f>AND(#REF!,"AAAAAGflOkY=")</f>
        <v>#REF!</v>
      </c>
      <c r="BT28" t="e">
        <f>AND(#REF!,"AAAAAGflOkc=")</f>
        <v>#REF!</v>
      </c>
      <c r="BU28" t="e">
        <f>AND(#REF!,"AAAAAGflOkg=")</f>
        <v>#REF!</v>
      </c>
      <c r="BV28" t="e">
        <f>AND(#REF!,"AAAAAGflOkk=")</f>
        <v>#REF!</v>
      </c>
      <c r="BW28" t="e">
        <f>AND(#REF!,"AAAAAGflOko=")</f>
        <v>#REF!</v>
      </c>
      <c r="BX28" t="e">
        <f>AND(#REF!,"AAAAAGflOks=")</f>
        <v>#REF!</v>
      </c>
      <c r="BY28" t="e">
        <f>AND(#REF!,"AAAAAGflOkw=")</f>
        <v>#REF!</v>
      </c>
      <c r="BZ28" t="e">
        <f>AND(#REF!,"AAAAAGflOk0=")</f>
        <v>#REF!</v>
      </c>
      <c r="CA28" t="e">
        <f>AND(#REF!,"AAAAAGflOk4=")</f>
        <v>#REF!</v>
      </c>
      <c r="CB28" t="e">
        <f>AND(#REF!,"AAAAAGflOk8=")</f>
        <v>#REF!</v>
      </c>
      <c r="CC28" t="e">
        <f>AND(#REF!,"AAAAAGflOlA=")</f>
        <v>#REF!</v>
      </c>
      <c r="CD28" t="e">
        <f>AND(#REF!,"AAAAAGflOlE=")</f>
        <v>#REF!</v>
      </c>
      <c r="CE28" t="e">
        <f>AND(#REF!,"AAAAAGflOlI=")</f>
        <v>#REF!</v>
      </c>
      <c r="CF28" t="e">
        <f>AND(#REF!,"AAAAAGflOlM=")</f>
        <v>#REF!</v>
      </c>
      <c r="CG28" t="e">
        <f>AND(#REF!,"AAAAAGflOlQ=")</f>
        <v>#REF!</v>
      </c>
      <c r="CH28" t="e">
        <f>AND(#REF!,"AAAAAGflOlU=")</f>
        <v>#REF!</v>
      </c>
      <c r="CI28" t="e">
        <f>AND(#REF!,"AAAAAGflOlY=")</f>
        <v>#REF!</v>
      </c>
      <c r="CJ28" t="e">
        <f>AND(#REF!,"AAAAAGflOlc=")</f>
        <v>#REF!</v>
      </c>
      <c r="CK28" t="e">
        <f>AND(#REF!,"AAAAAGflOlg=")</f>
        <v>#REF!</v>
      </c>
      <c r="CL28" t="e">
        <f>AND(#REF!,"AAAAAGflOlk=")</f>
        <v>#REF!</v>
      </c>
      <c r="CM28" t="e">
        <f>AND(#REF!,"AAAAAGflOlo=")</f>
        <v>#REF!</v>
      </c>
      <c r="CN28" t="e">
        <f>AND(#REF!,"AAAAAGflOls=")</f>
        <v>#REF!</v>
      </c>
      <c r="CO28" t="e">
        <f>AND(#REF!,"AAAAAGflOlw=")</f>
        <v>#REF!</v>
      </c>
      <c r="CP28" t="e">
        <f>AND(#REF!,"AAAAAGflOl0=")</f>
        <v>#REF!</v>
      </c>
      <c r="CQ28" t="e">
        <f>AND(#REF!,"AAAAAGflOl4=")</f>
        <v>#REF!</v>
      </c>
      <c r="CR28" t="e">
        <f>AND(#REF!,"AAAAAGflOl8=")</f>
        <v>#REF!</v>
      </c>
      <c r="CS28" t="e">
        <f>AND(#REF!,"AAAAAGflOmA=")</f>
        <v>#REF!</v>
      </c>
      <c r="CT28" t="e">
        <f>AND(#REF!,"AAAAAGflOmE=")</f>
        <v>#REF!</v>
      </c>
      <c r="CU28" t="e">
        <f>AND(#REF!,"AAAAAGflOmI=")</f>
        <v>#REF!</v>
      </c>
      <c r="CV28" t="e">
        <f>AND(#REF!,"AAAAAGflOmM=")</f>
        <v>#REF!</v>
      </c>
      <c r="CW28" t="e">
        <f>AND(#REF!,"AAAAAGflOmQ=")</f>
        <v>#REF!</v>
      </c>
      <c r="CX28" t="e">
        <f>AND(#REF!,"AAAAAGflOmU=")</f>
        <v>#REF!</v>
      </c>
      <c r="CY28" t="e">
        <f>AND(#REF!,"AAAAAGflOmY=")</f>
        <v>#REF!</v>
      </c>
      <c r="CZ28" t="e">
        <f>AND(#REF!,"AAAAAGflOmc=")</f>
        <v>#REF!</v>
      </c>
      <c r="DA28" t="e">
        <f>AND(#REF!,"AAAAAGflOmg=")</f>
        <v>#REF!</v>
      </c>
      <c r="DB28" t="e">
        <f>AND(#REF!,"AAAAAGflOmk=")</f>
        <v>#REF!</v>
      </c>
      <c r="DC28" t="e">
        <f>AND(#REF!,"AAAAAGflOmo=")</f>
        <v>#REF!</v>
      </c>
      <c r="DD28" t="e">
        <f>AND(#REF!,"AAAAAGflOms=")</f>
        <v>#REF!</v>
      </c>
      <c r="DE28" t="e">
        <f>AND(#REF!,"AAAAAGflOmw=")</f>
        <v>#REF!</v>
      </c>
      <c r="DF28" t="e">
        <f>AND(#REF!,"AAAAAGflOm0=")</f>
        <v>#REF!</v>
      </c>
      <c r="DG28" t="e">
        <f>AND(#REF!,"AAAAAGflOm4=")</f>
        <v>#REF!</v>
      </c>
      <c r="DH28" t="e">
        <f>AND(#REF!,"AAAAAGflOm8=")</f>
        <v>#REF!</v>
      </c>
      <c r="DI28" t="e">
        <f>AND(#REF!,"AAAAAGflOnA=")</f>
        <v>#REF!</v>
      </c>
      <c r="DJ28" t="e">
        <f>AND(#REF!,"AAAAAGflOnE=")</f>
        <v>#REF!</v>
      </c>
      <c r="DK28" t="e">
        <f>AND(#REF!,"AAAAAGflOnI=")</f>
        <v>#REF!</v>
      </c>
      <c r="DL28" t="e">
        <f>AND(#REF!,"AAAAAGflOnM=")</f>
        <v>#REF!</v>
      </c>
      <c r="DM28" t="e">
        <f>AND(#REF!,"AAAAAGflOnQ=")</f>
        <v>#REF!</v>
      </c>
      <c r="DN28" t="e">
        <f>AND(#REF!,"AAAAAGflOnU=")</f>
        <v>#REF!</v>
      </c>
      <c r="DO28" t="e">
        <f>AND(#REF!,"AAAAAGflOnY=")</f>
        <v>#REF!</v>
      </c>
      <c r="DP28" t="e">
        <f>AND(#REF!,"AAAAAGflOnc=")</f>
        <v>#REF!</v>
      </c>
      <c r="DQ28" t="e">
        <f>AND(#REF!,"AAAAAGflOng=")</f>
        <v>#REF!</v>
      </c>
      <c r="DR28" t="e">
        <f>AND(#REF!,"AAAAAGflOnk=")</f>
        <v>#REF!</v>
      </c>
      <c r="DS28" t="e">
        <f>AND(#REF!,"AAAAAGflOno=")</f>
        <v>#REF!</v>
      </c>
      <c r="DT28" t="e">
        <f>AND(#REF!,"AAAAAGflOns=")</f>
        <v>#REF!</v>
      </c>
      <c r="DU28" t="e">
        <f>AND(#REF!,"AAAAAGflOnw=")</f>
        <v>#REF!</v>
      </c>
      <c r="DV28" t="e">
        <f>AND(#REF!,"AAAAAGflOn0=")</f>
        <v>#REF!</v>
      </c>
      <c r="DW28" t="e">
        <f>AND(#REF!,"AAAAAGflOn4=")</f>
        <v>#REF!</v>
      </c>
      <c r="DX28" t="e">
        <f>AND(#REF!,"AAAAAGflOn8=")</f>
        <v>#REF!</v>
      </c>
      <c r="DY28" t="e">
        <f>AND(#REF!,"AAAAAGflOoA=")</f>
        <v>#REF!</v>
      </c>
      <c r="DZ28" t="e">
        <f>AND(#REF!,"AAAAAGflOoE=")</f>
        <v>#REF!</v>
      </c>
      <c r="EA28" t="e">
        <f>AND(#REF!,"AAAAAGflOoI=")</f>
        <v>#REF!</v>
      </c>
      <c r="EB28" t="e">
        <f>AND(#REF!,"AAAAAGflOoM=")</f>
        <v>#REF!</v>
      </c>
      <c r="EC28" t="e">
        <f>AND(#REF!,"AAAAAGflOoQ=")</f>
        <v>#REF!</v>
      </c>
      <c r="ED28" t="e">
        <f>AND(#REF!,"AAAAAGflOoU=")</f>
        <v>#REF!</v>
      </c>
      <c r="EE28" t="e">
        <f>AND(#REF!,"AAAAAGflOoY=")</f>
        <v>#REF!</v>
      </c>
      <c r="EF28" t="e">
        <f>AND(#REF!,"AAAAAGflOoc=")</f>
        <v>#REF!</v>
      </c>
      <c r="EG28" t="e">
        <f>AND(#REF!,"AAAAAGflOog=")</f>
        <v>#REF!</v>
      </c>
      <c r="EH28" t="e">
        <f>AND(#REF!,"AAAAAGflOok=")</f>
        <v>#REF!</v>
      </c>
      <c r="EI28" t="e">
        <f>AND(#REF!,"AAAAAGflOoo=")</f>
        <v>#REF!</v>
      </c>
      <c r="EJ28" t="e">
        <f>AND(#REF!,"AAAAAGflOos=")</f>
        <v>#REF!</v>
      </c>
      <c r="EK28" t="e">
        <f>AND(#REF!,"AAAAAGflOow=")</f>
        <v>#REF!</v>
      </c>
      <c r="EL28" t="e">
        <f>AND(#REF!,"AAAAAGflOo0=")</f>
        <v>#REF!</v>
      </c>
      <c r="EM28" t="e">
        <f>AND(#REF!,"AAAAAGflOo4=")</f>
        <v>#REF!</v>
      </c>
      <c r="EN28" t="e">
        <f>AND(#REF!,"AAAAAGflOo8=")</f>
        <v>#REF!</v>
      </c>
      <c r="EO28" t="e">
        <f>AND(#REF!,"AAAAAGflOpA=")</f>
        <v>#REF!</v>
      </c>
      <c r="EP28" t="e">
        <f>AND(#REF!,"AAAAAGflOpE=")</f>
        <v>#REF!</v>
      </c>
      <c r="EQ28" t="e">
        <f>AND(#REF!,"AAAAAGflOpI=")</f>
        <v>#REF!</v>
      </c>
      <c r="ER28" t="e">
        <f>AND(#REF!,"AAAAAGflOpM=")</f>
        <v>#REF!</v>
      </c>
      <c r="ES28" t="e">
        <f>AND(#REF!,"AAAAAGflOpQ=")</f>
        <v>#REF!</v>
      </c>
      <c r="ET28" t="e">
        <f>AND(#REF!,"AAAAAGflOpU=")</f>
        <v>#REF!</v>
      </c>
      <c r="EU28" t="e">
        <f>AND(#REF!,"AAAAAGflOpY=")</f>
        <v>#REF!</v>
      </c>
      <c r="EV28" t="e">
        <f>AND(#REF!,"AAAAAGflOpc=")</f>
        <v>#REF!</v>
      </c>
      <c r="EW28" t="e">
        <f>AND(#REF!,"AAAAAGflOpg=")</f>
        <v>#REF!</v>
      </c>
      <c r="EX28" t="e">
        <f>AND(#REF!,"AAAAAGflOpk=")</f>
        <v>#REF!</v>
      </c>
      <c r="EY28" t="e">
        <f>AND(#REF!,"AAAAAGflOpo=")</f>
        <v>#REF!</v>
      </c>
      <c r="EZ28" t="e">
        <f>AND(#REF!,"AAAAAGflOps=")</f>
        <v>#REF!</v>
      </c>
      <c r="FA28" t="e">
        <f>AND(#REF!,"AAAAAGflOpw=")</f>
        <v>#REF!</v>
      </c>
      <c r="FB28" t="e">
        <f>AND(#REF!,"AAAAAGflOp0=")</f>
        <v>#REF!</v>
      </c>
      <c r="FC28" t="e">
        <f>AND(#REF!,"AAAAAGflOp4=")</f>
        <v>#REF!</v>
      </c>
      <c r="FD28" t="e">
        <f>AND(#REF!,"AAAAAGflOp8=")</f>
        <v>#REF!</v>
      </c>
      <c r="FE28" t="e">
        <f>AND(#REF!,"AAAAAGflOqA=")</f>
        <v>#REF!</v>
      </c>
      <c r="FF28" t="e">
        <f>AND(#REF!,"AAAAAGflOqE=")</f>
        <v>#REF!</v>
      </c>
      <c r="FG28" t="e">
        <f>AND(#REF!,"AAAAAGflOqI=")</f>
        <v>#REF!</v>
      </c>
      <c r="FH28" t="e">
        <f>AND(#REF!,"AAAAAGflOqM=")</f>
        <v>#REF!</v>
      </c>
      <c r="FI28" t="e">
        <f>AND(#REF!,"AAAAAGflOqQ=")</f>
        <v>#REF!</v>
      </c>
      <c r="FJ28" t="e">
        <f>AND(#REF!,"AAAAAGflOqU=")</f>
        <v>#REF!</v>
      </c>
      <c r="FK28" t="e">
        <f>AND(#REF!,"AAAAAGflOqY=")</f>
        <v>#REF!</v>
      </c>
      <c r="FL28" t="e">
        <f>AND(#REF!,"AAAAAGflOqc=")</f>
        <v>#REF!</v>
      </c>
      <c r="FM28" t="e">
        <f>AND(#REF!,"AAAAAGflOqg=")</f>
        <v>#REF!</v>
      </c>
      <c r="FN28" t="e">
        <f>AND(#REF!,"AAAAAGflOqk=")</f>
        <v>#REF!</v>
      </c>
      <c r="FO28" t="e">
        <f>AND(#REF!,"AAAAAGflOqo=")</f>
        <v>#REF!</v>
      </c>
      <c r="FP28" t="e">
        <f>AND(#REF!,"AAAAAGflOqs=")</f>
        <v>#REF!</v>
      </c>
      <c r="FQ28" t="e">
        <f>AND(#REF!,"AAAAAGflOqw=")</f>
        <v>#REF!</v>
      </c>
      <c r="FR28" t="e">
        <f>AND(#REF!,"AAAAAGflOq0=")</f>
        <v>#REF!</v>
      </c>
      <c r="FS28" t="e">
        <f>AND(#REF!,"AAAAAGflOq4=")</f>
        <v>#REF!</v>
      </c>
      <c r="FT28" t="e">
        <f>AND(#REF!,"AAAAAGflOq8=")</f>
        <v>#REF!</v>
      </c>
      <c r="FU28" t="e">
        <f>AND(#REF!,"AAAAAGflOrA=")</f>
        <v>#REF!</v>
      </c>
      <c r="FV28" t="e">
        <f>AND(#REF!,"AAAAAGflOrE=")</f>
        <v>#REF!</v>
      </c>
      <c r="FW28" t="e">
        <f>AND(#REF!,"AAAAAGflOrI=")</f>
        <v>#REF!</v>
      </c>
      <c r="FX28" t="e">
        <f>AND(#REF!,"AAAAAGflOrM=")</f>
        <v>#REF!</v>
      </c>
      <c r="FY28" t="e">
        <f>AND(#REF!,"AAAAAGflOrQ=")</f>
        <v>#REF!</v>
      </c>
      <c r="FZ28" t="e">
        <f>AND(#REF!,"AAAAAGflOrU=")</f>
        <v>#REF!</v>
      </c>
      <c r="GA28" t="e">
        <f>AND(#REF!,"AAAAAGflOrY=")</f>
        <v>#REF!</v>
      </c>
      <c r="GB28" t="e">
        <f>AND(#REF!,"AAAAAGflOrc=")</f>
        <v>#REF!</v>
      </c>
      <c r="GC28" t="e">
        <f>AND(#REF!,"AAAAAGflOrg=")</f>
        <v>#REF!</v>
      </c>
      <c r="GD28" t="e">
        <f>AND(#REF!,"AAAAAGflOrk=")</f>
        <v>#REF!</v>
      </c>
      <c r="GE28" t="e">
        <f>AND(#REF!,"AAAAAGflOro=")</f>
        <v>#REF!</v>
      </c>
      <c r="GF28" t="e">
        <f>AND(#REF!,"AAAAAGflOrs=")</f>
        <v>#REF!</v>
      </c>
      <c r="GG28" t="e">
        <f>AND(#REF!,"AAAAAGflOrw=")</f>
        <v>#REF!</v>
      </c>
      <c r="GH28" t="e">
        <f>AND(#REF!,"AAAAAGflOr0=")</f>
        <v>#REF!</v>
      </c>
      <c r="GI28" t="e">
        <f>AND(#REF!,"AAAAAGflOr4=")</f>
        <v>#REF!</v>
      </c>
      <c r="GJ28" t="e">
        <f>AND(#REF!,"AAAAAGflOr8=")</f>
        <v>#REF!</v>
      </c>
      <c r="GK28" t="e">
        <f>AND(#REF!,"AAAAAGflOsA=")</f>
        <v>#REF!</v>
      </c>
      <c r="GL28" t="e">
        <f>AND(#REF!,"AAAAAGflOsE=")</f>
        <v>#REF!</v>
      </c>
      <c r="GM28" t="e">
        <f>AND(#REF!,"AAAAAGflOsI=")</f>
        <v>#REF!</v>
      </c>
      <c r="GN28" t="e">
        <f>AND(#REF!,"AAAAAGflOsM=")</f>
        <v>#REF!</v>
      </c>
      <c r="GO28" t="e">
        <f>AND(#REF!,"AAAAAGflOsQ=")</f>
        <v>#REF!</v>
      </c>
      <c r="GP28" t="e">
        <f>AND(#REF!,"AAAAAGflOsU=")</f>
        <v>#REF!</v>
      </c>
      <c r="GQ28" t="e">
        <f>AND(#REF!,"AAAAAGflOsY=")</f>
        <v>#REF!</v>
      </c>
      <c r="GR28" t="e">
        <f>AND(#REF!,"AAAAAGflOsc=")</f>
        <v>#REF!</v>
      </c>
      <c r="GS28" t="e">
        <f>AND(#REF!,"AAAAAGflOsg=")</f>
        <v>#REF!</v>
      </c>
      <c r="GT28" t="e">
        <f>AND(#REF!,"AAAAAGflOsk=")</f>
        <v>#REF!</v>
      </c>
      <c r="GU28" t="e">
        <f>AND(#REF!,"AAAAAGflOso=")</f>
        <v>#REF!</v>
      </c>
      <c r="GV28" t="e">
        <f>AND(#REF!,"AAAAAGflOss=")</f>
        <v>#REF!</v>
      </c>
      <c r="GW28" t="e">
        <f>AND(#REF!,"AAAAAGflOsw=")</f>
        <v>#REF!</v>
      </c>
      <c r="GX28" t="e">
        <f>AND(#REF!,"AAAAAGflOs0=")</f>
        <v>#REF!</v>
      </c>
      <c r="GY28" t="e">
        <f>AND(#REF!,"AAAAAGflOs4=")</f>
        <v>#REF!</v>
      </c>
      <c r="GZ28" t="e">
        <f>AND(#REF!,"AAAAAGflOs8=")</f>
        <v>#REF!</v>
      </c>
      <c r="HA28" t="e">
        <f>AND(#REF!,"AAAAAGflOtA=")</f>
        <v>#REF!</v>
      </c>
      <c r="HB28" t="e">
        <f>AND(#REF!,"AAAAAGflOtE=")</f>
        <v>#REF!</v>
      </c>
      <c r="HC28" t="e">
        <f>AND(#REF!,"AAAAAGflOtI=")</f>
        <v>#REF!</v>
      </c>
      <c r="HD28" t="e">
        <f>AND(#REF!,"AAAAAGflOtM=")</f>
        <v>#REF!</v>
      </c>
      <c r="HE28" t="e">
        <f>AND(#REF!,"AAAAAGflOtQ=")</f>
        <v>#REF!</v>
      </c>
      <c r="HF28" t="e">
        <f>AND(#REF!,"AAAAAGflOtU=")</f>
        <v>#REF!</v>
      </c>
      <c r="HG28" t="e">
        <f>AND(#REF!,"AAAAAGflOtY=")</f>
        <v>#REF!</v>
      </c>
      <c r="HH28" t="e">
        <f>AND(#REF!,"AAAAAGflOtc=")</f>
        <v>#REF!</v>
      </c>
      <c r="HI28" t="e">
        <f>AND(#REF!,"AAAAAGflOtg=")</f>
        <v>#REF!</v>
      </c>
      <c r="HJ28" t="e">
        <f>AND(#REF!,"AAAAAGflOtk=")</f>
        <v>#REF!</v>
      </c>
      <c r="HK28" t="e">
        <f>AND(#REF!,"AAAAAGflOto=")</f>
        <v>#REF!</v>
      </c>
      <c r="HL28" t="e">
        <f>AND(#REF!,"AAAAAGflOts=")</f>
        <v>#REF!</v>
      </c>
      <c r="HM28" t="e">
        <f>AND(#REF!,"AAAAAGflOtw=")</f>
        <v>#REF!</v>
      </c>
      <c r="HN28" t="e">
        <f>AND(#REF!,"AAAAAGflOt0=")</f>
        <v>#REF!</v>
      </c>
      <c r="HO28" t="e">
        <f>AND(#REF!,"AAAAAGflOt4=")</f>
        <v>#REF!</v>
      </c>
      <c r="HP28" t="e">
        <f>AND(#REF!,"AAAAAGflOt8=")</f>
        <v>#REF!</v>
      </c>
      <c r="HQ28" t="e">
        <f>AND(#REF!,"AAAAAGflOuA=")</f>
        <v>#REF!</v>
      </c>
      <c r="HR28" t="e">
        <f>AND(#REF!,"AAAAAGflOuE=")</f>
        <v>#REF!</v>
      </c>
      <c r="HS28" t="e">
        <f>AND(#REF!,"AAAAAGflOuI=")</f>
        <v>#REF!</v>
      </c>
      <c r="HT28" t="e">
        <f>AND(#REF!,"AAAAAGflOuM=")</f>
        <v>#REF!</v>
      </c>
      <c r="HU28" t="e">
        <f>AND(#REF!,"AAAAAGflOuQ=")</f>
        <v>#REF!</v>
      </c>
      <c r="HV28" t="e">
        <f>AND(#REF!,"AAAAAGflOuU=")</f>
        <v>#REF!</v>
      </c>
      <c r="HW28" t="e">
        <f>AND(#REF!,"AAAAAGflOuY=")</f>
        <v>#REF!</v>
      </c>
      <c r="HX28" t="e">
        <f>AND(#REF!,"AAAAAGflOuc=")</f>
        <v>#REF!</v>
      </c>
      <c r="HY28" t="e">
        <f>AND(#REF!,"AAAAAGflOug=")</f>
        <v>#REF!</v>
      </c>
      <c r="HZ28" t="e">
        <f>AND(#REF!,"AAAAAGflOuk=")</f>
        <v>#REF!</v>
      </c>
      <c r="IA28" t="e">
        <f>AND(#REF!,"AAAAAGflOuo=")</f>
        <v>#REF!</v>
      </c>
      <c r="IB28" t="e">
        <f>AND(#REF!,"AAAAAGflOus=")</f>
        <v>#REF!</v>
      </c>
      <c r="IC28" t="e">
        <f>AND(#REF!,"AAAAAGflOuw=")</f>
        <v>#REF!</v>
      </c>
      <c r="ID28" t="e">
        <f>AND(#REF!,"AAAAAGflOu0=")</f>
        <v>#REF!</v>
      </c>
      <c r="IE28" t="e">
        <f>AND(#REF!,"AAAAAGflOu4=")</f>
        <v>#REF!</v>
      </c>
      <c r="IF28" t="e">
        <f>AND(#REF!,"AAAAAGflOu8=")</f>
        <v>#REF!</v>
      </c>
      <c r="IG28" t="e">
        <f>AND(#REF!,"AAAAAGflOvA=")</f>
        <v>#REF!</v>
      </c>
      <c r="IH28" t="e">
        <f>AND(#REF!,"AAAAAGflOvE=")</f>
        <v>#REF!</v>
      </c>
      <c r="II28" t="e">
        <f>AND(#REF!,"AAAAAGflOvI=")</f>
        <v>#REF!</v>
      </c>
      <c r="IJ28" t="e">
        <f>AND(#REF!,"AAAAAGflOvM=")</f>
        <v>#REF!</v>
      </c>
      <c r="IK28" t="e">
        <f>AND(#REF!,"AAAAAGflOvQ=")</f>
        <v>#REF!</v>
      </c>
      <c r="IL28" t="e">
        <f>AND(#REF!,"AAAAAGflOvU=")</f>
        <v>#REF!</v>
      </c>
      <c r="IM28" t="e">
        <f>AND(#REF!,"AAAAAGflOvY=")</f>
        <v>#REF!</v>
      </c>
      <c r="IN28" t="e">
        <f>AND(#REF!,"AAAAAGflOvc=")</f>
        <v>#REF!</v>
      </c>
      <c r="IO28" t="e">
        <f>AND(#REF!,"AAAAAGflOvg=")</f>
        <v>#REF!</v>
      </c>
      <c r="IP28" t="e">
        <f>AND(#REF!,"AAAAAGflOvk=")</f>
        <v>#REF!</v>
      </c>
      <c r="IQ28" t="e">
        <f>IF(#REF!,"AAAAAGflOvo=",0)</f>
        <v>#REF!</v>
      </c>
      <c r="IR28" t="e">
        <f>IF(#REF!,"AAAAAGflOvs=",0)</f>
        <v>#REF!</v>
      </c>
      <c r="IS28" t="e">
        <f>IF(#REF!,"AAAAAGflOvw=",0)</f>
        <v>#REF!</v>
      </c>
      <c r="IT28" t="e">
        <f>IF(#REF!,"AAAAAGflOv0=",0)</f>
        <v>#REF!</v>
      </c>
      <c r="IU28" t="e">
        <f>IF(#REF!,"AAAAAGflOv4=",0)</f>
        <v>#REF!</v>
      </c>
      <c r="IV28" t="e">
        <f>IF(#REF!,"AAAAAGflOv8=",0)</f>
        <v>#REF!</v>
      </c>
    </row>
    <row r="29" spans="1:256">
      <c r="A29" t="e">
        <f>IF(#REF!,"AAAAAE38/gA=",0)</f>
        <v>#REF!</v>
      </c>
      <c r="B29" t="e">
        <f>IF(#REF!,"AAAAAE38/gE=",0)</f>
        <v>#REF!</v>
      </c>
      <c r="C29" t="e">
        <f>IF(#REF!,"AAAAAE38/gI=",0)</f>
        <v>#REF!</v>
      </c>
      <c r="D29" t="e">
        <f>IF(#REF!,"AAAAAE38/gM=",0)</f>
        <v>#REF!</v>
      </c>
      <c r="E29" t="e">
        <f>IF(#REF!,"AAAAAE38/gQ=",0)</f>
        <v>#REF!</v>
      </c>
      <c r="F29" t="e">
        <f>IF(#REF!,"AAAAAE38/gU=",0)</f>
        <v>#REF!</v>
      </c>
      <c r="G29" t="e">
        <f>AND(#REF!,"AAAAAE38/gY=")</f>
        <v>#REF!</v>
      </c>
      <c r="H29" t="e">
        <f>AND(#REF!,"AAAAAE38/gc=")</f>
        <v>#REF!</v>
      </c>
      <c r="I29" t="e">
        <f>AND(#REF!,"AAAAAE38/gg=")</f>
        <v>#REF!</v>
      </c>
      <c r="J29" t="e">
        <f>AND(#REF!,"AAAAAE38/gk=")</f>
        <v>#REF!</v>
      </c>
      <c r="K29" t="e">
        <f>AND(#REF!,"AAAAAE38/go=")</f>
        <v>#REF!</v>
      </c>
      <c r="L29" t="e">
        <f>AND(#REF!,"AAAAAE38/gs=")</f>
        <v>#REF!</v>
      </c>
      <c r="M29" t="e">
        <f>AND(#REF!,"AAAAAE38/gw=")</f>
        <v>#REF!</v>
      </c>
      <c r="N29" t="e">
        <f>AND(#REF!,"AAAAAE38/g0=")</f>
        <v>#REF!</v>
      </c>
      <c r="O29" t="e">
        <f>IF(#REF!,"AAAAAE38/g4=",0)</f>
        <v>#REF!</v>
      </c>
      <c r="P29" t="e">
        <f>AND(#REF!,"AAAAAE38/g8=")</f>
        <v>#REF!</v>
      </c>
      <c r="Q29" t="e">
        <f>AND(#REF!,"AAAAAE38/hA=")</f>
        <v>#REF!</v>
      </c>
      <c r="R29" t="e">
        <f>AND(#REF!,"AAAAAE38/hE=")</f>
        <v>#REF!</v>
      </c>
      <c r="S29" t="e">
        <f>AND(#REF!,"AAAAAE38/hI=")</f>
        <v>#REF!</v>
      </c>
      <c r="T29" t="e">
        <f>AND(#REF!,"AAAAAE38/hM=")</f>
        <v>#REF!</v>
      </c>
      <c r="U29" t="e">
        <f>AND(#REF!,"AAAAAE38/hQ=")</f>
        <v>#REF!</v>
      </c>
      <c r="V29" t="e">
        <f>AND(#REF!,"AAAAAE38/hU=")</f>
        <v>#REF!</v>
      </c>
      <c r="W29" t="e">
        <f>AND(#REF!,"AAAAAE38/hY=")</f>
        <v>#REF!</v>
      </c>
      <c r="X29" t="e">
        <f>IF(#REF!,"AAAAAE38/hc=",0)</f>
        <v>#REF!</v>
      </c>
      <c r="Y29" t="e">
        <f>AND(#REF!,"AAAAAE38/hg=")</f>
        <v>#REF!</v>
      </c>
      <c r="Z29" t="e">
        <f>AND(#REF!,"AAAAAE38/hk=")</f>
        <v>#REF!</v>
      </c>
      <c r="AA29" t="e">
        <f>AND(#REF!,"AAAAAE38/ho=")</f>
        <v>#REF!</v>
      </c>
      <c r="AB29" t="e">
        <f>AND(#REF!,"AAAAAE38/hs=")</f>
        <v>#REF!</v>
      </c>
      <c r="AC29" t="e">
        <f>AND(#REF!,"AAAAAE38/hw=")</f>
        <v>#REF!</v>
      </c>
      <c r="AD29" t="e">
        <f>AND(#REF!,"AAAAAE38/h0=")</f>
        <v>#REF!</v>
      </c>
      <c r="AE29" t="e">
        <f>AND(#REF!,"AAAAAE38/h4=")</f>
        <v>#REF!</v>
      </c>
      <c r="AF29" t="e">
        <f>AND(#REF!,"AAAAAE38/h8=")</f>
        <v>#REF!</v>
      </c>
      <c r="AG29" t="e">
        <f>IF(#REF!,"AAAAAE38/iA=",0)</f>
        <v>#REF!</v>
      </c>
      <c r="AH29" t="e">
        <f>AND(#REF!,"AAAAAE38/iE=")</f>
        <v>#REF!</v>
      </c>
      <c r="AI29" t="e">
        <f>AND(#REF!,"AAAAAE38/iI=")</f>
        <v>#REF!</v>
      </c>
      <c r="AJ29" t="e">
        <f>AND(#REF!,"AAAAAE38/iM=")</f>
        <v>#REF!</v>
      </c>
      <c r="AK29" t="e">
        <f>AND(#REF!,"AAAAAE38/iQ=")</f>
        <v>#REF!</v>
      </c>
      <c r="AL29" t="e">
        <f>AND(#REF!,"AAAAAE38/iU=")</f>
        <v>#REF!</v>
      </c>
      <c r="AM29" t="e">
        <f>AND(#REF!,"AAAAAE38/iY=")</f>
        <v>#REF!</v>
      </c>
      <c r="AN29" t="e">
        <f>AND(#REF!,"AAAAAE38/ic=")</f>
        <v>#REF!</v>
      </c>
      <c r="AO29" t="e">
        <f>AND(#REF!,"AAAAAE38/ig=")</f>
        <v>#REF!</v>
      </c>
      <c r="AP29" t="e">
        <f>IF(#REF!,"AAAAAE38/ik=",0)</f>
        <v>#REF!</v>
      </c>
      <c r="AQ29" t="e">
        <f>AND(#REF!,"AAAAAE38/io=")</f>
        <v>#REF!</v>
      </c>
      <c r="AR29" t="e">
        <f>AND(#REF!,"AAAAAE38/is=")</f>
        <v>#REF!</v>
      </c>
      <c r="AS29" t="e">
        <f>AND(#REF!,"AAAAAE38/iw=")</f>
        <v>#REF!</v>
      </c>
      <c r="AT29" t="e">
        <f>AND(#REF!,"AAAAAE38/i0=")</f>
        <v>#REF!</v>
      </c>
      <c r="AU29" t="e">
        <f>AND(#REF!,"AAAAAE38/i4=")</f>
        <v>#REF!</v>
      </c>
      <c r="AV29" t="e">
        <f>AND(#REF!,"AAAAAE38/i8=")</f>
        <v>#REF!</v>
      </c>
      <c r="AW29" t="e">
        <f>AND(#REF!,"AAAAAE38/jA=")</f>
        <v>#REF!</v>
      </c>
      <c r="AX29" t="e">
        <f>AND(#REF!,"AAAAAE38/jE=")</f>
        <v>#REF!</v>
      </c>
      <c r="AY29" t="e">
        <f>IF(#REF!,"AAAAAE38/jI=",0)</f>
        <v>#REF!</v>
      </c>
      <c r="AZ29" t="e">
        <f>AND(#REF!,"AAAAAE38/jM=")</f>
        <v>#REF!</v>
      </c>
      <c r="BA29" t="e">
        <f>AND(#REF!,"AAAAAE38/jQ=")</f>
        <v>#REF!</v>
      </c>
      <c r="BB29" t="e">
        <f>AND(#REF!,"AAAAAE38/jU=")</f>
        <v>#REF!</v>
      </c>
      <c r="BC29" t="e">
        <f>AND(#REF!,"AAAAAE38/jY=")</f>
        <v>#REF!</v>
      </c>
      <c r="BD29" t="e">
        <f>AND(#REF!,"AAAAAE38/jc=")</f>
        <v>#REF!</v>
      </c>
      <c r="BE29" t="e">
        <f>AND(#REF!,"AAAAAE38/jg=")</f>
        <v>#REF!</v>
      </c>
      <c r="BF29" t="e">
        <f>AND(#REF!,"AAAAAE38/jk=")</f>
        <v>#REF!</v>
      </c>
      <c r="BG29" t="e">
        <f>AND(#REF!,"AAAAAE38/jo=")</f>
        <v>#REF!</v>
      </c>
      <c r="BH29" t="e">
        <f>IF(#REF!,"AAAAAE38/js=",0)</f>
        <v>#REF!</v>
      </c>
      <c r="BI29" t="e">
        <f>AND(#REF!,"AAAAAE38/jw=")</f>
        <v>#REF!</v>
      </c>
      <c r="BJ29" t="e">
        <f>AND(#REF!,"AAAAAE38/j0=")</f>
        <v>#REF!</v>
      </c>
      <c r="BK29" t="e">
        <f>AND(#REF!,"AAAAAE38/j4=")</f>
        <v>#REF!</v>
      </c>
      <c r="BL29" t="e">
        <f>AND(#REF!,"AAAAAE38/j8=")</f>
        <v>#REF!</v>
      </c>
      <c r="BM29" t="e">
        <f>AND(#REF!,"AAAAAE38/kA=")</f>
        <v>#REF!</v>
      </c>
      <c r="BN29" t="e">
        <f>AND(#REF!,"AAAAAE38/kE=")</f>
        <v>#REF!</v>
      </c>
      <c r="BO29" t="e">
        <f>AND(#REF!,"AAAAAE38/kI=")</f>
        <v>#REF!</v>
      </c>
      <c r="BP29" t="e">
        <f>AND(#REF!,"AAAAAE38/kM=")</f>
        <v>#REF!</v>
      </c>
      <c r="BQ29" t="e">
        <f>IF(#REF!,"AAAAAE38/kQ=",0)</f>
        <v>#REF!</v>
      </c>
      <c r="BR29" t="e">
        <f>AND(#REF!,"AAAAAE38/kU=")</f>
        <v>#REF!</v>
      </c>
      <c r="BS29" t="e">
        <f>AND(#REF!,"AAAAAE38/kY=")</f>
        <v>#REF!</v>
      </c>
      <c r="BT29" t="e">
        <f>AND(#REF!,"AAAAAE38/kc=")</f>
        <v>#REF!</v>
      </c>
      <c r="BU29" t="e">
        <f>AND(#REF!,"AAAAAE38/kg=")</f>
        <v>#REF!</v>
      </c>
      <c r="BV29" t="e">
        <f>AND(#REF!,"AAAAAE38/kk=")</f>
        <v>#REF!</v>
      </c>
      <c r="BW29" t="e">
        <f>AND(#REF!,"AAAAAE38/ko=")</f>
        <v>#REF!</v>
      </c>
      <c r="BX29" t="e">
        <f>AND(#REF!,"AAAAAE38/ks=")</f>
        <v>#REF!</v>
      </c>
      <c r="BY29" t="e">
        <f>AND(#REF!,"AAAAAE38/kw=")</f>
        <v>#REF!</v>
      </c>
      <c r="BZ29" t="e">
        <f>IF(#REF!,"AAAAAE38/k0=",0)</f>
        <v>#REF!</v>
      </c>
      <c r="CA29" t="e">
        <f>AND(#REF!,"AAAAAE38/k4=")</f>
        <v>#REF!</v>
      </c>
      <c r="CB29" t="e">
        <f>AND(#REF!,"AAAAAE38/k8=")</f>
        <v>#REF!</v>
      </c>
      <c r="CC29" t="e">
        <f>AND(#REF!,"AAAAAE38/lA=")</f>
        <v>#REF!</v>
      </c>
      <c r="CD29" t="e">
        <f>AND(#REF!,"AAAAAE38/lE=")</f>
        <v>#REF!</v>
      </c>
      <c r="CE29" t="e">
        <f>AND(#REF!,"AAAAAE38/lI=")</f>
        <v>#REF!</v>
      </c>
      <c r="CF29" t="e">
        <f>AND(#REF!,"AAAAAE38/lM=")</f>
        <v>#REF!</v>
      </c>
      <c r="CG29" t="e">
        <f>AND(#REF!,"AAAAAE38/lQ=")</f>
        <v>#REF!</v>
      </c>
      <c r="CH29" t="e">
        <f>AND(#REF!,"AAAAAE38/lU=")</f>
        <v>#REF!</v>
      </c>
      <c r="CI29" t="e">
        <f>IF(#REF!,"AAAAAE38/lY=",0)</f>
        <v>#REF!</v>
      </c>
      <c r="CJ29" t="e">
        <f>AND(#REF!,"AAAAAE38/lc=")</f>
        <v>#REF!</v>
      </c>
      <c r="CK29" t="e">
        <f>AND(#REF!,"AAAAAE38/lg=")</f>
        <v>#REF!</v>
      </c>
      <c r="CL29" t="e">
        <f>AND(#REF!,"AAAAAE38/lk=")</f>
        <v>#REF!</v>
      </c>
      <c r="CM29" t="e">
        <f>AND(#REF!,"AAAAAE38/lo=")</f>
        <v>#REF!</v>
      </c>
      <c r="CN29" t="e">
        <f>AND(#REF!,"AAAAAE38/ls=")</f>
        <v>#REF!</v>
      </c>
      <c r="CO29" t="e">
        <f>AND(#REF!,"AAAAAE38/lw=")</f>
        <v>#REF!</v>
      </c>
      <c r="CP29" t="e">
        <f>AND(#REF!,"AAAAAE38/l0=")</f>
        <v>#REF!</v>
      </c>
      <c r="CQ29" t="e">
        <f>AND(#REF!,"AAAAAE38/l4=")</f>
        <v>#REF!</v>
      </c>
      <c r="CR29" t="e">
        <f>IF(#REF!,"AAAAAE38/l8=",0)</f>
        <v>#REF!</v>
      </c>
      <c r="CS29" t="e">
        <f>AND(#REF!,"AAAAAE38/mA=")</f>
        <v>#REF!</v>
      </c>
      <c r="CT29" t="e">
        <f>AND(#REF!,"AAAAAE38/mE=")</f>
        <v>#REF!</v>
      </c>
      <c r="CU29" t="e">
        <f>AND(#REF!,"AAAAAE38/mI=")</f>
        <v>#REF!</v>
      </c>
      <c r="CV29" t="e">
        <f>AND(#REF!,"AAAAAE38/mM=")</f>
        <v>#REF!</v>
      </c>
      <c r="CW29" t="e">
        <f>AND(#REF!,"AAAAAE38/mQ=")</f>
        <v>#REF!</v>
      </c>
      <c r="CX29" t="e">
        <f>AND(#REF!,"AAAAAE38/mU=")</f>
        <v>#REF!</v>
      </c>
      <c r="CY29" t="e">
        <f>AND(#REF!,"AAAAAE38/mY=")</f>
        <v>#REF!</v>
      </c>
      <c r="CZ29" t="e">
        <f>AND(#REF!,"AAAAAE38/mc=")</f>
        <v>#REF!</v>
      </c>
      <c r="DA29" t="e">
        <f>IF(#REF!,"AAAAAE38/mg=",0)</f>
        <v>#REF!</v>
      </c>
      <c r="DB29" t="e">
        <f>AND(#REF!,"AAAAAE38/mk=")</f>
        <v>#REF!</v>
      </c>
      <c r="DC29" t="e">
        <f>AND(#REF!,"AAAAAE38/mo=")</f>
        <v>#REF!</v>
      </c>
      <c r="DD29" t="e">
        <f>AND(#REF!,"AAAAAE38/ms=")</f>
        <v>#REF!</v>
      </c>
      <c r="DE29" t="e">
        <f>AND(#REF!,"AAAAAE38/mw=")</f>
        <v>#REF!</v>
      </c>
      <c r="DF29" t="e">
        <f>AND(#REF!,"AAAAAE38/m0=")</f>
        <v>#REF!</v>
      </c>
      <c r="DG29" t="e">
        <f>AND(#REF!,"AAAAAE38/m4=")</f>
        <v>#REF!</v>
      </c>
      <c r="DH29" t="e">
        <f>AND(#REF!,"AAAAAE38/m8=")</f>
        <v>#REF!</v>
      </c>
      <c r="DI29" t="e">
        <f>AND(#REF!,"AAAAAE38/nA=")</f>
        <v>#REF!</v>
      </c>
      <c r="DJ29" t="e">
        <f>IF(#REF!,"AAAAAE38/nE=",0)</f>
        <v>#REF!</v>
      </c>
      <c r="DK29" t="e">
        <f>AND(#REF!,"AAAAAE38/nI=")</f>
        <v>#REF!</v>
      </c>
      <c r="DL29" t="e">
        <f>AND(#REF!,"AAAAAE38/nM=")</f>
        <v>#REF!</v>
      </c>
      <c r="DM29" t="e">
        <f>AND(#REF!,"AAAAAE38/nQ=")</f>
        <v>#REF!</v>
      </c>
      <c r="DN29" t="e">
        <f>AND(#REF!,"AAAAAE38/nU=")</f>
        <v>#REF!</v>
      </c>
      <c r="DO29" t="e">
        <f>AND(#REF!,"AAAAAE38/nY=")</f>
        <v>#REF!</v>
      </c>
      <c r="DP29" t="e">
        <f>AND(#REF!,"AAAAAE38/nc=")</f>
        <v>#REF!</v>
      </c>
      <c r="DQ29" t="e">
        <f>AND(#REF!,"AAAAAE38/ng=")</f>
        <v>#REF!</v>
      </c>
      <c r="DR29" t="e">
        <f>AND(#REF!,"AAAAAE38/nk=")</f>
        <v>#REF!</v>
      </c>
      <c r="DS29" t="e">
        <f>IF(#REF!,"AAAAAE38/no=",0)</f>
        <v>#REF!</v>
      </c>
      <c r="DT29" t="e">
        <f>AND(#REF!,"AAAAAE38/ns=")</f>
        <v>#REF!</v>
      </c>
      <c r="DU29" t="e">
        <f>AND(#REF!,"AAAAAE38/nw=")</f>
        <v>#REF!</v>
      </c>
      <c r="DV29" t="e">
        <f>AND(#REF!,"AAAAAE38/n0=")</f>
        <v>#REF!</v>
      </c>
      <c r="DW29" t="e">
        <f>AND(#REF!,"AAAAAE38/n4=")</f>
        <v>#REF!</v>
      </c>
      <c r="DX29" t="e">
        <f>AND(#REF!,"AAAAAE38/n8=")</f>
        <v>#REF!</v>
      </c>
      <c r="DY29" t="e">
        <f>AND(#REF!,"AAAAAE38/oA=")</f>
        <v>#REF!</v>
      </c>
      <c r="DZ29" t="e">
        <f>AND(#REF!,"AAAAAE38/oE=")</f>
        <v>#REF!</v>
      </c>
      <c r="EA29" t="e">
        <f>AND(#REF!,"AAAAAE38/oI=")</f>
        <v>#REF!</v>
      </c>
      <c r="EB29" t="e">
        <f>IF(#REF!,"AAAAAE38/oM=",0)</f>
        <v>#REF!</v>
      </c>
      <c r="EC29" t="e">
        <f>AND(#REF!,"AAAAAE38/oQ=")</f>
        <v>#REF!</v>
      </c>
      <c r="ED29" t="e">
        <f>AND(#REF!,"AAAAAE38/oU=")</f>
        <v>#REF!</v>
      </c>
      <c r="EE29" t="e">
        <f>AND(#REF!,"AAAAAE38/oY=")</f>
        <v>#REF!</v>
      </c>
      <c r="EF29" t="e">
        <f>AND(#REF!,"AAAAAE38/oc=")</f>
        <v>#REF!</v>
      </c>
      <c r="EG29" t="e">
        <f>AND(#REF!,"AAAAAE38/og=")</f>
        <v>#REF!</v>
      </c>
      <c r="EH29" t="e">
        <f>AND(#REF!,"AAAAAE38/ok=")</f>
        <v>#REF!</v>
      </c>
      <c r="EI29" t="e">
        <f>AND(#REF!,"AAAAAE38/oo=")</f>
        <v>#REF!</v>
      </c>
      <c r="EJ29" t="e">
        <f>AND(#REF!,"AAAAAE38/os=")</f>
        <v>#REF!</v>
      </c>
      <c r="EK29" t="e">
        <f>IF(#REF!,"AAAAAE38/ow=",0)</f>
        <v>#REF!</v>
      </c>
      <c r="EL29" t="e">
        <f>AND(#REF!,"AAAAAE38/o0=")</f>
        <v>#REF!</v>
      </c>
      <c r="EM29" t="e">
        <f>AND(#REF!,"AAAAAE38/o4=")</f>
        <v>#REF!</v>
      </c>
      <c r="EN29" t="e">
        <f>AND(#REF!,"AAAAAE38/o8=")</f>
        <v>#REF!</v>
      </c>
      <c r="EO29" t="e">
        <f>AND(#REF!,"AAAAAE38/pA=")</f>
        <v>#REF!</v>
      </c>
      <c r="EP29" t="e">
        <f>AND(#REF!,"AAAAAE38/pE=")</f>
        <v>#REF!</v>
      </c>
      <c r="EQ29" t="e">
        <f>AND(#REF!,"AAAAAE38/pI=")</f>
        <v>#REF!</v>
      </c>
      <c r="ER29" t="e">
        <f>AND(#REF!,"AAAAAE38/pM=")</f>
        <v>#REF!</v>
      </c>
      <c r="ES29" t="e">
        <f>AND(#REF!,"AAAAAE38/pQ=")</f>
        <v>#REF!</v>
      </c>
      <c r="ET29" t="e">
        <f>IF(#REF!,"AAAAAE38/pU=",0)</f>
        <v>#REF!</v>
      </c>
      <c r="EU29" t="e">
        <f>AND(#REF!,"AAAAAE38/pY=")</f>
        <v>#REF!</v>
      </c>
      <c r="EV29" t="e">
        <f>AND(#REF!,"AAAAAE38/pc=")</f>
        <v>#REF!</v>
      </c>
      <c r="EW29" t="e">
        <f>AND(#REF!,"AAAAAE38/pg=")</f>
        <v>#REF!</v>
      </c>
      <c r="EX29" t="e">
        <f>AND(#REF!,"AAAAAE38/pk=")</f>
        <v>#REF!</v>
      </c>
      <c r="EY29" t="e">
        <f>AND(#REF!,"AAAAAE38/po=")</f>
        <v>#REF!</v>
      </c>
      <c r="EZ29" t="e">
        <f>AND(#REF!,"AAAAAE38/ps=")</f>
        <v>#REF!</v>
      </c>
      <c r="FA29" t="e">
        <f>AND(#REF!,"AAAAAE38/pw=")</f>
        <v>#REF!</v>
      </c>
      <c r="FB29" t="e">
        <f>AND(#REF!,"AAAAAE38/p0=")</f>
        <v>#REF!</v>
      </c>
      <c r="FC29" t="e">
        <f>IF(#REF!,"AAAAAE38/p4=",0)</f>
        <v>#REF!</v>
      </c>
      <c r="FD29" t="e">
        <f>AND(#REF!,"AAAAAE38/p8=")</f>
        <v>#REF!</v>
      </c>
      <c r="FE29" t="e">
        <f>AND(#REF!,"AAAAAE38/qA=")</f>
        <v>#REF!</v>
      </c>
      <c r="FF29" t="e">
        <f>AND(#REF!,"AAAAAE38/qE=")</f>
        <v>#REF!</v>
      </c>
      <c r="FG29" t="e">
        <f>AND(#REF!,"AAAAAE38/qI=")</f>
        <v>#REF!</v>
      </c>
      <c r="FH29" t="e">
        <f>AND(#REF!,"AAAAAE38/qM=")</f>
        <v>#REF!</v>
      </c>
      <c r="FI29" t="e">
        <f>AND(#REF!,"AAAAAE38/qQ=")</f>
        <v>#REF!</v>
      </c>
      <c r="FJ29" t="e">
        <f>AND(#REF!,"AAAAAE38/qU=")</f>
        <v>#REF!</v>
      </c>
      <c r="FK29" t="e">
        <f>AND(#REF!,"AAAAAE38/qY=")</f>
        <v>#REF!</v>
      </c>
      <c r="FL29" t="e">
        <f>IF(#REF!,"AAAAAE38/qc=",0)</f>
        <v>#REF!</v>
      </c>
      <c r="FM29" t="e">
        <f>AND(#REF!,"AAAAAE38/qg=")</f>
        <v>#REF!</v>
      </c>
      <c r="FN29" t="e">
        <f>AND(#REF!,"AAAAAE38/qk=")</f>
        <v>#REF!</v>
      </c>
      <c r="FO29" t="e">
        <f>AND(#REF!,"AAAAAE38/qo=")</f>
        <v>#REF!</v>
      </c>
      <c r="FP29" t="e">
        <f>AND(#REF!,"AAAAAE38/qs=")</f>
        <v>#REF!</v>
      </c>
      <c r="FQ29" t="e">
        <f>AND(#REF!,"AAAAAE38/qw=")</f>
        <v>#REF!</v>
      </c>
      <c r="FR29" t="e">
        <f>AND(#REF!,"AAAAAE38/q0=")</f>
        <v>#REF!</v>
      </c>
      <c r="FS29" t="e">
        <f>AND(#REF!,"AAAAAE38/q4=")</f>
        <v>#REF!</v>
      </c>
      <c r="FT29" t="e">
        <f>AND(#REF!,"AAAAAE38/q8=")</f>
        <v>#REF!</v>
      </c>
      <c r="FU29" t="e">
        <f>IF(#REF!,"AAAAAE38/rA=",0)</f>
        <v>#REF!</v>
      </c>
      <c r="FV29" t="e">
        <f>AND(#REF!,"AAAAAE38/rE=")</f>
        <v>#REF!</v>
      </c>
      <c r="FW29" t="e">
        <f>AND(#REF!,"AAAAAE38/rI=")</f>
        <v>#REF!</v>
      </c>
      <c r="FX29" t="e">
        <f>AND(#REF!,"AAAAAE38/rM=")</f>
        <v>#REF!</v>
      </c>
      <c r="FY29" t="e">
        <f>AND(#REF!,"AAAAAE38/rQ=")</f>
        <v>#REF!</v>
      </c>
      <c r="FZ29" t="e">
        <f>AND(#REF!,"AAAAAE38/rU=")</f>
        <v>#REF!</v>
      </c>
      <c r="GA29" t="e">
        <f>AND(#REF!,"AAAAAE38/rY=")</f>
        <v>#REF!</v>
      </c>
      <c r="GB29" t="e">
        <f>AND(#REF!,"AAAAAE38/rc=")</f>
        <v>#REF!</v>
      </c>
      <c r="GC29" t="e">
        <f>AND(#REF!,"AAAAAE38/rg=")</f>
        <v>#REF!</v>
      </c>
      <c r="GD29" t="e">
        <f>IF(#REF!,"AAAAAE38/rk=",0)</f>
        <v>#REF!</v>
      </c>
      <c r="GE29" t="e">
        <f>AND(#REF!,"AAAAAE38/ro=")</f>
        <v>#REF!</v>
      </c>
      <c r="GF29" t="e">
        <f>AND(#REF!,"AAAAAE38/rs=")</f>
        <v>#REF!</v>
      </c>
      <c r="GG29" t="e">
        <f>AND(#REF!,"AAAAAE38/rw=")</f>
        <v>#REF!</v>
      </c>
      <c r="GH29" t="e">
        <f>AND(#REF!,"AAAAAE38/r0=")</f>
        <v>#REF!</v>
      </c>
      <c r="GI29" t="e">
        <f>AND(#REF!,"AAAAAE38/r4=")</f>
        <v>#REF!</v>
      </c>
      <c r="GJ29" t="e">
        <f>AND(#REF!,"AAAAAE38/r8=")</f>
        <v>#REF!</v>
      </c>
      <c r="GK29" t="e">
        <f>AND(#REF!,"AAAAAE38/sA=")</f>
        <v>#REF!</v>
      </c>
      <c r="GL29" t="e">
        <f>AND(#REF!,"AAAAAE38/sE=")</f>
        <v>#REF!</v>
      </c>
      <c r="GM29" t="e">
        <f>IF(#REF!,"AAAAAE38/sI=",0)</f>
        <v>#REF!</v>
      </c>
      <c r="GN29" t="e">
        <f>AND(#REF!,"AAAAAE38/sM=")</f>
        <v>#REF!</v>
      </c>
      <c r="GO29" t="e">
        <f>AND(#REF!,"AAAAAE38/sQ=")</f>
        <v>#REF!</v>
      </c>
      <c r="GP29" t="e">
        <f>AND(#REF!,"AAAAAE38/sU=")</f>
        <v>#REF!</v>
      </c>
      <c r="GQ29" t="e">
        <f>AND(#REF!,"AAAAAE38/sY=")</f>
        <v>#REF!</v>
      </c>
      <c r="GR29" t="e">
        <f>AND(#REF!,"AAAAAE38/sc=")</f>
        <v>#REF!</v>
      </c>
      <c r="GS29" t="e">
        <f>AND(#REF!,"AAAAAE38/sg=")</f>
        <v>#REF!</v>
      </c>
      <c r="GT29" t="e">
        <f>AND(#REF!,"AAAAAE38/sk=")</f>
        <v>#REF!</v>
      </c>
      <c r="GU29" t="e">
        <f>AND(#REF!,"AAAAAE38/so=")</f>
        <v>#REF!</v>
      </c>
      <c r="GV29" t="e">
        <f>IF(#REF!,"AAAAAE38/ss=",0)</f>
        <v>#REF!</v>
      </c>
      <c r="GW29" t="e">
        <f>AND(#REF!,"AAAAAE38/sw=")</f>
        <v>#REF!</v>
      </c>
      <c r="GX29" t="e">
        <f>AND(#REF!,"AAAAAE38/s0=")</f>
        <v>#REF!</v>
      </c>
      <c r="GY29" t="e">
        <f>AND(#REF!,"AAAAAE38/s4=")</f>
        <v>#REF!</v>
      </c>
      <c r="GZ29" t="e">
        <f>AND(#REF!,"AAAAAE38/s8=")</f>
        <v>#REF!</v>
      </c>
      <c r="HA29" t="e">
        <f>AND(#REF!,"AAAAAE38/tA=")</f>
        <v>#REF!</v>
      </c>
      <c r="HB29" t="e">
        <f>AND(#REF!,"AAAAAE38/tE=")</f>
        <v>#REF!</v>
      </c>
      <c r="HC29" t="e">
        <f>AND(#REF!,"AAAAAE38/tI=")</f>
        <v>#REF!</v>
      </c>
      <c r="HD29" t="e">
        <f>AND(#REF!,"AAAAAE38/tM=")</f>
        <v>#REF!</v>
      </c>
      <c r="HE29" t="e">
        <f>IF(#REF!,"AAAAAE38/tQ=",0)</f>
        <v>#REF!</v>
      </c>
      <c r="HF29" t="e">
        <f>AND(#REF!,"AAAAAE38/tU=")</f>
        <v>#REF!</v>
      </c>
      <c r="HG29" t="e">
        <f>AND(#REF!,"AAAAAE38/tY=")</f>
        <v>#REF!</v>
      </c>
      <c r="HH29" t="e">
        <f>AND(#REF!,"AAAAAE38/tc=")</f>
        <v>#REF!</v>
      </c>
      <c r="HI29" t="e">
        <f>AND(#REF!,"AAAAAE38/tg=")</f>
        <v>#REF!</v>
      </c>
      <c r="HJ29" t="e">
        <f>AND(#REF!,"AAAAAE38/tk=")</f>
        <v>#REF!</v>
      </c>
      <c r="HK29" t="e">
        <f>AND(#REF!,"AAAAAE38/to=")</f>
        <v>#REF!</v>
      </c>
      <c r="HL29" t="e">
        <f>AND(#REF!,"AAAAAE38/ts=")</f>
        <v>#REF!</v>
      </c>
      <c r="HM29" t="e">
        <f>AND(#REF!,"AAAAAE38/tw=")</f>
        <v>#REF!</v>
      </c>
      <c r="HN29" t="e">
        <f>IF(#REF!,"AAAAAE38/t0=",0)</f>
        <v>#REF!</v>
      </c>
      <c r="HO29" t="e">
        <f>AND(#REF!,"AAAAAE38/t4=")</f>
        <v>#REF!</v>
      </c>
      <c r="HP29" t="e">
        <f>AND(#REF!,"AAAAAE38/t8=")</f>
        <v>#REF!</v>
      </c>
      <c r="HQ29" t="e">
        <f>AND(#REF!,"AAAAAE38/uA=")</f>
        <v>#REF!</v>
      </c>
      <c r="HR29" t="e">
        <f>AND(#REF!,"AAAAAE38/uE=")</f>
        <v>#REF!</v>
      </c>
      <c r="HS29" t="e">
        <f>AND(#REF!,"AAAAAE38/uI=")</f>
        <v>#REF!</v>
      </c>
      <c r="HT29" t="e">
        <f>AND(#REF!,"AAAAAE38/uM=")</f>
        <v>#REF!</v>
      </c>
      <c r="HU29" t="e">
        <f>AND(#REF!,"AAAAAE38/uQ=")</f>
        <v>#REF!</v>
      </c>
      <c r="HV29" t="e">
        <f>AND(#REF!,"AAAAAE38/uU=")</f>
        <v>#REF!</v>
      </c>
      <c r="HW29" t="e">
        <f>IF(#REF!,"AAAAAE38/uY=",0)</f>
        <v>#REF!</v>
      </c>
      <c r="HX29" t="e">
        <f>AND(#REF!,"AAAAAE38/uc=")</f>
        <v>#REF!</v>
      </c>
      <c r="HY29" t="e">
        <f>AND(#REF!,"AAAAAE38/ug=")</f>
        <v>#REF!</v>
      </c>
      <c r="HZ29" t="e">
        <f>AND(#REF!,"AAAAAE38/uk=")</f>
        <v>#REF!</v>
      </c>
      <c r="IA29" t="e">
        <f>AND(#REF!,"AAAAAE38/uo=")</f>
        <v>#REF!</v>
      </c>
      <c r="IB29" t="e">
        <f>AND(#REF!,"AAAAAE38/us=")</f>
        <v>#REF!</v>
      </c>
      <c r="IC29" t="e">
        <f>AND(#REF!,"AAAAAE38/uw=")</f>
        <v>#REF!</v>
      </c>
      <c r="ID29" t="e">
        <f>AND(#REF!,"AAAAAE38/u0=")</f>
        <v>#REF!</v>
      </c>
      <c r="IE29" t="e">
        <f>AND(#REF!,"AAAAAE38/u4=")</f>
        <v>#REF!</v>
      </c>
      <c r="IF29" t="e">
        <f>IF(#REF!,"AAAAAE38/u8=",0)</f>
        <v>#REF!</v>
      </c>
      <c r="IG29" t="e">
        <f>AND(#REF!,"AAAAAE38/vA=")</f>
        <v>#REF!</v>
      </c>
      <c r="IH29" t="e">
        <f>AND(#REF!,"AAAAAE38/vE=")</f>
        <v>#REF!</v>
      </c>
      <c r="II29" t="e">
        <f>AND(#REF!,"AAAAAE38/vI=")</f>
        <v>#REF!</v>
      </c>
      <c r="IJ29" t="e">
        <f>AND(#REF!,"AAAAAE38/vM=")</f>
        <v>#REF!</v>
      </c>
      <c r="IK29" t="e">
        <f>AND(#REF!,"AAAAAE38/vQ=")</f>
        <v>#REF!</v>
      </c>
      <c r="IL29" t="e">
        <f>AND(#REF!,"AAAAAE38/vU=")</f>
        <v>#REF!</v>
      </c>
      <c r="IM29" t="e">
        <f>AND(#REF!,"AAAAAE38/vY=")</f>
        <v>#REF!</v>
      </c>
      <c r="IN29" t="e">
        <f>AND(#REF!,"AAAAAE38/vc=")</f>
        <v>#REF!</v>
      </c>
      <c r="IO29" t="e">
        <f>IF(#REF!,"AAAAAE38/vg=",0)</f>
        <v>#REF!</v>
      </c>
      <c r="IP29" t="e">
        <f>AND(#REF!,"AAAAAE38/vk=")</f>
        <v>#REF!</v>
      </c>
      <c r="IQ29" t="e">
        <f>AND(#REF!,"AAAAAE38/vo=")</f>
        <v>#REF!</v>
      </c>
      <c r="IR29" t="e">
        <f>AND(#REF!,"AAAAAE38/vs=")</f>
        <v>#REF!</v>
      </c>
      <c r="IS29" t="e">
        <f>AND(#REF!,"AAAAAE38/vw=")</f>
        <v>#REF!</v>
      </c>
      <c r="IT29" t="e">
        <f>AND(#REF!,"AAAAAE38/v0=")</f>
        <v>#REF!</v>
      </c>
      <c r="IU29" t="e">
        <f>AND(#REF!,"AAAAAE38/v4=")</f>
        <v>#REF!</v>
      </c>
      <c r="IV29" t="e">
        <f>AND(#REF!,"AAAAAE38/v8=")</f>
        <v>#REF!</v>
      </c>
    </row>
    <row r="30" spans="1:256">
      <c r="A30" t="e">
        <f>AND(#REF!,"AAAAAG/3XgA=")</f>
        <v>#REF!</v>
      </c>
      <c r="B30" t="e">
        <f>IF(#REF!,"AAAAAG/3XgE=",0)</f>
        <v>#REF!</v>
      </c>
      <c r="C30" t="e">
        <f>AND(#REF!,"AAAAAG/3XgI=")</f>
        <v>#REF!</v>
      </c>
      <c r="D30" t="e">
        <f>AND(#REF!,"AAAAAG/3XgM=")</f>
        <v>#REF!</v>
      </c>
      <c r="E30" t="e">
        <f>AND(#REF!,"AAAAAG/3XgQ=")</f>
        <v>#REF!</v>
      </c>
      <c r="F30" t="e">
        <f>AND(#REF!,"AAAAAG/3XgU=")</f>
        <v>#REF!</v>
      </c>
      <c r="G30" t="e">
        <f>AND(#REF!,"AAAAAG/3XgY=")</f>
        <v>#REF!</v>
      </c>
      <c r="H30" t="e">
        <f>AND(#REF!,"AAAAAG/3Xgc=")</f>
        <v>#REF!</v>
      </c>
      <c r="I30" t="e">
        <f>AND(#REF!,"AAAAAG/3Xgg=")</f>
        <v>#REF!</v>
      </c>
      <c r="J30" t="e">
        <f>AND(#REF!,"AAAAAG/3Xgk=")</f>
        <v>#REF!</v>
      </c>
      <c r="K30" t="e">
        <f>IF(#REF!,"AAAAAG/3Xgo=",0)</f>
        <v>#REF!</v>
      </c>
      <c r="L30" t="e">
        <f>AND(#REF!,"AAAAAG/3Xgs=")</f>
        <v>#REF!</v>
      </c>
      <c r="M30" t="e">
        <f>AND(#REF!,"AAAAAG/3Xgw=")</f>
        <v>#REF!</v>
      </c>
      <c r="N30" t="e">
        <f>AND(#REF!,"AAAAAG/3Xg0=")</f>
        <v>#REF!</v>
      </c>
      <c r="O30" t="e">
        <f>AND(#REF!,"AAAAAG/3Xg4=")</f>
        <v>#REF!</v>
      </c>
      <c r="P30" t="e">
        <f>AND(#REF!,"AAAAAG/3Xg8=")</f>
        <v>#REF!</v>
      </c>
      <c r="Q30" t="e">
        <f>AND(#REF!,"AAAAAG/3XhA=")</f>
        <v>#REF!</v>
      </c>
      <c r="R30" t="e">
        <f>AND(#REF!,"AAAAAG/3XhE=")</f>
        <v>#REF!</v>
      </c>
      <c r="S30" t="e">
        <f>AND(#REF!,"AAAAAG/3XhI=")</f>
        <v>#REF!</v>
      </c>
      <c r="T30" t="e">
        <f>IF(#REF!,"AAAAAG/3XhM=",0)</f>
        <v>#REF!</v>
      </c>
      <c r="U30" t="e">
        <f>AND(#REF!,"AAAAAG/3XhQ=")</f>
        <v>#REF!</v>
      </c>
      <c r="V30" t="e">
        <f>AND(#REF!,"AAAAAG/3XhU=")</f>
        <v>#REF!</v>
      </c>
      <c r="W30" t="e">
        <f>AND(#REF!,"AAAAAG/3XhY=")</f>
        <v>#REF!</v>
      </c>
      <c r="X30" t="e">
        <f>AND(#REF!,"AAAAAG/3Xhc=")</f>
        <v>#REF!</v>
      </c>
      <c r="Y30" t="e">
        <f>AND(#REF!,"AAAAAG/3Xhg=")</f>
        <v>#REF!</v>
      </c>
      <c r="Z30" t="e">
        <f>AND(#REF!,"AAAAAG/3Xhk=")</f>
        <v>#REF!</v>
      </c>
      <c r="AA30" t="e">
        <f>AND(#REF!,"AAAAAG/3Xho=")</f>
        <v>#REF!</v>
      </c>
      <c r="AB30" t="e">
        <f>AND(#REF!,"AAAAAG/3Xhs=")</f>
        <v>#REF!</v>
      </c>
      <c r="AC30" t="e">
        <f>IF(#REF!,"AAAAAG/3Xhw=",0)</f>
        <v>#REF!</v>
      </c>
      <c r="AD30" t="e">
        <f>AND(#REF!,"AAAAAG/3Xh0=")</f>
        <v>#REF!</v>
      </c>
      <c r="AE30" t="e">
        <f>AND(#REF!,"AAAAAG/3Xh4=")</f>
        <v>#REF!</v>
      </c>
      <c r="AF30" t="e">
        <f>AND(#REF!,"AAAAAG/3Xh8=")</f>
        <v>#REF!</v>
      </c>
      <c r="AG30" t="e">
        <f>AND(#REF!,"AAAAAG/3XiA=")</f>
        <v>#REF!</v>
      </c>
      <c r="AH30" t="e">
        <f>AND(#REF!,"AAAAAG/3XiE=")</f>
        <v>#REF!</v>
      </c>
      <c r="AI30" t="e">
        <f>AND(#REF!,"AAAAAG/3XiI=")</f>
        <v>#REF!</v>
      </c>
      <c r="AJ30" t="e">
        <f>AND(#REF!,"AAAAAG/3XiM=")</f>
        <v>#REF!</v>
      </c>
      <c r="AK30" t="e">
        <f>AND(#REF!,"AAAAAG/3XiQ=")</f>
        <v>#REF!</v>
      </c>
      <c r="AL30" t="e">
        <f>IF(#REF!,"AAAAAG/3XiU=",0)</f>
        <v>#REF!</v>
      </c>
      <c r="AM30" t="e">
        <f>AND(#REF!,"AAAAAG/3XiY=")</f>
        <v>#REF!</v>
      </c>
      <c r="AN30" t="e">
        <f>AND(#REF!,"AAAAAG/3Xic=")</f>
        <v>#REF!</v>
      </c>
      <c r="AO30" t="e">
        <f>AND(#REF!,"AAAAAG/3Xig=")</f>
        <v>#REF!</v>
      </c>
      <c r="AP30" t="e">
        <f>AND(#REF!,"AAAAAG/3Xik=")</f>
        <v>#REF!</v>
      </c>
      <c r="AQ30" t="e">
        <f>AND(#REF!,"AAAAAG/3Xio=")</f>
        <v>#REF!</v>
      </c>
      <c r="AR30" t="e">
        <f>AND(#REF!,"AAAAAG/3Xis=")</f>
        <v>#REF!</v>
      </c>
      <c r="AS30" t="e">
        <f>AND(#REF!,"AAAAAG/3Xiw=")</f>
        <v>#REF!</v>
      </c>
      <c r="AT30" t="e">
        <f>AND(#REF!,"AAAAAG/3Xi0=")</f>
        <v>#REF!</v>
      </c>
      <c r="AU30" t="e">
        <f>IF(#REF!,"AAAAAG/3Xi4=",0)</f>
        <v>#REF!</v>
      </c>
      <c r="AV30" t="e">
        <f>AND(#REF!,"AAAAAG/3Xi8=")</f>
        <v>#REF!</v>
      </c>
      <c r="AW30" t="e">
        <f>AND(#REF!,"AAAAAG/3XjA=")</f>
        <v>#REF!</v>
      </c>
      <c r="AX30" t="e">
        <f>AND(#REF!,"AAAAAG/3XjE=")</f>
        <v>#REF!</v>
      </c>
      <c r="AY30" t="e">
        <f>AND(#REF!,"AAAAAG/3XjI=")</f>
        <v>#REF!</v>
      </c>
      <c r="AZ30" t="e">
        <f>AND(#REF!,"AAAAAG/3XjM=")</f>
        <v>#REF!</v>
      </c>
      <c r="BA30" t="e">
        <f>AND(#REF!,"AAAAAG/3XjQ=")</f>
        <v>#REF!</v>
      </c>
      <c r="BB30" t="e">
        <f>AND(#REF!,"AAAAAG/3XjU=")</f>
        <v>#REF!</v>
      </c>
      <c r="BC30" t="e">
        <f>AND(#REF!,"AAAAAG/3XjY=")</f>
        <v>#REF!</v>
      </c>
      <c r="BD30" t="e">
        <f>IF(#REF!,"AAAAAG/3Xjc=",0)</f>
        <v>#REF!</v>
      </c>
      <c r="BE30" t="e">
        <f>AND(#REF!,"AAAAAG/3Xjg=")</f>
        <v>#REF!</v>
      </c>
      <c r="BF30" t="e">
        <f>AND(#REF!,"AAAAAG/3Xjk=")</f>
        <v>#REF!</v>
      </c>
      <c r="BG30" t="e">
        <f>AND(#REF!,"AAAAAG/3Xjo=")</f>
        <v>#REF!</v>
      </c>
      <c r="BH30" t="e">
        <f>AND(#REF!,"AAAAAG/3Xjs=")</f>
        <v>#REF!</v>
      </c>
      <c r="BI30" t="e">
        <f>AND(#REF!,"AAAAAG/3Xjw=")</f>
        <v>#REF!</v>
      </c>
      <c r="BJ30" t="e">
        <f>AND(#REF!,"AAAAAG/3Xj0=")</f>
        <v>#REF!</v>
      </c>
      <c r="BK30" t="e">
        <f>AND(#REF!,"AAAAAG/3Xj4=")</f>
        <v>#REF!</v>
      </c>
      <c r="BL30" t="e">
        <f>AND(#REF!,"AAAAAG/3Xj8=")</f>
        <v>#REF!</v>
      </c>
      <c r="BM30" t="e">
        <f>IF(#REF!,"AAAAAG/3XkA=",0)</f>
        <v>#REF!</v>
      </c>
      <c r="BN30" t="e">
        <f>AND(#REF!,"AAAAAG/3XkE=")</f>
        <v>#REF!</v>
      </c>
      <c r="BO30" t="e">
        <f>AND(#REF!,"AAAAAG/3XkI=")</f>
        <v>#REF!</v>
      </c>
      <c r="BP30" t="e">
        <f>AND(#REF!,"AAAAAG/3XkM=")</f>
        <v>#REF!</v>
      </c>
      <c r="BQ30" t="e">
        <f>AND(#REF!,"AAAAAG/3XkQ=")</f>
        <v>#REF!</v>
      </c>
      <c r="BR30" t="e">
        <f>AND(#REF!,"AAAAAG/3XkU=")</f>
        <v>#REF!</v>
      </c>
      <c r="BS30" t="e">
        <f>AND(#REF!,"AAAAAG/3XkY=")</f>
        <v>#REF!</v>
      </c>
      <c r="BT30" t="e">
        <f>AND(#REF!,"AAAAAG/3Xkc=")</f>
        <v>#REF!</v>
      </c>
      <c r="BU30" t="e">
        <f>AND(#REF!,"AAAAAG/3Xkg=")</f>
        <v>#REF!</v>
      </c>
      <c r="BV30" t="e">
        <f>IF(#REF!,"AAAAAG/3Xkk=",0)</f>
        <v>#REF!</v>
      </c>
      <c r="BW30" t="e">
        <f>AND(#REF!,"AAAAAG/3Xko=")</f>
        <v>#REF!</v>
      </c>
      <c r="BX30" t="e">
        <f>AND(#REF!,"AAAAAG/3Xks=")</f>
        <v>#REF!</v>
      </c>
      <c r="BY30" t="e">
        <f>AND(#REF!,"AAAAAG/3Xkw=")</f>
        <v>#REF!</v>
      </c>
      <c r="BZ30" t="e">
        <f>AND(#REF!,"AAAAAG/3Xk0=")</f>
        <v>#REF!</v>
      </c>
      <c r="CA30" t="e">
        <f>AND(#REF!,"AAAAAG/3Xk4=")</f>
        <v>#REF!</v>
      </c>
      <c r="CB30" t="e">
        <f>AND(#REF!,"AAAAAG/3Xk8=")</f>
        <v>#REF!</v>
      </c>
      <c r="CC30" t="e">
        <f>AND(#REF!,"AAAAAG/3XlA=")</f>
        <v>#REF!</v>
      </c>
      <c r="CD30" t="e">
        <f>AND(#REF!,"AAAAAG/3XlE=")</f>
        <v>#REF!</v>
      </c>
      <c r="CE30" t="e">
        <f>IF(#REF!,"AAAAAG/3XlI=",0)</f>
        <v>#REF!</v>
      </c>
      <c r="CF30" t="e">
        <f>AND(#REF!,"AAAAAG/3XlM=")</f>
        <v>#REF!</v>
      </c>
      <c r="CG30" t="e">
        <f>AND(#REF!,"AAAAAG/3XlQ=")</f>
        <v>#REF!</v>
      </c>
      <c r="CH30" t="e">
        <f>AND(#REF!,"AAAAAG/3XlU=")</f>
        <v>#REF!</v>
      </c>
      <c r="CI30" t="e">
        <f>AND(#REF!,"AAAAAG/3XlY=")</f>
        <v>#REF!</v>
      </c>
      <c r="CJ30" t="e">
        <f>AND(#REF!,"AAAAAG/3Xlc=")</f>
        <v>#REF!</v>
      </c>
      <c r="CK30" t="e">
        <f>AND(#REF!,"AAAAAG/3Xlg=")</f>
        <v>#REF!</v>
      </c>
      <c r="CL30" t="e">
        <f>AND(#REF!,"AAAAAG/3Xlk=")</f>
        <v>#REF!</v>
      </c>
      <c r="CM30" t="e">
        <f>AND(#REF!,"AAAAAG/3Xlo=")</f>
        <v>#REF!</v>
      </c>
      <c r="CN30" t="e">
        <f>IF(#REF!,"AAAAAG/3Xls=",0)</f>
        <v>#REF!</v>
      </c>
      <c r="CO30" t="e">
        <f>AND(#REF!,"AAAAAG/3Xlw=")</f>
        <v>#REF!</v>
      </c>
      <c r="CP30" t="e">
        <f>AND(#REF!,"AAAAAG/3Xl0=")</f>
        <v>#REF!</v>
      </c>
      <c r="CQ30" t="e">
        <f>AND(#REF!,"AAAAAG/3Xl4=")</f>
        <v>#REF!</v>
      </c>
      <c r="CR30" t="e">
        <f>AND(#REF!,"AAAAAG/3Xl8=")</f>
        <v>#REF!</v>
      </c>
      <c r="CS30" t="e">
        <f>AND(#REF!,"AAAAAG/3XmA=")</f>
        <v>#REF!</v>
      </c>
      <c r="CT30" t="e">
        <f>AND(#REF!,"AAAAAG/3XmE=")</f>
        <v>#REF!</v>
      </c>
      <c r="CU30" t="e">
        <f>AND(#REF!,"AAAAAG/3XmI=")</f>
        <v>#REF!</v>
      </c>
      <c r="CV30" t="e">
        <f>AND(#REF!,"AAAAAG/3XmM=")</f>
        <v>#REF!</v>
      </c>
      <c r="CW30" t="e">
        <f>IF(#REF!,"AAAAAG/3XmQ=",0)</f>
        <v>#REF!</v>
      </c>
      <c r="CX30" t="e">
        <f>AND(#REF!,"AAAAAG/3XmU=")</f>
        <v>#REF!</v>
      </c>
      <c r="CY30" t="e">
        <f>AND(#REF!,"AAAAAG/3XmY=")</f>
        <v>#REF!</v>
      </c>
      <c r="CZ30" t="e">
        <f>AND(#REF!,"AAAAAG/3Xmc=")</f>
        <v>#REF!</v>
      </c>
      <c r="DA30" t="e">
        <f>AND(#REF!,"AAAAAG/3Xmg=")</f>
        <v>#REF!</v>
      </c>
      <c r="DB30" t="e">
        <f>AND(#REF!,"AAAAAG/3Xmk=")</f>
        <v>#REF!</v>
      </c>
      <c r="DC30" t="e">
        <f>AND(#REF!,"AAAAAG/3Xmo=")</f>
        <v>#REF!</v>
      </c>
      <c r="DD30" t="e">
        <f>AND(#REF!,"AAAAAG/3Xms=")</f>
        <v>#REF!</v>
      </c>
      <c r="DE30" t="e">
        <f>AND(#REF!,"AAAAAG/3Xmw=")</f>
        <v>#REF!</v>
      </c>
      <c r="DF30" t="e">
        <f>IF(#REF!,"AAAAAG/3Xm0=",0)</f>
        <v>#REF!</v>
      </c>
      <c r="DG30" t="e">
        <f>AND(#REF!,"AAAAAG/3Xm4=")</f>
        <v>#REF!</v>
      </c>
      <c r="DH30" t="e">
        <f>AND(#REF!,"AAAAAG/3Xm8=")</f>
        <v>#REF!</v>
      </c>
      <c r="DI30" t="e">
        <f>AND(#REF!,"AAAAAG/3XnA=")</f>
        <v>#REF!</v>
      </c>
      <c r="DJ30" t="e">
        <f>AND(#REF!,"AAAAAG/3XnE=")</f>
        <v>#REF!</v>
      </c>
      <c r="DK30" t="e">
        <f>AND(#REF!,"AAAAAG/3XnI=")</f>
        <v>#REF!</v>
      </c>
      <c r="DL30" t="e">
        <f>AND(#REF!,"AAAAAG/3XnM=")</f>
        <v>#REF!</v>
      </c>
      <c r="DM30" t="e">
        <f>AND(#REF!,"AAAAAG/3XnQ=")</f>
        <v>#REF!</v>
      </c>
      <c r="DN30" t="e">
        <f>AND(#REF!,"AAAAAG/3XnU=")</f>
        <v>#REF!</v>
      </c>
      <c r="DO30" t="e">
        <f>IF(#REF!,"AAAAAG/3XnY=",0)</f>
        <v>#REF!</v>
      </c>
      <c r="DP30" t="e">
        <f>AND(#REF!,"AAAAAG/3Xnc=")</f>
        <v>#REF!</v>
      </c>
      <c r="DQ30" t="e">
        <f>AND(#REF!,"AAAAAG/3Xng=")</f>
        <v>#REF!</v>
      </c>
      <c r="DR30" t="e">
        <f>AND(#REF!,"AAAAAG/3Xnk=")</f>
        <v>#REF!</v>
      </c>
      <c r="DS30" t="e">
        <f>AND(#REF!,"AAAAAG/3Xno=")</f>
        <v>#REF!</v>
      </c>
      <c r="DT30" t="e">
        <f>AND(#REF!,"AAAAAG/3Xns=")</f>
        <v>#REF!</v>
      </c>
      <c r="DU30" t="e">
        <f>AND(#REF!,"AAAAAG/3Xnw=")</f>
        <v>#REF!</v>
      </c>
      <c r="DV30" t="e">
        <f>AND(#REF!,"AAAAAG/3Xn0=")</f>
        <v>#REF!</v>
      </c>
      <c r="DW30" t="e">
        <f>AND(#REF!,"AAAAAG/3Xn4=")</f>
        <v>#REF!</v>
      </c>
      <c r="DX30" t="e">
        <f>IF(#REF!,"AAAAAG/3Xn8=",0)</f>
        <v>#REF!</v>
      </c>
      <c r="DY30" t="e">
        <f>AND(#REF!,"AAAAAG/3XoA=")</f>
        <v>#REF!</v>
      </c>
      <c r="DZ30" t="e">
        <f>AND(#REF!,"AAAAAG/3XoE=")</f>
        <v>#REF!</v>
      </c>
      <c r="EA30" t="e">
        <f>AND(#REF!,"AAAAAG/3XoI=")</f>
        <v>#REF!</v>
      </c>
      <c r="EB30" t="e">
        <f>AND(#REF!,"AAAAAG/3XoM=")</f>
        <v>#REF!</v>
      </c>
      <c r="EC30" t="e">
        <f>AND(#REF!,"AAAAAG/3XoQ=")</f>
        <v>#REF!</v>
      </c>
      <c r="ED30" t="e">
        <f>AND(#REF!,"AAAAAG/3XoU=")</f>
        <v>#REF!</v>
      </c>
      <c r="EE30" t="e">
        <f>AND(#REF!,"AAAAAG/3XoY=")</f>
        <v>#REF!</v>
      </c>
      <c r="EF30" t="e">
        <f>AND(#REF!,"AAAAAG/3Xoc=")</f>
        <v>#REF!</v>
      </c>
      <c r="EG30" t="e">
        <f>IF(#REF!,"AAAAAG/3Xog=",0)</f>
        <v>#REF!</v>
      </c>
      <c r="EH30" t="e">
        <f>AND(#REF!,"AAAAAG/3Xok=")</f>
        <v>#REF!</v>
      </c>
      <c r="EI30" t="e">
        <f>AND(#REF!,"AAAAAG/3Xoo=")</f>
        <v>#REF!</v>
      </c>
      <c r="EJ30" t="e">
        <f>AND(#REF!,"AAAAAG/3Xos=")</f>
        <v>#REF!</v>
      </c>
      <c r="EK30" t="e">
        <f>AND(#REF!,"AAAAAG/3Xow=")</f>
        <v>#REF!</v>
      </c>
      <c r="EL30" t="e">
        <f>AND(#REF!,"AAAAAG/3Xo0=")</f>
        <v>#REF!</v>
      </c>
      <c r="EM30" t="e">
        <f>AND(#REF!,"AAAAAG/3Xo4=")</f>
        <v>#REF!</v>
      </c>
      <c r="EN30" t="e">
        <f>AND(#REF!,"AAAAAG/3Xo8=")</f>
        <v>#REF!</v>
      </c>
      <c r="EO30" t="e">
        <f>AND(#REF!,"AAAAAG/3XpA=")</f>
        <v>#REF!</v>
      </c>
      <c r="EP30" t="e">
        <f>IF(#REF!,"AAAAAG/3XpE=",0)</f>
        <v>#REF!</v>
      </c>
      <c r="EQ30" t="e">
        <f>AND(#REF!,"AAAAAG/3XpI=")</f>
        <v>#REF!</v>
      </c>
      <c r="ER30" t="e">
        <f>AND(#REF!,"AAAAAG/3XpM=")</f>
        <v>#REF!</v>
      </c>
      <c r="ES30" t="e">
        <f>AND(#REF!,"AAAAAG/3XpQ=")</f>
        <v>#REF!</v>
      </c>
      <c r="ET30" t="e">
        <f>AND(#REF!,"AAAAAG/3XpU=")</f>
        <v>#REF!</v>
      </c>
      <c r="EU30" t="e">
        <f>AND(#REF!,"AAAAAG/3XpY=")</f>
        <v>#REF!</v>
      </c>
      <c r="EV30" t="e">
        <f>AND(#REF!,"AAAAAG/3Xpc=")</f>
        <v>#REF!</v>
      </c>
      <c r="EW30" t="e">
        <f>AND(#REF!,"AAAAAG/3Xpg=")</f>
        <v>#REF!</v>
      </c>
      <c r="EX30" t="e">
        <f>AND(#REF!,"AAAAAG/3Xpk=")</f>
        <v>#REF!</v>
      </c>
      <c r="EY30" t="e">
        <f>IF(#REF!,"AAAAAG/3Xpo=",0)</f>
        <v>#REF!</v>
      </c>
      <c r="EZ30" t="e">
        <f>AND(#REF!,"AAAAAG/3Xps=")</f>
        <v>#REF!</v>
      </c>
      <c r="FA30" t="e">
        <f>AND(#REF!,"AAAAAG/3Xpw=")</f>
        <v>#REF!</v>
      </c>
      <c r="FB30" t="e">
        <f>AND(#REF!,"AAAAAG/3Xp0=")</f>
        <v>#REF!</v>
      </c>
      <c r="FC30" t="e">
        <f>AND(#REF!,"AAAAAG/3Xp4=")</f>
        <v>#REF!</v>
      </c>
      <c r="FD30" t="e">
        <f>AND(#REF!,"AAAAAG/3Xp8=")</f>
        <v>#REF!</v>
      </c>
      <c r="FE30" t="e">
        <f>AND(#REF!,"AAAAAG/3XqA=")</f>
        <v>#REF!</v>
      </c>
      <c r="FF30" t="e">
        <f>AND(#REF!,"AAAAAG/3XqE=")</f>
        <v>#REF!</v>
      </c>
      <c r="FG30" t="e">
        <f>AND(#REF!,"AAAAAG/3XqI=")</f>
        <v>#REF!</v>
      </c>
      <c r="FH30" t="e">
        <f>IF(#REF!,"AAAAAG/3XqM=",0)</f>
        <v>#REF!</v>
      </c>
      <c r="FI30" t="e">
        <f>AND(#REF!,"AAAAAG/3XqQ=")</f>
        <v>#REF!</v>
      </c>
      <c r="FJ30" t="e">
        <f>AND(#REF!,"AAAAAG/3XqU=")</f>
        <v>#REF!</v>
      </c>
      <c r="FK30" t="e">
        <f>AND(#REF!,"AAAAAG/3XqY=")</f>
        <v>#REF!</v>
      </c>
      <c r="FL30" t="e">
        <f>AND(#REF!,"AAAAAG/3Xqc=")</f>
        <v>#REF!</v>
      </c>
      <c r="FM30" t="e">
        <f>AND(#REF!,"AAAAAG/3Xqg=")</f>
        <v>#REF!</v>
      </c>
      <c r="FN30" t="e">
        <f>AND(#REF!,"AAAAAG/3Xqk=")</f>
        <v>#REF!</v>
      </c>
      <c r="FO30" t="e">
        <f>AND(#REF!,"AAAAAG/3Xqo=")</f>
        <v>#REF!</v>
      </c>
      <c r="FP30" t="e">
        <f>AND(#REF!,"AAAAAG/3Xqs=")</f>
        <v>#REF!</v>
      </c>
      <c r="FQ30" t="e">
        <f>IF(#REF!,"AAAAAG/3Xqw=",0)</f>
        <v>#REF!</v>
      </c>
      <c r="FR30" t="e">
        <f>AND(#REF!,"AAAAAG/3Xq0=")</f>
        <v>#REF!</v>
      </c>
      <c r="FS30" t="e">
        <f>AND(#REF!,"AAAAAG/3Xq4=")</f>
        <v>#REF!</v>
      </c>
      <c r="FT30" t="e">
        <f>AND(#REF!,"AAAAAG/3Xq8=")</f>
        <v>#REF!</v>
      </c>
      <c r="FU30" t="e">
        <f>AND(#REF!,"AAAAAG/3XrA=")</f>
        <v>#REF!</v>
      </c>
      <c r="FV30" t="e">
        <f>AND(#REF!,"AAAAAG/3XrE=")</f>
        <v>#REF!</v>
      </c>
      <c r="FW30" t="e">
        <f>AND(#REF!,"AAAAAG/3XrI=")</f>
        <v>#REF!</v>
      </c>
      <c r="FX30" t="e">
        <f>AND(#REF!,"AAAAAG/3XrM=")</f>
        <v>#REF!</v>
      </c>
      <c r="FY30" t="e">
        <f>AND(#REF!,"AAAAAG/3XrQ=")</f>
        <v>#REF!</v>
      </c>
      <c r="FZ30" t="e">
        <f>IF(#REF!,"AAAAAG/3XrU=",0)</f>
        <v>#REF!</v>
      </c>
      <c r="GA30" t="e">
        <f>AND(#REF!,"AAAAAG/3XrY=")</f>
        <v>#REF!</v>
      </c>
      <c r="GB30" t="e">
        <f>AND(#REF!,"AAAAAG/3Xrc=")</f>
        <v>#REF!</v>
      </c>
      <c r="GC30" t="e">
        <f>AND(#REF!,"AAAAAG/3Xrg=")</f>
        <v>#REF!</v>
      </c>
      <c r="GD30" t="e">
        <f>AND(#REF!,"AAAAAG/3Xrk=")</f>
        <v>#REF!</v>
      </c>
      <c r="GE30" t="e">
        <f>AND(#REF!,"AAAAAG/3Xro=")</f>
        <v>#REF!</v>
      </c>
      <c r="GF30" t="e">
        <f>AND(#REF!,"AAAAAG/3Xrs=")</f>
        <v>#REF!</v>
      </c>
      <c r="GG30" t="e">
        <f>AND(#REF!,"AAAAAG/3Xrw=")</f>
        <v>#REF!</v>
      </c>
      <c r="GH30" t="e">
        <f>AND(#REF!,"AAAAAG/3Xr0=")</f>
        <v>#REF!</v>
      </c>
      <c r="GI30" t="e">
        <f>IF(#REF!,"AAAAAG/3Xr4=",0)</f>
        <v>#REF!</v>
      </c>
      <c r="GJ30" t="e">
        <f>AND(#REF!,"AAAAAG/3Xr8=")</f>
        <v>#REF!</v>
      </c>
      <c r="GK30" t="e">
        <f>AND(#REF!,"AAAAAG/3XsA=")</f>
        <v>#REF!</v>
      </c>
      <c r="GL30" t="e">
        <f>AND(#REF!,"AAAAAG/3XsE=")</f>
        <v>#REF!</v>
      </c>
      <c r="GM30" t="e">
        <f>AND(#REF!,"AAAAAG/3XsI=")</f>
        <v>#REF!</v>
      </c>
      <c r="GN30" t="e">
        <f>AND(#REF!,"AAAAAG/3XsM=")</f>
        <v>#REF!</v>
      </c>
      <c r="GO30" t="e">
        <f>AND(#REF!,"AAAAAG/3XsQ=")</f>
        <v>#REF!</v>
      </c>
      <c r="GP30" t="e">
        <f>AND(#REF!,"AAAAAG/3XsU=")</f>
        <v>#REF!</v>
      </c>
      <c r="GQ30" t="e">
        <f>AND(#REF!,"AAAAAG/3XsY=")</f>
        <v>#REF!</v>
      </c>
      <c r="GR30" t="e">
        <f>IF(#REF!,"AAAAAG/3Xsc=",0)</f>
        <v>#REF!</v>
      </c>
      <c r="GS30" t="e">
        <f>AND(#REF!,"AAAAAG/3Xsg=")</f>
        <v>#REF!</v>
      </c>
      <c r="GT30" t="e">
        <f>AND(#REF!,"AAAAAG/3Xsk=")</f>
        <v>#REF!</v>
      </c>
      <c r="GU30" t="e">
        <f>AND(#REF!,"AAAAAG/3Xso=")</f>
        <v>#REF!</v>
      </c>
      <c r="GV30" t="e">
        <f>AND(#REF!,"AAAAAG/3Xss=")</f>
        <v>#REF!</v>
      </c>
      <c r="GW30" t="e">
        <f>AND(#REF!,"AAAAAG/3Xsw=")</f>
        <v>#REF!</v>
      </c>
      <c r="GX30" t="e">
        <f>AND(#REF!,"AAAAAG/3Xs0=")</f>
        <v>#REF!</v>
      </c>
      <c r="GY30" t="e">
        <f>AND(#REF!,"AAAAAG/3Xs4=")</f>
        <v>#REF!</v>
      </c>
      <c r="GZ30" t="e">
        <f>AND(#REF!,"AAAAAG/3Xs8=")</f>
        <v>#REF!</v>
      </c>
      <c r="HA30" t="e">
        <f>IF(#REF!,"AAAAAG/3XtA=",0)</f>
        <v>#REF!</v>
      </c>
      <c r="HB30" t="e">
        <f>AND(#REF!,"AAAAAG/3XtE=")</f>
        <v>#REF!</v>
      </c>
      <c r="HC30" t="e">
        <f>AND(#REF!,"AAAAAG/3XtI=")</f>
        <v>#REF!</v>
      </c>
      <c r="HD30" t="e">
        <f>AND(#REF!,"AAAAAG/3XtM=")</f>
        <v>#REF!</v>
      </c>
      <c r="HE30" t="e">
        <f>AND(#REF!,"AAAAAG/3XtQ=")</f>
        <v>#REF!</v>
      </c>
      <c r="HF30" t="e">
        <f>AND(#REF!,"AAAAAG/3XtU=")</f>
        <v>#REF!</v>
      </c>
      <c r="HG30" t="e">
        <f>AND(#REF!,"AAAAAG/3XtY=")</f>
        <v>#REF!</v>
      </c>
      <c r="HH30" t="e">
        <f>AND(#REF!,"AAAAAG/3Xtc=")</f>
        <v>#REF!</v>
      </c>
      <c r="HI30" t="e">
        <f>AND(#REF!,"AAAAAG/3Xtg=")</f>
        <v>#REF!</v>
      </c>
      <c r="HJ30" t="e">
        <f>IF(#REF!,"AAAAAG/3Xtk=",0)</f>
        <v>#REF!</v>
      </c>
      <c r="HK30" t="e">
        <f>AND(#REF!,"AAAAAG/3Xto=")</f>
        <v>#REF!</v>
      </c>
      <c r="HL30" t="e">
        <f>AND(#REF!,"AAAAAG/3Xts=")</f>
        <v>#REF!</v>
      </c>
      <c r="HM30" t="e">
        <f>AND(#REF!,"AAAAAG/3Xtw=")</f>
        <v>#REF!</v>
      </c>
      <c r="HN30" t="e">
        <f>AND(#REF!,"AAAAAG/3Xt0=")</f>
        <v>#REF!</v>
      </c>
      <c r="HO30" t="e">
        <f>AND(#REF!,"AAAAAG/3Xt4=")</f>
        <v>#REF!</v>
      </c>
      <c r="HP30" t="e">
        <f>AND(#REF!,"AAAAAG/3Xt8=")</f>
        <v>#REF!</v>
      </c>
      <c r="HQ30" t="e">
        <f>AND(#REF!,"AAAAAG/3XuA=")</f>
        <v>#REF!</v>
      </c>
      <c r="HR30" t="e">
        <f>AND(#REF!,"AAAAAG/3XuE=")</f>
        <v>#REF!</v>
      </c>
      <c r="HS30" t="e">
        <f>IF(#REF!,"AAAAAG/3XuI=",0)</f>
        <v>#REF!</v>
      </c>
      <c r="HT30" t="e">
        <f>AND(#REF!,"AAAAAG/3XuM=")</f>
        <v>#REF!</v>
      </c>
      <c r="HU30" t="e">
        <f>AND(#REF!,"AAAAAG/3XuQ=")</f>
        <v>#REF!</v>
      </c>
      <c r="HV30" t="e">
        <f>AND(#REF!,"AAAAAG/3XuU=")</f>
        <v>#REF!</v>
      </c>
      <c r="HW30" t="e">
        <f>AND(#REF!,"AAAAAG/3XuY=")</f>
        <v>#REF!</v>
      </c>
      <c r="HX30" t="e">
        <f>AND(#REF!,"AAAAAG/3Xuc=")</f>
        <v>#REF!</v>
      </c>
      <c r="HY30" t="e">
        <f>AND(#REF!,"AAAAAG/3Xug=")</f>
        <v>#REF!</v>
      </c>
      <c r="HZ30" t="e">
        <f>AND(#REF!,"AAAAAG/3Xuk=")</f>
        <v>#REF!</v>
      </c>
      <c r="IA30" t="e">
        <f>AND(#REF!,"AAAAAG/3Xuo=")</f>
        <v>#REF!</v>
      </c>
      <c r="IB30" t="e">
        <f>IF(#REF!,"AAAAAG/3Xus=",0)</f>
        <v>#REF!</v>
      </c>
      <c r="IC30" t="e">
        <f>AND(#REF!,"AAAAAG/3Xuw=")</f>
        <v>#REF!</v>
      </c>
      <c r="ID30" t="e">
        <f>AND(#REF!,"AAAAAG/3Xu0=")</f>
        <v>#REF!</v>
      </c>
      <c r="IE30" t="e">
        <f>AND(#REF!,"AAAAAG/3Xu4=")</f>
        <v>#REF!</v>
      </c>
      <c r="IF30" t="e">
        <f>AND(#REF!,"AAAAAG/3Xu8=")</f>
        <v>#REF!</v>
      </c>
      <c r="IG30" t="e">
        <f>AND(#REF!,"AAAAAG/3XvA=")</f>
        <v>#REF!</v>
      </c>
      <c r="IH30" t="e">
        <f>AND(#REF!,"AAAAAG/3XvE=")</f>
        <v>#REF!</v>
      </c>
      <c r="II30" t="e">
        <f>AND(#REF!,"AAAAAG/3XvI=")</f>
        <v>#REF!</v>
      </c>
      <c r="IJ30" t="e">
        <f>AND(#REF!,"AAAAAG/3XvM=")</f>
        <v>#REF!</v>
      </c>
      <c r="IK30" t="e">
        <f>IF(#REF!,"AAAAAG/3XvQ=",0)</f>
        <v>#REF!</v>
      </c>
      <c r="IL30" t="e">
        <f>AND(#REF!,"AAAAAG/3XvU=")</f>
        <v>#REF!</v>
      </c>
      <c r="IM30" t="e">
        <f>AND(#REF!,"AAAAAG/3XvY=")</f>
        <v>#REF!</v>
      </c>
      <c r="IN30" t="e">
        <f>AND(#REF!,"AAAAAG/3Xvc=")</f>
        <v>#REF!</v>
      </c>
      <c r="IO30" t="e">
        <f>AND(#REF!,"AAAAAG/3Xvg=")</f>
        <v>#REF!</v>
      </c>
      <c r="IP30" t="e">
        <f>AND(#REF!,"AAAAAG/3Xvk=")</f>
        <v>#REF!</v>
      </c>
      <c r="IQ30" t="e">
        <f>AND(#REF!,"AAAAAG/3Xvo=")</f>
        <v>#REF!</v>
      </c>
      <c r="IR30" t="e">
        <f>AND(#REF!,"AAAAAG/3Xvs=")</f>
        <v>#REF!</v>
      </c>
      <c r="IS30" t="e">
        <f>AND(#REF!,"AAAAAG/3Xvw=")</f>
        <v>#REF!</v>
      </c>
      <c r="IT30" t="e">
        <f>IF(#REF!,"AAAAAG/3Xv0=",0)</f>
        <v>#REF!</v>
      </c>
      <c r="IU30" t="e">
        <f>AND(#REF!,"AAAAAG/3Xv4=")</f>
        <v>#REF!</v>
      </c>
      <c r="IV30" t="e">
        <f>AND(#REF!,"AAAAAG/3Xv8=")</f>
        <v>#REF!</v>
      </c>
    </row>
    <row r="31" spans="1:256">
      <c r="A31" t="e">
        <f>AND(#REF!,"AAAAAFa/lwA=")</f>
        <v>#REF!</v>
      </c>
      <c r="B31" t="e">
        <f>AND(#REF!,"AAAAAFa/lwE=")</f>
        <v>#REF!</v>
      </c>
      <c r="C31" t="e">
        <f>AND(#REF!,"AAAAAFa/lwI=")</f>
        <v>#REF!</v>
      </c>
      <c r="D31" t="e">
        <f>AND(#REF!,"AAAAAFa/lwM=")</f>
        <v>#REF!</v>
      </c>
      <c r="E31" t="e">
        <f>AND(#REF!,"AAAAAFa/lwQ=")</f>
        <v>#REF!</v>
      </c>
      <c r="F31" t="e">
        <f>AND(#REF!,"AAAAAFa/lwU=")</f>
        <v>#REF!</v>
      </c>
      <c r="G31" t="e">
        <f>IF(#REF!,"AAAAAFa/lwY=",0)</f>
        <v>#REF!</v>
      </c>
      <c r="H31" t="e">
        <f>AND(#REF!,"AAAAAFa/lwc=")</f>
        <v>#REF!</v>
      </c>
      <c r="I31" t="e">
        <f>AND(#REF!,"AAAAAFa/lwg=")</f>
        <v>#REF!</v>
      </c>
      <c r="J31" t="e">
        <f>AND(#REF!,"AAAAAFa/lwk=")</f>
        <v>#REF!</v>
      </c>
      <c r="K31" t="e">
        <f>AND(#REF!,"AAAAAFa/lwo=")</f>
        <v>#REF!</v>
      </c>
      <c r="L31" t="e">
        <f>AND(#REF!,"AAAAAFa/lws=")</f>
        <v>#REF!</v>
      </c>
      <c r="M31" t="e">
        <f>AND(#REF!,"AAAAAFa/lww=")</f>
        <v>#REF!</v>
      </c>
      <c r="N31" t="e">
        <f>AND(#REF!,"AAAAAFa/lw0=")</f>
        <v>#REF!</v>
      </c>
      <c r="O31" t="e">
        <f>AND(#REF!,"AAAAAFa/lw4=")</f>
        <v>#REF!</v>
      </c>
      <c r="P31" t="e">
        <f>IF(#REF!,"AAAAAFa/lw8=",0)</f>
        <v>#REF!</v>
      </c>
      <c r="Q31" t="e">
        <f>AND(#REF!,"AAAAAFa/lxA=")</f>
        <v>#REF!</v>
      </c>
      <c r="R31" t="e">
        <f>AND(#REF!,"AAAAAFa/lxE=")</f>
        <v>#REF!</v>
      </c>
      <c r="S31" t="e">
        <f>AND(#REF!,"AAAAAFa/lxI=")</f>
        <v>#REF!</v>
      </c>
      <c r="T31" t="e">
        <f>AND(#REF!,"AAAAAFa/lxM=")</f>
        <v>#REF!</v>
      </c>
      <c r="U31" t="e">
        <f>AND(#REF!,"AAAAAFa/lxQ=")</f>
        <v>#REF!</v>
      </c>
      <c r="V31" t="e">
        <f>AND(#REF!,"AAAAAFa/lxU=")</f>
        <v>#REF!</v>
      </c>
      <c r="W31" t="e">
        <f>AND(#REF!,"AAAAAFa/lxY=")</f>
        <v>#REF!</v>
      </c>
      <c r="X31" t="e">
        <f>AND(#REF!,"AAAAAFa/lxc=")</f>
        <v>#REF!</v>
      </c>
      <c r="Y31" t="e">
        <f>IF(#REF!,"AAAAAFa/lxg=",0)</f>
        <v>#REF!</v>
      </c>
      <c r="Z31" t="e">
        <f>AND(#REF!,"AAAAAFa/lxk=")</f>
        <v>#REF!</v>
      </c>
      <c r="AA31" t="e">
        <f>AND(#REF!,"AAAAAFa/lxo=")</f>
        <v>#REF!</v>
      </c>
      <c r="AB31" t="e">
        <f>AND(#REF!,"AAAAAFa/lxs=")</f>
        <v>#REF!</v>
      </c>
      <c r="AC31" t="e">
        <f>AND(#REF!,"AAAAAFa/lxw=")</f>
        <v>#REF!</v>
      </c>
      <c r="AD31" t="e">
        <f>AND(#REF!,"AAAAAFa/lx0=")</f>
        <v>#REF!</v>
      </c>
      <c r="AE31" t="e">
        <f>AND(#REF!,"AAAAAFa/lx4=")</f>
        <v>#REF!</v>
      </c>
      <c r="AF31" t="e">
        <f>AND(#REF!,"AAAAAFa/lx8=")</f>
        <v>#REF!</v>
      </c>
      <c r="AG31" t="e">
        <f>AND(#REF!,"AAAAAFa/lyA=")</f>
        <v>#REF!</v>
      </c>
      <c r="AH31" t="e">
        <f>IF(#REF!,"AAAAAFa/lyE=",0)</f>
        <v>#REF!</v>
      </c>
      <c r="AI31" t="e">
        <f>AND(#REF!,"AAAAAFa/lyI=")</f>
        <v>#REF!</v>
      </c>
      <c r="AJ31" t="e">
        <f>AND(#REF!,"AAAAAFa/lyM=")</f>
        <v>#REF!</v>
      </c>
      <c r="AK31" t="e">
        <f>AND(#REF!,"AAAAAFa/lyQ=")</f>
        <v>#REF!</v>
      </c>
      <c r="AL31" t="e">
        <f>AND(#REF!,"AAAAAFa/lyU=")</f>
        <v>#REF!</v>
      </c>
      <c r="AM31" t="e">
        <f>AND(#REF!,"AAAAAFa/lyY=")</f>
        <v>#REF!</v>
      </c>
      <c r="AN31" t="e">
        <f>AND(#REF!,"AAAAAFa/lyc=")</f>
        <v>#REF!</v>
      </c>
      <c r="AO31" t="e">
        <f>AND(#REF!,"AAAAAFa/lyg=")</f>
        <v>#REF!</v>
      </c>
      <c r="AP31" t="e">
        <f>AND(#REF!,"AAAAAFa/lyk=")</f>
        <v>#REF!</v>
      </c>
      <c r="AQ31" t="e">
        <f>IF(#REF!,"AAAAAFa/lyo=",0)</f>
        <v>#REF!</v>
      </c>
      <c r="AR31" t="e">
        <f>AND(#REF!,"AAAAAFa/lys=")</f>
        <v>#REF!</v>
      </c>
      <c r="AS31" t="e">
        <f>AND(#REF!,"AAAAAFa/lyw=")</f>
        <v>#REF!</v>
      </c>
      <c r="AT31" t="e">
        <f>AND(#REF!,"AAAAAFa/ly0=")</f>
        <v>#REF!</v>
      </c>
      <c r="AU31" t="e">
        <f>AND(#REF!,"AAAAAFa/ly4=")</f>
        <v>#REF!</v>
      </c>
      <c r="AV31" t="e">
        <f>AND(#REF!,"AAAAAFa/ly8=")</f>
        <v>#REF!</v>
      </c>
      <c r="AW31" t="e">
        <f>AND(#REF!,"AAAAAFa/lzA=")</f>
        <v>#REF!</v>
      </c>
      <c r="AX31" t="e">
        <f>AND(#REF!,"AAAAAFa/lzE=")</f>
        <v>#REF!</v>
      </c>
      <c r="AY31" t="e">
        <f>AND(#REF!,"AAAAAFa/lzI=")</f>
        <v>#REF!</v>
      </c>
      <c r="AZ31" t="e">
        <f>IF(#REF!,"AAAAAFa/lzM=",0)</f>
        <v>#REF!</v>
      </c>
      <c r="BA31" t="e">
        <f>AND(#REF!,"AAAAAFa/lzQ=")</f>
        <v>#REF!</v>
      </c>
      <c r="BB31" t="e">
        <f>AND(#REF!,"AAAAAFa/lzU=")</f>
        <v>#REF!</v>
      </c>
      <c r="BC31" t="e">
        <f>AND(#REF!,"AAAAAFa/lzY=")</f>
        <v>#REF!</v>
      </c>
      <c r="BD31" t="e">
        <f>AND(#REF!,"AAAAAFa/lzc=")</f>
        <v>#REF!</v>
      </c>
      <c r="BE31" t="e">
        <f>AND(#REF!,"AAAAAFa/lzg=")</f>
        <v>#REF!</v>
      </c>
      <c r="BF31" t="e">
        <f>AND(#REF!,"AAAAAFa/lzk=")</f>
        <v>#REF!</v>
      </c>
      <c r="BG31" t="e">
        <f>AND(#REF!,"AAAAAFa/lzo=")</f>
        <v>#REF!</v>
      </c>
      <c r="BH31" t="e">
        <f>AND(#REF!,"AAAAAFa/lzs=")</f>
        <v>#REF!</v>
      </c>
      <c r="BI31" t="e">
        <f>IF(#REF!,"AAAAAFa/lzw=",0)</f>
        <v>#REF!</v>
      </c>
      <c r="BJ31" t="e">
        <f>AND(#REF!,"AAAAAFa/lz0=")</f>
        <v>#REF!</v>
      </c>
      <c r="BK31" t="e">
        <f>AND(#REF!,"AAAAAFa/lz4=")</f>
        <v>#REF!</v>
      </c>
      <c r="BL31" t="e">
        <f>AND(#REF!,"AAAAAFa/lz8=")</f>
        <v>#REF!</v>
      </c>
      <c r="BM31" t="e">
        <f>AND(#REF!,"AAAAAFa/l0A=")</f>
        <v>#REF!</v>
      </c>
      <c r="BN31" t="e">
        <f>AND(#REF!,"AAAAAFa/l0E=")</f>
        <v>#REF!</v>
      </c>
      <c r="BO31" t="e">
        <f>AND(#REF!,"AAAAAFa/l0I=")</f>
        <v>#REF!</v>
      </c>
      <c r="BP31" t="e">
        <f>AND(#REF!,"AAAAAFa/l0M=")</f>
        <v>#REF!</v>
      </c>
      <c r="BQ31" t="e">
        <f>AND(#REF!,"AAAAAFa/l0Q=")</f>
        <v>#REF!</v>
      </c>
      <c r="BR31" t="e">
        <f>IF(#REF!,"AAAAAFa/l0U=",0)</f>
        <v>#REF!</v>
      </c>
      <c r="BS31" t="e">
        <f>AND(#REF!,"AAAAAFa/l0Y=")</f>
        <v>#REF!</v>
      </c>
      <c r="BT31" t="e">
        <f>AND(#REF!,"AAAAAFa/l0c=")</f>
        <v>#REF!</v>
      </c>
      <c r="BU31" t="e">
        <f>AND(#REF!,"AAAAAFa/l0g=")</f>
        <v>#REF!</v>
      </c>
      <c r="BV31" t="e">
        <f>AND(#REF!,"AAAAAFa/l0k=")</f>
        <v>#REF!</v>
      </c>
      <c r="BW31" t="e">
        <f>AND(#REF!,"AAAAAFa/l0o=")</f>
        <v>#REF!</v>
      </c>
      <c r="BX31" t="e">
        <f>AND(#REF!,"AAAAAFa/l0s=")</f>
        <v>#REF!</v>
      </c>
      <c r="BY31" t="e">
        <f>AND(#REF!,"AAAAAFa/l0w=")</f>
        <v>#REF!</v>
      </c>
      <c r="BZ31" t="e">
        <f>AND(#REF!,"AAAAAFa/l00=")</f>
        <v>#REF!</v>
      </c>
      <c r="CA31" t="e">
        <f>IF(#REF!,"AAAAAFa/l04=",0)</f>
        <v>#REF!</v>
      </c>
      <c r="CB31" t="e">
        <f>AND(#REF!,"AAAAAFa/l08=")</f>
        <v>#REF!</v>
      </c>
      <c r="CC31" t="e">
        <f>AND(#REF!,"AAAAAFa/l1A=")</f>
        <v>#REF!</v>
      </c>
      <c r="CD31" t="e">
        <f>AND(#REF!,"AAAAAFa/l1E=")</f>
        <v>#REF!</v>
      </c>
      <c r="CE31" t="e">
        <f>AND(#REF!,"AAAAAFa/l1I=")</f>
        <v>#REF!</v>
      </c>
      <c r="CF31" t="e">
        <f>AND(#REF!,"AAAAAFa/l1M=")</f>
        <v>#REF!</v>
      </c>
      <c r="CG31" t="e">
        <f>AND(#REF!,"AAAAAFa/l1Q=")</f>
        <v>#REF!</v>
      </c>
      <c r="CH31" t="e">
        <f>AND(#REF!,"AAAAAFa/l1U=")</f>
        <v>#REF!</v>
      </c>
      <c r="CI31" t="e">
        <f>AND(#REF!,"AAAAAFa/l1Y=")</f>
        <v>#REF!</v>
      </c>
      <c r="CJ31" t="e">
        <f>IF(#REF!,"AAAAAFa/l1c=",0)</f>
        <v>#REF!</v>
      </c>
      <c r="CK31" t="e">
        <f>AND(#REF!,"AAAAAFa/l1g=")</f>
        <v>#REF!</v>
      </c>
      <c r="CL31" t="e">
        <f>AND(#REF!,"AAAAAFa/l1k=")</f>
        <v>#REF!</v>
      </c>
      <c r="CM31" t="e">
        <f>AND(#REF!,"AAAAAFa/l1o=")</f>
        <v>#REF!</v>
      </c>
      <c r="CN31" t="e">
        <f>AND(#REF!,"AAAAAFa/l1s=")</f>
        <v>#REF!</v>
      </c>
      <c r="CO31" t="e">
        <f>AND(#REF!,"AAAAAFa/l1w=")</f>
        <v>#REF!</v>
      </c>
      <c r="CP31" t="e">
        <f>AND(#REF!,"AAAAAFa/l10=")</f>
        <v>#REF!</v>
      </c>
      <c r="CQ31" t="e">
        <f>AND(#REF!,"AAAAAFa/l14=")</f>
        <v>#REF!</v>
      </c>
      <c r="CR31" t="e">
        <f>AND(#REF!,"AAAAAFa/l18=")</f>
        <v>#REF!</v>
      </c>
      <c r="CS31" t="e">
        <f>IF(#REF!,"AAAAAFa/l2A=",0)</f>
        <v>#REF!</v>
      </c>
      <c r="CT31" t="e">
        <f>AND(#REF!,"AAAAAFa/l2E=")</f>
        <v>#REF!</v>
      </c>
      <c r="CU31" t="e">
        <f>AND(#REF!,"AAAAAFa/l2I=")</f>
        <v>#REF!</v>
      </c>
      <c r="CV31" t="e">
        <f>AND(#REF!,"AAAAAFa/l2M=")</f>
        <v>#REF!</v>
      </c>
      <c r="CW31" t="e">
        <f>AND(#REF!,"AAAAAFa/l2Q=")</f>
        <v>#REF!</v>
      </c>
      <c r="CX31" t="e">
        <f>AND(#REF!,"AAAAAFa/l2U=")</f>
        <v>#REF!</v>
      </c>
      <c r="CY31" t="e">
        <f>AND(#REF!,"AAAAAFa/l2Y=")</f>
        <v>#REF!</v>
      </c>
      <c r="CZ31" t="e">
        <f>AND(#REF!,"AAAAAFa/l2c=")</f>
        <v>#REF!</v>
      </c>
      <c r="DA31" t="e">
        <f>AND(#REF!,"AAAAAFa/l2g=")</f>
        <v>#REF!</v>
      </c>
      <c r="DB31" t="e">
        <f>IF(#REF!,"AAAAAFa/l2k=",0)</f>
        <v>#REF!</v>
      </c>
      <c r="DC31" t="e">
        <f>AND(#REF!,"AAAAAFa/l2o=")</f>
        <v>#REF!</v>
      </c>
      <c r="DD31" t="e">
        <f>AND(#REF!,"AAAAAFa/l2s=")</f>
        <v>#REF!</v>
      </c>
      <c r="DE31" t="e">
        <f>AND(#REF!,"AAAAAFa/l2w=")</f>
        <v>#REF!</v>
      </c>
      <c r="DF31" t="e">
        <f>AND(#REF!,"AAAAAFa/l20=")</f>
        <v>#REF!</v>
      </c>
      <c r="DG31" t="e">
        <f>AND(#REF!,"AAAAAFa/l24=")</f>
        <v>#REF!</v>
      </c>
      <c r="DH31" t="e">
        <f>AND(#REF!,"AAAAAFa/l28=")</f>
        <v>#REF!</v>
      </c>
      <c r="DI31" t="e">
        <f>AND(#REF!,"AAAAAFa/l3A=")</f>
        <v>#REF!</v>
      </c>
      <c r="DJ31" t="e">
        <f>AND(#REF!,"AAAAAFa/l3E=")</f>
        <v>#REF!</v>
      </c>
      <c r="DK31" t="e">
        <f>IF(#REF!,"AAAAAFa/l3I=",0)</f>
        <v>#REF!</v>
      </c>
      <c r="DL31" t="e">
        <f>AND(#REF!,"AAAAAFa/l3M=")</f>
        <v>#REF!</v>
      </c>
      <c r="DM31" t="e">
        <f>AND(#REF!,"AAAAAFa/l3Q=")</f>
        <v>#REF!</v>
      </c>
      <c r="DN31" t="e">
        <f>AND(#REF!,"AAAAAFa/l3U=")</f>
        <v>#REF!</v>
      </c>
      <c r="DO31" t="e">
        <f>AND(#REF!,"AAAAAFa/l3Y=")</f>
        <v>#REF!</v>
      </c>
      <c r="DP31" t="e">
        <f>AND(#REF!,"AAAAAFa/l3c=")</f>
        <v>#REF!</v>
      </c>
      <c r="DQ31" t="e">
        <f>AND(#REF!,"AAAAAFa/l3g=")</f>
        <v>#REF!</v>
      </c>
      <c r="DR31" t="e">
        <f>AND(#REF!,"AAAAAFa/l3k=")</f>
        <v>#REF!</v>
      </c>
      <c r="DS31" t="e">
        <f>AND(#REF!,"AAAAAFa/l3o=")</f>
        <v>#REF!</v>
      </c>
      <c r="DT31" t="e">
        <f>IF(#REF!,"AAAAAFa/l3s=",0)</f>
        <v>#REF!</v>
      </c>
      <c r="DU31" t="e">
        <f>AND(#REF!,"AAAAAFa/l3w=")</f>
        <v>#REF!</v>
      </c>
      <c r="DV31" t="e">
        <f>AND(#REF!,"AAAAAFa/l30=")</f>
        <v>#REF!</v>
      </c>
      <c r="DW31" t="e">
        <f>AND(#REF!,"AAAAAFa/l34=")</f>
        <v>#REF!</v>
      </c>
      <c r="DX31" t="e">
        <f>AND(#REF!,"AAAAAFa/l38=")</f>
        <v>#REF!</v>
      </c>
      <c r="DY31" t="e">
        <f>AND(#REF!,"AAAAAFa/l4A=")</f>
        <v>#REF!</v>
      </c>
      <c r="DZ31" t="e">
        <f>AND(#REF!,"AAAAAFa/l4E=")</f>
        <v>#REF!</v>
      </c>
      <c r="EA31" t="e">
        <f>AND(#REF!,"AAAAAFa/l4I=")</f>
        <v>#REF!</v>
      </c>
      <c r="EB31" t="e">
        <f>AND(#REF!,"AAAAAFa/l4M=")</f>
        <v>#REF!</v>
      </c>
      <c r="EC31" t="e">
        <f>IF(#REF!,"AAAAAFa/l4Q=",0)</f>
        <v>#REF!</v>
      </c>
      <c r="ED31" t="e">
        <f>AND(#REF!,"AAAAAFa/l4U=")</f>
        <v>#REF!</v>
      </c>
      <c r="EE31" t="e">
        <f>AND(#REF!,"AAAAAFa/l4Y=")</f>
        <v>#REF!</v>
      </c>
      <c r="EF31" t="e">
        <f>AND(#REF!,"AAAAAFa/l4c=")</f>
        <v>#REF!</v>
      </c>
      <c r="EG31" t="e">
        <f>AND(#REF!,"AAAAAFa/l4g=")</f>
        <v>#REF!</v>
      </c>
      <c r="EH31" t="e">
        <f>AND(#REF!,"AAAAAFa/l4k=")</f>
        <v>#REF!</v>
      </c>
      <c r="EI31" t="e">
        <f>AND(#REF!,"AAAAAFa/l4o=")</f>
        <v>#REF!</v>
      </c>
      <c r="EJ31" t="e">
        <f>AND(#REF!,"AAAAAFa/l4s=")</f>
        <v>#REF!</v>
      </c>
      <c r="EK31" t="e">
        <f>AND(#REF!,"AAAAAFa/l4w=")</f>
        <v>#REF!</v>
      </c>
      <c r="EL31" t="e">
        <f>IF(#REF!,"AAAAAFa/l40=",0)</f>
        <v>#REF!</v>
      </c>
      <c r="EM31" t="e">
        <f>AND(#REF!,"AAAAAFa/l44=")</f>
        <v>#REF!</v>
      </c>
      <c r="EN31" t="e">
        <f>AND(#REF!,"AAAAAFa/l48=")</f>
        <v>#REF!</v>
      </c>
      <c r="EO31" t="e">
        <f>AND(#REF!,"AAAAAFa/l5A=")</f>
        <v>#REF!</v>
      </c>
      <c r="EP31" t="e">
        <f>AND(#REF!,"AAAAAFa/l5E=")</f>
        <v>#REF!</v>
      </c>
      <c r="EQ31" t="e">
        <f>AND(#REF!,"AAAAAFa/l5I=")</f>
        <v>#REF!</v>
      </c>
      <c r="ER31" t="e">
        <f>AND(#REF!,"AAAAAFa/l5M=")</f>
        <v>#REF!</v>
      </c>
      <c r="ES31" t="e">
        <f>AND(#REF!,"AAAAAFa/l5Q=")</f>
        <v>#REF!</v>
      </c>
      <c r="ET31" t="e">
        <f>AND(#REF!,"AAAAAFa/l5U=")</f>
        <v>#REF!</v>
      </c>
      <c r="EU31" t="e">
        <f>IF(#REF!,"AAAAAFa/l5Y=",0)</f>
        <v>#REF!</v>
      </c>
      <c r="EV31" t="e">
        <f>AND(#REF!,"AAAAAFa/l5c=")</f>
        <v>#REF!</v>
      </c>
      <c r="EW31" t="e">
        <f>AND(#REF!,"AAAAAFa/l5g=")</f>
        <v>#REF!</v>
      </c>
      <c r="EX31" t="e">
        <f>AND(#REF!,"AAAAAFa/l5k=")</f>
        <v>#REF!</v>
      </c>
      <c r="EY31" t="e">
        <f>AND(#REF!,"AAAAAFa/l5o=")</f>
        <v>#REF!</v>
      </c>
      <c r="EZ31" t="e">
        <f>AND(#REF!,"AAAAAFa/l5s=")</f>
        <v>#REF!</v>
      </c>
      <c r="FA31" t="e">
        <f>AND(#REF!,"AAAAAFa/l5w=")</f>
        <v>#REF!</v>
      </c>
      <c r="FB31" t="e">
        <f>AND(#REF!,"AAAAAFa/l50=")</f>
        <v>#REF!</v>
      </c>
      <c r="FC31" t="e">
        <f>AND(#REF!,"AAAAAFa/l54=")</f>
        <v>#REF!</v>
      </c>
      <c r="FD31" t="e">
        <f>IF(#REF!,"AAAAAFa/l58=",0)</f>
        <v>#REF!</v>
      </c>
      <c r="FE31" t="e">
        <f>AND(#REF!,"AAAAAFa/l6A=")</f>
        <v>#REF!</v>
      </c>
      <c r="FF31" t="e">
        <f>AND(#REF!,"AAAAAFa/l6E=")</f>
        <v>#REF!</v>
      </c>
      <c r="FG31" t="e">
        <f>AND(#REF!,"AAAAAFa/l6I=")</f>
        <v>#REF!</v>
      </c>
      <c r="FH31" t="e">
        <f>AND(#REF!,"AAAAAFa/l6M=")</f>
        <v>#REF!</v>
      </c>
      <c r="FI31" t="e">
        <f>AND(#REF!,"AAAAAFa/l6Q=")</f>
        <v>#REF!</v>
      </c>
      <c r="FJ31" t="e">
        <f>AND(#REF!,"AAAAAFa/l6U=")</f>
        <v>#REF!</v>
      </c>
      <c r="FK31" t="e">
        <f>AND(#REF!,"AAAAAFa/l6Y=")</f>
        <v>#REF!</v>
      </c>
      <c r="FL31" t="e">
        <f>AND(#REF!,"AAAAAFa/l6c=")</f>
        <v>#REF!</v>
      </c>
      <c r="FM31" t="e">
        <f>IF(#REF!,"AAAAAFa/l6g=",0)</f>
        <v>#REF!</v>
      </c>
      <c r="FN31" t="e">
        <f>AND(#REF!,"AAAAAFa/l6k=")</f>
        <v>#REF!</v>
      </c>
      <c r="FO31" t="e">
        <f>AND(#REF!,"AAAAAFa/l6o=")</f>
        <v>#REF!</v>
      </c>
      <c r="FP31" t="e">
        <f>AND(#REF!,"AAAAAFa/l6s=")</f>
        <v>#REF!</v>
      </c>
      <c r="FQ31" t="e">
        <f>AND(#REF!,"AAAAAFa/l6w=")</f>
        <v>#REF!</v>
      </c>
      <c r="FR31" t="e">
        <f>AND(#REF!,"AAAAAFa/l60=")</f>
        <v>#REF!</v>
      </c>
      <c r="FS31" t="e">
        <f>AND(#REF!,"AAAAAFa/l64=")</f>
        <v>#REF!</v>
      </c>
      <c r="FT31" t="e">
        <f>AND(#REF!,"AAAAAFa/l68=")</f>
        <v>#REF!</v>
      </c>
      <c r="FU31" t="e">
        <f>AND(#REF!,"AAAAAFa/l7A=")</f>
        <v>#REF!</v>
      </c>
      <c r="FV31" t="e">
        <f>IF(#REF!,"AAAAAFa/l7E=",0)</f>
        <v>#REF!</v>
      </c>
      <c r="FW31" t="e">
        <f>AND(#REF!,"AAAAAFa/l7I=")</f>
        <v>#REF!</v>
      </c>
      <c r="FX31" t="e">
        <f>AND(#REF!,"AAAAAFa/l7M=")</f>
        <v>#REF!</v>
      </c>
      <c r="FY31" t="e">
        <f>AND(#REF!,"AAAAAFa/l7Q=")</f>
        <v>#REF!</v>
      </c>
      <c r="FZ31" t="e">
        <f>AND(#REF!,"AAAAAFa/l7U=")</f>
        <v>#REF!</v>
      </c>
      <c r="GA31" t="e">
        <f>AND(#REF!,"AAAAAFa/l7Y=")</f>
        <v>#REF!</v>
      </c>
      <c r="GB31" t="e">
        <f>AND(#REF!,"AAAAAFa/l7c=")</f>
        <v>#REF!</v>
      </c>
      <c r="GC31" t="e">
        <f>AND(#REF!,"AAAAAFa/l7g=")</f>
        <v>#REF!</v>
      </c>
      <c r="GD31" t="e">
        <f>AND(#REF!,"AAAAAFa/l7k=")</f>
        <v>#REF!</v>
      </c>
      <c r="GE31" t="e">
        <f>IF(#REF!,"AAAAAFa/l7o=",0)</f>
        <v>#REF!</v>
      </c>
      <c r="GF31" t="e">
        <f>AND(#REF!,"AAAAAFa/l7s=")</f>
        <v>#REF!</v>
      </c>
      <c r="GG31" t="e">
        <f>AND(#REF!,"AAAAAFa/l7w=")</f>
        <v>#REF!</v>
      </c>
      <c r="GH31" t="e">
        <f>AND(#REF!,"AAAAAFa/l70=")</f>
        <v>#REF!</v>
      </c>
      <c r="GI31" t="e">
        <f>AND(#REF!,"AAAAAFa/l74=")</f>
        <v>#REF!</v>
      </c>
      <c r="GJ31" t="e">
        <f>AND(#REF!,"AAAAAFa/l78=")</f>
        <v>#REF!</v>
      </c>
      <c r="GK31" t="e">
        <f>AND(#REF!,"AAAAAFa/l8A=")</f>
        <v>#REF!</v>
      </c>
      <c r="GL31" t="e">
        <f>AND(#REF!,"AAAAAFa/l8E=")</f>
        <v>#REF!</v>
      </c>
      <c r="GM31" t="e">
        <f>AND(#REF!,"AAAAAFa/l8I=")</f>
        <v>#REF!</v>
      </c>
      <c r="GN31" t="e">
        <f>IF(#REF!,"AAAAAFa/l8M=",0)</f>
        <v>#REF!</v>
      </c>
      <c r="GO31" t="e">
        <f>AND(#REF!,"AAAAAFa/l8Q=")</f>
        <v>#REF!</v>
      </c>
      <c r="GP31" t="e">
        <f>AND(#REF!,"AAAAAFa/l8U=")</f>
        <v>#REF!</v>
      </c>
      <c r="GQ31" t="e">
        <f>AND(#REF!,"AAAAAFa/l8Y=")</f>
        <v>#REF!</v>
      </c>
      <c r="GR31" t="e">
        <f>AND(#REF!,"AAAAAFa/l8c=")</f>
        <v>#REF!</v>
      </c>
      <c r="GS31" t="e">
        <f>AND(#REF!,"AAAAAFa/l8g=")</f>
        <v>#REF!</v>
      </c>
      <c r="GT31" t="e">
        <f>AND(#REF!,"AAAAAFa/l8k=")</f>
        <v>#REF!</v>
      </c>
      <c r="GU31" t="e">
        <f>AND(#REF!,"AAAAAFa/l8o=")</f>
        <v>#REF!</v>
      </c>
      <c r="GV31" t="e">
        <f>AND(#REF!,"AAAAAFa/l8s=")</f>
        <v>#REF!</v>
      </c>
      <c r="GW31" t="e">
        <f>IF(#REF!,"AAAAAFa/l8w=",0)</f>
        <v>#REF!</v>
      </c>
      <c r="GX31" t="e">
        <f>AND(#REF!,"AAAAAFa/l80=")</f>
        <v>#REF!</v>
      </c>
      <c r="GY31" t="e">
        <f>AND(#REF!,"AAAAAFa/l84=")</f>
        <v>#REF!</v>
      </c>
      <c r="GZ31" t="e">
        <f>AND(#REF!,"AAAAAFa/l88=")</f>
        <v>#REF!</v>
      </c>
      <c r="HA31" t="e">
        <f>AND(#REF!,"AAAAAFa/l9A=")</f>
        <v>#REF!</v>
      </c>
      <c r="HB31" t="e">
        <f>AND(#REF!,"AAAAAFa/l9E=")</f>
        <v>#REF!</v>
      </c>
      <c r="HC31" t="e">
        <f>AND(#REF!,"AAAAAFa/l9I=")</f>
        <v>#REF!</v>
      </c>
      <c r="HD31" t="e">
        <f>AND(#REF!,"AAAAAFa/l9M=")</f>
        <v>#REF!</v>
      </c>
      <c r="HE31" t="e">
        <f>AND(#REF!,"AAAAAFa/l9Q=")</f>
        <v>#REF!</v>
      </c>
      <c r="HF31" t="e">
        <f>IF(#REF!,"AAAAAFa/l9U=",0)</f>
        <v>#REF!</v>
      </c>
      <c r="HG31" t="e">
        <f>AND(#REF!,"AAAAAFa/l9Y=")</f>
        <v>#REF!</v>
      </c>
      <c r="HH31" t="e">
        <f>AND(#REF!,"AAAAAFa/l9c=")</f>
        <v>#REF!</v>
      </c>
      <c r="HI31" t="e">
        <f>AND(#REF!,"AAAAAFa/l9g=")</f>
        <v>#REF!</v>
      </c>
      <c r="HJ31" t="e">
        <f>AND(#REF!,"AAAAAFa/l9k=")</f>
        <v>#REF!</v>
      </c>
      <c r="HK31" t="e">
        <f>AND(#REF!,"AAAAAFa/l9o=")</f>
        <v>#REF!</v>
      </c>
      <c r="HL31" t="e">
        <f>AND(#REF!,"AAAAAFa/l9s=")</f>
        <v>#REF!</v>
      </c>
      <c r="HM31" t="e">
        <f>AND(#REF!,"AAAAAFa/l9w=")</f>
        <v>#REF!</v>
      </c>
      <c r="HN31" t="e">
        <f>AND(#REF!,"AAAAAFa/l90=")</f>
        <v>#REF!</v>
      </c>
      <c r="HO31" t="e">
        <f>IF(#REF!,"AAAAAFa/l94=",0)</f>
        <v>#REF!</v>
      </c>
      <c r="HP31" t="e">
        <f>AND(#REF!,"AAAAAFa/l98=")</f>
        <v>#REF!</v>
      </c>
      <c r="HQ31" t="e">
        <f>AND(#REF!,"AAAAAFa/l+A=")</f>
        <v>#REF!</v>
      </c>
      <c r="HR31" t="e">
        <f>AND(#REF!,"AAAAAFa/l+E=")</f>
        <v>#REF!</v>
      </c>
      <c r="HS31" t="e">
        <f>AND(#REF!,"AAAAAFa/l+I=")</f>
        <v>#REF!</v>
      </c>
      <c r="HT31" t="e">
        <f>AND(#REF!,"AAAAAFa/l+M=")</f>
        <v>#REF!</v>
      </c>
      <c r="HU31" t="e">
        <f>AND(#REF!,"AAAAAFa/l+Q=")</f>
        <v>#REF!</v>
      </c>
      <c r="HV31" t="e">
        <f>AND(#REF!,"AAAAAFa/l+U=")</f>
        <v>#REF!</v>
      </c>
      <c r="HW31" t="e">
        <f>AND(#REF!,"AAAAAFa/l+Y=")</f>
        <v>#REF!</v>
      </c>
      <c r="HX31" t="e">
        <f>IF(#REF!,"AAAAAFa/l+c=",0)</f>
        <v>#REF!</v>
      </c>
      <c r="HY31" t="e">
        <f>AND(#REF!,"AAAAAFa/l+g=")</f>
        <v>#REF!</v>
      </c>
      <c r="HZ31" t="e">
        <f>AND(#REF!,"AAAAAFa/l+k=")</f>
        <v>#REF!</v>
      </c>
      <c r="IA31" t="e">
        <f>AND(#REF!,"AAAAAFa/l+o=")</f>
        <v>#REF!</v>
      </c>
      <c r="IB31" t="e">
        <f>AND(#REF!,"AAAAAFa/l+s=")</f>
        <v>#REF!</v>
      </c>
      <c r="IC31" t="e">
        <f>AND(#REF!,"AAAAAFa/l+w=")</f>
        <v>#REF!</v>
      </c>
      <c r="ID31" t="e">
        <f>AND(#REF!,"AAAAAFa/l+0=")</f>
        <v>#REF!</v>
      </c>
      <c r="IE31" t="e">
        <f>AND(#REF!,"AAAAAFa/l+4=")</f>
        <v>#REF!</v>
      </c>
      <c r="IF31" t="e">
        <f>AND(#REF!,"AAAAAFa/l+8=")</f>
        <v>#REF!</v>
      </c>
      <c r="IG31" t="e">
        <f>IF(#REF!,"AAAAAFa/l/A=",0)</f>
        <v>#REF!</v>
      </c>
      <c r="IH31" t="e">
        <f>AND(#REF!,"AAAAAFa/l/E=")</f>
        <v>#REF!</v>
      </c>
      <c r="II31" t="e">
        <f>AND(#REF!,"AAAAAFa/l/I=")</f>
        <v>#REF!</v>
      </c>
      <c r="IJ31" t="e">
        <f>AND(#REF!,"AAAAAFa/l/M=")</f>
        <v>#REF!</v>
      </c>
      <c r="IK31" t="e">
        <f>AND(#REF!,"AAAAAFa/l/Q=")</f>
        <v>#REF!</v>
      </c>
      <c r="IL31" t="e">
        <f>AND(#REF!,"AAAAAFa/l/U=")</f>
        <v>#REF!</v>
      </c>
      <c r="IM31" t="e">
        <f>AND(#REF!,"AAAAAFa/l/Y=")</f>
        <v>#REF!</v>
      </c>
      <c r="IN31" t="e">
        <f>AND(#REF!,"AAAAAFa/l/c=")</f>
        <v>#REF!</v>
      </c>
      <c r="IO31" t="e">
        <f>AND(#REF!,"AAAAAFa/l/g=")</f>
        <v>#REF!</v>
      </c>
      <c r="IP31" t="e">
        <f>IF(#REF!,"AAAAAFa/l/k=",0)</f>
        <v>#REF!</v>
      </c>
      <c r="IQ31" t="e">
        <f>AND(#REF!,"AAAAAFa/l/o=")</f>
        <v>#REF!</v>
      </c>
      <c r="IR31" t="e">
        <f>AND(#REF!,"AAAAAFa/l/s=")</f>
        <v>#REF!</v>
      </c>
      <c r="IS31" t="e">
        <f>AND(#REF!,"AAAAAFa/l/w=")</f>
        <v>#REF!</v>
      </c>
      <c r="IT31" t="e">
        <f>AND(#REF!,"AAAAAFa/l/0=")</f>
        <v>#REF!</v>
      </c>
      <c r="IU31" t="e">
        <f>AND(#REF!,"AAAAAFa/l/4=")</f>
        <v>#REF!</v>
      </c>
      <c r="IV31" t="e">
        <f>AND(#REF!,"AAAAAFa/l/8=")</f>
        <v>#REF!</v>
      </c>
    </row>
    <row r="32" spans="1:256">
      <c r="A32" t="e">
        <f>AND(#REF!,"AAAAADW+XwA=")</f>
        <v>#REF!</v>
      </c>
      <c r="B32" t="e">
        <f>AND(#REF!,"AAAAADW+XwE=")</f>
        <v>#REF!</v>
      </c>
      <c r="C32" t="e">
        <f>IF(#REF!,"AAAAADW+XwI=",0)</f>
        <v>#REF!</v>
      </c>
      <c r="D32" t="e">
        <f>AND(#REF!,"AAAAADW+XwM=")</f>
        <v>#REF!</v>
      </c>
      <c r="E32" t="e">
        <f>AND(#REF!,"AAAAADW+XwQ=")</f>
        <v>#REF!</v>
      </c>
      <c r="F32" t="e">
        <f>AND(#REF!,"AAAAADW+XwU=")</f>
        <v>#REF!</v>
      </c>
      <c r="G32" t="e">
        <f>AND(#REF!,"AAAAADW+XwY=")</f>
        <v>#REF!</v>
      </c>
      <c r="H32" t="e">
        <f>AND(#REF!,"AAAAADW+Xwc=")</f>
        <v>#REF!</v>
      </c>
      <c r="I32" t="e">
        <f>AND(#REF!,"AAAAADW+Xwg=")</f>
        <v>#REF!</v>
      </c>
      <c r="J32" t="e">
        <f>AND(#REF!,"AAAAADW+Xwk=")</f>
        <v>#REF!</v>
      </c>
      <c r="K32" t="e">
        <f>AND(#REF!,"AAAAADW+Xwo=")</f>
        <v>#REF!</v>
      </c>
      <c r="L32" t="e">
        <f>IF(#REF!,"AAAAADW+Xws=",0)</f>
        <v>#REF!</v>
      </c>
      <c r="M32" t="e">
        <f>AND(#REF!,"AAAAADW+Xww=")</f>
        <v>#REF!</v>
      </c>
      <c r="N32" t="e">
        <f>AND(#REF!,"AAAAADW+Xw0=")</f>
        <v>#REF!</v>
      </c>
      <c r="O32" t="e">
        <f>AND(#REF!,"AAAAADW+Xw4=")</f>
        <v>#REF!</v>
      </c>
      <c r="P32" t="e">
        <f>AND(#REF!,"AAAAADW+Xw8=")</f>
        <v>#REF!</v>
      </c>
      <c r="Q32" t="e">
        <f>AND(#REF!,"AAAAADW+XxA=")</f>
        <v>#REF!</v>
      </c>
      <c r="R32" t="e">
        <f>AND(#REF!,"AAAAADW+XxE=")</f>
        <v>#REF!</v>
      </c>
      <c r="S32" t="e">
        <f>AND(#REF!,"AAAAADW+XxI=")</f>
        <v>#REF!</v>
      </c>
      <c r="T32" t="e">
        <f>AND(#REF!,"AAAAADW+XxM=")</f>
        <v>#REF!</v>
      </c>
      <c r="U32" t="e">
        <f>IF(#REF!,"AAAAADW+XxQ=",0)</f>
        <v>#REF!</v>
      </c>
      <c r="V32" t="e">
        <f>AND(#REF!,"AAAAADW+XxU=")</f>
        <v>#REF!</v>
      </c>
      <c r="W32" t="e">
        <f>AND(#REF!,"AAAAADW+XxY=")</f>
        <v>#REF!</v>
      </c>
      <c r="X32" t="e">
        <f>AND(#REF!,"AAAAADW+Xxc=")</f>
        <v>#REF!</v>
      </c>
      <c r="Y32" t="e">
        <f>AND(#REF!,"AAAAADW+Xxg=")</f>
        <v>#REF!</v>
      </c>
      <c r="Z32" t="e">
        <f>AND(#REF!,"AAAAADW+Xxk=")</f>
        <v>#REF!</v>
      </c>
      <c r="AA32" t="e">
        <f>AND(#REF!,"AAAAADW+Xxo=")</f>
        <v>#REF!</v>
      </c>
      <c r="AB32" t="e">
        <f>AND(#REF!,"AAAAADW+Xxs=")</f>
        <v>#REF!</v>
      </c>
      <c r="AC32" t="e">
        <f>AND(#REF!,"AAAAADW+Xxw=")</f>
        <v>#REF!</v>
      </c>
      <c r="AD32" t="e">
        <f>IF(#REF!,"AAAAADW+Xx0=",0)</f>
        <v>#REF!</v>
      </c>
      <c r="AE32" t="e">
        <f>AND(#REF!,"AAAAADW+Xx4=")</f>
        <v>#REF!</v>
      </c>
      <c r="AF32" t="e">
        <f>AND(#REF!,"AAAAADW+Xx8=")</f>
        <v>#REF!</v>
      </c>
      <c r="AG32" t="e">
        <f>AND(#REF!,"AAAAADW+XyA=")</f>
        <v>#REF!</v>
      </c>
      <c r="AH32" t="e">
        <f>AND(#REF!,"AAAAADW+XyE=")</f>
        <v>#REF!</v>
      </c>
      <c r="AI32" t="e">
        <f>AND(#REF!,"AAAAADW+XyI=")</f>
        <v>#REF!</v>
      </c>
      <c r="AJ32" t="e">
        <f>AND(#REF!,"AAAAADW+XyM=")</f>
        <v>#REF!</v>
      </c>
      <c r="AK32" t="e">
        <f>AND(#REF!,"AAAAADW+XyQ=")</f>
        <v>#REF!</v>
      </c>
      <c r="AL32" t="e">
        <f>AND(#REF!,"AAAAADW+XyU=")</f>
        <v>#REF!</v>
      </c>
      <c r="AM32" t="e">
        <f>IF(#REF!,"AAAAADW+XyY=",0)</f>
        <v>#REF!</v>
      </c>
      <c r="AN32" t="e">
        <f>AND(#REF!,"AAAAADW+Xyc=")</f>
        <v>#REF!</v>
      </c>
      <c r="AO32" t="e">
        <f>AND(#REF!,"AAAAADW+Xyg=")</f>
        <v>#REF!</v>
      </c>
      <c r="AP32" t="e">
        <f>AND(#REF!,"AAAAADW+Xyk=")</f>
        <v>#REF!</v>
      </c>
      <c r="AQ32" t="e">
        <f>AND(#REF!,"AAAAADW+Xyo=")</f>
        <v>#REF!</v>
      </c>
      <c r="AR32" t="e">
        <f>AND(#REF!,"AAAAADW+Xys=")</f>
        <v>#REF!</v>
      </c>
      <c r="AS32" t="e">
        <f>AND(#REF!,"AAAAADW+Xyw=")</f>
        <v>#REF!</v>
      </c>
      <c r="AT32" t="e">
        <f>AND(#REF!,"AAAAADW+Xy0=")</f>
        <v>#REF!</v>
      </c>
      <c r="AU32" t="e">
        <f>AND(#REF!,"AAAAADW+Xy4=")</f>
        <v>#REF!</v>
      </c>
      <c r="AV32" t="e">
        <f>IF(#REF!,"AAAAADW+Xy8=",0)</f>
        <v>#REF!</v>
      </c>
      <c r="AW32" t="e">
        <f>AND(#REF!,"AAAAADW+XzA=")</f>
        <v>#REF!</v>
      </c>
      <c r="AX32" t="e">
        <f>AND(#REF!,"AAAAADW+XzE=")</f>
        <v>#REF!</v>
      </c>
      <c r="AY32" t="e">
        <f>AND(#REF!,"AAAAADW+XzI=")</f>
        <v>#REF!</v>
      </c>
      <c r="AZ32" t="e">
        <f>AND(#REF!,"AAAAADW+XzM=")</f>
        <v>#REF!</v>
      </c>
      <c r="BA32" t="e">
        <f>AND(#REF!,"AAAAADW+XzQ=")</f>
        <v>#REF!</v>
      </c>
      <c r="BB32" t="e">
        <f>AND(#REF!,"AAAAADW+XzU=")</f>
        <v>#REF!</v>
      </c>
      <c r="BC32" t="e">
        <f>AND(#REF!,"AAAAADW+XzY=")</f>
        <v>#REF!</v>
      </c>
      <c r="BD32" t="e">
        <f>AND(#REF!,"AAAAADW+Xzc=")</f>
        <v>#REF!</v>
      </c>
      <c r="BE32" t="e">
        <f>IF(#REF!,"AAAAADW+Xzg=",0)</f>
        <v>#REF!</v>
      </c>
      <c r="BF32" t="e">
        <f>AND(#REF!,"AAAAADW+Xzk=")</f>
        <v>#REF!</v>
      </c>
      <c r="BG32" t="e">
        <f>AND(#REF!,"AAAAADW+Xzo=")</f>
        <v>#REF!</v>
      </c>
      <c r="BH32" t="e">
        <f>AND(#REF!,"AAAAADW+Xzs=")</f>
        <v>#REF!</v>
      </c>
      <c r="BI32" t="e">
        <f>AND(#REF!,"AAAAADW+Xzw=")</f>
        <v>#REF!</v>
      </c>
      <c r="BJ32" t="e">
        <f>AND(#REF!,"AAAAADW+Xz0=")</f>
        <v>#REF!</v>
      </c>
      <c r="BK32" t="e">
        <f>AND(#REF!,"AAAAADW+Xz4=")</f>
        <v>#REF!</v>
      </c>
      <c r="BL32" t="e">
        <f>AND(#REF!,"AAAAADW+Xz8=")</f>
        <v>#REF!</v>
      </c>
      <c r="BM32" t="e">
        <f>AND(#REF!,"AAAAADW+X0A=")</f>
        <v>#REF!</v>
      </c>
      <c r="BN32" t="e">
        <f>IF(#REF!,"AAAAADW+X0E=",0)</f>
        <v>#REF!</v>
      </c>
      <c r="BO32" t="e">
        <f>AND(#REF!,"AAAAADW+X0I=")</f>
        <v>#REF!</v>
      </c>
      <c r="BP32" t="e">
        <f>AND(#REF!,"AAAAADW+X0M=")</f>
        <v>#REF!</v>
      </c>
      <c r="BQ32" t="e">
        <f>AND(#REF!,"AAAAADW+X0Q=")</f>
        <v>#REF!</v>
      </c>
      <c r="BR32" t="e">
        <f>AND(#REF!,"AAAAADW+X0U=")</f>
        <v>#REF!</v>
      </c>
      <c r="BS32" t="e">
        <f>AND(#REF!,"AAAAADW+X0Y=")</f>
        <v>#REF!</v>
      </c>
      <c r="BT32" t="e">
        <f>AND(#REF!,"AAAAADW+X0c=")</f>
        <v>#REF!</v>
      </c>
      <c r="BU32" t="e">
        <f>AND(#REF!,"AAAAADW+X0g=")</f>
        <v>#REF!</v>
      </c>
      <c r="BV32" t="e">
        <f>AND(#REF!,"AAAAADW+X0k=")</f>
        <v>#REF!</v>
      </c>
      <c r="BW32" t="e">
        <f>IF(#REF!,"AAAAADW+X0o=",0)</f>
        <v>#REF!</v>
      </c>
      <c r="BX32" t="e">
        <f>AND(#REF!,"AAAAADW+X0s=")</f>
        <v>#REF!</v>
      </c>
      <c r="BY32" t="e">
        <f>AND(#REF!,"AAAAADW+X0w=")</f>
        <v>#REF!</v>
      </c>
      <c r="BZ32" t="e">
        <f>AND(#REF!,"AAAAADW+X00=")</f>
        <v>#REF!</v>
      </c>
      <c r="CA32" t="e">
        <f>AND(#REF!,"AAAAADW+X04=")</f>
        <v>#REF!</v>
      </c>
      <c r="CB32" t="e">
        <f>AND(#REF!,"AAAAADW+X08=")</f>
        <v>#REF!</v>
      </c>
      <c r="CC32" t="e">
        <f>AND(#REF!,"AAAAADW+X1A=")</f>
        <v>#REF!</v>
      </c>
      <c r="CD32" t="e">
        <f>AND(#REF!,"AAAAADW+X1E=")</f>
        <v>#REF!</v>
      </c>
      <c r="CE32" t="e">
        <f>AND(#REF!,"AAAAADW+X1I=")</f>
        <v>#REF!</v>
      </c>
      <c r="CF32" t="e">
        <f>IF(#REF!,"AAAAADW+X1M=",0)</f>
        <v>#REF!</v>
      </c>
      <c r="CG32" t="e">
        <f>AND(#REF!,"AAAAADW+X1Q=")</f>
        <v>#REF!</v>
      </c>
      <c r="CH32" t="e">
        <f>AND(#REF!,"AAAAADW+X1U=")</f>
        <v>#REF!</v>
      </c>
      <c r="CI32" t="e">
        <f>AND(#REF!,"AAAAADW+X1Y=")</f>
        <v>#REF!</v>
      </c>
      <c r="CJ32" t="e">
        <f>AND(#REF!,"AAAAADW+X1c=")</f>
        <v>#REF!</v>
      </c>
      <c r="CK32" t="e">
        <f>AND(#REF!,"AAAAADW+X1g=")</f>
        <v>#REF!</v>
      </c>
      <c r="CL32" t="e">
        <f>AND(#REF!,"AAAAADW+X1k=")</f>
        <v>#REF!</v>
      </c>
      <c r="CM32" t="e">
        <f>AND(#REF!,"AAAAADW+X1o=")</f>
        <v>#REF!</v>
      </c>
      <c r="CN32" t="e">
        <f>AND(#REF!,"AAAAADW+X1s=")</f>
        <v>#REF!</v>
      </c>
      <c r="CO32" t="e">
        <f>IF(#REF!,"AAAAADW+X1w=",0)</f>
        <v>#REF!</v>
      </c>
      <c r="CP32" t="e">
        <f>AND(#REF!,"AAAAADW+X10=")</f>
        <v>#REF!</v>
      </c>
      <c r="CQ32" t="e">
        <f>AND(#REF!,"AAAAADW+X14=")</f>
        <v>#REF!</v>
      </c>
      <c r="CR32" t="e">
        <f>AND(#REF!,"AAAAADW+X18=")</f>
        <v>#REF!</v>
      </c>
      <c r="CS32" t="e">
        <f>AND(#REF!,"AAAAADW+X2A=")</f>
        <v>#REF!</v>
      </c>
      <c r="CT32" t="e">
        <f>AND(#REF!,"AAAAADW+X2E=")</f>
        <v>#REF!</v>
      </c>
      <c r="CU32" t="e">
        <f>AND(#REF!,"AAAAADW+X2I=")</f>
        <v>#REF!</v>
      </c>
      <c r="CV32" t="e">
        <f>AND(#REF!,"AAAAADW+X2M=")</f>
        <v>#REF!</v>
      </c>
      <c r="CW32" t="e">
        <f>AND(#REF!,"AAAAADW+X2Q=")</f>
        <v>#REF!</v>
      </c>
      <c r="CX32" t="e">
        <f>IF(#REF!,"AAAAADW+X2U=",0)</f>
        <v>#REF!</v>
      </c>
      <c r="CY32" t="e">
        <f>AND(#REF!,"AAAAADW+X2Y=")</f>
        <v>#REF!</v>
      </c>
      <c r="CZ32" t="e">
        <f>AND(#REF!,"AAAAADW+X2c=")</f>
        <v>#REF!</v>
      </c>
      <c r="DA32" t="e">
        <f>AND(#REF!,"AAAAADW+X2g=")</f>
        <v>#REF!</v>
      </c>
      <c r="DB32" t="e">
        <f>AND(#REF!,"AAAAADW+X2k=")</f>
        <v>#REF!</v>
      </c>
      <c r="DC32" t="e">
        <f>AND(#REF!,"AAAAADW+X2o=")</f>
        <v>#REF!</v>
      </c>
      <c r="DD32" t="e">
        <f>AND(#REF!,"AAAAADW+X2s=")</f>
        <v>#REF!</v>
      </c>
      <c r="DE32" t="e">
        <f>AND(#REF!,"AAAAADW+X2w=")</f>
        <v>#REF!</v>
      </c>
      <c r="DF32" t="e">
        <f>AND(#REF!,"AAAAADW+X20=")</f>
        <v>#REF!</v>
      </c>
      <c r="DG32" t="e">
        <f>IF(#REF!,"AAAAADW+X24=",0)</f>
        <v>#REF!</v>
      </c>
      <c r="DH32" t="e">
        <f>AND(#REF!,"AAAAADW+X28=")</f>
        <v>#REF!</v>
      </c>
      <c r="DI32" t="e">
        <f>AND(#REF!,"AAAAADW+X3A=")</f>
        <v>#REF!</v>
      </c>
      <c r="DJ32" t="e">
        <f>AND(#REF!,"AAAAADW+X3E=")</f>
        <v>#REF!</v>
      </c>
      <c r="DK32" t="e">
        <f>AND(#REF!,"AAAAADW+X3I=")</f>
        <v>#REF!</v>
      </c>
      <c r="DL32" t="e">
        <f>AND(#REF!,"AAAAADW+X3M=")</f>
        <v>#REF!</v>
      </c>
      <c r="DM32" t="e">
        <f>AND(#REF!,"AAAAADW+X3Q=")</f>
        <v>#REF!</v>
      </c>
      <c r="DN32" t="e">
        <f>AND(#REF!,"AAAAADW+X3U=")</f>
        <v>#REF!</v>
      </c>
      <c r="DO32" t="e">
        <f>AND(#REF!,"AAAAADW+X3Y=")</f>
        <v>#REF!</v>
      </c>
      <c r="DP32" t="e">
        <f>IF(#REF!,"AAAAADW+X3c=",0)</f>
        <v>#REF!</v>
      </c>
      <c r="DQ32" t="e">
        <f>AND(#REF!,"AAAAADW+X3g=")</f>
        <v>#REF!</v>
      </c>
      <c r="DR32" t="e">
        <f>AND(#REF!,"AAAAADW+X3k=")</f>
        <v>#REF!</v>
      </c>
      <c r="DS32" t="e">
        <f>AND(#REF!,"AAAAADW+X3o=")</f>
        <v>#REF!</v>
      </c>
      <c r="DT32" t="e">
        <f>AND(#REF!,"AAAAADW+X3s=")</f>
        <v>#REF!</v>
      </c>
      <c r="DU32" t="e">
        <f>AND(#REF!,"AAAAADW+X3w=")</f>
        <v>#REF!</v>
      </c>
      <c r="DV32" t="e">
        <f>AND(#REF!,"AAAAADW+X30=")</f>
        <v>#REF!</v>
      </c>
      <c r="DW32" t="e">
        <f>AND(#REF!,"AAAAADW+X34=")</f>
        <v>#REF!</v>
      </c>
      <c r="DX32" t="e">
        <f>AND(#REF!,"AAAAADW+X38=")</f>
        <v>#REF!</v>
      </c>
      <c r="DY32" t="e">
        <f>IF(#REF!,"AAAAADW+X4A=",0)</f>
        <v>#REF!</v>
      </c>
      <c r="DZ32" t="e">
        <f>AND(#REF!,"AAAAADW+X4E=")</f>
        <v>#REF!</v>
      </c>
      <c r="EA32" t="e">
        <f>AND(#REF!,"AAAAADW+X4I=")</f>
        <v>#REF!</v>
      </c>
      <c r="EB32" t="e">
        <f>AND(#REF!,"AAAAADW+X4M=")</f>
        <v>#REF!</v>
      </c>
      <c r="EC32" t="e">
        <f>AND(#REF!,"AAAAADW+X4Q=")</f>
        <v>#REF!</v>
      </c>
      <c r="ED32" t="e">
        <f>AND(#REF!,"AAAAADW+X4U=")</f>
        <v>#REF!</v>
      </c>
      <c r="EE32" t="e">
        <f>AND(#REF!,"AAAAADW+X4Y=")</f>
        <v>#REF!</v>
      </c>
      <c r="EF32" t="e">
        <f>AND(#REF!,"AAAAADW+X4c=")</f>
        <v>#REF!</v>
      </c>
      <c r="EG32" t="e">
        <f>AND(#REF!,"AAAAADW+X4g=")</f>
        <v>#REF!</v>
      </c>
      <c r="EH32" t="e">
        <f>IF(#REF!,"AAAAADW+X4k=",0)</f>
        <v>#REF!</v>
      </c>
      <c r="EI32" t="e">
        <f>AND(#REF!,"AAAAADW+X4o=")</f>
        <v>#REF!</v>
      </c>
      <c r="EJ32" t="e">
        <f>AND(#REF!,"AAAAADW+X4s=")</f>
        <v>#REF!</v>
      </c>
      <c r="EK32" t="e">
        <f>AND(#REF!,"AAAAADW+X4w=")</f>
        <v>#REF!</v>
      </c>
      <c r="EL32" t="e">
        <f>AND(#REF!,"AAAAADW+X40=")</f>
        <v>#REF!</v>
      </c>
      <c r="EM32" t="e">
        <f>AND(#REF!,"AAAAADW+X44=")</f>
        <v>#REF!</v>
      </c>
      <c r="EN32" t="e">
        <f>AND(#REF!,"AAAAADW+X48=")</f>
        <v>#REF!</v>
      </c>
      <c r="EO32" t="e">
        <f>AND(#REF!,"AAAAADW+X5A=")</f>
        <v>#REF!</v>
      </c>
      <c r="EP32" t="e">
        <f>AND(#REF!,"AAAAADW+X5E=")</f>
        <v>#REF!</v>
      </c>
      <c r="EQ32" t="e">
        <f>IF(#REF!,"AAAAADW+X5I=",0)</f>
        <v>#REF!</v>
      </c>
      <c r="ER32" t="e">
        <f>AND(#REF!,"AAAAADW+X5M=")</f>
        <v>#REF!</v>
      </c>
      <c r="ES32" t="e">
        <f>AND(#REF!,"AAAAADW+X5Q=")</f>
        <v>#REF!</v>
      </c>
      <c r="ET32" t="e">
        <f>AND(#REF!,"AAAAADW+X5U=")</f>
        <v>#REF!</v>
      </c>
      <c r="EU32" t="e">
        <f>AND(#REF!,"AAAAADW+X5Y=")</f>
        <v>#REF!</v>
      </c>
      <c r="EV32" t="e">
        <f>AND(#REF!,"AAAAADW+X5c=")</f>
        <v>#REF!</v>
      </c>
      <c r="EW32" t="e">
        <f>AND(#REF!,"AAAAADW+X5g=")</f>
        <v>#REF!</v>
      </c>
      <c r="EX32" t="e">
        <f>AND(#REF!,"AAAAADW+X5k=")</f>
        <v>#REF!</v>
      </c>
      <c r="EY32" t="e">
        <f>AND(#REF!,"AAAAADW+X5o=")</f>
        <v>#REF!</v>
      </c>
      <c r="EZ32" t="e">
        <f>IF(#REF!,"AAAAADW+X5s=",0)</f>
        <v>#REF!</v>
      </c>
      <c r="FA32" t="e">
        <f>AND(#REF!,"AAAAADW+X5w=")</f>
        <v>#REF!</v>
      </c>
      <c r="FB32" t="e">
        <f>AND(#REF!,"AAAAADW+X50=")</f>
        <v>#REF!</v>
      </c>
      <c r="FC32" t="e">
        <f>AND(#REF!,"AAAAADW+X54=")</f>
        <v>#REF!</v>
      </c>
      <c r="FD32" t="e">
        <f>AND(#REF!,"AAAAADW+X58=")</f>
        <v>#REF!</v>
      </c>
      <c r="FE32" t="e">
        <f>AND(#REF!,"AAAAADW+X6A=")</f>
        <v>#REF!</v>
      </c>
      <c r="FF32" t="e">
        <f>AND(#REF!,"AAAAADW+X6E=")</f>
        <v>#REF!</v>
      </c>
      <c r="FG32" t="e">
        <f>AND(#REF!,"AAAAADW+X6I=")</f>
        <v>#REF!</v>
      </c>
      <c r="FH32" t="e">
        <f>AND(#REF!,"AAAAADW+X6M=")</f>
        <v>#REF!</v>
      </c>
      <c r="FI32" t="e">
        <f>IF(#REF!,"AAAAADW+X6Q=",0)</f>
        <v>#REF!</v>
      </c>
      <c r="FJ32" t="e">
        <f>AND(#REF!,"AAAAADW+X6U=")</f>
        <v>#REF!</v>
      </c>
      <c r="FK32" t="e">
        <f>AND(#REF!,"AAAAADW+X6Y=")</f>
        <v>#REF!</v>
      </c>
      <c r="FL32" t="e">
        <f>AND(#REF!,"AAAAADW+X6c=")</f>
        <v>#REF!</v>
      </c>
      <c r="FM32" t="e">
        <f>AND(#REF!,"AAAAADW+X6g=")</f>
        <v>#REF!</v>
      </c>
      <c r="FN32" t="e">
        <f>AND(#REF!,"AAAAADW+X6k=")</f>
        <v>#REF!</v>
      </c>
      <c r="FO32" t="e">
        <f>AND(#REF!,"AAAAADW+X6o=")</f>
        <v>#REF!</v>
      </c>
      <c r="FP32" t="e">
        <f>AND(#REF!,"AAAAADW+X6s=")</f>
        <v>#REF!</v>
      </c>
      <c r="FQ32" t="e">
        <f>AND(#REF!,"AAAAADW+X6w=")</f>
        <v>#REF!</v>
      </c>
      <c r="FR32" t="e">
        <f>IF(#REF!,"AAAAADW+X60=",0)</f>
        <v>#REF!</v>
      </c>
      <c r="FS32" t="e">
        <f>AND(#REF!,"AAAAADW+X64=")</f>
        <v>#REF!</v>
      </c>
      <c r="FT32" t="e">
        <f>AND(#REF!,"AAAAADW+X68=")</f>
        <v>#REF!</v>
      </c>
      <c r="FU32" t="e">
        <f>AND(#REF!,"AAAAADW+X7A=")</f>
        <v>#REF!</v>
      </c>
      <c r="FV32" t="e">
        <f>AND(#REF!,"AAAAADW+X7E=")</f>
        <v>#REF!</v>
      </c>
      <c r="FW32" t="e">
        <f>AND(#REF!,"AAAAADW+X7I=")</f>
        <v>#REF!</v>
      </c>
      <c r="FX32" t="e">
        <f>AND(#REF!,"AAAAADW+X7M=")</f>
        <v>#REF!</v>
      </c>
      <c r="FY32" t="e">
        <f>AND(#REF!,"AAAAADW+X7Q=")</f>
        <v>#REF!</v>
      </c>
      <c r="FZ32" t="e">
        <f>AND(#REF!,"AAAAADW+X7U=")</f>
        <v>#REF!</v>
      </c>
      <c r="GA32" t="e">
        <f>IF(#REF!,"AAAAADW+X7Y=",0)</f>
        <v>#REF!</v>
      </c>
      <c r="GB32" t="e">
        <f>AND(#REF!,"AAAAADW+X7c=")</f>
        <v>#REF!</v>
      </c>
      <c r="GC32" t="e">
        <f>AND(#REF!,"AAAAADW+X7g=")</f>
        <v>#REF!</v>
      </c>
      <c r="GD32" t="e">
        <f>AND(#REF!,"AAAAADW+X7k=")</f>
        <v>#REF!</v>
      </c>
      <c r="GE32" t="e">
        <f>AND(#REF!,"AAAAADW+X7o=")</f>
        <v>#REF!</v>
      </c>
      <c r="GF32" t="e">
        <f>AND(#REF!,"AAAAADW+X7s=")</f>
        <v>#REF!</v>
      </c>
      <c r="GG32" t="e">
        <f>AND(#REF!,"AAAAADW+X7w=")</f>
        <v>#REF!</v>
      </c>
      <c r="GH32" t="e">
        <f>AND(#REF!,"AAAAADW+X70=")</f>
        <v>#REF!</v>
      </c>
      <c r="GI32" t="e">
        <f>AND(#REF!,"AAAAADW+X74=")</f>
        <v>#REF!</v>
      </c>
      <c r="GJ32" t="e">
        <f>IF(#REF!,"AAAAADW+X78=",0)</f>
        <v>#REF!</v>
      </c>
      <c r="GK32" t="e">
        <f>AND(#REF!,"AAAAADW+X8A=")</f>
        <v>#REF!</v>
      </c>
      <c r="GL32" t="e">
        <f>AND(#REF!,"AAAAADW+X8E=")</f>
        <v>#REF!</v>
      </c>
      <c r="GM32" t="e">
        <f>AND(#REF!,"AAAAADW+X8I=")</f>
        <v>#REF!</v>
      </c>
      <c r="GN32" t="e">
        <f>AND(#REF!,"AAAAADW+X8M=")</f>
        <v>#REF!</v>
      </c>
      <c r="GO32" t="e">
        <f>AND(#REF!,"AAAAADW+X8Q=")</f>
        <v>#REF!</v>
      </c>
      <c r="GP32" t="e">
        <f>AND(#REF!,"AAAAADW+X8U=")</f>
        <v>#REF!</v>
      </c>
      <c r="GQ32" t="e">
        <f>AND(#REF!,"AAAAADW+X8Y=")</f>
        <v>#REF!</v>
      </c>
      <c r="GR32" t="e">
        <f>AND(#REF!,"AAAAADW+X8c=")</f>
        <v>#REF!</v>
      </c>
      <c r="GS32" t="e">
        <f>IF(#REF!,"AAAAADW+X8g=",0)</f>
        <v>#REF!</v>
      </c>
      <c r="GT32" t="e">
        <f>AND(#REF!,"AAAAADW+X8k=")</f>
        <v>#REF!</v>
      </c>
      <c r="GU32" t="e">
        <f>AND(#REF!,"AAAAADW+X8o=")</f>
        <v>#REF!</v>
      </c>
      <c r="GV32" t="e">
        <f>AND(#REF!,"AAAAADW+X8s=")</f>
        <v>#REF!</v>
      </c>
      <c r="GW32" t="e">
        <f>AND(#REF!,"AAAAADW+X8w=")</f>
        <v>#REF!</v>
      </c>
      <c r="GX32" t="e">
        <f>AND(#REF!,"AAAAADW+X80=")</f>
        <v>#REF!</v>
      </c>
      <c r="GY32" t="e">
        <f>AND(#REF!,"AAAAADW+X84=")</f>
        <v>#REF!</v>
      </c>
      <c r="GZ32" t="e">
        <f>AND(#REF!,"AAAAADW+X88=")</f>
        <v>#REF!</v>
      </c>
      <c r="HA32" t="e">
        <f>AND(#REF!,"AAAAADW+X9A=")</f>
        <v>#REF!</v>
      </c>
      <c r="HB32" t="e">
        <f>IF(#REF!,"AAAAADW+X9E=",0)</f>
        <v>#REF!</v>
      </c>
      <c r="HC32" t="e">
        <f>AND(#REF!,"AAAAADW+X9I=")</f>
        <v>#REF!</v>
      </c>
      <c r="HD32" t="e">
        <f>AND(#REF!,"AAAAADW+X9M=")</f>
        <v>#REF!</v>
      </c>
      <c r="HE32" t="e">
        <f>AND(#REF!,"AAAAADW+X9Q=")</f>
        <v>#REF!</v>
      </c>
      <c r="HF32" t="e">
        <f>AND(#REF!,"AAAAADW+X9U=")</f>
        <v>#REF!</v>
      </c>
      <c r="HG32" t="e">
        <f>AND(#REF!,"AAAAADW+X9Y=")</f>
        <v>#REF!</v>
      </c>
      <c r="HH32" t="e">
        <f>AND(#REF!,"AAAAADW+X9c=")</f>
        <v>#REF!</v>
      </c>
      <c r="HI32" t="e">
        <f>AND(#REF!,"AAAAADW+X9g=")</f>
        <v>#REF!</v>
      </c>
      <c r="HJ32" t="e">
        <f>AND(#REF!,"AAAAADW+X9k=")</f>
        <v>#REF!</v>
      </c>
      <c r="HK32" t="e">
        <f>IF(#REF!,"AAAAADW+X9o=",0)</f>
        <v>#REF!</v>
      </c>
      <c r="HL32" t="e">
        <f>AND(#REF!,"AAAAADW+X9s=")</f>
        <v>#REF!</v>
      </c>
      <c r="HM32" t="e">
        <f>AND(#REF!,"AAAAADW+X9w=")</f>
        <v>#REF!</v>
      </c>
      <c r="HN32" t="e">
        <f>AND(#REF!,"AAAAADW+X90=")</f>
        <v>#REF!</v>
      </c>
      <c r="HO32" t="e">
        <f>AND(#REF!,"AAAAADW+X94=")</f>
        <v>#REF!</v>
      </c>
      <c r="HP32" t="e">
        <f>AND(#REF!,"AAAAADW+X98=")</f>
        <v>#REF!</v>
      </c>
      <c r="HQ32" t="e">
        <f>AND(#REF!,"AAAAADW+X+A=")</f>
        <v>#REF!</v>
      </c>
      <c r="HR32" t="e">
        <f>AND(#REF!,"AAAAADW+X+E=")</f>
        <v>#REF!</v>
      </c>
      <c r="HS32" t="e">
        <f>AND(#REF!,"AAAAADW+X+I=")</f>
        <v>#REF!</v>
      </c>
      <c r="HT32" t="e">
        <f>IF(#REF!,"AAAAADW+X+M=",0)</f>
        <v>#REF!</v>
      </c>
      <c r="HU32" t="e">
        <f>AND(#REF!,"AAAAADW+X+Q=")</f>
        <v>#REF!</v>
      </c>
      <c r="HV32" t="e">
        <f>AND(#REF!,"AAAAADW+X+U=")</f>
        <v>#REF!</v>
      </c>
      <c r="HW32" t="e">
        <f>AND(#REF!,"AAAAADW+X+Y=")</f>
        <v>#REF!</v>
      </c>
      <c r="HX32" t="e">
        <f>AND(#REF!,"AAAAADW+X+c=")</f>
        <v>#REF!</v>
      </c>
      <c r="HY32" t="e">
        <f>AND(#REF!,"AAAAADW+X+g=")</f>
        <v>#REF!</v>
      </c>
      <c r="HZ32" t="e">
        <f>AND(#REF!,"AAAAADW+X+k=")</f>
        <v>#REF!</v>
      </c>
      <c r="IA32" t="e">
        <f>AND(#REF!,"AAAAADW+X+o=")</f>
        <v>#REF!</v>
      </c>
      <c r="IB32" t="e">
        <f>AND(#REF!,"AAAAADW+X+s=")</f>
        <v>#REF!</v>
      </c>
      <c r="IC32" t="e">
        <f>IF(#REF!,"AAAAADW+X+w=",0)</f>
        <v>#REF!</v>
      </c>
      <c r="ID32" t="e">
        <f>AND(#REF!,"AAAAADW+X+0=")</f>
        <v>#REF!</v>
      </c>
      <c r="IE32" t="e">
        <f>AND(#REF!,"AAAAADW+X+4=")</f>
        <v>#REF!</v>
      </c>
      <c r="IF32" t="e">
        <f>AND(#REF!,"AAAAADW+X+8=")</f>
        <v>#REF!</v>
      </c>
      <c r="IG32" t="e">
        <f>AND(#REF!,"AAAAADW+X/A=")</f>
        <v>#REF!</v>
      </c>
      <c r="IH32" t="e">
        <f>AND(#REF!,"AAAAADW+X/E=")</f>
        <v>#REF!</v>
      </c>
      <c r="II32" t="e">
        <f>AND(#REF!,"AAAAADW+X/I=")</f>
        <v>#REF!</v>
      </c>
      <c r="IJ32" t="e">
        <f>AND(#REF!,"AAAAADW+X/M=")</f>
        <v>#REF!</v>
      </c>
      <c r="IK32" t="e">
        <f>AND(#REF!,"AAAAADW+X/Q=")</f>
        <v>#REF!</v>
      </c>
      <c r="IL32" t="e">
        <f>IF(#REF!,"AAAAADW+X/U=",0)</f>
        <v>#REF!</v>
      </c>
      <c r="IM32" t="e">
        <f>AND(#REF!,"AAAAADW+X/Y=")</f>
        <v>#REF!</v>
      </c>
      <c r="IN32" t="e">
        <f>AND(#REF!,"AAAAADW+X/c=")</f>
        <v>#REF!</v>
      </c>
      <c r="IO32" t="e">
        <f>AND(#REF!,"AAAAADW+X/g=")</f>
        <v>#REF!</v>
      </c>
      <c r="IP32" t="e">
        <f>AND(#REF!,"AAAAADW+X/k=")</f>
        <v>#REF!</v>
      </c>
      <c r="IQ32" t="e">
        <f>AND(#REF!,"AAAAADW+X/o=")</f>
        <v>#REF!</v>
      </c>
      <c r="IR32" t="e">
        <f>AND(#REF!,"AAAAADW+X/s=")</f>
        <v>#REF!</v>
      </c>
      <c r="IS32" t="e">
        <f>AND(#REF!,"AAAAADW+X/w=")</f>
        <v>#REF!</v>
      </c>
      <c r="IT32" t="e">
        <f>AND(#REF!,"AAAAADW+X/0=")</f>
        <v>#REF!</v>
      </c>
      <c r="IU32" t="e">
        <f>IF(#REF!,"AAAAADW+X/4=",0)</f>
        <v>#REF!</v>
      </c>
      <c r="IV32" t="e">
        <f>AND(#REF!,"AAAAADW+X/8=")</f>
        <v>#REF!</v>
      </c>
    </row>
    <row r="33" spans="1:256">
      <c r="A33" t="e">
        <f>AND(#REF!,"AAAAAG8/1QA=")</f>
        <v>#REF!</v>
      </c>
      <c r="B33" t="e">
        <f>AND(#REF!,"AAAAAG8/1QE=")</f>
        <v>#REF!</v>
      </c>
      <c r="C33" t="e">
        <f>AND(#REF!,"AAAAAG8/1QI=")</f>
        <v>#REF!</v>
      </c>
      <c r="D33" t="e">
        <f>AND(#REF!,"AAAAAG8/1QM=")</f>
        <v>#REF!</v>
      </c>
      <c r="E33" t="e">
        <f>AND(#REF!,"AAAAAG8/1QQ=")</f>
        <v>#REF!</v>
      </c>
      <c r="F33" t="e">
        <f>AND(#REF!,"AAAAAG8/1QU=")</f>
        <v>#REF!</v>
      </c>
      <c r="G33" t="e">
        <f>AND(#REF!,"AAAAAG8/1QY=")</f>
        <v>#REF!</v>
      </c>
      <c r="H33" t="e">
        <f>IF(#REF!,"AAAAAG8/1Qc=",0)</f>
        <v>#REF!</v>
      </c>
      <c r="I33" t="e">
        <f>AND(#REF!,"AAAAAG8/1Qg=")</f>
        <v>#REF!</v>
      </c>
      <c r="J33" t="e">
        <f>AND(#REF!,"AAAAAG8/1Qk=")</f>
        <v>#REF!</v>
      </c>
      <c r="K33" t="e">
        <f>AND(#REF!,"AAAAAG8/1Qo=")</f>
        <v>#REF!</v>
      </c>
      <c r="L33" t="e">
        <f>AND(#REF!,"AAAAAG8/1Qs=")</f>
        <v>#REF!</v>
      </c>
      <c r="M33" t="e">
        <f>AND(#REF!,"AAAAAG8/1Qw=")</f>
        <v>#REF!</v>
      </c>
      <c r="N33" t="e">
        <f>AND(#REF!,"AAAAAG8/1Q0=")</f>
        <v>#REF!</v>
      </c>
      <c r="O33" t="e">
        <f>AND(#REF!,"AAAAAG8/1Q4=")</f>
        <v>#REF!</v>
      </c>
      <c r="P33" t="e">
        <f>AND(#REF!,"AAAAAG8/1Q8=")</f>
        <v>#REF!</v>
      </c>
      <c r="Q33" t="e">
        <f>IF(#REF!,"AAAAAG8/1RA=",0)</f>
        <v>#REF!</v>
      </c>
      <c r="R33" t="e">
        <f>AND(#REF!,"AAAAAG8/1RE=")</f>
        <v>#REF!</v>
      </c>
      <c r="S33" t="e">
        <f>AND(#REF!,"AAAAAG8/1RI=")</f>
        <v>#REF!</v>
      </c>
      <c r="T33" t="e">
        <f>AND(#REF!,"AAAAAG8/1RM=")</f>
        <v>#REF!</v>
      </c>
      <c r="U33" t="e">
        <f>AND(#REF!,"AAAAAG8/1RQ=")</f>
        <v>#REF!</v>
      </c>
      <c r="V33" t="e">
        <f>AND(#REF!,"AAAAAG8/1RU=")</f>
        <v>#REF!</v>
      </c>
      <c r="W33" t="e">
        <f>AND(#REF!,"AAAAAG8/1RY=")</f>
        <v>#REF!</v>
      </c>
      <c r="X33" t="e">
        <f>AND(#REF!,"AAAAAG8/1Rc=")</f>
        <v>#REF!</v>
      </c>
      <c r="Y33" t="e">
        <f>AND(#REF!,"AAAAAG8/1Rg=")</f>
        <v>#REF!</v>
      </c>
      <c r="Z33" t="e">
        <f>IF(#REF!,"AAAAAG8/1Rk=",0)</f>
        <v>#REF!</v>
      </c>
      <c r="AA33" t="e">
        <f>AND(#REF!,"AAAAAG8/1Ro=")</f>
        <v>#REF!</v>
      </c>
      <c r="AB33" t="e">
        <f>AND(#REF!,"AAAAAG8/1Rs=")</f>
        <v>#REF!</v>
      </c>
      <c r="AC33" t="e">
        <f>AND(#REF!,"AAAAAG8/1Rw=")</f>
        <v>#REF!</v>
      </c>
      <c r="AD33" t="e">
        <f>AND(#REF!,"AAAAAG8/1R0=")</f>
        <v>#REF!</v>
      </c>
      <c r="AE33" t="e">
        <f>AND(#REF!,"AAAAAG8/1R4=")</f>
        <v>#REF!</v>
      </c>
      <c r="AF33" t="e">
        <f>AND(#REF!,"AAAAAG8/1R8=")</f>
        <v>#REF!</v>
      </c>
      <c r="AG33" t="e">
        <f>AND(#REF!,"AAAAAG8/1SA=")</f>
        <v>#REF!</v>
      </c>
      <c r="AH33" t="e">
        <f>AND(#REF!,"AAAAAG8/1SE=")</f>
        <v>#REF!</v>
      </c>
      <c r="AI33" t="e">
        <f>IF(#REF!,"AAAAAG8/1SI=",0)</f>
        <v>#REF!</v>
      </c>
      <c r="AJ33" t="e">
        <f>AND(#REF!,"AAAAAG8/1SM=")</f>
        <v>#REF!</v>
      </c>
      <c r="AK33" t="e">
        <f>AND(#REF!,"AAAAAG8/1SQ=")</f>
        <v>#REF!</v>
      </c>
      <c r="AL33" t="e">
        <f>AND(#REF!,"AAAAAG8/1SU=")</f>
        <v>#REF!</v>
      </c>
      <c r="AM33" t="e">
        <f>AND(#REF!,"AAAAAG8/1SY=")</f>
        <v>#REF!</v>
      </c>
      <c r="AN33" t="e">
        <f>AND(#REF!,"AAAAAG8/1Sc=")</f>
        <v>#REF!</v>
      </c>
      <c r="AO33" t="e">
        <f>AND(#REF!,"AAAAAG8/1Sg=")</f>
        <v>#REF!</v>
      </c>
      <c r="AP33" t="e">
        <f>AND(#REF!,"AAAAAG8/1Sk=")</f>
        <v>#REF!</v>
      </c>
      <c r="AQ33" t="e">
        <f>AND(#REF!,"AAAAAG8/1So=")</f>
        <v>#REF!</v>
      </c>
      <c r="AR33" t="e">
        <f>IF(#REF!,"AAAAAG8/1Ss=",0)</f>
        <v>#REF!</v>
      </c>
      <c r="AS33" t="e">
        <f>AND(#REF!,"AAAAAG8/1Sw=")</f>
        <v>#REF!</v>
      </c>
      <c r="AT33" t="e">
        <f>AND(#REF!,"AAAAAG8/1S0=")</f>
        <v>#REF!</v>
      </c>
      <c r="AU33" t="e">
        <f>AND(#REF!,"AAAAAG8/1S4=")</f>
        <v>#REF!</v>
      </c>
      <c r="AV33" t="e">
        <f>AND(#REF!,"AAAAAG8/1S8=")</f>
        <v>#REF!</v>
      </c>
      <c r="AW33" t="e">
        <f>AND(#REF!,"AAAAAG8/1TA=")</f>
        <v>#REF!</v>
      </c>
      <c r="AX33" t="e">
        <f>AND(#REF!,"AAAAAG8/1TE=")</f>
        <v>#REF!</v>
      </c>
      <c r="AY33" t="e">
        <f>AND(#REF!,"AAAAAG8/1TI=")</f>
        <v>#REF!</v>
      </c>
      <c r="AZ33" t="e">
        <f>AND(#REF!,"AAAAAG8/1TM=")</f>
        <v>#REF!</v>
      </c>
      <c r="BA33" t="e">
        <f>IF(#REF!,"AAAAAG8/1TQ=",0)</f>
        <v>#REF!</v>
      </c>
      <c r="BB33" t="e">
        <f>AND(#REF!,"AAAAAG8/1TU=")</f>
        <v>#REF!</v>
      </c>
      <c r="BC33" t="e">
        <f>AND(#REF!,"AAAAAG8/1TY=")</f>
        <v>#REF!</v>
      </c>
      <c r="BD33" t="e">
        <f>AND(#REF!,"AAAAAG8/1Tc=")</f>
        <v>#REF!</v>
      </c>
      <c r="BE33" t="e">
        <f>AND(#REF!,"AAAAAG8/1Tg=")</f>
        <v>#REF!</v>
      </c>
      <c r="BF33" t="e">
        <f>AND(#REF!,"AAAAAG8/1Tk=")</f>
        <v>#REF!</v>
      </c>
      <c r="BG33" t="e">
        <f>AND(#REF!,"AAAAAG8/1To=")</f>
        <v>#REF!</v>
      </c>
      <c r="BH33" t="e">
        <f>AND(#REF!,"AAAAAG8/1Ts=")</f>
        <v>#REF!</v>
      </c>
      <c r="BI33" t="e">
        <f>AND(#REF!,"AAAAAG8/1Tw=")</f>
        <v>#REF!</v>
      </c>
      <c r="BJ33" t="e">
        <f>IF(#REF!,"AAAAAG8/1T0=",0)</f>
        <v>#REF!</v>
      </c>
      <c r="BK33" t="e">
        <f>AND(#REF!,"AAAAAG8/1T4=")</f>
        <v>#REF!</v>
      </c>
      <c r="BL33" t="e">
        <f>AND(#REF!,"AAAAAG8/1T8=")</f>
        <v>#REF!</v>
      </c>
      <c r="BM33" t="e">
        <f>AND(#REF!,"AAAAAG8/1UA=")</f>
        <v>#REF!</v>
      </c>
      <c r="BN33" t="e">
        <f>AND(#REF!,"AAAAAG8/1UE=")</f>
        <v>#REF!</v>
      </c>
      <c r="BO33" t="e">
        <f>AND(#REF!,"AAAAAG8/1UI=")</f>
        <v>#REF!</v>
      </c>
      <c r="BP33" t="e">
        <f>AND(#REF!,"AAAAAG8/1UM=")</f>
        <v>#REF!</v>
      </c>
      <c r="BQ33" t="e">
        <f>AND(#REF!,"AAAAAG8/1UQ=")</f>
        <v>#REF!</v>
      </c>
      <c r="BR33" t="e">
        <f>AND(#REF!,"AAAAAG8/1UU=")</f>
        <v>#REF!</v>
      </c>
      <c r="BS33" t="e">
        <f>IF(#REF!,"AAAAAG8/1UY=",0)</f>
        <v>#REF!</v>
      </c>
      <c r="BT33" t="e">
        <f>AND(#REF!,"AAAAAG8/1Uc=")</f>
        <v>#REF!</v>
      </c>
      <c r="BU33" t="e">
        <f>AND(#REF!,"AAAAAG8/1Ug=")</f>
        <v>#REF!</v>
      </c>
      <c r="BV33" t="e">
        <f>AND(#REF!,"AAAAAG8/1Uk=")</f>
        <v>#REF!</v>
      </c>
      <c r="BW33" t="e">
        <f>AND(#REF!,"AAAAAG8/1Uo=")</f>
        <v>#REF!</v>
      </c>
      <c r="BX33" t="e">
        <f>AND(#REF!,"AAAAAG8/1Us=")</f>
        <v>#REF!</v>
      </c>
      <c r="BY33" t="e">
        <f>AND(#REF!,"AAAAAG8/1Uw=")</f>
        <v>#REF!</v>
      </c>
      <c r="BZ33" t="e">
        <f>AND(#REF!,"AAAAAG8/1U0=")</f>
        <v>#REF!</v>
      </c>
      <c r="CA33" t="e">
        <f>AND(#REF!,"AAAAAG8/1U4=")</f>
        <v>#REF!</v>
      </c>
      <c r="CB33" t="e">
        <f>IF(#REF!,"AAAAAG8/1U8=",0)</f>
        <v>#REF!</v>
      </c>
      <c r="CC33" t="e">
        <f>AND(#REF!,"AAAAAG8/1VA=")</f>
        <v>#REF!</v>
      </c>
      <c r="CD33" t="e">
        <f>AND(#REF!,"AAAAAG8/1VE=")</f>
        <v>#REF!</v>
      </c>
      <c r="CE33" t="e">
        <f>AND(#REF!,"AAAAAG8/1VI=")</f>
        <v>#REF!</v>
      </c>
      <c r="CF33" t="e">
        <f>AND(#REF!,"AAAAAG8/1VM=")</f>
        <v>#REF!</v>
      </c>
      <c r="CG33" t="e">
        <f>AND(#REF!,"AAAAAG8/1VQ=")</f>
        <v>#REF!</v>
      </c>
      <c r="CH33" t="e">
        <f>AND(#REF!,"AAAAAG8/1VU=")</f>
        <v>#REF!</v>
      </c>
      <c r="CI33" t="e">
        <f>AND(#REF!,"AAAAAG8/1VY=")</f>
        <v>#REF!</v>
      </c>
      <c r="CJ33" t="e">
        <f>AND(#REF!,"AAAAAG8/1Vc=")</f>
        <v>#REF!</v>
      </c>
      <c r="CK33" t="e">
        <f>IF(#REF!,"AAAAAG8/1Vg=",0)</f>
        <v>#REF!</v>
      </c>
      <c r="CL33" t="e">
        <f>AND(#REF!,"AAAAAG8/1Vk=")</f>
        <v>#REF!</v>
      </c>
      <c r="CM33" t="e">
        <f>AND(#REF!,"AAAAAG8/1Vo=")</f>
        <v>#REF!</v>
      </c>
      <c r="CN33" t="e">
        <f>AND(#REF!,"AAAAAG8/1Vs=")</f>
        <v>#REF!</v>
      </c>
      <c r="CO33" t="e">
        <f>AND(#REF!,"AAAAAG8/1Vw=")</f>
        <v>#REF!</v>
      </c>
      <c r="CP33" t="e">
        <f>AND(#REF!,"AAAAAG8/1V0=")</f>
        <v>#REF!</v>
      </c>
      <c r="CQ33" t="e">
        <f>AND(#REF!,"AAAAAG8/1V4=")</f>
        <v>#REF!</v>
      </c>
      <c r="CR33" t="e">
        <f>AND(#REF!,"AAAAAG8/1V8=")</f>
        <v>#REF!</v>
      </c>
      <c r="CS33" t="e">
        <f>AND(#REF!,"AAAAAG8/1WA=")</f>
        <v>#REF!</v>
      </c>
      <c r="CT33" t="e">
        <f>IF(#REF!,"AAAAAG8/1WE=",0)</f>
        <v>#REF!</v>
      </c>
      <c r="CU33" t="e">
        <f>AND(#REF!,"AAAAAG8/1WI=")</f>
        <v>#REF!</v>
      </c>
      <c r="CV33" t="e">
        <f>AND(#REF!,"AAAAAG8/1WM=")</f>
        <v>#REF!</v>
      </c>
      <c r="CW33" t="e">
        <f>AND(#REF!,"AAAAAG8/1WQ=")</f>
        <v>#REF!</v>
      </c>
      <c r="CX33" t="e">
        <f>AND(#REF!,"AAAAAG8/1WU=")</f>
        <v>#REF!</v>
      </c>
      <c r="CY33" t="e">
        <f>AND(#REF!,"AAAAAG8/1WY=")</f>
        <v>#REF!</v>
      </c>
      <c r="CZ33" t="e">
        <f>AND(#REF!,"AAAAAG8/1Wc=")</f>
        <v>#REF!</v>
      </c>
      <c r="DA33" t="e">
        <f>AND(#REF!,"AAAAAG8/1Wg=")</f>
        <v>#REF!</v>
      </c>
      <c r="DB33" t="e">
        <f>AND(#REF!,"AAAAAG8/1Wk=")</f>
        <v>#REF!</v>
      </c>
      <c r="DC33" t="e">
        <f>IF(#REF!,"AAAAAG8/1Wo=",0)</f>
        <v>#REF!</v>
      </c>
      <c r="DD33" t="e">
        <f>AND(#REF!,"AAAAAG8/1Ws=")</f>
        <v>#REF!</v>
      </c>
      <c r="DE33" t="e">
        <f>AND(#REF!,"AAAAAG8/1Ww=")</f>
        <v>#REF!</v>
      </c>
      <c r="DF33" t="e">
        <f>AND(#REF!,"AAAAAG8/1W0=")</f>
        <v>#REF!</v>
      </c>
      <c r="DG33" t="e">
        <f>AND(#REF!,"AAAAAG8/1W4=")</f>
        <v>#REF!</v>
      </c>
      <c r="DH33" t="e">
        <f>AND(#REF!,"AAAAAG8/1W8=")</f>
        <v>#REF!</v>
      </c>
      <c r="DI33" t="e">
        <f>AND(#REF!,"AAAAAG8/1XA=")</f>
        <v>#REF!</v>
      </c>
      <c r="DJ33" t="e">
        <f>AND(#REF!,"AAAAAG8/1XE=")</f>
        <v>#REF!</v>
      </c>
      <c r="DK33" t="e">
        <f>AND(#REF!,"AAAAAG8/1XI=")</f>
        <v>#REF!</v>
      </c>
      <c r="DL33" t="e">
        <f>IF(#REF!,"AAAAAG8/1XM=",0)</f>
        <v>#REF!</v>
      </c>
      <c r="DM33" t="e">
        <f>AND(#REF!,"AAAAAG8/1XQ=")</f>
        <v>#REF!</v>
      </c>
      <c r="DN33" t="e">
        <f>AND(#REF!,"AAAAAG8/1XU=")</f>
        <v>#REF!</v>
      </c>
      <c r="DO33" t="e">
        <f>AND(#REF!,"AAAAAG8/1XY=")</f>
        <v>#REF!</v>
      </c>
      <c r="DP33" t="e">
        <f>AND(#REF!,"AAAAAG8/1Xc=")</f>
        <v>#REF!</v>
      </c>
      <c r="DQ33" t="e">
        <f>AND(#REF!,"AAAAAG8/1Xg=")</f>
        <v>#REF!</v>
      </c>
      <c r="DR33" t="e">
        <f>AND(#REF!,"AAAAAG8/1Xk=")</f>
        <v>#REF!</v>
      </c>
      <c r="DS33" t="e">
        <f>AND(#REF!,"AAAAAG8/1Xo=")</f>
        <v>#REF!</v>
      </c>
      <c r="DT33" t="e">
        <f>AND(#REF!,"AAAAAG8/1Xs=")</f>
        <v>#REF!</v>
      </c>
      <c r="DU33" t="e">
        <f>IF(#REF!,"AAAAAG8/1Xw=",0)</f>
        <v>#REF!</v>
      </c>
      <c r="DV33" t="e">
        <f>AND(#REF!,"AAAAAG8/1X0=")</f>
        <v>#REF!</v>
      </c>
      <c r="DW33" t="e">
        <f>AND(#REF!,"AAAAAG8/1X4=")</f>
        <v>#REF!</v>
      </c>
      <c r="DX33" t="e">
        <f>AND(#REF!,"AAAAAG8/1X8=")</f>
        <v>#REF!</v>
      </c>
      <c r="DY33" t="e">
        <f>AND(#REF!,"AAAAAG8/1YA=")</f>
        <v>#REF!</v>
      </c>
      <c r="DZ33" t="e">
        <f>AND(#REF!,"AAAAAG8/1YE=")</f>
        <v>#REF!</v>
      </c>
      <c r="EA33" t="e">
        <f>AND(#REF!,"AAAAAG8/1YI=")</f>
        <v>#REF!</v>
      </c>
      <c r="EB33" t="e">
        <f>AND(#REF!,"AAAAAG8/1YM=")</f>
        <v>#REF!</v>
      </c>
      <c r="EC33" t="e">
        <f>AND(#REF!,"AAAAAG8/1YQ=")</f>
        <v>#REF!</v>
      </c>
      <c r="ED33" t="e">
        <f>IF(#REF!,"AAAAAG8/1YU=",0)</f>
        <v>#REF!</v>
      </c>
      <c r="EE33" t="e">
        <f>AND(#REF!,"AAAAAG8/1YY=")</f>
        <v>#REF!</v>
      </c>
      <c r="EF33" t="e">
        <f>AND(#REF!,"AAAAAG8/1Yc=")</f>
        <v>#REF!</v>
      </c>
      <c r="EG33" t="e">
        <f>AND(#REF!,"AAAAAG8/1Yg=")</f>
        <v>#REF!</v>
      </c>
      <c r="EH33" t="e">
        <f>AND(#REF!,"AAAAAG8/1Yk=")</f>
        <v>#REF!</v>
      </c>
      <c r="EI33" t="e">
        <f>AND(#REF!,"AAAAAG8/1Yo=")</f>
        <v>#REF!</v>
      </c>
      <c r="EJ33" t="e">
        <f>AND(#REF!,"AAAAAG8/1Ys=")</f>
        <v>#REF!</v>
      </c>
      <c r="EK33" t="e">
        <f>AND(#REF!,"AAAAAG8/1Yw=")</f>
        <v>#REF!</v>
      </c>
      <c r="EL33" t="e">
        <f>AND(#REF!,"AAAAAG8/1Y0=")</f>
        <v>#REF!</v>
      </c>
      <c r="EM33" t="e">
        <f>IF(#REF!,"AAAAAG8/1Y4=",0)</f>
        <v>#REF!</v>
      </c>
      <c r="EN33" t="e">
        <f>AND(#REF!,"AAAAAG8/1Y8=")</f>
        <v>#REF!</v>
      </c>
      <c r="EO33" t="e">
        <f>AND(#REF!,"AAAAAG8/1ZA=")</f>
        <v>#REF!</v>
      </c>
      <c r="EP33" t="e">
        <f>AND(#REF!,"AAAAAG8/1ZE=")</f>
        <v>#REF!</v>
      </c>
      <c r="EQ33" t="e">
        <f>AND(#REF!,"AAAAAG8/1ZI=")</f>
        <v>#REF!</v>
      </c>
      <c r="ER33" t="e">
        <f>AND(#REF!,"AAAAAG8/1ZM=")</f>
        <v>#REF!</v>
      </c>
      <c r="ES33" t="e">
        <f>AND(#REF!,"AAAAAG8/1ZQ=")</f>
        <v>#REF!</v>
      </c>
      <c r="ET33" t="e">
        <f>AND(#REF!,"AAAAAG8/1ZU=")</f>
        <v>#REF!</v>
      </c>
      <c r="EU33" t="e">
        <f>AND(#REF!,"AAAAAG8/1ZY=")</f>
        <v>#REF!</v>
      </c>
      <c r="EV33" t="e">
        <f>IF(#REF!,"AAAAAG8/1Zc=",0)</f>
        <v>#REF!</v>
      </c>
      <c r="EW33" t="e">
        <f>AND(#REF!,"AAAAAG8/1Zg=")</f>
        <v>#REF!</v>
      </c>
      <c r="EX33" t="e">
        <f>AND(#REF!,"AAAAAG8/1Zk=")</f>
        <v>#REF!</v>
      </c>
      <c r="EY33" t="e">
        <f>AND(#REF!,"AAAAAG8/1Zo=")</f>
        <v>#REF!</v>
      </c>
      <c r="EZ33" t="e">
        <f>AND(#REF!,"AAAAAG8/1Zs=")</f>
        <v>#REF!</v>
      </c>
      <c r="FA33" t="e">
        <f>AND(#REF!,"AAAAAG8/1Zw=")</f>
        <v>#REF!</v>
      </c>
      <c r="FB33" t="e">
        <f>AND(#REF!,"AAAAAG8/1Z0=")</f>
        <v>#REF!</v>
      </c>
      <c r="FC33" t="e">
        <f>AND(#REF!,"AAAAAG8/1Z4=")</f>
        <v>#REF!</v>
      </c>
      <c r="FD33" t="e">
        <f>AND(#REF!,"AAAAAG8/1Z8=")</f>
        <v>#REF!</v>
      </c>
      <c r="FE33" t="e">
        <f>IF(#REF!,"AAAAAG8/1aA=",0)</f>
        <v>#REF!</v>
      </c>
      <c r="FF33" t="e">
        <f>AND(#REF!,"AAAAAG8/1aE=")</f>
        <v>#REF!</v>
      </c>
      <c r="FG33" t="e">
        <f>AND(#REF!,"AAAAAG8/1aI=")</f>
        <v>#REF!</v>
      </c>
      <c r="FH33" t="e">
        <f>AND(#REF!,"AAAAAG8/1aM=")</f>
        <v>#REF!</v>
      </c>
      <c r="FI33" t="e">
        <f>AND(#REF!,"AAAAAG8/1aQ=")</f>
        <v>#REF!</v>
      </c>
      <c r="FJ33" t="e">
        <f>AND(#REF!,"AAAAAG8/1aU=")</f>
        <v>#REF!</v>
      </c>
      <c r="FK33" t="e">
        <f>AND(#REF!,"AAAAAG8/1aY=")</f>
        <v>#REF!</v>
      </c>
      <c r="FL33" t="e">
        <f>AND(#REF!,"AAAAAG8/1ac=")</f>
        <v>#REF!</v>
      </c>
      <c r="FM33" t="e">
        <f>AND(#REF!,"AAAAAG8/1ag=")</f>
        <v>#REF!</v>
      </c>
      <c r="FN33" t="e">
        <f>IF(#REF!,"AAAAAG8/1ak=",0)</f>
        <v>#REF!</v>
      </c>
      <c r="FO33" t="e">
        <f>AND(#REF!,"AAAAAG8/1ao=")</f>
        <v>#REF!</v>
      </c>
      <c r="FP33" t="e">
        <f>AND(#REF!,"AAAAAG8/1as=")</f>
        <v>#REF!</v>
      </c>
      <c r="FQ33" t="e">
        <f>AND(#REF!,"AAAAAG8/1aw=")</f>
        <v>#REF!</v>
      </c>
      <c r="FR33" t="e">
        <f>AND(#REF!,"AAAAAG8/1a0=")</f>
        <v>#REF!</v>
      </c>
      <c r="FS33" t="e">
        <f>AND(#REF!,"AAAAAG8/1a4=")</f>
        <v>#REF!</v>
      </c>
      <c r="FT33" t="e">
        <f>AND(#REF!,"AAAAAG8/1a8=")</f>
        <v>#REF!</v>
      </c>
      <c r="FU33" t="e">
        <f>AND(#REF!,"AAAAAG8/1bA=")</f>
        <v>#REF!</v>
      </c>
      <c r="FV33" t="e">
        <f>AND(#REF!,"AAAAAG8/1bE=")</f>
        <v>#REF!</v>
      </c>
      <c r="FW33" t="e">
        <f>IF(#REF!,"AAAAAG8/1bI=",0)</f>
        <v>#REF!</v>
      </c>
      <c r="FX33" t="e">
        <f>AND(#REF!,"AAAAAG8/1bM=")</f>
        <v>#REF!</v>
      </c>
      <c r="FY33" t="e">
        <f>AND(#REF!,"AAAAAG8/1bQ=")</f>
        <v>#REF!</v>
      </c>
      <c r="FZ33" t="e">
        <f>AND(#REF!,"AAAAAG8/1bU=")</f>
        <v>#REF!</v>
      </c>
      <c r="GA33" t="e">
        <f>AND(#REF!,"AAAAAG8/1bY=")</f>
        <v>#REF!</v>
      </c>
      <c r="GB33" t="e">
        <f>AND(#REF!,"AAAAAG8/1bc=")</f>
        <v>#REF!</v>
      </c>
      <c r="GC33" t="e">
        <f>AND(#REF!,"AAAAAG8/1bg=")</f>
        <v>#REF!</v>
      </c>
      <c r="GD33" t="e">
        <f>AND(#REF!,"AAAAAG8/1bk=")</f>
        <v>#REF!</v>
      </c>
      <c r="GE33" t="e">
        <f>AND(#REF!,"AAAAAG8/1bo=")</f>
        <v>#REF!</v>
      </c>
      <c r="GF33" t="e">
        <f>IF(#REF!,"AAAAAG8/1bs=",0)</f>
        <v>#REF!</v>
      </c>
      <c r="GG33" t="e">
        <f>AND(#REF!,"AAAAAG8/1bw=")</f>
        <v>#REF!</v>
      </c>
      <c r="GH33" t="e">
        <f>AND(#REF!,"AAAAAG8/1b0=")</f>
        <v>#REF!</v>
      </c>
      <c r="GI33" t="e">
        <f>AND(#REF!,"AAAAAG8/1b4=")</f>
        <v>#REF!</v>
      </c>
      <c r="GJ33" t="e">
        <f>AND(#REF!,"AAAAAG8/1b8=")</f>
        <v>#REF!</v>
      </c>
      <c r="GK33" t="e">
        <f>AND(#REF!,"AAAAAG8/1cA=")</f>
        <v>#REF!</v>
      </c>
      <c r="GL33" t="e">
        <f>AND(#REF!,"AAAAAG8/1cE=")</f>
        <v>#REF!</v>
      </c>
      <c r="GM33" t="e">
        <f>AND(#REF!,"AAAAAG8/1cI=")</f>
        <v>#REF!</v>
      </c>
      <c r="GN33" t="e">
        <f>AND(#REF!,"AAAAAG8/1cM=")</f>
        <v>#REF!</v>
      </c>
      <c r="GO33" t="e">
        <f>IF(#REF!,"AAAAAG8/1cQ=",0)</f>
        <v>#REF!</v>
      </c>
      <c r="GP33" t="e">
        <f>AND(#REF!,"AAAAAG8/1cU=")</f>
        <v>#REF!</v>
      </c>
      <c r="GQ33" t="e">
        <f>AND(#REF!,"AAAAAG8/1cY=")</f>
        <v>#REF!</v>
      </c>
      <c r="GR33" t="e">
        <f>AND(#REF!,"AAAAAG8/1cc=")</f>
        <v>#REF!</v>
      </c>
      <c r="GS33" t="e">
        <f>AND(#REF!,"AAAAAG8/1cg=")</f>
        <v>#REF!</v>
      </c>
      <c r="GT33" t="e">
        <f>AND(#REF!,"AAAAAG8/1ck=")</f>
        <v>#REF!</v>
      </c>
      <c r="GU33" t="e">
        <f>AND(#REF!,"AAAAAG8/1co=")</f>
        <v>#REF!</v>
      </c>
      <c r="GV33" t="e">
        <f>AND(#REF!,"AAAAAG8/1cs=")</f>
        <v>#REF!</v>
      </c>
      <c r="GW33" t="e">
        <f>AND(#REF!,"AAAAAG8/1cw=")</f>
        <v>#REF!</v>
      </c>
      <c r="GX33" t="e">
        <f>IF(#REF!,"AAAAAG8/1c0=",0)</f>
        <v>#REF!</v>
      </c>
      <c r="GY33" t="e">
        <f>AND(#REF!,"AAAAAG8/1c4=")</f>
        <v>#REF!</v>
      </c>
      <c r="GZ33" t="e">
        <f>AND(#REF!,"AAAAAG8/1c8=")</f>
        <v>#REF!</v>
      </c>
      <c r="HA33" t="e">
        <f>AND(#REF!,"AAAAAG8/1dA=")</f>
        <v>#REF!</v>
      </c>
      <c r="HB33" t="e">
        <f>AND(#REF!,"AAAAAG8/1dE=")</f>
        <v>#REF!</v>
      </c>
      <c r="HC33" t="e">
        <f>AND(#REF!,"AAAAAG8/1dI=")</f>
        <v>#REF!</v>
      </c>
      <c r="HD33" t="e">
        <f>AND(#REF!,"AAAAAG8/1dM=")</f>
        <v>#REF!</v>
      </c>
      <c r="HE33" t="e">
        <f>AND(#REF!,"AAAAAG8/1dQ=")</f>
        <v>#REF!</v>
      </c>
      <c r="HF33" t="e">
        <f>AND(#REF!,"AAAAAG8/1dU=")</f>
        <v>#REF!</v>
      </c>
      <c r="HG33" t="e">
        <f>IF(#REF!,"AAAAAG8/1dY=",0)</f>
        <v>#REF!</v>
      </c>
      <c r="HH33" t="e">
        <f>AND(#REF!,"AAAAAG8/1dc=")</f>
        <v>#REF!</v>
      </c>
      <c r="HI33" t="e">
        <f>AND(#REF!,"AAAAAG8/1dg=")</f>
        <v>#REF!</v>
      </c>
      <c r="HJ33" t="e">
        <f>AND(#REF!,"AAAAAG8/1dk=")</f>
        <v>#REF!</v>
      </c>
      <c r="HK33" t="e">
        <f>AND(#REF!,"AAAAAG8/1do=")</f>
        <v>#REF!</v>
      </c>
      <c r="HL33" t="e">
        <f>AND(#REF!,"AAAAAG8/1ds=")</f>
        <v>#REF!</v>
      </c>
      <c r="HM33" t="e">
        <f>AND(#REF!,"AAAAAG8/1dw=")</f>
        <v>#REF!</v>
      </c>
      <c r="HN33" t="e">
        <f>AND(#REF!,"AAAAAG8/1d0=")</f>
        <v>#REF!</v>
      </c>
      <c r="HO33" t="e">
        <f>AND(#REF!,"AAAAAG8/1d4=")</f>
        <v>#REF!</v>
      </c>
      <c r="HP33" t="e">
        <f>IF(#REF!,"AAAAAG8/1d8=",0)</f>
        <v>#REF!</v>
      </c>
      <c r="HQ33" t="e">
        <f>AND(#REF!,"AAAAAG8/1eA=")</f>
        <v>#REF!</v>
      </c>
      <c r="HR33" t="e">
        <f>AND(#REF!,"AAAAAG8/1eE=")</f>
        <v>#REF!</v>
      </c>
      <c r="HS33" t="e">
        <f>AND(#REF!,"AAAAAG8/1eI=")</f>
        <v>#REF!</v>
      </c>
      <c r="HT33" t="e">
        <f>AND(#REF!,"AAAAAG8/1eM=")</f>
        <v>#REF!</v>
      </c>
      <c r="HU33" t="e">
        <f>AND(#REF!,"AAAAAG8/1eQ=")</f>
        <v>#REF!</v>
      </c>
      <c r="HV33" t="e">
        <f>AND(#REF!,"AAAAAG8/1eU=")</f>
        <v>#REF!</v>
      </c>
      <c r="HW33" t="e">
        <f>AND(#REF!,"AAAAAG8/1eY=")</f>
        <v>#REF!</v>
      </c>
      <c r="HX33" t="e">
        <f>AND(#REF!,"AAAAAG8/1ec=")</f>
        <v>#REF!</v>
      </c>
      <c r="HY33" t="e">
        <f>IF(#REF!,"AAAAAG8/1eg=",0)</f>
        <v>#REF!</v>
      </c>
      <c r="HZ33" t="e">
        <f>AND(#REF!,"AAAAAG8/1ek=")</f>
        <v>#REF!</v>
      </c>
      <c r="IA33" t="e">
        <f>AND(#REF!,"AAAAAG8/1eo=")</f>
        <v>#REF!</v>
      </c>
      <c r="IB33" t="e">
        <f>AND(#REF!,"AAAAAG8/1es=")</f>
        <v>#REF!</v>
      </c>
      <c r="IC33" t="e">
        <f>AND(#REF!,"AAAAAG8/1ew=")</f>
        <v>#REF!</v>
      </c>
      <c r="ID33" t="e">
        <f>AND(#REF!,"AAAAAG8/1e0=")</f>
        <v>#REF!</v>
      </c>
      <c r="IE33" t="e">
        <f>AND(#REF!,"AAAAAG8/1e4=")</f>
        <v>#REF!</v>
      </c>
      <c r="IF33" t="e">
        <f>AND(#REF!,"AAAAAG8/1e8=")</f>
        <v>#REF!</v>
      </c>
      <c r="IG33" t="e">
        <f>AND(#REF!,"AAAAAG8/1fA=")</f>
        <v>#REF!</v>
      </c>
      <c r="IH33" t="e">
        <f>IF(#REF!,"AAAAAG8/1fE=",0)</f>
        <v>#REF!</v>
      </c>
      <c r="II33" t="e">
        <f>AND(#REF!,"AAAAAG8/1fI=")</f>
        <v>#REF!</v>
      </c>
      <c r="IJ33" t="e">
        <f>AND(#REF!,"AAAAAG8/1fM=")</f>
        <v>#REF!</v>
      </c>
      <c r="IK33" t="e">
        <f>AND(#REF!,"AAAAAG8/1fQ=")</f>
        <v>#REF!</v>
      </c>
      <c r="IL33" t="e">
        <f>AND(#REF!,"AAAAAG8/1fU=")</f>
        <v>#REF!</v>
      </c>
      <c r="IM33" t="e">
        <f>AND(#REF!,"AAAAAG8/1fY=")</f>
        <v>#REF!</v>
      </c>
      <c r="IN33" t="e">
        <f>AND(#REF!,"AAAAAG8/1fc=")</f>
        <v>#REF!</v>
      </c>
      <c r="IO33" t="e">
        <f>AND(#REF!,"AAAAAG8/1fg=")</f>
        <v>#REF!</v>
      </c>
      <c r="IP33" t="e">
        <f>AND(#REF!,"AAAAAG8/1fk=")</f>
        <v>#REF!</v>
      </c>
      <c r="IQ33" t="e">
        <f>IF(#REF!,"AAAAAG8/1fo=",0)</f>
        <v>#REF!</v>
      </c>
      <c r="IR33" t="e">
        <f>AND(#REF!,"AAAAAG8/1fs=")</f>
        <v>#REF!</v>
      </c>
      <c r="IS33" t="e">
        <f>AND(#REF!,"AAAAAG8/1fw=")</f>
        <v>#REF!</v>
      </c>
      <c r="IT33" t="e">
        <f>AND(#REF!,"AAAAAG8/1f0=")</f>
        <v>#REF!</v>
      </c>
      <c r="IU33" t="e">
        <f>AND(#REF!,"AAAAAG8/1f4=")</f>
        <v>#REF!</v>
      </c>
      <c r="IV33" t="e">
        <f>AND(#REF!,"AAAAAG8/1f8=")</f>
        <v>#REF!</v>
      </c>
    </row>
    <row r="34" spans="1:256">
      <c r="A34" t="e">
        <f>AND(#REF!,"AAAAAC7/rwA=")</f>
        <v>#REF!</v>
      </c>
      <c r="B34" t="e">
        <f>AND(#REF!,"AAAAAC7/rwE=")</f>
        <v>#REF!</v>
      </c>
      <c r="C34" t="e">
        <f>AND(#REF!,"AAAAAC7/rwI=")</f>
        <v>#REF!</v>
      </c>
      <c r="D34" t="e">
        <f>IF(#REF!,"AAAAAC7/rwM=",0)</f>
        <v>#REF!</v>
      </c>
      <c r="E34" t="e">
        <f>AND(#REF!,"AAAAAC7/rwQ=")</f>
        <v>#REF!</v>
      </c>
      <c r="F34" t="e">
        <f>AND(#REF!,"AAAAAC7/rwU=")</f>
        <v>#REF!</v>
      </c>
      <c r="G34" t="e">
        <f>AND(#REF!,"AAAAAC7/rwY=")</f>
        <v>#REF!</v>
      </c>
      <c r="H34" t="e">
        <f>AND(#REF!,"AAAAAC7/rwc=")</f>
        <v>#REF!</v>
      </c>
      <c r="I34" t="e">
        <f>AND(#REF!,"AAAAAC7/rwg=")</f>
        <v>#REF!</v>
      </c>
      <c r="J34" t="e">
        <f>AND(#REF!,"AAAAAC7/rwk=")</f>
        <v>#REF!</v>
      </c>
      <c r="K34" t="e">
        <f>AND(#REF!,"AAAAAC7/rwo=")</f>
        <v>#REF!</v>
      </c>
      <c r="L34" t="e">
        <f>AND(#REF!,"AAAAAC7/rws=")</f>
        <v>#REF!</v>
      </c>
      <c r="M34" t="e">
        <f>IF(#REF!,"AAAAAC7/rww=",0)</f>
        <v>#REF!</v>
      </c>
      <c r="N34" t="e">
        <f>AND(#REF!,"AAAAAC7/rw0=")</f>
        <v>#REF!</v>
      </c>
      <c r="O34" t="e">
        <f>AND(#REF!,"AAAAAC7/rw4=")</f>
        <v>#REF!</v>
      </c>
      <c r="P34" t="e">
        <f>AND(#REF!,"AAAAAC7/rw8=")</f>
        <v>#REF!</v>
      </c>
      <c r="Q34" t="e">
        <f>AND(#REF!,"AAAAAC7/rxA=")</f>
        <v>#REF!</v>
      </c>
      <c r="R34" t="e">
        <f>AND(#REF!,"AAAAAC7/rxE=")</f>
        <v>#REF!</v>
      </c>
      <c r="S34" t="e">
        <f>AND(#REF!,"AAAAAC7/rxI=")</f>
        <v>#REF!</v>
      </c>
      <c r="T34" t="e">
        <f>AND(#REF!,"AAAAAC7/rxM=")</f>
        <v>#REF!</v>
      </c>
      <c r="U34" t="e">
        <f>AND(#REF!,"AAAAAC7/rxQ=")</f>
        <v>#REF!</v>
      </c>
      <c r="V34" t="e">
        <f>IF(#REF!,"AAAAAC7/rxU=",0)</f>
        <v>#REF!</v>
      </c>
      <c r="W34" t="e">
        <f>AND(#REF!,"AAAAAC7/rxY=")</f>
        <v>#REF!</v>
      </c>
      <c r="X34" t="e">
        <f>AND(#REF!,"AAAAAC7/rxc=")</f>
        <v>#REF!</v>
      </c>
      <c r="Y34" t="e">
        <f>AND(#REF!,"AAAAAC7/rxg=")</f>
        <v>#REF!</v>
      </c>
      <c r="Z34" t="e">
        <f>AND(#REF!,"AAAAAC7/rxk=")</f>
        <v>#REF!</v>
      </c>
      <c r="AA34" t="e">
        <f>AND(#REF!,"AAAAAC7/rxo=")</f>
        <v>#REF!</v>
      </c>
      <c r="AB34" t="e">
        <f>AND(#REF!,"AAAAAC7/rxs=")</f>
        <v>#REF!</v>
      </c>
      <c r="AC34" t="e">
        <f>AND(#REF!,"AAAAAC7/rxw=")</f>
        <v>#REF!</v>
      </c>
      <c r="AD34" t="e">
        <f>AND(#REF!,"AAAAAC7/rx0=")</f>
        <v>#REF!</v>
      </c>
      <c r="AE34" t="e">
        <f>IF(#REF!,"AAAAAC7/rx4=",0)</f>
        <v>#REF!</v>
      </c>
      <c r="AF34" t="e">
        <f>AND(#REF!,"AAAAAC7/rx8=")</f>
        <v>#REF!</v>
      </c>
      <c r="AG34" t="e">
        <f>AND(#REF!,"AAAAAC7/ryA=")</f>
        <v>#REF!</v>
      </c>
      <c r="AH34" t="e">
        <f>AND(#REF!,"AAAAAC7/ryE=")</f>
        <v>#REF!</v>
      </c>
      <c r="AI34" t="e">
        <f>AND(#REF!,"AAAAAC7/ryI=")</f>
        <v>#REF!</v>
      </c>
      <c r="AJ34" t="e">
        <f>AND(#REF!,"AAAAAC7/ryM=")</f>
        <v>#REF!</v>
      </c>
      <c r="AK34" t="e">
        <f>AND(#REF!,"AAAAAC7/ryQ=")</f>
        <v>#REF!</v>
      </c>
      <c r="AL34" t="e">
        <f>AND(#REF!,"AAAAAC7/ryU=")</f>
        <v>#REF!</v>
      </c>
      <c r="AM34" t="e">
        <f>AND(#REF!,"AAAAAC7/ryY=")</f>
        <v>#REF!</v>
      </c>
      <c r="AN34" t="e">
        <f>IF(#REF!,"AAAAAC7/ryc=",0)</f>
        <v>#REF!</v>
      </c>
      <c r="AO34" t="e">
        <f>AND(#REF!,"AAAAAC7/ryg=")</f>
        <v>#REF!</v>
      </c>
      <c r="AP34" t="e">
        <f>AND(#REF!,"AAAAAC7/ryk=")</f>
        <v>#REF!</v>
      </c>
      <c r="AQ34" t="e">
        <f>AND(#REF!,"AAAAAC7/ryo=")</f>
        <v>#REF!</v>
      </c>
      <c r="AR34" t="e">
        <f>AND(#REF!,"AAAAAC7/rys=")</f>
        <v>#REF!</v>
      </c>
      <c r="AS34" t="e">
        <f>AND(#REF!,"AAAAAC7/ryw=")</f>
        <v>#REF!</v>
      </c>
      <c r="AT34" t="e">
        <f>AND(#REF!,"AAAAAC7/ry0=")</f>
        <v>#REF!</v>
      </c>
      <c r="AU34" t="e">
        <f>AND(#REF!,"AAAAAC7/ry4=")</f>
        <v>#REF!</v>
      </c>
      <c r="AV34" t="e">
        <f>AND(#REF!,"AAAAAC7/ry8=")</f>
        <v>#REF!</v>
      </c>
      <c r="AW34" t="e">
        <f>IF(#REF!,"AAAAAC7/rzA=",0)</f>
        <v>#REF!</v>
      </c>
      <c r="AX34" t="e">
        <f>AND(#REF!,"AAAAAC7/rzE=")</f>
        <v>#REF!</v>
      </c>
      <c r="AY34" t="e">
        <f>AND(#REF!,"AAAAAC7/rzI=")</f>
        <v>#REF!</v>
      </c>
      <c r="AZ34" t="e">
        <f>AND(#REF!,"AAAAAC7/rzM=")</f>
        <v>#REF!</v>
      </c>
      <c r="BA34" t="e">
        <f>AND(#REF!,"AAAAAC7/rzQ=")</f>
        <v>#REF!</v>
      </c>
      <c r="BB34" t="e">
        <f>AND(#REF!,"AAAAAC7/rzU=")</f>
        <v>#REF!</v>
      </c>
      <c r="BC34" t="e">
        <f>AND(#REF!,"AAAAAC7/rzY=")</f>
        <v>#REF!</v>
      </c>
      <c r="BD34" t="e">
        <f>AND(#REF!,"AAAAAC7/rzc=")</f>
        <v>#REF!</v>
      </c>
      <c r="BE34" t="e">
        <f>AND(#REF!,"AAAAAC7/rzg=")</f>
        <v>#REF!</v>
      </c>
      <c r="BF34" t="e">
        <f>IF(#REF!,"AAAAAC7/rzk=",0)</f>
        <v>#REF!</v>
      </c>
      <c r="BG34" t="e">
        <f>AND(#REF!,"AAAAAC7/rzo=")</f>
        <v>#REF!</v>
      </c>
      <c r="BH34" t="e">
        <f>AND(#REF!,"AAAAAC7/rzs=")</f>
        <v>#REF!</v>
      </c>
      <c r="BI34" t="e">
        <f>AND(#REF!,"AAAAAC7/rzw=")</f>
        <v>#REF!</v>
      </c>
      <c r="BJ34" t="e">
        <f>AND(#REF!,"AAAAAC7/rz0=")</f>
        <v>#REF!</v>
      </c>
      <c r="BK34" t="e">
        <f>AND(#REF!,"AAAAAC7/rz4=")</f>
        <v>#REF!</v>
      </c>
      <c r="BL34" t="e">
        <f>AND(#REF!,"AAAAAC7/rz8=")</f>
        <v>#REF!</v>
      </c>
      <c r="BM34" t="e">
        <f>AND(#REF!,"AAAAAC7/r0A=")</f>
        <v>#REF!</v>
      </c>
      <c r="BN34" t="e">
        <f>AND(#REF!,"AAAAAC7/r0E=")</f>
        <v>#REF!</v>
      </c>
      <c r="BO34" t="e">
        <f>IF(#REF!,"AAAAAC7/r0I=",0)</f>
        <v>#REF!</v>
      </c>
      <c r="BP34" t="e">
        <f>AND(#REF!,"AAAAAC7/r0M=")</f>
        <v>#REF!</v>
      </c>
      <c r="BQ34" t="e">
        <f>AND(#REF!,"AAAAAC7/r0Q=")</f>
        <v>#REF!</v>
      </c>
      <c r="BR34" t="e">
        <f>AND(#REF!,"AAAAAC7/r0U=")</f>
        <v>#REF!</v>
      </c>
      <c r="BS34" t="e">
        <f>AND(#REF!,"AAAAAC7/r0Y=")</f>
        <v>#REF!</v>
      </c>
      <c r="BT34" t="e">
        <f>AND(#REF!,"AAAAAC7/r0c=")</f>
        <v>#REF!</v>
      </c>
      <c r="BU34" t="e">
        <f>AND(#REF!,"AAAAAC7/r0g=")</f>
        <v>#REF!</v>
      </c>
      <c r="BV34" t="e">
        <f>AND(#REF!,"AAAAAC7/r0k=")</f>
        <v>#REF!</v>
      </c>
      <c r="BW34" t="e">
        <f>AND(#REF!,"AAAAAC7/r0o=")</f>
        <v>#REF!</v>
      </c>
      <c r="BX34" t="e">
        <f>IF(#REF!,"AAAAAC7/r0s=",0)</f>
        <v>#REF!</v>
      </c>
      <c r="BY34" t="e">
        <f>AND(#REF!,"AAAAAC7/r0w=")</f>
        <v>#REF!</v>
      </c>
      <c r="BZ34" t="e">
        <f>AND(#REF!,"AAAAAC7/r00=")</f>
        <v>#REF!</v>
      </c>
      <c r="CA34" t="e">
        <f>AND(#REF!,"AAAAAC7/r04=")</f>
        <v>#REF!</v>
      </c>
      <c r="CB34" t="e">
        <f>AND(#REF!,"AAAAAC7/r08=")</f>
        <v>#REF!</v>
      </c>
      <c r="CC34" t="e">
        <f>AND(#REF!,"AAAAAC7/r1A=")</f>
        <v>#REF!</v>
      </c>
      <c r="CD34" t="e">
        <f>AND(#REF!,"AAAAAC7/r1E=")</f>
        <v>#REF!</v>
      </c>
      <c r="CE34" t="e">
        <f>AND(#REF!,"AAAAAC7/r1I=")</f>
        <v>#REF!</v>
      </c>
      <c r="CF34" t="e">
        <f>AND(#REF!,"AAAAAC7/r1M=")</f>
        <v>#REF!</v>
      </c>
      <c r="CG34" t="e">
        <f>IF(#REF!,"AAAAAC7/r1Q=",0)</f>
        <v>#REF!</v>
      </c>
      <c r="CH34" t="e">
        <f>AND(#REF!,"AAAAAC7/r1U=")</f>
        <v>#REF!</v>
      </c>
      <c r="CI34" t="e">
        <f>AND(#REF!,"AAAAAC7/r1Y=")</f>
        <v>#REF!</v>
      </c>
      <c r="CJ34" t="e">
        <f>AND(#REF!,"AAAAAC7/r1c=")</f>
        <v>#REF!</v>
      </c>
      <c r="CK34" t="e">
        <f>AND(#REF!,"AAAAAC7/r1g=")</f>
        <v>#REF!</v>
      </c>
      <c r="CL34" t="e">
        <f>AND(#REF!,"AAAAAC7/r1k=")</f>
        <v>#REF!</v>
      </c>
      <c r="CM34" t="e">
        <f>AND(#REF!,"AAAAAC7/r1o=")</f>
        <v>#REF!</v>
      </c>
      <c r="CN34" t="e">
        <f>AND(#REF!,"AAAAAC7/r1s=")</f>
        <v>#REF!</v>
      </c>
      <c r="CO34" t="e">
        <f>AND(#REF!,"AAAAAC7/r1w=")</f>
        <v>#REF!</v>
      </c>
      <c r="CP34" t="e">
        <f>IF(#REF!,"AAAAAC7/r10=",0)</f>
        <v>#REF!</v>
      </c>
      <c r="CQ34" t="e">
        <f>AND(#REF!,"AAAAAC7/r14=")</f>
        <v>#REF!</v>
      </c>
      <c r="CR34" t="e">
        <f>AND(#REF!,"AAAAAC7/r18=")</f>
        <v>#REF!</v>
      </c>
      <c r="CS34" t="e">
        <f>AND(#REF!,"AAAAAC7/r2A=")</f>
        <v>#REF!</v>
      </c>
      <c r="CT34" t="e">
        <f>AND(#REF!,"AAAAAC7/r2E=")</f>
        <v>#REF!</v>
      </c>
      <c r="CU34" t="e">
        <f>AND(#REF!,"AAAAAC7/r2I=")</f>
        <v>#REF!</v>
      </c>
      <c r="CV34" t="e">
        <f>AND(#REF!,"AAAAAC7/r2M=")</f>
        <v>#REF!</v>
      </c>
      <c r="CW34" t="e">
        <f>AND(#REF!,"AAAAAC7/r2Q=")</f>
        <v>#REF!</v>
      </c>
      <c r="CX34" t="e">
        <f>AND(#REF!,"AAAAAC7/r2U=")</f>
        <v>#REF!</v>
      </c>
      <c r="CY34" t="e">
        <f>IF(#REF!,"AAAAAC7/r2Y=",0)</f>
        <v>#REF!</v>
      </c>
      <c r="CZ34" t="e">
        <f>AND(#REF!,"AAAAAC7/r2c=")</f>
        <v>#REF!</v>
      </c>
      <c r="DA34" t="e">
        <f>AND(#REF!,"AAAAAC7/r2g=")</f>
        <v>#REF!</v>
      </c>
      <c r="DB34" t="e">
        <f>AND(#REF!,"AAAAAC7/r2k=")</f>
        <v>#REF!</v>
      </c>
      <c r="DC34" t="e">
        <f>AND(#REF!,"AAAAAC7/r2o=")</f>
        <v>#REF!</v>
      </c>
      <c r="DD34" t="e">
        <f>AND(#REF!,"AAAAAC7/r2s=")</f>
        <v>#REF!</v>
      </c>
      <c r="DE34" t="e">
        <f>AND(#REF!,"AAAAAC7/r2w=")</f>
        <v>#REF!</v>
      </c>
      <c r="DF34" t="e">
        <f>AND(#REF!,"AAAAAC7/r20=")</f>
        <v>#REF!</v>
      </c>
      <c r="DG34" t="e">
        <f>AND(#REF!,"AAAAAC7/r24=")</f>
        <v>#REF!</v>
      </c>
      <c r="DH34" t="e">
        <f>IF(#REF!,"AAAAAC7/r28=",0)</f>
        <v>#REF!</v>
      </c>
      <c r="DI34" t="e">
        <f>AND(#REF!,"AAAAAC7/r3A=")</f>
        <v>#REF!</v>
      </c>
      <c r="DJ34" t="e">
        <f>AND(#REF!,"AAAAAC7/r3E=")</f>
        <v>#REF!</v>
      </c>
      <c r="DK34" t="e">
        <f>AND(#REF!,"AAAAAC7/r3I=")</f>
        <v>#REF!</v>
      </c>
      <c r="DL34" t="e">
        <f>AND(#REF!,"AAAAAC7/r3M=")</f>
        <v>#REF!</v>
      </c>
      <c r="DM34" t="e">
        <f>AND(#REF!,"AAAAAC7/r3Q=")</f>
        <v>#REF!</v>
      </c>
      <c r="DN34" t="e">
        <f>AND(#REF!,"AAAAAC7/r3U=")</f>
        <v>#REF!</v>
      </c>
      <c r="DO34" t="e">
        <f>AND(#REF!,"AAAAAC7/r3Y=")</f>
        <v>#REF!</v>
      </c>
      <c r="DP34" t="e">
        <f>AND(#REF!,"AAAAAC7/r3c=")</f>
        <v>#REF!</v>
      </c>
      <c r="DQ34" t="e">
        <f>IF(#REF!,"AAAAAC7/r3g=",0)</f>
        <v>#REF!</v>
      </c>
      <c r="DR34" t="e">
        <f>AND(#REF!,"AAAAAC7/r3k=")</f>
        <v>#REF!</v>
      </c>
      <c r="DS34" t="e">
        <f>AND(#REF!,"AAAAAC7/r3o=")</f>
        <v>#REF!</v>
      </c>
      <c r="DT34" t="e">
        <f>AND(#REF!,"AAAAAC7/r3s=")</f>
        <v>#REF!</v>
      </c>
      <c r="DU34" t="e">
        <f>AND(#REF!,"AAAAAC7/r3w=")</f>
        <v>#REF!</v>
      </c>
      <c r="DV34" t="e">
        <f>AND(#REF!,"AAAAAC7/r30=")</f>
        <v>#REF!</v>
      </c>
      <c r="DW34" t="e">
        <f>AND(#REF!,"AAAAAC7/r34=")</f>
        <v>#REF!</v>
      </c>
      <c r="DX34" t="e">
        <f>AND(#REF!,"AAAAAC7/r38=")</f>
        <v>#REF!</v>
      </c>
      <c r="DY34" t="e">
        <f>AND(#REF!,"AAAAAC7/r4A=")</f>
        <v>#REF!</v>
      </c>
      <c r="DZ34" t="e">
        <f>IF(#REF!,"AAAAAC7/r4E=",0)</f>
        <v>#REF!</v>
      </c>
      <c r="EA34" t="e">
        <f>AND(#REF!,"AAAAAC7/r4I=")</f>
        <v>#REF!</v>
      </c>
      <c r="EB34" t="e">
        <f>AND(#REF!,"AAAAAC7/r4M=")</f>
        <v>#REF!</v>
      </c>
      <c r="EC34" t="e">
        <f>AND(#REF!,"AAAAAC7/r4Q=")</f>
        <v>#REF!</v>
      </c>
      <c r="ED34" t="e">
        <f>AND(#REF!,"AAAAAC7/r4U=")</f>
        <v>#REF!</v>
      </c>
      <c r="EE34" t="e">
        <f>AND(#REF!,"AAAAAC7/r4Y=")</f>
        <v>#REF!</v>
      </c>
      <c r="EF34" t="e">
        <f>AND(#REF!,"AAAAAC7/r4c=")</f>
        <v>#REF!</v>
      </c>
      <c r="EG34" t="e">
        <f>AND(#REF!,"AAAAAC7/r4g=")</f>
        <v>#REF!</v>
      </c>
      <c r="EH34" t="e">
        <f>AND(#REF!,"AAAAAC7/r4k=")</f>
        <v>#REF!</v>
      </c>
      <c r="EI34" t="e">
        <f>IF(#REF!,"AAAAAC7/r4o=",0)</f>
        <v>#REF!</v>
      </c>
      <c r="EJ34" t="e">
        <f>AND(#REF!,"AAAAAC7/r4s=")</f>
        <v>#REF!</v>
      </c>
      <c r="EK34" t="e">
        <f>AND(#REF!,"AAAAAC7/r4w=")</f>
        <v>#REF!</v>
      </c>
      <c r="EL34" t="e">
        <f>AND(#REF!,"AAAAAC7/r40=")</f>
        <v>#REF!</v>
      </c>
      <c r="EM34" t="e">
        <f>AND(#REF!,"AAAAAC7/r44=")</f>
        <v>#REF!</v>
      </c>
      <c r="EN34" t="e">
        <f>AND(#REF!,"AAAAAC7/r48=")</f>
        <v>#REF!</v>
      </c>
      <c r="EO34" t="e">
        <f>AND(#REF!,"AAAAAC7/r5A=")</f>
        <v>#REF!</v>
      </c>
      <c r="EP34" t="e">
        <f>AND(#REF!,"AAAAAC7/r5E=")</f>
        <v>#REF!</v>
      </c>
      <c r="EQ34" t="e">
        <f>AND(#REF!,"AAAAAC7/r5I=")</f>
        <v>#REF!</v>
      </c>
      <c r="ER34" t="e">
        <f>IF(#REF!,"AAAAAC7/r5M=",0)</f>
        <v>#REF!</v>
      </c>
      <c r="ES34" t="e">
        <f>AND(#REF!,"AAAAAC7/r5Q=")</f>
        <v>#REF!</v>
      </c>
      <c r="ET34" t="e">
        <f>AND(#REF!,"AAAAAC7/r5U=")</f>
        <v>#REF!</v>
      </c>
      <c r="EU34" t="e">
        <f>AND(#REF!,"AAAAAC7/r5Y=")</f>
        <v>#REF!</v>
      </c>
      <c r="EV34" t="e">
        <f>AND(#REF!,"AAAAAC7/r5c=")</f>
        <v>#REF!</v>
      </c>
      <c r="EW34" t="e">
        <f>AND(#REF!,"AAAAAC7/r5g=")</f>
        <v>#REF!</v>
      </c>
      <c r="EX34" t="e">
        <f>AND(#REF!,"AAAAAC7/r5k=")</f>
        <v>#REF!</v>
      </c>
      <c r="EY34" t="e">
        <f>AND(#REF!,"AAAAAC7/r5o=")</f>
        <v>#REF!</v>
      </c>
      <c r="EZ34" t="e">
        <f>AND(#REF!,"AAAAAC7/r5s=")</f>
        <v>#REF!</v>
      </c>
      <c r="FA34" t="e">
        <f>IF(#REF!,"AAAAAC7/r5w=",0)</f>
        <v>#REF!</v>
      </c>
      <c r="FB34" t="e">
        <f>AND(#REF!,"AAAAAC7/r50=")</f>
        <v>#REF!</v>
      </c>
      <c r="FC34" t="e">
        <f>AND(#REF!,"AAAAAC7/r54=")</f>
        <v>#REF!</v>
      </c>
      <c r="FD34" t="e">
        <f>AND(#REF!,"AAAAAC7/r58=")</f>
        <v>#REF!</v>
      </c>
      <c r="FE34" t="e">
        <f>AND(#REF!,"AAAAAC7/r6A=")</f>
        <v>#REF!</v>
      </c>
      <c r="FF34" t="e">
        <f>AND(#REF!,"AAAAAC7/r6E=")</f>
        <v>#REF!</v>
      </c>
      <c r="FG34" t="e">
        <f>AND(#REF!,"AAAAAC7/r6I=")</f>
        <v>#REF!</v>
      </c>
      <c r="FH34" t="e">
        <f>AND(#REF!,"AAAAAC7/r6M=")</f>
        <v>#REF!</v>
      </c>
      <c r="FI34" t="e">
        <f>AND(#REF!,"AAAAAC7/r6Q=")</f>
        <v>#REF!</v>
      </c>
      <c r="FJ34" t="e">
        <f>IF(#REF!,"AAAAAC7/r6U=",0)</f>
        <v>#REF!</v>
      </c>
      <c r="FK34" t="e">
        <f>AND(#REF!,"AAAAAC7/r6Y=")</f>
        <v>#REF!</v>
      </c>
      <c r="FL34" t="e">
        <f>AND(#REF!,"AAAAAC7/r6c=")</f>
        <v>#REF!</v>
      </c>
      <c r="FM34" t="e">
        <f>AND(#REF!,"AAAAAC7/r6g=")</f>
        <v>#REF!</v>
      </c>
      <c r="FN34" t="e">
        <f>AND(#REF!,"AAAAAC7/r6k=")</f>
        <v>#REF!</v>
      </c>
      <c r="FO34" t="e">
        <f>AND(#REF!,"AAAAAC7/r6o=")</f>
        <v>#REF!</v>
      </c>
      <c r="FP34" t="e">
        <f>AND(#REF!,"AAAAAC7/r6s=")</f>
        <v>#REF!</v>
      </c>
      <c r="FQ34" t="e">
        <f>AND(#REF!,"AAAAAC7/r6w=")</f>
        <v>#REF!</v>
      </c>
      <c r="FR34" t="e">
        <f>AND(#REF!,"AAAAAC7/r60=")</f>
        <v>#REF!</v>
      </c>
      <c r="FS34" t="e">
        <f>IF(#REF!,"AAAAAC7/r64=",0)</f>
        <v>#REF!</v>
      </c>
      <c r="FT34" t="e">
        <f>AND(#REF!,"AAAAAC7/r68=")</f>
        <v>#REF!</v>
      </c>
      <c r="FU34" t="e">
        <f>AND(#REF!,"AAAAAC7/r7A=")</f>
        <v>#REF!</v>
      </c>
      <c r="FV34" t="e">
        <f>AND(#REF!,"AAAAAC7/r7E=")</f>
        <v>#REF!</v>
      </c>
      <c r="FW34" t="e">
        <f>AND(#REF!,"AAAAAC7/r7I=")</f>
        <v>#REF!</v>
      </c>
      <c r="FX34" t="e">
        <f>AND(#REF!,"AAAAAC7/r7M=")</f>
        <v>#REF!</v>
      </c>
      <c r="FY34" t="e">
        <f>AND(#REF!,"AAAAAC7/r7Q=")</f>
        <v>#REF!</v>
      </c>
      <c r="FZ34" t="e">
        <f>AND(#REF!,"AAAAAC7/r7U=")</f>
        <v>#REF!</v>
      </c>
      <c r="GA34" t="e">
        <f>AND(#REF!,"AAAAAC7/r7Y=")</f>
        <v>#REF!</v>
      </c>
      <c r="GB34" t="e">
        <f>IF(#REF!,"AAAAAC7/r7c=",0)</f>
        <v>#REF!</v>
      </c>
      <c r="GC34" t="e">
        <f>AND(#REF!,"AAAAAC7/r7g=")</f>
        <v>#REF!</v>
      </c>
      <c r="GD34" t="e">
        <f>AND(#REF!,"AAAAAC7/r7k=")</f>
        <v>#REF!</v>
      </c>
      <c r="GE34" t="e">
        <f>AND(#REF!,"AAAAAC7/r7o=")</f>
        <v>#REF!</v>
      </c>
      <c r="GF34" t="e">
        <f>AND(#REF!,"AAAAAC7/r7s=")</f>
        <v>#REF!</v>
      </c>
      <c r="GG34" t="e">
        <f>AND(#REF!,"AAAAAC7/r7w=")</f>
        <v>#REF!</v>
      </c>
      <c r="GH34" t="e">
        <f>AND(#REF!,"AAAAAC7/r70=")</f>
        <v>#REF!</v>
      </c>
      <c r="GI34" t="e">
        <f>AND(#REF!,"AAAAAC7/r74=")</f>
        <v>#REF!</v>
      </c>
      <c r="GJ34" t="e">
        <f>AND(#REF!,"AAAAAC7/r78=")</f>
        <v>#REF!</v>
      </c>
      <c r="GK34" t="e">
        <f>IF(#REF!,"AAAAAC7/r8A=",0)</f>
        <v>#REF!</v>
      </c>
      <c r="GL34" t="e">
        <f>AND(#REF!,"AAAAAC7/r8E=")</f>
        <v>#REF!</v>
      </c>
      <c r="GM34" t="e">
        <f>AND(#REF!,"AAAAAC7/r8I=")</f>
        <v>#REF!</v>
      </c>
      <c r="GN34" t="e">
        <f>AND(#REF!,"AAAAAC7/r8M=")</f>
        <v>#REF!</v>
      </c>
      <c r="GO34" t="e">
        <f>AND(#REF!,"AAAAAC7/r8Q=")</f>
        <v>#REF!</v>
      </c>
      <c r="GP34" t="e">
        <f>AND(#REF!,"AAAAAC7/r8U=")</f>
        <v>#REF!</v>
      </c>
      <c r="GQ34" t="e">
        <f>AND(#REF!,"AAAAAC7/r8Y=")</f>
        <v>#REF!</v>
      </c>
      <c r="GR34" t="e">
        <f>AND(#REF!,"AAAAAC7/r8c=")</f>
        <v>#REF!</v>
      </c>
      <c r="GS34" t="e">
        <f>AND(#REF!,"AAAAAC7/r8g=")</f>
        <v>#REF!</v>
      </c>
      <c r="GT34" t="e">
        <f>IF(#REF!,"AAAAAC7/r8k=",0)</f>
        <v>#REF!</v>
      </c>
      <c r="GU34" t="e">
        <f>AND(#REF!,"AAAAAC7/r8o=")</f>
        <v>#REF!</v>
      </c>
      <c r="GV34" t="e">
        <f>AND(#REF!,"AAAAAC7/r8s=")</f>
        <v>#REF!</v>
      </c>
      <c r="GW34" t="e">
        <f>AND(#REF!,"AAAAAC7/r8w=")</f>
        <v>#REF!</v>
      </c>
      <c r="GX34" t="e">
        <f>AND(#REF!,"AAAAAC7/r80=")</f>
        <v>#REF!</v>
      </c>
      <c r="GY34" t="e">
        <f>AND(#REF!,"AAAAAC7/r84=")</f>
        <v>#REF!</v>
      </c>
      <c r="GZ34" t="e">
        <f>AND(#REF!,"AAAAAC7/r88=")</f>
        <v>#REF!</v>
      </c>
      <c r="HA34" t="e">
        <f>AND(#REF!,"AAAAAC7/r9A=")</f>
        <v>#REF!</v>
      </c>
      <c r="HB34" t="e">
        <f>AND(#REF!,"AAAAAC7/r9E=")</f>
        <v>#REF!</v>
      </c>
      <c r="HC34" t="e">
        <f>IF(#REF!,"AAAAAC7/r9I=",0)</f>
        <v>#REF!</v>
      </c>
      <c r="HD34" t="e">
        <f>AND(#REF!,"AAAAAC7/r9M=")</f>
        <v>#REF!</v>
      </c>
      <c r="HE34" t="e">
        <f>AND(#REF!,"AAAAAC7/r9Q=")</f>
        <v>#REF!</v>
      </c>
      <c r="HF34" t="e">
        <f>AND(#REF!,"AAAAAC7/r9U=")</f>
        <v>#REF!</v>
      </c>
      <c r="HG34" t="e">
        <f>AND(#REF!,"AAAAAC7/r9Y=")</f>
        <v>#REF!</v>
      </c>
      <c r="HH34" t="e">
        <f>AND(#REF!,"AAAAAC7/r9c=")</f>
        <v>#REF!</v>
      </c>
      <c r="HI34" t="e">
        <f>AND(#REF!,"AAAAAC7/r9g=")</f>
        <v>#REF!</v>
      </c>
      <c r="HJ34" t="e">
        <f>AND(#REF!,"AAAAAC7/r9k=")</f>
        <v>#REF!</v>
      </c>
      <c r="HK34" t="e">
        <f>AND(#REF!,"AAAAAC7/r9o=")</f>
        <v>#REF!</v>
      </c>
      <c r="HL34" t="e">
        <f>IF(#REF!,"AAAAAC7/r9s=",0)</f>
        <v>#REF!</v>
      </c>
      <c r="HM34" t="e">
        <f>AND(#REF!,"AAAAAC7/r9w=")</f>
        <v>#REF!</v>
      </c>
      <c r="HN34" t="e">
        <f>AND(#REF!,"AAAAAC7/r90=")</f>
        <v>#REF!</v>
      </c>
      <c r="HO34" t="e">
        <f>AND(#REF!,"AAAAAC7/r94=")</f>
        <v>#REF!</v>
      </c>
      <c r="HP34" t="e">
        <f>AND(#REF!,"AAAAAC7/r98=")</f>
        <v>#REF!</v>
      </c>
      <c r="HQ34" t="e">
        <f>AND(#REF!,"AAAAAC7/r+A=")</f>
        <v>#REF!</v>
      </c>
      <c r="HR34" t="e">
        <f>AND(#REF!,"AAAAAC7/r+E=")</f>
        <v>#REF!</v>
      </c>
      <c r="HS34" t="e">
        <f>AND(#REF!,"AAAAAC7/r+I=")</f>
        <v>#REF!</v>
      </c>
      <c r="HT34" t="e">
        <f>AND(#REF!,"AAAAAC7/r+M=")</f>
        <v>#REF!</v>
      </c>
      <c r="HU34" t="e">
        <f>IF(#REF!,"AAAAAC7/r+Q=",0)</f>
        <v>#REF!</v>
      </c>
      <c r="HV34" t="e">
        <f>AND(#REF!,"AAAAAC7/r+U=")</f>
        <v>#REF!</v>
      </c>
      <c r="HW34" t="e">
        <f>AND(#REF!,"AAAAAC7/r+Y=")</f>
        <v>#REF!</v>
      </c>
      <c r="HX34" t="e">
        <f>AND(#REF!,"AAAAAC7/r+c=")</f>
        <v>#REF!</v>
      </c>
      <c r="HY34" t="e">
        <f>AND(#REF!,"AAAAAC7/r+g=")</f>
        <v>#REF!</v>
      </c>
      <c r="HZ34" t="e">
        <f>AND(#REF!,"AAAAAC7/r+k=")</f>
        <v>#REF!</v>
      </c>
      <c r="IA34" t="e">
        <f>AND(#REF!,"AAAAAC7/r+o=")</f>
        <v>#REF!</v>
      </c>
      <c r="IB34" t="e">
        <f>AND(#REF!,"AAAAAC7/r+s=")</f>
        <v>#REF!</v>
      </c>
      <c r="IC34" t="e">
        <f>AND(#REF!,"AAAAAC7/r+w=")</f>
        <v>#REF!</v>
      </c>
      <c r="ID34" t="e">
        <f>IF(#REF!,"AAAAAC7/r+0=",0)</f>
        <v>#REF!</v>
      </c>
      <c r="IE34" t="e">
        <f>AND(#REF!,"AAAAAC7/r+4=")</f>
        <v>#REF!</v>
      </c>
      <c r="IF34" t="e">
        <f>AND(#REF!,"AAAAAC7/r+8=")</f>
        <v>#REF!</v>
      </c>
      <c r="IG34" t="e">
        <f>AND(#REF!,"AAAAAC7/r/A=")</f>
        <v>#REF!</v>
      </c>
      <c r="IH34" t="e">
        <f>AND(#REF!,"AAAAAC7/r/E=")</f>
        <v>#REF!</v>
      </c>
      <c r="II34" t="e">
        <f>AND(#REF!,"AAAAAC7/r/I=")</f>
        <v>#REF!</v>
      </c>
      <c r="IJ34" t="e">
        <f>AND(#REF!,"AAAAAC7/r/M=")</f>
        <v>#REF!</v>
      </c>
      <c r="IK34" t="e">
        <f>AND(#REF!,"AAAAAC7/r/Q=")</f>
        <v>#REF!</v>
      </c>
      <c r="IL34" t="e">
        <f>AND(#REF!,"AAAAAC7/r/U=")</f>
        <v>#REF!</v>
      </c>
      <c r="IM34" t="e">
        <f>IF(#REF!,"AAAAAC7/r/Y=",0)</f>
        <v>#REF!</v>
      </c>
      <c r="IN34" t="e">
        <f>AND(#REF!,"AAAAAC7/r/c=")</f>
        <v>#REF!</v>
      </c>
      <c r="IO34" t="e">
        <f>AND(#REF!,"AAAAAC7/r/g=")</f>
        <v>#REF!</v>
      </c>
      <c r="IP34" t="e">
        <f>AND(#REF!,"AAAAAC7/r/k=")</f>
        <v>#REF!</v>
      </c>
      <c r="IQ34" t="e">
        <f>AND(#REF!,"AAAAAC7/r/o=")</f>
        <v>#REF!</v>
      </c>
      <c r="IR34" t="e">
        <f>AND(#REF!,"AAAAAC7/r/s=")</f>
        <v>#REF!</v>
      </c>
      <c r="IS34" t="e">
        <f>AND(#REF!,"AAAAAC7/r/w=")</f>
        <v>#REF!</v>
      </c>
      <c r="IT34" t="e">
        <f>AND(#REF!,"AAAAAC7/r/0=")</f>
        <v>#REF!</v>
      </c>
      <c r="IU34" t="e">
        <f>AND(#REF!,"AAAAAC7/r/4=")</f>
        <v>#REF!</v>
      </c>
      <c r="IV34" t="e">
        <f>IF(#REF!,"AAAAAC7/r/8=",0)</f>
        <v>#REF!</v>
      </c>
    </row>
    <row r="35" spans="1:256">
      <c r="A35" t="e">
        <f>AND(#REF!,"AAAAADfP/wA=")</f>
        <v>#REF!</v>
      </c>
      <c r="B35" t="e">
        <f>AND(#REF!,"AAAAADfP/wE=")</f>
        <v>#REF!</v>
      </c>
      <c r="C35" t="e">
        <f>AND(#REF!,"AAAAADfP/wI=")</f>
        <v>#REF!</v>
      </c>
      <c r="D35" t="e">
        <f>AND(#REF!,"AAAAADfP/wM=")</f>
        <v>#REF!</v>
      </c>
      <c r="E35" t="e">
        <f>AND(#REF!,"AAAAADfP/wQ=")</f>
        <v>#REF!</v>
      </c>
      <c r="F35" t="e">
        <f>AND(#REF!,"AAAAADfP/wU=")</f>
        <v>#REF!</v>
      </c>
      <c r="G35" t="e">
        <f>AND(#REF!,"AAAAADfP/wY=")</f>
        <v>#REF!</v>
      </c>
      <c r="H35" t="e">
        <f>AND(#REF!,"AAAAADfP/wc=")</f>
        <v>#REF!</v>
      </c>
      <c r="I35" t="e">
        <f>IF(#REF!,"AAAAADfP/wg=",0)</f>
        <v>#REF!</v>
      </c>
      <c r="J35" t="e">
        <f>AND(#REF!,"AAAAADfP/wk=")</f>
        <v>#REF!</v>
      </c>
      <c r="K35" t="e">
        <f>AND(#REF!,"AAAAADfP/wo=")</f>
        <v>#REF!</v>
      </c>
      <c r="L35" t="e">
        <f>AND(#REF!,"AAAAADfP/ws=")</f>
        <v>#REF!</v>
      </c>
      <c r="M35" t="e">
        <f>AND(#REF!,"AAAAADfP/ww=")</f>
        <v>#REF!</v>
      </c>
      <c r="N35" t="e">
        <f>AND(#REF!,"AAAAADfP/w0=")</f>
        <v>#REF!</v>
      </c>
      <c r="O35" t="e">
        <f>AND(#REF!,"AAAAADfP/w4=")</f>
        <v>#REF!</v>
      </c>
      <c r="P35" t="e">
        <f>AND(#REF!,"AAAAADfP/w8=")</f>
        <v>#REF!</v>
      </c>
      <c r="Q35" t="e">
        <f>AND(#REF!,"AAAAADfP/xA=")</f>
        <v>#REF!</v>
      </c>
      <c r="R35" t="e">
        <f>IF(#REF!,"AAAAADfP/xE=",0)</f>
        <v>#REF!</v>
      </c>
      <c r="S35" t="e">
        <f>AND(#REF!,"AAAAADfP/xI=")</f>
        <v>#REF!</v>
      </c>
      <c r="T35" t="e">
        <f>AND(#REF!,"AAAAADfP/xM=")</f>
        <v>#REF!</v>
      </c>
      <c r="U35" t="e">
        <f>AND(#REF!,"AAAAADfP/xQ=")</f>
        <v>#REF!</v>
      </c>
      <c r="V35" t="e">
        <f>AND(#REF!,"AAAAADfP/xU=")</f>
        <v>#REF!</v>
      </c>
      <c r="W35" t="e">
        <f>AND(#REF!,"AAAAADfP/xY=")</f>
        <v>#REF!</v>
      </c>
      <c r="X35" t="e">
        <f>AND(#REF!,"AAAAADfP/xc=")</f>
        <v>#REF!</v>
      </c>
      <c r="Y35" t="e">
        <f>AND(#REF!,"AAAAADfP/xg=")</f>
        <v>#REF!</v>
      </c>
      <c r="Z35" t="e">
        <f>AND(#REF!,"AAAAADfP/xk=")</f>
        <v>#REF!</v>
      </c>
      <c r="AA35" t="e">
        <f>IF(#REF!,"AAAAADfP/xo=",0)</f>
        <v>#REF!</v>
      </c>
      <c r="AB35" t="e">
        <f>AND(#REF!,"AAAAADfP/xs=")</f>
        <v>#REF!</v>
      </c>
      <c r="AC35" t="e">
        <f>AND(#REF!,"AAAAADfP/xw=")</f>
        <v>#REF!</v>
      </c>
      <c r="AD35" t="e">
        <f>AND(#REF!,"AAAAADfP/x0=")</f>
        <v>#REF!</v>
      </c>
      <c r="AE35" t="e">
        <f>AND(#REF!,"AAAAADfP/x4=")</f>
        <v>#REF!</v>
      </c>
      <c r="AF35" t="e">
        <f>AND(#REF!,"AAAAADfP/x8=")</f>
        <v>#REF!</v>
      </c>
      <c r="AG35" t="e">
        <f>AND(#REF!,"AAAAADfP/yA=")</f>
        <v>#REF!</v>
      </c>
      <c r="AH35" t="e">
        <f>AND(#REF!,"AAAAADfP/yE=")</f>
        <v>#REF!</v>
      </c>
      <c r="AI35" t="e">
        <f>AND(#REF!,"AAAAADfP/yI=")</f>
        <v>#REF!</v>
      </c>
      <c r="AJ35" t="e">
        <f>IF(#REF!,"AAAAADfP/yM=",0)</f>
        <v>#REF!</v>
      </c>
      <c r="AK35" t="e">
        <f>AND(#REF!,"AAAAADfP/yQ=")</f>
        <v>#REF!</v>
      </c>
      <c r="AL35" t="e">
        <f>AND(#REF!,"AAAAADfP/yU=")</f>
        <v>#REF!</v>
      </c>
      <c r="AM35" t="e">
        <f>AND(#REF!,"AAAAADfP/yY=")</f>
        <v>#REF!</v>
      </c>
      <c r="AN35" t="e">
        <f>AND(#REF!,"AAAAADfP/yc=")</f>
        <v>#REF!</v>
      </c>
      <c r="AO35" t="e">
        <f>AND(#REF!,"AAAAADfP/yg=")</f>
        <v>#REF!</v>
      </c>
      <c r="AP35" t="e">
        <f>AND(#REF!,"AAAAADfP/yk=")</f>
        <v>#REF!</v>
      </c>
      <c r="AQ35" t="e">
        <f>AND(#REF!,"AAAAADfP/yo=")</f>
        <v>#REF!</v>
      </c>
      <c r="AR35" t="e">
        <f>AND(#REF!,"AAAAADfP/ys=")</f>
        <v>#REF!</v>
      </c>
      <c r="AS35" t="e">
        <f>IF(#REF!,"AAAAADfP/yw=",0)</f>
        <v>#REF!</v>
      </c>
      <c r="AT35" t="e">
        <f>AND(#REF!,"AAAAADfP/y0=")</f>
        <v>#REF!</v>
      </c>
      <c r="AU35" t="e">
        <f>AND(#REF!,"AAAAADfP/y4=")</f>
        <v>#REF!</v>
      </c>
      <c r="AV35" t="e">
        <f>AND(#REF!,"AAAAADfP/y8=")</f>
        <v>#REF!</v>
      </c>
      <c r="AW35" t="e">
        <f>AND(#REF!,"AAAAADfP/zA=")</f>
        <v>#REF!</v>
      </c>
      <c r="AX35" t="e">
        <f>AND(#REF!,"AAAAADfP/zE=")</f>
        <v>#REF!</v>
      </c>
      <c r="AY35" t="e">
        <f>AND(#REF!,"AAAAADfP/zI=")</f>
        <v>#REF!</v>
      </c>
      <c r="AZ35" t="e">
        <f>AND(#REF!,"AAAAADfP/zM=")</f>
        <v>#REF!</v>
      </c>
      <c r="BA35" t="e">
        <f>AND(#REF!,"AAAAADfP/zQ=")</f>
        <v>#REF!</v>
      </c>
      <c r="BB35" t="e">
        <f>IF(#REF!,"AAAAADfP/zU=",0)</f>
        <v>#REF!</v>
      </c>
      <c r="BC35" t="e">
        <f>AND(#REF!,"AAAAADfP/zY=")</f>
        <v>#REF!</v>
      </c>
      <c r="BD35" t="e">
        <f>AND(#REF!,"AAAAADfP/zc=")</f>
        <v>#REF!</v>
      </c>
      <c r="BE35" t="e">
        <f>AND(#REF!,"AAAAADfP/zg=")</f>
        <v>#REF!</v>
      </c>
      <c r="BF35" t="e">
        <f>AND(#REF!,"AAAAADfP/zk=")</f>
        <v>#REF!</v>
      </c>
      <c r="BG35" t="e">
        <f>AND(#REF!,"AAAAADfP/zo=")</f>
        <v>#REF!</v>
      </c>
      <c r="BH35" t="e">
        <f>AND(#REF!,"AAAAADfP/zs=")</f>
        <v>#REF!</v>
      </c>
      <c r="BI35" t="e">
        <f>AND(#REF!,"AAAAADfP/zw=")</f>
        <v>#REF!</v>
      </c>
      <c r="BJ35" t="e">
        <f>AND(#REF!,"AAAAADfP/z0=")</f>
        <v>#REF!</v>
      </c>
      <c r="BK35" t="e">
        <f>IF(#REF!,"AAAAADfP/z4=",0)</f>
        <v>#REF!</v>
      </c>
      <c r="BL35" t="e">
        <f>AND(#REF!,"AAAAADfP/z8=")</f>
        <v>#REF!</v>
      </c>
      <c r="BM35" t="e">
        <f>AND(#REF!,"AAAAADfP/0A=")</f>
        <v>#REF!</v>
      </c>
      <c r="BN35" t="e">
        <f>AND(#REF!,"AAAAADfP/0E=")</f>
        <v>#REF!</v>
      </c>
      <c r="BO35" t="e">
        <f>AND(#REF!,"AAAAADfP/0I=")</f>
        <v>#REF!</v>
      </c>
      <c r="BP35" t="e">
        <f>AND(#REF!,"AAAAADfP/0M=")</f>
        <v>#REF!</v>
      </c>
      <c r="BQ35" t="e">
        <f>AND(#REF!,"AAAAADfP/0Q=")</f>
        <v>#REF!</v>
      </c>
      <c r="BR35" t="e">
        <f>AND(#REF!,"AAAAADfP/0U=")</f>
        <v>#REF!</v>
      </c>
      <c r="BS35" t="e">
        <f>AND(#REF!,"AAAAADfP/0Y=")</f>
        <v>#REF!</v>
      </c>
      <c r="BT35" t="e">
        <f>IF(#REF!,"AAAAADfP/0c=",0)</f>
        <v>#REF!</v>
      </c>
      <c r="BU35" t="e">
        <f>AND(#REF!,"AAAAADfP/0g=")</f>
        <v>#REF!</v>
      </c>
      <c r="BV35" t="e">
        <f>AND(#REF!,"AAAAADfP/0k=")</f>
        <v>#REF!</v>
      </c>
      <c r="BW35" t="e">
        <f>AND(#REF!,"AAAAADfP/0o=")</f>
        <v>#REF!</v>
      </c>
      <c r="BX35" t="e">
        <f>AND(#REF!,"AAAAADfP/0s=")</f>
        <v>#REF!</v>
      </c>
      <c r="BY35" t="e">
        <f>AND(#REF!,"AAAAADfP/0w=")</f>
        <v>#REF!</v>
      </c>
      <c r="BZ35" t="e">
        <f>AND(#REF!,"AAAAADfP/00=")</f>
        <v>#REF!</v>
      </c>
      <c r="CA35" t="e">
        <f>AND(#REF!,"AAAAADfP/04=")</f>
        <v>#REF!</v>
      </c>
      <c r="CB35" t="e">
        <f>AND(#REF!,"AAAAADfP/08=")</f>
        <v>#REF!</v>
      </c>
      <c r="CC35" t="e">
        <f>IF(#REF!,"AAAAADfP/1A=",0)</f>
        <v>#REF!</v>
      </c>
      <c r="CD35" t="e">
        <f>AND(#REF!,"AAAAADfP/1E=")</f>
        <v>#REF!</v>
      </c>
      <c r="CE35" t="e">
        <f>AND(#REF!,"AAAAADfP/1I=")</f>
        <v>#REF!</v>
      </c>
      <c r="CF35" t="e">
        <f>AND(#REF!,"AAAAADfP/1M=")</f>
        <v>#REF!</v>
      </c>
      <c r="CG35" t="e">
        <f>AND(#REF!,"AAAAADfP/1Q=")</f>
        <v>#REF!</v>
      </c>
      <c r="CH35" t="e">
        <f>AND(#REF!,"AAAAADfP/1U=")</f>
        <v>#REF!</v>
      </c>
      <c r="CI35" t="e">
        <f>AND(#REF!,"AAAAADfP/1Y=")</f>
        <v>#REF!</v>
      </c>
      <c r="CJ35" t="e">
        <f>AND(#REF!,"AAAAADfP/1c=")</f>
        <v>#REF!</v>
      </c>
      <c r="CK35" t="e">
        <f>AND(#REF!,"AAAAADfP/1g=")</f>
        <v>#REF!</v>
      </c>
      <c r="CL35" t="e">
        <f>IF(#REF!,"AAAAADfP/1k=",0)</f>
        <v>#REF!</v>
      </c>
      <c r="CM35" t="e">
        <f>AND(#REF!,"AAAAADfP/1o=")</f>
        <v>#REF!</v>
      </c>
      <c r="CN35" t="e">
        <f>AND(#REF!,"AAAAADfP/1s=")</f>
        <v>#REF!</v>
      </c>
      <c r="CO35" t="e">
        <f>AND(#REF!,"AAAAADfP/1w=")</f>
        <v>#REF!</v>
      </c>
      <c r="CP35" t="e">
        <f>AND(#REF!,"AAAAADfP/10=")</f>
        <v>#REF!</v>
      </c>
      <c r="CQ35" t="e">
        <f>AND(#REF!,"AAAAADfP/14=")</f>
        <v>#REF!</v>
      </c>
      <c r="CR35" t="e">
        <f>AND(#REF!,"AAAAADfP/18=")</f>
        <v>#REF!</v>
      </c>
      <c r="CS35" t="e">
        <f>AND(#REF!,"AAAAADfP/2A=")</f>
        <v>#REF!</v>
      </c>
      <c r="CT35" t="e">
        <f>AND(#REF!,"AAAAADfP/2E=")</f>
        <v>#REF!</v>
      </c>
      <c r="CU35" t="e">
        <f>IF(#REF!,"AAAAADfP/2I=",0)</f>
        <v>#REF!</v>
      </c>
      <c r="CV35" t="e">
        <f>AND(#REF!,"AAAAADfP/2M=")</f>
        <v>#REF!</v>
      </c>
      <c r="CW35" t="e">
        <f>AND(#REF!,"AAAAADfP/2Q=")</f>
        <v>#REF!</v>
      </c>
      <c r="CX35" t="e">
        <f>AND(#REF!,"AAAAADfP/2U=")</f>
        <v>#REF!</v>
      </c>
      <c r="CY35" t="e">
        <f>AND(#REF!,"AAAAADfP/2Y=")</f>
        <v>#REF!</v>
      </c>
      <c r="CZ35" t="e">
        <f>AND(#REF!,"AAAAADfP/2c=")</f>
        <v>#REF!</v>
      </c>
      <c r="DA35" t="e">
        <f>AND(#REF!,"AAAAADfP/2g=")</f>
        <v>#REF!</v>
      </c>
      <c r="DB35" t="e">
        <f>AND(#REF!,"AAAAADfP/2k=")</f>
        <v>#REF!</v>
      </c>
      <c r="DC35" t="e">
        <f>AND(#REF!,"AAAAADfP/2o=")</f>
        <v>#REF!</v>
      </c>
      <c r="DD35" t="e">
        <f>IF(#REF!,"AAAAADfP/2s=",0)</f>
        <v>#REF!</v>
      </c>
      <c r="DE35" t="e">
        <f>AND(#REF!,"AAAAADfP/2w=")</f>
        <v>#REF!</v>
      </c>
      <c r="DF35" t="e">
        <f>AND(#REF!,"AAAAADfP/20=")</f>
        <v>#REF!</v>
      </c>
      <c r="DG35" t="e">
        <f>AND(#REF!,"AAAAADfP/24=")</f>
        <v>#REF!</v>
      </c>
      <c r="DH35" t="e">
        <f>AND(#REF!,"AAAAADfP/28=")</f>
        <v>#REF!</v>
      </c>
      <c r="DI35" t="e">
        <f>AND(#REF!,"AAAAADfP/3A=")</f>
        <v>#REF!</v>
      </c>
      <c r="DJ35" t="e">
        <f>AND(#REF!,"AAAAADfP/3E=")</f>
        <v>#REF!</v>
      </c>
      <c r="DK35" t="e">
        <f>AND(#REF!,"AAAAADfP/3I=")</f>
        <v>#REF!</v>
      </c>
      <c r="DL35" t="e">
        <f>AND(#REF!,"AAAAADfP/3M=")</f>
        <v>#REF!</v>
      </c>
      <c r="DM35" t="e">
        <f>IF(#REF!,"AAAAADfP/3Q=",0)</f>
        <v>#REF!</v>
      </c>
      <c r="DN35" t="e">
        <f>AND(#REF!,"AAAAADfP/3U=")</f>
        <v>#REF!</v>
      </c>
      <c r="DO35" t="e">
        <f>AND(#REF!,"AAAAADfP/3Y=")</f>
        <v>#REF!</v>
      </c>
      <c r="DP35" t="e">
        <f>AND(#REF!,"AAAAADfP/3c=")</f>
        <v>#REF!</v>
      </c>
      <c r="DQ35" t="e">
        <f>AND(#REF!,"AAAAADfP/3g=")</f>
        <v>#REF!</v>
      </c>
      <c r="DR35" t="e">
        <f>AND(#REF!,"AAAAADfP/3k=")</f>
        <v>#REF!</v>
      </c>
      <c r="DS35" t="e">
        <f>AND(#REF!,"AAAAADfP/3o=")</f>
        <v>#REF!</v>
      </c>
      <c r="DT35" t="e">
        <f>AND(#REF!,"AAAAADfP/3s=")</f>
        <v>#REF!</v>
      </c>
      <c r="DU35" t="e">
        <f>AND(#REF!,"AAAAADfP/3w=")</f>
        <v>#REF!</v>
      </c>
      <c r="DV35" t="e">
        <f>IF(#REF!,"AAAAADfP/30=",0)</f>
        <v>#REF!</v>
      </c>
      <c r="DW35" t="e">
        <f>AND(#REF!,"AAAAADfP/34=")</f>
        <v>#REF!</v>
      </c>
      <c r="DX35" t="e">
        <f>AND(#REF!,"AAAAADfP/38=")</f>
        <v>#REF!</v>
      </c>
      <c r="DY35" t="e">
        <f>AND(#REF!,"AAAAADfP/4A=")</f>
        <v>#REF!</v>
      </c>
      <c r="DZ35" t="e">
        <f>AND(#REF!,"AAAAADfP/4E=")</f>
        <v>#REF!</v>
      </c>
      <c r="EA35" t="e">
        <f>AND(#REF!,"AAAAADfP/4I=")</f>
        <v>#REF!</v>
      </c>
      <c r="EB35" t="e">
        <f>AND(#REF!,"AAAAADfP/4M=")</f>
        <v>#REF!</v>
      </c>
      <c r="EC35" t="e">
        <f>AND(#REF!,"AAAAADfP/4Q=")</f>
        <v>#REF!</v>
      </c>
      <c r="ED35" t="e">
        <f>AND(#REF!,"AAAAADfP/4U=")</f>
        <v>#REF!</v>
      </c>
      <c r="EE35" t="e">
        <f>IF(#REF!,"AAAAADfP/4Y=",0)</f>
        <v>#REF!</v>
      </c>
      <c r="EF35" t="e">
        <f>AND(#REF!,"AAAAADfP/4c=")</f>
        <v>#REF!</v>
      </c>
      <c r="EG35" t="e">
        <f>AND(#REF!,"AAAAADfP/4g=")</f>
        <v>#REF!</v>
      </c>
      <c r="EH35" t="e">
        <f>AND(#REF!,"AAAAADfP/4k=")</f>
        <v>#REF!</v>
      </c>
      <c r="EI35" t="e">
        <f>AND(#REF!,"AAAAADfP/4o=")</f>
        <v>#REF!</v>
      </c>
      <c r="EJ35" t="e">
        <f>AND(#REF!,"AAAAADfP/4s=")</f>
        <v>#REF!</v>
      </c>
      <c r="EK35" t="e">
        <f>AND(#REF!,"AAAAADfP/4w=")</f>
        <v>#REF!</v>
      </c>
      <c r="EL35" t="e">
        <f>AND(#REF!,"AAAAADfP/40=")</f>
        <v>#REF!</v>
      </c>
      <c r="EM35" t="e">
        <f>AND(#REF!,"AAAAADfP/44=")</f>
        <v>#REF!</v>
      </c>
      <c r="EN35" t="e">
        <f>IF(#REF!,"AAAAADfP/48=",0)</f>
        <v>#REF!</v>
      </c>
      <c r="EO35" t="e">
        <f>AND(#REF!,"AAAAADfP/5A=")</f>
        <v>#REF!</v>
      </c>
      <c r="EP35" t="e">
        <f>AND(#REF!,"AAAAADfP/5E=")</f>
        <v>#REF!</v>
      </c>
      <c r="EQ35" t="e">
        <f>AND(#REF!,"AAAAADfP/5I=")</f>
        <v>#REF!</v>
      </c>
      <c r="ER35" t="e">
        <f>AND(#REF!,"AAAAADfP/5M=")</f>
        <v>#REF!</v>
      </c>
      <c r="ES35" t="e">
        <f>AND(#REF!,"AAAAADfP/5Q=")</f>
        <v>#REF!</v>
      </c>
      <c r="ET35" t="e">
        <f>AND(#REF!,"AAAAADfP/5U=")</f>
        <v>#REF!</v>
      </c>
      <c r="EU35" t="e">
        <f>AND(#REF!,"AAAAADfP/5Y=")</f>
        <v>#REF!</v>
      </c>
      <c r="EV35" t="e">
        <f>AND(#REF!,"AAAAADfP/5c=")</f>
        <v>#REF!</v>
      </c>
      <c r="EW35" t="e">
        <f>IF(#REF!,"AAAAADfP/5g=",0)</f>
        <v>#REF!</v>
      </c>
      <c r="EX35" t="e">
        <f>AND(#REF!,"AAAAADfP/5k=")</f>
        <v>#REF!</v>
      </c>
      <c r="EY35" t="e">
        <f>AND(#REF!,"AAAAADfP/5o=")</f>
        <v>#REF!</v>
      </c>
      <c r="EZ35" t="e">
        <f>AND(#REF!,"AAAAADfP/5s=")</f>
        <v>#REF!</v>
      </c>
      <c r="FA35" t="e">
        <f>AND(#REF!,"AAAAADfP/5w=")</f>
        <v>#REF!</v>
      </c>
      <c r="FB35" t="e">
        <f>AND(#REF!,"AAAAADfP/50=")</f>
        <v>#REF!</v>
      </c>
      <c r="FC35" t="e">
        <f>AND(#REF!,"AAAAADfP/54=")</f>
        <v>#REF!</v>
      </c>
      <c r="FD35" t="e">
        <f>AND(#REF!,"AAAAADfP/58=")</f>
        <v>#REF!</v>
      </c>
      <c r="FE35" t="e">
        <f>AND(#REF!,"AAAAADfP/6A=")</f>
        <v>#REF!</v>
      </c>
      <c r="FF35" t="e">
        <f>IF(#REF!,"AAAAADfP/6E=",0)</f>
        <v>#REF!</v>
      </c>
      <c r="FG35" t="e">
        <f>AND(#REF!,"AAAAADfP/6I=")</f>
        <v>#REF!</v>
      </c>
      <c r="FH35" t="e">
        <f>AND(#REF!,"AAAAADfP/6M=")</f>
        <v>#REF!</v>
      </c>
      <c r="FI35" t="e">
        <f>AND(#REF!,"AAAAADfP/6Q=")</f>
        <v>#REF!</v>
      </c>
      <c r="FJ35" t="e">
        <f>AND(#REF!,"AAAAADfP/6U=")</f>
        <v>#REF!</v>
      </c>
      <c r="FK35" t="e">
        <f>AND(#REF!,"AAAAADfP/6Y=")</f>
        <v>#REF!</v>
      </c>
      <c r="FL35" t="e">
        <f>AND(#REF!,"AAAAADfP/6c=")</f>
        <v>#REF!</v>
      </c>
      <c r="FM35" t="e">
        <f>AND(#REF!,"AAAAADfP/6g=")</f>
        <v>#REF!</v>
      </c>
      <c r="FN35" t="e">
        <f>AND(#REF!,"AAAAADfP/6k=")</f>
        <v>#REF!</v>
      </c>
      <c r="FO35" t="e">
        <f>IF(#REF!,"AAAAADfP/6o=",0)</f>
        <v>#REF!</v>
      </c>
      <c r="FP35" t="e">
        <f>AND(#REF!,"AAAAADfP/6s=")</f>
        <v>#REF!</v>
      </c>
      <c r="FQ35" t="e">
        <f>AND(#REF!,"AAAAADfP/6w=")</f>
        <v>#REF!</v>
      </c>
      <c r="FR35" t="e">
        <f>AND(#REF!,"AAAAADfP/60=")</f>
        <v>#REF!</v>
      </c>
      <c r="FS35" t="e">
        <f>AND(#REF!,"AAAAADfP/64=")</f>
        <v>#REF!</v>
      </c>
      <c r="FT35" t="e">
        <f>AND(#REF!,"AAAAADfP/68=")</f>
        <v>#REF!</v>
      </c>
      <c r="FU35" t="e">
        <f>AND(#REF!,"AAAAADfP/7A=")</f>
        <v>#REF!</v>
      </c>
      <c r="FV35" t="e">
        <f>AND(#REF!,"AAAAADfP/7E=")</f>
        <v>#REF!</v>
      </c>
      <c r="FW35" t="e">
        <f>AND(#REF!,"AAAAADfP/7I=")</f>
        <v>#REF!</v>
      </c>
      <c r="FX35" t="e">
        <f>IF(#REF!,"AAAAADfP/7M=",0)</f>
        <v>#REF!</v>
      </c>
      <c r="FY35" t="e">
        <f>AND(#REF!,"AAAAADfP/7Q=")</f>
        <v>#REF!</v>
      </c>
      <c r="FZ35" t="e">
        <f>AND(#REF!,"AAAAADfP/7U=")</f>
        <v>#REF!</v>
      </c>
      <c r="GA35" t="e">
        <f>AND(#REF!,"AAAAADfP/7Y=")</f>
        <v>#REF!</v>
      </c>
      <c r="GB35" t="e">
        <f>AND(#REF!,"AAAAADfP/7c=")</f>
        <v>#REF!</v>
      </c>
      <c r="GC35" t="e">
        <f>AND(#REF!,"AAAAADfP/7g=")</f>
        <v>#REF!</v>
      </c>
      <c r="GD35" t="e">
        <f>AND(#REF!,"AAAAADfP/7k=")</f>
        <v>#REF!</v>
      </c>
      <c r="GE35" t="e">
        <f>AND(#REF!,"AAAAADfP/7o=")</f>
        <v>#REF!</v>
      </c>
      <c r="GF35" t="e">
        <f>AND(#REF!,"AAAAADfP/7s=")</f>
        <v>#REF!</v>
      </c>
      <c r="GG35" t="e">
        <f>IF(#REF!,"AAAAADfP/7w=",0)</f>
        <v>#REF!</v>
      </c>
      <c r="GH35" t="e">
        <f>AND(#REF!,"AAAAADfP/70=")</f>
        <v>#REF!</v>
      </c>
      <c r="GI35" t="e">
        <f>AND(#REF!,"AAAAADfP/74=")</f>
        <v>#REF!</v>
      </c>
      <c r="GJ35" t="e">
        <f>AND(#REF!,"AAAAADfP/78=")</f>
        <v>#REF!</v>
      </c>
      <c r="GK35" t="e">
        <f>AND(#REF!,"AAAAADfP/8A=")</f>
        <v>#REF!</v>
      </c>
      <c r="GL35" t="e">
        <f>AND(#REF!,"AAAAADfP/8E=")</f>
        <v>#REF!</v>
      </c>
      <c r="GM35" t="e">
        <f>AND(#REF!,"AAAAADfP/8I=")</f>
        <v>#REF!</v>
      </c>
      <c r="GN35" t="e">
        <f>AND(#REF!,"AAAAADfP/8M=")</f>
        <v>#REF!</v>
      </c>
      <c r="GO35" t="e">
        <f>AND(#REF!,"AAAAADfP/8Q=")</f>
        <v>#REF!</v>
      </c>
      <c r="GP35" t="e">
        <f>IF(#REF!,"AAAAADfP/8U=",0)</f>
        <v>#REF!</v>
      </c>
      <c r="GQ35" t="e">
        <f>AND(#REF!,"AAAAADfP/8Y=")</f>
        <v>#REF!</v>
      </c>
      <c r="GR35" t="e">
        <f>AND(#REF!,"AAAAADfP/8c=")</f>
        <v>#REF!</v>
      </c>
      <c r="GS35" t="e">
        <f>AND(#REF!,"AAAAADfP/8g=")</f>
        <v>#REF!</v>
      </c>
      <c r="GT35" t="e">
        <f>AND(#REF!,"AAAAADfP/8k=")</f>
        <v>#REF!</v>
      </c>
      <c r="GU35" t="e">
        <f>AND(#REF!,"AAAAADfP/8o=")</f>
        <v>#REF!</v>
      </c>
      <c r="GV35" t="e">
        <f>AND(#REF!,"AAAAADfP/8s=")</f>
        <v>#REF!</v>
      </c>
      <c r="GW35" t="e">
        <f>AND(#REF!,"AAAAADfP/8w=")</f>
        <v>#REF!</v>
      </c>
      <c r="GX35" t="e">
        <f>AND(#REF!,"AAAAADfP/80=")</f>
        <v>#REF!</v>
      </c>
      <c r="GY35" t="e">
        <f>IF(#REF!,"AAAAADfP/84=",0)</f>
        <v>#REF!</v>
      </c>
      <c r="GZ35" t="e">
        <f>AND(#REF!,"AAAAADfP/88=")</f>
        <v>#REF!</v>
      </c>
      <c r="HA35" t="e">
        <f>AND(#REF!,"AAAAADfP/9A=")</f>
        <v>#REF!</v>
      </c>
      <c r="HB35" t="e">
        <f>AND(#REF!,"AAAAADfP/9E=")</f>
        <v>#REF!</v>
      </c>
      <c r="HC35" t="e">
        <f>AND(#REF!,"AAAAADfP/9I=")</f>
        <v>#REF!</v>
      </c>
      <c r="HD35" t="e">
        <f>AND(#REF!,"AAAAADfP/9M=")</f>
        <v>#REF!</v>
      </c>
      <c r="HE35" t="e">
        <f>AND(#REF!,"AAAAADfP/9Q=")</f>
        <v>#REF!</v>
      </c>
      <c r="HF35" t="e">
        <f>AND(#REF!,"AAAAADfP/9U=")</f>
        <v>#REF!</v>
      </c>
      <c r="HG35" t="e">
        <f>AND(#REF!,"AAAAADfP/9Y=")</f>
        <v>#REF!</v>
      </c>
      <c r="HH35" t="e">
        <f>IF(#REF!,"AAAAADfP/9c=",0)</f>
        <v>#REF!</v>
      </c>
      <c r="HI35" t="e">
        <f>AND(#REF!,"AAAAADfP/9g=")</f>
        <v>#REF!</v>
      </c>
      <c r="HJ35" t="e">
        <f>AND(#REF!,"AAAAADfP/9k=")</f>
        <v>#REF!</v>
      </c>
      <c r="HK35" t="e">
        <f>AND(#REF!,"AAAAADfP/9o=")</f>
        <v>#REF!</v>
      </c>
      <c r="HL35" t="e">
        <f>AND(#REF!,"AAAAADfP/9s=")</f>
        <v>#REF!</v>
      </c>
      <c r="HM35" t="e">
        <f>AND(#REF!,"AAAAADfP/9w=")</f>
        <v>#REF!</v>
      </c>
      <c r="HN35" t="e">
        <f>AND(#REF!,"AAAAADfP/90=")</f>
        <v>#REF!</v>
      </c>
      <c r="HO35" t="e">
        <f>AND(#REF!,"AAAAADfP/94=")</f>
        <v>#REF!</v>
      </c>
      <c r="HP35" t="e">
        <f>AND(#REF!,"AAAAADfP/98=")</f>
        <v>#REF!</v>
      </c>
      <c r="HQ35" t="e">
        <f>IF(#REF!,"AAAAADfP/+A=",0)</f>
        <v>#REF!</v>
      </c>
      <c r="HR35" t="e">
        <f>AND(#REF!,"AAAAADfP/+E=")</f>
        <v>#REF!</v>
      </c>
      <c r="HS35" t="e">
        <f>AND(#REF!,"AAAAADfP/+I=")</f>
        <v>#REF!</v>
      </c>
      <c r="HT35" t="e">
        <f>AND(#REF!,"AAAAADfP/+M=")</f>
        <v>#REF!</v>
      </c>
      <c r="HU35" t="e">
        <f>AND(#REF!,"AAAAADfP/+Q=")</f>
        <v>#REF!</v>
      </c>
      <c r="HV35" t="e">
        <f>AND(#REF!,"AAAAADfP/+U=")</f>
        <v>#REF!</v>
      </c>
      <c r="HW35" t="e">
        <f>AND(#REF!,"AAAAADfP/+Y=")</f>
        <v>#REF!</v>
      </c>
      <c r="HX35" t="e">
        <f>AND(#REF!,"AAAAADfP/+c=")</f>
        <v>#REF!</v>
      </c>
      <c r="HY35" t="e">
        <f>AND(#REF!,"AAAAADfP/+g=")</f>
        <v>#REF!</v>
      </c>
      <c r="HZ35" t="e">
        <f>IF(#REF!,"AAAAADfP/+k=",0)</f>
        <v>#REF!</v>
      </c>
      <c r="IA35" t="e">
        <f>AND(#REF!,"AAAAADfP/+o=")</f>
        <v>#REF!</v>
      </c>
      <c r="IB35" t="e">
        <f>AND(#REF!,"AAAAADfP/+s=")</f>
        <v>#REF!</v>
      </c>
      <c r="IC35" t="e">
        <f>AND(#REF!,"AAAAADfP/+w=")</f>
        <v>#REF!</v>
      </c>
      <c r="ID35" t="e">
        <f>AND(#REF!,"AAAAADfP/+0=")</f>
        <v>#REF!</v>
      </c>
      <c r="IE35" t="e">
        <f>AND(#REF!,"AAAAADfP/+4=")</f>
        <v>#REF!</v>
      </c>
      <c r="IF35" t="e">
        <f>AND(#REF!,"AAAAADfP/+8=")</f>
        <v>#REF!</v>
      </c>
      <c r="IG35" t="e">
        <f>AND(#REF!,"AAAAADfP//A=")</f>
        <v>#REF!</v>
      </c>
      <c r="IH35" t="e">
        <f>AND(#REF!,"AAAAADfP//E=")</f>
        <v>#REF!</v>
      </c>
      <c r="II35" t="e">
        <f>IF(#REF!,"AAAAADfP//I=",0)</f>
        <v>#REF!</v>
      </c>
      <c r="IJ35" t="e">
        <f>AND(#REF!,"AAAAADfP//M=")</f>
        <v>#REF!</v>
      </c>
      <c r="IK35" t="e">
        <f>AND(#REF!,"AAAAADfP//Q=")</f>
        <v>#REF!</v>
      </c>
      <c r="IL35" t="e">
        <f>AND(#REF!,"AAAAADfP//U=")</f>
        <v>#REF!</v>
      </c>
      <c r="IM35" t="e">
        <f>AND(#REF!,"AAAAADfP//Y=")</f>
        <v>#REF!</v>
      </c>
      <c r="IN35" t="e">
        <f>AND(#REF!,"AAAAADfP//c=")</f>
        <v>#REF!</v>
      </c>
      <c r="IO35" t="e">
        <f>AND(#REF!,"AAAAADfP//g=")</f>
        <v>#REF!</v>
      </c>
      <c r="IP35" t="e">
        <f>AND(#REF!,"AAAAADfP//k=")</f>
        <v>#REF!</v>
      </c>
      <c r="IQ35" t="e">
        <f>AND(#REF!,"AAAAADfP//o=")</f>
        <v>#REF!</v>
      </c>
      <c r="IR35" t="e">
        <f>IF(#REF!,"AAAAADfP//s=",0)</f>
        <v>#REF!</v>
      </c>
      <c r="IS35" t="e">
        <f>AND(#REF!,"AAAAADfP//w=")</f>
        <v>#REF!</v>
      </c>
      <c r="IT35" t="e">
        <f>AND(#REF!,"AAAAADfP//0=")</f>
        <v>#REF!</v>
      </c>
      <c r="IU35" t="e">
        <f>AND(#REF!,"AAAAADfP//4=")</f>
        <v>#REF!</v>
      </c>
      <c r="IV35" t="e">
        <f>AND(#REF!,"AAAAADfP//8=")</f>
        <v>#REF!</v>
      </c>
    </row>
    <row r="36" spans="1:256">
      <c r="A36" t="e">
        <f>AND(#REF!,"AAAAAF/vyQA=")</f>
        <v>#REF!</v>
      </c>
      <c r="B36" t="e">
        <f>AND(#REF!,"AAAAAF/vyQE=")</f>
        <v>#REF!</v>
      </c>
      <c r="C36" t="e">
        <f>AND(#REF!,"AAAAAF/vyQI=")</f>
        <v>#REF!</v>
      </c>
      <c r="D36" t="e">
        <f>AND(#REF!,"AAAAAF/vyQM=")</f>
        <v>#REF!</v>
      </c>
      <c r="E36" t="e">
        <f>IF(#REF!,"AAAAAF/vyQQ=",0)</f>
        <v>#REF!</v>
      </c>
      <c r="F36" t="e">
        <f>AND(#REF!,"AAAAAF/vyQU=")</f>
        <v>#REF!</v>
      </c>
      <c r="G36" t="e">
        <f>AND(#REF!,"AAAAAF/vyQY=")</f>
        <v>#REF!</v>
      </c>
      <c r="H36" t="e">
        <f>AND(#REF!,"AAAAAF/vyQc=")</f>
        <v>#REF!</v>
      </c>
      <c r="I36" t="e">
        <f>AND(#REF!,"AAAAAF/vyQg=")</f>
        <v>#REF!</v>
      </c>
      <c r="J36" t="e">
        <f>AND(#REF!,"AAAAAF/vyQk=")</f>
        <v>#REF!</v>
      </c>
      <c r="K36" t="e">
        <f>AND(#REF!,"AAAAAF/vyQo=")</f>
        <v>#REF!</v>
      </c>
      <c r="L36" t="e">
        <f>AND(#REF!,"AAAAAF/vyQs=")</f>
        <v>#REF!</v>
      </c>
      <c r="M36" t="e">
        <f>AND(#REF!,"AAAAAF/vyQw=")</f>
        <v>#REF!</v>
      </c>
      <c r="N36" t="e">
        <f>IF(#REF!,"AAAAAF/vyQ0=",0)</f>
        <v>#REF!</v>
      </c>
      <c r="O36" t="e">
        <f>AND(#REF!,"AAAAAF/vyQ4=")</f>
        <v>#REF!</v>
      </c>
      <c r="P36" t="e">
        <f>AND(#REF!,"AAAAAF/vyQ8=")</f>
        <v>#REF!</v>
      </c>
      <c r="Q36" t="e">
        <f>AND(#REF!,"AAAAAF/vyRA=")</f>
        <v>#REF!</v>
      </c>
      <c r="R36" t="e">
        <f>AND(#REF!,"AAAAAF/vyRE=")</f>
        <v>#REF!</v>
      </c>
      <c r="S36" t="e">
        <f>AND(#REF!,"AAAAAF/vyRI=")</f>
        <v>#REF!</v>
      </c>
      <c r="T36" t="e">
        <f>AND(#REF!,"AAAAAF/vyRM=")</f>
        <v>#REF!</v>
      </c>
      <c r="U36" t="e">
        <f>AND(#REF!,"AAAAAF/vyRQ=")</f>
        <v>#REF!</v>
      </c>
      <c r="V36" t="e">
        <f>AND(#REF!,"AAAAAF/vyRU=")</f>
        <v>#REF!</v>
      </c>
      <c r="W36" t="e">
        <f>IF(#REF!,"AAAAAF/vyRY=",0)</f>
        <v>#REF!</v>
      </c>
      <c r="X36" t="e">
        <f>AND(#REF!,"AAAAAF/vyRc=")</f>
        <v>#REF!</v>
      </c>
      <c r="Y36" t="e">
        <f>AND(#REF!,"AAAAAF/vyRg=")</f>
        <v>#REF!</v>
      </c>
      <c r="Z36" t="e">
        <f>AND(#REF!,"AAAAAF/vyRk=")</f>
        <v>#REF!</v>
      </c>
      <c r="AA36" t="e">
        <f>AND(#REF!,"AAAAAF/vyRo=")</f>
        <v>#REF!</v>
      </c>
      <c r="AB36" t="e">
        <f>AND(#REF!,"AAAAAF/vyRs=")</f>
        <v>#REF!</v>
      </c>
      <c r="AC36" t="e">
        <f>AND(#REF!,"AAAAAF/vyRw=")</f>
        <v>#REF!</v>
      </c>
      <c r="AD36" t="e">
        <f>AND(#REF!,"AAAAAF/vyR0=")</f>
        <v>#REF!</v>
      </c>
      <c r="AE36" t="e">
        <f>AND(#REF!,"AAAAAF/vyR4=")</f>
        <v>#REF!</v>
      </c>
      <c r="AF36" t="e">
        <f>IF(#REF!,"AAAAAF/vyR8=",0)</f>
        <v>#REF!</v>
      </c>
      <c r="AG36" t="e">
        <f>AND(#REF!,"AAAAAF/vySA=")</f>
        <v>#REF!</v>
      </c>
      <c r="AH36" t="e">
        <f>AND(#REF!,"AAAAAF/vySE=")</f>
        <v>#REF!</v>
      </c>
      <c r="AI36" t="e">
        <f>AND(#REF!,"AAAAAF/vySI=")</f>
        <v>#REF!</v>
      </c>
      <c r="AJ36" t="e">
        <f>AND(#REF!,"AAAAAF/vySM=")</f>
        <v>#REF!</v>
      </c>
      <c r="AK36" t="e">
        <f>AND(#REF!,"AAAAAF/vySQ=")</f>
        <v>#REF!</v>
      </c>
      <c r="AL36" t="e">
        <f>AND(#REF!,"AAAAAF/vySU=")</f>
        <v>#REF!</v>
      </c>
      <c r="AM36" t="e">
        <f>AND(#REF!,"AAAAAF/vySY=")</f>
        <v>#REF!</v>
      </c>
      <c r="AN36" t="e">
        <f>AND(#REF!,"AAAAAF/vySc=")</f>
        <v>#REF!</v>
      </c>
      <c r="AO36" t="e">
        <f>IF(#REF!,"AAAAAF/vySg=",0)</f>
        <v>#REF!</v>
      </c>
      <c r="AP36" t="e">
        <f>AND(#REF!,"AAAAAF/vySk=")</f>
        <v>#REF!</v>
      </c>
      <c r="AQ36" t="e">
        <f>AND(#REF!,"AAAAAF/vySo=")</f>
        <v>#REF!</v>
      </c>
      <c r="AR36" t="e">
        <f>AND(#REF!,"AAAAAF/vySs=")</f>
        <v>#REF!</v>
      </c>
      <c r="AS36" t="e">
        <f>AND(#REF!,"AAAAAF/vySw=")</f>
        <v>#REF!</v>
      </c>
      <c r="AT36" t="e">
        <f>AND(#REF!,"AAAAAF/vyS0=")</f>
        <v>#REF!</v>
      </c>
      <c r="AU36" t="e">
        <f>AND(#REF!,"AAAAAF/vyS4=")</f>
        <v>#REF!</v>
      </c>
      <c r="AV36" t="e">
        <f>AND(#REF!,"AAAAAF/vyS8=")</f>
        <v>#REF!</v>
      </c>
      <c r="AW36" t="e">
        <f>AND(#REF!,"AAAAAF/vyTA=")</f>
        <v>#REF!</v>
      </c>
      <c r="AX36" t="e">
        <f>IF(#REF!,"AAAAAF/vyTE=",0)</f>
        <v>#REF!</v>
      </c>
      <c r="AY36" t="e">
        <f>AND(#REF!,"AAAAAF/vyTI=")</f>
        <v>#REF!</v>
      </c>
      <c r="AZ36" t="e">
        <f>AND(#REF!,"AAAAAF/vyTM=")</f>
        <v>#REF!</v>
      </c>
      <c r="BA36" t="e">
        <f>AND(#REF!,"AAAAAF/vyTQ=")</f>
        <v>#REF!</v>
      </c>
      <c r="BB36" t="e">
        <f>AND(#REF!,"AAAAAF/vyTU=")</f>
        <v>#REF!</v>
      </c>
      <c r="BC36" t="e">
        <f>AND(#REF!,"AAAAAF/vyTY=")</f>
        <v>#REF!</v>
      </c>
      <c r="BD36" t="e">
        <f>AND(#REF!,"AAAAAF/vyTc=")</f>
        <v>#REF!</v>
      </c>
      <c r="BE36" t="e">
        <f>AND(#REF!,"AAAAAF/vyTg=")</f>
        <v>#REF!</v>
      </c>
      <c r="BF36" t="e">
        <f>AND(#REF!,"AAAAAF/vyTk=")</f>
        <v>#REF!</v>
      </c>
      <c r="BG36" t="e">
        <f>IF(#REF!,"AAAAAF/vyTo=",0)</f>
        <v>#REF!</v>
      </c>
      <c r="BH36" t="e">
        <f>AND(#REF!,"AAAAAF/vyTs=")</f>
        <v>#REF!</v>
      </c>
      <c r="BI36" t="e">
        <f>AND(#REF!,"AAAAAF/vyTw=")</f>
        <v>#REF!</v>
      </c>
      <c r="BJ36" t="e">
        <f>AND(#REF!,"AAAAAF/vyT0=")</f>
        <v>#REF!</v>
      </c>
      <c r="BK36" t="e">
        <f>AND(#REF!,"AAAAAF/vyT4=")</f>
        <v>#REF!</v>
      </c>
      <c r="BL36" t="e">
        <f>AND(#REF!,"AAAAAF/vyT8=")</f>
        <v>#REF!</v>
      </c>
      <c r="BM36" t="e">
        <f>AND(#REF!,"AAAAAF/vyUA=")</f>
        <v>#REF!</v>
      </c>
      <c r="BN36" t="e">
        <f>AND(#REF!,"AAAAAF/vyUE=")</f>
        <v>#REF!</v>
      </c>
      <c r="BO36" t="e">
        <f>AND(#REF!,"AAAAAF/vyUI=")</f>
        <v>#REF!</v>
      </c>
      <c r="BP36" t="e">
        <f>IF(#REF!,"AAAAAF/vyUM=",0)</f>
        <v>#REF!</v>
      </c>
      <c r="BQ36" t="e">
        <f>AND(#REF!,"AAAAAF/vyUQ=")</f>
        <v>#REF!</v>
      </c>
      <c r="BR36" t="e">
        <f>AND(#REF!,"AAAAAF/vyUU=")</f>
        <v>#REF!</v>
      </c>
      <c r="BS36" t="e">
        <f>AND(#REF!,"AAAAAF/vyUY=")</f>
        <v>#REF!</v>
      </c>
      <c r="BT36" t="e">
        <f>AND(#REF!,"AAAAAF/vyUc=")</f>
        <v>#REF!</v>
      </c>
      <c r="BU36" t="e">
        <f>AND(#REF!,"AAAAAF/vyUg=")</f>
        <v>#REF!</v>
      </c>
      <c r="BV36" t="e">
        <f>AND(#REF!,"AAAAAF/vyUk=")</f>
        <v>#REF!</v>
      </c>
      <c r="BW36" t="e">
        <f>AND(#REF!,"AAAAAF/vyUo=")</f>
        <v>#REF!</v>
      </c>
      <c r="BX36" t="e">
        <f>AND(#REF!,"AAAAAF/vyUs=")</f>
        <v>#REF!</v>
      </c>
      <c r="BY36" t="e">
        <f>IF(#REF!,"AAAAAF/vyUw=",0)</f>
        <v>#REF!</v>
      </c>
      <c r="BZ36" t="e">
        <f>AND(#REF!,"AAAAAF/vyU0=")</f>
        <v>#REF!</v>
      </c>
      <c r="CA36" t="e">
        <f>AND(#REF!,"AAAAAF/vyU4=")</f>
        <v>#REF!</v>
      </c>
      <c r="CB36" t="e">
        <f>AND(#REF!,"AAAAAF/vyU8=")</f>
        <v>#REF!</v>
      </c>
      <c r="CC36" t="e">
        <f>AND(#REF!,"AAAAAF/vyVA=")</f>
        <v>#REF!</v>
      </c>
      <c r="CD36" t="e">
        <f>AND(#REF!,"AAAAAF/vyVE=")</f>
        <v>#REF!</v>
      </c>
      <c r="CE36" t="e">
        <f>AND(#REF!,"AAAAAF/vyVI=")</f>
        <v>#REF!</v>
      </c>
      <c r="CF36" t="e">
        <f>AND(#REF!,"AAAAAF/vyVM=")</f>
        <v>#REF!</v>
      </c>
      <c r="CG36" t="e">
        <f>AND(#REF!,"AAAAAF/vyVQ=")</f>
        <v>#REF!</v>
      </c>
      <c r="CH36" t="e">
        <f>IF(#REF!,"AAAAAF/vyVU=",0)</f>
        <v>#REF!</v>
      </c>
      <c r="CI36" t="e">
        <f>AND(#REF!,"AAAAAF/vyVY=")</f>
        <v>#REF!</v>
      </c>
      <c r="CJ36" t="e">
        <f>AND(#REF!,"AAAAAF/vyVc=")</f>
        <v>#REF!</v>
      </c>
      <c r="CK36" t="e">
        <f>AND(#REF!,"AAAAAF/vyVg=")</f>
        <v>#REF!</v>
      </c>
      <c r="CL36" t="e">
        <f>AND(#REF!,"AAAAAF/vyVk=")</f>
        <v>#REF!</v>
      </c>
      <c r="CM36" t="e">
        <f>AND(#REF!,"AAAAAF/vyVo=")</f>
        <v>#REF!</v>
      </c>
      <c r="CN36" t="e">
        <f>AND(#REF!,"AAAAAF/vyVs=")</f>
        <v>#REF!</v>
      </c>
      <c r="CO36" t="e">
        <f>AND(#REF!,"AAAAAF/vyVw=")</f>
        <v>#REF!</v>
      </c>
      <c r="CP36" t="e">
        <f>AND(#REF!,"AAAAAF/vyV0=")</f>
        <v>#REF!</v>
      </c>
      <c r="CQ36" t="e">
        <f>IF(#REF!,"AAAAAF/vyV4=",0)</f>
        <v>#REF!</v>
      </c>
      <c r="CR36" t="e">
        <f>AND(#REF!,"AAAAAF/vyV8=")</f>
        <v>#REF!</v>
      </c>
      <c r="CS36" t="e">
        <f>AND(#REF!,"AAAAAF/vyWA=")</f>
        <v>#REF!</v>
      </c>
      <c r="CT36" t="e">
        <f>AND(#REF!,"AAAAAF/vyWE=")</f>
        <v>#REF!</v>
      </c>
      <c r="CU36" t="e">
        <f>AND(#REF!,"AAAAAF/vyWI=")</f>
        <v>#REF!</v>
      </c>
      <c r="CV36" t="e">
        <f>AND(#REF!,"AAAAAF/vyWM=")</f>
        <v>#REF!</v>
      </c>
      <c r="CW36" t="e">
        <f>AND(#REF!,"AAAAAF/vyWQ=")</f>
        <v>#REF!</v>
      </c>
      <c r="CX36" t="e">
        <f>AND(#REF!,"AAAAAF/vyWU=")</f>
        <v>#REF!</v>
      </c>
      <c r="CY36" t="e">
        <f>AND(#REF!,"AAAAAF/vyWY=")</f>
        <v>#REF!</v>
      </c>
      <c r="CZ36" t="e">
        <f>IF(#REF!,"AAAAAF/vyWc=",0)</f>
        <v>#REF!</v>
      </c>
      <c r="DA36" t="e">
        <f>AND(#REF!,"AAAAAF/vyWg=")</f>
        <v>#REF!</v>
      </c>
      <c r="DB36" t="e">
        <f>AND(#REF!,"AAAAAF/vyWk=")</f>
        <v>#REF!</v>
      </c>
      <c r="DC36" t="e">
        <f>AND(#REF!,"AAAAAF/vyWo=")</f>
        <v>#REF!</v>
      </c>
      <c r="DD36" t="e">
        <f>AND(#REF!,"AAAAAF/vyWs=")</f>
        <v>#REF!</v>
      </c>
      <c r="DE36" t="e">
        <f>AND(#REF!,"AAAAAF/vyWw=")</f>
        <v>#REF!</v>
      </c>
      <c r="DF36" t="e">
        <f>AND(#REF!,"AAAAAF/vyW0=")</f>
        <v>#REF!</v>
      </c>
      <c r="DG36" t="e">
        <f>AND(#REF!,"AAAAAF/vyW4=")</f>
        <v>#REF!</v>
      </c>
      <c r="DH36" t="e">
        <f>AND(#REF!,"AAAAAF/vyW8=")</f>
        <v>#REF!</v>
      </c>
      <c r="DI36" t="e">
        <f>IF(#REF!,"AAAAAF/vyXA=",0)</f>
        <v>#REF!</v>
      </c>
      <c r="DJ36" t="e">
        <f>AND(#REF!,"AAAAAF/vyXE=")</f>
        <v>#REF!</v>
      </c>
      <c r="DK36" t="e">
        <f>AND(#REF!,"AAAAAF/vyXI=")</f>
        <v>#REF!</v>
      </c>
      <c r="DL36" t="e">
        <f>AND(#REF!,"AAAAAF/vyXM=")</f>
        <v>#REF!</v>
      </c>
      <c r="DM36" t="e">
        <f>AND(#REF!,"AAAAAF/vyXQ=")</f>
        <v>#REF!</v>
      </c>
      <c r="DN36" t="e">
        <f>AND(#REF!,"AAAAAF/vyXU=")</f>
        <v>#REF!</v>
      </c>
      <c r="DO36" t="e">
        <f>AND(#REF!,"AAAAAF/vyXY=")</f>
        <v>#REF!</v>
      </c>
      <c r="DP36" t="e">
        <f>AND(#REF!,"AAAAAF/vyXc=")</f>
        <v>#REF!</v>
      </c>
      <c r="DQ36" t="e">
        <f>AND(#REF!,"AAAAAF/vyXg=")</f>
        <v>#REF!</v>
      </c>
      <c r="DR36" t="e">
        <f>IF(#REF!,"AAAAAF/vyXk=",0)</f>
        <v>#REF!</v>
      </c>
      <c r="DS36" t="e">
        <f>AND(#REF!,"AAAAAF/vyXo=")</f>
        <v>#REF!</v>
      </c>
      <c r="DT36" t="e">
        <f>AND(#REF!,"AAAAAF/vyXs=")</f>
        <v>#REF!</v>
      </c>
      <c r="DU36" t="e">
        <f>AND(#REF!,"AAAAAF/vyXw=")</f>
        <v>#REF!</v>
      </c>
      <c r="DV36" t="e">
        <f>AND(#REF!,"AAAAAF/vyX0=")</f>
        <v>#REF!</v>
      </c>
      <c r="DW36" t="e">
        <f>AND(#REF!,"AAAAAF/vyX4=")</f>
        <v>#REF!</v>
      </c>
      <c r="DX36" t="e">
        <f>AND(#REF!,"AAAAAF/vyX8=")</f>
        <v>#REF!</v>
      </c>
      <c r="DY36" t="e">
        <f>AND(#REF!,"AAAAAF/vyYA=")</f>
        <v>#REF!</v>
      </c>
      <c r="DZ36" t="e">
        <f>AND(#REF!,"AAAAAF/vyYE=")</f>
        <v>#REF!</v>
      </c>
      <c r="EA36" t="e">
        <f>IF(#REF!,"AAAAAF/vyYI=",0)</f>
        <v>#REF!</v>
      </c>
      <c r="EB36" t="e">
        <f>AND(#REF!,"AAAAAF/vyYM=")</f>
        <v>#REF!</v>
      </c>
      <c r="EC36" t="e">
        <f>AND(#REF!,"AAAAAF/vyYQ=")</f>
        <v>#REF!</v>
      </c>
      <c r="ED36" t="e">
        <f>AND(#REF!,"AAAAAF/vyYU=")</f>
        <v>#REF!</v>
      </c>
      <c r="EE36" t="e">
        <f>AND(#REF!,"AAAAAF/vyYY=")</f>
        <v>#REF!</v>
      </c>
      <c r="EF36" t="e">
        <f>AND(#REF!,"AAAAAF/vyYc=")</f>
        <v>#REF!</v>
      </c>
      <c r="EG36" t="e">
        <f>AND(#REF!,"AAAAAF/vyYg=")</f>
        <v>#REF!</v>
      </c>
      <c r="EH36" t="e">
        <f>AND(#REF!,"AAAAAF/vyYk=")</f>
        <v>#REF!</v>
      </c>
      <c r="EI36" t="e">
        <f>AND(#REF!,"AAAAAF/vyYo=")</f>
        <v>#REF!</v>
      </c>
      <c r="EJ36" t="e">
        <f>IF(#REF!,"AAAAAF/vyYs=",0)</f>
        <v>#REF!</v>
      </c>
      <c r="EK36" t="e">
        <f>AND(#REF!,"AAAAAF/vyYw=")</f>
        <v>#REF!</v>
      </c>
      <c r="EL36" t="e">
        <f>AND(#REF!,"AAAAAF/vyY0=")</f>
        <v>#REF!</v>
      </c>
      <c r="EM36" t="e">
        <f>AND(#REF!,"AAAAAF/vyY4=")</f>
        <v>#REF!</v>
      </c>
      <c r="EN36" t="e">
        <f>AND(#REF!,"AAAAAF/vyY8=")</f>
        <v>#REF!</v>
      </c>
      <c r="EO36" t="e">
        <f>AND(#REF!,"AAAAAF/vyZA=")</f>
        <v>#REF!</v>
      </c>
      <c r="EP36" t="e">
        <f>AND(#REF!,"AAAAAF/vyZE=")</f>
        <v>#REF!</v>
      </c>
      <c r="EQ36" t="e">
        <f>AND(#REF!,"AAAAAF/vyZI=")</f>
        <v>#REF!</v>
      </c>
      <c r="ER36" t="e">
        <f>AND(#REF!,"AAAAAF/vyZM=")</f>
        <v>#REF!</v>
      </c>
      <c r="ES36" t="e">
        <f>IF(#REF!,"AAAAAF/vyZQ=",0)</f>
        <v>#REF!</v>
      </c>
      <c r="ET36" t="e">
        <f>AND(#REF!,"AAAAAF/vyZU=")</f>
        <v>#REF!</v>
      </c>
      <c r="EU36" t="e">
        <f>AND(#REF!,"AAAAAF/vyZY=")</f>
        <v>#REF!</v>
      </c>
      <c r="EV36" t="e">
        <f>AND(#REF!,"AAAAAF/vyZc=")</f>
        <v>#REF!</v>
      </c>
      <c r="EW36" t="e">
        <f>AND(#REF!,"AAAAAF/vyZg=")</f>
        <v>#REF!</v>
      </c>
      <c r="EX36" t="e">
        <f>AND(#REF!,"AAAAAF/vyZk=")</f>
        <v>#REF!</v>
      </c>
      <c r="EY36" t="e">
        <f>AND(#REF!,"AAAAAF/vyZo=")</f>
        <v>#REF!</v>
      </c>
      <c r="EZ36" t="e">
        <f>AND(#REF!,"AAAAAF/vyZs=")</f>
        <v>#REF!</v>
      </c>
      <c r="FA36" t="e">
        <f>AND(#REF!,"AAAAAF/vyZw=")</f>
        <v>#REF!</v>
      </c>
      <c r="FB36" t="e">
        <f>IF(#REF!,"AAAAAF/vyZ0=",0)</f>
        <v>#REF!</v>
      </c>
      <c r="FC36" t="e">
        <f>AND(#REF!,"AAAAAF/vyZ4=")</f>
        <v>#REF!</v>
      </c>
      <c r="FD36" t="e">
        <f>AND(#REF!,"AAAAAF/vyZ8=")</f>
        <v>#REF!</v>
      </c>
      <c r="FE36" t="e">
        <f>AND(#REF!,"AAAAAF/vyaA=")</f>
        <v>#REF!</v>
      </c>
      <c r="FF36" t="e">
        <f>AND(#REF!,"AAAAAF/vyaE=")</f>
        <v>#REF!</v>
      </c>
      <c r="FG36" t="e">
        <f>AND(#REF!,"AAAAAF/vyaI=")</f>
        <v>#REF!</v>
      </c>
      <c r="FH36" t="e">
        <f>AND(#REF!,"AAAAAF/vyaM=")</f>
        <v>#REF!</v>
      </c>
      <c r="FI36" t="e">
        <f>AND(#REF!,"AAAAAF/vyaQ=")</f>
        <v>#REF!</v>
      </c>
      <c r="FJ36" t="e">
        <f>AND(#REF!,"AAAAAF/vyaU=")</f>
        <v>#REF!</v>
      </c>
      <c r="FK36" t="e">
        <f>IF(#REF!,"AAAAAF/vyaY=",0)</f>
        <v>#REF!</v>
      </c>
      <c r="FL36" t="e">
        <f>AND(#REF!,"AAAAAF/vyac=")</f>
        <v>#REF!</v>
      </c>
      <c r="FM36" t="e">
        <f>AND(#REF!,"AAAAAF/vyag=")</f>
        <v>#REF!</v>
      </c>
      <c r="FN36" t="e">
        <f>AND(#REF!,"AAAAAF/vyak=")</f>
        <v>#REF!</v>
      </c>
      <c r="FO36" t="e">
        <f>AND(#REF!,"AAAAAF/vyao=")</f>
        <v>#REF!</v>
      </c>
      <c r="FP36" t="e">
        <f>AND(#REF!,"AAAAAF/vyas=")</f>
        <v>#REF!</v>
      </c>
      <c r="FQ36" t="e">
        <f>AND(#REF!,"AAAAAF/vyaw=")</f>
        <v>#REF!</v>
      </c>
      <c r="FR36" t="e">
        <f>AND(#REF!,"AAAAAF/vya0=")</f>
        <v>#REF!</v>
      </c>
      <c r="FS36" t="e">
        <f>AND(#REF!,"AAAAAF/vya4=")</f>
        <v>#REF!</v>
      </c>
      <c r="FT36" t="e">
        <f>IF(#REF!,"AAAAAF/vya8=",0)</f>
        <v>#REF!</v>
      </c>
      <c r="FU36" t="e">
        <f>AND(#REF!,"AAAAAF/vybA=")</f>
        <v>#REF!</v>
      </c>
      <c r="FV36" t="e">
        <f>AND(#REF!,"AAAAAF/vybE=")</f>
        <v>#REF!</v>
      </c>
      <c r="FW36" t="e">
        <f>AND(#REF!,"AAAAAF/vybI=")</f>
        <v>#REF!</v>
      </c>
      <c r="FX36" t="e">
        <f>AND(#REF!,"AAAAAF/vybM=")</f>
        <v>#REF!</v>
      </c>
      <c r="FY36" t="e">
        <f>AND(#REF!,"AAAAAF/vybQ=")</f>
        <v>#REF!</v>
      </c>
      <c r="FZ36" t="e">
        <f>AND(#REF!,"AAAAAF/vybU=")</f>
        <v>#REF!</v>
      </c>
      <c r="GA36" t="e">
        <f>AND(#REF!,"AAAAAF/vybY=")</f>
        <v>#REF!</v>
      </c>
      <c r="GB36" t="e">
        <f>AND(#REF!,"AAAAAF/vybc=")</f>
        <v>#REF!</v>
      </c>
      <c r="GC36" t="e">
        <f>IF(#REF!,"AAAAAF/vybg=",0)</f>
        <v>#REF!</v>
      </c>
      <c r="GD36" t="e">
        <f>AND(#REF!,"AAAAAF/vybk=")</f>
        <v>#REF!</v>
      </c>
      <c r="GE36" t="e">
        <f>AND(#REF!,"AAAAAF/vybo=")</f>
        <v>#REF!</v>
      </c>
      <c r="GF36" t="e">
        <f>AND(#REF!,"AAAAAF/vybs=")</f>
        <v>#REF!</v>
      </c>
      <c r="GG36" t="e">
        <f>AND(#REF!,"AAAAAF/vybw=")</f>
        <v>#REF!</v>
      </c>
      <c r="GH36" t="e">
        <f>AND(#REF!,"AAAAAF/vyb0=")</f>
        <v>#REF!</v>
      </c>
      <c r="GI36" t="e">
        <f>AND(#REF!,"AAAAAF/vyb4=")</f>
        <v>#REF!</v>
      </c>
      <c r="GJ36" t="e">
        <f>AND(#REF!,"AAAAAF/vyb8=")</f>
        <v>#REF!</v>
      </c>
      <c r="GK36" t="e">
        <f>AND(#REF!,"AAAAAF/vycA=")</f>
        <v>#REF!</v>
      </c>
      <c r="GL36" t="e">
        <f>IF(#REF!,"AAAAAF/vycE=",0)</f>
        <v>#REF!</v>
      </c>
      <c r="GM36" t="e">
        <f>AND(#REF!,"AAAAAF/vycI=")</f>
        <v>#REF!</v>
      </c>
      <c r="GN36" t="e">
        <f>AND(#REF!,"AAAAAF/vycM=")</f>
        <v>#REF!</v>
      </c>
      <c r="GO36" t="e">
        <f>AND(#REF!,"AAAAAF/vycQ=")</f>
        <v>#REF!</v>
      </c>
      <c r="GP36" t="e">
        <f>AND(#REF!,"AAAAAF/vycU=")</f>
        <v>#REF!</v>
      </c>
      <c r="GQ36" t="e">
        <f>AND(#REF!,"AAAAAF/vycY=")</f>
        <v>#REF!</v>
      </c>
      <c r="GR36" t="e">
        <f>AND(#REF!,"AAAAAF/vycc=")</f>
        <v>#REF!</v>
      </c>
      <c r="GS36" t="e">
        <f>AND(#REF!,"AAAAAF/vycg=")</f>
        <v>#REF!</v>
      </c>
      <c r="GT36" t="e">
        <f>AND(#REF!,"AAAAAF/vyck=")</f>
        <v>#REF!</v>
      </c>
      <c r="GU36" t="e">
        <f>IF(#REF!,"AAAAAF/vyco=",0)</f>
        <v>#REF!</v>
      </c>
      <c r="GV36" t="e">
        <f>AND(#REF!,"AAAAAF/vycs=")</f>
        <v>#REF!</v>
      </c>
      <c r="GW36" t="e">
        <f>AND(#REF!,"AAAAAF/vycw=")</f>
        <v>#REF!</v>
      </c>
      <c r="GX36" t="e">
        <f>AND(#REF!,"AAAAAF/vyc0=")</f>
        <v>#REF!</v>
      </c>
      <c r="GY36" t="e">
        <f>AND(#REF!,"AAAAAF/vyc4=")</f>
        <v>#REF!</v>
      </c>
      <c r="GZ36" t="e">
        <f>AND(#REF!,"AAAAAF/vyc8=")</f>
        <v>#REF!</v>
      </c>
      <c r="HA36" t="e">
        <f>AND(#REF!,"AAAAAF/vydA=")</f>
        <v>#REF!</v>
      </c>
      <c r="HB36" t="e">
        <f>AND(#REF!,"AAAAAF/vydE=")</f>
        <v>#REF!</v>
      </c>
      <c r="HC36" t="e">
        <f>AND(#REF!,"AAAAAF/vydI=")</f>
        <v>#REF!</v>
      </c>
      <c r="HD36" t="e">
        <f>IF(#REF!,"AAAAAF/vydM=",0)</f>
        <v>#REF!</v>
      </c>
      <c r="HE36" t="e">
        <f>AND(#REF!,"AAAAAF/vydQ=")</f>
        <v>#REF!</v>
      </c>
      <c r="HF36" t="e">
        <f>AND(#REF!,"AAAAAF/vydU=")</f>
        <v>#REF!</v>
      </c>
      <c r="HG36" t="e">
        <f>AND(#REF!,"AAAAAF/vydY=")</f>
        <v>#REF!</v>
      </c>
      <c r="HH36" t="e">
        <f>AND(#REF!,"AAAAAF/vydc=")</f>
        <v>#REF!</v>
      </c>
      <c r="HI36" t="e">
        <f>AND(#REF!,"AAAAAF/vydg=")</f>
        <v>#REF!</v>
      </c>
      <c r="HJ36" t="e">
        <f>AND(#REF!,"AAAAAF/vydk=")</f>
        <v>#REF!</v>
      </c>
      <c r="HK36" t="e">
        <f>AND(#REF!,"AAAAAF/vydo=")</f>
        <v>#REF!</v>
      </c>
      <c r="HL36" t="e">
        <f>AND(#REF!,"AAAAAF/vyds=")</f>
        <v>#REF!</v>
      </c>
      <c r="HM36" t="e">
        <f>IF(#REF!,"AAAAAF/vydw=",0)</f>
        <v>#REF!</v>
      </c>
      <c r="HN36" t="e">
        <f>AND(#REF!,"AAAAAF/vyd0=")</f>
        <v>#REF!</v>
      </c>
      <c r="HO36" t="e">
        <f>AND(#REF!,"AAAAAF/vyd4=")</f>
        <v>#REF!</v>
      </c>
      <c r="HP36" t="e">
        <f>AND(#REF!,"AAAAAF/vyd8=")</f>
        <v>#REF!</v>
      </c>
      <c r="HQ36" t="e">
        <f>AND(#REF!,"AAAAAF/vyeA=")</f>
        <v>#REF!</v>
      </c>
      <c r="HR36" t="e">
        <f>AND(#REF!,"AAAAAF/vyeE=")</f>
        <v>#REF!</v>
      </c>
      <c r="HS36" t="e">
        <f>AND(#REF!,"AAAAAF/vyeI=")</f>
        <v>#REF!</v>
      </c>
      <c r="HT36" t="e">
        <f>AND(#REF!,"AAAAAF/vyeM=")</f>
        <v>#REF!</v>
      </c>
      <c r="HU36" t="e">
        <f>AND(#REF!,"AAAAAF/vyeQ=")</f>
        <v>#REF!</v>
      </c>
      <c r="HV36" t="e">
        <f>IF(#REF!,"AAAAAF/vyeU=",0)</f>
        <v>#REF!</v>
      </c>
      <c r="HW36" t="e">
        <f>AND(#REF!,"AAAAAF/vyeY=")</f>
        <v>#REF!</v>
      </c>
      <c r="HX36" t="e">
        <f>AND(#REF!,"AAAAAF/vyec=")</f>
        <v>#REF!</v>
      </c>
      <c r="HY36" t="e">
        <f>AND(#REF!,"AAAAAF/vyeg=")</f>
        <v>#REF!</v>
      </c>
      <c r="HZ36" t="e">
        <f>AND(#REF!,"AAAAAF/vyek=")</f>
        <v>#REF!</v>
      </c>
      <c r="IA36" t="e">
        <f>AND(#REF!,"AAAAAF/vyeo=")</f>
        <v>#REF!</v>
      </c>
      <c r="IB36" t="e">
        <f>AND(#REF!,"AAAAAF/vyes=")</f>
        <v>#REF!</v>
      </c>
      <c r="IC36" t="e">
        <f>AND(#REF!,"AAAAAF/vyew=")</f>
        <v>#REF!</v>
      </c>
      <c r="ID36" t="e">
        <f>AND(#REF!,"AAAAAF/vye0=")</f>
        <v>#REF!</v>
      </c>
      <c r="IE36" t="e">
        <f>IF(#REF!,"AAAAAF/vye4=",0)</f>
        <v>#REF!</v>
      </c>
      <c r="IF36" t="e">
        <f>AND(#REF!,"AAAAAF/vye8=")</f>
        <v>#REF!</v>
      </c>
      <c r="IG36" t="e">
        <f>AND(#REF!,"AAAAAF/vyfA=")</f>
        <v>#REF!</v>
      </c>
      <c r="IH36" t="e">
        <f>AND(#REF!,"AAAAAF/vyfE=")</f>
        <v>#REF!</v>
      </c>
      <c r="II36" t="e">
        <f>AND(#REF!,"AAAAAF/vyfI=")</f>
        <v>#REF!</v>
      </c>
      <c r="IJ36" t="e">
        <f>AND(#REF!,"AAAAAF/vyfM=")</f>
        <v>#REF!</v>
      </c>
      <c r="IK36" t="e">
        <f>AND(#REF!,"AAAAAF/vyfQ=")</f>
        <v>#REF!</v>
      </c>
      <c r="IL36" t="e">
        <f>AND(#REF!,"AAAAAF/vyfU=")</f>
        <v>#REF!</v>
      </c>
      <c r="IM36" t="e">
        <f>AND(#REF!,"AAAAAF/vyfY=")</f>
        <v>#REF!</v>
      </c>
      <c r="IN36" t="e">
        <f>IF(#REF!,"AAAAAF/vyfc=",0)</f>
        <v>#REF!</v>
      </c>
      <c r="IO36" t="e">
        <f>AND(#REF!,"AAAAAF/vyfg=")</f>
        <v>#REF!</v>
      </c>
      <c r="IP36" t="e">
        <f>AND(#REF!,"AAAAAF/vyfk=")</f>
        <v>#REF!</v>
      </c>
      <c r="IQ36" t="e">
        <f>AND(#REF!,"AAAAAF/vyfo=")</f>
        <v>#REF!</v>
      </c>
      <c r="IR36" t="e">
        <f>AND(#REF!,"AAAAAF/vyfs=")</f>
        <v>#REF!</v>
      </c>
      <c r="IS36" t="e">
        <f>AND(#REF!,"AAAAAF/vyfw=")</f>
        <v>#REF!</v>
      </c>
      <c r="IT36" t="e">
        <f>AND(#REF!,"AAAAAF/vyf0=")</f>
        <v>#REF!</v>
      </c>
      <c r="IU36" t="e">
        <f>AND(#REF!,"AAAAAF/vyf4=")</f>
        <v>#REF!</v>
      </c>
      <c r="IV36" t="e">
        <f>AND(#REF!,"AAAAAF/vyf8=")</f>
        <v>#REF!</v>
      </c>
    </row>
    <row r="37" spans="1:256">
      <c r="A37" t="e">
        <f>IF(#REF!,"AAAAAG//fgA=",0)</f>
        <v>#REF!</v>
      </c>
      <c r="B37" t="e">
        <f>AND(#REF!,"AAAAAG//fgE=")</f>
        <v>#REF!</v>
      </c>
      <c r="C37" t="e">
        <f>AND(#REF!,"AAAAAG//fgI=")</f>
        <v>#REF!</v>
      </c>
      <c r="D37" t="e">
        <f>AND(#REF!,"AAAAAG//fgM=")</f>
        <v>#REF!</v>
      </c>
      <c r="E37" t="e">
        <f>AND(#REF!,"AAAAAG//fgQ=")</f>
        <v>#REF!</v>
      </c>
      <c r="F37" t="e">
        <f>AND(#REF!,"AAAAAG//fgU=")</f>
        <v>#REF!</v>
      </c>
      <c r="G37" t="e">
        <f>AND(#REF!,"AAAAAG//fgY=")</f>
        <v>#REF!</v>
      </c>
      <c r="H37" t="e">
        <f>AND(#REF!,"AAAAAG//fgc=")</f>
        <v>#REF!</v>
      </c>
      <c r="I37" t="e">
        <f>AND(#REF!,"AAAAAG//fgg=")</f>
        <v>#REF!</v>
      </c>
      <c r="J37" t="e">
        <f>IF(#REF!,"AAAAAG//fgk=",0)</f>
        <v>#REF!</v>
      </c>
      <c r="K37" t="e">
        <f>AND(#REF!,"AAAAAG//fgo=")</f>
        <v>#REF!</v>
      </c>
      <c r="L37" t="e">
        <f>AND(#REF!,"AAAAAG//fgs=")</f>
        <v>#REF!</v>
      </c>
      <c r="M37" t="e">
        <f>AND(#REF!,"AAAAAG//fgw=")</f>
        <v>#REF!</v>
      </c>
      <c r="N37" t="e">
        <f>AND(#REF!,"AAAAAG//fg0=")</f>
        <v>#REF!</v>
      </c>
      <c r="O37" t="e">
        <f>AND(#REF!,"AAAAAG//fg4=")</f>
        <v>#REF!</v>
      </c>
      <c r="P37" t="e">
        <f>AND(#REF!,"AAAAAG//fg8=")</f>
        <v>#REF!</v>
      </c>
      <c r="Q37" t="e">
        <f>AND(#REF!,"AAAAAG//fhA=")</f>
        <v>#REF!</v>
      </c>
      <c r="R37" t="e">
        <f>AND(#REF!,"AAAAAG//fhE=")</f>
        <v>#REF!</v>
      </c>
      <c r="S37" t="e">
        <f>IF(#REF!,"AAAAAG//fhI=",0)</f>
        <v>#REF!</v>
      </c>
      <c r="T37" t="e">
        <f>AND(#REF!,"AAAAAG//fhM=")</f>
        <v>#REF!</v>
      </c>
      <c r="U37" t="e">
        <f>AND(#REF!,"AAAAAG//fhQ=")</f>
        <v>#REF!</v>
      </c>
      <c r="V37" t="e">
        <f>AND(#REF!,"AAAAAG//fhU=")</f>
        <v>#REF!</v>
      </c>
      <c r="W37" t="e">
        <f>AND(#REF!,"AAAAAG//fhY=")</f>
        <v>#REF!</v>
      </c>
      <c r="X37" t="e">
        <f>AND(#REF!,"AAAAAG//fhc=")</f>
        <v>#REF!</v>
      </c>
      <c r="Y37" t="e">
        <f>AND(#REF!,"AAAAAG//fhg=")</f>
        <v>#REF!</v>
      </c>
      <c r="Z37" t="e">
        <f>AND(#REF!,"AAAAAG//fhk=")</f>
        <v>#REF!</v>
      </c>
      <c r="AA37" t="e">
        <f>AND(#REF!,"AAAAAG//fho=")</f>
        <v>#REF!</v>
      </c>
      <c r="AB37" t="e">
        <f>IF(#REF!,"AAAAAG//fhs=",0)</f>
        <v>#REF!</v>
      </c>
      <c r="AC37" t="e">
        <f>AND(#REF!,"AAAAAG//fhw=")</f>
        <v>#REF!</v>
      </c>
      <c r="AD37" t="e">
        <f>AND(#REF!,"AAAAAG//fh0=")</f>
        <v>#REF!</v>
      </c>
      <c r="AE37" t="e">
        <f>AND(#REF!,"AAAAAG//fh4=")</f>
        <v>#REF!</v>
      </c>
      <c r="AF37" t="e">
        <f>AND(#REF!,"AAAAAG//fh8=")</f>
        <v>#REF!</v>
      </c>
      <c r="AG37" t="e">
        <f>AND(#REF!,"AAAAAG//fiA=")</f>
        <v>#REF!</v>
      </c>
      <c r="AH37" t="e">
        <f>AND(#REF!,"AAAAAG//fiE=")</f>
        <v>#REF!</v>
      </c>
      <c r="AI37" t="e">
        <f>AND(#REF!,"AAAAAG//fiI=")</f>
        <v>#REF!</v>
      </c>
      <c r="AJ37" t="e">
        <f>AND(#REF!,"AAAAAG//fiM=")</f>
        <v>#REF!</v>
      </c>
      <c r="AK37" t="e">
        <f>IF(#REF!,"AAAAAG//fiQ=",0)</f>
        <v>#REF!</v>
      </c>
      <c r="AL37" t="e">
        <f>AND(#REF!,"AAAAAG//fiU=")</f>
        <v>#REF!</v>
      </c>
      <c r="AM37" t="e">
        <f>AND(#REF!,"AAAAAG//fiY=")</f>
        <v>#REF!</v>
      </c>
      <c r="AN37" t="e">
        <f>AND(#REF!,"AAAAAG//fic=")</f>
        <v>#REF!</v>
      </c>
      <c r="AO37" t="e">
        <f>AND(#REF!,"AAAAAG//fig=")</f>
        <v>#REF!</v>
      </c>
      <c r="AP37" t="e">
        <f>AND(#REF!,"AAAAAG//fik=")</f>
        <v>#REF!</v>
      </c>
      <c r="AQ37" t="e">
        <f>AND(#REF!,"AAAAAG//fio=")</f>
        <v>#REF!</v>
      </c>
      <c r="AR37" t="e">
        <f>AND(#REF!,"AAAAAG//fis=")</f>
        <v>#REF!</v>
      </c>
      <c r="AS37" t="e">
        <f>AND(#REF!,"AAAAAG//fiw=")</f>
        <v>#REF!</v>
      </c>
      <c r="AT37" t="e">
        <f>IF(#REF!,"AAAAAG//fi0=",0)</f>
        <v>#REF!</v>
      </c>
      <c r="AU37" t="e">
        <f>AND(#REF!,"AAAAAG//fi4=")</f>
        <v>#REF!</v>
      </c>
      <c r="AV37" t="e">
        <f>AND(#REF!,"AAAAAG//fi8=")</f>
        <v>#REF!</v>
      </c>
      <c r="AW37" t="e">
        <f>AND(#REF!,"AAAAAG//fjA=")</f>
        <v>#REF!</v>
      </c>
      <c r="AX37" t="e">
        <f>AND(#REF!,"AAAAAG//fjE=")</f>
        <v>#REF!</v>
      </c>
      <c r="AY37" t="e">
        <f>AND(#REF!,"AAAAAG//fjI=")</f>
        <v>#REF!</v>
      </c>
      <c r="AZ37" t="e">
        <f>AND(#REF!,"AAAAAG//fjM=")</f>
        <v>#REF!</v>
      </c>
      <c r="BA37" t="e">
        <f>AND(#REF!,"AAAAAG//fjQ=")</f>
        <v>#REF!</v>
      </c>
      <c r="BB37" t="e">
        <f>AND(#REF!,"AAAAAG//fjU=")</f>
        <v>#REF!</v>
      </c>
      <c r="BC37" t="e">
        <f>IF(#REF!,"AAAAAG//fjY=",0)</f>
        <v>#REF!</v>
      </c>
      <c r="BD37" t="e">
        <f>AND(#REF!,"AAAAAG//fjc=")</f>
        <v>#REF!</v>
      </c>
      <c r="BE37" t="e">
        <f>AND(#REF!,"AAAAAG//fjg=")</f>
        <v>#REF!</v>
      </c>
      <c r="BF37" t="e">
        <f>AND(#REF!,"AAAAAG//fjk=")</f>
        <v>#REF!</v>
      </c>
      <c r="BG37" t="e">
        <f>AND(#REF!,"AAAAAG//fjo=")</f>
        <v>#REF!</v>
      </c>
      <c r="BH37" t="e">
        <f>AND(#REF!,"AAAAAG//fjs=")</f>
        <v>#REF!</v>
      </c>
      <c r="BI37" t="e">
        <f>AND(#REF!,"AAAAAG//fjw=")</f>
        <v>#REF!</v>
      </c>
      <c r="BJ37" t="e">
        <f>AND(#REF!,"AAAAAG//fj0=")</f>
        <v>#REF!</v>
      </c>
      <c r="BK37" t="e">
        <f>AND(#REF!,"AAAAAG//fj4=")</f>
        <v>#REF!</v>
      </c>
      <c r="BL37" t="e">
        <f>IF(#REF!,"AAAAAG//fj8=",0)</f>
        <v>#REF!</v>
      </c>
      <c r="BM37" t="e">
        <f>AND(#REF!,"AAAAAG//fkA=")</f>
        <v>#REF!</v>
      </c>
      <c r="BN37" t="e">
        <f>AND(#REF!,"AAAAAG//fkE=")</f>
        <v>#REF!</v>
      </c>
      <c r="BO37" t="e">
        <f>AND(#REF!,"AAAAAG//fkI=")</f>
        <v>#REF!</v>
      </c>
      <c r="BP37" t="e">
        <f>AND(#REF!,"AAAAAG//fkM=")</f>
        <v>#REF!</v>
      </c>
      <c r="BQ37" t="e">
        <f>AND(#REF!,"AAAAAG//fkQ=")</f>
        <v>#REF!</v>
      </c>
      <c r="BR37" t="e">
        <f>AND(#REF!,"AAAAAG//fkU=")</f>
        <v>#REF!</v>
      </c>
      <c r="BS37" t="e">
        <f>AND(#REF!,"AAAAAG//fkY=")</f>
        <v>#REF!</v>
      </c>
      <c r="BT37" t="e">
        <f>AND(#REF!,"AAAAAG//fkc=")</f>
        <v>#REF!</v>
      </c>
      <c r="BU37" t="e">
        <f>IF(#REF!,"AAAAAG//fkg=",0)</f>
        <v>#REF!</v>
      </c>
      <c r="BV37" t="e">
        <f>AND(#REF!,"AAAAAG//fkk=")</f>
        <v>#REF!</v>
      </c>
      <c r="BW37" t="e">
        <f>AND(#REF!,"AAAAAG//fko=")</f>
        <v>#REF!</v>
      </c>
      <c r="BX37" t="e">
        <f>AND(#REF!,"AAAAAG//fks=")</f>
        <v>#REF!</v>
      </c>
      <c r="BY37" t="e">
        <f>AND(#REF!,"AAAAAG//fkw=")</f>
        <v>#REF!</v>
      </c>
      <c r="BZ37" t="e">
        <f>AND(#REF!,"AAAAAG//fk0=")</f>
        <v>#REF!</v>
      </c>
      <c r="CA37" t="e">
        <f>AND(#REF!,"AAAAAG//fk4=")</f>
        <v>#REF!</v>
      </c>
      <c r="CB37" t="e">
        <f>AND(#REF!,"AAAAAG//fk8=")</f>
        <v>#REF!</v>
      </c>
      <c r="CC37" t="e">
        <f>AND(#REF!,"AAAAAG//flA=")</f>
        <v>#REF!</v>
      </c>
      <c r="CD37" t="e">
        <f>IF(#REF!,"AAAAAG//flE=",0)</f>
        <v>#REF!</v>
      </c>
      <c r="CE37" t="e">
        <f>AND(#REF!,"AAAAAG//flI=")</f>
        <v>#REF!</v>
      </c>
      <c r="CF37" t="e">
        <f>AND(#REF!,"AAAAAG//flM=")</f>
        <v>#REF!</v>
      </c>
      <c r="CG37" t="e">
        <f>AND(#REF!,"AAAAAG//flQ=")</f>
        <v>#REF!</v>
      </c>
      <c r="CH37" t="e">
        <f>AND(#REF!,"AAAAAG//flU=")</f>
        <v>#REF!</v>
      </c>
      <c r="CI37" t="e">
        <f>AND(#REF!,"AAAAAG//flY=")</f>
        <v>#REF!</v>
      </c>
      <c r="CJ37" t="e">
        <f>AND(#REF!,"AAAAAG//flc=")</f>
        <v>#REF!</v>
      </c>
      <c r="CK37" t="e">
        <f>AND(#REF!,"AAAAAG//flg=")</f>
        <v>#REF!</v>
      </c>
      <c r="CL37" t="e">
        <f>AND(#REF!,"AAAAAG//flk=")</f>
        <v>#REF!</v>
      </c>
      <c r="CM37" t="e">
        <f>IF(#REF!,"AAAAAG//flo=",0)</f>
        <v>#REF!</v>
      </c>
      <c r="CN37" t="e">
        <f>AND(#REF!,"AAAAAG//fls=")</f>
        <v>#REF!</v>
      </c>
      <c r="CO37" t="e">
        <f>AND(#REF!,"AAAAAG//flw=")</f>
        <v>#REF!</v>
      </c>
      <c r="CP37" t="e">
        <f>AND(#REF!,"AAAAAG//fl0=")</f>
        <v>#REF!</v>
      </c>
      <c r="CQ37" t="e">
        <f>AND(#REF!,"AAAAAG//fl4=")</f>
        <v>#REF!</v>
      </c>
      <c r="CR37" t="e">
        <f>AND(#REF!,"AAAAAG//fl8=")</f>
        <v>#REF!</v>
      </c>
      <c r="CS37" t="e">
        <f>AND(#REF!,"AAAAAG//fmA=")</f>
        <v>#REF!</v>
      </c>
      <c r="CT37" t="e">
        <f>AND(#REF!,"AAAAAG//fmE=")</f>
        <v>#REF!</v>
      </c>
      <c r="CU37" t="e">
        <f>AND(#REF!,"AAAAAG//fmI=")</f>
        <v>#REF!</v>
      </c>
      <c r="CV37" t="e">
        <f>IF(#REF!,"AAAAAG//fmM=",0)</f>
        <v>#REF!</v>
      </c>
      <c r="CW37" t="e">
        <f>AND(#REF!,"AAAAAG//fmQ=")</f>
        <v>#REF!</v>
      </c>
      <c r="CX37" t="e">
        <f>AND(#REF!,"AAAAAG//fmU=")</f>
        <v>#REF!</v>
      </c>
      <c r="CY37" t="e">
        <f>AND(#REF!,"AAAAAG//fmY=")</f>
        <v>#REF!</v>
      </c>
      <c r="CZ37" t="e">
        <f>AND(#REF!,"AAAAAG//fmc=")</f>
        <v>#REF!</v>
      </c>
      <c r="DA37" t="e">
        <f>AND(#REF!,"AAAAAG//fmg=")</f>
        <v>#REF!</v>
      </c>
      <c r="DB37" t="e">
        <f>AND(#REF!,"AAAAAG//fmk=")</f>
        <v>#REF!</v>
      </c>
      <c r="DC37" t="e">
        <f>AND(#REF!,"AAAAAG//fmo=")</f>
        <v>#REF!</v>
      </c>
      <c r="DD37" t="e">
        <f>AND(#REF!,"AAAAAG//fms=")</f>
        <v>#REF!</v>
      </c>
      <c r="DE37" t="e">
        <f>IF(#REF!,"AAAAAG//fmw=",0)</f>
        <v>#REF!</v>
      </c>
      <c r="DF37" t="e">
        <f>AND(#REF!,"AAAAAG//fm0=")</f>
        <v>#REF!</v>
      </c>
      <c r="DG37" t="e">
        <f>AND(#REF!,"AAAAAG//fm4=")</f>
        <v>#REF!</v>
      </c>
      <c r="DH37" t="e">
        <f>AND(#REF!,"AAAAAG//fm8=")</f>
        <v>#REF!</v>
      </c>
      <c r="DI37" t="e">
        <f>AND(#REF!,"AAAAAG//fnA=")</f>
        <v>#REF!</v>
      </c>
      <c r="DJ37" t="e">
        <f>AND(#REF!,"AAAAAG//fnE=")</f>
        <v>#REF!</v>
      </c>
      <c r="DK37" t="e">
        <f>AND(#REF!,"AAAAAG//fnI=")</f>
        <v>#REF!</v>
      </c>
      <c r="DL37" t="e">
        <f>AND(#REF!,"AAAAAG//fnM=")</f>
        <v>#REF!</v>
      </c>
      <c r="DM37" t="e">
        <f>AND(#REF!,"AAAAAG//fnQ=")</f>
        <v>#REF!</v>
      </c>
      <c r="DN37" t="e">
        <f>IF(#REF!,"AAAAAG//fnU=",0)</f>
        <v>#REF!</v>
      </c>
      <c r="DO37" t="e">
        <f>AND(#REF!,"AAAAAG//fnY=")</f>
        <v>#REF!</v>
      </c>
      <c r="DP37" t="e">
        <f>AND(#REF!,"AAAAAG//fnc=")</f>
        <v>#REF!</v>
      </c>
      <c r="DQ37" t="e">
        <f>AND(#REF!,"AAAAAG//fng=")</f>
        <v>#REF!</v>
      </c>
      <c r="DR37" t="e">
        <f>AND(#REF!,"AAAAAG//fnk=")</f>
        <v>#REF!</v>
      </c>
      <c r="DS37" t="e">
        <f>AND(#REF!,"AAAAAG//fno=")</f>
        <v>#REF!</v>
      </c>
      <c r="DT37" t="e">
        <f>AND(#REF!,"AAAAAG//fns=")</f>
        <v>#REF!</v>
      </c>
      <c r="DU37" t="e">
        <f>AND(#REF!,"AAAAAG//fnw=")</f>
        <v>#REF!</v>
      </c>
      <c r="DV37" t="e">
        <f>AND(#REF!,"AAAAAG//fn0=")</f>
        <v>#REF!</v>
      </c>
      <c r="DW37" t="e">
        <f>IF(#REF!,"AAAAAG//fn4=",0)</f>
        <v>#REF!</v>
      </c>
      <c r="DX37" t="e">
        <f>AND(#REF!,"AAAAAG//fn8=")</f>
        <v>#REF!</v>
      </c>
      <c r="DY37" t="e">
        <f>AND(#REF!,"AAAAAG//foA=")</f>
        <v>#REF!</v>
      </c>
      <c r="DZ37" t="e">
        <f>AND(#REF!,"AAAAAG//foE=")</f>
        <v>#REF!</v>
      </c>
      <c r="EA37" t="e">
        <f>AND(#REF!,"AAAAAG//foI=")</f>
        <v>#REF!</v>
      </c>
      <c r="EB37" t="e">
        <f>AND(#REF!,"AAAAAG//foM=")</f>
        <v>#REF!</v>
      </c>
      <c r="EC37" t="e">
        <f>AND(#REF!,"AAAAAG//foQ=")</f>
        <v>#REF!</v>
      </c>
      <c r="ED37" t="e">
        <f>AND(#REF!,"AAAAAG//foU=")</f>
        <v>#REF!</v>
      </c>
      <c r="EE37" t="e">
        <f>AND(#REF!,"AAAAAG//foY=")</f>
        <v>#REF!</v>
      </c>
      <c r="EF37" t="e">
        <f>IF(#REF!,"AAAAAG//foc=",0)</f>
        <v>#REF!</v>
      </c>
      <c r="EG37" t="e">
        <f>AND(#REF!,"AAAAAG//fog=")</f>
        <v>#REF!</v>
      </c>
      <c r="EH37" t="e">
        <f>AND(#REF!,"AAAAAG//fok=")</f>
        <v>#REF!</v>
      </c>
      <c r="EI37" t="e">
        <f>AND(#REF!,"AAAAAG//foo=")</f>
        <v>#REF!</v>
      </c>
      <c r="EJ37" t="e">
        <f>AND(#REF!,"AAAAAG//fos=")</f>
        <v>#REF!</v>
      </c>
      <c r="EK37" t="e">
        <f>AND(#REF!,"AAAAAG//fow=")</f>
        <v>#REF!</v>
      </c>
      <c r="EL37" t="e">
        <f>AND(#REF!,"AAAAAG//fo0=")</f>
        <v>#REF!</v>
      </c>
      <c r="EM37" t="e">
        <f>AND(#REF!,"AAAAAG//fo4=")</f>
        <v>#REF!</v>
      </c>
      <c r="EN37" t="e">
        <f>AND(#REF!,"AAAAAG//fo8=")</f>
        <v>#REF!</v>
      </c>
      <c r="EO37" t="e">
        <f>IF(#REF!,"AAAAAG//fpA=",0)</f>
        <v>#REF!</v>
      </c>
      <c r="EP37" t="e">
        <f>AND(#REF!,"AAAAAG//fpE=")</f>
        <v>#REF!</v>
      </c>
      <c r="EQ37" t="e">
        <f>AND(#REF!,"AAAAAG//fpI=")</f>
        <v>#REF!</v>
      </c>
      <c r="ER37" t="e">
        <f>AND(#REF!,"AAAAAG//fpM=")</f>
        <v>#REF!</v>
      </c>
      <c r="ES37" t="e">
        <f>AND(#REF!,"AAAAAG//fpQ=")</f>
        <v>#REF!</v>
      </c>
      <c r="ET37" t="e">
        <f>AND(#REF!,"AAAAAG//fpU=")</f>
        <v>#REF!</v>
      </c>
      <c r="EU37" t="e">
        <f>AND(#REF!,"AAAAAG//fpY=")</f>
        <v>#REF!</v>
      </c>
      <c r="EV37" t="e">
        <f>AND(#REF!,"AAAAAG//fpc=")</f>
        <v>#REF!</v>
      </c>
      <c r="EW37" t="e">
        <f>AND(#REF!,"AAAAAG//fpg=")</f>
        <v>#REF!</v>
      </c>
      <c r="EX37" t="e">
        <f>IF(#REF!,"AAAAAG//fpk=",0)</f>
        <v>#REF!</v>
      </c>
      <c r="EY37" t="e">
        <f>AND(#REF!,"AAAAAG//fpo=")</f>
        <v>#REF!</v>
      </c>
      <c r="EZ37" t="e">
        <f>AND(#REF!,"AAAAAG//fps=")</f>
        <v>#REF!</v>
      </c>
      <c r="FA37" t="e">
        <f>AND(#REF!,"AAAAAG//fpw=")</f>
        <v>#REF!</v>
      </c>
      <c r="FB37" t="e">
        <f>AND(#REF!,"AAAAAG//fp0=")</f>
        <v>#REF!</v>
      </c>
      <c r="FC37" t="e">
        <f>AND(#REF!,"AAAAAG//fp4=")</f>
        <v>#REF!</v>
      </c>
      <c r="FD37" t="e">
        <f>AND(#REF!,"AAAAAG//fp8=")</f>
        <v>#REF!</v>
      </c>
      <c r="FE37" t="e">
        <f>AND(#REF!,"AAAAAG//fqA=")</f>
        <v>#REF!</v>
      </c>
      <c r="FF37" t="e">
        <f>AND(#REF!,"AAAAAG//fqE=")</f>
        <v>#REF!</v>
      </c>
      <c r="FG37" t="e">
        <f>IF(#REF!,"AAAAAG//fqI=",0)</f>
        <v>#REF!</v>
      </c>
      <c r="FH37" t="e">
        <f>AND(#REF!,"AAAAAG//fqM=")</f>
        <v>#REF!</v>
      </c>
      <c r="FI37" t="e">
        <f>AND(#REF!,"AAAAAG//fqQ=")</f>
        <v>#REF!</v>
      </c>
      <c r="FJ37" t="e">
        <f>AND(#REF!,"AAAAAG//fqU=")</f>
        <v>#REF!</v>
      </c>
      <c r="FK37" t="e">
        <f>AND(#REF!,"AAAAAG//fqY=")</f>
        <v>#REF!</v>
      </c>
      <c r="FL37" t="e">
        <f>AND(#REF!,"AAAAAG//fqc=")</f>
        <v>#REF!</v>
      </c>
      <c r="FM37" t="e">
        <f>AND(#REF!,"AAAAAG//fqg=")</f>
        <v>#REF!</v>
      </c>
      <c r="FN37" t="e">
        <f>AND(#REF!,"AAAAAG//fqk=")</f>
        <v>#REF!</v>
      </c>
      <c r="FO37" t="e">
        <f>AND(#REF!,"AAAAAG//fqo=")</f>
        <v>#REF!</v>
      </c>
      <c r="FP37" t="e">
        <f>IF(#REF!,"AAAAAG//fqs=",0)</f>
        <v>#REF!</v>
      </c>
      <c r="FQ37" t="e">
        <f>AND(#REF!,"AAAAAG//fqw=")</f>
        <v>#REF!</v>
      </c>
      <c r="FR37" t="e">
        <f>AND(#REF!,"AAAAAG//fq0=")</f>
        <v>#REF!</v>
      </c>
      <c r="FS37" t="e">
        <f>AND(#REF!,"AAAAAG//fq4=")</f>
        <v>#REF!</v>
      </c>
      <c r="FT37" t="e">
        <f>AND(#REF!,"AAAAAG//fq8=")</f>
        <v>#REF!</v>
      </c>
      <c r="FU37" t="e">
        <f>AND(#REF!,"AAAAAG//frA=")</f>
        <v>#REF!</v>
      </c>
      <c r="FV37" t="e">
        <f>AND(#REF!,"AAAAAG//frE=")</f>
        <v>#REF!</v>
      </c>
      <c r="FW37" t="e">
        <f>AND(#REF!,"AAAAAG//frI=")</f>
        <v>#REF!</v>
      </c>
      <c r="FX37" t="e">
        <f>AND(#REF!,"AAAAAG//frM=")</f>
        <v>#REF!</v>
      </c>
      <c r="FY37" t="e">
        <f>IF(#REF!,"AAAAAG//frQ=",0)</f>
        <v>#REF!</v>
      </c>
      <c r="FZ37" t="e">
        <f>AND(#REF!,"AAAAAG//frU=")</f>
        <v>#REF!</v>
      </c>
      <c r="GA37" t="e">
        <f>AND(#REF!,"AAAAAG//frY=")</f>
        <v>#REF!</v>
      </c>
      <c r="GB37" t="e">
        <f>AND(#REF!,"AAAAAG//frc=")</f>
        <v>#REF!</v>
      </c>
      <c r="GC37" t="e">
        <f>AND(#REF!,"AAAAAG//frg=")</f>
        <v>#REF!</v>
      </c>
      <c r="GD37" t="e">
        <f>AND(#REF!,"AAAAAG//frk=")</f>
        <v>#REF!</v>
      </c>
      <c r="GE37" t="e">
        <f>AND(#REF!,"AAAAAG//fro=")</f>
        <v>#REF!</v>
      </c>
      <c r="GF37" t="e">
        <f>AND(#REF!,"AAAAAG//frs=")</f>
        <v>#REF!</v>
      </c>
      <c r="GG37" t="e">
        <f>AND(#REF!,"AAAAAG//frw=")</f>
        <v>#REF!</v>
      </c>
      <c r="GH37" t="e">
        <f>IF(#REF!,"AAAAAG//fr0=",0)</f>
        <v>#REF!</v>
      </c>
      <c r="GI37" t="e">
        <f>AND(#REF!,"AAAAAG//fr4=")</f>
        <v>#REF!</v>
      </c>
      <c r="GJ37" t="e">
        <f>AND(#REF!,"AAAAAG//fr8=")</f>
        <v>#REF!</v>
      </c>
      <c r="GK37" t="e">
        <f>AND(#REF!,"AAAAAG//fsA=")</f>
        <v>#REF!</v>
      </c>
      <c r="GL37" t="e">
        <f>AND(#REF!,"AAAAAG//fsE=")</f>
        <v>#REF!</v>
      </c>
      <c r="GM37" t="e">
        <f>AND(#REF!,"AAAAAG//fsI=")</f>
        <v>#REF!</v>
      </c>
      <c r="GN37" t="e">
        <f>AND(#REF!,"AAAAAG//fsM=")</f>
        <v>#REF!</v>
      </c>
      <c r="GO37" t="e">
        <f>AND(#REF!,"AAAAAG//fsQ=")</f>
        <v>#REF!</v>
      </c>
      <c r="GP37" t="e">
        <f>AND(#REF!,"AAAAAG//fsU=")</f>
        <v>#REF!</v>
      </c>
      <c r="GQ37" t="e">
        <f>IF(#REF!,"AAAAAG//fsY=",0)</f>
        <v>#REF!</v>
      </c>
      <c r="GR37" t="e">
        <f>AND(#REF!,"AAAAAG//fsc=")</f>
        <v>#REF!</v>
      </c>
      <c r="GS37" t="e">
        <f>AND(#REF!,"AAAAAG//fsg=")</f>
        <v>#REF!</v>
      </c>
      <c r="GT37" t="e">
        <f>AND(#REF!,"AAAAAG//fsk=")</f>
        <v>#REF!</v>
      </c>
      <c r="GU37" t="e">
        <f>AND(#REF!,"AAAAAG//fso=")</f>
        <v>#REF!</v>
      </c>
      <c r="GV37" t="e">
        <f>AND(#REF!,"AAAAAG//fss=")</f>
        <v>#REF!</v>
      </c>
      <c r="GW37" t="e">
        <f>AND(#REF!,"AAAAAG//fsw=")</f>
        <v>#REF!</v>
      </c>
      <c r="GX37" t="e">
        <f>AND(#REF!,"AAAAAG//fs0=")</f>
        <v>#REF!</v>
      </c>
      <c r="GY37" t="e">
        <f>AND(#REF!,"AAAAAG//fs4=")</f>
        <v>#REF!</v>
      </c>
      <c r="GZ37" t="e">
        <f>IF(#REF!,"AAAAAG//fs8=",0)</f>
        <v>#REF!</v>
      </c>
      <c r="HA37" t="e">
        <f>AND(#REF!,"AAAAAG//ftA=")</f>
        <v>#REF!</v>
      </c>
      <c r="HB37" t="e">
        <f>AND(#REF!,"AAAAAG//ftE=")</f>
        <v>#REF!</v>
      </c>
      <c r="HC37" t="e">
        <f>AND(#REF!,"AAAAAG//ftI=")</f>
        <v>#REF!</v>
      </c>
      <c r="HD37" t="e">
        <f>AND(#REF!,"AAAAAG//ftM=")</f>
        <v>#REF!</v>
      </c>
      <c r="HE37" t="e">
        <f>AND(#REF!,"AAAAAG//ftQ=")</f>
        <v>#REF!</v>
      </c>
      <c r="HF37" t="e">
        <f>AND(#REF!,"AAAAAG//ftU=")</f>
        <v>#REF!</v>
      </c>
      <c r="HG37" t="e">
        <f>AND(#REF!,"AAAAAG//ftY=")</f>
        <v>#REF!</v>
      </c>
      <c r="HH37" t="e">
        <f>AND(#REF!,"AAAAAG//ftc=")</f>
        <v>#REF!</v>
      </c>
      <c r="HI37" t="e">
        <f>IF(#REF!,"AAAAAG//ftg=",0)</f>
        <v>#REF!</v>
      </c>
      <c r="HJ37" t="e">
        <f>AND(#REF!,"AAAAAG//ftk=")</f>
        <v>#REF!</v>
      </c>
      <c r="HK37" t="e">
        <f>AND(#REF!,"AAAAAG//fto=")</f>
        <v>#REF!</v>
      </c>
      <c r="HL37" t="e">
        <f>AND(#REF!,"AAAAAG//fts=")</f>
        <v>#REF!</v>
      </c>
      <c r="HM37" t="e">
        <f>AND(#REF!,"AAAAAG//ftw=")</f>
        <v>#REF!</v>
      </c>
      <c r="HN37" t="e">
        <f>AND(#REF!,"AAAAAG//ft0=")</f>
        <v>#REF!</v>
      </c>
      <c r="HO37" t="e">
        <f>AND(#REF!,"AAAAAG//ft4=")</f>
        <v>#REF!</v>
      </c>
      <c r="HP37" t="e">
        <f>AND(#REF!,"AAAAAG//ft8=")</f>
        <v>#REF!</v>
      </c>
      <c r="HQ37" t="e">
        <f>AND(#REF!,"AAAAAG//fuA=")</f>
        <v>#REF!</v>
      </c>
      <c r="HR37" t="e">
        <f>IF(#REF!,"AAAAAG//fuE=",0)</f>
        <v>#REF!</v>
      </c>
      <c r="HS37" t="e">
        <f>AND(#REF!,"AAAAAG//fuI=")</f>
        <v>#REF!</v>
      </c>
      <c r="HT37" t="e">
        <f>AND(#REF!,"AAAAAG//fuM=")</f>
        <v>#REF!</v>
      </c>
      <c r="HU37" t="e">
        <f>AND(#REF!,"AAAAAG//fuQ=")</f>
        <v>#REF!</v>
      </c>
      <c r="HV37" t="e">
        <f>AND(#REF!,"AAAAAG//fuU=")</f>
        <v>#REF!</v>
      </c>
      <c r="HW37" t="e">
        <f>AND(#REF!,"AAAAAG//fuY=")</f>
        <v>#REF!</v>
      </c>
      <c r="HX37" t="e">
        <f>AND(#REF!,"AAAAAG//fuc=")</f>
        <v>#REF!</v>
      </c>
      <c r="HY37" t="e">
        <f>AND(#REF!,"AAAAAG//fug=")</f>
        <v>#REF!</v>
      </c>
      <c r="HZ37" t="e">
        <f>AND(#REF!,"AAAAAG//fuk=")</f>
        <v>#REF!</v>
      </c>
      <c r="IA37" t="e">
        <f>IF(#REF!,"AAAAAG//fuo=",0)</f>
        <v>#REF!</v>
      </c>
      <c r="IB37" t="e">
        <f>AND(#REF!,"AAAAAG//fus=")</f>
        <v>#REF!</v>
      </c>
      <c r="IC37" t="e">
        <f>AND(#REF!,"AAAAAG//fuw=")</f>
        <v>#REF!</v>
      </c>
      <c r="ID37" t="e">
        <f>AND(#REF!,"AAAAAG//fu0=")</f>
        <v>#REF!</v>
      </c>
      <c r="IE37" t="e">
        <f>AND(#REF!,"AAAAAG//fu4=")</f>
        <v>#REF!</v>
      </c>
      <c r="IF37" t="e">
        <f>AND(#REF!,"AAAAAG//fu8=")</f>
        <v>#REF!</v>
      </c>
      <c r="IG37" t="e">
        <f>AND(#REF!,"AAAAAG//fvA=")</f>
        <v>#REF!</v>
      </c>
      <c r="IH37" t="e">
        <f>AND(#REF!,"AAAAAG//fvE=")</f>
        <v>#REF!</v>
      </c>
      <c r="II37" t="e">
        <f>AND(#REF!,"AAAAAG//fvI=")</f>
        <v>#REF!</v>
      </c>
      <c r="IJ37" t="e">
        <f>IF(#REF!,"AAAAAG//fvM=",0)</f>
        <v>#REF!</v>
      </c>
      <c r="IK37" t="e">
        <f>AND(#REF!,"AAAAAG//fvQ=")</f>
        <v>#REF!</v>
      </c>
      <c r="IL37" t="e">
        <f>AND(#REF!,"AAAAAG//fvU=")</f>
        <v>#REF!</v>
      </c>
      <c r="IM37" t="e">
        <f>AND(#REF!,"AAAAAG//fvY=")</f>
        <v>#REF!</v>
      </c>
      <c r="IN37" t="e">
        <f>AND(#REF!,"AAAAAG//fvc=")</f>
        <v>#REF!</v>
      </c>
      <c r="IO37" t="e">
        <f>AND(#REF!,"AAAAAG//fvg=")</f>
        <v>#REF!</v>
      </c>
      <c r="IP37" t="e">
        <f>AND(#REF!,"AAAAAG//fvk=")</f>
        <v>#REF!</v>
      </c>
      <c r="IQ37" t="e">
        <f>AND(#REF!,"AAAAAG//fvo=")</f>
        <v>#REF!</v>
      </c>
      <c r="IR37" t="e">
        <f>AND(#REF!,"AAAAAG//fvs=")</f>
        <v>#REF!</v>
      </c>
      <c r="IS37" t="e">
        <f>IF(#REF!,"AAAAAG//fvw=",0)</f>
        <v>#REF!</v>
      </c>
      <c r="IT37" t="e">
        <f>AND(#REF!,"AAAAAG//fv0=")</f>
        <v>#REF!</v>
      </c>
      <c r="IU37" t="e">
        <f>AND(#REF!,"AAAAAG//fv4=")</f>
        <v>#REF!</v>
      </c>
      <c r="IV37" t="e">
        <f>AND(#REF!,"AAAAAG//fv8=")</f>
        <v>#REF!</v>
      </c>
    </row>
    <row r="38" spans="1:256">
      <c r="A38" t="e">
        <f>AND(#REF!,"AAAAADv+3wA=")</f>
        <v>#REF!</v>
      </c>
      <c r="B38" t="e">
        <f>AND(#REF!,"AAAAADv+3wE=")</f>
        <v>#REF!</v>
      </c>
      <c r="C38" t="e">
        <f>AND(#REF!,"AAAAADv+3wI=")</f>
        <v>#REF!</v>
      </c>
      <c r="D38" t="e">
        <f>AND(#REF!,"AAAAADv+3wM=")</f>
        <v>#REF!</v>
      </c>
      <c r="E38" t="e">
        <f>AND(#REF!,"AAAAADv+3wQ=")</f>
        <v>#REF!</v>
      </c>
      <c r="F38" t="e">
        <f>IF(#REF!,"AAAAADv+3wU=",0)</f>
        <v>#REF!</v>
      </c>
      <c r="G38" t="e">
        <f>AND(#REF!,"AAAAADv+3wY=")</f>
        <v>#REF!</v>
      </c>
      <c r="H38" t="e">
        <f>AND(#REF!,"AAAAADv+3wc=")</f>
        <v>#REF!</v>
      </c>
      <c r="I38" t="e">
        <f>AND(#REF!,"AAAAADv+3wg=")</f>
        <v>#REF!</v>
      </c>
      <c r="J38" t="e">
        <f>AND(#REF!,"AAAAADv+3wk=")</f>
        <v>#REF!</v>
      </c>
      <c r="K38" t="e">
        <f>AND(#REF!,"AAAAADv+3wo=")</f>
        <v>#REF!</v>
      </c>
      <c r="L38" t="e">
        <f>AND(#REF!,"AAAAADv+3ws=")</f>
        <v>#REF!</v>
      </c>
      <c r="M38" t="e">
        <f>AND(#REF!,"AAAAADv+3ww=")</f>
        <v>#REF!</v>
      </c>
      <c r="N38" t="e">
        <f>AND(#REF!,"AAAAADv+3w0=")</f>
        <v>#REF!</v>
      </c>
      <c r="O38" t="e">
        <f>IF(#REF!,"AAAAADv+3w4=",0)</f>
        <v>#REF!</v>
      </c>
      <c r="P38" t="e">
        <f>AND(#REF!,"AAAAADv+3w8=")</f>
        <v>#REF!</v>
      </c>
      <c r="Q38" t="e">
        <f>AND(#REF!,"AAAAADv+3xA=")</f>
        <v>#REF!</v>
      </c>
      <c r="R38" t="e">
        <f>AND(#REF!,"AAAAADv+3xE=")</f>
        <v>#REF!</v>
      </c>
      <c r="S38" t="e">
        <f>AND(#REF!,"AAAAADv+3xI=")</f>
        <v>#REF!</v>
      </c>
      <c r="T38" t="e">
        <f>AND(#REF!,"AAAAADv+3xM=")</f>
        <v>#REF!</v>
      </c>
      <c r="U38" t="e">
        <f>AND(#REF!,"AAAAADv+3xQ=")</f>
        <v>#REF!</v>
      </c>
      <c r="V38" t="e">
        <f>AND(#REF!,"AAAAADv+3xU=")</f>
        <v>#REF!</v>
      </c>
      <c r="W38" t="e">
        <f>AND(#REF!,"AAAAADv+3xY=")</f>
        <v>#REF!</v>
      </c>
      <c r="X38" t="e">
        <f>IF(#REF!,"AAAAADv+3xc=",0)</f>
        <v>#REF!</v>
      </c>
      <c r="Y38" t="e">
        <f>AND(#REF!,"AAAAADv+3xg=")</f>
        <v>#REF!</v>
      </c>
      <c r="Z38" t="e">
        <f>AND(#REF!,"AAAAADv+3xk=")</f>
        <v>#REF!</v>
      </c>
      <c r="AA38" t="e">
        <f>AND(#REF!,"AAAAADv+3xo=")</f>
        <v>#REF!</v>
      </c>
      <c r="AB38" t="e">
        <f>AND(#REF!,"AAAAADv+3xs=")</f>
        <v>#REF!</v>
      </c>
      <c r="AC38" t="e">
        <f>AND(#REF!,"AAAAADv+3xw=")</f>
        <v>#REF!</v>
      </c>
      <c r="AD38" t="e">
        <f>AND(#REF!,"AAAAADv+3x0=")</f>
        <v>#REF!</v>
      </c>
      <c r="AE38" t="e">
        <f>AND(#REF!,"AAAAADv+3x4=")</f>
        <v>#REF!</v>
      </c>
      <c r="AF38" t="e">
        <f>AND(#REF!,"AAAAADv+3x8=")</f>
        <v>#REF!</v>
      </c>
      <c r="AG38" t="e">
        <f>IF(#REF!,"AAAAADv+3yA=",0)</f>
        <v>#REF!</v>
      </c>
      <c r="AH38" t="e">
        <f>AND(#REF!,"AAAAADv+3yE=")</f>
        <v>#REF!</v>
      </c>
      <c r="AI38" t="e">
        <f>AND(#REF!,"AAAAADv+3yI=")</f>
        <v>#REF!</v>
      </c>
      <c r="AJ38" t="e">
        <f>AND(#REF!,"AAAAADv+3yM=")</f>
        <v>#REF!</v>
      </c>
      <c r="AK38" t="e">
        <f>AND(#REF!,"AAAAADv+3yQ=")</f>
        <v>#REF!</v>
      </c>
      <c r="AL38" t="e">
        <f>AND(#REF!,"AAAAADv+3yU=")</f>
        <v>#REF!</v>
      </c>
      <c r="AM38" t="e">
        <f>AND(#REF!,"AAAAADv+3yY=")</f>
        <v>#REF!</v>
      </c>
      <c r="AN38" t="e">
        <f>AND(#REF!,"AAAAADv+3yc=")</f>
        <v>#REF!</v>
      </c>
      <c r="AO38" t="e">
        <f>AND(#REF!,"AAAAADv+3yg=")</f>
        <v>#REF!</v>
      </c>
      <c r="AP38" t="e">
        <f>IF(#REF!,"AAAAADv+3yk=",0)</f>
        <v>#REF!</v>
      </c>
      <c r="AQ38" t="e">
        <f>AND(#REF!,"AAAAADv+3yo=")</f>
        <v>#REF!</v>
      </c>
      <c r="AR38" t="e">
        <f>AND(#REF!,"AAAAADv+3ys=")</f>
        <v>#REF!</v>
      </c>
      <c r="AS38" t="e">
        <f>AND(#REF!,"AAAAADv+3yw=")</f>
        <v>#REF!</v>
      </c>
      <c r="AT38" t="e">
        <f>AND(#REF!,"AAAAADv+3y0=")</f>
        <v>#REF!</v>
      </c>
      <c r="AU38" t="e">
        <f>AND(#REF!,"AAAAADv+3y4=")</f>
        <v>#REF!</v>
      </c>
      <c r="AV38" t="e">
        <f>AND(#REF!,"AAAAADv+3y8=")</f>
        <v>#REF!</v>
      </c>
      <c r="AW38" t="e">
        <f>AND(#REF!,"AAAAADv+3zA=")</f>
        <v>#REF!</v>
      </c>
      <c r="AX38" t="e">
        <f>AND(#REF!,"AAAAADv+3zE=")</f>
        <v>#REF!</v>
      </c>
      <c r="AY38" t="e">
        <f>IF(#REF!,"AAAAADv+3zI=",0)</f>
        <v>#REF!</v>
      </c>
      <c r="AZ38" t="e">
        <f>AND(#REF!,"AAAAADv+3zM=")</f>
        <v>#REF!</v>
      </c>
      <c r="BA38" t="e">
        <f>AND(#REF!,"AAAAADv+3zQ=")</f>
        <v>#REF!</v>
      </c>
      <c r="BB38" t="e">
        <f>AND(#REF!,"AAAAADv+3zU=")</f>
        <v>#REF!</v>
      </c>
      <c r="BC38" t="e">
        <f>AND(#REF!,"AAAAADv+3zY=")</f>
        <v>#REF!</v>
      </c>
      <c r="BD38" t="e">
        <f>AND(#REF!,"AAAAADv+3zc=")</f>
        <v>#REF!</v>
      </c>
      <c r="BE38" t="e">
        <f>AND(#REF!,"AAAAADv+3zg=")</f>
        <v>#REF!</v>
      </c>
      <c r="BF38" t="e">
        <f>AND(#REF!,"AAAAADv+3zk=")</f>
        <v>#REF!</v>
      </c>
      <c r="BG38" t="e">
        <f>AND(#REF!,"AAAAADv+3zo=")</f>
        <v>#REF!</v>
      </c>
      <c r="BH38" t="e">
        <f>IF(#REF!,"AAAAADv+3zs=",0)</f>
        <v>#REF!</v>
      </c>
      <c r="BI38" t="e">
        <f>AND(#REF!,"AAAAADv+3zw=")</f>
        <v>#REF!</v>
      </c>
      <c r="BJ38" t="e">
        <f>AND(#REF!,"AAAAADv+3z0=")</f>
        <v>#REF!</v>
      </c>
      <c r="BK38" t="e">
        <f>AND(#REF!,"AAAAADv+3z4=")</f>
        <v>#REF!</v>
      </c>
      <c r="BL38" t="e">
        <f>AND(#REF!,"AAAAADv+3z8=")</f>
        <v>#REF!</v>
      </c>
      <c r="BM38" t="e">
        <f>AND(#REF!,"AAAAADv+30A=")</f>
        <v>#REF!</v>
      </c>
      <c r="BN38" t="e">
        <f>AND(#REF!,"AAAAADv+30E=")</f>
        <v>#REF!</v>
      </c>
      <c r="BO38" t="e">
        <f>AND(#REF!,"AAAAADv+30I=")</f>
        <v>#REF!</v>
      </c>
      <c r="BP38" t="e">
        <f>AND(#REF!,"AAAAADv+30M=")</f>
        <v>#REF!</v>
      </c>
      <c r="BQ38" t="e">
        <f>IF(#REF!,"AAAAADv+30Q=",0)</f>
        <v>#REF!</v>
      </c>
      <c r="BR38" t="e">
        <f>AND(#REF!,"AAAAADv+30U=")</f>
        <v>#REF!</v>
      </c>
      <c r="BS38" t="e">
        <f>AND(#REF!,"AAAAADv+30Y=")</f>
        <v>#REF!</v>
      </c>
      <c r="BT38" t="e">
        <f>AND(#REF!,"AAAAADv+30c=")</f>
        <v>#REF!</v>
      </c>
      <c r="BU38" t="e">
        <f>AND(#REF!,"AAAAADv+30g=")</f>
        <v>#REF!</v>
      </c>
      <c r="BV38" t="e">
        <f>AND(#REF!,"AAAAADv+30k=")</f>
        <v>#REF!</v>
      </c>
      <c r="BW38" t="e">
        <f>AND(#REF!,"AAAAADv+30o=")</f>
        <v>#REF!</v>
      </c>
      <c r="BX38" t="e">
        <f>AND(#REF!,"AAAAADv+30s=")</f>
        <v>#REF!</v>
      </c>
      <c r="BY38" t="e">
        <f>AND(#REF!,"AAAAADv+30w=")</f>
        <v>#REF!</v>
      </c>
      <c r="BZ38" t="e">
        <f>IF(#REF!,"AAAAADv+300=",0)</f>
        <v>#REF!</v>
      </c>
      <c r="CA38" t="e">
        <f>AND(#REF!,"AAAAADv+304=")</f>
        <v>#REF!</v>
      </c>
      <c r="CB38" t="e">
        <f>AND(#REF!,"AAAAADv+308=")</f>
        <v>#REF!</v>
      </c>
      <c r="CC38" t="e">
        <f>AND(#REF!,"AAAAADv+31A=")</f>
        <v>#REF!</v>
      </c>
      <c r="CD38" t="e">
        <f>AND(#REF!,"AAAAADv+31E=")</f>
        <v>#REF!</v>
      </c>
      <c r="CE38" t="e">
        <f>AND(#REF!,"AAAAADv+31I=")</f>
        <v>#REF!</v>
      </c>
      <c r="CF38" t="e">
        <f>AND(#REF!,"AAAAADv+31M=")</f>
        <v>#REF!</v>
      </c>
      <c r="CG38" t="e">
        <f>AND(#REF!,"AAAAADv+31Q=")</f>
        <v>#REF!</v>
      </c>
      <c r="CH38" t="e">
        <f>AND(#REF!,"AAAAADv+31U=")</f>
        <v>#REF!</v>
      </c>
      <c r="CI38" t="e">
        <f>IF(#REF!,"AAAAADv+31Y=",0)</f>
        <v>#REF!</v>
      </c>
      <c r="CJ38" t="e">
        <f>AND(#REF!,"AAAAADv+31c=")</f>
        <v>#REF!</v>
      </c>
      <c r="CK38" t="e">
        <f>AND(#REF!,"AAAAADv+31g=")</f>
        <v>#REF!</v>
      </c>
      <c r="CL38" t="e">
        <f>AND(#REF!,"AAAAADv+31k=")</f>
        <v>#REF!</v>
      </c>
      <c r="CM38" t="e">
        <f>AND(#REF!,"AAAAADv+31o=")</f>
        <v>#REF!</v>
      </c>
      <c r="CN38" t="e">
        <f>AND(#REF!,"AAAAADv+31s=")</f>
        <v>#REF!</v>
      </c>
      <c r="CO38" t="e">
        <f>AND(#REF!,"AAAAADv+31w=")</f>
        <v>#REF!</v>
      </c>
      <c r="CP38" t="e">
        <f>AND(#REF!,"AAAAADv+310=")</f>
        <v>#REF!</v>
      </c>
      <c r="CQ38" t="e">
        <f>AND(#REF!,"AAAAADv+314=")</f>
        <v>#REF!</v>
      </c>
      <c r="CR38" t="e">
        <f>IF(#REF!,"AAAAADv+318=",0)</f>
        <v>#REF!</v>
      </c>
      <c r="CS38" t="e">
        <f>AND(#REF!,"AAAAADv+32A=")</f>
        <v>#REF!</v>
      </c>
      <c r="CT38" t="e">
        <f>AND(#REF!,"AAAAADv+32E=")</f>
        <v>#REF!</v>
      </c>
      <c r="CU38" t="e">
        <f>AND(#REF!,"AAAAADv+32I=")</f>
        <v>#REF!</v>
      </c>
      <c r="CV38" t="e">
        <f>AND(#REF!,"AAAAADv+32M=")</f>
        <v>#REF!</v>
      </c>
      <c r="CW38" t="e">
        <f>AND(#REF!,"AAAAADv+32Q=")</f>
        <v>#REF!</v>
      </c>
      <c r="CX38" t="e">
        <f>AND(#REF!,"AAAAADv+32U=")</f>
        <v>#REF!</v>
      </c>
      <c r="CY38" t="e">
        <f>AND(#REF!,"AAAAADv+32Y=")</f>
        <v>#REF!</v>
      </c>
      <c r="CZ38" t="e">
        <f>AND(#REF!,"AAAAADv+32c=")</f>
        <v>#REF!</v>
      </c>
      <c r="DA38" t="e">
        <f>IF(#REF!,"AAAAADv+32g=",0)</f>
        <v>#REF!</v>
      </c>
      <c r="DB38" t="e">
        <f>AND(#REF!,"AAAAADv+32k=")</f>
        <v>#REF!</v>
      </c>
      <c r="DC38" t="e">
        <f>AND(#REF!,"AAAAADv+32o=")</f>
        <v>#REF!</v>
      </c>
      <c r="DD38" t="e">
        <f>AND(#REF!,"AAAAADv+32s=")</f>
        <v>#REF!</v>
      </c>
      <c r="DE38" t="e">
        <f>AND(#REF!,"AAAAADv+32w=")</f>
        <v>#REF!</v>
      </c>
      <c r="DF38" t="e">
        <f>AND(#REF!,"AAAAADv+320=")</f>
        <v>#REF!</v>
      </c>
      <c r="DG38" t="e">
        <f>AND(#REF!,"AAAAADv+324=")</f>
        <v>#REF!</v>
      </c>
      <c r="DH38" t="e">
        <f>AND(#REF!,"AAAAADv+328=")</f>
        <v>#REF!</v>
      </c>
      <c r="DI38" t="e">
        <f>AND(#REF!,"AAAAADv+33A=")</f>
        <v>#REF!</v>
      </c>
      <c r="DJ38" t="e">
        <f>IF(#REF!,"AAAAADv+33E=",0)</f>
        <v>#REF!</v>
      </c>
      <c r="DK38" t="e">
        <f>AND(#REF!,"AAAAADv+33I=")</f>
        <v>#REF!</v>
      </c>
      <c r="DL38" t="e">
        <f>AND(#REF!,"AAAAADv+33M=")</f>
        <v>#REF!</v>
      </c>
      <c r="DM38" t="e">
        <f>AND(#REF!,"AAAAADv+33Q=")</f>
        <v>#REF!</v>
      </c>
      <c r="DN38" t="e">
        <f>AND(#REF!,"AAAAADv+33U=")</f>
        <v>#REF!</v>
      </c>
      <c r="DO38" t="e">
        <f>AND(#REF!,"AAAAADv+33Y=")</f>
        <v>#REF!</v>
      </c>
      <c r="DP38" t="e">
        <f>AND(#REF!,"AAAAADv+33c=")</f>
        <v>#REF!</v>
      </c>
      <c r="DQ38" t="e">
        <f>AND(#REF!,"AAAAADv+33g=")</f>
        <v>#REF!</v>
      </c>
      <c r="DR38" t="e">
        <f>AND(#REF!,"AAAAADv+33k=")</f>
        <v>#REF!</v>
      </c>
      <c r="DS38" t="e">
        <f>IF(#REF!,"AAAAADv+33o=",0)</f>
        <v>#REF!</v>
      </c>
      <c r="DT38" t="e">
        <f>AND(#REF!,"AAAAADv+33s=")</f>
        <v>#REF!</v>
      </c>
      <c r="DU38" t="e">
        <f>AND(#REF!,"AAAAADv+33w=")</f>
        <v>#REF!</v>
      </c>
      <c r="DV38" t="e">
        <f>AND(#REF!,"AAAAADv+330=")</f>
        <v>#REF!</v>
      </c>
      <c r="DW38" t="e">
        <f>AND(#REF!,"AAAAADv+334=")</f>
        <v>#REF!</v>
      </c>
      <c r="DX38" t="e">
        <f>AND(#REF!,"AAAAADv+338=")</f>
        <v>#REF!</v>
      </c>
      <c r="DY38" t="e">
        <f>AND(#REF!,"AAAAADv+34A=")</f>
        <v>#REF!</v>
      </c>
      <c r="DZ38" t="e">
        <f>AND(#REF!,"AAAAADv+34E=")</f>
        <v>#REF!</v>
      </c>
      <c r="EA38" t="e">
        <f>AND(#REF!,"AAAAADv+34I=")</f>
        <v>#REF!</v>
      </c>
      <c r="EB38" t="e">
        <f>IF(#REF!,"AAAAADv+34M=",0)</f>
        <v>#REF!</v>
      </c>
      <c r="EC38" t="e">
        <f>AND(#REF!,"AAAAADv+34Q=")</f>
        <v>#REF!</v>
      </c>
      <c r="ED38" t="e">
        <f>AND(#REF!,"AAAAADv+34U=")</f>
        <v>#REF!</v>
      </c>
      <c r="EE38" t="e">
        <f>AND(#REF!,"AAAAADv+34Y=")</f>
        <v>#REF!</v>
      </c>
      <c r="EF38" t="e">
        <f>AND(#REF!,"AAAAADv+34c=")</f>
        <v>#REF!</v>
      </c>
      <c r="EG38" t="e">
        <f>AND(#REF!,"AAAAADv+34g=")</f>
        <v>#REF!</v>
      </c>
      <c r="EH38" t="e">
        <f>AND(#REF!,"AAAAADv+34k=")</f>
        <v>#REF!</v>
      </c>
      <c r="EI38" t="e">
        <f>AND(#REF!,"AAAAADv+34o=")</f>
        <v>#REF!</v>
      </c>
      <c r="EJ38" t="e">
        <f>AND(#REF!,"AAAAADv+34s=")</f>
        <v>#REF!</v>
      </c>
      <c r="EK38" t="e">
        <f>IF(#REF!,"AAAAADv+34w=",0)</f>
        <v>#REF!</v>
      </c>
      <c r="EL38" t="e">
        <f>AND(#REF!,"AAAAADv+340=")</f>
        <v>#REF!</v>
      </c>
      <c r="EM38" t="e">
        <f>AND(#REF!,"AAAAADv+344=")</f>
        <v>#REF!</v>
      </c>
      <c r="EN38" t="e">
        <f>AND(#REF!,"AAAAADv+348=")</f>
        <v>#REF!</v>
      </c>
      <c r="EO38" t="e">
        <f>AND(#REF!,"AAAAADv+35A=")</f>
        <v>#REF!</v>
      </c>
      <c r="EP38" t="e">
        <f>AND(#REF!,"AAAAADv+35E=")</f>
        <v>#REF!</v>
      </c>
      <c r="EQ38" t="e">
        <f>AND(#REF!,"AAAAADv+35I=")</f>
        <v>#REF!</v>
      </c>
      <c r="ER38" t="e">
        <f>AND(#REF!,"AAAAADv+35M=")</f>
        <v>#REF!</v>
      </c>
      <c r="ES38" t="e">
        <f>AND(#REF!,"AAAAADv+35Q=")</f>
        <v>#REF!</v>
      </c>
      <c r="ET38" t="e">
        <f>IF(#REF!,"AAAAADv+35U=",0)</f>
        <v>#REF!</v>
      </c>
      <c r="EU38" t="e">
        <f>AND(#REF!,"AAAAADv+35Y=")</f>
        <v>#REF!</v>
      </c>
      <c r="EV38" t="e">
        <f>AND(#REF!,"AAAAADv+35c=")</f>
        <v>#REF!</v>
      </c>
      <c r="EW38" t="e">
        <f>AND(#REF!,"AAAAADv+35g=")</f>
        <v>#REF!</v>
      </c>
      <c r="EX38" t="e">
        <f>AND(#REF!,"AAAAADv+35k=")</f>
        <v>#REF!</v>
      </c>
      <c r="EY38" t="e">
        <f>AND(#REF!,"AAAAADv+35o=")</f>
        <v>#REF!</v>
      </c>
      <c r="EZ38" t="e">
        <f>AND(#REF!,"AAAAADv+35s=")</f>
        <v>#REF!</v>
      </c>
      <c r="FA38" t="e">
        <f>AND(#REF!,"AAAAADv+35w=")</f>
        <v>#REF!</v>
      </c>
      <c r="FB38" t="e">
        <f>AND(#REF!,"AAAAADv+350=")</f>
        <v>#REF!</v>
      </c>
      <c r="FC38" t="e">
        <f>IF(#REF!,"AAAAADv+354=",0)</f>
        <v>#REF!</v>
      </c>
      <c r="FD38" t="e">
        <f>AND(#REF!,"AAAAADv+358=")</f>
        <v>#REF!</v>
      </c>
      <c r="FE38" t="e">
        <f>AND(#REF!,"AAAAADv+36A=")</f>
        <v>#REF!</v>
      </c>
      <c r="FF38" t="e">
        <f>AND(#REF!,"AAAAADv+36E=")</f>
        <v>#REF!</v>
      </c>
      <c r="FG38" t="e">
        <f>AND(#REF!,"AAAAADv+36I=")</f>
        <v>#REF!</v>
      </c>
      <c r="FH38" t="e">
        <f>AND(#REF!,"AAAAADv+36M=")</f>
        <v>#REF!</v>
      </c>
      <c r="FI38" t="e">
        <f>AND(#REF!,"AAAAADv+36Q=")</f>
        <v>#REF!</v>
      </c>
      <c r="FJ38" t="e">
        <f>AND(#REF!,"AAAAADv+36U=")</f>
        <v>#REF!</v>
      </c>
      <c r="FK38" t="e">
        <f>AND(#REF!,"AAAAADv+36Y=")</f>
        <v>#REF!</v>
      </c>
      <c r="FL38" t="e">
        <f>IF(#REF!,"AAAAADv+36c=",0)</f>
        <v>#REF!</v>
      </c>
      <c r="FM38" t="e">
        <f>AND(#REF!,"AAAAADv+36g=")</f>
        <v>#REF!</v>
      </c>
      <c r="FN38" t="e">
        <f>AND(#REF!,"AAAAADv+36k=")</f>
        <v>#REF!</v>
      </c>
      <c r="FO38" t="e">
        <f>AND(#REF!,"AAAAADv+36o=")</f>
        <v>#REF!</v>
      </c>
      <c r="FP38" t="e">
        <f>AND(#REF!,"AAAAADv+36s=")</f>
        <v>#REF!</v>
      </c>
      <c r="FQ38" t="e">
        <f>AND(#REF!,"AAAAADv+36w=")</f>
        <v>#REF!</v>
      </c>
      <c r="FR38" t="e">
        <f>AND(#REF!,"AAAAADv+360=")</f>
        <v>#REF!</v>
      </c>
      <c r="FS38" t="e">
        <f>AND(#REF!,"AAAAADv+364=")</f>
        <v>#REF!</v>
      </c>
      <c r="FT38" t="e">
        <f>AND(#REF!,"AAAAADv+368=")</f>
        <v>#REF!</v>
      </c>
      <c r="FU38" t="e">
        <f>IF(#REF!,"AAAAADv+37A=",0)</f>
        <v>#REF!</v>
      </c>
      <c r="FV38" t="e">
        <f>AND(#REF!,"AAAAADv+37E=")</f>
        <v>#REF!</v>
      </c>
      <c r="FW38" t="e">
        <f>AND(#REF!,"AAAAADv+37I=")</f>
        <v>#REF!</v>
      </c>
      <c r="FX38" t="e">
        <f>AND(#REF!,"AAAAADv+37M=")</f>
        <v>#REF!</v>
      </c>
      <c r="FY38" t="e">
        <f>AND(#REF!,"AAAAADv+37Q=")</f>
        <v>#REF!</v>
      </c>
      <c r="FZ38" t="e">
        <f>AND(#REF!,"AAAAADv+37U=")</f>
        <v>#REF!</v>
      </c>
      <c r="GA38" t="e">
        <f>AND(#REF!,"AAAAADv+37Y=")</f>
        <v>#REF!</v>
      </c>
      <c r="GB38" t="e">
        <f>AND(#REF!,"AAAAADv+37c=")</f>
        <v>#REF!</v>
      </c>
      <c r="GC38" t="e">
        <f>AND(#REF!,"AAAAADv+37g=")</f>
        <v>#REF!</v>
      </c>
      <c r="GD38" t="e">
        <f>IF(#REF!,"AAAAADv+37k=",0)</f>
        <v>#REF!</v>
      </c>
      <c r="GE38" t="e">
        <f>AND(#REF!,"AAAAADv+37o=")</f>
        <v>#REF!</v>
      </c>
      <c r="GF38" t="e">
        <f>AND(#REF!,"AAAAADv+37s=")</f>
        <v>#REF!</v>
      </c>
      <c r="GG38" t="e">
        <f>AND(#REF!,"AAAAADv+37w=")</f>
        <v>#REF!</v>
      </c>
      <c r="GH38" t="e">
        <f>AND(#REF!,"AAAAADv+370=")</f>
        <v>#REF!</v>
      </c>
      <c r="GI38" t="e">
        <f>AND(#REF!,"AAAAADv+374=")</f>
        <v>#REF!</v>
      </c>
      <c r="GJ38" t="e">
        <f>AND(#REF!,"AAAAADv+378=")</f>
        <v>#REF!</v>
      </c>
      <c r="GK38" t="e">
        <f>AND(#REF!,"AAAAADv+38A=")</f>
        <v>#REF!</v>
      </c>
      <c r="GL38" t="e">
        <f>AND(#REF!,"AAAAADv+38E=")</f>
        <v>#REF!</v>
      </c>
      <c r="GM38" t="e">
        <f>IF(#REF!,"AAAAADv+38I=",0)</f>
        <v>#REF!</v>
      </c>
      <c r="GN38" t="e">
        <f>AND(#REF!,"AAAAADv+38M=")</f>
        <v>#REF!</v>
      </c>
      <c r="GO38" t="e">
        <f>AND(#REF!,"AAAAADv+38Q=")</f>
        <v>#REF!</v>
      </c>
      <c r="GP38" t="e">
        <f>AND(#REF!,"AAAAADv+38U=")</f>
        <v>#REF!</v>
      </c>
      <c r="GQ38" t="e">
        <f>AND(#REF!,"AAAAADv+38Y=")</f>
        <v>#REF!</v>
      </c>
      <c r="GR38" t="e">
        <f>AND(#REF!,"AAAAADv+38c=")</f>
        <v>#REF!</v>
      </c>
      <c r="GS38" t="e">
        <f>AND(#REF!,"AAAAADv+38g=")</f>
        <v>#REF!</v>
      </c>
      <c r="GT38" t="e">
        <f>AND(#REF!,"AAAAADv+38k=")</f>
        <v>#REF!</v>
      </c>
      <c r="GU38" t="e">
        <f>AND(#REF!,"AAAAADv+38o=")</f>
        <v>#REF!</v>
      </c>
      <c r="GV38" t="e">
        <f>IF(#REF!,"AAAAADv+38s=",0)</f>
        <v>#REF!</v>
      </c>
      <c r="GW38" t="e">
        <f>AND(#REF!,"AAAAADv+38w=")</f>
        <v>#REF!</v>
      </c>
      <c r="GX38" t="e">
        <f>AND(#REF!,"AAAAADv+380=")</f>
        <v>#REF!</v>
      </c>
      <c r="GY38" t="e">
        <f>AND(#REF!,"AAAAADv+384=")</f>
        <v>#REF!</v>
      </c>
      <c r="GZ38" t="e">
        <f>AND(#REF!,"AAAAADv+388=")</f>
        <v>#REF!</v>
      </c>
      <c r="HA38" t="e">
        <f>AND(#REF!,"AAAAADv+39A=")</f>
        <v>#REF!</v>
      </c>
      <c r="HB38" t="e">
        <f>AND(#REF!,"AAAAADv+39E=")</f>
        <v>#REF!</v>
      </c>
      <c r="HC38" t="e">
        <f>AND(#REF!,"AAAAADv+39I=")</f>
        <v>#REF!</v>
      </c>
      <c r="HD38" t="e">
        <f>AND(#REF!,"AAAAADv+39M=")</f>
        <v>#REF!</v>
      </c>
      <c r="HE38" t="e">
        <f>IF(#REF!,"AAAAADv+39Q=",0)</f>
        <v>#REF!</v>
      </c>
      <c r="HF38" t="e">
        <f>AND(#REF!,"AAAAADv+39U=")</f>
        <v>#REF!</v>
      </c>
      <c r="HG38" t="e">
        <f>AND(#REF!,"AAAAADv+39Y=")</f>
        <v>#REF!</v>
      </c>
      <c r="HH38" t="e">
        <f>AND(#REF!,"AAAAADv+39c=")</f>
        <v>#REF!</v>
      </c>
      <c r="HI38" t="e">
        <f>AND(#REF!,"AAAAADv+39g=")</f>
        <v>#REF!</v>
      </c>
      <c r="HJ38" t="e">
        <f>AND(#REF!,"AAAAADv+39k=")</f>
        <v>#REF!</v>
      </c>
      <c r="HK38" t="e">
        <f>AND(#REF!,"AAAAADv+39o=")</f>
        <v>#REF!</v>
      </c>
      <c r="HL38" t="e">
        <f>AND(#REF!,"AAAAADv+39s=")</f>
        <v>#REF!</v>
      </c>
      <c r="HM38" t="e">
        <f>AND(#REF!,"AAAAADv+39w=")</f>
        <v>#REF!</v>
      </c>
      <c r="HN38" t="e">
        <f>IF(#REF!,"AAAAADv+390=",0)</f>
        <v>#REF!</v>
      </c>
      <c r="HO38" t="e">
        <f>AND(#REF!,"AAAAADv+394=")</f>
        <v>#REF!</v>
      </c>
      <c r="HP38" t="e">
        <f>AND(#REF!,"AAAAADv+398=")</f>
        <v>#REF!</v>
      </c>
      <c r="HQ38" t="e">
        <f>AND(#REF!,"AAAAADv+3+A=")</f>
        <v>#REF!</v>
      </c>
      <c r="HR38" t="e">
        <f>AND(#REF!,"AAAAADv+3+E=")</f>
        <v>#REF!</v>
      </c>
      <c r="HS38" t="e">
        <f>AND(#REF!,"AAAAADv+3+I=")</f>
        <v>#REF!</v>
      </c>
      <c r="HT38" t="e">
        <f>AND(#REF!,"AAAAADv+3+M=")</f>
        <v>#REF!</v>
      </c>
      <c r="HU38" t="e">
        <f>AND(#REF!,"AAAAADv+3+Q=")</f>
        <v>#REF!</v>
      </c>
      <c r="HV38" t="e">
        <f>AND(#REF!,"AAAAADv+3+U=")</f>
        <v>#REF!</v>
      </c>
      <c r="HW38" t="e">
        <f>IF(#REF!,"AAAAADv+3+Y=",0)</f>
        <v>#REF!</v>
      </c>
      <c r="HX38" t="e">
        <f>AND(#REF!,"AAAAADv+3+c=")</f>
        <v>#REF!</v>
      </c>
      <c r="HY38" t="e">
        <f>AND(#REF!,"AAAAADv+3+g=")</f>
        <v>#REF!</v>
      </c>
      <c r="HZ38" t="e">
        <f>AND(#REF!,"AAAAADv+3+k=")</f>
        <v>#REF!</v>
      </c>
      <c r="IA38" t="e">
        <f>AND(#REF!,"AAAAADv+3+o=")</f>
        <v>#REF!</v>
      </c>
      <c r="IB38" t="e">
        <f>AND(#REF!,"AAAAADv+3+s=")</f>
        <v>#REF!</v>
      </c>
      <c r="IC38" t="e">
        <f>AND(#REF!,"AAAAADv+3+w=")</f>
        <v>#REF!</v>
      </c>
      <c r="ID38" t="e">
        <f>AND(#REF!,"AAAAADv+3+0=")</f>
        <v>#REF!</v>
      </c>
      <c r="IE38" t="e">
        <f>AND(#REF!,"AAAAADv+3+4=")</f>
        <v>#REF!</v>
      </c>
      <c r="IF38" t="e">
        <f>IF(#REF!,"AAAAADv+3+8=",0)</f>
        <v>#REF!</v>
      </c>
      <c r="IG38" t="e">
        <f>AND(#REF!,"AAAAADv+3/A=")</f>
        <v>#REF!</v>
      </c>
      <c r="IH38" t="e">
        <f>AND(#REF!,"AAAAADv+3/E=")</f>
        <v>#REF!</v>
      </c>
      <c r="II38" t="e">
        <f>AND(#REF!,"AAAAADv+3/I=")</f>
        <v>#REF!</v>
      </c>
      <c r="IJ38" t="e">
        <f>AND(#REF!,"AAAAADv+3/M=")</f>
        <v>#REF!</v>
      </c>
      <c r="IK38" t="e">
        <f>AND(#REF!,"AAAAADv+3/Q=")</f>
        <v>#REF!</v>
      </c>
      <c r="IL38" t="e">
        <f>AND(#REF!,"AAAAADv+3/U=")</f>
        <v>#REF!</v>
      </c>
      <c r="IM38" t="e">
        <f>AND(#REF!,"AAAAADv+3/Y=")</f>
        <v>#REF!</v>
      </c>
      <c r="IN38" t="e">
        <f>AND(#REF!,"AAAAADv+3/c=")</f>
        <v>#REF!</v>
      </c>
      <c r="IO38" t="e">
        <f>IF(#REF!,"AAAAADv+3/g=",0)</f>
        <v>#REF!</v>
      </c>
      <c r="IP38" t="e">
        <f>AND(#REF!,"AAAAADv+3/k=")</f>
        <v>#REF!</v>
      </c>
      <c r="IQ38" t="e">
        <f>AND(#REF!,"AAAAADv+3/o=")</f>
        <v>#REF!</v>
      </c>
      <c r="IR38" t="e">
        <f>AND(#REF!,"AAAAADv+3/s=")</f>
        <v>#REF!</v>
      </c>
      <c r="IS38" t="e">
        <f>AND(#REF!,"AAAAADv+3/w=")</f>
        <v>#REF!</v>
      </c>
      <c r="IT38" t="e">
        <f>AND(#REF!,"AAAAADv+3/0=")</f>
        <v>#REF!</v>
      </c>
      <c r="IU38" t="e">
        <f>AND(#REF!,"AAAAADv+3/4=")</f>
        <v>#REF!</v>
      </c>
      <c r="IV38" t="e">
        <f>AND(#REF!,"AAAAADv+3/8=")</f>
        <v>#REF!</v>
      </c>
    </row>
    <row r="39" spans="1:256">
      <c r="A39" t="e">
        <f>AND(#REF!,"AAAAABZb+gA=")</f>
        <v>#REF!</v>
      </c>
      <c r="B39" t="e">
        <f>IF(#REF!,"AAAAABZb+gE=",0)</f>
        <v>#REF!</v>
      </c>
      <c r="C39" t="e">
        <f>AND(#REF!,"AAAAABZb+gI=")</f>
        <v>#REF!</v>
      </c>
      <c r="D39" t="e">
        <f>AND(#REF!,"AAAAABZb+gM=")</f>
        <v>#REF!</v>
      </c>
      <c r="E39" t="e">
        <f>AND(#REF!,"AAAAABZb+gQ=")</f>
        <v>#REF!</v>
      </c>
      <c r="F39" t="e">
        <f>AND(#REF!,"AAAAABZb+gU=")</f>
        <v>#REF!</v>
      </c>
      <c r="G39" t="e">
        <f>AND(#REF!,"AAAAABZb+gY=")</f>
        <v>#REF!</v>
      </c>
      <c r="H39" t="e">
        <f>AND(#REF!,"AAAAABZb+gc=")</f>
        <v>#REF!</v>
      </c>
      <c r="I39" t="e">
        <f>AND(#REF!,"AAAAABZb+gg=")</f>
        <v>#REF!</v>
      </c>
      <c r="J39" t="e">
        <f>AND(#REF!,"AAAAABZb+gk=")</f>
        <v>#REF!</v>
      </c>
      <c r="K39" t="e">
        <f>IF(#REF!,"AAAAABZb+go=",0)</f>
        <v>#REF!</v>
      </c>
      <c r="L39" t="e">
        <f>AND(#REF!,"AAAAABZb+gs=")</f>
        <v>#REF!</v>
      </c>
      <c r="M39" t="e">
        <f>AND(#REF!,"AAAAABZb+gw=")</f>
        <v>#REF!</v>
      </c>
      <c r="N39" t="e">
        <f>AND(#REF!,"AAAAABZb+g0=")</f>
        <v>#REF!</v>
      </c>
      <c r="O39" t="e">
        <f>AND(#REF!,"AAAAABZb+g4=")</f>
        <v>#REF!</v>
      </c>
      <c r="P39" t="e">
        <f>AND(#REF!,"AAAAABZb+g8=")</f>
        <v>#REF!</v>
      </c>
      <c r="Q39" t="e">
        <f>AND(#REF!,"AAAAABZb+hA=")</f>
        <v>#REF!</v>
      </c>
      <c r="R39" t="e">
        <f>AND(#REF!,"AAAAABZb+hE=")</f>
        <v>#REF!</v>
      </c>
      <c r="S39" t="e">
        <f>AND(#REF!,"AAAAABZb+hI=")</f>
        <v>#REF!</v>
      </c>
      <c r="T39" t="e">
        <f>IF(#REF!,"AAAAABZb+hM=",0)</f>
        <v>#REF!</v>
      </c>
      <c r="U39" t="e">
        <f>AND(#REF!,"AAAAABZb+hQ=")</f>
        <v>#REF!</v>
      </c>
      <c r="V39" t="e">
        <f>AND(#REF!,"AAAAABZb+hU=")</f>
        <v>#REF!</v>
      </c>
      <c r="W39" t="e">
        <f>AND(#REF!,"AAAAABZb+hY=")</f>
        <v>#REF!</v>
      </c>
      <c r="X39" t="e">
        <f>AND(#REF!,"AAAAABZb+hc=")</f>
        <v>#REF!</v>
      </c>
      <c r="Y39" t="e">
        <f>AND(#REF!,"AAAAABZb+hg=")</f>
        <v>#REF!</v>
      </c>
      <c r="Z39" t="e">
        <f>AND(#REF!,"AAAAABZb+hk=")</f>
        <v>#REF!</v>
      </c>
      <c r="AA39" t="e">
        <f>AND(#REF!,"AAAAABZb+ho=")</f>
        <v>#REF!</v>
      </c>
      <c r="AB39" t="e">
        <f>AND(#REF!,"AAAAABZb+hs=")</f>
        <v>#REF!</v>
      </c>
      <c r="AC39" t="e">
        <f>IF(#REF!,"AAAAABZb+hw=",0)</f>
        <v>#REF!</v>
      </c>
      <c r="AD39" t="e">
        <f>AND(#REF!,"AAAAABZb+h0=")</f>
        <v>#REF!</v>
      </c>
      <c r="AE39" t="e">
        <f>AND(#REF!,"AAAAABZb+h4=")</f>
        <v>#REF!</v>
      </c>
      <c r="AF39" t="e">
        <f>AND(#REF!,"AAAAABZb+h8=")</f>
        <v>#REF!</v>
      </c>
      <c r="AG39" t="e">
        <f>AND(#REF!,"AAAAABZb+iA=")</f>
        <v>#REF!</v>
      </c>
      <c r="AH39" t="e">
        <f>AND(#REF!,"AAAAABZb+iE=")</f>
        <v>#REF!</v>
      </c>
      <c r="AI39" t="e">
        <f>AND(#REF!,"AAAAABZb+iI=")</f>
        <v>#REF!</v>
      </c>
      <c r="AJ39" t="e">
        <f>AND(#REF!,"AAAAABZb+iM=")</f>
        <v>#REF!</v>
      </c>
      <c r="AK39" t="e">
        <f>AND(#REF!,"AAAAABZb+iQ=")</f>
        <v>#REF!</v>
      </c>
      <c r="AL39" t="e">
        <f>IF(#REF!,"AAAAABZb+iU=",0)</f>
        <v>#REF!</v>
      </c>
      <c r="AM39" t="e">
        <f>AND(#REF!,"AAAAABZb+iY=")</f>
        <v>#REF!</v>
      </c>
      <c r="AN39" t="e">
        <f>AND(#REF!,"AAAAABZb+ic=")</f>
        <v>#REF!</v>
      </c>
      <c r="AO39" t="e">
        <f>AND(#REF!,"AAAAABZb+ig=")</f>
        <v>#REF!</v>
      </c>
      <c r="AP39" t="e">
        <f>AND(#REF!,"AAAAABZb+ik=")</f>
        <v>#REF!</v>
      </c>
      <c r="AQ39" t="e">
        <f>AND(#REF!,"AAAAABZb+io=")</f>
        <v>#REF!</v>
      </c>
      <c r="AR39" t="e">
        <f>AND(#REF!,"AAAAABZb+is=")</f>
        <v>#REF!</v>
      </c>
      <c r="AS39" t="e">
        <f>AND(#REF!,"AAAAABZb+iw=")</f>
        <v>#REF!</v>
      </c>
      <c r="AT39" t="e">
        <f>AND(#REF!,"AAAAABZb+i0=")</f>
        <v>#REF!</v>
      </c>
      <c r="AU39" t="e">
        <f>IF(#REF!,"AAAAABZb+i4=",0)</f>
        <v>#REF!</v>
      </c>
      <c r="AV39" t="e">
        <f>AND(#REF!,"AAAAABZb+i8=")</f>
        <v>#REF!</v>
      </c>
      <c r="AW39" t="e">
        <f>AND(#REF!,"AAAAABZb+jA=")</f>
        <v>#REF!</v>
      </c>
      <c r="AX39" t="e">
        <f>AND(#REF!,"AAAAABZb+jE=")</f>
        <v>#REF!</v>
      </c>
      <c r="AY39" t="e">
        <f>AND(#REF!,"AAAAABZb+jI=")</f>
        <v>#REF!</v>
      </c>
      <c r="AZ39" t="e">
        <f>AND(#REF!,"AAAAABZb+jM=")</f>
        <v>#REF!</v>
      </c>
      <c r="BA39" t="e">
        <f>AND(#REF!,"AAAAABZb+jQ=")</f>
        <v>#REF!</v>
      </c>
      <c r="BB39" t="e">
        <f>AND(#REF!,"AAAAABZb+jU=")</f>
        <v>#REF!</v>
      </c>
      <c r="BC39" t="e">
        <f>AND(#REF!,"AAAAABZb+jY=")</f>
        <v>#REF!</v>
      </c>
      <c r="BD39" t="e">
        <f>IF(#REF!,"AAAAABZb+jc=",0)</f>
        <v>#REF!</v>
      </c>
      <c r="BE39" t="e">
        <f>AND(#REF!,"AAAAABZb+jg=")</f>
        <v>#REF!</v>
      </c>
      <c r="BF39" t="e">
        <f>AND(#REF!,"AAAAABZb+jk=")</f>
        <v>#REF!</v>
      </c>
      <c r="BG39" t="e">
        <f>AND(#REF!,"AAAAABZb+jo=")</f>
        <v>#REF!</v>
      </c>
      <c r="BH39" t="e">
        <f>AND(#REF!,"AAAAABZb+js=")</f>
        <v>#REF!</v>
      </c>
      <c r="BI39" t="e">
        <f>AND(#REF!,"AAAAABZb+jw=")</f>
        <v>#REF!</v>
      </c>
      <c r="BJ39" t="e">
        <f>AND(#REF!,"AAAAABZb+j0=")</f>
        <v>#REF!</v>
      </c>
      <c r="BK39" t="e">
        <f>AND(#REF!,"AAAAABZb+j4=")</f>
        <v>#REF!</v>
      </c>
      <c r="BL39" t="e">
        <f>AND(#REF!,"AAAAABZb+j8=")</f>
        <v>#REF!</v>
      </c>
      <c r="BM39" t="e">
        <f>IF(#REF!,"AAAAABZb+kA=",0)</f>
        <v>#REF!</v>
      </c>
      <c r="BN39" t="e">
        <f>AND(#REF!,"AAAAABZb+kE=")</f>
        <v>#REF!</v>
      </c>
      <c r="BO39" t="e">
        <f>AND(#REF!,"AAAAABZb+kI=")</f>
        <v>#REF!</v>
      </c>
      <c r="BP39" t="e">
        <f>AND(#REF!,"AAAAABZb+kM=")</f>
        <v>#REF!</v>
      </c>
      <c r="BQ39" t="e">
        <f>AND(#REF!,"AAAAABZb+kQ=")</f>
        <v>#REF!</v>
      </c>
      <c r="BR39" t="e">
        <f>AND(#REF!,"AAAAABZb+kU=")</f>
        <v>#REF!</v>
      </c>
      <c r="BS39" t="e">
        <f>AND(#REF!,"AAAAABZb+kY=")</f>
        <v>#REF!</v>
      </c>
      <c r="BT39" t="e">
        <f>AND(#REF!,"AAAAABZb+kc=")</f>
        <v>#REF!</v>
      </c>
      <c r="BU39" t="e">
        <f>AND(#REF!,"AAAAABZb+kg=")</f>
        <v>#REF!</v>
      </c>
      <c r="BV39" t="e">
        <f>IF(#REF!,"AAAAABZb+kk=",0)</f>
        <v>#REF!</v>
      </c>
      <c r="BW39" t="e">
        <f>AND(#REF!,"AAAAABZb+ko=")</f>
        <v>#REF!</v>
      </c>
      <c r="BX39" t="e">
        <f>AND(#REF!,"AAAAABZb+ks=")</f>
        <v>#REF!</v>
      </c>
      <c r="BY39" t="e">
        <f>AND(#REF!,"AAAAABZb+kw=")</f>
        <v>#REF!</v>
      </c>
      <c r="BZ39" t="e">
        <f>AND(#REF!,"AAAAABZb+k0=")</f>
        <v>#REF!</v>
      </c>
      <c r="CA39" t="e">
        <f>AND(#REF!,"AAAAABZb+k4=")</f>
        <v>#REF!</v>
      </c>
      <c r="CB39" t="e">
        <f>AND(#REF!,"AAAAABZb+k8=")</f>
        <v>#REF!</v>
      </c>
      <c r="CC39" t="e">
        <f>AND(#REF!,"AAAAABZb+lA=")</f>
        <v>#REF!</v>
      </c>
      <c r="CD39" t="e">
        <f>AND(#REF!,"AAAAABZb+lE=")</f>
        <v>#REF!</v>
      </c>
      <c r="CE39" t="e">
        <f>IF(#REF!,"AAAAABZb+lI=",0)</f>
        <v>#REF!</v>
      </c>
      <c r="CF39" t="e">
        <f>AND(#REF!,"AAAAABZb+lM=")</f>
        <v>#REF!</v>
      </c>
      <c r="CG39" t="e">
        <f>AND(#REF!,"AAAAABZb+lQ=")</f>
        <v>#REF!</v>
      </c>
      <c r="CH39" t="e">
        <f>AND(#REF!,"AAAAABZb+lU=")</f>
        <v>#REF!</v>
      </c>
      <c r="CI39" t="e">
        <f>AND(#REF!,"AAAAABZb+lY=")</f>
        <v>#REF!</v>
      </c>
      <c r="CJ39" t="e">
        <f>AND(#REF!,"AAAAABZb+lc=")</f>
        <v>#REF!</v>
      </c>
      <c r="CK39" t="e">
        <f>AND(#REF!,"AAAAABZb+lg=")</f>
        <v>#REF!</v>
      </c>
      <c r="CL39" t="e">
        <f>AND(#REF!,"AAAAABZb+lk=")</f>
        <v>#REF!</v>
      </c>
      <c r="CM39" t="e">
        <f>AND(#REF!,"AAAAABZb+lo=")</f>
        <v>#REF!</v>
      </c>
      <c r="CN39" t="e">
        <f>IF(#REF!,"AAAAABZb+ls=",0)</f>
        <v>#REF!</v>
      </c>
      <c r="CO39" t="e">
        <f>AND(#REF!,"AAAAABZb+lw=")</f>
        <v>#REF!</v>
      </c>
      <c r="CP39" t="e">
        <f>AND(#REF!,"AAAAABZb+l0=")</f>
        <v>#REF!</v>
      </c>
      <c r="CQ39" t="e">
        <f>AND(#REF!,"AAAAABZb+l4=")</f>
        <v>#REF!</v>
      </c>
      <c r="CR39" t="e">
        <f>AND(#REF!,"AAAAABZb+l8=")</f>
        <v>#REF!</v>
      </c>
      <c r="CS39" t="e">
        <f>AND(#REF!,"AAAAABZb+mA=")</f>
        <v>#REF!</v>
      </c>
      <c r="CT39" t="e">
        <f>AND(#REF!,"AAAAABZb+mE=")</f>
        <v>#REF!</v>
      </c>
      <c r="CU39" t="e">
        <f>AND(#REF!,"AAAAABZb+mI=")</f>
        <v>#REF!</v>
      </c>
      <c r="CV39" t="e">
        <f>AND(#REF!,"AAAAABZb+mM=")</f>
        <v>#REF!</v>
      </c>
      <c r="CW39" t="e">
        <f>IF(#REF!,"AAAAABZb+mQ=",0)</f>
        <v>#REF!</v>
      </c>
      <c r="CX39" t="e">
        <f>AND(#REF!,"AAAAABZb+mU=")</f>
        <v>#REF!</v>
      </c>
      <c r="CY39" t="e">
        <f>AND(#REF!,"AAAAABZb+mY=")</f>
        <v>#REF!</v>
      </c>
      <c r="CZ39" t="e">
        <f>AND(#REF!,"AAAAABZb+mc=")</f>
        <v>#REF!</v>
      </c>
      <c r="DA39" t="e">
        <f>AND(#REF!,"AAAAABZb+mg=")</f>
        <v>#REF!</v>
      </c>
      <c r="DB39" t="e">
        <f>AND(#REF!,"AAAAABZb+mk=")</f>
        <v>#REF!</v>
      </c>
      <c r="DC39" t="e">
        <f>AND(#REF!,"AAAAABZb+mo=")</f>
        <v>#REF!</v>
      </c>
      <c r="DD39" t="e">
        <f>AND(#REF!,"AAAAABZb+ms=")</f>
        <v>#REF!</v>
      </c>
      <c r="DE39" t="e">
        <f>AND(#REF!,"AAAAABZb+mw=")</f>
        <v>#REF!</v>
      </c>
      <c r="DF39" t="e">
        <f>IF(#REF!,"AAAAABZb+m0=",0)</f>
        <v>#REF!</v>
      </c>
      <c r="DG39" t="e">
        <f>AND(#REF!,"AAAAABZb+m4=")</f>
        <v>#REF!</v>
      </c>
      <c r="DH39" t="e">
        <f>AND(#REF!,"AAAAABZb+m8=")</f>
        <v>#REF!</v>
      </c>
      <c r="DI39" t="e">
        <f>AND(#REF!,"AAAAABZb+nA=")</f>
        <v>#REF!</v>
      </c>
      <c r="DJ39" t="e">
        <f>AND(#REF!,"AAAAABZb+nE=")</f>
        <v>#REF!</v>
      </c>
      <c r="DK39" t="e">
        <f>AND(#REF!,"AAAAABZb+nI=")</f>
        <v>#REF!</v>
      </c>
      <c r="DL39" t="e">
        <f>AND(#REF!,"AAAAABZb+nM=")</f>
        <v>#REF!</v>
      </c>
      <c r="DM39" t="e">
        <f>AND(#REF!,"AAAAABZb+nQ=")</f>
        <v>#REF!</v>
      </c>
      <c r="DN39" t="e">
        <f>AND(#REF!,"AAAAABZb+nU=")</f>
        <v>#REF!</v>
      </c>
      <c r="DO39" t="e">
        <f>IF(#REF!,"AAAAABZb+nY=",0)</f>
        <v>#REF!</v>
      </c>
      <c r="DP39" t="e">
        <f>AND(#REF!,"AAAAABZb+nc=")</f>
        <v>#REF!</v>
      </c>
      <c r="DQ39" t="e">
        <f>AND(#REF!,"AAAAABZb+ng=")</f>
        <v>#REF!</v>
      </c>
      <c r="DR39" t="e">
        <f>AND(#REF!,"AAAAABZb+nk=")</f>
        <v>#REF!</v>
      </c>
      <c r="DS39" t="e">
        <f>AND(#REF!,"AAAAABZb+no=")</f>
        <v>#REF!</v>
      </c>
      <c r="DT39" t="e">
        <f>AND(#REF!,"AAAAABZb+ns=")</f>
        <v>#REF!</v>
      </c>
      <c r="DU39" t="e">
        <f>AND(#REF!,"AAAAABZb+nw=")</f>
        <v>#REF!</v>
      </c>
      <c r="DV39" t="e">
        <f>AND(#REF!,"AAAAABZb+n0=")</f>
        <v>#REF!</v>
      </c>
      <c r="DW39" t="e">
        <f>AND(#REF!,"AAAAABZb+n4=")</f>
        <v>#REF!</v>
      </c>
      <c r="DX39" t="e">
        <f>IF(#REF!,"AAAAABZb+n8=",0)</f>
        <v>#REF!</v>
      </c>
      <c r="DY39" t="e">
        <f>AND(#REF!,"AAAAABZb+oA=")</f>
        <v>#REF!</v>
      </c>
      <c r="DZ39" t="e">
        <f>AND(#REF!,"AAAAABZb+oE=")</f>
        <v>#REF!</v>
      </c>
      <c r="EA39" t="e">
        <f>AND(#REF!,"AAAAABZb+oI=")</f>
        <v>#REF!</v>
      </c>
      <c r="EB39" t="e">
        <f>AND(#REF!,"AAAAABZb+oM=")</f>
        <v>#REF!</v>
      </c>
      <c r="EC39" t="e">
        <f>AND(#REF!,"AAAAABZb+oQ=")</f>
        <v>#REF!</v>
      </c>
      <c r="ED39" t="e">
        <f>AND(#REF!,"AAAAABZb+oU=")</f>
        <v>#REF!</v>
      </c>
      <c r="EE39" t="e">
        <f>AND(#REF!,"AAAAABZb+oY=")</f>
        <v>#REF!</v>
      </c>
      <c r="EF39" t="e">
        <f>AND(#REF!,"AAAAABZb+oc=")</f>
        <v>#REF!</v>
      </c>
      <c r="EG39" t="e">
        <f>IF(#REF!,"AAAAABZb+og=",0)</f>
        <v>#REF!</v>
      </c>
      <c r="EH39" t="e">
        <f>AND(#REF!,"AAAAABZb+ok=")</f>
        <v>#REF!</v>
      </c>
      <c r="EI39" t="e">
        <f>AND(#REF!,"AAAAABZb+oo=")</f>
        <v>#REF!</v>
      </c>
      <c r="EJ39" t="e">
        <f>AND(#REF!,"AAAAABZb+os=")</f>
        <v>#REF!</v>
      </c>
      <c r="EK39" t="e">
        <f>AND(#REF!,"AAAAABZb+ow=")</f>
        <v>#REF!</v>
      </c>
      <c r="EL39" t="e">
        <f>AND(#REF!,"AAAAABZb+o0=")</f>
        <v>#REF!</v>
      </c>
      <c r="EM39" t="e">
        <f>AND(#REF!,"AAAAABZb+o4=")</f>
        <v>#REF!</v>
      </c>
      <c r="EN39" t="e">
        <f>AND(#REF!,"AAAAABZb+o8=")</f>
        <v>#REF!</v>
      </c>
      <c r="EO39" t="e">
        <f>AND(#REF!,"AAAAABZb+pA=")</f>
        <v>#REF!</v>
      </c>
      <c r="EP39" t="e">
        <f>IF(#REF!,"AAAAABZb+pE=",0)</f>
        <v>#REF!</v>
      </c>
      <c r="EQ39" t="e">
        <f>AND(#REF!,"AAAAABZb+pI=")</f>
        <v>#REF!</v>
      </c>
      <c r="ER39" t="e">
        <f>AND(#REF!,"AAAAABZb+pM=")</f>
        <v>#REF!</v>
      </c>
      <c r="ES39" t="e">
        <f>AND(#REF!,"AAAAABZb+pQ=")</f>
        <v>#REF!</v>
      </c>
      <c r="ET39" t="e">
        <f>AND(#REF!,"AAAAABZb+pU=")</f>
        <v>#REF!</v>
      </c>
      <c r="EU39" t="e">
        <f>AND(#REF!,"AAAAABZb+pY=")</f>
        <v>#REF!</v>
      </c>
      <c r="EV39" t="e">
        <f>AND(#REF!,"AAAAABZb+pc=")</f>
        <v>#REF!</v>
      </c>
      <c r="EW39" t="e">
        <f>AND(#REF!,"AAAAABZb+pg=")</f>
        <v>#REF!</v>
      </c>
      <c r="EX39" t="e">
        <f>AND(#REF!,"AAAAABZb+pk=")</f>
        <v>#REF!</v>
      </c>
      <c r="EY39" t="e">
        <f>IF(#REF!,"AAAAABZb+po=",0)</f>
        <v>#REF!</v>
      </c>
      <c r="EZ39" t="e">
        <f>AND(#REF!,"AAAAABZb+ps=")</f>
        <v>#REF!</v>
      </c>
      <c r="FA39" t="e">
        <f>AND(#REF!,"AAAAABZb+pw=")</f>
        <v>#REF!</v>
      </c>
      <c r="FB39" t="e">
        <f>AND(#REF!,"AAAAABZb+p0=")</f>
        <v>#REF!</v>
      </c>
      <c r="FC39" t="e">
        <f>AND(#REF!,"AAAAABZb+p4=")</f>
        <v>#REF!</v>
      </c>
      <c r="FD39" t="e">
        <f>AND(#REF!,"AAAAABZb+p8=")</f>
        <v>#REF!</v>
      </c>
      <c r="FE39" t="e">
        <f>AND(#REF!,"AAAAABZb+qA=")</f>
        <v>#REF!</v>
      </c>
      <c r="FF39" t="e">
        <f>AND(#REF!,"AAAAABZb+qE=")</f>
        <v>#REF!</v>
      </c>
      <c r="FG39" t="e">
        <f>AND(#REF!,"AAAAABZb+qI=")</f>
        <v>#REF!</v>
      </c>
      <c r="FH39" t="e">
        <f>IF(#REF!,"AAAAABZb+qM=",0)</f>
        <v>#REF!</v>
      </c>
      <c r="FI39" t="e">
        <f>AND(#REF!,"AAAAABZb+qQ=")</f>
        <v>#REF!</v>
      </c>
      <c r="FJ39" t="e">
        <f>AND(#REF!,"AAAAABZb+qU=")</f>
        <v>#REF!</v>
      </c>
      <c r="FK39" t="e">
        <f>AND(#REF!,"AAAAABZb+qY=")</f>
        <v>#REF!</v>
      </c>
      <c r="FL39" t="e">
        <f>AND(#REF!,"AAAAABZb+qc=")</f>
        <v>#REF!</v>
      </c>
      <c r="FM39" t="e">
        <f>AND(#REF!,"AAAAABZb+qg=")</f>
        <v>#REF!</v>
      </c>
      <c r="FN39" t="e">
        <f>AND(#REF!,"AAAAABZb+qk=")</f>
        <v>#REF!</v>
      </c>
      <c r="FO39" t="e">
        <f>AND(#REF!,"AAAAABZb+qo=")</f>
        <v>#REF!</v>
      </c>
      <c r="FP39" t="e">
        <f>AND(#REF!,"AAAAABZb+qs=")</f>
        <v>#REF!</v>
      </c>
      <c r="FQ39" t="e">
        <f>IF(#REF!,"AAAAABZb+qw=",0)</f>
        <v>#REF!</v>
      </c>
      <c r="FR39" t="e">
        <f>AND(#REF!,"AAAAABZb+q0=")</f>
        <v>#REF!</v>
      </c>
      <c r="FS39" t="e">
        <f>AND(#REF!,"AAAAABZb+q4=")</f>
        <v>#REF!</v>
      </c>
      <c r="FT39" t="e">
        <f>AND(#REF!,"AAAAABZb+q8=")</f>
        <v>#REF!</v>
      </c>
      <c r="FU39" t="e">
        <f>AND(#REF!,"AAAAABZb+rA=")</f>
        <v>#REF!</v>
      </c>
      <c r="FV39" t="e">
        <f>AND(#REF!,"AAAAABZb+rE=")</f>
        <v>#REF!</v>
      </c>
      <c r="FW39" t="e">
        <f>AND(#REF!,"AAAAABZb+rI=")</f>
        <v>#REF!</v>
      </c>
      <c r="FX39" t="e">
        <f>AND(#REF!,"AAAAABZb+rM=")</f>
        <v>#REF!</v>
      </c>
      <c r="FY39" t="e">
        <f>AND(#REF!,"AAAAABZb+rQ=")</f>
        <v>#REF!</v>
      </c>
      <c r="FZ39" t="e">
        <f>IF(#REF!,"AAAAABZb+rU=",0)</f>
        <v>#REF!</v>
      </c>
      <c r="GA39" t="e">
        <f>AND(#REF!,"AAAAABZb+rY=")</f>
        <v>#REF!</v>
      </c>
      <c r="GB39" t="e">
        <f>AND(#REF!,"AAAAABZb+rc=")</f>
        <v>#REF!</v>
      </c>
      <c r="GC39" t="e">
        <f>AND(#REF!,"AAAAABZb+rg=")</f>
        <v>#REF!</v>
      </c>
      <c r="GD39" t="e">
        <f>AND(#REF!,"AAAAABZb+rk=")</f>
        <v>#REF!</v>
      </c>
      <c r="GE39" t="e">
        <f>AND(#REF!,"AAAAABZb+ro=")</f>
        <v>#REF!</v>
      </c>
      <c r="GF39" t="e">
        <f>AND(#REF!,"AAAAABZb+rs=")</f>
        <v>#REF!</v>
      </c>
      <c r="GG39" t="e">
        <f>AND(#REF!,"AAAAABZb+rw=")</f>
        <v>#REF!</v>
      </c>
      <c r="GH39" t="e">
        <f>AND(#REF!,"AAAAABZb+r0=")</f>
        <v>#REF!</v>
      </c>
      <c r="GI39" t="e">
        <f>IF(#REF!,"AAAAABZb+r4=",0)</f>
        <v>#REF!</v>
      </c>
      <c r="GJ39" t="e">
        <f>AND(#REF!,"AAAAABZb+r8=")</f>
        <v>#REF!</v>
      </c>
      <c r="GK39" t="e">
        <f>AND(#REF!,"AAAAABZb+sA=")</f>
        <v>#REF!</v>
      </c>
      <c r="GL39" t="e">
        <f>AND(#REF!,"AAAAABZb+sE=")</f>
        <v>#REF!</v>
      </c>
      <c r="GM39" t="e">
        <f>AND(#REF!,"AAAAABZb+sI=")</f>
        <v>#REF!</v>
      </c>
      <c r="GN39" t="e">
        <f>AND(#REF!,"AAAAABZb+sM=")</f>
        <v>#REF!</v>
      </c>
      <c r="GO39" t="e">
        <f>AND(#REF!,"AAAAABZb+sQ=")</f>
        <v>#REF!</v>
      </c>
      <c r="GP39" t="e">
        <f>AND(#REF!,"AAAAABZb+sU=")</f>
        <v>#REF!</v>
      </c>
      <c r="GQ39" t="e">
        <f>AND(#REF!,"AAAAABZb+sY=")</f>
        <v>#REF!</v>
      </c>
      <c r="GR39" t="e">
        <f>IF(#REF!,"AAAAABZb+sc=",0)</f>
        <v>#REF!</v>
      </c>
      <c r="GS39" t="e">
        <f>AND(#REF!,"AAAAABZb+sg=")</f>
        <v>#REF!</v>
      </c>
      <c r="GT39" t="e">
        <f>AND(#REF!,"AAAAABZb+sk=")</f>
        <v>#REF!</v>
      </c>
      <c r="GU39" t="e">
        <f>AND(#REF!,"AAAAABZb+so=")</f>
        <v>#REF!</v>
      </c>
      <c r="GV39" t="e">
        <f>AND(#REF!,"AAAAABZb+ss=")</f>
        <v>#REF!</v>
      </c>
      <c r="GW39" t="e">
        <f>AND(#REF!,"AAAAABZb+sw=")</f>
        <v>#REF!</v>
      </c>
      <c r="GX39" t="e">
        <f>AND(#REF!,"AAAAABZb+s0=")</f>
        <v>#REF!</v>
      </c>
      <c r="GY39" t="e">
        <f>AND(#REF!,"AAAAABZb+s4=")</f>
        <v>#REF!</v>
      </c>
      <c r="GZ39" t="e">
        <f>AND(#REF!,"AAAAABZb+s8=")</f>
        <v>#REF!</v>
      </c>
      <c r="HA39" t="e">
        <f>IF(#REF!,"AAAAABZb+tA=",0)</f>
        <v>#REF!</v>
      </c>
      <c r="HB39" t="e">
        <f>AND(#REF!,"AAAAABZb+tE=")</f>
        <v>#REF!</v>
      </c>
      <c r="HC39" t="e">
        <f>AND(#REF!,"AAAAABZb+tI=")</f>
        <v>#REF!</v>
      </c>
      <c r="HD39" t="e">
        <f>AND(#REF!,"AAAAABZb+tM=")</f>
        <v>#REF!</v>
      </c>
      <c r="HE39" t="e">
        <f>AND(#REF!,"AAAAABZb+tQ=")</f>
        <v>#REF!</v>
      </c>
      <c r="HF39" t="e">
        <f>AND(#REF!,"AAAAABZb+tU=")</f>
        <v>#REF!</v>
      </c>
      <c r="HG39" t="e">
        <f>AND(#REF!,"AAAAABZb+tY=")</f>
        <v>#REF!</v>
      </c>
      <c r="HH39" t="e">
        <f>AND(#REF!,"AAAAABZb+tc=")</f>
        <v>#REF!</v>
      </c>
      <c r="HI39" t="e">
        <f>AND(#REF!,"AAAAABZb+tg=")</f>
        <v>#REF!</v>
      </c>
      <c r="HJ39" t="e">
        <f>IF(#REF!,"AAAAABZb+tk=",0)</f>
        <v>#REF!</v>
      </c>
      <c r="HK39" t="e">
        <f>AND(#REF!,"AAAAABZb+to=")</f>
        <v>#REF!</v>
      </c>
      <c r="HL39" t="e">
        <f>AND(#REF!,"AAAAABZb+ts=")</f>
        <v>#REF!</v>
      </c>
      <c r="HM39" t="e">
        <f>AND(#REF!,"AAAAABZb+tw=")</f>
        <v>#REF!</v>
      </c>
      <c r="HN39" t="e">
        <f>AND(#REF!,"AAAAABZb+t0=")</f>
        <v>#REF!</v>
      </c>
      <c r="HO39" t="e">
        <f>AND(#REF!,"AAAAABZb+t4=")</f>
        <v>#REF!</v>
      </c>
      <c r="HP39" t="e">
        <f>AND(#REF!,"AAAAABZb+t8=")</f>
        <v>#REF!</v>
      </c>
      <c r="HQ39" t="e">
        <f>AND(#REF!,"AAAAABZb+uA=")</f>
        <v>#REF!</v>
      </c>
      <c r="HR39" t="e">
        <f>AND(#REF!,"AAAAABZb+uE=")</f>
        <v>#REF!</v>
      </c>
      <c r="HS39" t="e">
        <f>IF(#REF!,"AAAAABZb+uI=",0)</f>
        <v>#REF!</v>
      </c>
      <c r="HT39" t="e">
        <f>AND(#REF!,"AAAAABZb+uM=")</f>
        <v>#REF!</v>
      </c>
      <c r="HU39" t="e">
        <f>AND(#REF!,"AAAAABZb+uQ=")</f>
        <v>#REF!</v>
      </c>
      <c r="HV39" t="e">
        <f>AND(#REF!,"AAAAABZb+uU=")</f>
        <v>#REF!</v>
      </c>
      <c r="HW39" t="e">
        <f>AND(#REF!,"AAAAABZb+uY=")</f>
        <v>#REF!</v>
      </c>
      <c r="HX39" t="e">
        <f>AND(#REF!,"AAAAABZb+uc=")</f>
        <v>#REF!</v>
      </c>
      <c r="HY39" t="e">
        <f>AND(#REF!,"AAAAABZb+ug=")</f>
        <v>#REF!</v>
      </c>
      <c r="HZ39" t="e">
        <f>AND(#REF!,"AAAAABZb+uk=")</f>
        <v>#REF!</v>
      </c>
      <c r="IA39" t="e">
        <f>AND(#REF!,"AAAAABZb+uo=")</f>
        <v>#REF!</v>
      </c>
      <c r="IB39" t="e">
        <f>IF(#REF!,"AAAAABZb+us=",0)</f>
        <v>#REF!</v>
      </c>
      <c r="IC39" t="e">
        <f>AND(#REF!,"AAAAABZb+uw=")</f>
        <v>#REF!</v>
      </c>
      <c r="ID39" t="e">
        <f>AND(#REF!,"AAAAABZb+u0=")</f>
        <v>#REF!</v>
      </c>
      <c r="IE39" t="e">
        <f>AND(#REF!,"AAAAABZb+u4=")</f>
        <v>#REF!</v>
      </c>
      <c r="IF39" t="e">
        <f>AND(#REF!,"AAAAABZb+u8=")</f>
        <v>#REF!</v>
      </c>
      <c r="IG39" t="e">
        <f>AND(#REF!,"AAAAABZb+vA=")</f>
        <v>#REF!</v>
      </c>
      <c r="IH39" t="e">
        <f>AND(#REF!,"AAAAABZb+vE=")</f>
        <v>#REF!</v>
      </c>
      <c r="II39" t="e">
        <f>AND(#REF!,"AAAAABZb+vI=")</f>
        <v>#REF!</v>
      </c>
      <c r="IJ39" t="e">
        <f>AND(#REF!,"AAAAABZb+vM=")</f>
        <v>#REF!</v>
      </c>
      <c r="IK39" t="e">
        <f>IF(#REF!,"AAAAABZb+vQ=",0)</f>
        <v>#REF!</v>
      </c>
      <c r="IL39" t="e">
        <f>AND(#REF!,"AAAAABZb+vU=")</f>
        <v>#REF!</v>
      </c>
      <c r="IM39" t="e">
        <f>AND(#REF!,"AAAAABZb+vY=")</f>
        <v>#REF!</v>
      </c>
      <c r="IN39" t="e">
        <f>AND(#REF!,"AAAAABZb+vc=")</f>
        <v>#REF!</v>
      </c>
      <c r="IO39" t="e">
        <f>AND(#REF!,"AAAAABZb+vg=")</f>
        <v>#REF!</v>
      </c>
      <c r="IP39" t="e">
        <f>AND(#REF!,"AAAAABZb+vk=")</f>
        <v>#REF!</v>
      </c>
      <c r="IQ39" t="e">
        <f>AND(#REF!,"AAAAABZb+vo=")</f>
        <v>#REF!</v>
      </c>
      <c r="IR39" t="e">
        <f>AND(#REF!,"AAAAABZb+vs=")</f>
        <v>#REF!</v>
      </c>
      <c r="IS39" t="e">
        <f>AND(#REF!,"AAAAABZb+vw=")</f>
        <v>#REF!</v>
      </c>
      <c r="IT39" t="e">
        <f>IF(#REF!,"AAAAABZb+v0=",0)</f>
        <v>#REF!</v>
      </c>
      <c r="IU39" t="e">
        <f>AND(#REF!,"AAAAABZb+v4=")</f>
        <v>#REF!</v>
      </c>
      <c r="IV39" t="e">
        <f>AND(#REF!,"AAAAABZb+v8=")</f>
        <v>#REF!</v>
      </c>
    </row>
    <row r="40" spans="1:256">
      <c r="A40" t="e">
        <f>AND(#REF!,"AAAAAHuHlwA=")</f>
        <v>#REF!</v>
      </c>
      <c r="B40" t="e">
        <f>AND(#REF!,"AAAAAHuHlwE=")</f>
        <v>#REF!</v>
      </c>
      <c r="C40" t="e">
        <f>AND(#REF!,"AAAAAHuHlwI=")</f>
        <v>#REF!</v>
      </c>
      <c r="D40" t="e">
        <f>AND(#REF!,"AAAAAHuHlwM=")</f>
        <v>#REF!</v>
      </c>
      <c r="E40" t="e">
        <f>AND(#REF!,"AAAAAHuHlwQ=")</f>
        <v>#REF!</v>
      </c>
      <c r="F40" t="e">
        <f>AND(#REF!,"AAAAAHuHlwU=")</f>
        <v>#REF!</v>
      </c>
      <c r="G40" t="e">
        <f>IF(#REF!,"AAAAAHuHlwY=",0)</f>
        <v>#REF!</v>
      </c>
      <c r="H40" t="e">
        <f>AND(#REF!,"AAAAAHuHlwc=")</f>
        <v>#REF!</v>
      </c>
      <c r="I40" t="e">
        <f>AND(#REF!,"AAAAAHuHlwg=")</f>
        <v>#REF!</v>
      </c>
      <c r="J40" t="e">
        <f>AND(#REF!,"AAAAAHuHlwk=")</f>
        <v>#REF!</v>
      </c>
      <c r="K40" t="e">
        <f>AND(#REF!,"AAAAAHuHlwo=")</f>
        <v>#REF!</v>
      </c>
      <c r="L40" t="e">
        <f>AND(#REF!,"AAAAAHuHlws=")</f>
        <v>#REF!</v>
      </c>
      <c r="M40" t="e">
        <f>AND(#REF!,"AAAAAHuHlww=")</f>
        <v>#REF!</v>
      </c>
      <c r="N40" t="e">
        <f>AND(#REF!,"AAAAAHuHlw0=")</f>
        <v>#REF!</v>
      </c>
      <c r="O40" t="e">
        <f>AND(#REF!,"AAAAAHuHlw4=")</f>
        <v>#REF!</v>
      </c>
      <c r="P40" t="e">
        <f>IF(#REF!,"AAAAAHuHlw8=",0)</f>
        <v>#REF!</v>
      </c>
      <c r="Q40" t="e">
        <f>AND(#REF!,"AAAAAHuHlxA=")</f>
        <v>#REF!</v>
      </c>
      <c r="R40" t="e">
        <f>AND(#REF!,"AAAAAHuHlxE=")</f>
        <v>#REF!</v>
      </c>
      <c r="S40" t="e">
        <f>AND(#REF!,"AAAAAHuHlxI=")</f>
        <v>#REF!</v>
      </c>
      <c r="T40" t="e">
        <f>AND(#REF!,"AAAAAHuHlxM=")</f>
        <v>#REF!</v>
      </c>
      <c r="U40" t="e">
        <f>AND(#REF!,"AAAAAHuHlxQ=")</f>
        <v>#REF!</v>
      </c>
      <c r="V40" t="e">
        <f>AND(#REF!,"AAAAAHuHlxU=")</f>
        <v>#REF!</v>
      </c>
      <c r="W40" t="e">
        <f>AND(#REF!,"AAAAAHuHlxY=")</f>
        <v>#REF!</v>
      </c>
      <c r="X40" t="e">
        <f>AND(#REF!,"AAAAAHuHlxc=")</f>
        <v>#REF!</v>
      </c>
      <c r="Y40" t="e">
        <f>IF(#REF!,"AAAAAHuHlxg=",0)</f>
        <v>#REF!</v>
      </c>
      <c r="Z40" t="e">
        <f>AND(#REF!,"AAAAAHuHlxk=")</f>
        <v>#REF!</v>
      </c>
      <c r="AA40" t="e">
        <f>AND(#REF!,"AAAAAHuHlxo=")</f>
        <v>#REF!</v>
      </c>
      <c r="AB40" t="e">
        <f>AND(#REF!,"AAAAAHuHlxs=")</f>
        <v>#REF!</v>
      </c>
      <c r="AC40" t="e">
        <f>AND(#REF!,"AAAAAHuHlxw=")</f>
        <v>#REF!</v>
      </c>
      <c r="AD40" t="e">
        <f>AND(#REF!,"AAAAAHuHlx0=")</f>
        <v>#REF!</v>
      </c>
      <c r="AE40" t="e">
        <f>AND(#REF!,"AAAAAHuHlx4=")</f>
        <v>#REF!</v>
      </c>
      <c r="AF40" t="e">
        <f>AND(#REF!,"AAAAAHuHlx8=")</f>
        <v>#REF!</v>
      </c>
      <c r="AG40" t="e">
        <f>AND(#REF!,"AAAAAHuHlyA=")</f>
        <v>#REF!</v>
      </c>
      <c r="AH40" t="e">
        <f>IF(#REF!,"AAAAAHuHlyE=",0)</f>
        <v>#REF!</v>
      </c>
      <c r="AI40" t="e">
        <f>AND(#REF!,"AAAAAHuHlyI=")</f>
        <v>#REF!</v>
      </c>
      <c r="AJ40" t="e">
        <f>AND(#REF!,"AAAAAHuHlyM=")</f>
        <v>#REF!</v>
      </c>
      <c r="AK40" t="e">
        <f>AND(#REF!,"AAAAAHuHlyQ=")</f>
        <v>#REF!</v>
      </c>
      <c r="AL40" t="e">
        <f>AND(#REF!,"AAAAAHuHlyU=")</f>
        <v>#REF!</v>
      </c>
      <c r="AM40" t="e">
        <f>AND(#REF!,"AAAAAHuHlyY=")</f>
        <v>#REF!</v>
      </c>
      <c r="AN40" t="e">
        <f>AND(#REF!,"AAAAAHuHlyc=")</f>
        <v>#REF!</v>
      </c>
      <c r="AO40" t="e">
        <f>AND(#REF!,"AAAAAHuHlyg=")</f>
        <v>#REF!</v>
      </c>
      <c r="AP40" t="e">
        <f>AND(#REF!,"AAAAAHuHlyk=")</f>
        <v>#REF!</v>
      </c>
      <c r="AQ40" t="e">
        <f>IF(#REF!,"AAAAAHuHlyo=",0)</f>
        <v>#REF!</v>
      </c>
      <c r="AR40" t="e">
        <f>AND(#REF!,"AAAAAHuHlys=")</f>
        <v>#REF!</v>
      </c>
      <c r="AS40" t="e">
        <f>AND(#REF!,"AAAAAHuHlyw=")</f>
        <v>#REF!</v>
      </c>
      <c r="AT40" t="e">
        <f>AND(#REF!,"AAAAAHuHly0=")</f>
        <v>#REF!</v>
      </c>
      <c r="AU40" t="e">
        <f>AND(#REF!,"AAAAAHuHly4=")</f>
        <v>#REF!</v>
      </c>
      <c r="AV40" t="e">
        <f>AND(#REF!,"AAAAAHuHly8=")</f>
        <v>#REF!</v>
      </c>
      <c r="AW40" t="e">
        <f>AND(#REF!,"AAAAAHuHlzA=")</f>
        <v>#REF!</v>
      </c>
      <c r="AX40" t="e">
        <f>AND(#REF!,"AAAAAHuHlzE=")</f>
        <v>#REF!</v>
      </c>
      <c r="AY40" t="e">
        <f>AND(#REF!,"AAAAAHuHlzI=")</f>
        <v>#REF!</v>
      </c>
      <c r="AZ40" t="e">
        <f>IF(#REF!,"AAAAAHuHlzM=",0)</f>
        <v>#REF!</v>
      </c>
      <c r="BA40" t="e">
        <f>AND(#REF!,"AAAAAHuHlzQ=")</f>
        <v>#REF!</v>
      </c>
      <c r="BB40" t="e">
        <f>AND(#REF!,"AAAAAHuHlzU=")</f>
        <v>#REF!</v>
      </c>
      <c r="BC40" t="e">
        <f>AND(#REF!,"AAAAAHuHlzY=")</f>
        <v>#REF!</v>
      </c>
      <c r="BD40" t="e">
        <f>AND(#REF!,"AAAAAHuHlzc=")</f>
        <v>#REF!</v>
      </c>
      <c r="BE40" t="e">
        <f>AND(#REF!,"AAAAAHuHlzg=")</f>
        <v>#REF!</v>
      </c>
      <c r="BF40" t="e">
        <f>AND(#REF!,"AAAAAHuHlzk=")</f>
        <v>#REF!</v>
      </c>
      <c r="BG40" t="e">
        <f>AND(#REF!,"AAAAAHuHlzo=")</f>
        <v>#REF!</v>
      </c>
      <c r="BH40" t="e">
        <f>AND(#REF!,"AAAAAHuHlzs=")</f>
        <v>#REF!</v>
      </c>
      <c r="BI40" t="e">
        <f>IF(#REF!,"AAAAAHuHlzw=",0)</f>
        <v>#REF!</v>
      </c>
      <c r="BJ40" t="e">
        <f>AND(#REF!,"AAAAAHuHlz0=")</f>
        <v>#REF!</v>
      </c>
      <c r="BK40" t="e">
        <f>AND(#REF!,"AAAAAHuHlz4=")</f>
        <v>#REF!</v>
      </c>
      <c r="BL40" t="e">
        <f>AND(#REF!,"AAAAAHuHlz8=")</f>
        <v>#REF!</v>
      </c>
      <c r="BM40" t="e">
        <f>AND(#REF!,"AAAAAHuHl0A=")</f>
        <v>#REF!</v>
      </c>
      <c r="BN40" t="e">
        <f>AND(#REF!,"AAAAAHuHl0E=")</f>
        <v>#REF!</v>
      </c>
      <c r="BO40" t="e">
        <f>AND(#REF!,"AAAAAHuHl0I=")</f>
        <v>#REF!</v>
      </c>
      <c r="BP40" t="e">
        <f>AND(#REF!,"AAAAAHuHl0M=")</f>
        <v>#REF!</v>
      </c>
      <c r="BQ40" t="e">
        <f>AND(#REF!,"AAAAAHuHl0Q=")</f>
        <v>#REF!</v>
      </c>
      <c r="BR40" t="e">
        <f>IF(#REF!,"AAAAAHuHl0U=",0)</f>
        <v>#REF!</v>
      </c>
      <c r="BS40" t="e">
        <f>AND(#REF!,"AAAAAHuHl0Y=")</f>
        <v>#REF!</v>
      </c>
      <c r="BT40" t="e">
        <f>AND(#REF!,"AAAAAHuHl0c=")</f>
        <v>#REF!</v>
      </c>
      <c r="BU40" t="e">
        <f>AND(#REF!,"AAAAAHuHl0g=")</f>
        <v>#REF!</v>
      </c>
      <c r="BV40" t="e">
        <f>AND(#REF!,"AAAAAHuHl0k=")</f>
        <v>#REF!</v>
      </c>
      <c r="BW40" t="e">
        <f>AND(#REF!,"AAAAAHuHl0o=")</f>
        <v>#REF!</v>
      </c>
      <c r="BX40" t="e">
        <f>AND(#REF!,"AAAAAHuHl0s=")</f>
        <v>#REF!</v>
      </c>
      <c r="BY40" t="e">
        <f>AND(#REF!,"AAAAAHuHl0w=")</f>
        <v>#REF!</v>
      </c>
      <c r="BZ40" t="e">
        <f>AND(#REF!,"AAAAAHuHl00=")</f>
        <v>#REF!</v>
      </c>
      <c r="CA40" t="e">
        <f>IF(#REF!,"AAAAAHuHl04=",0)</f>
        <v>#REF!</v>
      </c>
      <c r="CB40" t="e">
        <f>AND(#REF!,"AAAAAHuHl08=")</f>
        <v>#REF!</v>
      </c>
      <c r="CC40" t="e">
        <f>AND(#REF!,"AAAAAHuHl1A=")</f>
        <v>#REF!</v>
      </c>
      <c r="CD40" t="e">
        <f>AND(#REF!,"AAAAAHuHl1E=")</f>
        <v>#REF!</v>
      </c>
      <c r="CE40" t="e">
        <f>AND(#REF!,"AAAAAHuHl1I=")</f>
        <v>#REF!</v>
      </c>
      <c r="CF40" t="e">
        <f>AND(#REF!,"AAAAAHuHl1M=")</f>
        <v>#REF!</v>
      </c>
      <c r="CG40" t="e">
        <f>AND(#REF!,"AAAAAHuHl1Q=")</f>
        <v>#REF!</v>
      </c>
      <c r="CH40" t="e">
        <f>AND(#REF!,"AAAAAHuHl1U=")</f>
        <v>#REF!</v>
      </c>
      <c r="CI40" t="e">
        <f>AND(#REF!,"AAAAAHuHl1Y=")</f>
        <v>#REF!</v>
      </c>
      <c r="CJ40" t="e">
        <f>IF(#REF!,"AAAAAHuHl1c=",0)</f>
        <v>#REF!</v>
      </c>
      <c r="CK40" t="e">
        <f>AND(#REF!,"AAAAAHuHl1g=")</f>
        <v>#REF!</v>
      </c>
      <c r="CL40" t="e">
        <f>AND(#REF!,"AAAAAHuHl1k=")</f>
        <v>#REF!</v>
      </c>
      <c r="CM40" t="e">
        <f>AND(#REF!,"AAAAAHuHl1o=")</f>
        <v>#REF!</v>
      </c>
      <c r="CN40" t="e">
        <f>AND(#REF!,"AAAAAHuHl1s=")</f>
        <v>#REF!</v>
      </c>
      <c r="CO40" t="e">
        <f>AND(#REF!,"AAAAAHuHl1w=")</f>
        <v>#REF!</v>
      </c>
      <c r="CP40" t="e">
        <f>AND(#REF!,"AAAAAHuHl10=")</f>
        <v>#REF!</v>
      </c>
      <c r="CQ40" t="e">
        <f>AND(#REF!,"AAAAAHuHl14=")</f>
        <v>#REF!</v>
      </c>
      <c r="CR40" t="e">
        <f>AND(#REF!,"AAAAAHuHl18=")</f>
        <v>#REF!</v>
      </c>
      <c r="CS40" t="e">
        <f>IF(#REF!,"AAAAAHuHl2A=",0)</f>
        <v>#REF!</v>
      </c>
      <c r="CT40" t="e">
        <f>AND(#REF!,"AAAAAHuHl2E=")</f>
        <v>#REF!</v>
      </c>
      <c r="CU40" t="e">
        <f>AND(#REF!,"AAAAAHuHl2I=")</f>
        <v>#REF!</v>
      </c>
      <c r="CV40" t="e">
        <f>AND(#REF!,"AAAAAHuHl2M=")</f>
        <v>#REF!</v>
      </c>
      <c r="CW40" t="e">
        <f>AND(#REF!,"AAAAAHuHl2Q=")</f>
        <v>#REF!</v>
      </c>
      <c r="CX40" t="e">
        <f>AND(#REF!,"AAAAAHuHl2U=")</f>
        <v>#REF!</v>
      </c>
      <c r="CY40" t="e">
        <f>AND(#REF!,"AAAAAHuHl2Y=")</f>
        <v>#REF!</v>
      </c>
      <c r="CZ40" t="e">
        <f>AND(#REF!,"AAAAAHuHl2c=")</f>
        <v>#REF!</v>
      </c>
      <c r="DA40" t="e">
        <f>AND(#REF!,"AAAAAHuHl2g=")</f>
        <v>#REF!</v>
      </c>
      <c r="DB40" t="e">
        <f>IF(#REF!,"AAAAAHuHl2k=",0)</f>
        <v>#REF!</v>
      </c>
      <c r="DC40" t="e">
        <f>AND(#REF!,"AAAAAHuHl2o=")</f>
        <v>#REF!</v>
      </c>
      <c r="DD40" t="e">
        <f>AND(#REF!,"AAAAAHuHl2s=")</f>
        <v>#REF!</v>
      </c>
      <c r="DE40" t="e">
        <f>AND(#REF!,"AAAAAHuHl2w=")</f>
        <v>#REF!</v>
      </c>
      <c r="DF40" t="e">
        <f>AND(#REF!,"AAAAAHuHl20=")</f>
        <v>#REF!</v>
      </c>
      <c r="DG40" t="e">
        <f>AND(#REF!,"AAAAAHuHl24=")</f>
        <v>#REF!</v>
      </c>
      <c r="DH40" t="e">
        <f>AND(#REF!,"AAAAAHuHl28=")</f>
        <v>#REF!</v>
      </c>
      <c r="DI40" t="e">
        <f>AND(#REF!,"AAAAAHuHl3A=")</f>
        <v>#REF!</v>
      </c>
      <c r="DJ40" t="e">
        <f>AND(#REF!,"AAAAAHuHl3E=")</f>
        <v>#REF!</v>
      </c>
      <c r="DK40" t="e">
        <f>IF(#REF!,"AAAAAHuHl3I=",0)</f>
        <v>#REF!</v>
      </c>
      <c r="DL40" t="e">
        <f>AND(#REF!,"AAAAAHuHl3M=")</f>
        <v>#REF!</v>
      </c>
      <c r="DM40" t="e">
        <f>AND(#REF!,"AAAAAHuHl3Q=")</f>
        <v>#REF!</v>
      </c>
      <c r="DN40" t="e">
        <f>AND(#REF!,"AAAAAHuHl3U=")</f>
        <v>#REF!</v>
      </c>
      <c r="DO40" t="e">
        <f>AND(#REF!,"AAAAAHuHl3Y=")</f>
        <v>#REF!</v>
      </c>
      <c r="DP40" t="e">
        <f>AND(#REF!,"AAAAAHuHl3c=")</f>
        <v>#REF!</v>
      </c>
      <c r="DQ40" t="e">
        <f>AND(#REF!,"AAAAAHuHl3g=")</f>
        <v>#REF!</v>
      </c>
      <c r="DR40" t="e">
        <f>AND(#REF!,"AAAAAHuHl3k=")</f>
        <v>#REF!</v>
      </c>
      <c r="DS40" t="e">
        <f>AND(#REF!,"AAAAAHuHl3o=")</f>
        <v>#REF!</v>
      </c>
      <c r="DT40" t="e">
        <f>IF(#REF!,"AAAAAHuHl3s=",0)</f>
        <v>#REF!</v>
      </c>
      <c r="DU40" t="e">
        <f>AND(#REF!,"AAAAAHuHl3w=")</f>
        <v>#REF!</v>
      </c>
      <c r="DV40" t="e">
        <f>AND(#REF!,"AAAAAHuHl30=")</f>
        <v>#REF!</v>
      </c>
      <c r="DW40" t="e">
        <f>AND(#REF!,"AAAAAHuHl34=")</f>
        <v>#REF!</v>
      </c>
      <c r="DX40" t="e">
        <f>AND(#REF!,"AAAAAHuHl38=")</f>
        <v>#REF!</v>
      </c>
      <c r="DY40" t="e">
        <f>AND(#REF!,"AAAAAHuHl4A=")</f>
        <v>#REF!</v>
      </c>
      <c r="DZ40" t="e">
        <f>AND(#REF!,"AAAAAHuHl4E=")</f>
        <v>#REF!</v>
      </c>
      <c r="EA40" t="e">
        <f>AND(#REF!,"AAAAAHuHl4I=")</f>
        <v>#REF!</v>
      </c>
      <c r="EB40" t="e">
        <f>AND(#REF!,"AAAAAHuHl4M=")</f>
        <v>#REF!</v>
      </c>
      <c r="EC40" t="e">
        <f>IF(#REF!,"AAAAAHuHl4Q=",0)</f>
        <v>#REF!</v>
      </c>
      <c r="ED40" t="e">
        <f>AND(#REF!,"AAAAAHuHl4U=")</f>
        <v>#REF!</v>
      </c>
      <c r="EE40" t="e">
        <f>AND(#REF!,"AAAAAHuHl4Y=")</f>
        <v>#REF!</v>
      </c>
      <c r="EF40" t="e">
        <f>AND(#REF!,"AAAAAHuHl4c=")</f>
        <v>#REF!</v>
      </c>
      <c r="EG40" t="e">
        <f>AND(#REF!,"AAAAAHuHl4g=")</f>
        <v>#REF!</v>
      </c>
      <c r="EH40" t="e">
        <f>AND(#REF!,"AAAAAHuHl4k=")</f>
        <v>#REF!</v>
      </c>
      <c r="EI40" t="e">
        <f>AND(#REF!,"AAAAAHuHl4o=")</f>
        <v>#REF!</v>
      </c>
      <c r="EJ40" t="e">
        <f>AND(#REF!,"AAAAAHuHl4s=")</f>
        <v>#REF!</v>
      </c>
      <c r="EK40" t="e">
        <f>AND(#REF!,"AAAAAHuHl4w=")</f>
        <v>#REF!</v>
      </c>
      <c r="EL40" t="e">
        <f>IF(#REF!,"AAAAAHuHl40=",0)</f>
        <v>#REF!</v>
      </c>
      <c r="EM40" t="e">
        <f>AND(#REF!,"AAAAAHuHl44=")</f>
        <v>#REF!</v>
      </c>
      <c r="EN40" t="e">
        <f>AND(#REF!,"AAAAAHuHl48=")</f>
        <v>#REF!</v>
      </c>
      <c r="EO40" t="e">
        <f>AND(#REF!,"AAAAAHuHl5A=")</f>
        <v>#REF!</v>
      </c>
      <c r="EP40" t="e">
        <f>AND(#REF!,"AAAAAHuHl5E=")</f>
        <v>#REF!</v>
      </c>
      <c r="EQ40" t="e">
        <f>AND(#REF!,"AAAAAHuHl5I=")</f>
        <v>#REF!</v>
      </c>
      <c r="ER40" t="e">
        <f>AND(#REF!,"AAAAAHuHl5M=")</f>
        <v>#REF!</v>
      </c>
      <c r="ES40" t="e">
        <f>AND(#REF!,"AAAAAHuHl5Q=")</f>
        <v>#REF!</v>
      </c>
      <c r="ET40" t="e">
        <f>AND(#REF!,"AAAAAHuHl5U=")</f>
        <v>#REF!</v>
      </c>
      <c r="EU40" t="e">
        <f>IF(#REF!,"AAAAAHuHl5Y=",0)</f>
        <v>#REF!</v>
      </c>
      <c r="EV40" t="e">
        <f>AND(#REF!,"AAAAAHuHl5c=")</f>
        <v>#REF!</v>
      </c>
      <c r="EW40" t="e">
        <f>AND(#REF!,"AAAAAHuHl5g=")</f>
        <v>#REF!</v>
      </c>
      <c r="EX40" t="e">
        <f>AND(#REF!,"AAAAAHuHl5k=")</f>
        <v>#REF!</v>
      </c>
      <c r="EY40" t="e">
        <f>AND(#REF!,"AAAAAHuHl5o=")</f>
        <v>#REF!</v>
      </c>
      <c r="EZ40" t="e">
        <f>AND(#REF!,"AAAAAHuHl5s=")</f>
        <v>#REF!</v>
      </c>
      <c r="FA40" t="e">
        <f>AND(#REF!,"AAAAAHuHl5w=")</f>
        <v>#REF!</v>
      </c>
      <c r="FB40" t="e">
        <f>AND(#REF!,"AAAAAHuHl50=")</f>
        <v>#REF!</v>
      </c>
      <c r="FC40" t="e">
        <f>AND(#REF!,"AAAAAHuHl54=")</f>
        <v>#REF!</v>
      </c>
      <c r="FD40" t="e">
        <f>IF(#REF!,"AAAAAHuHl58=",0)</f>
        <v>#REF!</v>
      </c>
      <c r="FE40" t="e">
        <f>AND(#REF!,"AAAAAHuHl6A=")</f>
        <v>#REF!</v>
      </c>
      <c r="FF40" t="e">
        <f>AND(#REF!,"AAAAAHuHl6E=")</f>
        <v>#REF!</v>
      </c>
      <c r="FG40" t="e">
        <f>AND(#REF!,"AAAAAHuHl6I=")</f>
        <v>#REF!</v>
      </c>
      <c r="FH40" t="e">
        <f>AND(#REF!,"AAAAAHuHl6M=")</f>
        <v>#REF!</v>
      </c>
      <c r="FI40" t="e">
        <f>AND(#REF!,"AAAAAHuHl6Q=")</f>
        <v>#REF!</v>
      </c>
      <c r="FJ40" t="e">
        <f>AND(#REF!,"AAAAAHuHl6U=")</f>
        <v>#REF!</v>
      </c>
      <c r="FK40" t="e">
        <f>AND(#REF!,"AAAAAHuHl6Y=")</f>
        <v>#REF!</v>
      </c>
      <c r="FL40" t="e">
        <f>AND(#REF!,"AAAAAHuHl6c=")</f>
        <v>#REF!</v>
      </c>
      <c r="FM40" t="e">
        <f>IF(#REF!,"AAAAAHuHl6g=",0)</f>
        <v>#REF!</v>
      </c>
      <c r="FN40" t="e">
        <f>AND(#REF!,"AAAAAHuHl6k=")</f>
        <v>#REF!</v>
      </c>
      <c r="FO40" t="e">
        <f>AND(#REF!,"AAAAAHuHl6o=")</f>
        <v>#REF!</v>
      </c>
      <c r="FP40" t="e">
        <f>AND(#REF!,"AAAAAHuHl6s=")</f>
        <v>#REF!</v>
      </c>
      <c r="FQ40" t="e">
        <f>AND(#REF!,"AAAAAHuHl6w=")</f>
        <v>#REF!</v>
      </c>
      <c r="FR40" t="e">
        <f>AND(#REF!,"AAAAAHuHl60=")</f>
        <v>#REF!</v>
      </c>
      <c r="FS40" t="e">
        <f>AND(#REF!,"AAAAAHuHl64=")</f>
        <v>#REF!</v>
      </c>
      <c r="FT40" t="e">
        <f>AND(#REF!,"AAAAAHuHl68=")</f>
        <v>#REF!</v>
      </c>
      <c r="FU40" t="e">
        <f>AND(#REF!,"AAAAAHuHl7A=")</f>
        <v>#REF!</v>
      </c>
      <c r="FV40" t="e">
        <f>IF(#REF!,"AAAAAHuHl7E=",0)</f>
        <v>#REF!</v>
      </c>
      <c r="FW40" t="e">
        <f>AND(#REF!,"AAAAAHuHl7I=")</f>
        <v>#REF!</v>
      </c>
      <c r="FX40" t="e">
        <f>AND(#REF!,"AAAAAHuHl7M=")</f>
        <v>#REF!</v>
      </c>
      <c r="FY40" t="e">
        <f>AND(#REF!,"AAAAAHuHl7Q=")</f>
        <v>#REF!</v>
      </c>
      <c r="FZ40" t="e">
        <f>AND(#REF!,"AAAAAHuHl7U=")</f>
        <v>#REF!</v>
      </c>
      <c r="GA40" t="e">
        <f>AND(#REF!,"AAAAAHuHl7Y=")</f>
        <v>#REF!</v>
      </c>
      <c r="GB40" t="e">
        <f>AND(#REF!,"AAAAAHuHl7c=")</f>
        <v>#REF!</v>
      </c>
      <c r="GC40" t="e">
        <f>AND(#REF!,"AAAAAHuHl7g=")</f>
        <v>#REF!</v>
      </c>
      <c r="GD40" t="e">
        <f>AND(#REF!,"AAAAAHuHl7k=")</f>
        <v>#REF!</v>
      </c>
      <c r="GE40" t="e">
        <f>IF(#REF!,"AAAAAHuHl7o=",0)</f>
        <v>#REF!</v>
      </c>
      <c r="GF40" t="e">
        <f>AND(#REF!,"AAAAAHuHl7s=")</f>
        <v>#REF!</v>
      </c>
      <c r="GG40" t="e">
        <f>AND(#REF!,"AAAAAHuHl7w=")</f>
        <v>#REF!</v>
      </c>
      <c r="GH40" t="e">
        <f>AND(#REF!,"AAAAAHuHl70=")</f>
        <v>#REF!</v>
      </c>
      <c r="GI40" t="e">
        <f>AND(#REF!,"AAAAAHuHl74=")</f>
        <v>#REF!</v>
      </c>
      <c r="GJ40" t="e">
        <f>AND(#REF!,"AAAAAHuHl78=")</f>
        <v>#REF!</v>
      </c>
      <c r="GK40" t="e">
        <f>AND(#REF!,"AAAAAHuHl8A=")</f>
        <v>#REF!</v>
      </c>
      <c r="GL40" t="e">
        <f>AND(#REF!,"AAAAAHuHl8E=")</f>
        <v>#REF!</v>
      </c>
      <c r="GM40" t="e">
        <f>AND(#REF!,"AAAAAHuHl8I=")</f>
        <v>#REF!</v>
      </c>
      <c r="GN40" t="e">
        <f>IF(#REF!,"AAAAAHuHl8M=",0)</f>
        <v>#REF!</v>
      </c>
      <c r="GO40" t="e">
        <f>AND(#REF!,"AAAAAHuHl8Q=")</f>
        <v>#REF!</v>
      </c>
      <c r="GP40" t="e">
        <f>AND(#REF!,"AAAAAHuHl8U=")</f>
        <v>#REF!</v>
      </c>
      <c r="GQ40" t="e">
        <f>AND(#REF!,"AAAAAHuHl8Y=")</f>
        <v>#REF!</v>
      </c>
      <c r="GR40" t="e">
        <f>AND(#REF!,"AAAAAHuHl8c=")</f>
        <v>#REF!</v>
      </c>
      <c r="GS40" t="e">
        <f>AND(#REF!,"AAAAAHuHl8g=")</f>
        <v>#REF!</v>
      </c>
      <c r="GT40" t="e">
        <f>AND(#REF!,"AAAAAHuHl8k=")</f>
        <v>#REF!</v>
      </c>
      <c r="GU40" t="e">
        <f>AND(#REF!,"AAAAAHuHl8o=")</f>
        <v>#REF!</v>
      </c>
      <c r="GV40" t="e">
        <f>AND(#REF!,"AAAAAHuHl8s=")</f>
        <v>#REF!</v>
      </c>
      <c r="GW40" t="e">
        <f>IF(#REF!,"AAAAAHuHl8w=",0)</f>
        <v>#REF!</v>
      </c>
      <c r="GX40" t="e">
        <f>AND(#REF!,"AAAAAHuHl80=")</f>
        <v>#REF!</v>
      </c>
      <c r="GY40" t="e">
        <f>AND(#REF!,"AAAAAHuHl84=")</f>
        <v>#REF!</v>
      </c>
      <c r="GZ40" t="e">
        <f>AND(#REF!,"AAAAAHuHl88=")</f>
        <v>#REF!</v>
      </c>
      <c r="HA40" t="e">
        <f>AND(#REF!,"AAAAAHuHl9A=")</f>
        <v>#REF!</v>
      </c>
      <c r="HB40" t="e">
        <f>AND(#REF!,"AAAAAHuHl9E=")</f>
        <v>#REF!</v>
      </c>
      <c r="HC40" t="e">
        <f>AND(#REF!,"AAAAAHuHl9I=")</f>
        <v>#REF!</v>
      </c>
      <c r="HD40" t="e">
        <f>AND(#REF!,"AAAAAHuHl9M=")</f>
        <v>#REF!</v>
      </c>
      <c r="HE40" t="e">
        <f>AND(#REF!,"AAAAAHuHl9Q=")</f>
        <v>#REF!</v>
      </c>
      <c r="HF40" t="e">
        <f>IF(#REF!,"AAAAAHuHl9U=",0)</f>
        <v>#REF!</v>
      </c>
      <c r="HG40" t="e">
        <f>AND(#REF!,"AAAAAHuHl9Y=")</f>
        <v>#REF!</v>
      </c>
      <c r="HH40" t="e">
        <f>AND(#REF!,"AAAAAHuHl9c=")</f>
        <v>#REF!</v>
      </c>
      <c r="HI40" t="e">
        <f>AND(#REF!,"AAAAAHuHl9g=")</f>
        <v>#REF!</v>
      </c>
      <c r="HJ40" t="e">
        <f>AND(#REF!,"AAAAAHuHl9k=")</f>
        <v>#REF!</v>
      </c>
      <c r="HK40" t="e">
        <f>AND(#REF!,"AAAAAHuHl9o=")</f>
        <v>#REF!</v>
      </c>
      <c r="HL40" t="e">
        <f>AND(#REF!,"AAAAAHuHl9s=")</f>
        <v>#REF!</v>
      </c>
      <c r="HM40" t="e">
        <f>AND(#REF!,"AAAAAHuHl9w=")</f>
        <v>#REF!</v>
      </c>
      <c r="HN40" t="e">
        <f>AND(#REF!,"AAAAAHuHl90=")</f>
        <v>#REF!</v>
      </c>
      <c r="HO40" t="e">
        <f>IF(#REF!,"AAAAAHuHl94=",0)</f>
        <v>#REF!</v>
      </c>
      <c r="HP40" t="e">
        <f>AND(#REF!,"AAAAAHuHl98=")</f>
        <v>#REF!</v>
      </c>
      <c r="HQ40" t="e">
        <f>AND(#REF!,"AAAAAHuHl+A=")</f>
        <v>#REF!</v>
      </c>
      <c r="HR40" t="e">
        <f>AND(#REF!,"AAAAAHuHl+E=")</f>
        <v>#REF!</v>
      </c>
      <c r="HS40" t="e">
        <f>AND(#REF!,"AAAAAHuHl+I=")</f>
        <v>#REF!</v>
      </c>
      <c r="HT40" t="e">
        <f>AND(#REF!,"AAAAAHuHl+M=")</f>
        <v>#REF!</v>
      </c>
      <c r="HU40" t="e">
        <f>AND(#REF!,"AAAAAHuHl+Q=")</f>
        <v>#REF!</v>
      </c>
      <c r="HV40" t="e">
        <f>AND(#REF!,"AAAAAHuHl+U=")</f>
        <v>#REF!</v>
      </c>
      <c r="HW40" t="e">
        <f>AND(#REF!,"AAAAAHuHl+Y=")</f>
        <v>#REF!</v>
      </c>
      <c r="HX40" t="e">
        <f>IF(#REF!,"AAAAAHuHl+c=",0)</f>
        <v>#REF!</v>
      </c>
      <c r="HY40" t="e">
        <f>AND(#REF!,"AAAAAHuHl+g=")</f>
        <v>#REF!</v>
      </c>
      <c r="HZ40" t="e">
        <f>AND(#REF!,"AAAAAHuHl+k=")</f>
        <v>#REF!</v>
      </c>
      <c r="IA40" t="e">
        <f>AND(#REF!,"AAAAAHuHl+o=")</f>
        <v>#REF!</v>
      </c>
      <c r="IB40" t="e">
        <f>AND(#REF!,"AAAAAHuHl+s=")</f>
        <v>#REF!</v>
      </c>
      <c r="IC40" t="e">
        <f>AND(#REF!,"AAAAAHuHl+w=")</f>
        <v>#REF!</v>
      </c>
      <c r="ID40" t="e">
        <f>AND(#REF!,"AAAAAHuHl+0=")</f>
        <v>#REF!</v>
      </c>
      <c r="IE40" t="e">
        <f>AND(#REF!,"AAAAAHuHl+4=")</f>
        <v>#REF!</v>
      </c>
      <c r="IF40" t="e">
        <f>AND(#REF!,"AAAAAHuHl+8=")</f>
        <v>#REF!</v>
      </c>
      <c r="IG40" t="e">
        <f>IF(#REF!,"AAAAAHuHl/A=",0)</f>
        <v>#REF!</v>
      </c>
      <c r="IH40" t="e">
        <f>AND(#REF!,"AAAAAHuHl/E=")</f>
        <v>#REF!</v>
      </c>
      <c r="II40" t="e">
        <f>AND(#REF!,"AAAAAHuHl/I=")</f>
        <v>#REF!</v>
      </c>
      <c r="IJ40" t="e">
        <f>AND(#REF!,"AAAAAHuHl/M=")</f>
        <v>#REF!</v>
      </c>
      <c r="IK40" t="e">
        <f>AND(#REF!,"AAAAAHuHl/Q=")</f>
        <v>#REF!</v>
      </c>
      <c r="IL40" t="e">
        <f>AND(#REF!,"AAAAAHuHl/U=")</f>
        <v>#REF!</v>
      </c>
      <c r="IM40" t="e">
        <f>AND(#REF!,"AAAAAHuHl/Y=")</f>
        <v>#REF!</v>
      </c>
      <c r="IN40" t="e">
        <f>AND(#REF!,"AAAAAHuHl/c=")</f>
        <v>#REF!</v>
      </c>
      <c r="IO40" t="e">
        <f>AND(#REF!,"AAAAAHuHl/g=")</f>
        <v>#REF!</v>
      </c>
      <c r="IP40" t="e">
        <f>IF(#REF!,"AAAAAHuHl/k=",0)</f>
        <v>#REF!</v>
      </c>
      <c r="IQ40" t="e">
        <f>AND(#REF!,"AAAAAHuHl/o=")</f>
        <v>#REF!</v>
      </c>
      <c r="IR40" t="e">
        <f>AND(#REF!,"AAAAAHuHl/s=")</f>
        <v>#REF!</v>
      </c>
      <c r="IS40" t="e">
        <f>AND(#REF!,"AAAAAHuHl/w=")</f>
        <v>#REF!</v>
      </c>
      <c r="IT40" t="e">
        <f>AND(#REF!,"AAAAAHuHl/0=")</f>
        <v>#REF!</v>
      </c>
      <c r="IU40" t="e">
        <f>AND(#REF!,"AAAAAHuHl/4=")</f>
        <v>#REF!</v>
      </c>
      <c r="IV40" t="e">
        <f>AND(#REF!,"AAAAAHuHl/8=")</f>
        <v>#REF!</v>
      </c>
    </row>
    <row r="41" spans="1:256">
      <c r="A41" t="e">
        <f>AND(#REF!,"AAAAAHZvcwA=")</f>
        <v>#REF!</v>
      </c>
      <c r="B41" t="e">
        <f>AND(#REF!,"AAAAAHZvcwE=")</f>
        <v>#REF!</v>
      </c>
      <c r="C41" t="e">
        <f>IF(#REF!,"AAAAAHZvcwI=",0)</f>
        <v>#REF!</v>
      </c>
      <c r="D41" t="e">
        <f>AND(#REF!,"AAAAAHZvcwM=")</f>
        <v>#REF!</v>
      </c>
      <c r="E41" t="e">
        <f>AND(#REF!,"AAAAAHZvcwQ=")</f>
        <v>#REF!</v>
      </c>
      <c r="F41" t="e">
        <f>AND(#REF!,"AAAAAHZvcwU=")</f>
        <v>#REF!</v>
      </c>
      <c r="G41" t="e">
        <f>AND(#REF!,"AAAAAHZvcwY=")</f>
        <v>#REF!</v>
      </c>
      <c r="H41" t="e">
        <f>AND(#REF!,"AAAAAHZvcwc=")</f>
        <v>#REF!</v>
      </c>
      <c r="I41" t="e">
        <f>AND(#REF!,"AAAAAHZvcwg=")</f>
        <v>#REF!</v>
      </c>
      <c r="J41" t="e">
        <f>AND(#REF!,"AAAAAHZvcwk=")</f>
        <v>#REF!</v>
      </c>
      <c r="K41" t="e">
        <f>AND(#REF!,"AAAAAHZvcwo=")</f>
        <v>#REF!</v>
      </c>
      <c r="L41" t="e">
        <f>IF(#REF!,"AAAAAHZvcws=",0)</f>
        <v>#REF!</v>
      </c>
      <c r="M41" t="e">
        <f>AND(#REF!,"AAAAAHZvcww=")</f>
        <v>#REF!</v>
      </c>
      <c r="N41" t="e">
        <f>AND(#REF!,"AAAAAHZvcw0=")</f>
        <v>#REF!</v>
      </c>
      <c r="O41" t="e">
        <f>AND(#REF!,"AAAAAHZvcw4=")</f>
        <v>#REF!</v>
      </c>
      <c r="P41" t="e">
        <f>AND(#REF!,"AAAAAHZvcw8=")</f>
        <v>#REF!</v>
      </c>
      <c r="Q41" t="e">
        <f>AND(#REF!,"AAAAAHZvcxA=")</f>
        <v>#REF!</v>
      </c>
      <c r="R41" t="e">
        <f>AND(#REF!,"AAAAAHZvcxE=")</f>
        <v>#REF!</v>
      </c>
      <c r="S41" t="e">
        <f>AND(#REF!,"AAAAAHZvcxI=")</f>
        <v>#REF!</v>
      </c>
      <c r="T41" t="e">
        <f>AND(#REF!,"AAAAAHZvcxM=")</f>
        <v>#REF!</v>
      </c>
      <c r="U41" t="e">
        <f>IF(#REF!,"AAAAAHZvcxQ=",0)</f>
        <v>#REF!</v>
      </c>
      <c r="V41" t="e">
        <f>AND(#REF!,"AAAAAHZvcxU=")</f>
        <v>#REF!</v>
      </c>
      <c r="W41" t="e">
        <f>AND(#REF!,"AAAAAHZvcxY=")</f>
        <v>#REF!</v>
      </c>
      <c r="X41" t="e">
        <f>AND(#REF!,"AAAAAHZvcxc=")</f>
        <v>#REF!</v>
      </c>
      <c r="Y41" t="e">
        <f>AND(#REF!,"AAAAAHZvcxg=")</f>
        <v>#REF!</v>
      </c>
      <c r="Z41" t="e">
        <f>AND(#REF!,"AAAAAHZvcxk=")</f>
        <v>#REF!</v>
      </c>
      <c r="AA41" t="e">
        <f>AND(#REF!,"AAAAAHZvcxo=")</f>
        <v>#REF!</v>
      </c>
      <c r="AB41" t="e">
        <f>AND(#REF!,"AAAAAHZvcxs=")</f>
        <v>#REF!</v>
      </c>
      <c r="AC41" t="e">
        <f>AND(#REF!,"AAAAAHZvcxw=")</f>
        <v>#REF!</v>
      </c>
      <c r="AD41" t="e">
        <f>IF(#REF!,"AAAAAHZvcx0=",0)</f>
        <v>#REF!</v>
      </c>
      <c r="AE41" t="e">
        <f>AND(#REF!,"AAAAAHZvcx4=")</f>
        <v>#REF!</v>
      </c>
      <c r="AF41" t="e">
        <f>AND(#REF!,"AAAAAHZvcx8=")</f>
        <v>#REF!</v>
      </c>
      <c r="AG41" t="e">
        <f>AND(#REF!,"AAAAAHZvcyA=")</f>
        <v>#REF!</v>
      </c>
      <c r="AH41" t="e">
        <f>AND(#REF!,"AAAAAHZvcyE=")</f>
        <v>#REF!</v>
      </c>
      <c r="AI41" t="e">
        <f>AND(#REF!,"AAAAAHZvcyI=")</f>
        <v>#REF!</v>
      </c>
      <c r="AJ41" t="e">
        <f>AND(#REF!,"AAAAAHZvcyM=")</f>
        <v>#REF!</v>
      </c>
      <c r="AK41" t="e">
        <f>AND(#REF!,"AAAAAHZvcyQ=")</f>
        <v>#REF!</v>
      </c>
      <c r="AL41" t="e">
        <f>AND(#REF!,"AAAAAHZvcyU=")</f>
        <v>#REF!</v>
      </c>
      <c r="AM41" t="e">
        <f>IF(#REF!,"AAAAAHZvcyY=",0)</f>
        <v>#REF!</v>
      </c>
      <c r="AN41" t="e">
        <f>AND(#REF!,"AAAAAHZvcyc=")</f>
        <v>#REF!</v>
      </c>
      <c r="AO41" t="e">
        <f>AND(#REF!,"AAAAAHZvcyg=")</f>
        <v>#REF!</v>
      </c>
      <c r="AP41" t="e">
        <f>AND(#REF!,"AAAAAHZvcyk=")</f>
        <v>#REF!</v>
      </c>
      <c r="AQ41" t="e">
        <f>AND(#REF!,"AAAAAHZvcyo=")</f>
        <v>#REF!</v>
      </c>
      <c r="AR41" t="e">
        <f>AND(#REF!,"AAAAAHZvcys=")</f>
        <v>#REF!</v>
      </c>
      <c r="AS41" t="e">
        <f>AND(#REF!,"AAAAAHZvcyw=")</f>
        <v>#REF!</v>
      </c>
      <c r="AT41" t="e">
        <f>AND(#REF!,"AAAAAHZvcy0=")</f>
        <v>#REF!</v>
      </c>
      <c r="AU41" t="e">
        <f>AND(#REF!,"AAAAAHZvcy4=")</f>
        <v>#REF!</v>
      </c>
      <c r="AV41" t="e">
        <f>IF(#REF!,"AAAAAHZvcy8=",0)</f>
        <v>#REF!</v>
      </c>
      <c r="AW41" t="e">
        <f>AND(#REF!,"AAAAAHZvczA=")</f>
        <v>#REF!</v>
      </c>
      <c r="AX41" t="e">
        <f>AND(#REF!,"AAAAAHZvczE=")</f>
        <v>#REF!</v>
      </c>
      <c r="AY41" t="e">
        <f>AND(#REF!,"AAAAAHZvczI=")</f>
        <v>#REF!</v>
      </c>
      <c r="AZ41" t="e">
        <f>AND(#REF!,"AAAAAHZvczM=")</f>
        <v>#REF!</v>
      </c>
      <c r="BA41" t="e">
        <f>AND(#REF!,"AAAAAHZvczQ=")</f>
        <v>#REF!</v>
      </c>
      <c r="BB41" t="e">
        <f>AND(#REF!,"AAAAAHZvczU=")</f>
        <v>#REF!</v>
      </c>
      <c r="BC41" t="e">
        <f>AND(#REF!,"AAAAAHZvczY=")</f>
        <v>#REF!</v>
      </c>
      <c r="BD41" t="e">
        <f>AND(#REF!,"AAAAAHZvczc=")</f>
        <v>#REF!</v>
      </c>
      <c r="BE41" t="e">
        <f>IF(#REF!,"AAAAAHZvczg=",0)</f>
        <v>#REF!</v>
      </c>
      <c r="BF41" t="e">
        <f>AND(#REF!,"AAAAAHZvczk=")</f>
        <v>#REF!</v>
      </c>
      <c r="BG41" t="e">
        <f>AND(#REF!,"AAAAAHZvczo=")</f>
        <v>#REF!</v>
      </c>
      <c r="BH41" t="e">
        <f>AND(#REF!,"AAAAAHZvczs=")</f>
        <v>#REF!</v>
      </c>
      <c r="BI41" t="e">
        <f>AND(#REF!,"AAAAAHZvczw=")</f>
        <v>#REF!</v>
      </c>
      <c r="BJ41" t="e">
        <f>AND(#REF!,"AAAAAHZvcz0=")</f>
        <v>#REF!</v>
      </c>
      <c r="BK41" t="e">
        <f>AND(#REF!,"AAAAAHZvcz4=")</f>
        <v>#REF!</v>
      </c>
      <c r="BL41" t="e">
        <f>AND(#REF!,"AAAAAHZvcz8=")</f>
        <v>#REF!</v>
      </c>
      <c r="BM41" t="e">
        <f>AND(#REF!,"AAAAAHZvc0A=")</f>
        <v>#REF!</v>
      </c>
      <c r="BN41" t="e">
        <f>IF(#REF!,"AAAAAHZvc0E=",0)</f>
        <v>#REF!</v>
      </c>
      <c r="BO41" t="e">
        <f>AND(#REF!,"AAAAAHZvc0I=")</f>
        <v>#REF!</v>
      </c>
      <c r="BP41" t="e">
        <f>AND(#REF!,"AAAAAHZvc0M=")</f>
        <v>#REF!</v>
      </c>
      <c r="BQ41" t="e">
        <f>AND(#REF!,"AAAAAHZvc0Q=")</f>
        <v>#REF!</v>
      </c>
      <c r="BR41" t="e">
        <f>AND(#REF!,"AAAAAHZvc0U=")</f>
        <v>#REF!</v>
      </c>
      <c r="BS41" t="e">
        <f>AND(#REF!,"AAAAAHZvc0Y=")</f>
        <v>#REF!</v>
      </c>
      <c r="BT41" t="e">
        <f>AND(#REF!,"AAAAAHZvc0c=")</f>
        <v>#REF!</v>
      </c>
      <c r="BU41" t="e">
        <f>AND(#REF!,"AAAAAHZvc0g=")</f>
        <v>#REF!</v>
      </c>
      <c r="BV41" t="e">
        <f>AND(#REF!,"AAAAAHZvc0k=")</f>
        <v>#REF!</v>
      </c>
      <c r="BW41" t="e">
        <f>IF(#REF!,"AAAAAHZvc0o=",0)</f>
        <v>#REF!</v>
      </c>
      <c r="BX41" t="e">
        <f>AND(#REF!,"AAAAAHZvc0s=")</f>
        <v>#REF!</v>
      </c>
      <c r="BY41" t="e">
        <f>AND(#REF!,"AAAAAHZvc0w=")</f>
        <v>#REF!</v>
      </c>
      <c r="BZ41" t="e">
        <f>AND(#REF!,"AAAAAHZvc00=")</f>
        <v>#REF!</v>
      </c>
      <c r="CA41" t="e">
        <f>AND(#REF!,"AAAAAHZvc04=")</f>
        <v>#REF!</v>
      </c>
      <c r="CB41" t="e">
        <f>AND(#REF!,"AAAAAHZvc08=")</f>
        <v>#REF!</v>
      </c>
      <c r="CC41" t="e">
        <f>AND(#REF!,"AAAAAHZvc1A=")</f>
        <v>#REF!</v>
      </c>
      <c r="CD41" t="e">
        <f>AND(#REF!,"AAAAAHZvc1E=")</f>
        <v>#REF!</v>
      </c>
      <c r="CE41" t="e">
        <f>AND(#REF!,"AAAAAHZvc1I=")</f>
        <v>#REF!</v>
      </c>
      <c r="CF41" t="e">
        <f>IF(#REF!,"AAAAAHZvc1M=",0)</f>
        <v>#REF!</v>
      </c>
      <c r="CG41" t="e">
        <f>AND(#REF!,"AAAAAHZvc1Q=")</f>
        <v>#REF!</v>
      </c>
      <c r="CH41" t="e">
        <f>AND(#REF!,"AAAAAHZvc1U=")</f>
        <v>#REF!</v>
      </c>
      <c r="CI41" t="e">
        <f>AND(#REF!,"AAAAAHZvc1Y=")</f>
        <v>#REF!</v>
      </c>
      <c r="CJ41" t="e">
        <f>AND(#REF!,"AAAAAHZvc1c=")</f>
        <v>#REF!</v>
      </c>
      <c r="CK41" t="e">
        <f>AND(#REF!,"AAAAAHZvc1g=")</f>
        <v>#REF!</v>
      </c>
      <c r="CL41" t="e">
        <f>AND(#REF!,"AAAAAHZvc1k=")</f>
        <v>#REF!</v>
      </c>
      <c r="CM41" t="e">
        <f>AND(#REF!,"AAAAAHZvc1o=")</f>
        <v>#REF!</v>
      </c>
      <c r="CN41" t="e">
        <f>AND(#REF!,"AAAAAHZvc1s=")</f>
        <v>#REF!</v>
      </c>
      <c r="CO41" t="e">
        <f>IF(#REF!,"AAAAAHZvc1w=",0)</f>
        <v>#REF!</v>
      </c>
      <c r="CP41" t="e">
        <f>AND(#REF!,"AAAAAHZvc10=")</f>
        <v>#REF!</v>
      </c>
      <c r="CQ41" t="e">
        <f>AND(#REF!,"AAAAAHZvc14=")</f>
        <v>#REF!</v>
      </c>
      <c r="CR41" t="e">
        <f>AND(#REF!,"AAAAAHZvc18=")</f>
        <v>#REF!</v>
      </c>
      <c r="CS41" t="e">
        <f>AND(#REF!,"AAAAAHZvc2A=")</f>
        <v>#REF!</v>
      </c>
      <c r="CT41" t="e">
        <f>AND(#REF!,"AAAAAHZvc2E=")</f>
        <v>#REF!</v>
      </c>
      <c r="CU41" t="e">
        <f>AND(#REF!,"AAAAAHZvc2I=")</f>
        <v>#REF!</v>
      </c>
      <c r="CV41" t="e">
        <f>AND(#REF!,"AAAAAHZvc2M=")</f>
        <v>#REF!</v>
      </c>
      <c r="CW41" t="e">
        <f>AND(#REF!,"AAAAAHZvc2Q=")</f>
        <v>#REF!</v>
      </c>
      <c r="CX41" t="e">
        <f>IF(#REF!,"AAAAAHZvc2U=",0)</f>
        <v>#REF!</v>
      </c>
      <c r="CY41" t="e">
        <f>AND(#REF!,"AAAAAHZvc2Y=")</f>
        <v>#REF!</v>
      </c>
      <c r="CZ41" t="e">
        <f>AND(#REF!,"AAAAAHZvc2c=")</f>
        <v>#REF!</v>
      </c>
      <c r="DA41" t="e">
        <f>AND(#REF!,"AAAAAHZvc2g=")</f>
        <v>#REF!</v>
      </c>
      <c r="DB41" t="e">
        <f>AND(#REF!,"AAAAAHZvc2k=")</f>
        <v>#REF!</v>
      </c>
      <c r="DC41" t="e">
        <f>AND(#REF!,"AAAAAHZvc2o=")</f>
        <v>#REF!</v>
      </c>
      <c r="DD41" t="e">
        <f>AND(#REF!,"AAAAAHZvc2s=")</f>
        <v>#REF!</v>
      </c>
      <c r="DE41" t="e">
        <f>AND(#REF!,"AAAAAHZvc2w=")</f>
        <v>#REF!</v>
      </c>
      <c r="DF41" t="e">
        <f>AND(#REF!,"AAAAAHZvc20=")</f>
        <v>#REF!</v>
      </c>
      <c r="DG41" t="e">
        <f>IF(#REF!,"AAAAAHZvc24=",0)</f>
        <v>#REF!</v>
      </c>
      <c r="DH41" t="e">
        <f>AND(#REF!,"AAAAAHZvc28=")</f>
        <v>#REF!</v>
      </c>
      <c r="DI41" t="e">
        <f>AND(#REF!,"AAAAAHZvc3A=")</f>
        <v>#REF!</v>
      </c>
      <c r="DJ41" t="e">
        <f>AND(#REF!,"AAAAAHZvc3E=")</f>
        <v>#REF!</v>
      </c>
      <c r="DK41" t="e">
        <f>AND(#REF!,"AAAAAHZvc3I=")</f>
        <v>#REF!</v>
      </c>
      <c r="DL41" t="e">
        <f>AND(#REF!,"AAAAAHZvc3M=")</f>
        <v>#REF!</v>
      </c>
      <c r="DM41" t="e">
        <f>AND(#REF!,"AAAAAHZvc3Q=")</f>
        <v>#REF!</v>
      </c>
      <c r="DN41" t="e">
        <f>AND(#REF!,"AAAAAHZvc3U=")</f>
        <v>#REF!</v>
      </c>
      <c r="DO41" t="e">
        <f>AND(#REF!,"AAAAAHZvc3Y=")</f>
        <v>#REF!</v>
      </c>
      <c r="DP41" t="e">
        <f>IF(#REF!,"AAAAAHZvc3c=",0)</f>
        <v>#REF!</v>
      </c>
      <c r="DQ41" t="e">
        <f>AND(#REF!,"AAAAAHZvc3g=")</f>
        <v>#REF!</v>
      </c>
      <c r="DR41" t="e">
        <f>AND(#REF!,"AAAAAHZvc3k=")</f>
        <v>#REF!</v>
      </c>
      <c r="DS41" t="e">
        <f>AND(#REF!,"AAAAAHZvc3o=")</f>
        <v>#REF!</v>
      </c>
      <c r="DT41" t="e">
        <f>AND(#REF!,"AAAAAHZvc3s=")</f>
        <v>#REF!</v>
      </c>
      <c r="DU41" t="e">
        <f>AND(#REF!,"AAAAAHZvc3w=")</f>
        <v>#REF!</v>
      </c>
      <c r="DV41" t="e">
        <f>AND(#REF!,"AAAAAHZvc30=")</f>
        <v>#REF!</v>
      </c>
      <c r="DW41" t="e">
        <f>AND(#REF!,"AAAAAHZvc34=")</f>
        <v>#REF!</v>
      </c>
      <c r="DX41" t="e">
        <f>AND(#REF!,"AAAAAHZvc38=")</f>
        <v>#REF!</v>
      </c>
      <c r="DY41" t="e">
        <f>IF(#REF!,"AAAAAHZvc4A=",0)</f>
        <v>#REF!</v>
      </c>
      <c r="DZ41" t="e">
        <f>AND(#REF!,"AAAAAHZvc4E=")</f>
        <v>#REF!</v>
      </c>
      <c r="EA41" t="e">
        <f>AND(#REF!,"AAAAAHZvc4I=")</f>
        <v>#REF!</v>
      </c>
      <c r="EB41" t="e">
        <f>AND(#REF!,"AAAAAHZvc4M=")</f>
        <v>#REF!</v>
      </c>
      <c r="EC41" t="e">
        <f>AND(#REF!,"AAAAAHZvc4Q=")</f>
        <v>#REF!</v>
      </c>
      <c r="ED41" t="e">
        <f>AND(#REF!,"AAAAAHZvc4U=")</f>
        <v>#REF!</v>
      </c>
      <c r="EE41" t="e">
        <f>AND(#REF!,"AAAAAHZvc4Y=")</f>
        <v>#REF!</v>
      </c>
      <c r="EF41" t="e">
        <f>AND(#REF!,"AAAAAHZvc4c=")</f>
        <v>#REF!</v>
      </c>
      <c r="EG41" t="e">
        <f>AND(#REF!,"AAAAAHZvc4g=")</f>
        <v>#REF!</v>
      </c>
      <c r="EH41" t="e">
        <f>IF(#REF!,"AAAAAHZvc4k=",0)</f>
        <v>#REF!</v>
      </c>
      <c r="EI41" t="e">
        <f>AND(#REF!,"AAAAAHZvc4o=")</f>
        <v>#REF!</v>
      </c>
      <c r="EJ41" t="e">
        <f>AND(#REF!,"AAAAAHZvc4s=")</f>
        <v>#REF!</v>
      </c>
      <c r="EK41" t="e">
        <f>AND(#REF!,"AAAAAHZvc4w=")</f>
        <v>#REF!</v>
      </c>
      <c r="EL41" t="e">
        <f>AND(#REF!,"AAAAAHZvc40=")</f>
        <v>#REF!</v>
      </c>
      <c r="EM41" t="e">
        <f>AND(#REF!,"AAAAAHZvc44=")</f>
        <v>#REF!</v>
      </c>
      <c r="EN41" t="e">
        <f>AND(#REF!,"AAAAAHZvc48=")</f>
        <v>#REF!</v>
      </c>
      <c r="EO41" t="e">
        <f>AND(#REF!,"AAAAAHZvc5A=")</f>
        <v>#REF!</v>
      </c>
      <c r="EP41" t="e">
        <f>AND(#REF!,"AAAAAHZvc5E=")</f>
        <v>#REF!</v>
      </c>
      <c r="EQ41" t="e">
        <f>IF(#REF!,"AAAAAHZvc5I=",0)</f>
        <v>#REF!</v>
      </c>
      <c r="ER41" t="e">
        <f>AND(#REF!,"AAAAAHZvc5M=")</f>
        <v>#REF!</v>
      </c>
      <c r="ES41" t="e">
        <f>AND(#REF!,"AAAAAHZvc5Q=")</f>
        <v>#REF!</v>
      </c>
      <c r="ET41" t="e">
        <f>AND(#REF!,"AAAAAHZvc5U=")</f>
        <v>#REF!</v>
      </c>
      <c r="EU41" t="e">
        <f>AND(#REF!,"AAAAAHZvc5Y=")</f>
        <v>#REF!</v>
      </c>
      <c r="EV41" t="e">
        <f>AND(#REF!,"AAAAAHZvc5c=")</f>
        <v>#REF!</v>
      </c>
      <c r="EW41" t="e">
        <f>AND(#REF!,"AAAAAHZvc5g=")</f>
        <v>#REF!</v>
      </c>
      <c r="EX41" t="e">
        <f>AND(#REF!,"AAAAAHZvc5k=")</f>
        <v>#REF!</v>
      </c>
      <c r="EY41" t="e">
        <f>AND(#REF!,"AAAAAHZvc5o=")</f>
        <v>#REF!</v>
      </c>
      <c r="EZ41" t="e">
        <f>IF(#REF!,"AAAAAHZvc5s=",0)</f>
        <v>#REF!</v>
      </c>
      <c r="FA41" t="e">
        <f>AND(#REF!,"AAAAAHZvc5w=")</f>
        <v>#REF!</v>
      </c>
      <c r="FB41" t="e">
        <f>AND(#REF!,"AAAAAHZvc50=")</f>
        <v>#REF!</v>
      </c>
      <c r="FC41" t="e">
        <f>AND(#REF!,"AAAAAHZvc54=")</f>
        <v>#REF!</v>
      </c>
      <c r="FD41" t="e">
        <f>AND(#REF!,"AAAAAHZvc58=")</f>
        <v>#REF!</v>
      </c>
      <c r="FE41" t="e">
        <f>AND(#REF!,"AAAAAHZvc6A=")</f>
        <v>#REF!</v>
      </c>
      <c r="FF41" t="e">
        <f>AND(#REF!,"AAAAAHZvc6E=")</f>
        <v>#REF!</v>
      </c>
      <c r="FG41" t="e">
        <f>AND(#REF!,"AAAAAHZvc6I=")</f>
        <v>#REF!</v>
      </c>
      <c r="FH41" t="e">
        <f>AND(#REF!,"AAAAAHZvc6M=")</f>
        <v>#REF!</v>
      </c>
      <c r="FI41" t="e">
        <f>IF(#REF!,"AAAAAHZvc6Q=",0)</f>
        <v>#REF!</v>
      </c>
      <c r="FJ41" t="e">
        <f>AND(#REF!,"AAAAAHZvc6U=")</f>
        <v>#REF!</v>
      </c>
      <c r="FK41" t="e">
        <f>AND(#REF!,"AAAAAHZvc6Y=")</f>
        <v>#REF!</v>
      </c>
      <c r="FL41" t="e">
        <f>AND(#REF!,"AAAAAHZvc6c=")</f>
        <v>#REF!</v>
      </c>
      <c r="FM41" t="e">
        <f>AND(#REF!,"AAAAAHZvc6g=")</f>
        <v>#REF!</v>
      </c>
      <c r="FN41" t="e">
        <f>AND(#REF!,"AAAAAHZvc6k=")</f>
        <v>#REF!</v>
      </c>
      <c r="FO41" t="e">
        <f>AND(#REF!,"AAAAAHZvc6o=")</f>
        <v>#REF!</v>
      </c>
      <c r="FP41" t="e">
        <f>AND(#REF!,"AAAAAHZvc6s=")</f>
        <v>#REF!</v>
      </c>
      <c r="FQ41" t="e">
        <f>AND(#REF!,"AAAAAHZvc6w=")</f>
        <v>#REF!</v>
      </c>
      <c r="FR41" t="e">
        <f>IF(#REF!,"AAAAAHZvc60=",0)</f>
        <v>#REF!</v>
      </c>
      <c r="FS41" t="e">
        <f>AND(#REF!,"AAAAAHZvc64=")</f>
        <v>#REF!</v>
      </c>
      <c r="FT41" t="e">
        <f>AND(#REF!,"AAAAAHZvc68=")</f>
        <v>#REF!</v>
      </c>
      <c r="FU41" t="e">
        <f>AND(#REF!,"AAAAAHZvc7A=")</f>
        <v>#REF!</v>
      </c>
      <c r="FV41" t="e">
        <f>AND(#REF!,"AAAAAHZvc7E=")</f>
        <v>#REF!</v>
      </c>
      <c r="FW41" t="e">
        <f>AND(#REF!,"AAAAAHZvc7I=")</f>
        <v>#REF!</v>
      </c>
      <c r="FX41" t="e">
        <f>AND(#REF!,"AAAAAHZvc7M=")</f>
        <v>#REF!</v>
      </c>
      <c r="FY41" t="e">
        <f>AND(#REF!,"AAAAAHZvc7Q=")</f>
        <v>#REF!</v>
      </c>
      <c r="FZ41" t="e">
        <f>AND(#REF!,"AAAAAHZvc7U=")</f>
        <v>#REF!</v>
      </c>
      <c r="GA41" t="e">
        <f>IF(#REF!,"AAAAAHZvc7Y=",0)</f>
        <v>#REF!</v>
      </c>
      <c r="GB41" t="e">
        <f>AND(#REF!,"AAAAAHZvc7c=")</f>
        <v>#REF!</v>
      </c>
      <c r="GC41" t="e">
        <f>AND(#REF!,"AAAAAHZvc7g=")</f>
        <v>#REF!</v>
      </c>
      <c r="GD41" t="e">
        <f>AND(#REF!,"AAAAAHZvc7k=")</f>
        <v>#REF!</v>
      </c>
      <c r="GE41" t="e">
        <f>AND(#REF!,"AAAAAHZvc7o=")</f>
        <v>#REF!</v>
      </c>
      <c r="GF41" t="e">
        <f>AND(#REF!,"AAAAAHZvc7s=")</f>
        <v>#REF!</v>
      </c>
      <c r="GG41" t="e">
        <f>AND(#REF!,"AAAAAHZvc7w=")</f>
        <v>#REF!</v>
      </c>
      <c r="GH41" t="e">
        <f>AND(#REF!,"AAAAAHZvc70=")</f>
        <v>#REF!</v>
      </c>
      <c r="GI41" t="e">
        <f>AND(#REF!,"AAAAAHZvc74=")</f>
        <v>#REF!</v>
      </c>
      <c r="GJ41" t="e">
        <f>IF(#REF!,"AAAAAHZvc78=",0)</f>
        <v>#REF!</v>
      </c>
      <c r="GK41" t="e">
        <f>AND(#REF!,"AAAAAHZvc8A=")</f>
        <v>#REF!</v>
      </c>
      <c r="GL41" t="e">
        <f>AND(#REF!,"AAAAAHZvc8E=")</f>
        <v>#REF!</v>
      </c>
      <c r="GM41" t="e">
        <f>AND(#REF!,"AAAAAHZvc8I=")</f>
        <v>#REF!</v>
      </c>
      <c r="GN41" t="e">
        <f>AND(#REF!,"AAAAAHZvc8M=")</f>
        <v>#REF!</v>
      </c>
      <c r="GO41" t="e">
        <f>AND(#REF!,"AAAAAHZvc8Q=")</f>
        <v>#REF!</v>
      </c>
      <c r="GP41" t="e">
        <f>AND(#REF!,"AAAAAHZvc8U=")</f>
        <v>#REF!</v>
      </c>
      <c r="GQ41" t="e">
        <f>AND(#REF!,"AAAAAHZvc8Y=")</f>
        <v>#REF!</v>
      </c>
      <c r="GR41" t="e">
        <f>AND(#REF!,"AAAAAHZvc8c=")</f>
        <v>#REF!</v>
      </c>
      <c r="GS41" t="e">
        <f>IF(#REF!,"AAAAAHZvc8g=",0)</f>
        <v>#REF!</v>
      </c>
      <c r="GT41" t="e">
        <f>AND(#REF!,"AAAAAHZvc8k=")</f>
        <v>#REF!</v>
      </c>
      <c r="GU41" t="e">
        <f>AND(#REF!,"AAAAAHZvc8o=")</f>
        <v>#REF!</v>
      </c>
      <c r="GV41" t="e">
        <f>AND(#REF!,"AAAAAHZvc8s=")</f>
        <v>#REF!</v>
      </c>
      <c r="GW41" t="e">
        <f>AND(#REF!,"AAAAAHZvc8w=")</f>
        <v>#REF!</v>
      </c>
      <c r="GX41" t="e">
        <f>AND(#REF!,"AAAAAHZvc80=")</f>
        <v>#REF!</v>
      </c>
      <c r="GY41" t="e">
        <f>AND(#REF!,"AAAAAHZvc84=")</f>
        <v>#REF!</v>
      </c>
      <c r="GZ41" t="e">
        <f>AND(#REF!,"AAAAAHZvc88=")</f>
        <v>#REF!</v>
      </c>
      <c r="HA41" t="e">
        <f>AND(#REF!,"AAAAAHZvc9A=")</f>
        <v>#REF!</v>
      </c>
      <c r="HB41" t="e">
        <f>IF(#REF!,"AAAAAHZvc9E=",0)</f>
        <v>#REF!</v>
      </c>
      <c r="HC41" t="e">
        <f>AND(#REF!,"AAAAAHZvc9I=")</f>
        <v>#REF!</v>
      </c>
      <c r="HD41" t="e">
        <f>AND(#REF!,"AAAAAHZvc9M=")</f>
        <v>#REF!</v>
      </c>
      <c r="HE41" t="e">
        <f>AND(#REF!,"AAAAAHZvc9Q=")</f>
        <v>#REF!</v>
      </c>
      <c r="HF41" t="e">
        <f>AND(#REF!,"AAAAAHZvc9U=")</f>
        <v>#REF!</v>
      </c>
      <c r="HG41" t="e">
        <f>AND(#REF!,"AAAAAHZvc9Y=")</f>
        <v>#REF!</v>
      </c>
      <c r="HH41" t="e">
        <f>AND(#REF!,"AAAAAHZvc9c=")</f>
        <v>#REF!</v>
      </c>
      <c r="HI41" t="e">
        <f>AND(#REF!,"AAAAAHZvc9g=")</f>
        <v>#REF!</v>
      </c>
      <c r="HJ41" t="e">
        <f>AND(#REF!,"AAAAAHZvc9k=")</f>
        <v>#REF!</v>
      </c>
      <c r="HK41" t="e">
        <f>IF(#REF!,"AAAAAHZvc9o=",0)</f>
        <v>#REF!</v>
      </c>
      <c r="HL41" t="e">
        <f>AND(#REF!,"AAAAAHZvc9s=")</f>
        <v>#REF!</v>
      </c>
      <c r="HM41" t="e">
        <f>AND(#REF!,"AAAAAHZvc9w=")</f>
        <v>#REF!</v>
      </c>
      <c r="HN41" t="e">
        <f>AND(#REF!,"AAAAAHZvc90=")</f>
        <v>#REF!</v>
      </c>
      <c r="HO41" t="e">
        <f>AND(#REF!,"AAAAAHZvc94=")</f>
        <v>#REF!</v>
      </c>
      <c r="HP41" t="e">
        <f>AND(#REF!,"AAAAAHZvc98=")</f>
        <v>#REF!</v>
      </c>
      <c r="HQ41" t="e">
        <f>AND(#REF!,"AAAAAHZvc+A=")</f>
        <v>#REF!</v>
      </c>
      <c r="HR41" t="e">
        <f>AND(#REF!,"AAAAAHZvc+E=")</f>
        <v>#REF!</v>
      </c>
      <c r="HS41" t="e">
        <f>AND(#REF!,"AAAAAHZvc+I=")</f>
        <v>#REF!</v>
      </c>
      <c r="HT41" t="e">
        <f>IF(#REF!,"AAAAAHZvc+M=",0)</f>
        <v>#REF!</v>
      </c>
      <c r="HU41" t="e">
        <f>AND(#REF!,"AAAAAHZvc+Q=")</f>
        <v>#REF!</v>
      </c>
      <c r="HV41" t="e">
        <f>AND(#REF!,"AAAAAHZvc+U=")</f>
        <v>#REF!</v>
      </c>
      <c r="HW41" t="e">
        <f>AND(#REF!,"AAAAAHZvc+Y=")</f>
        <v>#REF!</v>
      </c>
      <c r="HX41" t="e">
        <f>AND(#REF!,"AAAAAHZvc+c=")</f>
        <v>#REF!</v>
      </c>
      <c r="HY41" t="e">
        <f>AND(#REF!,"AAAAAHZvc+g=")</f>
        <v>#REF!</v>
      </c>
      <c r="HZ41" t="e">
        <f>AND(#REF!,"AAAAAHZvc+k=")</f>
        <v>#REF!</v>
      </c>
      <c r="IA41" t="e">
        <f>AND(#REF!,"AAAAAHZvc+o=")</f>
        <v>#REF!</v>
      </c>
      <c r="IB41" t="e">
        <f>AND(#REF!,"AAAAAHZvc+s=")</f>
        <v>#REF!</v>
      </c>
      <c r="IC41" t="e">
        <f>IF(#REF!,"AAAAAHZvc+w=",0)</f>
        <v>#REF!</v>
      </c>
      <c r="ID41" t="e">
        <f>AND(#REF!,"AAAAAHZvc+0=")</f>
        <v>#REF!</v>
      </c>
      <c r="IE41" t="e">
        <f>AND(#REF!,"AAAAAHZvc+4=")</f>
        <v>#REF!</v>
      </c>
      <c r="IF41" t="e">
        <f>AND(#REF!,"AAAAAHZvc+8=")</f>
        <v>#REF!</v>
      </c>
      <c r="IG41" t="e">
        <f>AND(#REF!,"AAAAAHZvc/A=")</f>
        <v>#REF!</v>
      </c>
      <c r="IH41" t="e">
        <f>AND(#REF!,"AAAAAHZvc/E=")</f>
        <v>#REF!</v>
      </c>
      <c r="II41" t="e">
        <f>AND(#REF!,"AAAAAHZvc/I=")</f>
        <v>#REF!</v>
      </c>
      <c r="IJ41" t="e">
        <f>AND(#REF!,"AAAAAHZvc/M=")</f>
        <v>#REF!</v>
      </c>
      <c r="IK41" t="e">
        <f>AND(#REF!,"AAAAAHZvc/Q=")</f>
        <v>#REF!</v>
      </c>
      <c r="IL41" t="e">
        <f>IF(#REF!,"AAAAAHZvc/U=",0)</f>
        <v>#REF!</v>
      </c>
      <c r="IM41" t="e">
        <f>AND(#REF!,"AAAAAHZvc/Y=")</f>
        <v>#REF!</v>
      </c>
      <c r="IN41" t="e">
        <f>AND(#REF!,"AAAAAHZvc/c=")</f>
        <v>#REF!</v>
      </c>
      <c r="IO41" t="e">
        <f>AND(#REF!,"AAAAAHZvc/g=")</f>
        <v>#REF!</v>
      </c>
      <c r="IP41" t="e">
        <f>AND(#REF!,"AAAAAHZvc/k=")</f>
        <v>#REF!</v>
      </c>
      <c r="IQ41" t="e">
        <f>AND(#REF!,"AAAAAHZvc/o=")</f>
        <v>#REF!</v>
      </c>
      <c r="IR41" t="e">
        <f>AND(#REF!,"AAAAAHZvc/s=")</f>
        <v>#REF!</v>
      </c>
      <c r="IS41" t="e">
        <f>AND(#REF!,"AAAAAHZvc/w=")</f>
        <v>#REF!</v>
      </c>
      <c r="IT41" t="e">
        <f>AND(#REF!,"AAAAAHZvc/0=")</f>
        <v>#REF!</v>
      </c>
      <c r="IU41" t="e">
        <f>IF(#REF!,"AAAAAHZvc/4=",0)</f>
        <v>#REF!</v>
      </c>
      <c r="IV41" t="e">
        <f>AND(#REF!,"AAAAAHZvc/8=")</f>
        <v>#REF!</v>
      </c>
    </row>
    <row r="42" spans="1:256">
      <c r="A42" t="e">
        <f>AND(#REF!,"AAAAAGF//wA=")</f>
        <v>#REF!</v>
      </c>
      <c r="B42" t="e">
        <f>AND(#REF!,"AAAAAGF//wE=")</f>
        <v>#REF!</v>
      </c>
      <c r="C42" t="e">
        <f>AND(#REF!,"AAAAAGF//wI=")</f>
        <v>#REF!</v>
      </c>
      <c r="D42" t="e">
        <f>AND(#REF!,"AAAAAGF//wM=")</f>
        <v>#REF!</v>
      </c>
      <c r="E42" t="e">
        <f>AND(#REF!,"AAAAAGF//wQ=")</f>
        <v>#REF!</v>
      </c>
      <c r="F42" t="e">
        <f>AND(#REF!,"AAAAAGF//wU=")</f>
        <v>#REF!</v>
      </c>
      <c r="G42" t="e">
        <f>AND(#REF!,"AAAAAGF//wY=")</f>
        <v>#REF!</v>
      </c>
      <c r="H42" t="e">
        <f>IF(#REF!,"AAAAAGF//wc=",0)</f>
        <v>#REF!</v>
      </c>
      <c r="I42" t="e">
        <f>AND(#REF!,"AAAAAGF//wg=")</f>
        <v>#REF!</v>
      </c>
      <c r="J42" t="e">
        <f>AND(#REF!,"AAAAAGF//wk=")</f>
        <v>#REF!</v>
      </c>
      <c r="K42" t="e">
        <f>AND(#REF!,"AAAAAGF//wo=")</f>
        <v>#REF!</v>
      </c>
      <c r="L42" t="e">
        <f>AND(#REF!,"AAAAAGF//ws=")</f>
        <v>#REF!</v>
      </c>
      <c r="M42" t="e">
        <f>AND(#REF!,"AAAAAGF//ww=")</f>
        <v>#REF!</v>
      </c>
      <c r="N42" t="e">
        <f>AND(#REF!,"AAAAAGF//w0=")</f>
        <v>#REF!</v>
      </c>
      <c r="O42" t="e">
        <f>AND(#REF!,"AAAAAGF//w4=")</f>
        <v>#REF!</v>
      </c>
      <c r="P42" t="e">
        <f>AND(#REF!,"AAAAAGF//w8=")</f>
        <v>#REF!</v>
      </c>
      <c r="Q42" t="e">
        <f>IF(#REF!,"AAAAAGF//xA=",0)</f>
        <v>#REF!</v>
      </c>
      <c r="R42" t="e">
        <f>AND(#REF!,"AAAAAGF//xE=")</f>
        <v>#REF!</v>
      </c>
      <c r="S42" t="e">
        <f>AND(#REF!,"AAAAAGF//xI=")</f>
        <v>#REF!</v>
      </c>
      <c r="T42" t="e">
        <f>AND(#REF!,"AAAAAGF//xM=")</f>
        <v>#REF!</v>
      </c>
      <c r="U42" t="e">
        <f>AND(#REF!,"AAAAAGF//xQ=")</f>
        <v>#REF!</v>
      </c>
      <c r="V42" t="e">
        <f>AND(#REF!,"AAAAAGF//xU=")</f>
        <v>#REF!</v>
      </c>
      <c r="W42" t="e">
        <f>AND(#REF!,"AAAAAGF//xY=")</f>
        <v>#REF!</v>
      </c>
      <c r="X42" t="e">
        <f>AND(#REF!,"AAAAAGF//xc=")</f>
        <v>#REF!</v>
      </c>
      <c r="Y42" t="e">
        <f>AND(#REF!,"AAAAAGF//xg=")</f>
        <v>#REF!</v>
      </c>
      <c r="Z42" t="e">
        <f>IF(#REF!,"AAAAAGF//xk=",0)</f>
        <v>#REF!</v>
      </c>
      <c r="AA42" t="e">
        <f>AND(#REF!,"AAAAAGF//xo=")</f>
        <v>#REF!</v>
      </c>
      <c r="AB42" t="e">
        <f>AND(#REF!,"AAAAAGF//xs=")</f>
        <v>#REF!</v>
      </c>
      <c r="AC42" t="e">
        <f>AND(#REF!,"AAAAAGF//xw=")</f>
        <v>#REF!</v>
      </c>
      <c r="AD42" t="e">
        <f>AND(#REF!,"AAAAAGF//x0=")</f>
        <v>#REF!</v>
      </c>
      <c r="AE42" t="e">
        <f>AND(#REF!,"AAAAAGF//x4=")</f>
        <v>#REF!</v>
      </c>
      <c r="AF42" t="e">
        <f>AND(#REF!,"AAAAAGF//x8=")</f>
        <v>#REF!</v>
      </c>
      <c r="AG42" t="e">
        <f>AND(#REF!,"AAAAAGF//yA=")</f>
        <v>#REF!</v>
      </c>
      <c r="AH42" t="e">
        <f>AND(#REF!,"AAAAAGF//yE=")</f>
        <v>#REF!</v>
      </c>
      <c r="AI42" t="e">
        <f>IF(#REF!,"AAAAAGF//yI=",0)</f>
        <v>#REF!</v>
      </c>
      <c r="AJ42" t="e">
        <f>AND(#REF!,"AAAAAGF//yM=")</f>
        <v>#REF!</v>
      </c>
      <c r="AK42" t="e">
        <f>AND(#REF!,"AAAAAGF//yQ=")</f>
        <v>#REF!</v>
      </c>
      <c r="AL42" t="e">
        <f>AND(#REF!,"AAAAAGF//yU=")</f>
        <v>#REF!</v>
      </c>
      <c r="AM42" t="e">
        <f>AND(#REF!,"AAAAAGF//yY=")</f>
        <v>#REF!</v>
      </c>
      <c r="AN42" t="e">
        <f>AND(#REF!,"AAAAAGF//yc=")</f>
        <v>#REF!</v>
      </c>
      <c r="AO42" t="e">
        <f>AND(#REF!,"AAAAAGF//yg=")</f>
        <v>#REF!</v>
      </c>
      <c r="AP42" t="e">
        <f>AND(#REF!,"AAAAAGF//yk=")</f>
        <v>#REF!</v>
      </c>
      <c r="AQ42" t="e">
        <f>AND(#REF!,"AAAAAGF//yo=")</f>
        <v>#REF!</v>
      </c>
      <c r="AR42" t="e">
        <f>IF(#REF!,"AAAAAGF//ys=",0)</f>
        <v>#REF!</v>
      </c>
      <c r="AS42" t="e">
        <f>AND(#REF!,"AAAAAGF//yw=")</f>
        <v>#REF!</v>
      </c>
      <c r="AT42" t="e">
        <f>AND(#REF!,"AAAAAGF//y0=")</f>
        <v>#REF!</v>
      </c>
      <c r="AU42" t="e">
        <f>AND(#REF!,"AAAAAGF//y4=")</f>
        <v>#REF!</v>
      </c>
      <c r="AV42" t="e">
        <f>AND(#REF!,"AAAAAGF//y8=")</f>
        <v>#REF!</v>
      </c>
      <c r="AW42" t="e">
        <f>AND(#REF!,"AAAAAGF//zA=")</f>
        <v>#REF!</v>
      </c>
      <c r="AX42" t="e">
        <f>AND(#REF!,"AAAAAGF//zE=")</f>
        <v>#REF!</v>
      </c>
      <c r="AY42" t="e">
        <f>AND(#REF!,"AAAAAGF//zI=")</f>
        <v>#REF!</v>
      </c>
      <c r="AZ42" t="e">
        <f>AND(#REF!,"AAAAAGF//zM=")</f>
        <v>#REF!</v>
      </c>
      <c r="BA42" t="e">
        <f>IF(#REF!,"AAAAAGF//zQ=",0)</f>
        <v>#REF!</v>
      </c>
      <c r="BB42" t="e">
        <f>AND(#REF!,"AAAAAGF//zU=")</f>
        <v>#REF!</v>
      </c>
      <c r="BC42" t="e">
        <f>AND(#REF!,"AAAAAGF//zY=")</f>
        <v>#REF!</v>
      </c>
      <c r="BD42" t="e">
        <f>AND(#REF!,"AAAAAGF//zc=")</f>
        <v>#REF!</v>
      </c>
      <c r="BE42" t="e">
        <f>AND(#REF!,"AAAAAGF//zg=")</f>
        <v>#REF!</v>
      </c>
      <c r="BF42" t="e">
        <f>AND(#REF!,"AAAAAGF//zk=")</f>
        <v>#REF!</v>
      </c>
      <c r="BG42" t="e">
        <f>AND(#REF!,"AAAAAGF//zo=")</f>
        <v>#REF!</v>
      </c>
      <c r="BH42" t="e">
        <f>AND(#REF!,"AAAAAGF//zs=")</f>
        <v>#REF!</v>
      </c>
      <c r="BI42" t="e">
        <f>AND(#REF!,"AAAAAGF//zw=")</f>
        <v>#REF!</v>
      </c>
      <c r="BJ42" t="e">
        <f>IF(#REF!,"AAAAAGF//z0=",0)</f>
        <v>#REF!</v>
      </c>
      <c r="BK42" t="e">
        <f>AND(#REF!,"AAAAAGF//z4=")</f>
        <v>#REF!</v>
      </c>
      <c r="BL42" t="e">
        <f>AND(#REF!,"AAAAAGF//z8=")</f>
        <v>#REF!</v>
      </c>
      <c r="BM42" t="e">
        <f>AND(#REF!,"AAAAAGF//0A=")</f>
        <v>#REF!</v>
      </c>
      <c r="BN42" t="e">
        <f>AND(#REF!,"AAAAAGF//0E=")</f>
        <v>#REF!</v>
      </c>
      <c r="BO42" t="e">
        <f>AND(#REF!,"AAAAAGF//0I=")</f>
        <v>#REF!</v>
      </c>
      <c r="BP42" t="e">
        <f>AND(#REF!,"AAAAAGF//0M=")</f>
        <v>#REF!</v>
      </c>
      <c r="BQ42" t="e">
        <f>AND(#REF!,"AAAAAGF//0Q=")</f>
        <v>#REF!</v>
      </c>
      <c r="BR42" t="e">
        <f>AND(#REF!,"AAAAAGF//0U=")</f>
        <v>#REF!</v>
      </c>
      <c r="BS42" t="e">
        <f>IF(#REF!,"AAAAAGF//0Y=",0)</f>
        <v>#REF!</v>
      </c>
      <c r="BT42" t="e">
        <f>AND(#REF!,"AAAAAGF//0c=")</f>
        <v>#REF!</v>
      </c>
      <c r="BU42" t="e">
        <f>AND(#REF!,"AAAAAGF//0g=")</f>
        <v>#REF!</v>
      </c>
      <c r="BV42" t="e">
        <f>AND(#REF!,"AAAAAGF//0k=")</f>
        <v>#REF!</v>
      </c>
      <c r="BW42" t="e">
        <f>AND(#REF!,"AAAAAGF//0o=")</f>
        <v>#REF!</v>
      </c>
      <c r="BX42" t="e">
        <f>AND(#REF!,"AAAAAGF//0s=")</f>
        <v>#REF!</v>
      </c>
      <c r="BY42" t="e">
        <f>AND(#REF!,"AAAAAGF//0w=")</f>
        <v>#REF!</v>
      </c>
      <c r="BZ42" t="e">
        <f>AND(#REF!,"AAAAAGF//00=")</f>
        <v>#REF!</v>
      </c>
      <c r="CA42" t="e">
        <f>AND(#REF!,"AAAAAGF//04=")</f>
        <v>#REF!</v>
      </c>
      <c r="CB42" t="e">
        <f>IF(#REF!,"AAAAAGF//08=",0)</f>
        <v>#REF!</v>
      </c>
      <c r="CC42" t="e">
        <f>AND(#REF!,"AAAAAGF//1A=")</f>
        <v>#REF!</v>
      </c>
      <c r="CD42" t="e">
        <f>AND(#REF!,"AAAAAGF//1E=")</f>
        <v>#REF!</v>
      </c>
      <c r="CE42" t="e">
        <f>AND(#REF!,"AAAAAGF//1I=")</f>
        <v>#REF!</v>
      </c>
      <c r="CF42" t="e">
        <f>AND(#REF!,"AAAAAGF//1M=")</f>
        <v>#REF!</v>
      </c>
      <c r="CG42" t="e">
        <f>AND(#REF!,"AAAAAGF//1Q=")</f>
        <v>#REF!</v>
      </c>
      <c r="CH42" t="e">
        <f>AND(#REF!,"AAAAAGF//1U=")</f>
        <v>#REF!</v>
      </c>
      <c r="CI42" t="e">
        <f>AND(#REF!,"AAAAAGF//1Y=")</f>
        <v>#REF!</v>
      </c>
      <c r="CJ42" t="e">
        <f>AND(#REF!,"AAAAAGF//1c=")</f>
        <v>#REF!</v>
      </c>
      <c r="CK42" t="e">
        <f>IF(#REF!,"AAAAAGF//1g=",0)</f>
        <v>#REF!</v>
      </c>
      <c r="CL42" t="e">
        <f>AND(#REF!,"AAAAAGF//1k=")</f>
        <v>#REF!</v>
      </c>
      <c r="CM42" t="e">
        <f>AND(#REF!,"AAAAAGF//1o=")</f>
        <v>#REF!</v>
      </c>
      <c r="CN42" t="e">
        <f>AND(#REF!,"AAAAAGF//1s=")</f>
        <v>#REF!</v>
      </c>
      <c r="CO42" t="e">
        <f>AND(#REF!,"AAAAAGF//1w=")</f>
        <v>#REF!</v>
      </c>
      <c r="CP42" t="e">
        <f>AND(#REF!,"AAAAAGF//10=")</f>
        <v>#REF!</v>
      </c>
      <c r="CQ42" t="e">
        <f>AND(#REF!,"AAAAAGF//14=")</f>
        <v>#REF!</v>
      </c>
      <c r="CR42" t="e">
        <f>AND(#REF!,"AAAAAGF//18=")</f>
        <v>#REF!</v>
      </c>
      <c r="CS42" t="e">
        <f>AND(#REF!,"AAAAAGF//2A=")</f>
        <v>#REF!</v>
      </c>
      <c r="CT42" t="e">
        <f>IF(#REF!,"AAAAAGF//2E=",0)</f>
        <v>#REF!</v>
      </c>
      <c r="CU42" t="e">
        <f>AND(#REF!,"AAAAAGF//2I=")</f>
        <v>#REF!</v>
      </c>
      <c r="CV42" t="e">
        <f>AND(#REF!,"AAAAAGF//2M=")</f>
        <v>#REF!</v>
      </c>
      <c r="CW42" t="e">
        <f>AND(#REF!,"AAAAAGF//2Q=")</f>
        <v>#REF!</v>
      </c>
      <c r="CX42" t="e">
        <f>AND(#REF!,"AAAAAGF//2U=")</f>
        <v>#REF!</v>
      </c>
      <c r="CY42" t="e">
        <f>AND(#REF!,"AAAAAGF//2Y=")</f>
        <v>#REF!</v>
      </c>
      <c r="CZ42" t="e">
        <f>AND(#REF!,"AAAAAGF//2c=")</f>
        <v>#REF!</v>
      </c>
      <c r="DA42" t="e">
        <f>AND(#REF!,"AAAAAGF//2g=")</f>
        <v>#REF!</v>
      </c>
      <c r="DB42" t="e">
        <f>AND(#REF!,"AAAAAGF//2k=")</f>
        <v>#REF!</v>
      </c>
      <c r="DC42" t="e">
        <f>IF(#REF!,"AAAAAGF//2o=",0)</f>
        <v>#REF!</v>
      </c>
      <c r="DD42" t="e">
        <f>AND(#REF!,"AAAAAGF//2s=")</f>
        <v>#REF!</v>
      </c>
      <c r="DE42" t="e">
        <f>AND(#REF!,"AAAAAGF//2w=")</f>
        <v>#REF!</v>
      </c>
      <c r="DF42" t="e">
        <f>AND(#REF!,"AAAAAGF//20=")</f>
        <v>#REF!</v>
      </c>
      <c r="DG42" t="e">
        <f>AND(#REF!,"AAAAAGF//24=")</f>
        <v>#REF!</v>
      </c>
      <c r="DH42" t="e">
        <f>AND(#REF!,"AAAAAGF//28=")</f>
        <v>#REF!</v>
      </c>
      <c r="DI42" t="e">
        <f>AND(#REF!,"AAAAAGF//3A=")</f>
        <v>#REF!</v>
      </c>
      <c r="DJ42" t="e">
        <f>AND(#REF!,"AAAAAGF//3E=")</f>
        <v>#REF!</v>
      </c>
      <c r="DK42" t="e">
        <f>AND(#REF!,"AAAAAGF//3I=")</f>
        <v>#REF!</v>
      </c>
      <c r="DL42" t="e">
        <f>IF(#REF!,"AAAAAGF//3M=",0)</f>
        <v>#REF!</v>
      </c>
      <c r="DM42" t="e">
        <f>AND(#REF!,"AAAAAGF//3Q=")</f>
        <v>#REF!</v>
      </c>
      <c r="DN42" t="e">
        <f>AND(#REF!,"AAAAAGF//3U=")</f>
        <v>#REF!</v>
      </c>
      <c r="DO42" t="e">
        <f>AND(#REF!,"AAAAAGF//3Y=")</f>
        <v>#REF!</v>
      </c>
      <c r="DP42" t="e">
        <f>AND(#REF!,"AAAAAGF//3c=")</f>
        <v>#REF!</v>
      </c>
      <c r="DQ42" t="e">
        <f>AND(#REF!,"AAAAAGF//3g=")</f>
        <v>#REF!</v>
      </c>
      <c r="DR42" t="e">
        <f>AND(#REF!,"AAAAAGF//3k=")</f>
        <v>#REF!</v>
      </c>
      <c r="DS42" t="e">
        <f>AND(#REF!,"AAAAAGF//3o=")</f>
        <v>#REF!</v>
      </c>
      <c r="DT42" t="e">
        <f>AND(#REF!,"AAAAAGF//3s=")</f>
        <v>#REF!</v>
      </c>
      <c r="DU42" t="e">
        <f>IF(#REF!,"AAAAAGF//3w=",0)</f>
        <v>#REF!</v>
      </c>
      <c r="DV42" t="e">
        <f>AND(#REF!,"AAAAAGF//30=")</f>
        <v>#REF!</v>
      </c>
      <c r="DW42" t="e">
        <f>AND(#REF!,"AAAAAGF//34=")</f>
        <v>#REF!</v>
      </c>
      <c r="DX42" t="e">
        <f>AND(#REF!,"AAAAAGF//38=")</f>
        <v>#REF!</v>
      </c>
      <c r="DY42" t="e">
        <f>AND(#REF!,"AAAAAGF//4A=")</f>
        <v>#REF!</v>
      </c>
      <c r="DZ42" t="e">
        <f>AND(#REF!,"AAAAAGF//4E=")</f>
        <v>#REF!</v>
      </c>
      <c r="EA42" t="e">
        <f>AND(#REF!,"AAAAAGF//4I=")</f>
        <v>#REF!</v>
      </c>
      <c r="EB42" t="e">
        <f>AND(#REF!,"AAAAAGF//4M=")</f>
        <v>#REF!</v>
      </c>
      <c r="EC42" t="e">
        <f>AND(#REF!,"AAAAAGF//4Q=")</f>
        <v>#REF!</v>
      </c>
      <c r="ED42" t="e">
        <f>IF(#REF!,"AAAAAGF//4U=",0)</f>
        <v>#REF!</v>
      </c>
      <c r="EE42" t="e">
        <f>AND(#REF!,"AAAAAGF//4Y=")</f>
        <v>#REF!</v>
      </c>
      <c r="EF42" t="e">
        <f>AND(#REF!,"AAAAAGF//4c=")</f>
        <v>#REF!</v>
      </c>
      <c r="EG42" t="e">
        <f>AND(#REF!,"AAAAAGF//4g=")</f>
        <v>#REF!</v>
      </c>
      <c r="EH42" t="e">
        <f>AND(#REF!,"AAAAAGF//4k=")</f>
        <v>#REF!</v>
      </c>
      <c r="EI42" t="e">
        <f>AND(#REF!,"AAAAAGF//4o=")</f>
        <v>#REF!</v>
      </c>
      <c r="EJ42" t="e">
        <f>AND(#REF!,"AAAAAGF//4s=")</f>
        <v>#REF!</v>
      </c>
      <c r="EK42" t="e">
        <f>AND(#REF!,"AAAAAGF//4w=")</f>
        <v>#REF!</v>
      </c>
      <c r="EL42" t="e">
        <f>AND(#REF!,"AAAAAGF//40=")</f>
        <v>#REF!</v>
      </c>
      <c r="EM42" t="e">
        <f>IF(#REF!,"AAAAAGF//44=",0)</f>
        <v>#REF!</v>
      </c>
      <c r="EN42" t="e">
        <f>AND(#REF!,"AAAAAGF//48=")</f>
        <v>#REF!</v>
      </c>
      <c r="EO42" t="e">
        <f>AND(#REF!,"AAAAAGF//5A=")</f>
        <v>#REF!</v>
      </c>
      <c r="EP42" t="e">
        <f>AND(#REF!,"AAAAAGF//5E=")</f>
        <v>#REF!</v>
      </c>
      <c r="EQ42" t="e">
        <f>AND(#REF!,"AAAAAGF//5I=")</f>
        <v>#REF!</v>
      </c>
      <c r="ER42" t="e">
        <f>AND(#REF!,"AAAAAGF//5M=")</f>
        <v>#REF!</v>
      </c>
      <c r="ES42" t="e">
        <f>AND(#REF!,"AAAAAGF//5Q=")</f>
        <v>#REF!</v>
      </c>
      <c r="ET42" t="e">
        <f>AND(#REF!,"AAAAAGF//5U=")</f>
        <v>#REF!</v>
      </c>
      <c r="EU42" t="e">
        <f>AND(#REF!,"AAAAAGF//5Y=")</f>
        <v>#REF!</v>
      </c>
      <c r="EV42" t="e">
        <f>IF(#REF!,"AAAAAGF//5c=",0)</f>
        <v>#REF!</v>
      </c>
      <c r="EW42" t="e">
        <f>AND(#REF!,"AAAAAGF//5g=")</f>
        <v>#REF!</v>
      </c>
      <c r="EX42" t="e">
        <f>AND(#REF!,"AAAAAGF//5k=")</f>
        <v>#REF!</v>
      </c>
      <c r="EY42" t="e">
        <f>AND(#REF!,"AAAAAGF//5o=")</f>
        <v>#REF!</v>
      </c>
      <c r="EZ42" t="e">
        <f>AND(#REF!,"AAAAAGF//5s=")</f>
        <v>#REF!</v>
      </c>
      <c r="FA42" t="e">
        <f>AND(#REF!,"AAAAAGF//5w=")</f>
        <v>#REF!</v>
      </c>
      <c r="FB42" t="e">
        <f>AND(#REF!,"AAAAAGF//50=")</f>
        <v>#REF!</v>
      </c>
      <c r="FC42" t="e">
        <f>AND(#REF!,"AAAAAGF//54=")</f>
        <v>#REF!</v>
      </c>
      <c r="FD42" t="e">
        <f>AND(#REF!,"AAAAAGF//58=")</f>
        <v>#REF!</v>
      </c>
      <c r="FE42" t="e">
        <f>IF(#REF!,"AAAAAGF//6A=",0)</f>
        <v>#REF!</v>
      </c>
      <c r="FF42" t="e">
        <f>AND(#REF!,"AAAAAGF//6E=")</f>
        <v>#REF!</v>
      </c>
      <c r="FG42" t="e">
        <f>AND(#REF!,"AAAAAGF//6I=")</f>
        <v>#REF!</v>
      </c>
      <c r="FH42" t="e">
        <f>AND(#REF!,"AAAAAGF//6M=")</f>
        <v>#REF!</v>
      </c>
      <c r="FI42" t="e">
        <f>AND(#REF!,"AAAAAGF//6Q=")</f>
        <v>#REF!</v>
      </c>
      <c r="FJ42" t="e">
        <f>AND(#REF!,"AAAAAGF//6U=")</f>
        <v>#REF!</v>
      </c>
      <c r="FK42" t="e">
        <f>AND(#REF!,"AAAAAGF//6Y=")</f>
        <v>#REF!</v>
      </c>
      <c r="FL42" t="e">
        <f>AND(#REF!,"AAAAAGF//6c=")</f>
        <v>#REF!</v>
      </c>
      <c r="FM42" t="e">
        <f>AND(#REF!,"AAAAAGF//6g=")</f>
        <v>#REF!</v>
      </c>
      <c r="FN42" t="e">
        <f>IF(#REF!,"AAAAAGF//6k=",0)</f>
        <v>#REF!</v>
      </c>
      <c r="FO42" t="e">
        <f>AND(#REF!,"AAAAAGF//6o=")</f>
        <v>#REF!</v>
      </c>
      <c r="FP42" t="e">
        <f>AND(#REF!,"AAAAAGF//6s=")</f>
        <v>#REF!</v>
      </c>
      <c r="FQ42" t="e">
        <f>AND(#REF!,"AAAAAGF//6w=")</f>
        <v>#REF!</v>
      </c>
      <c r="FR42" t="e">
        <f>AND(#REF!,"AAAAAGF//60=")</f>
        <v>#REF!</v>
      </c>
      <c r="FS42" t="e">
        <f>AND(#REF!,"AAAAAGF//64=")</f>
        <v>#REF!</v>
      </c>
      <c r="FT42" t="e">
        <f>AND(#REF!,"AAAAAGF//68=")</f>
        <v>#REF!</v>
      </c>
      <c r="FU42" t="e">
        <f>AND(#REF!,"AAAAAGF//7A=")</f>
        <v>#REF!</v>
      </c>
      <c r="FV42" t="e">
        <f>AND(#REF!,"AAAAAGF//7E=")</f>
        <v>#REF!</v>
      </c>
      <c r="FW42" t="e">
        <f>IF(#REF!,"AAAAAGF//7I=",0)</f>
        <v>#REF!</v>
      </c>
      <c r="FX42" t="e">
        <f>AND(#REF!,"AAAAAGF//7M=")</f>
        <v>#REF!</v>
      </c>
      <c r="FY42" t="e">
        <f>AND(#REF!,"AAAAAGF//7Q=")</f>
        <v>#REF!</v>
      </c>
      <c r="FZ42" t="e">
        <f>AND(#REF!,"AAAAAGF//7U=")</f>
        <v>#REF!</v>
      </c>
      <c r="GA42" t="e">
        <f>AND(#REF!,"AAAAAGF//7Y=")</f>
        <v>#REF!</v>
      </c>
      <c r="GB42" t="e">
        <f>AND(#REF!,"AAAAAGF//7c=")</f>
        <v>#REF!</v>
      </c>
      <c r="GC42" t="e">
        <f>AND(#REF!,"AAAAAGF//7g=")</f>
        <v>#REF!</v>
      </c>
      <c r="GD42" t="e">
        <f>AND(#REF!,"AAAAAGF//7k=")</f>
        <v>#REF!</v>
      </c>
      <c r="GE42" t="e">
        <f>AND(#REF!,"AAAAAGF//7o=")</f>
        <v>#REF!</v>
      </c>
      <c r="GF42" t="e">
        <f>IF(#REF!,"AAAAAGF//7s=",0)</f>
        <v>#REF!</v>
      </c>
      <c r="GG42" t="e">
        <f>AND(#REF!,"AAAAAGF//7w=")</f>
        <v>#REF!</v>
      </c>
      <c r="GH42" t="e">
        <f>AND(#REF!,"AAAAAGF//70=")</f>
        <v>#REF!</v>
      </c>
      <c r="GI42" t="e">
        <f>AND(#REF!,"AAAAAGF//74=")</f>
        <v>#REF!</v>
      </c>
      <c r="GJ42" t="e">
        <f>AND(#REF!,"AAAAAGF//78=")</f>
        <v>#REF!</v>
      </c>
      <c r="GK42" t="e">
        <f>AND(#REF!,"AAAAAGF//8A=")</f>
        <v>#REF!</v>
      </c>
      <c r="GL42" t="e">
        <f>AND(#REF!,"AAAAAGF//8E=")</f>
        <v>#REF!</v>
      </c>
      <c r="GM42" t="e">
        <f>AND(#REF!,"AAAAAGF//8I=")</f>
        <v>#REF!</v>
      </c>
      <c r="GN42" t="e">
        <f>AND(#REF!,"AAAAAGF//8M=")</f>
        <v>#REF!</v>
      </c>
      <c r="GO42" t="e">
        <f>IF(#REF!,"AAAAAGF//8Q=",0)</f>
        <v>#REF!</v>
      </c>
      <c r="GP42" t="e">
        <f>AND(#REF!,"AAAAAGF//8U=")</f>
        <v>#REF!</v>
      </c>
      <c r="GQ42" t="e">
        <f>AND(#REF!,"AAAAAGF//8Y=")</f>
        <v>#REF!</v>
      </c>
      <c r="GR42" t="e">
        <f>AND(#REF!,"AAAAAGF//8c=")</f>
        <v>#REF!</v>
      </c>
      <c r="GS42" t="e">
        <f>AND(#REF!,"AAAAAGF//8g=")</f>
        <v>#REF!</v>
      </c>
      <c r="GT42" t="e">
        <f>AND(#REF!,"AAAAAGF//8k=")</f>
        <v>#REF!</v>
      </c>
      <c r="GU42" t="e">
        <f>AND(#REF!,"AAAAAGF//8o=")</f>
        <v>#REF!</v>
      </c>
      <c r="GV42" t="e">
        <f>AND(#REF!,"AAAAAGF//8s=")</f>
        <v>#REF!</v>
      </c>
      <c r="GW42" t="e">
        <f>AND(#REF!,"AAAAAGF//8w=")</f>
        <v>#REF!</v>
      </c>
      <c r="GX42" t="e">
        <f>IF(#REF!,"AAAAAGF//80=",0)</f>
        <v>#REF!</v>
      </c>
      <c r="GY42" t="e">
        <f>AND(#REF!,"AAAAAGF//84=")</f>
        <v>#REF!</v>
      </c>
      <c r="GZ42" t="e">
        <f>AND(#REF!,"AAAAAGF//88=")</f>
        <v>#REF!</v>
      </c>
      <c r="HA42" t="e">
        <f>AND(#REF!,"AAAAAGF//9A=")</f>
        <v>#REF!</v>
      </c>
      <c r="HB42" t="e">
        <f>AND(#REF!,"AAAAAGF//9E=")</f>
        <v>#REF!</v>
      </c>
      <c r="HC42" t="e">
        <f>AND(#REF!,"AAAAAGF//9I=")</f>
        <v>#REF!</v>
      </c>
      <c r="HD42" t="e">
        <f>AND(#REF!,"AAAAAGF//9M=")</f>
        <v>#REF!</v>
      </c>
      <c r="HE42" t="e">
        <f>AND(#REF!,"AAAAAGF//9Q=")</f>
        <v>#REF!</v>
      </c>
      <c r="HF42" t="e">
        <f>AND(#REF!,"AAAAAGF//9U=")</f>
        <v>#REF!</v>
      </c>
      <c r="HG42" t="e">
        <f>IF(#REF!,"AAAAAGF//9Y=",0)</f>
        <v>#REF!</v>
      </c>
      <c r="HH42" t="e">
        <f>AND(#REF!,"AAAAAGF//9c=")</f>
        <v>#REF!</v>
      </c>
      <c r="HI42" t="e">
        <f>AND(#REF!,"AAAAAGF//9g=")</f>
        <v>#REF!</v>
      </c>
      <c r="HJ42" t="e">
        <f>AND(#REF!,"AAAAAGF//9k=")</f>
        <v>#REF!</v>
      </c>
      <c r="HK42" t="e">
        <f>AND(#REF!,"AAAAAGF//9o=")</f>
        <v>#REF!</v>
      </c>
      <c r="HL42" t="e">
        <f>AND(#REF!,"AAAAAGF//9s=")</f>
        <v>#REF!</v>
      </c>
      <c r="HM42" t="e">
        <f>AND(#REF!,"AAAAAGF//9w=")</f>
        <v>#REF!</v>
      </c>
      <c r="HN42" t="e">
        <f>AND(#REF!,"AAAAAGF//90=")</f>
        <v>#REF!</v>
      </c>
      <c r="HO42" t="e">
        <f>AND(#REF!,"AAAAAGF//94=")</f>
        <v>#REF!</v>
      </c>
      <c r="HP42" t="e">
        <f>IF(#REF!,"AAAAAGF//98=",0)</f>
        <v>#REF!</v>
      </c>
      <c r="HQ42" t="e">
        <f>AND(#REF!,"AAAAAGF//+A=")</f>
        <v>#REF!</v>
      </c>
      <c r="HR42" t="e">
        <f>AND(#REF!,"AAAAAGF//+E=")</f>
        <v>#REF!</v>
      </c>
      <c r="HS42" t="e">
        <f>AND(#REF!,"AAAAAGF//+I=")</f>
        <v>#REF!</v>
      </c>
      <c r="HT42" t="e">
        <f>AND(#REF!,"AAAAAGF//+M=")</f>
        <v>#REF!</v>
      </c>
      <c r="HU42" t="e">
        <f>AND(#REF!,"AAAAAGF//+Q=")</f>
        <v>#REF!</v>
      </c>
      <c r="HV42" t="e">
        <f>AND(#REF!,"AAAAAGF//+U=")</f>
        <v>#REF!</v>
      </c>
      <c r="HW42" t="e">
        <f>AND(#REF!,"AAAAAGF//+Y=")</f>
        <v>#REF!</v>
      </c>
      <c r="HX42" t="e">
        <f>AND(#REF!,"AAAAAGF//+c=")</f>
        <v>#REF!</v>
      </c>
      <c r="HY42" t="e">
        <f>IF(#REF!,"AAAAAGF//+g=",0)</f>
        <v>#REF!</v>
      </c>
      <c r="HZ42" t="e">
        <f>AND(#REF!,"AAAAAGF//+k=")</f>
        <v>#REF!</v>
      </c>
      <c r="IA42" t="e">
        <f>AND(#REF!,"AAAAAGF//+o=")</f>
        <v>#REF!</v>
      </c>
      <c r="IB42" t="e">
        <f>AND(#REF!,"AAAAAGF//+s=")</f>
        <v>#REF!</v>
      </c>
      <c r="IC42" t="e">
        <f>AND(#REF!,"AAAAAGF//+w=")</f>
        <v>#REF!</v>
      </c>
      <c r="ID42" t="e">
        <f>AND(#REF!,"AAAAAGF//+0=")</f>
        <v>#REF!</v>
      </c>
      <c r="IE42" t="e">
        <f>AND(#REF!,"AAAAAGF//+4=")</f>
        <v>#REF!</v>
      </c>
      <c r="IF42" t="e">
        <f>AND(#REF!,"AAAAAGF//+8=")</f>
        <v>#REF!</v>
      </c>
      <c r="IG42" t="e">
        <f>AND(#REF!,"AAAAAGF///A=")</f>
        <v>#REF!</v>
      </c>
      <c r="IH42" t="e">
        <f>IF(#REF!,"AAAAAGF///E=",0)</f>
        <v>#REF!</v>
      </c>
      <c r="II42" t="e">
        <f>AND(#REF!,"AAAAAGF///I=")</f>
        <v>#REF!</v>
      </c>
      <c r="IJ42" t="e">
        <f>AND(#REF!,"AAAAAGF///M=")</f>
        <v>#REF!</v>
      </c>
      <c r="IK42" t="e">
        <f>AND(#REF!,"AAAAAGF///Q=")</f>
        <v>#REF!</v>
      </c>
      <c r="IL42" t="e">
        <f>AND(#REF!,"AAAAAGF///U=")</f>
        <v>#REF!</v>
      </c>
      <c r="IM42" t="e">
        <f>AND(#REF!,"AAAAAGF///Y=")</f>
        <v>#REF!</v>
      </c>
      <c r="IN42" t="e">
        <f>AND(#REF!,"AAAAAGF///c=")</f>
        <v>#REF!</v>
      </c>
      <c r="IO42" t="e">
        <f>AND(#REF!,"AAAAAGF///g=")</f>
        <v>#REF!</v>
      </c>
      <c r="IP42" t="e">
        <f>AND(#REF!,"AAAAAGF///k=")</f>
        <v>#REF!</v>
      </c>
      <c r="IQ42" t="e">
        <f>IF(#REF!,"AAAAAGF///o=",0)</f>
        <v>#REF!</v>
      </c>
      <c r="IR42" t="e">
        <f>AND(#REF!,"AAAAAGF///s=")</f>
        <v>#REF!</v>
      </c>
      <c r="IS42" t="e">
        <f>AND(#REF!,"AAAAAGF///w=")</f>
        <v>#REF!</v>
      </c>
      <c r="IT42" t="e">
        <f>AND(#REF!,"AAAAAGF///0=")</f>
        <v>#REF!</v>
      </c>
      <c r="IU42" t="e">
        <f>AND(#REF!,"AAAAAGF///4=")</f>
        <v>#REF!</v>
      </c>
      <c r="IV42" t="e">
        <f>AND(#REF!,"AAAAAGF///8=")</f>
        <v>#REF!</v>
      </c>
    </row>
    <row r="43" spans="1:256">
      <c r="A43" t="e">
        <f>AND(#REF!,"AAAAAHne4wA=")</f>
        <v>#REF!</v>
      </c>
      <c r="B43" t="e">
        <f>AND(#REF!,"AAAAAHne4wE=")</f>
        <v>#REF!</v>
      </c>
      <c r="C43" t="e">
        <f>AND(#REF!,"AAAAAHne4wI=")</f>
        <v>#REF!</v>
      </c>
      <c r="D43" t="e">
        <f>IF(#REF!,"AAAAAHne4wM=",0)</f>
        <v>#REF!</v>
      </c>
      <c r="E43" t="e">
        <f>AND(#REF!,"AAAAAHne4wQ=")</f>
        <v>#REF!</v>
      </c>
      <c r="F43" t="e">
        <f>AND(#REF!,"AAAAAHne4wU=")</f>
        <v>#REF!</v>
      </c>
      <c r="G43" t="e">
        <f>AND(#REF!,"AAAAAHne4wY=")</f>
        <v>#REF!</v>
      </c>
      <c r="H43" t="e">
        <f>AND(#REF!,"AAAAAHne4wc=")</f>
        <v>#REF!</v>
      </c>
      <c r="I43" t="e">
        <f>AND(#REF!,"AAAAAHne4wg=")</f>
        <v>#REF!</v>
      </c>
      <c r="J43" t="e">
        <f>AND(#REF!,"AAAAAHne4wk=")</f>
        <v>#REF!</v>
      </c>
      <c r="K43" t="e">
        <f>AND(#REF!,"AAAAAHne4wo=")</f>
        <v>#REF!</v>
      </c>
      <c r="L43" t="e">
        <f>AND(#REF!,"AAAAAHne4ws=")</f>
        <v>#REF!</v>
      </c>
      <c r="M43" t="e">
        <f>IF(#REF!,"AAAAAHne4ww=",0)</f>
        <v>#REF!</v>
      </c>
      <c r="N43" t="e">
        <f>AND(#REF!,"AAAAAHne4w0=")</f>
        <v>#REF!</v>
      </c>
      <c r="O43" t="e">
        <f>AND(#REF!,"AAAAAHne4w4=")</f>
        <v>#REF!</v>
      </c>
      <c r="P43" t="e">
        <f>AND(#REF!,"AAAAAHne4w8=")</f>
        <v>#REF!</v>
      </c>
      <c r="Q43" t="e">
        <f>AND(#REF!,"AAAAAHne4xA=")</f>
        <v>#REF!</v>
      </c>
      <c r="R43" t="e">
        <f>AND(#REF!,"AAAAAHne4xE=")</f>
        <v>#REF!</v>
      </c>
      <c r="S43" t="e">
        <f>AND(#REF!,"AAAAAHne4xI=")</f>
        <v>#REF!</v>
      </c>
      <c r="T43" t="e">
        <f>AND(#REF!,"AAAAAHne4xM=")</f>
        <v>#REF!</v>
      </c>
      <c r="U43" t="e">
        <f>AND(#REF!,"AAAAAHne4xQ=")</f>
        <v>#REF!</v>
      </c>
      <c r="V43" t="e">
        <f>IF(#REF!,"AAAAAHne4xU=",0)</f>
        <v>#REF!</v>
      </c>
      <c r="W43" t="e">
        <f>AND(#REF!,"AAAAAHne4xY=")</f>
        <v>#REF!</v>
      </c>
      <c r="X43" t="e">
        <f>AND(#REF!,"AAAAAHne4xc=")</f>
        <v>#REF!</v>
      </c>
      <c r="Y43" t="e">
        <f>AND(#REF!,"AAAAAHne4xg=")</f>
        <v>#REF!</v>
      </c>
      <c r="Z43" t="e">
        <f>AND(#REF!,"AAAAAHne4xk=")</f>
        <v>#REF!</v>
      </c>
      <c r="AA43" t="e">
        <f>AND(#REF!,"AAAAAHne4xo=")</f>
        <v>#REF!</v>
      </c>
      <c r="AB43" t="e">
        <f>AND(#REF!,"AAAAAHne4xs=")</f>
        <v>#REF!</v>
      </c>
      <c r="AC43" t="e">
        <f>AND(#REF!,"AAAAAHne4xw=")</f>
        <v>#REF!</v>
      </c>
      <c r="AD43" t="e">
        <f>AND(#REF!,"AAAAAHne4x0=")</f>
        <v>#REF!</v>
      </c>
      <c r="AE43" t="e">
        <f>IF(#REF!,"AAAAAHne4x4=",0)</f>
        <v>#REF!</v>
      </c>
      <c r="AF43" t="e">
        <f>AND(#REF!,"AAAAAHne4x8=")</f>
        <v>#REF!</v>
      </c>
      <c r="AG43" t="e">
        <f>AND(#REF!,"AAAAAHne4yA=")</f>
        <v>#REF!</v>
      </c>
      <c r="AH43" t="e">
        <f>AND(#REF!,"AAAAAHne4yE=")</f>
        <v>#REF!</v>
      </c>
      <c r="AI43" t="e">
        <f>AND(#REF!,"AAAAAHne4yI=")</f>
        <v>#REF!</v>
      </c>
      <c r="AJ43" t="e">
        <f>AND(#REF!,"AAAAAHne4yM=")</f>
        <v>#REF!</v>
      </c>
      <c r="AK43" t="e">
        <f>AND(#REF!,"AAAAAHne4yQ=")</f>
        <v>#REF!</v>
      </c>
      <c r="AL43" t="e">
        <f>AND(#REF!,"AAAAAHne4yU=")</f>
        <v>#REF!</v>
      </c>
      <c r="AM43" t="e">
        <f>AND(#REF!,"AAAAAHne4yY=")</f>
        <v>#REF!</v>
      </c>
      <c r="AN43" t="e">
        <f>IF(#REF!,"AAAAAHne4yc=",0)</f>
        <v>#REF!</v>
      </c>
      <c r="AO43" t="e">
        <f>AND(#REF!,"AAAAAHne4yg=")</f>
        <v>#REF!</v>
      </c>
      <c r="AP43" t="e">
        <f>AND(#REF!,"AAAAAHne4yk=")</f>
        <v>#REF!</v>
      </c>
      <c r="AQ43" t="e">
        <f>AND(#REF!,"AAAAAHne4yo=")</f>
        <v>#REF!</v>
      </c>
      <c r="AR43" t="e">
        <f>AND(#REF!,"AAAAAHne4ys=")</f>
        <v>#REF!</v>
      </c>
      <c r="AS43" t="e">
        <f>AND(#REF!,"AAAAAHne4yw=")</f>
        <v>#REF!</v>
      </c>
      <c r="AT43" t="e">
        <f>AND(#REF!,"AAAAAHne4y0=")</f>
        <v>#REF!</v>
      </c>
      <c r="AU43" t="e">
        <f>AND(#REF!,"AAAAAHne4y4=")</f>
        <v>#REF!</v>
      </c>
      <c r="AV43" t="e">
        <f>AND(#REF!,"AAAAAHne4y8=")</f>
        <v>#REF!</v>
      </c>
      <c r="AW43" t="e">
        <f>IF(#REF!,"AAAAAHne4zA=",0)</f>
        <v>#REF!</v>
      </c>
      <c r="AX43" t="e">
        <f>AND(#REF!,"AAAAAHne4zE=")</f>
        <v>#REF!</v>
      </c>
      <c r="AY43" t="e">
        <f>AND(#REF!,"AAAAAHne4zI=")</f>
        <v>#REF!</v>
      </c>
      <c r="AZ43" t="e">
        <f>AND(#REF!,"AAAAAHne4zM=")</f>
        <v>#REF!</v>
      </c>
      <c r="BA43" t="e">
        <f>AND(#REF!,"AAAAAHne4zQ=")</f>
        <v>#REF!</v>
      </c>
      <c r="BB43" t="e">
        <f>AND(#REF!,"AAAAAHne4zU=")</f>
        <v>#REF!</v>
      </c>
      <c r="BC43" t="e">
        <f>AND(#REF!,"AAAAAHne4zY=")</f>
        <v>#REF!</v>
      </c>
      <c r="BD43" t="e">
        <f>AND(#REF!,"AAAAAHne4zc=")</f>
        <v>#REF!</v>
      </c>
      <c r="BE43" t="e">
        <f>AND(#REF!,"AAAAAHne4zg=")</f>
        <v>#REF!</v>
      </c>
      <c r="BF43" t="e">
        <f>IF(#REF!,"AAAAAHne4zk=",0)</f>
        <v>#REF!</v>
      </c>
      <c r="BG43" t="e">
        <f>AND(#REF!,"AAAAAHne4zo=")</f>
        <v>#REF!</v>
      </c>
      <c r="BH43" t="e">
        <f>AND(#REF!,"AAAAAHne4zs=")</f>
        <v>#REF!</v>
      </c>
      <c r="BI43" t="e">
        <f>AND(#REF!,"AAAAAHne4zw=")</f>
        <v>#REF!</v>
      </c>
      <c r="BJ43" t="e">
        <f>AND(#REF!,"AAAAAHne4z0=")</f>
        <v>#REF!</v>
      </c>
      <c r="BK43" t="e">
        <f>AND(#REF!,"AAAAAHne4z4=")</f>
        <v>#REF!</v>
      </c>
      <c r="BL43" t="e">
        <f>AND(#REF!,"AAAAAHne4z8=")</f>
        <v>#REF!</v>
      </c>
      <c r="BM43" t="e">
        <f>AND(#REF!,"AAAAAHne40A=")</f>
        <v>#REF!</v>
      </c>
      <c r="BN43" t="e">
        <f>AND(#REF!,"AAAAAHne40E=")</f>
        <v>#REF!</v>
      </c>
      <c r="BO43" t="e">
        <f>IF(#REF!,"AAAAAHne40I=",0)</f>
        <v>#REF!</v>
      </c>
      <c r="BP43" t="e">
        <f>AND(#REF!,"AAAAAHne40M=")</f>
        <v>#REF!</v>
      </c>
      <c r="BQ43" t="e">
        <f>AND(#REF!,"AAAAAHne40Q=")</f>
        <v>#REF!</v>
      </c>
      <c r="BR43" t="e">
        <f>AND(#REF!,"AAAAAHne40U=")</f>
        <v>#REF!</v>
      </c>
      <c r="BS43" t="e">
        <f>AND(#REF!,"AAAAAHne40Y=")</f>
        <v>#REF!</v>
      </c>
      <c r="BT43" t="e">
        <f>AND(#REF!,"AAAAAHne40c=")</f>
        <v>#REF!</v>
      </c>
      <c r="BU43" t="e">
        <f>AND(#REF!,"AAAAAHne40g=")</f>
        <v>#REF!</v>
      </c>
      <c r="BV43" t="e">
        <f>AND(#REF!,"AAAAAHne40k=")</f>
        <v>#REF!</v>
      </c>
      <c r="BW43" t="e">
        <f>AND(#REF!,"AAAAAHne40o=")</f>
        <v>#REF!</v>
      </c>
      <c r="BX43" t="e">
        <f>IF(#REF!,"AAAAAHne40s=",0)</f>
        <v>#REF!</v>
      </c>
      <c r="BY43" t="e">
        <f>AND(#REF!,"AAAAAHne40w=")</f>
        <v>#REF!</v>
      </c>
      <c r="BZ43" t="e">
        <f>AND(#REF!,"AAAAAHne400=")</f>
        <v>#REF!</v>
      </c>
      <c r="CA43" t="e">
        <f>AND(#REF!,"AAAAAHne404=")</f>
        <v>#REF!</v>
      </c>
      <c r="CB43" t="e">
        <f>AND(#REF!,"AAAAAHne408=")</f>
        <v>#REF!</v>
      </c>
      <c r="CC43" t="e">
        <f>AND(#REF!,"AAAAAHne41A=")</f>
        <v>#REF!</v>
      </c>
      <c r="CD43" t="e">
        <f>AND(#REF!,"AAAAAHne41E=")</f>
        <v>#REF!</v>
      </c>
      <c r="CE43" t="e">
        <f>AND(#REF!,"AAAAAHne41I=")</f>
        <v>#REF!</v>
      </c>
      <c r="CF43" t="e">
        <f>AND(#REF!,"AAAAAHne41M=")</f>
        <v>#REF!</v>
      </c>
      <c r="CG43" t="e">
        <f>IF(#REF!,"AAAAAHne41Q=",0)</f>
        <v>#REF!</v>
      </c>
      <c r="CH43" t="e">
        <f>AND(#REF!,"AAAAAHne41U=")</f>
        <v>#REF!</v>
      </c>
      <c r="CI43" t="e">
        <f>AND(#REF!,"AAAAAHne41Y=")</f>
        <v>#REF!</v>
      </c>
      <c r="CJ43" t="e">
        <f>AND(#REF!,"AAAAAHne41c=")</f>
        <v>#REF!</v>
      </c>
      <c r="CK43" t="e">
        <f>AND(#REF!,"AAAAAHne41g=")</f>
        <v>#REF!</v>
      </c>
      <c r="CL43" t="e">
        <f>AND(#REF!,"AAAAAHne41k=")</f>
        <v>#REF!</v>
      </c>
      <c r="CM43" t="e">
        <f>AND(#REF!,"AAAAAHne41o=")</f>
        <v>#REF!</v>
      </c>
      <c r="CN43" t="e">
        <f>AND(#REF!,"AAAAAHne41s=")</f>
        <v>#REF!</v>
      </c>
      <c r="CO43" t="e">
        <f>AND(#REF!,"AAAAAHne41w=")</f>
        <v>#REF!</v>
      </c>
      <c r="CP43" t="e">
        <f>IF(#REF!,"AAAAAHne410=",0)</f>
        <v>#REF!</v>
      </c>
      <c r="CQ43" t="e">
        <f>AND(#REF!,"AAAAAHne414=")</f>
        <v>#REF!</v>
      </c>
      <c r="CR43" t="e">
        <f>AND(#REF!,"AAAAAHne418=")</f>
        <v>#REF!</v>
      </c>
      <c r="CS43" t="e">
        <f>AND(#REF!,"AAAAAHne42A=")</f>
        <v>#REF!</v>
      </c>
      <c r="CT43" t="e">
        <f>AND(#REF!,"AAAAAHne42E=")</f>
        <v>#REF!</v>
      </c>
      <c r="CU43" t="e">
        <f>AND(#REF!,"AAAAAHne42I=")</f>
        <v>#REF!</v>
      </c>
      <c r="CV43" t="e">
        <f>AND(#REF!,"AAAAAHne42M=")</f>
        <v>#REF!</v>
      </c>
      <c r="CW43" t="e">
        <f>AND(#REF!,"AAAAAHne42Q=")</f>
        <v>#REF!</v>
      </c>
      <c r="CX43" t="e">
        <f>AND(#REF!,"AAAAAHne42U=")</f>
        <v>#REF!</v>
      </c>
      <c r="CY43" t="e">
        <f>IF(#REF!,"AAAAAHne42Y=",0)</f>
        <v>#REF!</v>
      </c>
      <c r="CZ43" t="e">
        <f>AND(#REF!,"AAAAAHne42c=")</f>
        <v>#REF!</v>
      </c>
      <c r="DA43" t="e">
        <f>AND(#REF!,"AAAAAHne42g=")</f>
        <v>#REF!</v>
      </c>
      <c r="DB43" t="e">
        <f>AND(#REF!,"AAAAAHne42k=")</f>
        <v>#REF!</v>
      </c>
      <c r="DC43" t="e">
        <f>AND(#REF!,"AAAAAHne42o=")</f>
        <v>#REF!</v>
      </c>
      <c r="DD43" t="e">
        <f>AND(#REF!,"AAAAAHne42s=")</f>
        <v>#REF!</v>
      </c>
      <c r="DE43" t="e">
        <f>AND(#REF!,"AAAAAHne42w=")</f>
        <v>#REF!</v>
      </c>
      <c r="DF43" t="e">
        <f>AND(#REF!,"AAAAAHne420=")</f>
        <v>#REF!</v>
      </c>
      <c r="DG43" t="e">
        <f>AND(#REF!,"AAAAAHne424=")</f>
        <v>#REF!</v>
      </c>
      <c r="DH43" t="e">
        <f>IF(#REF!,"AAAAAHne428=",0)</f>
        <v>#REF!</v>
      </c>
      <c r="DI43" t="e">
        <f>AND(#REF!,"AAAAAHne43A=")</f>
        <v>#REF!</v>
      </c>
      <c r="DJ43" t="e">
        <f>AND(#REF!,"AAAAAHne43E=")</f>
        <v>#REF!</v>
      </c>
      <c r="DK43" t="e">
        <f>AND(#REF!,"AAAAAHne43I=")</f>
        <v>#REF!</v>
      </c>
      <c r="DL43" t="e">
        <f>AND(#REF!,"AAAAAHne43M=")</f>
        <v>#REF!</v>
      </c>
      <c r="DM43" t="e">
        <f>AND(#REF!,"AAAAAHne43Q=")</f>
        <v>#REF!</v>
      </c>
      <c r="DN43" t="e">
        <f>AND(#REF!,"AAAAAHne43U=")</f>
        <v>#REF!</v>
      </c>
      <c r="DO43" t="e">
        <f>AND(#REF!,"AAAAAHne43Y=")</f>
        <v>#REF!</v>
      </c>
      <c r="DP43" t="e">
        <f>AND(#REF!,"AAAAAHne43c=")</f>
        <v>#REF!</v>
      </c>
      <c r="DQ43" t="e">
        <f>IF(#REF!,"AAAAAHne43g=",0)</f>
        <v>#REF!</v>
      </c>
      <c r="DR43" t="e">
        <f>AND(#REF!,"AAAAAHne43k=")</f>
        <v>#REF!</v>
      </c>
      <c r="DS43" t="e">
        <f>AND(#REF!,"AAAAAHne43o=")</f>
        <v>#REF!</v>
      </c>
      <c r="DT43" t="e">
        <f>AND(#REF!,"AAAAAHne43s=")</f>
        <v>#REF!</v>
      </c>
      <c r="DU43" t="e">
        <f>AND(#REF!,"AAAAAHne43w=")</f>
        <v>#REF!</v>
      </c>
      <c r="DV43" t="e">
        <f>AND(#REF!,"AAAAAHne430=")</f>
        <v>#REF!</v>
      </c>
      <c r="DW43" t="e">
        <f>AND(#REF!,"AAAAAHne434=")</f>
        <v>#REF!</v>
      </c>
      <c r="DX43" t="e">
        <f>AND(#REF!,"AAAAAHne438=")</f>
        <v>#REF!</v>
      </c>
      <c r="DY43" t="e">
        <f>AND(#REF!,"AAAAAHne44A=")</f>
        <v>#REF!</v>
      </c>
      <c r="DZ43" t="e">
        <f>IF(#REF!,"AAAAAHne44E=",0)</f>
        <v>#REF!</v>
      </c>
      <c r="EA43" t="e">
        <f>AND(#REF!,"AAAAAHne44I=")</f>
        <v>#REF!</v>
      </c>
      <c r="EB43" t="e">
        <f>AND(#REF!,"AAAAAHne44M=")</f>
        <v>#REF!</v>
      </c>
      <c r="EC43" t="e">
        <f>AND(#REF!,"AAAAAHne44Q=")</f>
        <v>#REF!</v>
      </c>
      <c r="ED43" t="e">
        <f>AND(#REF!,"AAAAAHne44U=")</f>
        <v>#REF!</v>
      </c>
      <c r="EE43" t="e">
        <f>AND(#REF!,"AAAAAHne44Y=")</f>
        <v>#REF!</v>
      </c>
      <c r="EF43" t="e">
        <f>AND(#REF!,"AAAAAHne44c=")</f>
        <v>#REF!</v>
      </c>
      <c r="EG43" t="e">
        <f>AND(#REF!,"AAAAAHne44g=")</f>
        <v>#REF!</v>
      </c>
      <c r="EH43" t="e">
        <f>AND(#REF!,"AAAAAHne44k=")</f>
        <v>#REF!</v>
      </c>
      <c r="EI43" t="e">
        <f>IF(#REF!,"AAAAAHne44o=",0)</f>
        <v>#REF!</v>
      </c>
      <c r="EJ43" t="e">
        <f>AND(#REF!,"AAAAAHne44s=")</f>
        <v>#REF!</v>
      </c>
      <c r="EK43" t="e">
        <f>AND(#REF!,"AAAAAHne44w=")</f>
        <v>#REF!</v>
      </c>
      <c r="EL43" t="e">
        <f>AND(#REF!,"AAAAAHne440=")</f>
        <v>#REF!</v>
      </c>
      <c r="EM43" t="e">
        <f>AND(#REF!,"AAAAAHne444=")</f>
        <v>#REF!</v>
      </c>
      <c r="EN43" t="e">
        <f>AND(#REF!,"AAAAAHne448=")</f>
        <v>#REF!</v>
      </c>
      <c r="EO43" t="e">
        <f>AND(#REF!,"AAAAAHne45A=")</f>
        <v>#REF!</v>
      </c>
      <c r="EP43" t="e">
        <f>AND(#REF!,"AAAAAHne45E=")</f>
        <v>#REF!</v>
      </c>
      <c r="EQ43" t="e">
        <f>AND(#REF!,"AAAAAHne45I=")</f>
        <v>#REF!</v>
      </c>
      <c r="ER43" t="e">
        <f>IF(#REF!,"AAAAAHne45M=",0)</f>
        <v>#REF!</v>
      </c>
      <c r="ES43" t="e">
        <f>AND(#REF!,"AAAAAHne45Q=")</f>
        <v>#REF!</v>
      </c>
      <c r="ET43" t="e">
        <f>AND(#REF!,"AAAAAHne45U=")</f>
        <v>#REF!</v>
      </c>
      <c r="EU43" t="e">
        <f>AND(#REF!,"AAAAAHne45Y=")</f>
        <v>#REF!</v>
      </c>
      <c r="EV43" t="e">
        <f>AND(#REF!,"AAAAAHne45c=")</f>
        <v>#REF!</v>
      </c>
      <c r="EW43" t="e">
        <f>AND(#REF!,"AAAAAHne45g=")</f>
        <v>#REF!</v>
      </c>
      <c r="EX43" t="e">
        <f>AND(#REF!,"AAAAAHne45k=")</f>
        <v>#REF!</v>
      </c>
      <c r="EY43" t="e">
        <f>AND(#REF!,"AAAAAHne45o=")</f>
        <v>#REF!</v>
      </c>
      <c r="EZ43" t="e">
        <f>AND(#REF!,"AAAAAHne45s=")</f>
        <v>#REF!</v>
      </c>
      <c r="FA43" t="e">
        <f>IF(#REF!,"AAAAAHne45w=",0)</f>
        <v>#REF!</v>
      </c>
      <c r="FB43" t="e">
        <f>AND(#REF!,"AAAAAHne450=")</f>
        <v>#REF!</v>
      </c>
      <c r="FC43" t="e">
        <f>AND(#REF!,"AAAAAHne454=")</f>
        <v>#REF!</v>
      </c>
      <c r="FD43" t="e">
        <f>AND(#REF!,"AAAAAHne458=")</f>
        <v>#REF!</v>
      </c>
      <c r="FE43" t="e">
        <f>AND(#REF!,"AAAAAHne46A=")</f>
        <v>#REF!</v>
      </c>
      <c r="FF43" t="e">
        <f>AND(#REF!,"AAAAAHne46E=")</f>
        <v>#REF!</v>
      </c>
      <c r="FG43" t="e">
        <f>AND(#REF!,"AAAAAHne46I=")</f>
        <v>#REF!</v>
      </c>
      <c r="FH43" t="e">
        <f>AND(#REF!,"AAAAAHne46M=")</f>
        <v>#REF!</v>
      </c>
      <c r="FI43" t="e">
        <f>AND(#REF!,"AAAAAHne46Q=")</f>
        <v>#REF!</v>
      </c>
      <c r="FJ43" t="e">
        <f>IF(#REF!,"AAAAAHne46U=",0)</f>
        <v>#REF!</v>
      </c>
      <c r="FK43" t="e">
        <f>AND(#REF!,"AAAAAHne46Y=")</f>
        <v>#REF!</v>
      </c>
      <c r="FL43" t="e">
        <f>AND(#REF!,"AAAAAHne46c=")</f>
        <v>#REF!</v>
      </c>
      <c r="FM43" t="e">
        <f>AND(#REF!,"AAAAAHne46g=")</f>
        <v>#REF!</v>
      </c>
      <c r="FN43" t="e">
        <f>AND(#REF!,"AAAAAHne46k=")</f>
        <v>#REF!</v>
      </c>
      <c r="FO43" t="e">
        <f>AND(#REF!,"AAAAAHne46o=")</f>
        <v>#REF!</v>
      </c>
      <c r="FP43" t="e">
        <f>AND(#REF!,"AAAAAHne46s=")</f>
        <v>#REF!</v>
      </c>
      <c r="FQ43" t="e">
        <f>AND(#REF!,"AAAAAHne46w=")</f>
        <v>#REF!</v>
      </c>
      <c r="FR43" t="e">
        <f>AND(#REF!,"AAAAAHne460=")</f>
        <v>#REF!</v>
      </c>
      <c r="FS43" t="e">
        <f>IF(#REF!,"AAAAAHne464=",0)</f>
        <v>#REF!</v>
      </c>
      <c r="FT43" t="e">
        <f>AND(#REF!,"AAAAAHne468=")</f>
        <v>#REF!</v>
      </c>
      <c r="FU43" t="e">
        <f>AND(#REF!,"AAAAAHne47A=")</f>
        <v>#REF!</v>
      </c>
      <c r="FV43" t="e">
        <f>AND(#REF!,"AAAAAHne47E=")</f>
        <v>#REF!</v>
      </c>
      <c r="FW43" t="e">
        <f>AND(#REF!,"AAAAAHne47I=")</f>
        <v>#REF!</v>
      </c>
      <c r="FX43" t="e">
        <f>AND(#REF!,"AAAAAHne47M=")</f>
        <v>#REF!</v>
      </c>
      <c r="FY43" t="e">
        <f>AND(#REF!,"AAAAAHne47Q=")</f>
        <v>#REF!</v>
      </c>
      <c r="FZ43" t="e">
        <f>AND(#REF!,"AAAAAHne47U=")</f>
        <v>#REF!</v>
      </c>
      <c r="GA43" t="e">
        <f>AND(#REF!,"AAAAAHne47Y=")</f>
        <v>#REF!</v>
      </c>
      <c r="GB43" t="e">
        <f>IF(#REF!,"AAAAAHne47c=",0)</f>
        <v>#REF!</v>
      </c>
      <c r="GC43" t="e">
        <f>AND(#REF!,"AAAAAHne47g=")</f>
        <v>#REF!</v>
      </c>
      <c r="GD43" t="e">
        <f>AND(#REF!,"AAAAAHne47k=")</f>
        <v>#REF!</v>
      </c>
      <c r="GE43" t="e">
        <f>AND(#REF!,"AAAAAHne47o=")</f>
        <v>#REF!</v>
      </c>
      <c r="GF43" t="e">
        <f>AND(#REF!,"AAAAAHne47s=")</f>
        <v>#REF!</v>
      </c>
      <c r="GG43" t="e">
        <f>AND(#REF!,"AAAAAHne47w=")</f>
        <v>#REF!</v>
      </c>
      <c r="GH43" t="e">
        <f>AND(#REF!,"AAAAAHne470=")</f>
        <v>#REF!</v>
      </c>
      <c r="GI43" t="e">
        <f>AND(#REF!,"AAAAAHne474=")</f>
        <v>#REF!</v>
      </c>
      <c r="GJ43" t="e">
        <f>AND(#REF!,"AAAAAHne478=")</f>
        <v>#REF!</v>
      </c>
      <c r="GK43" t="e">
        <f>IF(#REF!,"AAAAAHne48A=",0)</f>
        <v>#REF!</v>
      </c>
      <c r="GL43" t="e">
        <f>AND(#REF!,"AAAAAHne48E=")</f>
        <v>#REF!</v>
      </c>
      <c r="GM43" t="e">
        <f>AND(#REF!,"AAAAAHne48I=")</f>
        <v>#REF!</v>
      </c>
      <c r="GN43" t="e">
        <f>AND(#REF!,"AAAAAHne48M=")</f>
        <v>#REF!</v>
      </c>
      <c r="GO43" t="e">
        <f>AND(#REF!,"AAAAAHne48Q=")</f>
        <v>#REF!</v>
      </c>
      <c r="GP43" t="e">
        <f>AND(#REF!,"AAAAAHne48U=")</f>
        <v>#REF!</v>
      </c>
      <c r="GQ43" t="e">
        <f>AND(#REF!,"AAAAAHne48Y=")</f>
        <v>#REF!</v>
      </c>
      <c r="GR43" t="e">
        <f>AND(#REF!,"AAAAAHne48c=")</f>
        <v>#REF!</v>
      </c>
      <c r="GS43" t="e">
        <f>AND(#REF!,"AAAAAHne48g=")</f>
        <v>#REF!</v>
      </c>
      <c r="GT43" t="e">
        <f>IF(#REF!,"AAAAAHne48k=",0)</f>
        <v>#REF!</v>
      </c>
      <c r="GU43" t="e">
        <f>AND(#REF!,"AAAAAHne48o=")</f>
        <v>#REF!</v>
      </c>
      <c r="GV43" t="e">
        <f>AND(#REF!,"AAAAAHne48s=")</f>
        <v>#REF!</v>
      </c>
      <c r="GW43" t="e">
        <f>AND(#REF!,"AAAAAHne48w=")</f>
        <v>#REF!</v>
      </c>
      <c r="GX43" t="e">
        <f>AND(#REF!,"AAAAAHne480=")</f>
        <v>#REF!</v>
      </c>
      <c r="GY43" t="e">
        <f>AND(#REF!,"AAAAAHne484=")</f>
        <v>#REF!</v>
      </c>
      <c r="GZ43" t="e">
        <f>AND(#REF!,"AAAAAHne488=")</f>
        <v>#REF!</v>
      </c>
      <c r="HA43" t="e">
        <f>AND(#REF!,"AAAAAHne49A=")</f>
        <v>#REF!</v>
      </c>
      <c r="HB43" t="e">
        <f>AND(#REF!,"AAAAAHne49E=")</f>
        <v>#REF!</v>
      </c>
      <c r="HC43" t="e">
        <f>IF(#REF!,"AAAAAHne49I=",0)</f>
        <v>#REF!</v>
      </c>
      <c r="HD43" t="e">
        <f>AND(#REF!,"AAAAAHne49M=")</f>
        <v>#REF!</v>
      </c>
      <c r="HE43" t="e">
        <f>AND(#REF!,"AAAAAHne49Q=")</f>
        <v>#REF!</v>
      </c>
      <c r="HF43" t="e">
        <f>AND(#REF!,"AAAAAHne49U=")</f>
        <v>#REF!</v>
      </c>
      <c r="HG43" t="e">
        <f>AND(#REF!,"AAAAAHne49Y=")</f>
        <v>#REF!</v>
      </c>
      <c r="HH43" t="e">
        <f>AND(#REF!,"AAAAAHne49c=")</f>
        <v>#REF!</v>
      </c>
      <c r="HI43" t="e">
        <f>AND(#REF!,"AAAAAHne49g=")</f>
        <v>#REF!</v>
      </c>
      <c r="HJ43" t="e">
        <f>AND(#REF!,"AAAAAHne49k=")</f>
        <v>#REF!</v>
      </c>
      <c r="HK43" t="e">
        <f>AND(#REF!,"AAAAAHne49o=")</f>
        <v>#REF!</v>
      </c>
      <c r="HL43" t="e">
        <f>IF(#REF!,"AAAAAHne49s=",0)</f>
        <v>#REF!</v>
      </c>
      <c r="HM43" t="e">
        <f>AND(#REF!,"AAAAAHne49w=")</f>
        <v>#REF!</v>
      </c>
      <c r="HN43" t="e">
        <f>AND(#REF!,"AAAAAHne490=")</f>
        <v>#REF!</v>
      </c>
      <c r="HO43" t="e">
        <f>AND(#REF!,"AAAAAHne494=")</f>
        <v>#REF!</v>
      </c>
      <c r="HP43" t="e">
        <f>AND(#REF!,"AAAAAHne498=")</f>
        <v>#REF!</v>
      </c>
      <c r="HQ43" t="e">
        <f>AND(#REF!,"AAAAAHne4+A=")</f>
        <v>#REF!</v>
      </c>
      <c r="HR43" t="e">
        <f>AND(#REF!,"AAAAAHne4+E=")</f>
        <v>#REF!</v>
      </c>
      <c r="HS43" t="e">
        <f>AND(#REF!,"AAAAAHne4+I=")</f>
        <v>#REF!</v>
      </c>
      <c r="HT43" t="e">
        <f>AND(#REF!,"AAAAAHne4+M=")</f>
        <v>#REF!</v>
      </c>
      <c r="HU43" t="e">
        <f>IF(#REF!,"AAAAAHne4+Q=",0)</f>
        <v>#REF!</v>
      </c>
      <c r="HV43" t="e">
        <f>AND(#REF!,"AAAAAHne4+U=")</f>
        <v>#REF!</v>
      </c>
      <c r="HW43" t="e">
        <f>AND(#REF!,"AAAAAHne4+Y=")</f>
        <v>#REF!</v>
      </c>
      <c r="HX43" t="e">
        <f>AND(#REF!,"AAAAAHne4+c=")</f>
        <v>#REF!</v>
      </c>
      <c r="HY43" t="e">
        <f>AND(#REF!,"AAAAAHne4+g=")</f>
        <v>#REF!</v>
      </c>
      <c r="HZ43" t="e">
        <f>AND(#REF!,"AAAAAHne4+k=")</f>
        <v>#REF!</v>
      </c>
      <c r="IA43" t="e">
        <f>AND(#REF!,"AAAAAHne4+o=")</f>
        <v>#REF!</v>
      </c>
      <c r="IB43" t="e">
        <f>AND(#REF!,"AAAAAHne4+s=")</f>
        <v>#REF!</v>
      </c>
      <c r="IC43" t="e">
        <f>AND(#REF!,"AAAAAHne4+w=")</f>
        <v>#REF!</v>
      </c>
      <c r="ID43" t="e">
        <f>IF(#REF!,"AAAAAHne4+0=",0)</f>
        <v>#REF!</v>
      </c>
      <c r="IE43" t="e">
        <f>AND(#REF!,"AAAAAHne4+4=")</f>
        <v>#REF!</v>
      </c>
      <c r="IF43" t="e">
        <f>AND(#REF!,"AAAAAHne4+8=")</f>
        <v>#REF!</v>
      </c>
      <c r="IG43" t="e">
        <f>AND(#REF!,"AAAAAHne4/A=")</f>
        <v>#REF!</v>
      </c>
      <c r="IH43" t="e">
        <f>AND(#REF!,"AAAAAHne4/E=")</f>
        <v>#REF!</v>
      </c>
      <c r="II43" t="e">
        <f>AND(#REF!,"AAAAAHne4/I=")</f>
        <v>#REF!</v>
      </c>
      <c r="IJ43" t="e">
        <f>AND(#REF!,"AAAAAHne4/M=")</f>
        <v>#REF!</v>
      </c>
      <c r="IK43" t="e">
        <f>AND(#REF!,"AAAAAHne4/Q=")</f>
        <v>#REF!</v>
      </c>
      <c r="IL43" t="e">
        <f>AND(#REF!,"AAAAAHne4/U=")</f>
        <v>#REF!</v>
      </c>
      <c r="IM43" t="e">
        <f>IF(#REF!,"AAAAAHne4/Y=",0)</f>
        <v>#REF!</v>
      </c>
      <c r="IN43" t="e">
        <f>AND(#REF!,"AAAAAHne4/c=")</f>
        <v>#REF!</v>
      </c>
      <c r="IO43" t="e">
        <f>AND(#REF!,"AAAAAHne4/g=")</f>
        <v>#REF!</v>
      </c>
      <c r="IP43" t="e">
        <f>AND(#REF!,"AAAAAHne4/k=")</f>
        <v>#REF!</v>
      </c>
      <c r="IQ43" t="e">
        <f>AND(#REF!,"AAAAAHne4/o=")</f>
        <v>#REF!</v>
      </c>
      <c r="IR43" t="e">
        <f>AND(#REF!,"AAAAAHne4/s=")</f>
        <v>#REF!</v>
      </c>
      <c r="IS43" t="e">
        <f>AND(#REF!,"AAAAAHne4/w=")</f>
        <v>#REF!</v>
      </c>
      <c r="IT43" t="e">
        <f>AND(#REF!,"AAAAAHne4/0=")</f>
        <v>#REF!</v>
      </c>
      <c r="IU43" t="e">
        <f>AND(#REF!,"AAAAAHne4/4=")</f>
        <v>#REF!</v>
      </c>
      <c r="IV43" t="e">
        <f>IF(#REF!,"AAAAAHne4/8=",0)</f>
        <v>#REF!</v>
      </c>
    </row>
    <row r="44" spans="1:256">
      <c r="A44" t="e">
        <f>AND(#REF!,"AAAAAHu/PwA=")</f>
        <v>#REF!</v>
      </c>
      <c r="B44" t="e">
        <f>AND(#REF!,"AAAAAHu/PwE=")</f>
        <v>#REF!</v>
      </c>
      <c r="C44" t="e">
        <f>AND(#REF!,"AAAAAHu/PwI=")</f>
        <v>#REF!</v>
      </c>
      <c r="D44" t="e">
        <f>AND(#REF!,"AAAAAHu/PwM=")</f>
        <v>#REF!</v>
      </c>
      <c r="E44" t="e">
        <f>AND(#REF!,"AAAAAHu/PwQ=")</f>
        <v>#REF!</v>
      </c>
      <c r="F44" t="e">
        <f>AND(#REF!,"AAAAAHu/PwU=")</f>
        <v>#REF!</v>
      </c>
      <c r="G44" t="e">
        <f>AND(#REF!,"AAAAAHu/PwY=")</f>
        <v>#REF!</v>
      </c>
      <c r="H44" t="e">
        <f>AND(#REF!,"AAAAAHu/Pwc=")</f>
        <v>#REF!</v>
      </c>
      <c r="I44" t="e">
        <f>IF(#REF!,"AAAAAHu/Pwg=",0)</f>
        <v>#REF!</v>
      </c>
      <c r="J44" t="e">
        <f>AND(#REF!,"AAAAAHu/Pwk=")</f>
        <v>#REF!</v>
      </c>
      <c r="K44" t="e">
        <f>AND(#REF!,"AAAAAHu/Pwo=")</f>
        <v>#REF!</v>
      </c>
      <c r="L44" t="e">
        <f>AND(#REF!,"AAAAAHu/Pws=")</f>
        <v>#REF!</v>
      </c>
      <c r="M44" t="e">
        <f>AND(#REF!,"AAAAAHu/Pww=")</f>
        <v>#REF!</v>
      </c>
      <c r="N44" t="e">
        <f>AND(#REF!,"AAAAAHu/Pw0=")</f>
        <v>#REF!</v>
      </c>
      <c r="O44" t="e">
        <f>AND(#REF!,"AAAAAHu/Pw4=")</f>
        <v>#REF!</v>
      </c>
      <c r="P44" t="e">
        <f>AND(#REF!,"AAAAAHu/Pw8=")</f>
        <v>#REF!</v>
      </c>
      <c r="Q44" t="e">
        <f>AND(#REF!,"AAAAAHu/PxA=")</f>
        <v>#REF!</v>
      </c>
      <c r="R44" t="e">
        <f>IF(#REF!,"AAAAAHu/PxE=",0)</f>
        <v>#REF!</v>
      </c>
      <c r="S44" t="e">
        <f>AND(#REF!,"AAAAAHu/PxI=")</f>
        <v>#REF!</v>
      </c>
      <c r="T44" t="e">
        <f>AND(#REF!,"AAAAAHu/PxM=")</f>
        <v>#REF!</v>
      </c>
      <c r="U44" t="e">
        <f>AND(#REF!,"AAAAAHu/PxQ=")</f>
        <v>#REF!</v>
      </c>
      <c r="V44" t="e">
        <f>AND(#REF!,"AAAAAHu/PxU=")</f>
        <v>#REF!</v>
      </c>
      <c r="W44" t="e">
        <f>AND(#REF!,"AAAAAHu/PxY=")</f>
        <v>#REF!</v>
      </c>
      <c r="X44" t="e">
        <f>AND(#REF!,"AAAAAHu/Pxc=")</f>
        <v>#REF!</v>
      </c>
      <c r="Y44" t="e">
        <f>AND(#REF!,"AAAAAHu/Pxg=")</f>
        <v>#REF!</v>
      </c>
      <c r="Z44" t="e">
        <f>AND(#REF!,"AAAAAHu/Pxk=")</f>
        <v>#REF!</v>
      </c>
      <c r="AA44" t="e">
        <f>IF(#REF!,"AAAAAHu/Pxo=",0)</f>
        <v>#REF!</v>
      </c>
      <c r="AB44" t="e">
        <f>AND(#REF!,"AAAAAHu/Pxs=")</f>
        <v>#REF!</v>
      </c>
      <c r="AC44" t="e">
        <f>AND(#REF!,"AAAAAHu/Pxw=")</f>
        <v>#REF!</v>
      </c>
      <c r="AD44" t="e">
        <f>AND(#REF!,"AAAAAHu/Px0=")</f>
        <v>#REF!</v>
      </c>
      <c r="AE44" t="e">
        <f>AND(#REF!,"AAAAAHu/Px4=")</f>
        <v>#REF!</v>
      </c>
      <c r="AF44" t="e">
        <f>AND(#REF!,"AAAAAHu/Px8=")</f>
        <v>#REF!</v>
      </c>
      <c r="AG44" t="e">
        <f>AND(#REF!,"AAAAAHu/PyA=")</f>
        <v>#REF!</v>
      </c>
      <c r="AH44" t="e">
        <f>AND(#REF!,"AAAAAHu/PyE=")</f>
        <v>#REF!</v>
      </c>
      <c r="AI44" t="e">
        <f>AND(#REF!,"AAAAAHu/PyI=")</f>
        <v>#REF!</v>
      </c>
      <c r="AJ44" t="e">
        <f>IF(#REF!,"AAAAAHu/PyM=",0)</f>
        <v>#REF!</v>
      </c>
      <c r="AK44" t="e">
        <f>AND(#REF!,"AAAAAHu/PyQ=")</f>
        <v>#REF!</v>
      </c>
      <c r="AL44" t="e">
        <f>AND(#REF!,"AAAAAHu/PyU=")</f>
        <v>#REF!</v>
      </c>
      <c r="AM44" t="e">
        <f>AND(#REF!,"AAAAAHu/PyY=")</f>
        <v>#REF!</v>
      </c>
      <c r="AN44" t="e">
        <f>AND(#REF!,"AAAAAHu/Pyc=")</f>
        <v>#REF!</v>
      </c>
      <c r="AO44" t="e">
        <f>AND(#REF!,"AAAAAHu/Pyg=")</f>
        <v>#REF!</v>
      </c>
      <c r="AP44" t="e">
        <f>AND(#REF!,"AAAAAHu/Pyk=")</f>
        <v>#REF!</v>
      </c>
      <c r="AQ44" t="e">
        <f>AND(#REF!,"AAAAAHu/Pyo=")</f>
        <v>#REF!</v>
      </c>
      <c r="AR44" t="e">
        <f>AND(#REF!,"AAAAAHu/Pys=")</f>
        <v>#REF!</v>
      </c>
      <c r="AS44" t="e">
        <f>IF(#REF!,"AAAAAHu/Pyw=",0)</f>
        <v>#REF!</v>
      </c>
      <c r="AT44" t="e">
        <f>AND(#REF!,"AAAAAHu/Py0=")</f>
        <v>#REF!</v>
      </c>
      <c r="AU44" t="e">
        <f>AND(#REF!,"AAAAAHu/Py4=")</f>
        <v>#REF!</v>
      </c>
      <c r="AV44" t="e">
        <f>AND(#REF!,"AAAAAHu/Py8=")</f>
        <v>#REF!</v>
      </c>
      <c r="AW44" t="e">
        <f>AND(#REF!,"AAAAAHu/PzA=")</f>
        <v>#REF!</v>
      </c>
      <c r="AX44" t="e">
        <f>AND(#REF!,"AAAAAHu/PzE=")</f>
        <v>#REF!</v>
      </c>
      <c r="AY44" t="e">
        <f>AND(#REF!,"AAAAAHu/PzI=")</f>
        <v>#REF!</v>
      </c>
      <c r="AZ44" t="e">
        <f>AND(#REF!,"AAAAAHu/PzM=")</f>
        <v>#REF!</v>
      </c>
      <c r="BA44" t="e">
        <f>AND(#REF!,"AAAAAHu/PzQ=")</f>
        <v>#REF!</v>
      </c>
      <c r="BB44" t="e">
        <f>IF(#REF!,"AAAAAHu/PzU=",0)</f>
        <v>#REF!</v>
      </c>
      <c r="BC44" t="e">
        <f>AND(#REF!,"AAAAAHu/PzY=")</f>
        <v>#REF!</v>
      </c>
      <c r="BD44" t="e">
        <f>AND(#REF!,"AAAAAHu/Pzc=")</f>
        <v>#REF!</v>
      </c>
      <c r="BE44" t="e">
        <f>AND(#REF!,"AAAAAHu/Pzg=")</f>
        <v>#REF!</v>
      </c>
      <c r="BF44" t="e">
        <f>AND(#REF!,"AAAAAHu/Pzk=")</f>
        <v>#REF!</v>
      </c>
      <c r="BG44" t="e">
        <f>AND(#REF!,"AAAAAHu/Pzo=")</f>
        <v>#REF!</v>
      </c>
      <c r="BH44" t="e">
        <f>AND(#REF!,"AAAAAHu/Pzs=")</f>
        <v>#REF!</v>
      </c>
      <c r="BI44" t="e">
        <f>AND(#REF!,"AAAAAHu/Pzw=")</f>
        <v>#REF!</v>
      </c>
      <c r="BJ44" t="e">
        <f>AND(#REF!,"AAAAAHu/Pz0=")</f>
        <v>#REF!</v>
      </c>
      <c r="BK44" t="e">
        <f>IF(#REF!,"AAAAAHu/Pz4=",0)</f>
        <v>#REF!</v>
      </c>
      <c r="BL44" t="e">
        <f>AND(#REF!,"AAAAAHu/Pz8=")</f>
        <v>#REF!</v>
      </c>
      <c r="BM44" t="e">
        <f>AND(#REF!,"AAAAAHu/P0A=")</f>
        <v>#REF!</v>
      </c>
      <c r="BN44" t="e">
        <f>AND(#REF!,"AAAAAHu/P0E=")</f>
        <v>#REF!</v>
      </c>
      <c r="BO44" t="e">
        <f>AND(#REF!,"AAAAAHu/P0I=")</f>
        <v>#REF!</v>
      </c>
      <c r="BP44" t="e">
        <f>AND(#REF!,"AAAAAHu/P0M=")</f>
        <v>#REF!</v>
      </c>
      <c r="BQ44" t="e">
        <f>AND(#REF!,"AAAAAHu/P0Q=")</f>
        <v>#REF!</v>
      </c>
      <c r="BR44" t="e">
        <f>AND(#REF!,"AAAAAHu/P0U=")</f>
        <v>#REF!</v>
      </c>
      <c r="BS44" t="e">
        <f>AND(#REF!,"AAAAAHu/P0Y=")</f>
        <v>#REF!</v>
      </c>
      <c r="BT44" t="e">
        <f>IF(#REF!,"AAAAAHu/P0c=",0)</f>
        <v>#REF!</v>
      </c>
      <c r="BU44" t="e">
        <f>AND(#REF!,"AAAAAHu/P0g=")</f>
        <v>#REF!</v>
      </c>
      <c r="BV44" t="e">
        <f>AND(#REF!,"AAAAAHu/P0k=")</f>
        <v>#REF!</v>
      </c>
      <c r="BW44" t="e">
        <f>AND(#REF!,"AAAAAHu/P0o=")</f>
        <v>#REF!</v>
      </c>
      <c r="BX44" t="e">
        <f>AND(#REF!,"AAAAAHu/P0s=")</f>
        <v>#REF!</v>
      </c>
      <c r="BY44" t="e">
        <f>AND(#REF!,"AAAAAHu/P0w=")</f>
        <v>#REF!</v>
      </c>
      <c r="BZ44" t="e">
        <f>AND(#REF!,"AAAAAHu/P00=")</f>
        <v>#REF!</v>
      </c>
      <c r="CA44" t="e">
        <f>AND(#REF!,"AAAAAHu/P04=")</f>
        <v>#REF!</v>
      </c>
      <c r="CB44" t="e">
        <f>AND(#REF!,"AAAAAHu/P08=")</f>
        <v>#REF!</v>
      </c>
      <c r="CC44" t="e">
        <f>IF(#REF!,"AAAAAHu/P1A=",0)</f>
        <v>#REF!</v>
      </c>
      <c r="CD44" t="e">
        <f>AND(#REF!,"AAAAAHu/P1E=")</f>
        <v>#REF!</v>
      </c>
      <c r="CE44" t="e">
        <f>AND(#REF!,"AAAAAHu/P1I=")</f>
        <v>#REF!</v>
      </c>
      <c r="CF44" t="e">
        <f>AND(#REF!,"AAAAAHu/P1M=")</f>
        <v>#REF!</v>
      </c>
      <c r="CG44" t="e">
        <f>AND(#REF!,"AAAAAHu/P1Q=")</f>
        <v>#REF!</v>
      </c>
      <c r="CH44" t="e">
        <f>AND(#REF!,"AAAAAHu/P1U=")</f>
        <v>#REF!</v>
      </c>
      <c r="CI44" t="e">
        <f>AND(#REF!,"AAAAAHu/P1Y=")</f>
        <v>#REF!</v>
      </c>
      <c r="CJ44" t="e">
        <f>AND(#REF!,"AAAAAHu/P1c=")</f>
        <v>#REF!</v>
      </c>
      <c r="CK44" t="e">
        <f>AND(#REF!,"AAAAAHu/P1g=")</f>
        <v>#REF!</v>
      </c>
      <c r="CL44" t="e">
        <f>IF(#REF!,"AAAAAHu/P1k=",0)</f>
        <v>#REF!</v>
      </c>
      <c r="CM44" t="e">
        <f>AND(#REF!,"AAAAAHu/P1o=")</f>
        <v>#REF!</v>
      </c>
      <c r="CN44" t="e">
        <f>AND(#REF!,"AAAAAHu/P1s=")</f>
        <v>#REF!</v>
      </c>
      <c r="CO44" t="e">
        <f>AND(#REF!,"AAAAAHu/P1w=")</f>
        <v>#REF!</v>
      </c>
      <c r="CP44" t="e">
        <f>AND(#REF!,"AAAAAHu/P10=")</f>
        <v>#REF!</v>
      </c>
      <c r="CQ44" t="e">
        <f>AND(#REF!,"AAAAAHu/P14=")</f>
        <v>#REF!</v>
      </c>
      <c r="CR44" t="e">
        <f>AND(#REF!,"AAAAAHu/P18=")</f>
        <v>#REF!</v>
      </c>
      <c r="CS44" t="e">
        <f>AND(#REF!,"AAAAAHu/P2A=")</f>
        <v>#REF!</v>
      </c>
      <c r="CT44" t="e">
        <f>AND(#REF!,"AAAAAHu/P2E=")</f>
        <v>#REF!</v>
      </c>
      <c r="CU44" t="e">
        <f>IF(#REF!,"AAAAAHu/P2I=",0)</f>
        <v>#REF!</v>
      </c>
      <c r="CV44" t="e">
        <f>AND(#REF!,"AAAAAHu/P2M=")</f>
        <v>#REF!</v>
      </c>
      <c r="CW44" t="e">
        <f>AND(#REF!,"AAAAAHu/P2Q=")</f>
        <v>#REF!</v>
      </c>
      <c r="CX44" t="e">
        <f>AND(#REF!,"AAAAAHu/P2U=")</f>
        <v>#REF!</v>
      </c>
      <c r="CY44" t="e">
        <f>AND(#REF!,"AAAAAHu/P2Y=")</f>
        <v>#REF!</v>
      </c>
      <c r="CZ44" t="e">
        <f>AND(#REF!,"AAAAAHu/P2c=")</f>
        <v>#REF!</v>
      </c>
      <c r="DA44" t="e">
        <f>AND(#REF!,"AAAAAHu/P2g=")</f>
        <v>#REF!</v>
      </c>
      <c r="DB44" t="e">
        <f>AND(#REF!,"AAAAAHu/P2k=")</f>
        <v>#REF!</v>
      </c>
      <c r="DC44" t="e">
        <f>AND(#REF!,"AAAAAHu/P2o=")</f>
        <v>#REF!</v>
      </c>
      <c r="DD44" t="e">
        <f>IF(#REF!,"AAAAAHu/P2s=",0)</f>
        <v>#REF!</v>
      </c>
      <c r="DE44" t="e">
        <f>AND(#REF!,"AAAAAHu/P2w=")</f>
        <v>#REF!</v>
      </c>
      <c r="DF44" t="e">
        <f>AND(#REF!,"AAAAAHu/P20=")</f>
        <v>#REF!</v>
      </c>
      <c r="DG44" t="e">
        <f>AND(#REF!,"AAAAAHu/P24=")</f>
        <v>#REF!</v>
      </c>
      <c r="DH44" t="e">
        <f>AND(#REF!,"AAAAAHu/P28=")</f>
        <v>#REF!</v>
      </c>
      <c r="DI44" t="e">
        <f>AND(#REF!,"AAAAAHu/P3A=")</f>
        <v>#REF!</v>
      </c>
      <c r="DJ44" t="e">
        <f>AND(#REF!,"AAAAAHu/P3E=")</f>
        <v>#REF!</v>
      </c>
      <c r="DK44" t="e">
        <f>AND(#REF!,"AAAAAHu/P3I=")</f>
        <v>#REF!</v>
      </c>
      <c r="DL44" t="e">
        <f>AND(#REF!,"AAAAAHu/P3M=")</f>
        <v>#REF!</v>
      </c>
      <c r="DM44" t="e">
        <f>IF(#REF!,"AAAAAHu/P3Q=",0)</f>
        <v>#REF!</v>
      </c>
      <c r="DN44" t="e">
        <f>AND(#REF!,"AAAAAHu/P3U=")</f>
        <v>#REF!</v>
      </c>
      <c r="DO44" t="e">
        <f>AND(#REF!,"AAAAAHu/P3Y=")</f>
        <v>#REF!</v>
      </c>
      <c r="DP44" t="e">
        <f>AND(#REF!,"AAAAAHu/P3c=")</f>
        <v>#REF!</v>
      </c>
      <c r="DQ44" t="e">
        <f>AND(#REF!,"AAAAAHu/P3g=")</f>
        <v>#REF!</v>
      </c>
      <c r="DR44" t="e">
        <f>AND(#REF!,"AAAAAHu/P3k=")</f>
        <v>#REF!</v>
      </c>
      <c r="DS44" t="e">
        <f>AND(#REF!,"AAAAAHu/P3o=")</f>
        <v>#REF!</v>
      </c>
      <c r="DT44" t="e">
        <f>AND(#REF!,"AAAAAHu/P3s=")</f>
        <v>#REF!</v>
      </c>
      <c r="DU44" t="e">
        <f>AND(#REF!,"AAAAAHu/P3w=")</f>
        <v>#REF!</v>
      </c>
      <c r="DV44" t="e">
        <f>IF(#REF!,"AAAAAHu/P30=",0)</f>
        <v>#REF!</v>
      </c>
      <c r="DW44" t="e">
        <f>AND(#REF!,"AAAAAHu/P34=")</f>
        <v>#REF!</v>
      </c>
      <c r="DX44" t="e">
        <f>AND(#REF!,"AAAAAHu/P38=")</f>
        <v>#REF!</v>
      </c>
      <c r="DY44" t="e">
        <f>AND(#REF!,"AAAAAHu/P4A=")</f>
        <v>#REF!</v>
      </c>
      <c r="DZ44" t="e">
        <f>AND(#REF!,"AAAAAHu/P4E=")</f>
        <v>#REF!</v>
      </c>
      <c r="EA44" t="e">
        <f>AND(#REF!,"AAAAAHu/P4I=")</f>
        <v>#REF!</v>
      </c>
      <c r="EB44" t="e">
        <f>AND(#REF!,"AAAAAHu/P4M=")</f>
        <v>#REF!</v>
      </c>
      <c r="EC44" t="e">
        <f>AND(#REF!,"AAAAAHu/P4Q=")</f>
        <v>#REF!</v>
      </c>
      <c r="ED44" t="e">
        <f>AND(#REF!,"AAAAAHu/P4U=")</f>
        <v>#REF!</v>
      </c>
      <c r="EE44" t="e">
        <f>IF(#REF!,"AAAAAHu/P4Y=",0)</f>
        <v>#REF!</v>
      </c>
      <c r="EF44" t="e">
        <f>AND(#REF!,"AAAAAHu/P4c=")</f>
        <v>#REF!</v>
      </c>
      <c r="EG44" t="e">
        <f>AND(#REF!,"AAAAAHu/P4g=")</f>
        <v>#REF!</v>
      </c>
      <c r="EH44" t="e">
        <f>AND(#REF!,"AAAAAHu/P4k=")</f>
        <v>#REF!</v>
      </c>
      <c r="EI44" t="e">
        <f>AND(#REF!,"AAAAAHu/P4o=")</f>
        <v>#REF!</v>
      </c>
      <c r="EJ44" t="e">
        <f>AND(#REF!,"AAAAAHu/P4s=")</f>
        <v>#REF!</v>
      </c>
      <c r="EK44" t="e">
        <f>AND(#REF!,"AAAAAHu/P4w=")</f>
        <v>#REF!</v>
      </c>
      <c r="EL44" t="e">
        <f>AND(#REF!,"AAAAAHu/P40=")</f>
        <v>#REF!</v>
      </c>
      <c r="EM44" t="e">
        <f>AND(#REF!,"AAAAAHu/P44=")</f>
        <v>#REF!</v>
      </c>
      <c r="EN44" t="e">
        <f>IF(#REF!,"AAAAAHu/P48=",0)</f>
        <v>#REF!</v>
      </c>
      <c r="EO44" t="e">
        <f>AND(#REF!,"AAAAAHu/P5A=")</f>
        <v>#REF!</v>
      </c>
      <c r="EP44" t="e">
        <f>AND(#REF!,"AAAAAHu/P5E=")</f>
        <v>#REF!</v>
      </c>
      <c r="EQ44" t="e">
        <f>AND(#REF!,"AAAAAHu/P5I=")</f>
        <v>#REF!</v>
      </c>
      <c r="ER44" t="e">
        <f>AND(#REF!,"AAAAAHu/P5M=")</f>
        <v>#REF!</v>
      </c>
      <c r="ES44" t="e">
        <f>AND(#REF!,"AAAAAHu/P5Q=")</f>
        <v>#REF!</v>
      </c>
      <c r="ET44" t="e">
        <f>AND(#REF!,"AAAAAHu/P5U=")</f>
        <v>#REF!</v>
      </c>
      <c r="EU44" t="e">
        <f>AND(#REF!,"AAAAAHu/P5Y=")</f>
        <v>#REF!</v>
      </c>
      <c r="EV44" t="e">
        <f>AND(#REF!,"AAAAAHu/P5c=")</f>
        <v>#REF!</v>
      </c>
      <c r="EW44" t="e">
        <f>IF(#REF!,"AAAAAHu/P5g=",0)</f>
        <v>#REF!</v>
      </c>
      <c r="EX44" t="e">
        <f>AND(#REF!,"AAAAAHu/P5k=")</f>
        <v>#REF!</v>
      </c>
      <c r="EY44" t="e">
        <f>AND(#REF!,"AAAAAHu/P5o=")</f>
        <v>#REF!</v>
      </c>
      <c r="EZ44" t="e">
        <f>AND(#REF!,"AAAAAHu/P5s=")</f>
        <v>#REF!</v>
      </c>
      <c r="FA44" t="e">
        <f>AND(#REF!,"AAAAAHu/P5w=")</f>
        <v>#REF!</v>
      </c>
      <c r="FB44" t="e">
        <f>AND(#REF!,"AAAAAHu/P50=")</f>
        <v>#REF!</v>
      </c>
      <c r="FC44" t="e">
        <f>AND(#REF!,"AAAAAHu/P54=")</f>
        <v>#REF!</v>
      </c>
      <c r="FD44" t="e">
        <f>AND(#REF!,"AAAAAHu/P58=")</f>
        <v>#REF!</v>
      </c>
      <c r="FE44" t="e">
        <f>AND(#REF!,"AAAAAHu/P6A=")</f>
        <v>#REF!</v>
      </c>
      <c r="FF44" t="e">
        <f>IF(#REF!,"AAAAAHu/P6E=",0)</f>
        <v>#REF!</v>
      </c>
      <c r="FG44" t="e">
        <f>AND(#REF!,"AAAAAHu/P6I=")</f>
        <v>#REF!</v>
      </c>
      <c r="FH44" t="e">
        <f>AND(#REF!,"AAAAAHu/P6M=")</f>
        <v>#REF!</v>
      </c>
      <c r="FI44" t="e">
        <f>AND(#REF!,"AAAAAHu/P6Q=")</f>
        <v>#REF!</v>
      </c>
      <c r="FJ44" t="e">
        <f>AND(#REF!,"AAAAAHu/P6U=")</f>
        <v>#REF!</v>
      </c>
      <c r="FK44" t="e">
        <f>AND(#REF!,"AAAAAHu/P6Y=")</f>
        <v>#REF!</v>
      </c>
      <c r="FL44" t="e">
        <f>AND(#REF!,"AAAAAHu/P6c=")</f>
        <v>#REF!</v>
      </c>
      <c r="FM44" t="e">
        <f>AND(#REF!,"AAAAAHu/P6g=")</f>
        <v>#REF!</v>
      </c>
      <c r="FN44" t="e">
        <f>AND(#REF!,"AAAAAHu/P6k=")</f>
        <v>#REF!</v>
      </c>
      <c r="FO44" t="e">
        <f>IF(#REF!,"AAAAAHu/P6o=",0)</f>
        <v>#REF!</v>
      </c>
      <c r="FP44" t="e">
        <f>AND(#REF!,"AAAAAHu/P6s=")</f>
        <v>#REF!</v>
      </c>
      <c r="FQ44" t="e">
        <f>AND(#REF!,"AAAAAHu/P6w=")</f>
        <v>#REF!</v>
      </c>
      <c r="FR44" t="e">
        <f>AND(#REF!,"AAAAAHu/P60=")</f>
        <v>#REF!</v>
      </c>
      <c r="FS44" t="e">
        <f>AND(#REF!,"AAAAAHu/P64=")</f>
        <v>#REF!</v>
      </c>
      <c r="FT44" t="e">
        <f>AND(#REF!,"AAAAAHu/P68=")</f>
        <v>#REF!</v>
      </c>
      <c r="FU44" t="e">
        <f>AND(#REF!,"AAAAAHu/P7A=")</f>
        <v>#REF!</v>
      </c>
      <c r="FV44" t="e">
        <f>AND(#REF!,"AAAAAHu/P7E=")</f>
        <v>#REF!</v>
      </c>
      <c r="FW44" t="e">
        <f>AND(#REF!,"AAAAAHu/P7I=")</f>
        <v>#REF!</v>
      </c>
      <c r="FX44" t="e">
        <f>IF(#REF!,"AAAAAHu/P7M=",0)</f>
        <v>#REF!</v>
      </c>
      <c r="FY44" t="e">
        <f>AND(#REF!,"AAAAAHu/P7Q=")</f>
        <v>#REF!</v>
      </c>
      <c r="FZ44" t="e">
        <f>AND(#REF!,"AAAAAHu/P7U=")</f>
        <v>#REF!</v>
      </c>
      <c r="GA44" t="e">
        <f>AND(#REF!,"AAAAAHu/P7Y=")</f>
        <v>#REF!</v>
      </c>
      <c r="GB44" t="e">
        <f>AND(#REF!,"AAAAAHu/P7c=")</f>
        <v>#REF!</v>
      </c>
      <c r="GC44" t="e">
        <f>AND(#REF!,"AAAAAHu/P7g=")</f>
        <v>#REF!</v>
      </c>
      <c r="GD44" t="e">
        <f>AND(#REF!,"AAAAAHu/P7k=")</f>
        <v>#REF!</v>
      </c>
      <c r="GE44" t="e">
        <f>AND(#REF!,"AAAAAHu/P7o=")</f>
        <v>#REF!</v>
      </c>
      <c r="GF44" t="e">
        <f>AND(#REF!,"AAAAAHu/P7s=")</f>
        <v>#REF!</v>
      </c>
      <c r="GG44" t="e">
        <f>IF(#REF!,"AAAAAHu/P7w=",0)</f>
        <v>#REF!</v>
      </c>
      <c r="GH44" t="e">
        <f>AND(#REF!,"AAAAAHu/P70=")</f>
        <v>#REF!</v>
      </c>
      <c r="GI44" t="e">
        <f>AND(#REF!,"AAAAAHu/P74=")</f>
        <v>#REF!</v>
      </c>
      <c r="GJ44" t="e">
        <f>AND(#REF!,"AAAAAHu/P78=")</f>
        <v>#REF!</v>
      </c>
      <c r="GK44" t="e">
        <f>AND(#REF!,"AAAAAHu/P8A=")</f>
        <v>#REF!</v>
      </c>
      <c r="GL44" t="e">
        <f>AND(#REF!,"AAAAAHu/P8E=")</f>
        <v>#REF!</v>
      </c>
      <c r="GM44" t="e">
        <f>AND(#REF!,"AAAAAHu/P8I=")</f>
        <v>#REF!</v>
      </c>
      <c r="GN44" t="e">
        <f>AND(#REF!,"AAAAAHu/P8M=")</f>
        <v>#REF!</v>
      </c>
      <c r="GO44" t="e">
        <f>AND(#REF!,"AAAAAHu/P8Q=")</f>
        <v>#REF!</v>
      </c>
      <c r="GP44" t="e">
        <f>IF(#REF!,"AAAAAHu/P8U=",0)</f>
        <v>#REF!</v>
      </c>
      <c r="GQ44" t="e">
        <f>AND(#REF!,"AAAAAHu/P8Y=")</f>
        <v>#REF!</v>
      </c>
      <c r="GR44" t="e">
        <f>AND(#REF!,"AAAAAHu/P8c=")</f>
        <v>#REF!</v>
      </c>
      <c r="GS44" t="e">
        <f>AND(#REF!,"AAAAAHu/P8g=")</f>
        <v>#REF!</v>
      </c>
      <c r="GT44" t="e">
        <f>AND(#REF!,"AAAAAHu/P8k=")</f>
        <v>#REF!</v>
      </c>
      <c r="GU44" t="e">
        <f>AND(#REF!,"AAAAAHu/P8o=")</f>
        <v>#REF!</v>
      </c>
      <c r="GV44" t="e">
        <f>AND(#REF!,"AAAAAHu/P8s=")</f>
        <v>#REF!</v>
      </c>
      <c r="GW44" t="e">
        <f>AND(#REF!,"AAAAAHu/P8w=")</f>
        <v>#REF!</v>
      </c>
      <c r="GX44" t="e">
        <f>AND(#REF!,"AAAAAHu/P80=")</f>
        <v>#REF!</v>
      </c>
      <c r="GY44" t="e">
        <f>IF(#REF!,"AAAAAHu/P84=",0)</f>
        <v>#REF!</v>
      </c>
      <c r="GZ44" t="e">
        <f>AND(#REF!,"AAAAAHu/P88=")</f>
        <v>#REF!</v>
      </c>
      <c r="HA44" t="e">
        <f>AND(#REF!,"AAAAAHu/P9A=")</f>
        <v>#REF!</v>
      </c>
      <c r="HB44" t="e">
        <f>AND(#REF!,"AAAAAHu/P9E=")</f>
        <v>#REF!</v>
      </c>
      <c r="HC44" t="e">
        <f>AND(#REF!,"AAAAAHu/P9I=")</f>
        <v>#REF!</v>
      </c>
      <c r="HD44" t="e">
        <f>AND(#REF!,"AAAAAHu/P9M=")</f>
        <v>#REF!</v>
      </c>
      <c r="HE44" t="e">
        <f>AND(#REF!,"AAAAAHu/P9Q=")</f>
        <v>#REF!</v>
      </c>
      <c r="HF44" t="e">
        <f>AND(#REF!,"AAAAAHu/P9U=")</f>
        <v>#REF!</v>
      </c>
      <c r="HG44" t="e">
        <f>AND(#REF!,"AAAAAHu/P9Y=")</f>
        <v>#REF!</v>
      </c>
      <c r="HH44" t="e">
        <f>IF(#REF!,"AAAAAHu/P9c=",0)</f>
        <v>#REF!</v>
      </c>
      <c r="HI44" t="e">
        <f>AND(#REF!,"AAAAAHu/P9g=")</f>
        <v>#REF!</v>
      </c>
      <c r="HJ44" t="e">
        <f>AND(#REF!,"AAAAAHu/P9k=")</f>
        <v>#REF!</v>
      </c>
      <c r="HK44" t="e">
        <f>AND(#REF!,"AAAAAHu/P9o=")</f>
        <v>#REF!</v>
      </c>
      <c r="HL44" t="e">
        <f>AND(#REF!,"AAAAAHu/P9s=")</f>
        <v>#REF!</v>
      </c>
      <c r="HM44" t="e">
        <f>AND(#REF!,"AAAAAHu/P9w=")</f>
        <v>#REF!</v>
      </c>
      <c r="HN44" t="e">
        <f>AND(#REF!,"AAAAAHu/P90=")</f>
        <v>#REF!</v>
      </c>
      <c r="HO44" t="e">
        <f>AND(#REF!,"AAAAAHu/P94=")</f>
        <v>#REF!</v>
      </c>
      <c r="HP44" t="e">
        <f>AND(#REF!,"AAAAAHu/P98=")</f>
        <v>#REF!</v>
      </c>
      <c r="HQ44" t="e">
        <f>IF(#REF!,"AAAAAHu/P+A=",0)</f>
        <v>#REF!</v>
      </c>
      <c r="HR44" t="e">
        <f>AND(#REF!,"AAAAAHu/P+E=")</f>
        <v>#REF!</v>
      </c>
      <c r="HS44" t="e">
        <f>AND(#REF!,"AAAAAHu/P+I=")</f>
        <v>#REF!</v>
      </c>
      <c r="HT44" t="e">
        <f>AND(#REF!,"AAAAAHu/P+M=")</f>
        <v>#REF!</v>
      </c>
      <c r="HU44" t="e">
        <f>AND(#REF!,"AAAAAHu/P+Q=")</f>
        <v>#REF!</v>
      </c>
      <c r="HV44" t="e">
        <f>AND(#REF!,"AAAAAHu/P+U=")</f>
        <v>#REF!</v>
      </c>
      <c r="HW44" t="e">
        <f>AND(#REF!,"AAAAAHu/P+Y=")</f>
        <v>#REF!</v>
      </c>
      <c r="HX44" t="e">
        <f>AND(#REF!,"AAAAAHu/P+c=")</f>
        <v>#REF!</v>
      </c>
      <c r="HY44" t="e">
        <f>AND(#REF!,"AAAAAHu/P+g=")</f>
        <v>#REF!</v>
      </c>
      <c r="HZ44" t="e">
        <f>IF(#REF!,"AAAAAHu/P+k=",0)</f>
        <v>#REF!</v>
      </c>
      <c r="IA44" t="e">
        <f>AND(#REF!,"AAAAAHu/P+o=")</f>
        <v>#REF!</v>
      </c>
      <c r="IB44" t="e">
        <f>AND(#REF!,"AAAAAHu/P+s=")</f>
        <v>#REF!</v>
      </c>
      <c r="IC44" t="e">
        <f>AND(#REF!,"AAAAAHu/P+w=")</f>
        <v>#REF!</v>
      </c>
      <c r="ID44" t="e">
        <f>AND(#REF!,"AAAAAHu/P+0=")</f>
        <v>#REF!</v>
      </c>
      <c r="IE44" t="e">
        <f>AND(#REF!,"AAAAAHu/P+4=")</f>
        <v>#REF!</v>
      </c>
      <c r="IF44" t="e">
        <f>AND(#REF!,"AAAAAHu/P+8=")</f>
        <v>#REF!</v>
      </c>
      <c r="IG44" t="e">
        <f>AND(#REF!,"AAAAAHu/P/A=")</f>
        <v>#REF!</v>
      </c>
      <c r="IH44" t="e">
        <f>AND(#REF!,"AAAAAHu/P/E=")</f>
        <v>#REF!</v>
      </c>
      <c r="II44" t="e">
        <f>IF(#REF!,"AAAAAHu/P/I=",0)</f>
        <v>#REF!</v>
      </c>
      <c r="IJ44" t="e">
        <f>AND(#REF!,"AAAAAHu/P/M=")</f>
        <v>#REF!</v>
      </c>
      <c r="IK44" t="e">
        <f>AND(#REF!,"AAAAAHu/P/Q=")</f>
        <v>#REF!</v>
      </c>
      <c r="IL44" t="e">
        <f>AND(#REF!,"AAAAAHu/P/U=")</f>
        <v>#REF!</v>
      </c>
      <c r="IM44" t="e">
        <f>AND(#REF!,"AAAAAHu/P/Y=")</f>
        <v>#REF!</v>
      </c>
      <c r="IN44" t="e">
        <f>AND(#REF!,"AAAAAHu/P/c=")</f>
        <v>#REF!</v>
      </c>
      <c r="IO44" t="e">
        <f>AND(#REF!,"AAAAAHu/P/g=")</f>
        <v>#REF!</v>
      </c>
      <c r="IP44" t="e">
        <f>AND(#REF!,"AAAAAHu/P/k=")</f>
        <v>#REF!</v>
      </c>
      <c r="IQ44" t="e">
        <f>AND(#REF!,"AAAAAHu/P/o=")</f>
        <v>#REF!</v>
      </c>
      <c r="IR44" t="e">
        <f>IF(#REF!,"AAAAAHu/P/s=",0)</f>
        <v>#REF!</v>
      </c>
      <c r="IS44" t="e">
        <f>AND(#REF!,"AAAAAHu/P/w=")</f>
        <v>#REF!</v>
      </c>
      <c r="IT44" t="e">
        <f>AND(#REF!,"AAAAAHu/P/0=")</f>
        <v>#REF!</v>
      </c>
      <c r="IU44" t="e">
        <f>AND(#REF!,"AAAAAHu/P/4=")</f>
        <v>#REF!</v>
      </c>
      <c r="IV44" t="e">
        <f>AND(#REF!,"AAAAAHu/P/8=")</f>
        <v>#REF!</v>
      </c>
    </row>
    <row r="45" spans="1:256">
      <c r="A45" t="e">
        <f>AND(#REF!,"AAAAAHm+7gA=")</f>
        <v>#REF!</v>
      </c>
      <c r="B45" t="e">
        <f>AND(#REF!,"AAAAAHm+7gE=")</f>
        <v>#REF!</v>
      </c>
      <c r="C45" t="e">
        <f>AND(#REF!,"AAAAAHm+7gI=")</f>
        <v>#REF!</v>
      </c>
      <c r="D45" t="e">
        <f>AND(#REF!,"AAAAAHm+7gM=")</f>
        <v>#REF!</v>
      </c>
      <c r="E45" t="e">
        <f>IF(#REF!,"AAAAAHm+7gQ=",0)</f>
        <v>#REF!</v>
      </c>
      <c r="F45" t="e">
        <f>AND(#REF!,"AAAAAHm+7gU=")</f>
        <v>#REF!</v>
      </c>
      <c r="G45" t="e">
        <f>AND(#REF!,"AAAAAHm+7gY=")</f>
        <v>#REF!</v>
      </c>
      <c r="H45" t="e">
        <f>AND(#REF!,"AAAAAHm+7gc=")</f>
        <v>#REF!</v>
      </c>
      <c r="I45" t="e">
        <f>AND(#REF!,"AAAAAHm+7gg=")</f>
        <v>#REF!</v>
      </c>
      <c r="J45" t="e">
        <f>AND(#REF!,"AAAAAHm+7gk=")</f>
        <v>#REF!</v>
      </c>
      <c r="K45" t="e">
        <f>AND(#REF!,"AAAAAHm+7go=")</f>
        <v>#REF!</v>
      </c>
      <c r="L45" t="e">
        <f>AND(#REF!,"AAAAAHm+7gs=")</f>
        <v>#REF!</v>
      </c>
      <c r="M45" t="e">
        <f>AND(#REF!,"AAAAAHm+7gw=")</f>
        <v>#REF!</v>
      </c>
      <c r="N45" t="e">
        <f>IF(#REF!,"AAAAAHm+7g0=",0)</f>
        <v>#REF!</v>
      </c>
      <c r="O45" t="e">
        <f>AND(#REF!,"AAAAAHm+7g4=")</f>
        <v>#REF!</v>
      </c>
      <c r="P45" t="e">
        <f>AND(#REF!,"AAAAAHm+7g8=")</f>
        <v>#REF!</v>
      </c>
      <c r="Q45" t="e">
        <f>AND(#REF!,"AAAAAHm+7hA=")</f>
        <v>#REF!</v>
      </c>
      <c r="R45" t="e">
        <f>AND(#REF!,"AAAAAHm+7hE=")</f>
        <v>#REF!</v>
      </c>
      <c r="S45" t="e">
        <f>AND(#REF!,"AAAAAHm+7hI=")</f>
        <v>#REF!</v>
      </c>
      <c r="T45" t="e">
        <f>AND(#REF!,"AAAAAHm+7hM=")</f>
        <v>#REF!</v>
      </c>
      <c r="U45" t="e">
        <f>AND(#REF!,"AAAAAHm+7hQ=")</f>
        <v>#REF!</v>
      </c>
      <c r="V45" t="e">
        <f>AND(#REF!,"AAAAAHm+7hU=")</f>
        <v>#REF!</v>
      </c>
      <c r="W45" t="e">
        <f>IF(#REF!,"AAAAAHm+7hY=",0)</f>
        <v>#REF!</v>
      </c>
      <c r="X45" t="e">
        <f>AND(#REF!,"AAAAAHm+7hc=")</f>
        <v>#REF!</v>
      </c>
      <c r="Y45" t="e">
        <f>AND(#REF!,"AAAAAHm+7hg=")</f>
        <v>#REF!</v>
      </c>
      <c r="Z45" t="e">
        <f>AND(#REF!,"AAAAAHm+7hk=")</f>
        <v>#REF!</v>
      </c>
      <c r="AA45" t="e">
        <f>AND(#REF!,"AAAAAHm+7ho=")</f>
        <v>#REF!</v>
      </c>
      <c r="AB45" t="e">
        <f>AND(#REF!,"AAAAAHm+7hs=")</f>
        <v>#REF!</v>
      </c>
      <c r="AC45" t="e">
        <f>AND(#REF!,"AAAAAHm+7hw=")</f>
        <v>#REF!</v>
      </c>
      <c r="AD45" t="e">
        <f>AND(#REF!,"AAAAAHm+7h0=")</f>
        <v>#REF!</v>
      </c>
      <c r="AE45" t="e">
        <f>AND(#REF!,"AAAAAHm+7h4=")</f>
        <v>#REF!</v>
      </c>
      <c r="AF45" t="e">
        <f>IF(#REF!,"AAAAAHm+7h8=",0)</f>
        <v>#REF!</v>
      </c>
      <c r="AG45" t="e">
        <f>AND(#REF!,"AAAAAHm+7iA=")</f>
        <v>#REF!</v>
      </c>
      <c r="AH45" t="e">
        <f>AND(#REF!,"AAAAAHm+7iE=")</f>
        <v>#REF!</v>
      </c>
      <c r="AI45" t="e">
        <f>AND(#REF!,"AAAAAHm+7iI=")</f>
        <v>#REF!</v>
      </c>
      <c r="AJ45" t="e">
        <f>AND(#REF!,"AAAAAHm+7iM=")</f>
        <v>#REF!</v>
      </c>
      <c r="AK45" t="e">
        <f>AND(#REF!,"AAAAAHm+7iQ=")</f>
        <v>#REF!</v>
      </c>
      <c r="AL45" t="e">
        <f>AND(#REF!,"AAAAAHm+7iU=")</f>
        <v>#REF!</v>
      </c>
      <c r="AM45" t="e">
        <f>AND(#REF!,"AAAAAHm+7iY=")</f>
        <v>#REF!</v>
      </c>
      <c r="AN45" t="e">
        <f>AND(#REF!,"AAAAAHm+7ic=")</f>
        <v>#REF!</v>
      </c>
      <c r="AO45" t="e">
        <f>IF(#REF!,"AAAAAHm+7ig=",0)</f>
        <v>#REF!</v>
      </c>
      <c r="AP45" t="e">
        <f>AND(#REF!,"AAAAAHm+7ik=")</f>
        <v>#REF!</v>
      </c>
      <c r="AQ45" t="e">
        <f>AND(#REF!,"AAAAAHm+7io=")</f>
        <v>#REF!</v>
      </c>
      <c r="AR45" t="e">
        <f>AND(#REF!,"AAAAAHm+7is=")</f>
        <v>#REF!</v>
      </c>
      <c r="AS45" t="e">
        <f>AND(#REF!,"AAAAAHm+7iw=")</f>
        <v>#REF!</v>
      </c>
      <c r="AT45" t="e">
        <f>AND(#REF!,"AAAAAHm+7i0=")</f>
        <v>#REF!</v>
      </c>
      <c r="AU45" t="e">
        <f>AND(#REF!,"AAAAAHm+7i4=")</f>
        <v>#REF!</v>
      </c>
      <c r="AV45" t="e">
        <f>AND(#REF!,"AAAAAHm+7i8=")</f>
        <v>#REF!</v>
      </c>
      <c r="AW45" t="e">
        <f>AND(#REF!,"AAAAAHm+7jA=")</f>
        <v>#REF!</v>
      </c>
      <c r="AX45" t="e">
        <f>IF(#REF!,"AAAAAHm+7jE=",0)</f>
        <v>#REF!</v>
      </c>
      <c r="AY45" t="e">
        <f>AND(#REF!,"AAAAAHm+7jI=")</f>
        <v>#REF!</v>
      </c>
      <c r="AZ45" t="e">
        <f>AND(#REF!,"AAAAAHm+7jM=")</f>
        <v>#REF!</v>
      </c>
      <c r="BA45" t="e">
        <f>AND(#REF!,"AAAAAHm+7jQ=")</f>
        <v>#REF!</v>
      </c>
      <c r="BB45" t="e">
        <f>AND(#REF!,"AAAAAHm+7jU=")</f>
        <v>#REF!</v>
      </c>
      <c r="BC45" t="e">
        <f>AND(#REF!,"AAAAAHm+7jY=")</f>
        <v>#REF!</v>
      </c>
      <c r="BD45" t="e">
        <f>AND(#REF!,"AAAAAHm+7jc=")</f>
        <v>#REF!</v>
      </c>
      <c r="BE45" t="e">
        <f>AND(#REF!,"AAAAAHm+7jg=")</f>
        <v>#REF!</v>
      </c>
      <c r="BF45" t="e">
        <f>AND(#REF!,"AAAAAHm+7jk=")</f>
        <v>#REF!</v>
      </c>
      <c r="BG45" t="e">
        <f>IF(#REF!,"AAAAAHm+7jo=",0)</f>
        <v>#REF!</v>
      </c>
      <c r="BH45" t="e">
        <f>AND(#REF!,"AAAAAHm+7js=")</f>
        <v>#REF!</v>
      </c>
      <c r="BI45" t="e">
        <f>AND(#REF!,"AAAAAHm+7jw=")</f>
        <v>#REF!</v>
      </c>
      <c r="BJ45" t="e">
        <f>AND(#REF!,"AAAAAHm+7j0=")</f>
        <v>#REF!</v>
      </c>
      <c r="BK45" t="e">
        <f>AND(#REF!,"AAAAAHm+7j4=")</f>
        <v>#REF!</v>
      </c>
      <c r="BL45" t="e">
        <f>AND(#REF!,"AAAAAHm+7j8=")</f>
        <v>#REF!</v>
      </c>
      <c r="BM45" t="e">
        <f>AND(#REF!,"AAAAAHm+7kA=")</f>
        <v>#REF!</v>
      </c>
      <c r="BN45" t="e">
        <f>AND(#REF!,"AAAAAHm+7kE=")</f>
        <v>#REF!</v>
      </c>
      <c r="BO45" t="e">
        <f>AND(#REF!,"AAAAAHm+7kI=")</f>
        <v>#REF!</v>
      </c>
      <c r="BP45" t="e">
        <f>IF(#REF!,"AAAAAHm+7kM=",0)</f>
        <v>#REF!</v>
      </c>
      <c r="BQ45" t="e">
        <f>AND(#REF!,"AAAAAHm+7kQ=")</f>
        <v>#REF!</v>
      </c>
      <c r="BR45" t="e">
        <f>AND(#REF!,"AAAAAHm+7kU=")</f>
        <v>#REF!</v>
      </c>
      <c r="BS45" t="e">
        <f>AND(#REF!,"AAAAAHm+7kY=")</f>
        <v>#REF!</v>
      </c>
      <c r="BT45" t="e">
        <f>AND(#REF!,"AAAAAHm+7kc=")</f>
        <v>#REF!</v>
      </c>
      <c r="BU45" t="e">
        <f>AND(#REF!,"AAAAAHm+7kg=")</f>
        <v>#REF!</v>
      </c>
      <c r="BV45" t="e">
        <f>AND(#REF!,"AAAAAHm+7kk=")</f>
        <v>#REF!</v>
      </c>
      <c r="BW45" t="e">
        <f>AND(#REF!,"AAAAAHm+7ko=")</f>
        <v>#REF!</v>
      </c>
      <c r="BX45" t="e">
        <f>AND(#REF!,"AAAAAHm+7ks=")</f>
        <v>#REF!</v>
      </c>
      <c r="BY45" t="e">
        <f>IF(#REF!,"AAAAAHm+7kw=",0)</f>
        <v>#REF!</v>
      </c>
      <c r="BZ45" t="e">
        <f>AND(#REF!,"AAAAAHm+7k0=")</f>
        <v>#REF!</v>
      </c>
      <c r="CA45" t="e">
        <f>AND(#REF!,"AAAAAHm+7k4=")</f>
        <v>#REF!</v>
      </c>
      <c r="CB45" t="e">
        <f>AND(#REF!,"AAAAAHm+7k8=")</f>
        <v>#REF!</v>
      </c>
      <c r="CC45" t="e">
        <f>AND(#REF!,"AAAAAHm+7lA=")</f>
        <v>#REF!</v>
      </c>
      <c r="CD45" t="e">
        <f>AND(#REF!,"AAAAAHm+7lE=")</f>
        <v>#REF!</v>
      </c>
      <c r="CE45" t="e">
        <f>AND(#REF!,"AAAAAHm+7lI=")</f>
        <v>#REF!</v>
      </c>
      <c r="CF45" t="e">
        <f>AND(#REF!,"AAAAAHm+7lM=")</f>
        <v>#REF!</v>
      </c>
      <c r="CG45" t="e">
        <f>AND(#REF!,"AAAAAHm+7lQ=")</f>
        <v>#REF!</v>
      </c>
      <c r="CH45" t="e">
        <f>IF(#REF!,"AAAAAHm+7lU=",0)</f>
        <v>#REF!</v>
      </c>
      <c r="CI45" t="e">
        <f>AND(#REF!,"AAAAAHm+7lY=")</f>
        <v>#REF!</v>
      </c>
      <c r="CJ45" t="e">
        <f>AND(#REF!,"AAAAAHm+7lc=")</f>
        <v>#REF!</v>
      </c>
      <c r="CK45" t="e">
        <f>AND(#REF!,"AAAAAHm+7lg=")</f>
        <v>#REF!</v>
      </c>
      <c r="CL45" t="e">
        <f>AND(#REF!,"AAAAAHm+7lk=")</f>
        <v>#REF!</v>
      </c>
      <c r="CM45" t="e">
        <f>AND(#REF!,"AAAAAHm+7lo=")</f>
        <v>#REF!</v>
      </c>
      <c r="CN45" t="e">
        <f>AND(#REF!,"AAAAAHm+7ls=")</f>
        <v>#REF!</v>
      </c>
      <c r="CO45" t="e">
        <f>AND(#REF!,"AAAAAHm+7lw=")</f>
        <v>#REF!</v>
      </c>
      <c r="CP45" t="e">
        <f>AND(#REF!,"AAAAAHm+7l0=")</f>
        <v>#REF!</v>
      </c>
      <c r="CQ45" t="e">
        <f>IF(#REF!,"AAAAAHm+7l4=",0)</f>
        <v>#REF!</v>
      </c>
      <c r="CR45" t="e">
        <f>AND(#REF!,"AAAAAHm+7l8=")</f>
        <v>#REF!</v>
      </c>
      <c r="CS45" t="e">
        <f>AND(#REF!,"AAAAAHm+7mA=")</f>
        <v>#REF!</v>
      </c>
      <c r="CT45" t="e">
        <f>AND(#REF!,"AAAAAHm+7mE=")</f>
        <v>#REF!</v>
      </c>
      <c r="CU45" t="e">
        <f>AND(#REF!,"AAAAAHm+7mI=")</f>
        <v>#REF!</v>
      </c>
      <c r="CV45" t="e">
        <f>AND(#REF!,"AAAAAHm+7mM=")</f>
        <v>#REF!</v>
      </c>
      <c r="CW45" t="e">
        <f>AND(#REF!,"AAAAAHm+7mQ=")</f>
        <v>#REF!</v>
      </c>
      <c r="CX45" t="e">
        <f>AND(#REF!,"AAAAAHm+7mU=")</f>
        <v>#REF!</v>
      </c>
      <c r="CY45" t="e">
        <f>AND(#REF!,"AAAAAHm+7mY=")</f>
        <v>#REF!</v>
      </c>
      <c r="CZ45" t="e">
        <f>IF(#REF!,"AAAAAHm+7mc=",0)</f>
        <v>#REF!</v>
      </c>
      <c r="DA45" t="e">
        <f>AND(#REF!,"AAAAAHm+7mg=")</f>
        <v>#REF!</v>
      </c>
      <c r="DB45" t="e">
        <f>AND(#REF!,"AAAAAHm+7mk=")</f>
        <v>#REF!</v>
      </c>
      <c r="DC45" t="e">
        <f>AND(#REF!,"AAAAAHm+7mo=")</f>
        <v>#REF!</v>
      </c>
      <c r="DD45" t="e">
        <f>AND(#REF!,"AAAAAHm+7ms=")</f>
        <v>#REF!</v>
      </c>
      <c r="DE45" t="e">
        <f>AND(#REF!,"AAAAAHm+7mw=")</f>
        <v>#REF!</v>
      </c>
      <c r="DF45" t="e">
        <f>AND(#REF!,"AAAAAHm+7m0=")</f>
        <v>#REF!</v>
      </c>
      <c r="DG45" t="e">
        <f>AND(#REF!,"AAAAAHm+7m4=")</f>
        <v>#REF!</v>
      </c>
      <c r="DH45" t="e">
        <f>AND(#REF!,"AAAAAHm+7m8=")</f>
        <v>#REF!</v>
      </c>
      <c r="DI45" t="e">
        <f>IF(#REF!,"AAAAAHm+7nA=",0)</f>
        <v>#REF!</v>
      </c>
      <c r="DJ45" t="e">
        <f>AND(#REF!,"AAAAAHm+7nE=")</f>
        <v>#REF!</v>
      </c>
      <c r="DK45" t="e">
        <f>AND(#REF!,"AAAAAHm+7nI=")</f>
        <v>#REF!</v>
      </c>
      <c r="DL45" t="e">
        <f>AND(#REF!,"AAAAAHm+7nM=")</f>
        <v>#REF!</v>
      </c>
      <c r="DM45" t="e">
        <f>AND(#REF!,"AAAAAHm+7nQ=")</f>
        <v>#REF!</v>
      </c>
      <c r="DN45" t="e">
        <f>AND(#REF!,"AAAAAHm+7nU=")</f>
        <v>#REF!</v>
      </c>
      <c r="DO45" t="e">
        <f>AND(#REF!,"AAAAAHm+7nY=")</f>
        <v>#REF!</v>
      </c>
      <c r="DP45" t="e">
        <f>AND(#REF!,"AAAAAHm+7nc=")</f>
        <v>#REF!</v>
      </c>
      <c r="DQ45" t="e">
        <f>AND(#REF!,"AAAAAHm+7ng=")</f>
        <v>#REF!</v>
      </c>
      <c r="DR45" t="e">
        <f>IF(#REF!,"AAAAAHm+7nk=",0)</f>
        <v>#REF!</v>
      </c>
      <c r="DS45" t="e">
        <f>AND(#REF!,"AAAAAHm+7no=")</f>
        <v>#REF!</v>
      </c>
      <c r="DT45" t="e">
        <f>AND(#REF!,"AAAAAHm+7ns=")</f>
        <v>#REF!</v>
      </c>
      <c r="DU45" t="e">
        <f>AND(#REF!,"AAAAAHm+7nw=")</f>
        <v>#REF!</v>
      </c>
      <c r="DV45" t="e">
        <f>AND(#REF!,"AAAAAHm+7n0=")</f>
        <v>#REF!</v>
      </c>
      <c r="DW45" t="e">
        <f>AND(#REF!,"AAAAAHm+7n4=")</f>
        <v>#REF!</v>
      </c>
      <c r="DX45" t="e">
        <f>AND(#REF!,"AAAAAHm+7n8=")</f>
        <v>#REF!</v>
      </c>
      <c r="DY45" t="e">
        <f>AND(#REF!,"AAAAAHm+7oA=")</f>
        <v>#REF!</v>
      </c>
      <c r="DZ45" t="e">
        <f>AND(#REF!,"AAAAAHm+7oE=")</f>
        <v>#REF!</v>
      </c>
      <c r="EA45" t="e">
        <f>IF(#REF!,"AAAAAHm+7oI=",0)</f>
        <v>#REF!</v>
      </c>
      <c r="EB45" t="e">
        <f>AND(#REF!,"AAAAAHm+7oM=")</f>
        <v>#REF!</v>
      </c>
      <c r="EC45" t="e">
        <f>AND(#REF!,"AAAAAHm+7oQ=")</f>
        <v>#REF!</v>
      </c>
      <c r="ED45" t="e">
        <f>AND(#REF!,"AAAAAHm+7oU=")</f>
        <v>#REF!</v>
      </c>
      <c r="EE45" t="e">
        <f>AND(#REF!,"AAAAAHm+7oY=")</f>
        <v>#REF!</v>
      </c>
      <c r="EF45" t="e">
        <f>AND(#REF!,"AAAAAHm+7oc=")</f>
        <v>#REF!</v>
      </c>
      <c r="EG45" t="e">
        <f>AND(#REF!,"AAAAAHm+7og=")</f>
        <v>#REF!</v>
      </c>
      <c r="EH45" t="e">
        <f>AND(#REF!,"AAAAAHm+7ok=")</f>
        <v>#REF!</v>
      </c>
      <c r="EI45" t="e">
        <f>AND(#REF!,"AAAAAHm+7oo=")</f>
        <v>#REF!</v>
      </c>
      <c r="EJ45" t="e">
        <f>IF(#REF!,"AAAAAHm+7os=",0)</f>
        <v>#REF!</v>
      </c>
      <c r="EK45" t="e">
        <f>AND(#REF!,"AAAAAHm+7ow=")</f>
        <v>#REF!</v>
      </c>
      <c r="EL45" t="e">
        <f>AND(#REF!,"AAAAAHm+7o0=")</f>
        <v>#REF!</v>
      </c>
      <c r="EM45" t="e">
        <f>AND(#REF!,"AAAAAHm+7o4=")</f>
        <v>#REF!</v>
      </c>
      <c r="EN45" t="e">
        <f>AND(#REF!,"AAAAAHm+7o8=")</f>
        <v>#REF!</v>
      </c>
      <c r="EO45" t="e">
        <f>AND(#REF!,"AAAAAHm+7pA=")</f>
        <v>#REF!</v>
      </c>
      <c r="EP45" t="e">
        <f>AND(#REF!,"AAAAAHm+7pE=")</f>
        <v>#REF!</v>
      </c>
      <c r="EQ45" t="e">
        <f>AND(#REF!,"AAAAAHm+7pI=")</f>
        <v>#REF!</v>
      </c>
      <c r="ER45" t="e">
        <f>AND(#REF!,"AAAAAHm+7pM=")</f>
        <v>#REF!</v>
      </c>
      <c r="ES45" t="e">
        <f>IF(#REF!,"AAAAAHm+7pQ=",0)</f>
        <v>#REF!</v>
      </c>
      <c r="ET45" t="e">
        <f>AND(#REF!,"AAAAAHm+7pU=")</f>
        <v>#REF!</v>
      </c>
      <c r="EU45" t="e">
        <f>AND(#REF!,"AAAAAHm+7pY=")</f>
        <v>#REF!</v>
      </c>
      <c r="EV45" t="e">
        <f>AND(#REF!,"AAAAAHm+7pc=")</f>
        <v>#REF!</v>
      </c>
      <c r="EW45" t="e">
        <f>AND(#REF!,"AAAAAHm+7pg=")</f>
        <v>#REF!</v>
      </c>
      <c r="EX45" t="e">
        <f>AND(#REF!,"AAAAAHm+7pk=")</f>
        <v>#REF!</v>
      </c>
      <c r="EY45" t="e">
        <f>AND(#REF!,"AAAAAHm+7po=")</f>
        <v>#REF!</v>
      </c>
      <c r="EZ45" t="e">
        <f>AND(#REF!,"AAAAAHm+7ps=")</f>
        <v>#REF!</v>
      </c>
      <c r="FA45" t="e">
        <f>AND(#REF!,"AAAAAHm+7pw=")</f>
        <v>#REF!</v>
      </c>
      <c r="FB45" t="e">
        <f>IF(#REF!,"AAAAAHm+7p0=",0)</f>
        <v>#REF!</v>
      </c>
      <c r="FC45" t="e">
        <f>AND(#REF!,"AAAAAHm+7p4=")</f>
        <v>#REF!</v>
      </c>
      <c r="FD45" t="e">
        <f>AND(#REF!,"AAAAAHm+7p8=")</f>
        <v>#REF!</v>
      </c>
      <c r="FE45" t="e">
        <f>AND(#REF!,"AAAAAHm+7qA=")</f>
        <v>#REF!</v>
      </c>
      <c r="FF45" t="e">
        <f>AND(#REF!,"AAAAAHm+7qE=")</f>
        <v>#REF!</v>
      </c>
      <c r="FG45" t="e">
        <f>AND(#REF!,"AAAAAHm+7qI=")</f>
        <v>#REF!</v>
      </c>
      <c r="FH45" t="e">
        <f>AND(#REF!,"AAAAAHm+7qM=")</f>
        <v>#REF!</v>
      </c>
      <c r="FI45" t="e">
        <f>AND(#REF!,"AAAAAHm+7qQ=")</f>
        <v>#REF!</v>
      </c>
      <c r="FJ45" t="e">
        <f>AND(#REF!,"AAAAAHm+7qU=")</f>
        <v>#REF!</v>
      </c>
      <c r="FK45" t="e">
        <f>IF(#REF!,"AAAAAHm+7qY=",0)</f>
        <v>#REF!</v>
      </c>
      <c r="FL45" t="e">
        <f>AND(#REF!,"AAAAAHm+7qc=")</f>
        <v>#REF!</v>
      </c>
      <c r="FM45" t="e">
        <f>AND(#REF!,"AAAAAHm+7qg=")</f>
        <v>#REF!</v>
      </c>
      <c r="FN45" t="e">
        <f>AND(#REF!,"AAAAAHm+7qk=")</f>
        <v>#REF!</v>
      </c>
      <c r="FO45" t="e">
        <f>AND(#REF!,"AAAAAHm+7qo=")</f>
        <v>#REF!</v>
      </c>
      <c r="FP45" t="e">
        <f>AND(#REF!,"AAAAAHm+7qs=")</f>
        <v>#REF!</v>
      </c>
      <c r="FQ45" t="e">
        <f>AND(#REF!,"AAAAAHm+7qw=")</f>
        <v>#REF!</v>
      </c>
      <c r="FR45" t="e">
        <f>AND(#REF!,"AAAAAHm+7q0=")</f>
        <v>#REF!</v>
      </c>
      <c r="FS45" t="e">
        <f>AND(#REF!,"AAAAAHm+7q4=")</f>
        <v>#REF!</v>
      </c>
      <c r="FT45" t="e">
        <f>IF(#REF!,"AAAAAHm+7q8=",0)</f>
        <v>#REF!</v>
      </c>
      <c r="FU45" t="e">
        <f>AND(#REF!,"AAAAAHm+7rA=")</f>
        <v>#REF!</v>
      </c>
      <c r="FV45" t="e">
        <f>AND(#REF!,"AAAAAHm+7rE=")</f>
        <v>#REF!</v>
      </c>
      <c r="FW45" t="e">
        <f>AND(#REF!,"AAAAAHm+7rI=")</f>
        <v>#REF!</v>
      </c>
      <c r="FX45" t="e">
        <f>AND(#REF!,"AAAAAHm+7rM=")</f>
        <v>#REF!</v>
      </c>
      <c r="FY45" t="e">
        <f>AND(#REF!,"AAAAAHm+7rQ=")</f>
        <v>#REF!</v>
      </c>
      <c r="FZ45" t="e">
        <f>AND(#REF!,"AAAAAHm+7rU=")</f>
        <v>#REF!</v>
      </c>
      <c r="GA45" t="e">
        <f>AND(#REF!,"AAAAAHm+7rY=")</f>
        <v>#REF!</v>
      </c>
      <c r="GB45" t="e">
        <f>AND(#REF!,"AAAAAHm+7rc=")</f>
        <v>#REF!</v>
      </c>
      <c r="GC45" t="e">
        <f>IF(#REF!,"AAAAAHm+7rg=",0)</f>
        <v>#REF!</v>
      </c>
      <c r="GD45" t="e">
        <f>AND(#REF!,"AAAAAHm+7rk=")</f>
        <v>#REF!</v>
      </c>
      <c r="GE45" t="e">
        <f>AND(#REF!,"AAAAAHm+7ro=")</f>
        <v>#REF!</v>
      </c>
      <c r="GF45" t="e">
        <f>AND(#REF!,"AAAAAHm+7rs=")</f>
        <v>#REF!</v>
      </c>
      <c r="GG45" t="e">
        <f>AND(#REF!,"AAAAAHm+7rw=")</f>
        <v>#REF!</v>
      </c>
      <c r="GH45" t="e">
        <f>AND(#REF!,"AAAAAHm+7r0=")</f>
        <v>#REF!</v>
      </c>
      <c r="GI45" t="e">
        <f>AND(#REF!,"AAAAAHm+7r4=")</f>
        <v>#REF!</v>
      </c>
      <c r="GJ45" t="e">
        <f>AND(#REF!,"AAAAAHm+7r8=")</f>
        <v>#REF!</v>
      </c>
      <c r="GK45" t="e">
        <f>AND(#REF!,"AAAAAHm+7sA=")</f>
        <v>#REF!</v>
      </c>
      <c r="GL45" t="e">
        <f>IF(#REF!,"AAAAAHm+7sE=",0)</f>
        <v>#REF!</v>
      </c>
      <c r="GM45" t="e">
        <f>AND(#REF!,"AAAAAHm+7sI=")</f>
        <v>#REF!</v>
      </c>
      <c r="GN45" t="e">
        <f>AND(#REF!,"AAAAAHm+7sM=")</f>
        <v>#REF!</v>
      </c>
      <c r="GO45" t="e">
        <f>AND(#REF!,"AAAAAHm+7sQ=")</f>
        <v>#REF!</v>
      </c>
      <c r="GP45" t="e">
        <f>AND(#REF!,"AAAAAHm+7sU=")</f>
        <v>#REF!</v>
      </c>
      <c r="GQ45" t="e">
        <f>AND(#REF!,"AAAAAHm+7sY=")</f>
        <v>#REF!</v>
      </c>
      <c r="GR45" t="e">
        <f>AND(#REF!,"AAAAAHm+7sc=")</f>
        <v>#REF!</v>
      </c>
      <c r="GS45" t="e">
        <f>AND(#REF!,"AAAAAHm+7sg=")</f>
        <v>#REF!</v>
      </c>
      <c r="GT45" t="e">
        <f>AND(#REF!,"AAAAAHm+7sk=")</f>
        <v>#REF!</v>
      </c>
      <c r="GU45" t="e">
        <f>IF(#REF!,"AAAAAHm+7so=",0)</f>
        <v>#REF!</v>
      </c>
      <c r="GV45" t="e">
        <f>AND(#REF!,"AAAAAHm+7ss=")</f>
        <v>#REF!</v>
      </c>
      <c r="GW45" t="e">
        <f>AND(#REF!,"AAAAAHm+7sw=")</f>
        <v>#REF!</v>
      </c>
      <c r="GX45" t="e">
        <f>AND(#REF!,"AAAAAHm+7s0=")</f>
        <v>#REF!</v>
      </c>
      <c r="GY45" t="e">
        <f>AND(#REF!,"AAAAAHm+7s4=")</f>
        <v>#REF!</v>
      </c>
      <c r="GZ45" t="e">
        <f>AND(#REF!,"AAAAAHm+7s8=")</f>
        <v>#REF!</v>
      </c>
      <c r="HA45" t="e">
        <f>AND(#REF!,"AAAAAHm+7tA=")</f>
        <v>#REF!</v>
      </c>
      <c r="HB45" t="e">
        <f>AND(#REF!,"AAAAAHm+7tE=")</f>
        <v>#REF!</v>
      </c>
      <c r="HC45" t="e">
        <f>AND(#REF!,"AAAAAHm+7tI=")</f>
        <v>#REF!</v>
      </c>
      <c r="HD45" t="e">
        <f>IF(#REF!,"AAAAAHm+7tM=",0)</f>
        <v>#REF!</v>
      </c>
      <c r="HE45" t="e">
        <f>AND(#REF!,"AAAAAHm+7tQ=")</f>
        <v>#REF!</v>
      </c>
      <c r="HF45" t="e">
        <f>AND(#REF!,"AAAAAHm+7tU=")</f>
        <v>#REF!</v>
      </c>
      <c r="HG45" t="e">
        <f>AND(#REF!,"AAAAAHm+7tY=")</f>
        <v>#REF!</v>
      </c>
      <c r="HH45" t="e">
        <f>AND(#REF!,"AAAAAHm+7tc=")</f>
        <v>#REF!</v>
      </c>
      <c r="HI45" t="e">
        <f>AND(#REF!,"AAAAAHm+7tg=")</f>
        <v>#REF!</v>
      </c>
      <c r="HJ45" t="e">
        <f>AND(#REF!,"AAAAAHm+7tk=")</f>
        <v>#REF!</v>
      </c>
      <c r="HK45" t="e">
        <f>AND(#REF!,"AAAAAHm+7to=")</f>
        <v>#REF!</v>
      </c>
      <c r="HL45" t="e">
        <f>AND(#REF!,"AAAAAHm+7ts=")</f>
        <v>#REF!</v>
      </c>
      <c r="HM45" t="e">
        <f>IF(#REF!,"AAAAAHm+7tw=",0)</f>
        <v>#REF!</v>
      </c>
      <c r="HN45" t="e">
        <f>AND(#REF!,"AAAAAHm+7t0=")</f>
        <v>#REF!</v>
      </c>
      <c r="HO45" t="e">
        <f>AND(#REF!,"AAAAAHm+7t4=")</f>
        <v>#REF!</v>
      </c>
      <c r="HP45" t="e">
        <f>AND(#REF!,"AAAAAHm+7t8=")</f>
        <v>#REF!</v>
      </c>
      <c r="HQ45" t="e">
        <f>AND(#REF!,"AAAAAHm+7uA=")</f>
        <v>#REF!</v>
      </c>
      <c r="HR45" t="e">
        <f>AND(#REF!,"AAAAAHm+7uE=")</f>
        <v>#REF!</v>
      </c>
      <c r="HS45" t="e">
        <f>AND(#REF!,"AAAAAHm+7uI=")</f>
        <v>#REF!</v>
      </c>
      <c r="HT45" t="e">
        <f>AND(#REF!,"AAAAAHm+7uM=")</f>
        <v>#REF!</v>
      </c>
      <c r="HU45" t="e">
        <f>AND(#REF!,"AAAAAHm+7uQ=")</f>
        <v>#REF!</v>
      </c>
      <c r="HV45" t="e">
        <f>IF(#REF!,"AAAAAHm+7uU=",0)</f>
        <v>#REF!</v>
      </c>
      <c r="HW45" t="e">
        <f>AND(#REF!,"AAAAAHm+7uY=")</f>
        <v>#REF!</v>
      </c>
      <c r="HX45" t="e">
        <f>AND(#REF!,"AAAAAHm+7uc=")</f>
        <v>#REF!</v>
      </c>
      <c r="HY45" t="e">
        <f>AND(#REF!,"AAAAAHm+7ug=")</f>
        <v>#REF!</v>
      </c>
      <c r="HZ45" t="e">
        <f>AND(#REF!,"AAAAAHm+7uk=")</f>
        <v>#REF!</v>
      </c>
      <c r="IA45" t="e">
        <f>AND(#REF!,"AAAAAHm+7uo=")</f>
        <v>#REF!</v>
      </c>
      <c r="IB45" t="e">
        <f>AND(#REF!,"AAAAAHm+7us=")</f>
        <v>#REF!</v>
      </c>
      <c r="IC45" t="e">
        <f>AND(#REF!,"AAAAAHm+7uw=")</f>
        <v>#REF!</v>
      </c>
      <c r="ID45" t="e">
        <f>AND(#REF!,"AAAAAHm+7u0=")</f>
        <v>#REF!</v>
      </c>
      <c r="IE45" t="e">
        <f>IF(#REF!,"AAAAAHm+7u4=",0)</f>
        <v>#REF!</v>
      </c>
      <c r="IF45" t="e">
        <f>AND(#REF!,"AAAAAHm+7u8=")</f>
        <v>#REF!</v>
      </c>
      <c r="IG45" t="e">
        <f>AND(#REF!,"AAAAAHm+7vA=")</f>
        <v>#REF!</v>
      </c>
      <c r="IH45" t="e">
        <f>AND(#REF!,"AAAAAHm+7vE=")</f>
        <v>#REF!</v>
      </c>
      <c r="II45" t="e">
        <f>AND(#REF!,"AAAAAHm+7vI=")</f>
        <v>#REF!</v>
      </c>
      <c r="IJ45" t="e">
        <f>AND(#REF!,"AAAAAHm+7vM=")</f>
        <v>#REF!</v>
      </c>
      <c r="IK45" t="e">
        <f>AND(#REF!,"AAAAAHm+7vQ=")</f>
        <v>#REF!</v>
      </c>
      <c r="IL45" t="e">
        <f>AND(#REF!,"AAAAAHm+7vU=")</f>
        <v>#REF!</v>
      </c>
      <c r="IM45" t="e">
        <f>AND(#REF!,"AAAAAHm+7vY=")</f>
        <v>#REF!</v>
      </c>
      <c r="IN45" t="e">
        <f>IF(#REF!,"AAAAAHm+7vc=",0)</f>
        <v>#REF!</v>
      </c>
      <c r="IO45" t="e">
        <f>AND(#REF!,"AAAAAHm+7vg=")</f>
        <v>#REF!</v>
      </c>
      <c r="IP45" t="e">
        <f>AND(#REF!,"AAAAAHm+7vk=")</f>
        <v>#REF!</v>
      </c>
      <c r="IQ45" t="e">
        <f>AND(#REF!,"AAAAAHm+7vo=")</f>
        <v>#REF!</v>
      </c>
      <c r="IR45" t="e">
        <f>AND(#REF!,"AAAAAHm+7vs=")</f>
        <v>#REF!</v>
      </c>
      <c r="IS45" t="e">
        <f>AND(#REF!,"AAAAAHm+7vw=")</f>
        <v>#REF!</v>
      </c>
      <c r="IT45" t="e">
        <f>AND(#REF!,"AAAAAHm+7v0=")</f>
        <v>#REF!</v>
      </c>
      <c r="IU45" t="e">
        <f>AND(#REF!,"AAAAAHm+7v4=")</f>
        <v>#REF!</v>
      </c>
      <c r="IV45" t="e">
        <f>AND(#REF!,"AAAAAHm+7v8=")</f>
        <v>#REF!</v>
      </c>
    </row>
    <row r="46" spans="1:256">
      <c r="A46" t="e">
        <f>IF(#REF!,"AAAAAHfP3wA=",0)</f>
        <v>#REF!</v>
      </c>
      <c r="B46" t="e">
        <f>AND(#REF!,"AAAAAHfP3wE=")</f>
        <v>#REF!</v>
      </c>
      <c r="C46" t="e">
        <f>AND(#REF!,"AAAAAHfP3wI=")</f>
        <v>#REF!</v>
      </c>
      <c r="D46" t="e">
        <f>AND(#REF!,"AAAAAHfP3wM=")</f>
        <v>#REF!</v>
      </c>
      <c r="E46" t="e">
        <f>AND(#REF!,"AAAAAHfP3wQ=")</f>
        <v>#REF!</v>
      </c>
      <c r="F46" t="e">
        <f>AND(#REF!,"AAAAAHfP3wU=")</f>
        <v>#REF!</v>
      </c>
      <c r="G46" t="e">
        <f>AND(#REF!,"AAAAAHfP3wY=")</f>
        <v>#REF!</v>
      </c>
      <c r="H46" t="e">
        <f>AND(#REF!,"AAAAAHfP3wc=")</f>
        <v>#REF!</v>
      </c>
      <c r="I46" t="e">
        <f>AND(#REF!,"AAAAAHfP3wg=")</f>
        <v>#REF!</v>
      </c>
      <c r="J46" t="e">
        <f>IF(#REF!,"AAAAAHfP3wk=",0)</f>
        <v>#REF!</v>
      </c>
      <c r="K46" t="e">
        <f>AND(#REF!,"AAAAAHfP3wo=")</f>
        <v>#REF!</v>
      </c>
      <c r="L46" t="e">
        <f>AND(#REF!,"AAAAAHfP3ws=")</f>
        <v>#REF!</v>
      </c>
      <c r="M46" t="e">
        <f>AND(#REF!,"AAAAAHfP3ww=")</f>
        <v>#REF!</v>
      </c>
      <c r="N46" t="e">
        <f>AND(#REF!,"AAAAAHfP3w0=")</f>
        <v>#REF!</v>
      </c>
      <c r="O46" t="e">
        <f>AND(#REF!,"AAAAAHfP3w4=")</f>
        <v>#REF!</v>
      </c>
      <c r="P46" t="e">
        <f>AND(#REF!,"AAAAAHfP3w8=")</f>
        <v>#REF!</v>
      </c>
      <c r="Q46" t="e">
        <f>AND(#REF!,"AAAAAHfP3xA=")</f>
        <v>#REF!</v>
      </c>
      <c r="R46" t="e">
        <f>AND(#REF!,"AAAAAHfP3xE=")</f>
        <v>#REF!</v>
      </c>
      <c r="S46" t="e">
        <f>IF(#REF!,"AAAAAHfP3xI=",0)</f>
        <v>#REF!</v>
      </c>
      <c r="T46" t="e">
        <f>AND(#REF!,"AAAAAHfP3xM=")</f>
        <v>#REF!</v>
      </c>
      <c r="U46" t="e">
        <f>AND(#REF!,"AAAAAHfP3xQ=")</f>
        <v>#REF!</v>
      </c>
      <c r="V46" t="e">
        <f>AND(#REF!,"AAAAAHfP3xU=")</f>
        <v>#REF!</v>
      </c>
      <c r="W46" t="e">
        <f>AND(#REF!,"AAAAAHfP3xY=")</f>
        <v>#REF!</v>
      </c>
      <c r="X46" t="e">
        <f>AND(#REF!,"AAAAAHfP3xc=")</f>
        <v>#REF!</v>
      </c>
      <c r="Y46" t="e">
        <f>AND(#REF!,"AAAAAHfP3xg=")</f>
        <v>#REF!</v>
      </c>
      <c r="Z46" t="e">
        <f>AND(#REF!,"AAAAAHfP3xk=")</f>
        <v>#REF!</v>
      </c>
      <c r="AA46" t="e">
        <f>AND(#REF!,"AAAAAHfP3xo=")</f>
        <v>#REF!</v>
      </c>
      <c r="AB46" t="e">
        <f>IF(#REF!,"AAAAAHfP3xs=",0)</f>
        <v>#REF!</v>
      </c>
      <c r="AC46" t="e">
        <f>AND(#REF!,"AAAAAHfP3xw=")</f>
        <v>#REF!</v>
      </c>
      <c r="AD46" t="e">
        <f>AND(#REF!,"AAAAAHfP3x0=")</f>
        <v>#REF!</v>
      </c>
      <c r="AE46" t="e">
        <f>AND(#REF!,"AAAAAHfP3x4=")</f>
        <v>#REF!</v>
      </c>
      <c r="AF46" t="e">
        <f>AND(#REF!,"AAAAAHfP3x8=")</f>
        <v>#REF!</v>
      </c>
      <c r="AG46" t="e">
        <f>AND(#REF!,"AAAAAHfP3yA=")</f>
        <v>#REF!</v>
      </c>
      <c r="AH46" t="e">
        <f>AND(#REF!,"AAAAAHfP3yE=")</f>
        <v>#REF!</v>
      </c>
      <c r="AI46" t="e">
        <f>AND(#REF!,"AAAAAHfP3yI=")</f>
        <v>#REF!</v>
      </c>
      <c r="AJ46" t="e">
        <f>AND(#REF!,"AAAAAHfP3yM=")</f>
        <v>#REF!</v>
      </c>
      <c r="AK46" t="e">
        <f>IF(#REF!,"AAAAAHfP3yQ=",0)</f>
        <v>#REF!</v>
      </c>
      <c r="AL46" t="e">
        <f>AND(#REF!,"AAAAAHfP3yU=")</f>
        <v>#REF!</v>
      </c>
      <c r="AM46" t="e">
        <f>AND(#REF!,"AAAAAHfP3yY=")</f>
        <v>#REF!</v>
      </c>
      <c r="AN46" t="e">
        <f>AND(#REF!,"AAAAAHfP3yc=")</f>
        <v>#REF!</v>
      </c>
      <c r="AO46" t="e">
        <f>AND(#REF!,"AAAAAHfP3yg=")</f>
        <v>#REF!</v>
      </c>
      <c r="AP46" t="e">
        <f>AND(#REF!,"AAAAAHfP3yk=")</f>
        <v>#REF!</v>
      </c>
      <c r="AQ46" t="e">
        <f>AND(#REF!,"AAAAAHfP3yo=")</f>
        <v>#REF!</v>
      </c>
      <c r="AR46" t="e">
        <f>AND(#REF!,"AAAAAHfP3ys=")</f>
        <v>#REF!</v>
      </c>
      <c r="AS46" t="e">
        <f>AND(#REF!,"AAAAAHfP3yw=")</f>
        <v>#REF!</v>
      </c>
      <c r="AT46" t="e">
        <f>IF(#REF!,"AAAAAHfP3y0=",0)</f>
        <v>#REF!</v>
      </c>
      <c r="AU46" t="e">
        <f>AND(#REF!,"AAAAAHfP3y4=")</f>
        <v>#REF!</v>
      </c>
      <c r="AV46" t="e">
        <f>AND(#REF!,"AAAAAHfP3y8=")</f>
        <v>#REF!</v>
      </c>
      <c r="AW46" t="e">
        <f>AND(#REF!,"AAAAAHfP3zA=")</f>
        <v>#REF!</v>
      </c>
      <c r="AX46" t="e">
        <f>AND(#REF!,"AAAAAHfP3zE=")</f>
        <v>#REF!</v>
      </c>
      <c r="AY46" t="e">
        <f>AND(#REF!,"AAAAAHfP3zI=")</f>
        <v>#REF!</v>
      </c>
      <c r="AZ46" t="e">
        <f>AND(#REF!,"AAAAAHfP3zM=")</f>
        <v>#REF!</v>
      </c>
      <c r="BA46" t="e">
        <f>AND(#REF!,"AAAAAHfP3zQ=")</f>
        <v>#REF!</v>
      </c>
      <c r="BB46" t="e">
        <f>AND(#REF!,"AAAAAHfP3zU=")</f>
        <v>#REF!</v>
      </c>
      <c r="BC46" t="e">
        <f>IF(#REF!,"AAAAAHfP3zY=",0)</f>
        <v>#REF!</v>
      </c>
      <c r="BD46" t="e">
        <f>AND(#REF!,"AAAAAHfP3zc=")</f>
        <v>#REF!</v>
      </c>
      <c r="BE46" t="e">
        <f>AND(#REF!,"AAAAAHfP3zg=")</f>
        <v>#REF!</v>
      </c>
      <c r="BF46" t="e">
        <f>AND(#REF!,"AAAAAHfP3zk=")</f>
        <v>#REF!</v>
      </c>
      <c r="BG46" t="e">
        <f>AND(#REF!,"AAAAAHfP3zo=")</f>
        <v>#REF!</v>
      </c>
      <c r="BH46" t="e">
        <f>AND(#REF!,"AAAAAHfP3zs=")</f>
        <v>#REF!</v>
      </c>
      <c r="BI46" t="e">
        <f>AND(#REF!,"AAAAAHfP3zw=")</f>
        <v>#REF!</v>
      </c>
      <c r="BJ46" t="e">
        <f>AND(#REF!,"AAAAAHfP3z0=")</f>
        <v>#REF!</v>
      </c>
      <c r="BK46" t="e">
        <f>AND(#REF!,"AAAAAHfP3z4=")</f>
        <v>#REF!</v>
      </c>
      <c r="BL46" t="e">
        <f>IF(#REF!,"AAAAAHfP3z8=",0)</f>
        <v>#REF!</v>
      </c>
      <c r="BM46" t="e">
        <f>AND(#REF!,"AAAAAHfP30A=")</f>
        <v>#REF!</v>
      </c>
      <c r="BN46" t="e">
        <f>AND(#REF!,"AAAAAHfP30E=")</f>
        <v>#REF!</v>
      </c>
      <c r="BO46" t="e">
        <f>AND(#REF!,"AAAAAHfP30I=")</f>
        <v>#REF!</v>
      </c>
      <c r="BP46" t="e">
        <f>AND(#REF!,"AAAAAHfP30M=")</f>
        <v>#REF!</v>
      </c>
      <c r="BQ46" t="e">
        <f>AND(#REF!,"AAAAAHfP30Q=")</f>
        <v>#REF!</v>
      </c>
      <c r="BR46" t="e">
        <f>AND(#REF!,"AAAAAHfP30U=")</f>
        <v>#REF!</v>
      </c>
      <c r="BS46" t="e">
        <f>AND(#REF!,"AAAAAHfP30Y=")</f>
        <v>#REF!</v>
      </c>
      <c r="BT46" t="e">
        <f>AND(#REF!,"AAAAAHfP30c=")</f>
        <v>#REF!</v>
      </c>
      <c r="BU46" t="e">
        <f>IF(#REF!,"AAAAAHfP30g=",0)</f>
        <v>#REF!</v>
      </c>
      <c r="BV46" t="e">
        <f>AND(#REF!,"AAAAAHfP30k=")</f>
        <v>#REF!</v>
      </c>
      <c r="BW46" t="e">
        <f>AND(#REF!,"AAAAAHfP30o=")</f>
        <v>#REF!</v>
      </c>
      <c r="BX46" t="e">
        <f>AND(#REF!,"AAAAAHfP30s=")</f>
        <v>#REF!</v>
      </c>
      <c r="BY46" t="e">
        <f>AND(#REF!,"AAAAAHfP30w=")</f>
        <v>#REF!</v>
      </c>
      <c r="BZ46" t="e">
        <f>AND(#REF!,"AAAAAHfP300=")</f>
        <v>#REF!</v>
      </c>
      <c r="CA46" t="e">
        <f>AND(#REF!,"AAAAAHfP304=")</f>
        <v>#REF!</v>
      </c>
      <c r="CB46" t="e">
        <f>AND(#REF!,"AAAAAHfP308=")</f>
        <v>#REF!</v>
      </c>
      <c r="CC46" t="e">
        <f>AND(#REF!,"AAAAAHfP31A=")</f>
        <v>#REF!</v>
      </c>
      <c r="CD46" t="e">
        <f>IF(#REF!,"AAAAAHfP31E=",0)</f>
        <v>#REF!</v>
      </c>
      <c r="CE46" t="e">
        <f>AND(#REF!,"AAAAAHfP31I=")</f>
        <v>#REF!</v>
      </c>
      <c r="CF46" t="e">
        <f>AND(#REF!,"AAAAAHfP31M=")</f>
        <v>#REF!</v>
      </c>
      <c r="CG46" t="e">
        <f>AND(#REF!,"AAAAAHfP31Q=")</f>
        <v>#REF!</v>
      </c>
      <c r="CH46" t="e">
        <f>AND(#REF!,"AAAAAHfP31U=")</f>
        <v>#REF!</v>
      </c>
      <c r="CI46" t="e">
        <f>AND(#REF!,"AAAAAHfP31Y=")</f>
        <v>#REF!</v>
      </c>
      <c r="CJ46" t="e">
        <f>AND(#REF!,"AAAAAHfP31c=")</f>
        <v>#REF!</v>
      </c>
      <c r="CK46" t="e">
        <f>AND(#REF!,"AAAAAHfP31g=")</f>
        <v>#REF!</v>
      </c>
      <c r="CL46" t="e">
        <f>AND(#REF!,"AAAAAHfP31k=")</f>
        <v>#REF!</v>
      </c>
      <c r="CM46" t="e">
        <f>IF(#REF!,"AAAAAHfP31o=",0)</f>
        <v>#REF!</v>
      </c>
      <c r="CN46" t="e">
        <f>AND(#REF!,"AAAAAHfP31s=")</f>
        <v>#REF!</v>
      </c>
      <c r="CO46" t="e">
        <f>AND(#REF!,"AAAAAHfP31w=")</f>
        <v>#REF!</v>
      </c>
      <c r="CP46" t="e">
        <f>AND(#REF!,"AAAAAHfP310=")</f>
        <v>#REF!</v>
      </c>
      <c r="CQ46" t="e">
        <f>AND(#REF!,"AAAAAHfP314=")</f>
        <v>#REF!</v>
      </c>
      <c r="CR46" t="e">
        <f>AND(#REF!,"AAAAAHfP318=")</f>
        <v>#REF!</v>
      </c>
      <c r="CS46" t="e">
        <f>AND(#REF!,"AAAAAHfP32A=")</f>
        <v>#REF!</v>
      </c>
      <c r="CT46" t="e">
        <f>AND(#REF!,"AAAAAHfP32E=")</f>
        <v>#REF!</v>
      </c>
      <c r="CU46" t="e">
        <f>AND(#REF!,"AAAAAHfP32I=")</f>
        <v>#REF!</v>
      </c>
      <c r="CV46" t="e">
        <f>IF(#REF!,"AAAAAHfP32M=",0)</f>
        <v>#REF!</v>
      </c>
      <c r="CW46" t="e">
        <f>AND(#REF!,"AAAAAHfP32Q=")</f>
        <v>#REF!</v>
      </c>
      <c r="CX46" t="e">
        <f>AND(#REF!,"AAAAAHfP32U=")</f>
        <v>#REF!</v>
      </c>
      <c r="CY46" t="e">
        <f>AND(#REF!,"AAAAAHfP32Y=")</f>
        <v>#REF!</v>
      </c>
      <c r="CZ46" t="e">
        <f>AND(#REF!,"AAAAAHfP32c=")</f>
        <v>#REF!</v>
      </c>
      <c r="DA46" t="e">
        <f>AND(#REF!,"AAAAAHfP32g=")</f>
        <v>#REF!</v>
      </c>
      <c r="DB46" t="e">
        <f>AND(#REF!,"AAAAAHfP32k=")</f>
        <v>#REF!</v>
      </c>
      <c r="DC46" t="e">
        <f>AND(#REF!,"AAAAAHfP32o=")</f>
        <v>#REF!</v>
      </c>
      <c r="DD46" t="e">
        <f>AND(#REF!,"AAAAAHfP32s=")</f>
        <v>#REF!</v>
      </c>
      <c r="DE46" t="e">
        <f>IF(#REF!,"AAAAAHfP32w=",0)</f>
        <v>#REF!</v>
      </c>
      <c r="DF46" t="e">
        <f>AND(#REF!,"AAAAAHfP320=")</f>
        <v>#REF!</v>
      </c>
      <c r="DG46" t="e">
        <f>AND(#REF!,"AAAAAHfP324=")</f>
        <v>#REF!</v>
      </c>
      <c r="DH46" t="e">
        <f>AND(#REF!,"AAAAAHfP328=")</f>
        <v>#REF!</v>
      </c>
      <c r="DI46" t="e">
        <f>AND(#REF!,"AAAAAHfP33A=")</f>
        <v>#REF!</v>
      </c>
      <c r="DJ46" t="e">
        <f>AND(#REF!,"AAAAAHfP33E=")</f>
        <v>#REF!</v>
      </c>
      <c r="DK46" t="e">
        <f>AND(#REF!,"AAAAAHfP33I=")</f>
        <v>#REF!</v>
      </c>
      <c r="DL46" t="e">
        <f>AND(#REF!,"AAAAAHfP33M=")</f>
        <v>#REF!</v>
      </c>
      <c r="DM46" t="e">
        <f>AND(#REF!,"AAAAAHfP33Q=")</f>
        <v>#REF!</v>
      </c>
      <c r="DN46" t="e">
        <f>IF(#REF!,"AAAAAHfP33U=",0)</f>
        <v>#REF!</v>
      </c>
      <c r="DO46" t="e">
        <f>AND(#REF!,"AAAAAHfP33Y=")</f>
        <v>#REF!</v>
      </c>
      <c r="DP46" t="e">
        <f>AND(#REF!,"AAAAAHfP33c=")</f>
        <v>#REF!</v>
      </c>
      <c r="DQ46" t="e">
        <f>AND(#REF!,"AAAAAHfP33g=")</f>
        <v>#REF!</v>
      </c>
      <c r="DR46" t="e">
        <f>AND(#REF!,"AAAAAHfP33k=")</f>
        <v>#REF!</v>
      </c>
      <c r="DS46" t="e">
        <f>AND(#REF!,"AAAAAHfP33o=")</f>
        <v>#REF!</v>
      </c>
      <c r="DT46" t="e">
        <f>AND(#REF!,"AAAAAHfP33s=")</f>
        <v>#REF!</v>
      </c>
      <c r="DU46" t="e">
        <f>AND(#REF!,"AAAAAHfP33w=")</f>
        <v>#REF!</v>
      </c>
      <c r="DV46" t="e">
        <f>AND(#REF!,"AAAAAHfP330=")</f>
        <v>#REF!</v>
      </c>
      <c r="DW46" t="e">
        <f>IF(#REF!,"AAAAAHfP334=",0)</f>
        <v>#REF!</v>
      </c>
      <c r="DX46" t="e">
        <f>AND(#REF!,"AAAAAHfP338=")</f>
        <v>#REF!</v>
      </c>
      <c r="DY46" t="e">
        <f>AND(#REF!,"AAAAAHfP34A=")</f>
        <v>#REF!</v>
      </c>
      <c r="DZ46" t="e">
        <f>AND(#REF!,"AAAAAHfP34E=")</f>
        <v>#REF!</v>
      </c>
      <c r="EA46" t="e">
        <f>AND(#REF!,"AAAAAHfP34I=")</f>
        <v>#REF!</v>
      </c>
      <c r="EB46" t="e">
        <f>AND(#REF!,"AAAAAHfP34M=")</f>
        <v>#REF!</v>
      </c>
      <c r="EC46" t="e">
        <f>AND(#REF!,"AAAAAHfP34Q=")</f>
        <v>#REF!</v>
      </c>
      <c r="ED46" t="e">
        <f>AND(#REF!,"AAAAAHfP34U=")</f>
        <v>#REF!</v>
      </c>
      <c r="EE46" t="e">
        <f>AND(#REF!,"AAAAAHfP34Y=")</f>
        <v>#REF!</v>
      </c>
      <c r="EF46" t="e">
        <f>IF(#REF!,"AAAAAHfP34c=",0)</f>
        <v>#REF!</v>
      </c>
      <c r="EG46" t="e">
        <f>AND(#REF!,"AAAAAHfP34g=")</f>
        <v>#REF!</v>
      </c>
      <c r="EH46" t="e">
        <f>AND(#REF!,"AAAAAHfP34k=")</f>
        <v>#REF!</v>
      </c>
      <c r="EI46" t="e">
        <f>AND(#REF!,"AAAAAHfP34o=")</f>
        <v>#REF!</v>
      </c>
      <c r="EJ46" t="e">
        <f>AND(#REF!,"AAAAAHfP34s=")</f>
        <v>#REF!</v>
      </c>
      <c r="EK46" t="e">
        <f>AND(#REF!,"AAAAAHfP34w=")</f>
        <v>#REF!</v>
      </c>
      <c r="EL46" t="e">
        <f>AND(#REF!,"AAAAAHfP340=")</f>
        <v>#REF!</v>
      </c>
      <c r="EM46" t="e">
        <f>AND(#REF!,"AAAAAHfP344=")</f>
        <v>#REF!</v>
      </c>
      <c r="EN46" t="e">
        <f>AND(#REF!,"AAAAAHfP348=")</f>
        <v>#REF!</v>
      </c>
      <c r="EO46" t="e">
        <f>IF(#REF!,"AAAAAHfP35A=",0)</f>
        <v>#REF!</v>
      </c>
      <c r="EP46" t="e">
        <f>AND(#REF!,"AAAAAHfP35E=")</f>
        <v>#REF!</v>
      </c>
      <c r="EQ46" t="e">
        <f>AND(#REF!,"AAAAAHfP35I=")</f>
        <v>#REF!</v>
      </c>
      <c r="ER46" t="e">
        <f>AND(#REF!,"AAAAAHfP35M=")</f>
        <v>#REF!</v>
      </c>
      <c r="ES46" t="e">
        <f>AND(#REF!,"AAAAAHfP35Q=")</f>
        <v>#REF!</v>
      </c>
      <c r="ET46" t="e">
        <f>AND(#REF!,"AAAAAHfP35U=")</f>
        <v>#REF!</v>
      </c>
      <c r="EU46" t="e">
        <f>AND(#REF!,"AAAAAHfP35Y=")</f>
        <v>#REF!</v>
      </c>
      <c r="EV46" t="e">
        <f>AND(#REF!,"AAAAAHfP35c=")</f>
        <v>#REF!</v>
      </c>
      <c r="EW46" t="e">
        <f>AND(#REF!,"AAAAAHfP35g=")</f>
        <v>#REF!</v>
      </c>
      <c r="EX46" t="e">
        <f>IF(#REF!,"AAAAAHfP35k=",0)</f>
        <v>#REF!</v>
      </c>
      <c r="EY46" t="e">
        <f>AND(#REF!,"AAAAAHfP35o=")</f>
        <v>#REF!</v>
      </c>
      <c r="EZ46" t="e">
        <f>AND(#REF!,"AAAAAHfP35s=")</f>
        <v>#REF!</v>
      </c>
      <c r="FA46" t="e">
        <f>AND(#REF!,"AAAAAHfP35w=")</f>
        <v>#REF!</v>
      </c>
      <c r="FB46" t="e">
        <f>AND(#REF!,"AAAAAHfP350=")</f>
        <v>#REF!</v>
      </c>
      <c r="FC46" t="e">
        <f>AND(#REF!,"AAAAAHfP354=")</f>
        <v>#REF!</v>
      </c>
      <c r="FD46" t="e">
        <f>AND(#REF!,"AAAAAHfP358=")</f>
        <v>#REF!</v>
      </c>
      <c r="FE46" t="e">
        <f>AND(#REF!,"AAAAAHfP36A=")</f>
        <v>#REF!</v>
      </c>
      <c r="FF46" t="e">
        <f>AND(#REF!,"AAAAAHfP36E=")</f>
        <v>#REF!</v>
      </c>
      <c r="FG46" t="e">
        <f>IF(#REF!,"AAAAAHfP36I=",0)</f>
        <v>#REF!</v>
      </c>
      <c r="FH46" t="e">
        <f>AND(#REF!,"AAAAAHfP36M=")</f>
        <v>#REF!</v>
      </c>
      <c r="FI46" t="e">
        <f>AND(#REF!,"AAAAAHfP36Q=")</f>
        <v>#REF!</v>
      </c>
      <c r="FJ46" t="e">
        <f>AND(#REF!,"AAAAAHfP36U=")</f>
        <v>#REF!</v>
      </c>
      <c r="FK46" t="e">
        <f>AND(#REF!,"AAAAAHfP36Y=")</f>
        <v>#REF!</v>
      </c>
      <c r="FL46" t="e">
        <f>AND(#REF!,"AAAAAHfP36c=")</f>
        <v>#REF!</v>
      </c>
      <c r="FM46" t="e">
        <f>AND(#REF!,"AAAAAHfP36g=")</f>
        <v>#REF!</v>
      </c>
      <c r="FN46" t="e">
        <f>AND(#REF!,"AAAAAHfP36k=")</f>
        <v>#REF!</v>
      </c>
      <c r="FO46" t="e">
        <f>AND(#REF!,"AAAAAHfP36o=")</f>
        <v>#REF!</v>
      </c>
      <c r="FP46" t="e">
        <f>IF(#REF!,"AAAAAHfP36s=",0)</f>
        <v>#REF!</v>
      </c>
      <c r="FQ46" t="e">
        <f>AND(#REF!,"AAAAAHfP36w=")</f>
        <v>#REF!</v>
      </c>
      <c r="FR46" t="e">
        <f>AND(#REF!,"AAAAAHfP360=")</f>
        <v>#REF!</v>
      </c>
      <c r="FS46" t="e">
        <f>AND(#REF!,"AAAAAHfP364=")</f>
        <v>#REF!</v>
      </c>
      <c r="FT46" t="e">
        <f>AND(#REF!,"AAAAAHfP368=")</f>
        <v>#REF!</v>
      </c>
      <c r="FU46" t="e">
        <f>AND(#REF!,"AAAAAHfP37A=")</f>
        <v>#REF!</v>
      </c>
      <c r="FV46" t="e">
        <f>AND(#REF!,"AAAAAHfP37E=")</f>
        <v>#REF!</v>
      </c>
      <c r="FW46" t="e">
        <f>AND(#REF!,"AAAAAHfP37I=")</f>
        <v>#REF!</v>
      </c>
      <c r="FX46" t="e">
        <f>AND(#REF!,"AAAAAHfP37M=")</f>
        <v>#REF!</v>
      </c>
      <c r="FY46" t="e">
        <f>IF(#REF!,"AAAAAHfP37Q=",0)</f>
        <v>#REF!</v>
      </c>
      <c r="FZ46" t="e">
        <f>AND(#REF!,"AAAAAHfP37U=")</f>
        <v>#REF!</v>
      </c>
      <c r="GA46" t="e">
        <f>AND(#REF!,"AAAAAHfP37Y=")</f>
        <v>#REF!</v>
      </c>
      <c r="GB46" t="e">
        <f>AND(#REF!,"AAAAAHfP37c=")</f>
        <v>#REF!</v>
      </c>
      <c r="GC46" t="e">
        <f>AND(#REF!,"AAAAAHfP37g=")</f>
        <v>#REF!</v>
      </c>
      <c r="GD46" t="e">
        <f>AND(#REF!,"AAAAAHfP37k=")</f>
        <v>#REF!</v>
      </c>
      <c r="GE46" t="e">
        <f>AND(#REF!,"AAAAAHfP37o=")</f>
        <v>#REF!</v>
      </c>
      <c r="GF46" t="e">
        <f>AND(#REF!,"AAAAAHfP37s=")</f>
        <v>#REF!</v>
      </c>
      <c r="GG46" t="e">
        <f>AND(#REF!,"AAAAAHfP37w=")</f>
        <v>#REF!</v>
      </c>
      <c r="GH46" t="e">
        <f>IF(#REF!,"AAAAAHfP370=",0)</f>
        <v>#REF!</v>
      </c>
      <c r="GI46" t="e">
        <f>AND(#REF!,"AAAAAHfP374=")</f>
        <v>#REF!</v>
      </c>
      <c r="GJ46" t="e">
        <f>AND(#REF!,"AAAAAHfP378=")</f>
        <v>#REF!</v>
      </c>
      <c r="GK46" t="e">
        <f>AND(#REF!,"AAAAAHfP38A=")</f>
        <v>#REF!</v>
      </c>
      <c r="GL46" t="e">
        <f>AND(#REF!,"AAAAAHfP38E=")</f>
        <v>#REF!</v>
      </c>
      <c r="GM46" t="e">
        <f>AND(#REF!,"AAAAAHfP38I=")</f>
        <v>#REF!</v>
      </c>
      <c r="GN46" t="e">
        <f>AND(#REF!,"AAAAAHfP38M=")</f>
        <v>#REF!</v>
      </c>
      <c r="GO46" t="e">
        <f>AND(#REF!,"AAAAAHfP38Q=")</f>
        <v>#REF!</v>
      </c>
      <c r="GP46" t="e">
        <f>AND(#REF!,"AAAAAHfP38U=")</f>
        <v>#REF!</v>
      </c>
      <c r="GQ46" t="e">
        <f>IF(#REF!,"AAAAAHfP38Y=",0)</f>
        <v>#REF!</v>
      </c>
      <c r="GR46" t="e">
        <f>AND(#REF!,"AAAAAHfP38c=")</f>
        <v>#REF!</v>
      </c>
      <c r="GS46" t="e">
        <f>AND(#REF!,"AAAAAHfP38g=")</f>
        <v>#REF!</v>
      </c>
      <c r="GT46" t="e">
        <f>AND(#REF!,"AAAAAHfP38k=")</f>
        <v>#REF!</v>
      </c>
      <c r="GU46" t="e">
        <f>AND(#REF!,"AAAAAHfP38o=")</f>
        <v>#REF!</v>
      </c>
      <c r="GV46" t="e">
        <f>AND(#REF!,"AAAAAHfP38s=")</f>
        <v>#REF!</v>
      </c>
      <c r="GW46" t="e">
        <f>AND(#REF!,"AAAAAHfP38w=")</f>
        <v>#REF!</v>
      </c>
      <c r="GX46" t="e">
        <f>AND(#REF!,"AAAAAHfP380=")</f>
        <v>#REF!</v>
      </c>
      <c r="GY46" t="e">
        <f>AND(#REF!,"AAAAAHfP384=")</f>
        <v>#REF!</v>
      </c>
      <c r="GZ46" t="e">
        <f>IF(#REF!,"AAAAAHfP388=",0)</f>
        <v>#REF!</v>
      </c>
      <c r="HA46" t="e">
        <f>AND(#REF!,"AAAAAHfP39A=")</f>
        <v>#REF!</v>
      </c>
      <c r="HB46" t="e">
        <f>AND(#REF!,"AAAAAHfP39E=")</f>
        <v>#REF!</v>
      </c>
      <c r="HC46" t="e">
        <f>AND(#REF!,"AAAAAHfP39I=")</f>
        <v>#REF!</v>
      </c>
      <c r="HD46" t="e">
        <f>AND(#REF!,"AAAAAHfP39M=")</f>
        <v>#REF!</v>
      </c>
      <c r="HE46" t="e">
        <f>AND(#REF!,"AAAAAHfP39Q=")</f>
        <v>#REF!</v>
      </c>
      <c r="HF46" t="e">
        <f>AND(#REF!,"AAAAAHfP39U=")</f>
        <v>#REF!</v>
      </c>
      <c r="HG46" t="e">
        <f>AND(#REF!,"AAAAAHfP39Y=")</f>
        <v>#REF!</v>
      </c>
      <c r="HH46" t="e">
        <f>AND(#REF!,"AAAAAHfP39c=")</f>
        <v>#REF!</v>
      </c>
      <c r="HI46" t="e">
        <f>IF(#REF!,"AAAAAHfP39g=",0)</f>
        <v>#REF!</v>
      </c>
      <c r="HJ46" t="e">
        <f>AND(#REF!,"AAAAAHfP39k=")</f>
        <v>#REF!</v>
      </c>
      <c r="HK46" t="e">
        <f>AND(#REF!,"AAAAAHfP39o=")</f>
        <v>#REF!</v>
      </c>
      <c r="HL46" t="e">
        <f>AND(#REF!,"AAAAAHfP39s=")</f>
        <v>#REF!</v>
      </c>
      <c r="HM46" t="e">
        <f>AND(#REF!,"AAAAAHfP39w=")</f>
        <v>#REF!</v>
      </c>
      <c r="HN46" t="e">
        <f>AND(#REF!,"AAAAAHfP390=")</f>
        <v>#REF!</v>
      </c>
      <c r="HO46" t="e">
        <f>AND(#REF!,"AAAAAHfP394=")</f>
        <v>#REF!</v>
      </c>
      <c r="HP46" t="e">
        <f>AND(#REF!,"AAAAAHfP398=")</f>
        <v>#REF!</v>
      </c>
      <c r="HQ46" t="e">
        <f>AND(#REF!,"AAAAAHfP3+A=")</f>
        <v>#REF!</v>
      </c>
      <c r="HR46" t="e">
        <f>IF(#REF!,"AAAAAHfP3+E=",0)</f>
        <v>#REF!</v>
      </c>
      <c r="HS46" t="e">
        <f>AND(#REF!,"AAAAAHfP3+I=")</f>
        <v>#REF!</v>
      </c>
      <c r="HT46" t="e">
        <f>AND(#REF!,"AAAAAHfP3+M=")</f>
        <v>#REF!</v>
      </c>
      <c r="HU46" t="e">
        <f>AND(#REF!,"AAAAAHfP3+Q=")</f>
        <v>#REF!</v>
      </c>
      <c r="HV46" t="e">
        <f>AND(#REF!,"AAAAAHfP3+U=")</f>
        <v>#REF!</v>
      </c>
      <c r="HW46" t="e">
        <f>AND(#REF!,"AAAAAHfP3+Y=")</f>
        <v>#REF!</v>
      </c>
      <c r="HX46" t="e">
        <f>AND(#REF!,"AAAAAHfP3+c=")</f>
        <v>#REF!</v>
      </c>
      <c r="HY46" t="e">
        <f>AND(#REF!,"AAAAAHfP3+g=")</f>
        <v>#REF!</v>
      </c>
      <c r="HZ46" t="e">
        <f>AND(#REF!,"AAAAAHfP3+k=")</f>
        <v>#REF!</v>
      </c>
      <c r="IA46" t="e">
        <f>IF(#REF!,"AAAAAHfP3+o=",0)</f>
        <v>#REF!</v>
      </c>
      <c r="IB46" t="e">
        <f>AND(#REF!,"AAAAAHfP3+s=")</f>
        <v>#REF!</v>
      </c>
      <c r="IC46" t="e">
        <f>AND(#REF!,"AAAAAHfP3+w=")</f>
        <v>#REF!</v>
      </c>
      <c r="ID46" t="e">
        <f>AND(#REF!,"AAAAAHfP3+0=")</f>
        <v>#REF!</v>
      </c>
      <c r="IE46" t="e">
        <f>AND(#REF!,"AAAAAHfP3+4=")</f>
        <v>#REF!</v>
      </c>
      <c r="IF46" t="e">
        <f>AND(#REF!,"AAAAAHfP3+8=")</f>
        <v>#REF!</v>
      </c>
      <c r="IG46" t="e">
        <f>AND(#REF!,"AAAAAHfP3/A=")</f>
        <v>#REF!</v>
      </c>
      <c r="IH46" t="e">
        <f>AND(#REF!,"AAAAAHfP3/E=")</f>
        <v>#REF!</v>
      </c>
      <c r="II46" t="e">
        <f>AND(#REF!,"AAAAAHfP3/I=")</f>
        <v>#REF!</v>
      </c>
      <c r="IJ46" t="e">
        <f>IF(#REF!,"AAAAAHfP3/M=",0)</f>
        <v>#REF!</v>
      </c>
      <c r="IK46" t="e">
        <f>AND(#REF!,"AAAAAHfP3/Q=")</f>
        <v>#REF!</v>
      </c>
      <c r="IL46" t="e">
        <f>AND(#REF!,"AAAAAHfP3/U=")</f>
        <v>#REF!</v>
      </c>
      <c r="IM46" t="e">
        <f>AND(#REF!,"AAAAAHfP3/Y=")</f>
        <v>#REF!</v>
      </c>
      <c r="IN46" t="e">
        <f>AND(#REF!,"AAAAAHfP3/c=")</f>
        <v>#REF!</v>
      </c>
      <c r="IO46" t="e">
        <f>AND(#REF!,"AAAAAHfP3/g=")</f>
        <v>#REF!</v>
      </c>
      <c r="IP46" t="e">
        <f>AND(#REF!,"AAAAAHfP3/k=")</f>
        <v>#REF!</v>
      </c>
      <c r="IQ46" t="e">
        <f>AND(#REF!,"AAAAAHfP3/o=")</f>
        <v>#REF!</v>
      </c>
      <c r="IR46" t="e">
        <f>AND(#REF!,"AAAAAHfP3/s=")</f>
        <v>#REF!</v>
      </c>
      <c r="IS46" t="e">
        <f>IF(#REF!,"AAAAAHfP3/w=",0)</f>
        <v>#REF!</v>
      </c>
      <c r="IT46" t="e">
        <f>AND(#REF!,"AAAAAHfP3/0=")</f>
        <v>#REF!</v>
      </c>
      <c r="IU46" t="e">
        <f>AND(#REF!,"AAAAAHfP3/4=")</f>
        <v>#REF!</v>
      </c>
      <c r="IV46" t="e">
        <f>AND(#REF!,"AAAAAHfP3/8=")</f>
        <v>#REF!</v>
      </c>
    </row>
    <row r="47" spans="1:256">
      <c r="A47" t="e">
        <f>AND(#REF!,"AAAAAA745wA=")</f>
        <v>#REF!</v>
      </c>
      <c r="B47" t="e">
        <f>AND(#REF!,"AAAAAA745wE=")</f>
        <v>#REF!</v>
      </c>
      <c r="C47" t="e">
        <f>AND(#REF!,"AAAAAA745wI=")</f>
        <v>#REF!</v>
      </c>
      <c r="D47" t="e">
        <f>AND(#REF!,"AAAAAA745wM=")</f>
        <v>#REF!</v>
      </c>
      <c r="E47" t="e">
        <f>AND(#REF!,"AAAAAA745wQ=")</f>
        <v>#REF!</v>
      </c>
      <c r="F47" t="e">
        <f>IF(#REF!,"AAAAAA745wU=",0)</f>
        <v>#REF!</v>
      </c>
      <c r="G47" t="e">
        <f>AND(#REF!,"AAAAAA745wY=")</f>
        <v>#REF!</v>
      </c>
      <c r="H47" t="e">
        <f>AND(#REF!,"AAAAAA745wc=")</f>
        <v>#REF!</v>
      </c>
      <c r="I47" t="e">
        <f>AND(#REF!,"AAAAAA745wg=")</f>
        <v>#REF!</v>
      </c>
      <c r="J47" t="e">
        <f>AND(#REF!,"AAAAAA745wk=")</f>
        <v>#REF!</v>
      </c>
      <c r="K47" t="e">
        <f>AND(#REF!,"AAAAAA745wo=")</f>
        <v>#REF!</v>
      </c>
      <c r="L47" t="e">
        <f>AND(#REF!,"AAAAAA745ws=")</f>
        <v>#REF!</v>
      </c>
      <c r="M47" t="e">
        <f>AND(#REF!,"AAAAAA745ww=")</f>
        <v>#REF!</v>
      </c>
      <c r="N47" t="e">
        <f>AND(#REF!,"AAAAAA745w0=")</f>
        <v>#REF!</v>
      </c>
      <c r="O47" t="e">
        <f>IF(#REF!,"AAAAAA745w4=",0)</f>
        <v>#REF!</v>
      </c>
      <c r="P47" t="e">
        <f>AND(#REF!,"AAAAAA745w8=")</f>
        <v>#REF!</v>
      </c>
      <c r="Q47" t="e">
        <f>AND(#REF!,"AAAAAA745xA=")</f>
        <v>#REF!</v>
      </c>
      <c r="R47" t="e">
        <f>AND(#REF!,"AAAAAA745xE=")</f>
        <v>#REF!</v>
      </c>
      <c r="S47" t="e">
        <f>AND(#REF!,"AAAAAA745xI=")</f>
        <v>#REF!</v>
      </c>
      <c r="T47" t="e">
        <f>AND(#REF!,"AAAAAA745xM=")</f>
        <v>#REF!</v>
      </c>
      <c r="U47" t="e">
        <f>AND(#REF!,"AAAAAA745xQ=")</f>
        <v>#REF!</v>
      </c>
      <c r="V47" t="e">
        <f>AND(#REF!,"AAAAAA745xU=")</f>
        <v>#REF!</v>
      </c>
      <c r="W47" t="e">
        <f>AND(#REF!,"AAAAAA745xY=")</f>
        <v>#REF!</v>
      </c>
      <c r="X47" t="e">
        <f>IF(#REF!,"AAAAAA745xc=",0)</f>
        <v>#REF!</v>
      </c>
      <c r="Y47" t="e">
        <f>AND(#REF!,"AAAAAA745xg=")</f>
        <v>#REF!</v>
      </c>
      <c r="Z47" t="e">
        <f>AND(#REF!,"AAAAAA745xk=")</f>
        <v>#REF!</v>
      </c>
      <c r="AA47" t="e">
        <f>AND(#REF!,"AAAAAA745xo=")</f>
        <v>#REF!</v>
      </c>
      <c r="AB47" t="e">
        <f>AND(#REF!,"AAAAAA745xs=")</f>
        <v>#REF!</v>
      </c>
      <c r="AC47" t="e">
        <f>AND(#REF!,"AAAAAA745xw=")</f>
        <v>#REF!</v>
      </c>
      <c r="AD47" t="e">
        <f>AND(#REF!,"AAAAAA745x0=")</f>
        <v>#REF!</v>
      </c>
      <c r="AE47" t="e">
        <f>AND(#REF!,"AAAAAA745x4=")</f>
        <v>#REF!</v>
      </c>
      <c r="AF47" t="e">
        <f>AND(#REF!,"AAAAAA745x8=")</f>
        <v>#REF!</v>
      </c>
      <c r="AG47" t="e">
        <f>IF(#REF!,"AAAAAA745yA=",0)</f>
        <v>#REF!</v>
      </c>
      <c r="AH47" t="e">
        <f>AND(#REF!,"AAAAAA745yE=")</f>
        <v>#REF!</v>
      </c>
      <c r="AI47" t="e">
        <f>AND(#REF!,"AAAAAA745yI=")</f>
        <v>#REF!</v>
      </c>
      <c r="AJ47" t="e">
        <f>AND(#REF!,"AAAAAA745yM=")</f>
        <v>#REF!</v>
      </c>
      <c r="AK47" t="e">
        <f>AND(#REF!,"AAAAAA745yQ=")</f>
        <v>#REF!</v>
      </c>
      <c r="AL47" t="e">
        <f>AND(#REF!,"AAAAAA745yU=")</f>
        <v>#REF!</v>
      </c>
      <c r="AM47" t="e">
        <f>AND(#REF!,"AAAAAA745yY=")</f>
        <v>#REF!</v>
      </c>
      <c r="AN47" t="e">
        <f>AND(#REF!,"AAAAAA745yc=")</f>
        <v>#REF!</v>
      </c>
      <c r="AO47" t="e">
        <f>AND(#REF!,"AAAAAA745yg=")</f>
        <v>#REF!</v>
      </c>
      <c r="AP47" t="e">
        <f>IF(#REF!,"AAAAAA745yk=",0)</f>
        <v>#REF!</v>
      </c>
      <c r="AQ47" t="e">
        <f>AND(#REF!,"AAAAAA745yo=")</f>
        <v>#REF!</v>
      </c>
      <c r="AR47" t="e">
        <f>AND(#REF!,"AAAAAA745ys=")</f>
        <v>#REF!</v>
      </c>
      <c r="AS47" t="e">
        <f>AND(#REF!,"AAAAAA745yw=")</f>
        <v>#REF!</v>
      </c>
      <c r="AT47" t="e">
        <f>AND(#REF!,"AAAAAA745y0=")</f>
        <v>#REF!</v>
      </c>
      <c r="AU47" t="e">
        <f>AND(#REF!,"AAAAAA745y4=")</f>
        <v>#REF!</v>
      </c>
      <c r="AV47" t="e">
        <f>AND(#REF!,"AAAAAA745y8=")</f>
        <v>#REF!</v>
      </c>
      <c r="AW47" t="e">
        <f>AND(#REF!,"AAAAAA745zA=")</f>
        <v>#REF!</v>
      </c>
      <c r="AX47" t="e">
        <f>AND(#REF!,"AAAAAA745zE=")</f>
        <v>#REF!</v>
      </c>
      <c r="AY47" t="e">
        <f>IF(#REF!,"AAAAAA745zI=",0)</f>
        <v>#REF!</v>
      </c>
      <c r="AZ47" t="e">
        <f>AND(#REF!,"AAAAAA745zM=")</f>
        <v>#REF!</v>
      </c>
      <c r="BA47" t="e">
        <f>AND(#REF!,"AAAAAA745zQ=")</f>
        <v>#REF!</v>
      </c>
      <c r="BB47" t="e">
        <f>AND(#REF!,"AAAAAA745zU=")</f>
        <v>#REF!</v>
      </c>
      <c r="BC47" t="e">
        <f>AND(#REF!,"AAAAAA745zY=")</f>
        <v>#REF!</v>
      </c>
      <c r="BD47" t="e">
        <f>AND(#REF!,"AAAAAA745zc=")</f>
        <v>#REF!</v>
      </c>
      <c r="BE47" t="e">
        <f>AND(#REF!,"AAAAAA745zg=")</f>
        <v>#REF!</v>
      </c>
      <c r="BF47" t="e">
        <f>AND(#REF!,"AAAAAA745zk=")</f>
        <v>#REF!</v>
      </c>
      <c r="BG47" t="e">
        <f>AND(#REF!,"AAAAAA745zo=")</f>
        <v>#REF!</v>
      </c>
      <c r="BH47" t="e">
        <f>IF(#REF!,"AAAAAA745zs=",0)</f>
        <v>#REF!</v>
      </c>
      <c r="BI47" t="e">
        <f>AND(#REF!,"AAAAAA745zw=")</f>
        <v>#REF!</v>
      </c>
      <c r="BJ47" t="e">
        <f>AND(#REF!,"AAAAAA745z0=")</f>
        <v>#REF!</v>
      </c>
      <c r="BK47" t="e">
        <f>AND(#REF!,"AAAAAA745z4=")</f>
        <v>#REF!</v>
      </c>
      <c r="BL47" t="e">
        <f>AND(#REF!,"AAAAAA745z8=")</f>
        <v>#REF!</v>
      </c>
      <c r="BM47" t="e">
        <f>AND(#REF!,"AAAAAA7450A=")</f>
        <v>#REF!</v>
      </c>
      <c r="BN47" t="e">
        <f>AND(#REF!,"AAAAAA7450E=")</f>
        <v>#REF!</v>
      </c>
      <c r="BO47" t="e">
        <f>AND(#REF!,"AAAAAA7450I=")</f>
        <v>#REF!</v>
      </c>
      <c r="BP47" t="e">
        <f>AND(#REF!,"AAAAAA7450M=")</f>
        <v>#REF!</v>
      </c>
      <c r="BQ47" t="e">
        <f>IF(#REF!,"AAAAAA7450Q=",0)</f>
        <v>#REF!</v>
      </c>
      <c r="BR47" t="e">
        <f>AND(#REF!,"AAAAAA7450U=")</f>
        <v>#REF!</v>
      </c>
      <c r="BS47" t="e">
        <f>AND(#REF!,"AAAAAA7450Y=")</f>
        <v>#REF!</v>
      </c>
      <c r="BT47" t="e">
        <f>AND(#REF!,"AAAAAA7450c=")</f>
        <v>#REF!</v>
      </c>
      <c r="BU47" t="e">
        <f>AND(#REF!,"AAAAAA7450g=")</f>
        <v>#REF!</v>
      </c>
      <c r="BV47" t="e">
        <f>AND(#REF!,"AAAAAA7450k=")</f>
        <v>#REF!</v>
      </c>
      <c r="BW47" t="e">
        <f>AND(#REF!,"AAAAAA7450o=")</f>
        <v>#REF!</v>
      </c>
      <c r="BX47" t="e">
        <f>AND(#REF!,"AAAAAA7450s=")</f>
        <v>#REF!</v>
      </c>
      <c r="BY47" t="e">
        <f>AND(#REF!,"AAAAAA7450w=")</f>
        <v>#REF!</v>
      </c>
      <c r="BZ47" t="e">
        <f>IF(#REF!,"AAAAAA74500=",0)</f>
        <v>#REF!</v>
      </c>
      <c r="CA47" t="e">
        <f>AND(#REF!,"AAAAAA74504=")</f>
        <v>#REF!</v>
      </c>
      <c r="CB47" t="e">
        <f>AND(#REF!,"AAAAAA74508=")</f>
        <v>#REF!</v>
      </c>
      <c r="CC47" t="e">
        <f>AND(#REF!,"AAAAAA7451A=")</f>
        <v>#REF!</v>
      </c>
      <c r="CD47" t="e">
        <f>AND(#REF!,"AAAAAA7451E=")</f>
        <v>#REF!</v>
      </c>
      <c r="CE47" t="e">
        <f>AND(#REF!,"AAAAAA7451I=")</f>
        <v>#REF!</v>
      </c>
      <c r="CF47" t="e">
        <f>AND(#REF!,"AAAAAA7451M=")</f>
        <v>#REF!</v>
      </c>
      <c r="CG47" t="e">
        <f>AND(#REF!,"AAAAAA7451Q=")</f>
        <v>#REF!</v>
      </c>
      <c r="CH47" t="e">
        <f>AND(#REF!,"AAAAAA7451U=")</f>
        <v>#REF!</v>
      </c>
      <c r="CI47" t="e">
        <f>IF(#REF!,"AAAAAA7451Y=",0)</f>
        <v>#REF!</v>
      </c>
      <c r="CJ47" t="e">
        <f>AND(#REF!,"AAAAAA7451c=")</f>
        <v>#REF!</v>
      </c>
      <c r="CK47" t="e">
        <f>AND(#REF!,"AAAAAA7451g=")</f>
        <v>#REF!</v>
      </c>
      <c r="CL47" t="e">
        <f>AND(#REF!,"AAAAAA7451k=")</f>
        <v>#REF!</v>
      </c>
      <c r="CM47" t="e">
        <f>AND(#REF!,"AAAAAA7451o=")</f>
        <v>#REF!</v>
      </c>
      <c r="CN47" t="e">
        <f>AND(#REF!,"AAAAAA7451s=")</f>
        <v>#REF!</v>
      </c>
      <c r="CO47" t="e">
        <f>AND(#REF!,"AAAAAA7451w=")</f>
        <v>#REF!</v>
      </c>
      <c r="CP47" t="e">
        <f>AND(#REF!,"AAAAAA74510=")</f>
        <v>#REF!</v>
      </c>
      <c r="CQ47" t="e">
        <f>AND(#REF!,"AAAAAA74514=")</f>
        <v>#REF!</v>
      </c>
      <c r="CR47" t="e">
        <f>IF(#REF!,"AAAAAA74518=",0)</f>
        <v>#REF!</v>
      </c>
      <c r="CS47" t="e">
        <f>AND(#REF!,"AAAAAA7452A=")</f>
        <v>#REF!</v>
      </c>
      <c r="CT47" t="e">
        <f>AND(#REF!,"AAAAAA7452E=")</f>
        <v>#REF!</v>
      </c>
      <c r="CU47" t="e">
        <f>AND(#REF!,"AAAAAA7452I=")</f>
        <v>#REF!</v>
      </c>
      <c r="CV47" t="e">
        <f>AND(#REF!,"AAAAAA7452M=")</f>
        <v>#REF!</v>
      </c>
      <c r="CW47" t="e">
        <f>AND(#REF!,"AAAAAA7452Q=")</f>
        <v>#REF!</v>
      </c>
      <c r="CX47" t="e">
        <f>AND(#REF!,"AAAAAA7452U=")</f>
        <v>#REF!</v>
      </c>
      <c r="CY47" t="e">
        <f>AND(#REF!,"AAAAAA7452Y=")</f>
        <v>#REF!</v>
      </c>
      <c r="CZ47" t="e">
        <f>AND(#REF!,"AAAAAA7452c=")</f>
        <v>#REF!</v>
      </c>
      <c r="DA47" t="e">
        <f>IF(#REF!,"AAAAAA7452g=",0)</f>
        <v>#REF!</v>
      </c>
      <c r="DB47" t="e">
        <f>AND(#REF!,"AAAAAA7452k=")</f>
        <v>#REF!</v>
      </c>
      <c r="DC47" t="e">
        <f>AND(#REF!,"AAAAAA7452o=")</f>
        <v>#REF!</v>
      </c>
      <c r="DD47" t="e">
        <f>AND(#REF!,"AAAAAA7452s=")</f>
        <v>#REF!</v>
      </c>
      <c r="DE47" t="e">
        <f>AND(#REF!,"AAAAAA7452w=")</f>
        <v>#REF!</v>
      </c>
      <c r="DF47" t="e">
        <f>AND(#REF!,"AAAAAA74520=")</f>
        <v>#REF!</v>
      </c>
      <c r="DG47" t="e">
        <f>AND(#REF!,"AAAAAA74524=")</f>
        <v>#REF!</v>
      </c>
      <c r="DH47" t="e">
        <f>AND(#REF!,"AAAAAA74528=")</f>
        <v>#REF!</v>
      </c>
      <c r="DI47" t="e">
        <f>AND(#REF!,"AAAAAA7453A=")</f>
        <v>#REF!</v>
      </c>
      <c r="DJ47" t="e">
        <f>IF(#REF!,"AAAAAA7453E=",0)</f>
        <v>#REF!</v>
      </c>
      <c r="DK47" t="e">
        <f>AND(#REF!,"AAAAAA7453I=")</f>
        <v>#REF!</v>
      </c>
      <c r="DL47" t="e">
        <f>AND(#REF!,"AAAAAA7453M=")</f>
        <v>#REF!</v>
      </c>
      <c r="DM47" t="e">
        <f>AND(#REF!,"AAAAAA7453Q=")</f>
        <v>#REF!</v>
      </c>
      <c r="DN47" t="e">
        <f>AND(#REF!,"AAAAAA7453U=")</f>
        <v>#REF!</v>
      </c>
      <c r="DO47" t="e">
        <f>AND(#REF!,"AAAAAA7453Y=")</f>
        <v>#REF!</v>
      </c>
      <c r="DP47" t="e">
        <f>AND(#REF!,"AAAAAA7453c=")</f>
        <v>#REF!</v>
      </c>
      <c r="DQ47" t="e">
        <f>AND(#REF!,"AAAAAA7453g=")</f>
        <v>#REF!</v>
      </c>
      <c r="DR47" t="e">
        <f>AND(#REF!,"AAAAAA7453k=")</f>
        <v>#REF!</v>
      </c>
      <c r="DS47" t="e">
        <f>IF(#REF!,"AAAAAA7453o=",0)</f>
        <v>#REF!</v>
      </c>
      <c r="DT47" t="e">
        <f>AND(#REF!,"AAAAAA7453s=")</f>
        <v>#REF!</v>
      </c>
      <c r="DU47" t="e">
        <f>AND(#REF!,"AAAAAA7453w=")</f>
        <v>#REF!</v>
      </c>
      <c r="DV47" t="e">
        <f>AND(#REF!,"AAAAAA74530=")</f>
        <v>#REF!</v>
      </c>
      <c r="DW47" t="e">
        <f>AND(#REF!,"AAAAAA74534=")</f>
        <v>#REF!</v>
      </c>
      <c r="DX47" t="e">
        <f>AND(#REF!,"AAAAAA74538=")</f>
        <v>#REF!</v>
      </c>
      <c r="DY47" t="e">
        <f>AND(#REF!,"AAAAAA7454A=")</f>
        <v>#REF!</v>
      </c>
      <c r="DZ47" t="e">
        <f>AND(#REF!,"AAAAAA7454E=")</f>
        <v>#REF!</v>
      </c>
      <c r="EA47" t="e">
        <f>AND(#REF!,"AAAAAA7454I=")</f>
        <v>#REF!</v>
      </c>
      <c r="EB47" t="e">
        <f>IF(#REF!,"AAAAAA7454M=",0)</f>
        <v>#REF!</v>
      </c>
      <c r="EC47" t="e">
        <f>AND(#REF!,"AAAAAA7454Q=")</f>
        <v>#REF!</v>
      </c>
      <c r="ED47" t="e">
        <f>AND(#REF!,"AAAAAA7454U=")</f>
        <v>#REF!</v>
      </c>
      <c r="EE47" t="e">
        <f>AND(#REF!,"AAAAAA7454Y=")</f>
        <v>#REF!</v>
      </c>
      <c r="EF47" t="e">
        <f>AND(#REF!,"AAAAAA7454c=")</f>
        <v>#REF!</v>
      </c>
      <c r="EG47" t="e">
        <f>AND(#REF!,"AAAAAA7454g=")</f>
        <v>#REF!</v>
      </c>
      <c r="EH47" t="e">
        <f>AND(#REF!,"AAAAAA7454k=")</f>
        <v>#REF!</v>
      </c>
      <c r="EI47" t="e">
        <f>AND(#REF!,"AAAAAA7454o=")</f>
        <v>#REF!</v>
      </c>
      <c r="EJ47" t="e">
        <f>AND(#REF!,"AAAAAA7454s=")</f>
        <v>#REF!</v>
      </c>
      <c r="EK47" t="e">
        <f>IF(#REF!,"AAAAAA7454w=",0)</f>
        <v>#REF!</v>
      </c>
      <c r="EL47" t="e">
        <f>AND(#REF!,"AAAAAA74540=")</f>
        <v>#REF!</v>
      </c>
      <c r="EM47" t="e">
        <f>AND(#REF!,"AAAAAA74544=")</f>
        <v>#REF!</v>
      </c>
      <c r="EN47" t="e">
        <f>AND(#REF!,"AAAAAA74548=")</f>
        <v>#REF!</v>
      </c>
      <c r="EO47" t="e">
        <f>AND(#REF!,"AAAAAA7455A=")</f>
        <v>#REF!</v>
      </c>
      <c r="EP47" t="e">
        <f>AND(#REF!,"AAAAAA7455E=")</f>
        <v>#REF!</v>
      </c>
      <c r="EQ47" t="e">
        <f>AND(#REF!,"AAAAAA7455I=")</f>
        <v>#REF!</v>
      </c>
      <c r="ER47" t="e">
        <f>AND(#REF!,"AAAAAA7455M=")</f>
        <v>#REF!</v>
      </c>
      <c r="ES47" t="e">
        <f>AND(#REF!,"AAAAAA7455Q=")</f>
        <v>#REF!</v>
      </c>
      <c r="ET47" t="e">
        <f>IF(#REF!,"AAAAAA7455U=",0)</f>
        <v>#REF!</v>
      </c>
      <c r="EU47" t="e">
        <f>AND(#REF!,"AAAAAA7455Y=")</f>
        <v>#REF!</v>
      </c>
      <c r="EV47" t="e">
        <f>AND(#REF!,"AAAAAA7455c=")</f>
        <v>#REF!</v>
      </c>
      <c r="EW47" t="e">
        <f>AND(#REF!,"AAAAAA7455g=")</f>
        <v>#REF!</v>
      </c>
      <c r="EX47" t="e">
        <f>AND(#REF!,"AAAAAA7455k=")</f>
        <v>#REF!</v>
      </c>
      <c r="EY47" t="e">
        <f>AND(#REF!,"AAAAAA7455o=")</f>
        <v>#REF!</v>
      </c>
      <c r="EZ47" t="e">
        <f>AND(#REF!,"AAAAAA7455s=")</f>
        <v>#REF!</v>
      </c>
      <c r="FA47" t="e">
        <f>AND(#REF!,"AAAAAA7455w=")</f>
        <v>#REF!</v>
      </c>
      <c r="FB47" t="e">
        <f>AND(#REF!,"AAAAAA74550=")</f>
        <v>#REF!</v>
      </c>
      <c r="FC47" t="e">
        <f>IF(#REF!,"AAAAAA74554=",0)</f>
        <v>#REF!</v>
      </c>
      <c r="FD47" t="e">
        <f>AND(#REF!,"AAAAAA74558=")</f>
        <v>#REF!</v>
      </c>
      <c r="FE47" t="e">
        <f>AND(#REF!,"AAAAAA7456A=")</f>
        <v>#REF!</v>
      </c>
      <c r="FF47" t="e">
        <f>AND(#REF!,"AAAAAA7456E=")</f>
        <v>#REF!</v>
      </c>
      <c r="FG47" t="e">
        <f>AND(#REF!,"AAAAAA7456I=")</f>
        <v>#REF!</v>
      </c>
      <c r="FH47" t="e">
        <f>AND(#REF!,"AAAAAA7456M=")</f>
        <v>#REF!</v>
      </c>
      <c r="FI47" t="e">
        <f>AND(#REF!,"AAAAAA7456Q=")</f>
        <v>#REF!</v>
      </c>
      <c r="FJ47" t="e">
        <f>AND(#REF!,"AAAAAA7456U=")</f>
        <v>#REF!</v>
      </c>
      <c r="FK47" t="e">
        <f>AND(#REF!,"AAAAAA7456Y=")</f>
        <v>#REF!</v>
      </c>
      <c r="FL47" t="e">
        <f>IF(#REF!,"AAAAAA7456c=",0)</f>
        <v>#REF!</v>
      </c>
      <c r="FM47" t="e">
        <f>AND(#REF!,"AAAAAA7456g=")</f>
        <v>#REF!</v>
      </c>
      <c r="FN47" t="e">
        <f>AND(#REF!,"AAAAAA7456k=")</f>
        <v>#REF!</v>
      </c>
      <c r="FO47" t="e">
        <f>AND(#REF!,"AAAAAA7456o=")</f>
        <v>#REF!</v>
      </c>
      <c r="FP47" t="e">
        <f>AND(#REF!,"AAAAAA7456s=")</f>
        <v>#REF!</v>
      </c>
      <c r="FQ47" t="e">
        <f>AND(#REF!,"AAAAAA7456w=")</f>
        <v>#REF!</v>
      </c>
      <c r="FR47" t="e">
        <f>AND(#REF!,"AAAAAA74560=")</f>
        <v>#REF!</v>
      </c>
      <c r="FS47" t="e">
        <f>AND(#REF!,"AAAAAA74564=")</f>
        <v>#REF!</v>
      </c>
      <c r="FT47" t="e">
        <f>AND(#REF!,"AAAAAA74568=")</f>
        <v>#REF!</v>
      </c>
      <c r="FU47" t="e">
        <f>IF(#REF!,"AAAAAA7457A=",0)</f>
        <v>#REF!</v>
      </c>
      <c r="FV47" t="e">
        <f>AND(#REF!,"AAAAAA7457E=")</f>
        <v>#REF!</v>
      </c>
      <c r="FW47" t="e">
        <f>AND(#REF!,"AAAAAA7457I=")</f>
        <v>#REF!</v>
      </c>
      <c r="FX47" t="e">
        <f>AND(#REF!,"AAAAAA7457M=")</f>
        <v>#REF!</v>
      </c>
      <c r="FY47" t="e">
        <f>AND(#REF!,"AAAAAA7457Q=")</f>
        <v>#REF!</v>
      </c>
      <c r="FZ47" t="e">
        <f>AND(#REF!,"AAAAAA7457U=")</f>
        <v>#REF!</v>
      </c>
      <c r="GA47" t="e">
        <f>AND(#REF!,"AAAAAA7457Y=")</f>
        <v>#REF!</v>
      </c>
      <c r="GB47" t="e">
        <f>AND(#REF!,"AAAAAA7457c=")</f>
        <v>#REF!</v>
      </c>
      <c r="GC47" t="e">
        <f>AND(#REF!,"AAAAAA7457g=")</f>
        <v>#REF!</v>
      </c>
      <c r="GD47" t="e">
        <f>IF(#REF!,"AAAAAA7457k=",0)</f>
        <v>#REF!</v>
      </c>
      <c r="GE47" t="e">
        <f>AND(#REF!,"AAAAAA7457o=")</f>
        <v>#REF!</v>
      </c>
      <c r="GF47" t="e">
        <f>AND(#REF!,"AAAAAA7457s=")</f>
        <v>#REF!</v>
      </c>
      <c r="GG47" t="e">
        <f>AND(#REF!,"AAAAAA7457w=")</f>
        <v>#REF!</v>
      </c>
      <c r="GH47" t="e">
        <f>AND(#REF!,"AAAAAA74570=")</f>
        <v>#REF!</v>
      </c>
      <c r="GI47" t="e">
        <f>AND(#REF!,"AAAAAA74574=")</f>
        <v>#REF!</v>
      </c>
      <c r="GJ47" t="e">
        <f>AND(#REF!,"AAAAAA74578=")</f>
        <v>#REF!</v>
      </c>
      <c r="GK47" t="e">
        <f>AND(#REF!,"AAAAAA7458A=")</f>
        <v>#REF!</v>
      </c>
      <c r="GL47" t="e">
        <f>AND(#REF!,"AAAAAA7458E=")</f>
        <v>#REF!</v>
      </c>
      <c r="GM47" t="e">
        <f>IF(#REF!,"AAAAAA7458I=",0)</f>
        <v>#REF!</v>
      </c>
      <c r="GN47" t="e">
        <f>AND(#REF!,"AAAAAA7458M=")</f>
        <v>#REF!</v>
      </c>
      <c r="GO47" t="e">
        <f>AND(#REF!,"AAAAAA7458Q=")</f>
        <v>#REF!</v>
      </c>
      <c r="GP47" t="e">
        <f>AND(#REF!,"AAAAAA7458U=")</f>
        <v>#REF!</v>
      </c>
      <c r="GQ47" t="e">
        <f>AND(#REF!,"AAAAAA7458Y=")</f>
        <v>#REF!</v>
      </c>
      <c r="GR47" t="e">
        <f>AND(#REF!,"AAAAAA7458c=")</f>
        <v>#REF!</v>
      </c>
      <c r="GS47" t="e">
        <f>AND(#REF!,"AAAAAA7458g=")</f>
        <v>#REF!</v>
      </c>
      <c r="GT47" t="e">
        <f>AND(#REF!,"AAAAAA7458k=")</f>
        <v>#REF!</v>
      </c>
      <c r="GU47" t="e">
        <f>AND(#REF!,"AAAAAA7458o=")</f>
        <v>#REF!</v>
      </c>
      <c r="GV47" t="e">
        <f>IF(#REF!,"AAAAAA7458s=",0)</f>
        <v>#REF!</v>
      </c>
      <c r="GW47" t="e">
        <f>AND(#REF!,"AAAAAA7458w=")</f>
        <v>#REF!</v>
      </c>
      <c r="GX47" t="e">
        <f>AND(#REF!,"AAAAAA74580=")</f>
        <v>#REF!</v>
      </c>
      <c r="GY47" t="e">
        <f>AND(#REF!,"AAAAAA74584=")</f>
        <v>#REF!</v>
      </c>
      <c r="GZ47" t="e">
        <f>AND(#REF!,"AAAAAA74588=")</f>
        <v>#REF!</v>
      </c>
      <c r="HA47" t="e">
        <f>AND(#REF!,"AAAAAA7459A=")</f>
        <v>#REF!</v>
      </c>
      <c r="HB47" t="e">
        <f>AND(#REF!,"AAAAAA7459E=")</f>
        <v>#REF!</v>
      </c>
      <c r="HC47" t="e">
        <f>AND(#REF!,"AAAAAA7459I=")</f>
        <v>#REF!</v>
      </c>
      <c r="HD47" t="e">
        <f>AND(#REF!,"AAAAAA7459M=")</f>
        <v>#REF!</v>
      </c>
      <c r="HE47" t="e">
        <f>IF(#REF!,"AAAAAA7459Q=",0)</f>
        <v>#REF!</v>
      </c>
      <c r="HF47" t="e">
        <f>AND(#REF!,"AAAAAA7459U=")</f>
        <v>#REF!</v>
      </c>
      <c r="HG47" t="e">
        <f>AND(#REF!,"AAAAAA7459Y=")</f>
        <v>#REF!</v>
      </c>
      <c r="HH47" t="e">
        <f>AND(#REF!,"AAAAAA7459c=")</f>
        <v>#REF!</v>
      </c>
      <c r="HI47" t="e">
        <f>AND(#REF!,"AAAAAA7459g=")</f>
        <v>#REF!</v>
      </c>
      <c r="HJ47" t="e">
        <f>AND(#REF!,"AAAAAA7459k=")</f>
        <v>#REF!</v>
      </c>
      <c r="HK47" t="e">
        <f>AND(#REF!,"AAAAAA7459o=")</f>
        <v>#REF!</v>
      </c>
      <c r="HL47" t="e">
        <f>AND(#REF!,"AAAAAA7459s=")</f>
        <v>#REF!</v>
      </c>
      <c r="HM47" t="e">
        <f>AND(#REF!,"AAAAAA7459w=")</f>
        <v>#REF!</v>
      </c>
      <c r="HN47" t="e">
        <f>IF(#REF!,"AAAAAA74590=",0)</f>
        <v>#REF!</v>
      </c>
      <c r="HO47" t="e">
        <f>AND(#REF!,"AAAAAA74594=")</f>
        <v>#REF!</v>
      </c>
      <c r="HP47" t="e">
        <f>AND(#REF!,"AAAAAA74598=")</f>
        <v>#REF!</v>
      </c>
      <c r="HQ47" t="e">
        <f>AND(#REF!,"AAAAAA745+A=")</f>
        <v>#REF!</v>
      </c>
      <c r="HR47" t="e">
        <f>AND(#REF!,"AAAAAA745+E=")</f>
        <v>#REF!</v>
      </c>
      <c r="HS47" t="e">
        <f>AND(#REF!,"AAAAAA745+I=")</f>
        <v>#REF!</v>
      </c>
      <c r="HT47" t="e">
        <f>AND(#REF!,"AAAAAA745+M=")</f>
        <v>#REF!</v>
      </c>
      <c r="HU47" t="e">
        <f>AND(#REF!,"AAAAAA745+Q=")</f>
        <v>#REF!</v>
      </c>
      <c r="HV47" t="e">
        <f>AND(#REF!,"AAAAAA745+U=")</f>
        <v>#REF!</v>
      </c>
      <c r="HW47" t="e">
        <f>IF(#REF!,"AAAAAA745+Y=",0)</f>
        <v>#REF!</v>
      </c>
      <c r="HX47" t="e">
        <f>AND(#REF!,"AAAAAA745+c=")</f>
        <v>#REF!</v>
      </c>
      <c r="HY47" t="e">
        <f>AND(#REF!,"AAAAAA745+g=")</f>
        <v>#REF!</v>
      </c>
      <c r="HZ47" t="e">
        <f>AND(#REF!,"AAAAAA745+k=")</f>
        <v>#REF!</v>
      </c>
      <c r="IA47" t="e">
        <f>AND(#REF!,"AAAAAA745+o=")</f>
        <v>#REF!</v>
      </c>
      <c r="IB47" t="e">
        <f>AND(#REF!,"AAAAAA745+s=")</f>
        <v>#REF!</v>
      </c>
      <c r="IC47" t="e">
        <f>AND(#REF!,"AAAAAA745+w=")</f>
        <v>#REF!</v>
      </c>
      <c r="ID47" t="e">
        <f>AND(#REF!,"AAAAAA745+0=")</f>
        <v>#REF!</v>
      </c>
      <c r="IE47" t="e">
        <f>AND(#REF!,"AAAAAA745+4=")</f>
        <v>#REF!</v>
      </c>
      <c r="IF47" t="e">
        <f>IF(#REF!,"AAAAAA745+8=",0)</f>
        <v>#REF!</v>
      </c>
      <c r="IG47" t="e">
        <f>AND(#REF!,"AAAAAA745/A=")</f>
        <v>#REF!</v>
      </c>
      <c r="IH47" t="e">
        <f>AND(#REF!,"AAAAAA745/E=")</f>
        <v>#REF!</v>
      </c>
      <c r="II47" t="e">
        <f>AND(#REF!,"AAAAAA745/I=")</f>
        <v>#REF!</v>
      </c>
      <c r="IJ47" t="e">
        <f>AND(#REF!,"AAAAAA745/M=")</f>
        <v>#REF!</v>
      </c>
      <c r="IK47" t="e">
        <f>AND(#REF!,"AAAAAA745/Q=")</f>
        <v>#REF!</v>
      </c>
      <c r="IL47" t="e">
        <f>AND(#REF!,"AAAAAA745/U=")</f>
        <v>#REF!</v>
      </c>
      <c r="IM47" t="e">
        <f>AND(#REF!,"AAAAAA745/Y=")</f>
        <v>#REF!</v>
      </c>
      <c r="IN47" t="e">
        <f>AND(#REF!,"AAAAAA745/c=")</f>
        <v>#REF!</v>
      </c>
      <c r="IO47" t="e">
        <f>IF(#REF!,"AAAAAA745/g=",0)</f>
        <v>#REF!</v>
      </c>
      <c r="IP47" t="e">
        <f>AND(#REF!,"AAAAAA745/k=")</f>
        <v>#REF!</v>
      </c>
      <c r="IQ47" t="e">
        <f>AND(#REF!,"AAAAAA745/o=")</f>
        <v>#REF!</v>
      </c>
      <c r="IR47" t="e">
        <f>AND(#REF!,"AAAAAA745/s=")</f>
        <v>#REF!</v>
      </c>
      <c r="IS47" t="e">
        <f>AND(#REF!,"AAAAAA745/w=")</f>
        <v>#REF!</v>
      </c>
      <c r="IT47" t="e">
        <f>AND(#REF!,"AAAAAA745/0=")</f>
        <v>#REF!</v>
      </c>
      <c r="IU47" t="e">
        <f>AND(#REF!,"AAAAAA745/4=")</f>
        <v>#REF!</v>
      </c>
      <c r="IV47" t="e">
        <f>AND(#REF!,"AAAAAA745/8=")</f>
        <v>#REF!</v>
      </c>
    </row>
    <row r="48" spans="1:256">
      <c r="A48" t="e">
        <f>AND(#REF!,"AAAAAA/v3wA=")</f>
        <v>#REF!</v>
      </c>
      <c r="B48" t="e">
        <f>IF(#REF!,"AAAAAA/v3wE=",0)</f>
        <v>#REF!</v>
      </c>
      <c r="C48" t="e">
        <f>AND(#REF!,"AAAAAA/v3wI=")</f>
        <v>#REF!</v>
      </c>
      <c r="D48" t="e">
        <f>AND(#REF!,"AAAAAA/v3wM=")</f>
        <v>#REF!</v>
      </c>
      <c r="E48" t="e">
        <f>AND(#REF!,"AAAAAA/v3wQ=")</f>
        <v>#REF!</v>
      </c>
      <c r="F48" t="e">
        <f>AND(#REF!,"AAAAAA/v3wU=")</f>
        <v>#REF!</v>
      </c>
      <c r="G48" t="e">
        <f>AND(#REF!,"AAAAAA/v3wY=")</f>
        <v>#REF!</v>
      </c>
      <c r="H48" t="e">
        <f>AND(#REF!,"AAAAAA/v3wc=")</f>
        <v>#REF!</v>
      </c>
      <c r="I48" t="e">
        <f>AND(#REF!,"AAAAAA/v3wg=")</f>
        <v>#REF!</v>
      </c>
      <c r="J48" t="e">
        <f>AND(#REF!,"AAAAAA/v3wk=")</f>
        <v>#REF!</v>
      </c>
      <c r="K48" t="e">
        <f>IF(#REF!,"AAAAAA/v3wo=",0)</f>
        <v>#REF!</v>
      </c>
      <c r="L48" t="e">
        <f>AND(#REF!,"AAAAAA/v3ws=")</f>
        <v>#REF!</v>
      </c>
      <c r="M48" t="e">
        <f>AND(#REF!,"AAAAAA/v3ww=")</f>
        <v>#REF!</v>
      </c>
      <c r="N48" t="e">
        <f>AND(#REF!,"AAAAAA/v3w0=")</f>
        <v>#REF!</v>
      </c>
      <c r="O48" t="e">
        <f>AND(#REF!,"AAAAAA/v3w4=")</f>
        <v>#REF!</v>
      </c>
      <c r="P48" t="e">
        <f>AND(#REF!,"AAAAAA/v3w8=")</f>
        <v>#REF!</v>
      </c>
      <c r="Q48" t="e">
        <f>AND(#REF!,"AAAAAA/v3xA=")</f>
        <v>#REF!</v>
      </c>
      <c r="R48" t="e">
        <f>AND(#REF!,"AAAAAA/v3xE=")</f>
        <v>#REF!</v>
      </c>
      <c r="S48" t="e">
        <f>AND(#REF!,"AAAAAA/v3xI=")</f>
        <v>#REF!</v>
      </c>
      <c r="T48" t="e">
        <f>IF(#REF!,"AAAAAA/v3xM=",0)</f>
        <v>#REF!</v>
      </c>
      <c r="U48" t="e">
        <f>AND(#REF!,"AAAAAA/v3xQ=")</f>
        <v>#REF!</v>
      </c>
      <c r="V48" t="e">
        <f>AND(#REF!,"AAAAAA/v3xU=")</f>
        <v>#REF!</v>
      </c>
      <c r="W48" t="e">
        <f>AND(#REF!,"AAAAAA/v3xY=")</f>
        <v>#REF!</v>
      </c>
      <c r="X48" t="e">
        <f>AND(#REF!,"AAAAAA/v3xc=")</f>
        <v>#REF!</v>
      </c>
      <c r="Y48" t="e">
        <f>AND(#REF!,"AAAAAA/v3xg=")</f>
        <v>#REF!</v>
      </c>
      <c r="Z48" t="e">
        <f>AND(#REF!,"AAAAAA/v3xk=")</f>
        <v>#REF!</v>
      </c>
      <c r="AA48" t="e">
        <f>AND(#REF!,"AAAAAA/v3xo=")</f>
        <v>#REF!</v>
      </c>
      <c r="AB48" t="e">
        <f>AND(#REF!,"AAAAAA/v3xs=")</f>
        <v>#REF!</v>
      </c>
      <c r="AC48" t="e">
        <f>IF(#REF!,"AAAAAA/v3xw=",0)</f>
        <v>#REF!</v>
      </c>
      <c r="AD48" t="e">
        <f>AND(#REF!,"AAAAAA/v3x0=")</f>
        <v>#REF!</v>
      </c>
      <c r="AE48" t="e">
        <f>AND(#REF!,"AAAAAA/v3x4=")</f>
        <v>#REF!</v>
      </c>
      <c r="AF48" t="e">
        <f>AND(#REF!,"AAAAAA/v3x8=")</f>
        <v>#REF!</v>
      </c>
      <c r="AG48" t="e">
        <f>AND(#REF!,"AAAAAA/v3yA=")</f>
        <v>#REF!</v>
      </c>
      <c r="AH48" t="e">
        <f>AND(#REF!,"AAAAAA/v3yE=")</f>
        <v>#REF!</v>
      </c>
      <c r="AI48" t="e">
        <f>AND(#REF!,"AAAAAA/v3yI=")</f>
        <v>#REF!</v>
      </c>
      <c r="AJ48" t="e">
        <f>AND(#REF!,"AAAAAA/v3yM=")</f>
        <v>#REF!</v>
      </c>
      <c r="AK48" t="e">
        <f>AND(#REF!,"AAAAAA/v3yQ=")</f>
        <v>#REF!</v>
      </c>
      <c r="AL48" t="e">
        <f>IF(#REF!,"AAAAAA/v3yU=",0)</f>
        <v>#REF!</v>
      </c>
      <c r="AM48" t="e">
        <f>AND(#REF!,"AAAAAA/v3yY=")</f>
        <v>#REF!</v>
      </c>
      <c r="AN48" t="e">
        <f>AND(#REF!,"AAAAAA/v3yc=")</f>
        <v>#REF!</v>
      </c>
      <c r="AO48" t="e">
        <f>AND(#REF!,"AAAAAA/v3yg=")</f>
        <v>#REF!</v>
      </c>
      <c r="AP48" t="e">
        <f>AND(#REF!,"AAAAAA/v3yk=")</f>
        <v>#REF!</v>
      </c>
      <c r="AQ48" t="e">
        <f>AND(#REF!,"AAAAAA/v3yo=")</f>
        <v>#REF!</v>
      </c>
      <c r="AR48" t="e">
        <f>AND(#REF!,"AAAAAA/v3ys=")</f>
        <v>#REF!</v>
      </c>
      <c r="AS48" t="e">
        <f>AND(#REF!,"AAAAAA/v3yw=")</f>
        <v>#REF!</v>
      </c>
      <c r="AT48" t="e">
        <f>AND(#REF!,"AAAAAA/v3y0=")</f>
        <v>#REF!</v>
      </c>
      <c r="AU48" t="e">
        <f>IF(#REF!,"AAAAAA/v3y4=",0)</f>
        <v>#REF!</v>
      </c>
      <c r="AV48" t="e">
        <f>AND(#REF!,"AAAAAA/v3y8=")</f>
        <v>#REF!</v>
      </c>
      <c r="AW48" t="e">
        <f>AND(#REF!,"AAAAAA/v3zA=")</f>
        <v>#REF!</v>
      </c>
      <c r="AX48" t="e">
        <f>AND(#REF!,"AAAAAA/v3zE=")</f>
        <v>#REF!</v>
      </c>
      <c r="AY48" t="e">
        <f>AND(#REF!,"AAAAAA/v3zI=")</f>
        <v>#REF!</v>
      </c>
      <c r="AZ48" t="e">
        <f>AND(#REF!,"AAAAAA/v3zM=")</f>
        <v>#REF!</v>
      </c>
      <c r="BA48" t="e">
        <f>AND(#REF!,"AAAAAA/v3zQ=")</f>
        <v>#REF!</v>
      </c>
      <c r="BB48" t="e">
        <f>AND(#REF!,"AAAAAA/v3zU=")</f>
        <v>#REF!</v>
      </c>
      <c r="BC48" t="e">
        <f>AND(#REF!,"AAAAAA/v3zY=")</f>
        <v>#REF!</v>
      </c>
      <c r="BD48" t="e">
        <f>IF(#REF!,"AAAAAA/v3zc=",0)</f>
        <v>#REF!</v>
      </c>
      <c r="BE48" t="e">
        <f>AND(#REF!,"AAAAAA/v3zg=")</f>
        <v>#REF!</v>
      </c>
      <c r="BF48" t="e">
        <f>AND(#REF!,"AAAAAA/v3zk=")</f>
        <v>#REF!</v>
      </c>
      <c r="BG48" t="e">
        <f>AND(#REF!,"AAAAAA/v3zo=")</f>
        <v>#REF!</v>
      </c>
      <c r="BH48" t="e">
        <f>AND(#REF!,"AAAAAA/v3zs=")</f>
        <v>#REF!</v>
      </c>
      <c r="BI48" t="e">
        <f>AND(#REF!,"AAAAAA/v3zw=")</f>
        <v>#REF!</v>
      </c>
      <c r="BJ48" t="e">
        <f>AND(#REF!,"AAAAAA/v3z0=")</f>
        <v>#REF!</v>
      </c>
      <c r="BK48" t="e">
        <f>AND(#REF!,"AAAAAA/v3z4=")</f>
        <v>#REF!</v>
      </c>
      <c r="BL48" t="e">
        <f>AND(#REF!,"AAAAAA/v3z8=")</f>
        <v>#REF!</v>
      </c>
      <c r="BM48" t="e">
        <f>IF(#REF!,"AAAAAA/v30A=",0)</f>
        <v>#REF!</v>
      </c>
      <c r="BN48" t="e">
        <f>AND(#REF!,"AAAAAA/v30E=")</f>
        <v>#REF!</v>
      </c>
      <c r="BO48" t="e">
        <f>AND(#REF!,"AAAAAA/v30I=")</f>
        <v>#REF!</v>
      </c>
      <c r="BP48" t="e">
        <f>AND(#REF!,"AAAAAA/v30M=")</f>
        <v>#REF!</v>
      </c>
      <c r="BQ48" t="e">
        <f>AND(#REF!,"AAAAAA/v30Q=")</f>
        <v>#REF!</v>
      </c>
      <c r="BR48" t="e">
        <f>AND(#REF!,"AAAAAA/v30U=")</f>
        <v>#REF!</v>
      </c>
      <c r="BS48" t="e">
        <f>AND(#REF!,"AAAAAA/v30Y=")</f>
        <v>#REF!</v>
      </c>
      <c r="BT48" t="e">
        <f>AND(#REF!,"AAAAAA/v30c=")</f>
        <v>#REF!</v>
      </c>
      <c r="BU48" t="e">
        <f>AND(#REF!,"AAAAAA/v30g=")</f>
        <v>#REF!</v>
      </c>
      <c r="BV48" t="e">
        <f>IF(#REF!,"AAAAAA/v30k=",0)</f>
        <v>#REF!</v>
      </c>
      <c r="BW48" t="e">
        <f>AND(#REF!,"AAAAAA/v30o=")</f>
        <v>#REF!</v>
      </c>
      <c r="BX48" t="e">
        <f>AND(#REF!,"AAAAAA/v30s=")</f>
        <v>#REF!</v>
      </c>
      <c r="BY48" t="e">
        <f>AND(#REF!,"AAAAAA/v30w=")</f>
        <v>#REF!</v>
      </c>
      <c r="BZ48" t="e">
        <f>AND(#REF!,"AAAAAA/v300=")</f>
        <v>#REF!</v>
      </c>
      <c r="CA48" t="e">
        <f>AND(#REF!,"AAAAAA/v304=")</f>
        <v>#REF!</v>
      </c>
      <c r="CB48" t="e">
        <f>AND(#REF!,"AAAAAA/v308=")</f>
        <v>#REF!</v>
      </c>
      <c r="CC48" t="e">
        <f>AND(#REF!,"AAAAAA/v31A=")</f>
        <v>#REF!</v>
      </c>
      <c r="CD48" t="e">
        <f>AND(#REF!,"AAAAAA/v31E=")</f>
        <v>#REF!</v>
      </c>
      <c r="CE48" t="e">
        <f>IF(#REF!,"AAAAAA/v31I=",0)</f>
        <v>#REF!</v>
      </c>
      <c r="CF48" t="e">
        <f>AND(#REF!,"AAAAAA/v31M=")</f>
        <v>#REF!</v>
      </c>
      <c r="CG48" t="e">
        <f>AND(#REF!,"AAAAAA/v31Q=")</f>
        <v>#REF!</v>
      </c>
      <c r="CH48" t="e">
        <f>AND(#REF!,"AAAAAA/v31U=")</f>
        <v>#REF!</v>
      </c>
      <c r="CI48" t="e">
        <f>AND(#REF!,"AAAAAA/v31Y=")</f>
        <v>#REF!</v>
      </c>
      <c r="CJ48" t="e">
        <f>AND(#REF!,"AAAAAA/v31c=")</f>
        <v>#REF!</v>
      </c>
      <c r="CK48" t="e">
        <f>AND(#REF!,"AAAAAA/v31g=")</f>
        <v>#REF!</v>
      </c>
      <c r="CL48" t="e">
        <f>AND(#REF!,"AAAAAA/v31k=")</f>
        <v>#REF!</v>
      </c>
      <c r="CM48" t="e">
        <f>AND(#REF!,"AAAAAA/v31o=")</f>
        <v>#REF!</v>
      </c>
      <c r="CN48" t="e">
        <f>IF(#REF!,"AAAAAA/v31s=",0)</f>
        <v>#REF!</v>
      </c>
      <c r="CO48" t="e">
        <f>AND(#REF!,"AAAAAA/v31w=")</f>
        <v>#REF!</v>
      </c>
      <c r="CP48" t="e">
        <f>AND(#REF!,"AAAAAA/v310=")</f>
        <v>#REF!</v>
      </c>
      <c r="CQ48" t="e">
        <f>AND(#REF!,"AAAAAA/v314=")</f>
        <v>#REF!</v>
      </c>
      <c r="CR48" t="e">
        <f>AND(#REF!,"AAAAAA/v318=")</f>
        <v>#REF!</v>
      </c>
      <c r="CS48" t="e">
        <f>AND(#REF!,"AAAAAA/v32A=")</f>
        <v>#REF!</v>
      </c>
      <c r="CT48" t="e">
        <f>AND(#REF!,"AAAAAA/v32E=")</f>
        <v>#REF!</v>
      </c>
      <c r="CU48" t="e">
        <f>AND(#REF!,"AAAAAA/v32I=")</f>
        <v>#REF!</v>
      </c>
      <c r="CV48" t="e">
        <f>AND(#REF!,"AAAAAA/v32M=")</f>
        <v>#REF!</v>
      </c>
      <c r="CW48" t="e">
        <f>IF(#REF!,"AAAAAA/v32Q=",0)</f>
        <v>#REF!</v>
      </c>
      <c r="CX48" t="e">
        <f>AND(#REF!,"AAAAAA/v32U=")</f>
        <v>#REF!</v>
      </c>
      <c r="CY48" t="e">
        <f>AND(#REF!,"AAAAAA/v32Y=")</f>
        <v>#REF!</v>
      </c>
      <c r="CZ48" t="e">
        <f>AND(#REF!,"AAAAAA/v32c=")</f>
        <v>#REF!</v>
      </c>
      <c r="DA48" t="e">
        <f>AND(#REF!,"AAAAAA/v32g=")</f>
        <v>#REF!</v>
      </c>
      <c r="DB48" t="e">
        <f>AND(#REF!,"AAAAAA/v32k=")</f>
        <v>#REF!</v>
      </c>
      <c r="DC48" t="e">
        <f>AND(#REF!,"AAAAAA/v32o=")</f>
        <v>#REF!</v>
      </c>
      <c r="DD48" t="e">
        <f>AND(#REF!,"AAAAAA/v32s=")</f>
        <v>#REF!</v>
      </c>
      <c r="DE48" t="e">
        <f>AND(#REF!,"AAAAAA/v32w=")</f>
        <v>#REF!</v>
      </c>
      <c r="DF48" t="e">
        <f>IF(#REF!,"AAAAAA/v320=",0)</f>
        <v>#REF!</v>
      </c>
      <c r="DG48" t="e">
        <f>AND(#REF!,"AAAAAA/v324=")</f>
        <v>#REF!</v>
      </c>
      <c r="DH48" t="e">
        <f>AND(#REF!,"AAAAAA/v328=")</f>
        <v>#REF!</v>
      </c>
      <c r="DI48" t="e">
        <f>AND(#REF!,"AAAAAA/v33A=")</f>
        <v>#REF!</v>
      </c>
      <c r="DJ48" t="e">
        <f>AND(#REF!,"AAAAAA/v33E=")</f>
        <v>#REF!</v>
      </c>
      <c r="DK48" t="e">
        <f>AND(#REF!,"AAAAAA/v33I=")</f>
        <v>#REF!</v>
      </c>
      <c r="DL48" t="e">
        <f>AND(#REF!,"AAAAAA/v33M=")</f>
        <v>#REF!</v>
      </c>
      <c r="DM48" t="e">
        <f>AND(#REF!,"AAAAAA/v33Q=")</f>
        <v>#REF!</v>
      </c>
      <c r="DN48" t="e">
        <f>AND(#REF!,"AAAAAA/v33U=")</f>
        <v>#REF!</v>
      </c>
      <c r="DO48" t="e">
        <f>IF(#REF!,"AAAAAA/v33Y=",0)</f>
        <v>#REF!</v>
      </c>
      <c r="DP48" t="e">
        <f>AND(#REF!,"AAAAAA/v33c=")</f>
        <v>#REF!</v>
      </c>
      <c r="DQ48" t="e">
        <f>AND(#REF!,"AAAAAA/v33g=")</f>
        <v>#REF!</v>
      </c>
      <c r="DR48" t="e">
        <f>AND(#REF!,"AAAAAA/v33k=")</f>
        <v>#REF!</v>
      </c>
      <c r="DS48" t="e">
        <f>AND(#REF!,"AAAAAA/v33o=")</f>
        <v>#REF!</v>
      </c>
      <c r="DT48" t="e">
        <f>AND(#REF!,"AAAAAA/v33s=")</f>
        <v>#REF!</v>
      </c>
      <c r="DU48" t="e">
        <f>AND(#REF!,"AAAAAA/v33w=")</f>
        <v>#REF!</v>
      </c>
      <c r="DV48" t="e">
        <f>AND(#REF!,"AAAAAA/v330=")</f>
        <v>#REF!</v>
      </c>
      <c r="DW48" t="e">
        <f>AND(#REF!,"AAAAAA/v334=")</f>
        <v>#REF!</v>
      </c>
      <c r="DX48" t="e">
        <f>IF(#REF!,"AAAAAA/v338=",0)</f>
        <v>#REF!</v>
      </c>
      <c r="DY48" t="e">
        <f>AND(#REF!,"AAAAAA/v34A=")</f>
        <v>#REF!</v>
      </c>
      <c r="DZ48" t="e">
        <f>AND(#REF!,"AAAAAA/v34E=")</f>
        <v>#REF!</v>
      </c>
      <c r="EA48" t="e">
        <f>AND(#REF!,"AAAAAA/v34I=")</f>
        <v>#REF!</v>
      </c>
      <c r="EB48" t="e">
        <f>AND(#REF!,"AAAAAA/v34M=")</f>
        <v>#REF!</v>
      </c>
      <c r="EC48" t="e">
        <f>AND(#REF!,"AAAAAA/v34Q=")</f>
        <v>#REF!</v>
      </c>
      <c r="ED48" t="e">
        <f>AND(#REF!,"AAAAAA/v34U=")</f>
        <v>#REF!</v>
      </c>
      <c r="EE48" t="e">
        <f>AND(#REF!,"AAAAAA/v34Y=")</f>
        <v>#REF!</v>
      </c>
      <c r="EF48" t="e">
        <f>AND(#REF!,"AAAAAA/v34c=")</f>
        <v>#REF!</v>
      </c>
      <c r="EG48" t="e">
        <f>IF(#REF!,"AAAAAA/v34g=",0)</f>
        <v>#REF!</v>
      </c>
      <c r="EH48" t="e">
        <f>AND(#REF!,"AAAAAA/v34k=")</f>
        <v>#REF!</v>
      </c>
      <c r="EI48" t="e">
        <f>AND(#REF!,"AAAAAA/v34o=")</f>
        <v>#REF!</v>
      </c>
      <c r="EJ48" t="e">
        <f>AND(#REF!,"AAAAAA/v34s=")</f>
        <v>#REF!</v>
      </c>
      <c r="EK48" t="e">
        <f>AND(#REF!,"AAAAAA/v34w=")</f>
        <v>#REF!</v>
      </c>
      <c r="EL48" t="e">
        <f>AND(#REF!,"AAAAAA/v340=")</f>
        <v>#REF!</v>
      </c>
      <c r="EM48" t="e">
        <f>AND(#REF!,"AAAAAA/v344=")</f>
        <v>#REF!</v>
      </c>
      <c r="EN48" t="e">
        <f>AND(#REF!,"AAAAAA/v348=")</f>
        <v>#REF!</v>
      </c>
      <c r="EO48" t="e">
        <f>AND(#REF!,"AAAAAA/v35A=")</f>
        <v>#REF!</v>
      </c>
      <c r="EP48" t="e">
        <f>IF(#REF!,"AAAAAA/v35E=",0)</f>
        <v>#REF!</v>
      </c>
      <c r="EQ48" t="e">
        <f>AND(#REF!,"AAAAAA/v35I=")</f>
        <v>#REF!</v>
      </c>
      <c r="ER48" t="e">
        <f>AND(#REF!,"AAAAAA/v35M=")</f>
        <v>#REF!</v>
      </c>
      <c r="ES48" t="e">
        <f>AND(#REF!,"AAAAAA/v35Q=")</f>
        <v>#REF!</v>
      </c>
      <c r="ET48" t="e">
        <f>AND(#REF!,"AAAAAA/v35U=")</f>
        <v>#REF!</v>
      </c>
      <c r="EU48" t="e">
        <f>AND(#REF!,"AAAAAA/v35Y=")</f>
        <v>#REF!</v>
      </c>
      <c r="EV48" t="e">
        <f>AND(#REF!,"AAAAAA/v35c=")</f>
        <v>#REF!</v>
      </c>
      <c r="EW48" t="e">
        <f>AND(#REF!,"AAAAAA/v35g=")</f>
        <v>#REF!</v>
      </c>
      <c r="EX48" t="e">
        <f>AND(#REF!,"AAAAAA/v35k=")</f>
        <v>#REF!</v>
      </c>
      <c r="EY48" t="e">
        <f>IF(#REF!,"AAAAAA/v35o=",0)</f>
        <v>#REF!</v>
      </c>
      <c r="EZ48" t="e">
        <f>AND(#REF!,"AAAAAA/v35s=")</f>
        <v>#REF!</v>
      </c>
      <c r="FA48" t="e">
        <f>AND(#REF!,"AAAAAA/v35w=")</f>
        <v>#REF!</v>
      </c>
      <c r="FB48" t="e">
        <f>AND(#REF!,"AAAAAA/v350=")</f>
        <v>#REF!</v>
      </c>
      <c r="FC48" t="e">
        <f>AND(#REF!,"AAAAAA/v354=")</f>
        <v>#REF!</v>
      </c>
      <c r="FD48" t="e">
        <f>AND(#REF!,"AAAAAA/v358=")</f>
        <v>#REF!</v>
      </c>
      <c r="FE48" t="e">
        <f>AND(#REF!,"AAAAAA/v36A=")</f>
        <v>#REF!</v>
      </c>
      <c r="FF48" t="e">
        <f>AND(#REF!,"AAAAAA/v36E=")</f>
        <v>#REF!</v>
      </c>
      <c r="FG48" t="e">
        <f>AND(#REF!,"AAAAAA/v36I=")</f>
        <v>#REF!</v>
      </c>
      <c r="FH48" t="e">
        <f>IF(#REF!,"AAAAAA/v36M=",0)</f>
        <v>#REF!</v>
      </c>
      <c r="FI48" t="e">
        <f>AND(#REF!,"AAAAAA/v36Q=")</f>
        <v>#REF!</v>
      </c>
      <c r="FJ48" t="e">
        <f>AND(#REF!,"AAAAAA/v36U=")</f>
        <v>#REF!</v>
      </c>
      <c r="FK48" t="e">
        <f>AND(#REF!,"AAAAAA/v36Y=")</f>
        <v>#REF!</v>
      </c>
      <c r="FL48" t="e">
        <f>AND(#REF!,"AAAAAA/v36c=")</f>
        <v>#REF!</v>
      </c>
      <c r="FM48" t="e">
        <f>AND(#REF!,"AAAAAA/v36g=")</f>
        <v>#REF!</v>
      </c>
      <c r="FN48" t="e">
        <f>AND(#REF!,"AAAAAA/v36k=")</f>
        <v>#REF!</v>
      </c>
      <c r="FO48" t="e">
        <f>AND(#REF!,"AAAAAA/v36o=")</f>
        <v>#REF!</v>
      </c>
      <c r="FP48" t="e">
        <f>AND(#REF!,"AAAAAA/v36s=")</f>
        <v>#REF!</v>
      </c>
      <c r="FQ48" t="e">
        <f>IF(#REF!,"AAAAAA/v36w=",0)</f>
        <v>#REF!</v>
      </c>
      <c r="FR48" t="e">
        <f>AND(#REF!,"AAAAAA/v360=")</f>
        <v>#REF!</v>
      </c>
      <c r="FS48" t="e">
        <f>AND(#REF!,"AAAAAA/v364=")</f>
        <v>#REF!</v>
      </c>
      <c r="FT48" t="e">
        <f>AND(#REF!,"AAAAAA/v368=")</f>
        <v>#REF!</v>
      </c>
      <c r="FU48" t="e">
        <f>AND(#REF!,"AAAAAA/v37A=")</f>
        <v>#REF!</v>
      </c>
      <c r="FV48" t="e">
        <f>AND(#REF!,"AAAAAA/v37E=")</f>
        <v>#REF!</v>
      </c>
      <c r="FW48" t="e">
        <f>AND(#REF!,"AAAAAA/v37I=")</f>
        <v>#REF!</v>
      </c>
      <c r="FX48" t="e">
        <f>AND(#REF!,"AAAAAA/v37M=")</f>
        <v>#REF!</v>
      </c>
      <c r="FY48" t="e">
        <f>AND(#REF!,"AAAAAA/v37Q=")</f>
        <v>#REF!</v>
      </c>
      <c r="FZ48" t="e">
        <f>IF(#REF!,"AAAAAA/v37U=",0)</f>
        <v>#REF!</v>
      </c>
      <c r="GA48" t="e">
        <f>AND(#REF!,"AAAAAA/v37Y=")</f>
        <v>#REF!</v>
      </c>
      <c r="GB48" t="e">
        <f>AND(#REF!,"AAAAAA/v37c=")</f>
        <v>#REF!</v>
      </c>
      <c r="GC48" t="e">
        <f>AND(#REF!,"AAAAAA/v37g=")</f>
        <v>#REF!</v>
      </c>
      <c r="GD48" t="e">
        <f>AND(#REF!,"AAAAAA/v37k=")</f>
        <v>#REF!</v>
      </c>
      <c r="GE48" t="e">
        <f>AND(#REF!,"AAAAAA/v37o=")</f>
        <v>#REF!</v>
      </c>
      <c r="GF48" t="e">
        <f>AND(#REF!,"AAAAAA/v37s=")</f>
        <v>#REF!</v>
      </c>
      <c r="GG48" t="e">
        <f>AND(#REF!,"AAAAAA/v37w=")</f>
        <v>#REF!</v>
      </c>
      <c r="GH48" t="e">
        <f>AND(#REF!,"AAAAAA/v370=")</f>
        <v>#REF!</v>
      </c>
      <c r="GI48" t="e">
        <f>IF(#REF!,"AAAAAA/v374=",0)</f>
        <v>#REF!</v>
      </c>
      <c r="GJ48" t="e">
        <f>AND(#REF!,"AAAAAA/v378=")</f>
        <v>#REF!</v>
      </c>
      <c r="GK48" t="e">
        <f>AND(#REF!,"AAAAAA/v38A=")</f>
        <v>#REF!</v>
      </c>
      <c r="GL48" t="e">
        <f>AND(#REF!,"AAAAAA/v38E=")</f>
        <v>#REF!</v>
      </c>
      <c r="GM48" t="e">
        <f>AND(#REF!,"AAAAAA/v38I=")</f>
        <v>#REF!</v>
      </c>
      <c r="GN48" t="e">
        <f>AND(#REF!,"AAAAAA/v38M=")</f>
        <v>#REF!</v>
      </c>
      <c r="GO48" t="e">
        <f>AND(#REF!,"AAAAAA/v38Q=")</f>
        <v>#REF!</v>
      </c>
      <c r="GP48" t="e">
        <f>AND(#REF!,"AAAAAA/v38U=")</f>
        <v>#REF!</v>
      </c>
      <c r="GQ48" t="e">
        <f>AND(#REF!,"AAAAAA/v38Y=")</f>
        <v>#REF!</v>
      </c>
      <c r="GR48" t="e">
        <f>IF(#REF!,"AAAAAA/v38c=",0)</f>
        <v>#REF!</v>
      </c>
      <c r="GS48" t="e">
        <f>AND(#REF!,"AAAAAA/v38g=")</f>
        <v>#REF!</v>
      </c>
      <c r="GT48" t="e">
        <f>AND(#REF!,"AAAAAA/v38k=")</f>
        <v>#REF!</v>
      </c>
      <c r="GU48" t="e">
        <f>AND(#REF!,"AAAAAA/v38o=")</f>
        <v>#REF!</v>
      </c>
      <c r="GV48" t="e">
        <f>AND(#REF!,"AAAAAA/v38s=")</f>
        <v>#REF!</v>
      </c>
      <c r="GW48" t="e">
        <f>AND(#REF!,"AAAAAA/v38w=")</f>
        <v>#REF!</v>
      </c>
      <c r="GX48" t="e">
        <f>AND(#REF!,"AAAAAA/v380=")</f>
        <v>#REF!</v>
      </c>
      <c r="GY48" t="e">
        <f>AND(#REF!,"AAAAAA/v384=")</f>
        <v>#REF!</v>
      </c>
      <c r="GZ48" t="e">
        <f>AND(#REF!,"AAAAAA/v388=")</f>
        <v>#REF!</v>
      </c>
      <c r="HA48" t="e">
        <f>IF(#REF!,"AAAAAA/v39A=",0)</f>
        <v>#REF!</v>
      </c>
      <c r="HB48" t="e">
        <f>AND(#REF!,"AAAAAA/v39E=")</f>
        <v>#REF!</v>
      </c>
      <c r="HC48" t="e">
        <f>AND(#REF!,"AAAAAA/v39I=")</f>
        <v>#REF!</v>
      </c>
      <c r="HD48" t="e">
        <f>AND(#REF!,"AAAAAA/v39M=")</f>
        <v>#REF!</v>
      </c>
      <c r="HE48" t="e">
        <f>AND(#REF!,"AAAAAA/v39Q=")</f>
        <v>#REF!</v>
      </c>
      <c r="HF48" t="e">
        <f>AND(#REF!,"AAAAAA/v39U=")</f>
        <v>#REF!</v>
      </c>
      <c r="HG48" t="e">
        <f>AND(#REF!,"AAAAAA/v39Y=")</f>
        <v>#REF!</v>
      </c>
      <c r="HH48" t="e">
        <f>AND(#REF!,"AAAAAA/v39c=")</f>
        <v>#REF!</v>
      </c>
      <c r="HI48" t="e">
        <f>AND(#REF!,"AAAAAA/v39g=")</f>
        <v>#REF!</v>
      </c>
      <c r="HJ48" t="e">
        <f>IF(#REF!,"AAAAAA/v39k=",0)</f>
        <v>#REF!</v>
      </c>
      <c r="HK48" t="e">
        <f>AND(#REF!,"AAAAAA/v39o=")</f>
        <v>#REF!</v>
      </c>
      <c r="HL48" t="e">
        <f>AND(#REF!,"AAAAAA/v39s=")</f>
        <v>#REF!</v>
      </c>
      <c r="HM48" t="e">
        <f>AND(#REF!,"AAAAAA/v39w=")</f>
        <v>#REF!</v>
      </c>
      <c r="HN48" t="e">
        <f>AND(#REF!,"AAAAAA/v390=")</f>
        <v>#REF!</v>
      </c>
      <c r="HO48" t="e">
        <f>AND(#REF!,"AAAAAA/v394=")</f>
        <v>#REF!</v>
      </c>
      <c r="HP48" t="e">
        <f>AND(#REF!,"AAAAAA/v398=")</f>
        <v>#REF!</v>
      </c>
      <c r="HQ48" t="e">
        <f>AND(#REF!,"AAAAAA/v3+A=")</f>
        <v>#REF!</v>
      </c>
      <c r="HR48" t="e">
        <f>AND(#REF!,"AAAAAA/v3+E=")</f>
        <v>#REF!</v>
      </c>
      <c r="HS48" t="e">
        <f>IF(#REF!,"AAAAAA/v3+I=",0)</f>
        <v>#REF!</v>
      </c>
      <c r="HT48" t="e">
        <f>AND(#REF!,"AAAAAA/v3+M=")</f>
        <v>#REF!</v>
      </c>
      <c r="HU48" t="e">
        <f>AND(#REF!,"AAAAAA/v3+Q=")</f>
        <v>#REF!</v>
      </c>
      <c r="HV48" t="e">
        <f>AND(#REF!,"AAAAAA/v3+U=")</f>
        <v>#REF!</v>
      </c>
      <c r="HW48" t="e">
        <f>AND(#REF!,"AAAAAA/v3+Y=")</f>
        <v>#REF!</v>
      </c>
      <c r="HX48" t="e">
        <f>AND(#REF!,"AAAAAA/v3+c=")</f>
        <v>#REF!</v>
      </c>
      <c r="HY48" t="e">
        <f>AND(#REF!,"AAAAAA/v3+g=")</f>
        <v>#REF!</v>
      </c>
      <c r="HZ48" t="e">
        <f>AND(#REF!,"AAAAAA/v3+k=")</f>
        <v>#REF!</v>
      </c>
      <c r="IA48" t="e">
        <f>AND(#REF!,"AAAAAA/v3+o=")</f>
        <v>#REF!</v>
      </c>
      <c r="IB48" t="e">
        <f>IF(#REF!,"AAAAAA/v3+s=",0)</f>
        <v>#REF!</v>
      </c>
      <c r="IC48" t="e">
        <f>AND(#REF!,"AAAAAA/v3+w=")</f>
        <v>#REF!</v>
      </c>
      <c r="ID48" t="e">
        <f>AND(#REF!,"AAAAAA/v3+0=")</f>
        <v>#REF!</v>
      </c>
      <c r="IE48" t="e">
        <f>AND(#REF!,"AAAAAA/v3+4=")</f>
        <v>#REF!</v>
      </c>
      <c r="IF48" t="e">
        <f>AND(#REF!,"AAAAAA/v3+8=")</f>
        <v>#REF!</v>
      </c>
      <c r="IG48" t="e">
        <f>AND(#REF!,"AAAAAA/v3/A=")</f>
        <v>#REF!</v>
      </c>
      <c r="IH48" t="e">
        <f>AND(#REF!,"AAAAAA/v3/E=")</f>
        <v>#REF!</v>
      </c>
      <c r="II48" t="e">
        <f>AND(#REF!,"AAAAAA/v3/I=")</f>
        <v>#REF!</v>
      </c>
      <c r="IJ48" t="e">
        <f>AND(#REF!,"AAAAAA/v3/M=")</f>
        <v>#REF!</v>
      </c>
      <c r="IK48" t="e">
        <f>IF(#REF!,"AAAAAA/v3/Q=",0)</f>
        <v>#REF!</v>
      </c>
      <c r="IL48" t="e">
        <f>AND(#REF!,"AAAAAA/v3/U=")</f>
        <v>#REF!</v>
      </c>
      <c r="IM48" t="e">
        <f>AND(#REF!,"AAAAAA/v3/Y=")</f>
        <v>#REF!</v>
      </c>
      <c r="IN48" t="e">
        <f>AND(#REF!,"AAAAAA/v3/c=")</f>
        <v>#REF!</v>
      </c>
      <c r="IO48" t="e">
        <f>AND(#REF!,"AAAAAA/v3/g=")</f>
        <v>#REF!</v>
      </c>
      <c r="IP48" t="e">
        <f>AND(#REF!,"AAAAAA/v3/k=")</f>
        <v>#REF!</v>
      </c>
      <c r="IQ48" t="e">
        <f>AND(#REF!,"AAAAAA/v3/o=")</f>
        <v>#REF!</v>
      </c>
      <c r="IR48" t="e">
        <f>AND(#REF!,"AAAAAA/v3/s=")</f>
        <v>#REF!</v>
      </c>
      <c r="IS48" t="e">
        <f>AND(#REF!,"AAAAAA/v3/w=")</f>
        <v>#REF!</v>
      </c>
      <c r="IT48" t="e">
        <f>IF(#REF!,"AAAAAA/v3/0=",0)</f>
        <v>#REF!</v>
      </c>
      <c r="IU48" t="e">
        <f>AND(#REF!,"AAAAAA/v3/4=")</f>
        <v>#REF!</v>
      </c>
      <c r="IV48" t="e">
        <f>AND(#REF!,"AAAAAA/v3/8=")</f>
        <v>#REF!</v>
      </c>
    </row>
    <row r="49" spans="1:256">
      <c r="A49" t="e">
        <f>AND(#REF!,"AAAAAC9WZAA=")</f>
        <v>#REF!</v>
      </c>
      <c r="B49" t="e">
        <f>AND(#REF!,"AAAAAC9WZAE=")</f>
        <v>#REF!</v>
      </c>
      <c r="C49" t="e">
        <f>AND(#REF!,"AAAAAC9WZAI=")</f>
        <v>#REF!</v>
      </c>
      <c r="D49" t="e">
        <f>AND(#REF!,"AAAAAC9WZAM=")</f>
        <v>#REF!</v>
      </c>
      <c r="E49" t="e">
        <f>AND(#REF!,"AAAAAC9WZAQ=")</f>
        <v>#REF!</v>
      </c>
      <c r="F49" t="e">
        <f>AND(#REF!,"AAAAAC9WZAU=")</f>
        <v>#REF!</v>
      </c>
      <c r="G49" t="e">
        <f>IF(#REF!,"AAAAAC9WZAY=",0)</f>
        <v>#REF!</v>
      </c>
      <c r="H49" t="e">
        <f>AND(#REF!,"AAAAAC9WZAc=")</f>
        <v>#REF!</v>
      </c>
      <c r="I49" t="e">
        <f>AND(#REF!,"AAAAAC9WZAg=")</f>
        <v>#REF!</v>
      </c>
      <c r="J49" t="e">
        <f>AND(#REF!,"AAAAAC9WZAk=")</f>
        <v>#REF!</v>
      </c>
      <c r="K49" t="e">
        <f>AND(#REF!,"AAAAAC9WZAo=")</f>
        <v>#REF!</v>
      </c>
      <c r="L49" t="e">
        <f>AND(#REF!,"AAAAAC9WZAs=")</f>
        <v>#REF!</v>
      </c>
      <c r="M49" t="e">
        <f>AND(#REF!,"AAAAAC9WZAw=")</f>
        <v>#REF!</v>
      </c>
      <c r="N49" t="e">
        <f>AND(#REF!,"AAAAAC9WZA0=")</f>
        <v>#REF!</v>
      </c>
      <c r="O49" t="e">
        <f>AND(#REF!,"AAAAAC9WZA4=")</f>
        <v>#REF!</v>
      </c>
      <c r="P49" t="e">
        <f>IF(#REF!,"AAAAAC9WZA8=",0)</f>
        <v>#REF!</v>
      </c>
      <c r="Q49" t="e">
        <f>AND(#REF!,"AAAAAC9WZBA=")</f>
        <v>#REF!</v>
      </c>
      <c r="R49" t="e">
        <f>AND(#REF!,"AAAAAC9WZBE=")</f>
        <v>#REF!</v>
      </c>
      <c r="S49" t="e">
        <f>AND(#REF!,"AAAAAC9WZBI=")</f>
        <v>#REF!</v>
      </c>
      <c r="T49" t="e">
        <f>AND(#REF!,"AAAAAC9WZBM=")</f>
        <v>#REF!</v>
      </c>
      <c r="U49" t="e">
        <f>AND(#REF!,"AAAAAC9WZBQ=")</f>
        <v>#REF!</v>
      </c>
      <c r="V49" t="e">
        <f>AND(#REF!,"AAAAAC9WZBU=")</f>
        <v>#REF!</v>
      </c>
      <c r="W49" t="e">
        <f>AND(#REF!,"AAAAAC9WZBY=")</f>
        <v>#REF!</v>
      </c>
      <c r="X49" t="e">
        <f>AND(#REF!,"AAAAAC9WZBc=")</f>
        <v>#REF!</v>
      </c>
      <c r="Y49" t="e">
        <f>IF(#REF!,"AAAAAC9WZBg=",0)</f>
        <v>#REF!</v>
      </c>
      <c r="Z49" t="e">
        <f>AND(#REF!,"AAAAAC9WZBk=")</f>
        <v>#REF!</v>
      </c>
      <c r="AA49" t="e">
        <f>AND(#REF!,"AAAAAC9WZBo=")</f>
        <v>#REF!</v>
      </c>
      <c r="AB49" t="e">
        <f>AND(#REF!,"AAAAAC9WZBs=")</f>
        <v>#REF!</v>
      </c>
      <c r="AC49" t="e">
        <f>AND(#REF!,"AAAAAC9WZBw=")</f>
        <v>#REF!</v>
      </c>
      <c r="AD49" t="e">
        <f>AND(#REF!,"AAAAAC9WZB0=")</f>
        <v>#REF!</v>
      </c>
      <c r="AE49" t="e">
        <f>AND(#REF!,"AAAAAC9WZB4=")</f>
        <v>#REF!</v>
      </c>
      <c r="AF49" t="e">
        <f>AND(#REF!,"AAAAAC9WZB8=")</f>
        <v>#REF!</v>
      </c>
      <c r="AG49" t="e">
        <f>AND(#REF!,"AAAAAC9WZCA=")</f>
        <v>#REF!</v>
      </c>
      <c r="AH49" t="e">
        <f>IF(#REF!,"AAAAAC9WZCE=",0)</f>
        <v>#REF!</v>
      </c>
      <c r="AI49" t="e">
        <f>AND(#REF!,"AAAAAC9WZCI=")</f>
        <v>#REF!</v>
      </c>
      <c r="AJ49" t="e">
        <f>AND(#REF!,"AAAAAC9WZCM=")</f>
        <v>#REF!</v>
      </c>
      <c r="AK49" t="e">
        <f>AND(#REF!,"AAAAAC9WZCQ=")</f>
        <v>#REF!</v>
      </c>
      <c r="AL49" t="e">
        <f>AND(#REF!,"AAAAAC9WZCU=")</f>
        <v>#REF!</v>
      </c>
      <c r="AM49" t="e">
        <f>AND(#REF!,"AAAAAC9WZCY=")</f>
        <v>#REF!</v>
      </c>
      <c r="AN49" t="e">
        <f>AND(#REF!,"AAAAAC9WZCc=")</f>
        <v>#REF!</v>
      </c>
      <c r="AO49" t="e">
        <f>AND(#REF!,"AAAAAC9WZCg=")</f>
        <v>#REF!</v>
      </c>
      <c r="AP49" t="e">
        <f>AND(#REF!,"AAAAAC9WZCk=")</f>
        <v>#REF!</v>
      </c>
      <c r="AQ49" t="e">
        <f>IF(#REF!,"AAAAAC9WZCo=",0)</f>
        <v>#REF!</v>
      </c>
      <c r="AR49" t="e">
        <f>AND(#REF!,"AAAAAC9WZCs=")</f>
        <v>#REF!</v>
      </c>
      <c r="AS49" t="e">
        <f>AND(#REF!,"AAAAAC9WZCw=")</f>
        <v>#REF!</v>
      </c>
      <c r="AT49" t="e">
        <f>AND(#REF!,"AAAAAC9WZC0=")</f>
        <v>#REF!</v>
      </c>
      <c r="AU49" t="e">
        <f>AND(#REF!,"AAAAAC9WZC4=")</f>
        <v>#REF!</v>
      </c>
      <c r="AV49" t="e">
        <f>AND(#REF!,"AAAAAC9WZC8=")</f>
        <v>#REF!</v>
      </c>
      <c r="AW49" t="e">
        <f>AND(#REF!,"AAAAAC9WZDA=")</f>
        <v>#REF!</v>
      </c>
      <c r="AX49" t="e">
        <f>AND(#REF!,"AAAAAC9WZDE=")</f>
        <v>#REF!</v>
      </c>
      <c r="AY49" t="e">
        <f>AND(#REF!,"AAAAAC9WZDI=")</f>
        <v>#REF!</v>
      </c>
      <c r="AZ49" t="e">
        <f>IF(#REF!,"AAAAAC9WZDM=",0)</f>
        <v>#REF!</v>
      </c>
      <c r="BA49" t="e">
        <f>AND(#REF!,"AAAAAC9WZDQ=")</f>
        <v>#REF!</v>
      </c>
      <c r="BB49" t="e">
        <f>AND(#REF!,"AAAAAC9WZDU=")</f>
        <v>#REF!</v>
      </c>
      <c r="BC49" t="e">
        <f>AND(#REF!,"AAAAAC9WZDY=")</f>
        <v>#REF!</v>
      </c>
      <c r="BD49" t="e">
        <f>AND(#REF!,"AAAAAC9WZDc=")</f>
        <v>#REF!</v>
      </c>
      <c r="BE49" t="e">
        <f>AND(#REF!,"AAAAAC9WZDg=")</f>
        <v>#REF!</v>
      </c>
      <c r="BF49" t="e">
        <f>AND(#REF!,"AAAAAC9WZDk=")</f>
        <v>#REF!</v>
      </c>
      <c r="BG49" t="e">
        <f>AND(#REF!,"AAAAAC9WZDo=")</f>
        <v>#REF!</v>
      </c>
      <c r="BH49" t="e">
        <f>AND(#REF!,"AAAAAC9WZDs=")</f>
        <v>#REF!</v>
      </c>
      <c r="BI49" t="e">
        <f>IF(#REF!,"AAAAAC9WZDw=",0)</f>
        <v>#REF!</v>
      </c>
      <c r="BJ49" t="e">
        <f>AND(#REF!,"AAAAAC9WZD0=")</f>
        <v>#REF!</v>
      </c>
      <c r="BK49" t="e">
        <f>AND(#REF!,"AAAAAC9WZD4=")</f>
        <v>#REF!</v>
      </c>
      <c r="BL49" t="e">
        <f>AND(#REF!,"AAAAAC9WZD8=")</f>
        <v>#REF!</v>
      </c>
      <c r="BM49" t="e">
        <f>AND(#REF!,"AAAAAC9WZEA=")</f>
        <v>#REF!</v>
      </c>
      <c r="BN49" t="e">
        <f>AND(#REF!,"AAAAAC9WZEE=")</f>
        <v>#REF!</v>
      </c>
      <c r="BO49" t="e">
        <f>AND(#REF!,"AAAAAC9WZEI=")</f>
        <v>#REF!</v>
      </c>
      <c r="BP49" t="e">
        <f>AND(#REF!,"AAAAAC9WZEM=")</f>
        <v>#REF!</v>
      </c>
      <c r="BQ49" t="e">
        <f>AND(#REF!,"AAAAAC9WZEQ=")</f>
        <v>#REF!</v>
      </c>
      <c r="BR49" t="e">
        <f>IF(#REF!,"AAAAAC9WZEU=",0)</f>
        <v>#REF!</v>
      </c>
      <c r="BS49" t="e">
        <f>AND(#REF!,"AAAAAC9WZEY=")</f>
        <v>#REF!</v>
      </c>
      <c r="BT49" t="e">
        <f>AND(#REF!,"AAAAAC9WZEc=")</f>
        <v>#REF!</v>
      </c>
      <c r="BU49" t="e">
        <f>AND(#REF!,"AAAAAC9WZEg=")</f>
        <v>#REF!</v>
      </c>
      <c r="BV49" t="e">
        <f>AND(#REF!,"AAAAAC9WZEk=")</f>
        <v>#REF!</v>
      </c>
      <c r="BW49" t="e">
        <f>AND(#REF!,"AAAAAC9WZEo=")</f>
        <v>#REF!</v>
      </c>
      <c r="BX49" t="e">
        <f>AND(#REF!,"AAAAAC9WZEs=")</f>
        <v>#REF!</v>
      </c>
      <c r="BY49" t="e">
        <f>AND(#REF!,"AAAAAC9WZEw=")</f>
        <v>#REF!</v>
      </c>
      <c r="BZ49" t="e">
        <f>AND(#REF!,"AAAAAC9WZE0=")</f>
        <v>#REF!</v>
      </c>
      <c r="CA49" t="e">
        <f>IF(#REF!,"AAAAAC9WZE4=",0)</f>
        <v>#REF!</v>
      </c>
      <c r="CB49" t="e">
        <f>AND(#REF!,"AAAAAC9WZE8=")</f>
        <v>#REF!</v>
      </c>
      <c r="CC49" t="e">
        <f>AND(#REF!,"AAAAAC9WZFA=")</f>
        <v>#REF!</v>
      </c>
      <c r="CD49" t="e">
        <f>AND(#REF!,"AAAAAC9WZFE=")</f>
        <v>#REF!</v>
      </c>
      <c r="CE49" t="e">
        <f>AND(#REF!,"AAAAAC9WZFI=")</f>
        <v>#REF!</v>
      </c>
      <c r="CF49" t="e">
        <f>AND(#REF!,"AAAAAC9WZFM=")</f>
        <v>#REF!</v>
      </c>
      <c r="CG49" t="e">
        <f>AND(#REF!,"AAAAAC9WZFQ=")</f>
        <v>#REF!</v>
      </c>
      <c r="CH49" t="e">
        <f>AND(#REF!,"AAAAAC9WZFU=")</f>
        <v>#REF!</v>
      </c>
      <c r="CI49" t="e">
        <f>AND(#REF!,"AAAAAC9WZFY=")</f>
        <v>#REF!</v>
      </c>
      <c r="CJ49" t="e">
        <f>IF(#REF!,"AAAAAC9WZFc=",0)</f>
        <v>#REF!</v>
      </c>
      <c r="CK49" t="e">
        <f>AND(#REF!,"AAAAAC9WZFg=")</f>
        <v>#REF!</v>
      </c>
      <c r="CL49" t="e">
        <f>AND(#REF!,"AAAAAC9WZFk=")</f>
        <v>#REF!</v>
      </c>
      <c r="CM49" t="e">
        <f>AND(#REF!,"AAAAAC9WZFo=")</f>
        <v>#REF!</v>
      </c>
      <c r="CN49" t="e">
        <f>AND(#REF!,"AAAAAC9WZFs=")</f>
        <v>#REF!</v>
      </c>
      <c r="CO49" t="e">
        <f>AND(#REF!,"AAAAAC9WZFw=")</f>
        <v>#REF!</v>
      </c>
      <c r="CP49" t="e">
        <f>AND(#REF!,"AAAAAC9WZF0=")</f>
        <v>#REF!</v>
      </c>
      <c r="CQ49" t="e">
        <f>AND(#REF!,"AAAAAC9WZF4=")</f>
        <v>#REF!</v>
      </c>
      <c r="CR49" t="e">
        <f>AND(#REF!,"AAAAAC9WZF8=")</f>
        <v>#REF!</v>
      </c>
      <c r="CS49" t="e">
        <f>IF(#REF!,"AAAAAC9WZGA=",0)</f>
        <v>#REF!</v>
      </c>
      <c r="CT49" t="e">
        <f>AND(#REF!,"AAAAAC9WZGE=")</f>
        <v>#REF!</v>
      </c>
      <c r="CU49" t="e">
        <f>AND(#REF!,"AAAAAC9WZGI=")</f>
        <v>#REF!</v>
      </c>
      <c r="CV49" t="e">
        <f>AND(#REF!,"AAAAAC9WZGM=")</f>
        <v>#REF!</v>
      </c>
      <c r="CW49" t="e">
        <f>AND(#REF!,"AAAAAC9WZGQ=")</f>
        <v>#REF!</v>
      </c>
      <c r="CX49" t="e">
        <f>AND(#REF!,"AAAAAC9WZGU=")</f>
        <v>#REF!</v>
      </c>
      <c r="CY49" t="e">
        <f>AND(#REF!,"AAAAAC9WZGY=")</f>
        <v>#REF!</v>
      </c>
      <c r="CZ49" t="e">
        <f>AND(#REF!,"AAAAAC9WZGc=")</f>
        <v>#REF!</v>
      </c>
      <c r="DA49" t="e">
        <f>AND(#REF!,"AAAAAC9WZGg=")</f>
        <v>#REF!</v>
      </c>
      <c r="DB49" t="e">
        <f>IF(#REF!,"AAAAAC9WZGk=",0)</f>
        <v>#REF!</v>
      </c>
      <c r="DC49" t="e">
        <f>AND(#REF!,"AAAAAC9WZGo=")</f>
        <v>#REF!</v>
      </c>
      <c r="DD49" t="e">
        <f>AND(#REF!,"AAAAAC9WZGs=")</f>
        <v>#REF!</v>
      </c>
      <c r="DE49" t="e">
        <f>AND(#REF!,"AAAAAC9WZGw=")</f>
        <v>#REF!</v>
      </c>
      <c r="DF49" t="e">
        <f>AND(#REF!,"AAAAAC9WZG0=")</f>
        <v>#REF!</v>
      </c>
      <c r="DG49" t="e">
        <f>AND(#REF!,"AAAAAC9WZG4=")</f>
        <v>#REF!</v>
      </c>
      <c r="DH49" t="e">
        <f>AND(#REF!,"AAAAAC9WZG8=")</f>
        <v>#REF!</v>
      </c>
      <c r="DI49" t="e">
        <f>AND(#REF!,"AAAAAC9WZHA=")</f>
        <v>#REF!</v>
      </c>
      <c r="DJ49" t="e">
        <f>AND(#REF!,"AAAAAC9WZHE=")</f>
        <v>#REF!</v>
      </c>
      <c r="DK49" t="e">
        <f>IF(#REF!,"AAAAAC9WZHI=",0)</f>
        <v>#REF!</v>
      </c>
      <c r="DL49" t="e">
        <f>AND(#REF!,"AAAAAC9WZHM=")</f>
        <v>#REF!</v>
      </c>
      <c r="DM49" t="e">
        <f>AND(#REF!,"AAAAAC9WZHQ=")</f>
        <v>#REF!</v>
      </c>
      <c r="DN49" t="e">
        <f>AND(#REF!,"AAAAAC9WZHU=")</f>
        <v>#REF!</v>
      </c>
      <c r="DO49" t="e">
        <f>AND(#REF!,"AAAAAC9WZHY=")</f>
        <v>#REF!</v>
      </c>
      <c r="DP49" t="e">
        <f>AND(#REF!,"AAAAAC9WZHc=")</f>
        <v>#REF!</v>
      </c>
      <c r="DQ49" t="e">
        <f>AND(#REF!,"AAAAAC9WZHg=")</f>
        <v>#REF!</v>
      </c>
      <c r="DR49" t="e">
        <f>AND(#REF!,"AAAAAC9WZHk=")</f>
        <v>#REF!</v>
      </c>
      <c r="DS49" t="e">
        <f>AND(#REF!,"AAAAAC9WZHo=")</f>
        <v>#REF!</v>
      </c>
      <c r="DT49" t="e">
        <f>IF(#REF!,"AAAAAC9WZHs=",0)</f>
        <v>#REF!</v>
      </c>
      <c r="DU49" t="e">
        <f>AND(#REF!,"AAAAAC9WZHw=")</f>
        <v>#REF!</v>
      </c>
      <c r="DV49" t="e">
        <f>AND(#REF!,"AAAAAC9WZH0=")</f>
        <v>#REF!</v>
      </c>
      <c r="DW49" t="e">
        <f>AND(#REF!,"AAAAAC9WZH4=")</f>
        <v>#REF!</v>
      </c>
      <c r="DX49" t="e">
        <f>AND(#REF!,"AAAAAC9WZH8=")</f>
        <v>#REF!</v>
      </c>
      <c r="DY49" t="e">
        <f>AND(#REF!,"AAAAAC9WZIA=")</f>
        <v>#REF!</v>
      </c>
      <c r="DZ49" t="e">
        <f>AND(#REF!,"AAAAAC9WZIE=")</f>
        <v>#REF!</v>
      </c>
      <c r="EA49" t="e">
        <f>AND(#REF!,"AAAAAC9WZII=")</f>
        <v>#REF!</v>
      </c>
      <c r="EB49" t="e">
        <f>AND(#REF!,"AAAAAC9WZIM=")</f>
        <v>#REF!</v>
      </c>
      <c r="EC49" t="e">
        <f>IF(#REF!,"AAAAAC9WZIQ=",0)</f>
        <v>#REF!</v>
      </c>
      <c r="ED49" t="e">
        <f>AND(#REF!,"AAAAAC9WZIU=")</f>
        <v>#REF!</v>
      </c>
      <c r="EE49" t="e">
        <f>AND(#REF!,"AAAAAC9WZIY=")</f>
        <v>#REF!</v>
      </c>
      <c r="EF49" t="e">
        <f>AND(#REF!,"AAAAAC9WZIc=")</f>
        <v>#REF!</v>
      </c>
      <c r="EG49" t="e">
        <f>AND(#REF!,"AAAAAC9WZIg=")</f>
        <v>#REF!</v>
      </c>
      <c r="EH49" t="e">
        <f>AND(#REF!,"AAAAAC9WZIk=")</f>
        <v>#REF!</v>
      </c>
      <c r="EI49" t="e">
        <f>AND(#REF!,"AAAAAC9WZIo=")</f>
        <v>#REF!</v>
      </c>
      <c r="EJ49" t="e">
        <f>AND(#REF!,"AAAAAC9WZIs=")</f>
        <v>#REF!</v>
      </c>
      <c r="EK49" t="e">
        <f>AND(#REF!,"AAAAAC9WZIw=")</f>
        <v>#REF!</v>
      </c>
      <c r="EL49" t="e">
        <f>IF(#REF!,"AAAAAC9WZI0=",0)</f>
        <v>#REF!</v>
      </c>
      <c r="EM49" t="e">
        <f>AND(#REF!,"AAAAAC9WZI4=")</f>
        <v>#REF!</v>
      </c>
      <c r="EN49" t="e">
        <f>AND(#REF!,"AAAAAC9WZI8=")</f>
        <v>#REF!</v>
      </c>
      <c r="EO49" t="e">
        <f>AND(#REF!,"AAAAAC9WZJA=")</f>
        <v>#REF!</v>
      </c>
      <c r="EP49" t="e">
        <f>AND(#REF!,"AAAAAC9WZJE=")</f>
        <v>#REF!</v>
      </c>
      <c r="EQ49" t="e">
        <f>AND(#REF!,"AAAAAC9WZJI=")</f>
        <v>#REF!</v>
      </c>
      <c r="ER49" t="e">
        <f>AND(#REF!,"AAAAAC9WZJM=")</f>
        <v>#REF!</v>
      </c>
      <c r="ES49" t="e">
        <f>AND(#REF!,"AAAAAC9WZJQ=")</f>
        <v>#REF!</v>
      </c>
      <c r="ET49" t="e">
        <f>AND(#REF!,"AAAAAC9WZJU=")</f>
        <v>#REF!</v>
      </c>
      <c r="EU49" t="e">
        <f>IF(#REF!,"AAAAAC9WZJY=",0)</f>
        <v>#REF!</v>
      </c>
      <c r="EV49" t="e">
        <f>AND(#REF!,"AAAAAC9WZJc=")</f>
        <v>#REF!</v>
      </c>
      <c r="EW49" t="e">
        <f>AND(#REF!,"AAAAAC9WZJg=")</f>
        <v>#REF!</v>
      </c>
      <c r="EX49" t="e">
        <f>AND(#REF!,"AAAAAC9WZJk=")</f>
        <v>#REF!</v>
      </c>
      <c r="EY49" t="e">
        <f>AND(#REF!,"AAAAAC9WZJo=")</f>
        <v>#REF!</v>
      </c>
      <c r="EZ49" t="e">
        <f>AND(#REF!,"AAAAAC9WZJs=")</f>
        <v>#REF!</v>
      </c>
      <c r="FA49" t="e">
        <f>AND(#REF!,"AAAAAC9WZJw=")</f>
        <v>#REF!</v>
      </c>
      <c r="FB49" t="e">
        <f>AND(#REF!,"AAAAAC9WZJ0=")</f>
        <v>#REF!</v>
      </c>
      <c r="FC49" t="e">
        <f>AND(#REF!,"AAAAAC9WZJ4=")</f>
        <v>#REF!</v>
      </c>
      <c r="FD49" t="e">
        <f>IF(#REF!,"AAAAAC9WZJ8=",0)</f>
        <v>#REF!</v>
      </c>
      <c r="FE49" t="e">
        <f>AND(#REF!,"AAAAAC9WZKA=")</f>
        <v>#REF!</v>
      </c>
      <c r="FF49" t="e">
        <f>AND(#REF!,"AAAAAC9WZKE=")</f>
        <v>#REF!</v>
      </c>
      <c r="FG49" t="e">
        <f>AND(#REF!,"AAAAAC9WZKI=")</f>
        <v>#REF!</v>
      </c>
      <c r="FH49" t="e">
        <f>AND(#REF!,"AAAAAC9WZKM=")</f>
        <v>#REF!</v>
      </c>
      <c r="FI49" t="e">
        <f>AND(#REF!,"AAAAAC9WZKQ=")</f>
        <v>#REF!</v>
      </c>
      <c r="FJ49" t="e">
        <f>AND(#REF!,"AAAAAC9WZKU=")</f>
        <v>#REF!</v>
      </c>
      <c r="FK49" t="e">
        <f>AND(#REF!,"AAAAAC9WZKY=")</f>
        <v>#REF!</v>
      </c>
      <c r="FL49" t="e">
        <f>AND(#REF!,"AAAAAC9WZKc=")</f>
        <v>#REF!</v>
      </c>
      <c r="FM49" t="e">
        <f>IF(#REF!,"AAAAAC9WZKg=",0)</f>
        <v>#REF!</v>
      </c>
      <c r="FN49" t="e">
        <f>AND(#REF!,"AAAAAC9WZKk=")</f>
        <v>#REF!</v>
      </c>
      <c r="FO49" t="e">
        <f>AND(#REF!,"AAAAAC9WZKo=")</f>
        <v>#REF!</v>
      </c>
      <c r="FP49" t="e">
        <f>AND(#REF!,"AAAAAC9WZKs=")</f>
        <v>#REF!</v>
      </c>
      <c r="FQ49" t="e">
        <f>AND(#REF!,"AAAAAC9WZKw=")</f>
        <v>#REF!</v>
      </c>
      <c r="FR49" t="e">
        <f>AND(#REF!,"AAAAAC9WZK0=")</f>
        <v>#REF!</v>
      </c>
      <c r="FS49" t="e">
        <f>AND(#REF!,"AAAAAC9WZK4=")</f>
        <v>#REF!</v>
      </c>
      <c r="FT49" t="e">
        <f>AND(#REF!,"AAAAAC9WZK8=")</f>
        <v>#REF!</v>
      </c>
      <c r="FU49" t="e">
        <f>AND(#REF!,"AAAAAC9WZLA=")</f>
        <v>#REF!</v>
      </c>
      <c r="FV49" t="e">
        <f>IF(#REF!,"AAAAAC9WZLE=",0)</f>
        <v>#REF!</v>
      </c>
      <c r="FW49" t="e">
        <f>AND(#REF!,"AAAAAC9WZLI=")</f>
        <v>#REF!</v>
      </c>
      <c r="FX49" t="e">
        <f>AND(#REF!,"AAAAAC9WZLM=")</f>
        <v>#REF!</v>
      </c>
      <c r="FY49" t="e">
        <f>AND(#REF!,"AAAAAC9WZLQ=")</f>
        <v>#REF!</v>
      </c>
      <c r="FZ49" t="e">
        <f>AND(#REF!,"AAAAAC9WZLU=")</f>
        <v>#REF!</v>
      </c>
      <c r="GA49" t="e">
        <f>AND(#REF!,"AAAAAC9WZLY=")</f>
        <v>#REF!</v>
      </c>
      <c r="GB49" t="e">
        <f>AND(#REF!,"AAAAAC9WZLc=")</f>
        <v>#REF!</v>
      </c>
      <c r="GC49" t="e">
        <f>AND(#REF!,"AAAAAC9WZLg=")</f>
        <v>#REF!</v>
      </c>
      <c r="GD49" t="e">
        <f>AND(#REF!,"AAAAAC9WZLk=")</f>
        <v>#REF!</v>
      </c>
      <c r="GE49" t="e">
        <f>IF(#REF!,"AAAAAC9WZLo=",0)</f>
        <v>#REF!</v>
      </c>
      <c r="GF49" t="e">
        <f>AND(#REF!,"AAAAAC9WZLs=")</f>
        <v>#REF!</v>
      </c>
      <c r="GG49" t="e">
        <f>AND(#REF!,"AAAAAC9WZLw=")</f>
        <v>#REF!</v>
      </c>
      <c r="GH49" t="e">
        <f>AND(#REF!,"AAAAAC9WZL0=")</f>
        <v>#REF!</v>
      </c>
      <c r="GI49" t="e">
        <f>AND(#REF!,"AAAAAC9WZL4=")</f>
        <v>#REF!</v>
      </c>
      <c r="GJ49" t="e">
        <f>AND(#REF!,"AAAAAC9WZL8=")</f>
        <v>#REF!</v>
      </c>
      <c r="GK49" t="e">
        <f>AND(#REF!,"AAAAAC9WZMA=")</f>
        <v>#REF!</v>
      </c>
      <c r="GL49" t="e">
        <f>AND(#REF!,"AAAAAC9WZME=")</f>
        <v>#REF!</v>
      </c>
      <c r="GM49" t="e">
        <f>AND(#REF!,"AAAAAC9WZMI=")</f>
        <v>#REF!</v>
      </c>
      <c r="GN49" t="e">
        <f>IF(#REF!,"AAAAAC9WZMM=",0)</f>
        <v>#REF!</v>
      </c>
      <c r="GO49" t="e">
        <f>AND(#REF!,"AAAAAC9WZMQ=")</f>
        <v>#REF!</v>
      </c>
      <c r="GP49" t="e">
        <f>AND(#REF!,"AAAAAC9WZMU=")</f>
        <v>#REF!</v>
      </c>
      <c r="GQ49" t="e">
        <f>AND(#REF!,"AAAAAC9WZMY=")</f>
        <v>#REF!</v>
      </c>
      <c r="GR49" t="e">
        <f>AND(#REF!,"AAAAAC9WZMc=")</f>
        <v>#REF!</v>
      </c>
      <c r="GS49" t="e">
        <f>AND(#REF!,"AAAAAC9WZMg=")</f>
        <v>#REF!</v>
      </c>
      <c r="GT49" t="e">
        <f>AND(#REF!,"AAAAAC9WZMk=")</f>
        <v>#REF!</v>
      </c>
      <c r="GU49" t="e">
        <f>AND(#REF!,"AAAAAC9WZMo=")</f>
        <v>#REF!</v>
      </c>
      <c r="GV49" t="e">
        <f>AND(#REF!,"AAAAAC9WZMs=")</f>
        <v>#REF!</v>
      </c>
      <c r="GW49" t="e">
        <f>IF(#REF!,"AAAAAC9WZMw=",0)</f>
        <v>#REF!</v>
      </c>
      <c r="GX49" t="e">
        <f>AND(#REF!,"AAAAAC9WZM0=")</f>
        <v>#REF!</v>
      </c>
      <c r="GY49" t="e">
        <f>AND(#REF!,"AAAAAC9WZM4=")</f>
        <v>#REF!</v>
      </c>
      <c r="GZ49" t="e">
        <f>AND(#REF!,"AAAAAC9WZM8=")</f>
        <v>#REF!</v>
      </c>
      <c r="HA49" t="e">
        <f>AND(#REF!,"AAAAAC9WZNA=")</f>
        <v>#REF!</v>
      </c>
      <c r="HB49" t="e">
        <f>AND(#REF!,"AAAAAC9WZNE=")</f>
        <v>#REF!</v>
      </c>
      <c r="HC49" t="e">
        <f>AND(#REF!,"AAAAAC9WZNI=")</f>
        <v>#REF!</v>
      </c>
      <c r="HD49" t="e">
        <f>AND(#REF!,"AAAAAC9WZNM=")</f>
        <v>#REF!</v>
      </c>
      <c r="HE49" t="e">
        <f>AND(#REF!,"AAAAAC9WZNQ=")</f>
        <v>#REF!</v>
      </c>
      <c r="HF49" t="e">
        <f>IF(#REF!,"AAAAAC9WZNU=",0)</f>
        <v>#REF!</v>
      </c>
      <c r="HG49" t="e">
        <f>AND(#REF!,"AAAAAC9WZNY=")</f>
        <v>#REF!</v>
      </c>
      <c r="HH49" t="e">
        <f>AND(#REF!,"AAAAAC9WZNc=")</f>
        <v>#REF!</v>
      </c>
      <c r="HI49" t="e">
        <f>AND(#REF!,"AAAAAC9WZNg=")</f>
        <v>#REF!</v>
      </c>
      <c r="HJ49" t="e">
        <f>AND(#REF!,"AAAAAC9WZNk=")</f>
        <v>#REF!</v>
      </c>
      <c r="HK49" t="e">
        <f>AND(#REF!,"AAAAAC9WZNo=")</f>
        <v>#REF!</v>
      </c>
      <c r="HL49" t="e">
        <f>AND(#REF!,"AAAAAC9WZNs=")</f>
        <v>#REF!</v>
      </c>
      <c r="HM49" t="e">
        <f>AND(#REF!,"AAAAAC9WZNw=")</f>
        <v>#REF!</v>
      </c>
      <c r="HN49" t="e">
        <f>AND(#REF!,"AAAAAC9WZN0=")</f>
        <v>#REF!</v>
      </c>
      <c r="HO49" t="e">
        <f>IF(#REF!,"AAAAAC9WZN4=",0)</f>
        <v>#REF!</v>
      </c>
      <c r="HP49" t="e">
        <f>AND(#REF!,"AAAAAC9WZN8=")</f>
        <v>#REF!</v>
      </c>
      <c r="HQ49" t="e">
        <f>AND(#REF!,"AAAAAC9WZOA=")</f>
        <v>#REF!</v>
      </c>
      <c r="HR49" t="e">
        <f>AND(#REF!,"AAAAAC9WZOE=")</f>
        <v>#REF!</v>
      </c>
      <c r="HS49" t="e">
        <f>AND(#REF!,"AAAAAC9WZOI=")</f>
        <v>#REF!</v>
      </c>
      <c r="HT49" t="e">
        <f>AND(#REF!,"AAAAAC9WZOM=")</f>
        <v>#REF!</v>
      </c>
      <c r="HU49" t="e">
        <f>AND(#REF!,"AAAAAC9WZOQ=")</f>
        <v>#REF!</v>
      </c>
      <c r="HV49" t="e">
        <f>AND(#REF!,"AAAAAC9WZOU=")</f>
        <v>#REF!</v>
      </c>
      <c r="HW49" t="e">
        <f>AND(#REF!,"AAAAAC9WZOY=")</f>
        <v>#REF!</v>
      </c>
      <c r="HX49" t="e">
        <f>IF(#REF!,"AAAAAC9WZOc=",0)</f>
        <v>#REF!</v>
      </c>
      <c r="HY49" t="e">
        <f>AND(#REF!,"AAAAAC9WZOg=")</f>
        <v>#REF!</v>
      </c>
      <c r="HZ49" t="e">
        <f>AND(#REF!,"AAAAAC9WZOk=")</f>
        <v>#REF!</v>
      </c>
      <c r="IA49" t="e">
        <f>AND(#REF!,"AAAAAC9WZOo=")</f>
        <v>#REF!</v>
      </c>
      <c r="IB49" t="e">
        <f>AND(#REF!,"AAAAAC9WZOs=")</f>
        <v>#REF!</v>
      </c>
      <c r="IC49" t="e">
        <f>AND(#REF!,"AAAAAC9WZOw=")</f>
        <v>#REF!</v>
      </c>
      <c r="ID49" t="e">
        <f>AND(#REF!,"AAAAAC9WZO0=")</f>
        <v>#REF!</v>
      </c>
      <c r="IE49" t="e">
        <f>AND(#REF!,"AAAAAC9WZO4=")</f>
        <v>#REF!</v>
      </c>
      <c r="IF49" t="e">
        <f>AND(#REF!,"AAAAAC9WZO8=")</f>
        <v>#REF!</v>
      </c>
      <c r="IG49" t="e">
        <f>IF(#REF!,"AAAAAC9WZPA=",0)</f>
        <v>#REF!</v>
      </c>
      <c r="IH49" t="e">
        <f>AND(#REF!,"AAAAAC9WZPE=")</f>
        <v>#REF!</v>
      </c>
      <c r="II49" t="e">
        <f>AND(#REF!,"AAAAAC9WZPI=")</f>
        <v>#REF!</v>
      </c>
      <c r="IJ49" t="e">
        <f>AND(#REF!,"AAAAAC9WZPM=")</f>
        <v>#REF!</v>
      </c>
      <c r="IK49" t="e">
        <f>AND(#REF!,"AAAAAC9WZPQ=")</f>
        <v>#REF!</v>
      </c>
      <c r="IL49" t="e">
        <f>AND(#REF!,"AAAAAC9WZPU=")</f>
        <v>#REF!</v>
      </c>
      <c r="IM49" t="e">
        <f>AND(#REF!,"AAAAAC9WZPY=")</f>
        <v>#REF!</v>
      </c>
      <c r="IN49" t="e">
        <f>AND(#REF!,"AAAAAC9WZPc=")</f>
        <v>#REF!</v>
      </c>
      <c r="IO49" t="e">
        <f>AND(#REF!,"AAAAAC9WZPg=")</f>
        <v>#REF!</v>
      </c>
      <c r="IP49" t="e">
        <f>IF(#REF!,"AAAAAC9WZPk=",0)</f>
        <v>#REF!</v>
      </c>
      <c r="IQ49" t="e">
        <f>AND(#REF!,"AAAAAC9WZPo=")</f>
        <v>#REF!</v>
      </c>
      <c r="IR49" t="e">
        <f>AND(#REF!,"AAAAAC9WZPs=")</f>
        <v>#REF!</v>
      </c>
      <c r="IS49" t="e">
        <f>AND(#REF!,"AAAAAC9WZPw=")</f>
        <v>#REF!</v>
      </c>
      <c r="IT49" t="e">
        <f>AND(#REF!,"AAAAAC9WZP0=")</f>
        <v>#REF!</v>
      </c>
      <c r="IU49" t="e">
        <f>AND(#REF!,"AAAAAC9WZP4=")</f>
        <v>#REF!</v>
      </c>
      <c r="IV49" t="e">
        <f>AND(#REF!,"AAAAAC9WZP8=")</f>
        <v>#REF!</v>
      </c>
    </row>
    <row r="50" spans="1:256">
      <c r="A50" t="e">
        <f>AND(#REF!,"AAAAAHev7QA=")</f>
        <v>#REF!</v>
      </c>
      <c r="B50" t="e">
        <f>AND(#REF!,"AAAAAHev7QE=")</f>
        <v>#REF!</v>
      </c>
      <c r="C50" t="e">
        <f>IF(#REF!,"AAAAAHev7QI=",0)</f>
        <v>#REF!</v>
      </c>
      <c r="D50" t="e">
        <f>AND(#REF!,"AAAAAHev7QM=")</f>
        <v>#REF!</v>
      </c>
      <c r="E50" t="e">
        <f>AND(#REF!,"AAAAAHev7QQ=")</f>
        <v>#REF!</v>
      </c>
      <c r="F50" t="e">
        <f>AND(#REF!,"AAAAAHev7QU=")</f>
        <v>#REF!</v>
      </c>
      <c r="G50" t="e">
        <f>AND(#REF!,"AAAAAHev7QY=")</f>
        <v>#REF!</v>
      </c>
      <c r="H50" t="e">
        <f>AND(#REF!,"AAAAAHev7Qc=")</f>
        <v>#REF!</v>
      </c>
      <c r="I50" t="e">
        <f>AND(#REF!,"AAAAAHev7Qg=")</f>
        <v>#REF!</v>
      </c>
      <c r="J50" t="e">
        <f>AND(#REF!,"AAAAAHev7Qk=")</f>
        <v>#REF!</v>
      </c>
      <c r="K50" t="e">
        <f>AND(#REF!,"AAAAAHev7Qo=")</f>
        <v>#REF!</v>
      </c>
      <c r="L50" t="e">
        <f>IF(#REF!,"AAAAAHev7Qs=",0)</f>
        <v>#REF!</v>
      </c>
      <c r="M50" t="e">
        <f>AND(#REF!,"AAAAAHev7Qw=")</f>
        <v>#REF!</v>
      </c>
      <c r="N50" t="e">
        <f>AND(#REF!,"AAAAAHev7Q0=")</f>
        <v>#REF!</v>
      </c>
      <c r="O50" t="e">
        <f>AND(#REF!,"AAAAAHev7Q4=")</f>
        <v>#REF!</v>
      </c>
      <c r="P50" t="e">
        <f>AND(#REF!,"AAAAAHev7Q8=")</f>
        <v>#REF!</v>
      </c>
      <c r="Q50" t="e">
        <f>AND(#REF!,"AAAAAHev7RA=")</f>
        <v>#REF!</v>
      </c>
      <c r="R50" t="e">
        <f>AND(#REF!,"AAAAAHev7RE=")</f>
        <v>#REF!</v>
      </c>
      <c r="S50" t="e">
        <f>AND(#REF!,"AAAAAHev7RI=")</f>
        <v>#REF!</v>
      </c>
      <c r="T50" t="e">
        <f>AND(#REF!,"AAAAAHev7RM=")</f>
        <v>#REF!</v>
      </c>
      <c r="U50" t="e">
        <f>IF(#REF!,"AAAAAHev7RQ=",0)</f>
        <v>#REF!</v>
      </c>
      <c r="V50" t="e">
        <f>AND(#REF!,"AAAAAHev7RU=")</f>
        <v>#REF!</v>
      </c>
      <c r="W50" t="e">
        <f>AND(#REF!,"AAAAAHev7RY=")</f>
        <v>#REF!</v>
      </c>
      <c r="X50" t="e">
        <f>AND(#REF!,"AAAAAHev7Rc=")</f>
        <v>#REF!</v>
      </c>
      <c r="Y50" t="e">
        <f>AND(#REF!,"AAAAAHev7Rg=")</f>
        <v>#REF!</v>
      </c>
      <c r="Z50" t="e">
        <f>AND(#REF!,"AAAAAHev7Rk=")</f>
        <v>#REF!</v>
      </c>
      <c r="AA50" t="e">
        <f>AND(#REF!,"AAAAAHev7Ro=")</f>
        <v>#REF!</v>
      </c>
      <c r="AB50" t="e">
        <f>AND(#REF!,"AAAAAHev7Rs=")</f>
        <v>#REF!</v>
      </c>
      <c r="AC50" t="e">
        <f>AND(#REF!,"AAAAAHev7Rw=")</f>
        <v>#REF!</v>
      </c>
      <c r="AD50" t="e">
        <f>IF(#REF!,"AAAAAHev7R0=",0)</f>
        <v>#REF!</v>
      </c>
      <c r="AE50" t="e">
        <f>AND(#REF!,"AAAAAHev7R4=")</f>
        <v>#REF!</v>
      </c>
      <c r="AF50" t="e">
        <f>AND(#REF!,"AAAAAHev7R8=")</f>
        <v>#REF!</v>
      </c>
      <c r="AG50" t="e">
        <f>AND(#REF!,"AAAAAHev7SA=")</f>
        <v>#REF!</v>
      </c>
      <c r="AH50" t="e">
        <f>AND(#REF!,"AAAAAHev7SE=")</f>
        <v>#REF!</v>
      </c>
      <c r="AI50" t="e">
        <f>AND(#REF!,"AAAAAHev7SI=")</f>
        <v>#REF!</v>
      </c>
      <c r="AJ50" t="e">
        <f>AND(#REF!,"AAAAAHev7SM=")</f>
        <v>#REF!</v>
      </c>
      <c r="AK50" t="e">
        <f>AND(#REF!,"AAAAAHev7SQ=")</f>
        <v>#REF!</v>
      </c>
      <c r="AL50" t="e">
        <f>AND(#REF!,"AAAAAHev7SU=")</f>
        <v>#REF!</v>
      </c>
      <c r="AM50" t="e">
        <f>IF(#REF!,"AAAAAHev7SY=",0)</f>
        <v>#REF!</v>
      </c>
      <c r="AN50" t="e">
        <f>AND(#REF!,"AAAAAHev7Sc=")</f>
        <v>#REF!</v>
      </c>
      <c r="AO50" t="e">
        <f>AND(#REF!,"AAAAAHev7Sg=")</f>
        <v>#REF!</v>
      </c>
      <c r="AP50" t="e">
        <f>AND(#REF!,"AAAAAHev7Sk=")</f>
        <v>#REF!</v>
      </c>
      <c r="AQ50" t="e">
        <f>AND(#REF!,"AAAAAHev7So=")</f>
        <v>#REF!</v>
      </c>
      <c r="AR50" t="e">
        <f>AND(#REF!,"AAAAAHev7Ss=")</f>
        <v>#REF!</v>
      </c>
      <c r="AS50" t="e">
        <f>AND(#REF!,"AAAAAHev7Sw=")</f>
        <v>#REF!</v>
      </c>
      <c r="AT50" t="e">
        <f>AND(#REF!,"AAAAAHev7S0=")</f>
        <v>#REF!</v>
      </c>
      <c r="AU50" t="e">
        <f>AND(#REF!,"AAAAAHev7S4=")</f>
        <v>#REF!</v>
      </c>
      <c r="AV50" t="e">
        <f>IF(#REF!,"AAAAAHev7S8=",0)</f>
        <v>#REF!</v>
      </c>
      <c r="AW50" t="e">
        <f>AND(#REF!,"AAAAAHev7TA=")</f>
        <v>#REF!</v>
      </c>
      <c r="AX50" t="e">
        <f>AND(#REF!,"AAAAAHev7TE=")</f>
        <v>#REF!</v>
      </c>
      <c r="AY50" t="e">
        <f>AND(#REF!,"AAAAAHev7TI=")</f>
        <v>#REF!</v>
      </c>
      <c r="AZ50" t="e">
        <f>AND(#REF!,"AAAAAHev7TM=")</f>
        <v>#REF!</v>
      </c>
      <c r="BA50" t="e">
        <f>AND(#REF!,"AAAAAHev7TQ=")</f>
        <v>#REF!</v>
      </c>
      <c r="BB50" t="e">
        <f>AND(#REF!,"AAAAAHev7TU=")</f>
        <v>#REF!</v>
      </c>
      <c r="BC50" t="e">
        <f>AND(#REF!,"AAAAAHev7TY=")</f>
        <v>#REF!</v>
      </c>
      <c r="BD50" t="e">
        <f>AND(#REF!,"AAAAAHev7Tc=")</f>
        <v>#REF!</v>
      </c>
      <c r="BE50" t="e">
        <f>IF(#REF!,"AAAAAHev7Tg=",0)</f>
        <v>#REF!</v>
      </c>
      <c r="BF50" t="e">
        <f>AND(#REF!,"AAAAAHev7Tk=")</f>
        <v>#REF!</v>
      </c>
      <c r="BG50" t="e">
        <f>AND(#REF!,"AAAAAHev7To=")</f>
        <v>#REF!</v>
      </c>
      <c r="BH50" t="e">
        <f>AND(#REF!,"AAAAAHev7Ts=")</f>
        <v>#REF!</v>
      </c>
      <c r="BI50" t="e">
        <f>AND(#REF!,"AAAAAHev7Tw=")</f>
        <v>#REF!</v>
      </c>
      <c r="BJ50" t="e">
        <f>AND(#REF!,"AAAAAHev7T0=")</f>
        <v>#REF!</v>
      </c>
      <c r="BK50" t="e">
        <f>AND(#REF!,"AAAAAHev7T4=")</f>
        <v>#REF!</v>
      </c>
      <c r="BL50" t="e">
        <f>AND(#REF!,"AAAAAHev7T8=")</f>
        <v>#REF!</v>
      </c>
      <c r="BM50" t="e">
        <f>AND(#REF!,"AAAAAHev7UA=")</f>
        <v>#REF!</v>
      </c>
      <c r="BN50" t="e">
        <f>IF(#REF!,"AAAAAHev7UE=",0)</f>
        <v>#REF!</v>
      </c>
      <c r="BO50" t="e">
        <f>AND(#REF!,"AAAAAHev7UI=")</f>
        <v>#REF!</v>
      </c>
      <c r="BP50" t="e">
        <f>AND(#REF!,"AAAAAHev7UM=")</f>
        <v>#REF!</v>
      </c>
      <c r="BQ50" t="e">
        <f>AND(#REF!,"AAAAAHev7UQ=")</f>
        <v>#REF!</v>
      </c>
      <c r="BR50" t="e">
        <f>AND(#REF!,"AAAAAHev7UU=")</f>
        <v>#REF!</v>
      </c>
      <c r="BS50" t="e">
        <f>AND(#REF!,"AAAAAHev7UY=")</f>
        <v>#REF!</v>
      </c>
      <c r="BT50" t="e">
        <f>AND(#REF!,"AAAAAHev7Uc=")</f>
        <v>#REF!</v>
      </c>
      <c r="BU50" t="e">
        <f>AND(#REF!,"AAAAAHev7Ug=")</f>
        <v>#REF!</v>
      </c>
      <c r="BV50" t="e">
        <f>AND(#REF!,"AAAAAHev7Uk=")</f>
        <v>#REF!</v>
      </c>
      <c r="BW50" t="e">
        <f>IF(#REF!,"AAAAAHev7Uo=",0)</f>
        <v>#REF!</v>
      </c>
      <c r="BX50" t="e">
        <f>AND(#REF!,"AAAAAHev7Us=")</f>
        <v>#REF!</v>
      </c>
      <c r="BY50" t="e">
        <f>AND(#REF!,"AAAAAHev7Uw=")</f>
        <v>#REF!</v>
      </c>
      <c r="BZ50" t="e">
        <f>AND(#REF!,"AAAAAHev7U0=")</f>
        <v>#REF!</v>
      </c>
      <c r="CA50" t="e">
        <f>AND(#REF!,"AAAAAHev7U4=")</f>
        <v>#REF!</v>
      </c>
      <c r="CB50" t="e">
        <f>AND(#REF!,"AAAAAHev7U8=")</f>
        <v>#REF!</v>
      </c>
      <c r="CC50" t="e">
        <f>AND(#REF!,"AAAAAHev7VA=")</f>
        <v>#REF!</v>
      </c>
      <c r="CD50" t="e">
        <f>AND(#REF!,"AAAAAHev7VE=")</f>
        <v>#REF!</v>
      </c>
      <c r="CE50" t="e">
        <f>AND(#REF!,"AAAAAHev7VI=")</f>
        <v>#REF!</v>
      </c>
      <c r="CF50" t="e">
        <f>IF(#REF!,"AAAAAHev7VM=",0)</f>
        <v>#REF!</v>
      </c>
      <c r="CG50" t="e">
        <f>AND(#REF!,"AAAAAHev7VQ=")</f>
        <v>#REF!</v>
      </c>
      <c r="CH50" t="e">
        <f>AND(#REF!,"AAAAAHev7VU=")</f>
        <v>#REF!</v>
      </c>
      <c r="CI50" t="e">
        <f>AND(#REF!,"AAAAAHev7VY=")</f>
        <v>#REF!</v>
      </c>
      <c r="CJ50" t="e">
        <f>AND(#REF!,"AAAAAHev7Vc=")</f>
        <v>#REF!</v>
      </c>
      <c r="CK50" t="e">
        <f>AND(#REF!,"AAAAAHev7Vg=")</f>
        <v>#REF!</v>
      </c>
      <c r="CL50" t="e">
        <f>AND(#REF!,"AAAAAHev7Vk=")</f>
        <v>#REF!</v>
      </c>
      <c r="CM50" t="e">
        <f>AND(#REF!,"AAAAAHev7Vo=")</f>
        <v>#REF!</v>
      </c>
      <c r="CN50" t="e">
        <f>AND(#REF!,"AAAAAHev7Vs=")</f>
        <v>#REF!</v>
      </c>
      <c r="CO50" t="e">
        <f>IF(#REF!,"AAAAAHev7Vw=",0)</f>
        <v>#REF!</v>
      </c>
      <c r="CP50" t="e">
        <f>AND(#REF!,"AAAAAHev7V0=")</f>
        <v>#REF!</v>
      </c>
      <c r="CQ50" t="e">
        <f>AND(#REF!,"AAAAAHev7V4=")</f>
        <v>#REF!</v>
      </c>
      <c r="CR50" t="e">
        <f>AND(#REF!,"AAAAAHev7V8=")</f>
        <v>#REF!</v>
      </c>
      <c r="CS50" t="e">
        <f>AND(#REF!,"AAAAAHev7WA=")</f>
        <v>#REF!</v>
      </c>
      <c r="CT50" t="e">
        <f>AND(#REF!,"AAAAAHev7WE=")</f>
        <v>#REF!</v>
      </c>
      <c r="CU50" t="e">
        <f>AND(#REF!,"AAAAAHev7WI=")</f>
        <v>#REF!</v>
      </c>
      <c r="CV50" t="e">
        <f>AND(#REF!,"AAAAAHev7WM=")</f>
        <v>#REF!</v>
      </c>
      <c r="CW50" t="e">
        <f>AND(#REF!,"AAAAAHev7WQ=")</f>
        <v>#REF!</v>
      </c>
      <c r="CX50" t="e">
        <f>IF(#REF!,"AAAAAHev7WU=",0)</f>
        <v>#REF!</v>
      </c>
      <c r="CY50" t="e">
        <f>AND(#REF!,"AAAAAHev7WY=")</f>
        <v>#REF!</v>
      </c>
      <c r="CZ50" t="e">
        <f>AND(#REF!,"AAAAAHev7Wc=")</f>
        <v>#REF!</v>
      </c>
      <c r="DA50" t="e">
        <f>AND(#REF!,"AAAAAHev7Wg=")</f>
        <v>#REF!</v>
      </c>
      <c r="DB50" t="e">
        <f>AND(#REF!,"AAAAAHev7Wk=")</f>
        <v>#REF!</v>
      </c>
      <c r="DC50" t="e">
        <f>AND(#REF!,"AAAAAHev7Wo=")</f>
        <v>#REF!</v>
      </c>
      <c r="DD50" t="e">
        <f>AND(#REF!,"AAAAAHev7Ws=")</f>
        <v>#REF!</v>
      </c>
      <c r="DE50" t="e">
        <f>AND(#REF!,"AAAAAHev7Ww=")</f>
        <v>#REF!</v>
      </c>
      <c r="DF50" t="e">
        <f>AND(#REF!,"AAAAAHev7W0=")</f>
        <v>#REF!</v>
      </c>
      <c r="DG50" t="e">
        <f>IF(#REF!,"AAAAAHev7W4=",0)</f>
        <v>#REF!</v>
      </c>
      <c r="DH50" t="e">
        <f>AND(#REF!,"AAAAAHev7W8=")</f>
        <v>#REF!</v>
      </c>
      <c r="DI50" t="e">
        <f>AND(#REF!,"AAAAAHev7XA=")</f>
        <v>#REF!</v>
      </c>
      <c r="DJ50" t="e">
        <f>AND(#REF!,"AAAAAHev7XE=")</f>
        <v>#REF!</v>
      </c>
      <c r="DK50" t="e">
        <f>AND(#REF!,"AAAAAHev7XI=")</f>
        <v>#REF!</v>
      </c>
      <c r="DL50" t="e">
        <f>AND(#REF!,"AAAAAHev7XM=")</f>
        <v>#REF!</v>
      </c>
      <c r="DM50" t="e">
        <f>AND(#REF!,"AAAAAHev7XQ=")</f>
        <v>#REF!</v>
      </c>
      <c r="DN50" t="e">
        <f>AND(#REF!,"AAAAAHev7XU=")</f>
        <v>#REF!</v>
      </c>
      <c r="DO50" t="e">
        <f>AND(#REF!,"AAAAAHev7XY=")</f>
        <v>#REF!</v>
      </c>
      <c r="DP50" t="e">
        <f>IF(#REF!,"AAAAAHev7Xc=",0)</f>
        <v>#REF!</v>
      </c>
      <c r="DQ50" t="e">
        <f>AND(#REF!,"AAAAAHev7Xg=")</f>
        <v>#REF!</v>
      </c>
      <c r="DR50" t="e">
        <f>AND(#REF!,"AAAAAHev7Xk=")</f>
        <v>#REF!</v>
      </c>
      <c r="DS50" t="e">
        <f>AND(#REF!,"AAAAAHev7Xo=")</f>
        <v>#REF!</v>
      </c>
      <c r="DT50" t="e">
        <f>AND(#REF!,"AAAAAHev7Xs=")</f>
        <v>#REF!</v>
      </c>
      <c r="DU50" t="e">
        <f>AND(#REF!,"AAAAAHev7Xw=")</f>
        <v>#REF!</v>
      </c>
      <c r="DV50" t="e">
        <f>AND(#REF!,"AAAAAHev7X0=")</f>
        <v>#REF!</v>
      </c>
      <c r="DW50" t="e">
        <f>AND(#REF!,"AAAAAHev7X4=")</f>
        <v>#REF!</v>
      </c>
      <c r="DX50" t="e">
        <f>AND(#REF!,"AAAAAHev7X8=")</f>
        <v>#REF!</v>
      </c>
      <c r="DY50" t="e">
        <f>IF(#REF!,"AAAAAHev7YA=",0)</f>
        <v>#REF!</v>
      </c>
      <c r="DZ50" t="e">
        <f>AND(#REF!,"AAAAAHev7YE=")</f>
        <v>#REF!</v>
      </c>
      <c r="EA50" t="e">
        <f>AND(#REF!,"AAAAAHev7YI=")</f>
        <v>#REF!</v>
      </c>
      <c r="EB50" t="e">
        <f>AND(#REF!,"AAAAAHev7YM=")</f>
        <v>#REF!</v>
      </c>
      <c r="EC50" t="e">
        <f>AND(#REF!,"AAAAAHev7YQ=")</f>
        <v>#REF!</v>
      </c>
      <c r="ED50" t="e">
        <f>AND(#REF!,"AAAAAHev7YU=")</f>
        <v>#REF!</v>
      </c>
      <c r="EE50" t="e">
        <f>AND(#REF!,"AAAAAHev7YY=")</f>
        <v>#REF!</v>
      </c>
      <c r="EF50" t="e">
        <f>AND(#REF!,"AAAAAHev7Yc=")</f>
        <v>#REF!</v>
      </c>
      <c r="EG50" t="e">
        <f>AND(#REF!,"AAAAAHev7Yg=")</f>
        <v>#REF!</v>
      </c>
      <c r="EH50" t="e">
        <f>IF(#REF!,"AAAAAHev7Yk=",0)</f>
        <v>#REF!</v>
      </c>
      <c r="EI50" t="e">
        <f>AND(#REF!,"AAAAAHev7Yo=")</f>
        <v>#REF!</v>
      </c>
      <c r="EJ50" t="e">
        <f>AND(#REF!,"AAAAAHev7Ys=")</f>
        <v>#REF!</v>
      </c>
      <c r="EK50" t="e">
        <f>AND(#REF!,"AAAAAHev7Yw=")</f>
        <v>#REF!</v>
      </c>
      <c r="EL50" t="e">
        <f>AND(#REF!,"AAAAAHev7Y0=")</f>
        <v>#REF!</v>
      </c>
      <c r="EM50" t="e">
        <f>AND(#REF!,"AAAAAHev7Y4=")</f>
        <v>#REF!</v>
      </c>
      <c r="EN50" t="e">
        <f>AND(#REF!,"AAAAAHev7Y8=")</f>
        <v>#REF!</v>
      </c>
      <c r="EO50" t="e">
        <f>AND(#REF!,"AAAAAHev7ZA=")</f>
        <v>#REF!</v>
      </c>
      <c r="EP50" t="e">
        <f>AND(#REF!,"AAAAAHev7ZE=")</f>
        <v>#REF!</v>
      </c>
      <c r="EQ50" t="e">
        <f>IF(#REF!,"AAAAAHev7ZI=",0)</f>
        <v>#REF!</v>
      </c>
      <c r="ER50" t="e">
        <f>AND(#REF!,"AAAAAHev7ZM=")</f>
        <v>#REF!</v>
      </c>
      <c r="ES50" t="e">
        <f>AND(#REF!,"AAAAAHev7ZQ=")</f>
        <v>#REF!</v>
      </c>
      <c r="ET50" t="e">
        <f>AND(#REF!,"AAAAAHev7ZU=")</f>
        <v>#REF!</v>
      </c>
      <c r="EU50" t="e">
        <f>AND(#REF!,"AAAAAHev7ZY=")</f>
        <v>#REF!</v>
      </c>
      <c r="EV50" t="e">
        <f>AND(#REF!,"AAAAAHev7Zc=")</f>
        <v>#REF!</v>
      </c>
      <c r="EW50" t="e">
        <f>AND(#REF!,"AAAAAHev7Zg=")</f>
        <v>#REF!</v>
      </c>
      <c r="EX50" t="e">
        <f>AND(#REF!,"AAAAAHev7Zk=")</f>
        <v>#REF!</v>
      </c>
      <c r="EY50" t="e">
        <f>AND(#REF!,"AAAAAHev7Zo=")</f>
        <v>#REF!</v>
      </c>
      <c r="EZ50" t="e">
        <f>IF(#REF!,"AAAAAHev7Zs=",0)</f>
        <v>#REF!</v>
      </c>
      <c r="FA50" t="e">
        <f>AND(#REF!,"AAAAAHev7Zw=")</f>
        <v>#REF!</v>
      </c>
      <c r="FB50" t="e">
        <f>AND(#REF!,"AAAAAHev7Z0=")</f>
        <v>#REF!</v>
      </c>
      <c r="FC50" t="e">
        <f>AND(#REF!,"AAAAAHev7Z4=")</f>
        <v>#REF!</v>
      </c>
      <c r="FD50" t="e">
        <f>AND(#REF!,"AAAAAHev7Z8=")</f>
        <v>#REF!</v>
      </c>
      <c r="FE50" t="e">
        <f>AND(#REF!,"AAAAAHev7aA=")</f>
        <v>#REF!</v>
      </c>
      <c r="FF50" t="e">
        <f>AND(#REF!,"AAAAAHev7aE=")</f>
        <v>#REF!</v>
      </c>
      <c r="FG50" t="e">
        <f>AND(#REF!,"AAAAAHev7aI=")</f>
        <v>#REF!</v>
      </c>
      <c r="FH50" t="e">
        <f>AND(#REF!,"AAAAAHev7aM=")</f>
        <v>#REF!</v>
      </c>
      <c r="FI50" t="e">
        <f>IF(#REF!,"AAAAAHev7aQ=",0)</f>
        <v>#REF!</v>
      </c>
      <c r="FJ50" t="e">
        <f>AND(#REF!,"AAAAAHev7aU=")</f>
        <v>#REF!</v>
      </c>
      <c r="FK50" t="e">
        <f>AND(#REF!,"AAAAAHev7aY=")</f>
        <v>#REF!</v>
      </c>
      <c r="FL50" t="e">
        <f>AND(#REF!,"AAAAAHev7ac=")</f>
        <v>#REF!</v>
      </c>
      <c r="FM50" t="e">
        <f>AND(#REF!,"AAAAAHev7ag=")</f>
        <v>#REF!</v>
      </c>
      <c r="FN50" t="e">
        <f>AND(#REF!,"AAAAAHev7ak=")</f>
        <v>#REF!</v>
      </c>
      <c r="FO50" t="e">
        <f>AND(#REF!,"AAAAAHev7ao=")</f>
        <v>#REF!</v>
      </c>
      <c r="FP50" t="e">
        <f>AND(#REF!,"AAAAAHev7as=")</f>
        <v>#REF!</v>
      </c>
      <c r="FQ50" t="e">
        <f>AND(#REF!,"AAAAAHev7aw=")</f>
        <v>#REF!</v>
      </c>
      <c r="FR50" t="e">
        <f>IF(#REF!,"AAAAAHev7a0=",0)</f>
        <v>#REF!</v>
      </c>
      <c r="FS50" t="e">
        <f>AND(#REF!,"AAAAAHev7a4=")</f>
        <v>#REF!</v>
      </c>
      <c r="FT50" t="e">
        <f>AND(#REF!,"AAAAAHev7a8=")</f>
        <v>#REF!</v>
      </c>
      <c r="FU50" t="e">
        <f>AND(#REF!,"AAAAAHev7bA=")</f>
        <v>#REF!</v>
      </c>
      <c r="FV50" t="e">
        <f>AND(#REF!,"AAAAAHev7bE=")</f>
        <v>#REF!</v>
      </c>
      <c r="FW50" t="e">
        <f>AND(#REF!,"AAAAAHev7bI=")</f>
        <v>#REF!</v>
      </c>
      <c r="FX50" t="e">
        <f>AND(#REF!,"AAAAAHev7bM=")</f>
        <v>#REF!</v>
      </c>
      <c r="FY50" t="e">
        <f>AND(#REF!,"AAAAAHev7bQ=")</f>
        <v>#REF!</v>
      </c>
      <c r="FZ50" t="e">
        <f>AND(#REF!,"AAAAAHev7bU=")</f>
        <v>#REF!</v>
      </c>
      <c r="GA50" t="e">
        <f>IF(#REF!,"AAAAAHev7bY=",0)</f>
        <v>#REF!</v>
      </c>
      <c r="GB50" t="e">
        <f>AND(#REF!,"AAAAAHev7bc=")</f>
        <v>#REF!</v>
      </c>
      <c r="GC50" t="e">
        <f>AND(#REF!,"AAAAAHev7bg=")</f>
        <v>#REF!</v>
      </c>
      <c r="GD50" t="e">
        <f>AND(#REF!,"AAAAAHev7bk=")</f>
        <v>#REF!</v>
      </c>
      <c r="GE50" t="e">
        <f>AND(#REF!,"AAAAAHev7bo=")</f>
        <v>#REF!</v>
      </c>
      <c r="GF50" t="e">
        <f>AND(#REF!,"AAAAAHev7bs=")</f>
        <v>#REF!</v>
      </c>
      <c r="GG50" t="e">
        <f>AND(#REF!,"AAAAAHev7bw=")</f>
        <v>#REF!</v>
      </c>
      <c r="GH50" t="e">
        <f>AND(#REF!,"AAAAAHev7b0=")</f>
        <v>#REF!</v>
      </c>
      <c r="GI50" t="e">
        <f>AND(#REF!,"AAAAAHev7b4=")</f>
        <v>#REF!</v>
      </c>
      <c r="GJ50" t="e">
        <f>IF(#REF!,"AAAAAHev7b8=",0)</f>
        <v>#REF!</v>
      </c>
      <c r="GK50" t="e">
        <f>AND(#REF!,"AAAAAHev7cA=")</f>
        <v>#REF!</v>
      </c>
      <c r="GL50" t="e">
        <f>AND(#REF!,"AAAAAHev7cE=")</f>
        <v>#REF!</v>
      </c>
      <c r="GM50" t="e">
        <f>AND(#REF!,"AAAAAHev7cI=")</f>
        <v>#REF!</v>
      </c>
      <c r="GN50" t="e">
        <f>AND(#REF!,"AAAAAHev7cM=")</f>
        <v>#REF!</v>
      </c>
      <c r="GO50" t="e">
        <f>AND(#REF!,"AAAAAHev7cQ=")</f>
        <v>#REF!</v>
      </c>
      <c r="GP50" t="e">
        <f>AND(#REF!,"AAAAAHev7cU=")</f>
        <v>#REF!</v>
      </c>
      <c r="GQ50" t="e">
        <f>AND(#REF!,"AAAAAHev7cY=")</f>
        <v>#REF!</v>
      </c>
      <c r="GR50" t="e">
        <f>AND(#REF!,"AAAAAHev7cc=")</f>
        <v>#REF!</v>
      </c>
      <c r="GS50" t="e">
        <f>IF(#REF!,"AAAAAHev7cg=",0)</f>
        <v>#REF!</v>
      </c>
      <c r="GT50" t="e">
        <f>AND(#REF!,"AAAAAHev7ck=")</f>
        <v>#REF!</v>
      </c>
      <c r="GU50" t="e">
        <f>AND(#REF!,"AAAAAHev7co=")</f>
        <v>#REF!</v>
      </c>
      <c r="GV50" t="e">
        <f>AND(#REF!,"AAAAAHev7cs=")</f>
        <v>#REF!</v>
      </c>
      <c r="GW50" t="e">
        <f>AND(#REF!,"AAAAAHev7cw=")</f>
        <v>#REF!</v>
      </c>
      <c r="GX50" t="e">
        <f>AND(#REF!,"AAAAAHev7c0=")</f>
        <v>#REF!</v>
      </c>
      <c r="GY50" t="e">
        <f>AND(#REF!,"AAAAAHev7c4=")</f>
        <v>#REF!</v>
      </c>
      <c r="GZ50" t="e">
        <f>AND(#REF!,"AAAAAHev7c8=")</f>
        <v>#REF!</v>
      </c>
      <c r="HA50" t="e">
        <f>AND(#REF!,"AAAAAHev7dA=")</f>
        <v>#REF!</v>
      </c>
      <c r="HB50" t="e">
        <f>IF(#REF!,"AAAAAHev7dE=",0)</f>
        <v>#REF!</v>
      </c>
      <c r="HC50" t="e">
        <f>AND(#REF!,"AAAAAHev7dI=")</f>
        <v>#REF!</v>
      </c>
      <c r="HD50" t="e">
        <f>AND(#REF!,"AAAAAHev7dM=")</f>
        <v>#REF!</v>
      </c>
      <c r="HE50" t="e">
        <f>AND(#REF!,"AAAAAHev7dQ=")</f>
        <v>#REF!</v>
      </c>
      <c r="HF50" t="e">
        <f>AND(#REF!,"AAAAAHev7dU=")</f>
        <v>#REF!</v>
      </c>
      <c r="HG50" t="e">
        <f>AND(#REF!,"AAAAAHev7dY=")</f>
        <v>#REF!</v>
      </c>
      <c r="HH50" t="e">
        <f>AND(#REF!,"AAAAAHev7dc=")</f>
        <v>#REF!</v>
      </c>
      <c r="HI50" t="e">
        <f>AND(#REF!,"AAAAAHev7dg=")</f>
        <v>#REF!</v>
      </c>
      <c r="HJ50" t="e">
        <f>AND(#REF!,"AAAAAHev7dk=")</f>
        <v>#REF!</v>
      </c>
      <c r="HK50" t="e">
        <f>IF(#REF!,"AAAAAHev7do=",0)</f>
        <v>#REF!</v>
      </c>
      <c r="HL50" t="e">
        <f>AND(#REF!,"AAAAAHev7ds=")</f>
        <v>#REF!</v>
      </c>
      <c r="HM50" t="e">
        <f>AND(#REF!,"AAAAAHev7dw=")</f>
        <v>#REF!</v>
      </c>
      <c r="HN50" t="e">
        <f>AND(#REF!,"AAAAAHev7d0=")</f>
        <v>#REF!</v>
      </c>
      <c r="HO50" t="e">
        <f>AND(#REF!,"AAAAAHev7d4=")</f>
        <v>#REF!</v>
      </c>
      <c r="HP50" t="e">
        <f>AND(#REF!,"AAAAAHev7d8=")</f>
        <v>#REF!</v>
      </c>
      <c r="HQ50" t="e">
        <f>AND(#REF!,"AAAAAHev7eA=")</f>
        <v>#REF!</v>
      </c>
      <c r="HR50" t="e">
        <f>AND(#REF!,"AAAAAHev7eE=")</f>
        <v>#REF!</v>
      </c>
      <c r="HS50" t="e">
        <f>AND(#REF!,"AAAAAHev7eI=")</f>
        <v>#REF!</v>
      </c>
      <c r="HT50" t="e">
        <f>IF(#REF!,"AAAAAHev7eM=",0)</f>
        <v>#REF!</v>
      </c>
      <c r="HU50" t="e">
        <f>AND(#REF!,"AAAAAHev7eQ=")</f>
        <v>#REF!</v>
      </c>
      <c r="HV50" t="e">
        <f>AND(#REF!,"AAAAAHev7eU=")</f>
        <v>#REF!</v>
      </c>
      <c r="HW50" t="e">
        <f>AND(#REF!,"AAAAAHev7eY=")</f>
        <v>#REF!</v>
      </c>
      <c r="HX50" t="e">
        <f>AND(#REF!,"AAAAAHev7ec=")</f>
        <v>#REF!</v>
      </c>
      <c r="HY50" t="e">
        <f>AND(#REF!,"AAAAAHev7eg=")</f>
        <v>#REF!</v>
      </c>
      <c r="HZ50" t="e">
        <f>AND(#REF!,"AAAAAHev7ek=")</f>
        <v>#REF!</v>
      </c>
      <c r="IA50" t="e">
        <f>AND(#REF!,"AAAAAHev7eo=")</f>
        <v>#REF!</v>
      </c>
      <c r="IB50" t="e">
        <f>AND(#REF!,"AAAAAHev7es=")</f>
        <v>#REF!</v>
      </c>
      <c r="IC50" t="e">
        <f>IF(#REF!,"AAAAAHev7ew=",0)</f>
        <v>#REF!</v>
      </c>
      <c r="ID50" t="e">
        <f>AND(#REF!,"AAAAAHev7e0=")</f>
        <v>#REF!</v>
      </c>
      <c r="IE50" t="e">
        <f>AND(#REF!,"AAAAAHev7e4=")</f>
        <v>#REF!</v>
      </c>
      <c r="IF50" t="e">
        <f>AND(#REF!,"AAAAAHev7e8=")</f>
        <v>#REF!</v>
      </c>
      <c r="IG50" t="e">
        <f>AND(#REF!,"AAAAAHev7fA=")</f>
        <v>#REF!</v>
      </c>
      <c r="IH50" t="e">
        <f>AND(#REF!,"AAAAAHev7fE=")</f>
        <v>#REF!</v>
      </c>
      <c r="II50" t="e">
        <f>AND(#REF!,"AAAAAHev7fI=")</f>
        <v>#REF!</v>
      </c>
      <c r="IJ50" t="e">
        <f>AND(#REF!,"AAAAAHev7fM=")</f>
        <v>#REF!</v>
      </c>
      <c r="IK50" t="e">
        <f>AND(#REF!,"AAAAAHev7fQ=")</f>
        <v>#REF!</v>
      </c>
      <c r="IL50" t="e">
        <f>IF(#REF!,"AAAAAHev7fU=",0)</f>
        <v>#REF!</v>
      </c>
      <c r="IM50" t="e">
        <f>AND(#REF!,"AAAAAHev7fY=")</f>
        <v>#REF!</v>
      </c>
      <c r="IN50" t="e">
        <f>AND(#REF!,"AAAAAHev7fc=")</f>
        <v>#REF!</v>
      </c>
      <c r="IO50" t="e">
        <f>AND(#REF!,"AAAAAHev7fg=")</f>
        <v>#REF!</v>
      </c>
      <c r="IP50" t="e">
        <f>AND(#REF!,"AAAAAHev7fk=")</f>
        <v>#REF!</v>
      </c>
      <c r="IQ50" t="e">
        <f>AND(#REF!,"AAAAAHev7fo=")</f>
        <v>#REF!</v>
      </c>
      <c r="IR50" t="e">
        <f>AND(#REF!,"AAAAAHev7fs=")</f>
        <v>#REF!</v>
      </c>
      <c r="IS50" t="e">
        <f>AND(#REF!,"AAAAAHev7fw=")</f>
        <v>#REF!</v>
      </c>
      <c r="IT50" t="e">
        <f>AND(#REF!,"AAAAAHev7f0=")</f>
        <v>#REF!</v>
      </c>
      <c r="IU50" t="e">
        <f>IF(#REF!,"AAAAAHev7f4=",0)</f>
        <v>#REF!</v>
      </c>
      <c r="IV50" t="e">
        <f>AND(#REF!,"AAAAAHev7f8=")</f>
        <v>#REF!</v>
      </c>
    </row>
    <row r="51" spans="1:256">
      <c r="A51" t="e">
        <f>AND(#REF!,"AAAAAHd//wA=")</f>
        <v>#REF!</v>
      </c>
      <c r="B51" t="e">
        <f>AND(#REF!,"AAAAAHd//wE=")</f>
        <v>#REF!</v>
      </c>
      <c r="C51" t="e">
        <f>AND(#REF!,"AAAAAHd//wI=")</f>
        <v>#REF!</v>
      </c>
      <c r="D51" t="e">
        <f>AND(#REF!,"AAAAAHd//wM=")</f>
        <v>#REF!</v>
      </c>
      <c r="E51" t="e">
        <f>AND(#REF!,"AAAAAHd//wQ=")</f>
        <v>#REF!</v>
      </c>
      <c r="F51" t="e">
        <f>AND(#REF!,"AAAAAHd//wU=")</f>
        <v>#REF!</v>
      </c>
      <c r="G51" t="e">
        <f>AND(#REF!,"AAAAAHd//wY=")</f>
        <v>#REF!</v>
      </c>
      <c r="H51" t="e">
        <f>IF(#REF!,"AAAAAHd//wc=",0)</f>
        <v>#REF!</v>
      </c>
      <c r="I51" t="e">
        <f>AND(#REF!,"AAAAAHd//wg=")</f>
        <v>#REF!</v>
      </c>
      <c r="J51" t="e">
        <f>AND(#REF!,"AAAAAHd//wk=")</f>
        <v>#REF!</v>
      </c>
      <c r="K51" t="e">
        <f>AND(#REF!,"AAAAAHd//wo=")</f>
        <v>#REF!</v>
      </c>
      <c r="L51" t="e">
        <f>AND(#REF!,"AAAAAHd//ws=")</f>
        <v>#REF!</v>
      </c>
      <c r="M51" t="e">
        <f>AND(#REF!,"AAAAAHd//ww=")</f>
        <v>#REF!</v>
      </c>
      <c r="N51" t="e">
        <f>AND(#REF!,"AAAAAHd//w0=")</f>
        <v>#REF!</v>
      </c>
      <c r="O51" t="e">
        <f>AND(#REF!,"AAAAAHd//w4=")</f>
        <v>#REF!</v>
      </c>
      <c r="P51" t="e">
        <f>AND(#REF!,"AAAAAHd//w8=")</f>
        <v>#REF!</v>
      </c>
      <c r="Q51" t="e">
        <f>IF(#REF!,"AAAAAHd//xA=",0)</f>
        <v>#REF!</v>
      </c>
      <c r="R51" t="e">
        <f>AND(#REF!,"AAAAAHd//xE=")</f>
        <v>#REF!</v>
      </c>
      <c r="S51" t="e">
        <f>AND(#REF!,"AAAAAHd//xI=")</f>
        <v>#REF!</v>
      </c>
      <c r="T51" t="e">
        <f>AND(#REF!,"AAAAAHd//xM=")</f>
        <v>#REF!</v>
      </c>
      <c r="U51" t="e">
        <f>AND(#REF!,"AAAAAHd//xQ=")</f>
        <v>#REF!</v>
      </c>
      <c r="V51" t="e">
        <f>AND(#REF!,"AAAAAHd//xU=")</f>
        <v>#REF!</v>
      </c>
      <c r="W51" t="e">
        <f>AND(#REF!,"AAAAAHd//xY=")</f>
        <v>#REF!</v>
      </c>
      <c r="X51" t="e">
        <f>AND(#REF!,"AAAAAHd//xc=")</f>
        <v>#REF!</v>
      </c>
      <c r="Y51" t="e">
        <f>AND(#REF!,"AAAAAHd//xg=")</f>
        <v>#REF!</v>
      </c>
      <c r="Z51" t="e">
        <f>IF(#REF!,"AAAAAHd//xk=",0)</f>
        <v>#REF!</v>
      </c>
      <c r="AA51" t="e">
        <f>AND(#REF!,"AAAAAHd//xo=")</f>
        <v>#REF!</v>
      </c>
      <c r="AB51" t="e">
        <f>AND(#REF!,"AAAAAHd//xs=")</f>
        <v>#REF!</v>
      </c>
      <c r="AC51" t="e">
        <f>AND(#REF!,"AAAAAHd//xw=")</f>
        <v>#REF!</v>
      </c>
      <c r="AD51" t="e">
        <f>AND(#REF!,"AAAAAHd//x0=")</f>
        <v>#REF!</v>
      </c>
      <c r="AE51" t="e">
        <f>AND(#REF!,"AAAAAHd//x4=")</f>
        <v>#REF!</v>
      </c>
      <c r="AF51" t="e">
        <f>AND(#REF!,"AAAAAHd//x8=")</f>
        <v>#REF!</v>
      </c>
      <c r="AG51" t="e">
        <f>AND(#REF!,"AAAAAHd//yA=")</f>
        <v>#REF!</v>
      </c>
      <c r="AH51" t="e">
        <f>AND(#REF!,"AAAAAHd//yE=")</f>
        <v>#REF!</v>
      </c>
      <c r="AI51" t="e">
        <f>IF(#REF!,"AAAAAHd//yI=",0)</f>
        <v>#REF!</v>
      </c>
      <c r="AJ51" t="e">
        <f>AND(#REF!,"AAAAAHd//yM=")</f>
        <v>#REF!</v>
      </c>
      <c r="AK51" t="e">
        <f>AND(#REF!,"AAAAAHd//yQ=")</f>
        <v>#REF!</v>
      </c>
      <c r="AL51" t="e">
        <f>AND(#REF!,"AAAAAHd//yU=")</f>
        <v>#REF!</v>
      </c>
      <c r="AM51" t="e">
        <f>AND(#REF!,"AAAAAHd//yY=")</f>
        <v>#REF!</v>
      </c>
      <c r="AN51" t="e">
        <f>AND(#REF!,"AAAAAHd//yc=")</f>
        <v>#REF!</v>
      </c>
      <c r="AO51" t="e">
        <f>AND(#REF!,"AAAAAHd//yg=")</f>
        <v>#REF!</v>
      </c>
      <c r="AP51" t="e">
        <f>AND(#REF!,"AAAAAHd//yk=")</f>
        <v>#REF!</v>
      </c>
      <c r="AQ51" t="e">
        <f>AND(#REF!,"AAAAAHd//yo=")</f>
        <v>#REF!</v>
      </c>
      <c r="AR51" t="e">
        <f>IF(#REF!,"AAAAAHd//ys=",0)</f>
        <v>#REF!</v>
      </c>
      <c r="AS51" t="e">
        <f>AND(#REF!,"AAAAAHd//yw=")</f>
        <v>#REF!</v>
      </c>
      <c r="AT51" t="e">
        <f>AND(#REF!,"AAAAAHd//y0=")</f>
        <v>#REF!</v>
      </c>
      <c r="AU51" t="e">
        <f>AND(#REF!,"AAAAAHd//y4=")</f>
        <v>#REF!</v>
      </c>
      <c r="AV51" t="e">
        <f>AND(#REF!,"AAAAAHd//y8=")</f>
        <v>#REF!</v>
      </c>
      <c r="AW51" t="e">
        <f>AND(#REF!,"AAAAAHd//zA=")</f>
        <v>#REF!</v>
      </c>
      <c r="AX51" t="e">
        <f>AND(#REF!,"AAAAAHd//zE=")</f>
        <v>#REF!</v>
      </c>
      <c r="AY51" t="e">
        <f>AND(#REF!,"AAAAAHd//zI=")</f>
        <v>#REF!</v>
      </c>
      <c r="AZ51" t="e">
        <f>AND(#REF!,"AAAAAHd//zM=")</f>
        <v>#REF!</v>
      </c>
      <c r="BA51" t="e">
        <f>IF(#REF!,"AAAAAHd//zQ=",0)</f>
        <v>#REF!</v>
      </c>
      <c r="BB51" t="e">
        <f>AND(#REF!,"AAAAAHd//zU=")</f>
        <v>#REF!</v>
      </c>
      <c r="BC51" t="e">
        <f>AND(#REF!,"AAAAAHd//zY=")</f>
        <v>#REF!</v>
      </c>
      <c r="BD51" t="e">
        <f>AND(#REF!,"AAAAAHd//zc=")</f>
        <v>#REF!</v>
      </c>
      <c r="BE51" t="e">
        <f>AND(#REF!,"AAAAAHd//zg=")</f>
        <v>#REF!</v>
      </c>
      <c r="BF51" t="e">
        <f>AND(#REF!,"AAAAAHd//zk=")</f>
        <v>#REF!</v>
      </c>
      <c r="BG51" t="e">
        <f>AND(#REF!,"AAAAAHd//zo=")</f>
        <v>#REF!</v>
      </c>
      <c r="BH51" t="e">
        <f>AND(#REF!,"AAAAAHd//zs=")</f>
        <v>#REF!</v>
      </c>
      <c r="BI51" t="e">
        <f>AND(#REF!,"AAAAAHd//zw=")</f>
        <v>#REF!</v>
      </c>
      <c r="BJ51" t="e">
        <f>IF(#REF!,"AAAAAHd//z0=",0)</f>
        <v>#REF!</v>
      </c>
      <c r="BK51" t="e">
        <f>AND(#REF!,"AAAAAHd//z4=")</f>
        <v>#REF!</v>
      </c>
      <c r="BL51" t="e">
        <f>AND(#REF!,"AAAAAHd//z8=")</f>
        <v>#REF!</v>
      </c>
      <c r="BM51" t="e">
        <f>AND(#REF!,"AAAAAHd//0A=")</f>
        <v>#REF!</v>
      </c>
      <c r="BN51" t="e">
        <f>AND(#REF!,"AAAAAHd//0E=")</f>
        <v>#REF!</v>
      </c>
      <c r="BO51" t="e">
        <f>AND(#REF!,"AAAAAHd//0I=")</f>
        <v>#REF!</v>
      </c>
      <c r="BP51" t="e">
        <f>AND(#REF!,"AAAAAHd//0M=")</f>
        <v>#REF!</v>
      </c>
      <c r="BQ51" t="e">
        <f>AND(#REF!,"AAAAAHd//0Q=")</f>
        <v>#REF!</v>
      </c>
      <c r="BR51" t="e">
        <f>AND(#REF!,"AAAAAHd//0U=")</f>
        <v>#REF!</v>
      </c>
      <c r="BS51" t="e">
        <f>IF(#REF!,"AAAAAHd//0Y=",0)</f>
        <v>#REF!</v>
      </c>
      <c r="BT51" t="e">
        <f>AND(#REF!,"AAAAAHd//0c=")</f>
        <v>#REF!</v>
      </c>
      <c r="BU51" t="e">
        <f>AND(#REF!,"AAAAAHd//0g=")</f>
        <v>#REF!</v>
      </c>
      <c r="BV51" t="e">
        <f>AND(#REF!,"AAAAAHd//0k=")</f>
        <v>#REF!</v>
      </c>
      <c r="BW51" t="e">
        <f>AND(#REF!,"AAAAAHd//0o=")</f>
        <v>#REF!</v>
      </c>
      <c r="BX51" t="e">
        <f>AND(#REF!,"AAAAAHd//0s=")</f>
        <v>#REF!</v>
      </c>
      <c r="BY51" t="e">
        <f>AND(#REF!,"AAAAAHd//0w=")</f>
        <v>#REF!</v>
      </c>
      <c r="BZ51" t="e">
        <f>AND(#REF!,"AAAAAHd//00=")</f>
        <v>#REF!</v>
      </c>
      <c r="CA51" t="e">
        <f>AND(#REF!,"AAAAAHd//04=")</f>
        <v>#REF!</v>
      </c>
      <c r="CB51" t="e">
        <f>IF(#REF!,"AAAAAHd//08=",0)</f>
        <v>#REF!</v>
      </c>
      <c r="CC51" t="e">
        <f>AND(#REF!,"AAAAAHd//1A=")</f>
        <v>#REF!</v>
      </c>
      <c r="CD51" t="e">
        <f>AND(#REF!,"AAAAAHd//1E=")</f>
        <v>#REF!</v>
      </c>
      <c r="CE51" t="e">
        <f>AND(#REF!,"AAAAAHd//1I=")</f>
        <v>#REF!</v>
      </c>
      <c r="CF51" t="e">
        <f>AND(#REF!,"AAAAAHd//1M=")</f>
        <v>#REF!</v>
      </c>
      <c r="CG51" t="e">
        <f>AND(#REF!,"AAAAAHd//1Q=")</f>
        <v>#REF!</v>
      </c>
      <c r="CH51" t="e">
        <f>AND(#REF!,"AAAAAHd//1U=")</f>
        <v>#REF!</v>
      </c>
      <c r="CI51" t="e">
        <f>AND(#REF!,"AAAAAHd//1Y=")</f>
        <v>#REF!</v>
      </c>
      <c r="CJ51" t="e">
        <f>AND(#REF!,"AAAAAHd//1c=")</f>
        <v>#REF!</v>
      </c>
      <c r="CK51" t="e">
        <f>IF(#REF!,"AAAAAHd//1g=",0)</f>
        <v>#REF!</v>
      </c>
      <c r="CL51" t="e">
        <f>AND(#REF!,"AAAAAHd//1k=")</f>
        <v>#REF!</v>
      </c>
      <c r="CM51" t="e">
        <f>AND(#REF!,"AAAAAHd//1o=")</f>
        <v>#REF!</v>
      </c>
      <c r="CN51" t="e">
        <f>AND(#REF!,"AAAAAHd//1s=")</f>
        <v>#REF!</v>
      </c>
      <c r="CO51" t="e">
        <f>AND(#REF!,"AAAAAHd//1w=")</f>
        <v>#REF!</v>
      </c>
      <c r="CP51" t="e">
        <f>AND(#REF!,"AAAAAHd//10=")</f>
        <v>#REF!</v>
      </c>
      <c r="CQ51" t="e">
        <f>AND(#REF!,"AAAAAHd//14=")</f>
        <v>#REF!</v>
      </c>
      <c r="CR51" t="e">
        <f>AND(#REF!,"AAAAAHd//18=")</f>
        <v>#REF!</v>
      </c>
      <c r="CS51" t="e">
        <f>AND(#REF!,"AAAAAHd//2A=")</f>
        <v>#REF!</v>
      </c>
      <c r="CT51" t="e">
        <f>IF(#REF!,"AAAAAHd//2E=",0)</f>
        <v>#REF!</v>
      </c>
      <c r="CU51" t="e">
        <f>AND(#REF!,"AAAAAHd//2I=")</f>
        <v>#REF!</v>
      </c>
      <c r="CV51" t="e">
        <f>AND(#REF!,"AAAAAHd//2M=")</f>
        <v>#REF!</v>
      </c>
      <c r="CW51" t="e">
        <f>AND(#REF!,"AAAAAHd//2Q=")</f>
        <v>#REF!</v>
      </c>
      <c r="CX51" t="e">
        <f>AND(#REF!,"AAAAAHd//2U=")</f>
        <v>#REF!</v>
      </c>
      <c r="CY51" t="e">
        <f>AND(#REF!,"AAAAAHd//2Y=")</f>
        <v>#REF!</v>
      </c>
      <c r="CZ51" t="e">
        <f>AND(#REF!,"AAAAAHd//2c=")</f>
        <v>#REF!</v>
      </c>
      <c r="DA51" t="e">
        <f>AND(#REF!,"AAAAAHd//2g=")</f>
        <v>#REF!</v>
      </c>
      <c r="DB51" t="e">
        <f>AND(#REF!,"AAAAAHd//2k=")</f>
        <v>#REF!</v>
      </c>
      <c r="DC51" t="e">
        <f>IF(#REF!,"AAAAAHd//2o=",0)</f>
        <v>#REF!</v>
      </c>
      <c r="DD51" t="e">
        <f>AND(#REF!,"AAAAAHd//2s=")</f>
        <v>#REF!</v>
      </c>
      <c r="DE51" t="e">
        <f>AND(#REF!,"AAAAAHd//2w=")</f>
        <v>#REF!</v>
      </c>
      <c r="DF51" t="e">
        <f>AND(#REF!,"AAAAAHd//20=")</f>
        <v>#REF!</v>
      </c>
      <c r="DG51" t="e">
        <f>AND(#REF!,"AAAAAHd//24=")</f>
        <v>#REF!</v>
      </c>
      <c r="DH51" t="e">
        <f>AND(#REF!,"AAAAAHd//28=")</f>
        <v>#REF!</v>
      </c>
      <c r="DI51" t="e">
        <f>AND(#REF!,"AAAAAHd//3A=")</f>
        <v>#REF!</v>
      </c>
      <c r="DJ51" t="e">
        <f>AND(#REF!,"AAAAAHd//3E=")</f>
        <v>#REF!</v>
      </c>
      <c r="DK51" t="e">
        <f>AND(#REF!,"AAAAAHd//3I=")</f>
        <v>#REF!</v>
      </c>
      <c r="DL51" t="e">
        <f>IF(#REF!,"AAAAAHd//3M=",0)</f>
        <v>#REF!</v>
      </c>
      <c r="DM51" t="e">
        <f>AND(#REF!,"AAAAAHd//3Q=")</f>
        <v>#REF!</v>
      </c>
      <c r="DN51" t="e">
        <f>AND(#REF!,"AAAAAHd//3U=")</f>
        <v>#REF!</v>
      </c>
      <c r="DO51" t="e">
        <f>AND(#REF!,"AAAAAHd//3Y=")</f>
        <v>#REF!</v>
      </c>
      <c r="DP51" t="e">
        <f>AND(#REF!,"AAAAAHd//3c=")</f>
        <v>#REF!</v>
      </c>
      <c r="DQ51" t="e">
        <f>AND(#REF!,"AAAAAHd//3g=")</f>
        <v>#REF!</v>
      </c>
      <c r="DR51" t="e">
        <f>AND(#REF!,"AAAAAHd//3k=")</f>
        <v>#REF!</v>
      </c>
      <c r="DS51" t="e">
        <f>AND(#REF!,"AAAAAHd//3o=")</f>
        <v>#REF!</v>
      </c>
      <c r="DT51" t="e">
        <f>AND(#REF!,"AAAAAHd//3s=")</f>
        <v>#REF!</v>
      </c>
      <c r="DU51" t="e">
        <f>IF(#REF!,"AAAAAHd//3w=",0)</f>
        <v>#REF!</v>
      </c>
      <c r="DV51" t="e">
        <f>AND(#REF!,"AAAAAHd//30=")</f>
        <v>#REF!</v>
      </c>
      <c r="DW51" t="e">
        <f>AND(#REF!,"AAAAAHd//34=")</f>
        <v>#REF!</v>
      </c>
      <c r="DX51" t="e">
        <f>AND(#REF!,"AAAAAHd//38=")</f>
        <v>#REF!</v>
      </c>
      <c r="DY51" t="e">
        <f>AND(#REF!,"AAAAAHd//4A=")</f>
        <v>#REF!</v>
      </c>
      <c r="DZ51" t="e">
        <f>AND(#REF!,"AAAAAHd//4E=")</f>
        <v>#REF!</v>
      </c>
      <c r="EA51" t="e">
        <f>AND(#REF!,"AAAAAHd//4I=")</f>
        <v>#REF!</v>
      </c>
      <c r="EB51" t="e">
        <f>AND(#REF!,"AAAAAHd//4M=")</f>
        <v>#REF!</v>
      </c>
      <c r="EC51" t="e">
        <f>AND(#REF!,"AAAAAHd//4Q=")</f>
        <v>#REF!</v>
      </c>
      <c r="ED51" t="e">
        <f>IF(#REF!,"AAAAAHd//4U=",0)</f>
        <v>#REF!</v>
      </c>
      <c r="EE51" t="e">
        <f>AND(#REF!,"AAAAAHd//4Y=")</f>
        <v>#REF!</v>
      </c>
      <c r="EF51" t="e">
        <f>AND(#REF!,"AAAAAHd//4c=")</f>
        <v>#REF!</v>
      </c>
      <c r="EG51" t="e">
        <f>AND(#REF!,"AAAAAHd//4g=")</f>
        <v>#REF!</v>
      </c>
      <c r="EH51" t="e">
        <f>AND(#REF!,"AAAAAHd//4k=")</f>
        <v>#REF!</v>
      </c>
      <c r="EI51" t="e">
        <f>AND(#REF!,"AAAAAHd//4o=")</f>
        <v>#REF!</v>
      </c>
      <c r="EJ51" t="e">
        <f>AND(#REF!,"AAAAAHd//4s=")</f>
        <v>#REF!</v>
      </c>
      <c r="EK51" t="e">
        <f>AND(#REF!,"AAAAAHd//4w=")</f>
        <v>#REF!</v>
      </c>
      <c r="EL51" t="e">
        <f>AND(#REF!,"AAAAAHd//40=")</f>
        <v>#REF!</v>
      </c>
      <c r="EM51" t="e">
        <f>IF(#REF!,"AAAAAHd//44=",0)</f>
        <v>#REF!</v>
      </c>
      <c r="EN51" t="e">
        <f>AND(#REF!,"AAAAAHd//48=")</f>
        <v>#REF!</v>
      </c>
      <c r="EO51" t="e">
        <f>AND(#REF!,"AAAAAHd//5A=")</f>
        <v>#REF!</v>
      </c>
      <c r="EP51" t="e">
        <f>AND(#REF!,"AAAAAHd//5E=")</f>
        <v>#REF!</v>
      </c>
      <c r="EQ51" t="e">
        <f>AND(#REF!,"AAAAAHd//5I=")</f>
        <v>#REF!</v>
      </c>
      <c r="ER51" t="e">
        <f>AND(#REF!,"AAAAAHd//5M=")</f>
        <v>#REF!</v>
      </c>
      <c r="ES51" t="e">
        <f>AND(#REF!,"AAAAAHd//5Q=")</f>
        <v>#REF!</v>
      </c>
      <c r="ET51" t="e">
        <f>AND(#REF!,"AAAAAHd//5U=")</f>
        <v>#REF!</v>
      </c>
      <c r="EU51" t="e">
        <f>AND(#REF!,"AAAAAHd//5Y=")</f>
        <v>#REF!</v>
      </c>
      <c r="EV51" t="e">
        <f>IF(#REF!,"AAAAAHd//5c=",0)</f>
        <v>#REF!</v>
      </c>
      <c r="EW51" t="e">
        <f>AND(#REF!,"AAAAAHd//5g=")</f>
        <v>#REF!</v>
      </c>
      <c r="EX51" t="e">
        <f>AND(#REF!,"AAAAAHd//5k=")</f>
        <v>#REF!</v>
      </c>
      <c r="EY51" t="e">
        <f>AND(#REF!,"AAAAAHd//5o=")</f>
        <v>#REF!</v>
      </c>
      <c r="EZ51" t="e">
        <f>AND(#REF!,"AAAAAHd//5s=")</f>
        <v>#REF!</v>
      </c>
      <c r="FA51" t="e">
        <f>AND(#REF!,"AAAAAHd//5w=")</f>
        <v>#REF!</v>
      </c>
      <c r="FB51" t="e">
        <f>AND(#REF!,"AAAAAHd//50=")</f>
        <v>#REF!</v>
      </c>
      <c r="FC51" t="e">
        <f>AND(#REF!,"AAAAAHd//54=")</f>
        <v>#REF!</v>
      </c>
      <c r="FD51" t="e">
        <f>AND(#REF!,"AAAAAHd//58=")</f>
        <v>#REF!</v>
      </c>
      <c r="FE51" t="e">
        <f>IF(#REF!,"AAAAAHd//6A=",0)</f>
        <v>#REF!</v>
      </c>
      <c r="FF51" t="e">
        <f>AND(#REF!,"AAAAAHd//6E=")</f>
        <v>#REF!</v>
      </c>
      <c r="FG51" t="e">
        <f>AND(#REF!,"AAAAAHd//6I=")</f>
        <v>#REF!</v>
      </c>
      <c r="FH51" t="e">
        <f>AND(#REF!,"AAAAAHd//6M=")</f>
        <v>#REF!</v>
      </c>
      <c r="FI51" t="e">
        <f>AND(#REF!,"AAAAAHd//6Q=")</f>
        <v>#REF!</v>
      </c>
      <c r="FJ51" t="e">
        <f>AND(#REF!,"AAAAAHd//6U=")</f>
        <v>#REF!</v>
      </c>
      <c r="FK51" t="e">
        <f>AND(#REF!,"AAAAAHd//6Y=")</f>
        <v>#REF!</v>
      </c>
      <c r="FL51" t="e">
        <f>AND(#REF!,"AAAAAHd//6c=")</f>
        <v>#REF!</v>
      </c>
      <c r="FM51" t="e">
        <f>AND(#REF!,"AAAAAHd//6g=")</f>
        <v>#REF!</v>
      </c>
      <c r="FN51" t="e">
        <f>IF(#REF!,"AAAAAHd//6k=",0)</f>
        <v>#REF!</v>
      </c>
      <c r="FO51" t="e">
        <f>AND(#REF!,"AAAAAHd//6o=")</f>
        <v>#REF!</v>
      </c>
      <c r="FP51" t="e">
        <f>AND(#REF!,"AAAAAHd//6s=")</f>
        <v>#REF!</v>
      </c>
      <c r="FQ51" t="e">
        <f>AND(#REF!,"AAAAAHd//6w=")</f>
        <v>#REF!</v>
      </c>
      <c r="FR51" t="e">
        <f>AND(#REF!,"AAAAAHd//60=")</f>
        <v>#REF!</v>
      </c>
      <c r="FS51" t="e">
        <f>AND(#REF!,"AAAAAHd//64=")</f>
        <v>#REF!</v>
      </c>
      <c r="FT51" t="e">
        <f>AND(#REF!,"AAAAAHd//68=")</f>
        <v>#REF!</v>
      </c>
      <c r="FU51" t="e">
        <f>AND(#REF!,"AAAAAHd//7A=")</f>
        <v>#REF!</v>
      </c>
      <c r="FV51" t="e">
        <f>AND(#REF!,"AAAAAHd//7E=")</f>
        <v>#REF!</v>
      </c>
      <c r="FW51" t="e">
        <f>IF(#REF!,"AAAAAHd//7I=",0)</f>
        <v>#REF!</v>
      </c>
      <c r="FX51" t="e">
        <f>AND(#REF!,"AAAAAHd//7M=")</f>
        <v>#REF!</v>
      </c>
      <c r="FY51" t="e">
        <f>AND(#REF!,"AAAAAHd//7Q=")</f>
        <v>#REF!</v>
      </c>
      <c r="FZ51" t="e">
        <f>AND(#REF!,"AAAAAHd//7U=")</f>
        <v>#REF!</v>
      </c>
      <c r="GA51" t="e">
        <f>AND(#REF!,"AAAAAHd//7Y=")</f>
        <v>#REF!</v>
      </c>
      <c r="GB51" t="e">
        <f>AND(#REF!,"AAAAAHd//7c=")</f>
        <v>#REF!</v>
      </c>
      <c r="GC51" t="e">
        <f>AND(#REF!,"AAAAAHd//7g=")</f>
        <v>#REF!</v>
      </c>
      <c r="GD51" t="e">
        <f>AND(#REF!,"AAAAAHd//7k=")</f>
        <v>#REF!</v>
      </c>
      <c r="GE51" t="e">
        <f>AND(#REF!,"AAAAAHd//7o=")</f>
        <v>#REF!</v>
      </c>
      <c r="GF51" t="e">
        <f>IF(#REF!,"AAAAAHd//7s=",0)</f>
        <v>#REF!</v>
      </c>
      <c r="GG51" t="e">
        <f>AND(#REF!,"AAAAAHd//7w=")</f>
        <v>#REF!</v>
      </c>
      <c r="GH51" t="e">
        <f>AND(#REF!,"AAAAAHd//70=")</f>
        <v>#REF!</v>
      </c>
      <c r="GI51" t="e">
        <f>AND(#REF!,"AAAAAHd//74=")</f>
        <v>#REF!</v>
      </c>
      <c r="GJ51" t="e">
        <f>AND(#REF!,"AAAAAHd//78=")</f>
        <v>#REF!</v>
      </c>
      <c r="GK51" t="e">
        <f>AND(#REF!,"AAAAAHd//8A=")</f>
        <v>#REF!</v>
      </c>
      <c r="GL51" t="e">
        <f>AND(#REF!,"AAAAAHd//8E=")</f>
        <v>#REF!</v>
      </c>
      <c r="GM51" t="e">
        <f>AND(#REF!,"AAAAAHd//8I=")</f>
        <v>#REF!</v>
      </c>
      <c r="GN51" t="e">
        <f>AND(#REF!,"AAAAAHd//8M=")</f>
        <v>#REF!</v>
      </c>
      <c r="GO51" t="e">
        <f>IF(#REF!,"AAAAAHd//8Q=",0)</f>
        <v>#REF!</v>
      </c>
      <c r="GP51" t="e">
        <f>AND(#REF!,"AAAAAHd//8U=")</f>
        <v>#REF!</v>
      </c>
      <c r="GQ51" t="e">
        <f>AND(#REF!,"AAAAAHd//8Y=")</f>
        <v>#REF!</v>
      </c>
      <c r="GR51" t="e">
        <f>AND(#REF!,"AAAAAHd//8c=")</f>
        <v>#REF!</v>
      </c>
      <c r="GS51" t="e">
        <f>AND(#REF!,"AAAAAHd//8g=")</f>
        <v>#REF!</v>
      </c>
      <c r="GT51" t="e">
        <f>AND(#REF!,"AAAAAHd//8k=")</f>
        <v>#REF!</v>
      </c>
      <c r="GU51" t="e">
        <f>AND(#REF!,"AAAAAHd//8o=")</f>
        <v>#REF!</v>
      </c>
      <c r="GV51" t="e">
        <f>AND(#REF!,"AAAAAHd//8s=")</f>
        <v>#REF!</v>
      </c>
      <c r="GW51" t="e">
        <f>AND(#REF!,"AAAAAHd//8w=")</f>
        <v>#REF!</v>
      </c>
      <c r="GX51" t="e">
        <f>IF(#REF!,"AAAAAHd//80=",0)</f>
        <v>#REF!</v>
      </c>
      <c r="GY51" t="e">
        <f>AND(#REF!,"AAAAAHd//84=")</f>
        <v>#REF!</v>
      </c>
      <c r="GZ51" t="e">
        <f>AND(#REF!,"AAAAAHd//88=")</f>
        <v>#REF!</v>
      </c>
      <c r="HA51" t="e">
        <f>AND(#REF!,"AAAAAHd//9A=")</f>
        <v>#REF!</v>
      </c>
      <c r="HB51" t="e">
        <f>AND(#REF!,"AAAAAHd//9E=")</f>
        <v>#REF!</v>
      </c>
      <c r="HC51" t="e">
        <f>AND(#REF!,"AAAAAHd//9I=")</f>
        <v>#REF!</v>
      </c>
      <c r="HD51" t="e">
        <f>AND(#REF!,"AAAAAHd//9M=")</f>
        <v>#REF!</v>
      </c>
      <c r="HE51" t="e">
        <f>AND(#REF!,"AAAAAHd//9Q=")</f>
        <v>#REF!</v>
      </c>
      <c r="HF51" t="e">
        <f>AND(#REF!,"AAAAAHd//9U=")</f>
        <v>#REF!</v>
      </c>
      <c r="HG51" t="e">
        <f>IF(#REF!,"AAAAAHd//9Y=",0)</f>
        <v>#REF!</v>
      </c>
      <c r="HH51" t="e">
        <f>AND(#REF!,"AAAAAHd//9c=")</f>
        <v>#REF!</v>
      </c>
      <c r="HI51" t="e">
        <f>AND(#REF!,"AAAAAHd//9g=")</f>
        <v>#REF!</v>
      </c>
      <c r="HJ51" t="e">
        <f>AND(#REF!,"AAAAAHd//9k=")</f>
        <v>#REF!</v>
      </c>
      <c r="HK51" t="e">
        <f>AND(#REF!,"AAAAAHd//9o=")</f>
        <v>#REF!</v>
      </c>
      <c r="HL51" t="e">
        <f>AND(#REF!,"AAAAAHd//9s=")</f>
        <v>#REF!</v>
      </c>
      <c r="HM51" t="e">
        <f>AND(#REF!,"AAAAAHd//9w=")</f>
        <v>#REF!</v>
      </c>
      <c r="HN51" t="e">
        <f>AND(#REF!,"AAAAAHd//90=")</f>
        <v>#REF!</v>
      </c>
      <c r="HO51" t="e">
        <f>AND(#REF!,"AAAAAHd//94=")</f>
        <v>#REF!</v>
      </c>
      <c r="HP51" t="e">
        <f>IF(#REF!,"AAAAAHd//98=",0)</f>
        <v>#REF!</v>
      </c>
      <c r="HQ51" t="e">
        <f>AND(#REF!,"AAAAAHd//+A=")</f>
        <v>#REF!</v>
      </c>
      <c r="HR51" t="e">
        <f>AND(#REF!,"AAAAAHd//+E=")</f>
        <v>#REF!</v>
      </c>
      <c r="HS51" t="e">
        <f>AND(#REF!,"AAAAAHd//+I=")</f>
        <v>#REF!</v>
      </c>
      <c r="HT51" t="e">
        <f>AND(#REF!,"AAAAAHd//+M=")</f>
        <v>#REF!</v>
      </c>
      <c r="HU51" t="e">
        <f>AND(#REF!,"AAAAAHd//+Q=")</f>
        <v>#REF!</v>
      </c>
      <c r="HV51" t="e">
        <f>AND(#REF!,"AAAAAHd//+U=")</f>
        <v>#REF!</v>
      </c>
      <c r="HW51" t="e">
        <f>AND(#REF!,"AAAAAHd//+Y=")</f>
        <v>#REF!</v>
      </c>
      <c r="HX51" t="e">
        <f>AND(#REF!,"AAAAAHd//+c=")</f>
        <v>#REF!</v>
      </c>
      <c r="HY51" t="e">
        <f>IF(#REF!,"AAAAAHd//+g=",0)</f>
        <v>#REF!</v>
      </c>
      <c r="HZ51" t="e">
        <f>AND(#REF!,"AAAAAHd//+k=")</f>
        <v>#REF!</v>
      </c>
      <c r="IA51" t="e">
        <f>AND(#REF!,"AAAAAHd//+o=")</f>
        <v>#REF!</v>
      </c>
      <c r="IB51" t="e">
        <f>AND(#REF!,"AAAAAHd//+s=")</f>
        <v>#REF!</v>
      </c>
      <c r="IC51" t="e">
        <f>AND(#REF!,"AAAAAHd//+w=")</f>
        <v>#REF!</v>
      </c>
      <c r="ID51" t="e">
        <f>AND(#REF!,"AAAAAHd//+0=")</f>
        <v>#REF!</v>
      </c>
      <c r="IE51" t="e">
        <f>AND(#REF!,"AAAAAHd//+4=")</f>
        <v>#REF!</v>
      </c>
      <c r="IF51" t="e">
        <f>AND(#REF!,"AAAAAHd//+8=")</f>
        <v>#REF!</v>
      </c>
      <c r="IG51" t="e">
        <f>AND(#REF!,"AAAAAHd///A=")</f>
        <v>#REF!</v>
      </c>
      <c r="IH51" t="e">
        <f>IF(#REF!,"AAAAAHd///E=",0)</f>
        <v>#REF!</v>
      </c>
      <c r="II51" t="e">
        <f>AND(#REF!,"AAAAAHd///I=")</f>
        <v>#REF!</v>
      </c>
      <c r="IJ51" t="e">
        <f>AND(#REF!,"AAAAAHd///M=")</f>
        <v>#REF!</v>
      </c>
      <c r="IK51" t="e">
        <f>AND(#REF!,"AAAAAHd///Q=")</f>
        <v>#REF!</v>
      </c>
      <c r="IL51" t="e">
        <f>AND(#REF!,"AAAAAHd///U=")</f>
        <v>#REF!</v>
      </c>
      <c r="IM51" t="e">
        <f>AND(#REF!,"AAAAAHd///Y=")</f>
        <v>#REF!</v>
      </c>
      <c r="IN51" t="e">
        <f>AND(#REF!,"AAAAAHd///c=")</f>
        <v>#REF!</v>
      </c>
      <c r="IO51" t="e">
        <f>AND(#REF!,"AAAAAHd///g=")</f>
        <v>#REF!</v>
      </c>
      <c r="IP51" t="e">
        <f>AND(#REF!,"AAAAAHd///k=")</f>
        <v>#REF!</v>
      </c>
      <c r="IQ51" t="e">
        <f>IF(#REF!,"AAAAAHd///o=",0)</f>
        <v>#REF!</v>
      </c>
      <c r="IR51" t="e">
        <f>AND(#REF!,"AAAAAHd///s=")</f>
        <v>#REF!</v>
      </c>
      <c r="IS51" t="e">
        <f>AND(#REF!,"AAAAAHd///w=")</f>
        <v>#REF!</v>
      </c>
      <c r="IT51" t="e">
        <f>AND(#REF!,"AAAAAHd///0=")</f>
        <v>#REF!</v>
      </c>
      <c r="IU51" t="e">
        <f>AND(#REF!,"AAAAAHd///4=")</f>
        <v>#REF!</v>
      </c>
      <c r="IV51" t="e">
        <f>AND(#REF!,"AAAAAHd///8=")</f>
        <v>#REF!</v>
      </c>
    </row>
    <row r="52" spans="1:256">
      <c r="A52" t="e">
        <f>AND(#REF!,"AAAAAH9ffwA=")</f>
        <v>#REF!</v>
      </c>
      <c r="B52" t="e">
        <f>AND(#REF!,"AAAAAH9ffwE=")</f>
        <v>#REF!</v>
      </c>
      <c r="C52" t="e">
        <f>AND(#REF!,"AAAAAH9ffwI=")</f>
        <v>#REF!</v>
      </c>
      <c r="D52" t="e">
        <f>IF(#REF!,"AAAAAH9ffwM=",0)</f>
        <v>#REF!</v>
      </c>
      <c r="E52" t="e">
        <f>AND(#REF!,"AAAAAH9ffwQ=")</f>
        <v>#REF!</v>
      </c>
      <c r="F52" t="e">
        <f>AND(#REF!,"AAAAAH9ffwU=")</f>
        <v>#REF!</v>
      </c>
      <c r="G52" t="e">
        <f>AND(#REF!,"AAAAAH9ffwY=")</f>
        <v>#REF!</v>
      </c>
      <c r="H52" t="e">
        <f>AND(#REF!,"AAAAAH9ffwc=")</f>
        <v>#REF!</v>
      </c>
      <c r="I52" t="e">
        <f>AND(#REF!,"AAAAAH9ffwg=")</f>
        <v>#REF!</v>
      </c>
      <c r="J52" t="e">
        <f>AND(#REF!,"AAAAAH9ffwk=")</f>
        <v>#REF!</v>
      </c>
      <c r="K52" t="e">
        <f>AND(#REF!,"AAAAAH9ffwo=")</f>
        <v>#REF!</v>
      </c>
      <c r="L52" t="e">
        <f>AND(#REF!,"AAAAAH9ffws=")</f>
        <v>#REF!</v>
      </c>
      <c r="M52" t="e">
        <f>IF(#REF!,"AAAAAH9ffww=",0)</f>
        <v>#REF!</v>
      </c>
      <c r="N52" t="e">
        <f>AND(#REF!,"AAAAAH9ffw0=")</f>
        <v>#REF!</v>
      </c>
      <c r="O52" t="e">
        <f>AND(#REF!,"AAAAAH9ffw4=")</f>
        <v>#REF!</v>
      </c>
      <c r="P52" t="e">
        <f>AND(#REF!,"AAAAAH9ffw8=")</f>
        <v>#REF!</v>
      </c>
      <c r="Q52" t="e">
        <f>AND(#REF!,"AAAAAH9ffxA=")</f>
        <v>#REF!</v>
      </c>
      <c r="R52" t="e">
        <f>AND(#REF!,"AAAAAH9ffxE=")</f>
        <v>#REF!</v>
      </c>
      <c r="S52" t="e">
        <f>AND(#REF!,"AAAAAH9ffxI=")</f>
        <v>#REF!</v>
      </c>
      <c r="T52" t="e">
        <f>AND(#REF!,"AAAAAH9ffxM=")</f>
        <v>#REF!</v>
      </c>
      <c r="U52" t="e">
        <f>AND(#REF!,"AAAAAH9ffxQ=")</f>
        <v>#REF!</v>
      </c>
      <c r="V52" t="e">
        <f>IF(#REF!,"AAAAAH9ffxU=",0)</f>
        <v>#REF!</v>
      </c>
      <c r="W52" t="e">
        <f>AND(#REF!,"AAAAAH9ffxY=")</f>
        <v>#REF!</v>
      </c>
      <c r="X52" t="e">
        <f>AND(#REF!,"AAAAAH9ffxc=")</f>
        <v>#REF!</v>
      </c>
      <c r="Y52" t="e">
        <f>AND(#REF!,"AAAAAH9ffxg=")</f>
        <v>#REF!</v>
      </c>
      <c r="Z52" t="e">
        <f>AND(#REF!,"AAAAAH9ffxk=")</f>
        <v>#REF!</v>
      </c>
      <c r="AA52" t="e">
        <f>AND(#REF!,"AAAAAH9ffxo=")</f>
        <v>#REF!</v>
      </c>
      <c r="AB52" t="e">
        <f>AND(#REF!,"AAAAAH9ffxs=")</f>
        <v>#REF!</v>
      </c>
      <c r="AC52" t="e">
        <f>AND(#REF!,"AAAAAH9ffxw=")</f>
        <v>#REF!</v>
      </c>
      <c r="AD52" t="e">
        <f>AND(#REF!,"AAAAAH9ffx0=")</f>
        <v>#REF!</v>
      </c>
      <c r="AE52" t="e">
        <f>IF(#REF!,"AAAAAH9ffx4=",0)</f>
        <v>#REF!</v>
      </c>
      <c r="AF52" t="e">
        <f>AND(#REF!,"AAAAAH9ffx8=")</f>
        <v>#REF!</v>
      </c>
      <c r="AG52" t="e">
        <f>AND(#REF!,"AAAAAH9ffyA=")</f>
        <v>#REF!</v>
      </c>
      <c r="AH52" t="e">
        <f>AND(#REF!,"AAAAAH9ffyE=")</f>
        <v>#REF!</v>
      </c>
      <c r="AI52" t="e">
        <f>AND(#REF!,"AAAAAH9ffyI=")</f>
        <v>#REF!</v>
      </c>
      <c r="AJ52" t="e">
        <f>AND(#REF!,"AAAAAH9ffyM=")</f>
        <v>#REF!</v>
      </c>
      <c r="AK52" t="e">
        <f>AND(#REF!,"AAAAAH9ffyQ=")</f>
        <v>#REF!</v>
      </c>
      <c r="AL52" t="e">
        <f>AND(#REF!,"AAAAAH9ffyU=")</f>
        <v>#REF!</v>
      </c>
      <c r="AM52" t="e">
        <f>AND(#REF!,"AAAAAH9ffyY=")</f>
        <v>#REF!</v>
      </c>
      <c r="AN52" t="e">
        <f>IF(#REF!,"AAAAAH9ffyc=",0)</f>
        <v>#REF!</v>
      </c>
      <c r="AO52" t="e">
        <f>AND(#REF!,"AAAAAH9ffyg=")</f>
        <v>#REF!</v>
      </c>
      <c r="AP52" t="e">
        <f>AND(#REF!,"AAAAAH9ffyk=")</f>
        <v>#REF!</v>
      </c>
      <c r="AQ52" t="e">
        <f>AND(#REF!,"AAAAAH9ffyo=")</f>
        <v>#REF!</v>
      </c>
      <c r="AR52" t="e">
        <f>AND(#REF!,"AAAAAH9ffys=")</f>
        <v>#REF!</v>
      </c>
      <c r="AS52" t="e">
        <f>AND(#REF!,"AAAAAH9ffyw=")</f>
        <v>#REF!</v>
      </c>
      <c r="AT52" t="e">
        <f>AND(#REF!,"AAAAAH9ffy0=")</f>
        <v>#REF!</v>
      </c>
      <c r="AU52" t="e">
        <f>AND(#REF!,"AAAAAH9ffy4=")</f>
        <v>#REF!</v>
      </c>
      <c r="AV52" t="e">
        <f>AND(#REF!,"AAAAAH9ffy8=")</f>
        <v>#REF!</v>
      </c>
      <c r="AW52" t="e">
        <f>IF(#REF!,"AAAAAH9ffzA=",0)</f>
        <v>#REF!</v>
      </c>
      <c r="AX52" t="e">
        <f>AND(#REF!,"AAAAAH9ffzE=")</f>
        <v>#REF!</v>
      </c>
      <c r="AY52" t="e">
        <f>AND(#REF!,"AAAAAH9ffzI=")</f>
        <v>#REF!</v>
      </c>
      <c r="AZ52" t="e">
        <f>AND(#REF!,"AAAAAH9ffzM=")</f>
        <v>#REF!</v>
      </c>
      <c r="BA52" t="e">
        <f>AND(#REF!,"AAAAAH9ffzQ=")</f>
        <v>#REF!</v>
      </c>
      <c r="BB52" t="e">
        <f>AND(#REF!,"AAAAAH9ffzU=")</f>
        <v>#REF!</v>
      </c>
      <c r="BC52" t="e">
        <f>AND(#REF!,"AAAAAH9ffzY=")</f>
        <v>#REF!</v>
      </c>
      <c r="BD52" t="e">
        <f>AND(#REF!,"AAAAAH9ffzc=")</f>
        <v>#REF!</v>
      </c>
      <c r="BE52" t="e">
        <f>AND(#REF!,"AAAAAH9ffzg=")</f>
        <v>#REF!</v>
      </c>
      <c r="BF52" t="e">
        <f>IF(#REF!,"AAAAAH9ffzk=",0)</f>
        <v>#REF!</v>
      </c>
      <c r="BG52" t="e">
        <f>AND(#REF!,"AAAAAH9ffzo=")</f>
        <v>#REF!</v>
      </c>
      <c r="BH52" t="e">
        <f>AND(#REF!,"AAAAAH9ffzs=")</f>
        <v>#REF!</v>
      </c>
      <c r="BI52" t="e">
        <f>AND(#REF!,"AAAAAH9ffzw=")</f>
        <v>#REF!</v>
      </c>
      <c r="BJ52" t="e">
        <f>AND(#REF!,"AAAAAH9ffz0=")</f>
        <v>#REF!</v>
      </c>
      <c r="BK52" t="e">
        <f>AND(#REF!,"AAAAAH9ffz4=")</f>
        <v>#REF!</v>
      </c>
      <c r="BL52" t="e">
        <f>AND(#REF!,"AAAAAH9ffz8=")</f>
        <v>#REF!</v>
      </c>
      <c r="BM52" t="e">
        <f>AND(#REF!,"AAAAAH9ff0A=")</f>
        <v>#REF!</v>
      </c>
      <c r="BN52" t="e">
        <f>AND(#REF!,"AAAAAH9ff0E=")</f>
        <v>#REF!</v>
      </c>
      <c r="BO52" t="e">
        <f>IF(#REF!,"AAAAAH9ff0I=",0)</f>
        <v>#REF!</v>
      </c>
      <c r="BP52" t="e">
        <f>AND(#REF!,"AAAAAH9ff0M=")</f>
        <v>#REF!</v>
      </c>
      <c r="BQ52" t="e">
        <f>AND(#REF!,"AAAAAH9ff0Q=")</f>
        <v>#REF!</v>
      </c>
      <c r="BR52" t="e">
        <f>AND(#REF!,"AAAAAH9ff0U=")</f>
        <v>#REF!</v>
      </c>
      <c r="BS52" t="e">
        <f>AND(#REF!,"AAAAAH9ff0Y=")</f>
        <v>#REF!</v>
      </c>
      <c r="BT52" t="e">
        <f>AND(#REF!,"AAAAAH9ff0c=")</f>
        <v>#REF!</v>
      </c>
      <c r="BU52" t="e">
        <f>AND(#REF!,"AAAAAH9ff0g=")</f>
        <v>#REF!</v>
      </c>
      <c r="BV52" t="e">
        <f>AND(#REF!,"AAAAAH9ff0k=")</f>
        <v>#REF!</v>
      </c>
      <c r="BW52" t="e">
        <f>AND(#REF!,"AAAAAH9ff0o=")</f>
        <v>#REF!</v>
      </c>
      <c r="BX52" t="e">
        <f>IF(#REF!,"AAAAAH9ff0s=",0)</f>
        <v>#REF!</v>
      </c>
      <c r="BY52" t="e">
        <f>AND(#REF!,"AAAAAH9ff0w=")</f>
        <v>#REF!</v>
      </c>
      <c r="BZ52" t="e">
        <f>AND(#REF!,"AAAAAH9ff00=")</f>
        <v>#REF!</v>
      </c>
      <c r="CA52" t="e">
        <f>AND(#REF!,"AAAAAH9ff04=")</f>
        <v>#REF!</v>
      </c>
      <c r="CB52" t="e">
        <f>AND(#REF!,"AAAAAH9ff08=")</f>
        <v>#REF!</v>
      </c>
      <c r="CC52" t="e">
        <f>AND(#REF!,"AAAAAH9ff1A=")</f>
        <v>#REF!</v>
      </c>
      <c r="CD52" t="e">
        <f>AND(#REF!,"AAAAAH9ff1E=")</f>
        <v>#REF!</v>
      </c>
      <c r="CE52" t="e">
        <f>AND(#REF!,"AAAAAH9ff1I=")</f>
        <v>#REF!</v>
      </c>
      <c r="CF52" t="e">
        <f>AND(#REF!,"AAAAAH9ff1M=")</f>
        <v>#REF!</v>
      </c>
      <c r="CG52" t="e">
        <f>IF(#REF!,"AAAAAH9ff1Q=",0)</f>
        <v>#REF!</v>
      </c>
      <c r="CH52" t="e">
        <f>AND(#REF!,"AAAAAH9ff1U=")</f>
        <v>#REF!</v>
      </c>
      <c r="CI52" t="e">
        <f>AND(#REF!,"AAAAAH9ff1Y=")</f>
        <v>#REF!</v>
      </c>
      <c r="CJ52" t="e">
        <f>AND(#REF!,"AAAAAH9ff1c=")</f>
        <v>#REF!</v>
      </c>
      <c r="CK52" t="e">
        <f>AND(#REF!,"AAAAAH9ff1g=")</f>
        <v>#REF!</v>
      </c>
      <c r="CL52" t="e">
        <f>AND(#REF!,"AAAAAH9ff1k=")</f>
        <v>#REF!</v>
      </c>
      <c r="CM52" t="e">
        <f>AND(#REF!,"AAAAAH9ff1o=")</f>
        <v>#REF!</v>
      </c>
      <c r="CN52" t="e">
        <f>AND(#REF!,"AAAAAH9ff1s=")</f>
        <v>#REF!</v>
      </c>
      <c r="CO52" t="e">
        <f>AND(#REF!,"AAAAAH9ff1w=")</f>
        <v>#REF!</v>
      </c>
      <c r="CP52" t="e">
        <f>IF(#REF!,"AAAAAH9ff10=",0)</f>
        <v>#REF!</v>
      </c>
      <c r="CQ52" t="e">
        <f>AND(#REF!,"AAAAAH9ff14=")</f>
        <v>#REF!</v>
      </c>
      <c r="CR52" t="e">
        <f>AND(#REF!,"AAAAAH9ff18=")</f>
        <v>#REF!</v>
      </c>
      <c r="CS52" t="e">
        <f>AND(#REF!,"AAAAAH9ff2A=")</f>
        <v>#REF!</v>
      </c>
      <c r="CT52" t="e">
        <f>AND(#REF!,"AAAAAH9ff2E=")</f>
        <v>#REF!</v>
      </c>
      <c r="CU52" t="e">
        <f>AND(#REF!,"AAAAAH9ff2I=")</f>
        <v>#REF!</v>
      </c>
      <c r="CV52" t="e">
        <f>AND(#REF!,"AAAAAH9ff2M=")</f>
        <v>#REF!</v>
      </c>
      <c r="CW52" t="e">
        <f>AND(#REF!,"AAAAAH9ff2Q=")</f>
        <v>#REF!</v>
      </c>
      <c r="CX52" t="e">
        <f>AND(#REF!,"AAAAAH9ff2U=")</f>
        <v>#REF!</v>
      </c>
      <c r="CY52" t="e">
        <f>IF(#REF!,"AAAAAH9ff2Y=",0)</f>
        <v>#REF!</v>
      </c>
      <c r="CZ52" t="e">
        <f>AND(#REF!,"AAAAAH9ff2c=")</f>
        <v>#REF!</v>
      </c>
      <c r="DA52" t="e">
        <f>AND(#REF!,"AAAAAH9ff2g=")</f>
        <v>#REF!</v>
      </c>
      <c r="DB52" t="e">
        <f>AND(#REF!,"AAAAAH9ff2k=")</f>
        <v>#REF!</v>
      </c>
      <c r="DC52" t="e">
        <f>AND(#REF!,"AAAAAH9ff2o=")</f>
        <v>#REF!</v>
      </c>
      <c r="DD52" t="e">
        <f>AND(#REF!,"AAAAAH9ff2s=")</f>
        <v>#REF!</v>
      </c>
      <c r="DE52" t="e">
        <f>AND(#REF!,"AAAAAH9ff2w=")</f>
        <v>#REF!</v>
      </c>
      <c r="DF52" t="e">
        <f>AND(#REF!,"AAAAAH9ff20=")</f>
        <v>#REF!</v>
      </c>
      <c r="DG52" t="e">
        <f>AND(#REF!,"AAAAAH9ff24=")</f>
        <v>#REF!</v>
      </c>
      <c r="DH52" t="e">
        <f>IF(#REF!,"AAAAAH9ff28=",0)</f>
        <v>#REF!</v>
      </c>
      <c r="DI52" t="e">
        <f>AND(#REF!,"AAAAAH9ff3A=")</f>
        <v>#REF!</v>
      </c>
      <c r="DJ52" t="e">
        <f>AND(#REF!,"AAAAAH9ff3E=")</f>
        <v>#REF!</v>
      </c>
      <c r="DK52" t="e">
        <f>AND(#REF!,"AAAAAH9ff3I=")</f>
        <v>#REF!</v>
      </c>
      <c r="DL52" t="e">
        <f>AND(#REF!,"AAAAAH9ff3M=")</f>
        <v>#REF!</v>
      </c>
      <c r="DM52" t="e">
        <f>AND(#REF!,"AAAAAH9ff3Q=")</f>
        <v>#REF!</v>
      </c>
      <c r="DN52" t="e">
        <f>AND(#REF!,"AAAAAH9ff3U=")</f>
        <v>#REF!</v>
      </c>
      <c r="DO52" t="e">
        <f>AND(#REF!,"AAAAAH9ff3Y=")</f>
        <v>#REF!</v>
      </c>
      <c r="DP52" t="e">
        <f>AND(#REF!,"AAAAAH9ff3c=")</f>
        <v>#REF!</v>
      </c>
      <c r="DQ52" t="e">
        <f>IF(#REF!,"AAAAAH9ff3g=",0)</f>
        <v>#REF!</v>
      </c>
      <c r="DR52" t="e">
        <f>AND(#REF!,"AAAAAH9ff3k=")</f>
        <v>#REF!</v>
      </c>
      <c r="DS52" t="e">
        <f>AND(#REF!,"AAAAAH9ff3o=")</f>
        <v>#REF!</v>
      </c>
      <c r="DT52" t="e">
        <f>AND(#REF!,"AAAAAH9ff3s=")</f>
        <v>#REF!</v>
      </c>
      <c r="DU52" t="e">
        <f>AND(#REF!,"AAAAAH9ff3w=")</f>
        <v>#REF!</v>
      </c>
      <c r="DV52" t="e">
        <f>AND(#REF!,"AAAAAH9ff30=")</f>
        <v>#REF!</v>
      </c>
      <c r="DW52" t="e">
        <f>AND(#REF!,"AAAAAH9ff34=")</f>
        <v>#REF!</v>
      </c>
      <c r="DX52" t="e">
        <f>AND(#REF!,"AAAAAH9ff38=")</f>
        <v>#REF!</v>
      </c>
      <c r="DY52" t="e">
        <f>AND(#REF!,"AAAAAH9ff4A=")</f>
        <v>#REF!</v>
      </c>
      <c r="DZ52" t="e">
        <f>IF(#REF!,"AAAAAH9ff4E=",0)</f>
        <v>#REF!</v>
      </c>
      <c r="EA52" t="e">
        <f>AND(#REF!,"AAAAAH9ff4I=")</f>
        <v>#REF!</v>
      </c>
      <c r="EB52" t="e">
        <f>AND(#REF!,"AAAAAH9ff4M=")</f>
        <v>#REF!</v>
      </c>
      <c r="EC52" t="e">
        <f>AND(#REF!,"AAAAAH9ff4Q=")</f>
        <v>#REF!</v>
      </c>
      <c r="ED52" t="e">
        <f>AND(#REF!,"AAAAAH9ff4U=")</f>
        <v>#REF!</v>
      </c>
      <c r="EE52" t="e">
        <f>AND(#REF!,"AAAAAH9ff4Y=")</f>
        <v>#REF!</v>
      </c>
      <c r="EF52" t="e">
        <f>AND(#REF!,"AAAAAH9ff4c=")</f>
        <v>#REF!</v>
      </c>
      <c r="EG52" t="e">
        <f>AND(#REF!,"AAAAAH9ff4g=")</f>
        <v>#REF!</v>
      </c>
      <c r="EH52" t="e">
        <f>AND(#REF!,"AAAAAH9ff4k=")</f>
        <v>#REF!</v>
      </c>
      <c r="EI52" t="e">
        <f>IF(#REF!,"AAAAAH9ff4o=",0)</f>
        <v>#REF!</v>
      </c>
      <c r="EJ52" t="e">
        <f>AND(#REF!,"AAAAAH9ff4s=")</f>
        <v>#REF!</v>
      </c>
      <c r="EK52" t="e">
        <f>AND(#REF!,"AAAAAH9ff4w=")</f>
        <v>#REF!</v>
      </c>
      <c r="EL52" t="e">
        <f>AND(#REF!,"AAAAAH9ff40=")</f>
        <v>#REF!</v>
      </c>
      <c r="EM52" t="e">
        <f>AND(#REF!,"AAAAAH9ff44=")</f>
        <v>#REF!</v>
      </c>
      <c r="EN52" t="e">
        <f>AND(#REF!,"AAAAAH9ff48=")</f>
        <v>#REF!</v>
      </c>
      <c r="EO52" t="e">
        <f>AND(#REF!,"AAAAAH9ff5A=")</f>
        <v>#REF!</v>
      </c>
      <c r="EP52" t="e">
        <f>AND(#REF!,"AAAAAH9ff5E=")</f>
        <v>#REF!</v>
      </c>
      <c r="EQ52" t="e">
        <f>AND(#REF!,"AAAAAH9ff5I=")</f>
        <v>#REF!</v>
      </c>
      <c r="ER52" t="e">
        <f>IF(#REF!,"AAAAAH9ff5M=",0)</f>
        <v>#REF!</v>
      </c>
      <c r="ES52" t="e">
        <f>AND(#REF!,"AAAAAH9ff5Q=")</f>
        <v>#REF!</v>
      </c>
      <c r="ET52" t="e">
        <f>AND(#REF!,"AAAAAH9ff5U=")</f>
        <v>#REF!</v>
      </c>
      <c r="EU52" t="e">
        <f>AND(#REF!,"AAAAAH9ff5Y=")</f>
        <v>#REF!</v>
      </c>
      <c r="EV52" t="e">
        <f>AND(#REF!,"AAAAAH9ff5c=")</f>
        <v>#REF!</v>
      </c>
      <c r="EW52" t="e">
        <f>AND(#REF!,"AAAAAH9ff5g=")</f>
        <v>#REF!</v>
      </c>
      <c r="EX52" t="e">
        <f>AND(#REF!,"AAAAAH9ff5k=")</f>
        <v>#REF!</v>
      </c>
      <c r="EY52" t="e">
        <f>AND(#REF!,"AAAAAH9ff5o=")</f>
        <v>#REF!</v>
      </c>
      <c r="EZ52" t="e">
        <f>AND(#REF!,"AAAAAH9ff5s=")</f>
        <v>#REF!</v>
      </c>
      <c r="FA52" t="e">
        <f>IF(#REF!,"AAAAAH9ff5w=",0)</f>
        <v>#REF!</v>
      </c>
      <c r="FB52" t="e">
        <f>AND(#REF!,"AAAAAH9ff50=")</f>
        <v>#REF!</v>
      </c>
      <c r="FC52" t="e">
        <f>AND(#REF!,"AAAAAH9ff54=")</f>
        <v>#REF!</v>
      </c>
      <c r="FD52" t="e">
        <f>AND(#REF!,"AAAAAH9ff58=")</f>
        <v>#REF!</v>
      </c>
      <c r="FE52" t="e">
        <f>AND(#REF!,"AAAAAH9ff6A=")</f>
        <v>#REF!</v>
      </c>
      <c r="FF52" t="e">
        <f>AND(#REF!,"AAAAAH9ff6E=")</f>
        <v>#REF!</v>
      </c>
      <c r="FG52" t="e">
        <f>AND(#REF!,"AAAAAH9ff6I=")</f>
        <v>#REF!</v>
      </c>
      <c r="FH52" t="e">
        <f>AND(#REF!,"AAAAAH9ff6M=")</f>
        <v>#REF!</v>
      </c>
      <c r="FI52" t="e">
        <f>AND(#REF!,"AAAAAH9ff6Q=")</f>
        <v>#REF!</v>
      </c>
      <c r="FJ52" t="e">
        <f>IF(#REF!,"AAAAAH9ff6U=",0)</f>
        <v>#REF!</v>
      </c>
      <c r="FK52" t="e">
        <f>AND(#REF!,"AAAAAH9ff6Y=")</f>
        <v>#REF!</v>
      </c>
      <c r="FL52" t="e">
        <f>AND(#REF!,"AAAAAH9ff6c=")</f>
        <v>#REF!</v>
      </c>
      <c r="FM52" t="e">
        <f>AND(#REF!,"AAAAAH9ff6g=")</f>
        <v>#REF!</v>
      </c>
      <c r="FN52" t="e">
        <f>AND(#REF!,"AAAAAH9ff6k=")</f>
        <v>#REF!</v>
      </c>
      <c r="FO52" t="e">
        <f>AND(#REF!,"AAAAAH9ff6o=")</f>
        <v>#REF!</v>
      </c>
      <c r="FP52" t="e">
        <f>AND(#REF!,"AAAAAH9ff6s=")</f>
        <v>#REF!</v>
      </c>
      <c r="FQ52" t="e">
        <f>AND(#REF!,"AAAAAH9ff6w=")</f>
        <v>#REF!</v>
      </c>
      <c r="FR52" t="e">
        <f>AND(#REF!,"AAAAAH9ff60=")</f>
        <v>#REF!</v>
      </c>
      <c r="FS52" t="e">
        <f>IF(#REF!,"AAAAAH9ff64=",0)</f>
        <v>#REF!</v>
      </c>
      <c r="FT52" t="e">
        <f>AND(#REF!,"AAAAAH9ff68=")</f>
        <v>#REF!</v>
      </c>
      <c r="FU52" t="e">
        <f>AND(#REF!,"AAAAAH9ff7A=")</f>
        <v>#REF!</v>
      </c>
      <c r="FV52" t="e">
        <f>AND(#REF!,"AAAAAH9ff7E=")</f>
        <v>#REF!</v>
      </c>
      <c r="FW52" t="e">
        <f>AND(#REF!,"AAAAAH9ff7I=")</f>
        <v>#REF!</v>
      </c>
      <c r="FX52" t="e">
        <f>AND(#REF!,"AAAAAH9ff7M=")</f>
        <v>#REF!</v>
      </c>
      <c r="FY52" t="e">
        <f>AND(#REF!,"AAAAAH9ff7Q=")</f>
        <v>#REF!</v>
      </c>
      <c r="FZ52" t="e">
        <f>AND(#REF!,"AAAAAH9ff7U=")</f>
        <v>#REF!</v>
      </c>
      <c r="GA52" t="e">
        <f>AND(#REF!,"AAAAAH9ff7Y=")</f>
        <v>#REF!</v>
      </c>
      <c r="GB52" t="e">
        <f>IF(#REF!,"AAAAAH9ff7c=",0)</f>
        <v>#REF!</v>
      </c>
      <c r="GC52" t="e">
        <f>AND(#REF!,"AAAAAH9ff7g=")</f>
        <v>#REF!</v>
      </c>
      <c r="GD52" t="e">
        <f>AND(#REF!,"AAAAAH9ff7k=")</f>
        <v>#REF!</v>
      </c>
      <c r="GE52" t="e">
        <f>AND(#REF!,"AAAAAH9ff7o=")</f>
        <v>#REF!</v>
      </c>
      <c r="GF52" t="e">
        <f>AND(#REF!,"AAAAAH9ff7s=")</f>
        <v>#REF!</v>
      </c>
      <c r="GG52" t="e">
        <f>AND(#REF!,"AAAAAH9ff7w=")</f>
        <v>#REF!</v>
      </c>
      <c r="GH52" t="e">
        <f>AND(#REF!,"AAAAAH9ff70=")</f>
        <v>#REF!</v>
      </c>
      <c r="GI52" t="e">
        <f>AND(#REF!,"AAAAAH9ff74=")</f>
        <v>#REF!</v>
      </c>
      <c r="GJ52" t="e">
        <f>AND(#REF!,"AAAAAH9ff78=")</f>
        <v>#REF!</v>
      </c>
      <c r="GK52" t="e">
        <f>IF(#REF!,"AAAAAH9ff8A=",0)</f>
        <v>#REF!</v>
      </c>
      <c r="GL52" t="e">
        <f>AND(#REF!,"AAAAAH9ff8E=")</f>
        <v>#REF!</v>
      </c>
      <c r="GM52" t="e">
        <f>AND(#REF!,"AAAAAH9ff8I=")</f>
        <v>#REF!</v>
      </c>
      <c r="GN52" t="e">
        <f>AND(#REF!,"AAAAAH9ff8M=")</f>
        <v>#REF!</v>
      </c>
      <c r="GO52" t="e">
        <f>AND(#REF!,"AAAAAH9ff8Q=")</f>
        <v>#REF!</v>
      </c>
      <c r="GP52" t="e">
        <f>AND(#REF!,"AAAAAH9ff8U=")</f>
        <v>#REF!</v>
      </c>
      <c r="GQ52" t="e">
        <f>AND(#REF!,"AAAAAH9ff8Y=")</f>
        <v>#REF!</v>
      </c>
      <c r="GR52" t="e">
        <f>AND(#REF!,"AAAAAH9ff8c=")</f>
        <v>#REF!</v>
      </c>
      <c r="GS52" t="e">
        <f>AND(#REF!,"AAAAAH9ff8g=")</f>
        <v>#REF!</v>
      </c>
      <c r="GT52" t="e">
        <f>IF(#REF!,"AAAAAH9ff8k=",0)</f>
        <v>#REF!</v>
      </c>
      <c r="GU52" t="e">
        <f>AND(#REF!,"AAAAAH9ff8o=")</f>
        <v>#REF!</v>
      </c>
      <c r="GV52" t="e">
        <f>AND(#REF!,"AAAAAH9ff8s=")</f>
        <v>#REF!</v>
      </c>
      <c r="GW52" t="e">
        <f>AND(#REF!,"AAAAAH9ff8w=")</f>
        <v>#REF!</v>
      </c>
      <c r="GX52" t="e">
        <f>AND(#REF!,"AAAAAH9ff80=")</f>
        <v>#REF!</v>
      </c>
      <c r="GY52" t="e">
        <f>AND(#REF!,"AAAAAH9ff84=")</f>
        <v>#REF!</v>
      </c>
      <c r="GZ52" t="e">
        <f>AND(#REF!,"AAAAAH9ff88=")</f>
        <v>#REF!</v>
      </c>
      <c r="HA52" t="e">
        <f>AND(#REF!,"AAAAAH9ff9A=")</f>
        <v>#REF!</v>
      </c>
      <c r="HB52" t="e">
        <f>AND(#REF!,"AAAAAH9ff9E=")</f>
        <v>#REF!</v>
      </c>
      <c r="HC52" t="e">
        <f>IF(#REF!,"AAAAAH9ff9I=",0)</f>
        <v>#REF!</v>
      </c>
      <c r="HD52" t="e">
        <f>AND(#REF!,"AAAAAH9ff9M=")</f>
        <v>#REF!</v>
      </c>
      <c r="HE52" t="e">
        <f>AND(#REF!,"AAAAAH9ff9Q=")</f>
        <v>#REF!</v>
      </c>
      <c r="HF52" t="e">
        <f>AND(#REF!,"AAAAAH9ff9U=")</f>
        <v>#REF!</v>
      </c>
      <c r="HG52" t="e">
        <f>AND(#REF!,"AAAAAH9ff9Y=")</f>
        <v>#REF!</v>
      </c>
      <c r="HH52" t="e">
        <f>AND(#REF!,"AAAAAH9ff9c=")</f>
        <v>#REF!</v>
      </c>
      <c r="HI52" t="e">
        <f>AND(#REF!,"AAAAAH9ff9g=")</f>
        <v>#REF!</v>
      </c>
      <c r="HJ52" t="e">
        <f>AND(#REF!,"AAAAAH9ff9k=")</f>
        <v>#REF!</v>
      </c>
      <c r="HK52" t="e">
        <f>AND(#REF!,"AAAAAH9ff9o=")</f>
        <v>#REF!</v>
      </c>
      <c r="HL52" t="e">
        <f>IF(#REF!,"AAAAAH9ff9s=",0)</f>
        <v>#REF!</v>
      </c>
      <c r="HM52" t="e">
        <f>AND(#REF!,"AAAAAH9ff9w=")</f>
        <v>#REF!</v>
      </c>
      <c r="HN52" t="e">
        <f>AND(#REF!,"AAAAAH9ff90=")</f>
        <v>#REF!</v>
      </c>
      <c r="HO52" t="e">
        <f>AND(#REF!,"AAAAAH9ff94=")</f>
        <v>#REF!</v>
      </c>
      <c r="HP52" t="e">
        <f>AND(#REF!,"AAAAAH9ff98=")</f>
        <v>#REF!</v>
      </c>
      <c r="HQ52" t="e">
        <f>AND(#REF!,"AAAAAH9ff+A=")</f>
        <v>#REF!</v>
      </c>
      <c r="HR52" t="e">
        <f>AND(#REF!,"AAAAAH9ff+E=")</f>
        <v>#REF!</v>
      </c>
      <c r="HS52" t="e">
        <f>AND(#REF!,"AAAAAH9ff+I=")</f>
        <v>#REF!</v>
      </c>
      <c r="HT52" t="e">
        <f>AND(#REF!,"AAAAAH9ff+M=")</f>
        <v>#REF!</v>
      </c>
      <c r="HU52" t="e">
        <f>IF(#REF!,"AAAAAH9ff+Q=",0)</f>
        <v>#REF!</v>
      </c>
      <c r="HV52" t="e">
        <f>AND(#REF!,"AAAAAH9ff+U=")</f>
        <v>#REF!</v>
      </c>
      <c r="HW52" t="e">
        <f>AND(#REF!,"AAAAAH9ff+Y=")</f>
        <v>#REF!</v>
      </c>
      <c r="HX52" t="e">
        <f>AND(#REF!,"AAAAAH9ff+c=")</f>
        <v>#REF!</v>
      </c>
      <c r="HY52" t="e">
        <f>AND(#REF!,"AAAAAH9ff+g=")</f>
        <v>#REF!</v>
      </c>
      <c r="HZ52" t="e">
        <f>AND(#REF!,"AAAAAH9ff+k=")</f>
        <v>#REF!</v>
      </c>
      <c r="IA52" t="e">
        <f>AND(#REF!,"AAAAAH9ff+o=")</f>
        <v>#REF!</v>
      </c>
      <c r="IB52" t="e">
        <f>AND(#REF!,"AAAAAH9ff+s=")</f>
        <v>#REF!</v>
      </c>
      <c r="IC52" t="e">
        <f>AND(#REF!,"AAAAAH9ff+w=")</f>
        <v>#REF!</v>
      </c>
      <c r="ID52" t="e">
        <f>IF(#REF!,"AAAAAH9ff+0=",0)</f>
        <v>#REF!</v>
      </c>
      <c r="IE52" t="e">
        <f>AND(#REF!,"AAAAAH9ff+4=")</f>
        <v>#REF!</v>
      </c>
      <c r="IF52" t="e">
        <f>AND(#REF!,"AAAAAH9ff+8=")</f>
        <v>#REF!</v>
      </c>
      <c r="IG52" t="e">
        <f>AND(#REF!,"AAAAAH9ff/A=")</f>
        <v>#REF!</v>
      </c>
      <c r="IH52" t="e">
        <f>AND(#REF!,"AAAAAH9ff/E=")</f>
        <v>#REF!</v>
      </c>
      <c r="II52" t="e">
        <f>AND(#REF!,"AAAAAH9ff/I=")</f>
        <v>#REF!</v>
      </c>
      <c r="IJ52" t="e">
        <f>AND(#REF!,"AAAAAH9ff/M=")</f>
        <v>#REF!</v>
      </c>
      <c r="IK52" t="e">
        <f>AND(#REF!,"AAAAAH9ff/Q=")</f>
        <v>#REF!</v>
      </c>
      <c r="IL52" t="e">
        <f>AND(#REF!,"AAAAAH9ff/U=")</f>
        <v>#REF!</v>
      </c>
      <c r="IM52" t="e">
        <f>IF(#REF!,"AAAAAH9ff/Y=",0)</f>
        <v>#REF!</v>
      </c>
      <c r="IN52" t="e">
        <f>AND(#REF!,"AAAAAH9ff/c=")</f>
        <v>#REF!</v>
      </c>
      <c r="IO52" t="e">
        <f>AND(#REF!,"AAAAAH9ff/g=")</f>
        <v>#REF!</v>
      </c>
      <c r="IP52" t="e">
        <f>AND(#REF!,"AAAAAH9ff/k=")</f>
        <v>#REF!</v>
      </c>
      <c r="IQ52" t="e">
        <f>AND(#REF!,"AAAAAH9ff/o=")</f>
        <v>#REF!</v>
      </c>
      <c r="IR52" t="e">
        <f>AND(#REF!,"AAAAAH9ff/s=")</f>
        <v>#REF!</v>
      </c>
      <c r="IS52" t="e">
        <f>AND(#REF!,"AAAAAH9ff/w=")</f>
        <v>#REF!</v>
      </c>
      <c r="IT52" t="e">
        <f>AND(#REF!,"AAAAAH9ff/0=")</f>
        <v>#REF!</v>
      </c>
      <c r="IU52" t="e">
        <f>AND(#REF!,"AAAAAH9ff/4=")</f>
        <v>#REF!</v>
      </c>
      <c r="IV52" t="e">
        <f>IF(#REF!,"AAAAAH9ff/8=",0)</f>
        <v>#REF!</v>
      </c>
    </row>
    <row r="53" spans="1:256">
      <c r="A53" t="e">
        <f>AND(#REF!,"AAAAAFS7vwA=")</f>
        <v>#REF!</v>
      </c>
      <c r="B53" t="e">
        <f>AND(#REF!,"AAAAAFS7vwE=")</f>
        <v>#REF!</v>
      </c>
      <c r="C53" t="e">
        <f>AND(#REF!,"AAAAAFS7vwI=")</f>
        <v>#REF!</v>
      </c>
      <c r="D53" t="e">
        <f>AND(#REF!,"AAAAAFS7vwM=")</f>
        <v>#REF!</v>
      </c>
      <c r="E53" t="e">
        <f>AND(#REF!,"AAAAAFS7vwQ=")</f>
        <v>#REF!</v>
      </c>
      <c r="F53" t="e">
        <f>AND(#REF!,"AAAAAFS7vwU=")</f>
        <v>#REF!</v>
      </c>
      <c r="G53" t="e">
        <f>AND(#REF!,"AAAAAFS7vwY=")</f>
        <v>#REF!</v>
      </c>
      <c r="H53" t="e">
        <f>AND(#REF!,"AAAAAFS7vwc=")</f>
        <v>#REF!</v>
      </c>
      <c r="I53" t="e">
        <f>IF(#REF!,"AAAAAFS7vwg=",0)</f>
        <v>#REF!</v>
      </c>
      <c r="J53" t="e">
        <f>AND(#REF!,"AAAAAFS7vwk=")</f>
        <v>#REF!</v>
      </c>
      <c r="K53" t="e">
        <f>AND(#REF!,"AAAAAFS7vwo=")</f>
        <v>#REF!</v>
      </c>
      <c r="L53" t="e">
        <f>AND(#REF!,"AAAAAFS7vws=")</f>
        <v>#REF!</v>
      </c>
      <c r="M53" t="e">
        <f>AND(#REF!,"AAAAAFS7vww=")</f>
        <v>#REF!</v>
      </c>
      <c r="N53" t="e">
        <f>AND(#REF!,"AAAAAFS7vw0=")</f>
        <v>#REF!</v>
      </c>
      <c r="O53" t="e">
        <f>AND(#REF!,"AAAAAFS7vw4=")</f>
        <v>#REF!</v>
      </c>
      <c r="P53" t="e">
        <f>AND(#REF!,"AAAAAFS7vw8=")</f>
        <v>#REF!</v>
      </c>
      <c r="Q53" t="e">
        <f>AND(#REF!,"AAAAAFS7vxA=")</f>
        <v>#REF!</v>
      </c>
      <c r="R53" t="e">
        <f>IF(#REF!,"AAAAAFS7vxE=",0)</f>
        <v>#REF!</v>
      </c>
      <c r="S53" t="e">
        <f>AND(#REF!,"AAAAAFS7vxI=")</f>
        <v>#REF!</v>
      </c>
      <c r="T53" t="e">
        <f>AND(#REF!,"AAAAAFS7vxM=")</f>
        <v>#REF!</v>
      </c>
      <c r="U53" t="e">
        <f>AND(#REF!,"AAAAAFS7vxQ=")</f>
        <v>#REF!</v>
      </c>
      <c r="V53" t="e">
        <f>AND(#REF!,"AAAAAFS7vxU=")</f>
        <v>#REF!</v>
      </c>
      <c r="W53" t="e">
        <f>AND(#REF!,"AAAAAFS7vxY=")</f>
        <v>#REF!</v>
      </c>
      <c r="X53" t="e">
        <f>AND(#REF!,"AAAAAFS7vxc=")</f>
        <v>#REF!</v>
      </c>
      <c r="Y53" t="e">
        <f>AND(#REF!,"AAAAAFS7vxg=")</f>
        <v>#REF!</v>
      </c>
      <c r="Z53" t="e">
        <f>AND(#REF!,"AAAAAFS7vxk=")</f>
        <v>#REF!</v>
      </c>
      <c r="AA53" t="e">
        <f>IF(#REF!,"AAAAAFS7vxo=",0)</f>
        <v>#REF!</v>
      </c>
      <c r="AB53" t="e">
        <f>AND(#REF!,"AAAAAFS7vxs=")</f>
        <v>#REF!</v>
      </c>
      <c r="AC53" t="e">
        <f>AND(#REF!,"AAAAAFS7vxw=")</f>
        <v>#REF!</v>
      </c>
      <c r="AD53" t="e">
        <f>AND(#REF!,"AAAAAFS7vx0=")</f>
        <v>#REF!</v>
      </c>
      <c r="AE53" t="e">
        <f>AND(#REF!,"AAAAAFS7vx4=")</f>
        <v>#REF!</v>
      </c>
      <c r="AF53" t="e">
        <f>AND(#REF!,"AAAAAFS7vx8=")</f>
        <v>#REF!</v>
      </c>
      <c r="AG53" t="e">
        <f>AND(#REF!,"AAAAAFS7vyA=")</f>
        <v>#REF!</v>
      </c>
      <c r="AH53" t="e">
        <f>AND(#REF!,"AAAAAFS7vyE=")</f>
        <v>#REF!</v>
      </c>
      <c r="AI53" t="e">
        <f>AND(#REF!,"AAAAAFS7vyI=")</f>
        <v>#REF!</v>
      </c>
      <c r="AJ53" t="e">
        <f>IF(#REF!,"AAAAAFS7vyM=",0)</f>
        <v>#REF!</v>
      </c>
      <c r="AK53" t="e">
        <f>AND(#REF!,"AAAAAFS7vyQ=")</f>
        <v>#REF!</v>
      </c>
      <c r="AL53" t="e">
        <f>AND(#REF!,"AAAAAFS7vyU=")</f>
        <v>#REF!</v>
      </c>
      <c r="AM53" t="e">
        <f>AND(#REF!,"AAAAAFS7vyY=")</f>
        <v>#REF!</v>
      </c>
      <c r="AN53" t="e">
        <f>AND(#REF!,"AAAAAFS7vyc=")</f>
        <v>#REF!</v>
      </c>
      <c r="AO53" t="e">
        <f>AND(#REF!,"AAAAAFS7vyg=")</f>
        <v>#REF!</v>
      </c>
      <c r="AP53" t="e">
        <f>AND(#REF!,"AAAAAFS7vyk=")</f>
        <v>#REF!</v>
      </c>
      <c r="AQ53" t="e">
        <f>AND(#REF!,"AAAAAFS7vyo=")</f>
        <v>#REF!</v>
      </c>
      <c r="AR53" t="e">
        <f>AND(#REF!,"AAAAAFS7vys=")</f>
        <v>#REF!</v>
      </c>
      <c r="AS53" t="e">
        <f>IF(#REF!,"AAAAAFS7vyw=",0)</f>
        <v>#REF!</v>
      </c>
      <c r="AT53" t="e">
        <f>AND(#REF!,"AAAAAFS7vy0=")</f>
        <v>#REF!</v>
      </c>
      <c r="AU53" t="e">
        <f>AND(#REF!,"AAAAAFS7vy4=")</f>
        <v>#REF!</v>
      </c>
      <c r="AV53" t="e">
        <f>AND(#REF!,"AAAAAFS7vy8=")</f>
        <v>#REF!</v>
      </c>
      <c r="AW53" t="e">
        <f>AND(#REF!,"AAAAAFS7vzA=")</f>
        <v>#REF!</v>
      </c>
      <c r="AX53" t="e">
        <f>AND(#REF!,"AAAAAFS7vzE=")</f>
        <v>#REF!</v>
      </c>
      <c r="AY53" t="e">
        <f>AND(#REF!,"AAAAAFS7vzI=")</f>
        <v>#REF!</v>
      </c>
      <c r="AZ53" t="e">
        <f>AND(#REF!,"AAAAAFS7vzM=")</f>
        <v>#REF!</v>
      </c>
      <c r="BA53" t="e">
        <f>AND(#REF!,"AAAAAFS7vzQ=")</f>
        <v>#REF!</v>
      </c>
      <c r="BB53" t="e">
        <f>IF(#REF!,"AAAAAFS7vzU=",0)</f>
        <v>#REF!</v>
      </c>
      <c r="BC53" t="e">
        <f>AND(#REF!,"AAAAAFS7vzY=")</f>
        <v>#REF!</v>
      </c>
      <c r="BD53" t="e">
        <f>AND(#REF!,"AAAAAFS7vzc=")</f>
        <v>#REF!</v>
      </c>
      <c r="BE53" t="e">
        <f>AND(#REF!,"AAAAAFS7vzg=")</f>
        <v>#REF!</v>
      </c>
      <c r="BF53" t="e">
        <f>AND(#REF!,"AAAAAFS7vzk=")</f>
        <v>#REF!</v>
      </c>
      <c r="BG53" t="e">
        <f>AND(#REF!,"AAAAAFS7vzo=")</f>
        <v>#REF!</v>
      </c>
      <c r="BH53" t="e">
        <f>AND(#REF!,"AAAAAFS7vzs=")</f>
        <v>#REF!</v>
      </c>
      <c r="BI53" t="e">
        <f>AND(#REF!,"AAAAAFS7vzw=")</f>
        <v>#REF!</v>
      </c>
      <c r="BJ53" t="e">
        <f>AND(#REF!,"AAAAAFS7vz0=")</f>
        <v>#REF!</v>
      </c>
      <c r="BK53" t="e">
        <f>IF(#REF!,"AAAAAFS7vz4=",0)</f>
        <v>#REF!</v>
      </c>
      <c r="BL53" t="e">
        <f>AND(#REF!,"AAAAAFS7vz8=")</f>
        <v>#REF!</v>
      </c>
      <c r="BM53" t="e">
        <f>AND(#REF!,"AAAAAFS7v0A=")</f>
        <v>#REF!</v>
      </c>
      <c r="BN53" t="e">
        <f>AND(#REF!,"AAAAAFS7v0E=")</f>
        <v>#REF!</v>
      </c>
      <c r="BO53" t="e">
        <f>AND(#REF!,"AAAAAFS7v0I=")</f>
        <v>#REF!</v>
      </c>
      <c r="BP53" t="e">
        <f>AND(#REF!,"AAAAAFS7v0M=")</f>
        <v>#REF!</v>
      </c>
      <c r="BQ53" t="e">
        <f>AND(#REF!,"AAAAAFS7v0Q=")</f>
        <v>#REF!</v>
      </c>
      <c r="BR53" t="e">
        <f>AND(#REF!,"AAAAAFS7v0U=")</f>
        <v>#REF!</v>
      </c>
      <c r="BS53" t="e">
        <f>AND(#REF!,"AAAAAFS7v0Y=")</f>
        <v>#REF!</v>
      </c>
      <c r="BT53" t="e">
        <f>IF(#REF!,"AAAAAFS7v0c=",0)</f>
        <v>#REF!</v>
      </c>
      <c r="BU53" t="e">
        <f>AND(#REF!,"AAAAAFS7v0g=")</f>
        <v>#REF!</v>
      </c>
      <c r="BV53" t="e">
        <f>AND(#REF!,"AAAAAFS7v0k=")</f>
        <v>#REF!</v>
      </c>
      <c r="BW53" t="e">
        <f>AND(#REF!,"AAAAAFS7v0o=")</f>
        <v>#REF!</v>
      </c>
      <c r="BX53" t="e">
        <f>AND(#REF!,"AAAAAFS7v0s=")</f>
        <v>#REF!</v>
      </c>
      <c r="BY53" t="e">
        <f>AND(#REF!,"AAAAAFS7v0w=")</f>
        <v>#REF!</v>
      </c>
      <c r="BZ53" t="e">
        <f>AND(#REF!,"AAAAAFS7v00=")</f>
        <v>#REF!</v>
      </c>
      <c r="CA53" t="e">
        <f>AND(#REF!,"AAAAAFS7v04=")</f>
        <v>#REF!</v>
      </c>
      <c r="CB53" t="e">
        <f>AND(#REF!,"AAAAAFS7v08=")</f>
        <v>#REF!</v>
      </c>
      <c r="CC53" t="e">
        <f>IF(#REF!,"AAAAAFS7v1A=",0)</f>
        <v>#REF!</v>
      </c>
      <c r="CD53" t="e">
        <f>AND(#REF!,"AAAAAFS7v1E=")</f>
        <v>#REF!</v>
      </c>
      <c r="CE53" t="e">
        <f>AND(#REF!,"AAAAAFS7v1I=")</f>
        <v>#REF!</v>
      </c>
      <c r="CF53" t="e">
        <f>AND(#REF!,"AAAAAFS7v1M=")</f>
        <v>#REF!</v>
      </c>
      <c r="CG53" t="e">
        <f>AND(#REF!,"AAAAAFS7v1Q=")</f>
        <v>#REF!</v>
      </c>
      <c r="CH53" t="e">
        <f>AND(#REF!,"AAAAAFS7v1U=")</f>
        <v>#REF!</v>
      </c>
      <c r="CI53" t="e">
        <f>AND(#REF!,"AAAAAFS7v1Y=")</f>
        <v>#REF!</v>
      </c>
      <c r="CJ53" t="e">
        <f>AND(#REF!,"AAAAAFS7v1c=")</f>
        <v>#REF!</v>
      </c>
      <c r="CK53" t="e">
        <f>AND(#REF!,"AAAAAFS7v1g=")</f>
        <v>#REF!</v>
      </c>
      <c r="CL53" t="e">
        <f>IF(#REF!,"AAAAAFS7v1k=",0)</f>
        <v>#REF!</v>
      </c>
      <c r="CM53" t="e">
        <f>AND(#REF!,"AAAAAFS7v1o=")</f>
        <v>#REF!</v>
      </c>
      <c r="CN53" t="e">
        <f>AND(#REF!,"AAAAAFS7v1s=")</f>
        <v>#REF!</v>
      </c>
      <c r="CO53" t="e">
        <f>AND(#REF!,"AAAAAFS7v1w=")</f>
        <v>#REF!</v>
      </c>
      <c r="CP53" t="e">
        <f>AND(#REF!,"AAAAAFS7v10=")</f>
        <v>#REF!</v>
      </c>
      <c r="CQ53" t="e">
        <f>AND(#REF!,"AAAAAFS7v14=")</f>
        <v>#REF!</v>
      </c>
      <c r="CR53" t="e">
        <f>AND(#REF!,"AAAAAFS7v18=")</f>
        <v>#REF!</v>
      </c>
      <c r="CS53" t="e">
        <f>AND(#REF!,"AAAAAFS7v2A=")</f>
        <v>#REF!</v>
      </c>
      <c r="CT53" t="e">
        <f>AND(#REF!,"AAAAAFS7v2E=")</f>
        <v>#REF!</v>
      </c>
      <c r="CU53" t="e">
        <f>IF(#REF!,"AAAAAFS7v2I=",0)</f>
        <v>#REF!</v>
      </c>
      <c r="CV53" t="e">
        <f>AND(#REF!,"AAAAAFS7v2M=")</f>
        <v>#REF!</v>
      </c>
      <c r="CW53" t="e">
        <f>AND(#REF!,"AAAAAFS7v2Q=")</f>
        <v>#REF!</v>
      </c>
      <c r="CX53" t="e">
        <f>AND(#REF!,"AAAAAFS7v2U=")</f>
        <v>#REF!</v>
      </c>
      <c r="CY53" t="e">
        <f>AND(#REF!,"AAAAAFS7v2Y=")</f>
        <v>#REF!</v>
      </c>
      <c r="CZ53" t="e">
        <f>AND(#REF!,"AAAAAFS7v2c=")</f>
        <v>#REF!</v>
      </c>
      <c r="DA53" t="e">
        <f>AND(#REF!,"AAAAAFS7v2g=")</f>
        <v>#REF!</v>
      </c>
      <c r="DB53" t="e">
        <f>AND(#REF!,"AAAAAFS7v2k=")</f>
        <v>#REF!</v>
      </c>
      <c r="DC53" t="e">
        <f>AND(#REF!,"AAAAAFS7v2o=")</f>
        <v>#REF!</v>
      </c>
      <c r="DD53" t="e">
        <f>IF(#REF!,"AAAAAFS7v2s=",0)</f>
        <v>#REF!</v>
      </c>
      <c r="DE53" t="e">
        <f>AND(#REF!,"AAAAAFS7v2w=")</f>
        <v>#REF!</v>
      </c>
      <c r="DF53" t="e">
        <f>AND(#REF!,"AAAAAFS7v20=")</f>
        <v>#REF!</v>
      </c>
      <c r="DG53" t="e">
        <f>AND(#REF!,"AAAAAFS7v24=")</f>
        <v>#REF!</v>
      </c>
      <c r="DH53" t="e">
        <f>AND(#REF!,"AAAAAFS7v28=")</f>
        <v>#REF!</v>
      </c>
      <c r="DI53" t="e">
        <f>AND(#REF!,"AAAAAFS7v3A=")</f>
        <v>#REF!</v>
      </c>
      <c r="DJ53" t="e">
        <f>AND(#REF!,"AAAAAFS7v3E=")</f>
        <v>#REF!</v>
      </c>
      <c r="DK53" t="e">
        <f>AND(#REF!,"AAAAAFS7v3I=")</f>
        <v>#REF!</v>
      </c>
      <c r="DL53" t="e">
        <f>AND(#REF!,"AAAAAFS7v3M=")</f>
        <v>#REF!</v>
      </c>
      <c r="DM53" t="e">
        <f>IF(#REF!,"AAAAAFS7v3Q=",0)</f>
        <v>#REF!</v>
      </c>
      <c r="DN53" t="e">
        <f>AND(#REF!,"AAAAAFS7v3U=")</f>
        <v>#REF!</v>
      </c>
      <c r="DO53" t="e">
        <f>AND(#REF!,"AAAAAFS7v3Y=")</f>
        <v>#REF!</v>
      </c>
      <c r="DP53" t="e">
        <f>AND(#REF!,"AAAAAFS7v3c=")</f>
        <v>#REF!</v>
      </c>
      <c r="DQ53" t="e">
        <f>AND(#REF!,"AAAAAFS7v3g=")</f>
        <v>#REF!</v>
      </c>
      <c r="DR53" t="e">
        <f>AND(#REF!,"AAAAAFS7v3k=")</f>
        <v>#REF!</v>
      </c>
      <c r="DS53" t="e">
        <f>AND(#REF!,"AAAAAFS7v3o=")</f>
        <v>#REF!</v>
      </c>
      <c r="DT53" t="e">
        <f>AND(#REF!,"AAAAAFS7v3s=")</f>
        <v>#REF!</v>
      </c>
      <c r="DU53" t="e">
        <f>AND(#REF!,"AAAAAFS7v3w=")</f>
        <v>#REF!</v>
      </c>
      <c r="DV53" t="e">
        <f>IF(#REF!,"AAAAAFS7v30=",0)</f>
        <v>#REF!</v>
      </c>
      <c r="DW53" t="e">
        <f>AND(#REF!,"AAAAAFS7v34=")</f>
        <v>#REF!</v>
      </c>
      <c r="DX53" t="e">
        <f>AND(#REF!,"AAAAAFS7v38=")</f>
        <v>#REF!</v>
      </c>
      <c r="DY53" t="e">
        <f>AND(#REF!,"AAAAAFS7v4A=")</f>
        <v>#REF!</v>
      </c>
      <c r="DZ53" t="e">
        <f>AND(#REF!,"AAAAAFS7v4E=")</f>
        <v>#REF!</v>
      </c>
      <c r="EA53" t="e">
        <f>AND(#REF!,"AAAAAFS7v4I=")</f>
        <v>#REF!</v>
      </c>
      <c r="EB53" t="e">
        <f>AND(#REF!,"AAAAAFS7v4M=")</f>
        <v>#REF!</v>
      </c>
      <c r="EC53" t="e">
        <f>AND(#REF!,"AAAAAFS7v4Q=")</f>
        <v>#REF!</v>
      </c>
      <c r="ED53" t="e">
        <f>AND(#REF!,"AAAAAFS7v4U=")</f>
        <v>#REF!</v>
      </c>
      <c r="EE53" t="e">
        <f>IF(#REF!,"AAAAAFS7v4Y=",0)</f>
        <v>#REF!</v>
      </c>
      <c r="EF53" t="e">
        <f>AND(#REF!,"AAAAAFS7v4c=")</f>
        <v>#REF!</v>
      </c>
      <c r="EG53" t="e">
        <f>AND(#REF!,"AAAAAFS7v4g=")</f>
        <v>#REF!</v>
      </c>
      <c r="EH53" t="e">
        <f>AND(#REF!,"AAAAAFS7v4k=")</f>
        <v>#REF!</v>
      </c>
      <c r="EI53" t="e">
        <f>AND(#REF!,"AAAAAFS7v4o=")</f>
        <v>#REF!</v>
      </c>
      <c r="EJ53" t="e">
        <f>AND(#REF!,"AAAAAFS7v4s=")</f>
        <v>#REF!</v>
      </c>
      <c r="EK53" t="e">
        <f>AND(#REF!,"AAAAAFS7v4w=")</f>
        <v>#REF!</v>
      </c>
      <c r="EL53" t="e">
        <f>AND(#REF!,"AAAAAFS7v40=")</f>
        <v>#REF!</v>
      </c>
      <c r="EM53" t="e">
        <f>AND(#REF!,"AAAAAFS7v44=")</f>
        <v>#REF!</v>
      </c>
      <c r="EN53" t="e">
        <f>IF(#REF!,"AAAAAFS7v48=",0)</f>
        <v>#REF!</v>
      </c>
      <c r="EO53" t="e">
        <f>AND(#REF!,"AAAAAFS7v5A=")</f>
        <v>#REF!</v>
      </c>
      <c r="EP53" t="e">
        <f>AND(#REF!,"AAAAAFS7v5E=")</f>
        <v>#REF!</v>
      </c>
      <c r="EQ53" t="e">
        <f>AND(#REF!,"AAAAAFS7v5I=")</f>
        <v>#REF!</v>
      </c>
      <c r="ER53" t="e">
        <f>AND(#REF!,"AAAAAFS7v5M=")</f>
        <v>#REF!</v>
      </c>
      <c r="ES53" t="e">
        <f>AND(#REF!,"AAAAAFS7v5Q=")</f>
        <v>#REF!</v>
      </c>
      <c r="ET53" t="e">
        <f>AND(#REF!,"AAAAAFS7v5U=")</f>
        <v>#REF!</v>
      </c>
      <c r="EU53" t="e">
        <f>AND(#REF!,"AAAAAFS7v5Y=")</f>
        <v>#REF!</v>
      </c>
      <c r="EV53" t="e">
        <f>AND(#REF!,"AAAAAFS7v5c=")</f>
        <v>#REF!</v>
      </c>
      <c r="EW53" t="e">
        <f>IF(#REF!,"AAAAAFS7v5g=",0)</f>
        <v>#REF!</v>
      </c>
      <c r="EX53" t="e">
        <f>AND(#REF!,"AAAAAFS7v5k=")</f>
        <v>#REF!</v>
      </c>
      <c r="EY53" t="e">
        <f>AND(#REF!,"AAAAAFS7v5o=")</f>
        <v>#REF!</v>
      </c>
      <c r="EZ53" t="e">
        <f>AND(#REF!,"AAAAAFS7v5s=")</f>
        <v>#REF!</v>
      </c>
      <c r="FA53" t="e">
        <f>AND(#REF!,"AAAAAFS7v5w=")</f>
        <v>#REF!</v>
      </c>
      <c r="FB53" t="e">
        <f>AND(#REF!,"AAAAAFS7v50=")</f>
        <v>#REF!</v>
      </c>
      <c r="FC53" t="e">
        <f>AND(#REF!,"AAAAAFS7v54=")</f>
        <v>#REF!</v>
      </c>
      <c r="FD53" t="e">
        <f>AND(#REF!,"AAAAAFS7v58=")</f>
        <v>#REF!</v>
      </c>
      <c r="FE53" t="e">
        <f>AND(#REF!,"AAAAAFS7v6A=")</f>
        <v>#REF!</v>
      </c>
      <c r="FF53" t="e">
        <f>IF(#REF!,"AAAAAFS7v6E=",0)</f>
        <v>#REF!</v>
      </c>
      <c r="FG53" t="e">
        <f>AND(#REF!,"AAAAAFS7v6I=")</f>
        <v>#REF!</v>
      </c>
      <c r="FH53" t="e">
        <f>AND(#REF!,"AAAAAFS7v6M=")</f>
        <v>#REF!</v>
      </c>
      <c r="FI53" t="e">
        <f>AND(#REF!,"AAAAAFS7v6Q=")</f>
        <v>#REF!</v>
      </c>
      <c r="FJ53" t="e">
        <f>AND(#REF!,"AAAAAFS7v6U=")</f>
        <v>#REF!</v>
      </c>
      <c r="FK53" t="e">
        <f>AND(#REF!,"AAAAAFS7v6Y=")</f>
        <v>#REF!</v>
      </c>
      <c r="FL53" t="e">
        <f>AND(#REF!,"AAAAAFS7v6c=")</f>
        <v>#REF!</v>
      </c>
      <c r="FM53" t="e">
        <f>AND(#REF!,"AAAAAFS7v6g=")</f>
        <v>#REF!</v>
      </c>
      <c r="FN53" t="e">
        <f>AND(#REF!,"AAAAAFS7v6k=")</f>
        <v>#REF!</v>
      </c>
      <c r="FO53" t="e">
        <f>IF(#REF!,"AAAAAFS7v6o=",0)</f>
        <v>#REF!</v>
      </c>
      <c r="FP53" t="e">
        <f>AND(#REF!,"AAAAAFS7v6s=")</f>
        <v>#REF!</v>
      </c>
      <c r="FQ53" t="e">
        <f>AND(#REF!,"AAAAAFS7v6w=")</f>
        <v>#REF!</v>
      </c>
      <c r="FR53" t="e">
        <f>AND(#REF!,"AAAAAFS7v60=")</f>
        <v>#REF!</v>
      </c>
      <c r="FS53" t="e">
        <f>AND(#REF!,"AAAAAFS7v64=")</f>
        <v>#REF!</v>
      </c>
      <c r="FT53" t="e">
        <f>AND(#REF!,"AAAAAFS7v68=")</f>
        <v>#REF!</v>
      </c>
      <c r="FU53" t="e">
        <f>AND(#REF!,"AAAAAFS7v7A=")</f>
        <v>#REF!</v>
      </c>
      <c r="FV53" t="e">
        <f>AND(#REF!,"AAAAAFS7v7E=")</f>
        <v>#REF!</v>
      </c>
      <c r="FW53" t="e">
        <f>AND(#REF!,"AAAAAFS7v7I=")</f>
        <v>#REF!</v>
      </c>
      <c r="FX53" t="e">
        <f>IF(#REF!,"AAAAAFS7v7M=",0)</f>
        <v>#REF!</v>
      </c>
      <c r="FY53" t="e">
        <f>AND(#REF!,"AAAAAFS7v7Q=")</f>
        <v>#REF!</v>
      </c>
      <c r="FZ53" t="e">
        <f>AND(#REF!,"AAAAAFS7v7U=")</f>
        <v>#REF!</v>
      </c>
      <c r="GA53" t="e">
        <f>AND(#REF!,"AAAAAFS7v7Y=")</f>
        <v>#REF!</v>
      </c>
      <c r="GB53" t="e">
        <f>AND(#REF!,"AAAAAFS7v7c=")</f>
        <v>#REF!</v>
      </c>
      <c r="GC53" t="e">
        <f>AND(#REF!,"AAAAAFS7v7g=")</f>
        <v>#REF!</v>
      </c>
      <c r="GD53" t="e">
        <f>AND(#REF!,"AAAAAFS7v7k=")</f>
        <v>#REF!</v>
      </c>
      <c r="GE53" t="e">
        <f>AND(#REF!,"AAAAAFS7v7o=")</f>
        <v>#REF!</v>
      </c>
      <c r="GF53" t="e">
        <f>AND(#REF!,"AAAAAFS7v7s=")</f>
        <v>#REF!</v>
      </c>
      <c r="GG53" t="e">
        <f>IF(#REF!,"AAAAAFS7v7w=",0)</f>
        <v>#REF!</v>
      </c>
      <c r="GH53" t="e">
        <f>AND(#REF!,"AAAAAFS7v70=")</f>
        <v>#REF!</v>
      </c>
      <c r="GI53" t="e">
        <f>AND(#REF!,"AAAAAFS7v74=")</f>
        <v>#REF!</v>
      </c>
      <c r="GJ53" t="e">
        <f>AND(#REF!,"AAAAAFS7v78=")</f>
        <v>#REF!</v>
      </c>
      <c r="GK53" t="e">
        <f>AND(#REF!,"AAAAAFS7v8A=")</f>
        <v>#REF!</v>
      </c>
      <c r="GL53" t="e">
        <f>AND(#REF!,"AAAAAFS7v8E=")</f>
        <v>#REF!</v>
      </c>
      <c r="GM53" t="e">
        <f>AND(#REF!,"AAAAAFS7v8I=")</f>
        <v>#REF!</v>
      </c>
      <c r="GN53" t="e">
        <f>AND(#REF!,"AAAAAFS7v8M=")</f>
        <v>#REF!</v>
      </c>
      <c r="GO53" t="e">
        <f>AND(#REF!,"AAAAAFS7v8Q=")</f>
        <v>#REF!</v>
      </c>
      <c r="GP53" t="e">
        <f>IF(#REF!,"AAAAAFS7v8U=",0)</f>
        <v>#REF!</v>
      </c>
      <c r="GQ53" t="e">
        <f>AND(#REF!,"AAAAAFS7v8Y=")</f>
        <v>#REF!</v>
      </c>
      <c r="GR53" t="e">
        <f>AND(#REF!,"AAAAAFS7v8c=")</f>
        <v>#REF!</v>
      </c>
      <c r="GS53" t="e">
        <f>AND(#REF!,"AAAAAFS7v8g=")</f>
        <v>#REF!</v>
      </c>
      <c r="GT53" t="e">
        <f>AND(#REF!,"AAAAAFS7v8k=")</f>
        <v>#REF!</v>
      </c>
      <c r="GU53" t="e">
        <f>AND(#REF!,"AAAAAFS7v8o=")</f>
        <v>#REF!</v>
      </c>
      <c r="GV53" t="e">
        <f>AND(#REF!,"AAAAAFS7v8s=")</f>
        <v>#REF!</v>
      </c>
      <c r="GW53" t="e">
        <f>AND(#REF!,"AAAAAFS7v8w=")</f>
        <v>#REF!</v>
      </c>
      <c r="GX53" t="e">
        <f>AND(#REF!,"AAAAAFS7v80=")</f>
        <v>#REF!</v>
      </c>
      <c r="GY53" t="e">
        <f>IF(#REF!,"AAAAAFS7v84=",0)</f>
        <v>#REF!</v>
      </c>
      <c r="GZ53" t="e">
        <f>AND(#REF!,"AAAAAFS7v88=")</f>
        <v>#REF!</v>
      </c>
      <c r="HA53" t="e">
        <f>AND(#REF!,"AAAAAFS7v9A=")</f>
        <v>#REF!</v>
      </c>
      <c r="HB53" t="e">
        <f>AND(#REF!,"AAAAAFS7v9E=")</f>
        <v>#REF!</v>
      </c>
      <c r="HC53" t="e">
        <f>AND(#REF!,"AAAAAFS7v9I=")</f>
        <v>#REF!</v>
      </c>
      <c r="HD53" t="e">
        <f>AND(#REF!,"AAAAAFS7v9M=")</f>
        <v>#REF!</v>
      </c>
      <c r="HE53" t="e">
        <f>AND(#REF!,"AAAAAFS7v9Q=")</f>
        <v>#REF!</v>
      </c>
      <c r="HF53" t="e">
        <f>AND(#REF!,"AAAAAFS7v9U=")</f>
        <v>#REF!</v>
      </c>
      <c r="HG53" t="e">
        <f>AND(#REF!,"AAAAAFS7v9Y=")</f>
        <v>#REF!</v>
      </c>
      <c r="HH53" t="e">
        <f>IF(#REF!,"AAAAAFS7v9c=",0)</f>
        <v>#REF!</v>
      </c>
      <c r="HI53" t="e">
        <f>AND(#REF!,"AAAAAFS7v9g=")</f>
        <v>#REF!</v>
      </c>
      <c r="HJ53" t="e">
        <f>AND(#REF!,"AAAAAFS7v9k=")</f>
        <v>#REF!</v>
      </c>
      <c r="HK53" t="e">
        <f>AND(#REF!,"AAAAAFS7v9o=")</f>
        <v>#REF!</v>
      </c>
      <c r="HL53" t="e">
        <f>AND(#REF!,"AAAAAFS7v9s=")</f>
        <v>#REF!</v>
      </c>
      <c r="HM53" t="e">
        <f>AND(#REF!,"AAAAAFS7v9w=")</f>
        <v>#REF!</v>
      </c>
      <c r="HN53" t="e">
        <f>AND(#REF!,"AAAAAFS7v90=")</f>
        <v>#REF!</v>
      </c>
      <c r="HO53" t="e">
        <f>AND(#REF!,"AAAAAFS7v94=")</f>
        <v>#REF!</v>
      </c>
      <c r="HP53" t="e">
        <f>AND(#REF!,"AAAAAFS7v98=")</f>
        <v>#REF!</v>
      </c>
      <c r="HQ53" t="e">
        <f>IF(#REF!,"AAAAAFS7v+A=",0)</f>
        <v>#REF!</v>
      </c>
      <c r="HR53" t="e">
        <f>AND(#REF!,"AAAAAFS7v+E=")</f>
        <v>#REF!</v>
      </c>
      <c r="HS53" t="e">
        <f>AND(#REF!,"AAAAAFS7v+I=")</f>
        <v>#REF!</v>
      </c>
      <c r="HT53" t="e">
        <f>AND(#REF!,"AAAAAFS7v+M=")</f>
        <v>#REF!</v>
      </c>
      <c r="HU53" t="e">
        <f>AND(#REF!,"AAAAAFS7v+Q=")</f>
        <v>#REF!</v>
      </c>
      <c r="HV53" t="e">
        <f>AND(#REF!,"AAAAAFS7v+U=")</f>
        <v>#REF!</v>
      </c>
      <c r="HW53" t="e">
        <f>AND(#REF!,"AAAAAFS7v+Y=")</f>
        <v>#REF!</v>
      </c>
      <c r="HX53" t="e">
        <f>AND(#REF!,"AAAAAFS7v+c=")</f>
        <v>#REF!</v>
      </c>
      <c r="HY53" t="e">
        <f>AND(#REF!,"AAAAAFS7v+g=")</f>
        <v>#REF!</v>
      </c>
      <c r="HZ53" t="e">
        <f>IF(#REF!,"AAAAAFS7v+k=",0)</f>
        <v>#REF!</v>
      </c>
      <c r="IA53" t="e">
        <f>AND(#REF!,"AAAAAFS7v+o=")</f>
        <v>#REF!</v>
      </c>
      <c r="IB53" t="e">
        <f>AND(#REF!,"AAAAAFS7v+s=")</f>
        <v>#REF!</v>
      </c>
      <c r="IC53" t="e">
        <f>AND(#REF!,"AAAAAFS7v+w=")</f>
        <v>#REF!</v>
      </c>
      <c r="ID53" t="e">
        <f>AND(#REF!,"AAAAAFS7v+0=")</f>
        <v>#REF!</v>
      </c>
      <c r="IE53" t="e">
        <f>AND(#REF!,"AAAAAFS7v+4=")</f>
        <v>#REF!</v>
      </c>
      <c r="IF53" t="e">
        <f>AND(#REF!,"AAAAAFS7v+8=")</f>
        <v>#REF!</v>
      </c>
      <c r="IG53" t="e">
        <f>AND(#REF!,"AAAAAFS7v/A=")</f>
        <v>#REF!</v>
      </c>
      <c r="IH53" t="e">
        <f>AND(#REF!,"AAAAAFS7v/E=")</f>
        <v>#REF!</v>
      </c>
      <c r="II53" t="e">
        <f>IF(#REF!,"AAAAAFS7v/I=",0)</f>
        <v>#REF!</v>
      </c>
      <c r="IJ53" t="e">
        <f>AND(#REF!,"AAAAAFS7v/M=")</f>
        <v>#REF!</v>
      </c>
      <c r="IK53" t="e">
        <f>AND(#REF!,"AAAAAFS7v/Q=")</f>
        <v>#REF!</v>
      </c>
      <c r="IL53" t="e">
        <f>AND(#REF!,"AAAAAFS7v/U=")</f>
        <v>#REF!</v>
      </c>
      <c r="IM53" t="e">
        <f>AND(#REF!,"AAAAAFS7v/Y=")</f>
        <v>#REF!</v>
      </c>
      <c r="IN53" t="e">
        <f>AND(#REF!,"AAAAAFS7v/c=")</f>
        <v>#REF!</v>
      </c>
      <c r="IO53" t="e">
        <f>AND(#REF!,"AAAAAFS7v/g=")</f>
        <v>#REF!</v>
      </c>
      <c r="IP53" t="e">
        <f>AND(#REF!,"AAAAAFS7v/k=")</f>
        <v>#REF!</v>
      </c>
      <c r="IQ53" t="e">
        <f>AND(#REF!,"AAAAAFS7v/o=")</f>
        <v>#REF!</v>
      </c>
      <c r="IR53" t="e">
        <f>IF(#REF!,"AAAAAFS7v/s=",0)</f>
        <v>#REF!</v>
      </c>
      <c r="IS53" t="e">
        <f>AND(#REF!,"AAAAAFS7v/w=")</f>
        <v>#REF!</v>
      </c>
      <c r="IT53" t="e">
        <f>AND(#REF!,"AAAAAFS7v/0=")</f>
        <v>#REF!</v>
      </c>
      <c r="IU53" t="e">
        <f>AND(#REF!,"AAAAAFS7v/4=")</f>
        <v>#REF!</v>
      </c>
      <c r="IV53" t="e">
        <f>AND(#REF!,"AAAAAFS7v/8=")</f>
        <v>#REF!</v>
      </c>
    </row>
    <row r="54" spans="1:256">
      <c r="A54" t="e">
        <f>AND(#REF!,"AAAAAHf/tAA=")</f>
        <v>#REF!</v>
      </c>
      <c r="B54" t="e">
        <f>AND(#REF!,"AAAAAHf/tAE=")</f>
        <v>#REF!</v>
      </c>
      <c r="C54" t="e">
        <f>AND(#REF!,"AAAAAHf/tAI=")</f>
        <v>#REF!</v>
      </c>
      <c r="D54" t="e">
        <f>AND(#REF!,"AAAAAHf/tAM=")</f>
        <v>#REF!</v>
      </c>
      <c r="E54" t="e">
        <f>IF(#REF!,"AAAAAHf/tAQ=",0)</f>
        <v>#REF!</v>
      </c>
      <c r="F54" t="e">
        <f>AND(#REF!,"AAAAAHf/tAU=")</f>
        <v>#REF!</v>
      </c>
      <c r="G54" t="e">
        <f>AND(#REF!,"AAAAAHf/tAY=")</f>
        <v>#REF!</v>
      </c>
      <c r="H54" t="e">
        <f>AND(#REF!,"AAAAAHf/tAc=")</f>
        <v>#REF!</v>
      </c>
      <c r="I54" t="e">
        <f>AND(#REF!,"AAAAAHf/tAg=")</f>
        <v>#REF!</v>
      </c>
      <c r="J54" t="e">
        <f>AND(#REF!,"AAAAAHf/tAk=")</f>
        <v>#REF!</v>
      </c>
      <c r="K54" t="e">
        <f>AND(#REF!,"AAAAAHf/tAo=")</f>
        <v>#REF!</v>
      </c>
      <c r="L54" t="e">
        <f>AND(#REF!,"AAAAAHf/tAs=")</f>
        <v>#REF!</v>
      </c>
      <c r="M54" t="e">
        <f>AND(#REF!,"AAAAAHf/tAw=")</f>
        <v>#REF!</v>
      </c>
      <c r="N54" t="e">
        <f>IF(#REF!,"AAAAAHf/tA0=",0)</f>
        <v>#REF!</v>
      </c>
      <c r="O54" t="e">
        <f>AND(#REF!,"AAAAAHf/tA4=")</f>
        <v>#REF!</v>
      </c>
      <c r="P54" t="e">
        <f>AND(#REF!,"AAAAAHf/tA8=")</f>
        <v>#REF!</v>
      </c>
      <c r="Q54" t="e">
        <f>AND(#REF!,"AAAAAHf/tBA=")</f>
        <v>#REF!</v>
      </c>
      <c r="R54" t="e">
        <f>AND(#REF!,"AAAAAHf/tBE=")</f>
        <v>#REF!</v>
      </c>
      <c r="S54" t="e">
        <f>AND(#REF!,"AAAAAHf/tBI=")</f>
        <v>#REF!</v>
      </c>
      <c r="T54" t="e">
        <f>AND(#REF!,"AAAAAHf/tBM=")</f>
        <v>#REF!</v>
      </c>
      <c r="U54" t="e">
        <f>AND(#REF!,"AAAAAHf/tBQ=")</f>
        <v>#REF!</v>
      </c>
      <c r="V54" t="e">
        <f>AND(#REF!,"AAAAAHf/tBU=")</f>
        <v>#REF!</v>
      </c>
      <c r="W54" t="e">
        <f>IF(#REF!,"AAAAAHf/tBY=",0)</f>
        <v>#REF!</v>
      </c>
      <c r="X54" t="e">
        <f>AND(#REF!,"AAAAAHf/tBc=")</f>
        <v>#REF!</v>
      </c>
      <c r="Y54" t="e">
        <f>AND(#REF!,"AAAAAHf/tBg=")</f>
        <v>#REF!</v>
      </c>
      <c r="Z54" t="e">
        <f>AND(#REF!,"AAAAAHf/tBk=")</f>
        <v>#REF!</v>
      </c>
      <c r="AA54" t="e">
        <f>AND(#REF!,"AAAAAHf/tBo=")</f>
        <v>#REF!</v>
      </c>
      <c r="AB54" t="e">
        <f>AND(#REF!,"AAAAAHf/tBs=")</f>
        <v>#REF!</v>
      </c>
      <c r="AC54" t="e">
        <f>AND(#REF!,"AAAAAHf/tBw=")</f>
        <v>#REF!</v>
      </c>
      <c r="AD54" t="e">
        <f>AND(#REF!,"AAAAAHf/tB0=")</f>
        <v>#REF!</v>
      </c>
      <c r="AE54" t="e">
        <f>AND(#REF!,"AAAAAHf/tB4=")</f>
        <v>#REF!</v>
      </c>
      <c r="AF54" t="e">
        <f>IF(#REF!,"AAAAAHf/tB8=",0)</f>
        <v>#REF!</v>
      </c>
      <c r="AG54" t="e">
        <f>AND(#REF!,"AAAAAHf/tCA=")</f>
        <v>#REF!</v>
      </c>
      <c r="AH54" t="e">
        <f>AND(#REF!,"AAAAAHf/tCE=")</f>
        <v>#REF!</v>
      </c>
      <c r="AI54" t="e">
        <f>AND(#REF!,"AAAAAHf/tCI=")</f>
        <v>#REF!</v>
      </c>
      <c r="AJ54" t="e">
        <f>AND(#REF!,"AAAAAHf/tCM=")</f>
        <v>#REF!</v>
      </c>
      <c r="AK54" t="e">
        <f>AND(#REF!,"AAAAAHf/tCQ=")</f>
        <v>#REF!</v>
      </c>
      <c r="AL54" t="e">
        <f>AND(#REF!,"AAAAAHf/tCU=")</f>
        <v>#REF!</v>
      </c>
      <c r="AM54" t="e">
        <f>AND(#REF!,"AAAAAHf/tCY=")</f>
        <v>#REF!</v>
      </c>
      <c r="AN54" t="e">
        <f>AND(#REF!,"AAAAAHf/tCc=")</f>
        <v>#REF!</v>
      </c>
      <c r="AO54" t="e">
        <f>IF(#REF!,"AAAAAHf/tCg=",0)</f>
        <v>#REF!</v>
      </c>
      <c r="AP54" t="e">
        <f>AND(#REF!,"AAAAAHf/tCk=")</f>
        <v>#REF!</v>
      </c>
      <c r="AQ54" t="e">
        <f>AND(#REF!,"AAAAAHf/tCo=")</f>
        <v>#REF!</v>
      </c>
      <c r="AR54" t="e">
        <f>AND(#REF!,"AAAAAHf/tCs=")</f>
        <v>#REF!</v>
      </c>
      <c r="AS54" t="e">
        <f>AND(#REF!,"AAAAAHf/tCw=")</f>
        <v>#REF!</v>
      </c>
      <c r="AT54" t="e">
        <f>AND(#REF!,"AAAAAHf/tC0=")</f>
        <v>#REF!</v>
      </c>
      <c r="AU54" t="e">
        <f>AND(#REF!,"AAAAAHf/tC4=")</f>
        <v>#REF!</v>
      </c>
      <c r="AV54" t="e">
        <f>AND(#REF!,"AAAAAHf/tC8=")</f>
        <v>#REF!</v>
      </c>
      <c r="AW54" t="e">
        <f>AND(#REF!,"AAAAAHf/tDA=")</f>
        <v>#REF!</v>
      </c>
      <c r="AX54" t="e">
        <f>IF(#REF!,"AAAAAHf/tDE=",0)</f>
        <v>#REF!</v>
      </c>
      <c r="AY54" t="e">
        <f>AND(#REF!,"AAAAAHf/tDI=")</f>
        <v>#REF!</v>
      </c>
      <c r="AZ54" t="e">
        <f>AND(#REF!,"AAAAAHf/tDM=")</f>
        <v>#REF!</v>
      </c>
      <c r="BA54" t="e">
        <f>AND(#REF!,"AAAAAHf/tDQ=")</f>
        <v>#REF!</v>
      </c>
      <c r="BB54" t="e">
        <f>AND(#REF!,"AAAAAHf/tDU=")</f>
        <v>#REF!</v>
      </c>
      <c r="BC54" t="e">
        <f>AND(#REF!,"AAAAAHf/tDY=")</f>
        <v>#REF!</v>
      </c>
      <c r="BD54" t="e">
        <f>AND(#REF!,"AAAAAHf/tDc=")</f>
        <v>#REF!</v>
      </c>
      <c r="BE54" t="e">
        <f>AND(#REF!,"AAAAAHf/tDg=")</f>
        <v>#REF!</v>
      </c>
      <c r="BF54" t="e">
        <f>AND(#REF!,"AAAAAHf/tDk=")</f>
        <v>#REF!</v>
      </c>
      <c r="BG54" t="e">
        <f>IF(#REF!,"AAAAAHf/tDo=",0)</f>
        <v>#REF!</v>
      </c>
      <c r="BH54" t="e">
        <f>AND(#REF!,"AAAAAHf/tDs=")</f>
        <v>#REF!</v>
      </c>
      <c r="BI54" t="e">
        <f>AND(#REF!,"AAAAAHf/tDw=")</f>
        <v>#REF!</v>
      </c>
      <c r="BJ54" t="e">
        <f>AND(#REF!,"AAAAAHf/tD0=")</f>
        <v>#REF!</v>
      </c>
      <c r="BK54" t="e">
        <f>AND(#REF!,"AAAAAHf/tD4=")</f>
        <v>#REF!</v>
      </c>
      <c r="BL54" t="e">
        <f>AND(#REF!,"AAAAAHf/tD8=")</f>
        <v>#REF!</v>
      </c>
      <c r="BM54" t="e">
        <f>AND(#REF!,"AAAAAHf/tEA=")</f>
        <v>#REF!</v>
      </c>
      <c r="BN54" t="e">
        <f>AND(#REF!,"AAAAAHf/tEE=")</f>
        <v>#REF!</v>
      </c>
      <c r="BO54" t="e">
        <f>AND(#REF!,"AAAAAHf/tEI=")</f>
        <v>#REF!</v>
      </c>
      <c r="BP54" t="e">
        <f>IF(#REF!,"AAAAAHf/tEM=",0)</f>
        <v>#REF!</v>
      </c>
      <c r="BQ54" t="e">
        <f>AND(#REF!,"AAAAAHf/tEQ=")</f>
        <v>#REF!</v>
      </c>
      <c r="BR54" t="e">
        <f>AND(#REF!,"AAAAAHf/tEU=")</f>
        <v>#REF!</v>
      </c>
      <c r="BS54" t="e">
        <f>AND(#REF!,"AAAAAHf/tEY=")</f>
        <v>#REF!</v>
      </c>
      <c r="BT54" t="e">
        <f>AND(#REF!,"AAAAAHf/tEc=")</f>
        <v>#REF!</v>
      </c>
      <c r="BU54" t="e">
        <f>AND(#REF!,"AAAAAHf/tEg=")</f>
        <v>#REF!</v>
      </c>
      <c r="BV54" t="e">
        <f>AND(#REF!,"AAAAAHf/tEk=")</f>
        <v>#REF!</v>
      </c>
      <c r="BW54" t="e">
        <f>AND(#REF!,"AAAAAHf/tEo=")</f>
        <v>#REF!</v>
      </c>
      <c r="BX54" t="e">
        <f>AND(#REF!,"AAAAAHf/tEs=")</f>
        <v>#REF!</v>
      </c>
      <c r="BY54" t="e">
        <f>IF(#REF!,"AAAAAHf/tEw=",0)</f>
        <v>#REF!</v>
      </c>
      <c r="BZ54" t="e">
        <f>AND(#REF!,"AAAAAHf/tE0=")</f>
        <v>#REF!</v>
      </c>
      <c r="CA54" t="e">
        <f>AND(#REF!,"AAAAAHf/tE4=")</f>
        <v>#REF!</v>
      </c>
      <c r="CB54" t="e">
        <f>AND(#REF!,"AAAAAHf/tE8=")</f>
        <v>#REF!</v>
      </c>
      <c r="CC54" t="e">
        <f>AND(#REF!,"AAAAAHf/tFA=")</f>
        <v>#REF!</v>
      </c>
      <c r="CD54" t="e">
        <f>AND(#REF!,"AAAAAHf/tFE=")</f>
        <v>#REF!</v>
      </c>
      <c r="CE54" t="e">
        <f>AND(#REF!,"AAAAAHf/tFI=")</f>
        <v>#REF!</v>
      </c>
      <c r="CF54" t="e">
        <f>AND(#REF!,"AAAAAHf/tFM=")</f>
        <v>#REF!</v>
      </c>
      <c r="CG54" t="e">
        <f>AND(#REF!,"AAAAAHf/tFQ=")</f>
        <v>#REF!</v>
      </c>
      <c r="CH54" t="e">
        <f>IF(#REF!,"AAAAAHf/tFU=",0)</f>
        <v>#REF!</v>
      </c>
      <c r="CI54" t="e">
        <f>AND(#REF!,"AAAAAHf/tFY=")</f>
        <v>#REF!</v>
      </c>
      <c r="CJ54" t="e">
        <f>AND(#REF!,"AAAAAHf/tFc=")</f>
        <v>#REF!</v>
      </c>
      <c r="CK54" t="e">
        <f>AND(#REF!,"AAAAAHf/tFg=")</f>
        <v>#REF!</v>
      </c>
      <c r="CL54" t="e">
        <f>AND(#REF!,"AAAAAHf/tFk=")</f>
        <v>#REF!</v>
      </c>
      <c r="CM54" t="e">
        <f>AND(#REF!,"AAAAAHf/tFo=")</f>
        <v>#REF!</v>
      </c>
      <c r="CN54" t="e">
        <f>AND(#REF!,"AAAAAHf/tFs=")</f>
        <v>#REF!</v>
      </c>
      <c r="CO54" t="e">
        <f>AND(#REF!,"AAAAAHf/tFw=")</f>
        <v>#REF!</v>
      </c>
      <c r="CP54" t="e">
        <f>AND(#REF!,"AAAAAHf/tF0=")</f>
        <v>#REF!</v>
      </c>
      <c r="CQ54" t="e">
        <f>IF(#REF!,"AAAAAHf/tF4=",0)</f>
        <v>#REF!</v>
      </c>
      <c r="CR54" t="e">
        <f>AND(#REF!,"AAAAAHf/tF8=")</f>
        <v>#REF!</v>
      </c>
      <c r="CS54" t="e">
        <f>AND(#REF!,"AAAAAHf/tGA=")</f>
        <v>#REF!</v>
      </c>
      <c r="CT54" t="e">
        <f>AND(#REF!,"AAAAAHf/tGE=")</f>
        <v>#REF!</v>
      </c>
      <c r="CU54" t="e">
        <f>AND(#REF!,"AAAAAHf/tGI=")</f>
        <v>#REF!</v>
      </c>
      <c r="CV54" t="e">
        <f>AND(#REF!,"AAAAAHf/tGM=")</f>
        <v>#REF!</v>
      </c>
      <c r="CW54" t="e">
        <f>AND(#REF!,"AAAAAHf/tGQ=")</f>
        <v>#REF!</v>
      </c>
      <c r="CX54" t="e">
        <f>AND(#REF!,"AAAAAHf/tGU=")</f>
        <v>#REF!</v>
      </c>
      <c r="CY54" t="e">
        <f>AND(#REF!,"AAAAAHf/tGY=")</f>
        <v>#REF!</v>
      </c>
      <c r="CZ54" t="e">
        <f>IF(#REF!,"AAAAAHf/tGc=",0)</f>
        <v>#REF!</v>
      </c>
      <c r="DA54" t="e">
        <f>AND(#REF!,"AAAAAHf/tGg=")</f>
        <v>#REF!</v>
      </c>
      <c r="DB54" t="e">
        <f>AND(#REF!,"AAAAAHf/tGk=")</f>
        <v>#REF!</v>
      </c>
      <c r="DC54" t="e">
        <f>AND(#REF!,"AAAAAHf/tGo=")</f>
        <v>#REF!</v>
      </c>
      <c r="DD54" t="e">
        <f>AND(#REF!,"AAAAAHf/tGs=")</f>
        <v>#REF!</v>
      </c>
      <c r="DE54" t="e">
        <f>AND(#REF!,"AAAAAHf/tGw=")</f>
        <v>#REF!</v>
      </c>
      <c r="DF54" t="e">
        <f>AND(#REF!,"AAAAAHf/tG0=")</f>
        <v>#REF!</v>
      </c>
      <c r="DG54" t="e">
        <f>AND(#REF!,"AAAAAHf/tG4=")</f>
        <v>#REF!</v>
      </c>
      <c r="DH54" t="e">
        <f>AND(#REF!,"AAAAAHf/tG8=")</f>
        <v>#REF!</v>
      </c>
      <c r="DI54" t="e">
        <f>IF(#REF!,"AAAAAHf/tHA=",0)</f>
        <v>#REF!</v>
      </c>
      <c r="DJ54" t="e">
        <f>AND(#REF!,"AAAAAHf/tHE=")</f>
        <v>#REF!</v>
      </c>
      <c r="DK54" t="e">
        <f>AND(#REF!,"AAAAAHf/tHI=")</f>
        <v>#REF!</v>
      </c>
      <c r="DL54" t="e">
        <f>AND(#REF!,"AAAAAHf/tHM=")</f>
        <v>#REF!</v>
      </c>
      <c r="DM54" t="e">
        <f>AND(#REF!,"AAAAAHf/tHQ=")</f>
        <v>#REF!</v>
      </c>
      <c r="DN54" t="e">
        <f>AND(#REF!,"AAAAAHf/tHU=")</f>
        <v>#REF!</v>
      </c>
      <c r="DO54" t="e">
        <f>AND(#REF!,"AAAAAHf/tHY=")</f>
        <v>#REF!</v>
      </c>
      <c r="DP54" t="e">
        <f>AND(#REF!,"AAAAAHf/tHc=")</f>
        <v>#REF!</v>
      </c>
      <c r="DQ54" t="e">
        <f>AND(#REF!,"AAAAAHf/tHg=")</f>
        <v>#REF!</v>
      </c>
      <c r="DR54" t="e">
        <f>IF(#REF!,"AAAAAHf/tHk=",0)</f>
        <v>#REF!</v>
      </c>
      <c r="DS54" t="e">
        <f>AND(#REF!,"AAAAAHf/tHo=")</f>
        <v>#REF!</v>
      </c>
      <c r="DT54" t="e">
        <f>AND(#REF!,"AAAAAHf/tHs=")</f>
        <v>#REF!</v>
      </c>
      <c r="DU54" t="e">
        <f>AND(#REF!,"AAAAAHf/tHw=")</f>
        <v>#REF!</v>
      </c>
      <c r="DV54" t="e">
        <f>AND(#REF!,"AAAAAHf/tH0=")</f>
        <v>#REF!</v>
      </c>
      <c r="DW54" t="e">
        <f>AND(#REF!,"AAAAAHf/tH4=")</f>
        <v>#REF!</v>
      </c>
      <c r="DX54" t="e">
        <f>AND(#REF!,"AAAAAHf/tH8=")</f>
        <v>#REF!</v>
      </c>
      <c r="DY54" t="e">
        <f>AND(#REF!,"AAAAAHf/tIA=")</f>
        <v>#REF!</v>
      </c>
      <c r="DZ54" t="e">
        <f>AND(#REF!,"AAAAAHf/tIE=")</f>
        <v>#REF!</v>
      </c>
      <c r="EA54" t="e">
        <f>IF(#REF!,"AAAAAHf/tII=",0)</f>
        <v>#REF!</v>
      </c>
      <c r="EB54" t="e">
        <f>AND(#REF!,"AAAAAHf/tIM=")</f>
        <v>#REF!</v>
      </c>
      <c r="EC54" t="e">
        <f>AND(#REF!,"AAAAAHf/tIQ=")</f>
        <v>#REF!</v>
      </c>
      <c r="ED54" t="e">
        <f>AND(#REF!,"AAAAAHf/tIU=")</f>
        <v>#REF!</v>
      </c>
      <c r="EE54" t="e">
        <f>AND(#REF!,"AAAAAHf/tIY=")</f>
        <v>#REF!</v>
      </c>
      <c r="EF54" t="e">
        <f>AND(#REF!,"AAAAAHf/tIc=")</f>
        <v>#REF!</v>
      </c>
      <c r="EG54" t="e">
        <f>AND(#REF!,"AAAAAHf/tIg=")</f>
        <v>#REF!</v>
      </c>
      <c r="EH54" t="e">
        <f>AND(#REF!,"AAAAAHf/tIk=")</f>
        <v>#REF!</v>
      </c>
      <c r="EI54" t="e">
        <f>AND(#REF!,"AAAAAHf/tIo=")</f>
        <v>#REF!</v>
      </c>
      <c r="EJ54" t="e">
        <f>IF(#REF!,"AAAAAHf/tIs=",0)</f>
        <v>#REF!</v>
      </c>
      <c r="EK54" t="e">
        <f>AND(#REF!,"AAAAAHf/tIw=")</f>
        <v>#REF!</v>
      </c>
      <c r="EL54" t="e">
        <f>AND(#REF!,"AAAAAHf/tI0=")</f>
        <v>#REF!</v>
      </c>
      <c r="EM54" t="e">
        <f>AND(#REF!,"AAAAAHf/tI4=")</f>
        <v>#REF!</v>
      </c>
      <c r="EN54" t="e">
        <f>AND(#REF!,"AAAAAHf/tI8=")</f>
        <v>#REF!</v>
      </c>
      <c r="EO54" t="e">
        <f>AND(#REF!,"AAAAAHf/tJA=")</f>
        <v>#REF!</v>
      </c>
      <c r="EP54" t="e">
        <f>AND(#REF!,"AAAAAHf/tJE=")</f>
        <v>#REF!</v>
      </c>
      <c r="EQ54" t="e">
        <f>AND(#REF!,"AAAAAHf/tJI=")</f>
        <v>#REF!</v>
      </c>
      <c r="ER54" t="e">
        <f>AND(#REF!,"AAAAAHf/tJM=")</f>
        <v>#REF!</v>
      </c>
      <c r="ES54" t="e">
        <f>IF(#REF!,"AAAAAHf/tJQ=",0)</f>
        <v>#REF!</v>
      </c>
      <c r="ET54" t="e">
        <f>AND(#REF!,"AAAAAHf/tJU=")</f>
        <v>#REF!</v>
      </c>
      <c r="EU54" t="e">
        <f>AND(#REF!,"AAAAAHf/tJY=")</f>
        <v>#REF!</v>
      </c>
      <c r="EV54" t="e">
        <f>AND(#REF!,"AAAAAHf/tJc=")</f>
        <v>#REF!</v>
      </c>
      <c r="EW54" t="e">
        <f>AND(#REF!,"AAAAAHf/tJg=")</f>
        <v>#REF!</v>
      </c>
      <c r="EX54" t="e">
        <f>AND(#REF!,"AAAAAHf/tJk=")</f>
        <v>#REF!</v>
      </c>
      <c r="EY54" t="e">
        <f>AND(#REF!,"AAAAAHf/tJo=")</f>
        <v>#REF!</v>
      </c>
      <c r="EZ54" t="e">
        <f>AND(#REF!,"AAAAAHf/tJs=")</f>
        <v>#REF!</v>
      </c>
      <c r="FA54" t="e">
        <f>AND(#REF!,"AAAAAHf/tJw=")</f>
        <v>#REF!</v>
      </c>
      <c r="FB54" t="e">
        <f>IF(#REF!,"AAAAAHf/tJ0=",0)</f>
        <v>#REF!</v>
      </c>
      <c r="FC54" t="e">
        <f>AND(#REF!,"AAAAAHf/tJ4=")</f>
        <v>#REF!</v>
      </c>
      <c r="FD54" t="e">
        <f>AND(#REF!,"AAAAAHf/tJ8=")</f>
        <v>#REF!</v>
      </c>
      <c r="FE54" t="e">
        <f>AND(#REF!,"AAAAAHf/tKA=")</f>
        <v>#REF!</v>
      </c>
      <c r="FF54" t="e">
        <f>AND(#REF!,"AAAAAHf/tKE=")</f>
        <v>#REF!</v>
      </c>
      <c r="FG54" t="e">
        <f>AND(#REF!,"AAAAAHf/tKI=")</f>
        <v>#REF!</v>
      </c>
      <c r="FH54" t="e">
        <f>AND(#REF!,"AAAAAHf/tKM=")</f>
        <v>#REF!</v>
      </c>
      <c r="FI54" t="e">
        <f>AND(#REF!,"AAAAAHf/tKQ=")</f>
        <v>#REF!</v>
      </c>
      <c r="FJ54" t="e">
        <f>AND(#REF!,"AAAAAHf/tKU=")</f>
        <v>#REF!</v>
      </c>
      <c r="FK54" t="e">
        <f>IF(#REF!,"AAAAAHf/tKY=",0)</f>
        <v>#REF!</v>
      </c>
      <c r="FL54" t="e">
        <f>AND(#REF!,"AAAAAHf/tKc=")</f>
        <v>#REF!</v>
      </c>
      <c r="FM54" t="e">
        <f>AND(#REF!,"AAAAAHf/tKg=")</f>
        <v>#REF!</v>
      </c>
      <c r="FN54" t="e">
        <f>AND(#REF!,"AAAAAHf/tKk=")</f>
        <v>#REF!</v>
      </c>
      <c r="FO54" t="e">
        <f>AND(#REF!,"AAAAAHf/tKo=")</f>
        <v>#REF!</v>
      </c>
      <c r="FP54" t="e">
        <f>AND(#REF!,"AAAAAHf/tKs=")</f>
        <v>#REF!</v>
      </c>
      <c r="FQ54" t="e">
        <f>AND(#REF!,"AAAAAHf/tKw=")</f>
        <v>#REF!</v>
      </c>
      <c r="FR54" t="e">
        <f>AND(#REF!,"AAAAAHf/tK0=")</f>
        <v>#REF!</v>
      </c>
      <c r="FS54" t="e">
        <f>AND(#REF!,"AAAAAHf/tK4=")</f>
        <v>#REF!</v>
      </c>
      <c r="FT54" t="e">
        <f>IF(#REF!,"AAAAAHf/tK8=",0)</f>
        <v>#REF!</v>
      </c>
      <c r="FU54" t="e">
        <f>AND(#REF!,"AAAAAHf/tLA=")</f>
        <v>#REF!</v>
      </c>
      <c r="FV54" t="e">
        <f>AND(#REF!,"AAAAAHf/tLE=")</f>
        <v>#REF!</v>
      </c>
      <c r="FW54" t="e">
        <f>AND(#REF!,"AAAAAHf/tLI=")</f>
        <v>#REF!</v>
      </c>
      <c r="FX54" t="e">
        <f>AND(#REF!,"AAAAAHf/tLM=")</f>
        <v>#REF!</v>
      </c>
      <c r="FY54" t="e">
        <f>AND(#REF!,"AAAAAHf/tLQ=")</f>
        <v>#REF!</v>
      </c>
      <c r="FZ54" t="e">
        <f>AND(#REF!,"AAAAAHf/tLU=")</f>
        <v>#REF!</v>
      </c>
      <c r="GA54" t="e">
        <f>AND(#REF!,"AAAAAHf/tLY=")</f>
        <v>#REF!</v>
      </c>
      <c r="GB54" t="e">
        <f>AND(#REF!,"AAAAAHf/tLc=")</f>
        <v>#REF!</v>
      </c>
      <c r="GC54" t="e">
        <f>IF(#REF!,"AAAAAHf/tLg=",0)</f>
        <v>#REF!</v>
      </c>
      <c r="GD54" t="e">
        <f>AND(#REF!,"AAAAAHf/tLk=")</f>
        <v>#REF!</v>
      </c>
      <c r="GE54" t="e">
        <f>AND(#REF!,"AAAAAHf/tLo=")</f>
        <v>#REF!</v>
      </c>
      <c r="GF54" t="e">
        <f>AND(#REF!,"AAAAAHf/tLs=")</f>
        <v>#REF!</v>
      </c>
      <c r="GG54" t="e">
        <f>AND(#REF!,"AAAAAHf/tLw=")</f>
        <v>#REF!</v>
      </c>
      <c r="GH54" t="e">
        <f>AND(#REF!,"AAAAAHf/tL0=")</f>
        <v>#REF!</v>
      </c>
      <c r="GI54" t="e">
        <f>AND(#REF!,"AAAAAHf/tL4=")</f>
        <v>#REF!</v>
      </c>
      <c r="GJ54" t="e">
        <f>AND(#REF!,"AAAAAHf/tL8=")</f>
        <v>#REF!</v>
      </c>
      <c r="GK54" t="e">
        <f>AND(#REF!,"AAAAAHf/tMA=")</f>
        <v>#REF!</v>
      </c>
      <c r="GL54" t="e">
        <f>IF(#REF!,"AAAAAHf/tME=",0)</f>
        <v>#REF!</v>
      </c>
      <c r="GM54" t="e">
        <f>AND(#REF!,"AAAAAHf/tMI=")</f>
        <v>#REF!</v>
      </c>
      <c r="GN54" t="e">
        <f>AND(#REF!,"AAAAAHf/tMM=")</f>
        <v>#REF!</v>
      </c>
      <c r="GO54" t="e">
        <f>AND(#REF!,"AAAAAHf/tMQ=")</f>
        <v>#REF!</v>
      </c>
      <c r="GP54" t="e">
        <f>AND(#REF!,"AAAAAHf/tMU=")</f>
        <v>#REF!</v>
      </c>
      <c r="GQ54" t="e">
        <f>AND(#REF!,"AAAAAHf/tMY=")</f>
        <v>#REF!</v>
      </c>
      <c r="GR54" t="e">
        <f>AND(#REF!,"AAAAAHf/tMc=")</f>
        <v>#REF!</v>
      </c>
      <c r="GS54" t="e">
        <f>AND(#REF!,"AAAAAHf/tMg=")</f>
        <v>#REF!</v>
      </c>
      <c r="GT54" t="e">
        <f>AND(#REF!,"AAAAAHf/tMk=")</f>
        <v>#REF!</v>
      </c>
      <c r="GU54" t="e">
        <f>IF(#REF!,"AAAAAHf/tMo=",0)</f>
        <v>#REF!</v>
      </c>
      <c r="GV54" t="e">
        <f>AND(#REF!,"AAAAAHf/tMs=")</f>
        <v>#REF!</v>
      </c>
      <c r="GW54" t="e">
        <f>AND(#REF!,"AAAAAHf/tMw=")</f>
        <v>#REF!</v>
      </c>
      <c r="GX54" t="e">
        <f>AND(#REF!,"AAAAAHf/tM0=")</f>
        <v>#REF!</v>
      </c>
      <c r="GY54" t="e">
        <f>AND(#REF!,"AAAAAHf/tM4=")</f>
        <v>#REF!</v>
      </c>
      <c r="GZ54" t="e">
        <f>AND(#REF!,"AAAAAHf/tM8=")</f>
        <v>#REF!</v>
      </c>
      <c r="HA54" t="e">
        <f>AND(#REF!,"AAAAAHf/tNA=")</f>
        <v>#REF!</v>
      </c>
      <c r="HB54" t="e">
        <f>AND(#REF!,"AAAAAHf/tNE=")</f>
        <v>#REF!</v>
      </c>
      <c r="HC54" t="e">
        <f>AND(#REF!,"AAAAAHf/tNI=")</f>
        <v>#REF!</v>
      </c>
      <c r="HD54" t="e">
        <f>IF(#REF!,"AAAAAHf/tNM=",0)</f>
        <v>#REF!</v>
      </c>
      <c r="HE54" t="e">
        <f>AND(#REF!,"AAAAAHf/tNQ=")</f>
        <v>#REF!</v>
      </c>
      <c r="HF54" t="e">
        <f>AND(#REF!,"AAAAAHf/tNU=")</f>
        <v>#REF!</v>
      </c>
      <c r="HG54" t="e">
        <f>AND(#REF!,"AAAAAHf/tNY=")</f>
        <v>#REF!</v>
      </c>
      <c r="HH54" t="e">
        <f>AND(#REF!,"AAAAAHf/tNc=")</f>
        <v>#REF!</v>
      </c>
      <c r="HI54" t="e">
        <f>AND(#REF!,"AAAAAHf/tNg=")</f>
        <v>#REF!</v>
      </c>
      <c r="HJ54" t="e">
        <f>AND(#REF!,"AAAAAHf/tNk=")</f>
        <v>#REF!</v>
      </c>
      <c r="HK54" t="e">
        <f>AND(#REF!,"AAAAAHf/tNo=")</f>
        <v>#REF!</v>
      </c>
      <c r="HL54" t="e">
        <f>AND(#REF!,"AAAAAHf/tNs=")</f>
        <v>#REF!</v>
      </c>
      <c r="HM54" t="e">
        <f>IF(#REF!,"AAAAAHf/tNw=",0)</f>
        <v>#REF!</v>
      </c>
      <c r="HN54" t="e">
        <f>AND(#REF!,"AAAAAHf/tN0=")</f>
        <v>#REF!</v>
      </c>
      <c r="HO54" t="e">
        <f>AND(#REF!,"AAAAAHf/tN4=")</f>
        <v>#REF!</v>
      </c>
      <c r="HP54" t="e">
        <f>AND(#REF!,"AAAAAHf/tN8=")</f>
        <v>#REF!</v>
      </c>
      <c r="HQ54" t="e">
        <f>AND(#REF!,"AAAAAHf/tOA=")</f>
        <v>#REF!</v>
      </c>
      <c r="HR54" t="e">
        <f>AND(#REF!,"AAAAAHf/tOE=")</f>
        <v>#REF!</v>
      </c>
      <c r="HS54" t="e">
        <f>AND(#REF!,"AAAAAHf/tOI=")</f>
        <v>#REF!</v>
      </c>
      <c r="HT54" t="e">
        <f>AND(#REF!,"AAAAAHf/tOM=")</f>
        <v>#REF!</v>
      </c>
      <c r="HU54" t="e">
        <f>AND(#REF!,"AAAAAHf/tOQ=")</f>
        <v>#REF!</v>
      </c>
      <c r="HV54" t="e">
        <f>IF(#REF!,"AAAAAHf/tOU=",0)</f>
        <v>#REF!</v>
      </c>
      <c r="HW54" t="e">
        <f>AND(#REF!,"AAAAAHf/tOY=")</f>
        <v>#REF!</v>
      </c>
      <c r="HX54" t="e">
        <f>AND(#REF!,"AAAAAHf/tOc=")</f>
        <v>#REF!</v>
      </c>
      <c r="HY54" t="e">
        <f>AND(#REF!,"AAAAAHf/tOg=")</f>
        <v>#REF!</v>
      </c>
      <c r="HZ54" t="e">
        <f>AND(#REF!,"AAAAAHf/tOk=")</f>
        <v>#REF!</v>
      </c>
      <c r="IA54" t="e">
        <f>AND(#REF!,"AAAAAHf/tOo=")</f>
        <v>#REF!</v>
      </c>
      <c r="IB54" t="e">
        <f>AND(#REF!,"AAAAAHf/tOs=")</f>
        <v>#REF!</v>
      </c>
      <c r="IC54" t="e">
        <f>AND(#REF!,"AAAAAHf/tOw=")</f>
        <v>#REF!</v>
      </c>
      <c r="ID54" t="e">
        <f>AND(#REF!,"AAAAAHf/tO0=")</f>
        <v>#REF!</v>
      </c>
      <c r="IE54" t="e">
        <f>IF(#REF!,"AAAAAHf/tO4=",0)</f>
        <v>#REF!</v>
      </c>
      <c r="IF54" t="e">
        <f>AND(#REF!,"AAAAAHf/tO8=")</f>
        <v>#REF!</v>
      </c>
      <c r="IG54" t="e">
        <f>AND(#REF!,"AAAAAHf/tPA=")</f>
        <v>#REF!</v>
      </c>
      <c r="IH54" t="e">
        <f>AND(#REF!,"AAAAAHf/tPE=")</f>
        <v>#REF!</v>
      </c>
      <c r="II54" t="e">
        <f>AND(#REF!,"AAAAAHf/tPI=")</f>
        <v>#REF!</v>
      </c>
      <c r="IJ54" t="e">
        <f>AND(#REF!,"AAAAAHf/tPM=")</f>
        <v>#REF!</v>
      </c>
      <c r="IK54" t="e">
        <f>AND(#REF!,"AAAAAHf/tPQ=")</f>
        <v>#REF!</v>
      </c>
      <c r="IL54" t="e">
        <f>AND(#REF!,"AAAAAHf/tPU=")</f>
        <v>#REF!</v>
      </c>
      <c r="IM54" t="e">
        <f>AND(#REF!,"AAAAAHf/tPY=")</f>
        <v>#REF!</v>
      </c>
      <c r="IN54" t="e">
        <f>IF(#REF!,"AAAAAHf/tPc=",0)</f>
        <v>#REF!</v>
      </c>
      <c r="IO54" t="e">
        <f>AND(#REF!,"AAAAAHf/tPg=")</f>
        <v>#REF!</v>
      </c>
      <c r="IP54" t="e">
        <f>AND(#REF!,"AAAAAHf/tPk=")</f>
        <v>#REF!</v>
      </c>
      <c r="IQ54" t="e">
        <f>AND(#REF!,"AAAAAHf/tPo=")</f>
        <v>#REF!</v>
      </c>
      <c r="IR54" t="e">
        <f>AND(#REF!,"AAAAAHf/tPs=")</f>
        <v>#REF!</v>
      </c>
      <c r="IS54" t="e">
        <f>AND(#REF!,"AAAAAHf/tPw=")</f>
        <v>#REF!</v>
      </c>
      <c r="IT54" t="e">
        <f>AND(#REF!,"AAAAAHf/tP0=")</f>
        <v>#REF!</v>
      </c>
      <c r="IU54" t="e">
        <f>AND(#REF!,"AAAAAHf/tP4=")</f>
        <v>#REF!</v>
      </c>
      <c r="IV54" t="e">
        <f>AND(#REF!,"AAAAAHf/tP8=")</f>
        <v>#REF!</v>
      </c>
    </row>
    <row r="55" spans="1:256">
      <c r="A55" t="e">
        <f>IF(#REF!,"AAAAAD//nwA=",0)</f>
        <v>#REF!</v>
      </c>
      <c r="B55" t="e">
        <f>AND(#REF!,"AAAAAD//nwE=")</f>
        <v>#REF!</v>
      </c>
      <c r="C55" t="e">
        <f>AND(#REF!,"AAAAAD//nwI=")</f>
        <v>#REF!</v>
      </c>
      <c r="D55" t="e">
        <f>AND(#REF!,"AAAAAD//nwM=")</f>
        <v>#REF!</v>
      </c>
      <c r="E55" t="e">
        <f>AND(#REF!,"AAAAAD//nwQ=")</f>
        <v>#REF!</v>
      </c>
      <c r="F55" t="e">
        <f>AND(#REF!,"AAAAAD//nwU=")</f>
        <v>#REF!</v>
      </c>
      <c r="G55" t="e">
        <f>AND(#REF!,"AAAAAD//nwY=")</f>
        <v>#REF!</v>
      </c>
      <c r="H55" t="e">
        <f>AND(#REF!,"AAAAAD//nwc=")</f>
        <v>#REF!</v>
      </c>
      <c r="I55" t="e">
        <f>AND(#REF!,"AAAAAD//nwg=")</f>
        <v>#REF!</v>
      </c>
      <c r="J55" t="e">
        <f>IF(#REF!,"AAAAAD//nwk=",0)</f>
        <v>#REF!</v>
      </c>
      <c r="K55" t="e">
        <f>AND(#REF!,"AAAAAD//nwo=")</f>
        <v>#REF!</v>
      </c>
      <c r="L55" t="e">
        <f>AND(#REF!,"AAAAAD//nws=")</f>
        <v>#REF!</v>
      </c>
      <c r="M55" t="e">
        <f>AND(#REF!,"AAAAAD//nww=")</f>
        <v>#REF!</v>
      </c>
      <c r="N55" t="e">
        <f>AND(#REF!,"AAAAAD//nw0=")</f>
        <v>#REF!</v>
      </c>
      <c r="O55" t="e">
        <f>AND(#REF!,"AAAAAD//nw4=")</f>
        <v>#REF!</v>
      </c>
      <c r="P55" t="e">
        <f>AND(#REF!,"AAAAAD//nw8=")</f>
        <v>#REF!</v>
      </c>
      <c r="Q55" t="e">
        <f>AND(#REF!,"AAAAAD//nxA=")</f>
        <v>#REF!</v>
      </c>
      <c r="R55" t="e">
        <f>AND(#REF!,"AAAAAD//nxE=")</f>
        <v>#REF!</v>
      </c>
      <c r="S55" t="e">
        <f>IF(#REF!,"AAAAAD//nxI=",0)</f>
        <v>#REF!</v>
      </c>
      <c r="T55" t="e">
        <f>AND(#REF!,"AAAAAD//nxM=")</f>
        <v>#REF!</v>
      </c>
      <c r="U55" t="e">
        <f>AND(#REF!,"AAAAAD//nxQ=")</f>
        <v>#REF!</v>
      </c>
      <c r="V55" t="e">
        <f>AND(#REF!,"AAAAAD//nxU=")</f>
        <v>#REF!</v>
      </c>
      <c r="W55" t="e">
        <f>AND(#REF!,"AAAAAD//nxY=")</f>
        <v>#REF!</v>
      </c>
      <c r="X55" t="e">
        <f>AND(#REF!,"AAAAAD//nxc=")</f>
        <v>#REF!</v>
      </c>
      <c r="Y55" t="e">
        <f>AND(#REF!,"AAAAAD//nxg=")</f>
        <v>#REF!</v>
      </c>
      <c r="Z55" t="e">
        <f>AND(#REF!,"AAAAAD//nxk=")</f>
        <v>#REF!</v>
      </c>
      <c r="AA55" t="e">
        <f>AND(#REF!,"AAAAAD//nxo=")</f>
        <v>#REF!</v>
      </c>
      <c r="AB55" t="e">
        <f>IF(#REF!,"AAAAAD//nxs=",0)</f>
        <v>#REF!</v>
      </c>
      <c r="AC55" t="e">
        <f>AND(#REF!,"AAAAAD//nxw=")</f>
        <v>#REF!</v>
      </c>
      <c r="AD55" t="e">
        <f>AND(#REF!,"AAAAAD//nx0=")</f>
        <v>#REF!</v>
      </c>
      <c r="AE55" t="e">
        <f>AND(#REF!,"AAAAAD//nx4=")</f>
        <v>#REF!</v>
      </c>
      <c r="AF55" t="e">
        <f>AND(#REF!,"AAAAAD//nx8=")</f>
        <v>#REF!</v>
      </c>
      <c r="AG55" t="e">
        <f>AND(#REF!,"AAAAAD//nyA=")</f>
        <v>#REF!</v>
      </c>
      <c r="AH55" t="e">
        <f>AND(#REF!,"AAAAAD//nyE=")</f>
        <v>#REF!</v>
      </c>
      <c r="AI55" t="e">
        <f>AND(#REF!,"AAAAAD//nyI=")</f>
        <v>#REF!</v>
      </c>
      <c r="AJ55" t="e">
        <f>AND(#REF!,"AAAAAD//nyM=")</f>
        <v>#REF!</v>
      </c>
      <c r="AK55" t="e">
        <f>IF(#REF!,"AAAAAD//nyQ=",0)</f>
        <v>#REF!</v>
      </c>
      <c r="AL55" t="e">
        <f>AND(#REF!,"AAAAAD//nyU=")</f>
        <v>#REF!</v>
      </c>
      <c r="AM55" t="e">
        <f>AND(#REF!,"AAAAAD//nyY=")</f>
        <v>#REF!</v>
      </c>
      <c r="AN55" t="e">
        <f>AND(#REF!,"AAAAAD//nyc=")</f>
        <v>#REF!</v>
      </c>
      <c r="AO55" t="e">
        <f>AND(#REF!,"AAAAAD//nyg=")</f>
        <v>#REF!</v>
      </c>
      <c r="AP55" t="e">
        <f>AND(#REF!,"AAAAAD//nyk=")</f>
        <v>#REF!</v>
      </c>
      <c r="AQ55" t="e">
        <f>AND(#REF!,"AAAAAD//nyo=")</f>
        <v>#REF!</v>
      </c>
      <c r="AR55" t="e">
        <f>AND(#REF!,"AAAAAD//nys=")</f>
        <v>#REF!</v>
      </c>
      <c r="AS55" t="e">
        <f>AND(#REF!,"AAAAAD//nyw=")</f>
        <v>#REF!</v>
      </c>
      <c r="AT55" t="e">
        <f>IF(#REF!,"AAAAAD//ny0=",0)</f>
        <v>#REF!</v>
      </c>
      <c r="AU55" t="e">
        <f>AND(#REF!,"AAAAAD//ny4=")</f>
        <v>#REF!</v>
      </c>
      <c r="AV55" t="e">
        <f>AND(#REF!,"AAAAAD//ny8=")</f>
        <v>#REF!</v>
      </c>
      <c r="AW55" t="e">
        <f>AND(#REF!,"AAAAAD//nzA=")</f>
        <v>#REF!</v>
      </c>
      <c r="AX55" t="e">
        <f>AND(#REF!,"AAAAAD//nzE=")</f>
        <v>#REF!</v>
      </c>
      <c r="AY55" t="e">
        <f>AND(#REF!,"AAAAAD//nzI=")</f>
        <v>#REF!</v>
      </c>
      <c r="AZ55" t="e">
        <f>AND(#REF!,"AAAAAD//nzM=")</f>
        <v>#REF!</v>
      </c>
      <c r="BA55" t="e">
        <f>AND(#REF!,"AAAAAD//nzQ=")</f>
        <v>#REF!</v>
      </c>
      <c r="BB55" t="e">
        <f>AND(#REF!,"AAAAAD//nzU=")</f>
        <v>#REF!</v>
      </c>
      <c r="BC55" t="e">
        <f>IF(#REF!,"AAAAAD//nzY=",0)</f>
        <v>#REF!</v>
      </c>
      <c r="BD55" t="e">
        <f>AND(#REF!,"AAAAAD//nzc=")</f>
        <v>#REF!</v>
      </c>
      <c r="BE55" t="e">
        <f>AND(#REF!,"AAAAAD//nzg=")</f>
        <v>#REF!</v>
      </c>
      <c r="BF55" t="e">
        <f>AND(#REF!,"AAAAAD//nzk=")</f>
        <v>#REF!</v>
      </c>
      <c r="BG55" t="e">
        <f>AND(#REF!,"AAAAAD//nzo=")</f>
        <v>#REF!</v>
      </c>
      <c r="BH55" t="e">
        <f>AND(#REF!,"AAAAAD//nzs=")</f>
        <v>#REF!</v>
      </c>
      <c r="BI55" t="e">
        <f>AND(#REF!,"AAAAAD//nzw=")</f>
        <v>#REF!</v>
      </c>
      <c r="BJ55" t="e">
        <f>AND(#REF!,"AAAAAD//nz0=")</f>
        <v>#REF!</v>
      </c>
      <c r="BK55" t="e">
        <f>AND(#REF!,"AAAAAD//nz4=")</f>
        <v>#REF!</v>
      </c>
      <c r="BL55" t="e">
        <f>IF(#REF!,"AAAAAD//nz8=",0)</f>
        <v>#REF!</v>
      </c>
      <c r="BM55" t="e">
        <f>AND(#REF!,"AAAAAD//n0A=")</f>
        <v>#REF!</v>
      </c>
      <c r="BN55" t="e">
        <f>AND(#REF!,"AAAAAD//n0E=")</f>
        <v>#REF!</v>
      </c>
      <c r="BO55" t="e">
        <f>AND(#REF!,"AAAAAD//n0I=")</f>
        <v>#REF!</v>
      </c>
      <c r="BP55" t="e">
        <f>AND(#REF!,"AAAAAD//n0M=")</f>
        <v>#REF!</v>
      </c>
      <c r="BQ55" t="e">
        <f>AND(#REF!,"AAAAAD//n0Q=")</f>
        <v>#REF!</v>
      </c>
      <c r="BR55" t="e">
        <f>AND(#REF!,"AAAAAD//n0U=")</f>
        <v>#REF!</v>
      </c>
      <c r="BS55" t="e">
        <f>AND(#REF!,"AAAAAD//n0Y=")</f>
        <v>#REF!</v>
      </c>
      <c r="BT55" t="e">
        <f>AND(#REF!,"AAAAAD//n0c=")</f>
        <v>#REF!</v>
      </c>
      <c r="BU55" t="e">
        <f>IF(#REF!,"AAAAAD//n0g=",0)</f>
        <v>#REF!</v>
      </c>
      <c r="BV55" t="e">
        <f>AND(#REF!,"AAAAAD//n0k=")</f>
        <v>#REF!</v>
      </c>
      <c r="BW55" t="e">
        <f>AND(#REF!,"AAAAAD//n0o=")</f>
        <v>#REF!</v>
      </c>
      <c r="BX55" t="e">
        <f>AND(#REF!,"AAAAAD//n0s=")</f>
        <v>#REF!</v>
      </c>
      <c r="BY55" t="e">
        <f>AND(#REF!,"AAAAAD//n0w=")</f>
        <v>#REF!</v>
      </c>
      <c r="BZ55" t="e">
        <f>AND(#REF!,"AAAAAD//n00=")</f>
        <v>#REF!</v>
      </c>
      <c r="CA55" t="e">
        <f>AND(#REF!,"AAAAAD//n04=")</f>
        <v>#REF!</v>
      </c>
      <c r="CB55" t="e">
        <f>AND(#REF!,"AAAAAD//n08=")</f>
        <v>#REF!</v>
      </c>
      <c r="CC55" t="e">
        <f>AND(#REF!,"AAAAAD//n1A=")</f>
        <v>#REF!</v>
      </c>
      <c r="CD55" t="e">
        <f>IF(#REF!,"AAAAAD//n1E=",0)</f>
        <v>#REF!</v>
      </c>
      <c r="CE55" t="e">
        <f>AND(#REF!,"AAAAAD//n1I=")</f>
        <v>#REF!</v>
      </c>
      <c r="CF55" t="e">
        <f>AND(#REF!,"AAAAAD//n1M=")</f>
        <v>#REF!</v>
      </c>
      <c r="CG55" t="e">
        <f>AND(#REF!,"AAAAAD//n1Q=")</f>
        <v>#REF!</v>
      </c>
      <c r="CH55" t="e">
        <f>AND(#REF!,"AAAAAD//n1U=")</f>
        <v>#REF!</v>
      </c>
      <c r="CI55" t="e">
        <f>AND(#REF!,"AAAAAD//n1Y=")</f>
        <v>#REF!</v>
      </c>
      <c r="CJ55" t="e">
        <f>AND(#REF!,"AAAAAD//n1c=")</f>
        <v>#REF!</v>
      </c>
      <c r="CK55" t="e">
        <f>AND(#REF!,"AAAAAD//n1g=")</f>
        <v>#REF!</v>
      </c>
      <c r="CL55" t="e">
        <f>AND(#REF!,"AAAAAD//n1k=")</f>
        <v>#REF!</v>
      </c>
      <c r="CM55" t="e">
        <f>IF(#REF!,"AAAAAD//n1o=",0)</f>
        <v>#REF!</v>
      </c>
      <c r="CN55" t="e">
        <f>AND(#REF!,"AAAAAD//n1s=")</f>
        <v>#REF!</v>
      </c>
      <c r="CO55" t="e">
        <f>AND(#REF!,"AAAAAD//n1w=")</f>
        <v>#REF!</v>
      </c>
      <c r="CP55" t="e">
        <f>AND(#REF!,"AAAAAD//n10=")</f>
        <v>#REF!</v>
      </c>
      <c r="CQ55" t="e">
        <f>AND(#REF!,"AAAAAD//n14=")</f>
        <v>#REF!</v>
      </c>
      <c r="CR55" t="e">
        <f>AND(#REF!,"AAAAAD//n18=")</f>
        <v>#REF!</v>
      </c>
      <c r="CS55" t="e">
        <f>AND(#REF!,"AAAAAD//n2A=")</f>
        <v>#REF!</v>
      </c>
      <c r="CT55" t="e">
        <f>AND(#REF!,"AAAAAD//n2E=")</f>
        <v>#REF!</v>
      </c>
      <c r="CU55" t="e">
        <f>AND(#REF!,"AAAAAD//n2I=")</f>
        <v>#REF!</v>
      </c>
      <c r="CV55" t="e">
        <f>IF(#REF!,"AAAAAD//n2M=",0)</f>
        <v>#REF!</v>
      </c>
      <c r="CW55" t="e">
        <f>AND(#REF!,"AAAAAD//n2Q=")</f>
        <v>#REF!</v>
      </c>
      <c r="CX55" t="e">
        <f>AND(#REF!,"AAAAAD//n2U=")</f>
        <v>#REF!</v>
      </c>
      <c r="CY55" t="e">
        <f>AND(#REF!,"AAAAAD//n2Y=")</f>
        <v>#REF!</v>
      </c>
      <c r="CZ55" t="e">
        <f>AND(#REF!,"AAAAAD//n2c=")</f>
        <v>#REF!</v>
      </c>
      <c r="DA55" t="e">
        <f>AND(#REF!,"AAAAAD//n2g=")</f>
        <v>#REF!</v>
      </c>
      <c r="DB55" t="e">
        <f>AND(#REF!,"AAAAAD//n2k=")</f>
        <v>#REF!</v>
      </c>
      <c r="DC55" t="e">
        <f>AND(#REF!,"AAAAAD//n2o=")</f>
        <v>#REF!</v>
      </c>
      <c r="DD55" t="e">
        <f>AND(#REF!,"AAAAAD//n2s=")</f>
        <v>#REF!</v>
      </c>
      <c r="DE55" t="e">
        <f>IF(#REF!,"AAAAAD//n2w=",0)</f>
        <v>#REF!</v>
      </c>
      <c r="DF55" t="e">
        <f>AND(#REF!,"AAAAAD//n20=")</f>
        <v>#REF!</v>
      </c>
      <c r="DG55" t="e">
        <f>AND(#REF!,"AAAAAD//n24=")</f>
        <v>#REF!</v>
      </c>
      <c r="DH55" t="e">
        <f>AND(#REF!,"AAAAAD//n28=")</f>
        <v>#REF!</v>
      </c>
      <c r="DI55" t="e">
        <f>AND(#REF!,"AAAAAD//n3A=")</f>
        <v>#REF!</v>
      </c>
      <c r="DJ55" t="e">
        <f>AND(#REF!,"AAAAAD//n3E=")</f>
        <v>#REF!</v>
      </c>
      <c r="DK55" t="e">
        <f>AND(#REF!,"AAAAAD//n3I=")</f>
        <v>#REF!</v>
      </c>
      <c r="DL55" t="e">
        <f>AND(#REF!,"AAAAAD//n3M=")</f>
        <v>#REF!</v>
      </c>
      <c r="DM55" t="e">
        <f>AND(#REF!,"AAAAAD//n3Q=")</f>
        <v>#REF!</v>
      </c>
      <c r="DN55" t="e">
        <f>IF(#REF!,"AAAAAD//n3U=",0)</f>
        <v>#REF!</v>
      </c>
      <c r="DO55" t="e">
        <f>AND(#REF!,"AAAAAD//n3Y=")</f>
        <v>#REF!</v>
      </c>
      <c r="DP55" t="e">
        <f>AND(#REF!,"AAAAAD//n3c=")</f>
        <v>#REF!</v>
      </c>
      <c r="DQ55" t="e">
        <f>AND(#REF!,"AAAAAD//n3g=")</f>
        <v>#REF!</v>
      </c>
      <c r="DR55" t="e">
        <f>AND(#REF!,"AAAAAD//n3k=")</f>
        <v>#REF!</v>
      </c>
      <c r="DS55" t="e">
        <f>AND(#REF!,"AAAAAD//n3o=")</f>
        <v>#REF!</v>
      </c>
      <c r="DT55" t="e">
        <f>AND(#REF!,"AAAAAD//n3s=")</f>
        <v>#REF!</v>
      </c>
      <c r="DU55" t="e">
        <f>AND(#REF!,"AAAAAD//n3w=")</f>
        <v>#REF!</v>
      </c>
      <c r="DV55" t="e">
        <f>AND(#REF!,"AAAAAD//n30=")</f>
        <v>#REF!</v>
      </c>
      <c r="DW55" t="e">
        <f>IF(#REF!,"AAAAAD//n34=",0)</f>
        <v>#REF!</v>
      </c>
      <c r="DX55" t="e">
        <f>AND(#REF!,"AAAAAD//n38=")</f>
        <v>#REF!</v>
      </c>
      <c r="DY55" t="e">
        <f>AND(#REF!,"AAAAAD//n4A=")</f>
        <v>#REF!</v>
      </c>
      <c r="DZ55" t="e">
        <f>AND(#REF!,"AAAAAD//n4E=")</f>
        <v>#REF!</v>
      </c>
      <c r="EA55" t="e">
        <f>AND(#REF!,"AAAAAD//n4I=")</f>
        <v>#REF!</v>
      </c>
      <c r="EB55" t="e">
        <f>AND(#REF!,"AAAAAD//n4M=")</f>
        <v>#REF!</v>
      </c>
      <c r="EC55" t="e">
        <f>AND(#REF!,"AAAAAD//n4Q=")</f>
        <v>#REF!</v>
      </c>
      <c r="ED55" t="e">
        <f>AND(#REF!,"AAAAAD//n4U=")</f>
        <v>#REF!</v>
      </c>
      <c r="EE55" t="e">
        <f>AND(#REF!,"AAAAAD//n4Y=")</f>
        <v>#REF!</v>
      </c>
      <c r="EF55" t="e">
        <f>IF(#REF!,"AAAAAD//n4c=",0)</f>
        <v>#REF!</v>
      </c>
      <c r="EG55" t="e">
        <f>AND(#REF!,"AAAAAD//n4g=")</f>
        <v>#REF!</v>
      </c>
      <c r="EH55" t="e">
        <f>AND(#REF!,"AAAAAD//n4k=")</f>
        <v>#REF!</v>
      </c>
      <c r="EI55" t="e">
        <f>AND(#REF!,"AAAAAD//n4o=")</f>
        <v>#REF!</v>
      </c>
      <c r="EJ55" t="e">
        <f>AND(#REF!,"AAAAAD//n4s=")</f>
        <v>#REF!</v>
      </c>
      <c r="EK55" t="e">
        <f>AND(#REF!,"AAAAAD//n4w=")</f>
        <v>#REF!</v>
      </c>
      <c r="EL55" t="e">
        <f>AND(#REF!,"AAAAAD//n40=")</f>
        <v>#REF!</v>
      </c>
      <c r="EM55" t="e">
        <f>AND(#REF!,"AAAAAD//n44=")</f>
        <v>#REF!</v>
      </c>
      <c r="EN55" t="e">
        <f>AND(#REF!,"AAAAAD//n48=")</f>
        <v>#REF!</v>
      </c>
      <c r="EO55" t="e">
        <f>IF(#REF!,"AAAAAD//n5A=",0)</f>
        <v>#REF!</v>
      </c>
      <c r="EP55" t="e">
        <f>AND(#REF!,"AAAAAD//n5E=")</f>
        <v>#REF!</v>
      </c>
      <c r="EQ55" t="e">
        <f>AND(#REF!,"AAAAAD//n5I=")</f>
        <v>#REF!</v>
      </c>
      <c r="ER55" t="e">
        <f>AND(#REF!,"AAAAAD//n5M=")</f>
        <v>#REF!</v>
      </c>
      <c r="ES55" t="e">
        <f>AND(#REF!,"AAAAAD//n5Q=")</f>
        <v>#REF!</v>
      </c>
      <c r="ET55" t="e">
        <f>AND(#REF!,"AAAAAD//n5U=")</f>
        <v>#REF!</v>
      </c>
      <c r="EU55" t="e">
        <f>AND(#REF!,"AAAAAD//n5Y=")</f>
        <v>#REF!</v>
      </c>
      <c r="EV55" t="e">
        <f>AND(#REF!,"AAAAAD//n5c=")</f>
        <v>#REF!</v>
      </c>
      <c r="EW55" t="e">
        <f>AND(#REF!,"AAAAAD//n5g=")</f>
        <v>#REF!</v>
      </c>
      <c r="EX55" t="e">
        <f>IF(#REF!,"AAAAAD//n5k=",0)</f>
        <v>#REF!</v>
      </c>
      <c r="EY55" t="e">
        <f>AND(#REF!,"AAAAAD//n5o=")</f>
        <v>#REF!</v>
      </c>
      <c r="EZ55" t="e">
        <f>AND(#REF!,"AAAAAD//n5s=")</f>
        <v>#REF!</v>
      </c>
      <c r="FA55" t="e">
        <f>AND(#REF!,"AAAAAD//n5w=")</f>
        <v>#REF!</v>
      </c>
      <c r="FB55" t="e">
        <f>AND(#REF!,"AAAAAD//n50=")</f>
        <v>#REF!</v>
      </c>
      <c r="FC55" t="e">
        <f>AND(#REF!,"AAAAAD//n54=")</f>
        <v>#REF!</v>
      </c>
      <c r="FD55" t="e">
        <f>AND(#REF!,"AAAAAD//n58=")</f>
        <v>#REF!</v>
      </c>
      <c r="FE55" t="e">
        <f>AND(#REF!,"AAAAAD//n6A=")</f>
        <v>#REF!</v>
      </c>
      <c r="FF55" t="e">
        <f>AND(#REF!,"AAAAAD//n6E=")</f>
        <v>#REF!</v>
      </c>
      <c r="FG55" t="e">
        <f>IF(#REF!,"AAAAAD//n6I=",0)</f>
        <v>#REF!</v>
      </c>
      <c r="FH55" t="e">
        <f>AND(#REF!,"AAAAAD//n6M=")</f>
        <v>#REF!</v>
      </c>
      <c r="FI55" t="e">
        <f>AND(#REF!,"AAAAAD//n6Q=")</f>
        <v>#REF!</v>
      </c>
      <c r="FJ55" t="e">
        <f>AND(#REF!,"AAAAAD//n6U=")</f>
        <v>#REF!</v>
      </c>
      <c r="FK55" t="e">
        <f>AND(#REF!,"AAAAAD//n6Y=")</f>
        <v>#REF!</v>
      </c>
      <c r="FL55" t="e">
        <f>AND(#REF!,"AAAAAD//n6c=")</f>
        <v>#REF!</v>
      </c>
      <c r="FM55" t="e">
        <f>AND(#REF!,"AAAAAD//n6g=")</f>
        <v>#REF!</v>
      </c>
      <c r="FN55" t="e">
        <f>AND(#REF!,"AAAAAD//n6k=")</f>
        <v>#REF!</v>
      </c>
      <c r="FO55" t="e">
        <f>AND(#REF!,"AAAAAD//n6o=")</f>
        <v>#REF!</v>
      </c>
      <c r="FP55" t="e">
        <f>IF(#REF!,"AAAAAD//n6s=",0)</f>
        <v>#REF!</v>
      </c>
      <c r="FQ55" t="e">
        <f>AND(#REF!,"AAAAAD//n6w=")</f>
        <v>#REF!</v>
      </c>
      <c r="FR55" t="e">
        <f>AND(#REF!,"AAAAAD//n60=")</f>
        <v>#REF!</v>
      </c>
      <c r="FS55" t="e">
        <f>AND(#REF!,"AAAAAD//n64=")</f>
        <v>#REF!</v>
      </c>
      <c r="FT55" t="e">
        <f>AND(#REF!,"AAAAAD//n68=")</f>
        <v>#REF!</v>
      </c>
      <c r="FU55" t="e">
        <f>AND(#REF!,"AAAAAD//n7A=")</f>
        <v>#REF!</v>
      </c>
      <c r="FV55" t="e">
        <f>AND(#REF!,"AAAAAD//n7E=")</f>
        <v>#REF!</v>
      </c>
      <c r="FW55" t="e">
        <f>AND(#REF!,"AAAAAD//n7I=")</f>
        <v>#REF!</v>
      </c>
      <c r="FX55" t="e">
        <f>AND(#REF!,"AAAAAD//n7M=")</f>
        <v>#REF!</v>
      </c>
      <c r="FY55" t="e">
        <f>IF(#REF!,"AAAAAD//n7Q=",0)</f>
        <v>#REF!</v>
      </c>
      <c r="FZ55" t="e">
        <f>AND(#REF!,"AAAAAD//n7U=")</f>
        <v>#REF!</v>
      </c>
      <c r="GA55" t="e">
        <f>AND(#REF!,"AAAAAD//n7Y=")</f>
        <v>#REF!</v>
      </c>
      <c r="GB55" t="e">
        <f>AND(#REF!,"AAAAAD//n7c=")</f>
        <v>#REF!</v>
      </c>
      <c r="GC55" t="e">
        <f>AND(#REF!,"AAAAAD//n7g=")</f>
        <v>#REF!</v>
      </c>
      <c r="GD55" t="e">
        <f>AND(#REF!,"AAAAAD//n7k=")</f>
        <v>#REF!</v>
      </c>
      <c r="GE55" t="e">
        <f>AND(#REF!,"AAAAAD//n7o=")</f>
        <v>#REF!</v>
      </c>
      <c r="GF55" t="e">
        <f>AND(#REF!,"AAAAAD//n7s=")</f>
        <v>#REF!</v>
      </c>
      <c r="GG55" t="e">
        <f>AND(#REF!,"AAAAAD//n7w=")</f>
        <v>#REF!</v>
      </c>
      <c r="GH55" t="e">
        <f>IF(#REF!,"AAAAAD//n70=",0)</f>
        <v>#REF!</v>
      </c>
      <c r="GI55" t="e">
        <f>AND(#REF!,"AAAAAD//n74=")</f>
        <v>#REF!</v>
      </c>
      <c r="GJ55" t="e">
        <f>AND(#REF!,"AAAAAD//n78=")</f>
        <v>#REF!</v>
      </c>
      <c r="GK55" t="e">
        <f>AND(#REF!,"AAAAAD//n8A=")</f>
        <v>#REF!</v>
      </c>
      <c r="GL55" t="e">
        <f>AND(#REF!,"AAAAAD//n8E=")</f>
        <v>#REF!</v>
      </c>
      <c r="GM55" t="e">
        <f>AND(#REF!,"AAAAAD//n8I=")</f>
        <v>#REF!</v>
      </c>
      <c r="GN55" t="e">
        <f>AND(#REF!,"AAAAAD//n8M=")</f>
        <v>#REF!</v>
      </c>
      <c r="GO55" t="e">
        <f>AND(#REF!,"AAAAAD//n8Q=")</f>
        <v>#REF!</v>
      </c>
      <c r="GP55" t="e">
        <f>AND(#REF!,"AAAAAD//n8U=")</f>
        <v>#REF!</v>
      </c>
      <c r="GQ55" t="e">
        <f>IF(#REF!,"AAAAAD//n8Y=",0)</f>
        <v>#REF!</v>
      </c>
      <c r="GR55" t="e">
        <f>AND(#REF!,"AAAAAD//n8c=")</f>
        <v>#REF!</v>
      </c>
      <c r="GS55" t="e">
        <f>AND(#REF!,"AAAAAD//n8g=")</f>
        <v>#REF!</v>
      </c>
      <c r="GT55" t="e">
        <f>AND(#REF!,"AAAAAD//n8k=")</f>
        <v>#REF!</v>
      </c>
      <c r="GU55" t="e">
        <f>AND(#REF!,"AAAAAD//n8o=")</f>
        <v>#REF!</v>
      </c>
      <c r="GV55" t="e">
        <f>AND(#REF!,"AAAAAD//n8s=")</f>
        <v>#REF!</v>
      </c>
      <c r="GW55" t="e">
        <f>AND(#REF!,"AAAAAD//n8w=")</f>
        <v>#REF!</v>
      </c>
      <c r="GX55" t="e">
        <f>AND(#REF!,"AAAAAD//n80=")</f>
        <v>#REF!</v>
      </c>
      <c r="GY55" t="e">
        <f>AND(#REF!,"AAAAAD//n84=")</f>
        <v>#REF!</v>
      </c>
      <c r="GZ55" t="e">
        <f>IF(#REF!,"AAAAAD//n88=",0)</f>
        <v>#REF!</v>
      </c>
      <c r="HA55" t="e">
        <f>AND(#REF!,"AAAAAD//n9A=")</f>
        <v>#REF!</v>
      </c>
      <c r="HB55" t="e">
        <f>AND(#REF!,"AAAAAD//n9E=")</f>
        <v>#REF!</v>
      </c>
      <c r="HC55" t="e">
        <f>AND(#REF!,"AAAAAD//n9I=")</f>
        <v>#REF!</v>
      </c>
      <c r="HD55" t="e">
        <f>AND(#REF!,"AAAAAD//n9M=")</f>
        <v>#REF!</v>
      </c>
      <c r="HE55" t="e">
        <f>AND(#REF!,"AAAAAD//n9Q=")</f>
        <v>#REF!</v>
      </c>
      <c r="HF55" t="e">
        <f>AND(#REF!,"AAAAAD//n9U=")</f>
        <v>#REF!</v>
      </c>
      <c r="HG55" t="e">
        <f>AND(#REF!,"AAAAAD//n9Y=")</f>
        <v>#REF!</v>
      </c>
      <c r="HH55" t="e">
        <f>AND(#REF!,"AAAAAD//n9c=")</f>
        <v>#REF!</v>
      </c>
      <c r="HI55" t="e">
        <f>IF(#REF!,"AAAAAD//n9g=",0)</f>
        <v>#REF!</v>
      </c>
      <c r="HJ55" t="e">
        <f>AND(#REF!,"AAAAAD//n9k=")</f>
        <v>#REF!</v>
      </c>
      <c r="HK55" t="e">
        <f>AND(#REF!,"AAAAAD//n9o=")</f>
        <v>#REF!</v>
      </c>
      <c r="HL55" t="e">
        <f>AND(#REF!,"AAAAAD//n9s=")</f>
        <v>#REF!</v>
      </c>
      <c r="HM55" t="e">
        <f>AND(#REF!,"AAAAAD//n9w=")</f>
        <v>#REF!</v>
      </c>
      <c r="HN55" t="e">
        <f>AND(#REF!,"AAAAAD//n90=")</f>
        <v>#REF!</v>
      </c>
      <c r="HO55" t="e">
        <f>AND(#REF!,"AAAAAD//n94=")</f>
        <v>#REF!</v>
      </c>
      <c r="HP55" t="e">
        <f>AND(#REF!,"AAAAAD//n98=")</f>
        <v>#REF!</v>
      </c>
      <c r="HQ55" t="e">
        <f>AND(#REF!,"AAAAAD//n+A=")</f>
        <v>#REF!</v>
      </c>
      <c r="HR55" t="e">
        <f>IF(#REF!,"AAAAAD//n+E=",0)</f>
        <v>#REF!</v>
      </c>
      <c r="HS55" t="e">
        <f>AND(#REF!,"AAAAAD//n+I=")</f>
        <v>#REF!</v>
      </c>
      <c r="HT55" t="e">
        <f>AND(#REF!,"AAAAAD//n+M=")</f>
        <v>#REF!</v>
      </c>
      <c r="HU55" t="e">
        <f>AND(#REF!,"AAAAAD//n+Q=")</f>
        <v>#REF!</v>
      </c>
      <c r="HV55" t="e">
        <f>AND(#REF!,"AAAAAD//n+U=")</f>
        <v>#REF!</v>
      </c>
      <c r="HW55" t="e">
        <f>AND(#REF!,"AAAAAD//n+Y=")</f>
        <v>#REF!</v>
      </c>
      <c r="HX55" t="e">
        <f>AND(#REF!,"AAAAAD//n+c=")</f>
        <v>#REF!</v>
      </c>
      <c r="HY55" t="e">
        <f>AND(#REF!,"AAAAAD//n+g=")</f>
        <v>#REF!</v>
      </c>
      <c r="HZ55" t="e">
        <f>AND(#REF!,"AAAAAD//n+k=")</f>
        <v>#REF!</v>
      </c>
      <c r="IA55" t="e">
        <f>IF(#REF!,"AAAAAD//n+o=",0)</f>
        <v>#REF!</v>
      </c>
      <c r="IB55" t="e">
        <f>AND(#REF!,"AAAAAD//n+s=")</f>
        <v>#REF!</v>
      </c>
      <c r="IC55" t="e">
        <f>AND(#REF!,"AAAAAD//n+w=")</f>
        <v>#REF!</v>
      </c>
      <c r="ID55" t="e">
        <f>AND(#REF!,"AAAAAD//n+0=")</f>
        <v>#REF!</v>
      </c>
      <c r="IE55" t="e">
        <f>AND(#REF!,"AAAAAD//n+4=")</f>
        <v>#REF!</v>
      </c>
      <c r="IF55" t="e">
        <f>AND(#REF!,"AAAAAD//n+8=")</f>
        <v>#REF!</v>
      </c>
      <c r="IG55" t="e">
        <f>AND(#REF!,"AAAAAD//n/A=")</f>
        <v>#REF!</v>
      </c>
      <c r="IH55" t="e">
        <f>AND(#REF!,"AAAAAD//n/E=")</f>
        <v>#REF!</v>
      </c>
      <c r="II55" t="e">
        <f>AND(#REF!,"AAAAAD//n/I=")</f>
        <v>#REF!</v>
      </c>
      <c r="IJ55" t="e">
        <f>IF(#REF!,"AAAAAD//n/M=",0)</f>
        <v>#REF!</v>
      </c>
      <c r="IK55" t="e">
        <f>AND(#REF!,"AAAAAD//n/Q=")</f>
        <v>#REF!</v>
      </c>
      <c r="IL55" t="e">
        <f>AND(#REF!,"AAAAAD//n/U=")</f>
        <v>#REF!</v>
      </c>
      <c r="IM55" t="e">
        <f>AND(#REF!,"AAAAAD//n/Y=")</f>
        <v>#REF!</v>
      </c>
      <c r="IN55" t="e">
        <f>AND(#REF!,"AAAAAD//n/c=")</f>
        <v>#REF!</v>
      </c>
      <c r="IO55" t="e">
        <f>AND(#REF!,"AAAAAD//n/g=")</f>
        <v>#REF!</v>
      </c>
      <c r="IP55" t="e">
        <f>AND(#REF!,"AAAAAD//n/k=")</f>
        <v>#REF!</v>
      </c>
      <c r="IQ55" t="e">
        <f>AND(#REF!,"AAAAAD//n/o=")</f>
        <v>#REF!</v>
      </c>
      <c r="IR55" t="e">
        <f>AND(#REF!,"AAAAAD//n/s=")</f>
        <v>#REF!</v>
      </c>
      <c r="IS55" t="e">
        <f>IF(#REF!,"AAAAAD//n/w=",0)</f>
        <v>#REF!</v>
      </c>
      <c r="IT55" t="e">
        <f>AND(#REF!,"AAAAAD//n/0=")</f>
        <v>#REF!</v>
      </c>
      <c r="IU55" t="e">
        <f>AND(#REF!,"AAAAAD//n/4=")</f>
        <v>#REF!</v>
      </c>
      <c r="IV55" t="e">
        <f>AND(#REF!,"AAAAAD//n/8=")</f>
        <v>#REF!</v>
      </c>
    </row>
    <row r="56" spans="1:256">
      <c r="A56" t="e">
        <f>AND(#REF!,"AAAAAH/u2QA=")</f>
        <v>#REF!</v>
      </c>
      <c r="B56" t="e">
        <f>AND(#REF!,"AAAAAH/u2QE=")</f>
        <v>#REF!</v>
      </c>
      <c r="C56" t="e">
        <f>AND(#REF!,"AAAAAH/u2QI=")</f>
        <v>#REF!</v>
      </c>
      <c r="D56" t="e">
        <f>AND(#REF!,"AAAAAH/u2QM=")</f>
        <v>#REF!</v>
      </c>
      <c r="E56" t="e">
        <f>AND(#REF!,"AAAAAH/u2QQ=")</f>
        <v>#REF!</v>
      </c>
      <c r="F56" t="e">
        <f>IF(#REF!,"AAAAAH/u2QU=",0)</f>
        <v>#REF!</v>
      </c>
      <c r="G56" t="e">
        <f>AND(#REF!,"AAAAAH/u2QY=")</f>
        <v>#REF!</v>
      </c>
      <c r="H56" t="e">
        <f>AND(#REF!,"AAAAAH/u2Qc=")</f>
        <v>#REF!</v>
      </c>
      <c r="I56" t="e">
        <f>AND(#REF!,"AAAAAH/u2Qg=")</f>
        <v>#REF!</v>
      </c>
      <c r="J56" t="e">
        <f>AND(#REF!,"AAAAAH/u2Qk=")</f>
        <v>#REF!</v>
      </c>
      <c r="K56" t="e">
        <f>AND(#REF!,"AAAAAH/u2Qo=")</f>
        <v>#REF!</v>
      </c>
      <c r="L56" t="e">
        <f>AND(#REF!,"AAAAAH/u2Qs=")</f>
        <v>#REF!</v>
      </c>
      <c r="M56" t="e">
        <f>AND(#REF!,"AAAAAH/u2Qw=")</f>
        <v>#REF!</v>
      </c>
      <c r="N56" t="e">
        <f>AND(#REF!,"AAAAAH/u2Q0=")</f>
        <v>#REF!</v>
      </c>
      <c r="O56" t="e">
        <f>IF(#REF!,"AAAAAH/u2Q4=",0)</f>
        <v>#REF!</v>
      </c>
      <c r="P56" t="e">
        <f>AND(#REF!,"AAAAAH/u2Q8=")</f>
        <v>#REF!</v>
      </c>
      <c r="Q56" t="e">
        <f>AND(#REF!,"AAAAAH/u2RA=")</f>
        <v>#REF!</v>
      </c>
      <c r="R56" t="e">
        <f>AND(#REF!,"AAAAAH/u2RE=")</f>
        <v>#REF!</v>
      </c>
      <c r="S56" t="e">
        <f>AND(#REF!,"AAAAAH/u2RI=")</f>
        <v>#REF!</v>
      </c>
      <c r="T56" t="e">
        <f>AND(#REF!,"AAAAAH/u2RM=")</f>
        <v>#REF!</v>
      </c>
      <c r="U56" t="e">
        <f>AND(#REF!,"AAAAAH/u2RQ=")</f>
        <v>#REF!</v>
      </c>
      <c r="V56" t="e">
        <f>AND(#REF!,"AAAAAH/u2RU=")</f>
        <v>#REF!</v>
      </c>
      <c r="W56" t="e">
        <f>AND(#REF!,"AAAAAH/u2RY=")</f>
        <v>#REF!</v>
      </c>
      <c r="X56" t="e">
        <f>IF(#REF!,"AAAAAH/u2Rc=",0)</f>
        <v>#REF!</v>
      </c>
      <c r="Y56" t="e">
        <f>AND(#REF!,"AAAAAH/u2Rg=")</f>
        <v>#REF!</v>
      </c>
      <c r="Z56" t="e">
        <f>AND(#REF!,"AAAAAH/u2Rk=")</f>
        <v>#REF!</v>
      </c>
      <c r="AA56" t="e">
        <f>AND(#REF!,"AAAAAH/u2Ro=")</f>
        <v>#REF!</v>
      </c>
      <c r="AB56" t="e">
        <f>AND(#REF!,"AAAAAH/u2Rs=")</f>
        <v>#REF!</v>
      </c>
      <c r="AC56" t="e">
        <f>AND(#REF!,"AAAAAH/u2Rw=")</f>
        <v>#REF!</v>
      </c>
      <c r="AD56" t="e">
        <f>AND(#REF!,"AAAAAH/u2R0=")</f>
        <v>#REF!</v>
      </c>
      <c r="AE56" t="e">
        <f>AND(#REF!,"AAAAAH/u2R4=")</f>
        <v>#REF!</v>
      </c>
      <c r="AF56" t="e">
        <f>AND(#REF!,"AAAAAH/u2R8=")</f>
        <v>#REF!</v>
      </c>
      <c r="AG56" t="e">
        <f>IF(#REF!,"AAAAAH/u2SA=",0)</f>
        <v>#REF!</v>
      </c>
      <c r="AH56" t="e">
        <f>AND(#REF!,"AAAAAH/u2SE=")</f>
        <v>#REF!</v>
      </c>
      <c r="AI56" t="e">
        <f>AND(#REF!,"AAAAAH/u2SI=")</f>
        <v>#REF!</v>
      </c>
      <c r="AJ56" t="e">
        <f>AND(#REF!,"AAAAAH/u2SM=")</f>
        <v>#REF!</v>
      </c>
      <c r="AK56" t="e">
        <f>AND(#REF!,"AAAAAH/u2SQ=")</f>
        <v>#REF!</v>
      </c>
      <c r="AL56" t="e">
        <f>AND(#REF!,"AAAAAH/u2SU=")</f>
        <v>#REF!</v>
      </c>
      <c r="AM56" t="e">
        <f>AND(#REF!,"AAAAAH/u2SY=")</f>
        <v>#REF!</v>
      </c>
      <c r="AN56" t="e">
        <f>AND(#REF!,"AAAAAH/u2Sc=")</f>
        <v>#REF!</v>
      </c>
      <c r="AO56" t="e">
        <f>AND(#REF!,"AAAAAH/u2Sg=")</f>
        <v>#REF!</v>
      </c>
      <c r="AP56" t="e">
        <f>IF(#REF!,"AAAAAH/u2Sk=",0)</f>
        <v>#REF!</v>
      </c>
      <c r="AQ56" t="e">
        <f>AND(#REF!,"AAAAAH/u2So=")</f>
        <v>#REF!</v>
      </c>
      <c r="AR56" t="e">
        <f>AND(#REF!,"AAAAAH/u2Ss=")</f>
        <v>#REF!</v>
      </c>
      <c r="AS56" t="e">
        <f>AND(#REF!,"AAAAAH/u2Sw=")</f>
        <v>#REF!</v>
      </c>
      <c r="AT56" t="e">
        <f>AND(#REF!,"AAAAAH/u2S0=")</f>
        <v>#REF!</v>
      </c>
      <c r="AU56" t="e">
        <f>AND(#REF!,"AAAAAH/u2S4=")</f>
        <v>#REF!</v>
      </c>
      <c r="AV56" t="e">
        <f>AND(#REF!,"AAAAAH/u2S8=")</f>
        <v>#REF!</v>
      </c>
      <c r="AW56" t="e">
        <f>AND(#REF!,"AAAAAH/u2TA=")</f>
        <v>#REF!</v>
      </c>
      <c r="AX56" t="e">
        <f>AND(#REF!,"AAAAAH/u2TE=")</f>
        <v>#REF!</v>
      </c>
      <c r="AY56" t="e">
        <f>IF(#REF!,"AAAAAH/u2TI=",0)</f>
        <v>#REF!</v>
      </c>
      <c r="AZ56" t="e">
        <f>AND(#REF!,"AAAAAH/u2TM=")</f>
        <v>#REF!</v>
      </c>
      <c r="BA56" t="e">
        <f>AND(#REF!,"AAAAAH/u2TQ=")</f>
        <v>#REF!</v>
      </c>
      <c r="BB56" t="e">
        <f>AND(#REF!,"AAAAAH/u2TU=")</f>
        <v>#REF!</v>
      </c>
      <c r="BC56" t="e">
        <f>AND(#REF!,"AAAAAH/u2TY=")</f>
        <v>#REF!</v>
      </c>
      <c r="BD56" t="e">
        <f>AND(#REF!,"AAAAAH/u2Tc=")</f>
        <v>#REF!</v>
      </c>
      <c r="BE56" t="e">
        <f>AND(#REF!,"AAAAAH/u2Tg=")</f>
        <v>#REF!</v>
      </c>
      <c r="BF56" t="e">
        <f>AND(#REF!,"AAAAAH/u2Tk=")</f>
        <v>#REF!</v>
      </c>
      <c r="BG56" t="e">
        <f>AND(#REF!,"AAAAAH/u2To=")</f>
        <v>#REF!</v>
      </c>
      <c r="BH56" t="e">
        <f>IF(#REF!,"AAAAAH/u2Ts=",0)</f>
        <v>#REF!</v>
      </c>
      <c r="BI56" t="e">
        <f>AND(#REF!,"AAAAAH/u2Tw=")</f>
        <v>#REF!</v>
      </c>
      <c r="BJ56" t="e">
        <f>AND(#REF!,"AAAAAH/u2T0=")</f>
        <v>#REF!</v>
      </c>
      <c r="BK56" t="e">
        <f>AND(#REF!,"AAAAAH/u2T4=")</f>
        <v>#REF!</v>
      </c>
      <c r="BL56" t="e">
        <f>AND(#REF!,"AAAAAH/u2T8=")</f>
        <v>#REF!</v>
      </c>
      <c r="BM56" t="e">
        <f>AND(#REF!,"AAAAAH/u2UA=")</f>
        <v>#REF!</v>
      </c>
      <c r="BN56" t="e">
        <f>AND(#REF!,"AAAAAH/u2UE=")</f>
        <v>#REF!</v>
      </c>
      <c r="BO56" t="e">
        <f>AND(#REF!,"AAAAAH/u2UI=")</f>
        <v>#REF!</v>
      </c>
      <c r="BP56" t="e">
        <f>AND(#REF!,"AAAAAH/u2UM=")</f>
        <v>#REF!</v>
      </c>
      <c r="BQ56" t="e">
        <f>IF(#REF!,"AAAAAH/u2UQ=",0)</f>
        <v>#REF!</v>
      </c>
      <c r="BR56" t="e">
        <f>AND(#REF!,"AAAAAH/u2UU=")</f>
        <v>#REF!</v>
      </c>
      <c r="BS56" t="e">
        <f>AND(#REF!,"AAAAAH/u2UY=")</f>
        <v>#REF!</v>
      </c>
      <c r="BT56" t="e">
        <f>AND(#REF!,"AAAAAH/u2Uc=")</f>
        <v>#REF!</v>
      </c>
      <c r="BU56" t="e">
        <f>AND(#REF!,"AAAAAH/u2Ug=")</f>
        <v>#REF!</v>
      </c>
      <c r="BV56" t="e">
        <f>AND(#REF!,"AAAAAH/u2Uk=")</f>
        <v>#REF!</v>
      </c>
      <c r="BW56" t="e">
        <f>AND(#REF!,"AAAAAH/u2Uo=")</f>
        <v>#REF!</v>
      </c>
      <c r="BX56" t="e">
        <f>AND(#REF!,"AAAAAH/u2Us=")</f>
        <v>#REF!</v>
      </c>
      <c r="BY56" t="e">
        <f>AND(#REF!,"AAAAAH/u2Uw=")</f>
        <v>#REF!</v>
      </c>
      <c r="BZ56" t="e">
        <f>IF(#REF!,"AAAAAH/u2U0=",0)</f>
        <v>#REF!</v>
      </c>
      <c r="CA56" t="e">
        <f>AND(#REF!,"AAAAAH/u2U4=")</f>
        <v>#REF!</v>
      </c>
      <c r="CB56" t="e">
        <f>AND(#REF!,"AAAAAH/u2U8=")</f>
        <v>#REF!</v>
      </c>
      <c r="CC56" t="e">
        <f>AND(#REF!,"AAAAAH/u2VA=")</f>
        <v>#REF!</v>
      </c>
      <c r="CD56" t="e">
        <f>AND(#REF!,"AAAAAH/u2VE=")</f>
        <v>#REF!</v>
      </c>
      <c r="CE56" t="e">
        <f>AND(#REF!,"AAAAAH/u2VI=")</f>
        <v>#REF!</v>
      </c>
      <c r="CF56" t="e">
        <f>AND(#REF!,"AAAAAH/u2VM=")</f>
        <v>#REF!</v>
      </c>
      <c r="CG56" t="e">
        <f>AND(#REF!,"AAAAAH/u2VQ=")</f>
        <v>#REF!</v>
      </c>
      <c r="CH56" t="e">
        <f>AND(#REF!,"AAAAAH/u2VU=")</f>
        <v>#REF!</v>
      </c>
      <c r="CI56" t="e">
        <f>IF(#REF!,"AAAAAH/u2VY=",0)</f>
        <v>#REF!</v>
      </c>
      <c r="CJ56" t="e">
        <f>AND(#REF!,"AAAAAH/u2Vc=")</f>
        <v>#REF!</v>
      </c>
      <c r="CK56" t="e">
        <f>AND(#REF!,"AAAAAH/u2Vg=")</f>
        <v>#REF!</v>
      </c>
      <c r="CL56" t="e">
        <f>AND(#REF!,"AAAAAH/u2Vk=")</f>
        <v>#REF!</v>
      </c>
      <c r="CM56" t="e">
        <f>AND(#REF!,"AAAAAH/u2Vo=")</f>
        <v>#REF!</v>
      </c>
      <c r="CN56" t="e">
        <f>AND(#REF!,"AAAAAH/u2Vs=")</f>
        <v>#REF!</v>
      </c>
      <c r="CO56" t="e">
        <f>AND(#REF!,"AAAAAH/u2Vw=")</f>
        <v>#REF!</v>
      </c>
      <c r="CP56" t="e">
        <f>AND(#REF!,"AAAAAH/u2V0=")</f>
        <v>#REF!</v>
      </c>
      <c r="CQ56" t="e">
        <f>AND(#REF!,"AAAAAH/u2V4=")</f>
        <v>#REF!</v>
      </c>
      <c r="CR56" t="e">
        <f>IF(#REF!,"AAAAAH/u2V8=",0)</f>
        <v>#REF!</v>
      </c>
      <c r="CS56" t="e">
        <f>AND(#REF!,"AAAAAH/u2WA=")</f>
        <v>#REF!</v>
      </c>
      <c r="CT56" t="e">
        <f>AND(#REF!,"AAAAAH/u2WE=")</f>
        <v>#REF!</v>
      </c>
      <c r="CU56" t="e">
        <f>AND(#REF!,"AAAAAH/u2WI=")</f>
        <v>#REF!</v>
      </c>
      <c r="CV56" t="e">
        <f>AND(#REF!,"AAAAAH/u2WM=")</f>
        <v>#REF!</v>
      </c>
      <c r="CW56" t="e">
        <f>AND(#REF!,"AAAAAH/u2WQ=")</f>
        <v>#REF!</v>
      </c>
      <c r="CX56" t="e">
        <f>AND(#REF!,"AAAAAH/u2WU=")</f>
        <v>#REF!</v>
      </c>
      <c r="CY56" t="e">
        <f>AND(#REF!,"AAAAAH/u2WY=")</f>
        <v>#REF!</v>
      </c>
      <c r="CZ56" t="e">
        <f>AND(#REF!,"AAAAAH/u2Wc=")</f>
        <v>#REF!</v>
      </c>
      <c r="DA56" t="e">
        <f>IF(#REF!,"AAAAAH/u2Wg=",0)</f>
        <v>#REF!</v>
      </c>
      <c r="DB56" t="e">
        <f>AND(#REF!,"AAAAAH/u2Wk=")</f>
        <v>#REF!</v>
      </c>
      <c r="DC56" t="e">
        <f>AND(#REF!,"AAAAAH/u2Wo=")</f>
        <v>#REF!</v>
      </c>
      <c r="DD56" t="e">
        <f>AND(#REF!,"AAAAAH/u2Ws=")</f>
        <v>#REF!</v>
      </c>
      <c r="DE56" t="e">
        <f>AND(#REF!,"AAAAAH/u2Ww=")</f>
        <v>#REF!</v>
      </c>
      <c r="DF56" t="e">
        <f>AND(#REF!,"AAAAAH/u2W0=")</f>
        <v>#REF!</v>
      </c>
      <c r="DG56" t="e">
        <f>AND(#REF!,"AAAAAH/u2W4=")</f>
        <v>#REF!</v>
      </c>
      <c r="DH56" t="e">
        <f>AND(#REF!,"AAAAAH/u2W8=")</f>
        <v>#REF!</v>
      </c>
      <c r="DI56" t="e">
        <f>AND(#REF!,"AAAAAH/u2XA=")</f>
        <v>#REF!</v>
      </c>
      <c r="DJ56" t="e">
        <f>IF(#REF!,"AAAAAH/u2XE=",0)</f>
        <v>#REF!</v>
      </c>
      <c r="DK56" t="e">
        <f>AND(#REF!,"AAAAAH/u2XI=")</f>
        <v>#REF!</v>
      </c>
      <c r="DL56" t="e">
        <f>AND(#REF!,"AAAAAH/u2XM=")</f>
        <v>#REF!</v>
      </c>
      <c r="DM56" t="e">
        <f>AND(#REF!,"AAAAAH/u2XQ=")</f>
        <v>#REF!</v>
      </c>
      <c r="DN56" t="e">
        <f>AND(#REF!,"AAAAAH/u2XU=")</f>
        <v>#REF!</v>
      </c>
      <c r="DO56" t="e">
        <f>AND(#REF!,"AAAAAH/u2XY=")</f>
        <v>#REF!</v>
      </c>
      <c r="DP56" t="e">
        <f>AND(#REF!,"AAAAAH/u2Xc=")</f>
        <v>#REF!</v>
      </c>
      <c r="DQ56" t="e">
        <f>AND(#REF!,"AAAAAH/u2Xg=")</f>
        <v>#REF!</v>
      </c>
      <c r="DR56" t="e">
        <f>AND(#REF!,"AAAAAH/u2Xk=")</f>
        <v>#REF!</v>
      </c>
      <c r="DS56" t="e">
        <f>IF(#REF!,"AAAAAH/u2Xo=",0)</f>
        <v>#REF!</v>
      </c>
      <c r="DT56" t="e">
        <f>AND(#REF!,"AAAAAH/u2Xs=")</f>
        <v>#REF!</v>
      </c>
      <c r="DU56" t="e">
        <f>AND(#REF!,"AAAAAH/u2Xw=")</f>
        <v>#REF!</v>
      </c>
      <c r="DV56" t="e">
        <f>AND(#REF!,"AAAAAH/u2X0=")</f>
        <v>#REF!</v>
      </c>
      <c r="DW56" t="e">
        <f>AND(#REF!,"AAAAAH/u2X4=")</f>
        <v>#REF!</v>
      </c>
      <c r="DX56" t="e">
        <f>AND(#REF!,"AAAAAH/u2X8=")</f>
        <v>#REF!</v>
      </c>
      <c r="DY56" t="e">
        <f>AND(#REF!,"AAAAAH/u2YA=")</f>
        <v>#REF!</v>
      </c>
      <c r="DZ56" t="e">
        <f>AND(#REF!,"AAAAAH/u2YE=")</f>
        <v>#REF!</v>
      </c>
      <c r="EA56" t="e">
        <f>AND(#REF!,"AAAAAH/u2YI=")</f>
        <v>#REF!</v>
      </c>
      <c r="EB56" t="e">
        <f>IF(#REF!,"AAAAAH/u2YM=",0)</f>
        <v>#REF!</v>
      </c>
      <c r="EC56" t="e">
        <f>AND(#REF!,"AAAAAH/u2YQ=")</f>
        <v>#REF!</v>
      </c>
      <c r="ED56" t="e">
        <f>AND(#REF!,"AAAAAH/u2YU=")</f>
        <v>#REF!</v>
      </c>
      <c r="EE56" t="e">
        <f>AND(#REF!,"AAAAAH/u2YY=")</f>
        <v>#REF!</v>
      </c>
      <c r="EF56" t="e">
        <f>AND(#REF!,"AAAAAH/u2Yc=")</f>
        <v>#REF!</v>
      </c>
      <c r="EG56" t="e">
        <f>AND(#REF!,"AAAAAH/u2Yg=")</f>
        <v>#REF!</v>
      </c>
      <c r="EH56" t="e">
        <f>AND(#REF!,"AAAAAH/u2Yk=")</f>
        <v>#REF!</v>
      </c>
      <c r="EI56" t="e">
        <f>AND(#REF!,"AAAAAH/u2Yo=")</f>
        <v>#REF!</v>
      </c>
      <c r="EJ56" t="e">
        <f>AND(#REF!,"AAAAAH/u2Ys=")</f>
        <v>#REF!</v>
      </c>
      <c r="EK56" t="e">
        <f>IF(#REF!,"AAAAAH/u2Yw=",0)</f>
        <v>#REF!</v>
      </c>
      <c r="EL56" t="e">
        <f>AND(#REF!,"AAAAAH/u2Y0=")</f>
        <v>#REF!</v>
      </c>
      <c r="EM56" t="e">
        <f>AND(#REF!,"AAAAAH/u2Y4=")</f>
        <v>#REF!</v>
      </c>
      <c r="EN56" t="e">
        <f>AND(#REF!,"AAAAAH/u2Y8=")</f>
        <v>#REF!</v>
      </c>
      <c r="EO56" t="e">
        <f>AND(#REF!,"AAAAAH/u2ZA=")</f>
        <v>#REF!</v>
      </c>
      <c r="EP56" t="e">
        <f>AND(#REF!,"AAAAAH/u2ZE=")</f>
        <v>#REF!</v>
      </c>
      <c r="EQ56" t="e">
        <f>AND(#REF!,"AAAAAH/u2ZI=")</f>
        <v>#REF!</v>
      </c>
      <c r="ER56" t="e">
        <f>AND(#REF!,"AAAAAH/u2ZM=")</f>
        <v>#REF!</v>
      </c>
      <c r="ES56" t="e">
        <f>AND(#REF!,"AAAAAH/u2ZQ=")</f>
        <v>#REF!</v>
      </c>
      <c r="ET56" t="e">
        <f>IF(#REF!,"AAAAAH/u2ZU=",0)</f>
        <v>#REF!</v>
      </c>
      <c r="EU56" t="e">
        <f>AND(#REF!,"AAAAAH/u2ZY=")</f>
        <v>#REF!</v>
      </c>
      <c r="EV56" t="e">
        <f>AND(#REF!,"AAAAAH/u2Zc=")</f>
        <v>#REF!</v>
      </c>
      <c r="EW56" t="e">
        <f>AND(#REF!,"AAAAAH/u2Zg=")</f>
        <v>#REF!</v>
      </c>
      <c r="EX56" t="e">
        <f>AND(#REF!,"AAAAAH/u2Zk=")</f>
        <v>#REF!</v>
      </c>
      <c r="EY56" t="e">
        <f>AND(#REF!,"AAAAAH/u2Zo=")</f>
        <v>#REF!</v>
      </c>
      <c r="EZ56" t="e">
        <f>AND(#REF!,"AAAAAH/u2Zs=")</f>
        <v>#REF!</v>
      </c>
      <c r="FA56" t="e">
        <f>AND(#REF!,"AAAAAH/u2Zw=")</f>
        <v>#REF!</v>
      </c>
      <c r="FB56" t="e">
        <f>AND(#REF!,"AAAAAH/u2Z0=")</f>
        <v>#REF!</v>
      </c>
      <c r="FC56" t="e">
        <f>IF(#REF!,"AAAAAH/u2Z4=",0)</f>
        <v>#REF!</v>
      </c>
      <c r="FD56" t="e">
        <f>AND(#REF!,"AAAAAH/u2Z8=")</f>
        <v>#REF!</v>
      </c>
      <c r="FE56" t="e">
        <f>AND(#REF!,"AAAAAH/u2aA=")</f>
        <v>#REF!</v>
      </c>
      <c r="FF56" t="e">
        <f>AND(#REF!,"AAAAAH/u2aE=")</f>
        <v>#REF!</v>
      </c>
      <c r="FG56" t="e">
        <f>AND(#REF!,"AAAAAH/u2aI=")</f>
        <v>#REF!</v>
      </c>
      <c r="FH56" t="e">
        <f>AND(#REF!,"AAAAAH/u2aM=")</f>
        <v>#REF!</v>
      </c>
      <c r="FI56" t="e">
        <f>AND(#REF!,"AAAAAH/u2aQ=")</f>
        <v>#REF!</v>
      </c>
      <c r="FJ56" t="e">
        <f>AND(#REF!,"AAAAAH/u2aU=")</f>
        <v>#REF!</v>
      </c>
      <c r="FK56" t="e">
        <f>AND(#REF!,"AAAAAH/u2aY=")</f>
        <v>#REF!</v>
      </c>
      <c r="FL56" t="e">
        <f>IF(#REF!,"AAAAAH/u2ac=",0)</f>
        <v>#REF!</v>
      </c>
      <c r="FM56" t="e">
        <f>AND(#REF!,"AAAAAH/u2ag=")</f>
        <v>#REF!</v>
      </c>
      <c r="FN56" t="e">
        <f>AND(#REF!,"AAAAAH/u2ak=")</f>
        <v>#REF!</v>
      </c>
      <c r="FO56" t="e">
        <f>AND(#REF!,"AAAAAH/u2ao=")</f>
        <v>#REF!</v>
      </c>
      <c r="FP56" t="e">
        <f>AND(#REF!,"AAAAAH/u2as=")</f>
        <v>#REF!</v>
      </c>
      <c r="FQ56" t="e">
        <f>AND(#REF!,"AAAAAH/u2aw=")</f>
        <v>#REF!</v>
      </c>
      <c r="FR56" t="e">
        <f>AND(#REF!,"AAAAAH/u2a0=")</f>
        <v>#REF!</v>
      </c>
      <c r="FS56" t="e">
        <f>AND(#REF!,"AAAAAH/u2a4=")</f>
        <v>#REF!</v>
      </c>
      <c r="FT56" t="e">
        <f>AND(#REF!,"AAAAAH/u2a8=")</f>
        <v>#REF!</v>
      </c>
      <c r="FU56" t="e">
        <f>IF(#REF!,"AAAAAH/u2bA=",0)</f>
        <v>#REF!</v>
      </c>
      <c r="FV56" t="e">
        <f>AND(#REF!,"AAAAAH/u2bE=")</f>
        <v>#REF!</v>
      </c>
      <c r="FW56" t="e">
        <f>AND(#REF!,"AAAAAH/u2bI=")</f>
        <v>#REF!</v>
      </c>
      <c r="FX56" t="e">
        <f>AND(#REF!,"AAAAAH/u2bM=")</f>
        <v>#REF!</v>
      </c>
      <c r="FY56" t="e">
        <f>AND(#REF!,"AAAAAH/u2bQ=")</f>
        <v>#REF!</v>
      </c>
      <c r="FZ56" t="e">
        <f>AND(#REF!,"AAAAAH/u2bU=")</f>
        <v>#REF!</v>
      </c>
      <c r="GA56" t="e">
        <f>AND(#REF!,"AAAAAH/u2bY=")</f>
        <v>#REF!</v>
      </c>
      <c r="GB56" t="e">
        <f>AND(#REF!,"AAAAAH/u2bc=")</f>
        <v>#REF!</v>
      </c>
      <c r="GC56" t="e">
        <f>AND(#REF!,"AAAAAH/u2bg=")</f>
        <v>#REF!</v>
      </c>
      <c r="GD56" t="e">
        <f>IF(#REF!,"AAAAAH/u2bk=",0)</f>
        <v>#REF!</v>
      </c>
      <c r="GE56" t="e">
        <f>AND(#REF!,"AAAAAH/u2bo=")</f>
        <v>#REF!</v>
      </c>
      <c r="GF56" t="e">
        <f>AND(#REF!,"AAAAAH/u2bs=")</f>
        <v>#REF!</v>
      </c>
      <c r="GG56" t="e">
        <f>AND(#REF!,"AAAAAH/u2bw=")</f>
        <v>#REF!</v>
      </c>
      <c r="GH56" t="e">
        <f>AND(#REF!,"AAAAAH/u2b0=")</f>
        <v>#REF!</v>
      </c>
      <c r="GI56" t="e">
        <f>AND(#REF!,"AAAAAH/u2b4=")</f>
        <v>#REF!</v>
      </c>
      <c r="GJ56" t="e">
        <f>AND(#REF!,"AAAAAH/u2b8=")</f>
        <v>#REF!</v>
      </c>
      <c r="GK56" t="e">
        <f>AND(#REF!,"AAAAAH/u2cA=")</f>
        <v>#REF!</v>
      </c>
      <c r="GL56" t="e">
        <f>AND(#REF!,"AAAAAH/u2cE=")</f>
        <v>#REF!</v>
      </c>
      <c r="GM56" t="e">
        <f>IF(#REF!,"AAAAAH/u2cI=",0)</f>
        <v>#REF!</v>
      </c>
      <c r="GN56" t="e">
        <f>AND(#REF!,"AAAAAH/u2cM=")</f>
        <v>#REF!</v>
      </c>
      <c r="GO56" t="e">
        <f>AND(#REF!,"AAAAAH/u2cQ=")</f>
        <v>#REF!</v>
      </c>
      <c r="GP56" t="e">
        <f>AND(#REF!,"AAAAAH/u2cU=")</f>
        <v>#REF!</v>
      </c>
      <c r="GQ56" t="e">
        <f>AND(#REF!,"AAAAAH/u2cY=")</f>
        <v>#REF!</v>
      </c>
      <c r="GR56" t="e">
        <f>AND(#REF!,"AAAAAH/u2cc=")</f>
        <v>#REF!</v>
      </c>
      <c r="GS56" t="e">
        <f>AND(#REF!,"AAAAAH/u2cg=")</f>
        <v>#REF!</v>
      </c>
      <c r="GT56" t="e">
        <f>AND(#REF!,"AAAAAH/u2ck=")</f>
        <v>#REF!</v>
      </c>
      <c r="GU56" t="e">
        <f>AND(#REF!,"AAAAAH/u2co=")</f>
        <v>#REF!</v>
      </c>
      <c r="GV56" t="e">
        <f>IF(#REF!,"AAAAAH/u2cs=",0)</f>
        <v>#REF!</v>
      </c>
      <c r="GW56" t="e">
        <f>AND(#REF!,"AAAAAH/u2cw=")</f>
        <v>#REF!</v>
      </c>
      <c r="GX56" t="e">
        <f>AND(#REF!,"AAAAAH/u2c0=")</f>
        <v>#REF!</v>
      </c>
      <c r="GY56" t="e">
        <f>AND(#REF!,"AAAAAH/u2c4=")</f>
        <v>#REF!</v>
      </c>
      <c r="GZ56" t="e">
        <f>AND(#REF!,"AAAAAH/u2c8=")</f>
        <v>#REF!</v>
      </c>
      <c r="HA56" t="e">
        <f>AND(#REF!,"AAAAAH/u2dA=")</f>
        <v>#REF!</v>
      </c>
      <c r="HB56" t="e">
        <f>AND(#REF!,"AAAAAH/u2dE=")</f>
        <v>#REF!</v>
      </c>
      <c r="HC56" t="e">
        <f>AND(#REF!,"AAAAAH/u2dI=")</f>
        <v>#REF!</v>
      </c>
      <c r="HD56" t="e">
        <f>AND(#REF!,"AAAAAH/u2dM=")</f>
        <v>#REF!</v>
      </c>
      <c r="HE56" t="e">
        <f>IF(#REF!,"AAAAAH/u2dQ=",0)</f>
        <v>#REF!</v>
      </c>
      <c r="HF56" t="e">
        <f>AND(#REF!,"AAAAAH/u2dU=")</f>
        <v>#REF!</v>
      </c>
      <c r="HG56" t="e">
        <f>AND(#REF!,"AAAAAH/u2dY=")</f>
        <v>#REF!</v>
      </c>
      <c r="HH56" t="e">
        <f>AND(#REF!,"AAAAAH/u2dc=")</f>
        <v>#REF!</v>
      </c>
      <c r="HI56" t="e">
        <f>AND(#REF!,"AAAAAH/u2dg=")</f>
        <v>#REF!</v>
      </c>
      <c r="HJ56" t="e">
        <f>AND(#REF!,"AAAAAH/u2dk=")</f>
        <v>#REF!</v>
      </c>
      <c r="HK56" t="e">
        <f>AND(#REF!,"AAAAAH/u2do=")</f>
        <v>#REF!</v>
      </c>
      <c r="HL56" t="e">
        <f>AND(#REF!,"AAAAAH/u2ds=")</f>
        <v>#REF!</v>
      </c>
      <c r="HM56" t="e">
        <f>AND(#REF!,"AAAAAH/u2dw=")</f>
        <v>#REF!</v>
      </c>
      <c r="HN56" t="e">
        <f>IF(#REF!,"AAAAAH/u2d0=",0)</f>
        <v>#REF!</v>
      </c>
      <c r="HO56" t="e">
        <f>AND(#REF!,"AAAAAH/u2d4=")</f>
        <v>#REF!</v>
      </c>
      <c r="HP56" t="e">
        <f>AND(#REF!,"AAAAAH/u2d8=")</f>
        <v>#REF!</v>
      </c>
      <c r="HQ56" t="e">
        <f>AND(#REF!,"AAAAAH/u2eA=")</f>
        <v>#REF!</v>
      </c>
      <c r="HR56" t="e">
        <f>AND(#REF!,"AAAAAH/u2eE=")</f>
        <v>#REF!</v>
      </c>
      <c r="HS56" t="e">
        <f>AND(#REF!,"AAAAAH/u2eI=")</f>
        <v>#REF!</v>
      </c>
      <c r="HT56" t="e">
        <f>AND(#REF!,"AAAAAH/u2eM=")</f>
        <v>#REF!</v>
      </c>
      <c r="HU56" t="e">
        <f>AND(#REF!,"AAAAAH/u2eQ=")</f>
        <v>#REF!</v>
      </c>
      <c r="HV56" t="e">
        <f>AND(#REF!,"AAAAAH/u2eU=")</f>
        <v>#REF!</v>
      </c>
      <c r="HW56" t="e">
        <f>IF(#REF!,"AAAAAH/u2eY=",0)</f>
        <v>#REF!</v>
      </c>
      <c r="HX56" t="e">
        <f>AND(#REF!,"AAAAAH/u2ec=")</f>
        <v>#REF!</v>
      </c>
      <c r="HY56" t="e">
        <f>AND(#REF!,"AAAAAH/u2eg=")</f>
        <v>#REF!</v>
      </c>
      <c r="HZ56" t="e">
        <f>AND(#REF!,"AAAAAH/u2ek=")</f>
        <v>#REF!</v>
      </c>
      <c r="IA56" t="e">
        <f>AND(#REF!,"AAAAAH/u2eo=")</f>
        <v>#REF!</v>
      </c>
      <c r="IB56" t="e">
        <f>AND(#REF!,"AAAAAH/u2es=")</f>
        <v>#REF!</v>
      </c>
      <c r="IC56" t="e">
        <f>AND(#REF!,"AAAAAH/u2ew=")</f>
        <v>#REF!</v>
      </c>
      <c r="ID56" t="e">
        <f>AND(#REF!,"AAAAAH/u2e0=")</f>
        <v>#REF!</v>
      </c>
      <c r="IE56" t="e">
        <f>AND(#REF!,"AAAAAH/u2e4=")</f>
        <v>#REF!</v>
      </c>
      <c r="IF56" t="e">
        <f>IF(#REF!,"AAAAAH/u2e8=",0)</f>
        <v>#REF!</v>
      </c>
      <c r="IG56" t="e">
        <f>AND(#REF!,"AAAAAH/u2fA=")</f>
        <v>#REF!</v>
      </c>
      <c r="IH56" t="e">
        <f>AND(#REF!,"AAAAAH/u2fE=")</f>
        <v>#REF!</v>
      </c>
      <c r="II56" t="e">
        <f>AND(#REF!,"AAAAAH/u2fI=")</f>
        <v>#REF!</v>
      </c>
      <c r="IJ56" t="e">
        <f>AND(#REF!,"AAAAAH/u2fM=")</f>
        <v>#REF!</v>
      </c>
      <c r="IK56" t="e">
        <f>AND(#REF!,"AAAAAH/u2fQ=")</f>
        <v>#REF!</v>
      </c>
      <c r="IL56" t="e">
        <f>AND(#REF!,"AAAAAH/u2fU=")</f>
        <v>#REF!</v>
      </c>
      <c r="IM56" t="e">
        <f>AND(#REF!,"AAAAAH/u2fY=")</f>
        <v>#REF!</v>
      </c>
      <c r="IN56" t="e">
        <f>AND(#REF!,"AAAAAH/u2fc=")</f>
        <v>#REF!</v>
      </c>
      <c r="IO56" t="e">
        <f>IF(#REF!,"AAAAAH/u2fg=",0)</f>
        <v>#REF!</v>
      </c>
      <c r="IP56" t="e">
        <f>AND(#REF!,"AAAAAH/u2fk=")</f>
        <v>#REF!</v>
      </c>
      <c r="IQ56" t="e">
        <f>AND(#REF!,"AAAAAH/u2fo=")</f>
        <v>#REF!</v>
      </c>
      <c r="IR56" t="e">
        <f>AND(#REF!,"AAAAAH/u2fs=")</f>
        <v>#REF!</v>
      </c>
      <c r="IS56" t="e">
        <f>AND(#REF!,"AAAAAH/u2fw=")</f>
        <v>#REF!</v>
      </c>
      <c r="IT56" t="e">
        <f>AND(#REF!,"AAAAAH/u2f0=")</f>
        <v>#REF!</v>
      </c>
      <c r="IU56" t="e">
        <f>AND(#REF!,"AAAAAH/u2f4=")</f>
        <v>#REF!</v>
      </c>
      <c r="IV56" t="e">
        <f>AND(#REF!,"AAAAAH/u2f8=")</f>
        <v>#REF!</v>
      </c>
    </row>
    <row r="57" spans="1:256">
      <c r="A57" t="e">
        <f>AND(#REF!,"AAAAAHx76QA=")</f>
        <v>#REF!</v>
      </c>
      <c r="B57" t="e">
        <f>IF(#REF!,"AAAAAHx76QE=",0)</f>
        <v>#REF!</v>
      </c>
      <c r="C57" t="e">
        <f>AND(#REF!,"AAAAAHx76QI=")</f>
        <v>#REF!</v>
      </c>
      <c r="D57" t="e">
        <f>AND(#REF!,"AAAAAHx76QM=")</f>
        <v>#REF!</v>
      </c>
      <c r="E57" t="e">
        <f>AND(#REF!,"AAAAAHx76QQ=")</f>
        <v>#REF!</v>
      </c>
      <c r="F57" t="e">
        <f>AND(#REF!,"AAAAAHx76QU=")</f>
        <v>#REF!</v>
      </c>
      <c r="G57" t="e">
        <f>AND(#REF!,"AAAAAHx76QY=")</f>
        <v>#REF!</v>
      </c>
      <c r="H57" t="e">
        <f>AND(#REF!,"AAAAAHx76Qc=")</f>
        <v>#REF!</v>
      </c>
      <c r="I57" t="e">
        <f>AND(#REF!,"AAAAAHx76Qg=")</f>
        <v>#REF!</v>
      </c>
      <c r="J57" t="e">
        <f>AND(#REF!,"AAAAAHx76Qk=")</f>
        <v>#REF!</v>
      </c>
      <c r="K57" t="e">
        <f>IF(#REF!,"AAAAAHx76Qo=",0)</f>
        <v>#REF!</v>
      </c>
      <c r="L57" t="e">
        <f>AND(#REF!,"AAAAAHx76Qs=")</f>
        <v>#REF!</v>
      </c>
      <c r="M57" t="e">
        <f>AND(#REF!,"AAAAAHx76Qw=")</f>
        <v>#REF!</v>
      </c>
      <c r="N57" t="e">
        <f>AND(#REF!,"AAAAAHx76Q0=")</f>
        <v>#REF!</v>
      </c>
      <c r="O57" t="e">
        <f>AND(#REF!,"AAAAAHx76Q4=")</f>
        <v>#REF!</v>
      </c>
      <c r="P57" t="e">
        <f>AND(#REF!,"AAAAAHx76Q8=")</f>
        <v>#REF!</v>
      </c>
      <c r="Q57" t="e">
        <f>AND(#REF!,"AAAAAHx76RA=")</f>
        <v>#REF!</v>
      </c>
      <c r="R57" t="e">
        <f>AND(#REF!,"AAAAAHx76RE=")</f>
        <v>#REF!</v>
      </c>
      <c r="S57" t="e">
        <f>AND(#REF!,"AAAAAHx76RI=")</f>
        <v>#REF!</v>
      </c>
      <c r="T57" t="e">
        <f>IF(#REF!,"AAAAAHx76RM=",0)</f>
        <v>#REF!</v>
      </c>
      <c r="U57" t="e">
        <f>AND(#REF!,"AAAAAHx76RQ=")</f>
        <v>#REF!</v>
      </c>
      <c r="V57" t="e">
        <f>AND(#REF!,"AAAAAHx76RU=")</f>
        <v>#REF!</v>
      </c>
      <c r="W57" t="e">
        <f>AND(#REF!,"AAAAAHx76RY=")</f>
        <v>#REF!</v>
      </c>
      <c r="X57" t="e">
        <f>AND(#REF!,"AAAAAHx76Rc=")</f>
        <v>#REF!</v>
      </c>
      <c r="Y57" t="e">
        <f>AND(#REF!,"AAAAAHx76Rg=")</f>
        <v>#REF!</v>
      </c>
      <c r="Z57" t="e">
        <f>AND(#REF!,"AAAAAHx76Rk=")</f>
        <v>#REF!</v>
      </c>
      <c r="AA57" t="e">
        <f>AND(#REF!,"AAAAAHx76Ro=")</f>
        <v>#REF!</v>
      </c>
      <c r="AB57" t="e">
        <f>AND(#REF!,"AAAAAHx76Rs=")</f>
        <v>#REF!</v>
      </c>
      <c r="AC57" t="e">
        <f>IF(#REF!,"AAAAAHx76Rw=",0)</f>
        <v>#REF!</v>
      </c>
      <c r="AD57" t="e">
        <f>AND(#REF!,"AAAAAHx76R0=")</f>
        <v>#REF!</v>
      </c>
      <c r="AE57" t="e">
        <f>AND(#REF!,"AAAAAHx76R4=")</f>
        <v>#REF!</v>
      </c>
      <c r="AF57" t="e">
        <f>AND(#REF!,"AAAAAHx76R8=")</f>
        <v>#REF!</v>
      </c>
      <c r="AG57" t="e">
        <f>AND(#REF!,"AAAAAHx76SA=")</f>
        <v>#REF!</v>
      </c>
      <c r="AH57" t="e">
        <f>AND(#REF!,"AAAAAHx76SE=")</f>
        <v>#REF!</v>
      </c>
      <c r="AI57" t="e">
        <f>AND(#REF!,"AAAAAHx76SI=")</f>
        <v>#REF!</v>
      </c>
      <c r="AJ57" t="e">
        <f>AND(#REF!,"AAAAAHx76SM=")</f>
        <v>#REF!</v>
      </c>
      <c r="AK57" t="e">
        <f>AND(#REF!,"AAAAAHx76SQ=")</f>
        <v>#REF!</v>
      </c>
      <c r="AL57" t="e">
        <f>IF(#REF!,"AAAAAHx76SU=",0)</f>
        <v>#REF!</v>
      </c>
      <c r="AM57" t="e">
        <f>AND(#REF!,"AAAAAHx76SY=")</f>
        <v>#REF!</v>
      </c>
      <c r="AN57" t="e">
        <f>AND(#REF!,"AAAAAHx76Sc=")</f>
        <v>#REF!</v>
      </c>
      <c r="AO57" t="e">
        <f>AND(#REF!,"AAAAAHx76Sg=")</f>
        <v>#REF!</v>
      </c>
      <c r="AP57" t="e">
        <f>AND(#REF!,"AAAAAHx76Sk=")</f>
        <v>#REF!</v>
      </c>
      <c r="AQ57" t="e">
        <f>AND(#REF!,"AAAAAHx76So=")</f>
        <v>#REF!</v>
      </c>
      <c r="AR57" t="e">
        <f>AND(#REF!,"AAAAAHx76Ss=")</f>
        <v>#REF!</v>
      </c>
      <c r="AS57" t="e">
        <f>AND(#REF!,"AAAAAHx76Sw=")</f>
        <v>#REF!</v>
      </c>
      <c r="AT57" t="e">
        <f>AND(#REF!,"AAAAAHx76S0=")</f>
        <v>#REF!</v>
      </c>
      <c r="AU57" t="e">
        <f>IF(#REF!,"AAAAAHx76S4=",0)</f>
        <v>#REF!</v>
      </c>
      <c r="AV57" t="e">
        <f>AND(#REF!,"AAAAAHx76S8=")</f>
        <v>#REF!</v>
      </c>
      <c r="AW57" t="e">
        <f>AND(#REF!,"AAAAAHx76TA=")</f>
        <v>#REF!</v>
      </c>
      <c r="AX57" t="e">
        <f>AND(#REF!,"AAAAAHx76TE=")</f>
        <v>#REF!</v>
      </c>
      <c r="AY57" t="e">
        <f>AND(#REF!,"AAAAAHx76TI=")</f>
        <v>#REF!</v>
      </c>
      <c r="AZ57" t="e">
        <f>AND(#REF!,"AAAAAHx76TM=")</f>
        <v>#REF!</v>
      </c>
      <c r="BA57" t="e">
        <f>AND(#REF!,"AAAAAHx76TQ=")</f>
        <v>#REF!</v>
      </c>
      <c r="BB57" t="e">
        <f>AND(#REF!,"AAAAAHx76TU=")</f>
        <v>#REF!</v>
      </c>
      <c r="BC57" t="e">
        <f>AND(#REF!,"AAAAAHx76TY=")</f>
        <v>#REF!</v>
      </c>
      <c r="BD57" t="e">
        <f>IF(#REF!,"AAAAAHx76Tc=",0)</f>
        <v>#REF!</v>
      </c>
      <c r="BE57" t="e">
        <f>AND(#REF!,"AAAAAHx76Tg=")</f>
        <v>#REF!</v>
      </c>
      <c r="BF57" t="e">
        <f>AND(#REF!,"AAAAAHx76Tk=")</f>
        <v>#REF!</v>
      </c>
      <c r="BG57" t="e">
        <f>AND(#REF!,"AAAAAHx76To=")</f>
        <v>#REF!</v>
      </c>
      <c r="BH57" t="e">
        <f>AND(#REF!,"AAAAAHx76Ts=")</f>
        <v>#REF!</v>
      </c>
      <c r="BI57" t="e">
        <f>AND(#REF!,"AAAAAHx76Tw=")</f>
        <v>#REF!</v>
      </c>
      <c r="BJ57" t="e">
        <f>AND(#REF!,"AAAAAHx76T0=")</f>
        <v>#REF!</v>
      </c>
      <c r="BK57" t="e">
        <f>AND(#REF!,"AAAAAHx76T4=")</f>
        <v>#REF!</v>
      </c>
      <c r="BL57" t="e">
        <f>AND(#REF!,"AAAAAHx76T8=")</f>
        <v>#REF!</v>
      </c>
      <c r="BM57" t="e">
        <f>IF(#REF!,"AAAAAHx76UA=",0)</f>
        <v>#REF!</v>
      </c>
      <c r="BN57" t="e">
        <f>AND(#REF!,"AAAAAHx76UE=")</f>
        <v>#REF!</v>
      </c>
      <c r="BO57" t="e">
        <f>AND(#REF!,"AAAAAHx76UI=")</f>
        <v>#REF!</v>
      </c>
      <c r="BP57" t="e">
        <f>AND(#REF!,"AAAAAHx76UM=")</f>
        <v>#REF!</v>
      </c>
      <c r="BQ57" t="e">
        <f>AND(#REF!,"AAAAAHx76UQ=")</f>
        <v>#REF!</v>
      </c>
      <c r="BR57" t="e">
        <f>AND(#REF!,"AAAAAHx76UU=")</f>
        <v>#REF!</v>
      </c>
      <c r="BS57" t="e">
        <f>AND(#REF!,"AAAAAHx76UY=")</f>
        <v>#REF!</v>
      </c>
      <c r="BT57" t="e">
        <f>AND(#REF!,"AAAAAHx76Uc=")</f>
        <v>#REF!</v>
      </c>
      <c r="BU57" t="e">
        <f>AND(#REF!,"AAAAAHx76Ug=")</f>
        <v>#REF!</v>
      </c>
      <c r="BV57" t="e">
        <f>IF(#REF!,"AAAAAHx76Uk=",0)</f>
        <v>#REF!</v>
      </c>
      <c r="BW57" t="e">
        <f>AND(#REF!,"AAAAAHx76Uo=")</f>
        <v>#REF!</v>
      </c>
      <c r="BX57" t="e">
        <f>AND(#REF!,"AAAAAHx76Us=")</f>
        <v>#REF!</v>
      </c>
      <c r="BY57" t="e">
        <f>AND(#REF!,"AAAAAHx76Uw=")</f>
        <v>#REF!</v>
      </c>
      <c r="BZ57" t="e">
        <f>AND(#REF!,"AAAAAHx76U0=")</f>
        <v>#REF!</v>
      </c>
      <c r="CA57" t="e">
        <f>AND(#REF!,"AAAAAHx76U4=")</f>
        <v>#REF!</v>
      </c>
      <c r="CB57" t="e">
        <f>AND(#REF!,"AAAAAHx76U8=")</f>
        <v>#REF!</v>
      </c>
      <c r="CC57" t="e">
        <f>AND(#REF!,"AAAAAHx76VA=")</f>
        <v>#REF!</v>
      </c>
      <c r="CD57" t="e">
        <f>AND(#REF!,"AAAAAHx76VE=")</f>
        <v>#REF!</v>
      </c>
      <c r="CE57" t="e">
        <f>IF(#REF!,"AAAAAHx76VI=",0)</f>
        <v>#REF!</v>
      </c>
      <c r="CF57" t="e">
        <f>AND(#REF!,"AAAAAHx76VM=")</f>
        <v>#REF!</v>
      </c>
      <c r="CG57" t="e">
        <f>AND(#REF!,"AAAAAHx76VQ=")</f>
        <v>#REF!</v>
      </c>
      <c r="CH57" t="e">
        <f>AND(#REF!,"AAAAAHx76VU=")</f>
        <v>#REF!</v>
      </c>
      <c r="CI57" t="e">
        <f>AND(#REF!,"AAAAAHx76VY=")</f>
        <v>#REF!</v>
      </c>
      <c r="CJ57" t="e">
        <f>AND(#REF!,"AAAAAHx76Vc=")</f>
        <v>#REF!</v>
      </c>
      <c r="CK57" t="e">
        <f>AND(#REF!,"AAAAAHx76Vg=")</f>
        <v>#REF!</v>
      </c>
      <c r="CL57" t="e">
        <f>AND(#REF!,"AAAAAHx76Vk=")</f>
        <v>#REF!</v>
      </c>
      <c r="CM57" t="e">
        <f>AND(#REF!,"AAAAAHx76Vo=")</f>
        <v>#REF!</v>
      </c>
      <c r="CN57" t="e">
        <f>IF(#REF!,"AAAAAHx76Vs=",0)</f>
        <v>#REF!</v>
      </c>
      <c r="CO57" t="e">
        <f>AND(#REF!,"AAAAAHx76Vw=")</f>
        <v>#REF!</v>
      </c>
      <c r="CP57" t="e">
        <f>AND(#REF!,"AAAAAHx76V0=")</f>
        <v>#REF!</v>
      </c>
      <c r="CQ57" t="e">
        <f>AND(#REF!,"AAAAAHx76V4=")</f>
        <v>#REF!</v>
      </c>
      <c r="CR57" t="e">
        <f>AND(#REF!,"AAAAAHx76V8=")</f>
        <v>#REF!</v>
      </c>
      <c r="CS57" t="e">
        <f>AND(#REF!,"AAAAAHx76WA=")</f>
        <v>#REF!</v>
      </c>
      <c r="CT57" t="e">
        <f>AND(#REF!,"AAAAAHx76WE=")</f>
        <v>#REF!</v>
      </c>
      <c r="CU57" t="e">
        <f>AND(#REF!,"AAAAAHx76WI=")</f>
        <v>#REF!</v>
      </c>
      <c r="CV57" t="e">
        <f>AND(#REF!,"AAAAAHx76WM=")</f>
        <v>#REF!</v>
      </c>
      <c r="CW57" t="e">
        <f>IF(#REF!,"AAAAAHx76WQ=",0)</f>
        <v>#REF!</v>
      </c>
      <c r="CX57" t="e">
        <f>AND(#REF!,"AAAAAHx76WU=")</f>
        <v>#REF!</v>
      </c>
      <c r="CY57" t="e">
        <f>AND(#REF!,"AAAAAHx76WY=")</f>
        <v>#REF!</v>
      </c>
      <c r="CZ57" t="e">
        <f>AND(#REF!,"AAAAAHx76Wc=")</f>
        <v>#REF!</v>
      </c>
      <c r="DA57" t="e">
        <f>AND(#REF!,"AAAAAHx76Wg=")</f>
        <v>#REF!</v>
      </c>
      <c r="DB57" t="e">
        <f>AND(#REF!,"AAAAAHx76Wk=")</f>
        <v>#REF!</v>
      </c>
      <c r="DC57" t="e">
        <f>AND(#REF!,"AAAAAHx76Wo=")</f>
        <v>#REF!</v>
      </c>
      <c r="DD57" t="e">
        <f>AND(#REF!,"AAAAAHx76Ws=")</f>
        <v>#REF!</v>
      </c>
      <c r="DE57" t="e">
        <f>AND(#REF!,"AAAAAHx76Ww=")</f>
        <v>#REF!</v>
      </c>
      <c r="DF57" t="e">
        <f>IF(#REF!,"AAAAAHx76W0=",0)</f>
        <v>#REF!</v>
      </c>
      <c r="DG57" t="e">
        <f>AND(#REF!,"AAAAAHx76W4=")</f>
        <v>#REF!</v>
      </c>
      <c r="DH57" t="e">
        <f>AND(#REF!,"AAAAAHx76W8=")</f>
        <v>#REF!</v>
      </c>
      <c r="DI57" t="e">
        <f>AND(#REF!,"AAAAAHx76XA=")</f>
        <v>#REF!</v>
      </c>
      <c r="DJ57" t="e">
        <f>AND(#REF!,"AAAAAHx76XE=")</f>
        <v>#REF!</v>
      </c>
      <c r="DK57" t="e">
        <f>AND(#REF!,"AAAAAHx76XI=")</f>
        <v>#REF!</v>
      </c>
      <c r="DL57" t="e">
        <f>AND(#REF!,"AAAAAHx76XM=")</f>
        <v>#REF!</v>
      </c>
      <c r="DM57" t="e">
        <f>AND(#REF!,"AAAAAHx76XQ=")</f>
        <v>#REF!</v>
      </c>
      <c r="DN57" t="e">
        <f>AND(#REF!,"AAAAAHx76XU=")</f>
        <v>#REF!</v>
      </c>
      <c r="DO57" t="e">
        <f>IF(#REF!,"AAAAAHx76XY=",0)</f>
        <v>#REF!</v>
      </c>
      <c r="DP57" t="e">
        <f>AND(#REF!,"AAAAAHx76Xc=")</f>
        <v>#REF!</v>
      </c>
      <c r="DQ57" t="e">
        <f>AND(#REF!,"AAAAAHx76Xg=")</f>
        <v>#REF!</v>
      </c>
      <c r="DR57" t="e">
        <f>AND(#REF!,"AAAAAHx76Xk=")</f>
        <v>#REF!</v>
      </c>
      <c r="DS57" t="e">
        <f>AND(#REF!,"AAAAAHx76Xo=")</f>
        <v>#REF!</v>
      </c>
      <c r="DT57" t="e">
        <f>AND(#REF!,"AAAAAHx76Xs=")</f>
        <v>#REF!</v>
      </c>
      <c r="DU57" t="e">
        <f>AND(#REF!,"AAAAAHx76Xw=")</f>
        <v>#REF!</v>
      </c>
      <c r="DV57" t="e">
        <f>AND(#REF!,"AAAAAHx76X0=")</f>
        <v>#REF!</v>
      </c>
      <c r="DW57" t="e">
        <f>AND(#REF!,"AAAAAHx76X4=")</f>
        <v>#REF!</v>
      </c>
      <c r="DX57" t="e">
        <f>IF(#REF!,"AAAAAHx76X8=",0)</f>
        <v>#REF!</v>
      </c>
      <c r="DY57" t="e">
        <f>AND(#REF!,"AAAAAHx76YA=")</f>
        <v>#REF!</v>
      </c>
      <c r="DZ57" t="e">
        <f>AND(#REF!,"AAAAAHx76YE=")</f>
        <v>#REF!</v>
      </c>
      <c r="EA57" t="e">
        <f>AND(#REF!,"AAAAAHx76YI=")</f>
        <v>#REF!</v>
      </c>
      <c r="EB57" t="e">
        <f>AND(#REF!,"AAAAAHx76YM=")</f>
        <v>#REF!</v>
      </c>
      <c r="EC57" t="e">
        <f>AND(#REF!,"AAAAAHx76YQ=")</f>
        <v>#REF!</v>
      </c>
      <c r="ED57" t="e">
        <f>AND(#REF!,"AAAAAHx76YU=")</f>
        <v>#REF!</v>
      </c>
      <c r="EE57" t="e">
        <f>AND(#REF!,"AAAAAHx76YY=")</f>
        <v>#REF!</v>
      </c>
      <c r="EF57" t="e">
        <f>AND(#REF!,"AAAAAHx76Yc=")</f>
        <v>#REF!</v>
      </c>
      <c r="EG57" t="e">
        <f>IF(#REF!,"AAAAAHx76Yg=",0)</f>
        <v>#REF!</v>
      </c>
      <c r="EH57" t="e">
        <f>AND(#REF!,"AAAAAHx76Yk=")</f>
        <v>#REF!</v>
      </c>
      <c r="EI57" t="e">
        <f>AND(#REF!,"AAAAAHx76Yo=")</f>
        <v>#REF!</v>
      </c>
      <c r="EJ57" t="e">
        <f>AND(#REF!,"AAAAAHx76Ys=")</f>
        <v>#REF!</v>
      </c>
      <c r="EK57" t="e">
        <f>AND(#REF!,"AAAAAHx76Yw=")</f>
        <v>#REF!</v>
      </c>
      <c r="EL57" t="e">
        <f>AND(#REF!,"AAAAAHx76Y0=")</f>
        <v>#REF!</v>
      </c>
      <c r="EM57" t="e">
        <f>AND(#REF!,"AAAAAHx76Y4=")</f>
        <v>#REF!</v>
      </c>
      <c r="EN57" t="e">
        <f>AND(#REF!,"AAAAAHx76Y8=")</f>
        <v>#REF!</v>
      </c>
      <c r="EO57" t="e">
        <f>AND(#REF!,"AAAAAHx76ZA=")</f>
        <v>#REF!</v>
      </c>
      <c r="EP57" t="e">
        <f>IF(#REF!,"AAAAAHx76ZE=",0)</f>
        <v>#REF!</v>
      </c>
      <c r="EQ57" t="e">
        <f>AND(#REF!,"AAAAAHx76ZI=")</f>
        <v>#REF!</v>
      </c>
      <c r="ER57" t="e">
        <f>AND(#REF!,"AAAAAHx76ZM=")</f>
        <v>#REF!</v>
      </c>
      <c r="ES57" t="e">
        <f>AND(#REF!,"AAAAAHx76ZQ=")</f>
        <v>#REF!</v>
      </c>
      <c r="ET57" t="e">
        <f>AND(#REF!,"AAAAAHx76ZU=")</f>
        <v>#REF!</v>
      </c>
      <c r="EU57" t="e">
        <f>AND(#REF!,"AAAAAHx76ZY=")</f>
        <v>#REF!</v>
      </c>
      <c r="EV57" t="e">
        <f>AND(#REF!,"AAAAAHx76Zc=")</f>
        <v>#REF!</v>
      </c>
      <c r="EW57" t="e">
        <f>AND(#REF!,"AAAAAHx76Zg=")</f>
        <v>#REF!</v>
      </c>
      <c r="EX57" t="e">
        <f>AND(#REF!,"AAAAAHx76Zk=")</f>
        <v>#REF!</v>
      </c>
      <c r="EY57" t="e">
        <f>IF(#REF!,"AAAAAHx76Zo=",0)</f>
        <v>#REF!</v>
      </c>
      <c r="EZ57" t="e">
        <f>AND(#REF!,"AAAAAHx76Zs=")</f>
        <v>#REF!</v>
      </c>
      <c r="FA57" t="e">
        <f>AND(#REF!,"AAAAAHx76Zw=")</f>
        <v>#REF!</v>
      </c>
      <c r="FB57" t="e">
        <f>AND(#REF!,"AAAAAHx76Z0=")</f>
        <v>#REF!</v>
      </c>
      <c r="FC57" t="e">
        <f>AND(#REF!,"AAAAAHx76Z4=")</f>
        <v>#REF!</v>
      </c>
      <c r="FD57" t="e">
        <f>AND(#REF!,"AAAAAHx76Z8=")</f>
        <v>#REF!</v>
      </c>
      <c r="FE57" t="e">
        <f>AND(#REF!,"AAAAAHx76aA=")</f>
        <v>#REF!</v>
      </c>
      <c r="FF57" t="e">
        <f>AND(#REF!,"AAAAAHx76aE=")</f>
        <v>#REF!</v>
      </c>
      <c r="FG57" t="e">
        <f>AND(#REF!,"AAAAAHx76aI=")</f>
        <v>#REF!</v>
      </c>
      <c r="FH57" t="e">
        <f>IF(#REF!,"AAAAAHx76aM=",0)</f>
        <v>#REF!</v>
      </c>
      <c r="FI57" t="e">
        <f>AND(#REF!,"AAAAAHx76aQ=")</f>
        <v>#REF!</v>
      </c>
      <c r="FJ57" t="e">
        <f>AND(#REF!,"AAAAAHx76aU=")</f>
        <v>#REF!</v>
      </c>
      <c r="FK57" t="e">
        <f>AND(#REF!,"AAAAAHx76aY=")</f>
        <v>#REF!</v>
      </c>
      <c r="FL57" t="e">
        <f>AND(#REF!,"AAAAAHx76ac=")</f>
        <v>#REF!</v>
      </c>
      <c r="FM57" t="e">
        <f>AND(#REF!,"AAAAAHx76ag=")</f>
        <v>#REF!</v>
      </c>
      <c r="FN57" t="e">
        <f>AND(#REF!,"AAAAAHx76ak=")</f>
        <v>#REF!</v>
      </c>
      <c r="FO57" t="e">
        <f>AND(#REF!,"AAAAAHx76ao=")</f>
        <v>#REF!</v>
      </c>
      <c r="FP57" t="e">
        <f>AND(#REF!,"AAAAAHx76as=")</f>
        <v>#REF!</v>
      </c>
      <c r="FQ57" t="e">
        <f>IF(#REF!,"AAAAAHx76aw=",0)</f>
        <v>#REF!</v>
      </c>
      <c r="FR57" t="e">
        <f>AND(#REF!,"AAAAAHx76a0=")</f>
        <v>#REF!</v>
      </c>
      <c r="FS57" t="e">
        <f>AND(#REF!,"AAAAAHx76a4=")</f>
        <v>#REF!</v>
      </c>
      <c r="FT57" t="e">
        <f>AND(#REF!,"AAAAAHx76a8=")</f>
        <v>#REF!</v>
      </c>
      <c r="FU57" t="e">
        <f>AND(#REF!,"AAAAAHx76bA=")</f>
        <v>#REF!</v>
      </c>
      <c r="FV57" t="e">
        <f>AND(#REF!,"AAAAAHx76bE=")</f>
        <v>#REF!</v>
      </c>
      <c r="FW57" t="e">
        <f>AND(#REF!,"AAAAAHx76bI=")</f>
        <v>#REF!</v>
      </c>
      <c r="FX57" t="e">
        <f>AND(#REF!,"AAAAAHx76bM=")</f>
        <v>#REF!</v>
      </c>
      <c r="FY57" t="e">
        <f>AND(#REF!,"AAAAAHx76bQ=")</f>
        <v>#REF!</v>
      </c>
      <c r="FZ57" t="e">
        <f>IF(#REF!,"AAAAAHx76bU=",0)</f>
        <v>#REF!</v>
      </c>
      <c r="GA57" t="e">
        <f>AND(#REF!,"AAAAAHx76bY=")</f>
        <v>#REF!</v>
      </c>
      <c r="GB57" t="e">
        <f>AND(#REF!,"AAAAAHx76bc=")</f>
        <v>#REF!</v>
      </c>
      <c r="GC57" t="e">
        <f>AND(#REF!,"AAAAAHx76bg=")</f>
        <v>#REF!</v>
      </c>
      <c r="GD57" t="e">
        <f>AND(#REF!,"AAAAAHx76bk=")</f>
        <v>#REF!</v>
      </c>
      <c r="GE57" t="e">
        <f>AND(#REF!,"AAAAAHx76bo=")</f>
        <v>#REF!</v>
      </c>
      <c r="GF57" t="e">
        <f>AND(#REF!,"AAAAAHx76bs=")</f>
        <v>#REF!</v>
      </c>
      <c r="GG57" t="e">
        <f>AND(#REF!,"AAAAAHx76bw=")</f>
        <v>#REF!</v>
      </c>
      <c r="GH57" t="e">
        <f>AND(#REF!,"AAAAAHx76b0=")</f>
        <v>#REF!</v>
      </c>
      <c r="GI57" t="e">
        <f>IF(#REF!,"AAAAAHx76b4=",0)</f>
        <v>#REF!</v>
      </c>
      <c r="GJ57" t="e">
        <f>AND(#REF!,"AAAAAHx76b8=")</f>
        <v>#REF!</v>
      </c>
      <c r="GK57" t="e">
        <f>AND(#REF!,"AAAAAHx76cA=")</f>
        <v>#REF!</v>
      </c>
      <c r="GL57" t="e">
        <f>AND(#REF!,"AAAAAHx76cE=")</f>
        <v>#REF!</v>
      </c>
      <c r="GM57" t="e">
        <f>AND(#REF!,"AAAAAHx76cI=")</f>
        <v>#REF!</v>
      </c>
      <c r="GN57" t="e">
        <f>AND(#REF!,"AAAAAHx76cM=")</f>
        <v>#REF!</v>
      </c>
      <c r="GO57" t="e">
        <f>AND(#REF!,"AAAAAHx76cQ=")</f>
        <v>#REF!</v>
      </c>
      <c r="GP57" t="e">
        <f>AND(#REF!,"AAAAAHx76cU=")</f>
        <v>#REF!</v>
      </c>
      <c r="GQ57" t="e">
        <f>AND(#REF!,"AAAAAHx76cY=")</f>
        <v>#REF!</v>
      </c>
      <c r="GR57" t="e">
        <f>IF(#REF!,"AAAAAHx76cc=",0)</f>
        <v>#REF!</v>
      </c>
      <c r="GS57" t="e">
        <f>AND(#REF!,"AAAAAHx76cg=")</f>
        <v>#REF!</v>
      </c>
      <c r="GT57" t="e">
        <f>AND(#REF!,"AAAAAHx76ck=")</f>
        <v>#REF!</v>
      </c>
      <c r="GU57" t="e">
        <f>AND(#REF!,"AAAAAHx76co=")</f>
        <v>#REF!</v>
      </c>
      <c r="GV57" t="e">
        <f>AND(#REF!,"AAAAAHx76cs=")</f>
        <v>#REF!</v>
      </c>
      <c r="GW57" t="e">
        <f>AND(#REF!,"AAAAAHx76cw=")</f>
        <v>#REF!</v>
      </c>
      <c r="GX57" t="e">
        <f>AND(#REF!,"AAAAAHx76c0=")</f>
        <v>#REF!</v>
      </c>
      <c r="GY57" t="e">
        <f>AND(#REF!,"AAAAAHx76c4=")</f>
        <v>#REF!</v>
      </c>
      <c r="GZ57" t="e">
        <f>AND(#REF!,"AAAAAHx76c8=")</f>
        <v>#REF!</v>
      </c>
      <c r="HA57" t="e">
        <f>IF(#REF!,"AAAAAHx76dA=",0)</f>
        <v>#REF!</v>
      </c>
      <c r="HB57" t="e">
        <f>AND(#REF!,"AAAAAHx76dE=")</f>
        <v>#REF!</v>
      </c>
      <c r="HC57" t="e">
        <f>AND(#REF!,"AAAAAHx76dI=")</f>
        <v>#REF!</v>
      </c>
      <c r="HD57" t="e">
        <f>AND(#REF!,"AAAAAHx76dM=")</f>
        <v>#REF!</v>
      </c>
      <c r="HE57" t="e">
        <f>AND(#REF!,"AAAAAHx76dQ=")</f>
        <v>#REF!</v>
      </c>
      <c r="HF57" t="e">
        <f>AND(#REF!,"AAAAAHx76dU=")</f>
        <v>#REF!</v>
      </c>
      <c r="HG57" t="e">
        <f>AND(#REF!,"AAAAAHx76dY=")</f>
        <v>#REF!</v>
      </c>
      <c r="HH57" t="e">
        <f>AND(#REF!,"AAAAAHx76dc=")</f>
        <v>#REF!</v>
      </c>
      <c r="HI57" t="e">
        <f>AND(#REF!,"AAAAAHx76dg=")</f>
        <v>#REF!</v>
      </c>
      <c r="HJ57" t="e">
        <f>IF(#REF!,"AAAAAHx76dk=",0)</f>
        <v>#REF!</v>
      </c>
      <c r="HK57" t="e">
        <f>AND(#REF!,"AAAAAHx76do=")</f>
        <v>#REF!</v>
      </c>
      <c r="HL57" t="e">
        <f>AND(#REF!,"AAAAAHx76ds=")</f>
        <v>#REF!</v>
      </c>
      <c r="HM57" t="e">
        <f>AND(#REF!,"AAAAAHx76dw=")</f>
        <v>#REF!</v>
      </c>
      <c r="HN57" t="e">
        <f>AND(#REF!,"AAAAAHx76d0=")</f>
        <v>#REF!</v>
      </c>
      <c r="HO57" t="e">
        <f>AND(#REF!,"AAAAAHx76d4=")</f>
        <v>#REF!</v>
      </c>
      <c r="HP57" t="e">
        <f>AND(#REF!,"AAAAAHx76d8=")</f>
        <v>#REF!</v>
      </c>
      <c r="HQ57" t="e">
        <f>AND(#REF!,"AAAAAHx76eA=")</f>
        <v>#REF!</v>
      </c>
      <c r="HR57" t="e">
        <f>AND(#REF!,"AAAAAHx76eE=")</f>
        <v>#REF!</v>
      </c>
      <c r="HS57" t="e">
        <f>IF(#REF!,"AAAAAHx76eI=",0)</f>
        <v>#REF!</v>
      </c>
      <c r="HT57" t="e">
        <f>AND(#REF!,"AAAAAHx76eM=")</f>
        <v>#REF!</v>
      </c>
      <c r="HU57" t="e">
        <f>AND(#REF!,"AAAAAHx76eQ=")</f>
        <v>#REF!</v>
      </c>
      <c r="HV57" t="e">
        <f>AND(#REF!,"AAAAAHx76eU=")</f>
        <v>#REF!</v>
      </c>
      <c r="HW57" t="e">
        <f>AND(#REF!,"AAAAAHx76eY=")</f>
        <v>#REF!</v>
      </c>
      <c r="HX57" t="e">
        <f>AND(#REF!,"AAAAAHx76ec=")</f>
        <v>#REF!</v>
      </c>
      <c r="HY57" t="e">
        <f>AND(#REF!,"AAAAAHx76eg=")</f>
        <v>#REF!</v>
      </c>
      <c r="HZ57" t="e">
        <f>AND(#REF!,"AAAAAHx76ek=")</f>
        <v>#REF!</v>
      </c>
      <c r="IA57" t="e">
        <f>AND(#REF!,"AAAAAHx76eo=")</f>
        <v>#REF!</v>
      </c>
      <c r="IB57" t="e">
        <f>IF(#REF!,"AAAAAHx76es=",0)</f>
        <v>#REF!</v>
      </c>
      <c r="IC57" t="e">
        <f>AND(#REF!,"AAAAAHx76ew=")</f>
        <v>#REF!</v>
      </c>
      <c r="ID57" t="e">
        <f>AND(#REF!,"AAAAAHx76e0=")</f>
        <v>#REF!</v>
      </c>
      <c r="IE57" t="e">
        <f>AND(#REF!,"AAAAAHx76e4=")</f>
        <v>#REF!</v>
      </c>
      <c r="IF57" t="e">
        <f>AND(#REF!,"AAAAAHx76e8=")</f>
        <v>#REF!</v>
      </c>
      <c r="IG57" t="e">
        <f>AND(#REF!,"AAAAAHx76fA=")</f>
        <v>#REF!</v>
      </c>
      <c r="IH57" t="e">
        <f>AND(#REF!,"AAAAAHx76fE=")</f>
        <v>#REF!</v>
      </c>
      <c r="II57" t="e">
        <f>AND(#REF!,"AAAAAHx76fI=")</f>
        <v>#REF!</v>
      </c>
      <c r="IJ57" t="e">
        <f>AND(#REF!,"AAAAAHx76fM=")</f>
        <v>#REF!</v>
      </c>
      <c r="IK57" t="e">
        <f>IF(#REF!,"AAAAAHx76fQ=",0)</f>
        <v>#REF!</v>
      </c>
      <c r="IL57" t="e">
        <f>AND(#REF!,"AAAAAHx76fU=")</f>
        <v>#REF!</v>
      </c>
      <c r="IM57" t="e">
        <f>AND(#REF!,"AAAAAHx76fY=")</f>
        <v>#REF!</v>
      </c>
      <c r="IN57" t="e">
        <f>AND(#REF!,"AAAAAHx76fc=")</f>
        <v>#REF!</v>
      </c>
      <c r="IO57" t="e">
        <f>AND(#REF!,"AAAAAHx76fg=")</f>
        <v>#REF!</v>
      </c>
      <c r="IP57" t="e">
        <f>AND(#REF!,"AAAAAHx76fk=")</f>
        <v>#REF!</v>
      </c>
      <c r="IQ57" t="e">
        <f>AND(#REF!,"AAAAAHx76fo=")</f>
        <v>#REF!</v>
      </c>
      <c r="IR57" t="e">
        <f>AND(#REF!,"AAAAAHx76fs=")</f>
        <v>#REF!</v>
      </c>
      <c r="IS57" t="e">
        <f>AND(#REF!,"AAAAAHx76fw=")</f>
        <v>#REF!</v>
      </c>
      <c r="IT57" t="e">
        <f>IF(#REF!,"AAAAAHx76f0=",0)</f>
        <v>#REF!</v>
      </c>
      <c r="IU57" t="e">
        <f>AND(#REF!,"AAAAAHx76f4=")</f>
        <v>#REF!</v>
      </c>
      <c r="IV57" t="e">
        <f>AND(#REF!,"AAAAAHx76f8=")</f>
        <v>#REF!</v>
      </c>
    </row>
    <row r="58" spans="1:256">
      <c r="A58" t="e">
        <f>AND(#REF!,"AAAAAD/9/wA=")</f>
        <v>#REF!</v>
      </c>
      <c r="B58" t="e">
        <f>AND(#REF!,"AAAAAD/9/wE=")</f>
        <v>#REF!</v>
      </c>
      <c r="C58" t="e">
        <f>AND(#REF!,"AAAAAD/9/wI=")</f>
        <v>#REF!</v>
      </c>
      <c r="D58" t="e">
        <f>AND(#REF!,"AAAAAD/9/wM=")</f>
        <v>#REF!</v>
      </c>
      <c r="E58" t="e">
        <f>AND(#REF!,"AAAAAD/9/wQ=")</f>
        <v>#REF!</v>
      </c>
      <c r="F58" t="e">
        <f>AND(#REF!,"AAAAAD/9/wU=")</f>
        <v>#REF!</v>
      </c>
      <c r="G58" t="e">
        <f>IF(#REF!,"AAAAAD/9/wY=",0)</f>
        <v>#REF!</v>
      </c>
      <c r="H58" t="e">
        <f>AND(#REF!,"AAAAAD/9/wc=")</f>
        <v>#REF!</v>
      </c>
      <c r="I58" t="e">
        <f>AND(#REF!,"AAAAAD/9/wg=")</f>
        <v>#REF!</v>
      </c>
      <c r="J58" t="e">
        <f>AND(#REF!,"AAAAAD/9/wk=")</f>
        <v>#REF!</v>
      </c>
      <c r="K58" t="e">
        <f>AND(#REF!,"AAAAAD/9/wo=")</f>
        <v>#REF!</v>
      </c>
      <c r="L58" t="e">
        <f>AND(#REF!,"AAAAAD/9/ws=")</f>
        <v>#REF!</v>
      </c>
      <c r="M58" t="e">
        <f>AND(#REF!,"AAAAAD/9/ww=")</f>
        <v>#REF!</v>
      </c>
      <c r="N58" t="e">
        <f>AND(#REF!,"AAAAAD/9/w0=")</f>
        <v>#REF!</v>
      </c>
      <c r="O58" t="e">
        <f>AND(#REF!,"AAAAAD/9/w4=")</f>
        <v>#REF!</v>
      </c>
      <c r="P58" t="e">
        <f>IF(#REF!,"AAAAAD/9/w8=",0)</f>
        <v>#REF!</v>
      </c>
      <c r="Q58" t="e">
        <f>AND(#REF!,"AAAAAD/9/xA=")</f>
        <v>#REF!</v>
      </c>
      <c r="R58" t="e">
        <f>AND(#REF!,"AAAAAD/9/xE=")</f>
        <v>#REF!</v>
      </c>
      <c r="S58" t="e">
        <f>AND(#REF!,"AAAAAD/9/xI=")</f>
        <v>#REF!</v>
      </c>
      <c r="T58" t="e">
        <f>AND(#REF!,"AAAAAD/9/xM=")</f>
        <v>#REF!</v>
      </c>
      <c r="U58" t="e">
        <f>AND(#REF!,"AAAAAD/9/xQ=")</f>
        <v>#REF!</v>
      </c>
      <c r="V58" t="e">
        <f>AND(#REF!,"AAAAAD/9/xU=")</f>
        <v>#REF!</v>
      </c>
      <c r="W58" t="e">
        <f>AND(#REF!,"AAAAAD/9/xY=")</f>
        <v>#REF!</v>
      </c>
      <c r="X58" t="e">
        <f>AND(#REF!,"AAAAAD/9/xc=")</f>
        <v>#REF!</v>
      </c>
      <c r="Y58" t="e">
        <f>IF(#REF!,"AAAAAD/9/xg=",0)</f>
        <v>#REF!</v>
      </c>
      <c r="Z58" t="e">
        <f>AND(#REF!,"AAAAAD/9/xk=")</f>
        <v>#REF!</v>
      </c>
      <c r="AA58" t="e">
        <f>AND(#REF!,"AAAAAD/9/xo=")</f>
        <v>#REF!</v>
      </c>
      <c r="AB58" t="e">
        <f>AND(#REF!,"AAAAAD/9/xs=")</f>
        <v>#REF!</v>
      </c>
      <c r="AC58" t="e">
        <f>AND(#REF!,"AAAAAD/9/xw=")</f>
        <v>#REF!</v>
      </c>
      <c r="AD58" t="e">
        <f>AND(#REF!,"AAAAAD/9/x0=")</f>
        <v>#REF!</v>
      </c>
      <c r="AE58" t="e">
        <f>AND(#REF!,"AAAAAD/9/x4=")</f>
        <v>#REF!</v>
      </c>
      <c r="AF58" t="e">
        <f>AND(#REF!,"AAAAAD/9/x8=")</f>
        <v>#REF!</v>
      </c>
      <c r="AG58" t="e">
        <f>AND(#REF!,"AAAAAD/9/yA=")</f>
        <v>#REF!</v>
      </c>
      <c r="AH58" t="e">
        <f>IF(#REF!,"AAAAAD/9/yE=",0)</f>
        <v>#REF!</v>
      </c>
      <c r="AI58" t="e">
        <f>AND(#REF!,"AAAAAD/9/yI=")</f>
        <v>#REF!</v>
      </c>
      <c r="AJ58" t="e">
        <f>AND(#REF!,"AAAAAD/9/yM=")</f>
        <v>#REF!</v>
      </c>
      <c r="AK58" t="e">
        <f>AND(#REF!,"AAAAAD/9/yQ=")</f>
        <v>#REF!</v>
      </c>
      <c r="AL58" t="e">
        <f>AND(#REF!,"AAAAAD/9/yU=")</f>
        <v>#REF!</v>
      </c>
      <c r="AM58" t="e">
        <f>AND(#REF!,"AAAAAD/9/yY=")</f>
        <v>#REF!</v>
      </c>
      <c r="AN58" t="e">
        <f>AND(#REF!,"AAAAAD/9/yc=")</f>
        <v>#REF!</v>
      </c>
      <c r="AO58" t="e">
        <f>AND(#REF!,"AAAAAD/9/yg=")</f>
        <v>#REF!</v>
      </c>
      <c r="AP58" t="e">
        <f>AND(#REF!,"AAAAAD/9/yk=")</f>
        <v>#REF!</v>
      </c>
      <c r="AQ58" t="e">
        <f>IF(#REF!,"AAAAAD/9/yo=",0)</f>
        <v>#REF!</v>
      </c>
      <c r="AR58" t="e">
        <f>AND(#REF!,"AAAAAD/9/ys=")</f>
        <v>#REF!</v>
      </c>
      <c r="AS58" t="e">
        <f>AND(#REF!,"AAAAAD/9/yw=")</f>
        <v>#REF!</v>
      </c>
      <c r="AT58" t="e">
        <f>AND(#REF!,"AAAAAD/9/y0=")</f>
        <v>#REF!</v>
      </c>
      <c r="AU58" t="e">
        <f>AND(#REF!,"AAAAAD/9/y4=")</f>
        <v>#REF!</v>
      </c>
      <c r="AV58" t="e">
        <f>AND(#REF!,"AAAAAD/9/y8=")</f>
        <v>#REF!</v>
      </c>
      <c r="AW58" t="e">
        <f>AND(#REF!,"AAAAAD/9/zA=")</f>
        <v>#REF!</v>
      </c>
      <c r="AX58" t="e">
        <f>AND(#REF!,"AAAAAD/9/zE=")</f>
        <v>#REF!</v>
      </c>
      <c r="AY58" t="e">
        <f>AND(#REF!,"AAAAAD/9/zI=")</f>
        <v>#REF!</v>
      </c>
      <c r="AZ58" t="e">
        <f>IF(#REF!,"AAAAAD/9/zM=",0)</f>
        <v>#REF!</v>
      </c>
      <c r="BA58" t="e">
        <f>AND(#REF!,"AAAAAD/9/zQ=")</f>
        <v>#REF!</v>
      </c>
      <c r="BB58" t="e">
        <f>AND(#REF!,"AAAAAD/9/zU=")</f>
        <v>#REF!</v>
      </c>
      <c r="BC58" t="e">
        <f>AND(#REF!,"AAAAAD/9/zY=")</f>
        <v>#REF!</v>
      </c>
      <c r="BD58" t="e">
        <f>AND(#REF!,"AAAAAD/9/zc=")</f>
        <v>#REF!</v>
      </c>
      <c r="BE58" t="e">
        <f>AND(#REF!,"AAAAAD/9/zg=")</f>
        <v>#REF!</v>
      </c>
      <c r="BF58" t="e">
        <f>AND(#REF!,"AAAAAD/9/zk=")</f>
        <v>#REF!</v>
      </c>
      <c r="BG58" t="e">
        <f>AND(#REF!,"AAAAAD/9/zo=")</f>
        <v>#REF!</v>
      </c>
      <c r="BH58" t="e">
        <f>AND(#REF!,"AAAAAD/9/zs=")</f>
        <v>#REF!</v>
      </c>
      <c r="BI58" t="e">
        <f>IF(#REF!,"AAAAAD/9/zw=",0)</f>
        <v>#REF!</v>
      </c>
      <c r="BJ58" t="e">
        <f>AND(#REF!,"AAAAAD/9/z0=")</f>
        <v>#REF!</v>
      </c>
      <c r="BK58" t="e">
        <f>AND(#REF!,"AAAAAD/9/z4=")</f>
        <v>#REF!</v>
      </c>
      <c r="BL58" t="e">
        <f>AND(#REF!,"AAAAAD/9/z8=")</f>
        <v>#REF!</v>
      </c>
      <c r="BM58" t="e">
        <f>AND(#REF!,"AAAAAD/9/0A=")</f>
        <v>#REF!</v>
      </c>
      <c r="BN58" t="e">
        <f>AND(#REF!,"AAAAAD/9/0E=")</f>
        <v>#REF!</v>
      </c>
      <c r="BO58" t="e">
        <f>AND(#REF!,"AAAAAD/9/0I=")</f>
        <v>#REF!</v>
      </c>
      <c r="BP58" t="e">
        <f>AND(#REF!,"AAAAAD/9/0M=")</f>
        <v>#REF!</v>
      </c>
      <c r="BQ58" t="e">
        <f>AND(#REF!,"AAAAAD/9/0Q=")</f>
        <v>#REF!</v>
      </c>
      <c r="BR58" t="e">
        <f>IF(#REF!,"AAAAAD/9/0U=",0)</f>
        <v>#REF!</v>
      </c>
      <c r="BS58" t="e">
        <f>AND(#REF!,"AAAAAD/9/0Y=")</f>
        <v>#REF!</v>
      </c>
      <c r="BT58" t="e">
        <f>AND(#REF!,"AAAAAD/9/0c=")</f>
        <v>#REF!</v>
      </c>
      <c r="BU58" t="e">
        <f>AND(#REF!,"AAAAAD/9/0g=")</f>
        <v>#REF!</v>
      </c>
      <c r="BV58" t="e">
        <f>AND(#REF!,"AAAAAD/9/0k=")</f>
        <v>#REF!</v>
      </c>
      <c r="BW58" t="e">
        <f>AND(#REF!,"AAAAAD/9/0o=")</f>
        <v>#REF!</v>
      </c>
      <c r="BX58" t="e">
        <f>AND(#REF!,"AAAAAD/9/0s=")</f>
        <v>#REF!</v>
      </c>
      <c r="BY58" t="e">
        <f>AND(#REF!,"AAAAAD/9/0w=")</f>
        <v>#REF!</v>
      </c>
      <c r="BZ58" t="e">
        <f>AND(#REF!,"AAAAAD/9/00=")</f>
        <v>#REF!</v>
      </c>
      <c r="CA58" t="e">
        <f>IF(#REF!,"AAAAAD/9/04=",0)</f>
        <v>#REF!</v>
      </c>
      <c r="CB58" t="e">
        <f>AND(#REF!,"AAAAAD/9/08=")</f>
        <v>#REF!</v>
      </c>
      <c r="CC58" t="e">
        <f>AND(#REF!,"AAAAAD/9/1A=")</f>
        <v>#REF!</v>
      </c>
      <c r="CD58" t="e">
        <f>AND(#REF!,"AAAAAD/9/1E=")</f>
        <v>#REF!</v>
      </c>
      <c r="CE58" t="e">
        <f>AND(#REF!,"AAAAAD/9/1I=")</f>
        <v>#REF!</v>
      </c>
      <c r="CF58" t="e">
        <f>AND(#REF!,"AAAAAD/9/1M=")</f>
        <v>#REF!</v>
      </c>
      <c r="CG58" t="e">
        <f>AND(#REF!,"AAAAAD/9/1Q=")</f>
        <v>#REF!</v>
      </c>
      <c r="CH58" t="e">
        <f>AND(#REF!,"AAAAAD/9/1U=")</f>
        <v>#REF!</v>
      </c>
      <c r="CI58" t="e">
        <f>AND(#REF!,"AAAAAD/9/1Y=")</f>
        <v>#REF!</v>
      </c>
      <c r="CJ58" t="e">
        <f>IF(#REF!,"AAAAAD/9/1c=",0)</f>
        <v>#REF!</v>
      </c>
      <c r="CK58" t="e">
        <f>AND(#REF!,"AAAAAD/9/1g=")</f>
        <v>#REF!</v>
      </c>
      <c r="CL58" t="e">
        <f>AND(#REF!,"AAAAAD/9/1k=")</f>
        <v>#REF!</v>
      </c>
      <c r="CM58" t="e">
        <f>AND(#REF!,"AAAAAD/9/1o=")</f>
        <v>#REF!</v>
      </c>
      <c r="CN58" t="e">
        <f>AND(#REF!,"AAAAAD/9/1s=")</f>
        <v>#REF!</v>
      </c>
      <c r="CO58" t="e">
        <f>AND(#REF!,"AAAAAD/9/1w=")</f>
        <v>#REF!</v>
      </c>
      <c r="CP58" t="e">
        <f>AND(#REF!,"AAAAAD/9/10=")</f>
        <v>#REF!</v>
      </c>
      <c r="CQ58" t="e">
        <f>AND(#REF!,"AAAAAD/9/14=")</f>
        <v>#REF!</v>
      </c>
      <c r="CR58" t="e">
        <f>AND(#REF!,"AAAAAD/9/18=")</f>
        <v>#REF!</v>
      </c>
      <c r="CS58" t="e">
        <f>IF(#REF!,"AAAAAD/9/2A=",0)</f>
        <v>#REF!</v>
      </c>
      <c r="CT58" t="e">
        <f>AND(#REF!,"AAAAAD/9/2E=")</f>
        <v>#REF!</v>
      </c>
      <c r="CU58" t="e">
        <f>AND(#REF!,"AAAAAD/9/2I=")</f>
        <v>#REF!</v>
      </c>
      <c r="CV58" t="e">
        <f>AND(#REF!,"AAAAAD/9/2M=")</f>
        <v>#REF!</v>
      </c>
      <c r="CW58" t="e">
        <f>AND(#REF!,"AAAAAD/9/2Q=")</f>
        <v>#REF!</v>
      </c>
      <c r="CX58" t="e">
        <f>AND(#REF!,"AAAAAD/9/2U=")</f>
        <v>#REF!</v>
      </c>
      <c r="CY58" t="e">
        <f>AND(#REF!,"AAAAAD/9/2Y=")</f>
        <v>#REF!</v>
      </c>
      <c r="CZ58" t="e">
        <f>AND(#REF!,"AAAAAD/9/2c=")</f>
        <v>#REF!</v>
      </c>
      <c r="DA58" t="e">
        <f>AND(#REF!,"AAAAAD/9/2g=")</f>
        <v>#REF!</v>
      </c>
      <c r="DB58" t="e">
        <f>IF(#REF!,"AAAAAD/9/2k=",0)</f>
        <v>#REF!</v>
      </c>
      <c r="DC58" t="e">
        <f>AND(#REF!,"AAAAAD/9/2o=")</f>
        <v>#REF!</v>
      </c>
      <c r="DD58" t="e">
        <f>AND(#REF!,"AAAAAD/9/2s=")</f>
        <v>#REF!</v>
      </c>
      <c r="DE58" t="e">
        <f>AND(#REF!,"AAAAAD/9/2w=")</f>
        <v>#REF!</v>
      </c>
      <c r="DF58" t="e">
        <f>AND(#REF!,"AAAAAD/9/20=")</f>
        <v>#REF!</v>
      </c>
      <c r="DG58" t="e">
        <f>AND(#REF!,"AAAAAD/9/24=")</f>
        <v>#REF!</v>
      </c>
      <c r="DH58" t="e">
        <f>AND(#REF!,"AAAAAD/9/28=")</f>
        <v>#REF!</v>
      </c>
      <c r="DI58" t="e">
        <f>AND(#REF!,"AAAAAD/9/3A=")</f>
        <v>#REF!</v>
      </c>
      <c r="DJ58" t="e">
        <f>AND(#REF!,"AAAAAD/9/3E=")</f>
        <v>#REF!</v>
      </c>
      <c r="DK58" t="e">
        <f>IF(#REF!,"AAAAAD/9/3I=",0)</f>
        <v>#REF!</v>
      </c>
      <c r="DL58" t="e">
        <f>AND(#REF!,"AAAAAD/9/3M=")</f>
        <v>#REF!</v>
      </c>
      <c r="DM58" t="e">
        <f>AND(#REF!,"AAAAAD/9/3Q=")</f>
        <v>#REF!</v>
      </c>
      <c r="DN58" t="e">
        <f>AND(#REF!,"AAAAAD/9/3U=")</f>
        <v>#REF!</v>
      </c>
      <c r="DO58" t="e">
        <f>AND(#REF!,"AAAAAD/9/3Y=")</f>
        <v>#REF!</v>
      </c>
      <c r="DP58" t="e">
        <f>AND(#REF!,"AAAAAD/9/3c=")</f>
        <v>#REF!</v>
      </c>
      <c r="DQ58" t="e">
        <f>AND(#REF!,"AAAAAD/9/3g=")</f>
        <v>#REF!</v>
      </c>
      <c r="DR58" t="e">
        <f>AND(#REF!,"AAAAAD/9/3k=")</f>
        <v>#REF!</v>
      </c>
      <c r="DS58" t="e">
        <f>AND(#REF!,"AAAAAD/9/3o=")</f>
        <v>#REF!</v>
      </c>
      <c r="DT58" t="e">
        <f>IF(#REF!,"AAAAAD/9/3s=",0)</f>
        <v>#REF!</v>
      </c>
      <c r="DU58" t="e">
        <f>AND(#REF!,"AAAAAD/9/3w=")</f>
        <v>#REF!</v>
      </c>
      <c r="DV58" t="e">
        <f>AND(#REF!,"AAAAAD/9/30=")</f>
        <v>#REF!</v>
      </c>
      <c r="DW58" t="e">
        <f>AND(#REF!,"AAAAAD/9/34=")</f>
        <v>#REF!</v>
      </c>
      <c r="DX58" t="e">
        <f>AND(#REF!,"AAAAAD/9/38=")</f>
        <v>#REF!</v>
      </c>
      <c r="DY58" t="e">
        <f>AND(#REF!,"AAAAAD/9/4A=")</f>
        <v>#REF!</v>
      </c>
      <c r="DZ58" t="e">
        <f>AND(#REF!,"AAAAAD/9/4E=")</f>
        <v>#REF!</v>
      </c>
      <c r="EA58" t="e">
        <f>AND(#REF!,"AAAAAD/9/4I=")</f>
        <v>#REF!</v>
      </c>
      <c r="EB58" t="e">
        <f>AND(#REF!,"AAAAAD/9/4M=")</f>
        <v>#REF!</v>
      </c>
      <c r="EC58" t="e">
        <f>IF(#REF!,"AAAAAD/9/4Q=",0)</f>
        <v>#REF!</v>
      </c>
      <c r="ED58" t="e">
        <f>AND(#REF!,"AAAAAD/9/4U=")</f>
        <v>#REF!</v>
      </c>
      <c r="EE58" t="e">
        <f>AND(#REF!,"AAAAAD/9/4Y=")</f>
        <v>#REF!</v>
      </c>
      <c r="EF58" t="e">
        <f>AND(#REF!,"AAAAAD/9/4c=")</f>
        <v>#REF!</v>
      </c>
      <c r="EG58" t="e">
        <f>AND(#REF!,"AAAAAD/9/4g=")</f>
        <v>#REF!</v>
      </c>
      <c r="EH58" t="e">
        <f>AND(#REF!,"AAAAAD/9/4k=")</f>
        <v>#REF!</v>
      </c>
      <c r="EI58" t="e">
        <f>AND(#REF!,"AAAAAD/9/4o=")</f>
        <v>#REF!</v>
      </c>
      <c r="EJ58" t="e">
        <f>AND(#REF!,"AAAAAD/9/4s=")</f>
        <v>#REF!</v>
      </c>
      <c r="EK58" t="e">
        <f>AND(#REF!,"AAAAAD/9/4w=")</f>
        <v>#REF!</v>
      </c>
      <c r="EL58" t="e">
        <f>IF(#REF!,"AAAAAD/9/40=",0)</f>
        <v>#REF!</v>
      </c>
      <c r="EM58" t="e">
        <f>AND(#REF!,"AAAAAD/9/44=")</f>
        <v>#REF!</v>
      </c>
      <c r="EN58" t="e">
        <f>AND(#REF!,"AAAAAD/9/48=")</f>
        <v>#REF!</v>
      </c>
      <c r="EO58" t="e">
        <f>AND(#REF!,"AAAAAD/9/5A=")</f>
        <v>#REF!</v>
      </c>
      <c r="EP58" t="e">
        <f>AND(#REF!,"AAAAAD/9/5E=")</f>
        <v>#REF!</v>
      </c>
      <c r="EQ58" t="e">
        <f>AND(#REF!,"AAAAAD/9/5I=")</f>
        <v>#REF!</v>
      </c>
      <c r="ER58" t="e">
        <f>AND(#REF!,"AAAAAD/9/5M=")</f>
        <v>#REF!</v>
      </c>
      <c r="ES58" t="e">
        <f>AND(#REF!,"AAAAAD/9/5Q=")</f>
        <v>#REF!</v>
      </c>
      <c r="ET58" t="e">
        <f>AND(#REF!,"AAAAAD/9/5U=")</f>
        <v>#REF!</v>
      </c>
      <c r="EU58" t="e">
        <f>IF(#REF!,"AAAAAD/9/5Y=",0)</f>
        <v>#REF!</v>
      </c>
      <c r="EV58" t="e">
        <f>AND(#REF!,"AAAAAD/9/5c=")</f>
        <v>#REF!</v>
      </c>
      <c r="EW58" t="e">
        <f>AND(#REF!,"AAAAAD/9/5g=")</f>
        <v>#REF!</v>
      </c>
      <c r="EX58" t="e">
        <f>AND(#REF!,"AAAAAD/9/5k=")</f>
        <v>#REF!</v>
      </c>
      <c r="EY58" t="e">
        <f>AND(#REF!,"AAAAAD/9/5o=")</f>
        <v>#REF!</v>
      </c>
      <c r="EZ58" t="e">
        <f>AND(#REF!,"AAAAAD/9/5s=")</f>
        <v>#REF!</v>
      </c>
      <c r="FA58" t="e">
        <f>AND(#REF!,"AAAAAD/9/5w=")</f>
        <v>#REF!</v>
      </c>
      <c r="FB58" t="e">
        <f>AND(#REF!,"AAAAAD/9/50=")</f>
        <v>#REF!</v>
      </c>
      <c r="FC58" t="e">
        <f>AND(#REF!,"AAAAAD/9/54=")</f>
        <v>#REF!</v>
      </c>
      <c r="FD58" t="e">
        <f>IF(#REF!,"AAAAAD/9/58=",0)</f>
        <v>#REF!</v>
      </c>
      <c r="FE58" t="e">
        <f>AND(#REF!,"AAAAAD/9/6A=")</f>
        <v>#REF!</v>
      </c>
      <c r="FF58" t="e">
        <f>AND(#REF!,"AAAAAD/9/6E=")</f>
        <v>#REF!</v>
      </c>
      <c r="FG58" t="e">
        <f>AND(#REF!,"AAAAAD/9/6I=")</f>
        <v>#REF!</v>
      </c>
      <c r="FH58" t="e">
        <f>AND(#REF!,"AAAAAD/9/6M=")</f>
        <v>#REF!</v>
      </c>
      <c r="FI58" t="e">
        <f>AND(#REF!,"AAAAAD/9/6Q=")</f>
        <v>#REF!</v>
      </c>
      <c r="FJ58" t="e">
        <f>AND(#REF!,"AAAAAD/9/6U=")</f>
        <v>#REF!</v>
      </c>
      <c r="FK58" t="e">
        <f>AND(#REF!,"AAAAAD/9/6Y=")</f>
        <v>#REF!</v>
      </c>
      <c r="FL58" t="e">
        <f>AND(#REF!,"AAAAAD/9/6c=")</f>
        <v>#REF!</v>
      </c>
      <c r="FM58" t="e">
        <f>IF(#REF!,"AAAAAD/9/6g=",0)</f>
        <v>#REF!</v>
      </c>
      <c r="FN58" t="e">
        <f>AND(#REF!,"AAAAAD/9/6k=")</f>
        <v>#REF!</v>
      </c>
      <c r="FO58" t="e">
        <f>AND(#REF!,"AAAAAD/9/6o=")</f>
        <v>#REF!</v>
      </c>
      <c r="FP58" t="e">
        <f>AND(#REF!,"AAAAAD/9/6s=")</f>
        <v>#REF!</v>
      </c>
      <c r="FQ58" t="e">
        <f>AND(#REF!,"AAAAAD/9/6w=")</f>
        <v>#REF!</v>
      </c>
      <c r="FR58" t="e">
        <f>AND(#REF!,"AAAAAD/9/60=")</f>
        <v>#REF!</v>
      </c>
      <c r="FS58" t="e">
        <f>AND(#REF!,"AAAAAD/9/64=")</f>
        <v>#REF!</v>
      </c>
      <c r="FT58" t="e">
        <f>AND(#REF!,"AAAAAD/9/68=")</f>
        <v>#REF!</v>
      </c>
      <c r="FU58" t="e">
        <f>AND(#REF!,"AAAAAD/9/7A=")</f>
        <v>#REF!</v>
      </c>
      <c r="FV58" t="e">
        <f>IF(#REF!,"AAAAAD/9/7E=",0)</f>
        <v>#REF!</v>
      </c>
      <c r="FW58" t="e">
        <f>AND(#REF!,"AAAAAD/9/7I=")</f>
        <v>#REF!</v>
      </c>
      <c r="FX58" t="e">
        <f>AND(#REF!,"AAAAAD/9/7M=")</f>
        <v>#REF!</v>
      </c>
      <c r="FY58" t="e">
        <f>AND(#REF!,"AAAAAD/9/7Q=")</f>
        <v>#REF!</v>
      </c>
      <c r="FZ58" t="e">
        <f>AND(#REF!,"AAAAAD/9/7U=")</f>
        <v>#REF!</v>
      </c>
      <c r="GA58" t="e">
        <f>AND(#REF!,"AAAAAD/9/7Y=")</f>
        <v>#REF!</v>
      </c>
      <c r="GB58" t="e">
        <f>AND(#REF!,"AAAAAD/9/7c=")</f>
        <v>#REF!</v>
      </c>
      <c r="GC58" t="e">
        <f>AND(#REF!,"AAAAAD/9/7g=")</f>
        <v>#REF!</v>
      </c>
      <c r="GD58" t="e">
        <f>AND(#REF!,"AAAAAD/9/7k=")</f>
        <v>#REF!</v>
      </c>
      <c r="GE58" t="e">
        <f>IF(#REF!,"AAAAAD/9/7o=",0)</f>
        <v>#REF!</v>
      </c>
      <c r="GF58" t="e">
        <f>AND(#REF!,"AAAAAD/9/7s=")</f>
        <v>#REF!</v>
      </c>
      <c r="GG58" t="e">
        <f>AND(#REF!,"AAAAAD/9/7w=")</f>
        <v>#REF!</v>
      </c>
      <c r="GH58" t="e">
        <f>AND(#REF!,"AAAAAD/9/70=")</f>
        <v>#REF!</v>
      </c>
      <c r="GI58" t="e">
        <f>AND(#REF!,"AAAAAD/9/74=")</f>
        <v>#REF!</v>
      </c>
      <c r="GJ58" t="e">
        <f>AND(#REF!,"AAAAAD/9/78=")</f>
        <v>#REF!</v>
      </c>
      <c r="GK58" t="e">
        <f>AND(#REF!,"AAAAAD/9/8A=")</f>
        <v>#REF!</v>
      </c>
      <c r="GL58" t="e">
        <f>AND(#REF!,"AAAAAD/9/8E=")</f>
        <v>#REF!</v>
      </c>
      <c r="GM58" t="e">
        <f>AND(#REF!,"AAAAAD/9/8I=")</f>
        <v>#REF!</v>
      </c>
      <c r="GN58" t="e">
        <f>IF(#REF!,"AAAAAD/9/8M=",0)</f>
        <v>#REF!</v>
      </c>
      <c r="GO58" t="e">
        <f>AND(#REF!,"AAAAAD/9/8Q=")</f>
        <v>#REF!</v>
      </c>
      <c r="GP58" t="e">
        <f>AND(#REF!,"AAAAAD/9/8U=")</f>
        <v>#REF!</v>
      </c>
      <c r="GQ58" t="e">
        <f>AND(#REF!,"AAAAAD/9/8Y=")</f>
        <v>#REF!</v>
      </c>
      <c r="GR58" t="e">
        <f>AND(#REF!,"AAAAAD/9/8c=")</f>
        <v>#REF!</v>
      </c>
      <c r="GS58" t="e">
        <f>AND(#REF!,"AAAAAD/9/8g=")</f>
        <v>#REF!</v>
      </c>
      <c r="GT58" t="e">
        <f>AND(#REF!,"AAAAAD/9/8k=")</f>
        <v>#REF!</v>
      </c>
      <c r="GU58" t="e">
        <f>AND(#REF!,"AAAAAD/9/8o=")</f>
        <v>#REF!</v>
      </c>
      <c r="GV58" t="e">
        <f>AND(#REF!,"AAAAAD/9/8s=")</f>
        <v>#REF!</v>
      </c>
      <c r="GW58" t="e">
        <f>IF(#REF!,"AAAAAD/9/8w=",0)</f>
        <v>#REF!</v>
      </c>
      <c r="GX58" t="e">
        <f>AND(#REF!,"AAAAAD/9/80=")</f>
        <v>#REF!</v>
      </c>
      <c r="GY58" t="e">
        <f>AND(#REF!,"AAAAAD/9/84=")</f>
        <v>#REF!</v>
      </c>
      <c r="GZ58" t="e">
        <f>AND(#REF!,"AAAAAD/9/88=")</f>
        <v>#REF!</v>
      </c>
      <c r="HA58" t="e">
        <f>AND(#REF!,"AAAAAD/9/9A=")</f>
        <v>#REF!</v>
      </c>
      <c r="HB58" t="e">
        <f>AND(#REF!,"AAAAAD/9/9E=")</f>
        <v>#REF!</v>
      </c>
      <c r="HC58" t="e">
        <f>AND(#REF!,"AAAAAD/9/9I=")</f>
        <v>#REF!</v>
      </c>
      <c r="HD58" t="e">
        <f>AND(#REF!,"AAAAAD/9/9M=")</f>
        <v>#REF!</v>
      </c>
      <c r="HE58" t="e">
        <f>AND(#REF!,"AAAAAD/9/9Q=")</f>
        <v>#REF!</v>
      </c>
      <c r="HF58" t="e">
        <f>IF(#REF!,"AAAAAD/9/9U=",0)</f>
        <v>#REF!</v>
      </c>
      <c r="HG58" t="e">
        <f>AND(#REF!,"AAAAAD/9/9Y=")</f>
        <v>#REF!</v>
      </c>
      <c r="HH58" t="e">
        <f>AND(#REF!,"AAAAAD/9/9c=")</f>
        <v>#REF!</v>
      </c>
      <c r="HI58" t="e">
        <f>AND(#REF!,"AAAAAD/9/9g=")</f>
        <v>#REF!</v>
      </c>
      <c r="HJ58" t="e">
        <f>AND(#REF!,"AAAAAD/9/9k=")</f>
        <v>#REF!</v>
      </c>
      <c r="HK58" t="e">
        <f>AND(#REF!,"AAAAAD/9/9o=")</f>
        <v>#REF!</v>
      </c>
      <c r="HL58" t="e">
        <f>AND(#REF!,"AAAAAD/9/9s=")</f>
        <v>#REF!</v>
      </c>
      <c r="HM58" t="e">
        <f>AND(#REF!,"AAAAAD/9/9w=")</f>
        <v>#REF!</v>
      </c>
      <c r="HN58" t="e">
        <f>AND(#REF!,"AAAAAD/9/90=")</f>
        <v>#REF!</v>
      </c>
      <c r="HO58" t="e">
        <f>IF(#REF!,"AAAAAD/9/94=",0)</f>
        <v>#REF!</v>
      </c>
      <c r="HP58" t="e">
        <f>AND(#REF!,"AAAAAD/9/98=")</f>
        <v>#REF!</v>
      </c>
      <c r="HQ58" t="e">
        <f>AND(#REF!,"AAAAAD/9/+A=")</f>
        <v>#REF!</v>
      </c>
      <c r="HR58" t="e">
        <f>AND(#REF!,"AAAAAD/9/+E=")</f>
        <v>#REF!</v>
      </c>
      <c r="HS58" t="e">
        <f>AND(#REF!,"AAAAAD/9/+I=")</f>
        <v>#REF!</v>
      </c>
      <c r="HT58" t="e">
        <f>AND(#REF!,"AAAAAD/9/+M=")</f>
        <v>#REF!</v>
      </c>
      <c r="HU58" t="e">
        <f>AND(#REF!,"AAAAAD/9/+Q=")</f>
        <v>#REF!</v>
      </c>
      <c r="HV58" t="e">
        <f>AND(#REF!,"AAAAAD/9/+U=")</f>
        <v>#REF!</v>
      </c>
      <c r="HW58" t="e">
        <f>AND(#REF!,"AAAAAD/9/+Y=")</f>
        <v>#REF!</v>
      </c>
      <c r="HX58" t="e">
        <f>IF(#REF!,"AAAAAD/9/+c=",0)</f>
        <v>#REF!</v>
      </c>
      <c r="HY58" t="e">
        <f>AND(#REF!,"AAAAAD/9/+g=")</f>
        <v>#REF!</v>
      </c>
      <c r="HZ58" t="e">
        <f>AND(#REF!,"AAAAAD/9/+k=")</f>
        <v>#REF!</v>
      </c>
      <c r="IA58" t="e">
        <f>AND(#REF!,"AAAAAD/9/+o=")</f>
        <v>#REF!</v>
      </c>
      <c r="IB58" t="e">
        <f>AND(#REF!,"AAAAAD/9/+s=")</f>
        <v>#REF!</v>
      </c>
      <c r="IC58" t="e">
        <f>AND(#REF!,"AAAAAD/9/+w=")</f>
        <v>#REF!</v>
      </c>
      <c r="ID58" t="e">
        <f>AND(#REF!,"AAAAAD/9/+0=")</f>
        <v>#REF!</v>
      </c>
      <c r="IE58" t="e">
        <f>AND(#REF!,"AAAAAD/9/+4=")</f>
        <v>#REF!</v>
      </c>
      <c r="IF58" t="e">
        <f>AND(#REF!,"AAAAAD/9/+8=")</f>
        <v>#REF!</v>
      </c>
      <c r="IG58" t="e">
        <f>IF(#REF!,"AAAAAD/9//A=",0)</f>
        <v>#REF!</v>
      </c>
      <c r="IH58" t="e">
        <f>AND(#REF!,"AAAAAD/9//E=")</f>
        <v>#REF!</v>
      </c>
      <c r="II58" t="e">
        <f>AND(#REF!,"AAAAAD/9//I=")</f>
        <v>#REF!</v>
      </c>
      <c r="IJ58" t="e">
        <f>AND(#REF!,"AAAAAD/9//M=")</f>
        <v>#REF!</v>
      </c>
      <c r="IK58" t="e">
        <f>AND(#REF!,"AAAAAD/9//Q=")</f>
        <v>#REF!</v>
      </c>
      <c r="IL58" t="e">
        <f>AND(#REF!,"AAAAAD/9//U=")</f>
        <v>#REF!</v>
      </c>
      <c r="IM58" t="e">
        <f>AND(#REF!,"AAAAAD/9//Y=")</f>
        <v>#REF!</v>
      </c>
      <c r="IN58" t="e">
        <f>AND(#REF!,"AAAAAD/9//c=")</f>
        <v>#REF!</v>
      </c>
      <c r="IO58" t="e">
        <f>AND(#REF!,"AAAAAD/9//g=")</f>
        <v>#REF!</v>
      </c>
      <c r="IP58" t="e">
        <f>IF(#REF!,"AAAAAD/9//k=",0)</f>
        <v>#REF!</v>
      </c>
      <c r="IQ58" t="e">
        <f>AND(#REF!,"AAAAAD/9//o=")</f>
        <v>#REF!</v>
      </c>
      <c r="IR58" t="e">
        <f>AND(#REF!,"AAAAAD/9//s=")</f>
        <v>#REF!</v>
      </c>
      <c r="IS58" t="e">
        <f>AND(#REF!,"AAAAAD/9//w=")</f>
        <v>#REF!</v>
      </c>
      <c r="IT58" t="e">
        <f>AND(#REF!,"AAAAAD/9//0=")</f>
        <v>#REF!</v>
      </c>
      <c r="IU58" t="e">
        <f>AND(#REF!,"AAAAAD/9//4=")</f>
        <v>#REF!</v>
      </c>
      <c r="IV58" t="e">
        <f>AND(#REF!,"AAAAAD/9//8=")</f>
        <v>#REF!</v>
      </c>
    </row>
    <row r="59" spans="1:256">
      <c r="A59" t="e">
        <f>AND(#REF!,"AAAAABWv8AA=")</f>
        <v>#REF!</v>
      </c>
      <c r="B59" t="e">
        <f>AND(#REF!,"AAAAABWv8AE=")</f>
        <v>#REF!</v>
      </c>
      <c r="C59" t="e">
        <f>IF(#REF!,"AAAAABWv8AI=",0)</f>
        <v>#REF!</v>
      </c>
      <c r="D59" t="e">
        <f>AND(#REF!,"AAAAABWv8AM=")</f>
        <v>#REF!</v>
      </c>
      <c r="E59" t="e">
        <f>AND(#REF!,"AAAAABWv8AQ=")</f>
        <v>#REF!</v>
      </c>
      <c r="F59" t="e">
        <f>AND(#REF!,"AAAAABWv8AU=")</f>
        <v>#REF!</v>
      </c>
      <c r="G59" t="e">
        <f>AND(#REF!,"AAAAABWv8AY=")</f>
        <v>#REF!</v>
      </c>
      <c r="H59" t="e">
        <f>AND(#REF!,"AAAAABWv8Ac=")</f>
        <v>#REF!</v>
      </c>
      <c r="I59" t="e">
        <f>AND(#REF!,"AAAAABWv8Ag=")</f>
        <v>#REF!</v>
      </c>
      <c r="J59" t="e">
        <f>AND(#REF!,"AAAAABWv8Ak=")</f>
        <v>#REF!</v>
      </c>
      <c r="K59" t="e">
        <f>AND(#REF!,"AAAAABWv8Ao=")</f>
        <v>#REF!</v>
      </c>
      <c r="L59" t="e">
        <f>IF(#REF!,"AAAAABWv8As=",0)</f>
        <v>#REF!</v>
      </c>
      <c r="M59" t="e">
        <f>AND(#REF!,"AAAAABWv8Aw=")</f>
        <v>#REF!</v>
      </c>
      <c r="N59" t="e">
        <f>AND(#REF!,"AAAAABWv8A0=")</f>
        <v>#REF!</v>
      </c>
      <c r="O59" t="e">
        <f>AND(#REF!,"AAAAABWv8A4=")</f>
        <v>#REF!</v>
      </c>
      <c r="P59" t="e">
        <f>AND(#REF!,"AAAAABWv8A8=")</f>
        <v>#REF!</v>
      </c>
      <c r="Q59" t="e">
        <f>AND(#REF!,"AAAAABWv8BA=")</f>
        <v>#REF!</v>
      </c>
      <c r="R59" t="e">
        <f>AND(#REF!,"AAAAABWv8BE=")</f>
        <v>#REF!</v>
      </c>
      <c r="S59" t="e">
        <f>AND(#REF!,"AAAAABWv8BI=")</f>
        <v>#REF!</v>
      </c>
      <c r="T59" t="e">
        <f>AND(#REF!,"AAAAABWv8BM=")</f>
        <v>#REF!</v>
      </c>
      <c r="U59" t="e">
        <f>IF(#REF!,"AAAAABWv8BQ=",0)</f>
        <v>#REF!</v>
      </c>
      <c r="V59" t="e">
        <f>AND(#REF!,"AAAAABWv8BU=")</f>
        <v>#REF!</v>
      </c>
      <c r="W59" t="e">
        <f>AND(#REF!,"AAAAABWv8BY=")</f>
        <v>#REF!</v>
      </c>
      <c r="X59" t="e">
        <f>AND(#REF!,"AAAAABWv8Bc=")</f>
        <v>#REF!</v>
      </c>
      <c r="Y59" t="e">
        <f>AND(#REF!,"AAAAABWv8Bg=")</f>
        <v>#REF!</v>
      </c>
      <c r="Z59" t="e">
        <f>AND(#REF!,"AAAAABWv8Bk=")</f>
        <v>#REF!</v>
      </c>
      <c r="AA59" t="e">
        <f>AND(#REF!,"AAAAABWv8Bo=")</f>
        <v>#REF!</v>
      </c>
      <c r="AB59" t="e">
        <f>AND(#REF!,"AAAAABWv8Bs=")</f>
        <v>#REF!</v>
      </c>
      <c r="AC59" t="e">
        <f>AND(#REF!,"AAAAABWv8Bw=")</f>
        <v>#REF!</v>
      </c>
      <c r="AD59" t="e">
        <f>IF(#REF!,"AAAAABWv8B0=",0)</f>
        <v>#REF!</v>
      </c>
      <c r="AE59" t="e">
        <f>AND(#REF!,"AAAAABWv8B4=")</f>
        <v>#REF!</v>
      </c>
      <c r="AF59" t="e">
        <f>AND(#REF!,"AAAAABWv8B8=")</f>
        <v>#REF!</v>
      </c>
      <c r="AG59" t="e">
        <f>AND(#REF!,"AAAAABWv8CA=")</f>
        <v>#REF!</v>
      </c>
      <c r="AH59" t="e">
        <f>AND(#REF!,"AAAAABWv8CE=")</f>
        <v>#REF!</v>
      </c>
      <c r="AI59" t="e">
        <f>AND(#REF!,"AAAAABWv8CI=")</f>
        <v>#REF!</v>
      </c>
      <c r="AJ59" t="e">
        <f>AND(#REF!,"AAAAABWv8CM=")</f>
        <v>#REF!</v>
      </c>
      <c r="AK59" t="e">
        <f>AND(#REF!,"AAAAABWv8CQ=")</f>
        <v>#REF!</v>
      </c>
      <c r="AL59" t="e">
        <f>AND(#REF!,"AAAAABWv8CU=")</f>
        <v>#REF!</v>
      </c>
      <c r="AM59" t="e">
        <f>IF(#REF!,"AAAAABWv8CY=",0)</f>
        <v>#REF!</v>
      </c>
      <c r="AN59" t="e">
        <f>AND(#REF!,"AAAAABWv8Cc=")</f>
        <v>#REF!</v>
      </c>
      <c r="AO59" t="e">
        <f>AND(#REF!,"AAAAABWv8Cg=")</f>
        <v>#REF!</v>
      </c>
      <c r="AP59" t="e">
        <f>AND(#REF!,"AAAAABWv8Ck=")</f>
        <v>#REF!</v>
      </c>
      <c r="AQ59" t="e">
        <f>AND(#REF!,"AAAAABWv8Co=")</f>
        <v>#REF!</v>
      </c>
      <c r="AR59" t="e">
        <f>AND(#REF!,"AAAAABWv8Cs=")</f>
        <v>#REF!</v>
      </c>
      <c r="AS59" t="e">
        <f>AND(#REF!,"AAAAABWv8Cw=")</f>
        <v>#REF!</v>
      </c>
      <c r="AT59" t="e">
        <f>AND(#REF!,"AAAAABWv8C0=")</f>
        <v>#REF!</v>
      </c>
      <c r="AU59" t="e">
        <f>AND(#REF!,"AAAAABWv8C4=")</f>
        <v>#REF!</v>
      </c>
      <c r="AV59" t="e">
        <f>IF(#REF!,"AAAAABWv8C8=",0)</f>
        <v>#REF!</v>
      </c>
      <c r="AW59" t="e">
        <f>AND(#REF!,"AAAAABWv8DA=")</f>
        <v>#REF!</v>
      </c>
      <c r="AX59" t="e">
        <f>AND(#REF!,"AAAAABWv8DE=")</f>
        <v>#REF!</v>
      </c>
      <c r="AY59" t="e">
        <f>AND(#REF!,"AAAAABWv8DI=")</f>
        <v>#REF!</v>
      </c>
      <c r="AZ59" t="e">
        <f>AND(#REF!,"AAAAABWv8DM=")</f>
        <v>#REF!</v>
      </c>
      <c r="BA59" t="e">
        <f>AND(#REF!,"AAAAABWv8DQ=")</f>
        <v>#REF!</v>
      </c>
      <c r="BB59" t="e">
        <f>AND(#REF!,"AAAAABWv8DU=")</f>
        <v>#REF!</v>
      </c>
      <c r="BC59" t="e">
        <f>AND(#REF!,"AAAAABWv8DY=")</f>
        <v>#REF!</v>
      </c>
      <c r="BD59" t="e">
        <f>AND(#REF!,"AAAAABWv8Dc=")</f>
        <v>#REF!</v>
      </c>
      <c r="BE59" t="e">
        <f>IF(#REF!,"AAAAABWv8Dg=",0)</f>
        <v>#REF!</v>
      </c>
      <c r="BF59" t="e">
        <f>AND(#REF!,"AAAAABWv8Dk=")</f>
        <v>#REF!</v>
      </c>
      <c r="BG59" t="e">
        <f>AND(#REF!,"AAAAABWv8Do=")</f>
        <v>#REF!</v>
      </c>
      <c r="BH59" t="e">
        <f>AND(#REF!,"AAAAABWv8Ds=")</f>
        <v>#REF!</v>
      </c>
      <c r="BI59" t="e">
        <f>AND(#REF!,"AAAAABWv8Dw=")</f>
        <v>#REF!</v>
      </c>
      <c r="BJ59" t="e">
        <f>AND(#REF!,"AAAAABWv8D0=")</f>
        <v>#REF!</v>
      </c>
      <c r="BK59" t="e">
        <f>AND(#REF!,"AAAAABWv8D4=")</f>
        <v>#REF!</v>
      </c>
      <c r="BL59" t="e">
        <f>AND(#REF!,"AAAAABWv8D8=")</f>
        <v>#REF!</v>
      </c>
      <c r="BM59" t="e">
        <f>AND(#REF!,"AAAAABWv8EA=")</f>
        <v>#REF!</v>
      </c>
      <c r="BN59" t="e">
        <f>IF(#REF!,"AAAAABWv8EE=",0)</f>
        <v>#REF!</v>
      </c>
      <c r="BO59" t="e">
        <f>AND(#REF!,"AAAAABWv8EI=")</f>
        <v>#REF!</v>
      </c>
      <c r="BP59" t="e">
        <f>AND(#REF!,"AAAAABWv8EM=")</f>
        <v>#REF!</v>
      </c>
      <c r="BQ59" t="e">
        <f>AND(#REF!,"AAAAABWv8EQ=")</f>
        <v>#REF!</v>
      </c>
      <c r="BR59" t="e">
        <f>AND(#REF!,"AAAAABWv8EU=")</f>
        <v>#REF!</v>
      </c>
      <c r="BS59" t="e">
        <f>AND(#REF!,"AAAAABWv8EY=")</f>
        <v>#REF!</v>
      </c>
      <c r="BT59" t="e">
        <f>AND(#REF!,"AAAAABWv8Ec=")</f>
        <v>#REF!</v>
      </c>
      <c r="BU59" t="e">
        <f>AND(#REF!,"AAAAABWv8Eg=")</f>
        <v>#REF!</v>
      </c>
      <c r="BV59" t="e">
        <f>AND(#REF!,"AAAAABWv8Ek=")</f>
        <v>#REF!</v>
      </c>
      <c r="BW59" t="e">
        <f>IF(#REF!,"AAAAABWv8Eo=",0)</f>
        <v>#REF!</v>
      </c>
      <c r="BX59" t="e">
        <f>AND(#REF!,"AAAAABWv8Es=")</f>
        <v>#REF!</v>
      </c>
      <c r="BY59" t="e">
        <f>AND(#REF!,"AAAAABWv8Ew=")</f>
        <v>#REF!</v>
      </c>
      <c r="BZ59" t="e">
        <f>AND(#REF!,"AAAAABWv8E0=")</f>
        <v>#REF!</v>
      </c>
      <c r="CA59" t="e">
        <f>AND(#REF!,"AAAAABWv8E4=")</f>
        <v>#REF!</v>
      </c>
      <c r="CB59" t="e">
        <f>AND(#REF!,"AAAAABWv8E8=")</f>
        <v>#REF!</v>
      </c>
      <c r="CC59" t="e">
        <f>AND(#REF!,"AAAAABWv8FA=")</f>
        <v>#REF!</v>
      </c>
      <c r="CD59" t="e">
        <f>AND(#REF!,"AAAAABWv8FE=")</f>
        <v>#REF!</v>
      </c>
      <c r="CE59" t="e">
        <f>AND(#REF!,"AAAAABWv8FI=")</f>
        <v>#REF!</v>
      </c>
      <c r="CF59" t="e">
        <f>IF(#REF!,"AAAAABWv8FM=",0)</f>
        <v>#REF!</v>
      </c>
      <c r="CG59" t="e">
        <f>AND(#REF!,"AAAAABWv8FQ=")</f>
        <v>#REF!</v>
      </c>
      <c r="CH59" t="e">
        <f>AND(#REF!,"AAAAABWv8FU=")</f>
        <v>#REF!</v>
      </c>
      <c r="CI59" t="e">
        <f>AND(#REF!,"AAAAABWv8FY=")</f>
        <v>#REF!</v>
      </c>
      <c r="CJ59" t="e">
        <f>AND(#REF!,"AAAAABWv8Fc=")</f>
        <v>#REF!</v>
      </c>
      <c r="CK59" t="e">
        <f>AND(#REF!,"AAAAABWv8Fg=")</f>
        <v>#REF!</v>
      </c>
      <c r="CL59" t="e">
        <f>AND(#REF!,"AAAAABWv8Fk=")</f>
        <v>#REF!</v>
      </c>
      <c r="CM59" t="e">
        <f>AND(#REF!,"AAAAABWv8Fo=")</f>
        <v>#REF!</v>
      </c>
      <c r="CN59" t="e">
        <f>AND(#REF!,"AAAAABWv8Fs=")</f>
        <v>#REF!</v>
      </c>
      <c r="CO59" t="e">
        <f>IF(#REF!,"AAAAABWv8Fw=",0)</f>
        <v>#REF!</v>
      </c>
      <c r="CP59" t="e">
        <f>AND(#REF!,"AAAAABWv8F0=")</f>
        <v>#REF!</v>
      </c>
      <c r="CQ59" t="e">
        <f>AND(#REF!,"AAAAABWv8F4=")</f>
        <v>#REF!</v>
      </c>
      <c r="CR59" t="e">
        <f>AND(#REF!,"AAAAABWv8F8=")</f>
        <v>#REF!</v>
      </c>
      <c r="CS59" t="e">
        <f>AND(#REF!,"AAAAABWv8GA=")</f>
        <v>#REF!</v>
      </c>
      <c r="CT59" t="e">
        <f>AND(#REF!,"AAAAABWv8GE=")</f>
        <v>#REF!</v>
      </c>
      <c r="CU59" t="e">
        <f>AND(#REF!,"AAAAABWv8GI=")</f>
        <v>#REF!</v>
      </c>
      <c r="CV59" t="e">
        <f>AND(#REF!,"AAAAABWv8GM=")</f>
        <v>#REF!</v>
      </c>
      <c r="CW59" t="e">
        <f>AND(#REF!,"AAAAABWv8GQ=")</f>
        <v>#REF!</v>
      </c>
      <c r="CX59" t="e">
        <f>IF(#REF!,"AAAAABWv8GU=",0)</f>
        <v>#REF!</v>
      </c>
      <c r="CY59" t="e">
        <f>AND(#REF!,"AAAAABWv8GY=")</f>
        <v>#REF!</v>
      </c>
      <c r="CZ59" t="e">
        <f>AND(#REF!,"AAAAABWv8Gc=")</f>
        <v>#REF!</v>
      </c>
      <c r="DA59" t="e">
        <f>AND(#REF!,"AAAAABWv8Gg=")</f>
        <v>#REF!</v>
      </c>
      <c r="DB59" t="e">
        <f>AND(#REF!,"AAAAABWv8Gk=")</f>
        <v>#REF!</v>
      </c>
      <c r="DC59" t="e">
        <f>AND(#REF!,"AAAAABWv8Go=")</f>
        <v>#REF!</v>
      </c>
      <c r="DD59" t="e">
        <f>AND(#REF!,"AAAAABWv8Gs=")</f>
        <v>#REF!</v>
      </c>
      <c r="DE59" t="e">
        <f>AND(#REF!,"AAAAABWv8Gw=")</f>
        <v>#REF!</v>
      </c>
      <c r="DF59" t="e">
        <f>AND(#REF!,"AAAAABWv8G0=")</f>
        <v>#REF!</v>
      </c>
      <c r="DG59" t="e">
        <f>IF(#REF!,"AAAAABWv8G4=",0)</f>
        <v>#REF!</v>
      </c>
      <c r="DH59" t="e">
        <f>AND(#REF!,"AAAAABWv8G8=")</f>
        <v>#REF!</v>
      </c>
      <c r="DI59" t="e">
        <f>AND(#REF!,"AAAAABWv8HA=")</f>
        <v>#REF!</v>
      </c>
      <c r="DJ59" t="e">
        <f>AND(#REF!,"AAAAABWv8HE=")</f>
        <v>#REF!</v>
      </c>
      <c r="DK59" t="e">
        <f>AND(#REF!,"AAAAABWv8HI=")</f>
        <v>#REF!</v>
      </c>
      <c r="DL59" t="e">
        <f>AND(#REF!,"AAAAABWv8HM=")</f>
        <v>#REF!</v>
      </c>
      <c r="DM59" t="e">
        <f>AND(#REF!,"AAAAABWv8HQ=")</f>
        <v>#REF!</v>
      </c>
      <c r="DN59" t="e">
        <f>AND(#REF!,"AAAAABWv8HU=")</f>
        <v>#REF!</v>
      </c>
      <c r="DO59" t="e">
        <f>AND(#REF!,"AAAAABWv8HY=")</f>
        <v>#REF!</v>
      </c>
      <c r="DP59" t="e">
        <f>IF(#REF!,"AAAAABWv8Hc=",0)</f>
        <v>#REF!</v>
      </c>
      <c r="DQ59" t="e">
        <f>AND(#REF!,"AAAAABWv8Hg=")</f>
        <v>#REF!</v>
      </c>
      <c r="DR59" t="e">
        <f>AND(#REF!,"AAAAABWv8Hk=")</f>
        <v>#REF!</v>
      </c>
      <c r="DS59" t="e">
        <f>AND(#REF!,"AAAAABWv8Ho=")</f>
        <v>#REF!</v>
      </c>
      <c r="DT59" t="e">
        <f>AND(#REF!,"AAAAABWv8Hs=")</f>
        <v>#REF!</v>
      </c>
      <c r="DU59" t="e">
        <f>AND(#REF!,"AAAAABWv8Hw=")</f>
        <v>#REF!</v>
      </c>
      <c r="DV59" t="e">
        <f>AND(#REF!,"AAAAABWv8H0=")</f>
        <v>#REF!</v>
      </c>
      <c r="DW59" t="e">
        <f>AND(#REF!,"AAAAABWv8H4=")</f>
        <v>#REF!</v>
      </c>
      <c r="DX59" t="e">
        <f>AND(#REF!,"AAAAABWv8H8=")</f>
        <v>#REF!</v>
      </c>
      <c r="DY59" t="e">
        <f>IF(#REF!,"AAAAABWv8IA=",0)</f>
        <v>#REF!</v>
      </c>
      <c r="DZ59" t="e">
        <f>AND(#REF!,"AAAAABWv8IE=")</f>
        <v>#REF!</v>
      </c>
      <c r="EA59" t="e">
        <f>AND(#REF!,"AAAAABWv8II=")</f>
        <v>#REF!</v>
      </c>
      <c r="EB59" t="e">
        <f>AND(#REF!,"AAAAABWv8IM=")</f>
        <v>#REF!</v>
      </c>
      <c r="EC59" t="e">
        <f>AND(#REF!,"AAAAABWv8IQ=")</f>
        <v>#REF!</v>
      </c>
      <c r="ED59" t="e">
        <f>AND(#REF!,"AAAAABWv8IU=")</f>
        <v>#REF!</v>
      </c>
      <c r="EE59" t="e">
        <f>AND(#REF!,"AAAAABWv8IY=")</f>
        <v>#REF!</v>
      </c>
      <c r="EF59" t="e">
        <f>AND(#REF!,"AAAAABWv8Ic=")</f>
        <v>#REF!</v>
      </c>
      <c r="EG59" t="e">
        <f>AND(#REF!,"AAAAABWv8Ig=")</f>
        <v>#REF!</v>
      </c>
      <c r="EH59" t="e">
        <f>IF(#REF!,"AAAAABWv8Ik=",0)</f>
        <v>#REF!</v>
      </c>
      <c r="EI59" t="e">
        <f>AND(#REF!,"AAAAABWv8Io=")</f>
        <v>#REF!</v>
      </c>
      <c r="EJ59" t="e">
        <f>AND(#REF!,"AAAAABWv8Is=")</f>
        <v>#REF!</v>
      </c>
      <c r="EK59" t="e">
        <f>AND(#REF!,"AAAAABWv8Iw=")</f>
        <v>#REF!</v>
      </c>
      <c r="EL59" t="e">
        <f>AND(#REF!,"AAAAABWv8I0=")</f>
        <v>#REF!</v>
      </c>
      <c r="EM59" t="e">
        <f>AND(#REF!,"AAAAABWv8I4=")</f>
        <v>#REF!</v>
      </c>
      <c r="EN59" t="e">
        <f>AND(#REF!,"AAAAABWv8I8=")</f>
        <v>#REF!</v>
      </c>
      <c r="EO59" t="e">
        <f>AND(#REF!,"AAAAABWv8JA=")</f>
        <v>#REF!</v>
      </c>
      <c r="EP59" t="e">
        <f>AND(#REF!,"AAAAABWv8JE=")</f>
        <v>#REF!</v>
      </c>
      <c r="EQ59" t="e">
        <f>IF(#REF!,"AAAAABWv8JI=",0)</f>
        <v>#REF!</v>
      </c>
      <c r="ER59" t="e">
        <f>AND(#REF!,"AAAAABWv8JM=")</f>
        <v>#REF!</v>
      </c>
      <c r="ES59" t="e">
        <f>AND(#REF!,"AAAAABWv8JQ=")</f>
        <v>#REF!</v>
      </c>
      <c r="ET59" t="e">
        <f>AND(#REF!,"AAAAABWv8JU=")</f>
        <v>#REF!</v>
      </c>
      <c r="EU59" t="e">
        <f>AND(#REF!,"AAAAABWv8JY=")</f>
        <v>#REF!</v>
      </c>
      <c r="EV59" t="e">
        <f>AND(#REF!,"AAAAABWv8Jc=")</f>
        <v>#REF!</v>
      </c>
      <c r="EW59" t="e">
        <f>AND(#REF!,"AAAAABWv8Jg=")</f>
        <v>#REF!</v>
      </c>
      <c r="EX59" t="e">
        <f>AND(#REF!,"AAAAABWv8Jk=")</f>
        <v>#REF!</v>
      </c>
      <c r="EY59" t="e">
        <f>AND(#REF!,"AAAAABWv8Jo=")</f>
        <v>#REF!</v>
      </c>
      <c r="EZ59" t="e">
        <f>IF(#REF!,"AAAAABWv8Js=",0)</f>
        <v>#REF!</v>
      </c>
      <c r="FA59" t="e">
        <f>AND(#REF!,"AAAAABWv8Jw=")</f>
        <v>#REF!</v>
      </c>
      <c r="FB59" t="e">
        <f>AND(#REF!,"AAAAABWv8J0=")</f>
        <v>#REF!</v>
      </c>
      <c r="FC59" t="e">
        <f>AND(#REF!,"AAAAABWv8J4=")</f>
        <v>#REF!</v>
      </c>
      <c r="FD59" t="e">
        <f>AND(#REF!,"AAAAABWv8J8=")</f>
        <v>#REF!</v>
      </c>
      <c r="FE59" t="e">
        <f>AND(#REF!,"AAAAABWv8KA=")</f>
        <v>#REF!</v>
      </c>
      <c r="FF59" t="e">
        <f>AND(#REF!,"AAAAABWv8KE=")</f>
        <v>#REF!</v>
      </c>
      <c r="FG59" t="e">
        <f>AND(#REF!,"AAAAABWv8KI=")</f>
        <v>#REF!</v>
      </c>
      <c r="FH59" t="e">
        <f>AND(#REF!,"AAAAABWv8KM=")</f>
        <v>#REF!</v>
      </c>
      <c r="FI59" t="e">
        <f>IF(#REF!,"AAAAABWv8KQ=",0)</f>
        <v>#REF!</v>
      </c>
      <c r="FJ59" t="e">
        <f>AND(#REF!,"AAAAABWv8KU=")</f>
        <v>#REF!</v>
      </c>
      <c r="FK59" t="e">
        <f>AND(#REF!,"AAAAABWv8KY=")</f>
        <v>#REF!</v>
      </c>
      <c r="FL59" t="e">
        <f>AND(#REF!,"AAAAABWv8Kc=")</f>
        <v>#REF!</v>
      </c>
      <c r="FM59" t="e">
        <f>AND(#REF!,"AAAAABWv8Kg=")</f>
        <v>#REF!</v>
      </c>
      <c r="FN59" t="e">
        <f>AND(#REF!,"AAAAABWv8Kk=")</f>
        <v>#REF!</v>
      </c>
      <c r="FO59" t="e">
        <f>AND(#REF!,"AAAAABWv8Ko=")</f>
        <v>#REF!</v>
      </c>
      <c r="FP59" t="e">
        <f>AND(#REF!,"AAAAABWv8Ks=")</f>
        <v>#REF!</v>
      </c>
      <c r="FQ59" t="e">
        <f>AND(#REF!,"AAAAABWv8Kw=")</f>
        <v>#REF!</v>
      </c>
      <c r="FR59" t="e">
        <f>IF(#REF!,"AAAAABWv8K0=",0)</f>
        <v>#REF!</v>
      </c>
      <c r="FS59" t="e">
        <f>AND(#REF!,"AAAAABWv8K4=")</f>
        <v>#REF!</v>
      </c>
      <c r="FT59" t="e">
        <f>AND(#REF!,"AAAAABWv8K8=")</f>
        <v>#REF!</v>
      </c>
      <c r="FU59" t="e">
        <f>AND(#REF!,"AAAAABWv8LA=")</f>
        <v>#REF!</v>
      </c>
      <c r="FV59" t="e">
        <f>AND(#REF!,"AAAAABWv8LE=")</f>
        <v>#REF!</v>
      </c>
      <c r="FW59" t="e">
        <f>AND(#REF!,"AAAAABWv8LI=")</f>
        <v>#REF!</v>
      </c>
      <c r="FX59" t="e">
        <f>AND(#REF!,"AAAAABWv8LM=")</f>
        <v>#REF!</v>
      </c>
      <c r="FY59" t="e">
        <f>AND(#REF!,"AAAAABWv8LQ=")</f>
        <v>#REF!</v>
      </c>
      <c r="FZ59" t="e">
        <f>AND(#REF!,"AAAAABWv8LU=")</f>
        <v>#REF!</v>
      </c>
      <c r="GA59" t="e">
        <f>IF(#REF!,"AAAAABWv8LY=",0)</f>
        <v>#REF!</v>
      </c>
      <c r="GB59" t="e">
        <f>AND(#REF!,"AAAAABWv8Lc=")</f>
        <v>#REF!</v>
      </c>
      <c r="GC59" t="e">
        <f>AND(#REF!,"AAAAABWv8Lg=")</f>
        <v>#REF!</v>
      </c>
      <c r="GD59" t="e">
        <f>AND(#REF!,"AAAAABWv8Lk=")</f>
        <v>#REF!</v>
      </c>
      <c r="GE59" t="e">
        <f>AND(#REF!,"AAAAABWv8Lo=")</f>
        <v>#REF!</v>
      </c>
      <c r="GF59" t="e">
        <f>AND(#REF!,"AAAAABWv8Ls=")</f>
        <v>#REF!</v>
      </c>
      <c r="GG59" t="e">
        <f>AND(#REF!,"AAAAABWv8Lw=")</f>
        <v>#REF!</v>
      </c>
      <c r="GH59" t="e">
        <f>AND(#REF!,"AAAAABWv8L0=")</f>
        <v>#REF!</v>
      </c>
      <c r="GI59" t="e">
        <f>AND(#REF!,"AAAAABWv8L4=")</f>
        <v>#REF!</v>
      </c>
      <c r="GJ59" t="e">
        <f>IF(#REF!,"AAAAABWv8L8=",0)</f>
        <v>#REF!</v>
      </c>
      <c r="GK59" t="e">
        <f>AND(#REF!,"AAAAABWv8MA=")</f>
        <v>#REF!</v>
      </c>
      <c r="GL59" t="e">
        <f>AND(#REF!,"AAAAABWv8ME=")</f>
        <v>#REF!</v>
      </c>
      <c r="GM59" t="e">
        <f>AND(#REF!,"AAAAABWv8MI=")</f>
        <v>#REF!</v>
      </c>
      <c r="GN59" t="e">
        <f>AND(#REF!,"AAAAABWv8MM=")</f>
        <v>#REF!</v>
      </c>
      <c r="GO59" t="e">
        <f>AND(#REF!,"AAAAABWv8MQ=")</f>
        <v>#REF!</v>
      </c>
      <c r="GP59" t="e">
        <f>AND(#REF!,"AAAAABWv8MU=")</f>
        <v>#REF!</v>
      </c>
      <c r="GQ59" t="e">
        <f>AND(#REF!,"AAAAABWv8MY=")</f>
        <v>#REF!</v>
      </c>
      <c r="GR59" t="e">
        <f>AND(#REF!,"AAAAABWv8Mc=")</f>
        <v>#REF!</v>
      </c>
      <c r="GS59" t="e">
        <f>IF(#REF!,"AAAAABWv8Mg=",0)</f>
        <v>#REF!</v>
      </c>
      <c r="GT59" t="e">
        <f>AND(#REF!,"AAAAABWv8Mk=")</f>
        <v>#REF!</v>
      </c>
      <c r="GU59" t="e">
        <f>AND(#REF!,"AAAAABWv8Mo=")</f>
        <v>#REF!</v>
      </c>
      <c r="GV59" t="e">
        <f>AND(#REF!,"AAAAABWv8Ms=")</f>
        <v>#REF!</v>
      </c>
      <c r="GW59" t="e">
        <f>AND(#REF!,"AAAAABWv8Mw=")</f>
        <v>#REF!</v>
      </c>
      <c r="GX59" t="e">
        <f>AND(#REF!,"AAAAABWv8M0=")</f>
        <v>#REF!</v>
      </c>
      <c r="GY59" t="e">
        <f>AND(#REF!,"AAAAABWv8M4=")</f>
        <v>#REF!</v>
      </c>
      <c r="GZ59" t="e">
        <f>AND(#REF!,"AAAAABWv8M8=")</f>
        <v>#REF!</v>
      </c>
      <c r="HA59" t="e">
        <f>AND(#REF!,"AAAAABWv8NA=")</f>
        <v>#REF!</v>
      </c>
      <c r="HB59" t="e">
        <f>IF(#REF!,"AAAAABWv8NE=",0)</f>
        <v>#REF!</v>
      </c>
      <c r="HC59" t="e">
        <f>AND(#REF!,"AAAAABWv8NI=")</f>
        <v>#REF!</v>
      </c>
      <c r="HD59" t="e">
        <f>AND(#REF!,"AAAAABWv8NM=")</f>
        <v>#REF!</v>
      </c>
      <c r="HE59" t="e">
        <f>AND(#REF!,"AAAAABWv8NQ=")</f>
        <v>#REF!</v>
      </c>
      <c r="HF59" t="e">
        <f>AND(#REF!,"AAAAABWv8NU=")</f>
        <v>#REF!</v>
      </c>
      <c r="HG59" t="e">
        <f>AND(#REF!,"AAAAABWv8NY=")</f>
        <v>#REF!</v>
      </c>
      <c r="HH59" t="e">
        <f>AND(#REF!,"AAAAABWv8Nc=")</f>
        <v>#REF!</v>
      </c>
      <c r="HI59" t="e">
        <f>AND(#REF!,"AAAAABWv8Ng=")</f>
        <v>#REF!</v>
      </c>
      <c r="HJ59" t="e">
        <f>AND(#REF!,"AAAAABWv8Nk=")</f>
        <v>#REF!</v>
      </c>
      <c r="HK59" t="e">
        <f>IF(#REF!,"AAAAABWv8No=",0)</f>
        <v>#REF!</v>
      </c>
      <c r="HL59" t="e">
        <f>AND(#REF!,"AAAAABWv8Ns=")</f>
        <v>#REF!</v>
      </c>
      <c r="HM59" t="e">
        <f>AND(#REF!,"AAAAABWv8Nw=")</f>
        <v>#REF!</v>
      </c>
      <c r="HN59" t="e">
        <f>AND(#REF!,"AAAAABWv8N0=")</f>
        <v>#REF!</v>
      </c>
      <c r="HO59" t="e">
        <f>AND(#REF!,"AAAAABWv8N4=")</f>
        <v>#REF!</v>
      </c>
      <c r="HP59" t="e">
        <f>AND(#REF!,"AAAAABWv8N8=")</f>
        <v>#REF!</v>
      </c>
      <c r="HQ59" t="e">
        <f>AND(#REF!,"AAAAABWv8OA=")</f>
        <v>#REF!</v>
      </c>
      <c r="HR59" t="e">
        <f>AND(#REF!,"AAAAABWv8OE=")</f>
        <v>#REF!</v>
      </c>
      <c r="HS59" t="e">
        <f>AND(#REF!,"AAAAABWv8OI=")</f>
        <v>#REF!</v>
      </c>
      <c r="HT59" t="e">
        <f>IF(#REF!,"AAAAABWv8OM=",0)</f>
        <v>#REF!</v>
      </c>
      <c r="HU59" t="e">
        <f>AND(#REF!,"AAAAABWv8OQ=")</f>
        <v>#REF!</v>
      </c>
      <c r="HV59" t="e">
        <f>AND(#REF!,"AAAAABWv8OU=")</f>
        <v>#REF!</v>
      </c>
      <c r="HW59" t="e">
        <f>AND(#REF!,"AAAAABWv8OY=")</f>
        <v>#REF!</v>
      </c>
      <c r="HX59" t="e">
        <f>AND(#REF!,"AAAAABWv8Oc=")</f>
        <v>#REF!</v>
      </c>
      <c r="HY59" t="e">
        <f>AND(#REF!,"AAAAABWv8Og=")</f>
        <v>#REF!</v>
      </c>
      <c r="HZ59" t="e">
        <f>AND(#REF!,"AAAAABWv8Ok=")</f>
        <v>#REF!</v>
      </c>
      <c r="IA59" t="e">
        <f>AND(#REF!,"AAAAABWv8Oo=")</f>
        <v>#REF!</v>
      </c>
      <c r="IB59" t="e">
        <f>AND(#REF!,"AAAAABWv8Os=")</f>
        <v>#REF!</v>
      </c>
      <c r="IC59" t="e">
        <f>IF(#REF!,"AAAAABWv8Ow=",0)</f>
        <v>#REF!</v>
      </c>
      <c r="ID59" t="e">
        <f>AND(#REF!,"AAAAABWv8O0=")</f>
        <v>#REF!</v>
      </c>
      <c r="IE59" t="e">
        <f>AND(#REF!,"AAAAABWv8O4=")</f>
        <v>#REF!</v>
      </c>
      <c r="IF59" t="e">
        <f>AND(#REF!,"AAAAABWv8O8=")</f>
        <v>#REF!</v>
      </c>
      <c r="IG59" t="e">
        <f>AND(#REF!,"AAAAABWv8PA=")</f>
        <v>#REF!</v>
      </c>
      <c r="IH59" t="e">
        <f>AND(#REF!,"AAAAABWv8PE=")</f>
        <v>#REF!</v>
      </c>
      <c r="II59" t="e">
        <f>AND(#REF!,"AAAAABWv8PI=")</f>
        <v>#REF!</v>
      </c>
      <c r="IJ59" t="e">
        <f>AND(#REF!,"AAAAABWv8PM=")</f>
        <v>#REF!</v>
      </c>
      <c r="IK59" t="e">
        <f>AND(#REF!,"AAAAABWv8PQ=")</f>
        <v>#REF!</v>
      </c>
      <c r="IL59" t="e">
        <f>IF(#REF!,"AAAAABWv8PU=",0)</f>
        <v>#REF!</v>
      </c>
      <c r="IM59" t="e">
        <f>AND(#REF!,"AAAAABWv8PY=")</f>
        <v>#REF!</v>
      </c>
      <c r="IN59" t="e">
        <f>AND(#REF!,"AAAAABWv8Pc=")</f>
        <v>#REF!</v>
      </c>
      <c r="IO59" t="e">
        <f>AND(#REF!,"AAAAABWv8Pg=")</f>
        <v>#REF!</v>
      </c>
      <c r="IP59" t="e">
        <f>AND(#REF!,"AAAAABWv8Pk=")</f>
        <v>#REF!</v>
      </c>
      <c r="IQ59" t="e">
        <f>AND(#REF!,"AAAAABWv8Po=")</f>
        <v>#REF!</v>
      </c>
      <c r="IR59" t="e">
        <f>AND(#REF!,"AAAAABWv8Ps=")</f>
        <v>#REF!</v>
      </c>
      <c r="IS59" t="e">
        <f>AND(#REF!,"AAAAABWv8Pw=")</f>
        <v>#REF!</v>
      </c>
      <c r="IT59" t="e">
        <f>AND(#REF!,"AAAAABWv8P0=")</f>
        <v>#REF!</v>
      </c>
      <c r="IU59" t="e">
        <f>IF(#REF!,"AAAAABWv8P4=",0)</f>
        <v>#REF!</v>
      </c>
      <c r="IV59" t="e">
        <f>AND(#REF!,"AAAAABWv8P8=")</f>
        <v>#REF!</v>
      </c>
    </row>
    <row r="60" spans="1:256">
      <c r="A60" t="e">
        <f>AND(#REF!,"AAAAAF/X/QA=")</f>
        <v>#REF!</v>
      </c>
      <c r="B60" t="e">
        <f>AND(#REF!,"AAAAAF/X/QE=")</f>
        <v>#REF!</v>
      </c>
      <c r="C60" t="e">
        <f>AND(#REF!,"AAAAAF/X/QI=")</f>
        <v>#REF!</v>
      </c>
      <c r="D60" t="e">
        <f>AND(#REF!,"AAAAAF/X/QM=")</f>
        <v>#REF!</v>
      </c>
      <c r="E60" t="e">
        <f>AND(#REF!,"AAAAAF/X/QQ=")</f>
        <v>#REF!</v>
      </c>
      <c r="F60" t="e">
        <f>AND(#REF!,"AAAAAF/X/QU=")</f>
        <v>#REF!</v>
      </c>
      <c r="G60" t="e">
        <f>AND(#REF!,"AAAAAF/X/QY=")</f>
        <v>#REF!</v>
      </c>
      <c r="H60" t="e">
        <f>IF(#REF!,"AAAAAF/X/Qc=",0)</f>
        <v>#REF!</v>
      </c>
      <c r="I60" t="e">
        <f>AND(#REF!,"AAAAAF/X/Qg=")</f>
        <v>#REF!</v>
      </c>
      <c r="J60" t="e">
        <f>AND(#REF!,"AAAAAF/X/Qk=")</f>
        <v>#REF!</v>
      </c>
      <c r="K60" t="e">
        <f>AND(#REF!,"AAAAAF/X/Qo=")</f>
        <v>#REF!</v>
      </c>
      <c r="L60" t="e">
        <f>AND(#REF!,"AAAAAF/X/Qs=")</f>
        <v>#REF!</v>
      </c>
      <c r="M60" t="e">
        <f>AND(#REF!,"AAAAAF/X/Qw=")</f>
        <v>#REF!</v>
      </c>
      <c r="N60" t="e">
        <f>AND(#REF!,"AAAAAF/X/Q0=")</f>
        <v>#REF!</v>
      </c>
      <c r="O60" t="e">
        <f>AND(#REF!,"AAAAAF/X/Q4=")</f>
        <v>#REF!</v>
      </c>
      <c r="P60" t="e">
        <f>AND(#REF!,"AAAAAF/X/Q8=")</f>
        <v>#REF!</v>
      </c>
      <c r="Q60" t="e">
        <f>IF(#REF!,"AAAAAF/X/RA=",0)</f>
        <v>#REF!</v>
      </c>
      <c r="R60" t="e">
        <f>AND(#REF!,"AAAAAF/X/RE=")</f>
        <v>#REF!</v>
      </c>
      <c r="S60" t="e">
        <f>AND(#REF!,"AAAAAF/X/RI=")</f>
        <v>#REF!</v>
      </c>
      <c r="T60" t="e">
        <f>AND(#REF!,"AAAAAF/X/RM=")</f>
        <v>#REF!</v>
      </c>
      <c r="U60" t="e">
        <f>AND(#REF!,"AAAAAF/X/RQ=")</f>
        <v>#REF!</v>
      </c>
      <c r="V60" t="e">
        <f>AND(#REF!,"AAAAAF/X/RU=")</f>
        <v>#REF!</v>
      </c>
      <c r="W60" t="e">
        <f>AND(#REF!,"AAAAAF/X/RY=")</f>
        <v>#REF!</v>
      </c>
      <c r="X60" t="e">
        <f>AND(#REF!,"AAAAAF/X/Rc=")</f>
        <v>#REF!</v>
      </c>
      <c r="Y60" t="e">
        <f>AND(#REF!,"AAAAAF/X/Rg=")</f>
        <v>#REF!</v>
      </c>
      <c r="Z60" t="e">
        <f>IF(#REF!,"AAAAAF/X/Rk=",0)</f>
        <v>#REF!</v>
      </c>
      <c r="AA60" t="e">
        <f>AND(#REF!,"AAAAAF/X/Ro=")</f>
        <v>#REF!</v>
      </c>
      <c r="AB60" t="e">
        <f>AND(#REF!,"AAAAAF/X/Rs=")</f>
        <v>#REF!</v>
      </c>
      <c r="AC60" t="e">
        <f>AND(#REF!,"AAAAAF/X/Rw=")</f>
        <v>#REF!</v>
      </c>
      <c r="AD60" t="e">
        <f>AND(#REF!,"AAAAAF/X/R0=")</f>
        <v>#REF!</v>
      </c>
      <c r="AE60" t="e">
        <f>AND(#REF!,"AAAAAF/X/R4=")</f>
        <v>#REF!</v>
      </c>
      <c r="AF60" t="e">
        <f>AND(#REF!,"AAAAAF/X/R8=")</f>
        <v>#REF!</v>
      </c>
      <c r="AG60" t="e">
        <f>AND(#REF!,"AAAAAF/X/SA=")</f>
        <v>#REF!</v>
      </c>
      <c r="AH60" t="e">
        <f>AND(#REF!,"AAAAAF/X/SE=")</f>
        <v>#REF!</v>
      </c>
      <c r="AI60" t="e">
        <f>IF(#REF!,"AAAAAF/X/SI=",0)</f>
        <v>#REF!</v>
      </c>
      <c r="AJ60" t="e">
        <f>AND(#REF!,"AAAAAF/X/SM=")</f>
        <v>#REF!</v>
      </c>
      <c r="AK60" t="e">
        <f>AND(#REF!,"AAAAAF/X/SQ=")</f>
        <v>#REF!</v>
      </c>
      <c r="AL60" t="e">
        <f>AND(#REF!,"AAAAAF/X/SU=")</f>
        <v>#REF!</v>
      </c>
      <c r="AM60" t="e">
        <f>AND(#REF!,"AAAAAF/X/SY=")</f>
        <v>#REF!</v>
      </c>
      <c r="AN60" t="e">
        <f>AND(#REF!,"AAAAAF/X/Sc=")</f>
        <v>#REF!</v>
      </c>
      <c r="AO60" t="e">
        <f>AND(#REF!,"AAAAAF/X/Sg=")</f>
        <v>#REF!</v>
      </c>
      <c r="AP60" t="e">
        <f>AND(#REF!,"AAAAAF/X/Sk=")</f>
        <v>#REF!</v>
      </c>
      <c r="AQ60" t="e">
        <f>AND(#REF!,"AAAAAF/X/So=")</f>
        <v>#REF!</v>
      </c>
      <c r="AR60" t="e">
        <f>IF(#REF!,"AAAAAF/X/Ss=",0)</f>
        <v>#REF!</v>
      </c>
      <c r="AS60" t="e">
        <f>AND(#REF!,"AAAAAF/X/Sw=")</f>
        <v>#REF!</v>
      </c>
      <c r="AT60" t="e">
        <f>AND(#REF!,"AAAAAF/X/S0=")</f>
        <v>#REF!</v>
      </c>
      <c r="AU60" t="e">
        <f>AND(#REF!,"AAAAAF/X/S4=")</f>
        <v>#REF!</v>
      </c>
      <c r="AV60" t="e">
        <f>AND(#REF!,"AAAAAF/X/S8=")</f>
        <v>#REF!</v>
      </c>
      <c r="AW60" t="e">
        <f>AND(#REF!,"AAAAAF/X/TA=")</f>
        <v>#REF!</v>
      </c>
      <c r="AX60" t="e">
        <f>AND(#REF!,"AAAAAF/X/TE=")</f>
        <v>#REF!</v>
      </c>
      <c r="AY60" t="e">
        <f>AND(#REF!,"AAAAAF/X/TI=")</f>
        <v>#REF!</v>
      </c>
      <c r="AZ60" t="e">
        <f>AND(#REF!,"AAAAAF/X/TM=")</f>
        <v>#REF!</v>
      </c>
      <c r="BA60" t="e">
        <f>IF(#REF!,"AAAAAF/X/TQ=",0)</f>
        <v>#REF!</v>
      </c>
      <c r="BB60" t="e">
        <f>AND(#REF!,"AAAAAF/X/TU=")</f>
        <v>#REF!</v>
      </c>
      <c r="BC60" t="e">
        <f>AND(#REF!,"AAAAAF/X/TY=")</f>
        <v>#REF!</v>
      </c>
      <c r="BD60" t="e">
        <f>AND(#REF!,"AAAAAF/X/Tc=")</f>
        <v>#REF!</v>
      </c>
      <c r="BE60" t="e">
        <f>AND(#REF!,"AAAAAF/X/Tg=")</f>
        <v>#REF!</v>
      </c>
      <c r="BF60" t="e">
        <f>AND(#REF!,"AAAAAF/X/Tk=")</f>
        <v>#REF!</v>
      </c>
      <c r="BG60" t="e">
        <f>AND(#REF!,"AAAAAF/X/To=")</f>
        <v>#REF!</v>
      </c>
      <c r="BH60" t="e">
        <f>AND(#REF!,"AAAAAF/X/Ts=")</f>
        <v>#REF!</v>
      </c>
      <c r="BI60" t="e">
        <f>AND(#REF!,"AAAAAF/X/Tw=")</f>
        <v>#REF!</v>
      </c>
      <c r="BJ60" t="e">
        <f>IF(#REF!,"AAAAAF/X/T0=",0)</f>
        <v>#REF!</v>
      </c>
      <c r="BK60" t="e">
        <f>AND(#REF!,"AAAAAF/X/T4=")</f>
        <v>#REF!</v>
      </c>
      <c r="BL60" t="e">
        <f>AND(#REF!,"AAAAAF/X/T8=")</f>
        <v>#REF!</v>
      </c>
      <c r="BM60" t="e">
        <f>AND(#REF!,"AAAAAF/X/UA=")</f>
        <v>#REF!</v>
      </c>
      <c r="BN60" t="e">
        <f>AND(#REF!,"AAAAAF/X/UE=")</f>
        <v>#REF!</v>
      </c>
      <c r="BO60" t="e">
        <f>AND(#REF!,"AAAAAF/X/UI=")</f>
        <v>#REF!</v>
      </c>
      <c r="BP60" t="e">
        <f>AND(#REF!,"AAAAAF/X/UM=")</f>
        <v>#REF!</v>
      </c>
      <c r="BQ60" t="e">
        <f>AND(#REF!,"AAAAAF/X/UQ=")</f>
        <v>#REF!</v>
      </c>
      <c r="BR60" t="e">
        <f>AND(#REF!,"AAAAAF/X/UU=")</f>
        <v>#REF!</v>
      </c>
      <c r="BS60" t="e">
        <f>IF(#REF!,"AAAAAF/X/UY=",0)</f>
        <v>#REF!</v>
      </c>
      <c r="BT60" t="e">
        <f>AND(#REF!,"AAAAAF/X/Uc=")</f>
        <v>#REF!</v>
      </c>
      <c r="BU60" t="e">
        <f>AND(#REF!,"AAAAAF/X/Ug=")</f>
        <v>#REF!</v>
      </c>
      <c r="BV60" t="e">
        <f>AND(#REF!,"AAAAAF/X/Uk=")</f>
        <v>#REF!</v>
      </c>
      <c r="BW60" t="e">
        <f>AND(#REF!,"AAAAAF/X/Uo=")</f>
        <v>#REF!</v>
      </c>
      <c r="BX60" t="e">
        <f>AND(#REF!,"AAAAAF/X/Us=")</f>
        <v>#REF!</v>
      </c>
      <c r="BY60" t="e">
        <f>AND(#REF!,"AAAAAF/X/Uw=")</f>
        <v>#REF!</v>
      </c>
      <c r="BZ60" t="e">
        <f>AND(#REF!,"AAAAAF/X/U0=")</f>
        <v>#REF!</v>
      </c>
      <c r="CA60" t="e">
        <f>AND(#REF!,"AAAAAF/X/U4=")</f>
        <v>#REF!</v>
      </c>
      <c r="CB60" t="e">
        <f>IF(#REF!,"AAAAAF/X/U8=",0)</f>
        <v>#REF!</v>
      </c>
      <c r="CC60" t="e">
        <f>AND(#REF!,"AAAAAF/X/VA=")</f>
        <v>#REF!</v>
      </c>
      <c r="CD60" t="e">
        <f>AND(#REF!,"AAAAAF/X/VE=")</f>
        <v>#REF!</v>
      </c>
      <c r="CE60" t="e">
        <f>AND(#REF!,"AAAAAF/X/VI=")</f>
        <v>#REF!</v>
      </c>
      <c r="CF60" t="e">
        <f>AND(#REF!,"AAAAAF/X/VM=")</f>
        <v>#REF!</v>
      </c>
      <c r="CG60" t="e">
        <f>AND(#REF!,"AAAAAF/X/VQ=")</f>
        <v>#REF!</v>
      </c>
      <c r="CH60" t="e">
        <f>AND(#REF!,"AAAAAF/X/VU=")</f>
        <v>#REF!</v>
      </c>
      <c r="CI60" t="e">
        <f>AND(#REF!,"AAAAAF/X/VY=")</f>
        <v>#REF!</v>
      </c>
      <c r="CJ60" t="e">
        <f>AND(#REF!,"AAAAAF/X/Vc=")</f>
        <v>#REF!</v>
      </c>
      <c r="CK60" t="e">
        <f>IF(#REF!,"AAAAAF/X/Vg=",0)</f>
        <v>#REF!</v>
      </c>
      <c r="CL60" t="e">
        <f>AND(#REF!,"AAAAAF/X/Vk=")</f>
        <v>#REF!</v>
      </c>
      <c r="CM60" t="e">
        <f>AND(#REF!,"AAAAAF/X/Vo=")</f>
        <v>#REF!</v>
      </c>
      <c r="CN60" t="e">
        <f>AND(#REF!,"AAAAAF/X/Vs=")</f>
        <v>#REF!</v>
      </c>
      <c r="CO60" t="e">
        <f>AND(#REF!,"AAAAAF/X/Vw=")</f>
        <v>#REF!</v>
      </c>
      <c r="CP60" t="e">
        <f>AND(#REF!,"AAAAAF/X/V0=")</f>
        <v>#REF!</v>
      </c>
      <c r="CQ60" t="e">
        <f>AND(#REF!,"AAAAAF/X/V4=")</f>
        <v>#REF!</v>
      </c>
      <c r="CR60" t="e">
        <f>AND(#REF!,"AAAAAF/X/V8=")</f>
        <v>#REF!</v>
      </c>
      <c r="CS60" t="e">
        <f>AND(#REF!,"AAAAAF/X/WA=")</f>
        <v>#REF!</v>
      </c>
      <c r="CT60" t="e">
        <f>IF(#REF!,"AAAAAF/X/WE=",0)</f>
        <v>#REF!</v>
      </c>
      <c r="CU60" t="e">
        <f>AND(#REF!,"AAAAAF/X/WI=")</f>
        <v>#REF!</v>
      </c>
      <c r="CV60" t="e">
        <f>AND(#REF!,"AAAAAF/X/WM=")</f>
        <v>#REF!</v>
      </c>
      <c r="CW60" t="e">
        <f>AND(#REF!,"AAAAAF/X/WQ=")</f>
        <v>#REF!</v>
      </c>
      <c r="CX60" t="e">
        <f>AND(#REF!,"AAAAAF/X/WU=")</f>
        <v>#REF!</v>
      </c>
      <c r="CY60" t="e">
        <f>AND(#REF!,"AAAAAF/X/WY=")</f>
        <v>#REF!</v>
      </c>
      <c r="CZ60" t="e">
        <f>AND(#REF!,"AAAAAF/X/Wc=")</f>
        <v>#REF!</v>
      </c>
      <c r="DA60" t="e">
        <f>AND(#REF!,"AAAAAF/X/Wg=")</f>
        <v>#REF!</v>
      </c>
      <c r="DB60" t="e">
        <f>AND(#REF!,"AAAAAF/X/Wk=")</f>
        <v>#REF!</v>
      </c>
      <c r="DC60" t="e">
        <f>IF(#REF!,"AAAAAF/X/Wo=",0)</f>
        <v>#REF!</v>
      </c>
      <c r="DD60" t="e">
        <f>AND(#REF!,"AAAAAF/X/Ws=")</f>
        <v>#REF!</v>
      </c>
      <c r="DE60" t="e">
        <f>AND(#REF!,"AAAAAF/X/Ww=")</f>
        <v>#REF!</v>
      </c>
      <c r="DF60" t="e">
        <f>AND(#REF!,"AAAAAF/X/W0=")</f>
        <v>#REF!</v>
      </c>
      <c r="DG60" t="e">
        <f>AND(#REF!,"AAAAAF/X/W4=")</f>
        <v>#REF!</v>
      </c>
      <c r="DH60" t="e">
        <f>AND(#REF!,"AAAAAF/X/W8=")</f>
        <v>#REF!</v>
      </c>
      <c r="DI60" t="e">
        <f>AND(#REF!,"AAAAAF/X/XA=")</f>
        <v>#REF!</v>
      </c>
      <c r="DJ60" t="e">
        <f>AND(#REF!,"AAAAAF/X/XE=")</f>
        <v>#REF!</v>
      </c>
      <c r="DK60" t="e">
        <f>AND(#REF!,"AAAAAF/X/XI=")</f>
        <v>#REF!</v>
      </c>
      <c r="DL60" t="e">
        <f>IF(#REF!,"AAAAAF/X/XM=",0)</f>
        <v>#REF!</v>
      </c>
      <c r="DM60" t="e">
        <f>AND(#REF!,"AAAAAF/X/XQ=")</f>
        <v>#REF!</v>
      </c>
      <c r="DN60" t="e">
        <f>AND(#REF!,"AAAAAF/X/XU=")</f>
        <v>#REF!</v>
      </c>
      <c r="DO60" t="e">
        <f>AND(#REF!,"AAAAAF/X/XY=")</f>
        <v>#REF!</v>
      </c>
      <c r="DP60" t="e">
        <f>AND(#REF!,"AAAAAF/X/Xc=")</f>
        <v>#REF!</v>
      </c>
      <c r="DQ60" t="e">
        <f>AND(#REF!,"AAAAAF/X/Xg=")</f>
        <v>#REF!</v>
      </c>
      <c r="DR60" t="e">
        <f>AND(#REF!,"AAAAAF/X/Xk=")</f>
        <v>#REF!</v>
      </c>
      <c r="DS60" t="e">
        <f>AND(#REF!,"AAAAAF/X/Xo=")</f>
        <v>#REF!</v>
      </c>
      <c r="DT60" t="e">
        <f>AND(#REF!,"AAAAAF/X/Xs=")</f>
        <v>#REF!</v>
      </c>
      <c r="DU60" t="e">
        <f>IF(#REF!,"AAAAAF/X/Xw=",0)</f>
        <v>#REF!</v>
      </c>
      <c r="DV60" t="e">
        <f>AND(#REF!,"AAAAAF/X/X0=")</f>
        <v>#REF!</v>
      </c>
      <c r="DW60" t="e">
        <f>AND(#REF!,"AAAAAF/X/X4=")</f>
        <v>#REF!</v>
      </c>
      <c r="DX60" t="e">
        <f>AND(#REF!,"AAAAAF/X/X8=")</f>
        <v>#REF!</v>
      </c>
      <c r="DY60" t="e">
        <f>AND(#REF!,"AAAAAF/X/YA=")</f>
        <v>#REF!</v>
      </c>
      <c r="DZ60" t="e">
        <f>AND(#REF!,"AAAAAF/X/YE=")</f>
        <v>#REF!</v>
      </c>
      <c r="EA60" t="e">
        <f>AND(#REF!,"AAAAAF/X/YI=")</f>
        <v>#REF!</v>
      </c>
      <c r="EB60" t="e">
        <f>AND(#REF!,"AAAAAF/X/YM=")</f>
        <v>#REF!</v>
      </c>
      <c r="EC60" t="e">
        <f>AND(#REF!,"AAAAAF/X/YQ=")</f>
        <v>#REF!</v>
      </c>
      <c r="ED60" t="e">
        <f>IF(#REF!,"AAAAAF/X/YU=",0)</f>
        <v>#REF!</v>
      </c>
      <c r="EE60" t="e">
        <f>AND(#REF!,"AAAAAF/X/YY=")</f>
        <v>#REF!</v>
      </c>
      <c r="EF60" t="e">
        <f>AND(#REF!,"AAAAAF/X/Yc=")</f>
        <v>#REF!</v>
      </c>
      <c r="EG60" t="e">
        <f>AND(#REF!,"AAAAAF/X/Yg=")</f>
        <v>#REF!</v>
      </c>
      <c r="EH60" t="e">
        <f>AND(#REF!,"AAAAAF/X/Yk=")</f>
        <v>#REF!</v>
      </c>
      <c r="EI60" t="e">
        <f>AND(#REF!,"AAAAAF/X/Yo=")</f>
        <v>#REF!</v>
      </c>
      <c r="EJ60" t="e">
        <f>AND(#REF!,"AAAAAF/X/Ys=")</f>
        <v>#REF!</v>
      </c>
      <c r="EK60" t="e">
        <f>AND(#REF!,"AAAAAF/X/Yw=")</f>
        <v>#REF!</v>
      </c>
      <c r="EL60" t="e">
        <f>AND(#REF!,"AAAAAF/X/Y0=")</f>
        <v>#REF!</v>
      </c>
      <c r="EM60" t="e">
        <f>IF(#REF!,"AAAAAF/X/Y4=",0)</f>
        <v>#REF!</v>
      </c>
      <c r="EN60" t="e">
        <f>AND(#REF!,"AAAAAF/X/Y8=")</f>
        <v>#REF!</v>
      </c>
      <c r="EO60" t="e">
        <f>AND(#REF!,"AAAAAF/X/ZA=")</f>
        <v>#REF!</v>
      </c>
      <c r="EP60" t="e">
        <f>AND(#REF!,"AAAAAF/X/ZE=")</f>
        <v>#REF!</v>
      </c>
      <c r="EQ60" t="e">
        <f>AND(#REF!,"AAAAAF/X/ZI=")</f>
        <v>#REF!</v>
      </c>
      <c r="ER60" t="e">
        <f>AND(#REF!,"AAAAAF/X/ZM=")</f>
        <v>#REF!</v>
      </c>
      <c r="ES60" t="e">
        <f>AND(#REF!,"AAAAAF/X/ZQ=")</f>
        <v>#REF!</v>
      </c>
      <c r="ET60" t="e">
        <f>AND(#REF!,"AAAAAF/X/ZU=")</f>
        <v>#REF!</v>
      </c>
      <c r="EU60" t="e">
        <f>AND(#REF!,"AAAAAF/X/ZY=")</f>
        <v>#REF!</v>
      </c>
      <c r="EV60" t="e">
        <f>IF(#REF!,"AAAAAF/X/Zc=",0)</f>
        <v>#REF!</v>
      </c>
      <c r="EW60" t="e">
        <f>AND(#REF!,"AAAAAF/X/Zg=")</f>
        <v>#REF!</v>
      </c>
      <c r="EX60" t="e">
        <f>AND(#REF!,"AAAAAF/X/Zk=")</f>
        <v>#REF!</v>
      </c>
      <c r="EY60" t="e">
        <f>AND(#REF!,"AAAAAF/X/Zo=")</f>
        <v>#REF!</v>
      </c>
      <c r="EZ60" t="e">
        <f>AND(#REF!,"AAAAAF/X/Zs=")</f>
        <v>#REF!</v>
      </c>
      <c r="FA60" t="e">
        <f>AND(#REF!,"AAAAAF/X/Zw=")</f>
        <v>#REF!</v>
      </c>
      <c r="FB60" t="e">
        <f>AND(#REF!,"AAAAAF/X/Z0=")</f>
        <v>#REF!</v>
      </c>
      <c r="FC60" t="e">
        <f>AND(#REF!,"AAAAAF/X/Z4=")</f>
        <v>#REF!</v>
      </c>
      <c r="FD60" t="e">
        <f>AND(#REF!,"AAAAAF/X/Z8=")</f>
        <v>#REF!</v>
      </c>
      <c r="FE60" t="e">
        <f>IF(#REF!,"AAAAAF/X/aA=",0)</f>
        <v>#REF!</v>
      </c>
      <c r="FF60" t="e">
        <f>AND(#REF!,"AAAAAF/X/aE=")</f>
        <v>#REF!</v>
      </c>
      <c r="FG60" t="e">
        <f>AND(#REF!,"AAAAAF/X/aI=")</f>
        <v>#REF!</v>
      </c>
      <c r="FH60" t="e">
        <f>AND(#REF!,"AAAAAF/X/aM=")</f>
        <v>#REF!</v>
      </c>
      <c r="FI60" t="e">
        <f>AND(#REF!,"AAAAAF/X/aQ=")</f>
        <v>#REF!</v>
      </c>
      <c r="FJ60" t="e">
        <f>AND(#REF!,"AAAAAF/X/aU=")</f>
        <v>#REF!</v>
      </c>
      <c r="FK60" t="e">
        <f>AND(#REF!,"AAAAAF/X/aY=")</f>
        <v>#REF!</v>
      </c>
      <c r="FL60" t="e">
        <f>AND(#REF!,"AAAAAF/X/ac=")</f>
        <v>#REF!</v>
      </c>
      <c r="FM60" t="e">
        <f>AND(#REF!,"AAAAAF/X/ag=")</f>
        <v>#REF!</v>
      </c>
      <c r="FN60" t="e">
        <f>IF(#REF!,"AAAAAF/X/ak=",0)</f>
        <v>#REF!</v>
      </c>
      <c r="FO60" t="e">
        <f>AND(#REF!,"AAAAAF/X/ao=")</f>
        <v>#REF!</v>
      </c>
      <c r="FP60" t="e">
        <f>AND(#REF!,"AAAAAF/X/as=")</f>
        <v>#REF!</v>
      </c>
      <c r="FQ60" t="e">
        <f>AND(#REF!,"AAAAAF/X/aw=")</f>
        <v>#REF!</v>
      </c>
      <c r="FR60" t="e">
        <f>AND(#REF!,"AAAAAF/X/a0=")</f>
        <v>#REF!</v>
      </c>
      <c r="FS60" t="e">
        <f>AND(#REF!,"AAAAAF/X/a4=")</f>
        <v>#REF!</v>
      </c>
      <c r="FT60" t="e">
        <f>AND(#REF!,"AAAAAF/X/a8=")</f>
        <v>#REF!</v>
      </c>
      <c r="FU60" t="e">
        <f>AND(#REF!,"AAAAAF/X/bA=")</f>
        <v>#REF!</v>
      </c>
      <c r="FV60" t="e">
        <f>AND(#REF!,"AAAAAF/X/bE=")</f>
        <v>#REF!</v>
      </c>
      <c r="FW60" t="e">
        <f>IF(#REF!,"AAAAAF/X/bI=",0)</f>
        <v>#REF!</v>
      </c>
      <c r="FX60" t="e">
        <f>AND(#REF!,"AAAAAF/X/bM=")</f>
        <v>#REF!</v>
      </c>
      <c r="FY60" t="e">
        <f>AND(#REF!,"AAAAAF/X/bQ=")</f>
        <v>#REF!</v>
      </c>
      <c r="FZ60" t="e">
        <f>AND(#REF!,"AAAAAF/X/bU=")</f>
        <v>#REF!</v>
      </c>
      <c r="GA60" t="e">
        <f>AND(#REF!,"AAAAAF/X/bY=")</f>
        <v>#REF!</v>
      </c>
      <c r="GB60" t="e">
        <f>AND(#REF!,"AAAAAF/X/bc=")</f>
        <v>#REF!</v>
      </c>
      <c r="GC60" t="e">
        <f>AND(#REF!,"AAAAAF/X/bg=")</f>
        <v>#REF!</v>
      </c>
      <c r="GD60" t="e">
        <f>AND(#REF!,"AAAAAF/X/bk=")</f>
        <v>#REF!</v>
      </c>
      <c r="GE60" t="e">
        <f>AND(#REF!,"AAAAAF/X/bo=")</f>
        <v>#REF!</v>
      </c>
      <c r="GF60" t="e">
        <f>IF(#REF!,"AAAAAF/X/bs=",0)</f>
        <v>#REF!</v>
      </c>
      <c r="GG60" t="e">
        <f>AND(#REF!,"AAAAAF/X/bw=")</f>
        <v>#REF!</v>
      </c>
      <c r="GH60" t="e">
        <f>AND(#REF!,"AAAAAF/X/b0=")</f>
        <v>#REF!</v>
      </c>
      <c r="GI60" t="e">
        <f>AND(#REF!,"AAAAAF/X/b4=")</f>
        <v>#REF!</v>
      </c>
      <c r="GJ60" t="e">
        <f>AND(#REF!,"AAAAAF/X/b8=")</f>
        <v>#REF!</v>
      </c>
      <c r="GK60" t="e">
        <f>AND(#REF!,"AAAAAF/X/cA=")</f>
        <v>#REF!</v>
      </c>
      <c r="GL60" t="e">
        <f>AND(#REF!,"AAAAAF/X/cE=")</f>
        <v>#REF!</v>
      </c>
      <c r="GM60" t="e">
        <f>AND(#REF!,"AAAAAF/X/cI=")</f>
        <v>#REF!</v>
      </c>
      <c r="GN60" t="e">
        <f>AND(#REF!,"AAAAAF/X/cM=")</f>
        <v>#REF!</v>
      </c>
      <c r="GO60" t="e">
        <f>IF(#REF!,"AAAAAF/X/cQ=",0)</f>
        <v>#REF!</v>
      </c>
      <c r="GP60" t="e">
        <f>AND(#REF!,"AAAAAF/X/cU=")</f>
        <v>#REF!</v>
      </c>
      <c r="GQ60" t="e">
        <f>AND(#REF!,"AAAAAF/X/cY=")</f>
        <v>#REF!</v>
      </c>
      <c r="GR60" t="e">
        <f>AND(#REF!,"AAAAAF/X/cc=")</f>
        <v>#REF!</v>
      </c>
      <c r="GS60" t="e">
        <f>AND(#REF!,"AAAAAF/X/cg=")</f>
        <v>#REF!</v>
      </c>
      <c r="GT60" t="e">
        <f>AND(#REF!,"AAAAAF/X/ck=")</f>
        <v>#REF!</v>
      </c>
      <c r="GU60" t="e">
        <f>AND(#REF!,"AAAAAF/X/co=")</f>
        <v>#REF!</v>
      </c>
      <c r="GV60" t="e">
        <f>AND(#REF!,"AAAAAF/X/cs=")</f>
        <v>#REF!</v>
      </c>
      <c r="GW60" t="e">
        <f>AND(#REF!,"AAAAAF/X/cw=")</f>
        <v>#REF!</v>
      </c>
      <c r="GX60" t="e">
        <f>IF(#REF!,"AAAAAF/X/c0=",0)</f>
        <v>#REF!</v>
      </c>
      <c r="GY60" t="e">
        <f>AND(#REF!,"AAAAAF/X/c4=")</f>
        <v>#REF!</v>
      </c>
      <c r="GZ60" t="e">
        <f>AND(#REF!,"AAAAAF/X/c8=")</f>
        <v>#REF!</v>
      </c>
      <c r="HA60" t="e">
        <f>AND(#REF!,"AAAAAF/X/dA=")</f>
        <v>#REF!</v>
      </c>
      <c r="HB60" t="e">
        <f>AND(#REF!,"AAAAAF/X/dE=")</f>
        <v>#REF!</v>
      </c>
      <c r="HC60" t="e">
        <f>AND(#REF!,"AAAAAF/X/dI=")</f>
        <v>#REF!</v>
      </c>
      <c r="HD60" t="e">
        <f>AND(#REF!,"AAAAAF/X/dM=")</f>
        <v>#REF!</v>
      </c>
      <c r="HE60" t="e">
        <f>AND(#REF!,"AAAAAF/X/dQ=")</f>
        <v>#REF!</v>
      </c>
      <c r="HF60" t="e">
        <f>AND(#REF!,"AAAAAF/X/dU=")</f>
        <v>#REF!</v>
      </c>
      <c r="HG60" t="e">
        <f>IF(#REF!,"AAAAAF/X/dY=",0)</f>
        <v>#REF!</v>
      </c>
      <c r="HH60" t="e">
        <f>AND(#REF!,"AAAAAF/X/dc=")</f>
        <v>#REF!</v>
      </c>
      <c r="HI60" t="e">
        <f>AND(#REF!,"AAAAAF/X/dg=")</f>
        <v>#REF!</v>
      </c>
      <c r="HJ60" t="e">
        <f>AND(#REF!,"AAAAAF/X/dk=")</f>
        <v>#REF!</v>
      </c>
      <c r="HK60" t="e">
        <f>AND(#REF!,"AAAAAF/X/do=")</f>
        <v>#REF!</v>
      </c>
      <c r="HL60" t="e">
        <f>AND(#REF!,"AAAAAF/X/ds=")</f>
        <v>#REF!</v>
      </c>
      <c r="HM60" t="e">
        <f>AND(#REF!,"AAAAAF/X/dw=")</f>
        <v>#REF!</v>
      </c>
      <c r="HN60" t="e">
        <f>AND(#REF!,"AAAAAF/X/d0=")</f>
        <v>#REF!</v>
      </c>
      <c r="HO60" t="e">
        <f>AND(#REF!,"AAAAAF/X/d4=")</f>
        <v>#REF!</v>
      </c>
      <c r="HP60" t="e">
        <f>IF(#REF!,"AAAAAF/X/d8=",0)</f>
        <v>#REF!</v>
      </c>
      <c r="HQ60" t="e">
        <f>AND(#REF!,"AAAAAF/X/eA=")</f>
        <v>#REF!</v>
      </c>
      <c r="HR60" t="e">
        <f>AND(#REF!,"AAAAAF/X/eE=")</f>
        <v>#REF!</v>
      </c>
      <c r="HS60" t="e">
        <f>AND(#REF!,"AAAAAF/X/eI=")</f>
        <v>#REF!</v>
      </c>
      <c r="HT60" t="e">
        <f>AND(#REF!,"AAAAAF/X/eM=")</f>
        <v>#REF!</v>
      </c>
      <c r="HU60" t="e">
        <f>AND(#REF!,"AAAAAF/X/eQ=")</f>
        <v>#REF!</v>
      </c>
      <c r="HV60" t="e">
        <f>AND(#REF!,"AAAAAF/X/eU=")</f>
        <v>#REF!</v>
      </c>
      <c r="HW60" t="e">
        <f>AND(#REF!,"AAAAAF/X/eY=")</f>
        <v>#REF!</v>
      </c>
      <c r="HX60" t="e">
        <f>AND(#REF!,"AAAAAF/X/ec=")</f>
        <v>#REF!</v>
      </c>
      <c r="HY60" t="e">
        <f>IF(#REF!,"AAAAAF/X/eg=",0)</f>
        <v>#REF!</v>
      </c>
      <c r="HZ60" t="e">
        <f>AND(#REF!,"AAAAAF/X/ek=")</f>
        <v>#REF!</v>
      </c>
      <c r="IA60" t="e">
        <f>AND(#REF!,"AAAAAF/X/eo=")</f>
        <v>#REF!</v>
      </c>
      <c r="IB60" t="e">
        <f>AND(#REF!,"AAAAAF/X/es=")</f>
        <v>#REF!</v>
      </c>
      <c r="IC60" t="e">
        <f>AND(#REF!,"AAAAAF/X/ew=")</f>
        <v>#REF!</v>
      </c>
      <c r="ID60" t="e">
        <f>AND(#REF!,"AAAAAF/X/e0=")</f>
        <v>#REF!</v>
      </c>
      <c r="IE60" t="e">
        <f>AND(#REF!,"AAAAAF/X/e4=")</f>
        <v>#REF!</v>
      </c>
      <c r="IF60" t="e">
        <f>AND(#REF!,"AAAAAF/X/e8=")</f>
        <v>#REF!</v>
      </c>
      <c r="IG60" t="e">
        <f>AND(#REF!,"AAAAAF/X/fA=")</f>
        <v>#REF!</v>
      </c>
      <c r="IH60" t="e">
        <f>IF(#REF!,"AAAAAF/X/fE=",0)</f>
        <v>#REF!</v>
      </c>
      <c r="II60" t="e">
        <f>AND(#REF!,"AAAAAF/X/fI=")</f>
        <v>#REF!</v>
      </c>
      <c r="IJ60" t="e">
        <f>AND(#REF!,"AAAAAF/X/fM=")</f>
        <v>#REF!</v>
      </c>
      <c r="IK60" t="e">
        <f>AND(#REF!,"AAAAAF/X/fQ=")</f>
        <v>#REF!</v>
      </c>
      <c r="IL60" t="e">
        <f>AND(#REF!,"AAAAAF/X/fU=")</f>
        <v>#REF!</v>
      </c>
      <c r="IM60" t="e">
        <f>AND(#REF!,"AAAAAF/X/fY=")</f>
        <v>#REF!</v>
      </c>
      <c r="IN60" t="e">
        <f>AND(#REF!,"AAAAAF/X/fc=")</f>
        <v>#REF!</v>
      </c>
      <c r="IO60" t="e">
        <f>AND(#REF!,"AAAAAF/X/fg=")</f>
        <v>#REF!</v>
      </c>
      <c r="IP60" t="e">
        <f>AND(#REF!,"AAAAAF/X/fk=")</f>
        <v>#REF!</v>
      </c>
      <c r="IQ60" t="e">
        <f>IF(#REF!,"AAAAAF/X/fo=",0)</f>
        <v>#REF!</v>
      </c>
      <c r="IR60" t="e">
        <f>AND(#REF!,"AAAAAF/X/fs=")</f>
        <v>#REF!</v>
      </c>
      <c r="IS60" t="e">
        <f>AND(#REF!,"AAAAAF/X/fw=")</f>
        <v>#REF!</v>
      </c>
      <c r="IT60" t="e">
        <f>AND(#REF!,"AAAAAF/X/f0=")</f>
        <v>#REF!</v>
      </c>
      <c r="IU60" t="e">
        <f>AND(#REF!,"AAAAAF/X/f4=")</f>
        <v>#REF!</v>
      </c>
      <c r="IV60" t="e">
        <f>AND(#REF!,"AAAAAF/X/f8=")</f>
        <v>#REF!</v>
      </c>
    </row>
    <row r="61" spans="1:256">
      <c r="A61" t="e">
        <f>AND(#REF!,"AAAAAHt/5wA=")</f>
        <v>#REF!</v>
      </c>
      <c r="B61" t="e">
        <f>AND(#REF!,"AAAAAHt/5wE=")</f>
        <v>#REF!</v>
      </c>
      <c r="C61" t="e">
        <f>AND(#REF!,"AAAAAHt/5wI=")</f>
        <v>#REF!</v>
      </c>
      <c r="D61" t="e">
        <f>IF(#REF!,"AAAAAHt/5wM=",0)</f>
        <v>#REF!</v>
      </c>
      <c r="E61" t="e">
        <f>AND(#REF!,"AAAAAHt/5wQ=")</f>
        <v>#REF!</v>
      </c>
      <c r="F61" t="e">
        <f>AND(#REF!,"AAAAAHt/5wU=")</f>
        <v>#REF!</v>
      </c>
      <c r="G61" t="e">
        <f>AND(#REF!,"AAAAAHt/5wY=")</f>
        <v>#REF!</v>
      </c>
      <c r="H61" t="e">
        <f>AND(#REF!,"AAAAAHt/5wc=")</f>
        <v>#REF!</v>
      </c>
      <c r="I61" t="e">
        <f>AND(#REF!,"AAAAAHt/5wg=")</f>
        <v>#REF!</v>
      </c>
      <c r="J61" t="e">
        <f>AND(#REF!,"AAAAAHt/5wk=")</f>
        <v>#REF!</v>
      </c>
      <c r="K61" t="e">
        <f>AND(#REF!,"AAAAAHt/5wo=")</f>
        <v>#REF!</v>
      </c>
      <c r="L61" t="e">
        <f>AND(#REF!,"AAAAAHt/5ws=")</f>
        <v>#REF!</v>
      </c>
      <c r="M61" t="e">
        <f>IF(#REF!,"AAAAAHt/5ww=",0)</f>
        <v>#REF!</v>
      </c>
      <c r="N61" t="e">
        <f>AND(#REF!,"AAAAAHt/5w0=")</f>
        <v>#REF!</v>
      </c>
      <c r="O61" t="e">
        <f>AND(#REF!,"AAAAAHt/5w4=")</f>
        <v>#REF!</v>
      </c>
      <c r="P61" t="e">
        <f>AND(#REF!,"AAAAAHt/5w8=")</f>
        <v>#REF!</v>
      </c>
      <c r="Q61" t="e">
        <f>AND(#REF!,"AAAAAHt/5xA=")</f>
        <v>#REF!</v>
      </c>
      <c r="R61" t="e">
        <f>AND(#REF!,"AAAAAHt/5xE=")</f>
        <v>#REF!</v>
      </c>
      <c r="S61" t="e">
        <f>AND(#REF!,"AAAAAHt/5xI=")</f>
        <v>#REF!</v>
      </c>
      <c r="T61" t="e">
        <f>AND(#REF!,"AAAAAHt/5xM=")</f>
        <v>#REF!</v>
      </c>
      <c r="U61" t="e">
        <f>AND(#REF!,"AAAAAHt/5xQ=")</f>
        <v>#REF!</v>
      </c>
      <c r="V61" t="e">
        <f>IF(#REF!,"AAAAAHt/5xU=",0)</f>
        <v>#REF!</v>
      </c>
      <c r="W61" t="e">
        <f>AND(#REF!,"AAAAAHt/5xY=")</f>
        <v>#REF!</v>
      </c>
      <c r="X61" t="e">
        <f>AND(#REF!,"AAAAAHt/5xc=")</f>
        <v>#REF!</v>
      </c>
      <c r="Y61" t="e">
        <f>AND(#REF!,"AAAAAHt/5xg=")</f>
        <v>#REF!</v>
      </c>
      <c r="Z61" t="e">
        <f>AND(#REF!,"AAAAAHt/5xk=")</f>
        <v>#REF!</v>
      </c>
      <c r="AA61" t="e">
        <f>AND(#REF!,"AAAAAHt/5xo=")</f>
        <v>#REF!</v>
      </c>
      <c r="AB61" t="e">
        <f>AND(#REF!,"AAAAAHt/5xs=")</f>
        <v>#REF!</v>
      </c>
      <c r="AC61" t="e">
        <f>AND(#REF!,"AAAAAHt/5xw=")</f>
        <v>#REF!</v>
      </c>
      <c r="AD61" t="e">
        <f>AND(#REF!,"AAAAAHt/5x0=")</f>
        <v>#REF!</v>
      </c>
      <c r="AE61" t="e">
        <f>IF(#REF!,"AAAAAHt/5x4=",0)</f>
        <v>#REF!</v>
      </c>
      <c r="AF61" t="e">
        <f>AND(#REF!,"AAAAAHt/5x8=")</f>
        <v>#REF!</v>
      </c>
      <c r="AG61" t="e">
        <f>AND(#REF!,"AAAAAHt/5yA=")</f>
        <v>#REF!</v>
      </c>
      <c r="AH61" t="e">
        <f>AND(#REF!,"AAAAAHt/5yE=")</f>
        <v>#REF!</v>
      </c>
      <c r="AI61" t="e">
        <f>AND(#REF!,"AAAAAHt/5yI=")</f>
        <v>#REF!</v>
      </c>
      <c r="AJ61" t="e">
        <f>AND(#REF!,"AAAAAHt/5yM=")</f>
        <v>#REF!</v>
      </c>
      <c r="AK61" t="e">
        <f>AND(#REF!,"AAAAAHt/5yQ=")</f>
        <v>#REF!</v>
      </c>
      <c r="AL61" t="e">
        <f>AND(#REF!,"AAAAAHt/5yU=")</f>
        <v>#REF!</v>
      </c>
      <c r="AM61" t="e">
        <f>AND(#REF!,"AAAAAHt/5yY=")</f>
        <v>#REF!</v>
      </c>
      <c r="AN61" t="e">
        <f>IF(#REF!,"AAAAAHt/5yc=",0)</f>
        <v>#REF!</v>
      </c>
      <c r="AO61" t="e">
        <f>AND(#REF!,"AAAAAHt/5yg=")</f>
        <v>#REF!</v>
      </c>
      <c r="AP61" t="e">
        <f>AND(#REF!,"AAAAAHt/5yk=")</f>
        <v>#REF!</v>
      </c>
      <c r="AQ61" t="e">
        <f>AND(#REF!,"AAAAAHt/5yo=")</f>
        <v>#REF!</v>
      </c>
      <c r="AR61" t="e">
        <f>AND(#REF!,"AAAAAHt/5ys=")</f>
        <v>#REF!</v>
      </c>
      <c r="AS61" t="e">
        <f>AND(#REF!,"AAAAAHt/5yw=")</f>
        <v>#REF!</v>
      </c>
      <c r="AT61" t="e">
        <f>AND(#REF!,"AAAAAHt/5y0=")</f>
        <v>#REF!</v>
      </c>
      <c r="AU61" t="e">
        <f>AND(#REF!,"AAAAAHt/5y4=")</f>
        <v>#REF!</v>
      </c>
      <c r="AV61" t="e">
        <f>AND(#REF!,"AAAAAHt/5y8=")</f>
        <v>#REF!</v>
      </c>
      <c r="AW61" t="e">
        <f>IF(#REF!,"AAAAAHt/5zA=",0)</f>
        <v>#REF!</v>
      </c>
      <c r="AX61" t="e">
        <f>AND(#REF!,"AAAAAHt/5zE=")</f>
        <v>#REF!</v>
      </c>
      <c r="AY61" t="e">
        <f>AND(#REF!,"AAAAAHt/5zI=")</f>
        <v>#REF!</v>
      </c>
      <c r="AZ61" t="e">
        <f>AND(#REF!,"AAAAAHt/5zM=")</f>
        <v>#REF!</v>
      </c>
      <c r="BA61" t="e">
        <f>AND(#REF!,"AAAAAHt/5zQ=")</f>
        <v>#REF!</v>
      </c>
      <c r="BB61" t="e">
        <f>AND(#REF!,"AAAAAHt/5zU=")</f>
        <v>#REF!</v>
      </c>
      <c r="BC61" t="e">
        <f>AND(#REF!,"AAAAAHt/5zY=")</f>
        <v>#REF!</v>
      </c>
      <c r="BD61" t="e">
        <f>AND(#REF!,"AAAAAHt/5zc=")</f>
        <v>#REF!</v>
      </c>
      <c r="BE61" t="e">
        <f>AND(#REF!,"AAAAAHt/5zg=")</f>
        <v>#REF!</v>
      </c>
      <c r="BF61" t="e">
        <f>IF(#REF!,"AAAAAHt/5zk=",0)</f>
        <v>#REF!</v>
      </c>
      <c r="BG61" t="e">
        <f>AND(#REF!,"AAAAAHt/5zo=")</f>
        <v>#REF!</v>
      </c>
      <c r="BH61" t="e">
        <f>AND(#REF!,"AAAAAHt/5zs=")</f>
        <v>#REF!</v>
      </c>
      <c r="BI61" t="e">
        <f>AND(#REF!,"AAAAAHt/5zw=")</f>
        <v>#REF!</v>
      </c>
      <c r="BJ61" t="e">
        <f>AND(#REF!,"AAAAAHt/5z0=")</f>
        <v>#REF!</v>
      </c>
      <c r="BK61" t="e">
        <f>AND(#REF!,"AAAAAHt/5z4=")</f>
        <v>#REF!</v>
      </c>
      <c r="BL61" t="e">
        <f>AND(#REF!,"AAAAAHt/5z8=")</f>
        <v>#REF!</v>
      </c>
      <c r="BM61" t="e">
        <f>AND(#REF!,"AAAAAHt/50A=")</f>
        <v>#REF!</v>
      </c>
      <c r="BN61" t="e">
        <f>AND(#REF!,"AAAAAHt/50E=")</f>
        <v>#REF!</v>
      </c>
      <c r="BO61" t="e">
        <f>IF(#REF!,"AAAAAHt/50I=",0)</f>
        <v>#REF!</v>
      </c>
      <c r="BP61" t="e">
        <f>AND(#REF!,"AAAAAHt/50M=")</f>
        <v>#REF!</v>
      </c>
      <c r="BQ61" t="e">
        <f>AND(#REF!,"AAAAAHt/50Q=")</f>
        <v>#REF!</v>
      </c>
      <c r="BR61" t="e">
        <f>AND(#REF!,"AAAAAHt/50U=")</f>
        <v>#REF!</v>
      </c>
      <c r="BS61" t="e">
        <f>AND(#REF!,"AAAAAHt/50Y=")</f>
        <v>#REF!</v>
      </c>
      <c r="BT61" t="e">
        <f>AND(#REF!,"AAAAAHt/50c=")</f>
        <v>#REF!</v>
      </c>
      <c r="BU61" t="e">
        <f>AND(#REF!,"AAAAAHt/50g=")</f>
        <v>#REF!</v>
      </c>
      <c r="BV61" t="e">
        <f>AND(#REF!,"AAAAAHt/50k=")</f>
        <v>#REF!</v>
      </c>
      <c r="BW61" t="e">
        <f>AND(#REF!,"AAAAAHt/50o=")</f>
        <v>#REF!</v>
      </c>
      <c r="BX61" t="e">
        <f>IF(#REF!,"AAAAAHt/50s=",0)</f>
        <v>#REF!</v>
      </c>
      <c r="BY61" t="e">
        <f>AND(#REF!,"AAAAAHt/50w=")</f>
        <v>#REF!</v>
      </c>
      <c r="BZ61" t="e">
        <f>AND(#REF!,"AAAAAHt/500=")</f>
        <v>#REF!</v>
      </c>
      <c r="CA61" t="e">
        <f>AND(#REF!,"AAAAAHt/504=")</f>
        <v>#REF!</v>
      </c>
      <c r="CB61" t="e">
        <f>AND(#REF!,"AAAAAHt/508=")</f>
        <v>#REF!</v>
      </c>
      <c r="CC61" t="e">
        <f>AND(#REF!,"AAAAAHt/51A=")</f>
        <v>#REF!</v>
      </c>
      <c r="CD61" t="e">
        <f>AND(#REF!,"AAAAAHt/51E=")</f>
        <v>#REF!</v>
      </c>
      <c r="CE61" t="e">
        <f>AND(#REF!,"AAAAAHt/51I=")</f>
        <v>#REF!</v>
      </c>
      <c r="CF61" t="e">
        <f>AND(#REF!,"AAAAAHt/51M=")</f>
        <v>#REF!</v>
      </c>
      <c r="CG61" t="e">
        <f>IF(#REF!,"AAAAAHt/51Q=",0)</f>
        <v>#REF!</v>
      </c>
      <c r="CH61" t="e">
        <f>AND(#REF!,"AAAAAHt/51U=")</f>
        <v>#REF!</v>
      </c>
      <c r="CI61" t="e">
        <f>AND(#REF!,"AAAAAHt/51Y=")</f>
        <v>#REF!</v>
      </c>
      <c r="CJ61" t="e">
        <f>AND(#REF!,"AAAAAHt/51c=")</f>
        <v>#REF!</v>
      </c>
      <c r="CK61" t="e">
        <f>AND(#REF!,"AAAAAHt/51g=")</f>
        <v>#REF!</v>
      </c>
      <c r="CL61" t="e">
        <f>AND(#REF!,"AAAAAHt/51k=")</f>
        <v>#REF!</v>
      </c>
      <c r="CM61" t="e">
        <f>AND(#REF!,"AAAAAHt/51o=")</f>
        <v>#REF!</v>
      </c>
      <c r="CN61" t="e">
        <f>AND(#REF!,"AAAAAHt/51s=")</f>
        <v>#REF!</v>
      </c>
      <c r="CO61" t="e">
        <f>AND(#REF!,"AAAAAHt/51w=")</f>
        <v>#REF!</v>
      </c>
      <c r="CP61" t="e">
        <f>IF(#REF!,"AAAAAHt/510=",0)</f>
        <v>#REF!</v>
      </c>
      <c r="CQ61" t="e">
        <f>AND(#REF!,"AAAAAHt/514=")</f>
        <v>#REF!</v>
      </c>
      <c r="CR61" t="e">
        <f>AND(#REF!,"AAAAAHt/518=")</f>
        <v>#REF!</v>
      </c>
      <c r="CS61" t="e">
        <f>AND(#REF!,"AAAAAHt/52A=")</f>
        <v>#REF!</v>
      </c>
      <c r="CT61" t="e">
        <f>AND(#REF!,"AAAAAHt/52E=")</f>
        <v>#REF!</v>
      </c>
      <c r="CU61" t="e">
        <f>AND(#REF!,"AAAAAHt/52I=")</f>
        <v>#REF!</v>
      </c>
      <c r="CV61" t="e">
        <f>AND(#REF!,"AAAAAHt/52M=")</f>
        <v>#REF!</v>
      </c>
      <c r="CW61" t="e">
        <f>AND(#REF!,"AAAAAHt/52Q=")</f>
        <v>#REF!</v>
      </c>
      <c r="CX61" t="e">
        <f>AND(#REF!,"AAAAAHt/52U=")</f>
        <v>#REF!</v>
      </c>
      <c r="CY61" t="e">
        <f>IF(#REF!,"AAAAAHt/52Y=",0)</f>
        <v>#REF!</v>
      </c>
      <c r="CZ61" t="e">
        <f>AND(#REF!,"AAAAAHt/52c=")</f>
        <v>#REF!</v>
      </c>
      <c r="DA61" t="e">
        <f>AND(#REF!,"AAAAAHt/52g=")</f>
        <v>#REF!</v>
      </c>
      <c r="DB61" t="e">
        <f>AND(#REF!,"AAAAAHt/52k=")</f>
        <v>#REF!</v>
      </c>
      <c r="DC61" t="e">
        <f>AND(#REF!,"AAAAAHt/52o=")</f>
        <v>#REF!</v>
      </c>
      <c r="DD61" t="e">
        <f>AND(#REF!,"AAAAAHt/52s=")</f>
        <v>#REF!</v>
      </c>
      <c r="DE61" t="e">
        <f>AND(#REF!,"AAAAAHt/52w=")</f>
        <v>#REF!</v>
      </c>
      <c r="DF61" t="e">
        <f>AND(#REF!,"AAAAAHt/520=")</f>
        <v>#REF!</v>
      </c>
      <c r="DG61" t="e">
        <f>AND(#REF!,"AAAAAHt/524=")</f>
        <v>#REF!</v>
      </c>
      <c r="DH61" t="e">
        <f>IF(#REF!,"AAAAAHt/528=",0)</f>
        <v>#REF!</v>
      </c>
      <c r="DI61" t="e">
        <f>AND(#REF!,"AAAAAHt/53A=")</f>
        <v>#REF!</v>
      </c>
      <c r="DJ61" t="e">
        <f>AND(#REF!,"AAAAAHt/53E=")</f>
        <v>#REF!</v>
      </c>
      <c r="DK61" t="e">
        <f>AND(#REF!,"AAAAAHt/53I=")</f>
        <v>#REF!</v>
      </c>
      <c r="DL61" t="e">
        <f>AND(#REF!,"AAAAAHt/53M=")</f>
        <v>#REF!</v>
      </c>
      <c r="DM61" t="e">
        <f>AND(#REF!,"AAAAAHt/53Q=")</f>
        <v>#REF!</v>
      </c>
      <c r="DN61" t="e">
        <f>AND(#REF!,"AAAAAHt/53U=")</f>
        <v>#REF!</v>
      </c>
      <c r="DO61" t="e">
        <f>AND(#REF!,"AAAAAHt/53Y=")</f>
        <v>#REF!</v>
      </c>
      <c r="DP61" t="e">
        <f>AND(#REF!,"AAAAAHt/53c=")</f>
        <v>#REF!</v>
      </c>
      <c r="DQ61" t="e">
        <f>IF(#REF!,"AAAAAHt/53g=",0)</f>
        <v>#REF!</v>
      </c>
      <c r="DR61" t="e">
        <f>AND(#REF!,"AAAAAHt/53k=")</f>
        <v>#REF!</v>
      </c>
      <c r="DS61" t="e">
        <f>AND(#REF!,"AAAAAHt/53o=")</f>
        <v>#REF!</v>
      </c>
      <c r="DT61" t="e">
        <f>AND(#REF!,"AAAAAHt/53s=")</f>
        <v>#REF!</v>
      </c>
      <c r="DU61" t="e">
        <f>AND(#REF!,"AAAAAHt/53w=")</f>
        <v>#REF!</v>
      </c>
      <c r="DV61" t="e">
        <f>AND(#REF!,"AAAAAHt/530=")</f>
        <v>#REF!</v>
      </c>
      <c r="DW61" t="e">
        <f>AND(#REF!,"AAAAAHt/534=")</f>
        <v>#REF!</v>
      </c>
      <c r="DX61" t="e">
        <f>AND(#REF!,"AAAAAHt/538=")</f>
        <v>#REF!</v>
      </c>
      <c r="DY61" t="e">
        <f>AND(#REF!,"AAAAAHt/54A=")</f>
        <v>#REF!</v>
      </c>
      <c r="DZ61" t="e">
        <f>IF(#REF!,"AAAAAHt/54E=",0)</f>
        <v>#REF!</v>
      </c>
      <c r="EA61" t="e">
        <f>AND(#REF!,"AAAAAHt/54I=")</f>
        <v>#REF!</v>
      </c>
      <c r="EB61" t="e">
        <f>AND(#REF!,"AAAAAHt/54M=")</f>
        <v>#REF!</v>
      </c>
      <c r="EC61" t="e">
        <f>AND(#REF!,"AAAAAHt/54Q=")</f>
        <v>#REF!</v>
      </c>
      <c r="ED61" t="e">
        <f>AND(#REF!,"AAAAAHt/54U=")</f>
        <v>#REF!</v>
      </c>
      <c r="EE61" t="e">
        <f>AND(#REF!,"AAAAAHt/54Y=")</f>
        <v>#REF!</v>
      </c>
      <c r="EF61" t="e">
        <f>AND(#REF!,"AAAAAHt/54c=")</f>
        <v>#REF!</v>
      </c>
      <c r="EG61" t="e">
        <f>AND(#REF!,"AAAAAHt/54g=")</f>
        <v>#REF!</v>
      </c>
      <c r="EH61" t="e">
        <f>AND(#REF!,"AAAAAHt/54k=")</f>
        <v>#REF!</v>
      </c>
      <c r="EI61" t="e">
        <f>IF(#REF!,"AAAAAHt/54o=",0)</f>
        <v>#REF!</v>
      </c>
      <c r="EJ61" t="e">
        <f>AND(#REF!,"AAAAAHt/54s=")</f>
        <v>#REF!</v>
      </c>
      <c r="EK61" t="e">
        <f>AND(#REF!,"AAAAAHt/54w=")</f>
        <v>#REF!</v>
      </c>
      <c r="EL61" t="e">
        <f>AND(#REF!,"AAAAAHt/540=")</f>
        <v>#REF!</v>
      </c>
      <c r="EM61" t="e">
        <f>AND(#REF!,"AAAAAHt/544=")</f>
        <v>#REF!</v>
      </c>
      <c r="EN61" t="e">
        <f>AND(#REF!,"AAAAAHt/548=")</f>
        <v>#REF!</v>
      </c>
      <c r="EO61" t="e">
        <f>AND(#REF!,"AAAAAHt/55A=")</f>
        <v>#REF!</v>
      </c>
      <c r="EP61" t="e">
        <f>AND(#REF!,"AAAAAHt/55E=")</f>
        <v>#REF!</v>
      </c>
      <c r="EQ61" t="e">
        <f>AND(#REF!,"AAAAAHt/55I=")</f>
        <v>#REF!</v>
      </c>
      <c r="ER61" t="e">
        <f>IF(#REF!,"AAAAAHt/55M=",0)</f>
        <v>#REF!</v>
      </c>
      <c r="ES61" t="e">
        <f>AND(#REF!,"AAAAAHt/55Q=")</f>
        <v>#REF!</v>
      </c>
      <c r="ET61" t="e">
        <f>AND(#REF!,"AAAAAHt/55U=")</f>
        <v>#REF!</v>
      </c>
      <c r="EU61" t="e">
        <f>AND(#REF!,"AAAAAHt/55Y=")</f>
        <v>#REF!</v>
      </c>
      <c r="EV61" t="e">
        <f>AND(#REF!,"AAAAAHt/55c=")</f>
        <v>#REF!</v>
      </c>
      <c r="EW61" t="e">
        <f>AND(#REF!,"AAAAAHt/55g=")</f>
        <v>#REF!</v>
      </c>
      <c r="EX61" t="e">
        <f>AND(#REF!,"AAAAAHt/55k=")</f>
        <v>#REF!</v>
      </c>
      <c r="EY61" t="e">
        <f>AND(#REF!,"AAAAAHt/55o=")</f>
        <v>#REF!</v>
      </c>
      <c r="EZ61" t="e">
        <f>AND(#REF!,"AAAAAHt/55s=")</f>
        <v>#REF!</v>
      </c>
      <c r="FA61" t="e">
        <f>IF(#REF!,"AAAAAHt/55w=",0)</f>
        <v>#REF!</v>
      </c>
      <c r="FB61" t="e">
        <f>AND(#REF!,"AAAAAHt/550=")</f>
        <v>#REF!</v>
      </c>
      <c r="FC61" t="e">
        <f>AND(#REF!,"AAAAAHt/554=")</f>
        <v>#REF!</v>
      </c>
      <c r="FD61" t="e">
        <f>AND(#REF!,"AAAAAHt/558=")</f>
        <v>#REF!</v>
      </c>
      <c r="FE61" t="e">
        <f>AND(#REF!,"AAAAAHt/56A=")</f>
        <v>#REF!</v>
      </c>
      <c r="FF61" t="e">
        <f>AND(#REF!,"AAAAAHt/56E=")</f>
        <v>#REF!</v>
      </c>
      <c r="FG61" t="e">
        <f>AND(#REF!,"AAAAAHt/56I=")</f>
        <v>#REF!</v>
      </c>
      <c r="FH61" t="e">
        <f>AND(#REF!,"AAAAAHt/56M=")</f>
        <v>#REF!</v>
      </c>
      <c r="FI61" t="e">
        <f>AND(#REF!,"AAAAAHt/56Q=")</f>
        <v>#REF!</v>
      </c>
      <c r="FJ61" t="e">
        <f>IF(#REF!,"AAAAAHt/56U=",0)</f>
        <v>#REF!</v>
      </c>
      <c r="FK61" t="e">
        <f>AND(#REF!,"AAAAAHt/56Y=")</f>
        <v>#REF!</v>
      </c>
      <c r="FL61" t="e">
        <f>AND(#REF!,"AAAAAHt/56c=")</f>
        <v>#REF!</v>
      </c>
      <c r="FM61" t="e">
        <f>AND(#REF!,"AAAAAHt/56g=")</f>
        <v>#REF!</v>
      </c>
      <c r="FN61" t="e">
        <f>AND(#REF!,"AAAAAHt/56k=")</f>
        <v>#REF!</v>
      </c>
      <c r="FO61" t="e">
        <f>AND(#REF!,"AAAAAHt/56o=")</f>
        <v>#REF!</v>
      </c>
      <c r="FP61" t="e">
        <f>AND(#REF!,"AAAAAHt/56s=")</f>
        <v>#REF!</v>
      </c>
      <c r="FQ61" t="e">
        <f>AND(#REF!,"AAAAAHt/56w=")</f>
        <v>#REF!</v>
      </c>
      <c r="FR61" t="e">
        <f>AND(#REF!,"AAAAAHt/560=")</f>
        <v>#REF!</v>
      </c>
      <c r="FS61" t="e">
        <f>IF(#REF!,"AAAAAHt/564=",0)</f>
        <v>#REF!</v>
      </c>
      <c r="FT61" t="e">
        <f>AND(#REF!,"AAAAAHt/568=")</f>
        <v>#REF!</v>
      </c>
      <c r="FU61" t="e">
        <f>AND(#REF!,"AAAAAHt/57A=")</f>
        <v>#REF!</v>
      </c>
      <c r="FV61" t="e">
        <f>AND(#REF!,"AAAAAHt/57E=")</f>
        <v>#REF!</v>
      </c>
      <c r="FW61" t="e">
        <f>AND(#REF!,"AAAAAHt/57I=")</f>
        <v>#REF!</v>
      </c>
      <c r="FX61" t="e">
        <f>AND(#REF!,"AAAAAHt/57M=")</f>
        <v>#REF!</v>
      </c>
      <c r="FY61" t="e">
        <f>AND(#REF!,"AAAAAHt/57Q=")</f>
        <v>#REF!</v>
      </c>
      <c r="FZ61" t="e">
        <f>AND(#REF!,"AAAAAHt/57U=")</f>
        <v>#REF!</v>
      </c>
      <c r="GA61" t="e">
        <f>AND(#REF!,"AAAAAHt/57Y=")</f>
        <v>#REF!</v>
      </c>
      <c r="GB61" t="e">
        <f>IF(#REF!,"AAAAAHt/57c=",0)</f>
        <v>#REF!</v>
      </c>
      <c r="GC61" t="e">
        <f>AND(#REF!,"AAAAAHt/57g=")</f>
        <v>#REF!</v>
      </c>
      <c r="GD61" t="e">
        <f>AND(#REF!,"AAAAAHt/57k=")</f>
        <v>#REF!</v>
      </c>
      <c r="GE61" t="e">
        <f>AND(#REF!,"AAAAAHt/57o=")</f>
        <v>#REF!</v>
      </c>
      <c r="GF61" t="e">
        <f>AND(#REF!,"AAAAAHt/57s=")</f>
        <v>#REF!</v>
      </c>
      <c r="GG61" t="e">
        <f>AND(#REF!,"AAAAAHt/57w=")</f>
        <v>#REF!</v>
      </c>
      <c r="GH61" t="e">
        <f>AND(#REF!,"AAAAAHt/570=")</f>
        <v>#REF!</v>
      </c>
      <c r="GI61" t="e">
        <f>AND(#REF!,"AAAAAHt/574=")</f>
        <v>#REF!</v>
      </c>
      <c r="GJ61" t="e">
        <f>AND(#REF!,"AAAAAHt/578=")</f>
        <v>#REF!</v>
      </c>
      <c r="GK61" t="e">
        <f>IF(#REF!,"AAAAAHt/58A=",0)</f>
        <v>#REF!</v>
      </c>
      <c r="GL61" t="e">
        <f>AND(#REF!,"AAAAAHt/58E=")</f>
        <v>#REF!</v>
      </c>
      <c r="GM61" t="e">
        <f>AND(#REF!,"AAAAAHt/58I=")</f>
        <v>#REF!</v>
      </c>
      <c r="GN61" t="e">
        <f>AND(#REF!,"AAAAAHt/58M=")</f>
        <v>#REF!</v>
      </c>
      <c r="GO61" t="e">
        <f>AND(#REF!,"AAAAAHt/58Q=")</f>
        <v>#REF!</v>
      </c>
      <c r="GP61" t="e">
        <f>AND(#REF!,"AAAAAHt/58U=")</f>
        <v>#REF!</v>
      </c>
      <c r="GQ61" t="e">
        <f>AND(#REF!,"AAAAAHt/58Y=")</f>
        <v>#REF!</v>
      </c>
      <c r="GR61" t="e">
        <f>AND(#REF!,"AAAAAHt/58c=")</f>
        <v>#REF!</v>
      </c>
      <c r="GS61" t="e">
        <f>AND(#REF!,"AAAAAHt/58g=")</f>
        <v>#REF!</v>
      </c>
      <c r="GT61" t="e">
        <f>IF(#REF!,"AAAAAHt/58k=",0)</f>
        <v>#REF!</v>
      </c>
      <c r="GU61" t="e">
        <f>AND(#REF!,"AAAAAHt/58o=")</f>
        <v>#REF!</v>
      </c>
      <c r="GV61" t="e">
        <f>AND(#REF!,"AAAAAHt/58s=")</f>
        <v>#REF!</v>
      </c>
      <c r="GW61" t="e">
        <f>AND(#REF!,"AAAAAHt/58w=")</f>
        <v>#REF!</v>
      </c>
      <c r="GX61" t="e">
        <f>AND(#REF!,"AAAAAHt/580=")</f>
        <v>#REF!</v>
      </c>
      <c r="GY61" t="e">
        <f>AND(#REF!,"AAAAAHt/584=")</f>
        <v>#REF!</v>
      </c>
      <c r="GZ61" t="e">
        <f>AND(#REF!,"AAAAAHt/588=")</f>
        <v>#REF!</v>
      </c>
      <c r="HA61" t="e">
        <f>AND(#REF!,"AAAAAHt/59A=")</f>
        <v>#REF!</v>
      </c>
      <c r="HB61" t="e">
        <f>AND(#REF!,"AAAAAHt/59E=")</f>
        <v>#REF!</v>
      </c>
      <c r="HC61" t="e">
        <f>IF(#REF!,"AAAAAHt/59I=",0)</f>
        <v>#REF!</v>
      </c>
      <c r="HD61" t="e">
        <f>AND(#REF!,"AAAAAHt/59M=")</f>
        <v>#REF!</v>
      </c>
      <c r="HE61" t="e">
        <f>AND(#REF!,"AAAAAHt/59Q=")</f>
        <v>#REF!</v>
      </c>
      <c r="HF61" t="e">
        <f>AND(#REF!,"AAAAAHt/59U=")</f>
        <v>#REF!</v>
      </c>
      <c r="HG61" t="e">
        <f>AND(#REF!,"AAAAAHt/59Y=")</f>
        <v>#REF!</v>
      </c>
      <c r="HH61" t="e">
        <f>AND(#REF!,"AAAAAHt/59c=")</f>
        <v>#REF!</v>
      </c>
      <c r="HI61" t="e">
        <f>AND(#REF!,"AAAAAHt/59g=")</f>
        <v>#REF!</v>
      </c>
      <c r="HJ61" t="e">
        <f>AND(#REF!,"AAAAAHt/59k=")</f>
        <v>#REF!</v>
      </c>
      <c r="HK61" t="e">
        <f>AND(#REF!,"AAAAAHt/59o=")</f>
        <v>#REF!</v>
      </c>
      <c r="HL61" t="e">
        <f>IF(#REF!,"AAAAAHt/59s=",0)</f>
        <v>#REF!</v>
      </c>
      <c r="HM61" t="e">
        <f>AND(#REF!,"AAAAAHt/59w=")</f>
        <v>#REF!</v>
      </c>
      <c r="HN61" t="e">
        <f>AND(#REF!,"AAAAAHt/590=")</f>
        <v>#REF!</v>
      </c>
      <c r="HO61" t="e">
        <f>AND(#REF!,"AAAAAHt/594=")</f>
        <v>#REF!</v>
      </c>
      <c r="HP61" t="e">
        <f>AND(#REF!,"AAAAAHt/598=")</f>
        <v>#REF!</v>
      </c>
      <c r="HQ61" t="e">
        <f>AND(#REF!,"AAAAAHt/5+A=")</f>
        <v>#REF!</v>
      </c>
      <c r="HR61" t="e">
        <f>AND(#REF!,"AAAAAHt/5+E=")</f>
        <v>#REF!</v>
      </c>
      <c r="HS61" t="e">
        <f>AND(#REF!,"AAAAAHt/5+I=")</f>
        <v>#REF!</v>
      </c>
      <c r="HT61" t="e">
        <f>AND(#REF!,"AAAAAHt/5+M=")</f>
        <v>#REF!</v>
      </c>
      <c r="HU61" t="e">
        <f>IF(#REF!,"AAAAAHt/5+Q=",0)</f>
        <v>#REF!</v>
      </c>
      <c r="HV61" t="e">
        <f>AND(#REF!,"AAAAAHt/5+U=")</f>
        <v>#REF!</v>
      </c>
      <c r="HW61" t="e">
        <f>AND(#REF!,"AAAAAHt/5+Y=")</f>
        <v>#REF!</v>
      </c>
      <c r="HX61" t="e">
        <f>AND(#REF!,"AAAAAHt/5+c=")</f>
        <v>#REF!</v>
      </c>
      <c r="HY61" t="e">
        <f>AND(#REF!,"AAAAAHt/5+g=")</f>
        <v>#REF!</v>
      </c>
      <c r="HZ61" t="e">
        <f>AND(#REF!,"AAAAAHt/5+k=")</f>
        <v>#REF!</v>
      </c>
      <c r="IA61" t="e">
        <f>AND(#REF!,"AAAAAHt/5+o=")</f>
        <v>#REF!</v>
      </c>
      <c r="IB61" t="e">
        <f>AND(#REF!,"AAAAAHt/5+s=")</f>
        <v>#REF!</v>
      </c>
      <c r="IC61" t="e">
        <f>AND(#REF!,"AAAAAHt/5+w=")</f>
        <v>#REF!</v>
      </c>
      <c r="ID61" t="e">
        <f>IF(#REF!,"AAAAAHt/5+0=",0)</f>
        <v>#REF!</v>
      </c>
      <c r="IE61" t="e">
        <f>AND(#REF!,"AAAAAHt/5+4=")</f>
        <v>#REF!</v>
      </c>
      <c r="IF61" t="e">
        <f>AND(#REF!,"AAAAAHt/5+8=")</f>
        <v>#REF!</v>
      </c>
      <c r="IG61" t="e">
        <f>AND(#REF!,"AAAAAHt/5/A=")</f>
        <v>#REF!</v>
      </c>
      <c r="IH61" t="e">
        <f>AND(#REF!,"AAAAAHt/5/E=")</f>
        <v>#REF!</v>
      </c>
      <c r="II61" t="e">
        <f>AND(#REF!,"AAAAAHt/5/I=")</f>
        <v>#REF!</v>
      </c>
      <c r="IJ61" t="e">
        <f>AND(#REF!,"AAAAAHt/5/M=")</f>
        <v>#REF!</v>
      </c>
      <c r="IK61" t="e">
        <f>AND(#REF!,"AAAAAHt/5/Q=")</f>
        <v>#REF!</v>
      </c>
      <c r="IL61" t="e">
        <f>AND(#REF!,"AAAAAHt/5/U=")</f>
        <v>#REF!</v>
      </c>
      <c r="IM61" t="e">
        <f>IF(#REF!,"AAAAAHt/5/Y=",0)</f>
        <v>#REF!</v>
      </c>
      <c r="IN61" t="e">
        <f>AND(#REF!,"AAAAAHt/5/c=")</f>
        <v>#REF!</v>
      </c>
      <c r="IO61" t="e">
        <f>AND(#REF!,"AAAAAHt/5/g=")</f>
        <v>#REF!</v>
      </c>
      <c r="IP61" t="e">
        <f>AND(#REF!,"AAAAAHt/5/k=")</f>
        <v>#REF!</v>
      </c>
      <c r="IQ61" t="e">
        <f>AND(#REF!,"AAAAAHt/5/o=")</f>
        <v>#REF!</v>
      </c>
      <c r="IR61" t="e">
        <f>AND(#REF!,"AAAAAHt/5/s=")</f>
        <v>#REF!</v>
      </c>
      <c r="IS61" t="e">
        <f>AND(#REF!,"AAAAAHt/5/w=")</f>
        <v>#REF!</v>
      </c>
      <c r="IT61" t="e">
        <f>AND(#REF!,"AAAAAHt/5/0=")</f>
        <v>#REF!</v>
      </c>
      <c r="IU61" t="e">
        <f>AND(#REF!,"AAAAAHt/5/4=")</f>
        <v>#REF!</v>
      </c>
      <c r="IV61" t="e">
        <f>IF(#REF!,"AAAAAHt/5/8=",0)</f>
        <v>#REF!</v>
      </c>
    </row>
    <row r="62" spans="1:256">
      <c r="A62" t="e">
        <f>AND(#REF!,"AAAAAD79vwA=")</f>
        <v>#REF!</v>
      </c>
      <c r="B62" t="e">
        <f>AND(#REF!,"AAAAAD79vwE=")</f>
        <v>#REF!</v>
      </c>
      <c r="C62" t="e">
        <f>AND(#REF!,"AAAAAD79vwI=")</f>
        <v>#REF!</v>
      </c>
      <c r="D62" t="e">
        <f>AND(#REF!,"AAAAAD79vwM=")</f>
        <v>#REF!</v>
      </c>
      <c r="E62" t="e">
        <f>AND(#REF!,"AAAAAD79vwQ=")</f>
        <v>#REF!</v>
      </c>
      <c r="F62" t="e">
        <f>AND(#REF!,"AAAAAD79vwU=")</f>
        <v>#REF!</v>
      </c>
      <c r="G62" t="e">
        <f>AND(#REF!,"AAAAAD79vwY=")</f>
        <v>#REF!</v>
      </c>
      <c r="H62" t="e">
        <f>AND(#REF!,"AAAAAD79vwc=")</f>
        <v>#REF!</v>
      </c>
      <c r="I62" t="e">
        <f>IF(#REF!,"AAAAAD79vwg=",0)</f>
        <v>#REF!</v>
      </c>
      <c r="J62" t="e">
        <f>AND(#REF!,"AAAAAD79vwk=")</f>
        <v>#REF!</v>
      </c>
      <c r="K62" t="e">
        <f>AND(#REF!,"AAAAAD79vwo=")</f>
        <v>#REF!</v>
      </c>
      <c r="L62" t="e">
        <f>AND(#REF!,"AAAAAD79vws=")</f>
        <v>#REF!</v>
      </c>
      <c r="M62" t="e">
        <f>AND(#REF!,"AAAAAD79vww=")</f>
        <v>#REF!</v>
      </c>
      <c r="N62" t="e">
        <f>AND(#REF!,"AAAAAD79vw0=")</f>
        <v>#REF!</v>
      </c>
      <c r="O62" t="e">
        <f>AND(#REF!,"AAAAAD79vw4=")</f>
        <v>#REF!</v>
      </c>
      <c r="P62" t="e">
        <f>AND(#REF!,"AAAAAD79vw8=")</f>
        <v>#REF!</v>
      </c>
      <c r="Q62" t="e">
        <f>AND(#REF!,"AAAAAD79vxA=")</f>
        <v>#REF!</v>
      </c>
      <c r="R62" t="e">
        <f>IF(#REF!,"AAAAAD79vxE=",0)</f>
        <v>#REF!</v>
      </c>
      <c r="S62" t="e">
        <f>AND(#REF!,"AAAAAD79vxI=")</f>
        <v>#REF!</v>
      </c>
      <c r="T62" t="e">
        <f>AND(#REF!,"AAAAAD79vxM=")</f>
        <v>#REF!</v>
      </c>
      <c r="U62" t="e">
        <f>AND(#REF!,"AAAAAD79vxQ=")</f>
        <v>#REF!</v>
      </c>
      <c r="V62" t="e">
        <f>AND(#REF!,"AAAAAD79vxU=")</f>
        <v>#REF!</v>
      </c>
      <c r="W62" t="e">
        <f>AND(#REF!,"AAAAAD79vxY=")</f>
        <v>#REF!</v>
      </c>
      <c r="X62" t="e">
        <f>AND(#REF!,"AAAAAD79vxc=")</f>
        <v>#REF!</v>
      </c>
      <c r="Y62" t="e">
        <f>AND(#REF!,"AAAAAD79vxg=")</f>
        <v>#REF!</v>
      </c>
      <c r="Z62" t="e">
        <f>AND(#REF!,"AAAAAD79vxk=")</f>
        <v>#REF!</v>
      </c>
      <c r="AA62" t="e">
        <f>IF(#REF!,"AAAAAD79vxo=",0)</f>
        <v>#REF!</v>
      </c>
      <c r="AB62" t="e">
        <f>AND(#REF!,"AAAAAD79vxs=")</f>
        <v>#REF!</v>
      </c>
      <c r="AC62" t="e">
        <f>AND(#REF!,"AAAAAD79vxw=")</f>
        <v>#REF!</v>
      </c>
      <c r="AD62" t="e">
        <f>AND(#REF!,"AAAAAD79vx0=")</f>
        <v>#REF!</v>
      </c>
      <c r="AE62" t="e">
        <f>AND(#REF!,"AAAAAD79vx4=")</f>
        <v>#REF!</v>
      </c>
      <c r="AF62" t="e">
        <f>AND(#REF!,"AAAAAD79vx8=")</f>
        <v>#REF!</v>
      </c>
      <c r="AG62" t="e">
        <f>AND(#REF!,"AAAAAD79vyA=")</f>
        <v>#REF!</v>
      </c>
      <c r="AH62" t="e">
        <f>AND(#REF!,"AAAAAD79vyE=")</f>
        <v>#REF!</v>
      </c>
      <c r="AI62" t="e">
        <f>AND(#REF!,"AAAAAD79vyI=")</f>
        <v>#REF!</v>
      </c>
      <c r="AJ62" t="e">
        <f>IF(#REF!,"AAAAAD79vyM=",0)</f>
        <v>#REF!</v>
      </c>
      <c r="AK62" t="e">
        <f>AND(#REF!,"AAAAAD79vyQ=")</f>
        <v>#REF!</v>
      </c>
      <c r="AL62" t="e">
        <f>AND(#REF!,"AAAAAD79vyU=")</f>
        <v>#REF!</v>
      </c>
      <c r="AM62" t="e">
        <f>AND(#REF!,"AAAAAD79vyY=")</f>
        <v>#REF!</v>
      </c>
      <c r="AN62" t="e">
        <f>AND(#REF!,"AAAAAD79vyc=")</f>
        <v>#REF!</v>
      </c>
      <c r="AO62" t="e">
        <f>AND(#REF!,"AAAAAD79vyg=")</f>
        <v>#REF!</v>
      </c>
      <c r="AP62" t="e">
        <f>AND(#REF!,"AAAAAD79vyk=")</f>
        <v>#REF!</v>
      </c>
      <c r="AQ62" t="e">
        <f>AND(#REF!,"AAAAAD79vyo=")</f>
        <v>#REF!</v>
      </c>
      <c r="AR62" t="e">
        <f>AND(#REF!,"AAAAAD79vys=")</f>
        <v>#REF!</v>
      </c>
      <c r="AS62" t="e">
        <f>IF(#REF!,"AAAAAD79vyw=",0)</f>
        <v>#REF!</v>
      </c>
      <c r="AT62" t="e">
        <f>AND(#REF!,"AAAAAD79vy0=")</f>
        <v>#REF!</v>
      </c>
      <c r="AU62" t="e">
        <f>AND(#REF!,"AAAAAD79vy4=")</f>
        <v>#REF!</v>
      </c>
      <c r="AV62" t="e">
        <f>AND(#REF!,"AAAAAD79vy8=")</f>
        <v>#REF!</v>
      </c>
      <c r="AW62" t="e">
        <f>AND(#REF!,"AAAAAD79vzA=")</f>
        <v>#REF!</v>
      </c>
      <c r="AX62" t="e">
        <f>AND(#REF!,"AAAAAD79vzE=")</f>
        <v>#REF!</v>
      </c>
      <c r="AY62" t="e">
        <f>AND(#REF!,"AAAAAD79vzI=")</f>
        <v>#REF!</v>
      </c>
      <c r="AZ62" t="e">
        <f>AND(#REF!,"AAAAAD79vzM=")</f>
        <v>#REF!</v>
      </c>
      <c r="BA62" t="e">
        <f>AND(#REF!,"AAAAAD79vzQ=")</f>
        <v>#REF!</v>
      </c>
      <c r="BB62" t="e">
        <f>IF(#REF!,"AAAAAD79vzU=",0)</f>
        <v>#REF!</v>
      </c>
      <c r="BC62" t="e">
        <f>AND(#REF!,"AAAAAD79vzY=")</f>
        <v>#REF!</v>
      </c>
      <c r="BD62" t="e">
        <f>AND(#REF!,"AAAAAD79vzc=")</f>
        <v>#REF!</v>
      </c>
      <c r="BE62" t="e">
        <f>AND(#REF!,"AAAAAD79vzg=")</f>
        <v>#REF!</v>
      </c>
      <c r="BF62" t="e">
        <f>AND(#REF!,"AAAAAD79vzk=")</f>
        <v>#REF!</v>
      </c>
      <c r="BG62" t="e">
        <f>AND(#REF!,"AAAAAD79vzo=")</f>
        <v>#REF!</v>
      </c>
      <c r="BH62" t="e">
        <f>AND(#REF!,"AAAAAD79vzs=")</f>
        <v>#REF!</v>
      </c>
      <c r="BI62" t="e">
        <f>AND(#REF!,"AAAAAD79vzw=")</f>
        <v>#REF!</v>
      </c>
      <c r="BJ62" t="e">
        <f>AND(#REF!,"AAAAAD79vz0=")</f>
        <v>#REF!</v>
      </c>
      <c r="BK62" t="e">
        <f>IF(#REF!,"AAAAAD79vz4=",0)</f>
        <v>#REF!</v>
      </c>
      <c r="BL62" t="e">
        <f>AND(#REF!,"AAAAAD79vz8=")</f>
        <v>#REF!</v>
      </c>
      <c r="BM62" t="e">
        <f>AND(#REF!,"AAAAAD79v0A=")</f>
        <v>#REF!</v>
      </c>
      <c r="BN62" t="e">
        <f>AND(#REF!,"AAAAAD79v0E=")</f>
        <v>#REF!</v>
      </c>
      <c r="BO62" t="e">
        <f>AND(#REF!,"AAAAAD79v0I=")</f>
        <v>#REF!</v>
      </c>
      <c r="BP62" t="e">
        <f>AND(#REF!,"AAAAAD79v0M=")</f>
        <v>#REF!</v>
      </c>
      <c r="BQ62" t="e">
        <f>AND(#REF!,"AAAAAD79v0Q=")</f>
        <v>#REF!</v>
      </c>
      <c r="BR62" t="e">
        <f>AND(#REF!,"AAAAAD79v0U=")</f>
        <v>#REF!</v>
      </c>
      <c r="BS62" t="e">
        <f>AND(#REF!,"AAAAAD79v0Y=")</f>
        <v>#REF!</v>
      </c>
      <c r="BT62" t="e">
        <f>IF(#REF!,"AAAAAD79v0c=",0)</f>
        <v>#REF!</v>
      </c>
      <c r="BU62" t="e">
        <f>AND(#REF!,"AAAAAD79v0g=")</f>
        <v>#REF!</v>
      </c>
      <c r="BV62" t="e">
        <f>AND(#REF!,"AAAAAD79v0k=")</f>
        <v>#REF!</v>
      </c>
      <c r="BW62" t="e">
        <f>AND(#REF!,"AAAAAD79v0o=")</f>
        <v>#REF!</v>
      </c>
      <c r="BX62" t="e">
        <f>AND(#REF!,"AAAAAD79v0s=")</f>
        <v>#REF!</v>
      </c>
      <c r="BY62" t="e">
        <f>AND(#REF!,"AAAAAD79v0w=")</f>
        <v>#REF!</v>
      </c>
      <c r="BZ62" t="e">
        <f>AND(#REF!,"AAAAAD79v00=")</f>
        <v>#REF!</v>
      </c>
      <c r="CA62" t="e">
        <f>AND(#REF!,"AAAAAD79v04=")</f>
        <v>#REF!</v>
      </c>
      <c r="CB62" t="e">
        <f>AND(#REF!,"AAAAAD79v08=")</f>
        <v>#REF!</v>
      </c>
      <c r="CC62" t="e">
        <f>IF(#REF!,"AAAAAD79v1A=",0)</f>
        <v>#REF!</v>
      </c>
      <c r="CD62" t="e">
        <f>AND(#REF!,"AAAAAD79v1E=")</f>
        <v>#REF!</v>
      </c>
      <c r="CE62" t="e">
        <f>AND(#REF!,"AAAAAD79v1I=")</f>
        <v>#REF!</v>
      </c>
      <c r="CF62" t="e">
        <f>AND(#REF!,"AAAAAD79v1M=")</f>
        <v>#REF!</v>
      </c>
      <c r="CG62" t="e">
        <f>AND(#REF!,"AAAAAD79v1Q=")</f>
        <v>#REF!</v>
      </c>
      <c r="CH62" t="e">
        <f>AND(#REF!,"AAAAAD79v1U=")</f>
        <v>#REF!</v>
      </c>
      <c r="CI62" t="e">
        <f>AND(#REF!,"AAAAAD79v1Y=")</f>
        <v>#REF!</v>
      </c>
      <c r="CJ62" t="e">
        <f>AND(#REF!,"AAAAAD79v1c=")</f>
        <v>#REF!</v>
      </c>
      <c r="CK62" t="e">
        <f>AND(#REF!,"AAAAAD79v1g=")</f>
        <v>#REF!</v>
      </c>
      <c r="CL62" t="e">
        <f>IF(#REF!,"AAAAAD79v1k=",0)</f>
        <v>#REF!</v>
      </c>
      <c r="CM62" t="e">
        <f>AND(#REF!,"AAAAAD79v1o=")</f>
        <v>#REF!</v>
      </c>
      <c r="CN62" t="e">
        <f>AND(#REF!,"AAAAAD79v1s=")</f>
        <v>#REF!</v>
      </c>
      <c r="CO62" t="e">
        <f>AND(#REF!,"AAAAAD79v1w=")</f>
        <v>#REF!</v>
      </c>
      <c r="CP62" t="e">
        <f>AND(#REF!,"AAAAAD79v10=")</f>
        <v>#REF!</v>
      </c>
      <c r="CQ62" t="e">
        <f>AND(#REF!,"AAAAAD79v14=")</f>
        <v>#REF!</v>
      </c>
      <c r="CR62" t="e">
        <f>AND(#REF!,"AAAAAD79v18=")</f>
        <v>#REF!</v>
      </c>
      <c r="CS62" t="e">
        <f>AND(#REF!,"AAAAAD79v2A=")</f>
        <v>#REF!</v>
      </c>
      <c r="CT62" t="e">
        <f>AND(#REF!,"AAAAAD79v2E=")</f>
        <v>#REF!</v>
      </c>
      <c r="CU62" t="e">
        <f>IF(#REF!,"AAAAAD79v2I=",0)</f>
        <v>#REF!</v>
      </c>
      <c r="CV62" t="e">
        <f>AND(#REF!,"AAAAAD79v2M=")</f>
        <v>#REF!</v>
      </c>
      <c r="CW62" t="e">
        <f>AND(#REF!,"AAAAAD79v2Q=")</f>
        <v>#REF!</v>
      </c>
      <c r="CX62" t="e">
        <f>AND(#REF!,"AAAAAD79v2U=")</f>
        <v>#REF!</v>
      </c>
      <c r="CY62" t="e">
        <f>AND(#REF!,"AAAAAD79v2Y=")</f>
        <v>#REF!</v>
      </c>
      <c r="CZ62" t="e">
        <f>AND(#REF!,"AAAAAD79v2c=")</f>
        <v>#REF!</v>
      </c>
      <c r="DA62" t="e">
        <f>AND(#REF!,"AAAAAD79v2g=")</f>
        <v>#REF!</v>
      </c>
      <c r="DB62" t="e">
        <f>AND(#REF!,"AAAAAD79v2k=")</f>
        <v>#REF!</v>
      </c>
      <c r="DC62" t="e">
        <f>AND(#REF!,"AAAAAD79v2o=")</f>
        <v>#REF!</v>
      </c>
      <c r="DD62" t="e">
        <f>IF(#REF!,"AAAAAD79v2s=",0)</f>
        <v>#REF!</v>
      </c>
      <c r="DE62" t="e">
        <f>AND(#REF!,"AAAAAD79v2w=")</f>
        <v>#REF!</v>
      </c>
      <c r="DF62" t="e">
        <f>AND(#REF!,"AAAAAD79v20=")</f>
        <v>#REF!</v>
      </c>
      <c r="DG62" t="e">
        <f>AND(#REF!,"AAAAAD79v24=")</f>
        <v>#REF!</v>
      </c>
      <c r="DH62" t="e">
        <f>AND(#REF!,"AAAAAD79v28=")</f>
        <v>#REF!</v>
      </c>
      <c r="DI62" t="e">
        <f>AND(#REF!,"AAAAAD79v3A=")</f>
        <v>#REF!</v>
      </c>
      <c r="DJ62" t="e">
        <f>AND(#REF!,"AAAAAD79v3E=")</f>
        <v>#REF!</v>
      </c>
      <c r="DK62" t="e">
        <f>AND(#REF!,"AAAAAD79v3I=")</f>
        <v>#REF!</v>
      </c>
      <c r="DL62" t="e">
        <f>AND(#REF!,"AAAAAD79v3M=")</f>
        <v>#REF!</v>
      </c>
      <c r="DM62" t="e">
        <f>IF(#REF!,"AAAAAD79v3Q=",0)</f>
        <v>#REF!</v>
      </c>
      <c r="DN62" t="e">
        <f>AND(#REF!,"AAAAAD79v3U=")</f>
        <v>#REF!</v>
      </c>
      <c r="DO62" t="e">
        <f>AND(#REF!,"AAAAAD79v3Y=")</f>
        <v>#REF!</v>
      </c>
      <c r="DP62" t="e">
        <f>AND(#REF!,"AAAAAD79v3c=")</f>
        <v>#REF!</v>
      </c>
      <c r="DQ62" t="e">
        <f>AND(#REF!,"AAAAAD79v3g=")</f>
        <v>#REF!</v>
      </c>
      <c r="DR62" t="e">
        <f>AND(#REF!,"AAAAAD79v3k=")</f>
        <v>#REF!</v>
      </c>
      <c r="DS62" t="e">
        <f>AND(#REF!,"AAAAAD79v3o=")</f>
        <v>#REF!</v>
      </c>
      <c r="DT62" t="e">
        <f>AND(#REF!,"AAAAAD79v3s=")</f>
        <v>#REF!</v>
      </c>
      <c r="DU62" t="e">
        <f>AND(#REF!,"AAAAAD79v3w=")</f>
        <v>#REF!</v>
      </c>
      <c r="DV62" t="e">
        <f>IF(#REF!,"AAAAAD79v30=",0)</f>
        <v>#REF!</v>
      </c>
      <c r="DW62" t="e">
        <f>AND(#REF!,"AAAAAD79v34=")</f>
        <v>#REF!</v>
      </c>
      <c r="DX62" t="e">
        <f>AND(#REF!,"AAAAAD79v38=")</f>
        <v>#REF!</v>
      </c>
      <c r="DY62" t="e">
        <f>AND(#REF!,"AAAAAD79v4A=")</f>
        <v>#REF!</v>
      </c>
      <c r="DZ62" t="e">
        <f>AND(#REF!,"AAAAAD79v4E=")</f>
        <v>#REF!</v>
      </c>
      <c r="EA62" t="e">
        <f>AND(#REF!,"AAAAAD79v4I=")</f>
        <v>#REF!</v>
      </c>
      <c r="EB62" t="e">
        <f>AND(#REF!,"AAAAAD79v4M=")</f>
        <v>#REF!</v>
      </c>
      <c r="EC62" t="e">
        <f>AND(#REF!,"AAAAAD79v4Q=")</f>
        <v>#REF!</v>
      </c>
      <c r="ED62" t="e">
        <f>AND(#REF!,"AAAAAD79v4U=")</f>
        <v>#REF!</v>
      </c>
      <c r="EE62" t="e">
        <f>IF(#REF!,"AAAAAD79v4Y=",0)</f>
        <v>#REF!</v>
      </c>
      <c r="EF62" t="e">
        <f>AND(#REF!,"AAAAAD79v4c=")</f>
        <v>#REF!</v>
      </c>
      <c r="EG62" t="e">
        <f>AND(#REF!,"AAAAAD79v4g=")</f>
        <v>#REF!</v>
      </c>
      <c r="EH62" t="e">
        <f>AND(#REF!,"AAAAAD79v4k=")</f>
        <v>#REF!</v>
      </c>
      <c r="EI62" t="e">
        <f>AND(#REF!,"AAAAAD79v4o=")</f>
        <v>#REF!</v>
      </c>
      <c r="EJ62" t="e">
        <f>AND(#REF!,"AAAAAD79v4s=")</f>
        <v>#REF!</v>
      </c>
      <c r="EK62" t="e">
        <f>AND(#REF!,"AAAAAD79v4w=")</f>
        <v>#REF!</v>
      </c>
      <c r="EL62" t="e">
        <f>AND(#REF!,"AAAAAD79v40=")</f>
        <v>#REF!</v>
      </c>
      <c r="EM62" t="e">
        <f>AND(#REF!,"AAAAAD79v44=")</f>
        <v>#REF!</v>
      </c>
      <c r="EN62" t="e">
        <f>IF(#REF!,"AAAAAD79v48=",0)</f>
        <v>#REF!</v>
      </c>
      <c r="EO62" t="e">
        <f>AND(#REF!,"AAAAAD79v5A=")</f>
        <v>#REF!</v>
      </c>
      <c r="EP62" t="e">
        <f>AND(#REF!,"AAAAAD79v5E=")</f>
        <v>#REF!</v>
      </c>
      <c r="EQ62" t="e">
        <f>AND(#REF!,"AAAAAD79v5I=")</f>
        <v>#REF!</v>
      </c>
      <c r="ER62" t="e">
        <f>AND(#REF!,"AAAAAD79v5M=")</f>
        <v>#REF!</v>
      </c>
      <c r="ES62" t="e">
        <f>AND(#REF!,"AAAAAD79v5Q=")</f>
        <v>#REF!</v>
      </c>
      <c r="ET62" t="e">
        <f>AND(#REF!,"AAAAAD79v5U=")</f>
        <v>#REF!</v>
      </c>
      <c r="EU62" t="e">
        <f>AND(#REF!,"AAAAAD79v5Y=")</f>
        <v>#REF!</v>
      </c>
      <c r="EV62" t="e">
        <f>AND(#REF!,"AAAAAD79v5c=")</f>
        <v>#REF!</v>
      </c>
      <c r="EW62" t="e">
        <f>IF(#REF!,"AAAAAD79v5g=",0)</f>
        <v>#REF!</v>
      </c>
      <c r="EX62" t="e">
        <f>AND(#REF!,"AAAAAD79v5k=")</f>
        <v>#REF!</v>
      </c>
      <c r="EY62" t="e">
        <f>AND(#REF!,"AAAAAD79v5o=")</f>
        <v>#REF!</v>
      </c>
      <c r="EZ62" t="e">
        <f>AND(#REF!,"AAAAAD79v5s=")</f>
        <v>#REF!</v>
      </c>
      <c r="FA62" t="e">
        <f>AND(#REF!,"AAAAAD79v5w=")</f>
        <v>#REF!</v>
      </c>
      <c r="FB62" t="e">
        <f>AND(#REF!,"AAAAAD79v50=")</f>
        <v>#REF!</v>
      </c>
      <c r="FC62" t="e">
        <f>AND(#REF!,"AAAAAD79v54=")</f>
        <v>#REF!</v>
      </c>
      <c r="FD62" t="e">
        <f>AND(#REF!,"AAAAAD79v58=")</f>
        <v>#REF!</v>
      </c>
      <c r="FE62" t="e">
        <f>AND(#REF!,"AAAAAD79v6A=")</f>
        <v>#REF!</v>
      </c>
      <c r="FF62" t="e">
        <f>IF(#REF!,"AAAAAD79v6E=",0)</f>
        <v>#REF!</v>
      </c>
      <c r="FG62" t="e">
        <f>AND(#REF!,"AAAAAD79v6I=")</f>
        <v>#REF!</v>
      </c>
      <c r="FH62" t="e">
        <f>AND(#REF!,"AAAAAD79v6M=")</f>
        <v>#REF!</v>
      </c>
      <c r="FI62" t="e">
        <f>AND(#REF!,"AAAAAD79v6Q=")</f>
        <v>#REF!</v>
      </c>
      <c r="FJ62" t="e">
        <f>AND(#REF!,"AAAAAD79v6U=")</f>
        <v>#REF!</v>
      </c>
      <c r="FK62" t="e">
        <f>AND(#REF!,"AAAAAD79v6Y=")</f>
        <v>#REF!</v>
      </c>
      <c r="FL62" t="e">
        <f>AND(#REF!,"AAAAAD79v6c=")</f>
        <v>#REF!</v>
      </c>
      <c r="FM62" t="e">
        <f>AND(#REF!,"AAAAAD79v6g=")</f>
        <v>#REF!</v>
      </c>
      <c r="FN62" t="e">
        <f>AND(#REF!,"AAAAAD79v6k=")</f>
        <v>#REF!</v>
      </c>
      <c r="FO62" t="e">
        <f>IF(#REF!,"AAAAAD79v6o=",0)</f>
        <v>#REF!</v>
      </c>
      <c r="FP62" t="e">
        <f>AND(#REF!,"AAAAAD79v6s=")</f>
        <v>#REF!</v>
      </c>
      <c r="FQ62" t="e">
        <f>AND(#REF!,"AAAAAD79v6w=")</f>
        <v>#REF!</v>
      </c>
      <c r="FR62" t="e">
        <f>AND(#REF!,"AAAAAD79v60=")</f>
        <v>#REF!</v>
      </c>
      <c r="FS62" t="e">
        <f>AND(#REF!,"AAAAAD79v64=")</f>
        <v>#REF!</v>
      </c>
      <c r="FT62" t="e">
        <f>AND(#REF!,"AAAAAD79v68=")</f>
        <v>#REF!</v>
      </c>
      <c r="FU62" t="e">
        <f>AND(#REF!,"AAAAAD79v7A=")</f>
        <v>#REF!</v>
      </c>
      <c r="FV62" t="e">
        <f>AND(#REF!,"AAAAAD79v7E=")</f>
        <v>#REF!</v>
      </c>
      <c r="FW62" t="e">
        <f>AND(#REF!,"AAAAAD79v7I=")</f>
        <v>#REF!</v>
      </c>
      <c r="FX62" t="e">
        <f>IF(#REF!,"AAAAAD79v7M=",0)</f>
        <v>#REF!</v>
      </c>
      <c r="FY62" t="e">
        <f>AND(#REF!,"AAAAAD79v7Q=")</f>
        <v>#REF!</v>
      </c>
      <c r="FZ62" t="e">
        <f>AND(#REF!,"AAAAAD79v7U=")</f>
        <v>#REF!</v>
      </c>
      <c r="GA62" t="e">
        <f>AND(#REF!,"AAAAAD79v7Y=")</f>
        <v>#REF!</v>
      </c>
      <c r="GB62" t="e">
        <f>AND(#REF!,"AAAAAD79v7c=")</f>
        <v>#REF!</v>
      </c>
      <c r="GC62" t="e">
        <f>AND(#REF!,"AAAAAD79v7g=")</f>
        <v>#REF!</v>
      </c>
      <c r="GD62" t="e">
        <f>AND(#REF!,"AAAAAD79v7k=")</f>
        <v>#REF!</v>
      </c>
      <c r="GE62" t="e">
        <f>AND(#REF!,"AAAAAD79v7o=")</f>
        <v>#REF!</v>
      </c>
      <c r="GF62" t="e">
        <f>AND(#REF!,"AAAAAD79v7s=")</f>
        <v>#REF!</v>
      </c>
      <c r="GG62" t="e">
        <f>IF(#REF!,"AAAAAD79v7w=",0)</f>
        <v>#REF!</v>
      </c>
      <c r="GH62" t="e">
        <f>AND(#REF!,"AAAAAD79v70=")</f>
        <v>#REF!</v>
      </c>
      <c r="GI62" t="e">
        <f>AND(#REF!,"AAAAAD79v74=")</f>
        <v>#REF!</v>
      </c>
      <c r="GJ62" t="e">
        <f>AND(#REF!,"AAAAAD79v78=")</f>
        <v>#REF!</v>
      </c>
      <c r="GK62" t="e">
        <f>AND(#REF!,"AAAAAD79v8A=")</f>
        <v>#REF!</v>
      </c>
      <c r="GL62" t="e">
        <f>AND(#REF!,"AAAAAD79v8E=")</f>
        <v>#REF!</v>
      </c>
      <c r="GM62" t="e">
        <f>AND(#REF!,"AAAAAD79v8I=")</f>
        <v>#REF!</v>
      </c>
      <c r="GN62" t="e">
        <f>AND(#REF!,"AAAAAD79v8M=")</f>
        <v>#REF!</v>
      </c>
      <c r="GO62" t="e">
        <f>AND(#REF!,"AAAAAD79v8Q=")</f>
        <v>#REF!</v>
      </c>
      <c r="GP62" t="e">
        <f>IF(#REF!,"AAAAAD79v8U=",0)</f>
        <v>#REF!</v>
      </c>
      <c r="GQ62" t="e">
        <f>AND(#REF!,"AAAAAD79v8Y=")</f>
        <v>#REF!</v>
      </c>
      <c r="GR62" t="e">
        <f>AND(#REF!,"AAAAAD79v8c=")</f>
        <v>#REF!</v>
      </c>
      <c r="GS62" t="e">
        <f>AND(#REF!,"AAAAAD79v8g=")</f>
        <v>#REF!</v>
      </c>
      <c r="GT62" t="e">
        <f>AND(#REF!,"AAAAAD79v8k=")</f>
        <v>#REF!</v>
      </c>
      <c r="GU62" t="e">
        <f>AND(#REF!,"AAAAAD79v8o=")</f>
        <v>#REF!</v>
      </c>
      <c r="GV62" t="e">
        <f>AND(#REF!,"AAAAAD79v8s=")</f>
        <v>#REF!</v>
      </c>
      <c r="GW62" t="e">
        <f>AND(#REF!,"AAAAAD79v8w=")</f>
        <v>#REF!</v>
      </c>
      <c r="GX62" t="e">
        <f>AND(#REF!,"AAAAAD79v80=")</f>
        <v>#REF!</v>
      </c>
      <c r="GY62" t="e">
        <f>IF(#REF!,"AAAAAD79v84=",0)</f>
        <v>#REF!</v>
      </c>
      <c r="GZ62" t="e">
        <f>AND(#REF!,"AAAAAD79v88=")</f>
        <v>#REF!</v>
      </c>
      <c r="HA62" t="e">
        <f>AND(#REF!,"AAAAAD79v9A=")</f>
        <v>#REF!</v>
      </c>
      <c r="HB62" t="e">
        <f>AND(#REF!,"AAAAAD79v9E=")</f>
        <v>#REF!</v>
      </c>
      <c r="HC62" t="e">
        <f>AND(#REF!,"AAAAAD79v9I=")</f>
        <v>#REF!</v>
      </c>
      <c r="HD62" t="e">
        <f>AND(#REF!,"AAAAAD79v9M=")</f>
        <v>#REF!</v>
      </c>
      <c r="HE62" t="e">
        <f>AND(#REF!,"AAAAAD79v9Q=")</f>
        <v>#REF!</v>
      </c>
      <c r="HF62" t="e">
        <f>AND(#REF!,"AAAAAD79v9U=")</f>
        <v>#REF!</v>
      </c>
      <c r="HG62" t="e">
        <f>AND(#REF!,"AAAAAD79v9Y=")</f>
        <v>#REF!</v>
      </c>
      <c r="HH62" t="e">
        <f>IF(#REF!,"AAAAAD79v9c=",0)</f>
        <v>#REF!</v>
      </c>
      <c r="HI62" t="e">
        <f>AND(#REF!,"AAAAAD79v9g=")</f>
        <v>#REF!</v>
      </c>
      <c r="HJ62" t="e">
        <f>AND(#REF!,"AAAAAD79v9k=")</f>
        <v>#REF!</v>
      </c>
      <c r="HK62" t="e">
        <f>AND(#REF!,"AAAAAD79v9o=")</f>
        <v>#REF!</v>
      </c>
      <c r="HL62" t="e">
        <f>AND(#REF!,"AAAAAD79v9s=")</f>
        <v>#REF!</v>
      </c>
      <c r="HM62" t="e">
        <f>AND(#REF!,"AAAAAD79v9w=")</f>
        <v>#REF!</v>
      </c>
      <c r="HN62" t="e">
        <f>AND(#REF!,"AAAAAD79v90=")</f>
        <v>#REF!</v>
      </c>
      <c r="HO62" t="e">
        <f>AND(#REF!,"AAAAAD79v94=")</f>
        <v>#REF!</v>
      </c>
      <c r="HP62" t="e">
        <f>AND(#REF!,"AAAAAD79v98=")</f>
        <v>#REF!</v>
      </c>
      <c r="HQ62" t="e">
        <f>IF(#REF!,"AAAAAD79v+A=",0)</f>
        <v>#REF!</v>
      </c>
      <c r="HR62" t="e">
        <f>AND(#REF!,"AAAAAD79v+E=")</f>
        <v>#REF!</v>
      </c>
      <c r="HS62" t="e">
        <f>AND(#REF!,"AAAAAD79v+I=")</f>
        <v>#REF!</v>
      </c>
      <c r="HT62" t="e">
        <f>AND(#REF!,"AAAAAD79v+M=")</f>
        <v>#REF!</v>
      </c>
      <c r="HU62" t="e">
        <f>AND(#REF!,"AAAAAD79v+Q=")</f>
        <v>#REF!</v>
      </c>
      <c r="HV62" t="e">
        <f>AND(#REF!,"AAAAAD79v+U=")</f>
        <v>#REF!</v>
      </c>
      <c r="HW62" t="e">
        <f>AND(#REF!,"AAAAAD79v+Y=")</f>
        <v>#REF!</v>
      </c>
      <c r="HX62" t="e">
        <f>AND(#REF!,"AAAAAD79v+c=")</f>
        <v>#REF!</v>
      </c>
      <c r="HY62" t="e">
        <f>AND(#REF!,"AAAAAD79v+g=")</f>
        <v>#REF!</v>
      </c>
      <c r="HZ62" t="e">
        <f>IF(#REF!,"AAAAAD79v+k=",0)</f>
        <v>#REF!</v>
      </c>
      <c r="IA62" t="e">
        <f>AND(#REF!,"AAAAAD79v+o=")</f>
        <v>#REF!</v>
      </c>
      <c r="IB62" t="e">
        <f>AND(#REF!,"AAAAAD79v+s=")</f>
        <v>#REF!</v>
      </c>
      <c r="IC62" t="e">
        <f>AND(#REF!,"AAAAAD79v+w=")</f>
        <v>#REF!</v>
      </c>
      <c r="ID62" t="e">
        <f>AND(#REF!,"AAAAAD79v+0=")</f>
        <v>#REF!</v>
      </c>
      <c r="IE62" t="e">
        <f>AND(#REF!,"AAAAAD79v+4=")</f>
        <v>#REF!</v>
      </c>
      <c r="IF62" t="e">
        <f>AND(#REF!,"AAAAAD79v+8=")</f>
        <v>#REF!</v>
      </c>
      <c r="IG62" t="e">
        <f>AND(#REF!,"AAAAAD79v/A=")</f>
        <v>#REF!</v>
      </c>
      <c r="IH62" t="e">
        <f>AND(#REF!,"AAAAAD79v/E=")</f>
        <v>#REF!</v>
      </c>
      <c r="II62" t="e">
        <f>IF(#REF!,"AAAAAD79v/I=",0)</f>
        <v>#REF!</v>
      </c>
      <c r="IJ62" t="e">
        <f>AND(#REF!,"AAAAAD79v/M=")</f>
        <v>#REF!</v>
      </c>
      <c r="IK62" t="e">
        <f>AND(#REF!,"AAAAAD79v/Q=")</f>
        <v>#REF!</v>
      </c>
      <c r="IL62" t="e">
        <f>AND(#REF!,"AAAAAD79v/U=")</f>
        <v>#REF!</v>
      </c>
      <c r="IM62" t="e">
        <f>AND(#REF!,"AAAAAD79v/Y=")</f>
        <v>#REF!</v>
      </c>
      <c r="IN62" t="e">
        <f>AND(#REF!,"AAAAAD79v/c=")</f>
        <v>#REF!</v>
      </c>
      <c r="IO62" t="e">
        <f>AND(#REF!,"AAAAAD79v/g=")</f>
        <v>#REF!</v>
      </c>
      <c r="IP62" t="e">
        <f>AND(#REF!,"AAAAAD79v/k=")</f>
        <v>#REF!</v>
      </c>
      <c r="IQ62" t="e">
        <f>AND(#REF!,"AAAAAD79v/o=")</f>
        <v>#REF!</v>
      </c>
      <c r="IR62" t="e">
        <f>IF(#REF!,"AAAAAD79v/s=",0)</f>
        <v>#REF!</v>
      </c>
      <c r="IS62" t="e">
        <f>AND(#REF!,"AAAAAD79v/w=")</f>
        <v>#REF!</v>
      </c>
      <c r="IT62" t="e">
        <f>AND(#REF!,"AAAAAD79v/0=")</f>
        <v>#REF!</v>
      </c>
      <c r="IU62" t="e">
        <f>AND(#REF!,"AAAAAD79v/4=")</f>
        <v>#REF!</v>
      </c>
      <c r="IV62" t="e">
        <f>AND(#REF!,"AAAAAD79v/8=")</f>
        <v>#REF!</v>
      </c>
    </row>
    <row r="63" spans="1:256">
      <c r="A63" t="e">
        <f>AND(#REF!,"AAAAAGrD9wA=")</f>
        <v>#REF!</v>
      </c>
      <c r="B63" t="e">
        <f>AND(#REF!,"AAAAAGrD9wE=")</f>
        <v>#REF!</v>
      </c>
      <c r="C63" t="e">
        <f>AND(#REF!,"AAAAAGrD9wI=")</f>
        <v>#REF!</v>
      </c>
      <c r="D63" t="e">
        <f>AND(#REF!,"AAAAAGrD9wM=")</f>
        <v>#REF!</v>
      </c>
      <c r="E63" t="e">
        <f>IF(#REF!,"AAAAAGrD9wQ=",0)</f>
        <v>#REF!</v>
      </c>
      <c r="F63" t="e">
        <f>AND(#REF!,"AAAAAGrD9wU=")</f>
        <v>#REF!</v>
      </c>
      <c r="G63" t="e">
        <f>AND(#REF!,"AAAAAGrD9wY=")</f>
        <v>#REF!</v>
      </c>
      <c r="H63" t="e">
        <f>AND(#REF!,"AAAAAGrD9wc=")</f>
        <v>#REF!</v>
      </c>
      <c r="I63" t="e">
        <f>AND(#REF!,"AAAAAGrD9wg=")</f>
        <v>#REF!</v>
      </c>
      <c r="J63" t="e">
        <f>AND(#REF!,"AAAAAGrD9wk=")</f>
        <v>#REF!</v>
      </c>
      <c r="K63" t="e">
        <f>AND(#REF!,"AAAAAGrD9wo=")</f>
        <v>#REF!</v>
      </c>
      <c r="L63" t="e">
        <f>AND(#REF!,"AAAAAGrD9ws=")</f>
        <v>#REF!</v>
      </c>
      <c r="M63" t="e">
        <f>AND(#REF!,"AAAAAGrD9ww=")</f>
        <v>#REF!</v>
      </c>
      <c r="N63" t="e">
        <f>IF(#REF!,"AAAAAGrD9w0=",0)</f>
        <v>#REF!</v>
      </c>
      <c r="O63" t="e">
        <f>AND(#REF!,"AAAAAGrD9w4=")</f>
        <v>#REF!</v>
      </c>
      <c r="P63" t="e">
        <f>AND(#REF!,"AAAAAGrD9w8=")</f>
        <v>#REF!</v>
      </c>
      <c r="Q63" t="e">
        <f>AND(#REF!,"AAAAAGrD9xA=")</f>
        <v>#REF!</v>
      </c>
      <c r="R63" t="e">
        <f>AND(#REF!,"AAAAAGrD9xE=")</f>
        <v>#REF!</v>
      </c>
      <c r="S63" t="e">
        <f>AND(#REF!,"AAAAAGrD9xI=")</f>
        <v>#REF!</v>
      </c>
      <c r="T63" t="e">
        <f>AND(#REF!,"AAAAAGrD9xM=")</f>
        <v>#REF!</v>
      </c>
      <c r="U63" t="e">
        <f>AND(#REF!,"AAAAAGrD9xQ=")</f>
        <v>#REF!</v>
      </c>
      <c r="V63" t="e">
        <f>AND(#REF!,"AAAAAGrD9xU=")</f>
        <v>#REF!</v>
      </c>
      <c r="W63" t="e">
        <f>IF(#REF!,"AAAAAGrD9xY=",0)</f>
        <v>#REF!</v>
      </c>
      <c r="X63" t="e">
        <f>AND(#REF!,"AAAAAGrD9xc=")</f>
        <v>#REF!</v>
      </c>
      <c r="Y63" t="e">
        <f>AND(#REF!,"AAAAAGrD9xg=")</f>
        <v>#REF!</v>
      </c>
      <c r="Z63" t="e">
        <f>AND(#REF!,"AAAAAGrD9xk=")</f>
        <v>#REF!</v>
      </c>
      <c r="AA63" t="e">
        <f>AND(#REF!,"AAAAAGrD9xo=")</f>
        <v>#REF!</v>
      </c>
      <c r="AB63" t="e">
        <f>AND(#REF!,"AAAAAGrD9xs=")</f>
        <v>#REF!</v>
      </c>
      <c r="AC63" t="e">
        <f>AND(#REF!,"AAAAAGrD9xw=")</f>
        <v>#REF!</v>
      </c>
      <c r="AD63" t="e">
        <f>AND(#REF!,"AAAAAGrD9x0=")</f>
        <v>#REF!</v>
      </c>
      <c r="AE63" t="e">
        <f>AND(#REF!,"AAAAAGrD9x4=")</f>
        <v>#REF!</v>
      </c>
      <c r="AF63" t="e">
        <f>IF(#REF!,"AAAAAGrD9x8=",0)</f>
        <v>#REF!</v>
      </c>
      <c r="AG63" t="e">
        <f>AND(#REF!,"AAAAAGrD9yA=")</f>
        <v>#REF!</v>
      </c>
      <c r="AH63" t="e">
        <f>AND(#REF!,"AAAAAGrD9yE=")</f>
        <v>#REF!</v>
      </c>
      <c r="AI63" t="e">
        <f>AND(#REF!,"AAAAAGrD9yI=")</f>
        <v>#REF!</v>
      </c>
      <c r="AJ63" t="e">
        <f>AND(#REF!,"AAAAAGrD9yM=")</f>
        <v>#REF!</v>
      </c>
      <c r="AK63" t="e">
        <f>AND(#REF!,"AAAAAGrD9yQ=")</f>
        <v>#REF!</v>
      </c>
      <c r="AL63" t="e">
        <f>AND(#REF!,"AAAAAGrD9yU=")</f>
        <v>#REF!</v>
      </c>
      <c r="AM63" t="e">
        <f>AND(#REF!,"AAAAAGrD9yY=")</f>
        <v>#REF!</v>
      </c>
      <c r="AN63" t="e">
        <f>AND(#REF!,"AAAAAGrD9yc=")</f>
        <v>#REF!</v>
      </c>
      <c r="AO63" t="e">
        <f>IF(#REF!,"AAAAAGrD9yg=",0)</f>
        <v>#REF!</v>
      </c>
      <c r="AP63" t="e">
        <f>AND(#REF!,"AAAAAGrD9yk=")</f>
        <v>#REF!</v>
      </c>
      <c r="AQ63" t="e">
        <f>AND(#REF!,"AAAAAGrD9yo=")</f>
        <v>#REF!</v>
      </c>
      <c r="AR63" t="e">
        <f>AND(#REF!,"AAAAAGrD9ys=")</f>
        <v>#REF!</v>
      </c>
      <c r="AS63" t="e">
        <f>AND(#REF!,"AAAAAGrD9yw=")</f>
        <v>#REF!</v>
      </c>
      <c r="AT63" t="e">
        <f>AND(#REF!,"AAAAAGrD9y0=")</f>
        <v>#REF!</v>
      </c>
      <c r="AU63" t="e">
        <f>AND(#REF!,"AAAAAGrD9y4=")</f>
        <v>#REF!</v>
      </c>
      <c r="AV63" t="e">
        <f>AND(#REF!,"AAAAAGrD9y8=")</f>
        <v>#REF!</v>
      </c>
      <c r="AW63" t="e">
        <f>AND(#REF!,"AAAAAGrD9zA=")</f>
        <v>#REF!</v>
      </c>
      <c r="AX63" t="e">
        <f>IF(#REF!,"AAAAAGrD9zE=",0)</f>
        <v>#REF!</v>
      </c>
      <c r="AY63" t="e">
        <f>AND(#REF!,"AAAAAGrD9zI=")</f>
        <v>#REF!</v>
      </c>
      <c r="AZ63" t="e">
        <f>AND(#REF!,"AAAAAGrD9zM=")</f>
        <v>#REF!</v>
      </c>
      <c r="BA63" t="e">
        <f>AND(#REF!,"AAAAAGrD9zQ=")</f>
        <v>#REF!</v>
      </c>
      <c r="BB63" t="e">
        <f>AND(#REF!,"AAAAAGrD9zU=")</f>
        <v>#REF!</v>
      </c>
      <c r="BC63" t="e">
        <f>AND(#REF!,"AAAAAGrD9zY=")</f>
        <v>#REF!</v>
      </c>
      <c r="BD63" t="e">
        <f>AND(#REF!,"AAAAAGrD9zc=")</f>
        <v>#REF!</v>
      </c>
      <c r="BE63" t="e">
        <f>AND(#REF!,"AAAAAGrD9zg=")</f>
        <v>#REF!</v>
      </c>
      <c r="BF63" t="e">
        <f>AND(#REF!,"AAAAAGrD9zk=")</f>
        <v>#REF!</v>
      </c>
      <c r="BG63" t="e">
        <f>IF(#REF!,"AAAAAGrD9zo=",0)</f>
        <v>#REF!</v>
      </c>
      <c r="BH63" t="e">
        <f>AND(#REF!,"AAAAAGrD9zs=")</f>
        <v>#REF!</v>
      </c>
      <c r="BI63" t="e">
        <f>AND(#REF!,"AAAAAGrD9zw=")</f>
        <v>#REF!</v>
      </c>
      <c r="BJ63" t="e">
        <f>AND(#REF!,"AAAAAGrD9z0=")</f>
        <v>#REF!</v>
      </c>
      <c r="BK63" t="e">
        <f>AND(#REF!,"AAAAAGrD9z4=")</f>
        <v>#REF!</v>
      </c>
      <c r="BL63" t="e">
        <f>AND(#REF!,"AAAAAGrD9z8=")</f>
        <v>#REF!</v>
      </c>
      <c r="BM63" t="e">
        <f>AND(#REF!,"AAAAAGrD90A=")</f>
        <v>#REF!</v>
      </c>
      <c r="BN63" t="e">
        <f>AND(#REF!,"AAAAAGrD90E=")</f>
        <v>#REF!</v>
      </c>
      <c r="BO63" t="e">
        <f>AND(#REF!,"AAAAAGrD90I=")</f>
        <v>#REF!</v>
      </c>
      <c r="BP63" t="e">
        <f>IF(#REF!,"AAAAAGrD90M=",0)</f>
        <v>#REF!</v>
      </c>
      <c r="BQ63" t="e">
        <f>AND(#REF!,"AAAAAGrD90Q=")</f>
        <v>#REF!</v>
      </c>
      <c r="BR63" t="e">
        <f>AND(#REF!,"AAAAAGrD90U=")</f>
        <v>#REF!</v>
      </c>
      <c r="BS63" t="e">
        <f>AND(#REF!,"AAAAAGrD90Y=")</f>
        <v>#REF!</v>
      </c>
      <c r="BT63" t="e">
        <f>AND(#REF!,"AAAAAGrD90c=")</f>
        <v>#REF!</v>
      </c>
      <c r="BU63" t="e">
        <f>AND(#REF!,"AAAAAGrD90g=")</f>
        <v>#REF!</v>
      </c>
      <c r="BV63" t="e">
        <f>AND(#REF!,"AAAAAGrD90k=")</f>
        <v>#REF!</v>
      </c>
      <c r="BW63" t="e">
        <f>AND(#REF!,"AAAAAGrD90o=")</f>
        <v>#REF!</v>
      </c>
      <c r="BX63" t="e">
        <f>AND(#REF!,"AAAAAGrD90s=")</f>
        <v>#REF!</v>
      </c>
      <c r="BY63" t="e">
        <f>IF(#REF!,"AAAAAGrD90w=",0)</f>
        <v>#REF!</v>
      </c>
      <c r="BZ63" t="e">
        <f>AND(#REF!,"AAAAAGrD900=")</f>
        <v>#REF!</v>
      </c>
      <c r="CA63" t="e">
        <f>AND(#REF!,"AAAAAGrD904=")</f>
        <v>#REF!</v>
      </c>
      <c r="CB63" t="e">
        <f>AND(#REF!,"AAAAAGrD908=")</f>
        <v>#REF!</v>
      </c>
      <c r="CC63" t="e">
        <f>AND(#REF!,"AAAAAGrD91A=")</f>
        <v>#REF!</v>
      </c>
      <c r="CD63" t="e">
        <f>AND(#REF!,"AAAAAGrD91E=")</f>
        <v>#REF!</v>
      </c>
      <c r="CE63" t="e">
        <f>AND(#REF!,"AAAAAGrD91I=")</f>
        <v>#REF!</v>
      </c>
      <c r="CF63" t="e">
        <f>AND(#REF!,"AAAAAGrD91M=")</f>
        <v>#REF!</v>
      </c>
      <c r="CG63" t="e">
        <f>AND(#REF!,"AAAAAGrD91Q=")</f>
        <v>#REF!</v>
      </c>
      <c r="CH63" t="e">
        <f>IF(#REF!,"AAAAAGrD91U=",0)</f>
        <v>#REF!</v>
      </c>
      <c r="CI63" t="e">
        <f>AND(#REF!,"AAAAAGrD91Y=")</f>
        <v>#REF!</v>
      </c>
      <c r="CJ63" t="e">
        <f>AND(#REF!,"AAAAAGrD91c=")</f>
        <v>#REF!</v>
      </c>
      <c r="CK63" t="e">
        <f>AND(#REF!,"AAAAAGrD91g=")</f>
        <v>#REF!</v>
      </c>
      <c r="CL63" t="e">
        <f>AND(#REF!,"AAAAAGrD91k=")</f>
        <v>#REF!</v>
      </c>
      <c r="CM63" t="e">
        <f>AND(#REF!,"AAAAAGrD91o=")</f>
        <v>#REF!</v>
      </c>
      <c r="CN63" t="e">
        <f>AND(#REF!,"AAAAAGrD91s=")</f>
        <v>#REF!</v>
      </c>
      <c r="CO63" t="e">
        <f>AND(#REF!,"AAAAAGrD91w=")</f>
        <v>#REF!</v>
      </c>
      <c r="CP63" t="e">
        <f>AND(#REF!,"AAAAAGrD910=")</f>
        <v>#REF!</v>
      </c>
      <c r="CQ63" t="e">
        <f>IF(#REF!,"AAAAAGrD914=",0)</f>
        <v>#REF!</v>
      </c>
      <c r="CR63" t="e">
        <f>AND(#REF!,"AAAAAGrD918=")</f>
        <v>#REF!</v>
      </c>
      <c r="CS63" t="e">
        <f>AND(#REF!,"AAAAAGrD92A=")</f>
        <v>#REF!</v>
      </c>
      <c r="CT63" t="e">
        <f>AND(#REF!,"AAAAAGrD92E=")</f>
        <v>#REF!</v>
      </c>
      <c r="CU63" t="e">
        <f>AND(#REF!,"AAAAAGrD92I=")</f>
        <v>#REF!</v>
      </c>
      <c r="CV63" t="e">
        <f>AND(#REF!,"AAAAAGrD92M=")</f>
        <v>#REF!</v>
      </c>
      <c r="CW63" t="e">
        <f>AND(#REF!,"AAAAAGrD92Q=")</f>
        <v>#REF!</v>
      </c>
      <c r="CX63" t="e">
        <f>AND(#REF!,"AAAAAGrD92U=")</f>
        <v>#REF!</v>
      </c>
      <c r="CY63" t="e">
        <f>AND(#REF!,"AAAAAGrD92Y=")</f>
        <v>#REF!</v>
      </c>
      <c r="CZ63" t="e">
        <f>IF(#REF!,"AAAAAGrD92c=",0)</f>
        <v>#REF!</v>
      </c>
      <c r="DA63" t="e">
        <f>AND(#REF!,"AAAAAGrD92g=")</f>
        <v>#REF!</v>
      </c>
      <c r="DB63" t="e">
        <f>AND(#REF!,"AAAAAGrD92k=")</f>
        <v>#REF!</v>
      </c>
      <c r="DC63" t="e">
        <f>AND(#REF!,"AAAAAGrD92o=")</f>
        <v>#REF!</v>
      </c>
      <c r="DD63" t="e">
        <f>AND(#REF!,"AAAAAGrD92s=")</f>
        <v>#REF!</v>
      </c>
      <c r="DE63" t="e">
        <f>AND(#REF!,"AAAAAGrD92w=")</f>
        <v>#REF!</v>
      </c>
      <c r="DF63" t="e">
        <f>AND(#REF!,"AAAAAGrD920=")</f>
        <v>#REF!</v>
      </c>
      <c r="DG63" t="e">
        <f>AND(#REF!,"AAAAAGrD924=")</f>
        <v>#REF!</v>
      </c>
      <c r="DH63" t="e">
        <f>AND(#REF!,"AAAAAGrD928=")</f>
        <v>#REF!</v>
      </c>
      <c r="DI63" t="e">
        <f>IF(#REF!,"AAAAAGrD93A=",0)</f>
        <v>#REF!</v>
      </c>
      <c r="DJ63" t="e">
        <f>AND(#REF!,"AAAAAGrD93E=")</f>
        <v>#REF!</v>
      </c>
      <c r="DK63" t="e">
        <f>AND(#REF!,"AAAAAGrD93I=")</f>
        <v>#REF!</v>
      </c>
      <c r="DL63" t="e">
        <f>AND(#REF!,"AAAAAGrD93M=")</f>
        <v>#REF!</v>
      </c>
      <c r="DM63" t="e">
        <f>AND(#REF!,"AAAAAGrD93Q=")</f>
        <v>#REF!</v>
      </c>
      <c r="DN63" t="e">
        <f>AND(#REF!,"AAAAAGrD93U=")</f>
        <v>#REF!</v>
      </c>
      <c r="DO63" t="e">
        <f>AND(#REF!,"AAAAAGrD93Y=")</f>
        <v>#REF!</v>
      </c>
      <c r="DP63" t="e">
        <f>AND(#REF!,"AAAAAGrD93c=")</f>
        <v>#REF!</v>
      </c>
      <c r="DQ63" t="e">
        <f>AND(#REF!,"AAAAAGrD93g=")</f>
        <v>#REF!</v>
      </c>
      <c r="DR63" t="e">
        <f>IF(#REF!,"AAAAAGrD93k=",0)</f>
        <v>#REF!</v>
      </c>
      <c r="DS63" t="e">
        <f>AND(#REF!,"AAAAAGrD93o=")</f>
        <v>#REF!</v>
      </c>
      <c r="DT63" t="e">
        <f>AND(#REF!,"AAAAAGrD93s=")</f>
        <v>#REF!</v>
      </c>
      <c r="DU63" t="e">
        <f>AND(#REF!,"AAAAAGrD93w=")</f>
        <v>#REF!</v>
      </c>
      <c r="DV63" t="e">
        <f>AND(#REF!,"AAAAAGrD930=")</f>
        <v>#REF!</v>
      </c>
      <c r="DW63" t="e">
        <f>AND(#REF!,"AAAAAGrD934=")</f>
        <v>#REF!</v>
      </c>
      <c r="DX63" t="e">
        <f>AND(#REF!,"AAAAAGrD938=")</f>
        <v>#REF!</v>
      </c>
      <c r="DY63" t="e">
        <f>AND(#REF!,"AAAAAGrD94A=")</f>
        <v>#REF!</v>
      </c>
      <c r="DZ63" t="e">
        <f>AND(#REF!,"AAAAAGrD94E=")</f>
        <v>#REF!</v>
      </c>
      <c r="EA63" t="e">
        <f>IF(#REF!,"AAAAAGrD94I=",0)</f>
        <v>#REF!</v>
      </c>
      <c r="EB63" t="e">
        <f>IF(#REF!,"AAAAAGrD94M=",0)</f>
        <v>#REF!</v>
      </c>
      <c r="EC63" t="e">
        <f>IF(#REF!,"AAAAAGrD94Q=",0)</f>
        <v>#REF!</v>
      </c>
      <c r="ED63" t="e">
        <f>IF(#REF!,"AAAAAGrD94U=",0)</f>
        <v>#REF!</v>
      </c>
      <c r="EE63" t="e">
        <f>IF(#REF!,"AAAAAGrD94Y=",0)</f>
        <v>#REF!</v>
      </c>
      <c r="EF63" t="e">
        <f>IF(#REF!,"AAAAAGrD94c=",0)</f>
        <v>#REF!</v>
      </c>
      <c r="EG63" t="e">
        <f>IF(#REF!,"AAAAAGrD94g=",0)</f>
        <v>#REF!</v>
      </c>
      <c r="EH63" t="e">
        <f>IF(#REF!,"AAAAAGrD94k=",0)</f>
        <v>#REF!</v>
      </c>
      <c r="EI63" t="e">
        <f>IF(#REF!,"AAAAAGrD94o=",0)</f>
        <v>#REF!</v>
      </c>
      <c r="EJ63" t="e">
        <f>AND(#REF!,"AAAAAGrD94s=")</f>
        <v>#REF!</v>
      </c>
      <c r="EK63" t="e">
        <f>AND(#REF!,"AAAAAGrD94w=")</f>
        <v>#REF!</v>
      </c>
      <c r="EL63" t="e">
        <f>AND(#REF!,"AAAAAGrD940=")</f>
        <v>#REF!</v>
      </c>
      <c r="EM63" t="e">
        <f>AND(#REF!,"AAAAAGrD944=")</f>
        <v>#REF!</v>
      </c>
      <c r="EN63" t="e">
        <f>AND(#REF!,"AAAAAGrD948=")</f>
        <v>#REF!</v>
      </c>
      <c r="EO63" t="e">
        <f>AND(#REF!,"AAAAAGrD95A=")</f>
        <v>#REF!</v>
      </c>
      <c r="EP63" t="e">
        <f>AND(#REF!,"AAAAAGrD95E=")</f>
        <v>#REF!</v>
      </c>
      <c r="EQ63" t="e">
        <f>AND(#REF!,"AAAAAGrD95I=")</f>
        <v>#REF!</v>
      </c>
      <c r="ER63" t="e">
        <f>AND(#REF!,"AAAAAGrD95M=")</f>
        <v>#REF!</v>
      </c>
      <c r="ES63" t="e">
        <f>AND(#REF!,"AAAAAGrD95Q=")</f>
        <v>#REF!</v>
      </c>
      <c r="ET63" t="e">
        <f>AND(#REF!,"AAAAAGrD95U=")</f>
        <v>#REF!</v>
      </c>
      <c r="EU63" t="e">
        <f>AND(#REF!,"AAAAAGrD95Y=")</f>
        <v>#REF!</v>
      </c>
      <c r="EV63" t="e">
        <f>AND(#REF!,"AAAAAGrD95c=")</f>
        <v>#REF!</v>
      </c>
      <c r="EW63" t="e">
        <f>AND(#REF!,"AAAAAGrD95g=")</f>
        <v>#REF!</v>
      </c>
      <c r="EX63" t="e">
        <f>AND(#REF!,"AAAAAGrD95k=")</f>
        <v>#REF!</v>
      </c>
      <c r="EY63" t="e">
        <f>AND(#REF!,"AAAAAGrD95o=")</f>
        <v>#REF!</v>
      </c>
      <c r="EZ63" t="e">
        <f>AND(#REF!,"AAAAAGrD95s=")</f>
        <v>#REF!</v>
      </c>
      <c r="FA63" t="e">
        <f>AND(#REF!,"AAAAAGrD95w=")</f>
        <v>#REF!</v>
      </c>
      <c r="FB63" t="e">
        <f>AND(#REF!,"AAAAAGrD950=")</f>
        <v>#REF!</v>
      </c>
      <c r="FC63" t="e">
        <f>AND(#REF!,"AAAAAGrD954=")</f>
        <v>#REF!</v>
      </c>
      <c r="FD63" t="e">
        <f>AND(#REF!,"AAAAAGrD958=")</f>
        <v>#REF!</v>
      </c>
      <c r="FE63" t="e">
        <f>AND(#REF!,"AAAAAGrD96A=")</f>
        <v>#REF!</v>
      </c>
      <c r="FF63" t="e">
        <f>AND(#REF!,"AAAAAGrD96E=")</f>
        <v>#REF!</v>
      </c>
      <c r="FG63" t="e">
        <f>AND(#REF!,"AAAAAGrD96I=")</f>
        <v>#REF!</v>
      </c>
      <c r="FH63" t="e">
        <f>IF(#REF!,"AAAAAGrD96M=",0)</f>
        <v>#REF!</v>
      </c>
      <c r="FI63" t="e">
        <f>AND(#REF!,"AAAAAGrD96Q=")</f>
        <v>#REF!</v>
      </c>
      <c r="FJ63" t="e">
        <f>AND(#REF!,"AAAAAGrD96U=")</f>
        <v>#REF!</v>
      </c>
      <c r="FK63" t="e">
        <f>AND(#REF!,"AAAAAGrD96Y=")</f>
        <v>#REF!</v>
      </c>
      <c r="FL63" t="e">
        <f>AND(#REF!,"AAAAAGrD96c=")</f>
        <v>#REF!</v>
      </c>
      <c r="FM63" t="e">
        <f>AND(#REF!,"AAAAAGrD96g=")</f>
        <v>#REF!</v>
      </c>
      <c r="FN63" t="e">
        <f>AND(#REF!,"AAAAAGrD96k=")</f>
        <v>#REF!</v>
      </c>
      <c r="FO63" t="e">
        <f>AND(#REF!,"AAAAAGrD96o=")</f>
        <v>#REF!</v>
      </c>
      <c r="FP63" t="e">
        <f>AND(#REF!,"AAAAAGrD96s=")</f>
        <v>#REF!</v>
      </c>
      <c r="FQ63" t="e">
        <f>AND(#REF!,"AAAAAGrD96w=")</f>
        <v>#REF!</v>
      </c>
      <c r="FR63" t="e">
        <f>AND(#REF!,"AAAAAGrD960=")</f>
        <v>#REF!</v>
      </c>
      <c r="FS63" t="e">
        <f>AND(#REF!,"AAAAAGrD964=")</f>
        <v>#REF!</v>
      </c>
      <c r="FT63" t="e">
        <f>AND(#REF!,"AAAAAGrD968=")</f>
        <v>#REF!</v>
      </c>
      <c r="FU63" t="e">
        <f>AND(#REF!,"AAAAAGrD97A=")</f>
        <v>#REF!</v>
      </c>
      <c r="FV63" t="e">
        <f>AND(#REF!,"AAAAAGrD97E=")</f>
        <v>#REF!</v>
      </c>
      <c r="FW63" t="e">
        <f>AND(#REF!,"AAAAAGrD97I=")</f>
        <v>#REF!</v>
      </c>
      <c r="FX63" t="e">
        <f>AND(#REF!,"AAAAAGrD97M=")</f>
        <v>#REF!</v>
      </c>
      <c r="FY63" t="e">
        <f>AND(#REF!,"AAAAAGrD97Q=")</f>
        <v>#REF!</v>
      </c>
      <c r="FZ63" t="e">
        <f>AND(#REF!,"AAAAAGrD97U=")</f>
        <v>#REF!</v>
      </c>
      <c r="GA63" t="e">
        <f>AND(#REF!,"AAAAAGrD97Y=")</f>
        <v>#REF!</v>
      </c>
      <c r="GB63" t="e">
        <f>AND(#REF!,"AAAAAGrD97c=")</f>
        <v>#REF!</v>
      </c>
      <c r="GC63" t="e">
        <f>AND(#REF!,"AAAAAGrD97g=")</f>
        <v>#REF!</v>
      </c>
      <c r="GD63" t="e">
        <f>AND(#REF!,"AAAAAGrD97k=")</f>
        <v>#REF!</v>
      </c>
      <c r="GE63" t="e">
        <f>AND(#REF!,"AAAAAGrD97o=")</f>
        <v>#REF!</v>
      </c>
      <c r="GF63" t="e">
        <f>AND(#REF!,"AAAAAGrD97s=")</f>
        <v>#REF!</v>
      </c>
      <c r="GG63" t="e">
        <f>IF(#REF!,"AAAAAGrD97w=",0)</f>
        <v>#REF!</v>
      </c>
      <c r="GH63" t="e">
        <f>AND(#REF!,"AAAAAGrD970=")</f>
        <v>#REF!</v>
      </c>
      <c r="GI63" t="e">
        <f>AND(#REF!,"AAAAAGrD974=")</f>
        <v>#REF!</v>
      </c>
      <c r="GJ63" t="e">
        <f>AND(#REF!,"AAAAAGrD978=")</f>
        <v>#REF!</v>
      </c>
      <c r="GK63" t="e">
        <f>AND(#REF!,"AAAAAGrD98A=")</f>
        <v>#REF!</v>
      </c>
      <c r="GL63" t="e">
        <f>AND(#REF!,"AAAAAGrD98E=")</f>
        <v>#REF!</v>
      </c>
      <c r="GM63" t="e">
        <f>AND(#REF!,"AAAAAGrD98I=")</f>
        <v>#REF!</v>
      </c>
      <c r="GN63" t="e">
        <f>AND(#REF!,"AAAAAGrD98M=")</f>
        <v>#REF!</v>
      </c>
      <c r="GO63" t="e">
        <f>AND(#REF!,"AAAAAGrD98Q=")</f>
        <v>#REF!</v>
      </c>
      <c r="GP63" t="e">
        <f>AND(#REF!,"AAAAAGrD98U=")</f>
        <v>#REF!</v>
      </c>
      <c r="GQ63" t="e">
        <f>AND(#REF!,"AAAAAGrD98Y=")</f>
        <v>#REF!</v>
      </c>
      <c r="GR63" t="e">
        <f>AND(#REF!,"AAAAAGrD98c=")</f>
        <v>#REF!</v>
      </c>
      <c r="GS63" t="e">
        <f>AND(#REF!,"AAAAAGrD98g=")</f>
        <v>#REF!</v>
      </c>
      <c r="GT63" t="e">
        <f>AND(#REF!,"AAAAAGrD98k=")</f>
        <v>#REF!</v>
      </c>
      <c r="GU63" t="e">
        <f>AND(#REF!,"AAAAAGrD98o=")</f>
        <v>#REF!</v>
      </c>
      <c r="GV63" t="e">
        <f>AND(#REF!,"AAAAAGrD98s=")</f>
        <v>#REF!</v>
      </c>
      <c r="GW63" t="e">
        <f>AND(#REF!,"AAAAAGrD98w=")</f>
        <v>#REF!</v>
      </c>
      <c r="GX63" t="e">
        <f>AND(#REF!,"AAAAAGrD980=")</f>
        <v>#REF!</v>
      </c>
      <c r="GY63" t="e">
        <f>AND(#REF!,"AAAAAGrD984=")</f>
        <v>#REF!</v>
      </c>
      <c r="GZ63" t="e">
        <f>AND(#REF!,"AAAAAGrD988=")</f>
        <v>#REF!</v>
      </c>
      <c r="HA63" t="e">
        <f>AND(#REF!,"AAAAAGrD99A=")</f>
        <v>#REF!</v>
      </c>
      <c r="HB63" t="e">
        <f>AND(#REF!,"AAAAAGrD99E=")</f>
        <v>#REF!</v>
      </c>
      <c r="HC63" t="e">
        <f>AND(#REF!,"AAAAAGrD99I=")</f>
        <v>#REF!</v>
      </c>
      <c r="HD63" t="e">
        <f>AND(#REF!,"AAAAAGrD99M=")</f>
        <v>#REF!</v>
      </c>
      <c r="HE63" t="e">
        <f>AND(#REF!,"AAAAAGrD99Q=")</f>
        <v>#REF!</v>
      </c>
      <c r="HF63" t="e">
        <f>IF(#REF!,"AAAAAGrD99U=",0)</f>
        <v>#REF!</v>
      </c>
      <c r="HG63" t="e">
        <f>AND(#REF!,"AAAAAGrD99Y=")</f>
        <v>#REF!</v>
      </c>
      <c r="HH63" t="e">
        <f>AND(#REF!,"AAAAAGrD99c=")</f>
        <v>#REF!</v>
      </c>
      <c r="HI63" t="e">
        <f>AND(#REF!,"AAAAAGrD99g=")</f>
        <v>#REF!</v>
      </c>
      <c r="HJ63" t="e">
        <f>AND(#REF!,"AAAAAGrD99k=")</f>
        <v>#REF!</v>
      </c>
      <c r="HK63" t="e">
        <f>AND(#REF!,"AAAAAGrD99o=")</f>
        <v>#REF!</v>
      </c>
      <c r="HL63" t="e">
        <f>AND(#REF!,"AAAAAGrD99s=")</f>
        <v>#REF!</v>
      </c>
      <c r="HM63" t="e">
        <f>AND(#REF!,"AAAAAGrD99w=")</f>
        <v>#REF!</v>
      </c>
      <c r="HN63" t="e">
        <f>AND(#REF!,"AAAAAGrD990=")</f>
        <v>#REF!</v>
      </c>
      <c r="HO63" t="e">
        <f>AND(#REF!,"AAAAAGrD994=")</f>
        <v>#REF!</v>
      </c>
      <c r="HP63" t="e">
        <f>AND(#REF!,"AAAAAGrD998=")</f>
        <v>#REF!</v>
      </c>
      <c r="HQ63" t="e">
        <f>AND(#REF!,"AAAAAGrD9+A=")</f>
        <v>#REF!</v>
      </c>
      <c r="HR63" t="e">
        <f>AND(#REF!,"AAAAAGrD9+E=")</f>
        <v>#REF!</v>
      </c>
      <c r="HS63" t="e">
        <f>AND(#REF!,"AAAAAGrD9+I=")</f>
        <v>#REF!</v>
      </c>
      <c r="HT63" t="e">
        <f>AND(#REF!,"AAAAAGrD9+M=")</f>
        <v>#REF!</v>
      </c>
      <c r="HU63" t="e">
        <f>AND(#REF!,"AAAAAGrD9+Q=")</f>
        <v>#REF!</v>
      </c>
      <c r="HV63" t="e">
        <f>AND(#REF!,"AAAAAGrD9+U=")</f>
        <v>#REF!</v>
      </c>
      <c r="HW63" t="e">
        <f>AND(#REF!,"AAAAAGrD9+Y=")</f>
        <v>#REF!</v>
      </c>
      <c r="HX63" t="e">
        <f>AND(#REF!,"AAAAAGrD9+c=")</f>
        <v>#REF!</v>
      </c>
      <c r="HY63" t="e">
        <f>AND(#REF!,"AAAAAGrD9+g=")</f>
        <v>#REF!</v>
      </c>
      <c r="HZ63" t="e">
        <f>AND(#REF!,"AAAAAGrD9+k=")</f>
        <v>#REF!</v>
      </c>
      <c r="IA63" t="e">
        <f>AND(#REF!,"AAAAAGrD9+o=")</f>
        <v>#REF!</v>
      </c>
      <c r="IB63" t="e">
        <f>AND(#REF!,"AAAAAGrD9+s=")</f>
        <v>#REF!</v>
      </c>
      <c r="IC63" t="e">
        <f>AND(#REF!,"AAAAAGrD9+w=")</f>
        <v>#REF!</v>
      </c>
      <c r="ID63" t="e">
        <f>AND(#REF!,"AAAAAGrD9+0=")</f>
        <v>#REF!</v>
      </c>
      <c r="IE63" t="e">
        <f>IF(#REF!,"AAAAAGrD9+4=",0)</f>
        <v>#REF!</v>
      </c>
      <c r="IF63" t="e">
        <f>AND(#REF!,"AAAAAGrD9+8=")</f>
        <v>#REF!</v>
      </c>
      <c r="IG63" t="e">
        <f>AND(#REF!,"AAAAAGrD9/A=")</f>
        <v>#REF!</v>
      </c>
      <c r="IH63" t="e">
        <f>AND(#REF!,"AAAAAGrD9/E=")</f>
        <v>#REF!</v>
      </c>
      <c r="II63" t="e">
        <f>AND(#REF!,"AAAAAGrD9/I=")</f>
        <v>#REF!</v>
      </c>
      <c r="IJ63" t="e">
        <f>AND(#REF!,"AAAAAGrD9/M=")</f>
        <v>#REF!</v>
      </c>
      <c r="IK63" t="e">
        <f>AND(#REF!,"AAAAAGrD9/Q=")</f>
        <v>#REF!</v>
      </c>
      <c r="IL63" t="e">
        <f>AND(#REF!,"AAAAAGrD9/U=")</f>
        <v>#REF!</v>
      </c>
      <c r="IM63" t="e">
        <f>AND(#REF!,"AAAAAGrD9/Y=")</f>
        <v>#REF!</v>
      </c>
      <c r="IN63" t="e">
        <f>AND(#REF!,"AAAAAGrD9/c=")</f>
        <v>#REF!</v>
      </c>
      <c r="IO63" t="e">
        <f>AND(#REF!,"AAAAAGrD9/g=")</f>
        <v>#REF!</v>
      </c>
      <c r="IP63" t="e">
        <f>AND(#REF!,"AAAAAGrD9/k=")</f>
        <v>#REF!</v>
      </c>
      <c r="IQ63" t="e">
        <f>AND(#REF!,"AAAAAGrD9/o=")</f>
        <v>#REF!</v>
      </c>
      <c r="IR63" t="e">
        <f>AND(#REF!,"AAAAAGrD9/s=")</f>
        <v>#REF!</v>
      </c>
      <c r="IS63" t="e">
        <f>AND(#REF!,"AAAAAGrD9/w=")</f>
        <v>#REF!</v>
      </c>
      <c r="IT63" t="e">
        <f>AND(#REF!,"AAAAAGrD9/0=")</f>
        <v>#REF!</v>
      </c>
      <c r="IU63" t="e">
        <f>AND(#REF!,"AAAAAGrD9/4=")</f>
        <v>#REF!</v>
      </c>
      <c r="IV63" t="e">
        <f>AND(#REF!,"AAAAAGrD9/8=")</f>
        <v>#REF!</v>
      </c>
    </row>
    <row r="64" spans="1:256">
      <c r="A64" t="e">
        <f>AND(#REF!,"AAAAAGv/5gA=")</f>
        <v>#REF!</v>
      </c>
      <c r="B64" t="e">
        <f>AND(#REF!,"AAAAAGv/5gE=")</f>
        <v>#REF!</v>
      </c>
      <c r="C64" t="e">
        <f>AND(#REF!,"AAAAAGv/5gI=")</f>
        <v>#REF!</v>
      </c>
      <c r="D64" t="e">
        <f>AND(#REF!,"AAAAAGv/5gM=")</f>
        <v>#REF!</v>
      </c>
      <c r="E64" t="e">
        <f>AND(#REF!,"AAAAAGv/5gQ=")</f>
        <v>#REF!</v>
      </c>
      <c r="F64" t="e">
        <f>AND(#REF!,"AAAAAGv/5gU=")</f>
        <v>#REF!</v>
      </c>
      <c r="G64" t="e">
        <f>AND(#REF!,"AAAAAGv/5gY=")</f>
        <v>#REF!</v>
      </c>
      <c r="H64" t="e">
        <f>IF(#REF!,"AAAAAGv/5gc=",0)</f>
        <v>#REF!</v>
      </c>
      <c r="I64" t="e">
        <f>AND(#REF!,"AAAAAGv/5gg=")</f>
        <v>#REF!</v>
      </c>
      <c r="J64" t="e">
        <f>AND(#REF!,"AAAAAGv/5gk=")</f>
        <v>#REF!</v>
      </c>
      <c r="K64" t="e">
        <f>AND(#REF!,"AAAAAGv/5go=")</f>
        <v>#REF!</v>
      </c>
      <c r="L64" t="e">
        <f>AND(#REF!,"AAAAAGv/5gs=")</f>
        <v>#REF!</v>
      </c>
      <c r="M64" t="e">
        <f>AND(#REF!,"AAAAAGv/5gw=")</f>
        <v>#REF!</v>
      </c>
      <c r="N64" t="e">
        <f>AND(#REF!,"AAAAAGv/5g0=")</f>
        <v>#REF!</v>
      </c>
      <c r="O64" t="e">
        <f>AND(#REF!,"AAAAAGv/5g4=")</f>
        <v>#REF!</v>
      </c>
      <c r="P64" t="e">
        <f>AND(#REF!,"AAAAAGv/5g8=")</f>
        <v>#REF!</v>
      </c>
      <c r="Q64" t="e">
        <f>AND(#REF!,"AAAAAGv/5hA=")</f>
        <v>#REF!</v>
      </c>
      <c r="R64" t="e">
        <f>AND(#REF!,"AAAAAGv/5hE=")</f>
        <v>#REF!</v>
      </c>
      <c r="S64" t="e">
        <f>AND(#REF!,"AAAAAGv/5hI=")</f>
        <v>#REF!</v>
      </c>
      <c r="T64" t="e">
        <f>AND(#REF!,"AAAAAGv/5hM=")</f>
        <v>#REF!</v>
      </c>
      <c r="U64" t="e">
        <f>AND(#REF!,"AAAAAGv/5hQ=")</f>
        <v>#REF!</v>
      </c>
      <c r="V64" t="e">
        <f>AND(#REF!,"AAAAAGv/5hU=")</f>
        <v>#REF!</v>
      </c>
      <c r="W64" t="e">
        <f>AND(#REF!,"AAAAAGv/5hY=")</f>
        <v>#REF!</v>
      </c>
      <c r="X64" t="e">
        <f>AND(#REF!,"AAAAAGv/5hc=")</f>
        <v>#REF!</v>
      </c>
      <c r="Y64" t="e">
        <f>AND(#REF!,"AAAAAGv/5hg=")</f>
        <v>#REF!</v>
      </c>
      <c r="Z64" t="e">
        <f>AND(#REF!,"AAAAAGv/5hk=")</f>
        <v>#REF!</v>
      </c>
      <c r="AA64" t="e">
        <f>AND(#REF!,"AAAAAGv/5ho=")</f>
        <v>#REF!</v>
      </c>
      <c r="AB64" t="e">
        <f>AND(#REF!,"AAAAAGv/5hs=")</f>
        <v>#REF!</v>
      </c>
      <c r="AC64" t="e">
        <f>AND(#REF!,"AAAAAGv/5hw=")</f>
        <v>#REF!</v>
      </c>
      <c r="AD64" t="e">
        <f>AND(#REF!,"AAAAAGv/5h0=")</f>
        <v>#REF!</v>
      </c>
      <c r="AE64" t="e">
        <f>AND(#REF!,"AAAAAGv/5h4=")</f>
        <v>#REF!</v>
      </c>
      <c r="AF64" t="e">
        <f>AND(#REF!,"AAAAAGv/5h8=")</f>
        <v>#REF!</v>
      </c>
      <c r="AG64" t="e">
        <f>IF(#REF!,"AAAAAGv/5iA=",0)</f>
        <v>#REF!</v>
      </c>
      <c r="AH64" t="e">
        <f>AND(#REF!,"AAAAAGv/5iE=")</f>
        <v>#REF!</v>
      </c>
      <c r="AI64" t="e">
        <f>AND(#REF!,"AAAAAGv/5iI=")</f>
        <v>#REF!</v>
      </c>
      <c r="AJ64" t="e">
        <f>AND(#REF!,"AAAAAGv/5iM=")</f>
        <v>#REF!</v>
      </c>
      <c r="AK64" t="e">
        <f>AND(#REF!,"AAAAAGv/5iQ=")</f>
        <v>#REF!</v>
      </c>
      <c r="AL64" t="e">
        <f>AND(#REF!,"AAAAAGv/5iU=")</f>
        <v>#REF!</v>
      </c>
      <c r="AM64" t="e">
        <f>AND(#REF!,"AAAAAGv/5iY=")</f>
        <v>#REF!</v>
      </c>
      <c r="AN64" t="e">
        <f>AND(#REF!,"AAAAAGv/5ic=")</f>
        <v>#REF!</v>
      </c>
      <c r="AO64" t="e">
        <f>AND(#REF!,"AAAAAGv/5ig=")</f>
        <v>#REF!</v>
      </c>
      <c r="AP64" t="e">
        <f>AND(#REF!,"AAAAAGv/5ik=")</f>
        <v>#REF!</v>
      </c>
      <c r="AQ64" t="e">
        <f>AND(#REF!,"AAAAAGv/5io=")</f>
        <v>#REF!</v>
      </c>
      <c r="AR64" t="e">
        <f>AND(#REF!,"AAAAAGv/5is=")</f>
        <v>#REF!</v>
      </c>
      <c r="AS64" t="e">
        <f>AND(#REF!,"AAAAAGv/5iw=")</f>
        <v>#REF!</v>
      </c>
      <c r="AT64" t="e">
        <f>AND(#REF!,"AAAAAGv/5i0=")</f>
        <v>#REF!</v>
      </c>
      <c r="AU64" t="e">
        <f>AND(#REF!,"AAAAAGv/5i4=")</f>
        <v>#REF!</v>
      </c>
      <c r="AV64" t="e">
        <f>AND(#REF!,"AAAAAGv/5i8=")</f>
        <v>#REF!</v>
      </c>
      <c r="AW64" t="e">
        <f>AND(#REF!,"AAAAAGv/5jA=")</f>
        <v>#REF!</v>
      </c>
      <c r="AX64" t="e">
        <f>AND(#REF!,"AAAAAGv/5jE=")</f>
        <v>#REF!</v>
      </c>
      <c r="AY64" t="e">
        <f>AND(#REF!,"AAAAAGv/5jI=")</f>
        <v>#REF!</v>
      </c>
      <c r="AZ64" t="e">
        <f>AND(#REF!,"AAAAAGv/5jM=")</f>
        <v>#REF!</v>
      </c>
      <c r="BA64" t="e">
        <f>AND(#REF!,"AAAAAGv/5jQ=")</f>
        <v>#REF!</v>
      </c>
      <c r="BB64" t="e">
        <f>AND(#REF!,"AAAAAGv/5jU=")</f>
        <v>#REF!</v>
      </c>
      <c r="BC64" t="e">
        <f>AND(#REF!,"AAAAAGv/5jY=")</f>
        <v>#REF!</v>
      </c>
      <c r="BD64" t="e">
        <f>AND(#REF!,"AAAAAGv/5jc=")</f>
        <v>#REF!</v>
      </c>
      <c r="BE64" t="e">
        <f>AND(#REF!,"AAAAAGv/5jg=")</f>
        <v>#REF!</v>
      </c>
      <c r="BF64" t="e">
        <f>IF(#REF!,"AAAAAGv/5jk=",0)</f>
        <v>#REF!</v>
      </c>
      <c r="BG64" t="e">
        <f>AND(#REF!,"AAAAAGv/5jo=")</f>
        <v>#REF!</v>
      </c>
      <c r="BH64" t="e">
        <f>AND(#REF!,"AAAAAGv/5js=")</f>
        <v>#REF!</v>
      </c>
      <c r="BI64" t="e">
        <f>AND(#REF!,"AAAAAGv/5jw=")</f>
        <v>#REF!</v>
      </c>
      <c r="BJ64" t="e">
        <f>AND(#REF!,"AAAAAGv/5j0=")</f>
        <v>#REF!</v>
      </c>
      <c r="BK64" t="e">
        <f>AND(#REF!,"AAAAAGv/5j4=")</f>
        <v>#REF!</v>
      </c>
      <c r="BL64" t="e">
        <f>AND(#REF!,"AAAAAGv/5j8=")</f>
        <v>#REF!</v>
      </c>
      <c r="BM64" t="e">
        <f>AND(#REF!,"AAAAAGv/5kA=")</f>
        <v>#REF!</v>
      </c>
      <c r="BN64" t="e">
        <f>AND(#REF!,"AAAAAGv/5kE=")</f>
        <v>#REF!</v>
      </c>
      <c r="BO64" t="e">
        <f>AND(#REF!,"AAAAAGv/5kI=")</f>
        <v>#REF!</v>
      </c>
      <c r="BP64" t="e">
        <f>AND(#REF!,"AAAAAGv/5kM=")</f>
        <v>#REF!</v>
      </c>
      <c r="BQ64" t="e">
        <f>AND(#REF!,"AAAAAGv/5kQ=")</f>
        <v>#REF!</v>
      </c>
      <c r="BR64" t="e">
        <f>AND(#REF!,"AAAAAGv/5kU=")</f>
        <v>#REF!</v>
      </c>
      <c r="BS64" t="e">
        <f>AND(#REF!,"AAAAAGv/5kY=")</f>
        <v>#REF!</v>
      </c>
      <c r="BT64" t="e">
        <f>AND(#REF!,"AAAAAGv/5kc=")</f>
        <v>#REF!</v>
      </c>
      <c r="BU64" t="e">
        <f>AND(#REF!,"AAAAAGv/5kg=")</f>
        <v>#REF!</v>
      </c>
      <c r="BV64" t="e">
        <f>AND(#REF!,"AAAAAGv/5kk=")</f>
        <v>#REF!</v>
      </c>
      <c r="BW64" t="e">
        <f>AND(#REF!,"AAAAAGv/5ko=")</f>
        <v>#REF!</v>
      </c>
      <c r="BX64" t="e">
        <f>AND(#REF!,"AAAAAGv/5ks=")</f>
        <v>#REF!</v>
      </c>
      <c r="BY64" t="e">
        <f>AND(#REF!,"AAAAAGv/5kw=")</f>
        <v>#REF!</v>
      </c>
      <c r="BZ64" t="e">
        <f>AND(#REF!,"AAAAAGv/5k0=")</f>
        <v>#REF!</v>
      </c>
      <c r="CA64" t="e">
        <f>AND(#REF!,"AAAAAGv/5k4=")</f>
        <v>#REF!</v>
      </c>
      <c r="CB64" t="e">
        <f>AND(#REF!,"AAAAAGv/5k8=")</f>
        <v>#REF!</v>
      </c>
      <c r="CC64" t="e">
        <f>AND(#REF!,"AAAAAGv/5lA=")</f>
        <v>#REF!</v>
      </c>
      <c r="CD64" t="e">
        <f>AND(#REF!,"AAAAAGv/5lE=")</f>
        <v>#REF!</v>
      </c>
      <c r="CE64" t="e">
        <f>IF(#REF!,"AAAAAGv/5lI=",0)</f>
        <v>#REF!</v>
      </c>
      <c r="CF64" t="e">
        <f>AND(#REF!,"AAAAAGv/5lM=")</f>
        <v>#REF!</v>
      </c>
      <c r="CG64" t="e">
        <f>AND(#REF!,"AAAAAGv/5lQ=")</f>
        <v>#REF!</v>
      </c>
      <c r="CH64" t="e">
        <f>AND(#REF!,"AAAAAGv/5lU=")</f>
        <v>#REF!</v>
      </c>
      <c r="CI64" t="e">
        <f>AND(#REF!,"AAAAAGv/5lY=")</f>
        <v>#REF!</v>
      </c>
      <c r="CJ64" t="e">
        <f>AND(#REF!,"AAAAAGv/5lc=")</f>
        <v>#REF!</v>
      </c>
      <c r="CK64" t="e">
        <f>AND(#REF!,"AAAAAGv/5lg=")</f>
        <v>#REF!</v>
      </c>
      <c r="CL64" t="e">
        <f>AND(#REF!,"AAAAAGv/5lk=")</f>
        <v>#REF!</v>
      </c>
      <c r="CM64" t="e">
        <f>AND(#REF!,"AAAAAGv/5lo=")</f>
        <v>#REF!</v>
      </c>
      <c r="CN64" t="e">
        <f>AND(#REF!,"AAAAAGv/5ls=")</f>
        <v>#REF!</v>
      </c>
      <c r="CO64" t="e">
        <f>AND(#REF!,"AAAAAGv/5lw=")</f>
        <v>#REF!</v>
      </c>
      <c r="CP64" t="e">
        <f>AND(#REF!,"AAAAAGv/5l0=")</f>
        <v>#REF!</v>
      </c>
      <c r="CQ64" t="e">
        <f>AND(#REF!,"AAAAAGv/5l4=")</f>
        <v>#REF!</v>
      </c>
      <c r="CR64" t="e">
        <f>AND(#REF!,"AAAAAGv/5l8=")</f>
        <v>#REF!</v>
      </c>
      <c r="CS64" t="e">
        <f>AND(#REF!,"AAAAAGv/5mA=")</f>
        <v>#REF!</v>
      </c>
      <c r="CT64" t="e">
        <f>AND(#REF!,"AAAAAGv/5mE=")</f>
        <v>#REF!</v>
      </c>
      <c r="CU64" t="e">
        <f>AND(#REF!,"AAAAAGv/5mI=")</f>
        <v>#REF!</v>
      </c>
      <c r="CV64" t="e">
        <f>AND(#REF!,"AAAAAGv/5mM=")</f>
        <v>#REF!</v>
      </c>
      <c r="CW64" t="e">
        <f>AND(#REF!,"AAAAAGv/5mQ=")</f>
        <v>#REF!</v>
      </c>
      <c r="CX64" t="e">
        <f>AND(#REF!,"AAAAAGv/5mU=")</f>
        <v>#REF!</v>
      </c>
      <c r="CY64" t="e">
        <f>AND(#REF!,"AAAAAGv/5mY=")</f>
        <v>#REF!</v>
      </c>
      <c r="CZ64" t="e">
        <f>AND(#REF!,"AAAAAGv/5mc=")</f>
        <v>#REF!</v>
      </c>
      <c r="DA64" t="e">
        <f>AND(#REF!,"AAAAAGv/5mg=")</f>
        <v>#REF!</v>
      </c>
      <c r="DB64" t="e">
        <f>AND(#REF!,"AAAAAGv/5mk=")</f>
        <v>#REF!</v>
      </c>
      <c r="DC64" t="e">
        <f>AND(#REF!,"AAAAAGv/5mo=")</f>
        <v>#REF!</v>
      </c>
      <c r="DD64" t="e">
        <f>IF(#REF!,"AAAAAGv/5ms=",0)</f>
        <v>#REF!</v>
      </c>
      <c r="DE64" t="e">
        <f>AND(#REF!,"AAAAAGv/5mw=")</f>
        <v>#REF!</v>
      </c>
      <c r="DF64" t="e">
        <f>AND(#REF!,"AAAAAGv/5m0=")</f>
        <v>#REF!</v>
      </c>
      <c r="DG64" t="e">
        <f>AND(#REF!,"AAAAAGv/5m4=")</f>
        <v>#REF!</v>
      </c>
      <c r="DH64" t="e">
        <f>AND(#REF!,"AAAAAGv/5m8=")</f>
        <v>#REF!</v>
      </c>
      <c r="DI64" t="e">
        <f>AND(#REF!,"AAAAAGv/5nA=")</f>
        <v>#REF!</v>
      </c>
      <c r="DJ64" t="e">
        <f>AND(#REF!,"AAAAAGv/5nE=")</f>
        <v>#REF!</v>
      </c>
      <c r="DK64" t="e">
        <f>AND(#REF!,"AAAAAGv/5nI=")</f>
        <v>#REF!</v>
      </c>
      <c r="DL64" t="e">
        <f>AND(#REF!,"AAAAAGv/5nM=")</f>
        <v>#REF!</v>
      </c>
      <c r="DM64" t="e">
        <f>AND(#REF!,"AAAAAGv/5nQ=")</f>
        <v>#REF!</v>
      </c>
      <c r="DN64" t="e">
        <f>AND(#REF!,"AAAAAGv/5nU=")</f>
        <v>#REF!</v>
      </c>
      <c r="DO64" t="e">
        <f>AND(#REF!,"AAAAAGv/5nY=")</f>
        <v>#REF!</v>
      </c>
      <c r="DP64" t="e">
        <f>AND(#REF!,"AAAAAGv/5nc=")</f>
        <v>#REF!</v>
      </c>
      <c r="DQ64" t="e">
        <f>AND(#REF!,"AAAAAGv/5ng=")</f>
        <v>#REF!</v>
      </c>
      <c r="DR64" t="e">
        <f>AND(#REF!,"AAAAAGv/5nk=")</f>
        <v>#REF!</v>
      </c>
      <c r="DS64" t="e">
        <f>AND(#REF!,"AAAAAGv/5no=")</f>
        <v>#REF!</v>
      </c>
      <c r="DT64" t="e">
        <f>AND(#REF!,"AAAAAGv/5ns=")</f>
        <v>#REF!</v>
      </c>
      <c r="DU64" t="e">
        <f>AND(#REF!,"AAAAAGv/5nw=")</f>
        <v>#REF!</v>
      </c>
      <c r="DV64" t="e">
        <f>AND(#REF!,"AAAAAGv/5n0=")</f>
        <v>#REF!</v>
      </c>
      <c r="DW64" t="e">
        <f>AND(#REF!,"AAAAAGv/5n4=")</f>
        <v>#REF!</v>
      </c>
      <c r="DX64" t="e">
        <f>AND(#REF!,"AAAAAGv/5n8=")</f>
        <v>#REF!</v>
      </c>
      <c r="DY64" t="e">
        <f>AND(#REF!,"AAAAAGv/5oA=")</f>
        <v>#REF!</v>
      </c>
      <c r="DZ64" t="e">
        <f>AND(#REF!,"AAAAAGv/5oE=")</f>
        <v>#REF!</v>
      </c>
      <c r="EA64" t="e">
        <f>AND(#REF!,"AAAAAGv/5oI=")</f>
        <v>#REF!</v>
      </c>
      <c r="EB64" t="e">
        <f>AND(#REF!,"AAAAAGv/5oM=")</f>
        <v>#REF!</v>
      </c>
      <c r="EC64" t="e">
        <f>IF(#REF!,"AAAAAGv/5oQ=",0)</f>
        <v>#REF!</v>
      </c>
      <c r="ED64" t="e">
        <f>AND(#REF!,"AAAAAGv/5oU=")</f>
        <v>#REF!</v>
      </c>
      <c r="EE64" t="e">
        <f>AND(#REF!,"AAAAAGv/5oY=")</f>
        <v>#REF!</v>
      </c>
      <c r="EF64" t="e">
        <f>AND(#REF!,"AAAAAGv/5oc=")</f>
        <v>#REF!</v>
      </c>
      <c r="EG64" t="e">
        <f>AND(#REF!,"AAAAAGv/5og=")</f>
        <v>#REF!</v>
      </c>
      <c r="EH64" t="e">
        <f>AND(#REF!,"AAAAAGv/5ok=")</f>
        <v>#REF!</v>
      </c>
      <c r="EI64" t="e">
        <f>AND(#REF!,"AAAAAGv/5oo=")</f>
        <v>#REF!</v>
      </c>
      <c r="EJ64" t="e">
        <f>AND(#REF!,"AAAAAGv/5os=")</f>
        <v>#REF!</v>
      </c>
      <c r="EK64" t="e">
        <f>AND(#REF!,"AAAAAGv/5ow=")</f>
        <v>#REF!</v>
      </c>
      <c r="EL64" t="e">
        <f>AND(#REF!,"AAAAAGv/5o0=")</f>
        <v>#REF!</v>
      </c>
      <c r="EM64" t="e">
        <f>AND(#REF!,"AAAAAGv/5o4=")</f>
        <v>#REF!</v>
      </c>
      <c r="EN64" t="e">
        <f>AND(#REF!,"AAAAAGv/5o8=")</f>
        <v>#REF!</v>
      </c>
      <c r="EO64" t="e">
        <f>AND(#REF!,"AAAAAGv/5pA=")</f>
        <v>#REF!</v>
      </c>
      <c r="EP64" t="e">
        <f>AND(#REF!,"AAAAAGv/5pE=")</f>
        <v>#REF!</v>
      </c>
      <c r="EQ64" t="e">
        <f>AND(#REF!,"AAAAAGv/5pI=")</f>
        <v>#REF!</v>
      </c>
      <c r="ER64" t="e">
        <f>AND(#REF!,"AAAAAGv/5pM=")</f>
        <v>#REF!</v>
      </c>
      <c r="ES64" t="e">
        <f>AND(#REF!,"AAAAAGv/5pQ=")</f>
        <v>#REF!</v>
      </c>
      <c r="ET64" t="e">
        <f>AND(#REF!,"AAAAAGv/5pU=")</f>
        <v>#REF!</v>
      </c>
      <c r="EU64" t="e">
        <f>AND(#REF!,"AAAAAGv/5pY=")</f>
        <v>#REF!</v>
      </c>
      <c r="EV64" t="e">
        <f>AND(#REF!,"AAAAAGv/5pc=")</f>
        <v>#REF!</v>
      </c>
      <c r="EW64" t="e">
        <f>AND(#REF!,"AAAAAGv/5pg=")</f>
        <v>#REF!</v>
      </c>
      <c r="EX64" t="e">
        <f>AND(#REF!,"AAAAAGv/5pk=")</f>
        <v>#REF!</v>
      </c>
      <c r="EY64" t="e">
        <f>AND(#REF!,"AAAAAGv/5po=")</f>
        <v>#REF!</v>
      </c>
      <c r="EZ64" t="e">
        <f>AND(#REF!,"AAAAAGv/5ps=")</f>
        <v>#REF!</v>
      </c>
      <c r="FA64" t="e">
        <f>AND(#REF!,"AAAAAGv/5pw=")</f>
        <v>#REF!</v>
      </c>
      <c r="FB64" t="e">
        <f>IF(#REF!,"AAAAAGv/5p0=",0)</f>
        <v>#REF!</v>
      </c>
      <c r="FC64" t="e">
        <f>AND(#REF!,"AAAAAGv/5p4=")</f>
        <v>#REF!</v>
      </c>
      <c r="FD64" t="e">
        <f>AND(#REF!,"AAAAAGv/5p8=")</f>
        <v>#REF!</v>
      </c>
      <c r="FE64" t="e">
        <f>AND(#REF!,"AAAAAGv/5qA=")</f>
        <v>#REF!</v>
      </c>
      <c r="FF64" t="e">
        <f>AND(#REF!,"AAAAAGv/5qE=")</f>
        <v>#REF!</v>
      </c>
      <c r="FG64" t="e">
        <f>AND(#REF!,"AAAAAGv/5qI=")</f>
        <v>#REF!</v>
      </c>
      <c r="FH64" t="e">
        <f>AND(#REF!,"AAAAAGv/5qM=")</f>
        <v>#REF!</v>
      </c>
      <c r="FI64" t="e">
        <f>AND(#REF!,"AAAAAGv/5qQ=")</f>
        <v>#REF!</v>
      </c>
      <c r="FJ64" t="e">
        <f>AND(#REF!,"AAAAAGv/5qU=")</f>
        <v>#REF!</v>
      </c>
      <c r="FK64" t="e">
        <f>AND(#REF!,"AAAAAGv/5qY=")</f>
        <v>#REF!</v>
      </c>
      <c r="FL64" t="e">
        <f>AND(#REF!,"AAAAAGv/5qc=")</f>
        <v>#REF!</v>
      </c>
      <c r="FM64" t="e">
        <f>AND(#REF!,"AAAAAGv/5qg=")</f>
        <v>#REF!</v>
      </c>
      <c r="FN64" t="e">
        <f>AND(#REF!,"AAAAAGv/5qk=")</f>
        <v>#REF!</v>
      </c>
      <c r="FO64" t="e">
        <f>AND(#REF!,"AAAAAGv/5qo=")</f>
        <v>#REF!</v>
      </c>
      <c r="FP64" t="e">
        <f>AND(#REF!,"AAAAAGv/5qs=")</f>
        <v>#REF!</v>
      </c>
      <c r="FQ64" t="e">
        <f>AND(#REF!,"AAAAAGv/5qw=")</f>
        <v>#REF!</v>
      </c>
      <c r="FR64" t="e">
        <f>AND(#REF!,"AAAAAGv/5q0=")</f>
        <v>#REF!</v>
      </c>
      <c r="FS64" t="e">
        <f>AND(#REF!,"AAAAAGv/5q4=")</f>
        <v>#REF!</v>
      </c>
      <c r="FT64" t="e">
        <f>AND(#REF!,"AAAAAGv/5q8=")</f>
        <v>#REF!</v>
      </c>
      <c r="FU64" t="e">
        <f>AND(#REF!,"AAAAAGv/5rA=")</f>
        <v>#REF!</v>
      </c>
      <c r="FV64" t="e">
        <f>AND(#REF!,"AAAAAGv/5rE=")</f>
        <v>#REF!</v>
      </c>
      <c r="FW64" t="e">
        <f>AND(#REF!,"AAAAAGv/5rI=")</f>
        <v>#REF!</v>
      </c>
      <c r="FX64" t="e">
        <f>AND(#REF!,"AAAAAGv/5rM=")</f>
        <v>#REF!</v>
      </c>
      <c r="FY64" t="e">
        <f>AND(#REF!,"AAAAAGv/5rQ=")</f>
        <v>#REF!</v>
      </c>
      <c r="FZ64" t="e">
        <f>AND(#REF!,"AAAAAGv/5rU=")</f>
        <v>#REF!</v>
      </c>
      <c r="GA64" t="e">
        <f>IF(#REF!,"AAAAAGv/5rY=",0)</f>
        <v>#REF!</v>
      </c>
      <c r="GB64" t="e">
        <f>AND(#REF!,"AAAAAGv/5rc=")</f>
        <v>#REF!</v>
      </c>
      <c r="GC64" t="e">
        <f>AND(#REF!,"AAAAAGv/5rg=")</f>
        <v>#REF!</v>
      </c>
      <c r="GD64" t="e">
        <f>AND(#REF!,"AAAAAGv/5rk=")</f>
        <v>#REF!</v>
      </c>
      <c r="GE64" t="e">
        <f>AND(#REF!,"AAAAAGv/5ro=")</f>
        <v>#REF!</v>
      </c>
      <c r="GF64" t="e">
        <f>AND(#REF!,"AAAAAGv/5rs=")</f>
        <v>#REF!</v>
      </c>
      <c r="GG64" t="e">
        <f>AND(#REF!,"AAAAAGv/5rw=")</f>
        <v>#REF!</v>
      </c>
      <c r="GH64" t="e">
        <f>AND(#REF!,"AAAAAGv/5r0=")</f>
        <v>#REF!</v>
      </c>
      <c r="GI64" t="e">
        <f>AND(#REF!,"AAAAAGv/5r4=")</f>
        <v>#REF!</v>
      </c>
      <c r="GJ64" t="e">
        <f>AND(#REF!,"AAAAAGv/5r8=")</f>
        <v>#REF!</v>
      </c>
      <c r="GK64" t="e">
        <f>AND(#REF!,"AAAAAGv/5sA=")</f>
        <v>#REF!</v>
      </c>
      <c r="GL64" t="e">
        <f>AND(#REF!,"AAAAAGv/5sE=")</f>
        <v>#REF!</v>
      </c>
      <c r="GM64" t="e">
        <f>AND(#REF!,"AAAAAGv/5sI=")</f>
        <v>#REF!</v>
      </c>
      <c r="GN64" t="e">
        <f>AND(#REF!,"AAAAAGv/5sM=")</f>
        <v>#REF!</v>
      </c>
      <c r="GO64" t="e">
        <f>AND(#REF!,"AAAAAGv/5sQ=")</f>
        <v>#REF!</v>
      </c>
      <c r="GP64" t="e">
        <f>AND(#REF!,"AAAAAGv/5sU=")</f>
        <v>#REF!</v>
      </c>
      <c r="GQ64" t="e">
        <f>AND(#REF!,"AAAAAGv/5sY=")</f>
        <v>#REF!</v>
      </c>
      <c r="GR64" t="e">
        <f>AND(#REF!,"AAAAAGv/5sc=")</f>
        <v>#REF!</v>
      </c>
      <c r="GS64" t="e">
        <f>AND(#REF!,"AAAAAGv/5sg=")</f>
        <v>#REF!</v>
      </c>
      <c r="GT64" t="e">
        <f>AND(#REF!,"AAAAAGv/5sk=")</f>
        <v>#REF!</v>
      </c>
      <c r="GU64" t="e">
        <f>AND(#REF!,"AAAAAGv/5so=")</f>
        <v>#REF!</v>
      </c>
      <c r="GV64" t="e">
        <f>AND(#REF!,"AAAAAGv/5ss=")</f>
        <v>#REF!</v>
      </c>
      <c r="GW64" t="e">
        <f>AND(#REF!,"AAAAAGv/5sw=")</f>
        <v>#REF!</v>
      </c>
      <c r="GX64" t="e">
        <f>AND(#REF!,"AAAAAGv/5s0=")</f>
        <v>#REF!</v>
      </c>
      <c r="GY64" t="e">
        <f>AND(#REF!,"AAAAAGv/5s4=")</f>
        <v>#REF!</v>
      </c>
      <c r="GZ64" t="e">
        <f>IF(#REF!,"AAAAAGv/5s8=",0)</f>
        <v>#REF!</v>
      </c>
      <c r="HA64" t="e">
        <f>AND(#REF!,"AAAAAGv/5tA=")</f>
        <v>#REF!</v>
      </c>
      <c r="HB64" t="e">
        <f>AND(#REF!,"AAAAAGv/5tE=")</f>
        <v>#REF!</v>
      </c>
      <c r="HC64" t="e">
        <f>AND(#REF!,"AAAAAGv/5tI=")</f>
        <v>#REF!</v>
      </c>
      <c r="HD64" t="e">
        <f>AND(#REF!,"AAAAAGv/5tM=")</f>
        <v>#REF!</v>
      </c>
      <c r="HE64" t="e">
        <f>AND(#REF!,"AAAAAGv/5tQ=")</f>
        <v>#REF!</v>
      </c>
      <c r="HF64" t="e">
        <f>AND(#REF!,"AAAAAGv/5tU=")</f>
        <v>#REF!</v>
      </c>
      <c r="HG64" t="e">
        <f>AND(#REF!,"AAAAAGv/5tY=")</f>
        <v>#REF!</v>
      </c>
      <c r="HH64" t="e">
        <f>AND(#REF!,"AAAAAGv/5tc=")</f>
        <v>#REF!</v>
      </c>
      <c r="HI64" t="e">
        <f>AND(#REF!,"AAAAAGv/5tg=")</f>
        <v>#REF!</v>
      </c>
      <c r="HJ64" t="e">
        <f>AND(#REF!,"AAAAAGv/5tk=")</f>
        <v>#REF!</v>
      </c>
      <c r="HK64" t="e">
        <f>AND(#REF!,"AAAAAGv/5to=")</f>
        <v>#REF!</v>
      </c>
      <c r="HL64" t="e">
        <f>AND(#REF!,"AAAAAGv/5ts=")</f>
        <v>#REF!</v>
      </c>
      <c r="HM64" t="e">
        <f>AND(#REF!,"AAAAAGv/5tw=")</f>
        <v>#REF!</v>
      </c>
      <c r="HN64" t="e">
        <f>AND(#REF!,"AAAAAGv/5t0=")</f>
        <v>#REF!</v>
      </c>
      <c r="HO64" t="e">
        <f>AND(#REF!,"AAAAAGv/5t4=")</f>
        <v>#REF!</v>
      </c>
      <c r="HP64" t="e">
        <f>AND(#REF!,"AAAAAGv/5t8=")</f>
        <v>#REF!</v>
      </c>
      <c r="HQ64" t="e">
        <f>AND(#REF!,"AAAAAGv/5uA=")</f>
        <v>#REF!</v>
      </c>
      <c r="HR64" t="e">
        <f>AND(#REF!,"AAAAAGv/5uE=")</f>
        <v>#REF!</v>
      </c>
      <c r="HS64" t="e">
        <f>AND(#REF!,"AAAAAGv/5uI=")</f>
        <v>#REF!</v>
      </c>
      <c r="HT64" t="e">
        <f>AND(#REF!,"AAAAAGv/5uM=")</f>
        <v>#REF!</v>
      </c>
      <c r="HU64" t="e">
        <f>AND(#REF!,"AAAAAGv/5uQ=")</f>
        <v>#REF!</v>
      </c>
      <c r="HV64" t="e">
        <f>AND(#REF!,"AAAAAGv/5uU=")</f>
        <v>#REF!</v>
      </c>
      <c r="HW64" t="e">
        <f>AND(#REF!,"AAAAAGv/5uY=")</f>
        <v>#REF!</v>
      </c>
      <c r="HX64" t="e">
        <f>AND(#REF!,"AAAAAGv/5uc=")</f>
        <v>#REF!</v>
      </c>
      <c r="HY64" t="e">
        <f>IF(#REF!,"AAAAAGv/5ug=",0)</f>
        <v>#REF!</v>
      </c>
      <c r="HZ64" t="e">
        <f>AND(#REF!,"AAAAAGv/5uk=")</f>
        <v>#REF!</v>
      </c>
      <c r="IA64" t="e">
        <f>AND(#REF!,"AAAAAGv/5uo=")</f>
        <v>#REF!</v>
      </c>
      <c r="IB64" t="e">
        <f>AND(#REF!,"AAAAAGv/5us=")</f>
        <v>#REF!</v>
      </c>
      <c r="IC64" t="e">
        <f>AND(#REF!,"AAAAAGv/5uw=")</f>
        <v>#REF!</v>
      </c>
      <c r="ID64" t="e">
        <f>AND(#REF!,"AAAAAGv/5u0=")</f>
        <v>#REF!</v>
      </c>
      <c r="IE64" t="e">
        <f>AND(#REF!,"AAAAAGv/5u4=")</f>
        <v>#REF!</v>
      </c>
      <c r="IF64" t="e">
        <f>AND(#REF!,"AAAAAGv/5u8=")</f>
        <v>#REF!</v>
      </c>
      <c r="IG64" t="e">
        <f>AND(#REF!,"AAAAAGv/5vA=")</f>
        <v>#REF!</v>
      </c>
      <c r="IH64" t="e">
        <f>AND(#REF!,"AAAAAGv/5vE=")</f>
        <v>#REF!</v>
      </c>
      <c r="II64" t="e">
        <f>AND(#REF!,"AAAAAGv/5vI=")</f>
        <v>#REF!</v>
      </c>
      <c r="IJ64" t="e">
        <f>AND(#REF!,"AAAAAGv/5vM=")</f>
        <v>#REF!</v>
      </c>
      <c r="IK64" t="e">
        <f>AND(#REF!,"AAAAAGv/5vQ=")</f>
        <v>#REF!</v>
      </c>
      <c r="IL64" t="e">
        <f>AND(#REF!,"AAAAAGv/5vU=")</f>
        <v>#REF!</v>
      </c>
      <c r="IM64" t="e">
        <f>AND(#REF!,"AAAAAGv/5vY=")</f>
        <v>#REF!</v>
      </c>
      <c r="IN64" t="e">
        <f>AND(#REF!,"AAAAAGv/5vc=")</f>
        <v>#REF!</v>
      </c>
      <c r="IO64" t="e">
        <f>AND(#REF!,"AAAAAGv/5vg=")</f>
        <v>#REF!</v>
      </c>
      <c r="IP64" t="e">
        <f>AND(#REF!,"AAAAAGv/5vk=")</f>
        <v>#REF!</v>
      </c>
      <c r="IQ64" t="e">
        <f>AND(#REF!,"AAAAAGv/5vo=")</f>
        <v>#REF!</v>
      </c>
      <c r="IR64" t="e">
        <f>AND(#REF!,"AAAAAGv/5vs=")</f>
        <v>#REF!</v>
      </c>
      <c r="IS64" t="e">
        <f>AND(#REF!,"AAAAAGv/5vw=")</f>
        <v>#REF!</v>
      </c>
      <c r="IT64" t="e">
        <f>AND(#REF!,"AAAAAGv/5v0=")</f>
        <v>#REF!</v>
      </c>
      <c r="IU64" t="e">
        <f>AND(#REF!,"AAAAAGv/5v4=")</f>
        <v>#REF!</v>
      </c>
      <c r="IV64" t="e">
        <f>AND(#REF!,"AAAAAGv/5v8=")</f>
        <v>#REF!</v>
      </c>
    </row>
    <row r="65" spans="1:256">
      <c r="A65" t="e">
        <f>AND(#REF!,"AAAAAH2OzwA=")</f>
        <v>#REF!</v>
      </c>
      <c r="B65" t="e">
        <f>IF(#REF!,"AAAAAH2OzwE=",0)</f>
        <v>#REF!</v>
      </c>
      <c r="C65" t="e">
        <f>AND(#REF!,"AAAAAH2OzwI=")</f>
        <v>#REF!</v>
      </c>
      <c r="D65" t="e">
        <f>AND(#REF!,"AAAAAH2OzwM=")</f>
        <v>#REF!</v>
      </c>
      <c r="E65" t="e">
        <f>AND(#REF!,"AAAAAH2OzwQ=")</f>
        <v>#REF!</v>
      </c>
      <c r="F65" t="e">
        <f>AND(#REF!,"AAAAAH2OzwU=")</f>
        <v>#REF!</v>
      </c>
      <c r="G65" t="e">
        <f>AND(#REF!,"AAAAAH2OzwY=")</f>
        <v>#REF!</v>
      </c>
      <c r="H65" t="e">
        <f>AND(#REF!,"AAAAAH2Ozwc=")</f>
        <v>#REF!</v>
      </c>
      <c r="I65" t="e">
        <f>AND(#REF!,"AAAAAH2Ozwg=")</f>
        <v>#REF!</v>
      </c>
      <c r="J65" t="e">
        <f>AND(#REF!,"AAAAAH2Ozwk=")</f>
        <v>#REF!</v>
      </c>
      <c r="K65" t="e">
        <f>AND(#REF!,"AAAAAH2Ozwo=")</f>
        <v>#REF!</v>
      </c>
      <c r="L65" t="e">
        <f>AND(#REF!,"AAAAAH2Ozws=")</f>
        <v>#REF!</v>
      </c>
      <c r="M65" t="e">
        <f>AND(#REF!,"AAAAAH2Ozww=")</f>
        <v>#REF!</v>
      </c>
      <c r="N65" t="e">
        <f>AND(#REF!,"AAAAAH2Ozw0=")</f>
        <v>#REF!</v>
      </c>
      <c r="O65" t="e">
        <f>AND(#REF!,"AAAAAH2Ozw4=")</f>
        <v>#REF!</v>
      </c>
      <c r="P65" t="e">
        <f>AND(#REF!,"AAAAAH2Ozw8=")</f>
        <v>#REF!</v>
      </c>
      <c r="Q65" t="e">
        <f>AND(#REF!,"AAAAAH2OzxA=")</f>
        <v>#REF!</v>
      </c>
      <c r="R65" t="e">
        <f>AND(#REF!,"AAAAAH2OzxE=")</f>
        <v>#REF!</v>
      </c>
      <c r="S65" t="e">
        <f>AND(#REF!,"AAAAAH2OzxI=")</f>
        <v>#REF!</v>
      </c>
      <c r="T65" t="e">
        <f>AND(#REF!,"AAAAAH2OzxM=")</f>
        <v>#REF!</v>
      </c>
      <c r="U65" t="e">
        <f>AND(#REF!,"AAAAAH2OzxQ=")</f>
        <v>#REF!</v>
      </c>
      <c r="V65" t="e">
        <f>AND(#REF!,"AAAAAH2OzxU=")</f>
        <v>#REF!</v>
      </c>
      <c r="W65" t="e">
        <f>AND(#REF!,"AAAAAH2OzxY=")</f>
        <v>#REF!</v>
      </c>
      <c r="X65" t="e">
        <f>AND(#REF!,"AAAAAH2Ozxc=")</f>
        <v>#REF!</v>
      </c>
      <c r="Y65" t="e">
        <f>AND(#REF!,"AAAAAH2Ozxg=")</f>
        <v>#REF!</v>
      </c>
      <c r="Z65" t="e">
        <f>AND(#REF!,"AAAAAH2Ozxk=")</f>
        <v>#REF!</v>
      </c>
      <c r="AA65" t="e">
        <f>IF(#REF!,"AAAAAH2Ozxo=",0)</f>
        <v>#REF!</v>
      </c>
      <c r="AB65" t="e">
        <f>AND(#REF!,"AAAAAH2Ozxs=")</f>
        <v>#REF!</v>
      </c>
      <c r="AC65" t="e">
        <f>AND(#REF!,"AAAAAH2Ozxw=")</f>
        <v>#REF!</v>
      </c>
      <c r="AD65" t="e">
        <f>AND(#REF!,"AAAAAH2Ozx0=")</f>
        <v>#REF!</v>
      </c>
      <c r="AE65" t="e">
        <f>AND(#REF!,"AAAAAH2Ozx4=")</f>
        <v>#REF!</v>
      </c>
      <c r="AF65" t="e">
        <f>AND(#REF!,"AAAAAH2Ozx8=")</f>
        <v>#REF!</v>
      </c>
      <c r="AG65" t="e">
        <f>AND(#REF!,"AAAAAH2OzyA=")</f>
        <v>#REF!</v>
      </c>
      <c r="AH65" t="e">
        <f>AND(#REF!,"AAAAAH2OzyE=")</f>
        <v>#REF!</v>
      </c>
      <c r="AI65" t="e">
        <f>AND(#REF!,"AAAAAH2OzyI=")</f>
        <v>#REF!</v>
      </c>
      <c r="AJ65" t="e">
        <f>AND(#REF!,"AAAAAH2OzyM=")</f>
        <v>#REF!</v>
      </c>
      <c r="AK65" t="e">
        <f>AND(#REF!,"AAAAAH2OzyQ=")</f>
        <v>#REF!</v>
      </c>
      <c r="AL65" t="e">
        <f>AND(#REF!,"AAAAAH2OzyU=")</f>
        <v>#REF!</v>
      </c>
      <c r="AM65" t="e">
        <f>AND(#REF!,"AAAAAH2OzyY=")</f>
        <v>#REF!</v>
      </c>
      <c r="AN65" t="e">
        <f>AND(#REF!,"AAAAAH2Ozyc=")</f>
        <v>#REF!</v>
      </c>
      <c r="AO65" t="e">
        <f>AND(#REF!,"AAAAAH2Ozyg=")</f>
        <v>#REF!</v>
      </c>
      <c r="AP65" t="e">
        <f>AND(#REF!,"AAAAAH2Ozyk=")</f>
        <v>#REF!</v>
      </c>
      <c r="AQ65" t="e">
        <f>AND(#REF!,"AAAAAH2Ozyo=")</f>
        <v>#REF!</v>
      </c>
      <c r="AR65" t="e">
        <f>AND(#REF!,"AAAAAH2Ozys=")</f>
        <v>#REF!</v>
      </c>
      <c r="AS65" t="e">
        <f>AND(#REF!,"AAAAAH2Ozyw=")</f>
        <v>#REF!</v>
      </c>
      <c r="AT65" t="e">
        <f>AND(#REF!,"AAAAAH2Ozy0=")</f>
        <v>#REF!</v>
      </c>
      <c r="AU65" t="e">
        <f>AND(#REF!,"AAAAAH2Ozy4=")</f>
        <v>#REF!</v>
      </c>
      <c r="AV65" t="e">
        <f>AND(#REF!,"AAAAAH2Ozy8=")</f>
        <v>#REF!</v>
      </c>
      <c r="AW65" t="e">
        <f>AND(#REF!,"AAAAAH2OzzA=")</f>
        <v>#REF!</v>
      </c>
      <c r="AX65" t="e">
        <f>AND(#REF!,"AAAAAH2OzzE=")</f>
        <v>#REF!</v>
      </c>
      <c r="AY65" t="e">
        <f>AND(#REF!,"AAAAAH2OzzI=")</f>
        <v>#REF!</v>
      </c>
      <c r="AZ65" t="e">
        <f>IF(#REF!,"AAAAAH2OzzM=",0)</f>
        <v>#REF!</v>
      </c>
      <c r="BA65" t="e">
        <f>AND(#REF!,"AAAAAH2OzzQ=")</f>
        <v>#REF!</v>
      </c>
      <c r="BB65" t="e">
        <f>AND(#REF!,"AAAAAH2OzzU=")</f>
        <v>#REF!</v>
      </c>
      <c r="BC65" t="e">
        <f>AND(#REF!,"AAAAAH2OzzY=")</f>
        <v>#REF!</v>
      </c>
      <c r="BD65" t="e">
        <f>AND(#REF!,"AAAAAH2Ozzc=")</f>
        <v>#REF!</v>
      </c>
      <c r="BE65" t="e">
        <f>AND(#REF!,"AAAAAH2Ozzg=")</f>
        <v>#REF!</v>
      </c>
      <c r="BF65" t="e">
        <f>AND(#REF!,"AAAAAH2Ozzk=")</f>
        <v>#REF!</v>
      </c>
      <c r="BG65" t="e">
        <f>AND(#REF!,"AAAAAH2Ozzo=")</f>
        <v>#REF!</v>
      </c>
      <c r="BH65" t="e">
        <f>AND(#REF!,"AAAAAH2Ozzs=")</f>
        <v>#REF!</v>
      </c>
      <c r="BI65" t="e">
        <f>AND(#REF!,"AAAAAH2Ozzw=")</f>
        <v>#REF!</v>
      </c>
      <c r="BJ65" t="e">
        <f>AND(#REF!,"AAAAAH2Ozz0=")</f>
        <v>#REF!</v>
      </c>
      <c r="BK65" t="e">
        <f>AND(#REF!,"AAAAAH2Ozz4=")</f>
        <v>#REF!</v>
      </c>
      <c r="BL65" t="e">
        <f>AND(#REF!,"AAAAAH2Ozz8=")</f>
        <v>#REF!</v>
      </c>
      <c r="BM65" t="e">
        <f>AND(#REF!,"AAAAAH2Oz0A=")</f>
        <v>#REF!</v>
      </c>
      <c r="BN65" t="e">
        <f>AND(#REF!,"AAAAAH2Oz0E=")</f>
        <v>#REF!</v>
      </c>
      <c r="BO65" t="e">
        <f>AND(#REF!,"AAAAAH2Oz0I=")</f>
        <v>#REF!</v>
      </c>
      <c r="BP65" t="e">
        <f>AND(#REF!,"AAAAAH2Oz0M=")</f>
        <v>#REF!</v>
      </c>
      <c r="BQ65" t="e">
        <f>AND(#REF!,"AAAAAH2Oz0Q=")</f>
        <v>#REF!</v>
      </c>
      <c r="BR65" t="e">
        <f>AND(#REF!,"AAAAAH2Oz0U=")</f>
        <v>#REF!</v>
      </c>
      <c r="BS65" t="e">
        <f>AND(#REF!,"AAAAAH2Oz0Y=")</f>
        <v>#REF!</v>
      </c>
      <c r="BT65" t="e">
        <f>AND(#REF!,"AAAAAH2Oz0c=")</f>
        <v>#REF!</v>
      </c>
      <c r="BU65" t="e">
        <f>AND(#REF!,"AAAAAH2Oz0g=")</f>
        <v>#REF!</v>
      </c>
      <c r="BV65" t="e">
        <f>AND(#REF!,"AAAAAH2Oz0k=")</f>
        <v>#REF!</v>
      </c>
      <c r="BW65" t="e">
        <f>AND(#REF!,"AAAAAH2Oz0o=")</f>
        <v>#REF!</v>
      </c>
      <c r="BX65" t="e">
        <f>AND(#REF!,"AAAAAH2Oz0s=")</f>
        <v>#REF!</v>
      </c>
      <c r="BY65" t="e">
        <f>IF(#REF!,"AAAAAH2Oz0w=",0)</f>
        <v>#REF!</v>
      </c>
      <c r="BZ65" t="e">
        <f>AND(#REF!,"AAAAAH2Oz00=")</f>
        <v>#REF!</v>
      </c>
      <c r="CA65" t="e">
        <f>AND(#REF!,"AAAAAH2Oz04=")</f>
        <v>#REF!</v>
      </c>
      <c r="CB65" t="e">
        <f>AND(#REF!,"AAAAAH2Oz08=")</f>
        <v>#REF!</v>
      </c>
      <c r="CC65" t="e">
        <f>AND(#REF!,"AAAAAH2Oz1A=")</f>
        <v>#REF!</v>
      </c>
      <c r="CD65" t="e">
        <f>AND(#REF!,"AAAAAH2Oz1E=")</f>
        <v>#REF!</v>
      </c>
      <c r="CE65" t="e">
        <f>AND(#REF!,"AAAAAH2Oz1I=")</f>
        <v>#REF!</v>
      </c>
      <c r="CF65" t="e">
        <f>AND(#REF!,"AAAAAH2Oz1M=")</f>
        <v>#REF!</v>
      </c>
      <c r="CG65" t="e">
        <f>AND(#REF!,"AAAAAH2Oz1Q=")</f>
        <v>#REF!</v>
      </c>
      <c r="CH65" t="e">
        <f>AND(#REF!,"AAAAAH2Oz1U=")</f>
        <v>#REF!</v>
      </c>
      <c r="CI65" t="e">
        <f>AND(#REF!,"AAAAAH2Oz1Y=")</f>
        <v>#REF!</v>
      </c>
      <c r="CJ65" t="e">
        <f>AND(#REF!,"AAAAAH2Oz1c=")</f>
        <v>#REF!</v>
      </c>
      <c r="CK65" t="e">
        <f>AND(#REF!,"AAAAAH2Oz1g=")</f>
        <v>#REF!</v>
      </c>
      <c r="CL65" t="e">
        <f>AND(#REF!,"AAAAAH2Oz1k=")</f>
        <v>#REF!</v>
      </c>
      <c r="CM65" t="e">
        <f>AND(#REF!,"AAAAAH2Oz1o=")</f>
        <v>#REF!</v>
      </c>
      <c r="CN65" t="e">
        <f>AND(#REF!,"AAAAAH2Oz1s=")</f>
        <v>#REF!</v>
      </c>
      <c r="CO65" t="e">
        <f>AND(#REF!,"AAAAAH2Oz1w=")</f>
        <v>#REF!</v>
      </c>
      <c r="CP65" t="e">
        <f>AND(#REF!,"AAAAAH2Oz10=")</f>
        <v>#REF!</v>
      </c>
      <c r="CQ65" t="e">
        <f>AND(#REF!,"AAAAAH2Oz14=")</f>
        <v>#REF!</v>
      </c>
      <c r="CR65" t="e">
        <f>AND(#REF!,"AAAAAH2Oz18=")</f>
        <v>#REF!</v>
      </c>
      <c r="CS65" t="e">
        <f>AND(#REF!,"AAAAAH2Oz2A=")</f>
        <v>#REF!</v>
      </c>
      <c r="CT65" t="e">
        <f>AND(#REF!,"AAAAAH2Oz2E=")</f>
        <v>#REF!</v>
      </c>
      <c r="CU65" t="e">
        <f>AND(#REF!,"AAAAAH2Oz2I=")</f>
        <v>#REF!</v>
      </c>
      <c r="CV65" t="e">
        <f>AND(#REF!,"AAAAAH2Oz2M=")</f>
        <v>#REF!</v>
      </c>
      <c r="CW65" t="e">
        <f>AND(#REF!,"AAAAAH2Oz2Q=")</f>
        <v>#REF!</v>
      </c>
      <c r="CX65" t="e">
        <f>IF(#REF!,"AAAAAH2Oz2U=",0)</f>
        <v>#REF!</v>
      </c>
      <c r="CY65" t="e">
        <f>AND(#REF!,"AAAAAH2Oz2Y=")</f>
        <v>#REF!</v>
      </c>
      <c r="CZ65" t="e">
        <f>AND(#REF!,"AAAAAH2Oz2c=")</f>
        <v>#REF!</v>
      </c>
      <c r="DA65" t="e">
        <f>AND(#REF!,"AAAAAH2Oz2g=")</f>
        <v>#REF!</v>
      </c>
      <c r="DB65" t="e">
        <f>AND(#REF!,"AAAAAH2Oz2k=")</f>
        <v>#REF!</v>
      </c>
      <c r="DC65" t="e">
        <f>AND(#REF!,"AAAAAH2Oz2o=")</f>
        <v>#REF!</v>
      </c>
      <c r="DD65" t="e">
        <f>AND(#REF!,"AAAAAH2Oz2s=")</f>
        <v>#REF!</v>
      </c>
      <c r="DE65" t="e">
        <f>AND(#REF!,"AAAAAH2Oz2w=")</f>
        <v>#REF!</v>
      </c>
      <c r="DF65" t="e">
        <f>AND(#REF!,"AAAAAH2Oz20=")</f>
        <v>#REF!</v>
      </c>
      <c r="DG65" t="e">
        <f>AND(#REF!,"AAAAAH2Oz24=")</f>
        <v>#REF!</v>
      </c>
      <c r="DH65" t="e">
        <f>AND(#REF!,"AAAAAH2Oz28=")</f>
        <v>#REF!</v>
      </c>
      <c r="DI65" t="e">
        <f>AND(#REF!,"AAAAAH2Oz3A=")</f>
        <v>#REF!</v>
      </c>
      <c r="DJ65" t="e">
        <f>AND(#REF!,"AAAAAH2Oz3E=")</f>
        <v>#REF!</v>
      </c>
      <c r="DK65" t="e">
        <f>AND(#REF!,"AAAAAH2Oz3I=")</f>
        <v>#REF!</v>
      </c>
      <c r="DL65" t="e">
        <f>AND(#REF!,"AAAAAH2Oz3M=")</f>
        <v>#REF!</v>
      </c>
      <c r="DM65" t="e">
        <f>AND(#REF!,"AAAAAH2Oz3Q=")</f>
        <v>#REF!</v>
      </c>
      <c r="DN65" t="e">
        <f>AND(#REF!,"AAAAAH2Oz3U=")</f>
        <v>#REF!</v>
      </c>
      <c r="DO65" t="e">
        <f>AND(#REF!,"AAAAAH2Oz3Y=")</f>
        <v>#REF!</v>
      </c>
      <c r="DP65" t="e">
        <f>AND(#REF!,"AAAAAH2Oz3c=")</f>
        <v>#REF!</v>
      </c>
      <c r="DQ65" t="e">
        <f>AND(#REF!,"AAAAAH2Oz3g=")</f>
        <v>#REF!</v>
      </c>
      <c r="DR65" t="e">
        <f>AND(#REF!,"AAAAAH2Oz3k=")</f>
        <v>#REF!</v>
      </c>
      <c r="DS65" t="e">
        <f>AND(#REF!,"AAAAAH2Oz3o=")</f>
        <v>#REF!</v>
      </c>
      <c r="DT65" t="e">
        <f>AND(#REF!,"AAAAAH2Oz3s=")</f>
        <v>#REF!</v>
      </c>
      <c r="DU65" t="e">
        <f>AND(#REF!,"AAAAAH2Oz3w=")</f>
        <v>#REF!</v>
      </c>
      <c r="DV65" t="e">
        <f>AND(#REF!,"AAAAAH2Oz30=")</f>
        <v>#REF!</v>
      </c>
      <c r="DW65" t="e">
        <f>IF(#REF!,"AAAAAH2Oz34=",0)</f>
        <v>#REF!</v>
      </c>
      <c r="DX65" t="e">
        <f>AND(#REF!,"AAAAAH2Oz38=")</f>
        <v>#REF!</v>
      </c>
      <c r="DY65" t="e">
        <f>AND(#REF!,"AAAAAH2Oz4A=")</f>
        <v>#REF!</v>
      </c>
      <c r="DZ65" t="e">
        <f>AND(#REF!,"AAAAAH2Oz4E=")</f>
        <v>#REF!</v>
      </c>
      <c r="EA65" t="e">
        <f>AND(#REF!,"AAAAAH2Oz4I=")</f>
        <v>#REF!</v>
      </c>
      <c r="EB65" t="e">
        <f>AND(#REF!,"AAAAAH2Oz4M=")</f>
        <v>#REF!</v>
      </c>
      <c r="EC65" t="e">
        <f>AND(#REF!,"AAAAAH2Oz4Q=")</f>
        <v>#REF!</v>
      </c>
      <c r="ED65" t="e">
        <f>AND(#REF!,"AAAAAH2Oz4U=")</f>
        <v>#REF!</v>
      </c>
      <c r="EE65" t="e">
        <f>AND(#REF!,"AAAAAH2Oz4Y=")</f>
        <v>#REF!</v>
      </c>
      <c r="EF65" t="e">
        <f>AND(#REF!,"AAAAAH2Oz4c=")</f>
        <v>#REF!</v>
      </c>
      <c r="EG65" t="e">
        <f>AND(#REF!,"AAAAAH2Oz4g=")</f>
        <v>#REF!</v>
      </c>
      <c r="EH65" t="e">
        <f>AND(#REF!,"AAAAAH2Oz4k=")</f>
        <v>#REF!</v>
      </c>
      <c r="EI65" t="e">
        <f>AND(#REF!,"AAAAAH2Oz4o=")</f>
        <v>#REF!</v>
      </c>
      <c r="EJ65" t="e">
        <f>AND(#REF!,"AAAAAH2Oz4s=")</f>
        <v>#REF!</v>
      </c>
      <c r="EK65" t="e">
        <f>AND(#REF!,"AAAAAH2Oz4w=")</f>
        <v>#REF!</v>
      </c>
      <c r="EL65" t="e">
        <f>AND(#REF!,"AAAAAH2Oz40=")</f>
        <v>#REF!</v>
      </c>
      <c r="EM65" t="e">
        <f>AND(#REF!,"AAAAAH2Oz44=")</f>
        <v>#REF!</v>
      </c>
      <c r="EN65" t="e">
        <f>AND(#REF!,"AAAAAH2Oz48=")</f>
        <v>#REF!</v>
      </c>
      <c r="EO65" t="e">
        <f>AND(#REF!,"AAAAAH2Oz5A=")</f>
        <v>#REF!</v>
      </c>
      <c r="EP65" t="e">
        <f>AND(#REF!,"AAAAAH2Oz5E=")</f>
        <v>#REF!</v>
      </c>
      <c r="EQ65" t="e">
        <f>AND(#REF!,"AAAAAH2Oz5I=")</f>
        <v>#REF!</v>
      </c>
      <c r="ER65" t="e">
        <f>AND(#REF!,"AAAAAH2Oz5M=")</f>
        <v>#REF!</v>
      </c>
      <c r="ES65" t="e">
        <f>AND(#REF!,"AAAAAH2Oz5Q=")</f>
        <v>#REF!</v>
      </c>
      <c r="ET65" t="e">
        <f>AND(#REF!,"AAAAAH2Oz5U=")</f>
        <v>#REF!</v>
      </c>
      <c r="EU65" t="e">
        <f>AND(#REF!,"AAAAAH2Oz5Y=")</f>
        <v>#REF!</v>
      </c>
      <c r="EV65" t="e">
        <f>IF(#REF!,"AAAAAH2Oz5c=",0)</f>
        <v>#REF!</v>
      </c>
      <c r="EW65" t="e">
        <f>AND(#REF!,"AAAAAH2Oz5g=")</f>
        <v>#REF!</v>
      </c>
      <c r="EX65" t="e">
        <f>AND(#REF!,"AAAAAH2Oz5k=")</f>
        <v>#REF!</v>
      </c>
      <c r="EY65" t="e">
        <f>AND(#REF!,"AAAAAH2Oz5o=")</f>
        <v>#REF!</v>
      </c>
      <c r="EZ65" t="e">
        <f>AND(#REF!,"AAAAAH2Oz5s=")</f>
        <v>#REF!</v>
      </c>
      <c r="FA65" t="e">
        <f>AND(#REF!,"AAAAAH2Oz5w=")</f>
        <v>#REF!</v>
      </c>
      <c r="FB65" t="e">
        <f>AND(#REF!,"AAAAAH2Oz50=")</f>
        <v>#REF!</v>
      </c>
      <c r="FC65" t="e">
        <f>AND(#REF!,"AAAAAH2Oz54=")</f>
        <v>#REF!</v>
      </c>
      <c r="FD65" t="e">
        <f>AND(#REF!,"AAAAAH2Oz58=")</f>
        <v>#REF!</v>
      </c>
      <c r="FE65" t="e">
        <f>AND(#REF!,"AAAAAH2Oz6A=")</f>
        <v>#REF!</v>
      </c>
      <c r="FF65" t="e">
        <f>AND(#REF!,"AAAAAH2Oz6E=")</f>
        <v>#REF!</v>
      </c>
      <c r="FG65" t="e">
        <f>AND(#REF!,"AAAAAH2Oz6I=")</f>
        <v>#REF!</v>
      </c>
      <c r="FH65" t="e">
        <f>AND(#REF!,"AAAAAH2Oz6M=")</f>
        <v>#REF!</v>
      </c>
      <c r="FI65" t="e">
        <f>AND(#REF!,"AAAAAH2Oz6Q=")</f>
        <v>#REF!</v>
      </c>
      <c r="FJ65" t="e">
        <f>AND(#REF!,"AAAAAH2Oz6U=")</f>
        <v>#REF!</v>
      </c>
      <c r="FK65" t="e">
        <f>AND(#REF!,"AAAAAH2Oz6Y=")</f>
        <v>#REF!</v>
      </c>
      <c r="FL65" t="e">
        <f>AND(#REF!,"AAAAAH2Oz6c=")</f>
        <v>#REF!</v>
      </c>
      <c r="FM65" t="e">
        <f>AND(#REF!,"AAAAAH2Oz6g=")</f>
        <v>#REF!</v>
      </c>
      <c r="FN65" t="e">
        <f>AND(#REF!,"AAAAAH2Oz6k=")</f>
        <v>#REF!</v>
      </c>
      <c r="FO65" t="e">
        <f>AND(#REF!,"AAAAAH2Oz6o=")</f>
        <v>#REF!</v>
      </c>
      <c r="FP65" t="e">
        <f>AND(#REF!,"AAAAAH2Oz6s=")</f>
        <v>#REF!</v>
      </c>
      <c r="FQ65" t="e">
        <f>AND(#REF!,"AAAAAH2Oz6w=")</f>
        <v>#REF!</v>
      </c>
      <c r="FR65" t="e">
        <f>AND(#REF!,"AAAAAH2Oz60=")</f>
        <v>#REF!</v>
      </c>
      <c r="FS65" t="e">
        <f>AND(#REF!,"AAAAAH2Oz64=")</f>
        <v>#REF!</v>
      </c>
      <c r="FT65" t="e">
        <f>AND(#REF!,"AAAAAH2Oz68=")</f>
        <v>#REF!</v>
      </c>
      <c r="FU65" t="e">
        <f>IF(#REF!,"AAAAAH2Oz7A=",0)</f>
        <v>#REF!</v>
      </c>
      <c r="FV65" t="e">
        <f>AND(#REF!,"AAAAAH2Oz7E=")</f>
        <v>#REF!</v>
      </c>
      <c r="FW65" t="e">
        <f>AND(#REF!,"AAAAAH2Oz7I=")</f>
        <v>#REF!</v>
      </c>
      <c r="FX65" t="e">
        <f>AND(#REF!,"AAAAAH2Oz7M=")</f>
        <v>#REF!</v>
      </c>
      <c r="FY65" t="e">
        <f>AND(#REF!,"AAAAAH2Oz7Q=")</f>
        <v>#REF!</v>
      </c>
      <c r="FZ65" t="e">
        <f>AND(#REF!,"AAAAAH2Oz7U=")</f>
        <v>#REF!</v>
      </c>
      <c r="GA65" t="e">
        <f>AND(#REF!,"AAAAAH2Oz7Y=")</f>
        <v>#REF!</v>
      </c>
      <c r="GB65" t="e">
        <f>AND(#REF!,"AAAAAH2Oz7c=")</f>
        <v>#REF!</v>
      </c>
      <c r="GC65" t="e">
        <f>AND(#REF!,"AAAAAH2Oz7g=")</f>
        <v>#REF!</v>
      </c>
      <c r="GD65" t="e">
        <f>AND(#REF!,"AAAAAH2Oz7k=")</f>
        <v>#REF!</v>
      </c>
      <c r="GE65" t="e">
        <f>AND(#REF!,"AAAAAH2Oz7o=")</f>
        <v>#REF!</v>
      </c>
      <c r="GF65" t="e">
        <f>AND(#REF!,"AAAAAH2Oz7s=")</f>
        <v>#REF!</v>
      </c>
      <c r="GG65" t="e">
        <f>AND(#REF!,"AAAAAH2Oz7w=")</f>
        <v>#REF!</v>
      </c>
      <c r="GH65" t="e">
        <f>AND(#REF!,"AAAAAH2Oz70=")</f>
        <v>#REF!</v>
      </c>
      <c r="GI65" t="e">
        <f>AND(#REF!,"AAAAAH2Oz74=")</f>
        <v>#REF!</v>
      </c>
      <c r="GJ65" t="e">
        <f>AND(#REF!,"AAAAAH2Oz78=")</f>
        <v>#REF!</v>
      </c>
      <c r="GK65" t="e">
        <f>AND(#REF!,"AAAAAH2Oz8A=")</f>
        <v>#REF!</v>
      </c>
      <c r="GL65" t="e">
        <f>AND(#REF!,"AAAAAH2Oz8E=")</f>
        <v>#REF!</v>
      </c>
      <c r="GM65" t="e">
        <f>AND(#REF!,"AAAAAH2Oz8I=")</f>
        <v>#REF!</v>
      </c>
      <c r="GN65" t="e">
        <f>AND(#REF!,"AAAAAH2Oz8M=")</f>
        <v>#REF!</v>
      </c>
      <c r="GO65" t="e">
        <f>AND(#REF!,"AAAAAH2Oz8Q=")</f>
        <v>#REF!</v>
      </c>
      <c r="GP65" t="e">
        <f>AND(#REF!,"AAAAAH2Oz8U=")</f>
        <v>#REF!</v>
      </c>
      <c r="GQ65" t="e">
        <f>AND(#REF!,"AAAAAH2Oz8Y=")</f>
        <v>#REF!</v>
      </c>
      <c r="GR65" t="e">
        <f>AND(#REF!,"AAAAAH2Oz8c=")</f>
        <v>#REF!</v>
      </c>
      <c r="GS65" t="e">
        <f>AND(#REF!,"AAAAAH2Oz8g=")</f>
        <v>#REF!</v>
      </c>
      <c r="GT65" t="e">
        <f>IF(#REF!,"AAAAAH2Oz8k=",0)</f>
        <v>#REF!</v>
      </c>
      <c r="GU65" t="e">
        <f>AND(#REF!,"AAAAAH2Oz8o=")</f>
        <v>#REF!</v>
      </c>
      <c r="GV65" t="e">
        <f>AND(#REF!,"AAAAAH2Oz8s=")</f>
        <v>#REF!</v>
      </c>
      <c r="GW65" t="e">
        <f>AND(#REF!,"AAAAAH2Oz8w=")</f>
        <v>#REF!</v>
      </c>
      <c r="GX65" t="e">
        <f>AND(#REF!,"AAAAAH2Oz80=")</f>
        <v>#REF!</v>
      </c>
      <c r="GY65" t="e">
        <f>AND(#REF!,"AAAAAH2Oz84=")</f>
        <v>#REF!</v>
      </c>
      <c r="GZ65" t="e">
        <f>AND(#REF!,"AAAAAH2Oz88=")</f>
        <v>#REF!</v>
      </c>
      <c r="HA65" t="e">
        <f>AND(#REF!,"AAAAAH2Oz9A=")</f>
        <v>#REF!</v>
      </c>
      <c r="HB65" t="e">
        <f>AND(#REF!,"AAAAAH2Oz9E=")</f>
        <v>#REF!</v>
      </c>
      <c r="HC65" t="e">
        <f>AND(#REF!,"AAAAAH2Oz9I=")</f>
        <v>#REF!</v>
      </c>
      <c r="HD65" t="e">
        <f>AND(#REF!,"AAAAAH2Oz9M=")</f>
        <v>#REF!</v>
      </c>
      <c r="HE65" t="e">
        <f>AND(#REF!,"AAAAAH2Oz9Q=")</f>
        <v>#REF!</v>
      </c>
      <c r="HF65" t="e">
        <f>AND(#REF!,"AAAAAH2Oz9U=")</f>
        <v>#REF!</v>
      </c>
      <c r="HG65" t="e">
        <f>AND(#REF!,"AAAAAH2Oz9Y=")</f>
        <v>#REF!</v>
      </c>
      <c r="HH65" t="e">
        <f>AND(#REF!,"AAAAAH2Oz9c=")</f>
        <v>#REF!</v>
      </c>
      <c r="HI65" t="e">
        <f>AND(#REF!,"AAAAAH2Oz9g=")</f>
        <v>#REF!</v>
      </c>
      <c r="HJ65" t="e">
        <f>AND(#REF!,"AAAAAH2Oz9k=")</f>
        <v>#REF!</v>
      </c>
      <c r="HK65" t="e">
        <f>AND(#REF!,"AAAAAH2Oz9o=")</f>
        <v>#REF!</v>
      </c>
      <c r="HL65" t="e">
        <f>AND(#REF!,"AAAAAH2Oz9s=")</f>
        <v>#REF!</v>
      </c>
      <c r="HM65" t="e">
        <f>AND(#REF!,"AAAAAH2Oz9w=")</f>
        <v>#REF!</v>
      </c>
      <c r="HN65" t="e">
        <f>AND(#REF!,"AAAAAH2Oz90=")</f>
        <v>#REF!</v>
      </c>
      <c r="HO65" t="e">
        <f>AND(#REF!,"AAAAAH2Oz94=")</f>
        <v>#REF!</v>
      </c>
      <c r="HP65" t="e">
        <f>AND(#REF!,"AAAAAH2Oz98=")</f>
        <v>#REF!</v>
      </c>
      <c r="HQ65" t="e">
        <f>AND(#REF!,"AAAAAH2Oz+A=")</f>
        <v>#REF!</v>
      </c>
      <c r="HR65" t="e">
        <f>AND(#REF!,"AAAAAH2Oz+E=")</f>
        <v>#REF!</v>
      </c>
      <c r="HS65" t="e">
        <f>IF(#REF!,"AAAAAH2Oz+I=",0)</f>
        <v>#REF!</v>
      </c>
      <c r="HT65" t="e">
        <f>AND(#REF!,"AAAAAH2Oz+M=")</f>
        <v>#REF!</v>
      </c>
      <c r="HU65" t="e">
        <f>AND(#REF!,"AAAAAH2Oz+Q=")</f>
        <v>#REF!</v>
      </c>
      <c r="HV65" t="e">
        <f>AND(#REF!,"AAAAAH2Oz+U=")</f>
        <v>#REF!</v>
      </c>
      <c r="HW65" t="e">
        <f>AND(#REF!,"AAAAAH2Oz+Y=")</f>
        <v>#REF!</v>
      </c>
      <c r="HX65" t="e">
        <f>AND(#REF!,"AAAAAH2Oz+c=")</f>
        <v>#REF!</v>
      </c>
      <c r="HY65" t="e">
        <f>AND(#REF!,"AAAAAH2Oz+g=")</f>
        <v>#REF!</v>
      </c>
      <c r="HZ65" t="e">
        <f>AND(#REF!,"AAAAAH2Oz+k=")</f>
        <v>#REF!</v>
      </c>
      <c r="IA65" t="e">
        <f>AND(#REF!,"AAAAAH2Oz+o=")</f>
        <v>#REF!</v>
      </c>
      <c r="IB65" t="e">
        <f>AND(#REF!,"AAAAAH2Oz+s=")</f>
        <v>#REF!</v>
      </c>
      <c r="IC65" t="e">
        <f>AND(#REF!,"AAAAAH2Oz+w=")</f>
        <v>#REF!</v>
      </c>
      <c r="ID65" t="e">
        <f>AND(#REF!,"AAAAAH2Oz+0=")</f>
        <v>#REF!</v>
      </c>
      <c r="IE65" t="e">
        <f>AND(#REF!,"AAAAAH2Oz+4=")</f>
        <v>#REF!</v>
      </c>
      <c r="IF65" t="e">
        <f>AND(#REF!,"AAAAAH2Oz+8=")</f>
        <v>#REF!</v>
      </c>
      <c r="IG65" t="e">
        <f>AND(#REF!,"AAAAAH2Oz/A=")</f>
        <v>#REF!</v>
      </c>
      <c r="IH65" t="e">
        <f>AND(#REF!,"AAAAAH2Oz/E=")</f>
        <v>#REF!</v>
      </c>
      <c r="II65" t="e">
        <f>AND(#REF!,"AAAAAH2Oz/I=")</f>
        <v>#REF!</v>
      </c>
      <c r="IJ65" t="e">
        <f>AND(#REF!,"AAAAAH2Oz/M=")</f>
        <v>#REF!</v>
      </c>
      <c r="IK65" t="e">
        <f>AND(#REF!,"AAAAAH2Oz/Q=")</f>
        <v>#REF!</v>
      </c>
      <c r="IL65" t="e">
        <f>AND(#REF!,"AAAAAH2Oz/U=")</f>
        <v>#REF!</v>
      </c>
      <c r="IM65" t="e">
        <f>AND(#REF!,"AAAAAH2Oz/Y=")</f>
        <v>#REF!</v>
      </c>
      <c r="IN65" t="e">
        <f>AND(#REF!,"AAAAAH2Oz/c=")</f>
        <v>#REF!</v>
      </c>
      <c r="IO65" t="e">
        <f>AND(#REF!,"AAAAAH2Oz/g=")</f>
        <v>#REF!</v>
      </c>
      <c r="IP65" t="e">
        <f>AND(#REF!,"AAAAAH2Oz/k=")</f>
        <v>#REF!</v>
      </c>
      <c r="IQ65" t="e">
        <f>AND(#REF!,"AAAAAH2Oz/o=")</f>
        <v>#REF!</v>
      </c>
      <c r="IR65" t="e">
        <f>IF(#REF!,"AAAAAH2Oz/s=",0)</f>
        <v>#REF!</v>
      </c>
      <c r="IS65" t="e">
        <f>AND(#REF!,"AAAAAH2Oz/w=")</f>
        <v>#REF!</v>
      </c>
      <c r="IT65" t="e">
        <f>AND(#REF!,"AAAAAH2Oz/0=")</f>
        <v>#REF!</v>
      </c>
      <c r="IU65" t="e">
        <f>AND(#REF!,"AAAAAH2Oz/4=")</f>
        <v>#REF!</v>
      </c>
      <c r="IV65" t="e">
        <f>AND(#REF!,"AAAAAH2Oz/8=")</f>
        <v>#REF!</v>
      </c>
    </row>
    <row r="66" spans="1:256">
      <c r="A66" t="e">
        <f>AND(#REF!,"AAAAAA//bwA=")</f>
        <v>#REF!</v>
      </c>
      <c r="B66" t="e">
        <f>AND(#REF!,"AAAAAA//bwE=")</f>
        <v>#REF!</v>
      </c>
      <c r="C66" t="e">
        <f>AND(#REF!,"AAAAAA//bwI=")</f>
        <v>#REF!</v>
      </c>
      <c r="D66" t="e">
        <f>AND(#REF!,"AAAAAA//bwM=")</f>
        <v>#REF!</v>
      </c>
      <c r="E66" t="e">
        <f>AND(#REF!,"AAAAAA//bwQ=")</f>
        <v>#REF!</v>
      </c>
      <c r="F66" t="e">
        <f>AND(#REF!,"AAAAAA//bwU=")</f>
        <v>#REF!</v>
      </c>
      <c r="G66" t="e">
        <f>AND(#REF!,"AAAAAA//bwY=")</f>
        <v>#REF!</v>
      </c>
      <c r="H66" t="e">
        <f>AND(#REF!,"AAAAAA//bwc=")</f>
        <v>#REF!</v>
      </c>
      <c r="I66" t="e">
        <f>AND(#REF!,"AAAAAA//bwg=")</f>
        <v>#REF!</v>
      </c>
      <c r="J66" t="e">
        <f>AND(#REF!,"AAAAAA//bwk=")</f>
        <v>#REF!</v>
      </c>
      <c r="K66" t="e">
        <f>AND(#REF!,"AAAAAA//bwo=")</f>
        <v>#REF!</v>
      </c>
      <c r="L66" t="e">
        <f>AND(#REF!,"AAAAAA//bws=")</f>
        <v>#REF!</v>
      </c>
      <c r="M66" t="e">
        <f>AND(#REF!,"AAAAAA//bww=")</f>
        <v>#REF!</v>
      </c>
      <c r="N66" t="e">
        <f>AND(#REF!,"AAAAAA//bw0=")</f>
        <v>#REF!</v>
      </c>
      <c r="O66" t="e">
        <f>AND(#REF!,"AAAAAA//bw4=")</f>
        <v>#REF!</v>
      </c>
      <c r="P66" t="e">
        <f>AND(#REF!,"AAAAAA//bw8=")</f>
        <v>#REF!</v>
      </c>
      <c r="Q66" t="e">
        <f>AND(#REF!,"AAAAAA//bxA=")</f>
        <v>#REF!</v>
      </c>
      <c r="R66" t="e">
        <f>AND(#REF!,"AAAAAA//bxE=")</f>
        <v>#REF!</v>
      </c>
      <c r="S66" t="e">
        <f>AND(#REF!,"AAAAAA//bxI=")</f>
        <v>#REF!</v>
      </c>
      <c r="T66" t="e">
        <f>AND(#REF!,"AAAAAA//bxM=")</f>
        <v>#REF!</v>
      </c>
      <c r="U66" t="e">
        <f>IF(#REF!,"AAAAAA//bxQ=",0)</f>
        <v>#REF!</v>
      </c>
      <c r="V66" t="e">
        <f>AND(#REF!,"AAAAAA//bxU=")</f>
        <v>#REF!</v>
      </c>
      <c r="W66" t="e">
        <f>AND(#REF!,"AAAAAA//bxY=")</f>
        <v>#REF!</v>
      </c>
      <c r="X66" t="e">
        <f>AND(#REF!,"AAAAAA//bxc=")</f>
        <v>#REF!</v>
      </c>
      <c r="Y66" t="e">
        <f>AND(#REF!,"AAAAAA//bxg=")</f>
        <v>#REF!</v>
      </c>
      <c r="Z66" t="e">
        <f>AND(#REF!,"AAAAAA//bxk=")</f>
        <v>#REF!</v>
      </c>
      <c r="AA66" t="e">
        <f>AND(#REF!,"AAAAAA//bxo=")</f>
        <v>#REF!</v>
      </c>
      <c r="AB66" t="e">
        <f>AND(#REF!,"AAAAAA//bxs=")</f>
        <v>#REF!</v>
      </c>
      <c r="AC66" t="e">
        <f>AND(#REF!,"AAAAAA//bxw=")</f>
        <v>#REF!</v>
      </c>
      <c r="AD66" t="e">
        <f>AND(#REF!,"AAAAAA//bx0=")</f>
        <v>#REF!</v>
      </c>
      <c r="AE66" t="e">
        <f>AND(#REF!,"AAAAAA//bx4=")</f>
        <v>#REF!</v>
      </c>
      <c r="AF66" t="e">
        <f>AND(#REF!,"AAAAAA//bx8=")</f>
        <v>#REF!</v>
      </c>
      <c r="AG66" t="e">
        <f>AND(#REF!,"AAAAAA//byA=")</f>
        <v>#REF!</v>
      </c>
      <c r="AH66" t="e">
        <f>AND(#REF!,"AAAAAA//byE=")</f>
        <v>#REF!</v>
      </c>
      <c r="AI66" t="e">
        <f>AND(#REF!,"AAAAAA//byI=")</f>
        <v>#REF!</v>
      </c>
      <c r="AJ66" t="e">
        <f>AND(#REF!,"AAAAAA//byM=")</f>
        <v>#REF!</v>
      </c>
      <c r="AK66" t="e">
        <f>AND(#REF!,"AAAAAA//byQ=")</f>
        <v>#REF!</v>
      </c>
      <c r="AL66" t="e">
        <f>AND(#REF!,"AAAAAA//byU=")</f>
        <v>#REF!</v>
      </c>
      <c r="AM66" t="e">
        <f>AND(#REF!,"AAAAAA//byY=")</f>
        <v>#REF!</v>
      </c>
      <c r="AN66" t="e">
        <f>AND(#REF!,"AAAAAA//byc=")</f>
        <v>#REF!</v>
      </c>
      <c r="AO66" t="e">
        <f>AND(#REF!,"AAAAAA//byg=")</f>
        <v>#REF!</v>
      </c>
      <c r="AP66" t="e">
        <f>AND(#REF!,"AAAAAA//byk=")</f>
        <v>#REF!</v>
      </c>
      <c r="AQ66" t="e">
        <f>AND(#REF!,"AAAAAA//byo=")</f>
        <v>#REF!</v>
      </c>
      <c r="AR66" t="e">
        <f>AND(#REF!,"AAAAAA//bys=")</f>
        <v>#REF!</v>
      </c>
      <c r="AS66" t="e">
        <f>AND(#REF!,"AAAAAA//byw=")</f>
        <v>#REF!</v>
      </c>
      <c r="AT66" t="e">
        <f>IF(#REF!,"AAAAAA//by0=",0)</f>
        <v>#REF!</v>
      </c>
      <c r="AU66" t="e">
        <f>AND(#REF!,"AAAAAA//by4=")</f>
        <v>#REF!</v>
      </c>
      <c r="AV66" t="e">
        <f>AND(#REF!,"AAAAAA//by8=")</f>
        <v>#REF!</v>
      </c>
      <c r="AW66" t="e">
        <f>AND(#REF!,"AAAAAA//bzA=")</f>
        <v>#REF!</v>
      </c>
      <c r="AX66" t="e">
        <f>AND(#REF!,"AAAAAA//bzE=")</f>
        <v>#REF!</v>
      </c>
      <c r="AY66" t="e">
        <f>AND(#REF!,"AAAAAA//bzI=")</f>
        <v>#REF!</v>
      </c>
      <c r="AZ66" t="e">
        <f>AND(#REF!,"AAAAAA//bzM=")</f>
        <v>#REF!</v>
      </c>
      <c r="BA66" t="e">
        <f>AND(#REF!,"AAAAAA//bzQ=")</f>
        <v>#REF!</v>
      </c>
      <c r="BB66" t="e">
        <f>AND(#REF!,"AAAAAA//bzU=")</f>
        <v>#REF!</v>
      </c>
      <c r="BC66" t="e">
        <f>AND(#REF!,"AAAAAA//bzY=")</f>
        <v>#REF!</v>
      </c>
      <c r="BD66" t="e">
        <f>AND(#REF!,"AAAAAA//bzc=")</f>
        <v>#REF!</v>
      </c>
      <c r="BE66" t="e">
        <f>AND(#REF!,"AAAAAA//bzg=")</f>
        <v>#REF!</v>
      </c>
      <c r="BF66" t="e">
        <f>AND(#REF!,"AAAAAA//bzk=")</f>
        <v>#REF!</v>
      </c>
      <c r="BG66" t="e">
        <f>AND(#REF!,"AAAAAA//bzo=")</f>
        <v>#REF!</v>
      </c>
      <c r="BH66" t="e">
        <f>AND(#REF!,"AAAAAA//bzs=")</f>
        <v>#REF!</v>
      </c>
      <c r="BI66" t="e">
        <f>AND(#REF!,"AAAAAA//bzw=")</f>
        <v>#REF!</v>
      </c>
      <c r="BJ66" t="e">
        <f>AND(#REF!,"AAAAAA//bz0=")</f>
        <v>#REF!</v>
      </c>
      <c r="BK66" t="e">
        <f>AND(#REF!,"AAAAAA//bz4=")</f>
        <v>#REF!</v>
      </c>
      <c r="BL66" t="e">
        <f>AND(#REF!,"AAAAAA//bz8=")</f>
        <v>#REF!</v>
      </c>
      <c r="BM66" t="e">
        <f>AND(#REF!,"AAAAAA//b0A=")</f>
        <v>#REF!</v>
      </c>
      <c r="BN66" t="e">
        <f>AND(#REF!,"AAAAAA//b0E=")</f>
        <v>#REF!</v>
      </c>
      <c r="BO66" t="e">
        <f>AND(#REF!,"AAAAAA//b0I=")</f>
        <v>#REF!</v>
      </c>
      <c r="BP66" t="e">
        <f>AND(#REF!,"AAAAAA//b0M=")</f>
        <v>#REF!</v>
      </c>
      <c r="BQ66" t="e">
        <f>AND(#REF!,"AAAAAA//b0Q=")</f>
        <v>#REF!</v>
      </c>
      <c r="BR66" t="e">
        <f>AND(#REF!,"AAAAAA//b0U=")</f>
        <v>#REF!</v>
      </c>
      <c r="BS66" t="e">
        <f>IF(#REF!,"AAAAAA//b0Y=",0)</f>
        <v>#REF!</v>
      </c>
      <c r="BT66" t="e">
        <f>AND(#REF!,"AAAAAA//b0c=")</f>
        <v>#REF!</v>
      </c>
      <c r="BU66" t="e">
        <f>AND(#REF!,"AAAAAA//b0g=")</f>
        <v>#REF!</v>
      </c>
      <c r="BV66" t="e">
        <f>AND(#REF!,"AAAAAA//b0k=")</f>
        <v>#REF!</v>
      </c>
      <c r="BW66" t="e">
        <f>AND(#REF!,"AAAAAA//b0o=")</f>
        <v>#REF!</v>
      </c>
      <c r="BX66" t="e">
        <f>AND(#REF!,"AAAAAA//b0s=")</f>
        <v>#REF!</v>
      </c>
      <c r="BY66" t="e">
        <f>AND(#REF!,"AAAAAA//b0w=")</f>
        <v>#REF!</v>
      </c>
      <c r="BZ66" t="e">
        <f>AND(#REF!,"AAAAAA//b00=")</f>
        <v>#REF!</v>
      </c>
      <c r="CA66" t="e">
        <f>AND(#REF!,"AAAAAA//b04=")</f>
        <v>#REF!</v>
      </c>
      <c r="CB66" t="e">
        <f>AND(#REF!,"AAAAAA//b08=")</f>
        <v>#REF!</v>
      </c>
      <c r="CC66" t="e">
        <f>AND(#REF!,"AAAAAA//b1A=")</f>
        <v>#REF!</v>
      </c>
      <c r="CD66" t="e">
        <f>AND(#REF!,"AAAAAA//b1E=")</f>
        <v>#REF!</v>
      </c>
      <c r="CE66" t="e">
        <f>AND(#REF!,"AAAAAA//b1I=")</f>
        <v>#REF!</v>
      </c>
      <c r="CF66" t="e">
        <f>AND(#REF!,"AAAAAA//b1M=")</f>
        <v>#REF!</v>
      </c>
      <c r="CG66" t="e">
        <f>AND(#REF!,"AAAAAA//b1Q=")</f>
        <v>#REF!</v>
      </c>
      <c r="CH66" t="e">
        <f>AND(#REF!,"AAAAAA//b1U=")</f>
        <v>#REF!</v>
      </c>
      <c r="CI66" t="e">
        <f>AND(#REF!,"AAAAAA//b1Y=")</f>
        <v>#REF!</v>
      </c>
      <c r="CJ66" t="e">
        <f>AND(#REF!,"AAAAAA//b1c=")</f>
        <v>#REF!</v>
      </c>
      <c r="CK66" t="e">
        <f>AND(#REF!,"AAAAAA//b1g=")</f>
        <v>#REF!</v>
      </c>
      <c r="CL66" t="e">
        <f>AND(#REF!,"AAAAAA//b1k=")</f>
        <v>#REF!</v>
      </c>
      <c r="CM66" t="e">
        <f>AND(#REF!,"AAAAAA//b1o=")</f>
        <v>#REF!</v>
      </c>
      <c r="CN66" t="e">
        <f>AND(#REF!,"AAAAAA//b1s=")</f>
        <v>#REF!</v>
      </c>
      <c r="CO66" t="e">
        <f>AND(#REF!,"AAAAAA//b1w=")</f>
        <v>#REF!</v>
      </c>
      <c r="CP66" t="e">
        <f>AND(#REF!,"AAAAAA//b10=")</f>
        <v>#REF!</v>
      </c>
      <c r="CQ66" t="e">
        <f>AND(#REF!,"AAAAAA//b14=")</f>
        <v>#REF!</v>
      </c>
      <c r="CR66" t="e">
        <f>IF(#REF!,"AAAAAA//b18=",0)</f>
        <v>#REF!</v>
      </c>
      <c r="CS66" t="e">
        <f>AND(#REF!,"AAAAAA//b2A=")</f>
        <v>#REF!</v>
      </c>
      <c r="CT66" t="e">
        <f>AND(#REF!,"AAAAAA//b2E=")</f>
        <v>#REF!</v>
      </c>
      <c r="CU66" t="e">
        <f>AND(#REF!,"AAAAAA//b2I=")</f>
        <v>#REF!</v>
      </c>
      <c r="CV66" t="e">
        <f>AND(#REF!,"AAAAAA//b2M=")</f>
        <v>#REF!</v>
      </c>
      <c r="CW66" t="e">
        <f>AND(#REF!,"AAAAAA//b2Q=")</f>
        <v>#REF!</v>
      </c>
      <c r="CX66" t="e">
        <f>AND(#REF!,"AAAAAA//b2U=")</f>
        <v>#REF!</v>
      </c>
      <c r="CY66" t="e">
        <f>AND(#REF!,"AAAAAA//b2Y=")</f>
        <v>#REF!</v>
      </c>
      <c r="CZ66" t="e">
        <f>AND(#REF!,"AAAAAA//b2c=")</f>
        <v>#REF!</v>
      </c>
      <c r="DA66" t="e">
        <f>AND(#REF!,"AAAAAA//b2g=")</f>
        <v>#REF!</v>
      </c>
      <c r="DB66" t="e">
        <f>AND(#REF!,"AAAAAA//b2k=")</f>
        <v>#REF!</v>
      </c>
      <c r="DC66" t="e">
        <f>AND(#REF!,"AAAAAA//b2o=")</f>
        <v>#REF!</v>
      </c>
      <c r="DD66" t="e">
        <f>AND(#REF!,"AAAAAA//b2s=")</f>
        <v>#REF!</v>
      </c>
      <c r="DE66" t="e">
        <f>AND(#REF!,"AAAAAA//b2w=")</f>
        <v>#REF!</v>
      </c>
      <c r="DF66" t="e">
        <f>AND(#REF!,"AAAAAA//b20=")</f>
        <v>#REF!</v>
      </c>
      <c r="DG66" t="e">
        <f>AND(#REF!,"AAAAAA//b24=")</f>
        <v>#REF!</v>
      </c>
      <c r="DH66" t="e">
        <f>AND(#REF!,"AAAAAA//b28=")</f>
        <v>#REF!</v>
      </c>
      <c r="DI66" t="e">
        <f>AND(#REF!,"AAAAAA//b3A=")</f>
        <v>#REF!</v>
      </c>
      <c r="DJ66" t="e">
        <f>AND(#REF!,"AAAAAA//b3E=")</f>
        <v>#REF!</v>
      </c>
      <c r="DK66" t="e">
        <f>AND(#REF!,"AAAAAA//b3I=")</f>
        <v>#REF!</v>
      </c>
      <c r="DL66" t="e">
        <f>AND(#REF!,"AAAAAA//b3M=")</f>
        <v>#REF!</v>
      </c>
      <c r="DM66" t="e">
        <f>AND(#REF!,"AAAAAA//b3Q=")</f>
        <v>#REF!</v>
      </c>
      <c r="DN66" t="e">
        <f>AND(#REF!,"AAAAAA//b3U=")</f>
        <v>#REF!</v>
      </c>
      <c r="DO66" t="e">
        <f>AND(#REF!,"AAAAAA//b3Y=")</f>
        <v>#REF!</v>
      </c>
      <c r="DP66" t="e">
        <f>AND(#REF!,"AAAAAA//b3c=")</f>
        <v>#REF!</v>
      </c>
      <c r="DQ66" t="e">
        <f>IF(#REF!,"AAAAAA//b3g=",0)</f>
        <v>#REF!</v>
      </c>
      <c r="DR66" t="e">
        <f>AND(#REF!,"AAAAAA//b3k=")</f>
        <v>#REF!</v>
      </c>
      <c r="DS66" t="e">
        <f>AND(#REF!,"AAAAAA//b3o=")</f>
        <v>#REF!</v>
      </c>
      <c r="DT66" t="e">
        <f>AND(#REF!,"AAAAAA//b3s=")</f>
        <v>#REF!</v>
      </c>
      <c r="DU66" t="e">
        <f>AND(#REF!,"AAAAAA//b3w=")</f>
        <v>#REF!</v>
      </c>
      <c r="DV66" t="e">
        <f>AND(#REF!,"AAAAAA//b30=")</f>
        <v>#REF!</v>
      </c>
      <c r="DW66" t="e">
        <f>AND(#REF!,"AAAAAA//b34=")</f>
        <v>#REF!</v>
      </c>
      <c r="DX66" t="e">
        <f>AND(#REF!,"AAAAAA//b38=")</f>
        <v>#REF!</v>
      </c>
      <c r="DY66" t="e">
        <f>AND(#REF!,"AAAAAA//b4A=")</f>
        <v>#REF!</v>
      </c>
      <c r="DZ66" t="e">
        <f>AND(#REF!,"AAAAAA//b4E=")</f>
        <v>#REF!</v>
      </c>
      <c r="EA66" t="e">
        <f>AND(#REF!,"AAAAAA//b4I=")</f>
        <v>#REF!</v>
      </c>
      <c r="EB66" t="e">
        <f>AND(#REF!,"AAAAAA//b4M=")</f>
        <v>#REF!</v>
      </c>
      <c r="EC66" t="e">
        <f>AND(#REF!,"AAAAAA//b4Q=")</f>
        <v>#REF!</v>
      </c>
      <c r="ED66" t="e">
        <f>AND(#REF!,"AAAAAA//b4U=")</f>
        <v>#REF!</v>
      </c>
      <c r="EE66" t="e">
        <f>AND(#REF!,"AAAAAA//b4Y=")</f>
        <v>#REF!</v>
      </c>
      <c r="EF66" t="e">
        <f>AND(#REF!,"AAAAAA//b4c=")</f>
        <v>#REF!</v>
      </c>
      <c r="EG66" t="e">
        <f>AND(#REF!,"AAAAAA//b4g=")</f>
        <v>#REF!</v>
      </c>
      <c r="EH66" t="e">
        <f>AND(#REF!,"AAAAAA//b4k=")</f>
        <v>#REF!</v>
      </c>
      <c r="EI66" t="e">
        <f>AND(#REF!,"AAAAAA//b4o=")</f>
        <v>#REF!</v>
      </c>
      <c r="EJ66" t="e">
        <f>AND(#REF!,"AAAAAA//b4s=")</f>
        <v>#REF!</v>
      </c>
      <c r="EK66" t="e">
        <f>AND(#REF!,"AAAAAA//b4w=")</f>
        <v>#REF!</v>
      </c>
      <c r="EL66" t="e">
        <f>AND(#REF!,"AAAAAA//b40=")</f>
        <v>#REF!</v>
      </c>
      <c r="EM66" t="e">
        <f>AND(#REF!,"AAAAAA//b44=")</f>
        <v>#REF!</v>
      </c>
      <c r="EN66" t="e">
        <f>AND(#REF!,"AAAAAA//b48=")</f>
        <v>#REF!</v>
      </c>
      <c r="EO66" t="e">
        <f>AND(#REF!,"AAAAAA//b5A=")</f>
        <v>#REF!</v>
      </c>
      <c r="EP66" t="e">
        <f>IF(#REF!,"AAAAAA//b5E=",0)</f>
        <v>#REF!</v>
      </c>
      <c r="EQ66" t="e">
        <f>AND(#REF!,"AAAAAA//b5I=")</f>
        <v>#REF!</v>
      </c>
      <c r="ER66" t="e">
        <f>AND(#REF!,"AAAAAA//b5M=")</f>
        <v>#REF!</v>
      </c>
      <c r="ES66" t="e">
        <f>AND(#REF!,"AAAAAA//b5Q=")</f>
        <v>#REF!</v>
      </c>
      <c r="ET66" t="e">
        <f>AND(#REF!,"AAAAAA//b5U=")</f>
        <v>#REF!</v>
      </c>
      <c r="EU66" t="e">
        <f>AND(#REF!,"AAAAAA//b5Y=")</f>
        <v>#REF!</v>
      </c>
      <c r="EV66" t="e">
        <f>AND(#REF!,"AAAAAA//b5c=")</f>
        <v>#REF!</v>
      </c>
      <c r="EW66" t="e">
        <f>AND(#REF!,"AAAAAA//b5g=")</f>
        <v>#REF!</v>
      </c>
      <c r="EX66" t="e">
        <f>AND(#REF!,"AAAAAA//b5k=")</f>
        <v>#REF!</v>
      </c>
      <c r="EY66" t="e">
        <f>AND(#REF!,"AAAAAA//b5o=")</f>
        <v>#REF!</v>
      </c>
      <c r="EZ66" t="e">
        <f>AND(#REF!,"AAAAAA//b5s=")</f>
        <v>#REF!</v>
      </c>
      <c r="FA66" t="e">
        <f>AND(#REF!,"AAAAAA//b5w=")</f>
        <v>#REF!</v>
      </c>
      <c r="FB66" t="e">
        <f>AND(#REF!,"AAAAAA//b50=")</f>
        <v>#REF!</v>
      </c>
      <c r="FC66" t="e">
        <f>AND(#REF!,"AAAAAA//b54=")</f>
        <v>#REF!</v>
      </c>
      <c r="FD66" t="e">
        <f>AND(#REF!,"AAAAAA//b58=")</f>
        <v>#REF!</v>
      </c>
      <c r="FE66" t="e">
        <f>AND(#REF!,"AAAAAA//b6A=")</f>
        <v>#REF!</v>
      </c>
      <c r="FF66" t="e">
        <f>AND(#REF!,"AAAAAA//b6E=")</f>
        <v>#REF!</v>
      </c>
      <c r="FG66" t="e">
        <f>AND(#REF!,"AAAAAA//b6I=")</f>
        <v>#REF!</v>
      </c>
      <c r="FH66" t="e">
        <f>AND(#REF!,"AAAAAA//b6M=")</f>
        <v>#REF!</v>
      </c>
      <c r="FI66" t="e">
        <f>AND(#REF!,"AAAAAA//b6Q=")</f>
        <v>#REF!</v>
      </c>
      <c r="FJ66" t="e">
        <f>AND(#REF!,"AAAAAA//b6U=")</f>
        <v>#REF!</v>
      </c>
      <c r="FK66" t="e">
        <f>AND(#REF!,"AAAAAA//b6Y=")</f>
        <v>#REF!</v>
      </c>
      <c r="FL66" t="e">
        <f>AND(#REF!,"AAAAAA//b6c=")</f>
        <v>#REF!</v>
      </c>
      <c r="FM66" t="e">
        <f>AND(#REF!,"AAAAAA//b6g=")</f>
        <v>#REF!</v>
      </c>
      <c r="FN66" t="e">
        <f>AND(#REF!,"AAAAAA//b6k=")</f>
        <v>#REF!</v>
      </c>
      <c r="FO66" t="e">
        <f>IF(#REF!,"AAAAAA//b6o=",0)</f>
        <v>#REF!</v>
      </c>
      <c r="FP66" t="e">
        <f>AND(#REF!,"AAAAAA//b6s=")</f>
        <v>#REF!</v>
      </c>
      <c r="FQ66" t="e">
        <f>AND(#REF!,"AAAAAA//b6w=")</f>
        <v>#REF!</v>
      </c>
      <c r="FR66" t="e">
        <f>AND(#REF!,"AAAAAA//b60=")</f>
        <v>#REF!</v>
      </c>
      <c r="FS66" t="e">
        <f>AND(#REF!,"AAAAAA//b64=")</f>
        <v>#REF!</v>
      </c>
      <c r="FT66" t="e">
        <f>AND(#REF!,"AAAAAA//b68=")</f>
        <v>#REF!</v>
      </c>
      <c r="FU66" t="e">
        <f>AND(#REF!,"AAAAAA//b7A=")</f>
        <v>#REF!</v>
      </c>
      <c r="FV66" t="e">
        <f>AND(#REF!,"AAAAAA//b7E=")</f>
        <v>#REF!</v>
      </c>
      <c r="FW66" t="e">
        <f>AND(#REF!,"AAAAAA//b7I=")</f>
        <v>#REF!</v>
      </c>
      <c r="FX66" t="e">
        <f>AND(#REF!,"AAAAAA//b7M=")</f>
        <v>#REF!</v>
      </c>
      <c r="FY66" t="e">
        <f>AND(#REF!,"AAAAAA//b7Q=")</f>
        <v>#REF!</v>
      </c>
      <c r="FZ66" t="e">
        <f>AND(#REF!,"AAAAAA//b7U=")</f>
        <v>#REF!</v>
      </c>
      <c r="GA66" t="e">
        <f>AND(#REF!,"AAAAAA//b7Y=")</f>
        <v>#REF!</v>
      </c>
      <c r="GB66" t="e">
        <f>AND(#REF!,"AAAAAA//b7c=")</f>
        <v>#REF!</v>
      </c>
      <c r="GC66" t="e">
        <f>AND(#REF!,"AAAAAA//b7g=")</f>
        <v>#REF!</v>
      </c>
      <c r="GD66" t="e">
        <f>AND(#REF!,"AAAAAA//b7k=")</f>
        <v>#REF!</v>
      </c>
      <c r="GE66" t="e">
        <f>AND(#REF!,"AAAAAA//b7o=")</f>
        <v>#REF!</v>
      </c>
      <c r="GF66" t="e">
        <f>AND(#REF!,"AAAAAA//b7s=")</f>
        <v>#REF!</v>
      </c>
      <c r="GG66" t="e">
        <f>AND(#REF!,"AAAAAA//b7w=")</f>
        <v>#REF!</v>
      </c>
      <c r="GH66" t="e">
        <f>AND(#REF!,"AAAAAA//b70=")</f>
        <v>#REF!</v>
      </c>
      <c r="GI66" t="e">
        <f>AND(#REF!,"AAAAAA//b74=")</f>
        <v>#REF!</v>
      </c>
      <c r="GJ66" t="e">
        <f>AND(#REF!,"AAAAAA//b78=")</f>
        <v>#REF!</v>
      </c>
      <c r="GK66" t="e">
        <f>AND(#REF!,"AAAAAA//b8A=")</f>
        <v>#REF!</v>
      </c>
      <c r="GL66" t="e">
        <f>AND(#REF!,"AAAAAA//b8E=")</f>
        <v>#REF!</v>
      </c>
      <c r="GM66" t="e">
        <f>AND(#REF!,"AAAAAA//b8I=")</f>
        <v>#REF!</v>
      </c>
      <c r="GN66" t="e">
        <f>IF(#REF!,"AAAAAA//b8M=",0)</f>
        <v>#REF!</v>
      </c>
      <c r="GO66" t="e">
        <f>AND(#REF!,"AAAAAA//b8Q=")</f>
        <v>#REF!</v>
      </c>
      <c r="GP66" t="e">
        <f>AND(#REF!,"AAAAAA//b8U=")</f>
        <v>#REF!</v>
      </c>
      <c r="GQ66" t="e">
        <f>AND(#REF!,"AAAAAA//b8Y=")</f>
        <v>#REF!</v>
      </c>
      <c r="GR66" t="e">
        <f>AND(#REF!,"AAAAAA//b8c=")</f>
        <v>#REF!</v>
      </c>
      <c r="GS66" t="e">
        <f>AND(#REF!,"AAAAAA//b8g=")</f>
        <v>#REF!</v>
      </c>
      <c r="GT66" t="e">
        <f>AND(#REF!,"AAAAAA//b8k=")</f>
        <v>#REF!</v>
      </c>
      <c r="GU66" t="e">
        <f>AND(#REF!,"AAAAAA//b8o=")</f>
        <v>#REF!</v>
      </c>
      <c r="GV66" t="e">
        <f>AND(#REF!,"AAAAAA//b8s=")</f>
        <v>#REF!</v>
      </c>
      <c r="GW66" t="e">
        <f>AND(#REF!,"AAAAAA//b8w=")</f>
        <v>#REF!</v>
      </c>
      <c r="GX66" t="e">
        <f>AND(#REF!,"AAAAAA//b80=")</f>
        <v>#REF!</v>
      </c>
      <c r="GY66" t="e">
        <f>AND(#REF!,"AAAAAA//b84=")</f>
        <v>#REF!</v>
      </c>
      <c r="GZ66" t="e">
        <f>AND(#REF!,"AAAAAA//b88=")</f>
        <v>#REF!</v>
      </c>
      <c r="HA66" t="e">
        <f>AND(#REF!,"AAAAAA//b9A=")</f>
        <v>#REF!</v>
      </c>
      <c r="HB66" t="e">
        <f>AND(#REF!,"AAAAAA//b9E=")</f>
        <v>#REF!</v>
      </c>
      <c r="HC66" t="e">
        <f>AND(#REF!,"AAAAAA//b9I=")</f>
        <v>#REF!</v>
      </c>
      <c r="HD66" t="e">
        <f>AND(#REF!,"AAAAAA//b9M=")</f>
        <v>#REF!</v>
      </c>
      <c r="HE66" t="e">
        <f>AND(#REF!,"AAAAAA//b9Q=")</f>
        <v>#REF!</v>
      </c>
      <c r="HF66" t="e">
        <f>AND(#REF!,"AAAAAA//b9U=")</f>
        <v>#REF!</v>
      </c>
      <c r="HG66" t="e">
        <f>AND(#REF!,"AAAAAA//b9Y=")</f>
        <v>#REF!</v>
      </c>
      <c r="HH66" t="e">
        <f>AND(#REF!,"AAAAAA//b9c=")</f>
        <v>#REF!</v>
      </c>
      <c r="HI66" t="e">
        <f>AND(#REF!,"AAAAAA//b9g=")</f>
        <v>#REF!</v>
      </c>
      <c r="HJ66" t="e">
        <f>AND(#REF!,"AAAAAA//b9k=")</f>
        <v>#REF!</v>
      </c>
      <c r="HK66" t="e">
        <f>AND(#REF!,"AAAAAA//b9o=")</f>
        <v>#REF!</v>
      </c>
      <c r="HL66" t="e">
        <f>AND(#REF!,"AAAAAA//b9s=")</f>
        <v>#REF!</v>
      </c>
      <c r="HM66" t="e">
        <f>IF(#REF!,"AAAAAA//b9w=",0)</f>
        <v>#REF!</v>
      </c>
      <c r="HN66" t="e">
        <f>AND(#REF!,"AAAAAA//b90=")</f>
        <v>#REF!</v>
      </c>
      <c r="HO66" t="e">
        <f>AND(#REF!,"AAAAAA//b94=")</f>
        <v>#REF!</v>
      </c>
      <c r="HP66" t="e">
        <f>AND(#REF!,"AAAAAA//b98=")</f>
        <v>#REF!</v>
      </c>
      <c r="HQ66" t="e">
        <f>AND(#REF!,"AAAAAA//b+A=")</f>
        <v>#REF!</v>
      </c>
      <c r="HR66" t="e">
        <f>AND(#REF!,"AAAAAA//b+E=")</f>
        <v>#REF!</v>
      </c>
      <c r="HS66" t="e">
        <f>AND(#REF!,"AAAAAA//b+I=")</f>
        <v>#REF!</v>
      </c>
      <c r="HT66" t="e">
        <f>AND(#REF!,"AAAAAA//b+M=")</f>
        <v>#REF!</v>
      </c>
      <c r="HU66" t="e">
        <f>AND(#REF!,"AAAAAA//b+Q=")</f>
        <v>#REF!</v>
      </c>
      <c r="HV66" t="e">
        <f>AND(#REF!,"AAAAAA//b+U=")</f>
        <v>#REF!</v>
      </c>
      <c r="HW66" t="e">
        <f>AND(#REF!,"AAAAAA//b+Y=")</f>
        <v>#REF!</v>
      </c>
      <c r="HX66" t="e">
        <f>AND(#REF!,"AAAAAA//b+c=")</f>
        <v>#REF!</v>
      </c>
      <c r="HY66" t="e">
        <f>AND(#REF!,"AAAAAA//b+g=")</f>
        <v>#REF!</v>
      </c>
      <c r="HZ66" t="e">
        <f>AND(#REF!,"AAAAAA//b+k=")</f>
        <v>#REF!</v>
      </c>
      <c r="IA66" t="e">
        <f>AND(#REF!,"AAAAAA//b+o=")</f>
        <v>#REF!</v>
      </c>
      <c r="IB66" t="e">
        <f>AND(#REF!,"AAAAAA//b+s=")</f>
        <v>#REF!</v>
      </c>
      <c r="IC66" t="e">
        <f>AND(#REF!,"AAAAAA//b+w=")</f>
        <v>#REF!</v>
      </c>
      <c r="ID66" t="e">
        <f>AND(#REF!,"AAAAAA//b+0=")</f>
        <v>#REF!</v>
      </c>
      <c r="IE66" t="e">
        <f>AND(#REF!,"AAAAAA//b+4=")</f>
        <v>#REF!</v>
      </c>
      <c r="IF66" t="e">
        <f>AND(#REF!,"AAAAAA//b+8=")</f>
        <v>#REF!</v>
      </c>
      <c r="IG66" t="e">
        <f>AND(#REF!,"AAAAAA//b/A=")</f>
        <v>#REF!</v>
      </c>
      <c r="IH66" t="e">
        <f>AND(#REF!,"AAAAAA//b/E=")</f>
        <v>#REF!</v>
      </c>
      <c r="II66" t="e">
        <f>AND(#REF!,"AAAAAA//b/I=")</f>
        <v>#REF!</v>
      </c>
      <c r="IJ66" t="e">
        <f>AND(#REF!,"AAAAAA//b/M=")</f>
        <v>#REF!</v>
      </c>
      <c r="IK66" t="e">
        <f>AND(#REF!,"AAAAAA//b/Q=")</f>
        <v>#REF!</v>
      </c>
      <c r="IL66" t="e">
        <f>IF(#REF!,"AAAAAA//b/U=",0)</f>
        <v>#REF!</v>
      </c>
      <c r="IM66" t="e">
        <f>AND(#REF!,"AAAAAA//b/Y=")</f>
        <v>#REF!</v>
      </c>
      <c r="IN66" t="e">
        <f>AND(#REF!,"AAAAAA//b/c=")</f>
        <v>#REF!</v>
      </c>
      <c r="IO66" t="e">
        <f>AND(#REF!,"AAAAAA//b/g=")</f>
        <v>#REF!</v>
      </c>
      <c r="IP66" t="e">
        <f>AND(#REF!,"AAAAAA//b/k=")</f>
        <v>#REF!</v>
      </c>
      <c r="IQ66" t="e">
        <f>AND(#REF!,"AAAAAA//b/o=")</f>
        <v>#REF!</v>
      </c>
      <c r="IR66" t="e">
        <f>AND(#REF!,"AAAAAA//b/s=")</f>
        <v>#REF!</v>
      </c>
      <c r="IS66" t="e">
        <f>AND(#REF!,"AAAAAA//b/w=")</f>
        <v>#REF!</v>
      </c>
      <c r="IT66" t="e">
        <f>AND(#REF!,"AAAAAA//b/0=")</f>
        <v>#REF!</v>
      </c>
      <c r="IU66" t="e">
        <f>AND(#REF!,"AAAAAA//b/4=")</f>
        <v>#REF!</v>
      </c>
      <c r="IV66" t="e">
        <f>AND(#REF!,"AAAAAA//b/8=")</f>
        <v>#REF!</v>
      </c>
    </row>
    <row r="67" spans="1:256">
      <c r="A67" t="e">
        <f>AND(#REF!,"AAAAAHf79gA=")</f>
        <v>#REF!</v>
      </c>
      <c r="B67" t="e">
        <f>AND(#REF!,"AAAAAHf79gE=")</f>
        <v>#REF!</v>
      </c>
      <c r="C67" t="e">
        <f>AND(#REF!,"AAAAAHf79gI=")</f>
        <v>#REF!</v>
      </c>
      <c r="D67" t="e">
        <f>AND(#REF!,"AAAAAHf79gM=")</f>
        <v>#REF!</v>
      </c>
      <c r="E67" t="e">
        <f>AND(#REF!,"AAAAAHf79gQ=")</f>
        <v>#REF!</v>
      </c>
      <c r="F67" t="e">
        <f>AND(#REF!,"AAAAAHf79gU=")</f>
        <v>#REF!</v>
      </c>
      <c r="G67" t="e">
        <f>AND(#REF!,"AAAAAHf79gY=")</f>
        <v>#REF!</v>
      </c>
      <c r="H67" t="e">
        <f>AND(#REF!,"AAAAAHf79gc=")</f>
        <v>#REF!</v>
      </c>
      <c r="I67" t="e">
        <f>AND(#REF!,"AAAAAHf79gg=")</f>
        <v>#REF!</v>
      </c>
      <c r="J67" t="e">
        <f>AND(#REF!,"AAAAAHf79gk=")</f>
        <v>#REF!</v>
      </c>
      <c r="K67" t="e">
        <f>AND(#REF!,"AAAAAHf79go=")</f>
        <v>#REF!</v>
      </c>
      <c r="L67" t="e">
        <f>AND(#REF!,"AAAAAHf79gs=")</f>
        <v>#REF!</v>
      </c>
      <c r="M67" t="e">
        <f>AND(#REF!,"AAAAAHf79gw=")</f>
        <v>#REF!</v>
      </c>
      <c r="N67" t="e">
        <f>AND(#REF!,"AAAAAHf79g0=")</f>
        <v>#REF!</v>
      </c>
      <c r="O67" t="e">
        <f>IF(#REF!,"AAAAAHf79g4=",0)</f>
        <v>#REF!</v>
      </c>
      <c r="P67" t="e">
        <f>AND(#REF!,"AAAAAHf79g8=")</f>
        <v>#REF!</v>
      </c>
      <c r="Q67" t="e">
        <f>AND(#REF!,"AAAAAHf79hA=")</f>
        <v>#REF!</v>
      </c>
      <c r="R67" t="e">
        <f>AND(#REF!,"AAAAAHf79hE=")</f>
        <v>#REF!</v>
      </c>
      <c r="S67" t="e">
        <f>AND(#REF!,"AAAAAHf79hI=")</f>
        <v>#REF!</v>
      </c>
      <c r="T67" t="e">
        <f>AND(#REF!,"AAAAAHf79hM=")</f>
        <v>#REF!</v>
      </c>
      <c r="U67" t="e">
        <f>AND(#REF!,"AAAAAHf79hQ=")</f>
        <v>#REF!</v>
      </c>
      <c r="V67" t="e">
        <f>AND(#REF!,"AAAAAHf79hU=")</f>
        <v>#REF!</v>
      </c>
      <c r="W67" t="e">
        <f>AND(#REF!,"AAAAAHf79hY=")</f>
        <v>#REF!</v>
      </c>
      <c r="X67" t="e">
        <f>AND(#REF!,"AAAAAHf79hc=")</f>
        <v>#REF!</v>
      </c>
      <c r="Y67" t="e">
        <f>AND(#REF!,"AAAAAHf79hg=")</f>
        <v>#REF!</v>
      </c>
      <c r="Z67" t="e">
        <f>AND(#REF!,"AAAAAHf79hk=")</f>
        <v>#REF!</v>
      </c>
      <c r="AA67" t="e">
        <f>AND(#REF!,"AAAAAHf79ho=")</f>
        <v>#REF!</v>
      </c>
      <c r="AB67" t="e">
        <f>AND(#REF!,"AAAAAHf79hs=")</f>
        <v>#REF!</v>
      </c>
      <c r="AC67" t="e">
        <f>AND(#REF!,"AAAAAHf79hw=")</f>
        <v>#REF!</v>
      </c>
      <c r="AD67" t="e">
        <f>AND(#REF!,"AAAAAHf79h0=")</f>
        <v>#REF!</v>
      </c>
      <c r="AE67" t="e">
        <f>AND(#REF!,"AAAAAHf79h4=")</f>
        <v>#REF!</v>
      </c>
      <c r="AF67" t="e">
        <f>AND(#REF!,"AAAAAHf79h8=")</f>
        <v>#REF!</v>
      </c>
      <c r="AG67" t="e">
        <f>AND(#REF!,"AAAAAHf79iA=")</f>
        <v>#REF!</v>
      </c>
      <c r="AH67" t="e">
        <f>AND(#REF!,"AAAAAHf79iE=")</f>
        <v>#REF!</v>
      </c>
      <c r="AI67" t="e">
        <f>AND(#REF!,"AAAAAHf79iI=")</f>
        <v>#REF!</v>
      </c>
      <c r="AJ67" t="e">
        <f>AND(#REF!,"AAAAAHf79iM=")</f>
        <v>#REF!</v>
      </c>
      <c r="AK67" t="e">
        <f>AND(#REF!,"AAAAAHf79iQ=")</f>
        <v>#REF!</v>
      </c>
      <c r="AL67" t="e">
        <f>AND(#REF!,"AAAAAHf79iU=")</f>
        <v>#REF!</v>
      </c>
      <c r="AM67" t="e">
        <f>AND(#REF!,"AAAAAHf79iY=")</f>
        <v>#REF!</v>
      </c>
      <c r="AN67" t="e">
        <f>IF(#REF!,"AAAAAHf79ic=",0)</f>
        <v>#REF!</v>
      </c>
      <c r="AO67" t="e">
        <f>AND(#REF!,"AAAAAHf79ig=")</f>
        <v>#REF!</v>
      </c>
      <c r="AP67" t="e">
        <f>AND(#REF!,"AAAAAHf79ik=")</f>
        <v>#REF!</v>
      </c>
      <c r="AQ67" t="e">
        <f>AND(#REF!,"AAAAAHf79io=")</f>
        <v>#REF!</v>
      </c>
      <c r="AR67" t="e">
        <f>AND(#REF!,"AAAAAHf79is=")</f>
        <v>#REF!</v>
      </c>
      <c r="AS67" t="e">
        <f>AND(#REF!,"AAAAAHf79iw=")</f>
        <v>#REF!</v>
      </c>
      <c r="AT67" t="e">
        <f>AND(#REF!,"AAAAAHf79i0=")</f>
        <v>#REF!</v>
      </c>
      <c r="AU67" t="e">
        <f>AND(#REF!,"AAAAAHf79i4=")</f>
        <v>#REF!</v>
      </c>
      <c r="AV67" t="e">
        <f>AND(#REF!,"AAAAAHf79i8=")</f>
        <v>#REF!</v>
      </c>
      <c r="AW67" t="e">
        <f>AND(#REF!,"AAAAAHf79jA=")</f>
        <v>#REF!</v>
      </c>
      <c r="AX67" t="e">
        <f>AND(#REF!,"AAAAAHf79jE=")</f>
        <v>#REF!</v>
      </c>
      <c r="AY67" t="e">
        <f>AND(#REF!,"AAAAAHf79jI=")</f>
        <v>#REF!</v>
      </c>
      <c r="AZ67" t="e">
        <f>AND(#REF!,"AAAAAHf79jM=")</f>
        <v>#REF!</v>
      </c>
      <c r="BA67" t="e">
        <f>AND(#REF!,"AAAAAHf79jQ=")</f>
        <v>#REF!</v>
      </c>
      <c r="BB67" t="e">
        <f>AND(#REF!,"AAAAAHf79jU=")</f>
        <v>#REF!</v>
      </c>
      <c r="BC67" t="e">
        <f>AND(#REF!,"AAAAAHf79jY=")</f>
        <v>#REF!</v>
      </c>
      <c r="BD67" t="e">
        <f>AND(#REF!,"AAAAAHf79jc=")</f>
        <v>#REF!</v>
      </c>
      <c r="BE67" t="e">
        <f>AND(#REF!,"AAAAAHf79jg=")</f>
        <v>#REF!</v>
      </c>
      <c r="BF67" t="e">
        <f>AND(#REF!,"AAAAAHf79jk=")</f>
        <v>#REF!</v>
      </c>
      <c r="BG67" t="e">
        <f>AND(#REF!,"AAAAAHf79jo=")</f>
        <v>#REF!</v>
      </c>
      <c r="BH67" t="e">
        <f>AND(#REF!,"AAAAAHf79js=")</f>
        <v>#REF!</v>
      </c>
      <c r="BI67" t="e">
        <f>AND(#REF!,"AAAAAHf79jw=")</f>
        <v>#REF!</v>
      </c>
      <c r="BJ67" t="e">
        <f>AND(#REF!,"AAAAAHf79j0=")</f>
        <v>#REF!</v>
      </c>
      <c r="BK67" t="e">
        <f>AND(#REF!,"AAAAAHf79j4=")</f>
        <v>#REF!</v>
      </c>
      <c r="BL67" t="e">
        <f>AND(#REF!,"AAAAAHf79j8=")</f>
        <v>#REF!</v>
      </c>
      <c r="BM67" t="e">
        <f>IF(#REF!,"AAAAAHf79kA=",0)</f>
        <v>#REF!</v>
      </c>
      <c r="BN67" t="e">
        <f>AND(#REF!,"AAAAAHf79kE=")</f>
        <v>#REF!</v>
      </c>
      <c r="BO67" t="e">
        <f>AND(#REF!,"AAAAAHf79kI=")</f>
        <v>#REF!</v>
      </c>
      <c r="BP67" t="e">
        <f>AND(#REF!,"AAAAAHf79kM=")</f>
        <v>#REF!</v>
      </c>
      <c r="BQ67" t="e">
        <f>AND(#REF!,"AAAAAHf79kQ=")</f>
        <v>#REF!</v>
      </c>
      <c r="BR67" t="e">
        <f>AND(#REF!,"AAAAAHf79kU=")</f>
        <v>#REF!</v>
      </c>
      <c r="BS67" t="e">
        <f>AND(#REF!,"AAAAAHf79kY=")</f>
        <v>#REF!</v>
      </c>
      <c r="BT67" t="e">
        <f>AND(#REF!,"AAAAAHf79kc=")</f>
        <v>#REF!</v>
      </c>
      <c r="BU67" t="e">
        <f>AND(#REF!,"AAAAAHf79kg=")</f>
        <v>#REF!</v>
      </c>
      <c r="BV67" t="e">
        <f>AND(#REF!,"AAAAAHf79kk=")</f>
        <v>#REF!</v>
      </c>
      <c r="BW67" t="e">
        <f>AND(#REF!,"AAAAAHf79ko=")</f>
        <v>#REF!</v>
      </c>
      <c r="BX67" t="e">
        <f>AND(#REF!,"AAAAAHf79ks=")</f>
        <v>#REF!</v>
      </c>
      <c r="BY67" t="e">
        <f>AND(#REF!,"AAAAAHf79kw=")</f>
        <v>#REF!</v>
      </c>
      <c r="BZ67" t="e">
        <f>AND(#REF!,"AAAAAHf79k0=")</f>
        <v>#REF!</v>
      </c>
      <c r="CA67" t="e">
        <f>AND(#REF!,"AAAAAHf79k4=")</f>
        <v>#REF!</v>
      </c>
      <c r="CB67" t="e">
        <f>AND(#REF!,"AAAAAHf79k8=")</f>
        <v>#REF!</v>
      </c>
      <c r="CC67" t="e">
        <f>AND(#REF!,"AAAAAHf79lA=")</f>
        <v>#REF!</v>
      </c>
      <c r="CD67" t="e">
        <f>AND(#REF!,"AAAAAHf79lE=")</f>
        <v>#REF!</v>
      </c>
      <c r="CE67" t="e">
        <f>AND(#REF!,"AAAAAHf79lI=")</f>
        <v>#REF!</v>
      </c>
      <c r="CF67" t="e">
        <f>AND(#REF!,"AAAAAHf79lM=")</f>
        <v>#REF!</v>
      </c>
      <c r="CG67" t="e">
        <f>AND(#REF!,"AAAAAHf79lQ=")</f>
        <v>#REF!</v>
      </c>
      <c r="CH67" t="e">
        <f>AND(#REF!,"AAAAAHf79lU=")</f>
        <v>#REF!</v>
      </c>
      <c r="CI67" t="e">
        <f>AND(#REF!,"AAAAAHf79lY=")</f>
        <v>#REF!</v>
      </c>
      <c r="CJ67" t="e">
        <f>AND(#REF!,"AAAAAHf79lc=")</f>
        <v>#REF!</v>
      </c>
      <c r="CK67" t="e">
        <f>AND(#REF!,"AAAAAHf79lg=")</f>
        <v>#REF!</v>
      </c>
      <c r="CL67" t="e">
        <f>IF(#REF!,"AAAAAHf79lk=",0)</f>
        <v>#REF!</v>
      </c>
      <c r="CM67" t="e">
        <f>AND(#REF!,"AAAAAHf79lo=")</f>
        <v>#REF!</v>
      </c>
      <c r="CN67" t="e">
        <f>AND(#REF!,"AAAAAHf79ls=")</f>
        <v>#REF!</v>
      </c>
      <c r="CO67" t="e">
        <f>AND(#REF!,"AAAAAHf79lw=")</f>
        <v>#REF!</v>
      </c>
      <c r="CP67" t="e">
        <f>AND(#REF!,"AAAAAHf79l0=")</f>
        <v>#REF!</v>
      </c>
      <c r="CQ67" t="e">
        <f>AND(#REF!,"AAAAAHf79l4=")</f>
        <v>#REF!</v>
      </c>
      <c r="CR67" t="e">
        <f>AND(#REF!,"AAAAAHf79l8=")</f>
        <v>#REF!</v>
      </c>
      <c r="CS67" t="e">
        <f>AND(#REF!,"AAAAAHf79mA=")</f>
        <v>#REF!</v>
      </c>
      <c r="CT67" t="e">
        <f>AND(#REF!,"AAAAAHf79mE=")</f>
        <v>#REF!</v>
      </c>
      <c r="CU67" t="e">
        <f>AND(#REF!,"AAAAAHf79mI=")</f>
        <v>#REF!</v>
      </c>
      <c r="CV67" t="e">
        <f>AND(#REF!,"AAAAAHf79mM=")</f>
        <v>#REF!</v>
      </c>
      <c r="CW67" t="e">
        <f>AND(#REF!,"AAAAAHf79mQ=")</f>
        <v>#REF!</v>
      </c>
      <c r="CX67" t="e">
        <f>AND(#REF!,"AAAAAHf79mU=")</f>
        <v>#REF!</v>
      </c>
      <c r="CY67" t="e">
        <f>AND(#REF!,"AAAAAHf79mY=")</f>
        <v>#REF!</v>
      </c>
      <c r="CZ67" t="e">
        <f>AND(#REF!,"AAAAAHf79mc=")</f>
        <v>#REF!</v>
      </c>
      <c r="DA67" t="e">
        <f>AND(#REF!,"AAAAAHf79mg=")</f>
        <v>#REF!</v>
      </c>
      <c r="DB67" t="e">
        <f>AND(#REF!,"AAAAAHf79mk=")</f>
        <v>#REF!</v>
      </c>
      <c r="DC67" t="e">
        <f>AND(#REF!,"AAAAAHf79mo=")</f>
        <v>#REF!</v>
      </c>
      <c r="DD67" t="e">
        <f>AND(#REF!,"AAAAAHf79ms=")</f>
        <v>#REF!</v>
      </c>
      <c r="DE67" t="e">
        <f>AND(#REF!,"AAAAAHf79mw=")</f>
        <v>#REF!</v>
      </c>
      <c r="DF67" t="e">
        <f>AND(#REF!,"AAAAAHf79m0=")</f>
        <v>#REF!</v>
      </c>
      <c r="DG67" t="e">
        <f>AND(#REF!,"AAAAAHf79m4=")</f>
        <v>#REF!</v>
      </c>
      <c r="DH67" t="e">
        <f>AND(#REF!,"AAAAAHf79m8=")</f>
        <v>#REF!</v>
      </c>
      <c r="DI67" t="e">
        <f>AND(#REF!,"AAAAAHf79nA=")</f>
        <v>#REF!</v>
      </c>
      <c r="DJ67" t="e">
        <f>AND(#REF!,"AAAAAHf79nE=")</f>
        <v>#REF!</v>
      </c>
      <c r="DK67" t="e">
        <f>IF(#REF!,"AAAAAHf79nI=",0)</f>
        <v>#REF!</v>
      </c>
      <c r="DL67" t="e">
        <f>AND(#REF!,"AAAAAHf79nM=")</f>
        <v>#REF!</v>
      </c>
      <c r="DM67" t="e">
        <f>AND(#REF!,"AAAAAHf79nQ=")</f>
        <v>#REF!</v>
      </c>
      <c r="DN67" t="e">
        <f>AND(#REF!,"AAAAAHf79nU=")</f>
        <v>#REF!</v>
      </c>
      <c r="DO67" t="e">
        <f>AND(#REF!,"AAAAAHf79nY=")</f>
        <v>#REF!</v>
      </c>
      <c r="DP67" t="e">
        <f>AND(#REF!,"AAAAAHf79nc=")</f>
        <v>#REF!</v>
      </c>
      <c r="DQ67" t="e">
        <f>AND(#REF!,"AAAAAHf79ng=")</f>
        <v>#REF!</v>
      </c>
      <c r="DR67" t="e">
        <f>AND(#REF!,"AAAAAHf79nk=")</f>
        <v>#REF!</v>
      </c>
      <c r="DS67" t="e">
        <f>AND(#REF!,"AAAAAHf79no=")</f>
        <v>#REF!</v>
      </c>
      <c r="DT67" t="e">
        <f>AND(#REF!,"AAAAAHf79ns=")</f>
        <v>#REF!</v>
      </c>
      <c r="DU67" t="e">
        <f>AND(#REF!,"AAAAAHf79nw=")</f>
        <v>#REF!</v>
      </c>
      <c r="DV67" t="e">
        <f>AND(#REF!,"AAAAAHf79n0=")</f>
        <v>#REF!</v>
      </c>
      <c r="DW67" t="e">
        <f>AND(#REF!,"AAAAAHf79n4=")</f>
        <v>#REF!</v>
      </c>
      <c r="DX67" t="e">
        <f>AND(#REF!,"AAAAAHf79n8=")</f>
        <v>#REF!</v>
      </c>
      <c r="DY67" t="e">
        <f>AND(#REF!,"AAAAAHf79oA=")</f>
        <v>#REF!</v>
      </c>
      <c r="DZ67" t="e">
        <f>AND(#REF!,"AAAAAHf79oE=")</f>
        <v>#REF!</v>
      </c>
      <c r="EA67" t="e">
        <f>AND(#REF!,"AAAAAHf79oI=")</f>
        <v>#REF!</v>
      </c>
      <c r="EB67" t="e">
        <f>AND(#REF!,"AAAAAHf79oM=")</f>
        <v>#REF!</v>
      </c>
      <c r="EC67" t="e">
        <f>AND(#REF!,"AAAAAHf79oQ=")</f>
        <v>#REF!</v>
      </c>
      <c r="ED67" t="e">
        <f>AND(#REF!,"AAAAAHf79oU=")</f>
        <v>#REF!</v>
      </c>
      <c r="EE67" t="e">
        <f>AND(#REF!,"AAAAAHf79oY=")</f>
        <v>#REF!</v>
      </c>
      <c r="EF67" t="e">
        <f>AND(#REF!,"AAAAAHf79oc=")</f>
        <v>#REF!</v>
      </c>
      <c r="EG67" t="e">
        <f>AND(#REF!,"AAAAAHf79og=")</f>
        <v>#REF!</v>
      </c>
      <c r="EH67" t="e">
        <f>AND(#REF!,"AAAAAHf79ok=")</f>
        <v>#REF!</v>
      </c>
      <c r="EI67" t="e">
        <f>AND(#REF!,"AAAAAHf79oo=")</f>
        <v>#REF!</v>
      </c>
      <c r="EJ67" t="e">
        <f>IF(#REF!,"AAAAAHf79os=",0)</f>
        <v>#REF!</v>
      </c>
      <c r="EK67" t="e">
        <f>AND(#REF!,"AAAAAHf79ow=")</f>
        <v>#REF!</v>
      </c>
      <c r="EL67" t="e">
        <f>AND(#REF!,"AAAAAHf79o0=")</f>
        <v>#REF!</v>
      </c>
      <c r="EM67" t="e">
        <f>AND(#REF!,"AAAAAHf79o4=")</f>
        <v>#REF!</v>
      </c>
      <c r="EN67" t="e">
        <f>AND(#REF!,"AAAAAHf79o8=")</f>
        <v>#REF!</v>
      </c>
      <c r="EO67" t="e">
        <f>AND(#REF!,"AAAAAHf79pA=")</f>
        <v>#REF!</v>
      </c>
      <c r="EP67" t="e">
        <f>AND(#REF!,"AAAAAHf79pE=")</f>
        <v>#REF!</v>
      </c>
      <c r="EQ67" t="e">
        <f>AND(#REF!,"AAAAAHf79pI=")</f>
        <v>#REF!</v>
      </c>
      <c r="ER67" t="e">
        <f>AND(#REF!,"AAAAAHf79pM=")</f>
        <v>#REF!</v>
      </c>
      <c r="ES67" t="e">
        <f>AND(#REF!,"AAAAAHf79pQ=")</f>
        <v>#REF!</v>
      </c>
      <c r="ET67" t="e">
        <f>AND(#REF!,"AAAAAHf79pU=")</f>
        <v>#REF!</v>
      </c>
      <c r="EU67" t="e">
        <f>AND(#REF!,"AAAAAHf79pY=")</f>
        <v>#REF!</v>
      </c>
      <c r="EV67" t="e">
        <f>AND(#REF!,"AAAAAHf79pc=")</f>
        <v>#REF!</v>
      </c>
      <c r="EW67" t="e">
        <f>AND(#REF!,"AAAAAHf79pg=")</f>
        <v>#REF!</v>
      </c>
      <c r="EX67" t="e">
        <f>AND(#REF!,"AAAAAHf79pk=")</f>
        <v>#REF!</v>
      </c>
      <c r="EY67" t="e">
        <f>AND(#REF!,"AAAAAHf79po=")</f>
        <v>#REF!</v>
      </c>
      <c r="EZ67" t="e">
        <f>AND(#REF!,"AAAAAHf79ps=")</f>
        <v>#REF!</v>
      </c>
      <c r="FA67" t="e">
        <f>AND(#REF!,"AAAAAHf79pw=")</f>
        <v>#REF!</v>
      </c>
      <c r="FB67" t="e">
        <f>AND(#REF!,"AAAAAHf79p0=")</f>
        <v>#REF!</v>
      </c>
      <c r="FC67" t="e">
        <f>AND(#REF!,"AAAAAHf79p4=")</f>
        <v>#REF!</v>
      </c>
      <c r="FD67" t="e">
        <f>AND(#REF!,"AAAAAHf79p8=")</f>
        <v>#REF!</v>
      </c>
      <c r="FE67" t="e">
        <f>AND(#REF!,"AAAAAHf79qA=")</f>
        <v>#REF!</v>
      </c>
      <c r="FF67" t="e">
        <f>AND(#REF!,"AAAAAHf79qE=")</f>
        <v>#REF!</v>
      </c>
      <c r="FG67" t="e">
        <f>AND(#REF!,"AAAAAHf79qI=")</f>
        <v>#REF!</v>
      </c>
      <c r="FH67" t="e">
        <f>AND(#REF!,"AAAAAHf79qM=")</f>
        <v>#REF!</v>
      </c>
      <c r="FI67" t="e">
        <f>IF(#REF!,"AAAAAHf79qQ=",0)</f>
        <v>#REF!</v>
      </c>
      <c r="FJ67" t="e">
        <f>AND(#REF!,"AAAAAHf79qU=")</f>
        <v>#REF!</v>
      </c>
      <c r="FK67" t="e">
        <f>AND(#REF!,"AAAAAHf79qY=")</f>
        <v>#REF!</v>
      </c>
      <c r="FL67" t="e">
        <f>AND(#REF!,"AAAAAHf79qc=")</f>
        <v>#REF!</v>
      </c>
      <c r="FM67" t="e">
        <f>AND(#REF!,"AAAAAHf79qg=")</f>
        <v>#REF!</v>
      </c>
      <c r="FN67" t="e">
        <f>AND(#REF!,"AAAAAHf79qk=")</f>
        <v>#REF!</v>
      </c>
      <c r="FO67" t="e">
        <f>AND(#REF!,"AAAAAHf79qo=")</f>
        <v>#REF!</v>
      </c>
      <c r="FP67" t="e">
        <f>AND(#REF!,"AAAAAHf79qs=")</f>
        <v>#REF!</v>
      </c>
      <c r="FQ67" t="e">
        <f>AND(#REF!,"AAAAAHf79qw=")</f>
        <v>#REF!</v>
      </c>
      <c r="FR67" t="e">
        <f>AND(#REF!,"AAAAAHf79q0=")</f>
        <v>#REF!</v>
      </c>
      <c r="FS67" t="e">
        <f>AND(#REF!,"AAAAAHf79q4=")</f>
        <v>#REF!</v>
      </c>
      <c r="FT67" t="e">
        <f>AND(#REF!,"AAAAAHf79q8=")</f>
        <v>#REF!</v>
      </c>
      <c r="FU67" t="e">
        <f>AND(#REF!,"AAAAAHf79rA=")</f>
        <v>#REF!</v>
      </c>
      <c r="FV67" t="e">
        <f>AND(#REF!,"AAAAAHf79rE=")</f>
        <v>#REF!</v>
      </c>
      <c r="FW67" t="e">
        <f>AND(#REF!,"AAAAAHf79rI=")</f>
        <v>#REF!</v>
      </c>
      <c r="FX67" t="e">
        <f>AND(#REF!,"AAAAAHf79rM=")</f>
        <v>#REF!</v>
      </c>
      <c r="FY67" t="e">
        <f>AND(#REF!,"AAAAAHf79rQ=")</f>
        <v>#REF!</v>
      </c>
      <c r="FZ67" t="e">
        <f>AND(#REF!,"AAAAAHf79rU=")</f>
        <v>#REF!</v>
      </c>
      <c r="GA67" t="e">
        <f>AND(#REF!,"AAAAAHf79rY=")</f>
        <v>#REF!</v>
      </c>
      <c r="GB67" t="e">
        <f>AND(#REF!,"AAAAAHf79rc=")</f>
        <v>#REF!</v>
      </c>
      <c r="GC67" t="e">
        <f>AND(#REF!,"AAAAAHf79rg=")</f>
        <v>#REF!</v>
      </c>
      <c r="GD67" t="e">
        <f>AND(#REF!,"AAAAAHf79rk=")</f>
        <v>#REF!</v>
      </c>
      <c r="GE67" t="e">
        <f>AND(#REF!,"AAAAAHf79ro=")</f>
        <v>#REF!</v>
      </c>
      <c r="GF67" t="e">
        <f>AND(#REF!,"AAAAAHf79rs=")</f>
        <v>#REF!</v>
      </c>
      <c r="GG67" t="e">
        <f>AND(#REF!,"AAAAAHf79rw=")</f>
        <v>#REF!</v>
      </c>
      <c r="GH67" t="e">
        <f>IF(#REF!,"AAAAAHf79r0=",0)</f>
        <v>#REF!</v>
      </c>
      <c r="GI67" t="e">
        <f>AND(#REF!,"AAAAAHf79r4=")</f>
        <v>#REF!</v>
      </c>
      <c r="GJ67" t="e">
        <f>AND(#REF!,"AAAAAHf79r8=")</f>
        <v>#REF!</v>
      </c>
      <c r="GK67" t="e">
        <f>AND(#REF!,"AAAAAHf79sA=")</f>
        <v>#REF!</v>
      </c>
      <c r="GL67" t="e">
        <f>AND(#REF!,"AAAAAHf79sE=")</f>
        <v>#REF!</v>
      </c>
      <c r="GM67" t="e">
        <f>AND(#REF!,"AAAAAHf79sI=")</f>
        <v>#REF!</v>
      </c>
      <c r="GN67" t="e">
        <f>AND(#REF!,"AAAAAHf79sM=")</f>
        <v>#REF!</v>
      </c>
      <c r="GO67" t="e">
        <f>AND(#REF!,"AAAAAHf79sQ=")</f>
        <v>#REF!</v>
      </c>
      <c r="GP67" t="e">
        <f>AND(#REF!,"AAAAAHf79sU=")</f>
        <v>#REF!</v>
      </c>
      <c r="GQ67" t="e">
        <f>AND(#REF!,"AAAAAHf79sY=")</f>
        <v>#REF!</v>
      </c>
      <c r="GR67" t="e">
        <f>AND(#REF!,"AAAAAHf79sc=")</f>
        <v>#REF!</v>
      </c>
      <c r="GS67" t="e">
        <f>AND(#REF!,"AAAAAHf79sg=")</f>
        <v>#REF!</v>
      </c>
      <c r="GT67" t="e">
        <f>AND(#REF!,"AAAAAHf79sk=")</f>
        <v>#REF!</v>
      </c>
      <c r="GU67" t="e">
        <f>AND(#REF!,"AAAAAHf79so=")</f>
        <v>#REF!</v>
      </c>
      <c r="GV67" t="e">
        <f>AND(#REF!,"AAAAAHf79ss=")</f>
        <v>#REF!</v>
      </c>
      <c r="GW67" t="e">
        <f>AND(#REF!,"AAAAAHf79sw=")</f>
        <v>#REF!</v>
      </c>
      <c r="GX67" t="e">
        <f>AND(#REF!,"AAAAAHf79s0=")</f>
        <v>#REF!</v>
      </c>
      <c r="GY67" t="e">
        <f>AND(#REF!,"AAAAAHf79s4=")</f>
        <v>#REF!</v>
      </c>
      <c r="GZ67" t="e">
        <f>AND(#REF!,"AAAAAHf79s8=")</f>
        <v>#REF!</v>
      </c>
      <c r="HA67" t="e">
        <f>AND(#REF!,"AAAAAHf79tA=")</f>
        <v>#REF!</v>
      </c>
      <c r="HB67" t="e">
        <f>AND(#REF!,"AAAAAHf79tE=")</f>
        <v>#REF!</v>
      </c>
      <c r="HC67" t="e">
        <f>AND(#REF!,"AAAAAHf79tI=")</f>
        <v>#REF!</v>
      </c>
      <c r="HD67" t="e">
        <f>AND(#REF!,"AAAAAHf79tM=")</f>
        <v>#REF!</v>
      </c>
      <c r="HE67" t="e">
        <f>AND(#REF!,"AAAAAHf79tQ=")</f>
        <v>#REF!</v>
      </c>
      <c r="HF67" t="e">
        <f>AND(#REF!,"AAAAAHf79tU=")</f>
        <v>#REF!</v>
      </c>
      <c r="HG67" t="e">
        <f>IF(#REF!,"AAAAAHf79tY=",0)</f>
        <v>#REF!</v>
      </c>
      <c r="HH67" t="e">
        <f>AND(#REF!,"AAAAAHf79tc=")</f>
        <v>#REF!</v>
      </c>
      <c r="HI67" t="e">
        <f>AND(#REF!,"AAAAAHf79tg=")</f>
        <v>#REF!</v>
      </c>
      <c r="HJ67" t="e">
        <f>AND(#REF!,"AAAAAHf79tk=")</f>
        <v>#REF!</v>
      </c>
      <c r="HK67" t="e">
        <f>AND(#REF!,"AAAAAHf79to=")</f>
        <v>#REF!</v>
      </c>
      <c r="HL67" t="e">
        <f>AND(#REF!,"AAAAAHf79ts=")</f>
        <v>#REF!</v>
      </c>
      <c r="HM67" t="e">
        <f>AND(#REF!,"AAAAAHf79tw=")</f>
        <v>#REF!</v>
      </c>
      <c r="HN67" t="e">
        <f>AND(#REF!,"AAAAAHf79t0=")</f>
        <v>#REF!</v>
      </c>
      <c r="HO67" t="e">
        <f>AND(#REF!,"AAAAAHf79t4=")</f>
        <v>#REF!</v>
      </c>
      <c r="HP67" t="e">
        <f>AND(#REF!,"AAAAAHf79t8=")</f>
        <v>#REF!</v>
      </c>
      <c r="HQ67" t="e">
        <f>AND(#REF!,"AAAAAHf79uA=")</f>
        <v>#REF!</v>
      </c>
      <c r="HR67" t="e">
        <f>AND(#REF!,"AAAAAHf79uE=")</f>
        <v>#REF!</v>
      </c>
      <c r="HS67" t="e">
        <f>AND(#REF!,"AAAAAHf79uI=")</f>
        <v>#REF!</v>
      </c>
      <c r="HT67" t="e">
        <f>AND(#REF!,"AAAAAHf79uM=")</f>
        <v>#REF!</v>
      </c>
      <c r="HU67" t="e">
        <f>AND(#REF!,"AAAAAHf79uQ=")</f>
        <v>#REF!</v>
      </c>
      <c r="HV67" t="e">
        <f>AND(#REF!,"AAAAAHf79uU=")</f>
        <v>#REF!</v>
      </c>
      <c r="HW67" t="e">
        <f>AND(#REF!,"AAAAAHf79uY=")</f>
        <v>#REF!</v>
      </c>
      <c r="HX67" t="e">
        <f>AND(#REF!,"AAAAAHf79uc=")</f>
        <v>#REF!</v>
      </c>
      <c r="HY67" t="e">
        <f>AND(#REF!,"AAAAAHf79ug=")</f>
        <v>#REF!</v>
      </c>
      <c r="HZ67" t="e">
        <f>AND(#REF!,"AAAAAHf79uk=")</f>
        <v>#REF!</v>
      </c>
      <c r="IA67" t="e">
        <f>AND(#REF!,"AAAAAHf79uo=")</f>
        <v>#REF!</v>
      </c>
      <c r="IB67" t="e">
        <f>AND(#REF!,"AAAAAHf79us=")</f>
        <v>#REF!</v>
      </c>
      <c r="IC67" t="e">
        <f>AND(#REF!,"AAAAAHf79uw=")</f>
        <v>#REF!</v>
      </c>
      <c r="ID67" t="e">
        <f>AND(#REF!,"AAAAAHf79u0=")</f>
        <v>#REF!</v>
      </c>
      <c r="IE67" t="e">
        <f>AND(#REF!,"AAAAAHf79u4=")</f>
        <v>#REF!</v>
      </c>
      <c r="IF67" t="e">
        <f>IF(#REF!,"AAAAAHf79u8=",0)</f>
        <v>#REF!</v>
      </c>
      <c r="IG67" t="e">
        <f>AND(#REF!,"AAAAAHf79vA=")</f>
        <v>#REF!</v>
      </c>
      <c r="IH67" t="e">
        <f>AND(#REF!,"AAAAAHf79vE=")</f>
        <v>#REF!</v>
      </c>
      <c r="II67" t="e">
        <f>AND(#REF!,"AAAAAHf79vI=")</f>
        <v>#REF!</v>
      </c>
      <c r="IJ67" t="e">
        <f>AND(#REF!,"AAAAAHf79vM=")</f>
        <v>#REF!</v>
      </c>
      <c r="IK67" t="e">
        <f>AND(#REF!,"AAAAAHf79vQ=")</f>
        <v>#REF!</v>
      </c>
      <c r="IL67" t="e">
        <f>AND(#REF!,"AAAAAHf79vU=")</f>
        <v>#REF!</v>
      </c>
      <c r="IM67" t="e">
        <f>AND(#REF!,"AAAAAHf79vY=")</f>
        <v>#REF!</v>
      </c>
      <c r="IN67" t="e">
        <f>AND(#REF!,"AAAAAHf79vc=")</f>
        <v>#REF!</v>
      </c>
      <c r="IO67" t="e">
        <f>AND(#REF!,"AAAAAHf79vg=")</f>
        <v>#REF!</v>
      </c>
      <c r="IP67" t="e">
        <f>AND(#REF!,"AAAAAHf79vk=")</f>
        <v>#REF!</v>
      </c>
      <c r="IQ67" t="e">
        <f>AND(#REF!,"AAAAAHf79vo=")</f>
        <v>#REF!</v>
      </c>
      <c r="IR67" t="e">
        <f>AND(#REF!,"AAAAAHf79vs=")</f>
        <v>#REF!</v>
      </c>
      <c r="IS67" t="e">
        <f>AND(#REF!,"AAAAAHf79vw=")</f>
        <v>#REF!</v>
      </c>
      <c r="IT67" t="e">
        <f>AND(#REF!,"AAAAAHf79v0=")</f>
        <v>#REF!</v>
      </c>
      <c r="IU67" t="e">
        <f>AND(#REF!,"AAAAAHf79v4=")</f>
        <v>#REF!</v>
      </c>
      <c r="IV67" t="e">
        <f>AND(#REF!,"AAAAAHf79v8=")</f>
        <v>#REF!</v>
      </c>
    </row>
    <row r="68" spans="1:256">
      <c r="A68" t="e">
        <f>AND(#REF!,"AAAAAH7/7wA=")</f>
        <v>#REF!</v>
      </c>
      <c r="B68" t="e">
        <f>AND(#REF!,"AAAAAH7/7wE=")</f>
        <v>#REF!</v>
      </c>
      <c r="C68" t="e">
        <f>AND(#REF!,"AAAAAH7/7wI=")</f>
        <v>#REF!</v>
      </c>
      <c r="D68" t="e">
        <f>AND(#REF!,"AAAAAH7/7wM=")</f>
        <v>#REF!</v>
      </c>
      <c r="E68" t="e">
        <f>AND(#REF!,"AAAAAH7/7wQ=")</f>
        <v>#REF!</v>
      </c>
      <c r="F68" t="e">
        <f>AND(#REF!,"AAAAAH7/7wU=")</f>
        <v>#REF!</v>
      </c>
      <c r="G68" t="e">
        <f>AND(#REF!,"AAAAAH7/7wY=")</f>
        <v>#REF!</v>
      </c>
      <c r="H68" t="e">
        <f>AND(#REF!,"AAAAAH7/7wc=")</f>
        <v>#REF!</v>
      </c>
      <c r="I68" t="e">
        <f>IF(#REF!,"AAAAAH7/7wg=",0)</f>
        <v>#REF!</v>
      </c>
      <c r="J68" t="e">
        <f>AND(#REF!,"AAAAAH7/7wk=")</f>
        <v>#REF!</v>
      </c>
      <c r="K68" t="e">
        <f>AND(#REF!,"AAAAAH7/7wo=")</f>
        <v>#REF!</v>
      </c>
      <c r="L68" t="e">
        <f>AND(#REF!,"AAAAAH7/7ws=")</f>
        <v>#REF!</v>
      </c>
      <c r="M68" t="e">
        <f>AND(#REF!,"AAAAAH7/7ww=")</f>
        <v>#REF!</v>
      </c>
      <c r="N68" t="e">
        <f>AND(#REF!,"AAAAAH7/7w0=")</f>
        <v>#REF!</v>
      </c>
      <c r="O68" t="e">
        <f>AND(#REF!,"AAAAAH7/7w4=")</f>
        <v>#REF!</v>
      </c>
      <c r="P68" t="e">
        <f>AND(#REF!,"AAAAAH7/7w8=")</f>
        <v>#REF!</v>
      </c>
      <c r="Q68" t="e">
        <f>AND(#REF!,"AAAAAH7/7xA=")</f>
        <v>#REF!</v>
      </c>
      <c r="R68" t="e">
        <f>AND(#REF!,"AAAAAH7/7xE=")</f>
        <v>#REF!</v>
      </c>
      <c r="S68" t="e">
        <f>AND(#REF!,"AAAAAH7/7xI=")</f>
        <v>#REF!</v>
      </c>
      <c r="T68" t="e">
        <f>AND(#REF!,"AAAAAH7/7xM=")</f>
        <v>#REF!</v>
      </c>
      <c r="U68" t="e">
        <f>AND(#REF!,"AAAAAH7/7xQ=")</f>
        <v>#REF!</v>
      </c>
      <c r="V68" t="e">
        <f>AND(#REF!,"AAAAAH7/7xU=")</f>
        <v>#REF!</v>
      </c>
      <c r="W68" t="e">
        <f>AND(#REF!,"AAAAAH7/7xY=")</f>
        <v>#REF!</v>
      </c>
      <c r="X68" t="e">
        <f>AND(#REF!,"AAAAAH7/7xc=")</f>
        <v>#REF!</v>
      </c>
      <c r="Y68" t="e">
        <f>AND(#REF!,"AAAAAH7/7xg=")</f>
        <v>#REF!</v>
      </c>
      <c r="Z68" t="e">
        <f>AND(#REF!,"AAAAAH7/7xk=")</f>
        <v>#REF!</v>
      </c>
      <c r="AA68" t="e">
        <f>AND(#REF!,"AAAAAH7/7xo=")</f>
        <v>#REF!</v>
      </c>
      <c r="AB68" t="e">
        <f>AND(#REF!,"AAAAAH7/7xs=")</f>
        <v>#REF!</v>
      </c>
      <c r="AC68" t="e">
        <f>AND(#REF!,"AAAAAH7/7xw=")</f>
        <v>#REF!</v>
      </c>
      <c r="AD68" t="e">
        <f>AND(#REF!,"AAAAAH7/7x0=")</f>
        <v>#REF!</v>
      </c>
      <c r="AE68" t="e">
        <f>AND(#REF!,"AAAAAH7/7x4=")</f>
        <v>#REF!</v>
      </c>
      <c r="AF68" t="e">
        <f>AND(#REF!,"AAAAAH7/7x8=")</f>
        <v>#REF!</v>
      </c>
      <c r="AG68" t="e">
        <f>AND(#REF!,"AAAAAH7/7yA=")</f>
        <v>#REF!</v>
      </c>
      <c r="AH68" t="e">
        <f>IF(#REF!,"AAAAAH7/7yE=",0)</f>
        <v>#REF!</v>
      </c>
      <c r="AI68" t="e">
        <f>AND(#REF!,"AAAAAH7/7yI=")</f>
        <v>#REF!</v>
      </c>
      <c r="AJ68" t="e">
        <f>AND(#REF!,"AAAAAH7/7yM=")</f>
        <v>#REF!</v>
      </c>
      <c r="AK68" t="e">
        <f>AND(#REF!,"AAAAAH7/7yQ=")</f>
        <v>#REF!</v>
      </c>
      <c r="AL68" t="e">
        <f>AND(#REF!,"AAAAAH7/7yU=")</f>
        <v>#REF!</v>
      </c>
      <c r="AM68" t="e">
        <f>AND(#REF!,"AAAAAH7/7yY=")</f>
        <v>#REF!</v>
      </c>
      <c r="AN68" t="e">
        <f>AND(#REF!,"AAAAAH7/7yc=")</f>
        <v>#REF!</v>
      </c>
      <c r="AO68" t="e">
        <f>AND(#REF!,"AAAAAH7/7yg=")</f>
        <v>#REF!</v>
      </c>
      <c r="AP68" t="e">
        <f>AND(#REF!,"AAAAAH7/7yk=")</f>
        <v>#REF!</v>
      </c>
      <c r="AQ68" t="e">
        <f>AND(#REF!,"AAAAAH7/7yo=")</f>
        <v>#REF!</v>
      </c>
      <c r="AR68" t="e">
        <f>AND(#REF!,"AAAAAH7/7ys=")</f>
        <v>#REF!</v>
      </c>
      <c r="AS68" t="e">
        <f>AND(#REF!,"AAAAAH7/7yw=")</f>
        <v>#REF!</v>
      </c>
      <c r="AT68" t="e">
        <f>AND(#REF!,"AAAAAH7/7y0=")</f>
        <v>#REF!</v>
      </c>
      <c r="AU68" t="e">
        <f>AND(#REF!,"AAAAAH7/7y4=")</f>
        <v>#REF!</v>
      </c>
      <c r="AV68" t="e">
        <f>AND(#REF!,"AAAAAH7/7y8=")</f>
        <v>#REF!</v>
      </c>
      <c r="AW68" t="e">
        <f>AND(#REF!,"AAAAAH7/7zA=")</f>
        <v>#REF!</v>
      </c>
      <c r="AX68" t="e">
        <f>AND(#REF!,"AAAAAH7/7zE=")</f>
        <v>#REF!</v>
      </c>
      <c r="AY68" t="e">
        <f>AND(#REF!,"AAAAAH7/7zI=")</f>
        <v>#REF!</v>
      </c>
      <c r="AZ68" t="e">
        <f>AND(#REF!,"AAAAAH7/7zM=")</f>
        <v>#REF!</v>
      </c>
      <c r="BA68" t="e">
        <f>AND(#REF!,"AAAAAH7/7zQ=")</f>
        <v>#REF!</v>
      </c>
      <c r="BB68" t="e">
        <f>AND(#REF!,"AAAAAH7/7zU=")</f>
        <v>#REF!</v>
      </c>
      <c r="BC68" t="e">
        <f>AND(#REF!,"AAAAAH7/7zY=")</f>
        <v>#REF!</v>
      </c>
      <c r="BD68" t="e">
        <f>AND(#REF!,"AAAAAH7/7zc=")</f>
        <v>#REF!</v>
      </c>
      <c r="BE68" t="e">
        <f>AND(#REF!,"AAAAAH7/7zg=")</f>
        <v>#REF!</v>
      </c>
      <c r="BF68" t="e">
        <f>AND(#REF!,"AAAAAH7/7zk=")</f>
        <v>#REF!</v>
      </c>
      <c r="BG68" t="e">
        <f>IF(#REF!,"AAAAAH7/7zo=",0)</f>
        <v>#REF!</v>
      </c>
      <c r="BH68" t="e">
        <f>AND(#REF!,"AAAAAH7/7zs=")</f>
        <v>#REF!</v>
      </c>
      <c r="BI68" t="e">
        <f>AND(#REF!,"AAAAAH7/7zw=")</f>
        <v>#REF!</v>
      </c>
      <c r="BJ68" t="e">
        <f>AND(#REF!,"AAAAAH7/7z0=")</f>
        <v>#REF!</v>
      </c>
      <c r="BK68" t="e">
        <f>AND(#REF!,"AAAAAH7/7z4=")</f>
        <v>#REF!</v>
      </c>
      <c r="BL68" t="e">
        <f>AND(#REF!,"AAAAAH7/7z8=")</f>
        <v>#REF!</v>
      </c>
      <c r="BM68" t="e">
        <f>AND(#REF!,"AAAAAH7/70A=")</f>
        <v>#REF!</v>
      </c>
      <c r="BN68" t="e">
        <f>AND(#REF!,"AAAAAH7/70E=")</f>
        <v>#REF!</v>
      </c>
      <c r="BO68" t="e">
        <f>AND(#REF!,"AAAAAH7/70I=")</f>
        <v>#REF!</v>
      </c>
      <c r="BP68" t="e">
        <f>AND(#REF!,"AAAAAH7/70M=")</f>
        <v>#REF!</v>
      </c>
      <c r="BQ68" t="e">
        <f>AND(#REF!,"AAAAAH7/70Q=")</f>
        <v>#REF!</v>
      </c>
      <c r="BR68" t="e">
        <f>AND(#REF!,"AAAAAH7/70U=")</f>
        <v>#REF!</v>
      </c>
      <c r="BS68" t="e">
        <f>AND(#REF!,"AAAAAH7/70Y=")</f>
        <v>#REF!</v>
      </c>
      <c r="BT68" t="e">
        <f>AND(#REF!,"AAAAAH7/70c=")</f>
        <v>#REF!</v>
      </c>
      <c r="BU68" t="e">
        <f>AND(#REF!,"AAAAAH7/70g=")</f>
        <v>#REF!</v>
      </c>
      <c r="BV68" t="e">
        <f>AND(#REF!,"AAAAAH7/70k=")</f>
        <v>#REF!</v>
      </c>
      <c r="BW68" t="e">
        <f>AND(#REF!,"AAAAAH7/70o=")</f>
        <v>#REF!</v>
      </c>
      <c r="BX68" t="e">
        <f>AND(#REF!,"AAAAAH7/70s=")</f>
        <v>#REF!</v>
      </c>
      <c r="BY68" t="e">
        <f>AND(#REF!,"AAAAAH7/70w=")</f>
        <v>#REF!</v>
      </c>
      <c r="BZ68" t="e">
        <f>AND(#REF!,"AAAAAH7/700=")</f>
        <v>#REF!</v>
      </c>
      <c r="CA68" t="e">
        <f>AND(#REF!,"AAAAAH7/704=")</f>
        <v>#REF!</v>
      </c>
      <c r="CB68" t="e">
        <f>AND(#REF!,"AAAAAH7/708=")</f>
        <v>#REF!</v>
      </c>
      <c r="CC68" t="e">
        <f>AND(#REF!,"AAAAAH7/71A=")</f>
        <v>#REF!</v>
      </c>
      <c r="CD68" t="e">
        <f>AND(#REF!,"AAAAAH7/71E=")</f>
        <v>#REF!</v>
      </c>
      <c r="CE68" t="e">
        <f>AND(#REF!,"AAAAAH7/71I=")</f>
        <v>#REF!</v>
      </c>
      <c r="CF68" t="e">
        <f>IF(#REF!,"AAAAAH7/71M=",0)</f>
        <v>#REF!</v>
      </c>
      <c r="CG68" t="e">
        <f>AND(#REF!,"AAAAAH7/71Q=")</f>
        <v>#REF!</v>
      </c>
      <c r="CH68" t="e">
        <f>AND(#REF!,"AAAAAH7/71U=")</f>
        <v>#REF!</v>
      </c>
      <c r="CI68" t="e">
        <f>AND(#REF!,"AAAAAH7/71Y=")</f>
        <v>#REF!</v>
      </c>
      <c r="CJ68" t="e">
        <f>AND(#REF!,"AAAAAH7/71c=")</f>
        <v>#REF!</v>
      </c>
      <c r="CK68" t="e">
        <f>AND(#REF!,"AAAAAH7/71g=")</f>
        <v>#REF!</v>
      </c>
      <c r="CL68" t="e">
        <f>AND(#REF!,"AAAAAH7/71k=")</f>
        <v>#REF!</v>
      </c>
      <c r="CM68" t="e">
        <f>AND(#REF!,"AAAAAH7/71o=")</f>
        <v>#REF!</v>
      </c>
      <c r="CN68" t="e">
        <f>AND(#REF!,"AAAAAH7/71s=")</f>
        <v>#REF!</v>
      </c>
      <c r="CO68" t="e">
        <f>AND(#REF!,"AAAAAH7/71w=")</f>
        <v>#REF!</v>
      </c>
      <c r="CP68" t="e">
        <f>AND(#REF!,"AAAAAH7/710=")</f>
        <v>#REF!</v>
      </c>
      <c r="CQ68" t="e">
        <f>AND(#REF!,"AAAAAH7/714=")</f>
        <v>#REF!</v>
      </c>
      <c r="CR68" t="e">
        <f>AND(#REF!,"AAAAAH7/718=")</f>
        <v>#REF!</v>
      </c>
      <c r="CS68" t="e">
        <f>AND(#REF!,"AAAAAH7/72A=")</f>
        <v>#REF!</v>
      </c>
      <c r="CT68" t="e">
        <f>AND(#REF!,"AAAAAH7/72E=")</f>
        <v>#REF!</v>
      </c>
      <c r="CU68" t="e">
        <f>AND(#REF!,"AAAAAH7/72I=")</f>
        <v>#REF!</v>
      </c>
      <c r="CV68" t="e">
        <f>AND(#REF!,"AAAAAH7/72M=")</f>
        <v>#REF!</v>
      </c>
      <c r="CW68" t="e">
        <f>AND(#REF!,"AAAAAH7/72Q=")</f>
        <v>#REF!</v>
      </c>
      <c r="CX68" t="e">
        <f>AND(#REF!,"AAAAAH7/72U=")</f>
        <v>#REF!</v>
      </c>
      <c r="CY68" t="e">
        <f>AND(#REF!,"AAAAAH7/72Y=")</f>
        <v>#REF!</v>
      </c>
      <c r="CZ68" t="e">
        <f>AND(#REF!,"AAAAAH7/72c=")</f>
        <v>#REF!</v>
      </c>
      <c r="DA68" t="e">
        <f>AND(#REF!,"AAAAAH7/72g=")</f>
        <v>#REF!</v>
      </c>
      <c r="DB68" t="e">
        <f>AND(#REF!,"AAAAAH7/72k=")</f>
        <v>#REF!</v>
      </c>
      <c r="DC68" t="e">
        <f>AND(#REF!,"AAAAAH7/72o=")</f>
        <v>#REF!</v>
      </c>
      <c r="DD68" t="e">
        <f>AND(#REF!,"AAAAAH7/72s=")</f>
        <v>#REF!</v>
      </c>
      <c r="DE68" t="e">
        <f>IF(#REF!,"AAAAAH7/72w=",0)</f>
        <v>#REF!</v>
      </c>
      <c r="DF68" t="e">
        <f>AND(#REF!,"AAAAAH7/720=")</f>
        <v>#REF!</v>
      </c>
      <c r="DG68" t="e">
        <f>AND(#REF!,"AAAAAH7/724=")</f>
        <v>#REF!</v>
      </c>
      <c r="DH68" t="e">
        <f>AND(#REF!,"AAAAAH7/728=")</f>
        <v>#REF!</v>
      </c>
      <c r="DI68" t="e">
        <f>AND(#REF!,"AAAAAH7/73A=")</f>
        <v>#REF!</v>
      </c>
      <c r="DJ68" t="e">
        <f>AND(#REF!,"AAAAAH7/73E=")</f>
        <v>#REF!</v>
      </c>
      <c r="DK68" t="e">
        <f>AND(#REF!,"AAAAAH7/73I=")</f>
        <v>#REF!</v>
      </c>
      <c r="DL68" t="e">
        <f>AND(#REF!,"AAAAAH7/73M=")</f>
        <v>#REF!</v>
      </c>
      <c r="DM68" t="e">
        <f>AND(#REF!,"AAAAAH7/73Q=")</f>
        <v>#REF!</v>
      </c>
      <c r="DN68" t="e">
        <f>AND(#REF!,"AAAAAH7/73U=")</f>
        <v>#REF!</v>
      </c>
      <c r="DO68" t="e">
        <f>AND(#REF!,"AAAAAH7/73Y=")</f>
        <v>#REF!</v>
      </c>
      <c r="DP68" t="e">
        <f>AND(#REF!,"AAAAAH7/73c=")</f>
        <v>#REF!</v>
      </c>
      <c r="DQ68" t="e">
        <f>AND(#REF!,"AAAAAH7/73g=")</f>
        <v>#REF!</v>
      </c>
      <c r="DR68" t="e">
        <f>AND(#REF!,"AAAAAH7/73k=")</f>
        <v>#REF!</v>
      </c>
      <c r="DS68" t="e">
        <f>AND(#REF!,"AAAAAH7/73o=")</f>
        <v>#REF!</v>
      </c>
      <c r="DT68" t="e">
        <f>AND(#REF!,"AAAAAH7/73s=")</f>
        <v>#REF!</v>
      </c>
      <c r="DU68" t="e">
        <f>AND(#REF!,"AAAAAH7/73w=")</f>
        <v>#REF!</v>
      </c>
      <c r="DV68" t="e">
        <f>AND(#REF!,"AAAAAH7/730=")</f>
        <v>#REF!</v>
      </c>
      <c r="DW68" t="e">
        <f>AND(#REF!,"AAAAAH7/734=")</f>
        <v>#REF!</v>
      </c>
      <c r="DX68" t="e">
        <f>AND(#REF!,"AAAAAH7/738=")</f>
        <v>#REF!</v>
      </c>
      <c r="DY68" t="e">
        <f>AND(#REF!,"AAAAAH7/74A=")</f>
        <v>#REF!</v>
      </c>
      <c r="DZ68" t="e">
        <f>AND(#REF!,"AAAAAH7/74E=")</f>
        <v>#REF!</v>
      </c>
      <c r="EA68" t="e">
        <f>AND(#REF!,"AAAAAH7/74I=")</f>
        <v>#REF!</v>
      </c>
      <c r="EB68" t="e">
        <f>AND(#REF!,"AAAAAH7/74M=")</f>
        <v>#REF!</v>
      </c>
      <c r="EC68" t="e">
        <f>AND(#REF!,"AAAAAH7/74Q=")</f>
        <v>#REF!</v>
      </c>
      <c r="ED68" t="e">
        <f>IF(#REF!,"AAAAAH7/74U=",0)</f>
        <v>#REF!</v>
      </c>
      <c r="EE68" t="e">
        <f>AND(#REF!,"AAAAAH7/74Y=")</f>
        <v>#REF!</v>
      </c>
      <c r="EF68" t="e">
        <f>AND(#REF!,"AAAAAH7/74c=")</f>
        <v>#REF!</v>
      </c>
      <c r="EG68" t="e">
        <f>AND(#REF!,"AAAAAH7/74g=")</f>
        <v>#REF!</v>
      </c>
      <c r="EH68" t="e">
        <f>AND(#REF!,"AAAAAH7/74k=")</f>
        <v>#REF!</v>
      </c>
      <c r="EI68" t="e">
        <f>AND(#REF!,"AAAAAH7/74o=")</f>
        <v>#REF!</v>
      </c>
      <c r="EJ68" t="e">
        <f>AND(#REF!,"AAAAAH7/74s=")</f>
        <v>#REF!</v>
      </c>
      <c r="EK68" t="e">
        <f>AND(#REF!,"AAAAAH7/74w=")</f>
        <v>#REF!</v>
      </c>
      <c r="EL68" t="e">
        <f>AND(#REF!,"AAAAAH7/740=")</f>
        <v>#REF!</v>
      </c>
      <c r="EM68" t="e">
        <f>AND(#REF!,"AAAAAH7/744=")</f>
        <v>#REF!</v>
      </c>
      <c r="EN68" t="e">
        <f>AND(#REF!,"AAAAAH7/748=")</f>
        <v>#REF!</v>
      </c>
      <c r="EO68" t="e">
        <f>AND(#REF!,"AAAAAH7/75A=")</f>
        <v>#REF!</v>
      </c>
      <c r="EP68" t="e">
        <f>AND(#REF!,"AAAAAH7/75E=")</f>
        <v>#REF!</v>
      </c>
      <c r="EQ68" t="e">
        <f>AND(#REF!,"AAAAAH7/75I=")</f>
        <v>#REF!</v>
      </c>
      <c r="ER68" t="e">
        <f>AND(#REF!,"AAAAAH7/75M=")</f>
        <v>#REF!</v>
      </c>
      <c r="ES68" t="e">
        <f>AND(#REF!,"AAAAAH7/75Q=")</f>
        <v>#REF!</v>
      </c>
      <c r="ET68" t="e">
        <f>AND(#REF!,"AAAAAH7/75U=")</f>
        <v>#REF!</v>
      </c>
      <c r="EU68" t="e">
        <f>AND(#REF!,"AAAAAH7/75Y=")</f>
        <v>#REF!</v>
      </c>
      <c r="EV68" t="e">
        <f>AND(#REF!,"AAAAAH7/75c=")</f>
        <v>#REF!</v>
      </c>
      <c r="EW68" t="e">
        <f>AND(#REF!,"AAAAAH7/75g=")</f>
        <v>#REF!</v>
      </c>
      <c r="EX68" t="e">
        <f>AND(#REF!,"AAAAAH7/75k=")</f>
        <v>#REF!</v>
      </c>
      <c r="EY68" t="e">
        <f>AND(#REF!,"AAAAAH7/75o=")</f>
        <v>#REF!</v>
      </c>
      <c r="EZ68" t="e">
        <f>AND(#REF!,"AAAAAH7/75s=")</f>
        <v>#REF!</v>
      </c>
      <c r="FA68" t="e">
        <f>AND(#REF!,"AAAAAH7/75w=")</f>
        <v>#REF!</v>
      </c>
      <c r="FB68" t="e">
        <f>AND(#REF!,"AAAAAH7/750=")</f>
        <v>#REF!</v>
      </c>
      <c r="FC68" t="e">
        <f>IF(#REF!,"AAAAAH7/754=",0)</f>
        <v>#REF!</v>
      </c>
      <c r="FD68" t="e">
        <f>AND(#REF!,"AAAAAH7/758=")</f>
        <v>#REF!</v>
      </c>
      <c r="FE68" t="e">
        <f>AND(#REF!,"AAAAAH7/76A=")</f>
        <v>#REF!</v>
      </c>
      <c r="FF68" t="e">
        <f>AND(#REF!,"AAAAAH7/76E=")</f>
        <v>#REF!</v>
      </c>
      <c r="FG68" t="e">
        <f>AND(#REF!,"AAAAAH7/76I=")</f>
        <v>#REF!</v>
      </c>
      <c r="FH68" t="e">
        <f>AND(#REF!,"AAAAAH7/76M=")</f>
        <v>#REF!</v>
      </c>
      <c r="FI68" t="e">
        <f>AND(#REF!,"AAAAAH7/76Q=")</f>
        <v>#REF!</v>
      </c>
      <c r="FJ68" t="e">
        <f>AND(#REF!,"AAAAAH7/76U=")</f>
        <v>#REF!</v>
      </c>
      <c r="FK68" t="e">
        <f>AND(#REF!,"AAAAAH7/76Y=")</f>
        <v>#REF!</v>
      </c>
      <c r="FL68" t="e">
        <f>AND(#REF!,"AAAAAH7/76c=")</f>
        <v>#REF!</v>
      </c>
      <c r="FM68" t="e">
        <f>AND(#REF!,"AAAAAH7/76g=")</f>
        <v>#REF!</v>
      </c>
      <c r="FN68" t="e">
        <f>AND(#REF!,"AAAAAH7/76k=")</f>
        <v>#REF!</v>
      </c>
      <c r="FO68" t="e">
        <f>AND(#REF!,"AAAAAH7/76o=")</f>
        <v>#REF!</v>
      </c>
      <c r="FP68" t="e">
        <f>AND(#REF!,"AAAAAH7/76s=")</f>
        <v>#REF!</v>
      </c>
      <c r="FQ68" t="e">
        <f>AND(#REF!,"AAAAAH7/76w=")</f>
        <v>#REF!</v>
      </c>
      <c r="FR68" t="e">
        <f>AND(#REF!,"AAAAAH7/760=")</f>
        <v>#REF!</v>
      </c>
      <c r="FS68" t="e">
        <f>AND(#REF!,"AAAAAH7/764=")</f>
        <v>#REF!</v>
      </c>
      <c r="FT68" t="e">
        <f>AND(#REF!,"AAAAAH7/768=")</f>
        <v>#REF!</v>
      </c>
      <c r="FU68" t="e">
        <f>AND(#REF!,"AAAAAH7/77A=")</f>
        <v>#REF!</v>
      </c>
      <c r="FV68" t="e">
        <f>AND(#REF!,"AAAAAH7/77E=")</f>
        <v>#REF!</v>
      </c>
      <c r="FW68" t="e">
        <f>AND(#REF!,"AAAAAH7/77I=")</f>
        <v>#REF!</v>
      </c>
      <c r="FX68" t="e">
        <f>AND(#REF!,"AAAAAH7/77M=")</f>
        <v>#REF!</v>
      </c>
      <c r="FY68" t="e">
        <f>AND(#REF!,"AAAAAH7/77Q=")</f>
        <v>#REF!</v>
      </c>
      <c r="FZ68" t="e">
        <f>AND(#REF!,"AAAAAH7/77U=")</f>
        <v>#REF!</v>
      </c>
      <c r="GA68" t="e">
        <f>AND(#REF!,"AAAAAH7/77Y=")</f>
        <v>#REF!</v>
      </c>
      <c r="GB68" t="e">
        <f>IF(#REF!,"AAAAAH7/77c=",0)</f>
        <v>#REF!</v>
      </c>
      <c r="GC68" t="e">
        <f>AND(#REF!,"AAAAAH7/77g=")</f>
        <v>#REF!</v>
      </c>
      <c r="GD68" t="e">
        <f>AND(#REF!,"AAAAAH7/77k=")</f>
        <v>#REF!</v>
      </c>
      <c r="GE68" t="e">
        <f>AND(#REF!,"AAAAAH7/77o=")</f>
        <v>#REF!</v>
      </c>
      <c r="GF68" t="e">
        <f>AND(#REF!,"AAAAAH7/77s=")</f>
        <v>#REF!</v>
      </c>
      <c r="GG68" t="e">
        <f>AND(#REF!,"AAAAAH7/77w=")</f>
        <v>#REF!</v>
      </c>
      <c r="GH68" t="e">
        <f>AND(#REF!,"AAAAAH7/770=")</f>
        <v>#REF!</v>
      </c>
      <c r="GI68" t="e">
        <f>AND(#REF!,"AAAAAH7/774=")</f>
        <v>#REF!</v>
      </c>
      <c r="GJ68" t="e">
        <f>AND(#REF!,"AAAAAH7/778=")</f>
        <v>#REF!</v>
      </c>
      <c r="GK68" t="e">
        <f>AND(#REF!,"AAAAAH7/78A=")</f>
        <v>#REF!</v>
      </c>
      <c r="GL68" t="e">
        <f>AND(#REF!,"AAAAAH7/78E=")</f>
        <v>#REF!</v>
      </c>
      <c r="GM68" t="e">
        <f>AND(#REF!,"AAAAAH7/78I=")</f>
        <v>#REF!</v>
      </c>
      <c r="GN68" t="e">
        <f>AND(#REF!,"AAAAAH7/78M=")</f>
        <v>#REF!</v>
      </c>
      <c r="GO68" t="e">
        <f>AND(#REF!,"AAAAAH7/78Q=")</f>
        <v>#REF!</v>
      </c>
      <c r="GP68" t="e">
        <f>AND(#REF!,"AAAAAH7/78U=")</f>
        <v>#REF!</v>
      </c>
      <c r="GQ68" t="e">
        <f>AND(#REF!,"AAAAAH7/78Y=")</f>
        <v>#REF!</v>
      </c>
      <c r="GR68" t="e">
        <f>AND(#REF!,"AAAAAH7/78c=")</f>
        <v>#REF!</v>
      </c>
      <c r="GS68" t="e">
        <f>AND(#REF!,"AAAAAH7/78g=")</f>
        <v>#REF!</v>
      </c>
      <c r="GT68" t="e">
        <f>AND(#REF!,"AAAAAH7/78k=")</f>
        <v>#REF!</v>
      </c>
      <c r="GU68" t="e">
        <f>AND(#REF!,"AAAAAH7/78o=")</f>
        <v>#REF!</v>
      </c>
      <c r="GV68" t="e">
        <f>AND(#REF!,"AAAAAH7/78s=")</f>
        <v>#REF!</v>
      </c>
      <c r="GW68" t="e">
        <f>AND(#REF!,"AAAAAH7/78w=")</f>
        <v>#REF!</v>
      </c>
      <c r="GX68" t="e">
        <f>AND(#REF!,"AAAAAH7/780=")</f>
        <v>#REF!</v>
      </c>
      <c r="GY68" t="e">
        <f>AND(#REF!,"AAAAAH7/784=")</f>
        <v>#REF!</v>
      </c>
      <c r="GZ68" t="e">
        <f>AND(#REF!,"AAAAAH7/788=")</f>
        <v>#REF!</v>
      </c>
      <c r="HA68" t="e">
        <f>IF(#REF!,"AAAAAH7/79A=",0)</f>
        <v>#REF!</v>
      </c>
      <c r="HB68" t="e">
        <f>AND(#REF!,"AAAAAH7/79E=")</f>
        <v>#REF!</v>
      </c>
      <c r="HC68" t="e">
        <f>AND(#REF!,"AAAAAH7/79I=")</f>
        <v>#REF!</v>
      </c>
      <c r="HD68" t="e">
        <f>AND(#REF!,"AAAAAH7/79M=")</f>
        <v>#REF!</v>
      </c>
      <c r="HE68" t="e">
        <f>AND(#REF!,"AAAAAH7/79Q=")</f>
        <v>#REF!</v>
      </c>
      <c r="HF68" t="e">
        <f>AND(#REF!,"AAAAAH7/79U=")</f>
        <v>#REF!</v>
      </c>
      <c r="HG68" t="e">
        <f>AND(#REF!,"AAAAAH7/79Y=")</f>
        <v>#REF!</v>
      </c>
      <c r="HH68" t="e">
        <f>AND(#REF!,"AAAAAH7/79c=")</f>
        <v>#REF!</v>
      </c>
      <c r="HI68" t="e">
        <f>AND(#REF!,"AAAAAH7/79g=")</f>
        <v>#REF!</v>
      </c>
      <c r="HJ68" t="e">
        <f>AND(#REF!,"AAAAAH7/79k=")</f>
        <v>#REF!</v>
      </c>
      <c r="HK68" t="e">
        <f>AND(#REF!,"AAAAAH7/79o=")</f>
        <v>#REF!</v>
      </c>
      <c r="HL68" t="e">
        <f>AND(#REF!,"AAAAAH7/79s=")</f>
        <v>#REF!</v>
      </c>
      <c r="HM68" t="e">
        <f>AND(#REF!,"AAAAAH7/79w=")</f>
        <v>#REF!</v>
      </c>
      <c r="HN68" t="e">
        <f>AND(#REF!,"AAAAAH7/790=")</f>
        <v>#REF!</v>
      </c>
      <c r="HO68" t="e">
        <f>AND(#REF!,"AAAAAH7/794=")</f>
        <v>#REF!</v>
      </c>
      <c r="HP68" t="e">
        <f>AND(#REF!,"AAAAAH7/798=")</f>
        <v>#REF!</v>
      </c>
      <c r="HQ68" t="e">
        <f>AND(#REF!,"AAAAAH7/7+A=")</f>
        <v>#REF!</v>
      </c>
      <c r="HR68" t="e">
        <f>AND(#REF!,"AAAAAH7/7+E=")</f>
        <v>#REF!</v>
      </c>
      <c r="HS68" t="e">
        <f>AND(#REF!,"AAAAAH7/7+I=")</f>
        <v>#REF!</v>
      </c>
      <c r="HT68" t="e">
        <f>AND(#REF!,"AAAAAH7/7+M=")</f>
        <v>#REF!</v>
      </c>
      <c r="HU68" t="e">
        <f>AND(#REF!,"AAAAAH7/7+Q=")</f>
        <v>#REF!</v>
      </c>
      <c r="HV68" t="e">
        <f>AND(#REF!,"AAAAAH7/7+U=")</f>
        <v>#REF!</v>
      </c>
      <c r="HW68" t="e">
        <f>AND(#REF!,"AAAAAH7/7+Y=")</f>
        <v>#REF!</v>
      </c>
      <c r="HX68" t="e">
        <f>AND(#REF!,"AAAAAH7/7+c=")</f>
        <v>#REF!</v>
      </c>
      <c r="HY68" t="e">
        <f>AND(#REF!,"AAAAAH7/7+g=")</f>
        <v>#REF!</v>
      </c>
      <c r="HZ68" t="e">
        <f>IF(#REF!,"AAAAAH7/7+k=",0)</f>
        <v>#REF!</v>
      </c>
      <c r="IA68" t="e">
        <f>AND(#REF!,"AAAAAH7/7+o=")</f>
        <v>#REF!</v>
      </c>
      <c r="IB68" t="e">
        <f>AND(#REF!,"AAAAAH7/7+s=")</f>
        <v>#REF!</v>
      </c>
      <c r="IC68" t="e">
        <f>AND(#REF!,"AAAAAH7/7+w=")</f>
        <v>#REF!</v>
      </c>
      <c r="ID68" t="e">
        <f>AND(#REF!,"AAAAAH7/7+0=")</f>
        <v>#REF!</v>
      </c>
      <c r="IE68" t="e">
        <f>AND(#REF!,"AAAAAH7/7+4=")</f>
        <v>#REF!</v>
      </c>
      <c r="IF68" t="e">
        <f>AND(#REF!,"AAAAAH7/7+8=")</f>
        <v>#REF!</v>
      </c>
      <c r="IG68" t="e">
        <f>AND(#REF!,"AAAAAH7/7/A=")</f>
        <v>#REF!</v>
      </c>
      <c r="IH68" t="e">
        <f>AND(#REF!,"AAAAAH7/7/E=")</f>
        <v>#REF!</v>
      </c>
      <c r="II68" t="e">
        <f>AND(#REF!,"AAAAAH7/7/I=")</f>
        <v>#REF!</v>
      </c>
      <c r="IJ68" t="e">
        <f>AND(#REF!,"AAAAAH7/7/M=")</f>
        <v>#REF!</v>
      </c>
      <c r="IK68" t="e">
        <f>AND(#REF!,"AAAAAH7/7/Q=")</f>
        <v>#REF!</v>
      </c>
      <c r="IL68" t="e">
        <f>AND(#REF!,"AAAAAH7/7/U=")</f>
        <v>#REF!</v>
      </c>
      <c r="IM68" t="e">
        <f>AND(#REF!,"AAAAAH7/7/Y=")</f>
        <v>#REF!</v>
      </c>
      <c r="IN68" t="e">
        <f>AND(#REF!,"AAAAAH7/7/c=")</f>
        <v>#REF!</v>
      </c>
      <c r="IO68" t="e">
        <f>AND(#REF!,"AAAAAH7/7/g=")</f>
        <v>#REF!</v>
      </c>
      <c r="IP68" t="e">
        <f>AND(#REF!,"AAAAAH7/7/k=")</f>
        <v>#REF!</v>
      </c>
      <c r="IQ68" t="e">
        <f>AND(#REF!,"AAAAAH7/7/o=")</f>
        <v>#REF!</v>
      </c>
      <c r="IR68" t="e">
        <f>AND(#REF!,"AAAAAH7/7/s=")</f>
        <v>#REF!</v>
      </c>
      <c r="IS68" t="e">
        <f>AND(#REF!,"AAAAAH7/7/w=")</f>
        <v>#REF!</v>
      </c>
      <c r="IT68" t="e">
        <f>AND(#REF!,"AAAAAH7/7/0=")</f>
        <v>#REF!</v>
      </c>
      <c r="IU68" t="e">
        <f>AND(#REF!,"AAAAAH7/7/4=")</f>
        <v>#REF!</v>
      </c>
      <c r="IV68" t="e">
        <f>AND(#REF!,"AAAAAH7/7/8=")</f>
        <v>#REF!</v>
      </c>
    </row>
    <row r="69" spans="1:256">
      <c r="A69" t="e">
        <f>AND(#REF!,"AAAAAH3mvAA=")</f>
        <v>#REF!</v>
      </c>
      <c r="B69" t="e">
        <f>AND(#REF!,"AAAAAH3mvAE=")</f>
        <v>#REF!</v>
      </c>
      <c r="C69" t="e">
        <f>IF(#REF!,"AAAAAH3mvAI=",0)</f>
        <v>#REF!</v>
      </c>
      <c r="D69" t="e">
        <f>AND(#REF!,"AAAAAH3mvAM=")</f>
        <v>#REF!</v>
      </c>
      <c r="E69" t="e">
        <f>AND(#REF!,"AAAAAH3mvAQ=")</f>
        <v>#REF!</v>
      </c>
      <c r="F69" t="e">
        <f>AND(#REF!,"AAAAAH3mvAU=")</f>
        <v>#REF!</v>
      </c>
      <c r="G69" t="e">
        <f>AND(#REF!,"AAAAAH3mvAY=")</f>
        <v>#REF!</v>
      </c>
      <c r="H69" t="e">
        <f>AND(#REF!,"AAAAAH3mvAc=")</f>
        <v>#REF!</v>
      </c>
      <c r="I69" t="e">
        <f>AND(#REF!,"AAAAAH3mvAg=")</f>
        <v>#REF!</v>
      </c>
      <c r="J69" t="e">
        <f>AND(#REF!,"AAAAAH3mvAk=")</f>
        <v>#REF!</v>
      </c>
      <c r="K69" t="e">
        <f>AND(#REF!,"AAAAAH3mvAo=")</f>
        <v>#REF!</v>
      </c>
      <c r="L69" t="e">
        <f>AND(#REF!,"AAAAAH3mvAs=")</f>
        <v>#REF!</v>
      </c>
      <c r="M69" t="e">
        <f>AND(#REF!,"AAAAAH3mvAw=")</f>
        <v>#REF!</v>
      </c>
      <c r="N69" t="e">
        <f>AND(#REF!,"AAAAAH3mvA0=")</f>
        <v>#REF!</v>
      </c>
      <c r="O69" t="e">
        <f>AND(#REF!,"AAAAAH3mvA4=")</f>
        <v>#REF!</v>
      </c>
      <c r="P69" t="e">
        <f>AND(#REF!,"AAAAAH3mvA8=")</f>
        <v>#REF!</v>
      </c>
      <c r="Q69" t="e">
        <f>AND(#REF!,"AAAAAH3mvBA=")</f>
        <v>#REF!</v>
      </c>
      <c r="R69" t="e">
        <f>AND(#REF!,"AAAAAH3mvBE=")</f>
        <v>#REF!</v>
      </c>
      <c r="S69" t="e">
        <f>AND(#REF!,"AAAAAH3mvBI=")</f>
        <v>#REF!</v>
      </c>
      <c r="T69" t="e">
        <f>AND(#REF!,"AAAAAH3mvBM=")</f>
        <v>#REF!</v>
      </c>
      <c r="U69" t="e">
        <f>AND(#REF!,"AAAAAH3mvBQ=")</f>
        <v>#REF!</v>
      </c>
      <c r="V69" t="e">
        <f>AND(#REF!,"AAAAAH3mvBU=")</f>
        <v>#REF!</v>
      </c>
      <c r="W69" t="e">
        <f>AND(#REF!,"AAAAAH3mvBY=")</f>
        <v>#REF!</v>
      </c>
      <c r="X69" t="e">
        <f>AND(#REF!,"AAAAAH3mvBc=")</f>
        <v>#REF!</v>
      </c>
      <c r="Y69" t="e">
        <f>AND(#REF!,"AAAAAH3mvBg=")</f>
        <v>#REF!</v>
      </c>
      <c r="Z69" t="e">
        <f>AND(#REF!,"AAAAAH3mvBk=")</f>
        <v>#REF!</v>
      </c>
      <c r="AA69" t="e">
        <f>AND(#REF!,"AAAAAH3mvBo=")</f>
        <v>#REF!</v>
      </c>
      <c r="AB69" t="e">
        <f>IF(#REF!,"AAAAAH3mvBs=",0)</f>
        <v>#REF!</v>
      </c>
      <c r="AC69" t="e">
        <f>AND(#REF!,"AAAAAH3mvBw=")</f>
        <v>#REF!</v>
      </c>
      <c r="AD69" t="e">
        <f>AND(#REF!,"AAAAAH3mvB0=")</f>
        <v>#REF!</v>
      </c>
      <c r="AE69" t="e">
        <f>AND(#REF!,"AAAAAH3mvB4=")</f>
        <v>#REF!</v>
      </c>
      <c r="AF69" t="e">
        <f>AND(#REF!,"AAAAAH3mvB8=")</f>
        <v>#REF!</v>
      </c>
      <c r="AG69" t="e">
        <f>AND(#REF!,"AAAAAH3mvCA=")</f>
        <v>#REF!</v>
      </c>
      <c r="AH69" t="e">
        <f>AND(#REF!,"AAAAAH3mvCE=")</f>
        <v>#REF!</v>
      </c>
      <c r="AI69" t="e">
        <f>AND(#REF!,"AAAAAH3mvCI=")</f>
        <v>#REF!</v>
      </c>
      <c r="AJ69" t="e">
        <f>AND(#REF!,"AAAAAH3mvCM=")</f>
        <v>#REF!</v>
      </c>
      <c r="AK69" t="e">
        <f>AND(#REF!,"AAAAAH3mvCQ=")</f>
        <v>#REF!</v>
      </c>
      <c r="AL69" t="e">
        <f>AND(#REF!,"AAAAAH3mvCU=")</f>
        <v>#REF!</v>
      </c>
      <c r="AM69" t="e">
        <f>AND(#REF!,"AAAAAH3mvCY=")</f>
        <v>#REF!</v>
      </c>
      <c r="AN69" t="e">
        <f>AND(#REF!,"AAAAAH3mvCc=")</f>
        <v>#REF!</v>
      </c>
      <c r="AO69" t="e">
        <f>AND(#REF!,"AAAAAH3mvCg=")</f>
        <v>#REF!</v>
      </c>
      <c r="AP69" t="e">
        <f>AND(#REF!,"AAAAAH3mvCk=")</f>
        <v>#REF!</v>
      </c>
      <c r="AQ69" t="e">
        <f>AND(#REF!,"AAAAAH3mvCo=")</f>
        <v>#REF!</v>
      </c>
      <c r="AR69" t="e">
        <f>AND(#REF!,"AAAAAH3mvCs=")</f>
        <v>#REF!</v>
      </c>
      <c r="AS69" t="e">
        <f>AND(#REF!,"AAAAAH3mvCw=")</f>
        <v>#REF!</v>
      </c>
      <c r="AT69" t="e">
        <f>AND(#REF!,"AAAAAH3mvC0=")</f>
        <v>#REF!</v>
      </c>
      <c r="AU69" t="e">
        <f>AND(#REF!,"AAAAAH3mvC4=")</f>
        <v>#REF!</v>
      </c>
      <c r="AV69" t="e">
        <f>AND(#REF!,"AAAAAH3mvC8=")</f>
        <v>#REF!</v>
      </c>
      <c r="AW69" t="e">
        <f>AND(#REF!,"AAAAAH3mvDA=")</f>
        <v>#REF!</v>
      </c>
      <c r="AX69" t="e">
        <f>AND(#REF!,"AAAAAH3mvDE=")</f>
        <v>#REF!</v>
      </c>
      <c r="AY69" t="e">
        <f>AND(#REF!,"AAAAAH3mvDI=")</f>
        <v>#REF!</v>
      </c>
      <c r="AZ69" t="e">
        <f>AND(#REF!,"AAAAAH3mvDM=")</f>
        <v>#REF!</v>
      </c>
      <c r="BA69" t="e">
        <f>IF(#REF!,"AAAAAH3mvDQ=",0)</f>
        <v>#REF!</v>
      </c>
      <c r="BB69" t="e">
        <f>AND(#REF!,"AAAAAH3mvDU=")</f>
        <v>#REF!</v>
      </c>
      <c r="BC69" t="e">
        <f>AND(#REF!,"AAAAAH3mvDY=")</f>
        <v>#REF!</v>
      </c>
      <c r="BD69" t="e">
        <f>AND(#REF!,"AAAAAH3mvDc=")</f>
        <v>#REF!</v>
      </c>
      <c r="BE69" t="e">
        <f>AND(#REF!,"AAAAAH3mvDg=")</f>
        <v>#REF!</v>
      </c>
      <c r="BF69" t="e">
        <f>AND(#REF!,"AAAAAH3mvDk=")</f>
        <v>#REF!</v>
      </c>
      <c r="BG69" t="e">
        <f>AND(#REF!,"AAAAAH3mvDo=")</f>
        <v>#REF!</v>
      </c>
      <c r="BH69" t="e">
        <f>AND(#REF!,"AAAAAH3mvDs=")</f>
        <v>#REF!</v>
      </c>
      <c r="BI69" t="e">
        <f>AND(#REF!,"AAAAAH3mvDw=")</f>
        <v>#REF!</v>
      </c>
      <c r="BJ69" t="e">
        <f>AND(#REF!,"AAAAAH3mvD0=")</f>
        <v>#REF!</v>
      </c>
      <c r="BK69" t="e">
        <f>AND(#REF!,"AAAAAH3mvD4=")</f>
        <v>#REF!</v>
      </c>
      <c r="BL69" t="e">
        <f>AND(#REF!,"AAAAAH3mvD8=")</f>
        <v>#REF!</v>
      </c>
      <c r="BM69" t="e">
        <f>AND(#REF!,"AAAAAH3mvEA=")</f>
        <v>#REF!</v>
      </c>
      <c r="BN69" t="e">
        <f>AND(#REF!,"AAAAAH3mvEE=")</f>
        <v>#REF!</v>
      </c>
      <c r="BO69" t="e">
        <f>AND(#REF!,"AAAAAH3mvEI=")</f>
        <v>#REF!</v>
      </c>
      <c r="BP69" t="e">
        <f>AND(#REF!,"AAAAAH3mvEM=")</f>
        <v>#REF!</v>
      </c>
      <c r="BQ69" t="e">
        <f>AND(#REF!,"AAAAAH3mvEQ=")</f>
        <v>#REF!</v>
      </c>
      <c r="BR69" t="e">
        <f>AND(#REF!,"AAAAAH3mvEU=")</f>
        <v>#REF!</v>
      </c>
      <c r="BS69" t="e">
        <f>AND(#REF!,"AAAAAH3mvEY=")</f>
        <v>#REF!</v>
      </c>
      <c r="BT69" t="e">
        <f>AND(#REF!,"AAAAAH3mvEc=")</f>
        <v>#REF!</v>
      </c>
      <c r="BU69" t="e">
        <f>AND(#REF!,"AAAAAH3mvEg=")</f>
        <v>#REF!</v>
      </c>
      <c r="BV69" t="e">
        <f>AND(#REF!,"AAAAAH3mvEk=")</f>
        <v>#REF!</v>
      </c>
      <c r="BW69" t="e">
        <f>AND(#REF!,"AAAAAH3mvEo=")</f>
        <v>#REF!</v>
      </c>
      <c r="BX69" t="e">
        <f>AND(#REF!,"AAAAAH3mvEs=")</f>
        <v>#REF!</v>
      </c>
      <c r="BY69" t="e">
        <f>AND(#REF!,"AAAAAH3mvEw=")</f>
        <v>#REF!</v>
      </c>
      <c r="BZ69" t="e">
        <f>IF(#REF!,"AAAAAH3mvE0=",0)</f>
        <v>#REF!</v>
      </c>
      <c r="CA69" t="e">
        <f>AND(#REF!,"AAAAAH3mvE4=")</f>
        <v>#REF!</v>
      </c>
      <c r="CB69" t="e">
        <f>AND(#REF!,"AAAAAH3mvE8=")</f>
        <v>#REF!</v>
      </c>
      <c r="CC69" t="e">
        <f>AND(#REF!,"AAAAAH3mvFA=")</f>
        <v>#REF!</v>
      </c>
      <c r="CD69" t="e">
        <f>AND(#REF!,"AAAAAH3mvFE=")</f>
        <v>#REF!</v>
      </c>
      <c r="CE69" t="e">
        <f>AND(#REF!,"AAAAAH3mvFI=")</f>
        <v>#REF!</v>
      </c>
      <c r="CF69" t="e">
        <f>AND(#REF!,"AAAAAH3mvFM=")</f>
        <v>#REF!</v>
      </c>
      <c r="CG69" t="e">
        <f>AND(#REF!,"AAAAAH3mvFQ=")</f>
        <v>#REF!</v>
      </c>
      <c r="CH69" t="e">
        <f>AND(#REF!,"AAAAAH3mvFU=")</f>
        <v>#REF!</v>
      </c>
      <c r="CI69" t="e">
        <f>AND(#REF!,"AAAAAH3mvFY=")</f>
        <v>#REF!</v>
      </c>
      <c r="CJ69" t="e">
        <f>AND(#REF!,"AAAAAH3mvFc=")</f>
        <v>#REF!</v>
      </c>
      <c r="CK69" t="e">
        <f>AND(#REF!,"AAAAAH3mvFg=")</f>
        <v>#REF!</v>
      </c>
      <c r="CL69" t="e">
        <f>AND(#REF!,"AAAAAH3mvFk=")</f>
        <v>#REF!</v>
      </c>
      <c r="CM69" t="e">
        <f>AND(#REF!,"AAAAAH3mvFo=")</f>
        <v>#REF!</v>
      </c>
      <c r="CN69" t="e">
        <f>AND(#REF!,"AAAAAH3mvFs=")</f>
        <v>#REF!</v>
      </c>
      <c r="CO69" t="e">
        <f>AND(#REF!,"AAAAAH3mvFw=")</f>
        <v>#REF!</v>
      </c>
      <c r="CP69" t="e">
        <f>AND(#REF!,"AAAAAH3mvF0=")</f>
        <v>#REF!</v>
      </c>
      <c r="CQ69" t="e">
        <f>AND(#REF!,"AAAAAH3mvF4=")</f>
        <v>#REF!</v>
      </c>
      <c r="CR69" t="e">
        <f>AND(#REF!,"AAAAAH3mvF8=")</f>
        <v>#REF!</v>
      </c>
      <c r="CS69" t="e">
        <f>AND(#REF!,"AAAAAH3mvGA=")</f>
        <v>#REF!</v>
      </c>
      <c r="CT69" t="e">
        <f>AND(#REF!,"AAAAAH3mvGE=")</f>
        <v>#REF!</v>
      </c>
      <c r="CU69" t="e">
        <f>AND(#REF!,"AAAAAH3mvGI=")</f>
        <v>#REF!</v>
      </c>
      <c r="CV69" t="e">
        <f>AND(#REF!,"AAAAAH3mvGM=")</f>
        <v>#REF!</v>
      </c>
      <c r="CW69" t="e">
        <f>AND(#REF!,"AAAAAH3mvGQ=")</f>
        <v>#REF!</v>
      </c>
      <c r="CX69" t="e">
        <f>AND(#REF!,"AAAAAH3mvGU=")</f>
        <v>#REF!</v>
      </c>
      <c r="CY69" t="e">
        <f>IF(#REF!,"AAAAAH3mvGY=",0)</f>
        <v>#REF!</v>
      </c>
      <c r="CZ69" t="e">
        <f>AND(#REF!,"AAAAAH3mvGc=")</f>
        <v>#REF!</v>
      </c>
      <c r="DA69" t="e">
        <f>AND(#REF!,"AAAAAH3mvGg=")</f>
        <v>#REF!</v>
      </c>
      <c r="DB69" t="e">
        <f>AND(#REF!,"AAAAAH3mvGk=")</f>
        <v>#REF!</v>
      </c>
      <c r="DC69" t="e">
        <f>AND(#REF!,"AAAAAH3mvGo=")</f>
        <v>#REF!</v>
      </c>
      <c r="DD69" t="e">
        <f>AND(#REF!,"AAAAAH3mvGs=")</f>
        <v>#REF!</v>
      </c>
      <c r="DE69" t="e">
        <f>AND(#REF!,"AAAAAH3mvGw=")</f>
        <v>#REF!</v>
      </c>
      <c r="DF69" t="e">
        <f>AND(#REF!,"AAAAAH3mvG0=")</f>
        <v>#REF!</v>
      </c>
      <c r="DG69" t="e">
        <f>AND(#REF!,"AAAAAH3mvG4=")</f>
        <v>#REF!</v>
      </c>
      <c r="DH69" t="e">
        <f>AND(#REF!,"AAAAAH3mvG8=")</f>
        <v>#REF!</v>
      </c>
      <c r="DI69" t="e">
        <f>AND(#REF!,"AAAAAH3mvHA=")</f>
        <v>#REF!</v>
      </c>
      <c r="DJ69" t="e">
        <f>AND(#REF!,"AAAAAH3mvHE=")</f>
        <v>#REF!</v>
      </c>
      <c r="DK69" t="e">
        <f>AND(#REF!,"AAAAAH3mvHI=")</f>
        <v>#REF!</v>
      </c>
      <c r="DL69" t="e">
        <f>AND(#REF!,"AAAAAH3mvHM=")</f>
        <v>#REF!</v>
      </c>
      <c r="DM69" t="e">
        <f>AND(#REF!,"AAAAAH3mvHQ=")</f>
        <v>#REF!</v>
      </c>
      <c r="DN69" t="e">
        <f>AND(#REF!,"AAAAAH3mvHU=")</f>
        <v>#REF!</v>
      </c>
      <c r="DO69" t="e">
        <f>AND(#REF!,"AAAAAH3mvHY=")</f>
        <v>#REF!</v>
      </c>
      <c r="DP69" t="e">
        <f>AND(#REF!,"AAAAAH3mvHc=")</f>
        <v>#REF!</v>
      </c>
      <c r="DQ69" t="e">
        <f>AND(#REF!,"AAAAAH3mvHg=")</f>
        <v>#REF!</v>
      </c>
      <c r="DR69" t="e">
        <f>AND(#REF!,"AAAAAH3mvHk=")</f>
        <v>#REF!</v>
      </c>
      <c r="DS69" t="e">
        <f>AND(#REF!,"AAAAAH3mvHo=")</f>
        <v>#REF!</v>
      </c>
      <c r="DT69" t="e">
        <f>AND(#REF!,"AAAAAH3mvHs=")</f>
        <v>#REF!</v>
      </c>
      <c r="DU69" t="e">
        <f>AND(#REF!,"AAAAAH3mvHw=")</f>
        <v>#REF!</v>
      </c>
      <c r="DV69" t="e">
        <f>AND(#REF!,"AAAAAH3mvH0=")</f>
        <v>#REF!</v>
      </c>
      <c r="DW69" t="e">
        <f>AND(#REF!,"AAAAAH3mvH4=")</f>
        <v>#REF!</v>
      </c>
      <c r="DX69" t="e">
        <f>IF(#REF!,"AAAAAH3mvH8=",0)</f>
        <v>#REF!</v>
      </c>
      <c r="DY69" t="e">
        <f>AND(#REF!,"AAAAAH3mvIA=")</f>
        <v>#REF!</v>
      </c>
      <c r="DZ69" t="e">
        <f>AND(#REF!,"AAAAAH3mvIE=")</f>
        <v>#REF!</v>
      </c>
      <c r="EA69" t="e">
        <f>AND(#REF!,"AAAAAH3mvII=")</f>
        <v>#REF!</v>
      </c>
      <c r="EB69" t="e">
        <f>AND(#REF!,"AAAAAH3mvIM=")</f>
        <v>#REF!</v>
      </c>
      <c r="EC69" t="e">
        <f>AND(#REF!,"AAAAAH3mvIQ=")</f>
        <v>#REF!</v>
      </c>
      <c r="ED69" t="e">
        <f>AND(#REF!,"AAAAAH3mvIU=")</f>
        <v>#REF!</v>
      </c>
      <c r="EE69" t="e">
        <f>AND(#REF!,"AAAAAH3mvIY=")</f>
        <v>#REF!</v>
      </c>
      <c r="EF69" t="e">
        <f>AND(#REF!,"AAAAAH3mvIc=")</f>
        <v>#REF!</v>
      </c>
      <c r="EG69" t="e">
        <f>AND(#REF!,"AAAAAH3mvIg=")</f>
        <v>#REF!</v>
      </c>
      <c r="EH69" t="e">
        <f>AND(#REF!,"AAAAAH3mvIk=")</f>
        <v>#REF!</v>
      </c>
      <c r="EI69" t="e">
        <f>AND(#REF!,"AAAAAH3mvIo=")</f>
        <v>#REF!</v>
      </c>
      <c r="EJ69" t="e">
        <f>AND(#REF!,"AAAAAH3mvIs=")</f>
        <v>#REF!</v>
      </c>
      <c r="EK69" t="e">
        <f>AND(#REF!,"AAAAAH3mvIw=")</f>
        <v>#REF!</v>
      </c>
      <c r="EL69" t="e">
        <f>AND(#REF!,"AAAAAH3mvI0=")</f>
        <v>#REF!</v>
      </c>
      <c r="EM69" t="e">
        <f>AND(#REF!,"AAAAAH3mvI4=")</f>
        <v>#REF!</v>
      </c>
      <c r="EN69" t="e">
        <f>AND(#REF!,"AAAAAH3mvI8=")</f>
        <v>#REF!</v>
      </c>
      <c r="EO69" t="e">
        <f>AND(#REF!,"AAAAAH3mvJA=")</f>
        <v>#REF!</v>
      </c>
      <c r="EP69" t="e">
        <f>AND(#REF!,"AAAAAH3mvJE=")</f>
        <v>#REF!</v>
      </c>
      <c r="EQ69" t="e">
        <f>AND(#REF!,"AAAAAH3mvJI=")</f>
        <v>#REF!</v>
      </c>
      <c r="ER69" t="e">
        <f>AND(#REF!,"AAAAAH3mvJM=")</f>
        <v>#REF!</v>
      </c>
      <c r="ES69" t="e">
        <f>AND(#REF!,"AAAAAH3mvJQ=")</f>
        <v>#REF!</v>
      </c>
      <c r="ET69" t="e">
        <f>AND(#REF!,"AAAAAH3mvJU=")</f>
        <v>#REF!</v>
      </c>
      <c r="EU69" t="e">
        <f>AND(#REF!,"AAAAAH3mvJY=")</f>
        <v>#REF!</v>
      </c>
      <c r="EV69" t="e">
        <f>AND(#REF!,"AAAAAH3mvJc=")</f>
        <v>#REF!</v>
      </c>
      <c r="EW69" t="e">
        <f>IF(#REF!,"AAAAAH3mvJg=",0)</f>
        <v>#REF!</v>
      </c>
      <c r="EX69" t="e">
        <f>AND(#REF!,"AAAAAH3mvJk=")</f>
        <v>#REF!</v>
      </c>
      <c r="EY69" t="e">
        <f>AND(#REF!,"AAAAAH3mvJo=")</f>
        <v>#REF!</v>
      </c>
      <c r="EZ69" t="e">
        <f>AND(#REF!,"AAAAAH3mvJs=")</f>
        <v>#REF!</v>
      </c>
      <c r="FA69" t="e">
        <f>AND(#REF!,"AAAAAH3mvJw=")</f>
        <v>#REF!</v>
      </c>
      <c r="FB69" t="e">
        <f>AND(#REF!,"AAAAAH3mvJ0=")</f>
        <v>#REF!</v>
      </c>
      <c r="FC69" t="e">
        <f>AND(#REF!,"AAAAAH3mvJ4=")</f>
        <v>#REF!</v>
      </c>
      <c r="FD69" t="e">
        <f>AND(#REF!,"AAAAAH3mvJ8=")</f>
        <v>#REF!</v>
      </c>
      <c r="FE69" t="e">
        <f>AND(#REF!,"AAAAAH3mvKA=")</f>
        <v>#REF!</v>
      </c>
      <c r="FF69" t="e">
        <f>AND(#REF!,"AAAAAH3mvKE=")</f>
        <v>#REF!</v>
      </c>
      <c r="FG69" t="e">
        <f>AND(#REF!,"AAAAAH3mvKI=")</f>
        <v>#REF!</v>
      </c>
      <c r="FH69" t="e">
        <f>AND(#REF!,"AAAAAH3mvKM=")</f>
        <v>#REF!</v>
      </c>
      <c r="FI69" t="e">
        <f>AND(#REF!,"AAAAAH3mvKQ=")</f>
        <v>#REF!</v>
      </c>
      <c r="FJ69" t="e">
        <f>AND(#REF!,"AAAAAH3mvKU=")</f>
        <v>#REF!</v>
      </c>
      <c r="FK69" t="e">
        <f>AND(#REF!,"AAAAAH3mvKY=")</f>
        <v>#REF!</v>
      </c>
      <c r="FL69" t="e">
        <f>AND(#REF!,"AAAAAH3mvKc=")</f>
        <v>#REF!</v>
      </c>
      <c r="FM69" t="e">
        <f>AND(#REF!,"AAAAAH3mvKg=")</f>
        <v>#REF!</v>
      </c>
      <c r="FN69" t="e">
        <f>AND(#REF!,"AAAAAH3mvKk=")</f>
        <v>#REF!</v>
      </c>
      <c r="FO69" t="e">
        <f>AND(#REF!,"AAAAAH3mvKo=")</f>
        <v>#REF!</v>
      </c>
      <c r="FP69" t="e">
        <f>AND(#REF!,"AAAAAH3mvKs=")</f>
        <v>#REF!</v>
      </c>
      <c r="FQ69" t="e">
        <f>AND(#REF!,"AAAAAH3mvKw=")</f>
        <v>#REF!</v>
      </c>
      <c r="FR69" t="e">
        <f>AND(#REF!,"AAAAAH3mvK0=")</f>
        <v>#REF!</v>
      </c>
      <c r="FS69" t="e">
        <f>AND(#REF!,"AAAAAH3mvK4=")</f>
        <v>#REF!</v>
      </c>
      <c r="FT69" t="e">
        <f>AND(#REF!,"AAAAAH3mvK8=")</f>
        <v>#REF!</v>
      </c>
      <c r="FU69" t="e">
        <f>AND(#REF!,"AAAAAH3mvLA=")</f>
        <v>#REF!</v>
      </c>
      <c r="FV69" t="e">
        <f>IF(#REF!,"AAAAAH3mvLE=",0)</f>
        <v>#REF!</v>
      </c>
      <c r="FW69" t="e">
        <f>AND(#REF!,"AAAAAH3mvLI=")</f>
        <v>#REF!</v>
      </c>
      <c r="FX69" t="e">
        <f>AND(#REF!,"AAAAAH3mvLM=")</f>
        <v>#REF!</v>
      </c>
      <c r="FY69" t="e">
        <f>AND(#REF!,"AAAAAH3mvLQ=")</f>
        <v>#REF!</v>
      </c>
      <c r="FZ69" t="e">
        <f>AND(#REF!,"AAAAAH3mvLU=")</f>
        <v>#REF!</v>
      </c>
      <c r="GA69" t="e">
        <f>AND(#REF!,"AAAAAH3mvLY=")</f>
        <v>#REF!</v>
      </c>
      <c r="GB69" t="e">
        <f>AND(#REF!,"AAAAAH3mvLc=")</f>
        <v>#REF!</v>
      </c>
      <c r="GC69" t="e">
        <f>AND(#REF!,"AAAAAH3mvLg=")</f>
        <v>#REF!</v>
      </c>
      <c r="GD69" t="e">
        <f>AND(#REF!,"AAAAAH3mvLk=")</f>
        <v>#REF!</v>
      </c>
      <c r="GE69" t="e">
        <f>AND(#REF!,"AAAAAH3mvLo=")</f>
        <v>#REF!</v>
      </c>
      <c r="GF69" t="e">
        <f>AND(#REF!,"AAAAAH3mvLs=")</f>
        <v>#REF!</v>
      </c>
      <c r="GG69" t="e">
        <f>AND(#REF!,"AAAAAH3mvLw=")</f>
        <v>#REF!</v>
      </c>
      <c r="GH69" t="e">
        <f>AND(#REF!,"AAAAAH3mvL0=")</f>
        <v>#REF!</v>
      </c>
      <c r="GI69" t="e">
        <f>AND(#REF!,"AAAAAH3mvL4=")</f>
        <v>#REF!</v>
      </c>
      <c r="GJ69" t="e">
        <f>AND(#REF!,"AAAAAH3mvL8=")</f>
        <v>#REF!</v>
      </c>
      <c r="GK69" t="e">
        <f>AND(#REF!,"AAAAAH3mvMA=")</f>
        <v>#REF!</v>
      </c>
      <c r="GL69" t="e">
        <f>AND(#REF!,"AAAAAH3mvME=")</f>
        <v>#REF!</v>
      </c>
      <c r="GM69" t="e">
        <f>AND(#REF!,"AAAAAH3mvMI=")</f>
        <v>#REF!</v>
      </c>
      <c r="GN69" t="e">
        <f>AND(#REF!,"AAAAAH3mvMM=")</f>
        <v>#REF!</v>
      </c>
      <c r="GO69" t="e">
        <f>AND(#REF!,"AAAAAH3mvMQ=")</f>
        <v>#REF!</v>
      </c>
      <c r="GP69" t="e">
        <f>AND(#REF!,"AAAAAH3mvMU=")</f>
        <v>#REF!</v>
      </c>
      <c r="GQ69" t="e">
        <f>AND(#REF!,"AAAAAH3mvMY=")</f>
        <v>#REF!</v>
      </c>
      <c r="GR69" t="e">
        <f>AND(#REF!,"AAAAAH3mvMc=")</f>
        <v>#REF!</v>
      </c>
      <c r="GS69" t="e">
        <f>AND(#REF!,"AAAAAH3mvMg=")</f>
        <v>#REF!</v>
      </c>
      <c r="GT69" t="e">
        <f>AND(#REF!,"AAAAAH3mvMk=")</f>
        <v>#REF!</v>
      </c>
      <c r="GU69" t="e">
        <f>IF(#REF!,"AAAAAH3mvMo=",0)</f>
        <v>#REF!</v>
      </c>
      <c r="GV69" t="e">
        <f>AND(#REF!,"AAAAAH3mvMs=")</f>
        <v>#REF!</v>
      </c>
      <c r="GW69" t="e">
        <f>AND(#REF!,"AAAAAH3mvMw=")</f>
        <v>#REF!</v>
      </c>
      <c r="GX69" t="e">
        <f>AND(#REF!,"AAAAAH3mvM0=")</f>
        <v>#REF!</v>
      </c>
      <c r="GY69" t="e">
        <f>AND(#REF!,"AAAAAH3mvM4=")</f>
        <v>#REF!</v>
      </c>
      <c r="GZ69" t="e">
        <f>AND(#REF!,"AAAAAH3mvM8=")</f>
        <v>#REF!</v>
      </c>
      <c r="HA69" t="e">
        <f>AND(#REF!,"AAAAAH3mvNA=")</f>
        <v>#REF!</v>
      </c>
      <c r="HB69" t="e">
        <f>AND(#REF!,"AAAAAH3mvNE=")</f>
        <v>#REF!</v>
      </c>
      <c r="HC69" t="e">
        <f>AND(#REF!,"AAAAAH3mvNI=")</f>
        <v>#REF!</v>
      </c>
      <c r="HD69" t="e">
        <f>AND(#REF!,"AAAAAH3mvNM=")</f>
        <v>#REF!</v>
      </c>
      <c r="HE69" t="e">
        <f>AND(#REF!,"AAAAAH3mvNQ=")</f>
        <v>#REF!</v>
      </c>
      <c r="HF69" t="e">
        <f>AND(#REF!,"AAAAAH3mvNU=")</f>
        <v>#REF!</v>
      </c>
      <c r="HG69" t="e">
        <f>AND(#REF!,"AAAAAH3mvNY=")</f>
        <v>#REF!</v>
      </c>
      <c r="HH69" t="e">
        <f>AND(#REF!,"AAAAAH3mvNc=")</f>
        <v>#REF!</v>
      </c>
      <c r="HI69" t="e">
        <f>AND(#REF!,"AAAAAH3mvNg=")</f>
        <v>#REF!</v>
      </c>
      <c r="HJ69" t="e">
        <f>AND(#REF!,"AAAAAH3mvNk=")</f>
        <v>#REF!</v>
      </c>
      <c r="HK69" t="e">
        <f>AND(#REF!,"AAAAAH3mvNo=")</f>
        <v>#REF!</v>
      </c>
      <c r="HL69" t="e">
        <f>AND(#REF!,"AAAAAH3mvNs=")</f>
        <v>#REF!</v>
      </c>
      <c r="HM69" t="e">
        <f>AND(#REF!,"AAAAAH3mvNw=")</f>
        <v>#REF!</v>
      </c>
      <c r="HN69" t="e">
        <f>AND(#REF!,"AAAAAH3mvN0=")</f>
        <v>#REF!</v>
      </c>
      <c r="HO69" t="e">
        <f>AND(#REF!,"AAAAAH3mvN4=")</f>
        <v>#REF!</v>
      </c>
      <c r="HP69" t="e">
        <f>AND(#REF!,"AAAAAH3mvN8=")</f>
        <v>#REF!</v>
      </c>
      <c r="HQ69" t="e">
        <f>AND(#REF!,"AAAAAH3mvOA=")</f>
        <v>#REF!</v>
      </c>
      <c r="HR69" t="e">
        <f>AND(#REF!,"AAAAAH3mvOE=")</f>
        <v>#REF!</v>
      </c>
      <c r="HS69" t="e">
        <f>AND(#REF!,"AAAAAH3mvOI=")</f>
        <v>#REF!</v>
      </c>
      <c r="HT69" t="e">
        <f>IF(#REF!,"AAAAAH3mvOM=",0)</f>
        <v>#REF!</v>
      </c>
      <c r="HU69" t="e">
        <f>AND(#REF!,"AAAAAH3mvOQ=")</f>
        <v>#REF!</v>
      </c>
      <c r="HV69" t="e">
        <f>AND(#REF!,"AAAAAH3mvOU=")</f>
        <v>#REF!</v>
      </c>
      <c r="HW69" t="e">
        <f>AND(#REF!,"AAAAAH3mvOY=")</f>
        <v>#REF!</v>
      </c>
      <c r="HX69" t="e">
        <f>AND(#REF!,"AAAAAH3mvOc=")</f>
        <v>#REF!</v>
      </c>
      <c r="HY69" t="e">
        <f>AND(#REF!,"AAAAAH3mvOg=")</f>
        <v>#REF!</v>
      </c>
      <c r="HZ69" t="e">
        <f>AND(#REF!,"AAAAAH3mvOk=")</f>
        <v>#REF!</v>
      </c>
      <c r="IA69" t="e">
        <f>AND(#REF!,"AAAAAH3mvOo=")</f>
        <v>#REF!</v>
      </c>
      <c r="IB69" t="e">
        <f>AND(#REF!,"AAAAAH3mvOs=")</f>
        <v>#REF!</v>
      </c>
      <c r="IC69" t="e">
        <f>AND(#REF!,"AAAAAH3mvOw=")</f>
        <v>#REF!</v>
      </c>
      <c r="ID69" t="e">
        <f>AND(#REF!,"AAAAAH3mvO0=")</f>
        <v>#REF!</v>
      </c>
      <c r="IE69" t="e">
        <f>AND(#REF!,"AAAAAH3mvO4=")</f>
        <v>#REF!</v>
      </c>
      <c r="IF69" t="e">
        <f>AND(#REF!,"AAAAAH3mvO8=")</f>
        <v>#REF!</v>
      </c>
      <c r="IG69" t="e">
        <f>AND(#REF!,"AAAAAH3mvPA=")</f>
        <v>#REF!</v>
      </c>
      <c r="IH69" t="e">
        <f>AND(#REF!,"AAAAAH3mvPE=")</f>
        <v>#REF!</v>
      </c>
      <c r="II69" t="e">
        <f>AND(#REF!,"AAAAAH3mvPI=")</f>
        <v>#REF!</v>
      </c>
      <c r="IJ69" t="e">
        <f>AND(#REF!,"AAAAAH3mvPM=")</f>
        <v>#REF!</v>
      </c>
      <c r="IK69" t="e">
        <f>AND(#REF!,"AAAAAH3mvPQ=")</f>
        <v>#REF!</v>
      </c>
      <c r="IL69" t="e">
        <f>AND(#REF!,"AAAAAH3mvPU=")</f>
        <v>#REF!</v>
      </c>
      <c r="IM69" t="e">
        <f>AND(#REF!,"AAAAAH3mvPY=")</f>
        <v>#REF!</v>
      </c>
      <c r="IN69" t="e">
        <f>AND(#REF!,"AAAAAH3mvPc=")</f>
        <v>#REF!</v>
      </c>
      <c r="IO69" t="e">
        <f>AND(#REF!,"AAAAAH3mvPg=")</f>
        <v>#REF!</v>
      </c>
      <c r="IP69" t="e">
        <f>AND(#REF!,"AAAAAH3mvPk=")</f>
        <v>#REF!</v>
      </c>
      <c r="IQ69" t="e">
        <f>AND(#REF!,"AAAAAH3mvPo=")</f>
        <v>#REF!</v>
      </c>
      <c r="IR69" t="e">
        <f>AND(#REF!,"AAAAAH3mvPs=")</f>
        <v>#REF!</v>
      </c>
      <c r="IS69" t="e">
        <f>IF(#REF!,"AAAAAH3mvPw=",0)</f>
        <v>#REF!</v>
      </c>
      <c r="IT69" t="e">
        <f>AND(#REF!,"AAAAAH3mvP0=")</f>
        <v>#REF!</v>
      </c>
      <c r="IU69" t="e">
        <f>AND(#REF!,"AAAAAH3mvP4=")</f>
        <v>#REF!</v>
      </c>
      <c r="IV69" t="e">
        <f>AND(#REF!,"AAAAAH3mvP8=")</f>
        <v>#REF!</v>
      </c>
    </row>
    <row r="70" spans="1:256">
      <c r="A70" t="e">
        <f>AND(#REF!,"AAAAAFz18gA=")</f>
        <v>#REF!</v>
      </c>
      <c r="B70" t="e">
        <f>AND(#REF!,"AAAAAFz18gE=")</f>
        <v>#REF!</v>
      </c>
      <c r="C70" t="e">
        <f>AND(#REF!,"AAAAAFz18gI=")</f>
        <v>#REF!</v>
      </c>
      <c r="D70" t="e">
        <f>AND(#REF!,"AAAAAFz18gM=")</f>
        <v>#REF!</v>
      </c>
      <c r="E70" t="e">
        <f>AND(#REF!,"AAAAAFz18gQ=")</f>
        <v>#REF!</v>
      </c>
      <c r="F70" t="e">
        <f>AND(#REF!,"AAAAAFz18gU=")</f>
        <v>#REF!</v>
      </c>
      <c r="G70" t="e">
        <f>AND(#REF!,"AAAAAFz18gY=")</f>
        <v>#REF!</v>
      </c>
      <c r="H70" t="e">
        <f>AND(#REF!,"AAAAAFz18gc=")</f>
        <v>#REF!</v>
      </c>
      <c r="I70" t="e">
        <f>AND(#REF!,"AAAAAFz18gg=")</f>
        <v>#REF!</v>
      </c>
      <c r="J70" t="e">
        <f>AND(#REF!,"AAAAAFz18gk=")</f>
        <v>#REF!</v>
      </c>
      <c r="K70" t="e">
        <f>AND(#REF!,"AAAAAFz18go=")</f>
        <v>#REF!</v>
      </c>
      <c r="L70" t="e">
        <f>AND(#REF!,"AAAAAFz18gs=")</f>
        <v>#REF!</v>
      </c>
      <c r="M70" t="e">
        <f>AND(#REF!,"AAAAAFz18gw=")</f>
        <v>#REF!</v>
      </c>
      <c r="N70" t="e">
        <f>AND(#REF!,"AAAAAFz18g0=")</f>
        <v>#REF!</v>
      </c>
      <c r="O70" t="e">
        <f>AND(#REF!,"AAAAAFz18g4=")</f>
        <v>#REF!</v>
      </c>
      <c r="P70" t="e">
        <f>AND(#REF!,"AAAAAFz18g8=")</f>
        <v>#REF!</v>
      </c>
      <c r="Q70" t="e">
        <f>AND(#REF!,"AAAAAFz18hA=")</f>
        <v>#REF!</v>
      </c>
      <c r="R70" t="e">
        <f>AND(#REF!,"AAAAAFz18hE=")</f>
        <v>#REF!</v>
      </c>
      <c r="S70" t="e">
        <f>AND(#REF!,"AAAAAFz18hI=")</f>
        <v>#REF!</v>
      </c>
      <c r="T70" t="e">
        <f>AND(#REF!,"AAAAAFz18hM=")</f>
        <v>#REF!</v>
      </c>
      <c r="U70" t="e">
        <f>AND(#REF!,"AAAAAFz18hQ=")</f>
        <v>#REF!</v>
      </c>
      <c r="V70" t="e">
        <f>IF(#REF!,"AAAAAFz18hU=",0)</f>
        <v>#REF!</v>
      </c>
      <c r="W70" t="e">
        <f>AND(#REF!,"AAAAAFz18hY=")</f>
        <v>#REF!</v>
      </c>
      <c r="X70" t="e">
        <f>AND(#REF!,"AAAAAFz18hc=")</f>
        <v>#REF!</v>
      </c>
      <c r="Y70" t="e">
        <f>AND(#REF!,"AAAAAFz18hg=")</f>
        <v>#REF!</v>
      </c>
      <c r="Z70" t="e">
        <f>AND(#REF!,"AAAAAFz18hk=")</f>
        <v>#REF!</v>
      </c>
      <c r="AA70" t="e">
        <f>AND(#REF!,"AAAAAFz18ho=")</f>
        <v>#REF!</v>
      </c>
      <c r="AB70" t="e">
        <f>AND(#REF!,"AAAAAFz18hs=")</f>
        <v>#REF!</v>
      </c>
      <c r="AC70" t="e">
        <f>AND(#REF!,"AAAAAFz18hw=")</f>
        <v>#REF!</v>
      </c>
      <c r="AD70" t="e">
        <f>AND(#REF!,"AAAAAFz18h0=")</f>
        <v>#REF!</v>
      </c>
      <c r="AE70" t="e">
        <f>AND(#REF!,"AAAAAFz18h4=")</f>
        <v>#REF!</v>
      </c>
      <c r="AF70" t="e">
        <f>AND(#REF!,"AAAAAFz18h8=")</f>
        <v>#REF!</v>
      </c>
      <c r="AG70" t="e">
        <f>AND(#REF!,"AAAAAFz18iA=")</f>
        <v>#REF!</v>
      </c>
      <c r="AH70" t="e">
        <f>AND(#REF!,"AAAAAFz18iE=")</f>
        <v>#REF!</v>
      </c>
      <c r="AI70" t="e">
        <f>AND(#REF!,"AAAAAFz18iI=")</f>
        <v>#REF!</v>
      </c>
      <c r="AJ70" t="e">
        <f>AND(#REF!,"AAAAAFz18iM=")</f>
        <v>#REF!</v>
      </c>
      <c r="AK70" t="e">
        <f>AND(#REF!,"AAAAAFz18iQ=")</f>
        <v>#REF!</v>
      </c>
      <c r="AL70" t="e">
        <f>AND(#REF!,"AAAAAFz18iU=")</f>
        <v>#REF!</v>
      </c>
      <c r="AM70" t="e">
        <f>AND(#REF!,"AAAAAFz18iY=")</f>
        <v>#REF!</v>
      </c>
      <c r="AN70" t="e">
        <f>AND(#REF!,"AAAAAFz18ic=")</f>
        <v>#REF!</v>
      </c>
      <c r="AO70" t="e">
        <f>AND(#REF!,"AAAAAFz18ig=")</f>
        <v>#REF!</v>
      </c>
      <c r="AP70" t="e">
        <f>AND(#REF!,"AAAAAFz18ik=")</f>
        <v>#REF!</v>
      </c>
      <c r="AQ70" t="e">
        <f>AND(#REF!,"AAAAAFz18io=")</f>
        <v>#REF!</v>
      </c>
      <c r="AR70" t="e">
        <f>AND(#REF!,"AAAAAFz18is=")</f>
        <v>#REF!</v>
      </c>
      <c r="AS70" t="e">
        <f>AND(#REF!,"AAAAAFz18iw=")</f>
        <v>#REF!</v>
      </c>
      <c r="AT70" t="e">
        <f>AND(#REF!,"AAAAAFz18i0=")</f>
        <v>#REF!</v>
      </c>
      <c r="AU70" t="e">
        <f>IF(#REF!,"AAAAAFz18i4=",0)</f>
        <v>#REF!</v>
      </c>
      <c r="AV70" t="e">
        <f>AND(#REF!,"AAAAAFz18i8=")</f>
        <v>#REF!</v>
      </c>
      <c r="AW70" t="e">
        <f>AND(#REF!,"AAAAAFz18jA=")</f>
        <v>#REF!</v>
      </c>
      <c r="AX70" t="e">
        <f>AND(#REF!,"AAAAAFz18jE=")</f>
        <v>#REF!</v>
      </c>
      <c r="AY70" t="e">
        <f>AND(#REF!,"AAAAAFz18jI=")</f>
        <v>#REF!</v>
      </c>
      <c r="AZ70" t="e">
        <f>AND(#REF!,"AAAAAFz18jM=")</f>
        <v>#REF!</v>
      </c>
      <c r="BA70" t="e">
        <f>AND(#REF!,"AAAAAFz18jQ=")</f>
        <v>#REF!</v>
      </c>
      <c r="BB70" t="e">
        <f>AND(#REF!,"AAAAAFz18jU=")</f>
        <v>#REF!</v>
      </c>
      <c r="BC70" t="e">
        <f>AND(#REF!,"AAAAAFz18jY=")</f>
        <v>#REF!</v>
      </c>
      <c r="BD70" t="e">
        <f>AND(#REF!,"AAAAAFz18jc=")</f>
        <v>#REF!</v>
      </c>
      <c r="BE70" t="e">
        <f>AND(#REF!,"AAAAAFz18jg=")</f>
        <v>#REF!</v>
      </c>
      <c r="BF70" t="e">
        <f>AND(#REF!,"AAAAAFz18jk=")</f>
        <v>#REF!</v>
      </c>
      <c r="BG70" t="e">
        <f>AND(#REF!,"AAAAAFz18jo=")</f>
        <v>#REF!</v>
      </c>
      <c r="BH70" t="e">
        <f>AND(#REF!,"AAAAAFz18js=")</f>
        <v>#REF!</v>
      </c>
      <c r="BI70" t="e">
        <f>AND(#REF!,"AAAAAFz18jw=")</f>
        <v>#REF!</v>
      </c>
      <c r="BJ70" t="e">
        <f>AND(#REF!,"AAAAAFz18j0=")</f>
        <v>#REF!</v>
      </c>
      <c r="BK70" t="e">
        <f>AND(#REF!,"AAAAAFz18j4=")</f>
        <v>#REF!</v>
      </c>
      <c r="BL70" t="e">
        <f>AND(#REF!,"AAAAAFz18j8=")</f>
        <v>#REF!</v>
      </c>
      <c r="BM70" t="e">
        <f>AND(#REF!,"AAAAAFz18kA=")</f>
        <v>#REF!</v>
      </c>
      <c r="BN70" t="e">
        <f>AND(#REF!,"AAAAAFz18kE=")</f>
        <v>#REF!</v>
      </c>
      <c r="BO70" t="e">
        <f>AND(#REF!,"AAAAAFz18kI=")</f>
        <v>#REF!</v>
      </c>
      <c r="BP70" t="e">
        <f>AND(#REF!,"AAAAAFz18kM=")</f>
        <v>#REF!</v>
      </c>
      <c r="BQ70" t="e">
        <f>AND(#REF!,"AAAAAFz18kQ=")</f>
        <v>#REF!</v>
      </c>
      <c r="BR70" t="e">
        <f>AND(#REF!,"AAAAAFz18kU=")</f>
        <v>#REF!</v>
      </c>
      <c r="BS70" t="e">
        <f>AND(#REF!,"AAAAAFz18kY=")</f>
        <v>#REF!</v>
      </c>
      <c r="BT70" t="e">
        <f>IF(#REF!,"AAAAAFz18kc=",0)</f>
        <v>#REF!</v>
      </c>
      <c r="BU70" t="e">
        <f>AND(#REF!,"AAAAAFz18kg=")</f>
        <v>#REF!</v>
      </c>
      <c r="BV70" t="e">
        <f>AND(#REF!,"AAAAAFz18kk=")</f>
        <v>#REF!</v>
      </c>
      <c r="BW70" t="e">
        <f>AND(#REF!,"AAAAAFz18ko=")</f>
        <v>#REF!</v>
      </c>
      <c r="BX70" t="e">
        <f>AND(#REF!,"AAAAAFz18ks=")</f>
        <v>#REF!</v>
      </c>
      <c r="BY70" t="e">
        <f>AND(#REF!,"AAAAAFz18kw=")</f>
        <v>#REF!</v>
      </c>
      <c r="BZ70" t="e">
        <f>AND(#REF!,"AAAAAFz18k0=")</f>
        <v>#REF!</v>
      </c>
      <c r="CA70" t="e">
        <f>AND(#REF!,"AAAAAFz18k4=")</f>
        <v>#REF!</v>
      </c>
      <c r="CB70" t="e">
        <f>AND(#REF!,"AAAAAFz18k8=")</f>
        <v>#REF!</v>
      </c>
      <c r="CC70" t="e">
        <f>AND(#REF!,"AAAAAFz18lA=")</f>
        <v>#REF!</v>
      </c>
      <c r="CD70" t="e">
        <f>AND(#REF!,"AAAAAFz18lE=")</f>
        <v>#REF!</v>
      </c>
      <c r="CE70" t="e">
        <f>AND(#REF!,"AAAAAFz18lI=")</f>
        <v>#REF!</v>
      </c>
      <c r="CF70" t="e">
        <f>AND(#REF!,"AAAAAFz18lM=")</f>
        <v>#REF!</v>
      </c>
      <c r="CG70" t="e">
        <f>AND(#REF!,"AAAAAFz18lQ=")</f>
        <v>#REF!</v>
      </c>
      <c r="CH70" t="e">
        <f>AND(#REF!,"AAAAAFz18lU=")</f>
        <v>#REF!</v>
      </c>
      <c r="CI70" t="e">
        <f>AND(#REF!,"AAAAAFz18lY=")</f>
        <v>#REF!</v>
      </c>
      <c r="CJ70" t="e">
        <f>AND(#REF!,"AAAAAFz18lc=")</f>
        <v>#REF!</v>
      </c>
      <c r="CK70" t="e">
        <f>AND(#REF!,"AAAAAFz18lg=")</f>
        <v>#REF!</v>
      </c>
      <c r="CL70" t="e">
        <f>AND(#REF!,"AAAAAFz18lk=")</f>
        <v>#REF!</v>
      </c>
      <c r="CM70" t="e">
        <f>AND(#REF!,"AAAAAFz18lo=")</f>
        <v>#REF!</v>
      </c>
      <c r="CN70" t="e">
        <f>AND(#REF!,"AAAAAFz18ls=")</f>
        <v>#REF!</v>
      </c>
      <c r="CO70" t="e">
        <f>AND(#REF!,"AAAAAFz18lw=")</f>
        <v>#REF!</v>
      </c>
      <c r="CP70" t="e">
        <f>AND(#REF!,"AAAAAFz18l0=")</f>
        <v>#REF!</v>
      </c>
      <c r="CQ70" t="e">
        <f>AND(#REF!,"AAAAAFz18l4=")</f>
        <v>#REF!</v>
      </c>
      <c r="CR70" t="e">
        <f>AND(#REF!,"AAAAAFz18l8=")</f>
        <v>#REF!</v>
      </c>
      <c r="CS70" t="e">
        <f>IF(#REF!,"AAAAAFz18mA=",0)</f>
        <v>#REF!</v>
      </c>
      <c r="CT70" t="e">
        <f>AND(#REF!,"AAAAAFz18mE=")</f>
        <v>#REF!</v>
      </c>
      <c r="CU70" t="e">
        <f>AND(#REF!,"AAAAAFz18mI=")</f>
        <v>#REF!</v>
      </c>
      <c r="CV70" t="e">
        <f>AND(#REF!,"AAAAAFz18mM=")</f>
        <v>#REF!</v>
      </c>
      <c r="CW70" t="e">
        <f>AND(#REF!,"AAAAAFz18mQ=")</f>
        <v>#REF!</v>
      </c>
      <c r="CX70" t="e">
        <f>AND(#REF!,"AAAAAFz18mU=")</f>
        <v>#REF!</v>
      </c>
      <c r="CY70" t="e">
        <f>AND(#REF!,"AAAAAFz18mY=")</f>
        <v>#REF!</v>
      </c>
      <c r="CZ70" t="e">
        <f>AND(#REF!,"AAAAAFz18mc=")</f>
        <v>#REF!</v>
      </c>
      <c r="DA70" t="e">
        <f>AND(#REF!,"AAAAAFz18mg=")</f>
        <v>#REF!</v>
      </c>
      <c r="DB70" t="e">
        <f>AND(#REF!,"AAAAAFz18mk=")</f>
        <v>#REF!</v>
      </c>
      <c r="DC70" t="e">
        <f>AND(#REF!,"AAAAAFz18mo=")</f>
        <v>#REF!</v>
      </c>
      <c r="DD70" t="e">
        <f>AND(#REF!,"AAAAAFz18ms=")</f>
        <v>#REF!</v>
      </c>
      <c r="DE70" t="e">
        <f>AND(#REF!,"AAAAAFz18mw=")</f>
        <v>#REF!</v>
      </c>
      <c r="DF70" t="e">
        <f>AND(#REF!,"AAAAAFz18m0=")</f>
        <v>#REF!</v>
      </c>
      <c r="DG70" t="e">
        <f>AND(#REF!,"AAAAAFz18m4=")</f>
        <v>#REF!</v>
      </c>
      <c r="DH70" t="e">
        <f>AND(#REF!,"AAAAAFz18m8=")</f>
        <v>#REF!</v>
      </c>
      <c r="DI70" t="e">
        <f>AND(#REF!,"AAAAAFz18nA=")</f>
        <v>#REF!</v>
      </c>
      <c r="DJ70" t="e">
        <f>AND(#REF!,"AAAAAFz18nE=")</f>
        <v>#REF!</v>
      </c>
      <c r="DK70" t="e">
        <f>AND(#REF!,"AAAAAFz18nI=")</f>
        <v>#REF!</v>
      </c>
      <c r="DL70" t="e">
        <f>AND(#REF!,"AAAAAFz18nM=")</f>
        <v>#REF!</v>
      </c>
      <c r="DM70" t="e">
        <f>AND(#REF!,"AAAAAFz18nQ=")</f>
        <v>#REF!</v>
      </c>
      <c r="DN70" t="e">
        <f>AND(#REF!,"AAAAAFz18nU=")</f>
        <v>#REF!</v>
      </c>
      <c r="DO70" t="e">
        <f>AND(#REF!,"AAAAAFz18nY=")</f>
        <v>#REF!</v>
      </c>
      <c r="DP70" t="e">
        <f>AND(#REF!,"AAAAAFz18nc=")</f>
        <v>#REF!</v>
      </c>
      <c r="DQ70" t="e">
        <f>AND(#REF!,"AAAAAFz18ng=")</f>
        <v>#REF!</v>
      </c>
      <c r="DR70" t="e">
        <f>IF(#REF!,"AAAAAFz18nk=",0)</f>
        <v>#REF!</v>
      </c>
      <c r="DS70" t="e">
        <f>AND(#REF!,"AAAAAFz18no=")</f>
        <v>#REF!</v>
      </c>
      <c r="DT70" t="e">
        <f>AND(#REF!,"AAAAAFz18ns=")</f>
        <v>#REF!</v>
      </c>
      <c r="DU70" t="e">
        <f>AND(#REF!,"AAAAAFz18nw=")</f>
        <v>#REF!</v>
      </c>
      <c r="DV70" t="e">
        <f>AND(#REF!,"AAAAAFz18n0=")</f>
        <v>#REF!</v>
      </c>
      <c r="DW70" t="e">
        <f>AND(#REF!,"AAAAAFz18n4=")</f>
        <v>#REF!</v>
      </c>
      <c r="DX70" t="e">
        <f>AND(#REF!,"AAAAAFz18n8=")</f>
        <v>#REF!</v>
      </c>
      <c r="DY70" t="e">
        <f>AND(#REF!,"AAAAAFz18oA=")</f>
        <v>#REF!</v>
      </c>
      <c r="DZ70" t="e">
        <f>AND(#REF!,"AAAAAFz18oE=")</f>
        <v>#REF!</v>
      </c>
      <c r="EA70" t="e">
        <f>AND(#REF!,"AAAAAFz18oI=")</f>
        <v>#REF!</v>
      </c>
      <c r="EB70" t="e">
        <f>AND(#REF!,"AAAAAFz18oM=")</f>
        <v>#REF!</v>
      </c>
      <c r="EC70" t="e">
        <f>AND(#REF!,"AAAAAFz18oQ=")</f>
        <v>#REF!</v>
      </c>
      <c r="ED70" t="e">
        <f>AND(#REF!,"AAAAAFz18oU=")</f>
        <v>#REF!</v>
      </c>
      <c r="EE70" t="e">
        <f>AND(#REF!,"AAAAAFz18oY=")</f>
        <v>#REF!</v>
      </c>
      <c r="EF70" t="e">
        <f>AND(#REF!,"AAAAAFz18oc=")</f>
        <v>#REF!</v>
      </c>
      <c r="EG70" t="e">
        <f>AND(#REF!,"AAAAAFz18og=")</f>
        <v>#REF!</v>
      </c>
      <c r="EH70" t="e">
        <f>AND(#REF!,"AAAAAFz18ok=")</f>
        <v>#REF!</v>
      </c>
      <c r="EI70" t="e">
        <f>AND(#REF!,"AAAAAFz18oo=")</f>
        <v>#REF!</v>
      </c>
      <c r="EJ70" t="e">
        <f>AND(#REF!,"AAAAAFz18os=")</f>
        <v>#REF!</v>
      </c>
      <c r="EK70" t="e">
        <f>AND(#REF!,"AAAAAFz18ow=")</f>
        <v>#REF!</v>
      </c>
      <c r="EL70" t="e">
        <f>AND(#REF!,"AAAAAFz18o0=")</f>
        <v>#REF!</v>
      </c>
      <c r="EM70" t="e">
        <f>AND(#REF!,"AAAAAFz18o4=")</f>
        <v>#REF!</v>
      </c>
      <c r="EN70" t="e">
        <f>AND(#REF!,"AAAAAFz18o8=")</f>
        <v>#REF!</v>
      </c>
      <c r="EO70" t="e">
        <f>AND(#REF!,"AAAAAFz18pA=")</f>
        <v>#REF!</v>
      </c>
      <c r="EP70" t="e">
        <f>AND(#REF!,"AAAAAFz18pE=")</f>
        <v>#REF!</v>
      </c>
      <c r="EQ70" t="e">
        <f>IF(#REF!,"AAAAAFz18pI=",0)</f>
        <v>#REF!</v>
      </c>
      <c r="ER70" t="e">
        <f>AND(#REF!,"AAAAAFz18pM=")</f>
        <v>#REF!</v>
      </c>
      <c r="ES70" t="e">
        <f>AND(#REF!,"AAAAAFz18pQ=")</f>
        <v>#REF!</v>
      </c>
      <c r="ET70" t="e">
        <f>AND(#REF!,"AAAAAFz18pU=")</f>
        <v>#REF!</v>
      </c>
      <c r="EU70" t="e">
        <f>AND(#REF!,"AAAAAFz18pY=")</f>
        <v>#REF!</v>
      </c>
      <c r="EV70" t="e">
        <f>AND(#REF!,"AAAAAFz18pc=")</f>
        <v>#REF!</v>
      </c>
      <c r="EW70" t="e">
        <f>AND(#REF!,"AAAAAFz18pg=")</f>
        <v>#REF!</v>
      </c>
      <c r="EX70" t="e">
        <f>AND(#REF!,"AAAAAFz18pk=")</f>
        <v>#REF!</v>
      </c>
      <c r="EY70" t="e">
        <f>AND(#REF!,"AAAAAFz18po=")</f>
        <v>#REF!</v>
      </c>
      <c r="EZ70" t="e">
        <f>AND(#REF!,"AAAAAFz18ps=")</f>
        <v>#REF!</v>
      </c>
      <c r="FA70" t="e">
        <f>AND(#REF!,"AAAAAFz18pw=")</f>
        <v>#REF!</v>
      </c>
      <c r="FB70" t="e">
        <f>AND(#REF!,"AAAAAFz18p0=")</f>
        <v>#REF!</v>
      </c>
      <c r="FC70" t="e">
        <f>AND(#REF!,"AAAAAFz18p4=")</f>
        <v>#REF!</v>
      </c>
      <c r="FD70" t="e">
        <f>AND(#REF!,"AAAAAFz18p8=")</f>
        <v>#REF!</v>
      </c>
      <c r="FE70" t="e">
        <f>AND(#REF!,"AAAAAFz18qA=")</f>
        <v>#REF!</v>
      </c>
      <c r="FF70" t="e">
        <f>AND(#REF!,"AAAAAFz18qE=")</f>
        <v>#REF!</v>
      </c>
      <c r="FG70" t="e">
        <f>AND(#REF!,"AAAAAFz18qI=")</f>
        <v>#REF!</v>
      </c>
      <c r="FH70" t="e">
        <f>AND(#REF!,"AAAAAFz18qM=")</f>
        <v>#REF!</v>
      </c>
      <c r="FI70" t="e">
        <f>AND(#REF!,"AAAAAFz18qQ=")</f>
        <v>#REF!</v>
      </c>
      <c r="FJ70" t="e">
        <f>AND(#REF!,"AAAAAFz18qU=")</f>
        <v>#REF!</v>
      </c>
      <c r="FK70" t="e">
        <f>AND(#REF!,"AAAAAFz18qY=")</f>
        <v>#REF!</v>
      </c>
      <c r="FL70" t="e">
        <f>AND(#REF!,"AAAAAFz18qc=")</f>
        <v>#REF!</v>
      </c>
      <c r="FM70" t="e">
        <f>AND(#REF!,"AAAAAFz18qg=")</f>
        <v>#REF!</v>
      </c>
      <c r="FN70" t="e">
        <f>AND(#REF!,"AAAAAFz18qk=")</f>
        <v>#REF!</v>
      </c>
      <c r="FO70" t="e">
        <f>AND(#REF!,"AAAAAFz18qo=")</f>
        <v>#REF!</v>
      </c>
      <c r="FP70" t="e">
        <f>IF(#REF!,"AAAAAFz18qs=",0)</f>
        <v>#REF!</v>
      </c>
      <c r="FQ70" t="e">
        <f>AND(#REF!,"AAAAAFz18qw=")</f>
        <v>#REF!</v>
      </c>
      <c r="FR70" t="e">
        <f>AND(#REF!,"AAAAAFz18q0=")</f>
        <v>#REF!</v>
      </c>
      <c r="FS70" t="e">
        <f>AND(#REF!,"AAAAAFz18q4=")</f>
        <v>#REF!</v>
      </c>
      <c r="FT70" t="e">
        <f>AND(#REF!,"AAAAAFz18q8=")</f>
        <v>#REF!</v>
      </c>
      <c r="FU70" t="e">
        <f>AND(#REF!,"AAAAAFz18rA=")</f>
        <v>#REF!</v>
      </c>
      <c r="FV70" t="e">
        <f>AND(#REF!,"AAAAAFz18rE=")</f>
        <v>#REF!</v>
      </c>
      <c r="FW70" t="e">
        <f>AND(#REF!,"AAAAAFz18rI=")</f>
        <v>#REF!</v>
      </c>
      <c r="FX70" t="e">
        <f>AND(#REF!,"AAAAAFz18rM=")</f>
        <v>#REF!</v>
      </c>
      <c r="FY70" t="e">
        <f>AND(#REF!,"AAAAAFz18rQ=")</f>
        <v>#REF!</v>
      </c>
      <c r="FZ70" t="e">
        <f>AND(#REF!,"AAAAAFz18rU=")</f>
        <v>#REF!</v>
      </c>
      <c r="GA70" t="e">
        <f>AND(#REF!,"AAAAAFz18rY=")</f>
        <v>#REF!</v>
      </c>
      <c r="GB70" t="e">
        <f>AND(#REF!,"AAAAAFz18rc=")</f>
        <v>#REF!</v>
      </c>
      <c r="GC70" t="e">
        <f>AND(#REF!,"AAAAAFz18rg=")</f>
        <v>#REF!</v>
      </c>
      <c r="GD70" t="e">
        <f>AND(#REF!,"AAAAAFz18rk=")</f>
        <v>#REF!</v>
      </c>
      <c r="GE70" t="e">
        <f>AND(#REF!,"AAAAAFz18ro=")</f>
        <v>#REF!</v>
      </c>
      <c r="GF70" t="e">
        <f>AND(#REF!,"AAAAAFz18rs=")</f>
        <v>#REF!</v>
      </c>
      <c r="GG70" t="e">
        <f>AND(#REF!,"AAAAAFz18rw=")</f>
        <v>#REF!</v>
      </c>
      <c r="GH70" t="e">
        <f>AND(#REF!,"AAAAAFz18r0=")</f>
        <v>#REF!</v>
      </c>
      <c r="GI70" t="e">
        <f>AND(#REF!,"AAAAAFz18r4=")</f>
        <v>#REF!</v>
      </c>
      <c r="GJ70" t="e">
        <f>AND(#REF!,"AAAAAFz18r8=")</f>
        <v>#REF!</v>
      </c>
      <c r="GK70" t="e">
        <f>AND(#REF!,"AAAAAFz18sA=")</f>
        <v>#REF!</v>
      </c>
      <c r="GL70" t="e">
        <f>AND(#REF!,"AAAAAFz18sE=")</f>
        <v>#REF!</v>
      </c>
      <c r="GM70" t="e">
        <f>AND(#REF!,"AAAAAFz18sI=")</f>
        <v>#REF!</v>
      </c>
      <c r="GN70" t="e">
        <f>AND(#REF!,"AAAAAFz18sM=")</f>
        <v>#REF!</v>
      </c>
      <c r="GO70" t="e">
        <f>IF(#REF!,"AAAAAFz18sQ=",0)</f>
        <v>#REF!</v>
      </c>
      <c r="GP70" t="e">
        <f>AND(#REF!,"AAAAAFz18sU=")</f>
        <v>#REF!</v>
      </c>
      <c r="GQ70" t="e">
        <f>AND(#REF!,"AAAAAFz18sY=")</f>
        <v>#REF!</v>
      </c>
      <c r="GR70" t="e">
        <f>AND(#REF!,"AAAAAFz18sc=")</f>
        <v>#REF!</v>
      </c>
      <c r="GS70" t="e">
        <f>AND(#REF!,"AAAAAFz18sg=")</f>
        <v>#REF!</v>
      </c>
      <c r="GT70" t="e">
        <f>AND(#REF!,"AAAAAFz18sk=")</f>
        <v>#REF!</v>
      </c>
      <c r="GU70" t="e">
        <f>AND(#REF!,"AAAAAFz18so=")</f>
        <v>#REF!</v>
      </c>
      <c r="GV70" t="e">
        <f>AND(#REF!,"AAAAAFz18ss=")</f>
        <v>#REF!</v>
      </c>
      <c r="GW70" t="e">
        <f>AND(#REF!,"AAAAAFz18sw=")</f>
        <v>#REF!</v>
      </c>
      <c r="GX70" t="e">
        <f>AND(#REF!,"AAAAAFz18s0=")</f>
        <v>#REF!</v>
      </c>
      <c r="GY70" t="e">
        <f>AND(#REF!,"AAAAAFz18s4=")</f>
        <v>#REF!</v>
      </c>
      <c r="GZ70" t="e">
        <f>AND(#REF!,"AAAAAFz18s8=")</f>
        <v>#REF!</v>
      </c>
      <c r="HA70" t="e">
        <f>AND(#REF!,"AAAAAFz18tA=")</f>
        <v>#REF!</v>
      </c>
      <c r="HB70" t="e">
        <f>AND(#REF!,"AAAAAFz18tE=")</f>
        <v>#REF!</v>
      </c>
      <c r="HC70" t="e">
        <f>AND(#REF!,"AAAAAFz18tI=")</f>
        <v>#REF!</v>
      </c>
      <c r="HD70" t="e">
        <f>AND(#REF!,"AAAAAFz18tM=")</f>
        <v>#REF!</v>
      </c>
      <c r="HE70" t="e">
        <f>AND(#REF!,"AAAAAFz18tQ=")</f>
        <v>#REF!</v>
      </c>
      <c r="HF70" t="e">
        <f>AND(#REF!,"AAAAAFz18tU=")</f>
        <v>#REF!</v>
      </c>
      <c r="HG70" t="e">
        <f>AND(#REF!,"AAAAAFz18tY=")</f>
        <v>#REF!</v>
      </c>
      <c r="HH70" t="e">
        <f>AND(#REF!,"AAAAAFz18tc=")</f>
        <v>#REF!</v>
      </c>
      <c r="HI70" t="e">
        <f>AND(#REF!,"AAAAAFz18tg=")</f>
        <v>#REF!</v>
      </c>
      <c r="HJ70" t="e">
        <f>AND(#REF!,"AAAAAFz18tk=")</f>
        <v>#REF!</v>
      </c>
      <c r="HK70" t="e">
        <f>AND(#REF!,"AAAAAFz18to=")</f>
        <v>#REF!</v>
      </c>
      <c r="HL70" t="e">
        <f>AND(#REF!,"AAAAAFz18ts=")</f>
        <v>#REF!</v>
      </c>
      <c r="HM70" t="e">
        <f>AND(#REF!,"AAAAAFz18tw=")</f>
        <v>#REF!</v>
      </c>
      <c r="HN70" t="e">
        <f>IF(#REF!,"AAAAAFz18t0=",0)</f>
        <v>#REF!</v>
      </c>
      <c r="HO70" t="e">
        <f>AND(#REF!,"AAAAAFz18t4=")</f>
        <v>#REF!</v>
      </c>
      <c r="HP70" t="e">
        <f>AND(#REF!,"AAAAAFz18t8=")</f>
        <v>#REF!</v>
      </c>
      <c r="HQ70" t="e">
        <f>AND(#REF!,"AAAAAFz18uA=")</f>
        <v>#REF!</v>
      </c>
      <c r="HR70" t="e">
        <f>AND(#REF!,"AAAAAFz18uE=")</f>
        <v>#REF!</v>
      </c>
      <c r="HS70" t="e">
        <f>AND(#REF!,"AAAAAFz18uI=")</f>
        <v>#REF!</v>
      </c>
      <c r="HT70" t="e">
        <f>AND(#REF!,"AAAAAFz18uM=")</f>
        <v>#REF!</v>
      </c>
      <c r="HU70" t="e">
        <f>AND(#REF!,"AAAAAFz18uQ=")</f>
        <v>#REF!</v>
      </c>
      <c r="HV70" t="e">
        <f>AND(#REF!,"AAAAAFz18uU=")</f>
        <v>#REF!</v>
      </c>
      <c r="HW70" t="e">
        <f>AND(#REF!,"AAAAAFz18uY=")</f>
        <v>#REF!</v>
      </c>
      <c r="HX70" t="e">
        <f>AND(#REF!,"AAAAAFz18uc=")</f>
        <v>#REF!</v>
      </c>
      <c r="HY70" t="e">
        <f>AND(#REF!,"AAAAAFz18ug=")</f>
        <v>#REF!</v>
      </c>
      <c r="HZ70" t="e">
        <f>AND(#REF!,"AAAAAFz18uk=")</f>
        <v>#REF!</v>
      </c>
      <c r="IA70" t="e">
        <f>AND(#REF!,"AAAAAFz18uo=")</f>
        <v>#REF!</v>
      </c>
      <c r="IB70" t="e">
        <f>AND(#REF!,"AAAAAFz18us=")</f>
        <v>#REF!</v>
      </c>
      <c r="IC70" t="e">
        <f>AND(#REF!,"AAAAAFz18uw=")</f>
        <v>#REF!</v>
      </c>
      <c r="ID70" t="e">
        <f>AND(#REF!,"AAAAAFz18u0=")</f>
        <v>#REF!</v>
      </c>
      <c r="IE70" t="e">
        <f>AND(#REF!,"AAAAAFz18u4=")</f>
        <v>#REF!</v>
      </c>
      <c r="IF70" t="e">
        <f>AND(#REF!,"AAAAAFz18u8=")</f>
        <v>#REF!</v>
      </c>
      <c r="IG70" t="e">
        <f>AND(#REF!,"AAAAAFz18vA=")</f>
        <v>#REF!</v>
      </c>
      <c r="IH70" t="e">
        <f>AND(#REF!,"AAAAAFz18vE=")</f>
        <v>#REF!</v>
      </c>
      <c r="II70" t="e">
        <f>AND(#REF!,"AAAAAFz18vI=")</f>
        <v>#REF!</v>
      </c>
      <c r="IJ70" t="e">
        <f>AND(#REF!,"AAAAAFz18vM=")</f>
        <v>#REF!</v>
      </c>
      <c r="IK70" t="e">
        <f>AND(#REF!,"AAAAAFz18vQ=")</f>
        <v>#REF!</v>
      </c>
      <c r="IL70" t="e">
        <f>AND(#REF!,"AAAAAFz18vU=")</f>
        <v>#REF!</v>
      </c>
      <c r="IM70" t="e">
        <f>IF(#REF!,"AAAAAFz18vY=",0)</f>
        <v>#REF!</v>
      </c>
      <c r="IN70" t="e">
        <f>AND(#REF!,"AAAAAFz18vc=")</f>
        <v>#REF!</v>
      </c>
      <c r="IO70" t="e">
        <f>AND(#REF!,"AAAAAFz18vg=")</f>
        <v>#REF!</v>
      </c>
      <c r="IP70" t="e">
        <f>AND(#REF!,"AAAAAFz18vk=")</f>
        <v>#REF!</v>
      </c>
      <c r="IQ70" t="e">
        <f>AND(#REF!,"AAAAAFz18vo=")</f>
        <v>#REF!</v>
      </c>
      <c r="IR70" t="e">
        <f>AND(#REF!,"AAAAAFz18vs=")</f>
        <v>#REF!</v>
      </c>
      <c r="IS70" t="e">
        <f>AND(#REF!,"AAAAAFz18vw=")</f>
        <v>#REF!</v>
      </c>
      <c r="IT70" t="e">
        <f>AND(#REF!,"AAAAAFz18v0=")</f>
        <v>#REF!</v>
      </c>
      <c r="IU70" t="e">
        <f>AND(#REF!,"AAAAAFz18v4=")</f>
        <v>#REF!</v>
      </c>
      <c r="IV70" t="e">
        <f>AND(#REF!,"AAAAAFz18v8=")</f>
        <v>#REF!</v>
      </c>
    </row>
    <row r="71" spans="1:256">
      <c r="A71" t="e">
        <f>AND(#REF!,"AAAAAFfl+wA=")</f>
        <v>#REF!</v>
      </c>
      <c r="B71" t="e">
        <f>AND(#REF!,"AAAAAFfl+wE=")</f>
        <v>#REF!</v>
      </c>
      <c r="C71" t="e">
        <f>AND(#REF!,"AAAAAFfl+wI=")</f>
        <v>#REF!</v>
      </c>
      <c r="D71" t="e">
        <f>AND(#REF!,"AAAAAFfl+wM=")</f>
        <v>#REF!</v>
      </c>
      <c r="E71" t="e">
        <f>AND(#REF!,"AAAAAFfl+wQ=")</f>
        <v>#REF!</v>
      </c>
      <c r="F71" t="e">
        <f>AND(#REF!,"AAAAAFfl+wU=")</f>
        <v>#REF!</v>
      </c>
      <c r="G71" t="e">
        <f>AND(#REF!,"AAAAAFfl+wY=")</f>
        <v>#REF!</v>
      </c>
      <c r="H71" t="e">
        <f>AND(#REF!,"AAAAAFfl+wc=")</f>
        <v>#REF!</v>
      </c>
      <c r="I71" t="e">
        <f>AND(#REF!,"AAAAAFfl+wg=")</f>
        <v>#REF!</v>
      </c>
      <c r="J71" t="e">
        <f>AND(#REF!,"AAAAAFfl+wk=")</f>
        <v>#REF!</v>
      </c>
      <c r="K71" t="e">
        <f>AND(#REF!,"AAAAAFfl+wo=")</f>
        <v>#REF!</v>
      </c>
      <c r="L71" t="e">
        <f>AND(#REF!,"AAAAAFfl+ws=")</f>
        <v>#REF!</v>
      </c>
      <c r="M71" t="e">
        <f>AND(#REF!,"AAAAAFfl+ww=")</f>
        <v>#REF!</v>
      </c>
      <c r="N71" t="e">
        <f>AND(#REF!,"AAAAAFfl+w0=")</f>
        <v>#REF!</v>
      </c>
      <c r="O71" t="e">
        <f>AND(#REF!,"AAAAAFfl+w4=")</f>
        <v>#REF!</v>
      </c>
      <c r="P71" t="e">
        <f>IF(#REF!,"AAAAAFfl+w8=",0)</f>
        <v>#REF!</v>
      </c>
      <c r="Q71" t="e">
        <f>AND(#REF!,"AAAAAFfl+xA=")</f>
        <v>#REF!</v>
      </c>
      <c r="R71" t="e">
        <f>AND(#REF!,"AAAAAFfl+xE=")</f>
        <v>#REF!</v>
      </c>
      <c r="S71" t="e">
        <f>AND(#REF!,"AAAAAFfl+xI=")</f>
        <v>#REF!</v>
      </c>
      <c r="T71" t="e">
        <f>AND(#REF!,"AAAAAFfl+xM=")</f>
        <v>#REF!</v>
      </c>
      <c r="U71" t="e">
        <f>AND(#REF!,"AAAAAFfl+xQ=")</f>
        <v>#REF!</v>
      </c>
      <c r="V71" t="e">
        <f>AND(#REF!,"AAAAAFfl+xU=")</f>
        <v>#REF!</v>
      </c>
      <c r="W71" t="e">
        <f>AND(#REF!,"AAAAAFfl+xY=")</f>
        <v>#REF!</v>
      </c>
      <c r="X71" t="e">
        <f>AND(#REF!,"AAAAAFfl+xc=")</f>
        <v>#REF!</v>
      </c>
      <c r="Y71" t="e">
        <f>AND(#REF!,"AAAAAFfl+xg=")</f>
        <v>#REF!</v>
      </c>
      <c r="Z71" t="e">
        <f>AND(#REF!,"AAAAAFfl+xk=")</f>
        <v>#REF!</v>
      </c>
      <c r="AA71" t="e">
        <f>AND(#REF!,"AAAAAFfl+xo=")</f>
        <v>#REF!</v>
      </c>
      <c r="AB71" t="e">
        <f>AND(#REF!,"AAAAAFfl+xs=")</f>
        <v>#REF!</v>
      </c>
      <c r="AC71" t="e">
        <f>AND(#REF!,"AAAAAFfl+xw=")</f>
        <v>#REF!</v>
      </c>
      <c r="AD71" t="e">
        <f>AND(#REF!,"AAAAAFfl+x0=")</f>
        <v>#REF!</v>
      </c>
      <c r="AE71" t="e">
        <f>AND(#REF!,"AAAAAFfl+x4=")</f>
        <v>#REF!</v>
      </c>
      <c r="AF71" t="e">
        <f>AND(#REF!,"AAAAAFfl+x8=")</f>
        <v>#REF!</v>
      </c>
      <c r="AG71" t="e">
        <f>AND(#REF!,"AAAAAFfl+yA=")</f>
        <v>#REF!</v>
      </c>
      <c r="AH71" t="e">
        <f>AND(#REF!,"AAAAAFfl+yE=")</f>
        <v>#REF!</v>
      </c>
      <c r="AI71" t="e">
        <f>AND(#REF!,"AAAAAFfl+yI=")</f>
        <v>#REF!</v>
      </c>
      <c r="AJ71" t="e">
        <f>AND(#REF!,"AAAAAFfl+yM=")</f>
        <v>#REF!</v>
      </c>
      <c r="AK71" t="e">
        <f>AND(#REF!,"AAAAAFfl+yQ=")</f>
        <v>#REF!</v>
      </c>
      <c r="AL71" t="e">
        <f>AND(#REF!,"AAAAAFfl+yU=")</f>
        <v>#REF!</v>
      </c>
      <c r="AM71" t="e">
        <f>AND(#REF!,"AAAAAFfl+yY=")</f>
        <v>#REF!</v>
      </c>
      <c r="AN71" t="e">
        <f>AND(#REF!,"AAAAAFfl+yc=")</f>
        <v>#REF!</v>
      </c>
      <c r="AO71" t="e">
        <f>IF(#REF!,"AAAAAFfl+yg=",0)</f>
        <v>#REF!</v>
      </c>
      <c r="AP71" t="e">
        <f>AND(#REF!,"AAAAAFfl+yk=")</f>
        <v>#REF!</v>
      </c>
      <c r="AQ71" t="e">
        <f>AND(#REF!,"AAAAAFfl+yo=")</f>
        <v>#REF!</v>
      </c>
      <c r="AR71" t="e">
        <f>AND(#REF!,"AAAAAFfl+ys=")</f>
        <v>#REF!</v>
      </c>
      <c r="AS71" t="e">
        <f>AND(#REF!,"AAAAAFfl+yw=")</f>
        <v>#REF!</v>
      </c>
      <c r="AT71" t="e">
        <f>AND(#REF!,"AAAAAFfl+y0=")</f>
        <v>#REF!</v>
      </c>
      <c r="AU71" t="e">
        <f>AND(#REF!,"AAAAAFfl+y4=")</f>
        <v>#REF!</v>
      </c>
      <c r="AV71" t="e">
        <f>AND(#REF!,"AAAAAFfl+y8=")</f>
        <v>#REF!</v>
      </c>
      <c r="AW71" t="e">
        <f>AND(#REF!,"AAAAAFfl+zA=")</f>
        <v>#REF!</v>
      </c>
      <c r="AX71" t="e">
        <f>AND(#REF!,"AAAAAFfl+zE=")</f>
        <v>#REF!</v>
      </c>
      <c r="AY71" t="e">
        <f>AND(#REF!,"AAAAAFfl+zI=")</f>
        <v>#REF!</v>
      </c>
      <c r="AZ71" t="e">
        <f>AND(#REF!,"AAAAAFfl+zM=")</f>
        <v>#REF!</v>
      </c>
      <c r="BA71" t="e">
        <f>AND(#REF!,"AAAAAFfl+zQ=")</f>
        <v>#REF!</v>
      </c>
      <c r="BB71" t="e">
        <f>AND(#REF!,"AAAAAFfl+zU=")</f>
        <v>#REF!</v>
      </c>
      <c r="BC71" t="e">
        <f>AND(#REF!,"AAAAAFfl+zY=")</f>
        <v>#REF!</v>
      </c>
      <c r="BD71" t="e">
        <f>AND(#REF!,"AAAAAFfl+zc=")</f>
        <v>#REF!</v>
      </c>
      <c r="BE71" t="e">
        <f>AND(#REF!,"AAAAAFfl+zg=")</f>
        <v>#REF!</v>
      </c>
      <c r="BF71" t="e">
        <f>AND(#REF!,"AAAAAFfl+zk=")</f>
        <v>#REF!</v>
      </c>
      <c r="BG71" t="e">
        <f>AND(#REF!,"AAAAAFfl+zo=")</f>
        <v>#REF!</v>
      </c>
      <c r="BH71" t="e">
        <f>AND(#REF!,"AAAAAFfl+zs=")</f>
        <v>#REF!</v>
      </c>
      <c r="BI71" t="e">
        <f>AND(#REF!,"AAAAAFfl+zw=")</f>
        <v>#REF!</v>
      </c>
      <c r="BJ71" t="e">
        <f>AND(#REF!,"AAAAAFfl+z0=")</f>
        <v>#REF!</v>
      </c>
      <c r="BK71" t="e">
        <f>AND(#REF!,"AAAAAFfl+z4=")</f>
        <v>#REF!</v>
      </c>
      <c r="BL71" t="e">
        <f>AND(#REF!,"AAAAAFfl+z8=")</f>
        <v>#REF!</v>
      </c>
      <c r="BM71" t="e">
        <f>AND(#REF!,"AAAAAFfl+0A=")</f>
        <v>#REF!</v>
      </c>
      <c r="BN71" t="e">
        <f>IF(#REF!,"AAAAAFfl+0E=",0)</f>
        <v>#REF!</v>
      </c>
      <c r="BO71" t="e">
        <f>AND(#REF!,"AAAAAFfl+0I=")</f>
        <v>#REF!</v>
      </c>
      <c r="BP71" t="e">
        <f>AND(#REF!,"AAAAAFfl+0M=")</f>
        <v>#REF!</v>
      </c>
      <c r="BQ71" t="e">
        <f>AND(#REF!,"AAAAAFfl+0Q=")</f>
        <v>#REF!</v>
      </c>
      <c r="BR71" t="e">
        <f>AND(#REF!,"AAAAAFfl+0U=")</f>
        <v>#REF!</v>
      </c>
      <c r="BS71" t="e">
        <f>AND(#REF!,"AAAAAFfl+0Y=")</f>
        <v>#REF!</v>
      </c>
      <c r="BT71" t="e">
        <f>AND(#REF!,"AAAAAFfl+0c=")</f>
        <v>#REF!</v>
      </c>
      <c r="BU71" t="e">
        <f>AND(#REF!,"AAAAAFfl+0g=")</f>
        <v>#REF!</v>
      </c>
      <c r="BV71" t="e">
        <f>AND(#REF!,"AAAAAFfl+0k=")</f>
        <v>#REF!</v>
      </c>
      <c r="BW71" t="e">
        <f>AND(#REF!,"AAAAAFfl+0o=")</f>
        <v>#REF!</v>
      </c>
      <c r="BX71" t="e">
        <f>AND(#REF!,"AAAAAFfl+0s=")</f>
        <v>#REF!</v>
      </c>
      <c r="BY71" t="e">
        <f>AND(#REF!,"AAAAAFfl+0w=")</f>
        <v>#REF!</v>
      </c>
      <c r="BZ71" t="e">
        <f>AND(#REF!,"AAAAAFfl+00=")</f>
        <v>#REF!</v>
      </c>
      <c r="CA71" t="e">
        <f>AND(#REF!,"AAAAAFfl+04=")</f>
        <v>#REF!</v>
      </c>
      <c r="CB71" t="e">
        <f>AND(#REF!,"AAAAAFfl+08=")</f>
        <v>#REF!</v>
      </c>
      <c r="CC71" t="e">
        <f>AND(#REF!,"AAAAAFfl+1A=")</f>
        <v>#REF!</v>
      </c>
      <c r="CD71" t="e">
        <f>AND(#REF!,"AAAAAFfl+1E=")</f>
        <v>#REF!</v>
      </c>
      <c r="CE71" t="e">
        <f>AND(#REF!,"AAAAAFfl+1I=")</f>
        <v>#REF!</v>
      </c>
      <c r="CF71" t="e">
        <f>AND(#REF!,"AAAAAFfl+1M=")</f>
        <v>#REF!</v>
      </c>
      <c r="CG71" t="e">
        <f>AND(#REF!,"AAAAAFfl+1Q=")</f>
        <v>#REF!</v>
      </c>
      <c r="CH71" t="e">
        <f>AND(#REF!,"AAAAAFfl+1U=")</f>
        <v>#REF!</v>
      </c>
      <c r="CI71" t="e">
        <f>AND(#REF!,"AAAAAFfl+1Y=")</f>
        <v>#REF!</v>
      </c>
      <c r="CJ71" t="e">
        <f>AND(#REF!,"AAAAAFfl+1c=")</f>
        <v>#REF!</v>
      </c>
      <c r="CK71" t="e">
        <f>AND(#REF!,"AAAAAFfl+1g=")</f>
        <v>#REF!</v>
      </c>
      <c r="CL71" t="e">
        <f>AND(#REF!,"AAAAAFfl+1k=")</f>
        <v>#REF!</v>
      </c>
      <c r="CM71" t="e">
        <f>IF(#REF!,"AAAAAFfl+1o=",0)</f>
        <v>#REF!</v>
      </c>
      <c r="CN71" t="e">
        <f>AND(#REF!,"AAAAAFfl+1s=")</f>
        <v>#REF!</v>
      </c>
      <c r="CO71" t="e">
        <f>AND(#REF!,"AAAAAFfl+1w=")</f>
        <v>#REF!</v>
      </c>
      <c r="CP71" t="e">
        <f>AND(#REF!,"AAAAAFfl+10=")</f>
        <v>#REF!</v>
      </c>
      <c r="CQ71" t="e">
        <f>AND(#REF!,"AAAAAFfl+14=")</f>
        <v>#REF!</v>
      </c>
      <c r="CR71" t="e">
        <f>AND(#REF!,"AAAAAFfl+18=")</f>
        <v>#REF!</v>
      </c>
      <c r="CS71" t="e">
        <f>AND(#REF!,"AAAAAFfl+2A=")</f>
        <v>#REF!</v>
      </c>
      <c r="CT71" t="e">
        <f>AND(#REF!,"AAAAAFfl+2E=")</f>
        <v>#REF!</v>
      </c>
      <c r="CU71" t="e">
        <f>AND(#REF!,"AAAAAFfl+2I=")</f>
        <v>#REF!</v>
      </c>
      <c r="CV71" t="e">
        <f>AND(#REF!,"AAAAAFfl+2M=")</f>
        <v>#REF!</v>
      </c>
      <c r="CW71" t="e">
        <f>AND(#REF!,"AAAAAFfl+2Q=")</f>
        <v>#REF!</v>
      </c>
      <c r="CX71" t="e">
        <f>AND(#REF!,"AAAAAFfl+2U=")</f>
        <v>#REF!</v>
      </c>
      <c r="CY71" t="e">
        <f>AND(#REF!,"AAAAAFfl+2Y=")</f>
        <v>#REF!</v>
      </c>
      <c r="CZ71" t="e">
        <f>AND(#REF!,"AAAAAFfl+2c=")</f>
        <v>#REF!</v>
      </c>
      <c r="DA71" t="e">
        <f>AND(#REF!,"AAAAAFfl+2g=")</f>
        <v>#REF!</v>
      </c>
      <c r="DB71" t="e">
        <f>AND(#REF!,"AAAAAFfl+2k=")</f>
        <v>#REF!</v>
      </c>
      <c r="DC71" t="e">
        <f>AND(#REF!,"AAAAAFfl+2o=")</f>
        <v>#REF!</v>
      </c>
      <c r="DD71" t="e">
        <f>AND(#REF!,"AAAAAFfl+2s=")</f>
        <v>#REF!</v>
      </c>
      <c r="DE71" t="e">
        <f>AND(#REF!,"AAAAAFfl+2w=")</f>
        <v>#REF!</v>
      </c>
      <c r="DF71" t="e">
        <f>AND(#REF!,"AAAAAFfl+20=")</f>
        <v>#REF!</v>
      </c>
      <c r="DG71" t="e">
        <f>AND(#REF!,"AAAAAFfl+24=")</f>
        <v>#REF!</v>
      </c>
      <c r="DH71" t="e">
        <f>AND(#REF!,"AAAAAFfl+28=")</f>
        <v>#REF!</v>
      </c>
      <c r="DI71" t="e">
        <f>AND(#REF!,"AAAAAFfl+3A=")</f>
        <v>#REF!</v>
      </c>
      <c r="DJ71" t="e">
        <f>AND(#REF!,"AAAAAFfl+3E=")</f>
        <v>#REF!</v>
      </c>
      <c r="DK71" t="e">
        <f>AND(#REF!,"AAAAAFfl+3I=")</f>
        <v>#REF!</v>
      </c>
      <c r="DL71" t="e">
        <f>IF(#REF!,"AAAAAFfl+3M=",0)</f>
        <v>#REF!</v>
      </c>
      <c r="DM71" t="e">
        <f>AND(#REF!,"AAAAAFfl+3Q=")</f>
        <v>#REF!</v>
      </c>
      <c r="DN71" t="e">
        <f>AND(#REF!,"AAAAAFfl+3U=")</f>
        <v>#REF!</v>
      </c>
      <c r="DO71" t="e">
        <f>AND(#REF!,"AAAAAFfl+3Y=")</f>
        <v>#REF!</v>
      </c>
      <c r="DP71" t="e">
        <f>AND(#REF!,"AAAAAFfl+3c=")</f>
        <v>#REF!</v>
      </c>
      <c r="DQ71" t="e">
        <f>AND(#REF!,"AAAAAFfl+3g=")</f>
        <v>#REF!</v>
      </c>
      <c r="DR71" t="e">
        <f>AND(#REF!,"AAAAAFfl+3k=")</f>
        <v>#REF!</v>
      </c>
      <c r="DS71" t="e">
        <f>AND(#REF!,"AAAAAFfl+3o=")</f>
        <v>#REF!</v>
      </c>
      <c r="DT71" t="e">
        <f>AND(#REF!,"AAAAAFfl+3s=")</f>
        <v>#REF!</v>
      </c>
      <c r="DU71" t="e">
        <f>AND(#REF!,"AAAAAFfl+3w=")</f>
        <v>#REF!</v>
      </c>
      <c r="DV71" t="e">
        <f>AND(#REF!,"AAAAAFfl+30=")</f>
        <v>#REF!</v>
      </c>
      <c r="DW71" t="e">
        <f>AND(#REF!,"AAAAAFfl+34=")</f>
        <v>#REF!</v>
      </c>
      <c r="DX71" t="e">
        <f>AND(#REF!,"AAAAAFfl+38=")</f>
        <v>#REF!</v>
      </c>
      <c r="DY71" t="e">
        <f>AND(#REF!,"AAAAAFfl+4A=")</f>
        <v>#REF!</v>
      </c>
      <c r="DZ71" t="e">
        <f>AND(#REF!,"AAAAAFfl+4E=")</f>
        <v>#REF!</v>
      </c>
      <c r="EA71" t="e">
        <f>AND(#REF!,"AAAAAFfl+4I=")</f>
        <v>#REF!</v>
      </c>
      <c r="EB71" t="e">
        <f>AND(#REF!,"AAAAAFfl+4M=")</f>
        <v>#REF!</v>
      </c>
      <c r="EC71" t="e">
        <f>AND(#REF!,"AAAAAFfl+4Q=")</f>
        <v>#REF!</v>
      </c>
      <c r="ED71" t="e">
        <f>AND(#REF!,"AAAAAFfl+4U=")</f>
        <v>#REF!</v>
      </c>
      <c r="EE71" t="e">
        <f>AND(#REF!,"AAAAAFfl+4Y=")</f>
        <v>#REF!</v>
      </c>
      <c r="EF71" t="e">
        <f>AND(#REF!,"AAAAAFfl+4c=")</f>
        <v>#REF!</v>
      </c>
      <c r="EG71" t="e">
        <f>AND(#REF!,"AAAAAFfl+4g=")</f>
        <v>#REF!</v>
      </c>
      <c r="EH71" t="e">
        <f>AND(#REF!,"AAAAAFfl+4k=")</f>
        <v>#REF!</v>
      </c>
      <c r="EI71" t="e">
        <f>AND(#REF!,"AAAAAFfl+4o=")</f>
        <v>#REF!</v>
      </c>
      <c r="EJ71" t="e">
        <f>AND(#REF!,"AAAAAFfl+4s=")</f>
        <v>#REF!</v>
      </c>
      <c r="EK71" t="e">
        <f>IF(#REF!,"AAAAAFfl+4w=",0)</f>
        <v>#REF!</v>
      </c>
      <c r="EL71" t="e">
        <f>AND(#REF!,"AAAAAFfl+40=")</f>
        <v>#REF!</v>
      </c>
      <c r="EM71" t="e">
        <f>AND(#REF!,"AAAAAFfl+44=")</f>
        <v>#REF!</v>
      </c>
      <c r="EN71" t="e">
        <f>AND(#REF!,"AAAAAFfl+48=")</f>
        <v>#REF!</v>
      </c>
      <c r="EO71" t="e">
        <f>AND(#REF!,"AAAAAFfl+5A=")</f>
        <v>#REF!</v>
      </c>
      <c r="EP71" t="e">
        <f>AND(#REF!,"AAAAAFfl+5E=")</f>
        <v>#REF!</v>
      </c>
      <c r="EQ71" t="e">
        <f>AND(#REF!,"AAAAAFfl+5I=")</f>
        <v>#REF!</v>
      </c>
      <c r="ER71" t="e">
        <f>AND(#REF!,"AAAAAFfl+5M=")</f>
        <v>#REF!</v>
      </c>
      <c r="ES71" t="e">
        <f>AND(#REF!,"AAAAAFfl+5Q=")</f>
        <v>#REF!</v>
      </c>
      <c r="ET71" t="e">
        <f>AND(#REF!,"AAAAAFfl+5U=")</f>
        <v>#REF!</v>
      </c>
      <c r="EU71" t="e">
        <f>AND(#REF!,"AAAAAFfl+5Y=")</f>
        <v>#REF!</v>
      </c>
      <c r="EV71" t="e">
        <f>AND(#REF!,"AAAAAFfl+5c=")</f>
        <v>#REF!</v>
      </c>
      <c r="EW71" t="e">
        <f>AND(#REF!,"AAAAAFfl+5g=")</f>
        <v>#REF!</v>
      </c>
      <c r="EX71" t="e">
        <f>AND(#REF!,"AAAAAFfl+5k=")</f>
        <v>#REF!</v>
      </c>
      <c r="EY71" t="e">
        <f>AND(#REF!,"AAAAAFfl+5o=")</f>
        <v>#REF!</v>
      </c>
      <c r="EZ71" t="e">
        <f>AND(#REF!,"AAAAAFfl+5s=")</f>
        <v>#REF!</v>
      </c>
      <c r="FA71" t="e">
        <f>AND(#REF!,"AAAAAFfl+5w=")</f>
        <v>#REF!</v>
      </c>
      <c r="FB71" t="e">
        <f>AND(#REF!,"AAAAAFfl+50=")</f>
        <v>#REF!</v>
      </c>
      <c r="FC71" t="e">
        <f>AND(#REF!,"AAAAAFfl+54=")</f>
        <v>#REF!</v>
      </c>
      <c r="FD71" t="e">
        <f>AND(#REF!,"AAAAAFfl+58=")</f>
        <v>#REF!</v>
      </c>
      <c r="FE71" t="e">
        <f>AND(#REF!,"AAAAAFfl+6A=")</f>
        <v>#REF!</v>
      </c>
      <c r="FF71" t="e">
        <f>AND(#REF!,"AAAAAFfl+6E=")</f>
        <v>#REF!</v>
      </c>
      <c r="FG71" t="e">
        <f>AND(#REF!,"AAAAAFfl+6I=")</f>
        <v>#REF!</v>
      </c>
      <c r="FH71" t="e">
        <f>AND(#REF!,"AAAAAFfl+6M=")</f>
        <v>#REF!</v>
      </c>
      <c r="FI71" t="e">
        <f>AND(#REF!,"AAAAAFfl+6Q=")</f>
        <v>#REF!</v>
      </c>
      <c r="FJ71" t="e">
        <f>IF(#REF!,"AAAAAFfl+6U=",0)</f>
        <v>#REF!</v>
      </c>
      <c r="FK71" t="e">
        <f>AND(#REF!,"AAAAAFfl+6Y=")</f>
        <v>#REF!</v>
      </c>
      <c r="FL71" t="e">
        <f>AND(#REF!,"AAAAAFfl+6c=")</f>
        <v>#REF!</v>
      </c>
      <c r="FM71" t="e">
        <f>AND(#REF!,"AAAAAFfl+6g=")</f>
        <v>#REF!</v>
      </c>
      <c r="FN71" t="e">
        <f>AND(#REF!,"AAAAAFfl+6k=")</f>
        <v>#REF!</v>
      </c>
      <c r="FO71" t="e">
        <f>AND(#REF!,"AAAAAFfl+6o=")</f>
        <v>#REF!</v>
      </c>
      <c r="FP71" t="e">
        <f>AND(#REF!,"AAAAAFfl+6s=")</f>
        <v>#REF!</v>
      </c>
      <c r="FQ71" t="e">
        <f>AND(#REF!,"AAAAAFfl+6w=")</f>
        <v>#REF!</v>
      </c>
      <c r="FR71" t="e">
        <f>AND(#REF!,"AAAAAFfl+60=")</f>
        <v>#REF!</v>
      </c>
      <c r="FS71" t="e">
        <f>AND(#REF!,"AAAAAFfl+64=")</f>
        <v>#REF!</v>
      </c>
      <c r="FT71" t="e">
        <f>AND(#REF!,"AAAAAFfl+68=")</f>
        <v>#REF!</v>
      </c>
      <c r="FU71" t="e">
        <f>AND(#REF!,"AAAAAFfl+7A=")</f>
        <v>#REF!</v>
      </c>
      <c r="FV71" t="e">
        <f>AND(#REF!,"AAAAAFfl+7E=")</f>
        <v>#REF!</v>
      </c>
      <c r="FW71" t="e">
        <f>AND(#REF!,"AAAAAFfl+7I=")</f>
        <v>#REF!</v>
      </c>
      <c r="FX71" t="e">
        <f>AND(#REF!,"AAAAAFfl+7M=")</f>
        <v>#REF!</v>
      </c>
      <c r="FY71" t="e">
        <f>AND(#REF!,"AAAAAFfl+7Q=")</f>
        <v>#REF!</v>
      </c>
      <c r="FZ71" t="e">
        <f>AND(#REF!,"AAAAAFfl+7U=")</f>
        <v>#REF!</v>
      </c>
      <c r="GA71" t="e">
        <f>AND(#REF!,"AAAAAFfl+7Y=")</f>
        <v>#REF!</v>
      </c>
      <c r="GB71" t="e">
        <f>AND(#REF!,"AAAAAFfl+7c=")</f>
        <v>#REF!</v>
      </c>
      <c r="GC71" t="e">
        <f>AND(#REF!,"AAAAAFfl+7g=")</f>
        <v>#REF!</v>
      </c>
      <c r="GD71" t="e">
        <f>AND(#REF!,"AAAAAFfl+7k=")</f>
        <v>#REF!</v>
      </c>
      <c r="GE71" t="e">
        <f>AND(#REF!,"AAAAAFfl+7o=")</f>
        <v>#REF!</v>
      </c>
      <c r="GF71" t="e">
        <f>AND(#REF!,"AAAAAFfl+7s=")</f>
        <v>#REF!</v>
      </c>
      <c r="GG71" t="e">
        <f>AND(#REF!,"AAAAAFfl+7w=")</f>
        <v>#REF!</v>
      </c>
      <c r="GH71" t="e">
        <f>AND(#REF!,"AAAAAFfl+70=")</f>
        <v>#REF!</v>
      </c>
      <c r="GI71" t="e">
        <f>IF(#REF!,"AAAAAFfl+74=",0)</f>
        <v>#REF!</v>
      </c>
      <c r="GJ71" t="e">
        <f>AND(#REF!,"AAAAAFfl+78=")</f>
        <v>#REF!</v>
      </c>
      <c r="GK71" t="e">
        <f>AND(#REF!,"AAAAAFfl+8A=")</f>
        <v>#REF!</v>
      </c>
      <c r="GL71" t="e">
        <f>AND(#REF!,"AAAAAFfl+8E=")</f>
        <v>#REF!</v>
      </c>
      <c r="GM71" t="e">
        <f>AND(#REF!,"AAAAAFfl+8I=")</f>
        <v>#REF!</v>
      </c>
      <c r="GN71" t="e">
        <f>AND(#REF!,"AAAAAFfl+8M=")</f>
        <v>#REF!</v>
      </c>
      <c r="GO71" t="e">
        <f>AND(#REF!,"AAAAAFfl+8Q=")</f>
        <v>#REF!</v>
      </c>
      <c r="GP71" t="e">
        <f>AND(#REF!,"AAAAAFfl+8U=")</f>
        <v>#REF!</v>
      </c>
      <c r="GQ71" t="e">
        <f>AND(#REF!,"AAAAAFfl+8Y=")</f>
        <v>#REF!</v>
      </c>
      <c r="GR71" t="e">
        <f>AND(#REF!,"AAAAAFfl+8c=")</f>
        <v>#REF!</v>
      </c>
      <c r="GS71" t="e">
        <f>AND(#REF!,"AAAAAFfl+8g=")</f>
        <v>#REF!</v>
      </c>
      <c r="GT71" t="e">
        <f>AND(#REF!,"AAAAAFfl+8k=")</f>
        <v>#REF!</v>
      </c>
      <c r="GU71" t="e">
        <f>AND(#REF!,"AAAAAFfl+8o=")</f>
        <v>#REF!</v>
      </c>
      <c r="GV71" t="e">
        <f>AND(#REF!,"AAAAAFfl+8s=")</f>
        <v>#REF!</v>
      </c>
      <c r="GW71" t="e">
        <f>AND(#REF!,"AAAAAFfl+8w=")</f>
        <v>#REF!</v>
      </c>
      <c r="GX71" t="e">
        <f>AND(#REF!,"AAAAAFfl+80=")</f>
        <v>#REF!</v>
      </c>
      <c r="GY71" t="e">
        <f>AND(#REF!,"AAAAAFfl+84=")</f>
        <v>#REF!</v>
      </c>
      <c r="GZ71" t="e">
        <f>AND(#REF!,"AAAAAFfl+88=")</f>
        <v>#REF!</v>
      </c>
      <c r="HA71" t="e">
        <f>AND(#REF!,"AAAAAFfl+9A=")</f>
        <v>#REF!</v>
      </c>
      <c r="HB71" t="e">
        <f>AND(#REF!,"AAAAAFfl+9E=")</f>
        <v>#REF!</v>
      </c>
      <c r="HC71" t="e">
        <f>AND(#REF!,"AAAAAFfl+9I=")</f>
        <v>#REF!</v>
      </c>
      <c r="HD71" t="e">
        <f>AND(#REF!,"AAAAAFfl+9M=")</f>
        <v>#REF!</v>
      </c>
      <c r="HE71" t="e">
        <f>AND(#REF!,"AAAAAFfl+9Q=")</f>
        <v>#REF!</v>
      </c>
      <c r="HF71" t="e">
        <f>AND(#REF!,"AAAAAFfl+9U=")</f>
        <v>#REF!</v>
      </c>
      <c r="HG71" t="e">
        <f>AND(#REF!,"AAAAAFfl+9Y=")</f>
        <v>#REF!</v>
      </c>
      <c r="HH71" t="e">
        <f>IF(#REF!,"AAAAAFfl+9c=",0)</f>
        <v>#REF!</v>
      </c>
      <c r="HI71" t="e">
        <f>AND(#REF!,"AAAAAFfl+9g=")</f>
        <v>#REF!</v>
      </c>
      <c r="HJ71" t="e">
        <f>AND(#REF!,"AAAAAFfl+9k=")</f>
        <v>#REF!</v>
      </c>
      <c r="HK71" t="e">
        <f>AND(#REF!,"AAAAAFfl+9o=")</f>
        <v>#REF!</v>
      </c>
      <c r="HL71" t="e">
        <f>AND(#REF!,"AAAAAFfl+9s=")</f>
        <v>#REF!</v>
      </c>
      <c r="HM71" t="e">
        <f>AND(#REF!,"AAAAAFfl+9w=")</f>
        <v>#REF!</v>
      </c>
      <c r="HN71" t="e">
        <f>AND(#REF!,"AAAAAFfl+90=")</f>
        <v>#REF!</v>
      </c>
      <c r="HO71" t="e">
        <f>AND(#REF!,"AAAAAFfl+94=")</f>
        <v>#REF!</v>
      </c>
      <c r="HP71" t="e">
        <f>AND(#REF!,"AAAAAFfl+98=")</f>
        <v>#REF!</v>
      </c>
      <c r="HQ71" t="e">
        <f>AND(#REF!,"AAAAAFfl++A=")</f>
        <v>#REF!</v>
      </c>
      <c r="HR71" t="e">
        <f>AND(#REF!,"AAAAAFfl++E=")</f>
        <v>#REF!</v>
      </c>
      <c r="HS71" t="e">
        <f>AND(#REF!,"AAAAAFfl++I=")</f>
        <v>#REF!</v>
      </c>
      <c r="HT71" t="e">
        <f>AND(#REF!,"AAAAAFfl++M=")</f>
        <v>#REF!</v>
      </c>
      <c r="HU71" t="e">
        <f>AND(#REF!,"AAAAAFfl++Q=")</f>
        <v>#REF!</v>
      </c>
      <c r="HV71" t="e">
        <f>AND(#REF!,"AAAAAFfl++U=")</f>
        <v>#REF!</v>
      </c>
      <c r="HW71" t="e">
        <f>AND(#REF!,"AAAAAFfl++Y=")</f>
        <v>#REF!</v>
      </c>
      <c r="HX71" t="e">
        <f>AND(#REF!,"AAAAAFfl++c=")</f>
        <v>#REF!</v>
      </c>
      <c r="HY71" t="e">
        <f>AND(#REF!,"AAAAAFfl++g=")</f>
        <v>#REF!</v>
      </c>
      <c r="HZ71" t="e">
        <f>AND(#REF!,"AAAAAFfl++k=")</f>
        <v>#REF!</v>
      </c>
      <c r="IA71" t="e">
        <f>AND(#REF!,"AAAAAFfl++o=")</f>
        <v>#REF!</v>
      </c>
      <c r="IB71" t="e">
        <f>AND(#REF!,"AAAAAFfl++s=")</f>
        <v>#REF!</v>
      </c>
      <c r="IC71" t="e">
        <f>AND(#REF!,"AAAAAFfl++w=")</f>
        <v>#REF!</v>
      </c>
      <c r="ID71" t="e">
        <f>AND(#REF!,"AAAAAFfl++0=")</f>
        <v>#REF!</v>
      </c>
      <c r="IE71" t="e">
        <f>AND(#REF!,"AAAAAFfl++4=")</f>
        <v>#REF!</v>
      </c>
      <c r="IF71" t="e">
        <f>AND(#REF!,"AAAAAFfl++8=")</f>
        <v>#REF!</v>
      </c>
      <c r="IG71" t="e">
        <f>IF(#REF!,"AAAAAFfl+/A=",0)</f>
        <v>#REF!</v>
      </c>
      <c r="IH71" t="e">
        <f>AND(#REF!,"AAAAAFfl+/E=")</f>
        <v>#REF!</v>
      </c>
      <c r="II71" t="e">
        <f>AND(#REF!,"AAAAAFfl+/I=")</f>
        <v>#REF!</v>
      </c>
      <c r="IJ71" t="e">
        <f>AND(#REF!,"AAAAAFfl+/M=")</f>
        <v>#REF!</v>
      </c>
      <c r="IK71" t="e">
        <f>AND(#REF!,"AAAAAFfl+/Q=")</f>
        <v>#REF!</v>
      </c>
      <c r="IL71" t="e">
        <f>AND(#REF!,"AAAAAFfl+/U=")</f>
        <v>#REF!</v>
      </c>
      <c r="IM71" t="e">
        <f>AND(#REF!,"AAAAAFfl+/Y=")</f>
        <v>#REF!</v>
      </c>
      <c r="IN71" t="e">
        <f>AND(#REF!,"AAAAAFfl+/c=")</f>
        <v>#REF!</v>
      </c>
      <c r="IO71" t="e">
        <f>AND(#REF!,"AAAAAFfl+/g=")</f>
        <v>#REF!</v>
      </c>
      <c r="IP71" t="e">
        <f>AND(#REF!,"AAAAAFfl+/k=")</f>
        <v>#REF!</v>
      </c>
      <c r="IQ71" t="e">
        <f>AND(#REF!,"AAAAAFfl+/o=")</f>
        <v>#REF!</v>
      </c>
      <c r="IR71" t="e">
        <f>AND(#REF!,"AAAAAFfl+/s=")</f>
        <v>#REF!</v>
      </c>
      <c r="IS71" t="e">
        <f>AND(#REF!,"AAAAAFfl+/w=")</f>
        <v>#REF!</v>
      </c>
      <c r="IT71" t="e">
        <f>AND(#REF!,"AAAAAFfl+/0=")</f>
        <v>#REF!</v>
      </c>
      <c r="IU71" t="e">
        <f>AND(#REF!,"AAAAAFfl+/4=")</f>
        <v>#REF!</v>
      </c>
      <c r="IV71" t="e">
        <f>AND(#REF!,"AAAAAFfl+/8=")</f>
        <v>#REF!</v>
      </c>
    </row>
    <row r="72" spans="1:256">
      <c r="A72" t="e">
        <f>AND(#REF!,"AAAAAGo//wA=")</f>
        <v>#REF!</v>
      </c>
      <c r="B72" t="e">
        <f>AND(#REF!,"AAAAAGo//wE=")</f>
        <v>#REF!</v>
      </c>
      <c r="C72" t="e">
        <f>AND(#REF!,"AAAAAGo//wI=")</f>
        <v>#REF!</v>
      </c>
      <c r="D72" t="e">
        <f>AND(#REF!,"AAAAAGo//wM=")</f>
        <v>#REF!</v>
      </c>
      <c r="E72" t="e">
        <f>AND(#REF!,"AAAAAGo//wQ=")</f>
        <v>#REF!</v>
      </c>
      <c r="F72" t="e">
        <f>AND(#REF!,"AAAAAGo//wU=")</f>
        <v>#REF!</v>
      </c>
      <c r="G72" t="e">
        <f>AND(#REF!,"AAAAAGo//wY=")</f>
        <v>#REF!</v>
      </c>
      <c r="H72" t="e">
        <f>AND(#REF!,"AAAAAGo//wc=")</f>
        <v>#REF!</v>
      </c>
      <c r="I72" t="e">
        <f>AND(#REF!,"AAAAAGo//wg=")</f>
        <v>#REF!</v>
      </c>
      <c r="J72" t="e">
        <f>IF(#REF!,"AAAAAGo//wk=",0)</f>
        <v>#REF!</v>
      </c>
      <c r="K72" t="e">
        <f>AND(#REF!,"AAAAAGo//wo=")</f>
        <v>#REF!</v>
      </c>
      <c r="L72" t="e">
        <f>AND(#REF!,"AAAAAGo//ws=")</f>
        <v>#REF!</v>
      </c>
      <c r="M72" t="e">
        <f>AND(#REF!,"AAAAAGo//ww=")</f>
        <v>#REF!</v>
      </c>
      <c r="N72" t="e">
        <f>AND(#REF!,"AAAAAGo//w0=")</f>
        <v>#REF!</v>
      </c>
      <c r="O72" t="e">
        <f>AND(#REF!,"AAAAAGo//w4=")</f>
        <v>#REF!</v>
      </c>
      <c r="P72" t="e">
        <f>AND(#REF!,"AAAAAGo//w8=")</f>
        <v>#REF!</v>
      </c>
      <c r="Q72" t="e">
        <f>AND(#REF!,"AAAAAGo//xA=")</f>
        <v>#REF!</v>
      </c>
      <c r="R72" t="e">
        <f>AND(#REF!,"AAAAAGo//xE=")</f>
        <v>#REF!</v>
      </c>
      <c r="S72" t="e">
        <f>AND(#REF!,"AAAAAGo//xI=")</f>
        <v>#REF!</v>
      </c>
      <c r="T72" t="e">
        <f>AND(#REF!,"AAAAAGo//xM=")</f>
        <v>#REF!</v>
      </c>
      <c r="U72" t="e">
        <f>AND(#REF!,"AAAAAGo//xQ=")</f>
        <v>#REF!</v>
      </c>
      <c r="V72" t="e">
        <f>AND(#REF!,"AAAAAGo//xU=")</f>
        <v>#REF!</v>
      </c>
      <c r="W72" t="e">
        <f>AND(#REF!,"AAAAAGo//xY=")</f>
        <v>#REF!</v>
      </c>
      <c r="X72" t="e">
        <f>AND(#REF!,"AAAAAGo//xc=")</f>
        <v>#REF!</v>
      </c>
      <c r="Y72" t="e">
        <f>AND(#REF!,"AAAAAGo//xg=")</f>
        <v>#REF!</v>
      </c>
      <c r="Z72" t="e">
        <f>AND(#REF!,"AAAAAGo//xk=")</f>
        <v>#REF!</v>
      </c>
      <c r="AA72" t="e">
        <f>AND(#REF!,"AAAAAGo//xo=")</f>
        <v>#REF!</v>
      </c>
      <c r="AB72" t="e">
        <f>AND(#REF!,"AAAAAGo//xs=")</f>
        <v>#REF!</v>
      </c>
      <c r="AC72" t="e">
        <f>AND(#REF!,"AAAAAGo//xw=")</f>
        <v>#REF!</v>
      </c>
      <c r="AD72" t="e">
        <f>AND(#REF!,"AAAAAGo//x0=")</f>
        <v>#REF!</v>
      </c>
      <c r="AE72" t="e">
        <f>AND(#REF!,"AAAAAGo//x4=")</f>
        <v>#REF!</v>
      </c>
      <c r="AF72" t="e">
        <f>AND(#REF!,"AAAAAGo//x8=")</f>
        <v>#REF!</v>
      </c>
      <c r="AG72" t="e">
        <f>AND(#REF!,"AAAAAGo//yA=")</f>
        <v>#REF!</v>
      </c>
      <c r="AH72" t="e">
        <f>AND(#REF!,"AAAAAGo//yE=")</f>
        <v>#REF!</v>
      </c>
      <c r="AI72" t="e">
        <f>IF(#REF!,"AAAAAGo//yI=",0)</f>
        <v>#REF!</v>
      </c>
      <c r="AJ72" t="e">
        <f>AND(#REF!,"AAAAAGo//yM=")</f>
        <v>#REF!</v>
      </c>
      <c r="AK72" t="e">
        <f>AND(#REF!,"AAAAAGo//yQ=")</f>
        <v>#REF!</v>
      </c>
      <c r="AL72" t="e">
        <f>AND(#REF!,"AAAAAGo//yU=")</f>
        <v>#REF!</v>
      </c>
      <c r="AM72" t="e">
        <f>AND(#REF!,"AAAAAGo//yY=")</f>
        <v>#REF!</v>
      </c>
      <c r="AN72" t="e">
        <f>AND(#REF!,"AAAAAGo//yc=")</f>
        <v>#REF!</v>
      </c>
      <c r="AO72" t="e">
        <f>AND(#REF!,"AAAAAGo//yg=")</f>
        <v>#REF!</v>
      </c>
      <c r="AP72" t="e">
        <f>AND(#REF!,"AAAAAGo//yk=")</f>
        <v>#REF!</v>
      </c>
      <c r="AQ72" t="e">
        <f>AND(#REF!,"AAAAAGo//yo=")</f>
        <v>#REF!</v>
      </c>
      <c r="AR72" t="e">
        <f>AND(#REF!,"AAAAAGo//ys=")</f>
        <v>#REF!</v>
      </c>
      <c r="AS72" t="e">
        <f>AND(#REF!,"AAAAAGo//yw=")</f>
        <v>#REF!</v>
      </c>
      <c r="AT72" t="e">
        <f>AND(#REF!,"AAAAAGo//y0=")</f>
        <v>#REF!</v>
      </c>
      <c r="AU72" t="e">
        <f>AND(#REF!,"AAAAAGo//y4=")</f>
        <v>#REF!</v>
      </c>
      <c r="AV72" t="e">
        <f>AND(#REF!,"AAAAAGo//y8=")</f>
        <v>#REF!</v>
      </c>
      <c r="AW72" t="e">
        <f>AND(#REF!,"AAAAAGo//zA=")</f>
        <v>#REF!</v>
      </c>
      <c r="AX72" t="e">
        <f>AND(#REF!,"AAAAAGo//zE=")</f>
        <v>#REF!</v>
      </c>
      <c r="AY72" t="e">
        <f>AND(#REF!,"AAAAAGo//zI=")</f>
        <v>#REF!</v>
      </c>
      <c r="AZ72" t="e">
        <f>AND(#REF!,"AAAAAGo//zM=")</f>
        <v>#REF!</v>
      </c>
      <c r="BA72" t="e">
        <f>AND(#REF!,"AAAAAGo//zQ=")</f>
        <v>#REF!</v>
      </c>
      <c r="BB72" t="e">
        <f>AND(#REF!,"AAAAAGo//zU=")</f>
        <v>#REF!</v>
      </c>
      <c r="BC72" t="e">
        <f>AND(#REF!,"AAAAAGo//zY=")</f>
        <v>#REF!</v>
      </c>
      <c r="BD72" t="e">
        <f>AND(#REF!,"AAAAAGo//zc=")</f>
        <v>#REF!</v>
      </c>
      <c r="BE72" t="e">
        <f>AND(#REF!,"AAAAAGo//zg=")</f>
        <v>#REF!</v>
      </c>
      <c r="BF72" t="e">
        <f>AND(#REF!,"AAAAAGo//zk=")</f>
        <v>#REF!</v>
      </c>
      <c r="BG72" t="e">
        <f>AND(#REF!,"AAAAAGo//zo=")</f>
        <v>#REF!</v>
      </c>
      <c r="BH72" t="e">
        <f>IF(#REF!,"AAAAAGo//zs=",0)</f>
        <v>#REF!</v>
      </c>
      <c r="BI72" t="e">
        <f>AND(#REF!,"AAAAAGo//zw=")</f>
        <v>#REF!</v>
      </c>
      <c r="BJ72" t="e">
        <f>AND(#REF!,"AAAAAGo//z0=")</f>
        <v>#REF!</v>
      </c>
      <c r="BK72" t="e">
        <f>AND(#REF!,"AAAAAGo//z4=")</f>
        <v>#REF!</v>
      </c>
      <c r="BL72" t="e">
        <f>AND(#REF!,"AAAAAGo//z8=")</f>
        <v>#REF!</v>
      </c>
      <c r="BM72" t="e">
        <f>AND(#REF!,"AAAAAGo//0A=")</f>
        <v>#REF!</v>
      </c>
      <c r="BN72" t="e">
        <f>AND(#REF!,"AAAAAGo//0E=")</f>
        <v>#REF!</v>
      </c>
      <c r="BO72" t="e">
        <f>AND(#REF!,"AAAAAGo//0I=")</f>
        <v>#REF!</v>
      </c>
      <c r="BP72" t="e">
        <f>AND(#REF!,"AAAAAGo//0M=")</f>
        <v>#REF!</v>
      </c>
      <c r="BQ72" t="e">
        <f>AND(#REF!,"AAAAAGo//0Q=")</f>
        <v>#REF!</v>
      </c>
      <c r="BR72" t="e">
        <f>AND(#REF!,"AAAAAGo//0U=")</f>
        <v>#REF!</v>
      </c>
      <c r="BS72" t="e">
        <f>AND(#REF!,"AAAAAGo//0Y=")</f>
        <v>#REF!</v>
      </c>
      <c r="BT72" t="e">
        <f>AND(#REF!,"AAAAAGo//0c=")</f>
        <v>#REF!</v>
      </c>
      <c r="BU72" t="e">
        <f>AND(#REF!,"AAAAAGo//0g=")</f>
        <v>#REF!</v>
      </c>
      <c r="BV72" t="e">
        <f>AND(#REF!,"AAAAAGo//0k=")</f>
        <v>#REF!</v>
      </c>
      <c r="BW72" t="e">
        <f>AND(#REF!,"AAAAAGo//0o=")</f>
        <v>#REF!</v>
      </c>
      <c r="BX72" t="e">
        <f>AND(#REF!,"AAAAAGo//0s=")</f>
        <v>#REF!</v>
      </c>
      <c r="BY72" t="e">
        <f>AND(#REF!,"AAAAAGo//0w=")</f>
        <v>#REF!</v>
      </c>
      <c r="BZ72" t="e">
        <f>AND(#REF!,"AAAAAGo//00=")</f>
        <v>#REF!</v>
      </c>
      <c r="CA72" t="e">
        <f>AND(#REF!,"AAAAAGo//04=")</f>
        <v>#REF!</v>
      </c>
      <c r="CB72" t="e">
        <f>AND(#REF!,"AAAAAGo//08=")</f>
        <v>#REF!</v>
      </c>
      <c r="CC72" t="e">
        <f>AND(#REF!,"AAAAAGo//1A=")</f>
        <v>#REF!</v>
      </c>
      <c r="CD72" t="e">
        <f>AND(#REF!,"AAAAAGo//1E=")</f>
        <v>#REF!</v>
      </c>
      <c r="CE72" t="e">
        <f>AND(#REF!,"AAAAAGo//1I=")</f>
        <v>#REF!</v>
      </c>
      <c r="CF72" t="e">
        <f>AND(#REF!,"AAAAAGo//1M=")</f>
        <v>#REF!</v>
      </c>
      <c r="CG72" t="e">
        <f>IF(#REF!,"AAAAAGo//1Q=",0)</f>
        <v>#REF!</v>
      </c>
      <c r="CH72" t="e">
        <f>AND(#REF!,"AAAAAGo//1U=")</f>
        <v>#REF!</v>
      </c>
      <c r="CI72" t="e">
        <f>AND(#REF!,"AAAAAGo//1Y=")</f>
        <v>#REF!</v>
      </c>
      <c r="CJ72" t="e">
        <f>AND(#REF!,"AAAAAGo//1c=")</f>
        <v>#REF!</v>
      </c>
      <c r="CK72" t="e">
        <f>AND(#REF!,"AAAAAGo//1g=")</f>
        <v>#REF!</v>
      </c>
      <c r="CL72" t="e">
        <f>AND(#REF!,"AAAAAGo//1k=")</f>
        <v>#REF!</v>
      </c>
      <c r="CM72" t="e">
        <f>AND(#REF!,"AAAAAGo//1o=")</f>
        <v>#REF!</v>
      </c>
      <c r="CN72" t="e">
        <f>AND(#REF!,"AAAAAGo//1s=")</f>
        <v>#REF!</v>
      </c>
      <c r="CO72" t="e">
        <f>AND(#REF!,"AAAAAGo//1w=")</f>
        <v>#REF!</v>
      </c>
      <c r="CP72" t="e">
        <f>AND(#REF!,"AAAAAGo//10=")</f>
        <v>#REF!</v>
      </c>
      <c r="CQ72" t="e">
        <f>AND(#REF!,"AAAAAGo//14=")</f>
        <v>#REF!</v>
      </c>
      <c r="CR72" t="e">
        <f>AND(#REF!,"AAAAAGo//18=")</f>
        <v>#REF!</v>
      </c>
      <c r="CS72" t="e">
        <f>AND(#REF!,"AAAAAGo//2A=")</f>
        <v>#REF!</v>
      </c>
      <c r="CT72" t="e">
        <f>AND(#REF!,"AAAAAGo//2E=")</f>
        <v>#REF!</v>
      </c>
      <c r="CU72" t="e">
        <f>AND(#REF!,"AAAAAGo//2I=")</f>
        <v>#REF!</v>
      </c>
      <c r="CV72" t="e">
        <f>AND(#REF!,"AAAAAGo//2M=")</f>
        <v>#REF!</v>
      </c>
      <c r="CW72" t="e">
        <f>AND(#REF!,"AAAAAGo//2Q=")</f>
        <v>#REF!</v>
      </c>
      <c r="CX72" t="e">
        <f>AND(#REF!,"AAAAAGo//2U=")</f>
        <v>#REF!</v>
      </c>
      <c r="CY72" t="e">
        <f>AND(#REF!,"AAAAAGo//2Y=")</f>
        <v>#REF!</v>
      </c>
      <c r="CZ72" t="e">
        <f>AND(#REF!,"AAAAAGo//2c=")</f>
        <v>#REF!</v>
      </c>
      <c r="DA72" t="e">
        <f>AND(#REF!,"AAAAAGo//2g=")</f>
        <v>#REF!</v>
      </c>
      <c r="DB72" t="e">
        <f>AND(#REF!,"AAAAAGo//2k=")</f>
        <v>#REF!</v>
      </c>
      <c r="DC72" t="e">
        <f>AND(#REF!,"AAAAAGo//2o=")</f>
        <v>#REF!</v>
      </c>
      <c r="DD72" t="e">
        <f>AND(#REF!,"AAAAAGo//2s=")</f>
        <v>#REF!</v>
      </c>
      <c r="DE72" t="e">
        <f>AND(#REF!,"AAAAAGo//2w=")</f>
        <v>#REF!</v>
      </c>
      <c r="DF72" t="e">
        <f>IF(#REF!,"AAAAAGo//20=",0)</f>
        <v>#REF!</v>
      </c>
      <c r="DG72" t="e">
        <f>AND(#REF!,"AAAAAGo//24=")</f>
        <v>#REF!</v>
      </c>
      <c r="DH72" t="e">
        <f>AND(#REF!,"AAAAAGo//28=")</f>
        <v>#REF!</v>
      </c>
      <c r="DI72" t="e">
        <f>AND(#REF!,"AAAAAGo//3A=")</f>
        <v>#REF!</v>
      </c>
      <c r="DJ72" t="e">
        <f>AND(#REF!,"AAAAAGo//3E=")</f>
        <v>#REF!</v>
      </c>
      <c r="DK72" t="e">
        <f>AND(#REF!,"AAAAAGo//3I=")</f>
        <v>#REF!</v>
      </c>
      <c r="DL72" t="e">
        <f>AND(#REF!,"AAAAAGo//3M=")</f>
        <v>#REF!</v>
      </c>
      <c r="DM72" t="e">
        <f>AND(#REF!,"AAAAAGo//3Q=")</f>
        <v>#REF!</v>
      </c>
      <c r="DN72" t="e">
        <f>AND(#REF!,"AAAAAGo//3U=")</f>
        <v>#REF!</v>
      </c>
      <c r="DO72" t="e">
        <f>AND(#REF!,"AAAAAGo//3Y=")</f>
        <v>#REF!</v>
      </c>
      <c r="DP72" t="e">
        <f>AND(#REF!,"AAAAAGo//3c=")</f>
        <v>#REF!</v>
      </c>
      <c r="DQ72" t="e">
        <f>AND(#REF!,"AAAAAGo//3g=")</f>
        <v>#REF!</v>
      </c>
      <c r="DR72" t="e">
        <f>AND(#REF!,"AAAAAGo//3k=")</f>
        <v>#REF!</v>
      </c>
      <c r="DS72" t="e">
        <f>AND(#REF!,"AAAAAGo//3o=")</f>
        <v>#REF!</v>
      </c>
      <c r="DT72" t="e">
        <f>AND(#REF!,"AAAAAGo//3s=")</f>
        <v>#REF!</v>
      </c>
      <c r="DU72" t="e">
        <f>AND(#REF!,"AAAAAGo//3w=")</f>
        <v>#REF!</v>
      </c>
      <c r="DV72" t="e">
        <f>AND(#REF!,"AAAAAGo//30=")</f>
        <v>#REF!</v>
      </c>
      <c r="DW72" t="e">
        <f>AND(#REF!,"AAAAAGo//34=")</f>
        <v>#REF!</v>
      </c>
      <c r="DX72" t="e">
        <f>AND(#REF!,"AAAAAGo//38=")</f>
        <v>#REF!</v>
      </c>
      <c r="DY72" t="e">
        <f>AND(#REF!,"AAAAAGo//4A=")</f>
        <v>#REF!</v>
      </c>
      <c r="DZ72" t="e">
        <f>AND(#REF!,"AAAAAGo//4E=")</f>
        <v>#REF!</v>
      </c>
      <c r="EA72" t="e">
        <f>AND(#REF!,"AAAAAGo//4I=")</f>
        <v>#REF!</v>
      </c>
      <c r="EB72" t="e">
        <f>AND(#REF!,"AAAAAGo//4M=")</f>
        <v>#REF!</v>
      </c>
      <c r="EC72" t="e">
        <f>AND(#REF!,"AAAAAGo//4Q=")</f>
        <v>#REF!</v>
      </c>
      <c r="ED72" t="e">
        <f>AND(#REF!,"AAAAAGo//4U=")</f>
        <v>#REF!</v>
      </c>
      <c r="EE72" t="e">
        <f>IF(#REF!,"AAAAAGo//4Y=",0)</f>
        <v>#REF!</v>
      </c>
      <c r="EF72" t="e">
        <f>AND(#REF!,"AAAAAGo//4c=")</f>
        <v>#REF!</v>
      </c>
      <c r="EG72" t="e">
        <f>AND(#REF!,"AAAAAGo//4g=")</f>
        <v>#REF!</v>
      </c>
      <c r="EH72" t="e">
        <f>AND(#REF!,"AAAAAGo//4k=")</f>
        <v>#REF!</v>
      </c>
      <c r="EI72" t="e">
        <f>AND(#REF!,"AAAAAGo//4o=")</f>
        <v>#REF!</v>
      </c>
      <c r="EJ72" t="e">
        <f>AND(#REF!,"AAAAAGo//4s=")</f>
        <v>#REF!</v>
      </c>
      <c r="EK72" t="e">
        <f>AND(#REF!,"AAAAAGo//4w=")</f>
        <v>#REF!</v>
      </c>
      <c r="EL72" t="e">
        <f>AND(#REF!,"AAAAAGo//40=")</f>
        <v>#REF!</v>
      </c>
      <c r="EM72" t="e">
        <f>AND(#REF!,"AAAAAGo//44=")</f>
        <v>#REF!</v>
      </c>
      <c r="EN72" t="e">
        <f>AND(#REF!,"AAAAAGo//48=")</f>
        <v>#REF!</v>
      </c>
      <c r="EO72" t="e">
        <f>AND(#REF!,"AAAAAGo//5A=")</f>
        <v>#REF!</v>
      </c>
      <c r="EP72" t="e">
        <f>AND(#REF!,"AAAAAGo//5E=")</f>
        <v>#REF!</v>
      </c>
      <c r="EQ72" t="e">
        <f>AND(#REF!,"AAAAAGo//5I=")</f>
        <v>#REF!</v>
      </c>
      <c r="ER72" t="e">
        <f>AND(#REF!,"AAAAAGo//5M=")</f>
        <v>#REF!</v>
      </c>
      <c r="ES72" t="e">
        <f>AND(#REF!,"AAAAAGo//5Q=")</f>
        <v>#REF!</v>
      </c>
      <c r="ET72" t="e">
        <f>AND(#REF!,"AAAAAGo//5U=")</f>
        <v>#REF!</v>
      </c>
      <c r="EU72" t="e">
        <f>AND(#REF!,"AAAAAGo//5Y=")</f>
        <v>#REF!</v>
      </c>
      <c r="EV72" t="e">
        <f>AND(#REF!,"AAAAAGo//5c=")</f>
        <v>#REF!</v>
      </c>
      <c r="EW72" t="e">
        <f>AND(#REF!,"AAAAAGo//5g=")</f>
        <v>#REF!</v>
      </c>
      <c r="EX72" t="e">
        <f>AND(#REF!,"AAAAAGo//5k=")</f>
        <v>#REF!</v>
      </c>
      <c r="EY72" t="e">
        <f>AND(#REF!,"AAAAAGo//5o=")</f>
        <v>#REF!</v>
      </c>
      <c r="EZ72" t="e">
        <f>AND(#REF!,"AAAAAGo//5s=")</f>
        <v>#REF!</v>
      </c>
      <c r="FA72" t="e">
        <f>AND(#REF!,"AAAAAGo//5w=")</f>
        <v>#REF!</v>
      </c>
      <c r="FB72" t="e">
        <f>AND(#REF!,"AAAAAGo//50=")</f>
        <v>#REF!</v>
      </c>
      <c r="FC72" t="e">
        <f>AND(#REF!,"AAAAAGo//54=")</f>
        <v>#REF!</v>
      </c>
      <c r="FD72" t="e">
        <f>IF(#REF!,"AAAAAGo//58=",0)</f>
        <v>#REF!</v>
      </c>
      <c r="FE72" t="e">
        <f>AND(#REF!,"AAAAAGo//6A=")</f>
        <v>#REF!</v>
      </c>
      <c r="FF72" t="e">
        <f>AND(#REF!,"AAAAAGo//6E=")</f>
        <v>#REF!</v>
      </c>
      <c r="FG72" t="e">
        <f>AND(#REF!,"AAAAAGo//6I=")</f>
        <v>#REF!</v>
      </c>
      <c r="FH72" t="e">
        <f>AND(#REF!,"AAAAAGo//6M=")</f>
        <v>#REF!</v>
      </c>
      <c r="FI72" t="e">
        <f>AND(#REF!,"AAAAAGo//6Q=")</f>
        <v>#REF!</v>
      </c>
      <c r="FJ72" t="e">
        <f>AND(#REF!,"AAAAAGo//6U=")</f>
        <v>#REF!</v>
      </c>
      <c r="FK72" t="e">
        <f>AND(#REF!,"AAAAAGo//6Y=")</f>
        <v>#REF!</v>
      </c>
      <c r="FL72" t="e">
        <f>AND(#REF!,"AAAAAGo//6c=")</f>
        <v>#REF!</v>
      </c>
      <c r="FM72" t="e">
        <f>AND(#REF!,"AAAAAGo//6g=")</f>
        <v>#REF!</v>
      </c>
      <c r="FN72" t="e">
        <f>AND(#REF!,"AAAAAGo//6k=")</f>
        <v>#REF!</v>
      </c>
      <c r="FO72" t="e">
        <f>AND(#REF!,"AAAAAGo//6o=")</f>
        <v>#REF!</v>
      </c>
      <c r="FP72" t="e">
        <f>AND(#REF!,"AAAAAGo//6s=")</f>
        <v>#REF!</v>
      </c>
      <c r="FQ72" t="e">
        <f>AND(#REF!,"AAAAAGo//6w=")</f>
        <v>#REF!</v>
      </c>
      <c r="FR72" t="e">
        <f>AND(#REF!,"AAAAAGo//60=")</f>
        <v>#REF!</v>
      </c>
      <c r="FS72" t="e">
        <f>AND(#REF!,"AAAAAGo//64=")</f>
        <v>#REF!</v>
      </c>
      <c r="FT72" t="e">
        <f>AND(#REF!,"AAAAAGo//68=")</f>
        <v>#REF!</v>
      </c>
      <c r="FU72" t="e">
        <f>AND(#REF!,"AAAAAGo//7A=")</f>
        <v>#REF!</v>
      </c>
      <c r="FV72" t="e">
        <f>AND(#REF!,"AAAAAGo//7E=")</f>
        <v>#REF!</v>
      </c>
      <c r="FW72" t="e">
        <f>AND(#REF!,"AAAAAGo//7I=")</f>
        <v>#REF!</v>
      </c>
      <c r="FX72" t="e">
        <f>AND(#REF!,"AAAAAGo//7M=")</f>
        <v>#REF!</v>
      </c>
      <c r="FY72" t="e">
        <f>AND(#REF!,"AAAAAGo//7Q=")</f>
        <v>#REF!</v>
      </c>
      <c r="FZ72" t="e">
        <f>AND(#REF!,"AAAAAGo//7U=")</f>
        <v>#REF!</v>
      </c>
      <c r="GA72" t="e">
        <f>AND(#REF!,"AAAAAGo//7Y=")</f>
        <v>#REF!</v>
      </c>
      <c r="GB72" t="e">
        <f>AND(#REF!,"AAAAAGo//7c=")</f>
        <v>#REF!</v>
      </c>
      <c r="GC72" t="e">
        <f>IF(#REF!,"AAAAAGo//7g=",0)</f>
        <v>#REF!</v>
      </c>
      <c r="GD72" t="e">
        <f>AND(#REF!,"AAAAAGo//7k=")</f>
        <v>#REF!</v>
      </c>
      <c r="GE72" t="e">
        <f>AND(#REF!,"AAAAAGo//7o=")</f>
        <v>#REF!</v>
      </c>
      <c r="GF72" t="e">
        <f>AND(#REF!,"AAAAAGo//7s=")</f>
        <v>#REF!</v>
      </c>
      <c r="GG72" t="e">
        <f>AND(#REF!,"AAAAAGo//7w=")</f>
        <v>#REF!</v>
      </c>
      <c r="GH72" t="e">
        <f>AND(#REF!,"AAAAAGo//70=")</f>
        <v>#REF!</v>
      </c>
      <c r="GI72" t="e">
        <f>AND(#REF!,"AAAAAGo//74=")</f>
        <v>#REF!</v>
      </c>
      <c r="GJ72" t="e">
        <f>AND(#REF!,"AAAAAGo//78=")</f>
        <v>#REF!</v>
      </c>
      <c r="GK72" t="e">
        <f>AND(#REF!,"AAAAAGo//8A=")</f>
        <v>#REF!</v>
      </c>
      <c r="GL72" t="e">
        <f>AND(#REF!,"AAAAAGo//8E=")</f>
        <v>#REF!</v>
      </c>
      <c r="GM72" t="e">
        <f>AND(#REF!,"AAAAAGo//8I=")</f>
        <v>#REF!</v>
      </c>
      <c r="GN72" t="e">
        <f>AND(#REF!,"AAAAAGo//8M=")</f>
        <v>#REF!</v>
      </c>
      <c r="GO72" t="e">
        <f>AND(#REF!,"AAAAAGo//8Q=")</f>
        <v>#REF!</v>
      </c>
      <c r="GP72" t="e">
        <f>AND(#REF!,"AAAAAGo//8U=")</f>
        <v>#REF!</v>
      </c>
      <c r="GQ72" t="e">
        <f>AND(#REF!,"AAAAAGo//8Y=")</f>
        <v>#REF!</v>
      </c>
      <c r="GR72" t="e">
        <f>AND(#REF!,"AAAAAGo//8c=")</f>
        <v>#REF!</v>
      </c>
      <c r="GS72" t="e">
        <f>AND(#REF!,"AAAAAGo//8g=")</f>
        <v>#REF!</v>
      </c>
      <c r="GT72" t="e">
        <f>AND(#REF!,"AAAAAGo//8k=")</f>
        <v>#REF!</v>
      </c>
      <c r="GU72" t="e">
        <f>AND(#REF!,"AAAAAGo//8o=")</f>
        <v>#REF!</v>
      </c>
      <c r="GV72" t="e">
        <f>AND(#REF!,"AAAAAGo//8s=")</f>
        <v>#REF!</v>
      </c>
      <c r="GW72" t="e">
        <f>AND(#REF!,"AAAAAGo//8w=")</f>
        <v>#REF!</v>
      </c>
      <c r="GX72" t="e">
        <f>AND(#REF!,"AAAAAGo//80=")</f>
        <v>#REF!</v>
      </c>
      <c r="GY72" t="e">
        <f>AND(#REF!,"AAAAAGo//84=")</f>
        <v>#REF!</v>
      </c>
      <c r="GZ72" t="e">
        <f>AND(#REF!,"AAAAAGo//88=")</f>
        <v>#REF!</v>
      </c>
      <c r="HA72" t="e">
        <f>AND(#REF!,"AAAAAGo//9A=")</f>
        <v>#REF!</v>
      </c>
      <c r="HB72" t="e">
        <f>IF(#REF!,"AAAAAGo//9E=",0)</f>
        <v>#REF!</v>
      </c>
      <c r="HC72" t="e">
        <f>AND(#REF!,"AAAAAGo//9I=")</f>
        <v>#REF!</v>
      </c>
      <c r="HD72" t="e">
        <f>AND(#REF!,"AAAAAGo//9M=")</f>
        <v>#REF!</v>
      </c>
      <c r="HE72" t="e">
        <f>AND(#REF!,"AAAAAGo//9Q=")</f>
        <v>#REF!</v>
      </c>
      <c r="HF72" t="e">
        <f>AND(#REF!,"AAAAAGo//9U=")</f>
        <v>#REF!</v>
      </c>
      <c r="HG72" t="e">
        <f>AND(#REF!,"AAAAAGo//9Y=")</f>
        <v>#REF!</v>
      </c>
      <c r="HH72" t="e">
        <f>AND(#REF!,"AAAAAGo//9c=")</f>
        <v>#REF!</v>
      </c>
      <c r="HI72" t="e">
        <f>AND(#REF!,"AAAAAGo//9g=")</f>
        <v>#REF!</v>
      </c>
      <c r="HJ72" t="e">
        <f>AND(#REF!,"AAAAAGo//9k=")</f>
        <v>#REF!</v>
      </c>
      <c r="HK72" t="e">
        <f>AND(#REF!,"AAAAAGo//9o=")</f>
        <v>#REF!</v>
      </c>
      <c r="HL72" t="e">
        <f>AND(#REF!,"AAAAAGo//9s=")</f>
        <v>#REF!</v>
      </c>
      <c r="HM72" t="e">
        <f>AND(#REF!,"AAAAAGo//9w=")</f>
        <v>#REF!</v>
      </c>
      <c r="HN72" t="e">
        <f>AND(#REF!,"AAAAAGo//90=")</f>
        <v>#REF!</v>
      </c>
      <c r="HO72" t="e">
        <f>AND(#REF!,"AAAAAGo//94=")</f>
        <v>#REF!</v>
      </c>
      <c r="HP72" t="e">
        <f>AND(#REF!,"AAAAAGo//98=")</f>
        <v>#REF!</v>
      </c>
      <c r="HQ72" t="e">
        <f>AND(#REF!,"AAAAAGo//+A=")</f>
        <v>#REF!</v>
      </c>
      <c r="HR72" t="e">
        <f>AND(#REF!,"AAAAAGo//+E=")</f>
        <v>#REF!</v>
      </c>
      <c r="HS72" t="e">
        <f>AND(#REF!,"AAAAAGo//+I=")</f>
        <v>#REF!</v>
      </c>
      <c r="HT72" t="e">
        <f>AND(#REF!,"AAAAAGo//+M=")</f>
        <v>#REF!</v>
      </c>
      <c r="HU72" t="e">
        <f>AND(#REF!,"AAAAAGo//+Q=")</f>
        <v>#REF!</v>
      </c>
      <c r="HV72" t="e">
        <f>AND(#REF!,"AAAAAGo//+U=")</f>
        <v>#REF!</v>
      </c>
      <c r="HW72" t="e">
        <f>AND(#REF!,"AAAAAGo//+Y=")</f>
        <v>#REF!</v>
      </c>
      <c r="HX72" t="e">
        <f>AND(#REF!,"AAAAAGo//+c=")</f>
        <v>#REF!</v>
      </c>
      <c r="HY72" t="e">
        <f>AND(#REF!,"AAAAAGo//+g=")</f>
        <v>#REF!</v>
      </c>
      <c r="HZ72" t="e">
        <f>AND(#REF!,"AAAAAGo//+k=")</f>
        <v>#REF!</v>
      </c>
      <c r="IA72" t="e">
        <f>IF(#REF!,"AAAAAGo//+o=",0)</f>
        <v>#REF!</v>
      </c>
      <c r="IB72" t="e">
        <f>AND(#REF!,"AAAAAGo//+s=")</f>
        <v>#REF!</v>
      </c>
      <c r="IC72" t="e">
        <f>AND(#REF!,"AAAAAGo//+w=")</f>
        <v>#REF!</v>
      </c>
      <c r="ID72" t="e">
        <f>AND(#REF!,"AAAAAGo//+0=")</f>
        <v>#REF!</v>
      </c>
      <c r="IE72" t="e">
        <f>AND(#REF!,"AAAAAGo//+4=")</f>
        <v>#REF!</v>
      </c>
      <c r="IF72" t="e">
        <f>AND(#REF!,"AAAAAGo//+8=")</f>
        <v>#REF!</v>
      </c>
      <c r="IG72" t="e">
        <f>AND(#REF!,"AAAAAGo///A=")</f>
        <v>#REF!</v>
      </c>
      <c r="IH72" t="e">
        <f>AND(#REF!,"AAAAAGo///E=")</f>
        <v>#REF!</v>
      </c>
      <c r="II72" t="e">
        <f>AND(#REF!,"AAAAAGo///I=")</f>
        <v>#REF!</v>
      </c>
      <c r="IJ72" t="e">
        <f>AND(#REF!,"AAAAAGo///M=")</f>
        <v>#REF!</v>
      </c>
      <c r="IK72" t="e">
        <f>AND(#REF!,"AAAAAGo///Q=")</f>
        <v>#REF!</v>
      </c>
      <c r="IL72" t="e">
        <f>AND(#REF!,"AAAAAGo///U=")</f>
        <v>#REF!</v>
      </c>
      <c r="IM72" t="e">
        <f>AND(#REF!,"AAAAAGo///Y=")</f>
        <v>#REF!</v>
      </c>
      <c r="IN72" t="e">
        <f>AND(#REF!,"AAAAAGo///c=")</f>
        <v>#REF!</v>
      </c>
      <c r="IO72" t="e">
        <f>AND(#REF!,"AAAAAGo///g=")</f>
        <v>#REF!</v>
      </c>
      <c r="IP72" t="e">
        <f>AND(#REF!,"AAAAAGo///k=")</f>
        <v>#REF!</v>
      </c>
      <c r="IQ72" t="e">
        <f>AND(#REF!,"AAAAAGo///o=")</f>
        <v>#REF!</v>
      </c>
      <c r="IR72" t="e">
        <f>AND(#REF!,"AAAAAGo///s=")</f>
        <v>#REF!</v>
      </c>
      <c r="IS72" t="e">
        <f>AND(#REF!,"AAAAAGo///w=")</f>
        <v>#REF!</v>
      </c>
      <c r="IT72" t="e">
        <f>AND(#REF!,"AAAAAGo///0=")</f>
        <v>#REF!</v>
      </c>
      <c r="IU72" t="e">
        <f>AND(#REF!,"AAAAAGo///4=")</f>
        <v>#REF!</v>
      </c>
      <c r="IV72" t="e">
        <f>AND(#REF!,"AAAAAGo///8=")</f>
        <v>#REF!</v>
      </c>
    </row>
    <row r="73" spans="1:256">
      <c r="A73" t="e">
        <f>AND(#REF!,"AAAAAHH/+wA=")</f>
        <v>#REF!</v>
      </c>
      <c r="B73" t="e">
        <f>AND(#REF!,"AAAAAHH/+wE=")</f>
        <v>#REF!</v>
      </c>
      <c r="C73" t="e">
        <f>AND(#REF!,"AAAAAHH/+wI=")</f>
        <v>#REF!</v>
      </c>
      <c r="D73" t="e">
        <f>IF(#REF!,"AAAAAHH/+wM=",0)</f>
        <v>#REF!</v>
      </c>
      <c r="E73" t="e">
        <f>AND(#REF!,"AAAAAHH/+wQ=")</f>
        <v>#REF!</v>
      </c>
      <c r="F73" t="e">
        <f>AND(#REF!,"AAAAAHH/+wU=")</f>
        <v>#REF!</v>
      </c>
      <c r="G73" t="e">
        <f>AND(#REF!,"AAAAAHH/+wY=")</f>
        <v>#REF!</v>
      </c>
      <c r="H73" t="e">
        <f>AND(#REF!,"AAAAAHH/+wc=")</f>
        <v>#REF!</v>
      </c>
      <c r="I73" t="e">
        <f>AND(#REF!,"AAAAAHH/+wg=")</f>
        <v>#REF!</v>
      </c>
      <c r="J73" t="e">
        <f>AND(#REF!,"AAAAAHH/+wk=")</f>
        <v>#REF!</v>
      </c>
      <c r="K73" t="e">
        <f>AND(#REF!,"AAAAAHH/+wo=")</f>
        <v>#REF!</v>
      </c>
      <c r="L73" t="e">
        <f>AND(#REF!,"AAAAAHH/+ws=")</f>
        <v>#REF!</v>
      </c>
      <c r="M73" t="e">
        <f>AND(#REF!,"AAAAAHH/+ww=")</f>
        <v>#REF!</v>
      </c>
      <c r="N73" t="e">
        <f>AND(#REF!,"AAAAAHH/+w0=")</f>
        <v>#REF!</v>
      </c>
      <c r="O73" t="e">
        <f>AND(#REF!,"AAAAAHH/+w4=")</f>
        <v>#REF!</v>
      </c>
      <c r="P73" t="e">
        <f>AND(#REF!,"AAAAAHH/+w8=")</f>
        <v>#REF!</v>
      </c>
      <c r="Q73" t="e">
        <f>AND(#REF!,"AAAAAHH/+xA=")</f>
        <v>#REF!</v>
      </c>
      <c r="R73" t="e">
        <f>AND(#REF!,"AAAAAHH/+xE=")</f>
        <v>#REF!</v>
      </c>
      <c r="S73" t="e">
        <f>AND(#REF!,"AAAAAHH/+xI=")</f>
        <v>#REF!</v>
      </c>
      <c r="T73" t="e">
        <f>AND(#REF!,"AAAAAHH/+xM=")</f>
        <v>#REF!</v>
      </c>
      <c r="U73" t="e">
        <f>AND(#REF!,"AAAAAHH/+xQ=")</f>
        <v>#REF!</v>
      </c>
      <c r="V73" t="e">
        <f>AND(#REF!,"AAAAAHH/+xU=")</f>
        <v>#REF!</v>
      </c>
      <c r="W73" t="e">
        <f>AND(#REF!,"AAAAAHH/+xY=")</f>
        <v>#REF!</v>
      </c>
      <c r="X73" t="e">
        <f>AND(#REF!,"AAAAAHH/+xc=")</f>
        <v>#REF!</v>
      </c>
      <c r="Y73" t="e">
        <f>AND(#REF!,"AAAAAHH/+xg=")</f>
        <v>#REF!</v>
      </c>
      <c r="Z73" t="e">
        <f>AND(#REF!,"AAAAAHH/+xk=")</f>
        <v>#REF!</v>
      </c>
      <c r="AA73" t="e">
        <f>AND(#REF!,"AAAAAHH/+xo=")</f>
        <v>#REF!</v>
      </c>
      <c r="AB73" t="e">
        <f>AND(#REF!,"AAAAAHH/+xs=")</f>
        <v>#REF!</v>
      </c>
      <c r="AC73" t="e">
        <f>IF(#REF!,"AAAAAHH/+xw=",0)</f>
        <v>#REF!</v>
      </c>
      <c r="AD73" t="e">
        <f>AND(#REF!,"AAAAAHH/+x0=")</f>
        <v>#REF!</v>
      </c>
      <c r="AE73" t="e">
        <f>AND(#REF!,"AAAAAHH/+x4=")</f>
        <v>#REF!</v>
      </c>
      <c r="AF73" t="e">
        <f>AND(#REF!,"AAAAAHH/+x8=")</f>
        <v>#REF!</v>
      </c>
      <c r="AG73" t="e">
        <f>AND(#REF!,"AAAAAHH/+yA=")</f>
        <v>#REF!</v>
      </c>
      <c r="AH73" t="e">
        <f>AND(#REF!,"AAAAAHH/+yE=")</f>
        <v>#REF!</v>
      </c>
      <c r="AI73" t="e">
        <f>AND(#REF!,"AAAAAHH/+yI=")</f>
        <v>#REF!</v>
      </c>
      <c r="AJ73" t="e">
        <f>AND(#REF!,"AAAAAHH/+yM=")</f>
        <v>#REF!</v>
      </c>
      <c r="AK73" t="e">
        <f>AND(#REF!,"AAAAAHH/+yQ=")</f>
        <v>#REF!</v>
      </c>
      <c r="AL73" t="e">
        <f>AND(#REF!,"AAAAAHH/+yU=")</f>
        <v>#REF!</v>
      </c>
      <c r="AM73" t="e">
        <f>AND(#REF!,"AAAAAHH/+yY=")</f>
        <v>#REF!</v>
      </c>
      <c r="AN73" t="e">
        <f>AND(#REF!,"AAAAAHH/+yc=")</f>
        <v>#REF!</v>
      </c>
      <c r="AO73" t="e">
        <f>AND(#REF!,"AAAAAHH/+yg=")</f>
        <v>#REF!</v>
      </c>
      <c r="AP73" t="e">
        <f>AND(#REF!,"AAAAAHH/+yk=")</f>
        <v>#REF!</v>
      </c>
      <c r="AQ73" t="e">
        <f>AND(#REF!,"AAAAAHH/+yo=")</f>
        <v>#REF!</v>
      </c>
      <c r="AR73" t="e">
        <f>AND(#REF!,"AAAAAHH/+ys=")</f>
        <v>#REF!</v>
      </c>
      <c r="AS73" t="e">
        <f>AND(#REF!,"AAAAAHH/+yw=")</f>
        <v>#REF!</v>
      </c>
      <c r="AT73" t="e">
        <f>AND(#REF!,"AAAAAHH/+y0=")</f>
        <v>#REF!</v>
      </c>
      <c r="AU73" t="e">
        <f>AND(#REF!,"AAAAAHH/+y4=")</f>
        <v>#REF!</v>
      </c>
      <c r="AV73" t="e">
        <f>AND(#REF!,"AAAAAHH/+y8=")</f>
        <v>#REF!</v>
      </c>
      <c r="AW73" t="e">
        <f>AND(#REF!,"AAAAAHH/+zA=")</f>
        <v>#REF!</v>
      </c>
      <c r="AX73" t="e">
        <f>AND(#REF!,"AAAAAHH/+zE=")</f>
        <v>#REF!</v>
      </c>
      <c r="AY73" t="e">
        <f>AND(#REF!,"AAAAAHH/+zI=")</f>
        <v>#REF!</v>
      </c>
      <c r="AZ73" t="e">
        <f>AND(#REF!,"AAAAAHH/+zM=")</f>
        <v>#REF!</v>
      </c>
      <c r="BA73" t="e">
        <f>AND(#REF!,"AAAAAHH/+zQ=")</f>
        <v>#REF!</v>
      </c>
      <c r="BB73" t="e">
        <f>IF(#REF!,"AAAAAHH/+zU=",0)</f>
        <v>#REF!</v>
      </c>
      <c r="BC73" t="e">
        <f>AND(#REF!,"AAAAAHH/+zY=")</f>
        <v>#REF!</v>
      </c>
      <c r="BD73" t="e">
        <f>AND(#REF!,"AAAAAHH/+zc=")</f>
        <v>#REF!</v>
      </c>
      <c r="BE73" t="e">
        <f>AND(#REF!,"AAAAAHH/+zg=")</f>
        <v>#REF!</v>
      </c>
      <c r="BF73" t="e">
        <f>AND(#REF!,"AAAAAHH/+zk=")</f>
        <v>#REF!</v>
      </c>
      <c r="BG73" t="e">
        <f>AND(#REF!,"AAAAAHH/+zo=")</f>
        <v>#REF!</v>
      </c>
      <c r="BH73" t="e">
        <f>AND(#REF!,"AAAAAHH/+zs=")</f>
        <v>#REF!</v>
      </c>
      <c r="BI73" t="e">
        <f>AND(#REF!,"AAAAAHH/+zw=")</f>
        <v>#REF!</v>
      </c>
      <c r="BJ73" t="e">
        <f>AND(#REF!,"AAAAAHH/+z0=")</f>
        <v>#REF!</v>
      </c>
      <c r="BK73" t="e">
        <f>AND(#REF!,"AAAAAHH/+z4=")</f>
        <v>#REF!</v>
      </c>
      <c r="BL73" t="e">
        <f>AND(#REF!,"AAAAAHH/+z8=")</f>
        <v>#REF!</v>
      </c>
      <c r="BM73" t="e">
        <f>AND(#REF!,"AAAAAHH/+0A=")</f>
        <v>#REF!</v>
      </c>
      <c r="BN73" t="e">
        <f>AND(#REF!,"AAAAAHH/+0E=")</f>
        <v>#REF!</v>
      </c>
      <c r="BO73" t="e">
        <f>AND(#REF!,"AAAAAHH/+0I=")</f>
        <v>#REF!</v>
      </c>
      <c r="BP73" t="e">
        <f>AND(#REF!,"AAAAAHH/+0M=")</f>
        <v>#REF!</v>
      </c>
      <c r="BQ73" t="e">
        <f>AND(#REF!,"AAAAAHH/+0Q=")</f>
        <v>#REF!</v>
      </c>
      <c r="BR73" t="e">
        <f>AND(#REF!,"AAAAAHH/+0U=")</f>
        <v>#REF!</v>
      </c>
      <c r="BS73" t="e">
        <f>AND(#REF!,"AAAAAHH/+0Y=")</f>
        <v>#REF!</v>
      </c>
      <c r="BT73" t="e">
        <f>AND(#REF!,"AAAAAHH/+0c=")</f>
        <v>#REF!</v>
      </c>
      <c r="BU73" t="e">
        <f>AND(#REF!,"AAAAAHH/+0g=")</f>
        <v>#REF!</v>
      </c>
      <c r="BV73" t="e">
        <f>AND(#REF!,"AAAAAHH/+0k=")</f>
        <v>#REF!</v>
      </c>
      <c r="BW73" t="e">
        <f>AND(#REF!,"AAAAAHH/+0o=")</f>
        <v>#REF!</v>
      </c>
      <c r="BX73" t="e">
        <f>AND(#REF!,"AAAAAHH/+0s=")</f>
        <v>#REF!</v>
      </c>
      <c r="BY73" t="e">
        <f>AND(#REF!,"AAAAAHH/+0w=")</f>
        <v>#REF!</v>
      </c>
      <c r="BZ73" t="e">
        <f>AND(#REF!,"AAAAAHH/+00=")</f>
        <v>#REF!</v>
      </c>
      <c r="CA73" t="e">
        <f>IF(#REF!,"AAAAAHH/+04=",0)</f>
        <v>#REF!</v>
      </c>
      <c r="CB73" t="e">
        <f>AND(#REF!,"AAAAAHH/+08=")</f>
        <v>#REF!</v>
      </c>
      <c r="CC73" t="e">
        <f>AND(#REF!,"AAAAAHH/+1A=")</f>
        <v>#REF!</v>
      </c>
      <c r="CD73" t="e">
        <f>AND(#REF!,"AAAAAHH/+1E=")</f>
        <v>#REF!</v>
      </c>
      <c r="CE73" t="e">
        <f>AND(#REF!,"AAAAAHH/+1I=")</f>
        <v>#REF!</v>
      </c>
      <c r="CF73" t="e">
        <f>AND(#REF!,"AAAAAHH/+1M=")</f>
        <v>#REF!</v>
      </c>
      <c r="CG73" t="e">
        <f>AND(#REF!,"AAAAAHH/+1Q=")</f>
        <v>#REF!</v>
      </c>
      <c r="CH73" t="e">
        <f>AND(#REF!,"AAAAAHH/+1U=")</f>
        <v>#REF!</v>
      </c>
      <c r="CI73" t="e">
        <f>AND(#REF!,"AAAAAHH/+1Y=")</f>
        <v>#REF!</v>
      </c>
      <c r="CJ73" t="e">
        <f>AND(#REF!,"AAAAAHH/+1c=")</f>
        <v>#REF!</v>
      </c>
      <c r="CK73" t="e">
        <f>AND(#REF!,"AAAAAHH/+1g=")</f>
        <v>#REF!</v>
      </c>
      <c r="CL73" t="e">
        <f>AND(#REF!,"AAAAAHH/+1k=")</f>
        <v>#REF!</v>
      </c>
      <c r="CM73" t="e">
        <f>AND(#REF!,"AAAAAHH/+1o=")</f>
        <v>#REF!</v>
      </c>
      <c r="CN73" t="e">
        <f>AND(#REF!,"AAAAAHH/+1s=")</f>
        <v>#REF!</v>
      </c>
      <c r="CO73" t="e">
        <f>AND(#REF!,"AAAAAHH/+1w=")</f>
        <v>#REF!</v>
      </c>
      <c r="CP73" t="e">
        <f>AND(#REF!,"AAAAAHH/+10=")</f>
        <v>#REF!</v>
      </c>
      <c r="CQ73" t="e">
        <f>AND(#REF!,"AAAAAHH/+14=")</f>
        <v>#REF!</v>
      </c>
      <c r="CR73" t="e">
        <f>AND(#REF!,"AAAAAHH/+18=")</f>
        <v>#REF!</v>
      </c>
      <c r="CS73" t="e">
        <f>AND(#REF!,"AAAAAHH/+2A=")</f>
        <v>#REF!</v>
      </c>
      <c r="CT73" t="e">
        <f>AND(#REF!,"AAAAAHH/+2E=")</f>
        <v>#REF!</v>
      </c>
      <c r="CU73" t="e">
        <f>AND(#REF!,"AAAAAHH/+2I=")</f>
        <v>#REF!</v>
      </c>
      <c r="CV73" t="e">
        <f>AND(#REF!,"AAAAAHH/+2M=")</f>
        <v>#REF!</v>
      </c>
      <c r="CW73" t="e">
        <f>AND(#REF!,"AAAAAHH/+2Q=")</f>
        <v>#REF!</v>
      </c>
      <c r="CX73" t="e">
        <f>AND(#REF!,"AAAAAHH/+2U=")</f>
        <v>#REF!</v>
      </c>
      <c r="CY73" t="e">
        <f>AND(#REF!,"AAAAAHH/+2Y=")</f>
        <v>#REF!</v>
      </c>
      <c r="CZ73" t="e">
        <f>IF(#REF!,"AAAAAHH/+2c=",0)</f>
        <v>#REF!</v>
      </c>
      <c r="DA73" t="e">
        <f>AND(#REF!,"AAAAAHH/+2g=")</f>
        <v>#REF!</v>
      </c>
      <c r="DB73" t="e">
        <f>AND(#REF!,"AAAAAHH/+2k=")</f>
        <v>#REF!</v>
      </c>
      <c r="DC73" t="e">
        <f>AND(#REF!,"AAAAAHH/+2o=")</f>
        <v>#REF!</v>
      </c>
      <c r="DD73" t="e">
        <f>AND(#REF!,"AAAAAHH/+2s=")</f>
        <v>#REF!</v>
      </c>
      <c r="DE73" t="e">
        <f>AND(#REF!,"AAAAAHH/+2w=")</f>
        <v>#REF!</v>
      </c>
      <c r="DF73" t="e">
        <f>AND(#REF!,"AAAAAHH/+20=")</f>
        <v>#REF!</v>
      </c>
      <c r="DG73" t="e">
        <f>AND(#REF!,"AAAAAHH/+24=")</f>
        <v>#REF!</v>
      </c>
      <c r="DH73" t="e">
        <f>AND(#REF!,"AAAAAHH/+28=")</f>
        <v>#REF!</v>
      </c>
      <c r="DI73" t="e">
        <f>AND(#REF!,"AAAAAHH/+3A=")</f>
        <v>#REF!</v>
      </c>
      <c r="DJ73" t="e">
        <f>AND(#REF!,"AAAAAHH/+3E=")</f>
        <v>#REF!</v>
      </c>
      <c r="DK73" t="e">
        <f>AND(#REF!,"AAAAAHH/+3I=")</f>
        <v>#REF!</v>
      </c>
      <c r="DL73" t="e">
        <f>AND(#REF!,"AAAAAHH/+3M=")</f>
        <v>#REF!</v>
      </c>
      <c r="DM73" t="e">
        <f>AND(#REF!,"AAAAAHH/+3Q=")</f>
        <v>#REF!</v>
      </c>
      <c r="DN73" t="e">
        <f>AND(#REF!,"AAAAAHH/+3U=")</f>
        <v>#REF!</v>
      </c>
      <c r="DO73" t="e">
        <f>AND(#REF!,"AAAAAHH/+3Y=")</f>
        <v>#REF!</v>
      </c>
      <c r="DP73" t="e">
        <f>AND(#REF!,"AAAAAHH/+3c=")</f>
        <v>#REF!</v>
      </c>
      <c r="DQ73" t="e">
        <f>AND(#REF!,"AAAAAHH/+3g=")</f>
        <v>#REF!</v>
      </c>
      <c r="DR73" t="e">
        <f>AND(#REF!,"AAAAAHH/+3k=")</f>
        <v>#REF!</v>
      </c>
      <c r="DS73" t="e">
        <f>AND(#REF!,"AAAAAHH/+3o=")</f>
        <v>#REF!</v>
      </c>
      <c r="DT73" t="e">
        <f>AND(#REF!,"AAAAAHH/+3s=")</f>
        <v>#REF!</v>
      </c>
      <c r="DU73" t="e">
        <f>AND(#REF!,"AAAAAHH/+3w=")</f>
        <v>#REF!</v>
      </c>
      <c r="DV73" t="e">
        <f>AND(#REF!,"AAAAAHH/+30=")</f>
        <v>#REF!</v>
      </c>
      <c r="DW73" t="e">
        <f>AND(#REF!,"AAAAAHH/+34=")</f>
        <v>#REF!</v>
      </c>
      <c r="DX73" t="e">
        <f>AND(#REF!,"AAAAAHH/+38=")</f>
        <v>#REF!</v>
      </c>
      <c r="DY73" t="e">
        <f>IF(#REF!,"AAAAAHH/+4A=",0)</f>
        <v>#REF!</v>
      </c>
      <c r="DZ73" t="e">
        <f>AND(#REF!,"AAAAAHH/+4E=")</f>
        <v>#REF!</v>
      </c>
      <c r="EA73" t="e">
        <f>AND(#REF!,"AAAAAHH/+4I=")</f>
        <v>#REF!</v>
      </c>
      <c r="EB73" t="e">
        <f>AND(#REF!,"AAAAAHH/+4M=")</f>
        <v>#REF!</v>
      </c>
      <c r="EC73" t="e">
        <f>AND(#REF!,"AAAAAHH/+4Q=")</f>
        <v>#REF!</v>
      </c>
      <c r="ED73" t="e">
        <f>AND(#REF!,"AAAAAHH/+4U=")</f>
        <v>#REF!</v>
      </c>
      <c r="EE73" t="e">
        <f>AND(#REF!,"AAAAAHH/+4Y=")</f>
        <v>#REF!</v>
      </c>
      <c r="EF73" t="e">
        <f>AND(#REF!,"AAAAAHH/+4c=")</f>
        <v>#REF!</v>
      </c>
      <c r="EG73" t="e">
        <f>AND(#REF!,"AAAAAHH/+4g=")</f>
        <v>#REF!</v>
      </c>
      <c r="EH73" t="e">
        <f>AND(#REF!,"AAAAAHH/+4k=")</f>
        <v>#REF!</v>
      </c>
      <c r="EI73" t="e">
        <f>AND(#REF!,"AAAAAHH/+4o=")</f>
        <v>#REF!</v>
      </c>
      <c r="EJ73" t="e">
        <f>AND(#REF!,"AAAAAHH/+4s=")</f>
        <v>#REF!</v>
      </c>
      <c r="EK73" t="e">
        <f>AND(#REF!,"AAAAAHH/+4w=")</f>
        <v>#REF!</v>
      </c>
      <c r="EL73" t="e">
        <f>AND(#REF!,"AAAAAHH/+40=")</f>
        <v>#REF!</v>
      </c>
      <c r="EM73" t="e">
        <f>AND(#REF!,"AAAAAHH/+44=")</f>
        <v>#REF!</v>
      </c>
      <c r="EN73" t="e">
        <f>AND(#REF!,"AAAAAHH/+48=")</f>
        <v>#REF!</v>
      </c>
      <c r="EO73" t="e">
        <f>AND(#REF!,"AAAAAHH/+5A=")</f>
        <v>#REF!</v>
      </c>
      <c r="EP73" t="e">
        <f>AND(#REF!,"AAAAAHH/+5E=")</f>
        <v>#REF!</v>
      </c>
      <c r="EQ73" t="e">
        <f>AND(#REF!,"AAAAAHH/+5I=")</f>
        <v>#REF!</v>
      </c>
      <c r="ER73" t="e">
        <f>AND(#REF!,"AAAAAHH/+5M=")</f>
        <v>#REF!</v>
      </c>
      <c r="ES73" t="e">
        <f>AND(#REF!,"AAAAAHH/+5Q=")</f>
        <v>#REF!</v>
      </c>
      <c r="ET73" t="e">
        <f>AND(#REF!,"AAAAAHH/+5U=")</f>
        <v>#REF!</v>
      </c>
      <c r="EU73" t="e">
        <f>AND(#REF!,"AAAAAHH/+5Y=")</f>
        <v>#REF!</v>
      </c>
      <c r="EV73" t="e">
        <f>AND(#REF!,"AAAAAHH/+5c=")</f>
        <v>#REF!</v>
      </c>
      <c r="EW73" t="e">
        <f>AND(#REF!,"AAAAAHH/+5g=")</f>
        <v>#REF!</v>
      </c>
      <c r="EX73" t="e">
        <f>IF(#REF!,"AAAAAHH/+5k=",0)</f>
        <v>#REF!</v>
      </c>
      <c r="EY73" t="e">
        <f>AND(#REF!,"AAAAAHH/+5o=")</f>
        <v>#REF!</v>
      </c>
      <c r="EZ73" t="e">
        <f>AND(#REF!,"AAAAAHH/+5s=")</f>
        <v>#REF!</v>
      </c>
      <c r="FA73" t="e">
        <f>AND(#REF!,"AAAAAHH/+5w=")</f>
        <v>#REF!</v>
      </c>
      <c r="FB73" t="e">
        <f>AND(#REF!,"AAAAAHH/+50=")</f>
        <v>#REF!</v>
      </c>
      <c r="FC73" t="e">
        <f>AND(#REF!,"AAAAAHH/+54=")</f>
        <v>#REF!</v>
      </c>
      <c r="FD73" t="e">
        <f>AND(#REF!,"AAAAAHH/+58=")</f>
        <v>#REF!</v>
      </c>
      <c r="FE73" t="e">
        <f>AND(#REF!,"AAAAAHH/+6A=")</f>
        <v>#REF!</v>
      </c>
      <c r="FF73" t="e">
        <f>AND(#REF!,"AAAAAHH/+6E=")</f>
        <v>#REF!</v>
      </c>
      <c r="FG73" t="e">
        <f>AND(#REF!,"AAAAAHH/+6I=")</f>
        <v>#REF!</v>
      </c>
      <c r="FH73" t="e">
        <f>AND(#REF!,"AAAAAHH/+6M=")</f>
        <v>#REF!</v>
      </c>
      <c r="FI73" t="e">
        <f>AND(#REF!,"AAAAAHH/+6Q=")</f>
        <v>#REF!</v>
      </c>
      <c r="FJ73" t="e">
        <f>AND(#REF!,"AAAAAHH/+6U=")</f>
        <v>#REF!</v>
      </c>
      <c r="FK73" t="e">
        <f>AND(#REF!,"AAAAAHH/+6Y=")</f>
        <v>#REF!</v>
      </c>
      <c r="FL73" t="e">
        <f>AND(#REF!,"AAAAAHH/+6c=")</f>
        <v>#REF!</v>
      </c>
      <c r="FM73" t="e">
        <f>AND(#REF!,"AAAAAHH/+6g=")</f>
        <v>#REF!</v>
      </c>
      <c r="FN73" t="e">
        <f>AND(#REF!,"AAAAAHH/+6k=")</f>
        <v>#REF!</v>
      </c>
      <c r="FO73" t="e">
        <f>AND(#REF!,"AAAAAHH/+6o=")</f>
        <v>#REF!</v>
      </c>
      <c r="FP73" t="e">
        <f>AND(#REF!,"AAAAAHH/+6s=")</f>
        <v>#REF!</v>
      </c>
      <c r="FQ73" t="e">
        <f>AND(#REF!,"AAAAAHH/+6w=")</f>
        <v>#REF!</v>
      </c>
      <c r="FR73" t="e">
        <f>AND(#REF!,"AAAAAHH/+60=")</f>
        <v>#REF!</v>
      </c>
      <c r="FS73" t="e">
        <f>AND(#REF!,"AAAAAHH/+64=")</f>
        <v>#REF!</v>
      </c>
      <c r="FT73" t="e">
        <f>AND(#REF!,"AAAAAHH/+68=")</f>
        <v>#REF!</v>
      </c>
      <c r="FU73" t="e">
        <f>AND(#REF!,"AAAAAHH/+7A=")</f>
        <v>#REF!</v>
      </c>
      <c r="FV73" t="e">
        <f>AND(#REF!,"AAAAAHH/+7E=")</f>
        <v>#REF!</v>
      </c>
      <c r="FW73" t="e">
        <f>IF(#REF!,"AAAAAHH/+7I=",0)</f>
        <v>#REF!</v>
      </c>
      <c r="FX73" t="e">
        <f>AND(#REF!,"AAAAAHH/+7M=")</f>
        <v>#REF!</v>
      </c>
      <c r="FY73" t="e">
        <f>AND(#REF!,"AAAAAHH/+7Q=")</f>
        <v>#REF!</v>
      </c>
      <c r="FZ73" t="e">
        <f>AND(#REF!,"AAAAAHH/+7U=")</f>
        <v>#REF!</v>
      </c>
      <c r="GA73" t="e">
        <f>AND(#REF!,"AAAAAHH/+7Y=")</f>
        <v>#REF!</v>
      </c>
      <c r="GB73" t="e">
        <f>AND(#REF!,"AAAAAHH/+7c=")</f>
        <v>#REF!</v>
      </c>
      <c r="GC73" t="e">
        <f>AND(#REF!,"AAAAAHH/+7g=")</f>
        <v>#REF!</v>
      </c>
      <c r="GD73" t="e">
        <f>AND(#REF!,"AAAAAHH/+7k=")</f>
        <v>#REF!</v>
      </c>
      <c r="GE73" t="e">
        <f>AND(#REF!,"AAAAAHH/+7o=")</f>
        <v>#REF!</v>
      </c>
      <c r="GF73" t="e">
        <f>AND(#REF!,"AAAAAHH/+7s=")</f>
        <v>#REF!</v>
      </c>
      <c r="GG73" t="e">
        <f>AND(#REF!,"AAAAAHH/+7w=")</f>
        <v>#REF!</v>
      </c>
      <c r="GH73" t="e">
        <f>AND(#REF!,"AAAAAHH/+70=")</f>
        <v>#REF!</v>
      </c>
      <c r="GI73" t="e">
        <f>AND(#REF!,"AAAAAHH/+74=")</f>
        <v>#REF!</v>
      </c>
      <c r="GJ73" t="e">
        <f>AND(#REF!,"AAAAAHH/+78=")</f>
        <v>#REF!</v>
      </c>
      <c r="GK73" t="e">
        <f>AND(#REF!,"AAAAAHH/+8A=")</f>
        <v>#REF!</v>
      </c>
      <c r="GL73" t="e">
        <f>AND(#REF!,"AAAAAHH/+8E=")</f>
        <v>#REF!</v>
      </c>
      <c r="GM73" t="e">
        <f>AND(#REF!,"AAAAAHH/+8I=")</f>
        <v>#REF!</v>
      </c>
      <c r="GN73" t="e">
        <f>AND(#REF!,"AAAAAHH/+8M=")</f>
        <v>#REF!</v>
      </c>
      <c r="GO73" t="e">
        <f>AND(#REF!,"AAAAAHH/+8Q=")</f>
        <v>#REF!</v>
      </c>
      <c r="GP73" t="e">
        <f>AND(#REF!,"AAAAAHH/+8U=")</f>
        <v>#REF!</v>
      </c>
      <c r="GQ73" t="e">
        <f>AND(#REF!,"AAAAAHH/+8Y=")</f>
        <v>#REF!</v>
      </c>
      <c r="GR73" t="e">
        <f>AND(#REF!,"AAAAAHH/+8c=")</f>
        <v>#REF!</v>
      </c>
      <c r="GS73" t="e">
        <f>AND(#REF!,"AAAAAHH/+8g=")</f>
        <v>#REF!</v>
      </c>
      <c r="GT73" t="e">
        <f>AND(#REF!,"AAAAAHH/+8k=")</f>
        <v>#REF!</v>
      </c>
      <c r="GU73" t="e">
        <f>AND(#REF!,"AAAAAHH/+8o=")</f>
        <v>#REF!</v>
      </c>
      <c r="GV73" t="e">
        <f>IF(#REF!,"AAAAAHH/+8s=",0)</f>
        <v>#REF!</v>
      </c>
      <c r="GW73" t="e">
        <f>AND(#REF!,"AAAAAHH/+8w=")</f>
        <v>#REF!</v>
      </c>
      <c r="GX73" t="e">
        <f>AND(#REF!,"AAAAAHH/+80=")</f>
        <v>#REF!</v>
      </c>
      <c r="GY73" t="e">
        <f>AND(#REF!,"AAAAAHH/+84=")</f>
        <v>#REF!</v>
      </c>
      <c r="GZ73" t="e">
        <f>AND(#REF!,"AAAAAHH/+88=")</f>
        <v>#REF!</v>
      </c>
      <c r="HA73" t="e">
        <f>AND(#REF!,"AAAAAHH/+9A=")</f>
        <v>#REF!</v>
      </c>
      <c r="HB73" t="e">
        <f>AND(#REF!,"AAAAAHH/+9E=")</f>
        <v>#REF!</v>
      </c>
      <c r="HC73" t="e">
        <f>AND(#REF!,"AAAAAHH/+9I=")</f>
        <v>#REF!</v>
      </c>
      <c r="HD73" t="e">
        <f>AND(#REF!,"AAAAAHH/+9M=")</f>
        <v>#REF!</v>
      </c>
      <c r="HE73" t="e">
        <f>AND(#REF!,"AAAAAHH/+9Q=")</f>
        <v>#REF!</v>
      </c>
      <c r="HF73" t="e">
        <f>AND(#REF!,"AAAAAHH/+9U=")</f>
        <v>#REF!</v>
      </c>
      <c r="HG73" t="e">
        <f>AND(#REF!,"AAAAAHH/+9Y=")</f>
        <v>#REF!</v>
      </c>
      <c r="HH73" t="e">
        <f>AND(#REF!,"AAAAAHH/+9c=")</f>
        <v>#REF!</v>
      </c>
      <c r="HI73" t="e">
        <f>AND(#REF!,"AAAAAHH/+9g=")</f>
        <v>#REF!</v>
      </c>
      <c r="HJ73" t="e">
        <f>AND(#REF!,"AAAAAHH/+9k=")</f>
        <v>#REF!</v>
      </c>
      <c r="HK73" t="e">
        <f>AND(#REF!,"AAAAAHH/+9o=")</f>
        <v>#REF!</v>
      </c>
      <c r="HL73" t="e">
        <f>AND(#REF!,"AAAAAHH/+9s=")</f>
        <v>#REF!</v>
      </c>
      <c r="HM73" t="e">
        <f>AND(#REF!,"AAAAAHH/+9w=")</f>
        <v>#REF!</v>
      </c>
      <c r="HN73" t="e">
        <f>AND(#REF!,"AAAAAHH/+90=")</f>
        <v>#REF!</v>
      </c>
      <c r="HO73" t="e">
        <f>AND(#REF!,"AAAAAHH/+94=")</f>
        <v>#REF!</v>
      </c>
      <c r="HP73" t="e">
        <f>AND(#REF!,"AAAAAHH/+98=")</f>
        <v>#REF!</v>
      </c>
      <c r="HQ73" t="e">
        <f>AND(#REF!,"AAAAAHH/++A=")</f>
        <v>#REF!</v>
      </c>
      <c r="HR73" t="e">
        <f>AND(#REF!,"AAAAAHH/++E=")</f>
        <v>#REF!</v>
      </c>
      <c r="HS73" t="e">
        <f>AND(#REF!,"AAAAAHH/++I=")</f>
        <v>#REF!</v>
      </c>
      <c r="HT73" t="e">
        <f>AND(#REF!,"AAAAAHH/++M=")</f>
        <v>#REF!</v>
      </c>
      <c r="HU73" t="e">
        <f>IF(#REF!,"AAAAAHH/++Q=",0)</f>
        <v>#REF!</v>
      </c>
      <c r="HV73" t="e">
        <f>AND(#REF!,"AAAAAHH/++U=")</f>
        <v>#REF!</v>
      </c>
      <c r="HW73" t="e">
        <f>AND(#REF!,"AAAAAHH/++Y=")</f>
        <v>#REF!</v>
      </c>
      <c r="HX73" t="e">
        <f>AND(#REF!,"AAAAAHH/++c=")</f>
        <v>#REF!</v>
      </c>
      <c r="HY73" t="e">
        <f>AND(#REF!,"AAAAAHH/++g=")</f>
        <v>#REF!</v>
      </c>
      <c r="HZ73" t="e">
        <f>AND(#REF!,"AAAAAHH/++k=")</f>
        <v>#REF!</v>
      </c>
      <c r="IA73" t="e">
        <f>AND(#REF!,"AAAAAHH/++o=")</f>
        <v>#REF!</v>
      </c>
      <c r="IB73" t="e">
        <f>AND(#REF!,"AAAAAHH/++s=")</f>
        <v>#REF!</v>
      </c>
      <c r="IC73" t="e">
        <f>AND(#REF!,"AAAAAHH/++w=")</f>
        <v>#REF!</v>
      </c>
      <c r="ID73" t="e">
        <f>AND(#REF!,"AAAAAHH/++0=")</f>
        <v>#REF!</v>
      </c>
      <c r="IE73" t="e">
        <f>AND(#REF!,"AAAAAHH/++4=")</f>
        <v>#REF!</v>
      </c>
      <c r="IF73" t="e">
        <f>AND(#REF!,"AAAAAHH/++8=")</f>
        <v>#REF!</v>
      </c>
      <c r="IG73" t="e">
        <f>AND(#REF!,"AAAAAHH/+/A=")</f>
        <v>#REF!</v>
      </c>
      <c r="IH73" t="e">
        <f>AND(#REF!,"AAAAAHH/+/E=")</f>
        <v>#REF!</v>
      </c>
      <c r="II73" t="e">
        <f>AND(#REF!,"AAAAAHH/+/I=")</f>
        <v>#REF!</v>
      </c>
      <c r="IJ73" t="e">
        <f>AND(#REF!,"AAAAAHH/+/M=")</f>
        <v>#REF!</v>
      </c>
      <c r="IK73" t="e">
        <f>AND(#REF!,"AAAAAHH/+/Q=")</f>
        <v>#REF!</v>
      </c>
      <c r="IL73" t="e">
        <f>AND(#REF!,"AAAAAHH/+/U=")</f>
        <v>#REF!</v>
      </c>
      <c r="IM73" t="e">
        <f>AND(#REF!,"AAAAAHH/+/Y=")</f>
        <v>#REF!</v>
      </c>
      <c r="IN73" t="e">
        <f>AND(#REF!,"AAAAAHH/+/c=")</f>
        <v>#REF!</v>
      </c>
      <c r="IO73" t="e">
        <f>AND(#REF!,"AAAAAHH/+/g=")</f>
        <v>#REF!</v>
      </c>
      <c r="IP73" t="e">
        <f>AND(#REF!,"AAAAAHH/+/k=")</f>
        <v>#REF!</v>
      </c>
      <c r="IQ73" t="e">
        <f>AND(#REF!,"AAAAAHH/+/o=")</f>
        <v>#REF!</v>
      </c>
      <c r="IR73" t="e">
        <f>AND(#REF!,"AAAAAHH/+/s=")</f>
        <v>#REF!</v>
      </c>
      <c r="IS73" t="e">
        <f>AND(#REF!,"AAAAAHH/+/w=")</f>
        <v>#REF!</v>
      </c>
      <c r="IT73" t="e">
        <f>IF(#REF!,"AAAAAHH/+/0=",0)</f>
        <v>#REF!</v>
      </c>
      <c r="IU73" t="e">
        <f>AND(#REF!,"AAAAAHH/+/4=")</f>
        <v>#REF!</v>
      </c>
      <c r="IV73" t="e">
        <f>AND(#REF!,"AAAAAHH/+/8=")</f>
        <v>#REF!</v>
      </c>
    </row>
    <row r="74" spans="1:256">
      <c r="A74" t="e">
        <f>AND(#REF!,"AAAAAH6/7wA=")</f>
        <v>#REF!</v>
      </c>
      <c r="B74" t="e">
        <f>AND(#REF!,"AAAAAH6/7wE=")</f>
        <v>#REF!</v>
      </c>
      <c r="C74" t="e">
        <f>AND(#REF!,"AAAAAH6/7wI=")</f>
        <v>#REF!</v>
      </c>
      <c r="D74" t="e">
        <f>AND(#REF!,"AAAAAH6/7wM=")</f>
        <v>#REF!</v>
      </c>
      <c r="E74" t="e">
        <f>AND(#REF!,"AAAAAH6/7wQ=")</f>
        <v>#REF!</v>
      </c>
      <c r="F74" t="e">
        <f>AND(#REF!,"AAAAAH6/7wU=")</f>
        <v>#REF!</v>
      </c>
      <c r="G74" t="e">
        <f>AND(#REF!,"AAAAAH6/7wY=")</f>
        <v>#REF!</v>
      </c>
      <c r="H74" t="e">
        <f>AND(#REF!,"AAAAAH6/7wc=")</f>
        <v>#REF!</v>
      </c>
      <c r="I74" t="e">
        <f>AND(#REF!,"AAAAAH6/7wg=")</f>
        <v>#REF!</v>
      </c>
      <c r="J74" t="e">
        <f>AND(#REF!,"AAAAAH6/7wk=")</f>
        <v>#REF!</v>
      </c>
      <c r="K74" t="e">
        <f>AND(#REF!,"AAAAAH6/7wo=")</f>
        <v>#REF!</v>
      </c>
      <c r="L74" t="e">
        <f>AND(#REF!,"AAAAAH6/7ws=")</f>
        <v>#REF!</v>
      </c>
      <c r="M74" t="e">
        <f>AND(#REF!,"AAAAAH6/7ww=")</f>
        <v>#REF!</v>
      </c>
      <c r="N74" t="e">
        <f>AND(#REF!,"AAAAAH6/7w0=")</f>
        <v>#REF!</v>
      </c>
      <c r="O74" t="e">
        <f>AND(#REF!,"AAAAAH6/7w4=")</f>
        <v>#REF!</v>
      </c>
      <c r="P74" t="e">
        <f>AND(#REF!,"AAAAAH6/7w8=")</f>
        <v>#REF!</v>
      </c>
      <c r="Q74" t="e">
        <f>AND(#REF!,"AAAAAH6/7xA=")</f>
        <v>#REF!</v>
      </c>
      <c r="R74" t="e">
        <f>AND(#REF!,"AAAAAH6/7xE=")</f>
        <v>#REF!</v>
      </c>
      <c r="S74" t="e">
        <f>AND(#REF!,"AAAAAH6/7xI=")</f>
        <v>#REF!</v>
      </c>
      <c r="T74" t="e">
        <f>AND(#REF!,"AAAAAH6/7xM=")</f>
        <v>#REF!</v>
      </c>
      <c r="U74" t="e">
        <f>AND(#REF!,"AAAAAH6/7xQ=")</f>
        <v>#REF!</v>
      </c>
      <c r="V74" t="e">
        <f>AND(#REF!,"AAAAAH6/7xU=")</f>
        <v>#REF!</v>
      </c>
      <c r="W74" t="e">
        <f>IF(#REF!,"AAAAAH6/7xY=",0)</f>
        <v>#REF!</v>
      </c>
      <c r="X74" t="e">
        <f>AND(#REF!,"AAAAAH6/7xc=")</f>
        <v>#REF!</v>
      </c>
      <c r="Y74" t="e">
        <f>AND(#REF!,"AAAAAH6/7xg=")</f>
        <v>#REF!</v>
      </c>
      <c r="Z74" t="e">
        <f>AND(#REF!,"AAAAAH6/7xk=")</f>
        <v>#REF!</v>
      </c>
      <c r="AA74" t="e">
        <f>AND(#REF!,"AAAAAH6/7xo=")</f>
        <v>#REF!</v>
      </c>
      <c r="AB74" t="e">
        <f>AND(#REF!,"AAAAAH6/7xs=")</f>
        <v>#REF!</v>
      </c>
      <c r="AC74" t="e">
        <f>AND(#REF!,"AAAAAH6/7xw=")</f>
        <v>#REF!</v>
      </c>
      <c r="AD74" t="e">
        <f>AND(#REF!,"AAAAAH6/7x0=")</f>
        <v>#REF!</v>
      </c>
      <c r="AE74" t="e">
        <f>AND(#REF!,"AAAAAH6/7x4=")</f>
        <v>#REF!</v>
      </c>
      <c r="AF74" t="e">
        <f>AND(#REF!,"AAAAAH6/7x8=")</f>
        <v>#REF!</v>
      </c>
      <c r="AG74" t="e">
        <f>AND(#REF!,"AAAAAH6/7yA=")</f>
        <v>#REF!</v>
      </c>
      <c r="AH74" t="e">
        <f>AND(#REF!,"AAAAAH6/7yE=")</f>
        <v>#REF!</v>
      </c>
      <c r="AI74" t="e">
        <f>AND(#REF!,"AAAAAH6/7yI=")</f>
        <v>#REF!</v>
      </c>
      <c r="AJ74" t="e">
        <f>AND(#REF!,"AAAAAH6/7yM=")</f>
        <v>#REF!</v>
      </c>
      <c r="AK74" t="e">
        <f>AND(#REF!,"AAAAAH6/7yQ=")</f>
        <v>#REF!</v>
      </c>
      <c r="AL74" t="e">
        <f>AND(#REF!,"AAAAAH6/7yU=")</f>
        <v>#REF!</v>
      </c>
      <c r="AM74" t="e">
        <f>AND(#REF!,"AAAAAH6/7yY=")</f>
        <v>#REF!</v>
      </c>
      <c r="AN74" t="e">
        <f>AND(#REF!,"AAAAAH6/7yc=")</f>
        <v>#REF!</v>
      </c>
      <c r="AO74" t="e">
        <f>AND(#REF!,"AAAAAH6/7yg=")</f>
        <v>#REF!</v>
      </c>
      <c r="AP74" t="e">
        <f>AND(#REF!,"AAAAAH6/7yk=")</f>
        <v>#REF!</v>
      </c>
      <c r="AQ74" t="e">
        <f>AND(#REF!,"AAAAAH6/7yo=")</f>
        <v>#REF!</v>
      </c>
      <c r="AR74" t="e">
        <f>AND(#REF!,"AAAAAH6/7ys=")</f>
        <v>#REF!</v>
      </c>
      <c r="AS74" t="e">
        <f>AND(#REF!,"AAAAAH6/7yw=")</f>
        <v>#REF!</v>
      </c>
      <c r="AT74" t="e">
        <f>AND(#REF!,"AAAAAH6/7y0=")</f>
        <v>#REF!</v>
      </c>
      <c r="AU74" t="e">
        <f>AND(#REF!,"AAAAAH6/7y4=")</f>
        <v>#REF!</v>
      </c>
      <c r="AV74" t="e">
        <f>IF(#REF!,"AAAAAH6/7y8=",0)</f>
        <v>#REF!</v>
      </c>
      <c r="AW74" t="e">
        <f>AND(#REF!,"AAAAAH6/7zA=")</f>
        <v>#REF!</v>
      </c>
      <c r="AX74" t="e">
        <f>AND(#REF!,"AAAAAH6/7zE=")</f>
        <v>#REF!</v>
      </c>
      <c r="AY74" t="e">
        <f>AND(#REF!,"AAAAAH6/7zI=")</f>
        <v>#REF!</v>
      </c>
      <c r="AZ74" t="e">
        <f>AND(#REF!,"AAAAAH6/7zM=")</f>
        <v>#REF!</v>
      </c>
      <c r="BA74" t="e">
        <f>AND(#REF!,"AAAAAH6/7zQ=")</f>
        <v>#REF!</v>
      </c>
      <c r="BB74" t="e">
        <f>AND(#REF!,"AAAAAH6/7zU=")</f>
        <v>#REF!</v>
      </c>
      <c r="BC74" t="e">
        <f>AND(#REF!,"AAAAAH6/7zY=")</f>
        <v>#REF!</v>
      </c>
      <c r="BD74" t="e">
        <f>AND(#REF!,"AAAAAH6/7zc=")</f>
        <v>#REF!</v>
      </c>
      <c r="BE74" t="e">
        <f>AND(#REF!,"AAAAAH6/7zg=")</f>
        <v>#REF!</v>
      </c>
      <c r="BF74" t="e">
        <f>AND(#REF!,"AAAAAH6/7zk=")</f>
        <v>#REF!</v>
      </c>
      <c r="BG74" t="e">
        <f>AND(#REF!,"AAAAAH6/7zo=")</f>
        <v>#REF!</v>
      </c>
      <c r="BH74" t="e">
        <f>AND(#REF!,"AAAAAH6/7zs=")</f>
        <v>#REF!</v>
      </c>
      <c r="BI74" t="e">
        <f>AND(#REF!,"AAAAAH6/7zw=")</f>
        <v>#REF!</v>
      </c>
      <c r="BJ74" t="e">
        <f>AND(#REF!,"AAAAAH6/7z0=")</f>
        <v>#REF!</v>
      </c>
      <c r="BK74" t="e">
        <f>AND(#REF!,"AAAAAH6/7z4=")</f>
        <v>#REF!</v>
      </c>
      <c r="BL74" t="e">
        <f>AND(#REF!,"AAAAAH6/7z8=")</f>
        <v>#REF!</v>
      </c>
      <c r="BM74" t="e">
        <f>AND(#REF!,"AAAAAH6/70A=")</f>
        <v>#REF!</v>
      </c>
      <c r="BN74" t="e">
        <f>AND(#REF!,"AAAAAH6/70E=")</f>
        <v>#REF!</v>
      </c>
      <c r="BO74" t="e">
        <f>AND(#REF!,"AAAAAH6/70I=")</f>
        <v>#REF!</v>
      </c>
      <c r="BP74" t="e">
        <f>AND(#REF!,"AAAAAH6/70M=")</f>
        <v>#REF!</v>
      </c>
      <c r="BQ74" t="e">
        <f>AND(#REF!,"AAAAAH6/70Q=")</f>
        <v>#REF!</v>
      </c>
      <c r="BR74" t="e">
        <f>AND(#REF!,"AAAAAH6/70U=")</f>
        <v>#REF!</v>
      </c>
      <c r="BS74" t="e">
        <f>AND(#REF!,"AAAAAH6/70Y=")</f>
        <v>#REF!</v>
      </c>
      <c r="BT74" t="e">
        <f>AND(#REF!,"AAAAAH6/70c=")</f>
        <v>#REF!</v>
      </c>
      <c r="BU74" t="e">
        <f>IF(#REF!,"AAAAAH6/70g=",0)</f>
        <v>#REF!</v>
      </c>
      <c r="BV74" t="e">
        <f>AND(#REF!,"AAAAAH6/70k=")</f>
        <v>#REF!</v>
      </c>
      <c r="BW74" t="e">
        <f>AND(#REF!,"AAAAAH6/70o=")</f>
        <v>#REF!</v>
      </c>
      <c r="BX74" t="e">
        <f>AND(#REF!,"AAAAAH6/70s=")</f>
        <v>#REF!</v>
      </c>
      <c r="BY74" t="e">
        <f>AND(#REF!,"AAAAAH6/70w=")</f>
        <v>#REF!</v>
      </c>
      <c r="BZ74" t="e">
        <f>AND(#REF!,"AAAAAH6/700=")</f>
        <v>#REF!</v>
      </c>
      <c r="CA74" t="e">
        <f>AND(#REF!,"AAAAAH6/704=")</f>
        <v>#REF!</v>
      </c>
      <c r="CB74" t="e">
        <f>AND(#REF!,"AAAAAH6/708=")</f>
        <v>#REF!</v>
      </c>
      <c r="CC74" t="e">
        <f>AND(#REF!,"AAAAAH6/71A=")</f>
        <v>#REF!</v>
      </c>
      <c r="CD74" t="e">
        <f>AND(#REF!,"AAAAAH6/71E=")</f>
        <v>#REF!</v>
      </c>
      <c r="CE74" t="e">
        <f>AND(#REF!,"AAAAAH6/71I=")</f>
        <v>#REF!</v>
      </c>
      <c r="CF74" t="e">
        <f>AND(#REF!,"AAAAAH6/71M=")</f>
        <v>#REF!</v>
      </c>
      <c r="CG74" t="e">
        <f>AND(#REF!,"AAAAAH6/71Q=")</f>
        <v>#REF!</v>
      </c>
      <c r="CH74" t="e">
        <f>AND(#REF!,"AAAAAH6/71U=")</f>
        <v>#REF!</v>
      </c>
      <c r="CI74" t="e">
        <f>AND(#REF!,"AAAAAH6/71Y=")</f>
        <v>#REF!</v>
      </c>
      <c r="CJ74" t="e">
        <f>AND(#REF!,"AAAAAH6/71c=")</f>
        <v>#REF!</v>
      </c>
      <c r="CK74" t="e">
        <f>AND(#REF!,"AAAAAH6/71g=")</f>
        <v>#REF!</v>
      </c>
      <c r="CL74" t="e">
        <f>AND(#REF!,"AAAAAH6/71k=")</f>
        <v>#REF!</v>
      </c>
      <c r="CM74" t="e">
        <f>AND(#REF!,"AAAAAH6/71o=")</f>
        <v>#REF!</v>
      </c>
      <c r="CN74" t="e">
        <f>AND(#REF!,"AAAAAH6/71s=")</f>
        <v>#REF!</v>
      </c>
      <c r="CO74" t="e">
        <f>AND(#REF!,"AAAAAH6/71w=")</f>
        <v>#REF!</v>
      </c>
      <c r="CP74" t="e">
        <f>AND(#REF!,"AAAAAH6/710=")</f>
        <v>#REF!</v>
      </c>
      <c r="CQ74" t="e">
        <f>AND(#REF!,"AAAAAH6/714=")</f>
        <v>#REF!</v>
      </c>
      <c r="CR74" t="e">
        <f>AND(#REF!,"AAAAAH6/718=")</f>
        <v>#REF!</v>
      </c>
      <c r="CS74" t="e">
        <f>AND(#REF!,"AAAAAH6/72A=")</f>
        <v>#REF!</v>
      </c>
      <c r="CT74" t="e">
        <f>IF(#REF!,"AAAAAH6/72E=",0)</f>
        <v>#REF!</v>
      </c>
      <c r="CU74" t="e">
        <f>AND(#REF!,"AAAAAH6/72I=")</f>
        <v>#REF!</v>
      </c>
      <c r="CV74" t="e">
        <f>AND(#REF!,"AAAAAH6/72M=")</f>
        <v>#REF!</v>
      </c>
      <c r="CW74" t="e">
        <f>AND(#REF!,"AAAAAH6/72Q=")</f>
        <v>#REF!</v>
      </c>
      <c r="CX74" t="e">
        <f>AND(#REF!,"AAAAAH6/72U=")</f>
        <v>#REF!</v>
      </c>
      <c r="CY74" t="e">
        <f>AND(#REF!,"AAAAAH6/72Y=")</f>
        <v>#REF!</v>
      </c>
      <c r="CZ74" t="e">
        <f>AND(#REF!,"AAAAAH6/72c=")</f>
        <v>#REF!</v>
      </c>
      <c r="DA74" t="e">
        <f>AND(#REF!,"AAAAAH6/72g=")</f>
        <v>#REF!</v>
      </c>
      <c r="DB74" t="e">
        <f>AND(#REF!,"AAAAAH6/72k=")</f>
        <v>#REF!</v>
      </c>
      <c r="DC74" t="e">
        <f>AND(#REF!,"AAAAAH6/72o=")</f>
        <v>#REF!</v>
      </c>
      <c r="DD74" t="e">
        <f>AND(#REF!,"AAAAAH6/72s=")</f>
        <v>#REF!</v>
      </c>
      <c r="DE74" t="e">
        <f>AND(#REF!,"AAAAAH6/72w=")</f>
        <v>#REF!</v>
      </c>
      <c r="DF74" t="e">
        <f>AND(#REF!,"AAAAAH6/720=")</f>
        <v>#REF!</v>
      </c>
      <c r="DG74" t="e">
        <f>AND(#REF!,"AAAAAH6/724=")</f>
        <v>#REF!</v>
      </c>
      <c r="DH74" t="e">
        <f>AND(#REF!,"AAAAAH6/728=")</f>
        <v>#REF!</v>
      </c>
      <c r="DI74" t="e">
        <f>AND(#REF!,"AAAAAH6/73A=")</f>
        <v>#REF!</v>
      </c>
      <c r="DJ74" t="e">
        <f>AND(#REF!,"AAAAAH6/73E=")</f>
        <v>#REF!</v>
      </c>
      <c r="DK74" t="e">
        <f>AND(#REF!,"AAAAAH6/73I=")</f>
        <v>#REF!</v>
      </c>
      <c r="DL74" t="e">
        <f>AND(#REF!,"AAAAAH6/73M=")</f>
        <v>#REF!</v>
      </c>
      <c r="DM74" t="e">
        <f>AND(#REF!,"AAAAAH6/73Q=")</f>
        <v>#REF!</v>
      </c>
      <c r="DN74" t="e">
        <f>AND(#REF!,"AAAAAH6/73U=")</f>
        <v>#REF!</v>
      </c>
      <c r="DO74" t="e">
        <f>AND(#REF!,"AAAAAH6/73Y=")</f>
        <v>#REF!</v>
      </c>
      <c r="DP74" t="e">
        <f>AND(#REF!,"AAAAAH6/73c=")</f>
        <v>#REF!</v>
      </c>
      <c r="DQ74" t="e">
        <f>AND(#REF!,"AAAAAH6/73g=")</f>
        <v>#REF!</v>
      </c>
      <c r="DR74" t="e">
        <f>AND(#REF!,"AAAAAH6/73k=")</f>
        <v>#REF!</v>
      </c>
      <c r="DS74" t="e">
        <f>IF(#REF!,"AAAAAH6/73o=",0)</f>
        <v>#REF!</v>
      </c>
      <c r="DT74" t="e">
        <f>AND(#REF!,"AAAAAH6/73s=")</f>
        <v>#REF!</v>
      </c>
      <c r="DU74" t="e">
        <f>AND(#REF!,"AAAAAH6/73w=")</f>
        <v>#REF!</v>
      </c>
      <c r="DV74" t="e">
        <f>AND(#REF!,"AAAAAH6/730=")</f>
        <v>#REF!</v>
      </c>
      <c r="DW74" t="e">
        <f>AND(#REF!,"AAAAAH6/734=")</f>
        <v>#REF!</v>
      </c>
      <c r="DX74" t="e">
        <f>AND(#REF!,"AAAAAH6/738=")</f>
        <v>#REF!</v>
      </c>
      <c r="DY74" t="e">
        <f>AND(#REF!,"AAAAAH6/74A=")</f>
        <v>#REF!</v>
      </c>
      <c r="DZ74" t="e">
        <f>AND(#REF!,"AAAAAH6/74E=")</f>
        <v>#REF!</v>
      </c>
      <c r="EA74" t="e">
        <f>AND(#REF!,"AAAAAH6/74I=")</f>
        <v>#REF!</v>
      </c>
      <c r="EB74" t="e">
        <f>AND(#REF!,"AAAAAH6/74M=")</f>
        <v>#REF!</v>
      </c>
      <c r="EC74" t="e">
        <f>AND(#REF!,"AAAAAH6/74Q=")</f>
        <v>#REF!</v>
      </c>
      <c r="ED74" t="e">
        <f>AND(#REF!,"AAAAAH6/74U=")</f>
        <v>#REF!</v>
      </c>
      <c r="EE74" t="e">
        <f>AND(#REF!,"AAAAAH6/74Y=")</f>
        <v>#REF!</v>
      </c>
      <c r="EF74" t="e">
        <f>AND(#REF!,"AAAAAH6/74c=")</f>
        <v>#REF!</v>
      </c>
      <c r="EG74" t="e">
        <f>AND(#REF!,"AAAAAH6/74g=")</f>
        <v>#REF!</v>
      </c>
      <c r="EH74" t="e">
        <f>AND(#REF!,"AAAAAH6/74k=")</f>
        <v>#REF!</v>
      </c>
      <c r="EI74" t="e">
        <f>AND(#REF!,"AAAAAH6/74o=")</f>
        <v>#REF!</v>
      </c>
      <c r="EJ74" t="e">
        <f>AND(#REF!,"AAAAAH6/74s=")</f>
        <v>#REF!</v>
      </c>
      <c r="EK74" t="e">
        <f>AND(#REF!,"AAAAAH6/74w=")</f>
        <v>#REF!</v>
      </c>
      <c r="EL74" t="e">
        <f>AND(#REF!,"AAAAAH6/740=")</f>
        <v>#REF!</v>
      </c>
      <c r="EM74" t="e">
        <f>AND(#REF!,"AAAAAH6/744=")</f>
        <v>#REF!</v>
      </c>
      <c r="EN74" t="e">
        <f>AND(#REF!,"AAAAAH6/748=")</f>
        <v>#REF!</v>
      </c>
      <c r="EO74" t="e">
        <f>AND(#REF!,"AAAAAH6/75A=")</f>
        <v>#REF!</v>
      </c>
      <c r="EP74" t="e">
        <f>AND(#REF!,"AAAAAH6/75E=")</f>
        <v>#REF!</v>
      </c>
      <c r="EQ74" t="e">
        <f>AND(#REF!,"AAAAAH6/75I=")</f>
        <v>#REF!</v>
      </c>
      <c r="ER74" t="e">
        <f>IF(#REF!,"AAAAAH6/75M=",0)</f>
        <v>#REF!</v>
      </c>
      <c r="ES74" t="e">
        <f>AND(#REF!,"AAAAAH6/75Q=")</f>
        <v>#REF!</v>
      </c>
      <c r="ET74" t="e">
        <f>AND(#REF!,"AAAAAH6/75U=")</f>
        <v>#REF!</v>
      </c>
      <c r="EU74" t="e">
        <f>AND(#REF!,"AAAAAH6/75Y=")</f>
        <v>#REF!</v>
      </c>
      <c r="EV74" t="e">
        <f>AND(#REF!,"AAAAAH6/75c=")</f>
        <v>#REF!</v>
      </c>
      <c r="EW74" t="e">
        <f>AND(#REF!,"AAAAAH6/75g=")</f>
        <v>#REF!</v>
      </c>
      <c r="EX74" t="e">
        <f>AND(#REF!,"AAAAAH6/75k=")</f>
        <v>#REF!</v>
      </c>
      <c r="EY74" t="e">
        <f>AND(#REF!,"AAAAAH6/75o=")</f>
        <v>#REF!</v>
      </c>
      <c r="EZ74" t="e">
        <f>AND(#REF!,"AAAAAH6/75s=")</f>
        <v>#REF!</v>
      </c>
      <c r="FA74" t="e">
        <f>AND(#REF!,"AAAAAH6/75w=")</f>
        <v>#REF!</v>
      </c>
      <c r="FB74" t="e">
        <f>AND(#REF!,"AAAAAH6/750=")</f>
        <v>#REF!</v>
      </c>
      <c r="FC74" t="e">
        <f>AND(#REF!,"AAAAAH6/754=")</f>
        <v>#REF!</v>
      </c>
      <c r="FD74" t="e">
        <f>AND(#REF!,"AAAAAH6/758=")</f>
        <v>#REF!</v>
      </c>
      <c r="FE74" t="e">
        <f>AND(#REF!,"AAAAAH6/76A=")</f>
        <v>#REF!</v>
      </c>
      <c r="FF74" t="e">
        <f>AND(#REF!,"AAAAAH6/76E=")</f>
        <v>#REF!</v>
      </c>
      <c r="FG74" t="e">
        <f>AND(#REF!,"AAAAAH6/76I=")</f>
        <v>#REF!</v>
      </c>
      <c r="FH74" t="e">
        <f>AND(#REF!,"AAAAAH6/76M=")</f>
        <v>#REF!</v>
      </c>
      <c r="FI74" t="e">
        <f>AND(#REF!,"AAAAAH6/76Q=")</f>
        <v>#REF!</v>
      </c>
      <c r="FJ74" t="e">
        <f>AND(#REF!,"AAAAAH6/76U=")</f>
        <v>#REF!</v>
      </c>
      <c r="FK74" t="e">
        <f>AND(#REF!,"AAAAAH6/76Y=")</f>
        <v>#REF!</v>
      </c>
      <c r="FL74" t="e">
        <f>AND(#REF!,"AAAAAH6/76c=")</f>
        <v>#REF!</v>
      </c>
      <c r="FM74" t="e">
        <f>AND(#REF!,"AAAAAH6/76g=")</f>
        <v>#REF!</v>
      </c>
      <c r="FN74" t="e">
        <f>AND(#REF!,"AAAAAH6/76k=")</f>
        <v>#REF!</v>
      </c>
      <c r="FO74" t="e">
        <f>AND(#REF!,"AAAAAH6/76o=")</f>
        <v>#REF!</v>
      </c>
      <c r="FP74" t="e">
        <f>AND(#REF!,"AAAAAH6/76s=")</f>
        <v>#REF!</v>
      </c>
      <c r="FQ74" t="e">
        <f>IF(#REF!,"AAAAAH6/76w=",0)</f>
        <v>#REF!</v>
      </c>
      <c r="FR74" t="e">
        <f>AND(#REF!,"AAAAAH6/760=")</f>
        <v>#REF!</v>
      </c>
      <c r="FS74" t="e">
        <f>AND(#REF!,"AAAAAH6/764=")</f>
        <v>#REF!</v>
      </c>
      <c r="FT74" t="e">
        <f>AND(#REF!,"AAAAAH6/768=")</f>
        <v>#REF!</v>
      </c>
      <c r="FU74" t="e">
        <f>AND(#REF!,"AAAAAH6/77A=")</f>
        <v>#REF!</v>
      </c>
      <c r="FV74" t="e">
        <f>AND(#REF!,"AAAAAH6/77E=")</f>
        <v>#REF!</v>
      </c>
      <c r="FW74" t="e">
        <f>AND(#REF!,"AAAAAH6/77I=")</f>
        <v>#REF!</v>
      </c>
      <c r="FX74" t="e">
        <f>AND(#REF!,"AAAAAH6/77M=")</f>
        <v>#REF!</v>
      </c>
      <c r="FY74" t="e">
        <f>AND(#REF!,"AAAAAH6/77Q=")</f>
        <v>#REF!</v>
      </c>
      <c r="FZ74" t="e">
        <f>AND(#REF!,"AAAAAH6/77U=")</f>
        <v>#REF!</v>
      </c>
      <c r="GA74" t="e">
        <f>AND(#REF!,"AAAAAH6/77Y=")</f>
        <v>#REF!</v>
      </c>
      <c r="GB74" t="e">
        <f>AND(#REF!,"AAAAAH6/77c=")</f>
        <v>#REF!</v>
      </c>
      <c r="GC74" t="e">
        <f>AND(#REF!,"AAAAAH6/77g=")</f>
        <v>#REF!</v>
      </c>
      <c r="GD74" t="e">
        <f>AND(#REF!,"AAAAAH6/77k=")</f>
        <v>#REF!</v>
      </c>
      <c r="GE74" t="e">
        <f>AND(#REF!,"AAAAAH6/77o=")</f>
        <v>#REF!</v>
      </c>
      <c r="GF74" t="e">
        <f>AND(#REF!,"AAAAAH6/77s=")</f>
        <v>#REF!</v>
      </c>
      <c r="GG74" t="e">
        <f>AND(#REF!,"AAAAAH6/77w=")</f>
        <v>#REF!</v>
      </c>
      <c r="GH74" t="e">
        <f>AND(#REF!,"AAAAAH6/770=")</f>
        <v>#REF!</v>
      </c>
      <c r="GI74" t="e">
        <f>AND(#REF!,"AAAAAH6/774=")</f>
        <v>#REF!</v>
      </c>
      <c r="GJ74" t="e">
        <f>AND(#REF!,"AAAAAH6/778=")</f>
        <v>#REF!</v>
      </c>
      <c r="GK74" t="e">
        <f>AND(#REF!,"AAAAAH6/78A=")</f>
        <v>#REF!</v>
      </c>
      <c r="GL74" t="e">
        <f>AND(#REF!,"AAAAAH6/78E=")</f>
        <v>#REF!</v>
      </c>
      <c r="GM74" t="e">
        <f>AND(#REF!,"AAAAAH6/78I=")</f>
        <v>#REF!</v>
      </c>
      <c r="GN74" t="e">
        <f>AND(#REF!,"AAAAAH6/78M=")</f>
        <v>#REF!</v>
      </c>
      <c r="GO74" t="e">
        <f>AND(#REF!,"AAAAAH6/78Q=")</f>
        <v>#REF!</v>
      </c>
      <c r="GP74" t="e">
        <f>IF(#REF!,"AAAAAH6/78U=",0)</f>
        <v>#REF!</v>
      </c>
      <c r="GQ74" t="e">
        <f>AND(#REF!,"AAAAAH6/78Y=")</f>
        <v>#REF!</v>
      </c>
      <c r="GR74" t="e">
        <f>AND(#REF!,"AAAAAH6/78c=")</f>
        <v>#REF!</v>
      </c>
      <c r="GS74" t="e">
        <f>AND(#REF!,"AAAAAH6/78g=")</f>
        <v>#REF!</v>
      </c>
      <c r="GT74" t="e">
        <f>AND(#REF!,"AAAAAH6/78k=")</f>
        <v>#REF!</v>
      </c>
      <c r="GU74" t="e">
        <f>AND(#REF!,"AAAAAH6/78o=")</f>
        <v>#REF!</v>
      </c>
      <c r="GV74" t="e">
        <f>AND(#REF!,"AAAAAH6/78s=")</f>
        <v>#REF!</v>
      </c>
      <c r="GW74" t="e">
        <f>AND(#REF!,"AAAAAH6/78w=")</f>
        <v>#REF!</v>
      </c>
      <c r="GX74" t="e">
        <f>AND(#REF!,"AAAAAH6/780=")</f>
        <v>#REF!</v>
      </c>
      <c r="GY74" t="e">
        <f>AND(#REF!,"AAAAAH6/784=")</f>
        <v>#REF!</v>
      </c>
      <c r="GZ74" t="e">
        <f>AND(#REF!,"AAAAAH6/788=")</f>
        <v>#REF!</v>
      </c>
      <c r="HA74" t="e">
        <f>AND(#REF!,"AAAAAH6/79A=")</f>
        <v>#REF!</v>
      </c>
      <c r="HB74" t="e">
        <f>AND(#REF!,"AAAAAH6/79E=")</f>
        <v>#REF!</v>
      </c>
      <c r="HC74" t="e">
        <f>AND(#REF!,"AAAAAH6/79I=")</f>
        <v>#REF!</v>
      </c>
      <c r="HD74" t="e">
        <f>AND(#REF!,"AAAAAH6/79M=")</f>
        <v>#REF!</v>
      </c>
      <c r="HE74" t="e">
        <f>AND(#REF!,"AAAAAH6/79Q=")</f>
        <v>#REF!</v>
      </c>
      <c r="HF74" t="e">
        <f>AND(#REF!,"AAAAAH6/79U=")</f>
        <v>#REF!</v>
      </c>
      <c r="HG74" t="e">
        <f>AND(#REF!,"AAAAAH6/79Y=")</f>
        <v>#REF!</v>
      </c>
      <c r="HH74" t="e">
        <f>AND(#REF!,"AAAAAH6/79c=")</f>
        <v>#REF!</v>
      </c>
      <c r="HI74" t="e">
        <f>AND(#REF!,"AAAAAH6/79g=")</f>
        <v>#REF!</v>
      </c>
      <c r="HJ74" t="e">
        <f>AND(#REF!,"AAAAAH6/79k=")</f>
        <v>#REF!</v>
      </c>
      <c r="HK74" t="e">
        <f>AND(#REF!,"AAAAAH6/79o=")</f>
        <v>#REF!</v>
      </c>
      <c r="HL74" t="e">
        <f>AND(#REF!,"AAAAAH6/79s=")</f>
        <v>#REF!</v>
      </c>
      <c r="HM74" t="e">
        <f>AND(#REF!,"AAAAAH6/79w=")</f>
        <v>#REF!</v>
      </c>
      <c r="HN74" t="e">
        <f>AND(#REF!,"AAAAAH6/790=")</f>
        <v>#REF!</v>
      </c>
      <c r="HO74" t="e">
        <f>IF(#REF!,"AAAAAH6/794=",0)</f>
        <v>#REF!</v>
      </c>
      <c r="HP74" t="e">
        <f>AND(#REF!,"AAAAAH6/798=")</f>
        <v>#REF!</v>
      </c>
      <c r="HQ74" t="e">
        <f>AND(#REF!,"AAAAAH6/7+A=")</f>
        <v>#REF!</v>
      </c>
      <c r="HR74" t="e">
        <f>AND(#REF!,"AAAAAH6/7+E=")</f>
        <v>#REF!</v>
      </c>
      <c r="HS74" t="e">
        <f>AND(#REF!,"AAAAAH6/7+I=")</f>
        <v>#REF!</v>
      </c>
      <c r="HT74" t="e">
        <f>AND(#REF!,"AAAAAH6/7+M=")</f>
        <v>#REF!</v>
      </c>
      <c r="HU74" t="e">
        <f>AND(#REF!,"AAAAAH6/7+Q=")</f>
        <v>#REF!</v>
      </c>
      <c r="HV74" t="e">
        <f>AND(#REF!,"AAAAAH6/7+U=")</f>
        <v>#REF!</v>
      </c>
      <c r="HW74" t="e">
        <f>AND(#REF!,"AAAAAH6/7+Y=")</f>
        <v>#REF!</v>
      </c>
      <c r="HX74" t="e">
        <f>AND(#REF!,"AAAAAH6/7+c=")</f>
        <v>#REF!</v>
      </c>
      <c r="HY74" t="e">
        <f>AND(#REF!,"AAAAAH6/7+g=")</f>
        <v>#REF!</v>
      </c>
      <c r="HZ74" t="e">
        <f>AND(#REF!,"AAAAAH6/7+k=")</f>
        <v>#REF!</v>
      </c>
      <c r="IA74" t="e">
        <f>AND(#REF!,"AAAAAH6/7+o=")</f>
        <v>#REF!</v>
      </c>
      <c r="IB74" t="e">
        <f>AND(#REF!,"AAAAAH6/7+s=")</f>
        <v>#REF!</v>
      </c>
      <c r="IC74" t="e">
        <f>AND(#REF!,"AAAAAH6/7+w=")</f>
        <v>#REF!</v>
      </c>
      <c r="ID74" t="e">
        <f>AND(#REF!,"AAAAAH6/7+0=")</f>
        <v>#REF!</v>
      </c>
      <c r="IE74" t="e">
        <f>AND(#REF!,"AAAAAH6/7+4=")</f>
        <v>#REF!</v>
      </c>
      <c r="IF74" t="e">
        <f>AND(#REF!,"AAAAAH6/7+8=")</f>
        <v>#REF!</v>
      </c>
      <c r="IG74" t="e">
        <f>AND(#REF!,"AAAAAH6/7/A=")</f>
        <v>#REF!</v>
      </c>
      <c r="IH74" t="e">
        <f>AND(#REF!,"AAAAAH6/7/E=")</f>
        <v>#REF!</v>
      </c>
      <c r="II74" t="e">
        <f>AND(#REF!,"AAAAAH6/7/I=")</f>
        <v>#REF!</v>
      </c>
      <c r="IJ74" t="e">
        <f>AND(#REF!,"AAAAAH6/7/M=")</f>
        <v>#REF!</v>
      </c>
      <c r="IK74" t="e">
        <f>AND(#REF!,"AAAAAH6/7/Q=")</f>
        <v>#REF!</v>
      </c>
      <c r="IL74" t="e">
        <f>AND(#REF!,"AAAAAH6/7/U=")</f>
        <v>#REF!</v>
      </c>
      <c r="IM74" t="e">
        <f>AND(#REF!,"AAAAAH6/7/Y=")</f>
        <v>#REF!</v>
      </c>
      <c r="IN74" t="e">
        <f>IF(#REF!,"AAAAAH6/7/c=",0)</f>
        <v>#REF!</v>
      </c>
      <c r="IO74" t="e">
        <f>AND(#REF!,"AAAAAH6/7/g=")</f>
        <v>#REF!</v>
      </c>
      <c r="IP74" t="e">
        <f>AND(#REF!,"AAAAAH6/7/k=")</f>
        <v>#REF!</v>
      </c>
      <c r="IQ74" t="e">
        <f>AND(#REF!,"AAAAAH6/7/o=")</f>
        <v>#REF!</v>
      </c>
      <c r="IR74" t="e">
        <f>AND(#REF!,"AAAAAH6/7/s=")</f>
        <v>#REF!</v>
      </c>
      <c r="IS74" t="e">
        <f>AND(#REF!,"AAAAAH6/7/w=")</f>
        <v>#REF!</v>
      </c>
      <c r="IT74" t="e">
        <f>AND(#REF!,"AAAAAH6/7/0=")</f>
        <v>#REF!</v>
      </c>
      <c r="IU74" t="e">
        <f>AND(#REF!,"AAAAAH6/7/4=")</f>
        <v>#REF!</v>
      </c>
      <c r="IV74" t="e">
        <f>AND(#REF!,"AAAAAH6/7/8=")</f>
        <v>#REF!</v>
      </c>
    </row>
    <row r="75" spans="1:256">
      <c r="A75" t="e">
        <f>AND(#REF!,"AAAAAF//vwA=")</f>
        <v>#REF!</v>
      </c>
      <c r="B75" t="e">
        <f>AND(#REF!,"AAAAAF//vwE=")</f>
        <v>#REF!</v>
      </c>
      <c r="C75" t="e">
        <f>AND(#REF!,"AAAAAF//vwI=")</f>
        <v>#REF!</v>
      </c>
      <c r="D75" t="e">
        <f>AND(#REF!,"AAAAAF//vwM=")</f>
        <v>#REF!</v>
      </c>
      <c r="E75" t="e">
        <f>AND(#REF!,"AAAAAF//vwQ=")</f>
        <v>#REF!</v>
      </c>
      <c r="F75" t="e">
        <f>AND(#REF!,"AAAAAF//vwU=")</f>
        <v>#REF!</v>
      </c>
      <c r="G75" t="e">
        <f>AND(#REF!,"AAAAAF//vwY=")</f>
        <v>#REF!</v>
      </c>
      <c r="H75" t="e">
        <f>AND(#REF!,"AAAAAF//vwc=")</f>
        <v>#REF!</v>
      </c>
      <c r="I75" t="e">
        <f>AND(#REF!,"AAAAAF//vwg=")</f>
        <v>#REF!</v>
      </c>
      <c r="J75" t="e">
        <f>AND(#REF!,"AAAAAF//vwk=")</f>
        <v>#REF!</v>
      </c>
      <c r="K75" t="e">
        <f>AND(#REF!,"AAAAAF//vwo=")</f>
        <v>#REF!</v>
      </c>
      <c r="L75" t="e">
        <f>AND(#REF!,"AAAAAF//vws=")</f>
        <v>#REF!</v>
      </c>
      <c r="M75" t="e">
        <f>AND(#REF!,"AAAAAF//vww=")</f>
        <v>#REF!</v>
      </c>
      <c r="N75" t="e">
        <f>AND(#REF!,"AAAAAF//vw0=")</f>
        <v>#REF!</v>
      </c>
      <c r="O75" t="e">
        <f>AND(#REF!,"AAAAAF//vw4=")</f>
        <v>#REF!</v>
      </c>
      <c r="P75" t="e">
        <f>AND(#REF!,"AAAAAF//vw8=")</f>
        <v>#REF!</v>
      </c>
      <c r="Q75" t="e">
        <f>IF(#REF!,"AAAAAF//vxA=",0)</f>
        <v>#REF!</v>
      </c>
      <c r="R75" t="e">
        <f>AND(#REF!,"AAAAAF//vxE=")</f>
        <v>#REF!</v>
      </c>
      <c r="S75" t="e">
        <f>AND(#REF!,"AAAAAF//vxI=")</f>
        <v>#REF!</v>
      </c>
      <c r="T75" t="e">
        <f>AND(#REF!,"AAAAAF//vxM=")</f>
        <v>#REF!</v>
      </c>
      <c r="U75" t="e">
        <f>AND(#REF!,"AAAAAF//vxQ=")</f>
        <v>#REF!</v>
      </c>
      <c r="V75" t="e">
        <f>AND(#REF!,"AAAAAF//vxU=")</f>
        <v>#REF!</v>
      </c>
      <c r="W75" t="e">
        <f>AND(#REF!,"AAAAAF//vxY=")</f>
        <v>#REF!</v>
      </c>
      <c r="X75" t="e">
        <f>AND(#REF!,"AAAAAF//vxc=")</f>
        <v>#REF!</v>
      </c>
      <c r="Y75" t="e">
        <f>AND(#REF!,"AAAAAF//vxg=")</f>
        <v>#REF!</v>
      </c>
      <c r="Z75" t="e">
        <f>AND(#REF!,"AAAAAF//vxk=")</f>
        <v>#REF!</v>
      </c>
      <c r="AA75" t="e">
        <f>AND(#REF!,"AAAAAF//vxo=")</f>
        <v>#REF!</v>
      </c>
      <c r="AB75" t="e">
        <f>AND(#REF!,"AAAAAF//vxs=")</f>
        <v>#REF!</v>
      </c>
      <c r="AC75" t="e">
        <f>AND(#REF!,"AAAAAF//vxw=")</f>
        <v>#REF!</v>
      </c>
      <c r="AD75" t="e">
        <f>AND(#REF!,"AAAAAF//vx0=")</f>
        <v>#REF!</v>
      </c>
      <c r="AE75" t="e">
        <f>AND(#REF!,"AAAAAF//vx4=")</f>
        <v>#REF!</v>
      </c>
      <c r="AF75" t="e">
        <f>AND(#REF!,"AAAAAF//vx8=")</f>
        <v>#REF!</v>
      </c>
      <c r="AG75" t="e">
        <f>AND(#REF!,"AAAAAF//vyA=")</f>
        <v>#REF!</v>
      </c>
      <c r="AH75" t="e">
        <f>AND(#REF!,"AAAAAF//vyE=")</f>
        <v>#REF!</v>
      </c>
      <c r="AI75" t="e">
        <f>AND(#REF!,"AAAAAF//vyI=")</f>
        <v>#REF!</v>
      </c>
      <c r="AJ75" t="e">
        <f>AND(#REF!,"AAAAAF//vyM=")</f>
        <v>#REF!</v>
      </c>
      <c r="AK75" t="e">
        <f>AND(#REF!,"AAAAAF//vyQ=")</f>
        <v>#REF!</v>
      </c>
      <c r="AL75" t="e">
        <f>AND(#REF!,"AAAAAF//vyU=")</f>
        <v>#REF!</v>
      </c>
      <c r="AM75" t="e">
        <f>AND(#REF!,"AAAAAF//vyY=")</f>
        <v>#REF!</v>
      </c>
      <c r="AN75" t="e">
        <f>AND(#REF!,"AAAAAF//vyc=")</f>
        <v>#REF!</v>
      </c>
      <c r="AO75" t="e">
        <f>AND(#REF!,"AAAAAF//vyg=")</f>
        <v>#REF!</v>
      </c>
      <c r="AP75" t="e">
        <f>IF(#REF!,"AAAAAF//vyk=",0)</f>
        <v>#REF!</v>
      </c>
      <c r="AQ75" t="e">
        <f>AND(#REF!,"AAAAAF//vyo=")</f>
        <v>#REF!</v>
      </c>
      <c r="AR75" t="e">
        <f>AND(#REF!,"AAAAAF//vys=")</f>
        <v>#REF!</v>
      </c>
      <c r="AS75" t="e">
        <f>AND(#REF!,"AAAAAF//vyw=")</f>
        <v>#REF!</v>
      </c>
      <c r="AT75" t="e">
        <f>AND(#REF!,"AAAAAF//vy0=")</f>
        <v>#REF!</v>
      </c>
      <c r="AU75" t="e">
        <f>AND(#REF!,"AAAAAF//vy4=")</f>
        <v>#REF!</v>
      </c>
      <c r="AV75" t="e">
        <f>AND(#REF!,"AAAAAF//vy8=")</f>
        <v>#REF!</v>
      </c>
      <c r="AW75" t="e">
        <f>AND(#REF!,"AAAAAF//vzA=")</f>
        <v>#REF!</v>
      </c>
      <c r="AX75" t="e">
        <f>AND(#REF!,"AAAAAF//vzE=")</f>
        <v>#REF!</v>
      </c>
      <c r="AY75" t="e">
        <f>AND(#REF!,"AAAAAF//vzI=")</f>
        <v>#REF!</v>
      </c>
      <c r="AZ75" t="e">
        <f>AND(#REF!,"AAAAAF//vzM=")</f>
        <v>#REF!</v>
      </c>
      <c r="BA75" t="e">
        <f>AND(#REF!,"AAAAAF//vzQ=")</f>
        <v>#REF!</v>
      </c>
      <c r="BB75" t="e">
        <f>AND(#REF!,"AAAAAF//vzU=")</f>
        <v>#REF!</v>
      </c>
      <c r="BC75" t="e">
        <f>AND(#REF!,"AAAAAF//vzY=")</f>
        <v>#REF!</v>
      </c>
      <c r="BD75" t="e">
        <f>AND(#REF!,"AAAAAF//vzc=")</f>
        <v>#REF!</v>
      </c>
      <c r="BE75" t="e">
        <f>AND(#REF!,"AAAAAF//vzg=")</f>
        <v>#REF!</v>
      </c>
      <c r="BF75" t="e">
        <f>AND(#REF!,"AAAAAF//vzk=")</f>
        <v>#REF!</v>
      </c>
      <c r="BG75" t="e">
        <f>AND(#REF!,"AAAAAF//vzo=")</f>
        <v>#REF!</v>
      </c>
      <c r="BH75" t="e">
        <f>AND(#REF!,"AAAAAF//vzs=")</f>
        <v>#REF!</v>
      </c>
      <c r="BI75" t="e">
        <f>AND(#REF!,"AAAAAF//vzw=")</f>
        <v>#REF!</v>
      </c>
      <c r="BJ75" t="e">
        <f>AND(#REF!,"AAAAAF//vz0=")</f>
        <v>#REF!</v>
      </c>
      <c r="BK75" t="e">
        <f>AND(#REF!,"AAAAAF//vz4=")</f>
        <v>#REF!</v>
      </c>
      <c r="BL75" t="e">
        <f>AND(#REF!,"AAAAAF//vz8=")</f>
        <v>#REF!</v>
      </c>
      <c r="BM75" t="e">
        <f>AND(#REF!,"AAAAAF//v0A=")</f>
        <v>#REF!</v>
      </c>
      <c r="BN75" t="e">
        <f>AND(#REF!,"AAAAAF//v0E=")</f>
        <v>#REF!</v>
      </c>
      <c r="BO75" t="e">
        <f>IF(#REF!,"AAAAAF//v0I=",0)</f>
        <v>#REF!</v>
      </c>
      <c r="BP75" t="e">
        <f>AND(#REF!,"AAAAAF//v0M=")</f>
        <v>#REF!</v>
      </c>
      <c r="BQ75" t="e">
        <f>AND(#REF!,"AAAAAF//v0Q=")</f>
        <v>#REF!</v>
      </c>
      <c r="BR75" t="e">
        <f>AND(#REF!,"AAAAAF//v0U=")</f>
        <v>#REF!</v>
      </c>
      <c r="BS75" t="e">
        <f>AND(#REF!,"AAAAAF//v0Y=")</f>
        <v>#REF!</v>
      </c>
      <c r="BT75" t="e">
        <f>AND(#REF!,"AAAAAF//v0c=")</f>
        <v>#REF!</v>
      </c>
      <c r="BU75" t="e">
        <f>AND(#REF!,"AAAAAF//v0g=")</f>
        <v>#REF!</v>
      </c>
      <c r="BV75" t="e">
        <f>AND(#REF!,"AAAAAF//v0k=")</f>
        <v>#REF!</v>
      </c>
      <c r="BW75" t="e">
        <f>AND(#REF!,"AAAAAF//v0o=")</f>
        <v>#REF!</v>
      </c>
      <c r="BX75" t="e">
        <f>AND(#REF!,"AAAAAF//v0s=")</f>
        <v>#REF!</v>
      </c>
      <c r="BY75" t="e">
        <f>AND(#REF!,"AAAAAF//v0w=")</f>
        <v>#REF!</v>
      </c>
      <c r="BZ75" t="e">
        <f>AND(#REF!,"AAAAAF//v00=")</f>
        <v>#REF!</v>
      </c>
      <c r="CA75" t="e">
        <f>AND(#REF!,"AAAAAF//v04=")</f>
        <v>#REF!</v>
      </c>
      <c r="CB75" t="e">
        <f>AND(#REF!,"AAAAAF//v08=")</f>
        <v>#REF!</v>
      </c>
      <c r="CC75" t="e">
        <f>AND(#REF!,"AAAAAF//v1A=")</f>
        <v>#REF!</v>
      </c>
      <c r="CD75" t="e">
        <f>AND(#REF!,"AAAAAF//v1E=")</f>
        <v>#REF!</v>
      </c>
      <c r="CE75" t="e">
        <f>AND(#REF!,"AAAAAF//v1I=")</f>
        <v>#REF!</v>
      </c>
      <c r="CF75" t="e">
        <f>AND(#REF!,"AAAAAF//v1M=")</f>
        <v>#REF!</v>
      </c>
      <c r="CG75" t="e">
        <f>AND(#REF!,"AAAAAF//v1Q=")</f>
        <v>#REF!</v>
      </c>
      <c r="CH75" t="e">
        <f>AND(#REF!,"AAAAAF//v1U=")</f>
        <v>#REF!</v>
      </c>
      <c r="CI75" t="e">
        <f>AND(#REF!,"AAAAAF//v1Y=")</f>
        <v>#REF!</v>
      </c>
      <c r="CJ75" t="e">
        <f>AND(#REF!,"AAAAAF//v1c=")</f>
        <v>#REF!</v>
      </c>
      <c r="CK75" t="e">
        <f>AND(#REF!,"AAAAAF//v1g=")</f>
        <v>#REF!</v>
      </c>
      <c r="CL75" t="e">
        <f>AND(#REF!,"AAAAAF//v1k=")</f>
        <v>#REF!</v>
      </c>
      <c r="CM75" t="e">
        <f>AND(#REF!,"AAAAAF//v1o=")</f>
        <v>#REF!</v>
      </c>
      <c r="CN75" t="e">
        <f>IF(#REF!,"AAAAAF//v1s=",0)</f>
        <v>#REF!</v>
      </c>
      <c r="CO75" t="e">
        <f>AND(#REF!,"AAAAAF//v1w=")</f>
        <v>#REF!</v>
      </c>
      <c r="CP75" t="e">
        <f>AND(#REF!,"AAAAAF//v10=")</f>
        <v>#REF!</v>
      </c>
      <c r="CQ75" t="e">
        <f>AND(#REF!,"AAAAAF//v14=")</f>
        <v>#REF!</v>
      </c>
      <c r="CR75" t="e">
        <f>AND(#REF!,"AAAAAF//v18=")</f>
        <v>#REF!</v>
      </c>
      <c r="CS75" t="e">
        <f>AND(#REF!,"AAAAAF//v2A=")</f>
        <v>#REF!</v>
      </c>
      <c r="CT75" t="e">
        <f>AND(#REF!,"AAAAAF//v2E=")</f>
        <v>#REF!</v>
      </c>
      <c r="CU75" t="e">
        <f>AND(#REF!,"AAAAAF//v2I=")</f>
        <v>#REF!</v>
      </c>
      <c r="CV75" t="e">
        <f>AND(#REF!,"AAAAAF//v2M=")</f>
        <v>#REF!</v>
      </c>
      <c r="CW75" t="e">
        <f>AND(#REF!,"AAAAAF//v2Q=")</f>
        <v>#REF!</v>
      </c>
      <c r="CX75" t="e">
        <f>AND(#REF!,"AAAAAF//v2U=")</f>
        <v>#REF!</v>
      </c>
      <c r="CY75" t="e">
        <f>AND(#REF!,"AAAAAF//v2Y=")</f>
        <v>#REF!</v>
      </c>
      <c r="CZ75" t="e">
        <f>AND(#REF!,"AAAAAF//v2c=")</f>
        <v>#REF!</v>
      </c>
      <c r="DA75" t="e">
        <f>AND(#REF!,"AAAAAF//v2g=")</f>
        <v>#REF!</v>
      </c>
      <c r="DB75" t="e">
        <f>AND(#REF!,"AAAAAF//v2k=")</f>
        <v>#REF!</v>
      </c>
      <c r="DC75" t="e">
        <f>AND(#REF!,"AAAAAF//v2o=")</f>
        <v>#REF!</v>
      </c>
      <c r="DD75" t="e">
        <f>AND(#REF!,"AAAAAF//v2s=")</f>
        <v>#REF!</v>
      </c>
      <c r="DE75" t="e">
        <f>AND(#REF!,"AAAAAF//v2w=")</f>
        <v>#REF!</v>
      </c>
      <c r="DF75" t="e">
        <f>AND(#REF!,"AAAAAF//v20=")</f>
        <v>#REF!</v>
      </c>
      <c r="DG75" t="e">
        <f>AND(#REF!,"AAAAAF//v24=")</f>
        <v>#REF!</v>
      </c>
      <c r="DH75" t="e">
        <f>AND(#REF!,"AAAAAF//v28=")</f>
        <v>#REF!</v>
      </c>
      <c r="DI75" t="e">
        <f>AND(#REF!,"AAAAAF//v3A=")</f>
        <v>#REF!</v>
      </c>
      <c r="DJ75" t="e">
        <f>AND(#REF!,"AAAAAF//v3E=")</f>
        <v>#REF!</v>
      </c>
      <c r="DK75" t="e">
        <f>AND(#REF!,"AAAAAF//v3I=")</f>
        <v>#REF!</v>
      </c>
      <c r="DL75" t="e">
        <f>AND(#REF!,"AAAAAF//v3M=")</f>
        <v>#REF!</v>
      </c>
      <c r="DM75" t="e">
        <f>IF(#REF!,"AAAAAF//v3Q=",0)</f>
        <v>#REF!</v>
      </c>
      <c r="DN75" t="e">
        <f>AND(#REF!,"AAAAAF//v3U=")</f>
        <v>#REF!</v>
      </c>
      <c r="DO75" t="e">
        <f>AND(#REF!,"AAAAAF//v3Y=")</f>
        <v>#REF!</v>
      </c>
      <c r="DP75" t="e">
        <f>AND(#REF!,"AAAAAF//v3c=")</f>
        <v>#REF!</v>
      </c>
      <c r="DQ75" t="e">
        <f>AND(#REF!,"AAAAAF//v3g=")</f>
        <v>#REF!</v>
      </c>
      <c r="DR75" t="e">
        <f>AND(#REF!,"AAAAAF//v3k=")</f>
        <v>#REF!</v>
      </c>
      <c r="DS75" t="e">
        <f>AND(#REF!,"AAAAAF//v3o=")</f>
        <v>#REF!</v>
      </c>
      <c r="DT75" t="e">
        <f>AND(#REF!,"AAAAAF//v3s=")</f>
        <v>#REF!</v>
      </c>
      <c r="DU75" t="e">
        <f>AND(#REF!,"AAAAAF//v3w=")</f>
        <v>#REF!</v>
      </c>
      <c r="DV75" t="e">
        <f>AND(#REF!,"AAAAAF//v30=")</f>
        <v>#REF!</v>
      </c>
      <c r="DW75" t="e">
        <f>AND(#REF!,"AAAAAF//v34=")</f>
        <v>#REF!</v>
      </c>
      <c r="DX75" t="e">
        <f>AND(#REF!,"AAAAAF//v38=")</f>
        <v>#REF!</v>
      </c>
      <c r="DY75" t="e">
        <f>AND(#REF!,"AAAAAF//v4A=")</f>
        <v>#REF!</v>
      </c>
      <c r="DZ75" t="e">
        <f>AND(#REF!,"AAAAAF//v4E=")</f>
        <v>#REF!</v>
      </c>
      <c r="EA75" t="e">
        <f>AND(#REF!,"AAAAAF//v4I=")</f>
        <v>#REF!</v>
      </c>
      <c r="EB75" t="e">
        <f>AND(#REF!,"AAAAAF//v4M=")</f>
        <v>#REF!</v>
      </c>
      <c r="EC75" t="e">
        <f>AND(#REF!,"AAAAAF//v4Q=")</f>
        <v>#REF!</v>
      </c>
      <c r="ED75" t="e">
        <f>AND(#REF!,"AAAAAF//v4U=")</f>
        <v>#REF!</v>
      </c>
      <c r="EE75" t="e">
        <f>AND(#REF!,"AAAAAF//v4Y=")</f>
        <v>#REF!</v>
      </c>
      <c r="EF75" t="e">
        <f>AND(#REF!,"AAAAAF//v4c=")</f>
        <v>#REF!</v>
      </c>
      <c r="EG75" t="e">
        <f>AND(#REF!,"AAAAAF//v4g=")</f>
        <v>#REF!</v>
      </c>
      <c r="EH75" t="e">
        <f>AND(#REF!,"AAAAAF//v4k=")</f>
        <v>#REF!</v>
      </c>
      <c r="EI75" t="e">
        <f>AND(#REF!,"AAAAAF//v4o=")</f>
        <v>#REF!</v>
      </c>
      <c r="EJ75" t="e">
        <f>AND(#REF!,"AAAAAF//v4s=")</f>
        <v>#REF!</v>
      </c>
      <c r="EK75" t="e">
        <f>AND(#REF!,"AAAAAF//v4w=")</f>
        <v>#REF!</v>
      </c>
      <c r="EL75" t="e">
        <f>IF(#REF!,"AAAAAF//v40=",0)</f>
        <v>#REF!</v>
      </c>
      <c r="EM75" t="e">
        <f>AND(#REF!,"AAAAAF//v44=")</f>
        <v>#REF!</v>
      </c>
      <c r="EN75" t="e">
        <f>AND(#REF!,"AAAAAF//v48=")</f>
        <v>#REF!</v>
      </c>
      <c r="EO75" t="e">
        <f>AND(#REF!,"AAAAAF//v5A=")</f>
        <v>#REF!</v>
      </c>
      <c r="EP75" t="e">
        <f>AND(#REF!,"AAAAAF//v5E=")</f>
        <v>#REF!</v>
      </c>
      <c r="EQ75" t="e">
        <f>AND(#REF!,"AAAAAF//v5I=")</f>
        <v>#REF!</v>
      </c>
      <c r="ER75" t="e">
        <f>AND(#REF!,"AAAAAF//v5M=")</f>
        <v>#REF!</v>
      </c>
      <c r="ES75" t="e">
        <f>AND(#REF!,"AAAAAF//v5Q=")</f>
        <v>#REF!</v>
      </c>
      <c r="ET75" t="e">
        <f>AND(#REF!,"AAAAAF//v5U=")</f>
        <v>#REF!</v>
      </c>
      <c r="EU75" t="e">
        <f>AND(#REF!,"AAAAAF//v5Y=")</f>
        <v>#REF!</v>
      </c>
      <c r="EV75" t="e">
        <f>AND(#REF!,"AAAAAF//v5c=")</f>
        <v>#REF!</v>
      </c>
      <c r="EW75" t="e">
        <f>AND(#REF!,"AAAAAF//v5g=")</f>
        <v>#REF!</v>
      </c>
      <c r="EX75" t="e">
        <f>AND(#REF!,"AAAAAF//v5k=")</f>
        <v>#REF!</v>
      </c>
      <c r="EY75" t="e">
        <f>AND(#REF!,"AAAAAF//v5o=")</f>
        <v>#REF!</v>
      </c>
      <c r="EZ75" t="e">
        <f>AND(#REF!,"AAAAAF//v5s=")</f>
        <v>#REF!</v>
      </c>
      <c r="FA75" t="e">
        <f>AND(#REF!,"AAAAAF//v5w=")</f>
        <v>#REF!</v>
      </c>
      <c r="FB75" t="e">
        <f>AND(#REF!,"AAAAAF//v50=")</f>
        <v>#REF!</v>
      </c>
      <c r="FC75" t="e">
        <f>AND(#REF!,"AAAAAF//v54=")</f>
        <v>#REF!</v>
      </c>
      <c r="FD75" t="e">
        <f>AND(#REF!,"AAAAAF//v58=")</f>
        <v>#REF!</v>
      </c>
      <c r="FE75" t="e">
        <f>AND(#REF!,"AAAAAF//v6A=")</f>
        <v>#REF!</v>
      </c>
      <c r="FF75" t="e">
        <f>AND(#REF!,"AAAAAF//v6E=")</f>
        <v>#REF!</v>
      </c>
      <c r="FG75" t="e">
        <f>AND(#REF!,"AAAAAF//v6I=")</f>
        <v>#REF!</v>
      </c>
      <c r="FH75" t="e">
        <f>AND(#REF!,"AAAAAF//v6M=")</f>
        <v>#REF!</v>
      </c>
      <c r="FI75" t="e">
        <f>AND(#REF!,"AAAAAF//v6Q=")</f>
        <v>#REF!</v>
      </c>
      <c r="FJ75" t="e">
        <f>AND(#REF!,"AAAAAF//v6U=")</f>
        <v>#REF!</v>
      </c>
      <c r="FK75" t="e">
        <f>IF(#REF!,"AAAAAF//v6Y=",0)</f>
        <v>#REF!</v>
      </c>
      <c r="FL75" t="e">
        <f>AND(#REF!,"AAAAAF//v6c=")</f>
        <v>#REF!</v>
      </c>
      <c r="FM75" t="e">
        <f>AND(#REF!,"AAAAAF//v6g=")</f>
        <v>#REF!</v>
      </c>
      <c r="FN75" t="e">
        <f>AND(#REF!,"AAAAAF//v6k=")</f>
        <v>#REF!</v>
      </c>
      <c r="FO75" t="e">
        <f>AND(#REF!,"AAAAAF//v6o=")</f>
        <v>#REF!</v>
      </c>
      <c r="FP75" t="e">
        <f>AND(#REF!,"AAAAAF//v6s=")</f>
        <v>#REF!</v>
      </c>
      <c r="FQ75" t="e">
        <f>AND(#REF!,"AAAAAF//v6w=")</f>
        <v>#REF!</v>
      </c>
      <c r="FR75" t="e">
        <f>AND(#REF!,"AAAAAF//v60=")</f>
        <v>#REF!</v>
      </c>
      <c r="FS75" t="e">
        <f>AND(#REF!,"AAAAAF//v64=")</f>
        <v>#REF!</v>
      </c>
      <c r="FT75" t="e">
        <f>AND(#REF!,"AAAAAF//v68=")</f>
        <v>#REF!</v>
      </c>
      <c r="FU75" t="e">
        <f>AND(#REF!,"AAAAAF//v7A=")</f>
        <v>#REF!</v>
      </c>
      <c r="FV75" t="e">
        <f>AND(#REF!,"AAAAAF//v7E=")</f>
        <v>#REF!</v>
      </c>
      <c r="FW75" t="e">
        <f>AND(#REF!,"AAAAAF//v7I=")</f>
        <v>#REF!</v>
      </c>
      <c r="FX75" t="e">
        <f>AND(#REF!,"AAAAAF//v7M=")</f>
        <v>#REF!</v>
      </c>
      <c r="FY75" t="e">
        <f>AND(#REF!,"AAAAAF//v7Q=")</f>
        <v>#REF!</v>
      </c>
      <c r="FZ75" t="e">
        <f>AND(#REF!,"AAAAAF//v7U=")</f>
        <v>#REF!</v>
      </c>
      <c r="GA75" t="e">
        <f>AND(#REF!,"AAAAAF//v7Y=")</f>
        <v>#REF!</v>
      </c>
      <c r="GB75" t="e">
        <f>AND(#REF!,"AAAAAF//v7c=")</f>
        <v>#REF!</v>
      </c>
      <c r="GC75" t="e">
        <f>AND(#REF!,"AAAAAF//v7g=")</f>
        <v>#REF!</v>
      </c>
      <c r="GD75" t="e">
        <f>AND(#REF!,"AAAAAF//v7k=")</f>
        <v>#REF!</v>
      </c>
      <c r="GE75" t="e">
        <f>AND(#REF!,"AAAAAF//v7o=")</f>
        <v>#REF!</v>
      </c>
      <c r="GF75" t="e">
        <f>AND(#REF!,"AAAAAF//v7s=")</f>
        <v>#REF!</v>
      </c>
      <c r="GG75" t="e">
        <f>AND(#REF!,"AAAAAF//v7w=")</f>
        <v>#REF!</v>
      </c>
      <c r="GH75" t="e">
        <f>AND(#REF!,"AAAAAF//v70=")</f>
        <v>#REF!</v>
      </c>
      <c r="GI75" t="e">
        <f>AND(#REF!,"AAAAAF//v74=")</f>
        <v>#REF!</v>
      </c>
      <c r="GJ75" t="e">
        <f>IF(#REF!,"AAAAAF//v78=",0)</f>
        <v>#REF!</v>
      </c>
      <c r="GK75" t="e">
        <f>AND(#REF!,"AAAAAF//v8A=")</f>
        <v>#REF!</v>
      </c>
      <c r="GL75" t="e">
        <f>AND(#REF!,"AAAAAF//v8E=")</f>
        <v>#REF!</v>
      </c>
      <c r="GM75" t="e">
        <f>AND(#REF!,"AAAAAF//v8I=")</f>
        <v>#REF!</v>
      </c>
      <c r="GN75" t="e">
        <f>AND(#REF!,"AAAAAF//v8M=")</f>
        <v>#REF!</v>
      </c>
      <c r="GO75" t="e">
        <f>AND(#REF!,"AAAAAF//v8Q=")</f>
        <v>#REF!</v>
      </c>
      <c r="GP75" t="e">
        <f>AND(#REF!,"AAAAAF//v8U=")</f>
        <v>#REF!</v>
      </c>
      <c r="GQ75" t="e">
        <f>AND(#REF!,"AAAAAF//v8Y=")</f>
        <v>#REF!</v>
      </c>
      <c r="GR75" t="e">
        <f>AND(#REF!,"AAAAAF//v8c=")</f>
        <v>#REF!</v>
      </c>
      <c r="GS75" t="e">
        <f>AND(#REF!,"AAAAAF//v8g=")</f>
        <v>#REF!</v>
      </c>
      <c r="GT75" t="e">
        <f>AND(#REF!,"AAAAAF//v8k=")</f>
        <v>#REF!</v>
      </c>
      <c r="GU75" t="e">
        <f>AND(#REF!,"AAAAAF//v8o=")</f>
        <v>#REF!</v>
      </c>
      <c r="GV75" t="e">
        <f>AND(#REF!,"AAAAAF//v8s=")</f>
        <v>#REF!</v>
      </c>
      <c r="GW75" t="e">
        <f>AND(#REF!,"AAAAAF//v8w=")</f>
        <v>#REF!</v>
      </c>
      <c r="GX75" t="e">
        <f>AND(#REF!,"AAAAAF//v80=")</f>
        <v>#REF!</v>
      </c>
      <c r="GY75" t="e">
        <f>AND(#REF!,"AAAAAF//v84=")</f>
        <v>#REF!</v>
      </c>
      <c r="GZ75" t="e">
        <f>AND(#REF!,"AAAAAF//v88=")</f>
        <v>#REF!</v>
      </c>
      <c r="HA75" t="e">
        <f>AND(#REF!,"AAAAAF//v9A=")</f>
        <v>#REF!</v>
      </c>
      <c r="HB75" t="e">
        <f>AND(#REF!,"AAAAAF//v9E=")</f>
        <v>#REF!</v>
      </c>
      <c r="HC75" t="e">
        <f>AND(#REF!,"AAAAAF//v9I=")</f>
        <v>#REF!</v>
      </c>
      <c r="HD75" t="e">
        <f>AND(#REF!,"AAAAAF//v9M=")</f>
        <v>#REF!</v>
      </c>
      <c r="HE75" t="e">
        <f>AND(#REF!,"AAAAAF//v9Q=")</f>
        <v>#REF!</v>
      </c>
      <c r="HF75" t="e">
        <f>AND(#REF!,"AAAAAF//v9U=")</f>
        <v>#REF!</v>
      </c>
      <c r="HG75" t="e">
        <f>AND(#REF!,"AAAAAF//v9Y=")</f>
        <v>#REF!</v>
      </c>
      <c r="HH75" t="e">
        <f>AND(#REF!,"AAAAAF//v9c=")</f>
        <v>#REF!</v>
      </c>
      <c r="HI75" t="e">
        <f>IF(#REF!,"AAAAAF//v9g=",0)</f>
        <v>#REF!</v>
      </c>
      <c r="HJ75" t="e">
        <f>AND(#REF!,"AAAAAF//v9k=")</f>
        <v>#REF!</v>
      </c>
      <c r="HK75" t="e">
        <f>AND(#REF!,"AAAAAF//v9o=")</f>
        <v>#REF!</v>
      </c>
      <c r="HL75" t="e">
        <f>AND(#REF!,"AAAAAF//v9s=")</f>
        <v>#REF!</v>
      </c>
      <c r="HM75" t="e">
        <f>AND(#REF!,"AAAAAF//v9w=")</f>
        <v>#REF!</v>
      </c>
      <c r="HN75" t="e">
        <f>AND(#REF!,"AAAAAF//v90=")</f>
        <v>#REF!</v>
      </c>
      <c r="HO75" t="e">
        <f>AND(#REF!,"AAAAAF//v94=")</f>
        <v>#REF!</v>
      </c>
      <c r="HP75" t="e">
        <f>AND(#REF!,"AAAAAF//v98=")</f>
        <v>#REF!</v>
      </c>
      <c r="HQ75" t="e">
        <f>AND(#REF!,"AAAAAF//v+A=")</f>
        <v>#REF!</v>
      </c>
      <c r="HR75" t="e">
        <f>AND(#REF!,"AAAAAF//v+E=")</f>
        <v>#REF!</v>
      </c>
      <c r="HS75" t="e">
        <f>AND(#REF!,"AAAAAF//v+I=")</f>
        <v>#REF!</v>
      </c>
      <c r="HT75" t="e">
        <f>AND(#REF!,"AAAAAF//v+M=")</f>
        <v>#REF!</v>
      </c>
      <c r="HU75" t="e">
        <f>AND(#REF!,"AAAAAF//v+Q=")</f>
        <v>#REF!</v>
      </c>
      <c r="HV75" t="e">
        <f>AND(#REF!,"AAAAAF//v+U=")</f>
        <v>#REF!</v>
      </c>
      <c r="HW75" t="e">
        <f>AND(#REF!,"AAAAAF//v+Y=")</f>
        <v>#REF!</v>
      </c>
      <c r="HX75" t="e">
        <f>AND(#REF!,"AAAAAF//v+c=")</f>
        <v>#REF!</v>
      </c>
      <c r="HY75" t="e">
        <f>AND(#REF!,"AAAAAF//v+g=")</f>
        <v>#REF!</v>
      </c>
      <c r="HZ75" t="e">
        <f>AND(#REF!,"AAAAAF//v+k=")</f>
        <v>#REF!</v>
      </c>
      <c r="IA75" t="e">
        <f>AND(#REF!,"AAAAAF//v+o=")</f>
        <v>#REF!</v>
      </c>
      <c r="IB75" t="e">
        <f>AND(#REF!,"AAAAAF//v+s=")</f>
        <v>#REF!</v>
      </c>
      <c r="IC75" t="e">
        <f>AND(#REF!,"AAAAAF//v+w=")</f>
        <v>#REF!</v>
      </c>
      <c r="ID75" t="e">
        <f>AND(#REF!,"AAAAAF//v+0=")</f>
        <v>#REF!</v>
      </c>
      <c r="IE75" t="e">
        <f>AND(#REF!,"AAAAAF//v+4=")</f>
        <v>#REF!</v>
      </c>
      <c r="IF75" t="e">
        <f>AND(#REF!,"AAAAAF//v+8=")</f>
        <v>#REF!</v>
      </c>
      <c r="IG75" t="e">
        <f>AND(#REF!,"AAAAAF//v/A=")</f>
        <v>#REF!</v>
      </c>
      <c r="IH75" t="e">
        <f>IF(#REF!,"AAAAAF//v/E=",0)</f>
        <v>#REF!</v>
      </c>
      <c r="II75" t="e">
        <f>AND(#REF!,"AAAAAF//v/I=")</f>
        <v>#REF!</v>
      </c>
      <c r="IJ75" t="e">
        <f>AND(#REF!,"AAAAAF//v/M=")</f>
        <v>#REF!</v>
      </c>
      <c r="IK75" t="e">
        <f>AND(#REF!,"AAAAAF//v/Q=")</f>
        <v>#REF!</v>
      </c>
      <c r="IL75" t="e">
        <f>AND(#REF!,"AAAAAF//v/U=")</f>
        <v>#REF!</v>
      </c>
      <c r="IM75" t="e">
        <f>AND(#REF!,"AAAAAF//v/Y=")</f>
        <v>#REF!</v>
      </c>
      <c r="IN75" t="e">
        <f>AND(#REF!,"AAAAAF//v/c=")</f>
        <v>#REF!</v>
      </c>
      <c r="IO75" t="e">
        <f>AND(#REF!,"AAAAAF//v/g=")</f>
        <v>#REF!</v>
      </c>
      <c r="IP75" t="e">
        <f>AND(#REF!,"AAAAAF//v/k=")</f>
        <v>#REF!</v>
      </c>
      <c r="IQ75" t="e">
        <f>AND(#REF!,"AAAAAF//v/o=")</f>
        <v>#REF!</v>
      </c>
      <c r="IR75" t="e">
        <f>AND(#REF!,"AAAAAF//v/s=")</f>
        <v>#REF!</v>
      </c>
      <c r="IS75" t="e">
        <f>AND(#REF!,"AAAAAF//v/w=")</f>
        <v>#REF!</v>
      </c>
      <c r="IT75" t="e">
        <f>AND(#REF!,"AAAAAF//v/0=")</f>
        <v>#REF!</v>
      </c>
      <c r="IU75" t="e">
        <f>AND(#REF!,"AAAAAF//v/4=")</f>
        <v>#REF!</v>
      </c>
      <c r="IV75" t="e">
        <f>AND(#REF!,"AAAAAF//v/8=")</f>
        <v>#REF!</v>
      </c>
    </row>
    <row r="76" spans="1:256">
      <c r="A76" t="e">
        <f>AND(#REF!,"AAAAAHq7fAA=")</f>
        <v>#REF!</v>
      </c>
      <c r="B76" t="e">
        <f>AND(#REF!,"AAAAAHq7fAE=")</f>
        <v>#REF!</v>
      </c>
      <c r="C76" t="e">
        <f>AND(#REF!,"AAAAAHq7fAI=")</f>
        <v>#REF!</v>
      </c>
      <c r="D76" t="e">
        <f>AND(#REF!,"AAAAAHq7fAM=")</f>
        <v>#REF!</v>
      </c>
      <c r="E76" t="e">
        <f>AND(#REF!,"AAAAAHq7fAQ=")</f>
        <v>#REF!</v>
      </c>
      <c r="F76" t="e">
        <f>AND(#REF!,"AAAAAHq7fAU=")</f>
        <v>#REF!</v>
      </c>
      <c r="G76" t="e">
        <f>AND(#REF!,"AAAAAHq7fAY=")</f>
        <v>#REF!</v>
      </c>
      <c r="H76" t="e">
        <f>AND(#REF!,"AAAAAHq7fAc=")</f>
        <v>#REF!</v>
      </c>
      <c r="I76" t="e">
        <f>AND(#REF!,"AAAAAHq7fAg=")</f>
        <v>#REF!</v>
      </c>
      <c r="J76" t="e">
        <f>AND(#REF!,"AAAAAHq7fAk=")</f>
        <v>#REF!</v>
      </c>
      <c r="K76" t="e">
        <f>IF(#REF!,"AAAAAHq7fAo=",0)</f>
        <v>#REF!</v>
      </c>
      <c r="L76" t="e">
        <f>AND(#REF!,"AAAAAHq7fAs=")</f>
        <v>#REF!</v>
      </c>
      <c r="M76" t="e">
        <f>AND(#REF!,"AAAAAHq7fAw=")</f>
        <v>#REF!</v>
      </c>
      <c r="N76" t="e">
        <f>AND(#REF!,"AAAAAHq7fA0=")</f>
        <v>#REF!</v>
      </c>
      <c r="O76" t="e">
        <f>AND(#REF!,"AAAAAHq7fA4=")</f>
        <v>#REF!</v>
      </c>
      <c r="P76" t="e">
        <f>AND(#REF!,"AAAAAHq7fA8=")</f>
        <v>#REF!</v>
      </c>
      <c r="Q76" t="e">
        <f>AND(#REF!,"AAAAAHq7fBA=")</f>
        <v>#REF!</v>
      </c>
      <c r="R76" t="e">
        <f>AND(#REF!,"AAAAAHq7fBE=")</f>
        <v>#REF!</v>
      </c>
      <c r="S76" t="e">
        <f>AND(#REF!,"AAAAAHq7fBI=")</f>
        <v>#REF!</v>
      </c>
      <c r="T76" t="e">
        <f>AND(#REF!,"AAAAAHq7fBM=")</f>
        <v>#REF!</v>
      </c>
      <c r="U76" t="e">
        <f>AND(#REF!,"AAAAAHq7fBQ=")</f>
        <v>#REF!</v>
      </c>
      <c r="V76" t="e">
        <f>AND(#REF!,"AAAAAHq7fBU=")</f>
        <v>#REF!</v>
      </c>
      <c r="W76" t="e">
        <f>AND(#REF!,"AAAAAHq7fBY=")</f>
        <v>#REF!</v>
      </c>
      <c r="X76" t="e">
        <f>AND(#REF!,"AAAAAHq7fBc=")</f>
        <v>#REF!</v>
      </c>
      <c r="Y76" t="e">
        <f>AND(#REF!,"AAAAAHq7fBg=")</f>
        <v>#REF!</v>
      </c>
      <c r="Z76" t="e">
        <f>AND(#REF!,"AAAAAHq7fBk=")</f>
        <v>#REF!</v>
      </c>
      <c r="AA76" t="e">
        <f>AND(#REF!,"AAAAAHq7fBo=")</f>
        <v>#REF!</v>
      </c>
      <c r="AB76" t="e">
        <f>AND(#REF!,"AAAAAHq7fBs=")</f>
        <v>#REF!</v>
      </c>
      <c r="AC76" t="e">
        <f>AND(#REF!,"AAAAAHq7fBw=")</f>
        <v>#REF!</v>
      </c>
      <c r="AD76" t="e">
        <f>AND(#REF!,"AAAAAHq7fB0=")</f>
        <v>#REF!</v>
      </c>
      <c r="AE76" t="e">
        <f>AND(#REF!,"AAAAAHq7fB4=")</f>
        <v>#REF!</v>
      </c>
      <c r="AF76" t="e">
        <f>AND(#REF!,"AAAAAHq7fB8=")</f>
        <v>#REF!</v>
      </c>
      <c r="AG76" t="e">
        <f>AND(#REF!,"AAAAAHq7fCA=")</f>
        <v>#REF!</v>
      </c>
      <c r="AH76" t="e">
        <f>AND(#REF!,"AAAAAHq7fCE=")</f>
        <v>#REF!</v>
      </c>
      <c r="AI76" t="e">
        <f>AND(#REF!,"AAAAAHq7fCI=")</f>
        <v>#REF!</v>
      </c>
      <c r="AJ76" t="e">
        <f>IF(#REF!,"AAAAAHq7fCM=",0)</f>
        <v>#REF!</v>
      </c>
      <c r="AK76" t="e">
        <f>AND(#REF!,"AAAAAHq7fCQ=")</f>
        <v>#REF!</v>
      </c>
      <c r="AL76" t="e">
        <f>AND(#REF!,"AAAAAHq7fCU=")</f>
        <v>#REF!</v>
      </c>
      <c r="AM76" t="e">
        <f>AND(#REF!,"AAAAAHq7fCY=")</f>
        <v>#REF!</v>
      </c>
      <c r="AN76" t="e">
        <f>AND(#REF!,"AAAAAHq7fCc=")</f>
        <v>#REF!</v>
      </c>
      <c r="AO76" t="e">
        <f>AND(#REF!,"AAAAAHq7fCg=")</f>
        <v>#REF!</v>
      </c>
      <c r="AP76" t="e">
        <f>AND(#REF!,"AAAAAHq7fCk=")</f>
        <v>#REF!</v>
      </c>
      <c r="AQ76" t="e">
        <f>AND(#REF!,"AAAAAHq7fCo=")</f>
        <v>#REF!</v>
      </c>
      <c r="AR76" t="e">
        <f>AND(#REF!,"AAAAAHq7fCs=")</f>
        <v>#REF!</v>
      </c>
      <c r="AS76" t="e">
        <f>AND(#REF!,"AAAAAHq7fCw=")</f>
        <v>#REF!</v>
      </c>
      <c r="AT76" t="e">
        <f>AND(#REF!,"AAAAAHq7fC0=")</f>
        <v>#REF!</v>
      </c>
      <c r="AU76" t="e">
        <f>AND(#REF!,"AAAAAHq7fC4=")</f>
        <v>#REF!</v>
      </c>
      <c r="AV76" t="e">
        <f>AND(#REF!,"AAAAAHq7fC8=")</f>
        <v>#REF!</v>
      </c>
      <c r="AW76" t="e">
        <f>AND(#REF!,"AAAAAHq7fDA=")</f>
        <v>#REF!</v>
      </c>
      <c r="AX76" t="e">
        <f>AND(#REF!,"AAAAAHq7fDE=")</f>
        <v>#REF!</v>
      </c>
      <c r="AY76" t="e">
        <f>AND(#REF!,"AAAAAHq7fDI=")</f>
        <v>#REF!</v>
      </c>
      <c r="AZ76" t="e">
        <f>AND(#REF!,"AAAAAHq7fDM=")</f>
        <v>#REF!</v>
      </c>
      <c r="BA76" t="e">
        <f>AND(#REF!,"AAAAAHq7fDQ=")</f>
        <v>#REF!</v>
      </c>
      <c r="BB76" t="e">
        <f>AND(#REF!,"AAAAAHq7fDU=")</f>
        <v>#REF!</v>
      </c>
      <c r="BC76" t="e">
        <f>AND(#REF!,"AAAAAHq7fDY=")</f>
        <v>#REF!</v>
      </c>
      <c r="BD76" t="e">
        <f>AND(#REF!,"AAAAAHq7fDc=")</f>
        <v>#REF!</v>
      </c>
      <c r="BE76" t="e">
        <f>AND(#REF!,"AAAAAHq7fDg=")</f>
        <v>#REF!</v>
      </c>
      <c r="BF76" t="e">
        <f>AND(#REF!,"AAAAAHq7fDk=")</f>
        <v>#REF!</v>
      </c>
      <c r="BG76" t="e">
        <f>AND(#REF!,"AAAAAHq7fDo=")</f>
        <v>#REF!</v>
      </c>
      <c r="BH76" t="e">
        <f>AND(#REF!,"AAAAAHq7fDs=")</f>
        <v>#REF!</v>
      </c>
      <c r="BI76" t="e">
        <f>IF(#REF!,"AAAAAHq7fDw=",0)</f>
        <v>#REF!</v>
      </c>
      <c r="BJ76" t="e">
        <f>AND(#REF!,"AAAAAHq7fD0=")</f>
        <v>#REF!</v>
      </c>
      <c r="BK76" t="e">
        <f>AND(#REF!,"AAAAAHq7fD4=")</f>
        <v>#REF!</v>
      </c>
      <c r="BL76" t="e">
        <f>AND(#REF!,"AAAAAHq7fD8=")</f>
        <v>#REF!</v>
      </c>
      <c r="BM76" t="e">
        <f>AND(#REF!,"AAAAAHq7fEA=")</f>
        <v>#REF!</v>
      </c>
      <c r="BN76" t="e">
        <f>AND(#REF!,"AAAAAHq7fEE=")</f>
        <v>#REF!</v>
      </c>
      <c r="BO76" t="e">
        <f>AND(#REF!,"AAAAAHq7fEI=")</f>
        <v>#REF!</v>
      </c>
      <c r="BP76" t="e">
        <f>AND(#REF!,"AAAAAHq7fEM=")</f>
        <v>#REF!</v>
      </c>
      <c r="BQ76" t="e">
        <f>AND(#REF!,"AAAAAHq7fEQ=")</f>
        <v>#REF!</v>
      </c>
      <c r="BR76" t="e">
        <f>AND(#REF!,"AAAAAHq7fEU=")</f>
        <v>#REF!</v>
      </c>
      <c r="BS76" t="e">
        <f>AND(#REF!,"AAAAAHq7fEY=")</f>
        <v>#REF!</v>
      </c>
      <c r="BT76" t="e">
        <f>AND(#REF!,"AAAAAHq7fEc=")</f>
        <v>#REF!</v>
      </c>
      <c r="BU76" t="e">
        <f>AND(#REF!,"AAAAAHq7fEg=")</f>
        <v>#REF!</v>
      </c>
      <c r="BV76" t="e">
        <f>AND(#REF!,"AAAAAHq7fEk=")</f>
        <v>#REF!</v>
      </c>
      <c r="BW76" t="e">
        <f>AND(#REF!,"AAAAAHq7fEo=")</f>
        <v>#REF!</v>
      </c>
      <c r="BX76" t="e">
        <f>AND(#REF!,"AAAAAHq7fEs=")</f>
        <v>#REF!</v>
      </c>
      <c r="BY76" t="e">
        <f>AND(#REF!,"AAAAAHq7fEw=")</f>
        <v>#REF!</v>
      </c>
      <c r="BZ76" t="e">
        <f>AND(#REF!,"AAAAAHq7fE0=")</f>
        <v>#REF!</v>
      </c>
      <c r="CA76" t="e">
        <f>AND(#REF!,"AAAAAHq7fE4=")</f>
        <v>#REF!</v>
      </c>
      <c r="CB76" t="e">
        <f>AND(#REF!,"AAAAAHq7fE8=")</f>
        <v>#REF!</v>
      </c>
      <c r="CC76" t="e">
        <f>AND(#REF!,"AAAAAHq7fFA=")</f>
        <v>#REF!</v>
      </c>
      <c r="CD76" t="e">
        <f>AND(#REF!,"AAAAAHq7fFE=")</f>
        <v>#REF!</v>
      </c>
      <c r="CE76" t="e">
        <f>AND(#REF!,"AAAAAHq7fFI=")</f>
        <v>#REF!</v>
      </c>
      <c r="CF76" t="e">
        <f>AND(#REF!,"AAAAAHq7fFM=")</f>
        <v>#REF!</v>
      </c>
      <c r="CG76" t="e">
        <f>AND(#REF!,"AAAAAHq7fFQ=")</f>
        <v>#REF!</v>
      </c>
      <c r="CH76" t="e">
        <f>IF(#REF!,"AAAAAHq7fFU=",0)</f>
        <v>#REF!</v>
      </c>
      <c r="CI76" t="e">
        <f>AND(#REF!,"AAAAAHq7fFY=")</f>
        <v>#REF!</v>
      </c>
      <c r="CJ76" t="e">
        <f>AND(#REF!,"AAAAAHq7fFc=")</f>
        <v>#REF!</v>
      </c>
      <c r="CK76" t="e">
        <f>AND(#REF!,"AAAAAHq7fFg=")</f>
        <v>#REF!</v>
      </c>
      <c r="CL76" t="e">
        <f>AND(#REF!,"AAAAAHq7fFk=")</f>
        <v>#REF!</v>
      </c>
      <c r="CM76" t="e">
        <f>AND(#REF!,"AAAAAHq7fFo=")</f>
        <v>#REF!</v>
      </c>
      <c r="CN76" t="e">
        <f>AND(#REF!,"AAAAAHq7fFs=")</f>
        <v>#REF!</v>
      </c>
      <c r="CO76" t="e">
        <f>AND(#REF!,"AAAAAHq7fFw=")</f>
        <v>#REF!</v>
      </c>
      <c r="CP76" t="e">
        <f>AND(#REF!,"AAAAAHq7fF0=")</f>
        <v>#REF!</v>
      </c>
      <c r="CQ76" t="e">
        <f>AND(#REF!,"AAAAAHq7fF4=")</f>
        <v>#REF!</v>
      </c>
      <c r="CR76" t="e">
        <f>AND(#REF!,"AAAAAHq7fF8=")</f>
        <v>#REF!</v>
      </c>
      <c r="CS76" t="e">
        <f>AND(#REF!,"AAAAAHq7fGA=")</f>
        <v>#REF!</v>
      </c>
      <c r="CT76" t="e">
        <f>AND(#REF!,"AAAAAHq7fGE=")</f>
        <v>#REF!</v>
      </c>
      <c r="CU76" t="e">
        <f>AND(#REF!,"AAAAAHq7fGI=")</f>
        <v>#REF!</v>
      </c>
      <c r="CV76" t="e">
        <f>AND(#REF!,"AAAAAHq7fGM=")</f>
        <v>#REF!</v>
      </c>
      <c r="CW76" t="e">
        <f>AND(#REF!,"AAAAAHq7fGQ=")</f>
        <v>#REF!</v>
      </c>
      <c r="CX76" t="e">
        <f>AND(#REF!,"AAAAAHq7fGU=")</f>
        <v>#REF!</v>
      </c>
      <c r="CY76" t="e">
        <f>AND(#REF!,"AAAAAHq7fGY=")</f>
        <v>#REF!</v>
      </c>
      <c r="CZ76" t="e">
        <f>AND(#REF!,"AAAAAHq7fGc=")</f>
        <v>#REF!</v>
      </c>
      <c r="DA76" t="e">
        <f>AND(#REF!,"AAAAAHq7fGg=")</f>
        <v>#REF!</v>
      </c>
      <c r="DB76" t="e">
        <f>AND(#REF!,"AAAAAHq7fGk=")</f>
        <v>#REF!</v>
      </c>
      <c r="DC76" t="e">
        <f>AND(#REF!,"AAAAAHq7fGo=")</f>
        <v>#REF!</v>
      </c>
      <c r="DD76" t="e">
        <f>AND(#REF!,"AAAAAHq7fGs=")</f>
        <v>#REF!</v>
      </c>
      <c r="DE76" t="e">
        <f>AND(#REF!,"AAAAAHq7fGw=")</f>
        <v>#REF!</v>
      </c>
      <c r="DF76" t="e">
        <f>AND(#REF!,"AAAAAHq7fG0=")</f>
        <v>#REF!</v>
      </c>
      <c r="DG76" t="e">
        <f>IF(#REF!,"AAAAAHq7fG4=",0)</f>
        <v>#REF!</v>
      </c>
      <c r="DH76" t="e">
        <f>AND(#REF!,"AAAAAHq7fG8=")</f>
        <v>#REF!</v>
      </c>
      <c r="DI76" t="e">
        <f>AND(#REF!,"AAAAAHq7fHA=")</f>
        <v>#REF!</v>
      </c>
      <c r="DJ76" t="e">
        <f>AND(#REF!,"AAAAAHq7fHE=")</f>
        <v>#REF!</v>
      </c>
      <c r="DK76" t="e">
        <f>AND(#REF!,"AAAAAHq7fHI=")</f>
        <v>#REF!</v>
      </c>
      <c r="DL76" t="e">
        <f>AND(#REF!,"AAAAAHq7fHM=")</f>
        <v>#REF!</v>
      </c>
      <c r="DM76" t="e">
        <f>AND(#REF!,"AAAAAHq7fHQ=")</f>
        <v>#REF!</v>
      </c>
      <c r="DN76" t="e">
        <f>AND(#REF!,"AAAAAHq7fHU=")</f>
        <v>#REF!</v>
      </c>
      <c r="DO76" t="e">
        <f>AND(#REF!,"AAAAAHq7fHY=")</f>
        <v>#REF!</v>
      </c>
      <c r="DP76" t="e">
        <f>AND(#REF!,"AAAAAHq7fHc=")</f>
        <v>#REF!</v>
      </c>
      <c r="DQ76" t="e">
        <f>AND(#REF!,"AAAAAHq7fHg=")</f>
        <v>#REF!</v>
      </c>
      <c r="DR76" t="e">
        <f>AND(#REF!,"AAAAAHq7fHk=")</f>
        <v>#REF!</v>
      </c>
      <c r="DS76" t="e">
        <f>AND(#REF!,"AAAAAHq7fHo=")</f>
        <v>#REF!</v>
      </c>
      <c r="DT76" t="e">
        <f>AND(#REF!,"AAAAAHq7fHs=")</f>
        <v>#REF!</v>
      </c>
      <c r="DU76" t="e">
        <f>AND(#REF!,"AAAAAHq7fHw=")</f>
        <v>#REF!</v>
      </c>
      <c r="DV76" t="e">
        <f>AND(#REF!,"AAAAAHq7fH0=")</f>
        <v>#REF!</v>
      </c>
      <c r="DW76" t="e">
        <f>AND(#REF!,"AAAAAHq7fH4=")</f>
        <v>#REF!</v>
      </c>
      <c r="DX76" t="e">
        <f>AND(#REF!,"AAAAAHq7fH8=")</f>
        <v>#REF!</v>
      </c>
      <c r="DY76" t="e">
        <f>AND(#REF!,"AAAAAHq7fIA=")</f>
        <v>#REF!</v>
      </c>
      <c r="DZ76" t="e">
        <f>AND(#REF!,"AAAAAHq7fIE=")</f>
        <v>#REF!</v>
      </c>
      <c r="EA76" t="e">
        <f>AND(#REF!,"AAAAAHq7fII=")</f>
        <v>#REF!</v>
      </c>
      <c r="EB76" t="e">
        <f>AND(#REF!,"AAAAAHq7fIM=")</f>
        <v>#REF!</v>
      </c>
      <c r="EC76" t="e">
        <f>AND(#REF!,"AAAAAHq7fIQ=")</f>
        <v>#REF!</v>
      </c>
      <c r="ED76" t="e">
        <f>AND(#REF!,"AAAAAHq7fIU=")</f>
        <v>#REF!</v>
      </c>
      <c r="EE76" t="e">
        <f>AND(#REF!,"AAAAAHq7fIY=")</f>
        <v>#REF!</v>
      </c>
      <c r="EF76" t="e">
        <f>IF(#REF!,"AAAAAHq7fIc=",0)</f>
        <v>#REF!</v>
      </c>
      <c r="EG76" t="e">
        <f>AND(#REF!,"AAAAAHq7fIg=")</f>
        <v>#REF!</v>
      </c>
      <c r="EH76" t="e">
        <f>AND(#REF!,"AAAAAHq7fIk=")</f>
        <v>#REF!</v>
      </c>
      <c r="EI76" t="e">
        <f>AND(#REF!,"AAAAAHq7fIo=")</f>
        <v>#REF!</v>
      </c>
      <c r="EJ76" t="e">
        <f>AND(#REF!,"AAAAAHq7fIs=")</f>
        <v>#REF!</v>
      </c>
      <c r="EK76" t="e">
        <f>AND(#REF!,"AAAAAHq7fIw=")</f>
        <v>#REF!</v>
      </c>
      <c r="EL76" t="e">
        <f>AND(#REF!,"AAAAAHq7fI0=")</f>
        <v>#REF!</v>
      </c>
      <c r="EM76" t="e">
        <f>AND(#REF!,"AAAAAHq7fI4=")</f>
        <v>#REF!</v>
      </c>
      <c r="EN76" t="e">
        <f>AND(#REF!,"AAAAAHq7fI8=")</f>
        <v>#REF!</v>
      </c>
      <c r="EO76" t="e">
        <f>AND(#REF!,"AAAAAHq7fJA=")</f>
        <v>#REF!</v>
      </c>
      <c r="EP76" t="e">
        <f>AND(#REF!,"AAAAAHq7fJE=")</f>
        <v>#REF!</v>
      </c>
      <c r="EQ76" t="e">
        <f>AND(#REF!,"AAAAAHq7fJI=")</f>
        <v>#REF!</v>
      </c>
      <c r="ER76" t="e">
        <f>AND(#REF!,"AAAAAHq7fJM=")</f>
        <v>#REF!</v>
      </c>
      <c r="ES76" t="e">
        <f>AND(#REF!,"AAAAAHq7fJQ=")</f>
        <v>#REF!</v>
      </c>
      <c r="ET76" t="e">
        <f>AND(#REF!,"AAAAAHq7fJU=")</f>
        <v>#REF!</v>
      </c>
      <c r="EU76" t="e">
        <f>AND(#REF!,"AAAAAHq7fJY=")</f>
        <v>#REF!</v>
      </c>
      <c r="EV76" t="e">
        <f>AND(#REF!,"AAAAAHq7fJc=")</f>
        <v>#REF!</v>
      </c>
      <c r="EW76" t="e">
        <f>AND(#REF!,"AAAAAHq7fJg=")</f>
        <v>#REF!</v>
      </c>
      <c r="EX76" t="e">
        <f>AND(#REF!,"AAAAAHq7fJk=")</f>
        <v>#REF!</v>
      </c>
      <c r="EY76" t="e">
        <f>AND(#REF!,"AAAAAHq7fJo=")</f>
        <v>#REF!</v>
      </c>
      <c r="EZ76" t="e">
        <f>AND(#REF!,"AAAAAHq7fJs=")</f>
        <v>#REF!</v>
      </c>
      <c r="FA76" t="e">
        <f>AND(#REF!,"AAAAAHq7fJw=")</f>
        <v>#REF!</v>
      </c>
      <c r="FB76" t="e">
        <f>AND(#REF!,"AAAAAHq7fJ0=")</f>
        <v>#REF!</v>
      </c>
      <c r="FC76" t="e">
        <f>AND(#REF!,"AAAAAHq7fJ4=")</f>
        <v>#REF!</v>
      </c>
      <c r="FD76" t="e">
        <f>AND(#REF!,"AAAAAHq7fJ8=")</f>
        <v>#REF!</v>
      </c>
      <c r="FE76" t="e">
        <f>IF(#REF!,"AAAAAHq7fKA=",0)</f>
        <v>#REF!</v>
      </c>
      <c r="FF76" t="e">
        <f>AND(#REF!,"AAAAAHq7fKE=")</f>
        <v>#REF!</v>
      </c>
      <c r="FG76" t="e">
        <f>AND(#REF!,"AAAAAHq7fKI=")</f>
        <v>#REF!</v>
      </c>
      <c r="FH76" t="e">
        <f>AND(#REF!,"AAAAAHq7fKM=")</f>
        <v>#REF!</v>
      </c>
      <c r="FI76" t="e">
        <f>AND(#REF!,"AAAAAHq7fKQ=")</f>
        <v>#REF!</v>
      </c>
      <c r="FJ76" t="e">
        <f>AND(#REF!,"AAAAAHq7fKU=")</f>
        <v>#REF!</v>
      </c>
      <c r="FK76" t="e">
        <f>AND(#REF!,"AAAAAHq7fKY=")</f>
        <v>#REF!</v>
      </c>
      <c r="FL76" t="e">
        <f>AND(#REF!,"AAAAAHq7fKc=")</f>
        <v>#REF!</v>
      </c>
      <c r="FM76" t="e">
        <f>AND(#REF!,"AAAAAHq7fKg=")</f>
        <v>#REF!</v>
      </c>
      <c r="FN76" t="e">
        <f>AND(#REF!,"AAAAAHq7fKk=")</f>
        <v>#REF!</v>
      </c>
      <c r="FO76" t="e">
        <f>AND(#REF!,"AAAAAHq7fKo=")</f>
        <v>#REF!</v>
      </c>
      <c r="FP76" t="e">
        <f>AND(#REF!,"AAAAAHq7fKs=")</f>
        <v>#REF!</v>
      </c>
      <c r="FQ76" t="e">
        <f>AND(#REF!,"AAAAAHq7fKw=")</f>
        <v>#REF!</v>
      </c>
      <c r="FR76" t="e">
        <f>AND(#REF!,"AAAAAHq7fK0=")</f>
        <v>#REF!</v>
      </c>
      <c r="FS76" t="e">
        <f>AND(#REF!,"AAAAAHq7fK4=")</f>
        <v>#REF!</v>
      </c>
      <c r="FT76" t="e">
        <f>AND(#REF!,"AAAAAHq7fK8=")</f>
        <v>#REF!</v>
      </c>
      <c r="FU76" t="e">
        <f>AND(#REF!,"AAAAAHq7fLA=")</f>
        <v>#REF!</v>
      </c>
      <c r="FV76" t="e">
        <f>AND(#REF!,"AAAAAHq7fLE=")</f>
        <v>#REF!</v>
      </c>
      <c r="FW76" t="e">
        <f>AND(#REF!,"AAAAAHq7fLI=")</f>
        <v>#REF!</v>
      </c>
      <c r="FX76" t="e">
        <f>AND(#REF!,"AAAAAHq7fLM=")</f>
        <v>#REF!</v>
      </c>
      <c r="FY76" t="e">
        <f>AND(#REF!,"AAAAAHq7fLQ=")</f>
        <v>#REF!</v>
      </c>
      <c r="FZ76" t="e">
        <f>AND(#REF!,"AAAAAHq7fLU=")</f>
        <v>#REF!</v>
      </c>
      <c r="GA76" t="e">
        <f>AND(#REF!,"AAAAAHq7fLY=")</f>
        <v>#REF!</v>
      </c>
      <c r="GB76" t="e">
        <f>AND(#REF!,"AAAAAHq7fLc=")</f>
        <v>#REF!</v>
      </c>
      <c r="GC76" t="e">
        <f>AND(#REF!,"AAAAAHq7fLg=")</f>
        <v>#REF!</v>
      </c>
      <c r="GD76" t="e">
        <f>IF(#REF!,"AAAAAHq7fLk=",0)</f>
        <v>#REF!</v>
      </c>
      <c r="GE76" t="e">
        <f>AND(#REF!,"AAAAAHq7fLo=")</f>
        <v>#REF!</v>
      </c>
      <c r="GF76" t="e">
        <f>AND(#REF!,"AAAAAHq7fLs=")</f>
        <v>#REF!</v>
      </c>
      <c r="GG76" t="e">
        <f>AND(#REF!,"AAAAAHq7fLw=")</f>
        <v>#REF!</v>
      </c>
      <c r="GH76" t="e">
        <f>AND(#REF!,"AAAAAHq7fL0=")</f>
        <v>#REF!</v>
      </c>
      <c r="GI76" t="e">
        <f>AND(#REF!,"AAAAAHq7fL4=")</f>
        <v>#REF!</v>
      </c>
      <c r="GJ76" t="e">
        <f>AND(#REF!,"AAAAAHq7fL8=")</f>
        <v>#REF!</v>
      </c>
      <c r="GK76" t="e">
        <f>AND(#REF!,"AAAAAHq7fMA=")</f>
        <v>#REF!</v>
      </c>
      <c r="GL76" t="e">
        <f>AND(#REF!,"AAAAAHq7fME=")</f>
        <v>#REF!</v>
      </c>
      <c r="GM76" t="e">
        <f>AND(#REF!,"AAAAAHq7fMI=")</f>
        <v>#REF!</v>
      </c>
      <c r="GN76" t="e">
        <f>AND(#REF!,"AAAAAHq7fMM=")</f>
        <v>#REF!</v>
      </c>
      <c r="GO76" t="e">
        <f>AND(#REF!,"AAAAAHq7fMQ=")</f>
        <v>#REF!</v>
      </c>
      <c r="GP76" t="e">
        <f>AND(#REF!,"AAAAAHq7fMU=")</f>
        <v>#REF!</v>
      </c>
      <c r="GQ76" t="e">
        <f>AND(#REF!,"AAAAAHq7fMY=")</f>
        <v>#REF!</v>
      </c>
      <c r="GR76" t="e">
        <f>AND(#REF!,"AAAAAHq7fMc=")</f>
        <v>#REF!</v>
      </c>
      <c r="GS76" t="e">
        <f>AND(#REF!,"AAAAAHq7fMg=")</f>
        <v>#REF!</v>
      </c>
      <c r="GT76" t="e">
        <f>AND(#REF!,"AAAAAHq7fMk=")</f>
        <v>#REF!</v>
      </c>
      <c r="GU76" t="e">
        <f>AND(#REF!,"AAAAAHq7fMo=")</f>
        <v>#REF!</v>
      </c>
      <c r="GV76" t="e">
        <f>AND(#REF!,"AAAAAHq7fMs=")</f>
        <v>#REF!</v>
      </c>
      <c r="GW76" t="e">
        <f>AND(#REF!,"AAAAAHq7fMw=")</f>
        <v>#REF!</v>
      </c>
      <c r="GX76" t="e">
        <f>AND(#REF!,"AAAAAHq7fM0=")</f>
        <v>#REF!</v>
      </c>
      <c r="GY76" t="e">
        <f>AND(#REF!,"AAAAAHq7fM4=")</f>
        <v>#REF!</v>
      </c>
      <c r="GZ76" t="e">
        <f>AND(#REF!,"AAAAAHq7fM8=")</f>
        <v>#REF!</v>
      </c>
      <c r="HA76" t="e">
        <f>AND(#REF!,"AAAAAHq7fNA=")</f>
        <v>#REF!</v>
      </c>
      <c r="HB76" t="e">
        <f>AND(#REF!,"AAAAAHq7fNE=")</f>
        <v>#REF!</v>
      </c>
      <c r="HC76" t="e">
        <f>IF(#REF!,"AAAAAHq7fNI=",0)</f>
        <v>#REF!</v>
      </c>
      <c r="HD76" t="e">
        <f>AND(#REF!,"AAAAAHq7fNM=")</f>
        <v>#REF!</v>
      </c>
      <c r="HE76" t="e">
        <f>AND(#REF!,"AAAAAHq7fNQ=")</f>
        <v>#REF!</v>
      </c>
      <c r="HF76" t="e">
        <f>AND(#REF!,"AAAAAHq7fNU=")</f>
        <v>#REF!</v>
      </c>
      <c r="HG76" t="e">
        <f>AND(#REF!,"AAAAAHq7fNY=")</f>
        <v>#REF!</v>
      </c>
      <c r="HH76" t="e">
        <f>AND(#REF!,"AAAAAHq7fNc=")</f>
        <v>#REF!</v>
      </c>
      <c r="HI76" t="e">
        <f>AND(#REF!,"AAAAAHq7fNg=")</f>
        <v>#REF!</v>
      </c>
      <c r="HJ76" t="e">
        <f>AND(#REF!,"AAAAAHq7fNk=")</f>
        <v>#REF!</v>
      </c>
      <c r="HK76" t="e">
        <f>AND(#REF!,"AAAAAHq7fNo=")</f>
        <v>#REF!</v>
      </c>
      <c r="HL76" t="e">
        <f>AND(#REF!,"AAAAAHq7fNs=")</f>
        <v>#REF!</v>
      </c>
      <c r="HM76" t="e">
        <f>AND(#REF!,"AAAAAHq7fNw=")</f>
        <v>#REF!</v>
      </c>
      <c r="HN76" t="e">
        <f>AND(#REF!,"AAAAAHq7fN0=")</f>
        <v>#REF!</v>
      </c>
      <c r="HO76" t="e">
        <f>AND(#REF!,"AAAAAHq7fN4=")</f>
        <v>#REF!</v>
      </c>
      <c r="HP76" t="e">
        <f>AND(#REF!,"AAAAAHq7fN8=")</f>
        <v>#REF!</v>
      </c>
      <c r="HQ76" t="e">
        <f>AND(#REF!,"AAAAAHq7fOA=")</f>
        <v>#REF!</v>
      </c>
      <c r="HR76" t="e">
        <f>AND(#REF!,"AAAAAHq7fOE=")</f>
        <v>#REF!</v>
      </c>
      <c r="HS76" t="e">
        <f>AND(#REF!,"AAAAAHq7fOI=")</f>
        <v>#REF!</v>
      </c>
      <c r="HT76" t="e">
        <f>AND(#REF!,"AAAAAHq7fOM=")</f>
        <v>#REF!</v>
      </c>
      <c r="HU76" t="e">
        <f>AND(#REF!,"AAAAAHq7fOQ=")</f>
        <v>#REF!</v>
      </c>
      <c r="HV76" t="e">
        <f>AND(#REF!,"AAAAAHq7fOU=")</f>
        <v>#REF!</v>
      </c>
      <c r="HW76" t="e">
        <f>AND(#REF!,"AAAAAHq7fOY=")</f>
        <v>#REF!</v>
      </c>
      <c r="HX76" t="e">
        <f>AND(#REF!,"AAAAAHq7fOc=")</f>
        <v>#REF!</v>
      </c>
      <c r="HY76" t="e">
        <f>AND(#REF!,"AAAAAHq7fOg=")</f>
        <v>#REF!</v>
      </c>
      <c r="HZ76" t="e">
        <f>AND(#REF!,"AAAAAHq7fOk=")</f>
        <v>#REF!</v>
      </c>
      <c r="IA76" t="e">
        <f>AND(#REF!,"AAAAAHq7fOo=")</f>
        <v>#REF!</v>
      </c>
      <c r="IB76" t="e">
        <f>IF(#REF!,"AAAAAHq7fOs=",0)</f>
        <v>#REF!</v>
      </c>
      <c r="IC76" t="e">
        <f>AND(#REF!,"AAAAAHq7fOw=")</f>
        <v>#REF!</v>
      </c>
      <c r="ID76" t="e">
        <f>AND(#REF!,"AAAAAHq7fO0=")</f>
        <v>#REF!</v>
      </c>
      <c r="IE76" t="e">
        <f>AND(#REF!,"AAAAAHq7fO4=")</f>
        <v>#REF!</v>
      </c>
      <c r="IF76" t="e">
        <f>AND(#REF!,"AAAAAHq7fO8=")</f>
        <v>#REF!</v>
      </c>
      <c r="IG76" t="e">
        <f>AND(#REF!,"AAAAAHq7fPA=")</f>
        <v>#REF!</v>
      </c>
      <c r="IH76" t="e">
        <f>AND(#REF!,"AAAAAHq7fPE=")</f>
        <v>#REF!</v>
      </c>
      <c r="II76" t="e">
        <f>AND(#REF!,"AAAAAHq7fPI=")</f>
        <v>#REF!</v>
      </c>
      <c r="IJ76" t="e">
        <f>AND(#REF!,"AAAAAHq7fPM=")</f>
        <v>#REF!</v>
      </c>
      <c r="IK76" t="e">
        <f>AND(#REF!,"AAAAAHq7fPQ=")</f>
        <v>#REF!</v>
      </c>
      <c r="IL76" t="e">
        <f>AND(#REF!,"AAAAAHq7fPU=")</f>
        <v>#REF!</v>
      </c>
      <c r="IM76" t="e">
        <f>AND(#REF!,"AAAAAHq7fPY=")</f>
        <v>#REF!</v>
      </c>
      <c r="IN76" t="e">
        <f>AND(#REF!,"AAAAAHq7fPc=")</f>
        <v>#REF!</v>
      </c>
      <c r="IO76" t="e">
        <f>AND(#REF!,"AAAAAHq7fPg=")</f>
        <v>#REF!</v>
      </c>
      <c r="IP76" t="e">
        <f>AND(#REF!,"AAAAAHq7fPk=")</f>
        <v>#REF!</v>
      </c>
      <c r="IQ76" t="e">
        <f>AND(#REF!,"AAAAAHq7fPo=")</f>
        <v>#REF!</v>
      </c>
      <c r="IR76" t="e">
        <f>AND(#REF!,"AAAAAHq7fPs=")</f>
        <v>#REF!</v>
      </c>
      <c r="IS76" t="e">
        <f>AND(#REF!,"AAAAAHq7fPw=")</f>
        <v>#REF!</v>
      </c>
      <c r="IT76" t="e">
        <f>AND(#REF!,"AAAAAHq7fP0=")</f>
        <v>#REF!</v>
      </c>
      <c r="IU76" t="e">
        <f>AND(#REF!,"AAAAAHq7fP4=")</f>
        <v>#REF!</v>
      </c>
      <c r="IV76" t="e">
        <f>AND(#REF!,"AAAAAHq7fP8=")</f>
        <v>#REF!</v>
      </c>
    </row>
    <row r="77" spans="1:256">
      <c r="A77" t="e">
        <f>AND(#REF!,"AAAAAH/f9wA=")</f>
        <v>#REF!</v>
      </c>
      <c r="B77" t="e">
        <f>AND(#REF!,"AAAAAH/f9wE=")</f>
        <v>#REF!</v>
      </c>
      <c r="C77" t="e">
        <f>AND(#REF!,"AAAAAH/f9wI=")</f>
        <v>#REF!</v>
      </c>
      <c r="D77" t="e">
        <f>AND(#REF!,"AAAAAH/f9wM=")</f>
        <v>#REF!</v>
      </c>
      <c r="E77" t="e">
        <f>IF(#REF!,"AAAAAH/f9wQ=",0)</f>
        <v>#REF!</v>
      </c>
      <c r="F77" t="e">
        <f>AND(#REF!,"AAAAAH/f9wU=")</f>
        <v>#REF!</v>
      </c>
      <c r="G77" t="e">
        <f>AND(#REF!,"AAAAAH/f9wY=")</f>
        <v>#REF!</v>
      </c>
      <c r="H77" t="e">
        <f>AND(#REF!,"AAAAAH/f9wc=")</f>
        <v>#REF!</v>
      </c>
      <c r="I77" t="e">
        <f>AND(#REF!,"AAAAAH/f9wg=")</f>
        <v>#REF!</v>
      </c>
      <c r="J77" t="e">
        <f>AND(#REF!,"AAAAAH/f9wk=")</f>
        <v>#REF!</v>
      </c>
      <c r="K77" t="e">
        <f>AND(#REF!,"AAAAAH/f9wo=")</f>
        <v>#REF!</v>
      </c>
      <c r="L77" t="e">
        <f>AND(#REF!,"AAAAAH/f9ws=")</f>
        <v>#REF!</v>
      </c>
      <c r="M77" t="e">
        <f>AND(#REF!,"AAAAAH/f9ww=")</f>
        <v>#REF!</v>
      </c>
      <c r="N77" t="e">
        <f>AND(#REF!,"AAAAAH/f9w0=")</f>
        <v>#REF!</v>
      </c>
      <c r="O77" t="e">
        <f>AND(#REF!,"AAAAAH/f9w4=")</f>
        <v>#REF!</v>
      </c>
      <c r="P77" t="e">
        <f>AND(#REF!,"AAAAAH/f9w8=")</f>
        <v>#REF!</v>
      </c>
      <c r="Q77" t="e">
        <f>AND(#REF!,"AAAAAH/f9xA=")</f>
        <v>#REF!</v>
      </c>
      <c r="R77" t="e">
        <f>AND(#REF!,"AAAAAH/f9xE=")</f>
        <v>#REF!</v>
      </c>
      <c r="S77" t="e">
        <f>AND(#REF!,"AAAAAH/f9xI=")</f>
        <v>#REF!</v>
      </c>
      <c r="T77" t="e">
        <f>AND(#REF!,"AAAAAH/f9xM=")</f>
        <v>#REF!</v>
      </c>
      <c r="U77" t="e">
        <f>AND(#REF!,"AAAAAH/f9xQ=")</f>
        <v>#REF!</v>
      </c>
      <c r="V77" t="e">
        <f>AND(#REF!,"AAAAAH/f9xU=")</f>
        <v>#REF!</v>
      </c>
      <c r="W77" t="e">
        <f>AND(#REF!,"AAAAAH/f9xY=")</f>
        <v>#REF!</v>
      </c>
      <c r="X77" t="e">
        <f>AND(#REF!,"AAAAAH/f9xc=")</f>
        <v>#REF!</v>
      </c>
      <c r="Y77" t="e">
        <f>AND(#REF!,"AAAAAH/f9xg=")</f>
        <v>#REF!</v>
      </c>
      <c r="Z77" t="e">
        <f>AND(#REF!,"AAAAAH/f9xk=")</f>
        <v>#REF!</v>
      </c>
      <c r="AA77" t="e">
        <f>AND(#REF!,"AAAAAH/f9xo=")</f>
        <v>#REF!</v>
      </c>
      <c r="AB77" t="e">
        <f>AND(#REF!,"AAAAAH/f9xs=")</f>
        <v>#REF!</v>
      </c>
      <c r="AC77" t="e">
        <f>AND(#REF!,"AAAAAH/f9xw=")</f>
        <v>#REF!</v>
      </c>
      <c r="AD77" t="e">
        <f>IF(#REF!,"AAAAAH/f9x0=",0)</f>
        <v>#REF!</v>
      </c>
      <c r="AE77" t="e">
        <f>AND(#REF!,"AAAAAH/f9x4=")</f>
        <v>#REF!</v>
      </c>
      <c r="AF77" t="e">
        <f>AND(#REF!,"AAAAAH/f9x8=")</f>
        <v>#REF!</v>
      </c>
      <c r="AG77" t="e">
        <f>AND(#REF!,"AAAAAH/f9yA=")</f>
        <v>#REF!</v>
      </c>
      <c r="AH77" t="e">
        <f>AND(#REF!,"AAAAAH/f9yE=")</f>
        <v>#REF!</v>
      </c>
      <c r="AI77" t="e">
        <f>AND(#REF!,"AAAAAH/f9yI=")</f>
        <v>#REF!</v>
      </c>
      <c r="AJ77" t="e">
        <f>AND(#REF!,"AAAAAH/f9yM=")</f>
        <v>#REF!</v>
      </c>
      <c r="AK77" t="e">
        <f>AND(#REF!,"AAAAAH/f9yQ=")</f>
        <v>#REF!</v>
      </c>
      <c r="AL77" t="e">
        <f>AND(#REF!,"AAAAAH/f9yU=")</f>
        <v>#REF!</v>
      </c>
      <c r="AM77" t="e">
        <f>AND(#REF!,"AAAAAH/f9yY=")</f>
        <v>#REF!</v>
      </c>
      <c r="AN77" t="e">
        <f>AND(#REF!,"AAAAAH/f9yc=")</f>
        <v>#REF!</v>
      </c>
      <c r="AO77" t="e">
        <f>AND(#REF!,"AAAAAH/f9yg=")</f>
        <v>#REF!</v>
      </c>
      <c r="AP77" t="e">
        <f>AND(#REF!,"AAAAAH/f9yk=")</f>
        <v>#REF!</v>
      </c>
      <c r="AQ77" t="e">
        <f>AND(#REF!,"AAAAAH/f9yo=")</f>
        <v>#REF!</v>
      </c>
      <c r="AR77" t="e">
        <f>AND(#REF!,"AAAAAH/f9ys=")</f>
        <v>#REF!</v>
      </c>
      <c r="AS77" t="e">
        <f>AND(#REF!,"AAAAAH/f9yw=")</f>
        <v>#REF!</v>
      </c>
      <c r="AT77" t="e">
        <f>AND(#REF!,"AAAAAH/f9y0=")</f>
        <v>#REF!</v>
      </c>
      <c r="AU77" t="e">
        <f>AND(#REF!,"AAAAAH/f9y4=")</f>
        <v>#REF!</v>
      </c>
      <c r="AV77" t="e">
        <f>AND(#REF!,"AAAAAH/f9y8=")</f>
        <v>#REF!</v>
      </c>
      <c r="AW77" t="e">
        <f>AND(#REF!,"AAAAAH/f9zA=")</f>
        <v>#REF!</v>
      </c>
      <c r="AX77" t="e">
        <f>AND(#REF!,"AAAAAH/f9zE=")</f>
        <v>#REF!</v>
      </c>
      <c r="AY77" t="e">
        <f>AND(#REF!,"AAAAAH/f9zI=")</f>
        <v>#REF!</v>
      </c>
      <c r="AZ77" t="e">
        <f>AND(#REF!,"AAAAAH/f9zM=")</f>
        <v>#REF!</v>
      </c>
      <c r="BA77" t="e">
        <f>AND(#REF!,"AAAAAH/f9zQ=")</f>
        <v>#REF!</v>
      </c>
      <c r="BB77" t="e">
        <f>AND(#REF!,"AAAAAH/f9zU=")</f>
        <v>#REF!</v>
      </c>
      <c r="BC77" t="e">
        <f>IF(#REF!,"AAAAAH/f9zY=",0)</f>
        <v>#REF!</v>
      </c>
      <c r="BD77" t="e">
        <f>AND(#REF!,"AAAAAH/f9zc=")</f>
        <v>#REF!</v>
      </c>
      <c r="BE77" t="e">
        <f>AND(#REF!,"AAAAAH/f9zg=")</f>
        <v>#REF!</v>
      </c>
      <c r="BF77" t="e">
        <f>AND(#REF!,"AAAAAH/f9zk=")</f>
        <v>#REF!</v>
      </c>
      <c r="BG77" t="e">
        <f>AND(#REF!,"AAAAAH/f9zo=")</f>
        <v>#REF!</v>
      </c>
      <c r="BH77" t="e">
        <f>AND(#REF!,"AAAAAH/f9zs=")</f>
        <v>#REF!</v>
      </c>
      <c r="BI77" t="e">
        <f>AND(#REF!,"AAAAAH/f9zw=")</f>
        <v>#REF!</v>
      </c>
      <c r="BJ77" t="e">
        <f>AND(#REF!,"AAAAAH/f9z0=")</f>
        <v>#REF!</v>
      </c>
      <c r="BK77" t="e">
        <f>AND(#REF!,"AAAAAH/f9z4=")</f>
        <v>#REF!</v>
      </c>
      <c r="BL77" t="e">
        <f>AND(#REF!,"AAAAAH/f9z8=")</f>
        <v>#REF!</v>
      </c>
      <c r="BM77" t="e">
        <f>AND(#REF!,"AAAAAH/f90A=")</f>
        <v>#REF!</v>
      </c>
      <c r="BN77" t="e">
        <f>AND(#REF!,"AAAAAH/f90E=")</f>
        <v>#REF!</v>
      </c>
      <c r="BO77" t="e">
        <f>AND(#REF!,"AAAAAH/f90I=")</f>
        <v>#REF!</v>
      </c>
      <c r="BP77" t="e">
        <f>AND(#REF!,"AAAAAH/f90M=")</f>
        <v>#REF!</v>
      </c>
      <c r="BQ77" t="e">
        <f>AND(#REF!,"AAAAAH/f90Q=")</f>
        <v>#REF!</v>
      </c>
      <c r="BR77" t="e">
        <f>AND(#REF!,"AAAAAH/f90U=")</f>
        <v>#REF!</v>
      </c>
      <c r="BS77" t="e">
        <f>AND(#REF!,"AAAAAH/f90Y=")</f>
        <v>#REF!</v>
      </c>
      <c r="BT77" t="e">
        <f>AND(#REF!,"AAAAAH/f90c=")</f>
        <v>#REF!</v>
      </c>
      <c r="BU77" t="e">
        <f>AND(#REF!,"AAAAAH/f90g=")</f>
        <v>#REF!</v>
      </c>
      <c r="BV77" t="e">
        <f>AND(#REF!,"AAAAAH/f90k=")</f>
        <v>#REF!</v>
      </c>
      <c r="BW77" t="e">
        <f>AND(#REF!,"AAAAAH/f90o=")</f>
        <v>#REF!</v>
      </c>
      <c r="BX77" t="e">
        <f>AND(#REF!,"AAAAAH/f90s=")</f>
        <v>#REF!</v>
      </c>
      <c r="BY77" t="e">
        <f>AND(#REF!,"AAAAAH/f90w=")</f>
        <v>#REF!</v>
      </c>
      <c r="BZ77" t="e">
        <f>AND(#REF!,"AAAAAH/f900=")</f>
        <v>#REF!</v>
      </c>
      <c r="CA77" t="e">
        <f>AND(#REF!,"AAAAAH/f904=")</f>
        <v>#REF!</v>
      </c>
      <c r="CB77" t="e">
        <f>IF(#REF!,"AAAAAH/f908=",0)</f>
        <v>#REF!</v>
      </c>
      <c r="CC77" t="e">
        <f>AND(#REF!,"AAAAAH/f91A=")</f>
        <v>#REF!</v>
      </c>
      <c r="CD77" t="e">
        <f>AND(#REF!,"AAAAAH/f91E=")</f>
        <v>#REF!</v>
      </c>
      <c r="CE77" t="e">
        <f>AND(#REF!,"AAAAAH/f91I=")</f>
        <v>#REF!</v>
      </c>
      <c r="CF77" t="e">
        <f>AND(#REF!,"AAAAAH/f91M=")</f>
        <v>#REF!</v>
      </c>
      <c r="CG77" t="e">
        <f>AND(#REF!,"AAAAAH/f91Q=")</f>
        <v>#REF!</v>
      </c>
      <c r="CH77" t="e">
        <f>AND(#REF!,"AAAAAH/f91U=")</f>
        <v>#REF!</v>
      </c>
      <c r="CI77" t="e">
        <f>AND(#REF!,"AAAAAH/f91Y=")</f>
        <v>#REF!</v>
      </c>
      <c r="CJ77" t="e">
        <f>AND(#REF!,"AAAAAH/f91c=")</f>
        <v>#REF!</v>
      </c>
      <c r="CK77" t="e">
        <f>AND(#REF!,"AAAAAH/f91g=")</f>
        <v>#REF!</v>
      </c>
      <c r="CL77" t="e">
        <f>AND(#REF!,"AAAAAH/f91k=")</f>
        <v>#REF!</v>
      </c>
      <c r="CM77" t="e">
        <f>AND(#REF!,"AAAAAH/f91o=")</f>
        <v>#REF!</v>
      </c>
      <c r="CN77" t="e">
        <f>AND(#REF!,"AAAAAH/f91s=")</f>
        <v>#REF!</v>
      </c>
      <c r="CO77" t="e">
        <f>AND(#REF!,"AAAAAH/f91w=")</f>
        <v>#REF!</v>
      </c>
      <c r="CP77" t="e">
        <f>AND(#REF!,"AAAAAH/f910=")</f>
        <v>#REF!</v>
      </c>
      <c r="CQ77" t="e">
        <f>AND(#REF!,"AAAAAH/f914=")</f>
        <v>#REF!</v>
      </c>
      <c r="CR77" t="e">
        <f>AND(#REF!,"AAAAAH/f918=")</f>
        <v>#REF!</v>
      </c>
      <c r="CS77" t="e">
        <f>AND(#REF!,"AAAAAH/f92A=")</f>
        <v>#REF!</v>
      </c>
      <c r="CT77" t="e">
        <f>AND(#REF!,"AAAAAH/f92E=")</f>
        <v>#REF!</v>
      </c>
      <c r="CU77" t="e">
        <f>AND(#REF!,"AAAAAH/f92I=")</f>
        <v>#REF!</v>
      </c>
      <c r="CV77" t="e">
        <f>AND(#REF!,"AAAAAH/f92M=")</f>
        <v>#REF!</v>
      </c>
      <c r="CW77" t="e">
        <f>AND(#REF!,"AAAAAH/f92Q=")</f>
        <v>#REF!</v>
      </c>
      <c r="CX77" t="e">
        <f>AND(#REF!,"AAAAAH/f92U=")</f>
        <v>#REF!</v>
      </c>
      <c r="CY77" t="e">
        <f>AND(#REF!,"AAAAAH/f92Y=")</f>
        <v>#REF!</v>
      </c>
      <c r="CZ77" t="e">
        <f>AND(#REF!,"AAAAAH/f92c=")</f>
        <v>#REF!</v>
      </c>
      <c r="DA77" t="e">
        <f>IF(#REF!,"AAAAAH/f92g=",0)</f>
        <v>#REF!</v>
      </c>
      <c r="DB77" t="e">
        <f>AND(#REF!,"AAAAAH/f92k=")</f>
        <v>#REF!</v>
      </c>
      <c r="DC77" t="e">
        <f>AND(#REF!,"AAAAAH/f92o=")</f>
        <v>#REF!</v>
      </c>
      <c r="DD77" t="e">
        <f>AND(#REF!,"AAAAAH/f92s=")</f>
        <v>#REF!</v>
      </c>
      <c r="DE77" t="e">
        <f>AND(#REF!,"AAAAAH/f92w=")</f>
        <v>#REF!</v>
      </c>
      <c r="DF77" t="e">
        <f>AND(#REF!,"AAAAAH/f920=")</f>
        <v>#REF!</v>
      </c>
      <c r="DG77" t="e">
        <f>AND(#REF!,"AAAAAH/f924=")</f>
        <v>#REF!</v>
      </c>
      <c r="DH77" t="e">
        <f>AND(#REF!,"AAAAAH/f928=")</f>
        <v>#REF!</v>
      </c>
      <c r="DI77" t="e">
        <f>AND(#REF!,"AAAAAH/f93A=")</f>
        <v>#REF!</v>
      </c>
      <c r="DJ77" t="e">
        <f>AND(#REF!,"AAAAAH/f93E=")</f>
        <v>#REF!</v>
      </c>
      <c r="DK77" t="e">
        <f>AND(#REF!,"AAAAAH/f93I=")</f>
        <v>#REF!</v>
      </c>
      <c r="DL77" t="e">
        <f>AND(#REF!,"AAAAAH/f93M=")</f>
        <v>#REF!</v>
      </c>
      <c r="DM77" t="e">
        <f>AND(#REF!,"AAAAAH/f93Q=")</f>
        <v>#REF!</v>
      </c>
      <c r="DN77" t="e">
        <f>AND(#REF!,"AAAAAH/f93U=")</f>
        <v>#REF!</v>
      </c>
      <c r="DO77" t="e">
        <f>AND(#REF!,"AAAAAH/f93Y=")</f>
        <v>#REF!</v>
      </c>
      <c r="DP77" t="e">
        <f>AND(#REF!,"AAAAAH/f93c=")</f>
        <v>#REF!</v>
      </c>
      <c r="DQ77" t="e">
        <f>AND(#REF!,"AAAAAH/f93g=")</f>
        <v>#REF!</v>
      </c>
      <c r="DR77" t="e">
        <f>AND(#REF!,"AAAAAH/f93k=")</f>
        <v>#REF!</v>
      </c>
      <c r="DS77" t="e">
        <f>AND(#REF!,"AAAAAH/f93o=")</f>
        <v>#REF!</v>
      </c>
      <c r="DT77" t="e">
        <f>AND(#REF!,"AAAAAH/f93s=")</f>
        <v>#REF!</v>
      </c>
      <c r="DU77" t="e">
        <f>AND(#REF!,"AAAAAH/f93w=")</f>
        <v>#REF!</v>
      </c>
      <c r="DV77" t="e">
        <f>AND(#REF!,"AAAAAH/f930=")</f>
        <v>#REF!</v>
      </c>
      <c r="DW77" t="e">
        <f>AND(#REF!,"AAAAAH/f934=")</f>
        <v>#REF!</v>
      </c>
      <c r="DX77" t="e">
        <f>AND(#REF!,"AAAAAH/f938=")</f>
        <v>#REF!</v>
      </c>
      <c r="DY77" t="e">
        <f>AND(#REF!,"AAAAAH/f94A=")</f>
        <v>#REF!</v>
      </c>
      <c r="DZ77" t="e">
        <f>IF(#REF!,"AAAAAH/f94E=",0)</f>
        <v>#REF!</v>
      </c>
      <c r="EA77" t="e">
        <f>AND(#REF!,"AAAAAH/f94I=")</f>
        <v>#REF!</v>
      </c>
      <c r="EB77" t="e">
        <f>AND(#REF!,"AAAAAH/f94M=")</f>
        <v>#REF!</v>
      </c>
      <c r="EC77" t="e">
        <f>AND(#REF!,"AAAAAH/f94Q=")</f>
        <v>#REF!</v>
      </c>
      <c r="ED77" t="e">
        <f>AND(#REF!,"AAAAAH/f94U=")</f>
        <v>#REF!</v>
      </c>
      <c r="EE77" t="e">
        <f>AND(#REF!,"AAAAAH/f94Y=")</f>
        <v>#REF!</v>
      </c>
      <c r="EF77" t="e">
        <f>AND(#REF!,"AAAAAH/f94c=")</f>
        <v>#REF!</v>
      </c>
      <c r="EG77" t="e">
        <f>AND(#REF!,"AAAAAH/f94g=")</f>
        <v>#REF!</v>
      </c>
      <c r="EH77" t="e">
        <f>AND(#REF!,"AAAAAH/f94k=")</f>
        <v>#REF!</v>
      </c>
      <c r="EI77" t="e">
        <f>AND(#REF!,"AAAAAH/f94o=")</f>
        <v>#REF!</v>
      </c>
      <c r="EJ77" t="e">
        <f>AND(#REF!,"AAAAAH/f94s=")</f>
        <v>#REF!</v>
      </c>
      <c r="EK77" t="e">
        <f>AND(#REF!,"AAAAAH/f94w=")</f>
        <v>#REF!</v>
      </c>
      <c r="EL77" t="e">
        <f>AND(#REF!,"AAAAAH/f940=")</f>
        <v>#REF!</v>
      </c>
      <c r="EM77" t="e">
        <f>AND(#REF!,"AAAAAH/f944=")</f>
        <v>#REF!</v>
      </c>
      <c r="EN77" t="e">
        <f>AND(#REF!,"AAAAAH/f948=")</f>
        <v>#REF!</v>
      </c>
      <c r="EO77" t="e">
        <f>AND(#REF!,"AAAAAH/f95A=")</f>
        <v>#REF!</v>
      </c>
      <c r="EP77" t="e">
        <f>AND(#REF!,"AAAAAH/f95E=")</f>
        <v>#REF!</v>
      </c>
      <c r="EQ77" t="e">
        <f>AND(#REF!,"AAAAAH/f95I=")</f>
        <v>#REF!</v>
      </c>
      <c r="ER77" t="e">
        <f>AND(#REF!,"AAAAAH/f95M=")</f>
        <v>#REF!</v>
      </c>
      <c r="ES77" t="e">
        <f>AND(#REF!,"AAAAAH/f95Q=")</f>
        <v>#REF!</v>
      </c>
      <c r="ET77" t="e">
        <f>AND(#REF!,"AAAAAH/f95U=")</f>
        <v>#REF!</v>
      </c>
      <c r="EU77" t="e">
        <f>AND(#REF!,"AAAAAH/f95Y=")</f>
        <v>#REF!</v>
      </c>
      <c r="EV77" t="e">
        <f>AND(#REF!,"AAAAAH/f95c=")</f>
        <v>#REF!</v>
      </c>
      <c r="EW77" t="e">
        <f>AND(#REF!,"AAAAAH/f95g=")</f>
        <v>#REF!</v>
      </c>
      <c r="EX77" t="e">
        <f>AND(#REF!,"AAAAAH/f95k=")</f>
        <v>#REF!</v>
      </c>
      <c r="EY77" t="e">
        <f>IF(#REF!,"AAAAAH/f95o=",0)</f>
        <v>#REF!</v>
      </c>
      <c r="EZ77" t="e">
        <f>AND(#REF!,"AAAAAH/f95s=")</f>
        <v>#REF!</v>
      </c>
      <c r="FA77" t="e">
        <f>AND(#REF!,"AAAAAH/f95w=")</f>
        <v>#REF!</v>
      </c>
      <c r="FB77" t="e">
        <f>AND(#REF!,"AAAAAH/f950=")</f>
        <v>#REF!</v>
      </c>
      <c r="FC77" t="e">
        <f>AND(#REF!,"AAAAAH/f954=")</f>
        <v>#REF!</v>
      </c>
      <c r="FD77" t="e">
        <f>AND(#REF!,"AAAAAH/f958=")</f>
        <v>#REF!</v>
      </c>
      <c r="FE77" t="e">
        <f>AND(#REF!,"AAAAAH/f96A=")</f>
        <v>#REF!</v>
      </c>
      <c r="FF77" t="e">
        <f>AND(#REF!,"AAAAAH/f96E=")</f>
        <v>#REF!</v>
      </c>
      <c r="FG77" t="e">
        <f>AND(#REF!,"AAAAAH/f96I=")</f>
        <v>#REF!</v>
      </c>
      <c r="FH77" t="e">
        <f>AND(#REF!,"AAAAAH/f96M=")</f>
        <v>#REF!</v>
      </c>
      <c r="FI77" t="e">
        <f>AND(#REF!,"AAAAAH/f96Q=")</f>
        <v>#REF!</v>
      </c>
      <c r="FJ77" t="e">
        <f>AND(#REF!,"AAAAAH/f96U=")</f>
        <v>#REF!</v>
      </c>
      <c r="FK77" t="e">
        <f>AND(#REF!,"AAAAAH/f96Y=")</f>
        <v>#REF!</v>
      </c>
      <c r="FL77" t="e">
        <f>AND(#REF!,"AAAAAH/f96c=")</f>
        <v>#REF!</v>
      </c>
      <c r="FM77" t="e">
        <f>AND(#REF!,"AAAAAH/f96g=")</f>
        <v>#REF!</v>
      </c>
      <c r="FN77" t="e">
        <f>AND(#REF!,"AAAAAH/f96k=")</f>
        <v>#REF!</v>
      </c>
      <c r="FO77" t="e">
        <f>AND(#REF!,"AAAAAH/f96o=")</f>
        <v>#REF!</v>
      </c>
      <c r="FP77" t="e">
        <f>AND(#REF!,"AAAAAH/f96s=")</f>
        <v>#REF!</v>
      </c>
      <c r="FQ77" t="e">
        <f>AND(#REF!,"AAAAAH/f96w=")</f>
        <v>#REF!</v>
      </c>
      <c r="FR77" t="e">
        <f>AND(#REF!,"AAAAAH/f960=")</f>
        <v>#REF!</v>
      </c>
      <c r="FS77" t="e">
        <f>AND(#REF!,"AAAAAH/f964=")</f>
        <v>#REF!</v>
      </c>
      <c r="FT77" t="e">
        <f>AND(#REF!,"AAAAAH/f968=")</f>
        <v>#REF!</v>
      </c>
      <c r="FU77" t="e">
        <f>AND(#REF!,"AAAAAH/f97A=")</f>
        <v>#REF!</v>
      </c>
      <c r="FV77" t="e">
        <f>AND(#REF!,"AAAAAH/f97E=")</f>
        <v>#REF!</v>
      </c>
      <c r="FW77" t="e">
        <f>AND(#REF!,"AAAAAH/f97I=")</f>
        <v>#REF!</v>
      </c>
      <c r="FX77" t="e">
        <f>IF(#REF!,"AAAAAH/f97M=",0)</f>
        <v>#REF!</v>
      </c>
      <c r="FY77" t="e">
        <f>AND(#REF!,"AAAAAH/f97Q=")</f>
        <v>#REF!</v>
      </c>
      <c r="FZ77" t="e">
        <f>AND(#REF!,"AAAAAH/f97U=")</f>
        <v>#REF!</v>
      </c>
      <c r="GA77" t="e">
        <f>AND(#REF!,"AAAAAH/f97Y=")</f>
        <v>#REF!</v>
      </c>
      <c r="GB77" t="e">
        <f>AND(#REF!,"AAAAAH/f97c=")</f>
        <v>#REF!</v>
      </c>
      <c r="GC77" t="e">
        <f>AND(#REF!,"AAAAAH/f97g=")</f>
        <v>#REF!</v>
      </c>
      <c r="GD77" t="e">
        <f>AND(#REF!,"AAAAAH/f97k=")</f>
        <v>#REF!</v>
      </c>
      <c r="GE77" t="e">
        <f>AND(#REF!,"AAAAAH/f97o=")</f>
        <v>#REF!</v>
      </c>
      <c r="GF77" t="e">
        <f>AND(#REF!,"AAAAAH/f97s=")</f>
        <v>#REF!</v>
      </c>
      <c r="GG77" t="e">
        <f>AND(#REF!,"AAAAAH/f97w=")</f>
        <v>#REF!</v>
      </c>
      <c r="GH77" t="e">
        <f>AND(#REF!,"AAAAAH/f970=")</f>
        <v>#REF!</v>
      </c>
      <c r="GI77" t="e">
        <f>AND(#REF!,"AAAAAH/f974=")</f>
        <v>#REF!</v>
      </c>
      <c r="GJ77" t="e">
        <f>AND(#REF!,"AAAAAH/f978=")</f>
        <v>#REF!</v>
      </c>
      <c r="GK77" t="e">
        <f>AND(#REF!,"AAAAAH/f98A=")</f>
        <v>#REF!</v>
      </c>
      <c r="GL77" t="e">
        <f>AND(#REF!,"AAAAAH/f98E=")</f>
        <v>#REF!</v>
      </c>
      <c r="GM77" t="e">
        <f>AND(#REF!,"AAAAAH/f98I=")</f>
        <v>#REF!</v>
      </c>
      <c r="GN77" t="e">
        <f>AND(#REF!,"AAAAAH/f98M=")</f>
        <v>#REF!</v>
      </c>
      <c r="GO77" t="e">
        <f>AND(#REF!,"AAAAAH/f98Q=")</f>
        <v>#REF!</v>
      </c>
      <c r="GP77" t="e">
        <f>AND(#REF!,"AAAAAH/f98U=")</f>
        <v>#REF!</v>
      </c>
      <c r="GQ77" t="e">
        <f>AND(#REF!,"AAAAAH/f98Y=")</f>
        <v>#REF!</v>
      </c>
      <c r="GR77" t="e">
        <f>AND(#REF!,"AAAAAH/f98c=")</f>
        <v>#REF!</v>
      </c>
      <c r="GS77" t="e">
        <f>AND(#REF!,"AAAAAH/f98g=")</f>
        <v>#REF!</v>
      </c>
      <c r="GT77" t="e">
        <f>AND(#REF!,"AAAAAH/f98k=")</f>
        <v>#REF!</v>
      </c>
      <c r="GU77" t="e">
        <f>AND(#REF!,"AAAAAH/f98o=")</f>
        <v>#REF!</v>
      </c>
      <c r="GV77" t="e">
        <f>AND(#REF!,"AAAAAH/f98s=")</f>
        <v>#REF!</v>
      </c>
      <c r="GW77" t="e">
        <f>IF(#REF!,"AAAAAH/f98w=",0)</f>
        <v>#REF!</v>
      </c>
      <c r="GX77" t="e">
        <f>AND(#REF!,"AAAAAH/f980=")</f>
        <v>#REF!</v>
      </c>
      <c r="GY77" t="e">
        <f>AND(#REF!,"AAAAAH/f984=")</f>
        <v>#REF!</v>
      </c>
      <c r="GZ77" t="e">
        <f>AND(#REF!,"AAAAAH/f988=")</f>
        <v>#REF!</v>
      </c>
      <c r="HA77" t="e">
        <f>AND(#REF!,"AAAAAH/f99A=")</f>
        <v>#REF!</v>
      </c>
      <c r="HB77" t="e">
        <f>AND(#REF!,"AAAAAH/f99E=")</f>
        <v>#REF!</v>
      </c>
      <c r="HC77" t="e">
        <f>AND(#REF!,"AAAAAH/f99I=")</f>
        <v>#REF!</v>
      </c>
      <c r="HD77" t="e">
        <f>AND(#REF!,"AAAAAH/f99M=")</f>
        <v>#REF!</v>
      </c>
      <c r="HE77" t="e">
        <f>AND(#REF!,"AAAAAH/f99Q=")</f>
        <v>#REF!</v>
      </c>
      <c r="HF77" t="e">
        <f>AND(#REF!,"AAAAAH/f99U=")</f>
        <v>#REF!</v>
      </c>
      <c r="HG77" t="e">
        <f>AND(#REF!,"AAAAAH/f99Y=")</f>
        <v>#REF!</v>
      </c>
      <c r="HH77" t="e">
        <f>AND(#REF!,"AAAAAH/f99c=")</f>
        <v>#REF!</v>
      </c>
      <c r="HI77" t="e">
        <f>AND(#REF!,"AAAAAH/f99g=")</f>
        <v>#REF!</v>
      </c>
      <c r="HJ77" t="e">
        <f>AND(#REF!,"AAAAAH/f99k=")</f>
        <v>#REF!</v>
      </c>
      <c r="HK77" t="e">
        <f>AND(#REF!,"AAAAAH/f99o=")</f>
        <v>#REF!</v>
      </c>
      <c r="HL77" t="e">
        <f>AND(#REF!,"AAAAAH/f99s=")</f>
        <v>#REF!</v>
      </c>
      <c r="HM77" t="e">
        <f>AND(#REF!,"AAAAAH/f99w=")</f>
        <v>#REF!</v>
      </c>
      <c r="HN77" t="e">
        <f>AND(#REF!,"AAAAAH/f990=")</f>
        <v>#REF!</v>
      </c>
      <c r="HO77" t="e">
        <f>AND(#REF!,"AAAAAH/f994=")</f>
        <v>#REF!</v>
      </c>
      <c r="HP77" t="e">
        <f>AND(#REF!,"AAAAAH/f998=")</f>
        <v>#REF!</v>
      </c>
      <c r="HQ77" t="e">
        <f>AND(#REF!,"AAAAAH/f9+A=")</f>
        <v>#REF!</v>
      </c>
      <c r="HR77" t="e">
        <f>AND(#REF!,"AAAAAH/f9+E=")</f>
        <v>#REF!</v>
      </c>
      <c r="HS77" t="e">
        <f>AND(#REF!,"AAAAAH/f9+I=")</f>
        <v>#REF!</v>
      </c>
      <c r="HT77" t="e">
        <f>AND(#REF!,"AAAAAH/f9+M=")</f>
        <v>#REF!</v>
      </c>
      <c r="HU77" t="e">
        <f>AND(#REF!,"AAAAAH/f9+Q=")</f>
        <v>#REF!</v>
      </c>
      <c r="HV77" t="e">
        <f>IF(#REF!,"AAAAAH/f9+U=",0)</f>
        <v>#REF!</v>
      </c>
      <c r="HW77" t="e">
        <f>AND(#REF!,"AAAAAH/f9+Y=")</f>
        <v>#REF!</v>
      </c>
      <c r="HX77" t="e">
        <f>AND(#REF!,"AAAAAH/f9+c=")</f>
        <v>#REF!</v>
      </c>
      <c r="HY77" t="e">
        <f>AND(#REF!,"AAAAAH/f9+g=")</f>
        <v>#REF!</v>
      </c>
      <c r="HZ77" t="e">
        <f>AND(#REF!,"AAAAAH/f9+k=")</f>
        <v>#REF!</v>
      </c>
      <c r="IA77" t="e">
        <f>AND(#REF!,"AAAAAH/f9+o=")</f>
        <v>#REF!</v>
      </c>
      <c r="IB77" t="e">
        <f>AND(#REF!,"AAAAAH/f9+s=")</f>
        <v>#REF!</v>
      </c>
      <c r="IC77" t="e">
        <f>AND(#REF!,"AAAAAH/f9+w=")</f>
        <v>#REF!</v>
      </c>
      <c r="ID77" t="e">
        <f>AND(#REF!,"AAAAAH/f9+0=")</f>
        <v>#REF!</v>
      </c>
      <c r="IE77" t="e">
        <f>AND(#REF!,"AAAAAH/f9+4=")</f>
        <v>#REF!</v>
      </c>
      <c r="IF77" t="e">
        <f>AND(#REF!,"AAAAAH/f9+8=")</f>
        <v>#REF!</v>
      </c>
      <c r="IG77" t="e">
        <f>AND(#REF!,"AAAAAH/f9/A=")</f>
        <v>#REF!</v>
      </c>
      <c r="IH77" t="e">
        <f>AND(#REF!,"AAAAAH/f9/E=")</f>
        <v>#REF!</v>
      </c>
      <c r="II77" t="e">
        <f>AND(#REF!,"AAAAAH/f9/I=")</f>
        <v>#REF!</v>
      </c>
      <c r="IJ77" t="e">
        <f>AND(#REF!,"AAAAAH/f9/M=")</f>
        <v>#REF!</v>
      </c>
      <c r="IK77" t="e">
        <f>AND(#REF!,"AAAAAH/f9/Q=")</f>
        <v>#REF!</v>
      </c>
      <c r="IL77" t="e">
        <f>AND(#REF!,"AAAAAH/f9/U=")</f>
        <v>#REF!</v>
      </c>
      <c r="IM77" t="e">
        <f>AND(#REF!,"AAAAAH/f9/Y=")</f>
        <v>#REF!</v>
      </c>
      <c r="IN77" t="e">
        <f>AND(#REF!,"AAAAAH/f9/c=")</f>
        <v>#REF!</v>
      </c>
      <c r="IO77" t="e">
        <f>AND(#REF!,"AAAAAH/f9/g=")</f>
        <v>#REF!</v>
      </c>
      <c r="IP77" t="e">
        <f>AND(#REF!,"AAAAAH/f9/k=")</f>
        <v>#REF!</v>
      </c>
      <c r="IQ77" t="e">
        <f>AND(#REF!,"AAAAAH/f9/o=")</f>
        <v>#REF!</v>
      </c>
      <c r="IR77" t="e">
        <f>AND(#REF!,"AAAAAH/f9/s=")</f>
        <v>#REF!</v>
      </c>
      <c r="IS77" t="e">
        <f>AND(#REF!,"AAAAAH/f9/w=")</f>
        <v>#REF!</v>
      </c>
      <c r="IT77" t="e">
        <f>AND(#REF!,"AAAAAH/f9/0=")</f>
        <v>#REF!</v>
      </c>
      <c r="IU77" t="e">
        <f>IF(#REF!,"AAAAAH/f9/4=",0)</f>
        <v>#REF!</v>
      </c>
      <c r="IV77" t="e">
        <f>AND(#REF!,"AAAAAH/f9/8=")</f>
        <v>#REF!</v>
      </c>
    </row>
    <row r="78" spans="1:256">
      <c r="A78" t="e">
        <f>AND(#REF!,"AAAAAGm3hgA=")</f>
        <v>#REF!</v>
      </c>
      <c r="B78" t="e">
        <f>AND(#REF!,"AAAAAGm3hgE=")</f>
        <v>#REF!</v>
      </c>
      <c r="C78" t="e">
        <f>AND(#REF!,"AAAAAGm3hgI=")</f>
        <v>#REF!</v>
      </c>
      <c r="D78" t="e">
        <f>AND(#REF!,"AAAAAGm3hgM=")</f>
        <v>#REF!</v>
      </c>
      <c r="E78" t="e">
        <f>AND(#REF!,"AAAAAGm3hgQ=")</f>
        <v>#REF!</v>
      </c>
      <c r="F78" t="e">
        <f>AND(#REF!,"AAAAAGm3hgU=")</f>
        <v>#REF!</v>
      </c>
      <c r="G78" t="e">
        <f>AND(#REF!,"AAAAAGm3hgY=")</f>
        <v>#REF!</v>
      </c>
      <c r="H78" t="e">
        <f>AND(#REF!,"AAAAAGm3hgc=")</f>
        <v>#REF!</v>
      </c>
      <c r="I78" t="e">
        <f>AND(#REF!,"AAAAAGm3hgg=")</f>
        <v>#REF!</v>
      </c>
      <c r="J78" t="e">
        <f>AND(#REF!,"AAAAAGm3hgk=")</f>
        <v>#REF!</v>
      </c>
      <c r="K78" t="e">
        <f>AND(#REF!,"AAAAAGm3hgo=")</f>
        <v>#REF!</v>
      </c>
      <c r="L78" t="e">
        <f>AND(#REF!,"AAAAAGm3hgs=")</f>
        <v>#REF!</v>
      </c>
      <c r="M78" t="e">
        <f>AND(#REF!,"AAAAAGm3hgw=")</f>
        <v>#REF!</v>
      </c>
      <c r="N78" t="e">
        <f>AND(#REF!,"AAAAAGm3hg0=")</f>
        <v>#REF!</v>
      </c>
      <c r="O78" t="e">
        <f>AND(#REF!,"AAAAAGm3hg4=")</f>
        <v>#REF!</v>
      </c>
      <c r="P78" t="e">
        <f>AND(#REF!,"AAAAAGm3hg8=")</f>
        <v>#REF!</v>
      </c>
      <c r="Q78" t="e">
        <f>AND(#REF!,"AAAAAGm3hhA=")</f>
        <v>#REF!</v>
      </c>
      <c r="R78" t="e">
        <f>AND(#REF!,"AAAAAGm3hhE=")</f>
        <v>#REF!</v>
      </c>
      <c r="S78" t="e">
        <f>AND(#REF!,"AAAAAGm3hhI=")</f>
        <v>#REF!</v>
      </c>
      <c r="T78" t="e">
        <f>AND(#REF!,"AAAAAGm3hhM=")</f>
        <v>#REF!</v>
      </c>
      <c r="U78" t="e">
        <f>AND(#REF!,"AAAAAGm3hhQ=")</f>
        <v>#REF!</v>
      </c>
      <c r="V78" t="e">
        <f>AND(#REF!,"AAAAAGm3hhU=")</f>
        <v>#REF!</v>
      </c>
      <c r="W78" t="e">
        <f>AND(#REF!,"AAAAAGm3hhY=")</f>
        <v>#REF!</v>
      </c>
      <c r="X78" t="e">
        <f>IF(#REF!,"AAAAAGm3hhc=",0)</f>
        <v>#REF!</v>
      </c>
      <c r="Y78" t="e">
        <f>AND(#REF!,"AAAAAGm3hhg=")</f>
        <v>#REF!</v>
      </c>
      <c r="Z78" t="e">
        <f>AND(#REF!,"AAAAAGm3hhk=")</f>
        <v>#REF!</v>
      </c>
      <c r="AA78" t="e">
        <f>AND(#REF!,"AAAAAGm3hho=")</f>
        <v>#REF!</v>
      </c>
      <c r="AB78" t="e">
        <f>AND(#REF!,"AAAAAGm3hhs=")</f>
        <v>#REF!</v>
      </c>
      <c r="AC78" t="e">
        <f>AND(#REF!,"AAAAAGm3hhw=")</f>
        <v>#REF!</v>
      </c>
      <c r="AD78" t="e">
        <f>AND(#REF!,"AAAAAGm3hh0=")</f>
        <v>#REF!</v>
      </c>
      <c r="AE78" t="e">
        <f>AND(#REF!,"AAAAAGm3hh4=")</f>
        <v>#REF!</v>
      </c>
      <c r="AF78" t="e">
        <f>AND(#REF!,"AAAAAGm3hh8=")</f>
        <v>#REF!</v>
      </c>
      <c r="AG78" t="e">
        <f>AND(#REF!,"AAAAAGm3hiA=")</f>
        <v>#REF!</v>
      </c>
      <c r="AH78" t="e">
        <f>AND(#REF!,"AAAAAGm3hiE=")</f>
        <v>#REF!</v>
      </c>
      <c r="AI78" t="e">
        <f>AND(#REF!,"AAAAAGm3hiI=")</f>
        <v>#REF!</v>
      </c>
      <c r="AJ78" t="e">
        <f>AND(#REF!,"AAAAAGm3hiM=")</f>
        <v>#REF!</v>
      </c>
      <c r="AK78" t="e">
        <f>AND(#REF!,"AAAAAGm3hiQ=")</f>
        <v>#REF!</v>
      </c>
      <c r="AL78" t="e">
        <f>AND(#REF!,"AAAAAGm3hiU=")</f>
        <v>#REF!</v>
      </c>
      <c r="AM78" t="e">
        <f>AND(#REF!,"AAAAAGm3hiY=")</f>
        <v>#REF!</v>
      </c>
      <c r="AN78" t="e">
        <f>AND(#REF!,"AAAAAGm3hic=")</f>
        <v>#REF!</v>
      </c>
      <c r="AO78" t="e">
        <f>AND(#REF!,"AAAAAGm3hig=")</f>
        <v>#REF!</v>
      </c>
      <c r="AP78" t="e">
        <f>AND(#REF!,"AAAAAGm3hik=")</f>
        <v>#REF!</v>
      </c>
      <c r="AQ78" t="e">
        <f>AND(#REF!,"AAAAAGm3hio=")</f>
        <v>#REF!</v>
      </c>
      <c r="AR78" t="e">
        <f>AND(#REF!,"AAAAAGm3his=")</f>
        <v>#REF!</v>
      </c>
      <c r="AS78" t="e">
        <f>AND(#REF!,"AAAAAGm3hiw=")</f>
        <v>#REF!</v>
      </c>
      <c r="AT78" t="e">
        <f>AND(#REF!,"AAAAAGm3hi0=")</f>
        <v>#REF!</v>
      </c>
      <c r="AU78" t="e">
        <f>AND(#REF!,"AAAAAGm3hi4=")</f>
        <v>#REF!</v>
      </c>
      <c r="AV78" t="e">
        <f>AND(#REF!,"AAAAAGm3hi8=")</f>
        <v>#REF!</v>
      </c>
      <c r="AW78" t="e">
        <f>IF(#REF!,"AAAAAGm3hjA=",0)</f>
        <v>#REF!</v>
      </c>
      <c r="AX78" t="e">
        <f>AND(#REF!,"AAAAAGm3hjE=")</f>
        <v>#REF!</v>
      </c>
      <c r="AY78" t="e">
        <f>AND(#REF!,"AAAAAGm3hjI=")</f>
        <v>#REF!</v>
      </c>
      <c r="AZ78" t="e">
        <f>AND(#REF!,"AAAAAGm3hjM=")</f>
        <v>#REF!</v>
      </c>
      <c r="BA78" t="e">
        <f>AND(#REF!,"AAAAAGm3hjQ=")</f>
        <v>#REF!</v>
      </c>
      <c r="BB78" t="e">
        <f>AND(#REF!,"AAAAAGm3hjU=")</f>
        <v>#REF!</v>
      </c>
      <c r="BC78" t="e">
        <f>AND(#REF!,"AAAAAGm3hjY=")</f>
        <v>#REF!</v>
      </c>
      <c r="BD78" t="e">
        <f>AND(#REF!,"AAAAAGm3hjc=")</f>
        <v>#REF!</v>
      </c>
      <c r="BE78" t="e">
        <f>AND(#REF!,"AAAAAGm3hjg=")</f>
        <v>#REF!</v>
      </c>
      <c r="BF78" t="e">
        <f>AND(#REF!,"AAAAAGm3hjk=")</f>
        <v>#REF!</v>
      </c>
      <c r="BG78" t="e">
        <f>AND(#REF!,"AAAAAGm3hjo=")</f>
        <v>#REF!</v>
      </c>
      <c r="BH78" t="e">
        <f>AND(#REF!,"AAAAAGm3hjs=")</f>
        <v>#REF!</v>
      </c>
      <c r="BI78" t="e">
        <f>AND(#REF!,"AAAAAGm3hjw=")</f>
        <v>#REF!</v>
      </c>
      <c r="BJ78" t="e">
        <f>AND(#REF!,"AAAAAGm3hj0=")</f>
        <v>#REF!</v>
      </c>
      <c r="BK78" t="e">
        <f>AND(#REF!,"AAAAAGm3hj4=")</f>
        <v>#REF!</v>
      </c>
      <c r="BL78" t="e">
        <f>AND(#REF!,"AAAAAGm3hj8=")</f>
        <v>#REF!</v>
      </c>
      <c r="BM78" t="e">
        <f>AND(#REF!,"AAAAAGm3hkA=")</f>
        <v>#REF!</v>
      </c>
      <c r="BN78" t="e">
        <f>AND(#REF!,"AAAAAGm3hkE=")</f>
        <v>#REF!</v>
      </c>
      <c r="BO78" t="e">
        <f>AND(#REF!,"AAAAAGm3hkI=")</f>
        <v>#REF!</v>
      </c>
      <c r="BP78" t="e">
        <f>AND(#REF!,"AAAAAGm3hkM=")</f>
        <v>#REF!</v>
      </c>
      <c r="BQ78" t="e">
        <f>AND(#REF!,"AAAAAGm3hkQ=")</f>
        <v>#REF!</v>
      </c>
      <c r="BR78" t="e">
        <f>AND(#REF!,"AAAAAGm3hkU=")</f>
        <v>#REF!</v>
      </c>
      <c r="BS78" t="e">
        <f>AND(#REF!,"AAAAAGm3hkY=")</f>
        <v>#REF!</v>
      </c>
      <c r="BT78" t="e">
        <f>AND(#REF!,"AAAAAGm3hkc=")</f>
        <v>#REF!</v>
      </c>
      <c r="BU78" t="e">
        <f>AND(#REF!,"AAAAAGm3hkg=")</f>
        <v>#REF!</v>
      </c>
      <c r="BV78" t="e">
        <f>IF(#REF!,"AAAAAGm3hkk=",0)</f>
        <v>#REF!</v>
      </c>
      <c r="BW78" t="e">
        <f>AND(#REF!,"AAAAAGm3hko=")</f>
        <v>#REF!</v>
      </c>
      <c r="BX78" t="e">
        <f>AND(#REF!,"AAAAAGm3hks=")</f>
        <v>#REF!</v>
      </c>
      <c r="BY78" t="e">
        <f>AND(#REF!,"AAAAAGm3hkw=")</f>
        <v>#REF!</v>
      </c>
      <c r="BZ78" t="e">
        <f>AND(#REF!,"AAAAAGm3hk0=")</f>
        <v>#REF!</v>
      </c>
      <c r="CA78" t="e">
        <f>AND(#REF!,"AAAAAGm3hk4=")</f>
        <v>#REF!</v>
      </c>
      <c r="CB78" t="e">
        <f>AND(#REF!,"AAAAAGm3hk8=")</f>
        <v>#REF!</v>
      </c>
      <c r="CC78" t="e">
        <f>AND(#REF!,"AAAAAGm3hlA=")</f>
        <v>#REF!</v>
      </c>
      <c r="CD78" t="e">
        <f>AND(#REF!,"AAAAAGm3hlE=")</f>
        <v>#REF!</v>
      </c>
      <c r="CE78" t="e">
        <f>AND(#REF!,"AAAAAGm3hlI=")</f>
        <v>#REF!</v>
      </c>
      <c r="CF78" t="e">
        <f>AND(#REF!,"AAAAAGm3hlM=")</f>
        <v>#REF!</v>
      </c>
      <c r="CG78" t="e">
        <f>AND(#REF!,"AAAAAGm3hlQ=")</f>
        <v>#REF!</v>
      </c>
      <c r="CH78" t="e">
        <f>AND(#REF!,"AAAAAGm3hlU=")</f>
        <v>#REF!</v>
      </c>
      <c r="CI78" t="e">
        <f>AND(#REF!,"AAAAAGm3hlY=")</f>
        <v>#REF!</v>
      </c>
      <c r="CJ78" t="e">
        <f>AND(#REF!,"AAAAAGm3hlc=")</f>
        <v>#REF!</v>
      </c>
      <c r="CK78" t="e">
        <f>AND(#REF!,"AAAAAGm3hlg=")</f>
        <v>#REF!</v>
      </c>
      <c r="CL78" t="e">
        <f>AND(#REF!,"AAAAAGm3hlk=")</f>
        <v>#REF!</v>
      </c>
      <c r="CM78" t="e">
        <f>AND(#REF!,"AAAAAGm3hlo=")</f>
        <v>#REF!</v>
      </c>
      <c r="CN78" t="e">
        <f>AND(#REF!,"AAAAAGm3hls=")</f>
        <v>#REF!</v>
      </c>
      <c r="CO78" t="e">
        <f>AND(#REF!,"AAAAAGm3hlw=")</f>
        <v>#REF!</v>
      </c>
      <c r="CP78" t="e">
        <f>AND(#REF!,"AAAAAGm3hl0=")</f>
        <v>#REF!</v>
      </c>
      <c r="CQ78" t="e">
        <f>AND(#REF!,"AAAAAGm3hl4=")</f>
        <v>#REF!</v>
      </c>
      <c r="CR78" t="e">
        <f>AND(#REF!,"AAAAAGm3hl8=")</f>
        <v>#REF!</v>
      </c>
      <c r="CS78" t="e">
        <f>AND(#REF!,"AAAAAGm3hmA=")</f>
        <v>#REF!</v>
      </c>
      <c r="CT78" t="e">
        <f>AND(#REF!,"AAAAAGm3hmE=")</f>
        <v>#REF!</v>
      </c>
      <c r="CU78" t="e">
        <f>IF(#REF!,"AAAAAGm3hmI=",0)</f>
        <v>#REF!</v>
      </c>
      <c r="CV78" t="e">
        <f>AND(#REF!,"AAAAAGm3hmM=")</f>
        <v>#REF!</v>
      </c>
      <c r="CW78" t="e">
        <f>AND(#REF!,"AAAAAGm3hmQ=")</f>
        <v>#REF!</v>
      </c>
      <c r="CX78" t="e">
        <f>AND(#REF!,"AAAAAGm3hmU=")</f>
        <v>#REF!</v>
      </c>
      <c r="CY78" t="e">
        <f>AND(#REF!,"AAAAAGm3hmY=")</f>
        <v>#REF!</v>
      </c>
      <c r="CZ78" t="e">
        <f>AND(#REF!,"AAAAAGm3hmc=")</f>
        <v>#REF!</v>
      </c>
      <c r="DA78" t="e">
        <f>AND(#REF!,"AAAAAGm3hmg=")</f>
        <v>#REF!</v>
      </c>
      <c r="DB78" t="e">
        <f>AND(#REF!,"AAAAAGm3hmk=")</f>
        <v>#REF!</v>
      </c>
      <c r="DC78" t="e">
        <f>AND(#REF!,"AAAAAGm3hmo=")</f>
        <v>#REF!</v>
      </c>
      <c r="DD78" t="e">
        <f>AND(#REF!,"AAAAAGm3hms=")</f>
        <v>#REF!</v>
      </c>
      <c r="DE78" t="e">
        <f>AND(#REF!,"AAAAAGm3hmw=")</f>
        <v>#REF!</v>
      </c>
      <c r="DF78" t="e">
        <f>AND(#REF!,"AAAAAGm3hm0=")</f>
        <v>#REF!</v>
      </c>
      <c r="DG78" t="e">
        <f>AND(#REF!,"AAAAAGm3hm4=")</f>
        <v>#REF!</v>
      </c>
      <c r="DH78" t="e">
        <f>AND(#REF!,"AAAAAGm3hm8=")</f>
        <v>#REF!</v>
      </c>
      <c r="DI78" t="e">
        <f>AND(#REF!,"AAAAAGm3hnA=")</f>
        <v>#REF!</v>
      </c>
      <c r="DJ78" t="e">
        <f>AND(#REF!,"AAAAAGm3hnE=")</f>
        <v>#REF!</v>
      </c>
      <c r="DK78" t="e">
        <f>AND(#REF!,"AAAAAGm3hnI=")</f>
        <v>#REF!</v>
      </c>
      <c r="DL78" t="e">
        <f>AND(#REF!,"AAAAAGm3hnM=")</f>
        <v>#REF!</v>
      </c>
      <c r="DM78" t="e">
        <f>AND(#REF!,"AAAAAGm3hnQ=")</f>
        <v>#REF!</v>
      </c>
      <c r="DN78" t="e">
        <f>AND(#REF!,"AAAAAGm3hnU=")</f>
        <v>#REF!</v>
      </c>
      <c r="DO78" t="e">
        <f>AND(#REF!,"AAAAAGm3hnY=")</f>
        <v>#REF!</v>
      </c>
      <c r="DP78" t="e">
        <f>AND(#REF!,"AAAAAGm3hnc=")</f>
        <v>#REF!</v>
      </c>
      <c r="DQ78" t="e">
        <f>AND(#REF!,"AAAAAGm3hng=")</f>
        <v>#REF!</v>
      </c>
      <c r="DR78" t="e">
        <f>AND(#REF!,"AAAAAGm3hnk=")</f>
        <v>#REF!</v>
      </c>
      <c r="DS78" t="e">
        <f>AND(#REF!,"AAAAAGm3hno=")</f>
        <v>#REF!</v>
      </c>
      <c r="DT78" t="e">
        <f>IF(#REF!,"AAAAAGm3hns=",0)</f>
        <v>#REF!</v>
      </c>
      <c r="DU78" t="e">
        <f>AND(#REF!,"AAAAAGm3hnw=")</f>
        <v>#REF!</v>
      </c>
      <c r="DV78" t="e">
        <f>AND(#REF!,"AAAAAGm3hn0=")</f>
        <v>#REF!</v>
      </c>
      <c r="DW78" t="e">
        <f>AND(#REF!,"AAAAAGm3hn4=")</f>
        <v>#REF!</v>
      </c>
      <c r="DX78" t="e">
        <f>AND(#REF!,"AAAAAGm3hn8=")</f>
        <v>#REF!</v>
      </c>
      <c r="DY78" t="e">
        <f>AND(#REF!,"AAAAAGm3hoA=")</f>
        <v>#REF!</v>
      </c>
      <c r="DZ78" t="e">
        <f>AND(#REF!,"AAAAAGm3hoE=")</f>
        <v>#REF!</v>
      </c>
      <c r="EA78" t="e">
        <f>AND(#REF!,"AAAAAGm3hoI=")</f>
        <v>#REF!</v>
      </c>
      <c r="EB78" t="e">
        <f>AND(#REF!,"AAAAAGm3hoM=")</f>
        <v>#REF!</v>
      </c>
      <c r="EC78" t="e">
        <f>AND(#REF!,"AAAAAGm3hoQ=")</f>
        <v>#REF!</v>
      </c>
      <c r="ED78" t="e">
        <f>AND(#REF!,"AAAAAGm3hoU=")</f>
        <v>#REF!</v>
      </c>
      <c r="EE78" t="e">
        <f>AND(#REF!,"AAAAAGm3hoY=")</f>
        <v>#REF!</v>
      </c>
      <c r="EF78" t="e">
        <f>AND(#REF!,"AAAAAGm3hoc=")</f>
        <v>#REF!</v>
      </c>
      <c r="EG78" t="e">
        <f>AND(#REF!,"AAAAAGm3hog=")</f>
        <v>#REF!</v>
      </c>
      <c r="EH78" t="e">
        <f>AND(#REF!,"AAAAAGm3hok=")</f>
        <v>#REF!</v>
      </c>
      <c r="EI78" t="e">
        <f>AND(#REF!,"AAAAAGm3hoo=")</f>
        <v>#REF!</v>
      </c>
      <c r="EJ78" t="e">
        <f>AND(#REF!,"AAAAAGm3hos=")</f>
        <v>#REF!</v>
      </c>
      <c r="EK78" t="e">
        <f>AND(#REF!,"AAAAAGm3how=")</f>
        <v>#REF!</v>
      </c>
      <c r="EL78" t="e">
        <f>AND(#REF!,"AAAAAGm3ho0=")</f>
        <v>#REF!</v>
      </c>
      <c r="EM78" t="e">
        <f>AND(#REF!,"AAAAAGm3ho4=")</f>
        <v>#REF!</v>
      </c>
      <c r="EN78" t="e">
        <f>AND(#REF!,"AAAAAGm3ho8=")</f>
        <v>#REF!</v>
      </c>
      <c r="EO78" t="e">
        <f>AND(#REF!,"AAAAAGm3hpA=")</f>
        <v>#REF!</v>
      </c>
      <c r="EP78" t="e">
        <f>AND(#REF!,"AAAAAGm3hpE=")</f>
        <v>#REF!</v>
      </c>
      <c r="EQ78" t="e">
        <f>AND(#REF!,"AAAAAGm3hpI=")</f>
        <v>#REF!</v>
      </c>
      <c r="ER78" t="e">
        <f>AND(#REF!,"AAAAAGm3hpM=")</f>
        <v>#REF!</v>
      </c>
      <c r="ES78" t="e">
        <f>IF(#REF!,"AAAAAGm3hpQ=",0)</f>
        <v>#REF!</v>
      </c>
      <c r="ET78" t="e">
        <f>AND(#REF!,"AAAAAGm3hpU=")</f>
        <v>#REF!</v>
      </c>
      <c r="EU78" t="e">
        <f>AND(#REF!,"AAAAAGm3hpY=")</f>
        <v>#REF!</v>
      </c>
      <c r="EV78" t="e">
        <f>AND(#REF!,"AAAAAGm3hpc=")</f>
        <v>#REF!</v>
      </c>
      <c r="EW78" t="e">
        <f>AND(#REF!,"AAAAAGm3hpg=")</f>
        <v>#REF!</v>
      </c>
      <c r="EX78" t="e">
        <f>AND(#REF!,"AAAAAGm3hpk=")</f>
        <v>#REF!</v>
      </c>
      <c r="EY78" t="e">
        <f>AND(#REF!,"AAAAAGm3hpo=")</f>
        <v>#REF!</v>
      </c>
      <c r="EZ78" t="e">
        <f>AND(#REF!,"AAAAAGm3hps=")</f>
        <v>#REF!</v>
      </c>
      <c r="FA78" t="e">
        <f>AND(#REF!,"AAAAAGm3hpw=")</f>
        <v>#REF!</v>
      </c>
      <c r="FB78" t="e">
        <f>AND(#REF!,"AAAAAGm3hp0=")</f>
        <v>#REF!</v>
      </c>
      <c r="FC78" t="e">
        <f>AND(#REF!,"AAAAAGm3hp4=")</f>
        <v>#REF!</v>
      </c>
      <c r="FD78" t="e">
        <f>AND(#REF!,"AAAAAGm3hp8=")</f>
        <v>#REF!</v>
      </c>
      <c r="FE78" t="e">
        <f>AND(#REF!,"AAAAAGm3hqA=")</f>
        <v>#REF!</v>
      </c>
      <c r="FF78" t="e">
        <f>AND(#REF!,"AAAAAGm3hqE=")</f>
        <v>#REF!</v>
      </c>
      <c r="FG78" t="e">
        <f>AND(#REF!,"AAAAAGm3hqI=")</f>
        <v>#REF!</v>
      </c>
      <c r="FH78" t="e">
        <f>AND(#REF!,"AAAAAGm3hqM=")</f>
        <v>#REF!</v>
      </c>
      <c r="FI78" t="e">
        <f>AND(#REF!,"AAAAAGm3hqQ=")</f>
        <v>#REF!</v>
      </c>
      <c r="FJ78" t="e">
        <f>AND(#REF!,"AAAAAGm3hqU=")</f>
        <v>#REF!</v>
      </c>
      <c r="FK78" t="e">
        <f>AND(#REF!,"AAAAAGm3hqY=")</f>
        <v>#REF!</v>
      </c>
      <c r="FL78" t="e">
        <f>AND(#REF!,"AAAAAGm3hqc=")</f>
        <v>#REF!</v>
      </c>
      <c r="FM78" t="e">
        <f>AND(#REF!,"AAAAAGm3hqg=")</f>
        <v>#REF!</v>
      </c>
      <c r="FN78" t="e">
        <f>AND(#REF!,"AAAAAGm3hqk=")</f>
        <v>#REF!</v>
      </c>
      <c r="FO78" t="e">
        <f>AND(#REF!,"AAAAAGm3hqo=")</f>
        <v>#REF!</v>
      </c>
      <c r="FP78" t="e">
        <f>AND(#REF!,"AAAAAGm3hqs=")</f>
        <v>#REF!</v>
      </c>
      <c r="FQ78" t="e">
        <f>AND(#REF!,"AAAAAGm3hqw=")</f>
        <v>#REF!</v>
      </c>
      <c r="FR78" t="e">
        <f>IF(#REF!,"AAAAAGm3hq0=",0)</f>
        <v>#REF!</v>
      </c>
      <c r="FS78" t="e">
        <f>AND(#REF!,"AAAAAGm3hq4=")</f>
        <v>#REF!</v>
      </c>
      <c r="FT78" t="e">
        <f>AND(#REF!,"AAAAAGm3hq8=")</f>
        <v>#REF!</v>
      </c>
      <c r="FU78" t="e">
        <f>AND(#REF!,"AAAAAGm3hrA=")</f>
        <v>#REF!</v>
      </c>
      <c r="FV78" t="e">
        <f>AND(#REF!,"AAAAAGm3hrE=")</f>
        <v>#REF!</v>
      </c>
      <c r="FW78" t="e">
        <f>AND(#REF!,"AAAAAGm3hrI=")</f>
        <v>#REF!</v>
      </c>
      <c r="FX78" t="e">
        <f>AND(#REF!,"AAAAAGm3hrM=")</f>
        <v>#REF!</v>
      </c>
      <c r="FY78" t="e">
        <f>AND(#REF!,"AAAAAGm3hrQ=")</f>
        <v>#REF!</v>
      </c>
      <c r="FZ78" t="e">
        <f>AND(#REF!,"AAAAAGm3hrU=")</f>
        <v>#REF!</v>
      </c>
      <c r="GA78" t="e">
        <f>AND(#REF!,"AAAAAGm3hrY=")</f>
        <v>#REF!</v>
      </c>
      <c r="GB78" t="e">
        <f>AND(#REF!,"AAAAAGm3hrc=")</f>
        <v>#REF!</v>
      </c>
      <c r="GC78" t="e">
        <f>AND(#REF!,"AAAAAGm3hrg=")</f>
        <v>#REF!</v>
      </c>
      <c r="GD78" t="e">
        <f>AND(#REF!,"AAAAAGm3hrk=")</f>
        <v>#REF!</v>
      </c>
      <c r="GE78" t="e">
        <f>AND(#REF!,"AAAAAGm3hro=")</f>
        <v>#REF!</v>
      </c>
      <c r="GF78" t="e">
        <f>AND(#REF!,"AAAAAGm3hrs=")</f>
        <v>#REF!</v>
      </c>
      <c r="GG78" t="e">
        <f>AND(#REF!,"AAAAAGm3hrw=")</f>
        <v>#REF!</v>
      </c>
      <c r="GH78" t="e">
        <f>AND(#REF!,"AAAAAGm3hr0=")</f>
        <v>#REF!</v>
      </c>
      <c r="GI78" t="e">
        <f>AND(#REF!,"AAAAAGm3hr4=")</f>
        <v>#REF!</v>
      </c>
      <c r="GJ78" t="e">
        <f>AND(#REF!,"AAAAAGm3hr8=")</f>
        <v>#REF!</v>
      </c>
      <c r="GK78" t="e">
        <f>AND(#REF!,"AAAAAGm3hsA=")</f>
        <v>#REF!</v>
      </c>
      <c r="GL78" t="e">
        <f>AND(#REF!,"AAAAAGm3hsE=")</f>
        <v>#REF!</v>
      </c>
      <c r="GM78" t="e">
        <f>AND(#REF!,"AAAAAGm3hsI=")</f>
        <v>#REF!</v>
      </c>
      <c r="GN78" t="e">
        <f>AND(#REF!,"AAAAAGm3hsM=")</f>
        <v>#REF!</v>
      </c>
      <c r="GO78" t="e">
        <f>AND(#REF!,"AAAAAGm3hsQ=")</f>
        <v>#REF!</v>
      </c>
      <c r="GP78" t="e">
        <f>AND(#REF!,"AAAAAGm3hsU=")</f>
        <v>#REF!</v>
      </c>
      <c r="GQ78" t="e">
        <f>IF(#REF!,"AAAAAGm3hsY=",0)</f>
        <v>#REF!</v>
      </c>
      <c r="GR78" t="e">
        <f>AND(#REF!,"AAAAAGm3hsc=")</f>
        <v>#REF!</v>
      </c>
      <c r="GS78" t="e">
        <f>AND(#REF!,"AAAAAGm3hsg=")</f>
        <v>#REF!</v>
      </c>
      <c r="GT78" t="e">
        <f>AND(#REF!,"AAAAAGm3hsk=")</f>
        <v>#REF!</v>
      </c>
      <c r="GU78" t="e">
        <f>AND(#REF!,"AAAAAGm3hso=")</f>
        <v>#REF!</v>
      </c>
      <c r="GV78" t="e">
        <f>AND(#REF!,"AAAAAGm3hss=")</f>
        <v>#REF!</v>
      </c>
      <c r="GW78" t="e">
        <f>AND(#REF!,"AAAAAGm3hsw=")</f>
        <v>#REF!</v>
      </c>
      <c r="GX78" t="e">
        <f>AND(#REF!,"AAAAAGm3hs0=")</f>
        <v>#REF!</v>
      </c>
      <c r="GY78" t="e">
        <f>AND(#REF!,"AAAAAGm3hs4=")</f>
        <v>#REF!</v>
      </c>
      <c r="GZ78" t="e">
        <f>AND(#REF!,"AAAAAGm3hs8=")</f>
        <v>#REF!</v>
      </c>
      <c r="HA78" t="e">
        <f>AND(#REF!,"AAAAAGm3htA=")</f>
        <v>#REF!</v>
      </c>
      <c r="HB78" t="e">
        <f>AND(#REF!,"AAAAAGm3htE=")</f>
        <v>#REF!</v>
      </c>
      <c r="HC78" t="e">
        <f>AND(#REF!,"AAAAAGm3htI=")</f>
        <v>#REF!</v>
      </c>
      <c r="HD78" t="e">
        <f>AND(#REF!,"AAAAAGm3htM=")</f>
        <v>#REF!</v>
      </c>
      <c r="HE78" t="e">
        <f>AND(#REF!,"AAAAAGm3htQ=")</f>
        <v>#REF!</v>
      </c>
      <c r="HF78" t="e">
        <f>AND(#REF!,"AAAAAGm3htU=")</f>
        <v>#REF!</v>
      </c>
      <c r="HG78" t="e">
        <f>AND(#REF!,"AAAAAGm3htY=")</f>
        <v>#REF!</v>
      </c>
      <c r="HH78" t="e">
        <f>AND(#REF!,"AAAAAGm3htc=")</f>
        <v>#REF!</v>
      </c>
      <c r="HI78" t="e">
        <f>AND(#REF!,"AAAAAGm3htg=")</f>
        <v>#REF!</v>
      </c>
      <c r="HJ78" t="e">
        <f>AND(#REF!,"AAAAAGm3htk=")</f>
        <v>#REF!</v>
      </c>
      <c r="HK78" t="e">
        <f>AND(#REF!,"AAAAAGm3hto=")</f>
        <v>#REF!</v>
      </c>
      <c r="HL78" t="e">
        <f>AND(#REF!,"AAAAAGm3hts=")</f>
        <v>#REF!</v>
      </c>
      <c r="HM78" t="e">
        <f>AND(#REF!,"AAAAAGm3htw=")</f>
        <v>#REF!</v>
      </c>
      <c r="HN78" t="e">
        <f>AND(#REF!,"AAAAAGm3ht0=")</f>
        <v>#REF!</v>
      </c>
      <c r="HO78" t="e">
        <f>AND(#REF!,"AAAAAGm3ht4=")</f>
        <v>#REF!</v>
      </c>
      <c r="HP78" t="e">
        <f>IF(#REF!,"AAAAAGm3ht8=",0)</f>
        <v>#REF!</v>
      </c>
      <c r="HQ78" t="e">
        <f>AND(#REF!,"AAAAAGm3huA=")</f>
        <v>#REF!</v>
      </c>
      <c r="HR78" t="e">
        <f>AND(#REF!,"AAAAAGm3huE=")</f>
        <v>#REF!</v>
      </c>
      <c r="HS78" t="e">
        <f>AND(#REF!,"AAAAAGm3huI=")</f>
        <v>#REF!</v>
      </c>
      <c r="HT78" t="e">
        <f>AND(#REF!,"AAAAAGm3huM=")</f>
        <v>#REF!</v>
      </c>
      <c r="HU78" t="e">
        <f>AND(#REF!,"AAAAAGm3huQ=")</f>
        <v>#REF!</v>
      </c>
      <c r="HV78" t="e">
        <f>AND(#REF!,"AAAAAGm3huU=")</f>
        <v>#REF!</v>
      </c>
      <c r="HW78" t="e">
        <f>AND(#REF!,"AAAAAGm3huY=")</f>
        <v>#REF!</v>
      </c>
      <c r="HX78" t="e">
        <f>AND(#REF!,"AAAAAGm3huc=")</f>
        <v>#REF!</v>
      </c>
      <c r="HY78" t="e">
        <f>AND(#REF!,"AAAAAGm3hug=")</f>
        <v>#REF!</v>
      </c>
      <c r="HZ78" t="e">
        <f>AND(#REF!,"AAAAAGm3huk=")</f>
        <v>#REF!</v>
      </c>
      <c r="IA78" t="e">
        <f>AND(#REF!,"AAAAAGm3huo=")</f>
        <v>#REF!</v>
      </c>
      <c r="IB78" t="e">
        <f>AND(#REF!,"AAAAAGm3hus=")</f>
        <v>#REF!</v>
      </c>
      <c r="IC78" t="e">
        <f>AND(#REF!,"AAAAAGm3huw=")</f>
        <v>#REF!</v>
      </c>
      <c r="ID78" t="e">
        <f>AND(#REF!,"AAAAAGm3hu0=")</f>
        <v>#REF!</v>
      </c>
      <c r="IE78" t="e">
        <f>AND(#REF!,"AAAAAGm3hu4=")</f>
        <v>#REF!</v>
      </c>
      <c r="IF78" t="e">
        <f>AND(#REF!,"AAAAAGm3hu8=")</f>
        <v>#REF!</v>
      </c>
      <c r="IG78" t="e">
        <f>AND(#REF!,"AAAAAGm3hvA=")</f>
        <v>#REF!</v>
      </c>
      <c r="IH78" t="e">
        <f>AND(#REF!,"AAAAAGm3hvE=")</f>
        <v>#REF!</v>
      </c>
      <c r="II78" t="e">
        <f>AND(#REF!,"AAAAAGm3hvI=")</f>
        <v>#REF!</v>
      </c>
      <c r="IJ78" t="e">
        <f>AND(#REF!,"AAAAAGm3hvM=")</f>
        <v>#REF!</v>
      </c>
      <c r="IK78" t="e">
        <f>AND(#REF!,"AAAAAGm3hvQ=")</f>
        <v>#REF!</v>
      </c>
      <c r="IL78" t="e">
        <f>AND(#REF!,"AAAAAGm3hvU=")</f>
        <v>#REF!</v>
      </c>
      <c r="IM78" t="e">
        <f>AND(#REF!,"AAAAAGm3hvY=")</f>
        <v>#REF!</v>
      </c>
      <c r="IN78" t="e">
        <f>AND(#REF!,"AAAAAGm3hvc=")</f>
        <v>#REF!</v>
      </c>
      <c r="IO78" t="e">
        <f>IF(#REF!,"AAAAAGm3hvg=",0)</f>
        <v>#REF!</v>
      </c>
      <c r="IP78" t="e">
        <f>AND(#REF!,"AAAAAGm3hvk=")</f>
        <v>#REF!</v>
      </c>
      <c r="IQ78" t="e">
        <f>AND(#REF!,"AAAAAGm3hvo=")</f>
        <v>#REF!</v>
      </c>
      <c r="IR78" t="e">
        <f>AND(#REF!,"AAAAAGm3hvs=")</f>
        <v>#REF!</v>
      </c>
      <c r="IS78" t="e">
        <f>AND(#REF!,"AAAAAGm3hvw=")</f>
        <v>#REF!</v>
      </c>
      <c r="IT78" t="e">
        <f>AND(#REF!,"AAAAAGm3hv0=")</f>
        <v>#REF!</v>
      </c>
      <c r="IU78" t="e">
        <f>AND(#REF!,"AAAAAGm3hv4=")</f>
        <v>#REF!</v>
      </c>
      <c r="IV78" t="e">
        <f>AND(#REF!,"AAAAAGm3hv8=")</f>
        <v>#REF!</v>
      </c>
    </row>
    <row r="79" spans="1:256">
      <c r="A79" t="e">
        <f>AND(#REF!,"AAAAAH623QA=")</f>
        <v>#REF!</v>
      </c>
      <c r="B79" t="e">
        <f>AND(#REF!,"AAAAAH623QE=")</f>
        <v>#REF!</v>
      </c>
      <c r="C79" t="e">
        <f>AND(#REF!,"AAAAAH623QI=")</f>
        <v>#REF!</v>
      </c>
      <c r="D79" t="e">
        <f>AND(#REF!,"AAAAAH623QM=")</f>
        <v>#REF!</v>
      </c>
      <c r="E79" t="e">
        <f>AND(#REF!,"AAAAAH623QQ=")</f>
        <v>#REF!</v>
      </c>
      <c r="F79" t="e">
        <f>AND(#REF!,"AAAAAH623QU=")</f>
        <v>#REF!</v>
      </c>
      <c r="G79" t="e">
        <f>AND(#REF!,"AAAAAH623QY=")</f>
        <v>#REF!</v>
      </c>
      <c r="H79" t="e">
        <f>AND(#REF!,"AAAAAH623Qc=")</f>
        <v>#REF!</v>
      </c>
      <c r="I79" t="e">
        <f>AND(#REF!,"AAAAAH623Qg=")</f>
        <v>#REF!</v>
      </c>
      <c r="J79" t="e">
        <f>AND(#REF!,"AAAAAH623Qk=")</f>
        <v>#REF!</v>
      </c>
      <c r="K79" t="e">
        <f>AND(#REF!,"AAAAAH623Qo=")</f>
        <v>#REF!</v>
      </c>
      <c r="L79" t="e">
        <f>AND(#REF!,"AAAAAH623Qs=")</f>
        <v>#REF!</v>
      </c>
      <c r="M79" t="e">
        <f>AND(#REF!,"AAAAAH623Qw=")</f>
        <v>#REF!</v>
      </c>
      <c r="N79" t="e">
        <f>AND(#REF!,"AAAAAH623Q0=")</f>
        <v>#REF!</v>
      </c>
      <c r="O79" t="e">
        <f>AND(#REF!,"AAAAAH623Q4=")</f>
        <v>#REF!</v>
      </c>
      <c r="P79" t="e">
        <f>AND(#REF!,"AAAAAH623Q8=")</f>
        <v>#REF!</v>
      </c>
      <c r="Q79" t="e">
        <f>AND(#REF!,"AAAAAH623RA=")</f>
        <v>#REF!</v>
      </c>
      <c r="R79" t="e">
        <f>IF(#REF!,"AAAAAH623RE=",0)</f>
        <v>#REF!</v>
      </c>
      <c r="S79" t="e">
        <f>AND(#REF!,"AAAAAH623RI=")</f>
        <v>#REF!</v>
      </c>
      <c r="T79" t="e">
        <f>AND(#REF!,"AAAAAH623RM=")</f>
        <v>#REF!</v>
      </c>
      <c r="U79" t="e">
        <f>AND(#REF!,"AAAAAH623RQ=")</f>
        <v>#REF!</v>
      </c>
      <c r="V79" t="e">
        <f>AND(#REF!,"AAAAAH623RU=")</f>
        <v>#REF!</v>
      </c>
      <c r="W79" t="e">
        <f>AND(#REF!,"AAAAAH623RY=")</f>
        <v>#REF!</v>
      </c>
      <c r="X79" t="e">
        <f>AND(#REF!,"AAAAAH623Rc=")</f>
        <v>#REF!</v>
      </c>
      <c r="Y79" t="e">
        <f>AND(#REF!,"AAAAAH623Rg=")</f>
        <v>#REF!</v>
      </c>
      <c r="Z79" t="e">
        <f>AND(#REF!,"AAAAAH623Rk=")</f>
        <v>#REF!</v>
      </c>
      <c r="AA79" t="e">
        <f>AND(#REF!,"AAAAAH623Ro=")</f>
        <v>#REF!</v>
      </c>
      <c r="AB79" t="e">
        <f>AND(#REF!,"AAAAAH623Rs=")</f>
        <v>#REF!</v>
      </c>
      <c r="AC79" t="e">
        <f>AND(#REF!,"AAAAAH623Rw=")</f>
        <v>#REF!</v>
      </c>
      <c r="AD79" t="e">
        <f>AND(#REF!,"AAAAAH623R0=")</f>
        <v>#REF!</v>
      </c>
      <c r="AE79" t="e">
        <f>AND(#REF!,"AAAAAH623R4=")</f>
        <v>#REF!</v>
      </c>
      <c r="AF79" t="e">
        <f>AND(#REF!,"AAAAAH623R8=")</f>
        <v>#REF!</v>
      </c>
      <c r="AG79" t="e">
        <f>AND(#REF!,"AAAAAH623SA=")</f>
        <v>#REF!</v>
      </c>
      <c r="AH79" t="e">
        <f>AND(#REF!,"AAAAAH623SE=")</f>
        <v>#REF!</v>
      </c>
      <c r="AI79" t="e">
        <f>AND(#REF!,"AAAAAH623SI=")</f>
        <v>#REF!</v>
      </c>
      <c r="AJ79" t="e">
        <f>AND(#REF!,"AAAAAH623SM=")</f>
        <v>#REF!</v>
      </c>
      <c r="AK79" t="e">
        <f>AND(#REF!,"AAAAAH623SQ=")</f>
        <v>#REF!</v>
      </c>
      <c r="AL79" t="e">
        <f>AND(#REF!,"AAAAAH623SU=")</f>
        <v>#REF!</v>
      </c>
      <c r="AM79" t="e">
        <f>AND(#REF!,"AAAAAH623SY=")</f>
        <v>#REF!</v>
      </c>
      <c r="AN79" t="e">
        <f>AND(#REF!,"AAAAAH623Sc=")</f>
        <v>#REF!</v>
      </c>
      <c r="AO79" t="e">
        <f>AND(#REF!,"AAAAAH623Sg=")</f>
        <v>#REF!</v>
      </c>
      <c r="AP79" t="e">
        <f>AND(#REF!,"AAAAAH623Sk=")</f>
        <v>#REF!</v>
      </c>
      <c r="AQ79" t="e">
        <f>IF(#REF!,"AAAAAH623So=",0)</f>
        <v>#REF!</v>
      </c>
      <c r="AR79" t="e">
        <f>AND(#REF!,"AAAAAH623Ss=")</f>
        <v>#REF!</v>
      </c>
      <c r="AS79" t="e">
        <f>AND(#REF!,"AAAAAH623Sw=")</f>
        <v>#REF!</v>
      </c>
      <c r="AT79" t="e">
        <f>AND(#REF!,"AAAAAH623S0=")</f>
        <v>#REF!</v>
      </c>
      <c r="AU79" t="e">
        <f>AND(#REF!,"AAAAAH623S4=")</f>
        <v>#REF!</v>
      </c>
      <c r="AV79" t="e">
        <f>AND(#REF!,"AAAAAH623S8=")</f>
        <v>#REF!</v>
      </c>
      <c r="AW79" t="e">
        <f>AND(#REF!,"AAAAAH623TA=")</f>
        <v>#REF!</v>
      </c>
      <c r="AX79" t="e">
        <f>AND(#REF!,"AAAAAH623TE=")</f>
        <v>#REF!</v>
      </c>
      <c r="AY79" t="e">
        <f>AND(#REF!,"AAAAAH623TI=")</f>
        <v>#REF!</v>
      </c>
      <c r="AZ79" t="e">
        <f>AND(#REF!,"AAAAAH623TM=")</f>
        <v>#REF!</v>
      </c>
      <c r="BA79" t="e">
        <f>AND(#REF!,"AAAAAH623TQ=")</f>
        <v>#REF!</v>
      </c>
      <c r="BB79" t="e">
        <f>AND(#REF!,"AAAAAH623TU=")</f>
        <v>#REF!</v>
      </c>
      <c r="BC79" t="e">
        <f>AND(#REF!,"AAAAAH623TY=")</f>
        <v>#REF!</v>
      </c>
      <c r="BD79" t="e">
        <f>AND(#REF!,"AAAAAH623Tc=")</f>
        <v>#REF!</v>
      </c>
      <c r="BE79" t="e">
        <f>AND(#REF!,"AAAAAH623Tg=")</f>
        <v>#REF!</v>
      </c>
      <c r="BF79" t="e">
        <f>AND(#REF!,"AAAAAH623Tk=")</f>
        <v>#REF!</v>
      </c>
      <c r="BG79" t="e">
        <f>AND(#REF!,"AAAAAH623To=")</f>
        <v>#REF!</v>
      </c>
      <c r="BH79" t="e">
        <f>AND(#REF!,"AAAAAH623Ts=")</f>
        <v>#REF!</v>
      </c>
      <c r="BI79" t="e">
        <f>AND(#REF!,"AAAAAH623Tw=")</f>
        <v>#REF!</v>
      </c>
      <c r="BJ79" t="e">
        <f>AND(#REF!,"AAAAAH623T0=")</f>
        <v>#REF!</v>
      </c>
      <c r="BK79" t="e">
        <f>AND(#REF!,"AAAAAH623T4=")</f>
        <v>#REF!</v>
      </c>
      <c r="BL79" t="e">
        <f>AND(#REF!,"AAAAAH623T8=")</f>
        <v>#REF!</v>
      </c>
      <c r="BM79" t="e">
        <f>AND(#REF!,"AAAAAH623UA=")</f>
        <v>#REF!</v>
      </c>
      <c r="BN79" t="e">
        <f>AND(#REF!,"AAAAAH623UE=")</f>
        <v>#REF!</v>
      </c>
      <c r="BO79" t="e">
        <f>AND(#REF!,"AAAAAH623UI=")</f>
        <v>#REF!</v>
      </c>
      <c r="BP79" t="e">
        <f>IF(#REF!,"AAAAAH623UM=",0)</f>
        <v>#REF!</v>
      </c>
      <c r="BQ79" t="e">
        <f>AND(#REF!,"AAAAAH623UQ=")</f>
        <v>#REF!</v>
      </c>
      <c r="BR79" t="e">
        <f>AND(#REF!,"AAAAAH623UU=")</f>
        <v>#REF!</v>
      </c>
      <c r="BS79" t="e">
        <f>AND(#REF!,"AAAAAH623UY=")</f>
        <v>#REF!</v>
      </c>
      <c r="BT79" t="e">
        <f>AND(#REF!,"AAAAAH623Uc=")</f>
        <v>#REF!</v>
      </c>
      <c r="BU79" t="e">
        <f>AND(#REF!,"AAAAAH623Ug=")</f>
        <v>#REF!</v>
      </c>
      <c r="BV79" t="e">
        <f>AND(#REF!,"AAAAAH623Uk=")</f>
        <v>#REF!</v>
      </c>
      <c r="BW79" t="e">
        <f>AND(#REF!,"AAAAAH623Uo=")</f>
        <v>#REF!</v>
      </c>
      <c r="BX79" t="e">
        <f>AND(#REF!,"AAAAAH623Us=")</f>
        <v>#REF!</v>
      </c>
      <c r="BY79" t="e">
        <f>AND(#REF!,"AAAAAH623Uw=")</f>
        <v>#REF!</v>
      </c>
      <c r="BZ79" t="e">
        <f>AND(#REF!,"AAAAAH623U0=")</f>
        <v>#REF!</v>
      </c>
      <c r="CA79" t="e">
        <f>AND(#REF!,"AAAAAH623U4=")</f>
        <v>#REF!</v>
      </c>
      <c r="CB79" t="e">
        <f>AND(#REF!,"AAAAAH623U8=")</f>
        <v>#REF!</v>
      </c>
      <c r="CC79" t="e">
        <f>AND(#REF!,"AAAAAH623VA=")</f>
        <v>#REF!</v>
      </c>
      <c r="CD79" t="e">
        <f>AND(#REF!,"AAAAAH623VE=")</f>
        <v>#REF!</v>
      </c>
      <c r="CE79" t="e">
        <f>AND(#REF!,"AAAAAH623VI=")</f>
        <v>#REF!</v>
      </c>
      <c r="CF79" t="e">
        <f>AND(#REF!,"AAAAAH623VM=")</f>
        <v>#REF!</v>
      </c>
      <c r="CG79" t="e">
        <f>AND(#REF!,"AAAAAH623VQ=")</f>
        <v>#REF!</v>
      </c>
      <c r="CH79" t="e">
        <f>AND(#REF!,"AAAAAH623VU=")</f>
        <v>#REF!</v>
      </c>
      <c r="CI79" t="e">
        <f>AND(#REF!,"AAAAAH623VY=")</f>
        <v>#REF!</v>
      </c>
      <c r="CJ79" t="e">
        <f>AND(#REF!,"AAAAAH623Vc=")</f>
        <v>#REF!</v>
      </c>
      <c r="CK79" t="e">
        <f>AND(#REF!,"AAAAAH623Vg=")</f>
        <v>#REF!</v>
      </c>
      <c r="CL79" t="e">
        <f>AND(#REF!,"AAAAAH623Vk=")</f>
        <v>#REF!</v>
      </c>
      <c r="CM79" t="e">
        <f>AND(#REF!,"AAAAAH623Vo=")</f>
        <v>#REF!</v>
      </c>
      <c r="CN79" t="e">
        <f>AND(#REF!,"AAAAAH623Vs=")</f>
        <v>#REF!</v>
      </c>
      <c r="CO79" t="e">
        <f>IF(#REF!,"AAAAAH623Vw=",0)</f>
        <v>#REF!</v>
      </c>
      <c r="CP79" t="e">
        <f>AND(#REF!,"AAAAAH623V0=")</f>
        <v>#REF!</v>
      </c>
      <c r="CQ79" t="e">
        <f>AND(#REF!,"AAAAAH623V4=")</f>
        <v>#REF!</v>
      </c>
      <c r="CR79" t="e">
        <f>AND(#REF!,"AAAAAH623V8=")</f>
        <v>#REF!</v>
      </c>
      <c r="CS79" t="e">
        <f>AND(#REF!,"AAAAAH623WA=")</f>
        <v>#REF!</v>
      </c>
      <c r="CT79" t="e">
        <f>AND(#REF!,"AAAAAH623WE=")</f>
        <v>#REF!</v>
      </c>
      <c r="CU79" t="e">
        <f>AND(#REF!,"AAAAAH623WI=")</f>
        <v>#REF!</v>
      </c>
      <c r="CV79" t="e">
        <f>AND(#REF!,"AAAAAH623WM=")</f>
        <v>#REF!</v>
      </c>
      <c r="CW79" t="e">
        <f>AND(#REF!,"AAAAAH623WQ=")</f>
        <v>#REF!</v>
      </c>
      <c r="CX79" t="e">
        <f>AND(#REF!,"AAAAAH623WU=")</f>
        <v>#REF!</v>
      </c>
      <c r="CY79" t="e">
        <f>AND(#REF!,"AAAAAH623WY=")</f>
        <v>#REF!</v>
      </c>
      <c r="CZ79" t="e">
        <f>AND(#REF!,"AAAAAH623Wc=")</f>
        <v>#REF!</v>
      </c>
      <c r="DA79" t="e">
        <f>AND(#REF!,"AAAAAH623Wg=")</f>
        <v>#REF!</v>
      </c>
      <c r="DB79" t="e">
        <f>AND(#REF!,"AAAAAH623Wk=")</f>
        <v>#REF!</v>
      </c>
      <c r="DC79" t="e">
        <f>AND(#REF!,"AAAAAH623Wo=")</f>
        <v>#REF!</v>
      </c>
      <c r="DD79" t="e">
        <f>AND(#REF!,"AAAAAH623Ws=")</f>
        <v>#REF!</v>
      </c>
      <c r="DE79" t="e">
        <f>AND(#REF!,"AAAAAH623Ww=")</f>
        <v>#REF!</v>
      </c>
      <c r="DF79" t="e">
        <f>AND(#REF!,"AAAAAH623W0=")</f>
        <v>#REF!</v>
      </c>
      <c r="DG79" t="e">
        <f>AND(#REF!,"AAAAAH623W4=")</f>
        <v>#REF!</v>
      </c>
      <c r="DH79" t="e">
        <f>AND(#REF!,"AAAAAH623W8=")</f>
        <v>#REF!</v>
      </c>
      <c r="DI79" t="e">
        <f>AND(#REF!,"AAAAAH623XA=")</f>
        <v>#REF!</v>
      </c>
      <c r="DJ79" t="e">
        <f>AND(#REF!,"AAAAAH623XE=")</f>
        <v>#REF!</v>
      </c>
      <c r="DK79" t="e">
        <f>AND(#REF!,"AAAAAH623XI=")</f>
        <v>#REF!</v>
      </c>
      <c r="DL79" t="e">
        <f>AND(#REF!,"AAAAAH623XM=")</f>
        <v>#REF!</v>
      </c>
      <c r="DM79" t="e">
        <f>AND(#REF!,"AAAAAH623XQ=")</f>
        <v>#REF!</v>
      </c>
      <c r="DN79" t="e">
        <f>IF(#REF!,"AAAAAH623XU=",0)</f>
        <v>#REF!</v>
      </c>
      <c r="DO79" t="e">
        <f>AND(#REF!,"AAAAAH623XY=")</f>
        <v>#REF!</v>
      </c>
      <c r="DP79" t="e">
        <f>AND(#REF!,"AAAAAH623Xc=")</f>
        <v>#REF!</v>
      </c>
      <c r="DQ79" t="e">
        <f>AND(#REF!,"AAAAAH623Xg=")</f>
        <v>#REF!</v>
      </c>
      <c r="DR79" t="e">
        <f>AND(#REF!,"AAAAAH623Xk=")</f>
        <v>#REF!</v>
      </c>
      <c r="DS79" t="e">
        <f>AND(#REF!,"AAAAAH623Xo=")</f>
        <v>#REF!</v>
      </c>
      <c r="DT79" t="e">
        <f>AND(#REF!,"AAAAAH623Xs=")</f>
        <v>#REF!</v>
      </c>
      <c r="DU79" t="e">
        <f>AND(#REF!,"AAAAAH623Xw=")</f>
        <v>#REF!</v>
      </c>
      <c r="DV79" t="e">
        <f>AND(#REF!,"AAAAAH623X0=")</f>
        <v>#REF!</v>
      </c>
      <c r="DW79" t="e">
        <f>AND(#REF!,"AAAAAH623X4=")</f>
        <v>#REF!</v>
      </c>
      <c r="DX79" t="e">
        <f>AND(#REF!,"AAAAAH623X8=")</f>
        <v>#REF!</v>
      </c>
      <c r="DY79" t="e">
        <f>AND(#REF!,"AAAAAH623YA=")</f>
        <v>#REF!</v>
      </c>
      <c r="DZ79" t="e">
        <f>AND(#REF!,"AAAAAH623YE=")</f>
        <v>#REF!</v>
      </c>
      <c r="EA79" t="e">
        <f>AND(#REF!,"AAAAAH623YI=")</f>
        <v>#REF!</v>
      </c>
      <c r="EB79" t="e">
        <f>AND(#REF!,"AAAAAH623YM=")</f>
        <v>#REF!</v>
      </c>
      <c r="EC79" t="e">
        <f>AND(#REF!,"AAAAAH623YQ=")</f>
        <v>#REF!</v>
      </c>
      <c r="ED79" t="e">
        <f>AND(#REF!,"AAAAAH623YU=")</f>
        <v>#REF!</v>
      </c>
      <c r="EE79" t="e">
        <f>AND(#REF!,"AAAAAH623YY=")</f>
        <v>#REF!</v>
      </c>
      <c r="EF79" t="e">
        <f>AND(#REF!,"AAAAAH623Yc=")</f>
        <v>#REF!</v>
      </c>
      <c r="EG79" t="e">
        <f>AND(#REF!,"AAAAAH623Yg=")</f>
        <v>#REF!</v>
      </c>
      <c r="EH79" t="e">
        <f>AND(#REF!,"AAAAAH623Yk=")</f>
        <v>#REF!</v>
      </c>
      <c r="EI79" t="e">
        <f>AND(#REF!,"AAAAAH623Yo=")</f>
        <v>#REF!</v>
      </c>
      <c r="EJ79" t="e">
        <f>AND(#REF!,"AAAAAH623Ys=")</f>
        <v>#REF!</v>
      </c>
      <c r="EK79" t="e">
        <f>AND(#REF!,"AAAAAH623Yw=")</f>
        <v>#REF!</v>
      </c>
      <c r="EL79" t="e">
        <f>AND(#REF!,"AAAAAH623Y0=")</f>
        <v>#REF!</v>
      </c>
      <c r="EM79" t="e">
        <f>IF(#REF!,"AAAAAH623Y4=",0)</f>
        <v>#REF!</v>
      </c>
      <c r="EN79" t="e">
        <f>AND(#REF!,"AAAAAH623Y8=")</f>
        <v>#REF!</v>
      </c>
      <c r="EO79" t="e">
        <f>AND(#REF!,"AAAAAH623ZA=")</f>
        <v>#REF!</v>
      </c>
      <c r="EP79" t="e">
        <f>AND(#REF!,"AAAAAH623ZE=")</f>
        <v>#REF!</v>
      </c>
      <c r="EQ79" t="e">
        <f>AND(#REF!,"AAAAAH623ZI=")</f>
        <v>#REF!</v>
      </c>
      <c r="ER79" t="e">
        <f>AND(#REF!,"AAAAAH623ZM=")</f>
        <v>#REF!</v>
      </c>
      <c r="ES79" t="e">
        <f>AND(#REF!,"AAAAAH623ZQ=")</f>
        <v>#REF!</v>
      </c>
      <c r="ET79" t="e">
        <f>AND(#REF!,"AAAAAH623ZU=")</f>
        <v>#REF!</v>
      </c>
      <c r="EU79" t="e">
        <f>AND(#REF!,"AAAAAH623ZY=")</f>
        <v>#REF!</v>
      </c>
      <c r="EV79" t="e">
        <f>AND(#REF!,"AAAAAH623Zc=")</f>
        <v>#REF!</v>
      </c>
      <c r="EW79" t="e">
        <f>AND(#REF!,"AAAAAH623Zg=")</f>
        <v>#REF!</v>
      </c>
      <c r="EX79" t="e">
        <f>AND(#REF!,"AAAAAH623Zk=")</f>
        <v>#REF!</v>
      </c>
      <c r="EY79" t="e">
        <f>AND(#REF!,"AAAAAH623Zo=")</f>
        <v>#REF!</v>
      </c>
      <c r="EZ79" t="e">
        <f>AND(#REF!,"AAAAAH623Zs=")</f>
        <v>#REF!</v>
      </c>
      <c r="FA79" t="e">
        <f>AND(#REF!,"AAAAAH623Zw=")</f>
        <v>#REF!</v>
      </c>
      <c r="FB79" t="e">
        <f>AND(#REF!,"AAAAAH623Z0=")</f>
        <v>#REF!</v>
      </c>
      <c r="FC79" t="e">
        <f>AND(#REF!,"AAAAAH623Z4=")</f>
        <v>#REF!</v>
      </c>
      <c r="FD79" t="e">
        <f>AND(#REF!,"AAAAAH623Z8=")</f>
        <v>#REF!</v>
      </c>
      <c r="FE79" t="e">
        <f>AND(#REF!,"AAAAAH623aA=")</f>
        <v>#REF!</v>
      </c>
      <c r="FF79" t="e">
        <f>AND(#REF!,"AAAAAH623aE=")</f>
        <v>#REF!</v>
      </c>
      <c r="FG79" t="e">
        <f>AND(#REF!,"AAAAAH623aI=")</f>
        <v>#REF!</v>
      </c>
      <c r="FH79" t="e">
        <f>AND(#REF!,"AAAAAH623aM=")</f>
        <v>#REF!</v>
      </c>
      <c r="FI79" t="e">
        <f>AND(#REF!,"AAAAAH623aQ=")</f>
        <v>#REF!</v>
      </c>
      <c r="FJ79" t="e">
        <f>AND(#REF!,"AAAAAH623aU=")</f>
        <v>#REF!</v>
      </c>
      <c r="FK79" t="e">
        <f>AND(#REF!,"AAAAAH623aY=")</f>
        <v>#REF!</v>
      </c>
      <c r="FL79" t="e">
        <f>IF(#REF!,"AAAAAH623ac=",0)</f>
        <v>#REF!</v>
      </c>
      <c r="FM79" t="e">
        <f>AND(#REF!,"AAAAAH623ag=")</f>
        <v>#REF!</v>
      </c>
      <c r="FN79" t="e">
        <f>AND(#REF!,"AAAAAH623ak=")</f>
        <v>#REF!</v>
      </c>
      <c r="FO79" t="e">
        <f>AND(#REF!,"AAAAAH623ao=")</f>
        <v>#REF!</v>
      </c>
      <c r="FP79" t="e">
        <f>AND(#REF!,"AAAAAH623as=")</f>
        <v>#REF!</v>
      </c>
      <c r="FQ79" t="e">
        <f>AND(#REF!,"AAAAAH623aw=")</f>
        <v>#REF!</v>
      </c>
      <c r="FR79" t="e">
        <f>AND(#REF!,"AAAAAH623a0=")</f>
        <v>#REF!</v>
      </c>
      <c r="FS79" t="e">
        <f>AND(#REF!,"AAAAAH623a4=")</f>
        <v>#REF!</v>
      </c>
      <c r="FT79" t="e">
        <f>AND(#REF!,"AAAAAH623a8=")</f>
        <v>#REF!</v>
      </c>
      <c r="FU79" t="e">
        <f>AND(#REF!,"AAAAAH623bA=")</f>
        <v>#REF!</v>
      </c>
      <c r="FV79" t="e">
        <f>AND(#REF!,"AAAAAH623bE=")</f>
        <v>#REF!</v>
      </c>
      <c r="FW79" t="e">
        <f>AND(#REF!,"AAAAAH623bI=")</f>
        <v>#REF!</v>
      </c>
      <c r="FX79" t="e">
        <f>AND(#REF!,"AAAAAH623bM=")</f>
        <v>#REF!</v>
      </c>
      <c r="FY79" t="e">
        <f>AND(#REF!,"AAAAAH623bQ=")</f>
        <v>#REF!</v>
      </c>
      <c r="FZ79" t="e">
        <f>AND(#REF!,"AAAAAH623bU=")</f>
        <v>#REF!</v>
      </c>
      <c r="GA79" t="e">
        <f>AND(#REF!,"AAAAAH623bY=")</f>
        <v>#REF!</v>
      </c>
      <c r="GB79" t="e">
        <f>AND(#REF!,"AAAAAH623bc=")</f>
        <v>#REF!</v>
      </c>
      <c r="GC79" t="e">
        <f>AND(#REF!,"AAAAAH623bg=")</f>
        <v>#REF!</v>
      </c>
      <c r="GD79" t="e">
        <f>AND(#REF!,"AAAAAH623bk=")</f>
        <v>#REF!</v>
      </c>
      <c r="GE79" t="e">
        <f>AND(#REF!,"AAAAAH623bo=")</f>
        <v>#REF!</v>
      </c>
      <c r="GF79" t="e">
        <f>AND(#REF!,"AAAAAH623bs=")</f>
        <v>#REF!</v>
      </c>
      <c r="GG79" t="e">
        <f>AND(#REF!,"AAAAAH623bw=")</f>
        <v>#REF!</v>
      </c>
      <c r="GH79" t="e">
        <f>AND(#REF!,"AAAAAH623b0=")</f>
        <v>#REF!</v>
      </c>
      <c r="GI79" t="e">
        <f>AND(#REF!,"AAAAAH623b4=")</f>
        <v>#REF!</v>
      </c>
      <c r="GJ79" t="e">
        <f>AND(#REF!,"AAAAAH623b8=")</f>
        <v>#REF!</v>
      </c>
      <c r="GK79" t="e">
        <f>IF(#REF!,"AAAAAH623cA=",0)</f>
        <v>#REF!</v>
      </c>
      <c r="GL79" t="e">
        <f>AND(#REF!,"AAAAAH623cE=")</f>
        <v>#REF!</v>
      </c>
      <c r="GM79" t="e">
        <f>AND(#REF!,"AAAAAH623cI=")</f>
        <v>#REF!</v>
      </c>
      <c r="GN79" t="e">
        <f>AND(#REF!,"AAAAAH623cM=")</f>
        <v>#REF!</v>
      </c>
      <c r="GO79" t="e">
        <f>AND(#REF!,"AAAAAH623cQ=")</f>
        <v>#REF!</v>
      </c>
      <c r="GP79" t="e">
        <f>AND(#REF!,"AAAAAH623cU=")</f>
        <v>#REF!</v>
      </c>
      <c r="GQ79" t="e">
        <f>AND(#REF!,"AAAAAH623cY=")</f>
        <v>#REF!</v>
      </c>
      <c r="GR79" t="e">
        <f>AND(#REF!,"AAAAAH623cc=")</f>
        <v>#REF!</v>
      </c>
      <c r="GS79" t="e">
        <f>AND(#REF!,"AAAAAH623cg=")</f>
        <v>#REF!</v>
      </c>
      <c r="GT79" t="e">
        <f>AND(#REF!,"AAAAAH623ck=")</f>
        <v>#REF!</v>
      </c>
      <c r="GU79" t="e">
        <f>AND(#REF!,"AAAAAH623co=")</f>
        <v>#REF!</v>
      </c>
      <c r="GV79" t="e">
        <f>AND(#REF!,"AAAAAH623cs=")</f>
        <v>#REF!</v>
      </c>
      <c r="GW79" t="e">
        <f>AND(#REF!,"AAAAAH623cw=")</f>
        <v>#REF!</v>
      </c>
      <c r="GX79" t="e">
        <f>AND(#REF!,"AAAAAH623c0=")</f>
        <v>#REF!</v>
      </c>
      <c r="GY79" t="e">
        <f>AND(#REF!,"AAAAAH623c4=")</f>
        <v>#REF!</v>
      </c>
      <c r="GZ79" t="e">
        <f>AND(#REF!,"AAAAAH623c8=")</f>
        <v>#REF!</v>
      </c>
      <c r="HA79" t="e">
        <f>AND(#REF!,"AAAAAH623dA=")</f>
        <v>#REF!</v>
      </c>
      <c r="HB79" t="e">
        <f>AND(#REF!,"AAAAAH623dE=")</f>
        <v>#REF!</v>
      </c>
      <c r="HC79" t="e">
        <f>AND(#REF!,"AAAAAH623dI=")</f>
        <v>#REF!</v>
      </c>
      <c r="HD79" t="e">
        <f>AND(#REF!,"AAAAAH623dM=")</f>
        <v>#REF!</v>
      </c>
      <c r="HE79" t="e">
        <f>AND(#REF!,"AAAAAH623dQ=")</f>
        <v>#REF!</v>
      </c>
      <c r="HF79" t="e">
        <f>AND(#REF!,"AAAAAH623dU=")</f>
        <v>#REF!</v>
      </c>
      <c r="HG79" t="e">
        <f>AND(#REF!,"AAAAAH623dY=")</f>
        <v>#REF!</v>
      </c>
      <c r="HH79" t="e">
        <f>AND(#REF!,"AAAAAH623dc=")</f>
        <v>#REF!</v>
      </c>
      <c r="HI79" t="e">
        <f>AND(#REF!,"AAAAAH623dg=")</f>
        <v>#REF!</v>
      </c>
      <c r="HJ79" t="e">
        <f>IF(#REF!,"AAAAAH623dk=",0)</f>
        <v>#REF!</v>
      </c>
      <c r="HK79" t="e">
        <f>AND(#REF!,"AAAAAH623do=")</f>
        <v>#REF!</v>
      </c>
      <c r="HL79" t="e">
        <f>AND(#REF!,"AAAAAH623ds=")</f>
        <v>#REF!</v>
      </c>
      <c r="HM79" t="e">
        <f>AND(#REF!,"AAAAAH623dw=")</f>
        <v>#REF!</v>
      </c>
      <c r="HN79" t="e">
        <f>AND(#REF!,"AAAAAH623d0=")</f>
        <v>#REF!</v>
      </c>
      <c r="HO79" t="e">
        <f>AND(#REF!,"AAAAAH623d4=")</f>
        <v>#REF!</v>
      </c>
      <c r="HP79" t="e">
        <f>AND(#REF!,"AAAAAH623d8=")</f>
        <v>#REF!</v>
      </c>
      <c r="HQ79" t="e">
        <f>AND(#REF!,"AAAAAH623eA=")</f>
        <v>#REF!</v>
      </c>
      <c r="HR79" t="e">
        <f>AND(#REF!,"AAAAAH623eE=")</f>
        <v>#REF!</v>
      </c>
      <c r="HS79" t="e">
        <f>AND(#REF!,"AAAAAH623eI=")</f>
        <v>#REF!</v>
      </c>
      <c r="HT79" t="e">
        <f>AND(#REF!,"AAAAAH623eM=")</f>
        <v>#REF!</v>
      </c>
      <c r="HU79" t="e">
        <f>AND(#REF!,"AAAAAH623eQ=")</f>
        <v>#REF!</v>
      </c>
      <c r="HV79" t="e">
        <f>AND(#REF!,"AAAAAH623eU=")</f>
        <v>#REF!</v>
      </c>
      <c r="HW79" t="e">
        <f>AND(#REF!,"AAAAAH623eY=")</f>
        <v>#REF!</v>
      </c>
      <c r="HX79" t="e">
        <f>AND(#REF!,"AAAAAH623ec=")</f>
        <v>#REF!</v>
      </c>
      <c r="HY79" t="e">
        <f>AND(#REF!,"AAAAAH623eg=")</f>
        <v>#REF!</v>
      </c>
      <c r="HZ79" t="e">
        <f>AND(#REF!,"AAAAAH623ek=")</f>
        <v>#REF!</v>
      </c>
      <c r="IA79" t="e">
        <f>AND(#REF!,"AAAAAH623eo=")</f>
        <v>#REF!</v>
      </c>
      <c r="IB79" t="e">
        <f>AND(#REF!,"AAAAAH623es=")</f>
        <v>#REF!</v>
      </c>
      <c r="IC79" t="e">
        <f>AND(#REF!,"AAAAAH623ew=")</f>
        <v>#REF!</v>
      </c>
      <c r="ID79" t="e">
        <f>AND(#REF!,"AAAAAH623e0=")</f>
        <v>#REF!</v>
      </c>
      <c r="IE79" t="e">
        <f>AND(#REF!,"AAAAAH623e4=")</f>
        <v>#REF!</v>
      </c>
      <c r="IF79" t="e">
        <f>AND(#REF!,"AAAAAH623e8=")</f>
        <v>#REF!</v>
      </c>
      <c r="IG79" t="e">
        <f>AND(#REF!,"AAAAAH623fA=")</f>
        <v>#REF!</v>
      </c>
      <c r="IH79" t="e">
        <f>AND(#REF!,"AAAAAH623fE=")</f>
        <v>#REF!</v>
      </c>
      <c r="II79" t="e">
        <f>IF(#REF!,"AAAAAH623fI=",0)</f>
        <v>#REF!</v>
      </c>
      <c r="IJ79" t="e">
        <f>AND(#REF!,"AAAAAH623fM=")</f>
        <v>#REF!</v>
      </c>
      <c r="IK79" t="e">
        <f>AND(#REF!,"AAAAAH623fQ=")</f>
        <v>#REF!</v>
      </c>
      <c r="IL79" t="e">
        <f>AND(#REF!,"AAAAAH623fU=")</f>
        <v>#REF!</v>
      </c>
      <c r="IM79" t="e">
        <f>AND(#REF!,"AAAAAH623fY=")</f>
        <v>#REF!</v>
      </c>
      <c r="IN79" t="e">
        <f>AND(#REF!,"AAAAAH623fc=")</f>
        <v>#REF!</v>
      </c>
      <c r="IO79" t="e">
        <f>AND(#REF!,"AAAAAH623fg=")</f>
        <v>#REF!</v>
      </c>
      <c r="IP79" t="e">
        <f>AND(#REF!,"AAAAAH623fk=")</f>
        <v>#REF!</v>
      </c>
      <c r="IQ79" t="e">
        <f>AND(#REF!,"AAAAAH623fo=")</f>
        <v>#REF!</v>
      </c>
      <c r="IR79" t="e">
        <f>AND(#REF!,"AAAAAH623fs=")</f>
        <v>#REF!</v>
      </c>
      <c r="IS79" t="e">
        <f>AND(#REF!,"AAAAAH623fw=")</f>
        <v>#REF!</v>
      </c>
      <c r="IT79" t="e">
        <f>AND(#REF!,"AAAAAH623f0=")</f>
        <v>#REF!</v>
      </c>
      <c r="IU79" t="e">
        <f>AND(#REF!,"AAAAAH623f4=")</f>
        <v>#REF!</v>
      </c>
      <c r="IV79" t="e">
        <f>AND(#REF!,"AAAAAH623f8=")</f>
        <v>#REF!</v>
      </c>
    </row>
    <row r="80" spans="1:256">
      <c r="A80" t="e">
        <f>AND(#REF!,"AAAAABn9tQA=")</f>
        <v>#REF!</v>
      </c>
      <c r="B80" t="e">
        <f>AND(#REF!,"AAAAABn9tQE=")</f>
        <v>#REF!</v>
      </c>
      <c r="C80" t="e">
        <f>AND(#REF!,"AAAAABn9tQI=")</f>
        <v>#REF!</v>
      </c>
      <c r="D80" t="e">
        <f>AND(#REF!,"AAAAABn9tQM=")</f>
        <v>#REF!</v>
      </c>
      <c r="E80" t="e">
        <f>AND(#REF!,"AAAAABn9tQQ=")</f>
        <v>#REF!</v>
      </c>
      <c r="F80" t="e">
        <f>AND(#REF!,"AAAAABn9tQU=")</f>
        <v>#REF!</v>
      </c>
      <c r="G80" t="e">
        <f>AND(#REF!,"AAAAABn9tQY=")</f>
        <v>#REF!</v>
      </c>
      <c r="H80" t="e">
        <f>AND(#REF!,"AAAAABn9tQc=")</f>
        <v>#REF!</v>
      </c>
      <c r="I80" t="e">
        <f>AND(#REF!,"AAAAABn9tQg=")</f>
        <v>#REF!</v>
      </c>
      <c r="J80" t="e">
        <f>AND(#REF!,"AAAAABn9tQk=")</f>
        <v>#REF!</v>
      </c>
      <c r="K80" t="e">
        <f>AND(#REF!,"AAAAABn9tQo=")</f>
        <v>#REF!</v>
      </c>
      <c r="L80" t="e">
        <f>IF(#REF!,"AAAAABn9tQs=",0)</f>
        <v>#REF!</v>
      </c>
      <c r="M80" t="e">
        <f>AND(#REF!,"AAAAABn9tQw=")</f>
        <v>#REF!</v>
      </c>
      <c r="N80" t="e">
        <f>AND(#REF!,"AAAAABn9tQ0=")</f>
        <v>#REF!</v>
      </c>
      <c r="O80" t="e">
        <f>AND(#REF!,"AAAAABn9tQ4=")</f>
        <v>#REF!</v>
      </c>
      <c r="P80" t="e">
        <f>AND(#REF!,"AAAAABn9tQ8=")</f>
        <v>#REF!</v>
      </c>
      <c r="Q80" t="e">
        <f>AND(#REF!,"AAAAABn9tRA=")</f>
        <v>#REF!</v>
      </c>
      <c r="R80" t="e">
        <f>AND(#REF!,"AAAAABn9tRE=")</f>
        <v>#REF!</v>
      </c>
      <c r="S80" t="e">
        <f>AND(#REF!,"AAAAABn9tRI=")</f>
        <v>#REF!</v>
      </c>
      <c r="T80" t="e">
        <f>AND(#REF!,"AAAAABn9tRM=")</f>
        <v>#REF!</v>
      </c>
      <c r="U80" t="e">
        <f>AND(#REF!,"AAAAABn9tRQ=")</f>
        <v>#REF!</v>
      </c>
      <c r="V80" t="e">
        <f>AND(#REF!,"AAAAABn9tRU=")</f>
        <v>#REF!</v>
      </c>
      <c r="W80" t="e">
        <f>AND(#REF!,"AAAAABn9tRY=")</f>
        <v>#REF!</v>
      </c>
      <c r="X80" t="e">
        <f>AND(#REF!,"AAAAABn9tRc=")</f>
        <v>#REF!</v>
      </c>
      <c r="Y80" t="e">
        <f>AND(#REF!,"AAAAABn9tRg=")</f>
        <v>#REF!</v>
      </c>
      <c r="Z80" t="e">
        <f>AND(#REF!,"AAAAABn9tRk=")</f>
        <v>#REF!</v>
      </c>
      <c r="AA80" t="e">
        <f>AND(#REF!,"AAAAABn9tRo=")</f>
        <v>#REF!</v>
      </c>
      <c r="AB80" t="e">
        <f>AND(#REF!,"AAAAABn9tRs=")</f>
        <v>#REF!</v>
      </c>
      <c r="AC80" t="e">
        <f>AND(#REF!,"AAAAABn9tRw=")</f>
        <v>#REF!</v>
      </c>
      <c r="AD80" t="e">
        <f>AND(#REF!,"AAAAABn9tR0=")</f>
        <v>#REF!</v>
      </c>
      <c r="AE80" t="e">
        <f>AND(#REF!,"AAAAABn9tR4=")</f>
        <v>#REF!</v>
      </c>
      <c r="AF80" t="e">
        <f>AND(#REF!,"AAAAABn9tR8=")</f>
        <v>#REF!</v>
      </c>
      <c r="AG80" t="e">
        <f>AND(#REF!,"AAAAABn9tSA=")</f>
        <v>#REF!</v>
      </c>
      <c r="AH80" t="e">
        <f>AND(#REF!,"AAAAABn9tSE=")</f>
        <v>#REF!</v>
      </c>
      <c r="AI80" t="e">
        <f>AND(#REF!,"AAAAABn9tSI=")</f>
        <v>#REF!</v>
      </c>
      <c r="AJ80" t="e">
        <f>AND(#REF!,"AAAAABn9tSM=")</f>
        <v>#REF!</v>
      </c>
      <c r="AK80" t="e">
        <f>IF(#REF!,"AAAAABn9tSQ=",0)</f>
        <v>#REF!</v>
      </c>
      <c r="AL80" t="e">
        <f>AND(#REF!,"AAAAABn9tSU=")</f>
        <v>#REF!</v>
      </c>
      <c r="AM80" t="e">
        <f>AND(#REF!,"AAAAABn9tSY=")</f>
        <v>#REF!</v>
      </c>
      <c r="AN80" t="e">
        <f>AND(#REF!,"AAAAABn9tSc=")</f>
        <v>#REF!</v>
      </c>
      <c r="AO80" t="e">
        <f>AND(#REF!,"AAAAABn9tSg=")</f>
        <v>#REF!</v>
      </c>
      <c r="AP80" t="e">
        <f>AND(#REF!,"AAAAABn9tSk=")</f>
        <v>#REF!</v>
      </c>
      <c r="AQ80" t="e">
        <f>AND(#REF!,"AAAAABn9tSo=")</f>
        <v>#REF!</v>
      </c>
      <c r="AR80" t="e">
        <f>AND(#REF!,"AAAAABn9tSs=")</f>
        <v>#REF!</v>
      </c>
      <c r="AS80" t="e">
        <f>AND(#REF!,"AAAAABn9tSw=")</f>
        <v>#REF!</v>
      </c>
      <c r="AT80" t="e">
        <f>AND(#REF!,"AAAAABn9tS0=")</f>
        <v>#REF!</v>
      </c>
      <c r="AU80" t="e">
        <f>AND(#REF!,"AAAAABn9tS4=")</f>
        <v>#REF!</v>
      </c>
      <c r="AV80" t="e">
        <f>AND(#REF!,"AAAAABn9tS8=")</f>
        <v>#REF!</v>
      </c>
      <c r="AW80" t="e">
        <f>AND(#REF!,"AAAAABn9tTA=")</f>
        <v>#REF!</v>
      </c>
      <c r="AX80" t="e">
        <f>AND(#REF!,"AAAAABn9tTE=")</f>
        <v>#REF!</v>
      </c>
      <c r="AY80" t="e">
        <f>AND(#REF!,"AAAAABn9tTI=")</f>
        <v>#REF!</v>
      </c>
      <c r="AZ80" t="e">
        <f>AND(#REF!,"AAAAABn9tTM=")</f>
        <v>#REF!</v>
      </c>
      <c r="BA80" t="e">
        <f>AND(#REF!,"AAAAABn9tTQ=")</f>
        <v>#REF!</v>
      </c>
      <c r="BB80" t="e">
        <f>AND(#REF!,"AAAAABn9tTU=")</f>
        <v>#REF!</v>
      </c>
      <c r="BC80" t="e">
        <f>AND(#REF!,"AAAAABn9tTY=")</f>
        <v>#REF!</v>
      </c>
      <c r="BD80" t="e">
        <f>AND(#REF!,"AAAAABn9tTc=")</f>
        <v>#REF!</v>
      </c>
      <c r="BE80" t="e">
        <f>AND(#REF!,"AAAAABn9tTg=")</f>
        <v>#REF!</v>
      </c>
      <c r="BF80" t="e">
        <f>AND(#REF!,"AAAAABn9tTk=")</f>
        <v>#REF!</v>
      </c>
      <c r="BG80" t="e">
        <f>AND(#REF!,"AAAAABn9tTo=")</f>
        <v>#REF!</v>
      </c>
      <c r="BH80" t="e">
        <f>AND(#REF!,"AAAAABn9tTs=")</f>
        <v>#REF!</v>
      </c>
      <c r="BI80" t="e">
        <f>AND(#REF!,"AAAAABn9tTw=")</f>
        <v>#REF!</v>
      </c>
      <c r="BJ80" t="e">
        <f>IF(#REF!,"AAAAABn9tT0=",0)</f>
        <v>#REF!</v>
      </c>
      <c r="BK80" t="e">
        <f>AND(#REF!,"AAAAABn9tT4=")</f>
        <v>#REF!</v>
      </c>
      <c r="BL80" t="e">
        <f>AND(#REF!,"AAAAABn9tT8=")</f>
        <v>#REF!</v>
      </c>
      <c r="BM80" t="e">
        <f>AND(#REF!,"AAAAABn9tUA=")</f>
        <v>#REF!</v>
      </c>
      <c r="BN80" t="e">
        <f>AND(#REF!,"AAAAABn9tUE=")</f>
        <v>#REF!</v>
      </c>
      <c r="BO80" t="e">
        <f>AND(#REF!,"AAAAABn9tUI=")</f>
        <v>#REF!</v>
      </c>
      <c r="BP80" t="e">
        <f>AND(#REF!,"AAAAABn9tUM=")</f>
        <v>#REF!</v>
      </c>
      <c r="BQ80" t="e">
        <f>AND(#REF!,"AAAAABn9tUQ=")</f>
        <v>#REF!</v>
      </c>
      <c r="BR80" t="e">
        <f>AND(#REF!,"AAAAABn9tUU=")</f>
        <v>#REF!</v>
      </c>
      <c r="BS80" t="e">
        <f>AND(#REF!,"AAAAABn9tUY=")</f>
        <v>#REF!</v>
      </c>
      <c r="BT80" t="e">
        <f>AND(#REF!,"AAAAABn9tUc=")</f>
        <v>#REF!</v>
      </c>
      <c r="BU80" t="e">
        <f>AND(#REF!,"AAAAABn9tUg=")</f>
        <v>#REF!</v>
      </c>
      <c r="BV80" t="e">
        <f>AND(#REF!,"AAAAABn9tUk=")</f>
        <v>#REF!</v>
      </c>
      <c r="BW80" t="e">
        <f>AND(#REF!,"AAAAABn9tUo=")</f>
        <v>#REF!</v>
      </c>
      <c r="BX80" t="e">
        <f>AND(#REF!,"AAAAABn9tUs=")</f>
        <v>#REF!</v>
      </c>
      <c r="BY80" t="e">
        <f>AND(#REF!,"AAAAABn9tUw=")</f>
        <v>#REF!</v>
      </c>
      <c r="BZ80" t="e">
        <f>AND(#REF!,"AAAAABn9tU0=")</f>
        <v>#REF!</v>
      </c>
      <c r="CA80" t="e">
        <f>AND(#REF!,"AAAAABn9tU4=")</f>
        <v>#REF!</v>
      </c>
      <c r="CB80" t="e">
        <f>AND(#REF!,"AAAAABn9tU8=")</f>
        <v>#REF!</v>
      </c>
      <c r="CC80" t="e">
        <f>AND(#REF!,"AAAAABn9tVA=")</f>
        <v>#REF!</v>
      </c>
      <c r="CD80" t="e">
        <f>AND(#REF!,"AAAAABn9tVE=")</f>
        <v>#REF!</v>
      </c>
      <c r="CE80" t="e">
        <f>AND(#REF!,"AAAAABn9tVI=")</f>
        <v>#REF!</v>
      </c>
      <c r="CF80" t="e">
        <f>AND(#REF!,"AAAAABn9tVM=")</f>
        <v>#REF!</v>
      </c>
      <c r="CG80" t="e">
        <f>AND(#REF!,"AAAAABn9tVQ=")</f>
        <v>#REF!</v>
      </c>
      <c r="CH80" t="e">
        <f>AND(#REF!,"AAAAABn9tVU=")</f>
        <v>#REF!</v>
      </c>
      <c r="CI80" t="e">
        <f>IF(#REF!,"AAAAABn9tVY=",0)</f>
        <v>#REF!</v>
      </c>
      <c r="CJ80" t="e">
        <f>AND(#REF!,"AAAAABn9tVc=")</f>
        <v>#REF!</v>
      </c>
      <c r="CK80" t="e">
        <f>AND(#REF!,"AAAAABn9tVg=")</f>
        <v>#REF!</v>
      </c>
      <c r="CL80" t="e">
        <f>AND(#REF!,"AAAAABn9tVk=")</f>
        <v>#REF!</v>
      </c>
      <c r="CM80" t="e">
        <f>AND(#REF!,"AAAAABn9tVo=")</f>
        <v>#REF!</v>
      </c>
      <c r="CN80" t="e">
        <f>AND(#REF!,"AAAAABn9tVs=")</f>
        <v>#REF!</v>
      </c>
      <c r="CO80" t="e">
        <f>AND(#REF!,"AAAAABn9tVw=")</f>
        <v>#REF!</v>
      </c>
      <c r="CP80" t="e">
        <f>AND(#REF!,"AAAAABn9tV0=")</f>
        <v>#REF!</v>
      </c>
      <c r="CQ80" t="e">
        <f>AND(#REF!,"AAAAABn9tV4=")</f>
        <v>#REF!</v>
      </c>
      <c r="CR80" t="e">
        <f>AND(#REF!,"AAAAABn9tV8=")</f>
        <v>#REF!</v>
      </c>
      <c r="CS80" t="e">
        <f>AND(#REF!,"AAAAABn9tWA=")</f>
        <v>#REF!</v>
      </c>
      <c r="CT80" t="e">
        <f>AND(#REF!,"AAAAABn9tWE=")</f>
        <v>#REF!</v>
      </c>
      <c r="CU80" t="e">
        <f>AND(#REF!,"AAAAABn9tWI=")</f>
        <v>#REF!</v>
      </c>
      <c r="CV80" t="e">
        <f>AND(#REF!,"AAAAABn9tWM=")</f>
        <v>#REF!</v>
      </c>
      <c r="CW80" t="e">
        <f>AND(#REF!,"AAAAABn9tWQ=")</f>
        <v>#REF!</v>
      </c>
      <c r="CX80" t="e">
        <f>AND(#REF!,"AAAAABn9tWU=")</f>
        <v>#REF!</v>
      </c>
      <c r="CY80" t="e">
        <f>AND(#REF!,"AAAAABn9tWY=")</f>
        <v>#REF!</v>
      </c>
      <c r="CZ80" t="e">
        <f>AND(#REF!,"AAAAABn9tWc=")</f>
        <v>#REF!</v>
      </c>
      <c r="DA80" t="e">
        <f>AND(#REF!,"AAAAABn9tWg=")</f>
        <v>#REF!</v>
      </c>
      <c r="DB80" t="e">
        <f>AND(#REF!,"AAAAABn9tWk=")</f>
        <v>#REF!</v>
      </c>
      <c r="DC80" t="e">
        <f>AND(#REF!,"AAAAABn9tWo=")</f>
        <v>#REF!</v>
      </c>
      <c r="DD80" t="e">
        <f>AND(#REF!,"AAAAABn9tWs=")</f>
        <v>#REF!</v>
      </c>
      <c r="DE80" t="e">
        <f>AND(#REF!,"AAAAABn9tWw=")</f>
        <v>#REF!</v>
      </c>
      <c r="DF80" t="e">
        <f>AND(#REF!,"AAAAABn9tW0=")</f>
        <v>#REF!</v>
      </c>
      <c r="DG80" t="e">
        <f>AND(#REF!,"AAAAABn9tW4=")</f>
        <v>#REF!</v>
      </c>
      <c r="DH80" t="e">
        <f>IF(#REF!,"AAAAABn9tW8=",0)</f>
        <v>#REF!</v>
      </c>
      <c r="DI80" t="e">
        <f>AND(#REF!,"AAAAABn9tXA=")</f>
        <v>#REF!</v>
      </c>
      <c r="DJ80" t="e">
        <f>AND(#REF!,"AAAAABn9tXE=")</f>
        <v>#REF!</v>
      </c>
      <c r="DK80" t="e">
        <f>AND(#REF!,"AAAAABn9tXI=")</f>
        <v>#REF!</v>
      </c>
      <c r="DL80" t="e">
        <f>AND(#REF!,"AAAAABn9tXM=")</f>
        <v>#REF!</v>
      </c>
      <c r="DM80" t="e">
        <f>AND(#REF!,"AAAAABn9tXQ=")</f>
        <v>#REF!</v>
      </c>
      <c r="DN80" t="e">
        <f>AND(#REF!,"AAAAABn9tXU=")</f>
        <v>#REF!</v>
      </c>
      <c r="DO80" t="e">
        <f>AND(#REF!,"AAAAABn9tXY=")</f>
        <v>#REF!</v>
      </c>
      <c r="DP80" t="e">
        <f>AND(#REF!,"AAAAABn9tXc=")</f>
        <v>#REF!</v>
      </c>
      <c r="DQ80" t="e">
        <f>AND(#REF!,"AAAAABn9tXg=")</f>
        <v>#REF!</v>
      </c>
      <c r="DR80" t="e">
        <f>AND(#REF!,"AAAAABn9tXk=")</f>
        <v>#REF!</v>
      </c>
      <c r="DS80" t="e">
        <f>AND(#REF!,"AAAAABn9tXo=")</f>
        <v>#REF!</v>
      </c>
      <c r="DT80" t="e">
        <f>AND(#REF!,"AAAAABn9tXs=")</f>
        <v>#REF!</v>
      </c>
      <c r="DU80" t="e">
        <f>AND(#REF!,"AAAAABn9tXw=")</f>
        <v>#REF!</v>
      </c>
      <c r="DV80" t="e">
        <f>AND(#REF!,"AAAAABn9tX0=")</f>
        <v>#REF!</v>
      </c>
      <c r="DW80" t="e">
        <f>AND(#REF!,"AAAAABn9tX4=")</f>
        <v>#REF!</v>
      </c>
      <c r="DX80" t="e">
        <f>AND(#REF!,"AAAAABn9tX8=")</f>
        <v>#REF!</v>
      </c>
      <c r="DY80" t="e">
        <f>AND(#REF!,"AAAAABn9tYA=")</f>
        <v>#REF!</v>
      </c>
      <c r="DZ80" t="e">
        <f>AND(#REF!,"AAAAABn9tYE=")</f>
        <v>#REF!</v>
      </c>
      <c r="EA80" t="e">
        <f>AND(#REF!,"AAAAABn9tYI=")</f>
        <v>#REF!</v>
      </c>
      <c r="EB80" t="e">
        <f>AND(#REF!,"AAAAABn9tYM=")</f>
        <v>#REF!</v>
      </c>
      <c r="EC80" t="e">
        <f>AND(#REF!,"AAAAABn9tYQ=")</f>
        <v>#REF!</v>
      </c>
      <c r="ED80" t="e">
        <f>AND(#REF!,"AAAAABn9tYU=")</f>
        <v>#REF!</v>
      </c>
      <c r="EE80" t="e">
        <f>AND(#REF!,"AAAAABn9tYY=")</f>
        <v>#REF!</v>
      </c>
      <c r="EF80" t="e">
        <f>AND(#REF!,"AAAAABn9tYc=")</f>
        <v>#REF!</v>
      </c>
      <c r="EG80" t="e">
        <f>IF(#REF!,"AAAAABn9tYg=",0)</f>
        <v>#REF!</v>
      </c>
      <c r="EH80" t="e">
        <f>AND(#REF!,"AAAAABn9tYk=")</f>
        <v>#REF!</v>
      </c>
      <c r="EI80" t="e">
        <f>AND(#REF!,"AAAAABn9tYo=")</f>
        <v>#REF!</v>
      </c>
      <c r="EJ80" t="e">
        <f>AND(#REF!,"AAAAABn9tYs=")</f>
        <v>#REF!</v>
      </c>
      <c r="EK80" t="e">
        <f>AND(#REF!,"AAAAABn9tYw=")</f>
        <v>#REF!</v>
      </c>
      <c r="EL80" t="e">
        <f>AND(#REF!,"AAAAABn9tY0=")</f>
        <v>#REF!</v>
      </c>
      <c r="EM80" t="e">
        <f>AND(#REF!,"AAAAABn9tY4=")</f>
        <v>#REF!</v>
      </c>
      <c r="EN80" t="e">
        <f>AND(#REF!,"AAAAABn9tY8=")</f>
        <v>#REF!</v>
      </c>
      <c r="EO80" t="e">
        <f>AND(#REF!,"AAAAABn9tZA=")</f>
        <v>#REF!</v>
      </c>
      <c r="EP80" t="e">
        <f>AND(#REF!,"AAAAABn9tZE=")</f>
        <v>#REF!</v>
      </c>
      <c r="EQ80" t="e">
        <f>AND(#REF!,"AAAAABn9tZI=")</f>
        <v>#REF!</v>
      </c>
      <c r="ER80" t="e">
        <f>AND(#REF!,"AAAAABn9tZM=")</f>
        <v>#REF!</v>
      </c>
      <c r="ES80" t="e">
        <f>AND(#REF!,"AAAAABn9tZQ=")</f>
        <v>#REF!</v>
      </c>
      <c r="ET80" t="e">
        <f>AND(#REF!,"AAAAABn9tZU=")</f>
        <v>#REF!</v>
      </c>
      <c r="EU80" t="e">
        <f>AND(#REF!,"AAAAABn9tZY=")</f>
        <v>#REF!</v>
      </c>
      <c r="EV80" t="e">
        <f>AND(#REF!,"AAAAABn9tZc=")</f>
        <v>#REF!</v>
      </c>
      <c r="EW80" t="e">
        <f>AND(#REF!,"AAAAABn9tZg=")</f>
        <v>#REF!</v>
      </c>
      <c r="EX80" t="e">
        <f>AND(#REF!,"AAAAABn9tZk=")</f>
        <v>#REF!</v>
      </c>
      <c r="EY80" t="e">
        <f>AND(#REF!,"AAAAABn9tZo=")</f>
        <v>#REF!</v>
      </c>
      <c r="EZ80" t="e">
        <f>AND(#REF!,"AAAAABn9tZs=")</f>
        <v>#REF!</v>
      </c>
      <c r="FA80" t="e">
        <f>AND(#REF!,"AAAAABn9tZw=")</f>
        <v>#REF!</v>
      </c>
      <c r="FB80" t="e">
        <f>AND(#REF!,"AAAAABn9tZ0=")</f>
        <v>#REF!</v>
      </c>
      <c r="FC80" t="e">
        <f>AND(#REF!,"AAAAABn9tZ4=")</f>
        <v>#REF!</v>
      </c>
      <c r="FD80" t="e">
        <f>AND(#REF!,"AAAAABn9tZ8=")</f>
        <v>#REF!</v>
      </c>
      <c r="FE80" t="e">
        <f>AND(#REF!,"AAAAABn9taA=")</f>
        <v>#REF!</v>
      </c>
      <c r="FF80" t="e">
        <f>IF(#REF!,"AAAAABn9taE=",0)</f>
        <v>#REF!</v>
      </c>
      <c r="FG80" t="e">
        <f>AND(#REF!,"AAAAABn9taI=")</f>
        <v>#REF!</v>
      </c>
      <c r="FH80" t="e">
        <f>AND(#REF!,"AAAAABn9taM=")</f>
        <v>#REF!</v>
      </c>
      <c r="FI80" t="e">
        <f>AND(#REF!,"AAAAABn9taQ=")</f>
        <v>#REF!</v>
      </c>
      <c r="FJ80" t="e">
        <f>AND(#REF!,"AAAAABn9taU=")</f>
        <v>#REF!</v>
      </c>
      <c r="FK80" t="e">
        <f>AND(#REF!,"AAAAABn9taY=")</f>
        <v>#REF!</v>
      </c>
      <c r="FL80" t="e">
        <f>AND(#REF!,"AAAAABn9tac=")</f>
        <v>#REF!</v>
      </c>
      <c r="FM80" t="e">
        <f>AND(#REF!,"AAAAABn9tag=")</f>
        <v>#REF!</v>
      </c>
      <c r="FN80" t="e">
        <f>AND(#REF!,"AAAAABn9tak=")</f>
        <v>#REF!</v>
      </c>
      <c r="FO80" t="e">
        <f>AND(#REF!,"AAAAABn9tao=")</f>
        <v>#REF!</v>
      </c>
      <c r="FP80" t="e">
        <f>AND(#REF!,"AAAAABn9tas=")</f>
        <v>#REF!</v>
      </c>
      <c r="FQ80" t="e">
        <f>AND(#REF!,"AAAAABn9taw=")</f>
        <v>#REF!</v>
      </c>
      <c r="FR80" t="e">
        <f>AND(#REF!,"AAAAABn9ta0=")</f>
        <v>#REF!</v>
      </c>
      <c r="FS80" t="e">
        <f>AND(#REF!,"AAAAABn9ta4=")</f>
        <v>#REF!</v>
      </c>
      <c r="FT80" t="e">
        <f>AND(#REF!,"AAAAABn9ta8=")</f>
        <v>#REF!</v>
      </c>
      <c r="FU80" t="e">
        <f>AND(#REF!,"AAAAABn9tbA=")</f>
        <v>#REF!</v>
      </c>
      <c r="FV80" t="e">
        <f>AND(#REF!,"AAAAABn9tbE=")</f>
        <v>#REF!</v>
      </c>
      <c r="FW80" t="e">
        <f>AND(#REF!,"AAAAABn9tbI=")</f>
        <v>#REF!</v>
      </c>
      <c r="FX80" t="e">
        <f>AND(#REF!,"AAAAABn9tbM=")</f>
        <v>#REF!</v>
      </c>
      <c r="FY80" t="e">
        <f>AND(#REF!,"AAAAABn9tbQ=")</f>
        <v>#REF!</v>
      </c>
      <c r="FZ80" t="e">
        <f>AND(#REF!,"AAAAABn9tbU=")</f>
        <v>#REF!</v>
      </c>
      <c r="GA80" t="e">
        <f>AND(#REF!,"AAAAABn9tbY=")</f>
        <v>#REF!</v>
      </c>
      <c r="GB80" t="e">
        <f>AND(#REF!,"AAAAABn9tbc=")</f>
        <v>#REF!</v>
      </c>
      <c r="GC80" t="e">
        <f>AND(#REF!,"AAAAABn9tbg=")</f>
        <v>#REF!</v>
      </c>
      <c r="GD80" t="e">
        <f>AND(#REF!,"AAAAABn9tbk=")</f>
        <v>#REF!</v>
      </c>
      <c r="GE80" t="e">
        <f>IF(#REF!,"AAAAABn9tbo=",0)</f>
        <v>#REF!</v>
      </c>
      <c r="GF80" t="e">
        <f>AND(#REF!,"AAAAABn9tbs=")</f>
        <v>#REF!</v>
      </c>
      <c r="GG80" t="e">
        <f>AND(#REF!,"AAAAABn9tbw=")</f>
        <v>#REF!</v>
      </c>
      <c r="GH80" t="e">
        <f>AND(#REF!,"AAAAABn9tb0=")</f>
        <v>#REF!</v>
      </c>
      <c r="GI80" t="e">
        <f>AND(#REF!,"AAAAABn9tb4=")</f>
        <v>#REF!</v>
      </c>
      <c r="GJ80" t="e">
        <f>AND(#REF!,"AAAAABn9tb8=")</f>
        <v>#REF!</v>
      </c>
      <c r="GK80" t="e">
        <f>AND(#REF!,"AAAAABn9tcA=")</f>
        <v>#REF!</v>
      </c>
      <c r="GL80" t="e">
        <f>AND(#REF!,"AAAAABn9tcE=")</f>
        <v>#REF!</v>
      </c>
      <c r="GM80" t="e">
        <f>AND(#REF!,"AAAAABn9tcI=")</f>
        <v>#REF!</v>
      </c>
      <c r="GN80" t="e">
        <f>AND(#REF!,"AAAAABn9tcM=")</f>
        <v>#REF!</v>
      </c>
      <c r="GO80" t="e">
        <f>AND(#REF!,"AAAAABn9tcQ=")</f>
        <v>#REF!</v>
      </c>
      <c r="GP80" t="e">
        <f>AND(#REF!,"AAAAABn9tcU=")</f>
        <v>#REF!</v>
      </c>
      <c r="GQ80" t="e">
        <f>AND(#REF!,"AAAAABn9tcY=")</f>
        <v>#REF!</v>
      </c>
      <c r="GR80" t="e">
        <f>AND(#REF!,"AAAAABn9tcc=")</f>
        <v>#REF!</v>
      </c>
      <c r="GS80" t="e">
        <f>AND(#REF!,"AAAAABn9tcg=")</f>
        <v>#REF!</v>
      </c>
      <c r="GT80" t="e">
        <f>AND(#REF!,"AAAAABn9tck=")</f>
        <v>#REF!</v>
      </c>
      <c r="GU80" t="e">
        <f>AND(#REF!,"AAAAABn9tco=")</f>
        <v>#REF!</v>
      </c>
      <c r="GV80" t="e">
        <f>AND(#REF!,"AAAAABn9tcs=")</f>
        <v>#REF!</v>
      </c>
      <c r="GW80" t="e">
        <f>AND(#REF!,"AAAAABn9tcw=")</f>
        <v>#REF!</v>
      </c>
      <c r="GX80" t="e">
        <f>AND(#REF!,"AAAAABn9tc0=")</f>
        <v>#REF!</v>
      </c>
      <c r="GY80" t="e">
        <f>AND(#REF!,"AAAAABn9tc4=")</f>
        <v>#REF!</v>
      </c>
      <c r="GZ80" t="e">
        <f>AND(#REF!,"AAAAABn9tc8=")</f>
        <v>#REF!</v>
      </c>
      <c r="HA80" t="e">
        <f>AND(#REF!,"AAAAABn9tdA=")</f>
        <v>#REF!</v>
      </c>
      <c r="HB80" t="e">
        <f>AND(#REF!,"AAAAABn9tdE=")</f>
        <v>#REF!</v>
      </c>
      <c r="HC80" t="e">
        <f>AND(#REF!,"AAAAABn9tdI=")</f>
        <v>#REF!</v>
      </c>
      <c r="HD80" t="e">
        <f>IF(#REF!,"AAAAABn9tdM=",0)</f>
        <v>#REF!</v>
      </c>
      <c r="HE80" t="e">
        <f>AND(#REF!,"AAAAABn9tdQ=")</f>
        <v>#REF!</v>
      </c>
      <c r="HF80" t="e">
        <f>AND(#REF!,"AAAAABn9tdU=")</f>
        <v>#REF!</v>
      </c>
      <c r="HG80" t="e">
        <f>AND(#REF!,"AAAAABn9tdY=")</f>
        <v>#REF!</v>
      </c>
      <c r="HH80" t="e">
        <f>AND(#REF!,"AAAAABn9tdc=")</f>
        <v>#REF!</v>
      </c>
      <c r="HI80" t="e">
        <f>AND(#REF!,"AAAAABn9tdg=")</f>
        <v>#REF!</v>
      </c>
      <c r="HJ80" t="e">
        <f>AND(#REF!,"AAAAABn9tdk=")</f>
        <v>#REF!</v>
      </c>
      <c r="HK80" t="e">
        <f>AND(#REF!,"AAAAABn9tdo=")</f>
        <v>#REF!</v>
      </c>
      <c r="HL80" t="e">
        <f>AND(#REF!,"AAAAABn9tds=")</f>
        <v>#REF!</v>
      </c>
      <c r="HM80" t="e">
        <f>AND(#REF!,"AAAAABn9tdw=")</f>
        <v>#REF!</v>
      </c>
      <c r="HN80" t="e">
        <f>AND(#REF!,"AAAAABn9td0=")</f>
        <v>#REF!</v>
      </c>
      <c r="HO80" t="e">
        <f>AND(#REF!,"AAAAABn9td4=")</f>
        <v>#REF!</v>
      </c>
      <c r="HP80" t="e">
        <f>AND(#REF!,"AAAAABn9td8=")</f>
        <v>#REF!</v>
      </c>
      <c r="HQ80" t="e">
        <f>AND(#REF!,"AAAAABn9teA=")</f>
        <v>#REF!</v>
      </c>
      <c r="HR80" t="e">
        <f>AND(#REF!,"AAAAABn9teE=")</f>
        <v>#REF!</v>
      </c>
      <c r="HS80" t="e">
        <f>AND(#REF!,"AAAAABn9teI=")</f>
        <v>#REF!</v>
      </c>
      <c r="HT80" t="e">
        <f>AND(#REF!,"AAAAABn9teM=")</f>
        <v>#REF!</v>
      </c>
      <c r="HU80" t="e">
        <f>AND(#REF!,"AAAAABn9teQ=")</f>
        <v>#REF!</v>
      </c>
      <c r="HV80" t="e">
        <f>AND(#REF!,"AAAAABn9teU=")</f>
        <v>#REF!</v>
      </c>
      <c r="HW80" t="e">
        <f>AND(#REF!,"AAAAABn9teY=")</f>
        <v>#REF!</v>
      </c>
      <c r="HX80" t="e">
        <f>AND(#REF!,"AAAAABn9tec=")</f>
        <v>#REF!</v>
      </c>
      <c r="HY80" t="e">
        <f>AND(#REF!,"AAAAABn9teg=")</f>
        <v>#REF!</v>
      </c>
      <c r="HZ80" t="e">
        <f>AND(#REF!,"AAAAABn9tek=")</f>
        <v>#REF!</v>
      </c>
      <c r="IA80" t="e">
        <f>AND(#REF!,"AAAAABn9teo=")</f>
        <v>#REF!</v>
      </c>
      <c r="IB80" t="e">
        <f>AND(#REF!,"AAAAABn9tes=")</f>
        <v>#REF!</v>
      </c>
      <c r="IC80" t="e">
        <f>IF(#REF!,"AAAAABn9tew=",0)</f>
        <v>#REF!</v>
      </c>
      <c r="ID80" t="e">
        <f>AND(#REF!,"AAAAABn9te0=")</f>
        <v>#REF!</v>
      </c>
      <c r="IE80" t="e">
        <f>AND(#REF!,"AAAAABn9te4=")</f>
        <v>#REF!</v>
      </c>
      <c r="IF80" t="e">
        <f>AND(#REF!,"AAAAABn9te8=")</f>
        <v>#REF!</v>
      </c>
      <c r="IG80" t="e">
        <f>AND(#REF!,"AAAAABn9tfA=")</f>
        <v>#REF!</v>
      </c>
      <c r="IH80" t="e">
        <f>AND(#REF!,"AAAAABn9tfE=")</f>
        <v>#REF!</v>
      </c>
      <c r="II80" t="e">
        <f>AND(#REF!,"AAAAABn9tfI=")</f>
        <v>#REF!</v>
      </c>
      <c r="IJ80" t="e">
        <f>AND(#REF!,"AAAAABn9tfM=")</f>
        <v>#REF!</v>
      </c>
      <c r="IK80" t="e">
        <f>AND(#REF!,"AAAAABn9tfQ=")</f>
        <v>#REF!</v>
      </c>
      <c r="IL80" t="e">
        <f>AND(#REF!,"AAAAABn9tfU=")</f>
        <v>#REF!</v>
      </c>
      <c r="IM80" t="e">
        <f>AND(#REF!,"AAAAABn9tfY=")</f>
        <v>#REF!</v>
      </c>
      <c r="IN80" t="e">
        <f>AND(#REF!,"AAAAABn9tfc=")</f>
        <v>#REF!</v>
      </c>
      <c r="IO80" t="e">
        <f>AND(#REF!,"AAAAABn9tfg=")</f>
        <v>#REF!</v>
      </c>
      <c r="IP80" t="e">
        <f>AND(#REF!,"AAAAABn9tfk=")</f>
        <v>#REF!</v>
      </c>
      <c r="IQ80" t="e">
        <f>AND(#REF!,"AAAAABn9tfo=")</f>
        <v>#REF!</v>
      </c>
      <c r="IR80" t="e">
        <f>AND(#REF!,"AAAAABn9tfs=")</f>
        <v>#REF!</v>
      </c>
      <c r="IS80" t="e">
        <f>AND(#REF!,"AAAAABn9tfw=")</f>
        <v>#REF!</v>
      </c>
      <c r="IT80" t="e">
        <f>AND(#REF!,"AAAAABn9tf0=")</f>
        <v>#REF!</v>
      </c>
      <c r="IU80" t="e">
        <f>AND(#REF!,"AAAAABn9tf4=")</f>
        <v>#REF!</v>
      </c>
      <c r="IV80" t="e">
        <f>AND(#REF!,"AAAAABn9tf8=")</f>
        <v>#REF!</v>
      </c>
    </row>
    <row r="81" spans="1:256">
      <c r="A81" t="e">
        <f>AND(#REF!,"AAAAAHf+ewA=")</f>
        <v>#REF!</v>
      </c>
      <c r="B81" t="e">
        <f>AND(#REF!,"AAAAAHf+ewE=")</f>
        <v>#REF!</v>
      </c>
      <c r="C81" t="e">
        <f>AND(#REF!,"AAAAAHf+ewI=")</f>
        <v>#REF!</v>
      </c>
      <c r="D81" t="e">
        <f>AND(#REF!,"AAAAAHf+ewM=")</f>
        <v>#REF!</v>
      </c>
      <c r="E81" t="e">
        <f>AND(#REF!,"AAAAAHf+ewQ=")</f>
        <v>#REF!</v>
      </c>
      <c r="F81" t="e">
        <f>IF(#REF!,"AAAAAHf+ewU=",0)</f>
        <v>#REF!</v>
      </c>
      <c r="G81" t="e">
        <f>AND(#REF!,"AAAAAHf+ewY=")</f>
        <v>#REF!</v>
      </c>
      <c r="H81" t="e">
        <f>AND(#REF!,"AAAAAHf+ewc=")</f>
        <v>#REF!</v>
      </c>
      <c r="I81" t="e">
        <f>AND(#REF!,"AAAAAHf+ewg=")</f>
        <v>#REF!</v>
      </c>
      <c r="J81" t="e">
        <f>AND(#REF!,"AAAAAHf+ewk=")</f>
        <v>#REF!</v>
      </c>
      <c r="K81" t="e">
        <f>AND(#REF!,"AAAAAHf+ewo=")</f>
        <v>#REF!</v>
      </c>
      <c r="L81" t="e">
        <f>AND(#REF!,"AAAAAHf+ews=")</f>
        <v>#REF!</v>
      </c>
      <c r="M81" t="e">
        <f>AND(#REF!,"AAAAAHf+eww=")</f>
        <v>#REF!</v>
      </c>
      <c r="N81" t="e">
        <f>AND(#REF!,"AAAAAHf+ew0=")</f>
        <v>#REF!</v>
      </c>
      <c r="O81" t="e">
        <f>AND(#REF!,"AAAAAHf+ew4=")</f>
        <v>#REF!</v>
      </c>
      <c r="P81" t="e">
        <f>AND(#REF!,"AAAAAHf+ew8=")</f>
        <v>#REF!</v>
      </c>
      <c r="Q81" t="e">
        <f>AND(#REF!,"AAAAAHf+exA=")</f>
        <v>#REF!</v>
      </c>
      <c r="R81" t="e">
        <f>AND(#REF!,"AAAAAHf+exE=")</f>
        <v>#REF!</v>
      </c>
      <c r="S81" t="e">
        <f>AND(#REF!,"AAAAAHf+exI=")</f>
        <v>#REF!</v>
      </c>
      <c r="T81" t="e">
        <f>AND(#REF!,"AAAAAHf+exM=")</f>
        <v>#REF!</v>
      </c>
      <c r="U81" t="e">
        <f>AND(#REF!,"AAAAAHf+exQ=")</f>
        <v>#REF!</v>
      </c>
      <c r="V81" t="e">
        <f>AND(#REF!,"AAAAAHf+exU=")</f>
        <v>#REF!</v>
      </c>
      <c r="W81" t="e">
        <f>AND(#REF!,"AAAAAHf+exY=")</f>
        <v>#REF!</v>
      </c>
      <c r="X81" t="e">
        <f>AND(#REF!,"AAAAAHf+exc=")</f>
        <v>#REF!</v>
      </c>
      <c r="Y81" t="e">
        <f>AND(#REF!,"AAAAAHf+exg=")</f>
        <v>#REF!</v>
      </c>
      <c r="Z81" t="e">
        <f>AND(#REF!,"AAAAAHf+exk=")</f>
        <v>#REF!</v>
      </c>
      <c r="AA81" t="e">
        <f>AND(#REF!,"AAAAAHf+exo=")</f>
        <v>#REF!</v>
      </c>
      <c r="AB81" t="e">
        <f>AND(#REF!,"AAAAAHf+exs=")</f>
        <v>#REF!</v>
      </c>
      <c r="AC81" t="e">
        <f>AND(#REF!,"AAAAAHf+exw=")</f>
        <v>#REF!</v>
      </c>
      <c r="AD81" t="e">
        <f>AND(#REF!,"AAAAAHf+ex0=")</f>
        <v>#REF!</v>
      </c>
      <c r="AE81" t="e">
        <f>IF(#REF!,"AAAAAHf+ex4=",0)</f>
        <v>#REF!</v>
      </c>
      <c r="AF81" t="e">
        <f>AND(#REF!,"AAAAAHf+ex8=")</f>
        <v>#REF!</v>
      </c>
      <c r="AG81" t="e">
        <f>AND(#REF!,"AAAAAHf+eyA=")</f>
        <v>#REF!</v>
      </c>
      <c r="AH81" t="e">
        <f>AND(#REF!,"AAAAAHf+eyE=")</f>
        <v>#REF!</v>
      </c>
      <c r="AI81" t="e">
        <f>AND(#REF!,"AAAAAHf+eyI=")</f>
        <v>#REF!</v>
      </c>
      <c r="AJ81" t="e">
        <f>AND(#REF!,"AAAAAHf+eyM=")</f>
        <v>#REF!</v>
      </c>
      <c r="AK81" t="e">
        <f>AND(#REF!,"AAAAAHf+eyQ=")</f>
        <v>#REF!</v>
      </c>
      <c r="AL81" t="e">
        <f>AND(#REF!,"AAAAAHf+eyU=")</f>
        <v>#REF!</v>
      </c>
      <c r="AM81" t="e">
        <f>AND(#REF!,"AAAAAHf+eyY=")</f>
        <v>#REF!</v>
      </c>
      <c r="AN81" t="e">
        <f>AND(#REF!,"AAAAAHf+eyc=")</f>
        <v>#REF!</v>
      </c>
      <c r="AO81" t="e">
        <f>AND(#REF!,"AAAAAHf+eyg=")</f>
        <v>#REF!</v>
      </c>
      <c r="AP81" t="e">
        <f>AND(#REF!,"AAAAAHf+eyk=")</f>
        <v>#REF!</v>
      </c>
      <c r="AQ81" t="e">
        <f>AND(#REF!,"AAAAAHf+eyo=")</f>
        <v>#REF!</v>
      </c>
      <c r="AR81" t="e">
        <f>AND(#REF!,"AAAAAHf+eys=")</f>
        <v>#REF!</v>
      </c>
      <c r="AS81" t="e">
        <f>AND(#REF!,"AAAAAHf+eyw=")</f>
        <v>#REF!</v>
      </c>
      <c r="AT81" t="e">
        <f>AND(#REF!,"AAAAAHf+ey0=")</f>
        <v>#REF!</v>
      </c>
      <c r="AU81" t="e">
        <f>AND(#REF!,"AAAAAHf+ey4=")</f>
        <v>#REF!</v>
      </c>
      <c r="AV81" t="e">
        <f>AND(#REF!,"AAAAAHf+ey8=")</f>
        <v>#REF!</v>
      </c>
      <c r="AW81" t="e">
        <f>AND(#REF!,"AAAAAHf+ezA=")</f>
        <v>#REF!</v>
      </c>
      <c r="AX81" t="e">
        <f>AND(#REF!,"AAAAAHf+ezE=")</f>
        <v>#REF!</v>
      </c>
      <c r="AY81" t="e">
        <f>AND(#REF!,"AAAAAHf+ezI=")</f>
        <v>#REF!</v>
      </c>
      <c r="AZ81" t="e">
        <f>AND(#REF!,"AAAAAHf+ezM=")</f>
        <v>#REF!</v>
      </c>
      <c r="BA81" t="e">
        <f>AND(#REF!,"AAAAAHf+ezQ=")</f>
        <v>#REF!</v>
      </c>
      <c r="BB81" t="e">
        <f>AND(#REF!,"AAAAAHf+ezU=")</f>
        <v>#REF!</v>
      </c>
      <c r="BC81" t="e">
        <f>AND(#REF!,"AAAAAHf+ezY=")</f>
        <v>#REF!</v>
      </c>
      <c r="BD81" t="e">
        <f>IF(#REF!,"AAAAAHf+ezc=",0)</f>
        <v>#REF!</v>
      </c>
      <c r="BE81" t="e">
        <f>AND(#REF!,"AAAAAHf+ezg=")</f>
        <v>#REF!</v>
      </c>
      <c r="BF81" t="e">
        <f>AND(#REF!,"AAAAAHf+ezk=")</f>
        <v>#REF!</v>
      </c>
      <c r="BG81" t="e">
        <f>AND(#REF!,"AAAAAHf+ezo=")</f>
        <v>#REF!</v>
      </c>
      <c r="BH81" t="e">
        <f>AND(#REF!,"AAAAAHf+ezs=")</f>
        <v>#REF!</v>
      </c>
      <c r="BI81" t="e">
        <f>AND(#REF!,"AAAAAHf+ezw=")</f>
        <v>#REF!</v>
      </c>
      <c r="BJ81" t="e">
        <f>AND(#REF!,"AAAAAHf+ez0=")</f>
        <v>#REF!</v>
      </c>
      <c r="BK81" t="e">
        <f>AND(#REF!,"AAAAAHf+ez4=")</f>
        <v>#REF!</v>
      </c>
      <c r="BL81" t="e">
        <f>AND(#REF!,"AAAAAHf+ez8=")</f>
        <v>#REF!</v>
      </c>
      <c r="BM81" t="e">
        <f>AND(#REF!,"AAAAAHf+e0A=")</f>
        <v>#REF!</v>
      </c>
      <c r="BN81" t="e">
        <f>AND(#REF!,"AAAAAHf+e0E=")</f>
        <v>#REF!</v>
      </c>
      <c r="BO81" t="e">
        <f>AND(#REF!,"AAAAAHf+e0I=")</f>
        <v>#REF!</v>
      </c>
      <c r="BP81" t="e">
        <f>AND(#REF!,"AAAAAHf+e0M=")</f>
        <v>#REF!</v>
      </c>
      <c r="BQ81" t="e">
        <f>AND(#REF!,"AAAAAHf+e0Q=")</f>
        <v>#REF!</v>
      </c>
      <c r="BR81" t="e">
        <f>AND(#REF!,"AAAAAHf+e0U=")</f>
        <v>#REF!</v>
      </c>
      <c r="BS81" t="e">
        <f>AND(#REF!,"AAAAAHf+e0Y=")</f>
        <v>#REF!</v>
      </c>
      <c r="BT81" t="e">
        <f>AND(#REF!,"AAAAAHf+e0c=")</f>
        <v>#REF!</v>
      </c>
      <c r="BU81" t="e">
        <f>AND(#REF!,"AAAAAHf+e0g=")</f>
        <v>#REF!</v>
      </c>
      <c r="BV81" t="e">
        <f>AND(#REF!,"AAAAAHf+e0k=")</f>
        <v>#REF!</v>
      </c>
      <c r="BW81" t="e">
        <f>AND(#REF!,"AAAAAHf+e0o=")</f>
        <v>#REF!</v>
      </c>
      <c r="BX81" t="e">
        <f>AND(#REF!,"AAAAAHf+e0s=")</f>
        <v>#REF!</v>
      </c>
      <c r="BY81" t="e">
        <f>AND(#REF!,"AAAAAHf+e0w=")</f>
        <v>#REF!</v>
      </c>
      <c r="BZ81" t="e">
        <f>AND(#REF!,"AAAAAHf+e00=")</f>
        <v>#REF!</v>
      </c>
      <c r="CA81" t="e">
        <f>AND(#REF!,"AAAAAHf+e04=")</f>
        <v>#REF!</v>
      </c>
      <c r="CB81" t="e">
        <f>AND(#REF!,"AAAAAHf+e08=")</f>
        <v>#REF!</v>
      </c>
      <c r="CC81" t="e">
        <f>IF(#REF!,"AAAAAHf+e1A=",0)</f>
        <v>#REF!</v>
      </c>
      <c r="CD81" t="e">
        <f>AND(#REF!,"AAAAAHf+e1E=")</f>
        <v>#REF!</v>
      </c>
      <c r="CE81" t="e">
        <f>AND(#REF!,"AAAAAHf+e1I=")</f>
        <v>#REF!</v>
      </c>
      <c r="CF81" t="e">
        <f>AND(#REF!,"AAAAAHf+e1M=")</f>
        <v>#REF!</v>
      </c>
      <c r="CG81" t="e">
        <f>AND(#REF!,"AAAAAHf+e1Q=")</f>
        <v>#REF!</v>
      </c>
      <c r="CH81" t="e">
        <f>AND(#REF!,"AAAAAHf+e1U=")</f>
        <v>#REF!</v>
      </c>
      <c r="CI81" t="e">
        <f>AND(#REF!,"AAAAAHf+e1Y=")</f>
        <v>#REF!</v>
      </c>
      <c r="CJ81" t="e">
        <f>AND(#REF!,"AAAAAHf+e1c=")</f>
        <v>#REF!</v>
      </c>
      <c r="CK81" t="e">
        <f>AND(#REF!,"AAAAAHf+e1g=")</f>
        <v>#REF!</v>
      </c>
      <c r="CL81" t="e">
        <f>AND(#REF!,"AAAAAHf+e1k=")</f>
        <v>#REF!</v>
      </c>
      <c r="CM81" t="e">
        <f>AND(#REF!,"AAAAAHf+e1o=")</f>
        <v>#REF!</v>
      </c>
      <c r="CN81" t="e">
        <f>AND(#REF!,"AAAAAHf+e1s=")</f>
        <v>#REF!</v>
      </c>
      <c r="CO81" t="e">
        <f>AND(#REF!,"AAAAAHf+e1w=")</f>
        <v>#REF!</v>
      </c>
      <c r="CP81" t="e">
        <f>AND(#REF!,"AAAAAHf+e10=")</f>
        <v>#REF!</v>
      </c>
      <c r="CQ81" t="e">
        <f>AND(#REF!,"AAAAAHf+e14=")</f>
        <v>#REF!</v>
      </c>
      <c r="CR81" t="e">
        <f>AND(#REF!,"AAAAAHf+e18=")</f>
        <v>#REF!</v>
      </c>
      <c r="CS81" t="e">
        <f>AND(#REF!,"AAAAAHf+e2A=")</f>
        <v>#REF!</v>
      </c>
      <c r="CT81" t="e">
        <f>AND(#REF!,"AAAAAHf+e2E=")</f>
        <v>#REF!</v>
      </c>
      <c r="CU81" t="e">
        <f>AND(#REF!,"AAAAAHf+e2I=")</f>
        <v>#REF!</v>
      </c>
      <c r="CV81" t="e">
        <f>AND(#REF!,"AAAAAHf+e2M=")</f>
        <v>#REF!</v>
      </c>
      <c r="CW81" t="e">
        <f>AND(#REF!,"AAAAAHf+e2Q=")</f>
        <v>#REF!</v>
      </c>
      <c r="CX81" t="e">
        <f>AND(#REF!,"AAAAAHf+e2U=")</f>
        <v>#REF!</v>
      </c>
      <c r="CY81" t="e">
        <f>AND(#REF!,"AAAAAHf+e2Y=")</f>
        <v>#REF!</v>
      </c>
      <c r="CZ81" t="e">
        <f>AND(#REF!,"AAAAAHf+e2c=")</f>
        <v>#REF!</v>
      </c>
      <c r="DA81" t="e">
        <f>AND(#REF!,"AAAAAHf+e2g=")</f>
        <v>#REF!</v>
      </c>
      <c r="DB81" t="e">
        <f>IF(#REF!,"AAAAAHf+e2k=",0)</f>
        <v>#REF!</v>
      </c>
      <c r="DC81" t="e">
        <f>AND(#REF!,"AAAAAHf+e2o=")</f>
        <v>#REF!</v>
      </c>
      <c r="DD81" t="e">
        <f>AND(#REF!,"AAAAAHf+e2s=")</f>
        <v>#REF!</v>
      </c>
      <c r="DE81" t="e">
        <f>AND(#REF!,"AAAAAHf+e2w=")</f>
        <v>#REF!</v>
      </c>
      <c r="DF81" t="e">
        <f>AND(#REF!,"AAAAAHf+e20=")</f>
        <v>#REF!</v>
      </c>
      <c r="DG81" t="e">
        <f>AND(#REF!,"AAAAAHf+e24=")</f>
        <v>#REF!</v>
      </c>
      <c r="DH81" t="e">
        <f>AND(#REF!,"AAAAAHf+e28=")</f>
        <v>#REF!</v>
      </c>
      <c r="DI81" t="e">
        <f>AND(#REF!,"AAAAAHf+e3A=")</f>
        <v>#REF!</v>
      </c>
      <c r="DJ81" t="e">
        <f>AND(#REF!,"AAAAAHf+e3E=")</f>
        <v>#REF!</v>
      </c>
      <c r="DK81" t="e">
        <f>AND(#REF!,"AAAAAHf+e3I=")</f>
        <v>#REF!</v>
      </c>
      <c r="DL81" t="e">
        <f>AND(#REF!,"AAAAAHf+e3M=")</f>
        <v>#REF!</v>
      </c>
      <c r="DM81" t="e">
        <f>AND(#REF!,"AAAAAHf+e3Q=")</f>
        <v>#REF!</v>
      </c>
      <c r="DN81" t="e">
        <f>AND(#REF!,"AAAAAHf+e3U=")</f>
        <v>#REF!</v>
      </c>
      <c r="DO81" t="e">
        <f>AND(#REF!,"AAAAAHf+e3Y=")</f>
        <v>#REF!</v>
      </c>
      <c r="DP81" t="e">
        <f>AND(#REF!,"AAAAAHf+e3c=")</f>
        <v>#REF!</v>
      </c>
      <c r="DQ81" t="e">
        <f>AND(#REF!,"AAAAAHf+e3g=")</f>
        <v>#REF!</v>
      </c>
      <c r="DR81" t="e">
        <f>AND(#REF!,"AAAAAHf+e3k=")</f>
        <v>#REF!</v>
      </c>
      <c r="DS81" t="e">
        <f>AND(#REF!,"AAAAAHf+e3o=")</f>
        <v>#REF!</v>
      </c>
      <c r="DT81" t="e">
        <f>AND(#REF!,"AAAAAHf+e3s=")</f>
        <v>#REF!</v>
      </c>
      <c r="DU81" t="e">
        <f>AND(#REF!,"AAAAAHf+e3w=")</f>
        <v>#REF!</v>
      </c>
      <c r="DV81" t="e">
        <f>AND(#REF!,"AAAAAHf+e30=")</f>
        <v>#REF!</v>
      </c>
      <c r="DW81" t="e">
        <f>AND(#REF!,"AAAAAHf+e34=")</f>
        <v>#REF!</v>
      </c>
      <c r="DX81" t="e">
        <f>AND(#REF!,"AAAAAHf+e38=")</f>
        <v>#REF!</v>
      </c>
      <c r="DY81" t="e">
        <f>AND(#REF!,"AAAAAHf+e4A=")</f>
        <v>#REF!</v>
      </c>
      <c r="DZ81" t="e">
        <f>AND(#REF!,"AAAAAHf+e4E=")</f>
        <v>#REF!</v>
      </c>
      <c r="EA81" t="e">
        <f>IF(#REF!,"AAAAAHf+e4I=",0)</f>
        <v>#REF!</v>
      </c>
      <c r="EB81" t="e">
        <f>AND(#REF!,"AAAAAHf+e4M=")</f>
        <v>#REF!</v>
      </c>
      <c r="EC81" t="e">
        <f>AND(#REF!,"AAAAAHf+e4Q=")</f>
        <v>#REF!</v>
      </c>
      <c r="ED81" t="e">
        <f>AND(#REF!,"AAAAAHf+e4U=")</f>
        <v>#REF!</v>
      </c>
      <c r="EE81" t="e">
        <f>AND(#REF!,"AAAAAHf+e4Y=")</f>
        <v>#REF!</v>
      </c>
      <c r="EF81" t="e">
        <f>AND(#REF!,"AAAAAHf+e4c=")</f>
        <v>#REF!</v>
      </c>
      <c r="EG81" t="e">
        <f>AND(#REF!,"AAAAAHf+e4g=")</f>
        <v>#REF!</v>
      </c>
      <c r="EH81" t="e">
        <f>AND(#REF!,"AAAAAHf+e4k=")</f>
        <v>#REF!</v>
      </c>
      <c r="EI81" t="e">
        <f>AND(#REF!,"AAAAAHf+e4o=")</f>
        <v>#REF!</v>
      </c>
      <c r="EJ81" t="e">
        <f>AND(#REF!,"AAAAAHf+e4s=")</f>
        <v>#REF!</v>
      </c>
      <c r="EK81" t="e">
        <f>AND(#REF!,"AAAAAHf+e4w=")</f>
        <v>#REF!</v>
      </c>
      <c r="EL81" t="e">
        <f>AND(#REF!,"AAAAAHf+e40=")</f>
        <v>#REF!</v>
      </c>
      <c r="EM81" t="e">
        <f>AND(#REF!,"AAAAAHf+e44=")</f>
        <v>#REF!</v>
      </c>
      <c r="EN81" t="e">
        <f>AND(#REF!,"AAAAAHf+e48=")</f>
        <v>#REF!</v>
      </c>
      <c r="EO81" t="e">
        <f>AND(#REF!,"AAAAAHf+e5A=")</f>
        <v>#REF!</v>
      </c>
      <c r="EP81" t="e">
        <f>AND(#REF!,"AAAAAHf+e5E=")</f>
        <v>#REF!</v>
      </c>
      <c r="EQ81" t="e">
        <f>AND(#REF!,"AAAAAHf+e5I=")</f>
        <v>#REF!</v>
      </c>
      <c r="ER81" t="e">
        <f>AND(#REF!,"AAAAAHf+e5M=")</f>
        <v>#REF!</v>
      </c>
      <c r="ES81" t="e">
        <f>AND(#REF!,"AAAAAHf+e5Q=")</f>
        <v>#REF!</v>
      </c>
      <c r="ET81" t="e">
        <f>AND(#REF!,"AAAAAHf+e5U=")</f>
        <v>#REF!</v>
      </c>
      <c r="EU81" t="e">
        <f>AND(#REF!,"AAAAAHf+e5Y=")</f>
        <v>#REF!</v>
      </c>
      <c r="EV81" t="e">
        <f>AND(#REF!,"AAAAAHf+e5c=")</f>
        <v>#REF!</v>
      </c>
      <c r="EW81" t="e">
        <f>AND(#REF!,"AAAAAHf+e5g=")</f>
        <v>#REF!</v>
      </c>
      <c r="EX81" t="e">
        <f>AND(#REF!,"AAAAAHf+e5k=")</f>
        <v>#REF!</v>
      </c>
      <c r="EY81" t="e">
        <f>AND(#REF!,"AAAAAHf+e5o=")</f>
        <v>#REF!</v>
      </c>
      <c r="EZ81" t="e">
        <f>IF(#REF!,"AAAAAHf+e5s=",0)</f>
        <v>#REF!</v>
      </c>
      <c r="FA81" t="e">
        <f>AND(#REF!,"AAAAAHf+e5w=")</f>
        <v>#REF!</v>
      </c>
      <c r="FB81" t="e">
        <f>AND(#REF!,"AAAAAHf+e50=")</f>
        <v>#REF!</v>
      </c>
      <c r="FC81" t="e">
        <f>AND(#REF!,"AAAAAHf+e54=")</f>
        <v>#REF!</v>
      </c>
      <c r="FD81" t="e">
        <f>AND(#REF!,"AAAAAHf+e58=")</f>
        <v>#REF!</v>
      </c>
      <c r="FE81" t="e">
        <f>AND(#REF!,"AAAAAHf+e6A=")</f>
        <v>#REF!</v>
      </c>
      <c r="FF81" t="e">
        <f>AND(#REF!,"AAAAAHf+e6E=")</f>
        <v>#REF!</v>
      </c>
      <c r="FG81" t="e">
        <f>AND(#REF!,"AAAAAHf+e6I=")</f>
        <v>#REF!</v>
      </c>
      <c r="FH81" t="e">
        <f>AND(#REF!,"AAAAAHf+e6M=")</f>
        <v>#REF!</v>
      </c>
      <c r="FI81" t="e">
        <f>AND(#REF!,"AAAAAHf+e6Q=")</f>
        <v>#REF!</v>
      </c>
      <c r="FJ81" t="e">
        <f>AND(#REF!,"AAAAAHf+e6U=")</f>
        <v>#REF!</v>
      </c>
      <c r="FK81" t="e">
        <f>AND(#REF!,"AAAAAHf+e6Y=")</f>
        <v>#REF!</v>
      </c>
      <c r="FL81" t="e">
        <f>AND(#REF!,"AAAAAHf+e6c=")</f>
        <v>#REF!</v>
      </c>
      <c r="FM81" t="e">
        <f>AND(#REF!,"AAAAAHf+e6g=")</f>
        <v>#REF!</v>
      </c>
      <c r="FN81" t="e">
        <f>AND(#REF!,"AAAAAHf+e6k=")</f>
        <v>#REF!</v>
      </c>
      <c r="FO81" t="e">
        <f>AND(#REF!,"AAAAAHf+e6o=")</f>
        <v>#REF!</v>
      </c>
      <c r="FP81" t="e">
        <f>AND(#REF!,"AAAAAHf+e6s=")</f>
        <v>#REF!</v>
      </c>
      <c r="FQ81" t="e">
        <f>AND(#REF!,"AAAAAHf+e6w=")</f>
        <v>#REF!</v>
      </c>
      <c r="FR81" t="e">
        <f>AND(#REF!,"AAAAAHf+e60=")</f>
        <v>#REF!</v>
      </c>
      <c r="FS81" t="e">
        <f>AND(#REF!,"AAAAAHf+e64=")</f>
        <v>#REF!</v>
      </c>
      <c r="FT81" t="e">
        <f>AND(#REF!,"AAAAAHf+e68=")</f>
        <v>#REF!</v>
      </c>
      <c r="FU81" t="e">
        <f>AND(#REF!,"AAAAAHf+e7A=")</f>
        <v>#REF!</v>
      </c>
      <c r="FV81" t="e">
        <f>AND(#REF!,"AAAAAHf+e7E=")</f>
        <v>#REF!</v>
      </c>
      <c r="FW81" t="e">
        <f>AND(#REF!,"AAAAAHf+e7I=")</f>
        <v>#REF!</v>
      </c>
      <c r="FX81" t="e">
        <f>AND(#REF!,"AAAAAHf+e7M=")</f>
        <v>#REF!</v>
      </c>
      <c r="FY81" t="e">
        <f>IF(#REF!,"AAAAAHf+e7Q=",0)</f>
        <v>#REF!</v>
      </c>
      <c r="FZ81" t="e">
        <f>AND(#REF!,"AAAAAHf+e7U=")</f>
        <v>#REF!</v>
      </c>
      <c r="GA81" t="e">
        <f>AND(#REF!,"AAAAAHf+e7Y=")</f>
        <v>#REF!</v>
      </c>
      <c r="GB81" t="e">
        <f>AND(#REF!,"AAAAAHf+e7c=")</f>
        <v>#REF!</v>
      </c>
      <c r="GC81" t="e">
        <f>AND(#REF!,"AAAAAHf+e7g=")</f>
        <v>#REF!</v>
      </c>
      <c r="GD81" t="e">
        <f>AND(#REF!,"AAAAAHf+e7k=")</f>
        <v>#REF!</v>
      </c>
      <c r="GE81" t="e">
        <f>AND(#REF!,"AAAAAHf+e7o=")</f>
        <v>#REF!</v>
      </c>
      <c r="GF81" t="e">
        <f>AND(#REF!,"AAAAAHf+e7s=")</f>
        <v>#REF!</v>
      </c>
      <c r="GG81" t="e">
        <f>AND(#REF!,"AAAAAHf+e7w=")</f>
        <v>#REF!</v>
      </c>
      <c r="GH81" t="e">
        <f>AND(#REF!,"AAAAAHf+e70=")</f>
        <v>#REF!</v>
      </c>
      <c r="GI81" t="e">
        <f>AND(#REF!,"AAAAAHf+e74=")</f>
        <v>#REF!</v>
      </c>
      <c r="GJ81" t="e">
        <f>AND(#REF!,"AAAAAHf+e78=")</f>
        <v>#REF!</v>
      </c>
      <c r="GK81" t="e">
        <f>AND(#REF!,"AAAAAHf+e8A=")</f>
        <v>#REF!</v>
      </c>
      <c r="GL81" t="e">
        <f>AND(#REF!,"AAAAAHf+e8E=")</f>
        <v>#REF!</v>
      </c>
      <c r="GM81" t="e">
        <f>AND(#REF!,"AAAAAHf+e8I=")</f>
        <v>#REF!</v>
      </c>
      <c r="GN81" t="e">
        <f>AND(#REF!,"AAAAAHf+e8M=")</f>
        <v>#REF!</v>
      </c>
      <c r="GO81" t="e">
        <f>AND(#REF!,"AAAAAHf+e8Q=")</f>
        <v>#REF!</v>
      </c>
      <c r="GP81" t="e">
        <f>AND(#REF!,"AAAAAHf+e8U=")</f>
        <v>#REF!</v>
      </c>
      <c r="GQ81" t="e">
        <f>AND(#REF!,"AAAAAHf+e8Y=")</f>
        <v>#REF!</v>
      </c>
      <c r="GR81" t="e">
        <f>AND(#REF!,"AAAAAHf+e8c=")</f>
        <v>#REF!</v>
      </c>
      <c r="GS81" t="e">
        <f>AND(#REF!,"AAAAAHf+e8g=")</f>
        <v>#REF!</v>
      </c>
      <c r="GT81" t="e">
        <f>AND(#REF!,"AAAAAHf+e8k=")</f>
        <v>#REF!</v>
      </c>
      <c r="GU81" t="e">
        <f>AND(#REF!,"AAAAAHf+e8o=")</f>
        <v>#REF!</v>
      </c>
      <c r="GV81" t="e">
        <f>AND(#REF!,"AAAAAHf+e8s=")</f>
        <v>#REF!</v>
      </c>
      <c r="GW81" t="e">
        <f>AND(#REF!,"AAAAAHf+e8w=")</f>
        <v>#REF!</v>
      </c>
      <c r="GX81" t="e">
        <f>IF(#REF!,"AAAAAHf+e80=",0)</f>
        <v>#REF!</v>
      </c>
      <c r="GY81" t="e">
        <f>AND(#REF!,"AAAAAHf+e84=")</f>
        <v>#REF!</v>
      </c>
      <c r="GZ81" t="e">
        <f>AND(#REF!,"AAAAAHf+e88=")</f>
        <v>#REF!</v>
      </c>
      <c r="HA81" t="e">
        <f>AND(#REF!,"AAAAAHf+e9A=")</f>
        <v>#REF!</v>
      </c>
      <c r="HB81" t="e">
        <f>AND(#REF!,"AAAAAHf+e9E=")</f>
        <v>#REF!</v>
      </c>
      <c r="HC81" t="e">
        <f>AND(#REF!,"AAAAAHf+e9I=")</f>
        <v>#REF!</v>
      </c>
      <c r="HD81" t="e">
        <f>AND(#REF!,"AAAAAHf+e9M=")</f>
        <v>#REF!</v>
      </c>
      <c r="HE81" t="e">
        <f>AND(#REF!,"AAAAAHf+e9Q=")</f>
        <v>#REF!</v>
      </c>
      <c r="HF81" t="e">
        <f>AND(#REF!,"AAAAAHf+e9U=")</f>
        <v>#REF!</v>
      </c>
      <c r="HG81" t="e">
        <f>AND(#REF!,"AAAAAHf+e9Y=")</f>
        <v>#REF!</v>
      </c>
      <c r="HH81" t="e">
        <f>AND(#REF!,"AAAAAHf+e9c=")</f>
        <v>#REF!</v>
      </c>
      <c r="HI81" t="e">
        <f>AND(#REF!,"AAAAAHf+e9g=")</f>
        <v>#REF!</v>
      </c>
      <c r="HJ81" t="e">
        <f>AND(#REF!,"AAAAAHf+e9k=")</f>
        <v>#REF!</v>
      </c>
      <c r="HK81" t="e">
        <f>AND(#REF!,"AAAAAHf+e9o=")</f>
        <v>#REF!</v>
      </c>
      <c r="HL81" t="e">
        <f>AND(#REF!,"AAAAAHf+e9s=")</f>
        <v>#REF!</v>
      </c>
      <c r="HM81" t="e">
        <f>AND(#REF!,"AAAAAHf+e9w=")</f>
        <v>#REF!</v>
      </c>
      <c r="HN81" t="e">
        <f>AND(#REF!,"AAAAAHf+e90=")</f>
        <v>#REF!</v>
      </c>
      <c r="HO81" t="e">
        <f>AND(#REF!,"AAAAAHf+e94=")</f>
        <v>#REF!</v>
      </c>
      <c r="HP81" t="e">
        <f>AND(#REF!,"AAAAAHf+e98=")</f>
        <v>#REF!</v>
      </c>
      <c r="HQ81" t="e">
        <f>AND(#REF!,"AAAAAHf+e+A=")</f>
        <v>#REF!</v>
      </c>
      <c r="HR81" t="e">
        <f>AND(#REF!,"AAAAAHf+e+E=")</f>
        <v>#REF!</v>
      </c>
      <c r="HS81" t="e">
        <f>AND(#REF!,"AAAAAHf+e+I=")</f>
        <v>#REF!</v>
      </c>
      <c r="HT81" t="e">
        <f>AND(#REF!,"AAAAAHf+e+M=")</f>
        <v>#REF!</v>
      </c>
      <c r="HU81" t="e">
        <f>AND(#REF!,"AAAAAHf+e+Q=")</f>
        <v>#REF!</v>
      </c>
      <c r="HV81" t="e">
        <f>AND(#REF!,"AAAAAHf+e+U=")</f>
        <v>#REF!</v>
      </c>
      <c r="HW81" t="e">
        <f>IF(#REF!,"AAAAAHf+e+Y=",0)</f>
        <v>#REF!</v>
      </c>
      <c r="HX81" t="e">
        <f>AND(#REF!,"AAAAAHf+e+c=")</f>
        <v>#REF!</v>
      </c>
      <c r="HY81" t="e">
        <f>AND(#REF!,"AAAAAHf+e+g=")</f>
        <v>#REF!</v>
      </c>
      <c r="HZ81" t="e">
        <f>AND(#REF!,"AAAAAHf+e+k=")</f>
        <v>#REF!</v>
      </c>
      <c r="IA81" t="e">
        <f>AND(#REF!,"AAAAAHf+e+o=")</f>
        <v>#REF!</v>
      </c>
      <c r="IB81" t="e">
        <f>AND(#REF!,"AAAAAHf+e+s=")</f>
        <v>#REF!</v>
      </c>
      <c r="IC81" t="e">
        <f>AND(#REF!,"AAAAAHf+e+w=")</f>
        <v>#REF!</v>
      </c>
      <c r="ID81" t="e">
        <f>AND(#REF!,"AAAAAHf+e+0=")</f>
        <v>#REF!</v>
      </c>
      <c r="IE81" t="e">
        <f>AND(#REF!,"AAAAAHf+e+4=")</f>
        <v>#REF!</v>
      </c>
      <c r="IF81" t="e">
        <f>AND(#REF!,"AAAAAHf+e+8=")</f>
        <v>#REF!</v>
      </c>
      <c r="IG81" t="e">
        <f>AND(#REF!,"AAAAAHf+e/A=")</f>
        <v>#REF!</v>
      </c>
      <c r="IH81" t="e">
        <f>AND(#REF!,"AAAAAHf+e/E=")</f>
        <v>#REF!</v>
      </c>
      <c r="II81" t="e">
        <f>AND(#REF!,"AAAAAHf+e/I=")</f>
        <v>#REF!</v>
      </c>
      <c r="IJ81" t="e">
        <f>AND(#REF!,"AAAAAHf+e/M=")</f>
        <v>#REF!</v>
      </c>
      <c r="IK81" t="e">
        <f>AND(#REF!,"AAAAAHf+e/Q=")</f>
        <v>#REF!</v>
      </c>
      <c r="IL81" t="e">
        <f>AND(#REF!,"AAAAAHf+e/U=")</f>
        <v>#REF!</v>
      </c>
      <c r="IM81" t="e">
        <f>AND(#REF!,"AAAAAHf+e/Y=")</f>
        <v>#REF!</v>
      </c>
      <c r="IN81" t="e">
        <f>AND(#REF!,"AAAAAHf+e/c=")</f>
        <v>#REF!</v>
      </c>
      <c r="IO81" t="e">
        <f>AND(#REF!,"AAAAAHf+e/g=")</f>
        <v>#REF!</v>
      </c>
      <c r="IP81" t="e">
        <f>AND(#REF!,"AAAAAHf+e/k=")</f>
        <v>#REF!</v>
      </c>
      <c r="IQ81" t="e">
        <f>AND(#REF!,"AAAAAHf+e/o=")</f>
        <v>#REF!</v>
      </c>
      <c r="IR81" t="e">
        <f>AND(#REF!,"AAAAAHf+e/s=")</f>
        <v>#REF!</v>
      </c>
      <c r="IS81" t="e">
        <f>AND(#REF!,"AAAAAHf+e/w=")</f>
        <v>#REF!</v>
      </c>
      <c r="IT81" t="e">
        <f>AND(#REF!,"AAAAAHf+e/0=")</f>
        <v>#REF!</v>
      </c>
      <c r="IU81" t="e">
        <f>AND(#REF!,"AAAAAHf+e/4=")</f>
        <v>#REF!</v>
      </c>
      <c r="IV81" t="e">
        <f>IF(#REF!,"AAAAAHf+e/8=",0)</f>
        <v>#REF!</v>
      </c>
    </row>
    <row r="82" spans="1:256">
      <c r="A82" t="e">
        <f>AND(#REF!,"AAAAAGf81QA=")</f>
        <v>#REF!</v>
      </c>
      <c r="B82" t="e">
        <f>AND(#REF!,"AAAAAGf81QE=")</f>
        <v>#REF!</v>
      </c>
      <c r="C82" t="e">
        <f>AND(#REF!,"AAAAAGf81QI=")</f>
        <v>#REF!</v>
      </c>
      <c r="D82" t="e">
        <f>AND(#REF!,"AAAAAGf81QM=")</f>
        <v>#REF!</v>
      </c>
      <c r="E82" t="e">
        <f>AND(#REF!,"AAAAAGf81QQ=")</f>
        <v>#REF!</v>
      </c>
      <c r="F82" t="e">
        <f>AND(#REF!,"AAAAAGf81QU=")</f>
        <v>#REF!</v>
      </c>
      <c r="G82" t="e">
        <f>AND(#REF!,"AAAAAGf81QY=")</f>
        <v>#REF!</v>
      </c>
      <c r="H82" t="e">
        <f>AND(#REF!,"AAAAAGf81Qc=")</f>
        <v>#REF!</v>
      </c>
      <c r="I82" t="e">
        <f>AND(#REF!,"AAAAAGf81Qg=")</f>
        <v>#REF!</v>
      </c>
      <c r="J82" t="e">
        <f>AND(#REF!,"AAAAAGf81Qk=")</f>
        <v>#REF!</v>
      </c>
      <c r="K82" t="e">
        <f>AND(#REF!,"AAAAAGf81Qo=")</f>
        <v>#REF!</v>
      </c>
      <c r="L82" t="e">
        <f>AND(#REF!,"AAAAAGf81Qs=")</f>
        <v>#REF!</v>
      </c>
      <c r="M82" t="e">
        <f>AND(#REF!,"AAAAAGf81Qw=")</f>
        <v>#REF!</v>
      </c>
      <c r="N82" t="e">
        <f>AND(#REF!,"AAAAAGf81Q0=")</f>
        <v>#REF!</v>
      </c>
      <c r="O82" t="e">
        <f>AND(#REF!,"AAAAAGf81Q4=")</f>
        <v>#REF!</v>
      </c>
      <c r="P82" t="e">
        <f>AND(#REF!,"AAAAAGf81Q8=")</f>
        <v>#REF!</v>
      </c>
      <c r="Q82" t="e">
        <f>AND(#REF!,"AAAAAGf81RA=")</f>
        <v>#REF!</v>
      </c>
      <c r="R82" t="e">
        <f>AND(#REF!,"AAAAAGf81RE=")</f>
        <v>#REF!</v>
      </c>
      <c r="S82" t="e">
        <f>AND(#REF!,"AAAAAGf81RI=")</f>
        <v>#REF!</v>
      </c>
      <c r="T82" t="e">
        <f>AND(#REF!,"AAAAAGf81RM=")</f>
        <v>#REF!</v>
      </c>
      <c r="U82" t="e">
        <f>AND(#REF!,"AAAAAGf81RQ=")</f>
        <v>#REF!</v>
      </c>
      <c r="V82" t="e">
        <f>AND(#REF!,"AAAAAGf81RU=")</f>
        <v>#REF!</v>
      </c>
      <c r="W82" t="e">
        <f>AND(#REF!,"AAAAAGf81RY=")</f>
        <v>#REF!</v>
      </c>
      <c r="X82" t="e">
        <f>AND(#REF!,"AAAAAGf81Rc=")</f>
        <v>#REF!</v>
      </c>
      <c r="Y82" t="e">
        <f>IF(#REF!,"AAAAAGf81Rg=",0)</f>
        <v>#REF!</v>
      </c>
      <c r="Z82" t="e">
        <f>AND(#REF!,"AAAAAGf81Rk=")</f>
        <v>#REF!</v>
      </c>
      <c r="AA82" t="e">
        <f>AND(#REF!,"AAAAAGf81Ro=")</f>
        <v>#REF!</v>
      </c>
      <c r="AB82" t="e">
        <f>AND(#REF!,"AAAAAGf81Rs=")</f>
        <v>#REF!</v>
      </c>
      <c r="AC82" t="e">
        <f>AND(#REF!,"AAAAAGf81Rw=")</f>
        <v>#REF!</v>
      </c>
      <c r="AD82" t="e">
        <f>AND(#REF!,"AAAAAGf81R0=")</f>
        <v>#REF!</v>
      </c>
      <c r="AE82" t="e">
        <f>AND(#REF!,"AAAAAGf81R4=")</f>
        <v>#REF!</v>
      </c>
      <c r="AF82" t="e">
        <f>AND(#REF!,"AAAAAGf81R8=")</f>
        <v>#REF!</v>
      </c>
      <c r="AG82" t="e">
        <f>AND(#REF!,"AAAAAGf81SA=")</f>
        <v>#REF!</v>
      </c>
      <c r="AH82" t="e">
        <f>AND(#REF!,"AAAAAGf81SE=")</f>
        <v>#REF!</v>
      </c>
      <c r="AI82" t="e">
        <f>AND(#REF!,"AAAAAGf81SI=")</f>
        <v>#REF!</v>
      </c>
      <c r="AJ82" t="e">
        <f>AND(#REF!,"AAAAAGf81SM=")</f>
        <v>#REF!</v>
      </c>
      <c r="AK82" t="e">
        <f>AND(#REF!,"AAAAAGf81SQ=")</f>
        <v>#REF!</v>
      </c>
      <c r="AL82" t="e">
        <f>AND(#REF!,"AAAAAGf81SU=")</f>
        <v>#REF!</v>
      </c>
      <c r="AM82" t="e">
        <f>AND(#REF!,"AAAAAGf81SY=")</f>
        <v>#REF!</v>
      </c>
      <c r="AN82" t="e">
        <f>AND(#REF!,"AAAAAGf81Sc=")</f>
        <v>#REF!</v>
      </c>
      <c r="AO82" t="e">
        <f>AND(#REF!,"AAAAAGf81Sg=")</f>
        <v>#REF!</v>
      </c>
      <c r="AP82" t="e">
        <f>AND(#REF!,"AAAAAGf81Sk=")</f>
        <v>#REF!</v>
      </c>
      <c r="AQ82" t="e">
        <f>AND(#REF!,"AAAAAGf81So=")</f>
        <v>#REF!</v>
      </c>
      <c r="AR82" t="e">
        <f>AND(#REF!,"AAAAAGf81Ss=")</f>
        <v>#REF!</v>
      </c>
      <c r="AS82" t="e">
        <f>AND(#REF!,"AAAAAGf81Sw=")</f>
        <v>#REF!</v>
      </c>
      <c r="AT82" t="e">
        <f>AND(#REF!,"AAAAAGf81S0=")</f>
        <v>#REF!</v>
      </c>
      <c r="AU82" t="e">
        <f>AND(#REF!,"AAAAAGf81S4=")</f>
        <v>#REF!</v>
      </c>
      <c r="AV82" t="e">
        <f>AND(#REF!,"AAAAAGf81S8=")</f>
        <v>#REF!</v>
      </c>
      <c r="AW82" t="e">
        <f>AND(#REF!,"AAAAAGf81TA=")</f>
        <v>#REF!</v>
      </c>
      <c r="AX82" t="e">
        <f>IF(#REF!,"AAAAAGf81TE=",0)</f>
        <v>#REF!</v>
      </c>
      <c r="AY82" t="e">
        <f>AND(#REF!,"AAAAAGf81TI=")</f>
        <v>#REF!</v>
      </c>
      <c r="AZ82" t="e">
        <f>AND(#REF!,"AAAAAGf81TM=")</f>
        <v>#REF!</v>
      </c>
      <c r="BA82" t="e">
        <f>AND(#REF!,"AAAAAGf81TQ=")</f>
        <v>#REF!</v>
      </c>
      <c r="BB82" t="e">
        <f>AND(#REF!,"AAAAAGf81TU=")</f>
        <v>#REF!</v>
      </c>
      <c r="BC82" t="e">
        <f>AND(#REF!,"AAAAAGf81TY=")</f>
        <v>#REF!</v>
      </c>
      <c r="BD82" t="e">
        <f>AND(#REF!,"AAAAAGf81Tc=")</f>
        <v>#REF!</v>
      </c>
      <c r="BE82" t="e">
        <f>AND(#REF!,"AAAAAGf81Tg=")</f>
        <v>#REF!</v>
      </c>
      <c r="BF82" t="e">
        <f>AND(#REF!,"AAAAAGf81Tk=")</f>
        <v>#REF!</v>
      </c>
      <c r="BG82" t="e">
        <f>AND(#REF!,"AAAAAGf81To=")</f>
        <v>#REF!</v>
      </c>
      <c r="BH82" t="e">
        <f>AND(#REF!,"AAAAAGf81Ts=")</f>
        <v>#REF!</v>
      </c>
      <c r="BI82" t="e">
        <f>AND(#REF!,"AAAAAGf81Tw=")</f>
        <v>#REF!</v>
      </c>
      <c r="BJ82" t="e">
        <f>AND(#REF!,"AAAAAGf81T0=")</f>
        <v>#REF!</v>
      </c>
      <c r="BK82" t="e">
        <f>AND(#REF!,"AAAAAGf81T4=")</f>
        <v>#REF!</v>
      </c>
      <c r="BL82" t="e">
        <f>AND(#REF!,"AAAAAGf81T8=")</f>
        <v>#REF!</v>
      </c>
      <c r="BM82" t="e">
        <f>AND(#REF!,"AAAAAGf81UA=")</f>
        <v>#REF!</v>
      </c>
      <c r="BN82" t="e">
        <f>AND(#REF!,"AAAAAGf81UE=")</f>
        <v>#REF!</v>
      </c>
      <c r="BO82" t="e">
        <f>AND(#REF!,"AAAAAGf81UI=")</f>
        <v>#REF!</v>
      </c>
      <c r="BP82" t="e">
        <f>AND(#REF!,"AAAAAGf81UM=")</f>
        <v>#REF!</v>
      </c>
      <c r="BQ82" t="e">
        <f>AND(#REF!,"AAAAAGf81UQ=")</f>
        <v>#REF!</v>
      </c>
      <c r="BR82" t="e">
        <f>AND(#REF!,"AAAAAGf81UU=")</f>
        <v>#REF!</v>
      </c>
      <c r="BS82" t="e">
        <f>AND(#REF!,"AAAAAGf81UY=")</f>
        <v>#REF!</v>
      </c>
      <c r="BT82" t="e">
        <f>AND(#REF!,"AAAAAGf81Uc=")</f>
        <v>#REF!</v>
      </c>
      <c r="BU82" t="e">
        <f>AND(#REF!,"AAAAAGf81Ug=")</f>
        <v>#REF!</v>
      </c>
      <c r="BV82" t="e">
        <f>AND(#REF!,"AAAAAGf81Uk=")</f>
        <v>#REF!</v>
      </c>
      <c r="BW82" t="e">
        <f>IF(#REF!,"AAAAAGf81Uo=",0)</f>
        <v>#REF!</v>
      </c>
      <c r="BX82" t="e">
        <f>AND(#REF!,"AAAAAGf81Us=")</f>
        <v>#REF!</v>
      </c>
      <c r="BY82" t="e">
        <f>AND(#REF!,"AAAAAGf81Uw=")</f>
        <v>#REF!</v>
      </c>
      <c r="BZ82" t="e">
        <f>AND(#REF!,"AAAAAGf81U0=")</f>
        <v>#REF!</v>
      </c>
      <c r="CA82" t="e">
        <f>AND(#REF!,"AAAAAGf81U4=")</f>
        <v>#REF!</v>
      </c>
      <c r="CB82" t="e">
        <f>AND(#REF!,"AAAAAGf81U8=")</f>
        <v>#REF!</v>
      </c>
      <c r="CC82" t="e">
        <f>AND(#REF!,"AAAAAGf81VA=")</f>
        <v>#REF!</v>
      </c>
      <c r="CD82" t="e">
        <f>AND(#REF!,"AAAAAGf81VE=")</f>
        <v>#REF!</v>
      </c>
      <c r="CE82" t="e">
        <f>AND(#REF!,"AAAAAGf81VI=")</f>
        <v>#REF!</v>
      </c>
      <c r="CF82" t="e">
        <f>AND(#REF!,"AAAAAGf81VM=")</f>
        <v>#REF!</v>
      </c>
      <c r="CG82" t="e">
        <f>AND(#REF!,"AAAAAGf81VQ=")</f>
        <v>#REF!</v>
      </c>
      <c r="CH82" t="e">
        <f>AND(#REF!,"AAAAAGf81VU=")</f>
        <v>#REF!</v>
      </c>
      <c r="CI82" t="e">
        <f>AND(#REF!,"AAAAAGf81VY=")</f>
        <v>#REF!</v>
      </c>
      <c r="CJ82" t="e">
        <f>AND(#REF!,"AAAAAGf81Vc=")</f>
        <v>#REF!</v>
      </c>
      <c r="CK82" t="e">
        <f>AND(#REF!,"AAAAAGf81Vg=")</f>
        <v>#REF!</v>
      </c>
      <c r="CL82" t="e">
        <f>AND(#REF!,"AAAAAGf81Vk=")</f>
        <v>#REF!</v>
      </c>
      <c r="CM82" t="e">
        <f>AND(#REF!,"AAAAAGf81Vo=")</f>
        <v>#REF!</v>
      </c>
      <c r="CN82" t="e">
        <f>AND(#REF!,"AAAAAGf81Vs=")</f>
        <v>#REF!</v>
      </c>
      <c r="CO82" t="e">
        <f>AND(#REF!,"AAAAAGf81Vw=")</f>
        <v>#REF!</v>
      </c>
      <c r="CP82" t="e">
        <f>AND(#REF!,"AAAAAGf81V0=")</f>
        <v>#REF!</v>
      </c>
      <c r="CQ82" t="e">
        <f>AND(#REF!,"AAAAAGf81V4=")</f>
        <v>#REF!</v>
      </c>
      <c r="CR82" t="e">
        <f>AND(#REF!,"AAAAAGf81V8=")</f>
        <v>#REF!</v>
      </c>
      <c r="CS82" t="e">
        <f>AND(#REF!,"AAAAAGf81WA=")</f>
        <v>#REF!</v>
      </c>
      <c r="CT82" t="e">
        <f>AND(#REF!,"AAAAAGf81WE=")</f>
        <v>#REF!</v>
      </c>
      <c r="CU82" t="e">
        <f>AND(#REF!,"AAAAAGf81WI=")</f>
        <v>#REF!</v>
      </c>
      <c r="CV82" t="e">
        <f>IF(#REF!,"AAAAAGf81WM=",0)</f>
        <v>#REF!</v>
      </c>
      <c r="CW82" t="e">
        <f>AND(#REF!,"AAAAAGf81WQ=")</f>
        <v>#REF!</v>
      </c>
      <c r="CX82" t="e">
        <f>AND(#REF!,"AAAAAGf81WU=")</f>
        <v>#REF!</v>
      </c>
      <c r="CY82" t="e">
        <f>AND(#REF!,"AAAAAGf81WY=")</f>
        <v>#REF!</v>
      </c>
      <c r="CZ82" t="e">
        <f>AND(#REF!,"AAAAAGf81Wc=")</f>
        <v>#REF!</v>
      </c>
      <c r="DA82" t="e">
        <f>AND(#REF!,"AAAAAGf81Wg=")</f>
        <v>#REF!</v>
      </c>
      <c r="DB82" t="e">
        <f>AND(#REF!,"AAAAAGf81Wk=")</f>
        <v>#REF!</v>
      </c>
      <c r="DC82" t="e">
        <f>AND(#REF!,"AAAAAGf81Wo=")</f>
        <v>#REF!</v>
      </c>
      <c r="DD82" t="e">
        <f>AND(#REF!,"AAAAAGf81Ws=")</f>
        <v>#REF!</v>
      </c>
      <c r="DE82" t="e">
        <f>AND(#REF!,"AAAAAGf81Ww=")</f>
        <v>#REF!</v>
      </c>
      <c r="DF82" t="e">
        <f>AND(#REF!,"AAAAAGf81W0=")</f>
        <v>#REF!</v>
      </c>
      <c r="DG82" t="e">
        <f>AND(#REF!,"AAAAAGf81W4=")</f>
        <v>#REF!</v>
      </c>
      <c r="DH82" t="e">
        <f>AND(#REF!,"AAAAAGf81W8=")</f>
        <v>#REF!</v>
      </c>
      <c r="DI82" t="e">
        <f>AND(#REF!,"AAAAAGf81XA=")</f>
        <v>#REF!</v>
      </c>
      <c r="DJ82" t="e">
        <f>AND(#REF!,"AAAAAGf81XE=")</f>
        <v>#REF!</v>
      </c>
      <c r="DK82" t="e">
        <f>AND(#REF!,"AAAAAGf81XI=")</f>
        <v>#REF!</v>
      </c>
      <c r="DL82" t="e">
        <f>AND(#REF!,"AAAAAGf81XM=")</f>
        <v>#REF!</v>
      </c>
      <c r="DM82" t="e">
        <f>AND(#REF!,"AAAAAGf81XQ=")</f>
        <v>#REF!</v>
      </c>
      <c r="DN82" t="e">
        <f>AND(#REF!,"AAAAAGf81XU=")</f>
        <v>#REF!</v>
      </c>
      <c r="DO82" t="e">
        <f>AND(#REF!,"AAAAAGf81XY=")</f>
        <v>#REF!</v>
      </c>
      <c r="DP82" t="e">
        <f>AND(#REF!,"AAAAAGf81Xc=")</f>
        <v>#REF!</v>
      </c>
      <c r="DQ82" t="e">
        <f>AND(#REF!,"AAAAAGf81Xg=")</f>
        <v>#REF!</v>
      </c>
      <c r="DR82" t="e">
        <f>AND(#REF!,"AAAAAGf81Xk=")</f>
        <v>#REF!</v>
      </c>
      <c r="DS82" t="e">
        <f>AND(#REF!,"AAAAAGf81Xo=")</f>
        <v>#REF!</v>
      </c>
      <c r="DT82" t="e">
        <f>AND(#REF!,"AAAAAGf81Xs=")</f>
        <v>#REF!</v>
      </c>
      <c r="DU82" t="e">
        <f>IF(#REF!,"AAAAAGf81Xw=",0)</f>
        <v>#REF!</v>
      </c>
      <c r="DV82" t="e">
        <f>AND(#REF!,"AAAAAGf81X0=")</f>
        <v>#REF!</v>
      </c>
      <c r="DW82" t="e">
        <f>AND(#REF!,"AAAAAGf81X4=")</f>
        <v>#REF!</v>
      </c>
      <c r="DX82" t="e">
        <f>AND(#REF!,"AAAAAGf81X8=")</f>
        <v>#REF!</v>
      </c>
      <c r="DY82" t="e">
        <f>AND(#REF!,"AAAAAGf81YA=")</f>
        <v>#REF!</v>
      </c>
      <c r="DZ82" t="e">
        <f>AND(#REF!,"AAAAAGf81YE=")</f>
        <v>#REF!</v>
      </c>
      <c r="EA82" t="e">
        <f>AND(#REF!,"AAAAAGf81YI=")</f>
        <v>#REF!</v>
      </c>
      <c r="EB82" t="e">
        <f>AND(#REF!,"AAAAAGf81YM=")</f>
        <v>#REF!</v>
      </c>
      <c r="EC82" t="e">
        <f>AND(#REF!,"AAAAAGf81YQ=")</f>
        <v>#REF!</v>
      </c>
      <c r="ED82" t="e">
        <f>AND(#REF!,"AAAAAGf81YU=")</f>
        <v>#REF!</v>
      </c>
      <c r="EE82" t="e">
        <f>AND(#REF!,"AAAAAGf81YY=")</f>
        <v>#REF!</v>
      </c>
      <c r="EF82" t="e">
        <f>AND(#REF!,"AAAAAGf81Yc=")</f>
        <v>#REF!</v>
      </c>
      <c r="EG82" t="e">
        <f>AND(#REF!,"AAAAAGf81Yg=")</f>
        <v>#REF!</v>
      </c>
      <c r="EH82" t="e">
        <f>AND(#REF!,"AAAAAGf81Yk=")</f>
        <v>#REF!</v>
      </c>
      <c r="EI82" t="e">
        <f>AND(#REF!,"AAAAAGf81Yo=")</f>
        <v>#REF!</v>
      </c>
      <c r="EJ82" t="e">
        <f>AND(#REF!,"AAAAAGf81Ys=")</f>
        <v>#REF!</v>
      </c>
      <c r="EK82" t="e">
        <f>AND(#REF!,"AAAAAGf81Yw=")</f>
        <v>#REF!</v>
      </c>
      <c r="EL82" t="e">
        <f>AND(#REF!,"AAAAAGf81Y0=")</f>
        <v>#REF!</v>
      </c>
      <c r="EM82" t="e">
        <f>AND(#REF!,"AAAAAGf81Y4=")</f>
        <v>#REF!</v>
      </c>
      <c r="EN82" t="e">
        <f>AND(#REF!,"AAAAAGf81Y8=")</f>
        <v>#REF!</v>
      </c>
      <c r="EO82" t="e">
        <f>AND(#REF!,"AAAAAGf81ZA=")</f>
        <v>#REF!</v>
      </c>
      <c r="EP82" t="e">
        <f>AND(#REF!,"AAAAAGf81ZE=")</f>
        <v>#REF!</v>
      </c>
      <c r="EQ82" t="e">
        <f>AND(#REF!,"AAAAAGf81ZI=")</f>
        <v>#REF!</v>
      </c>
      <c r="ER82" t="e">
        <f>AND(#REF!,"AAAAAGf81ZM=")</f>
        <v>#REF!</v>
      </c>
      <c r="ES82" t="e">
        <f>AND(#REF!,"AAAAAGf81ZQ=")</f>
        <v>#REF!</v>
      </c>
      <c r="ET82" t="e">
        <f>IF(#REF!,"AAAAAGf81ZU=",0)</f>
        <v>#REF!</v>
      </c>
      <c r="EU82" t="e">
        <f>AND(#REF!,"AAAAAGf81ZY=")</f>
        <v>#REF!</v>
      </c>
      <c r="EV82" t="e">
        <f>AND(#REF!,"AAAAAGf81Zc=")</f>
        <v>#REF!</v>
      </c>
      <c r="EW82" t="e">
        <f>AND(#REF!,"AAAAAGf81Zg=")</f>
        <v>#REF!</v>
      </c>
      <c r="EX82" t="e">
        <f>AND(#REF!,"AAAAAGf81Zk=")</f>
        <v>#REF!</v>
      </c>
      <c r="EY82" t="e">
        <f>AND(#REF!,"AAAAAGf81Zo=")</f>
        <v>#REF!</v>
      </c>
      <c r="EZ82" t="e">
        <f>AND(#REF!,"AAAAAGf81Zs=")</f>
        <v>#REF!</v>
      </c>
      <c r="FA82" t="e">
        <f>AND(#REF!,"AAAAAGf81Zw=")</f>
        <v>#REF!</v>
      </c>
      <c r="FB82" t="e">
        <f>AND(#REF!,"AAAAAGf81Z0=")</f>
        <v>#REF!</v>
      </c>
      <c r="FC82" t="e">
        <f>AND(#REF!,"AAAAAGf81Z4=")</f>
        <v>#REF!</v>
      </c>
      <c r="FD82" t="e">
        <f>AND(#REF!,"AAAAAGf81Z8=")</f>
        <v>#REF!</v>
      </c>
      <c r="FE82" t="e">
        <f>AND(#REF!,"AAAAAGf81aA=")</f>
        <v>#REF!</v>
      </c>
      <c r="FF82" t="e">
        <f>AND(#REF!,"AAAAAGf81aE=")</f>
        <v>#REF!</v>
      </c>
      <c r="FG82" t="e">
        <f>AND(#REF!,"AAAAAGf81aI=")</f>
        <v>#REF!</v>
      </c>
      <c r="FH82" t="e">
        <f>AND(#REF!,"AAAAAGf81aM=")</f>
        <v>#REF!</v>
      </c>
      <c r="FI82" t="e">
        <f>AND(#REF!,"AAAAAGf81aQ=")</f>
        <v>#REF!</v>
      </c>
      <c r="FJ82" t="e">
        <f>AND(#REF!,"AAAAAGf81aU=")</f>
        <v>#REF!</v>
      </c>
      <c r="FK82" t="e">
        <f>AND(#REF!,"AAAAAGf81aY=")</f>
        <v>#REF!</v>
      </c>
      <c r="FL82" t="e">
        <f>AND(#REF!,"AAAAAGf81ac=")</f>
        <v>#REF!</v>
      </c>
      <c r="FM82" t="e">
        <f>AND(#REF!,"AAAAAGf81ag=")</f>
        <v>#REF!</v>
      </c>
      <c r="FN82" t="e">
        <f>AND(#REF!,"AAAAAGf81ak=")</f>
        <v>#REF!</v>
      </c>
      <c r="FO82" t="e">
        <f>AND(#REF!,"AAAAAGf81ao=")</f>
        <v>#REF!</v>
      </c>
      <c r="FP82" t="e">
        <f>AND(#REF!,"AAAAAGf81as=")</f>
        <v>#REF!</v>
      </c>
      <c r="FQ82" t="e">
        <f>AND(#REF!,"AAAAAGf81aw=")</f>
        <v>#REF!</v>
      </c>
      <c r="FR82" t="e">
        <f>AND(#REF!,"AAAAAGf81a0=")</f>
        <v>#REF!</v>
      </c>
      <c r="FS82" t="e">
        <f>IF(#REF!,"AAAAAGf81a4=",0)</f>
        <v>#REF!</v>
      </c>
      <c r="FT82" t="e">
        <f>AND(#REF!,"AAAAAGf81a8=")</f>
        <v>#REF!</v>
      </c>
      <c r="FU82" t="e">
        <f>AND(#REF!,"AAAAAGf81bA=")</f>
        <v>#REF!</v>
      </c>
      <c r="FV82" t="e">
        <f>AND(#REF!,"AAAAAGf81bE=")</f>
        <v>#REF!</v>
      </c>
      <c r="FW82" t="e">
        <f>AND(#REF!,"AAAAAGf81bI=")</f>
        <v>#REF!</v>
      </c>
      <c r="FX82" t="e">
        <f>AND(#REF!,"AAAAAGf81bM=")</f>
        <v>#REF!</v>
      </c>
      <c r="FY82" t="e">
        <f>AND(#REF!,"AAAAAGf81bQ=")</f>
        <v>#REF!</v>
      </c>
      <c r="FZ82" t="e">
        <f>AND(#REF!,"AAAAAGf81bU=")</f>
        <v>#REF!</v>
      </c>
      <c r="GA82" t="e">
        <f>AND(#REF!,"AAAAAGf81bY=")</f>
        <v>#REF!</v>
      </c>
      <c r="GB82" t="e">
        <f>AND(#REF!,"AAAAAGf81bc=")</f>
        <v>#REF!</v>
      </c>
      <c r="GC82" t="e">
        <f>AND(#REF!,"AAAAAGf81bg=")</f>
        <v>#REF!</v>
      </c>
      <c r="GD82" t="e">
        <f>AND(#REF!,"AAAAAGf81bk=")</f>
        <v>#REF!</v>
      </c>
      <c r="GE82" t="e">
        <f>AND(#REF!,"AAAAAGf81bo=")</f>
        <v>#REF!</v>
      </c>
      <c r="GF82" t="e">
        <f>AND(#REF!,"AAAAAGf81bs=")</f>
        <v>#REF!</v>
      </c>
      <c r="GG82" t="e">
        <f>AND(#REF!,"AAAAAGf81bw=")</f>
        <v>#REF!</v>
      </c>
      <c r="GH82" t="e">
        <f>AND(#REF!,"AAAAAGf81b0=")</f>
        <v>#REF!</v>
      </c>
      <c r="GI82" t="e">
        <f>AND(#REF!,"AAAAAGf81b4=")</f>
        <v>#REF!</v>
      </c>
      <c r="GJ82" t="e">
        <f>AND(#REF!,"AAAAAGf81b8=")</f>
        <v>#REF!</v>
      </c>
      <c r="GK82" t="e">
        <f>AND(#REF!,"AAAAAGf81cA=")</f>
        <v>#REF!</v>
      </c>
      <c r="GL82" t="e">
        <f>AND(#REF!,"AAAAAGf81cE=")</f>
        <v>#REF!</v>
      </c>
      <c r="GM82" t="e">
        <f>AND(#REF!,"AAAAAGf81cI=")</f>
        <v>#REF!</v>
      </c>
      <c r="GN82" t="e">
        <f>AND(#REF!,"AAAAAGf81cM=")</f>
        <v>#REF!</v>
      </c>
      <c r="GO82" t="e">
        <f>AND(#REF!,"AAAAAGf81cQ=")</f>
        <v>#REF!</v>
      </c>
      <c r="GP82" t="e">
        <f>AND(#REF!,"AAAAAGf81cU=")</f>
        <v>#REF!</v>
      </c>
      <c r="GQ82" t="e">
        <f>AND(#REF!,"AAAAAGf81cY=")</f>
        <v>#REF!</v>
      </c>
      <c r="GR82" t="e">
        <f>IF(#REF!,"AAAAAGf81cc=",0)</f>
        <v>#REF!</v>
      </c>
      <c r="GS82" t="e">
        <f>AND(#REF!,"AAAAAGf81cg=")</f>
        <v>#REF!</v>
      </c>
      <c r="GT82" t="e">
        <f>AND(#REF!,"AAAAAGf81ck=")</f>
        <v>#REF!</v>
      </c>
      <c r="GU82" t="e">
        <f>AND(#REF!,"AAAAAGf81co=")</f>
        <v>#REF!</v>
      </c>
      <c r="GV82" t="e">
        <f>AND(#REF!,"AAAAAGf81cs=")</f>
        <v>#REF!</v>
      </c>
      <c r="GW82" t="e">
        <f>AND(#REF!,"AAAAAGf81cw=")</f>
        <v>#REF!</v>
      </c>
      <c r="GX82" t="e">
        <f>AND(#REF!,"AAAAAGf81c0=")</f>
        <v>#REF!</v>
      </c>
      <c r="GY82" t="e">
        <f>AND(#REF!,"AAAAAGf81c4=")</f>
        <v>#REF!</v>
      </c>
      <c r="GZ82" t="e">
        <f>AND(#REF!,"AAAAAGf81c8=")</f>
        <v>#REF!</v>
      </c>
      <c r="HA82" t="e">
        <f>AND(#REF!,"AAAAAGf81dA=")</f>
        <v>#REF!</v>
      </c>
      <c r="HB82" t="e">
        <f>AND(#REF!,"AAAAAGf81dE=")</f>
        <v>#REF!</v>
      </c>
      <c r="HC82" t="e">
        <f>AND(#REF!,"AAAAAGf81dI=")</f>
        <v>#REF!</v>
      </c>
      <c r="HD82" t="e">
        <f>AND(#REF!,"AAAAAGf81dM=")</f>
        <v>#REF!</v>
      </c>
      <c r="HE82" t="e">
        <f>AND(#REF!,"AAAAAGf81dQ=")</f>
        <v>#REF!</v>
      </c>
      <c r="HF82" t="e">
        <f>AND(#REF!,"AAAAAGf81dU=")</f>
        <v>#REF!</v>
      </c>
      <c r="HG82" t="e">
        <f>AND(#REF!,"AAAAAGf81dY=")</f>
        <v>#REF!</v>
      </c>
      <c r="HH82" t="e">
        <f>AND(#REF!,"AAAAAGf81dc=")</f>
        <v>#REF!</v>
      </c>
      <c r="HI82" t="e">
        <f>AND(#REF!,"AAAAAGf81dg=")</f>
        <v>#REF!</v>
      </c>
      <c r="HJ82" t="e">
        <f>AND(#REF!,"AAAAAGf81dk=")</f>
        <v>#REF!</v>
      </c>
      <c r="HK82" t="e">
        <f>AND(#REF!,"AAAAAGf81do=")</f>
        <v>#REF!</v>
      </c>
      <c r="HL82" t="e">
        <f>AND(#REF!,"AAAAAGf81ds=")</f>
        <v>#REF!</v>
      </c>
      <c r="HM82" t="e">
        <f>AND(#REF!,"AAAAAGf81dw=")</f>
        <v>#REF!</v>
      </c>
      <c r="HN82" t="e">
        <f>AND(#REF!,"AAAAAGf81d0=")</f>
        <v>#REF!</v>
      </c>
      <c r="HO82" t="e">
        <f>AND(#REF!,"AAAAAGf81d4=")</f>
        <v>#REF!</v>
      </c>
      <c r="HP82" t="e">
        <f>AND(#REF!,"AAAAAGf81d8=")</f>
        <v>#REF!</v>
      </c>
      <c r="HQ82" t="e">
        <f>IF(#REF!,"AAAAAGf81eA=",0)</f>
        <v>#REF!</v>
      </c>
      <c r="HR82" t="e">
        <f>AND(#REF!,"AAAAAGf81eE=")</f>
        <v>#REF!</v>
      </c>
      <c r="HS82" t="e">
        <f>AND(#REF!,"AAAAAGf81eI=")</f>
        <v>#REF!</v>
      </c>
      <c r="HT82" t="e">
        <f>AND(#REF!,"AAAAAGf81eM=")</f>
        <v>#REF!</v>
      </c>
      <c r="HU82" t="e">
        <f>AND(#REF!,"AAAAAGf81eQ=")</f>
        <v>#REF!</v>
      </c>
      <c r="HV82" t="e">
        <f>AND(#REF!,"AAAAAGf81eU=")</f>
        <v>#REF!</v>
      </c>
      <c r="HW82" t="e">
        <f>AND(#REF!,"AAAAAGf81eY=")</f>
        <v>#REF!</v>
      </c>
      <c r="HX82" t="e">
        <f>AND(#REF!,"AAAAAGf81ec=")</f>
        <v>#REF!</v>
      </c>
      <c r="HY82" t="e">
        <f>AND(#REF!,"AAAAAGf81eg=")</f>
        <v>#REF!</v>
      </c>
      <c r="HZ82" t="e">
        <f>AND(#REF!,"AAAAAGf81ek=")</f>
        <v>#REF!</v>
      </c>
      <c r="IA82" t="e">
        <f>AND(#REF!,"AAAAAGf81eo=")</f>
        <v>#REF!</v>
      </c>
      <c r="IB82" t="e">
        <f>AND(#REF!,"AAAAAGf81es=")</f>
        <v>#REF!</v>
      </c>
      <c r="IC82" t="e">
        <f>AND(#REF!,"AAAAAGf81ew=")</f>
        <v>#REF!</v>
      </c>
      <c r="ID82" t="e">
        <f>AND(#REF!,"AAAAAGf81e0=")</f>
        <v>#REF!</v>
      </c>
      <c r="IE82" t="e">
        <f>AND(#REF!,"AAAAAGf81e4=")</f>
        <v>#REF!</v>
      </c>
      <c r="IF82" t="e">
        <f>AND(#REF!,"AAAAAGf81e8=")</f>
        <v>#REF!</v>
      </c>
      <c r="IG82" t="e">
        <f>AND(#REF!,"AAAAAGf81fA=")</f>
        <v>#REF!</v>
      </c>
      <c r="IH82" t="e">
        <f>AND(#REF!,"AAAAAGf81fE=")</f>
        <v>#REF!</v>
      </c>
      <c r="II82" t="e">
        <f>AND(#REF!,"AAAAAGf81fI=")</f>
        <v>#REF!</v>
      </c>
      <c r="IJ82" t="e">
        <f>AND(#REF!,"AAAAAGf81fM=")</f>
        <v>#REF!</v>
      </c>
      <c r="IK82" t="e">
        <f>AND(#REF!,"AAAAAGf81fQ=")</f>
        <v>#REF!</v>
      </c>
      <c r="IL82" t="e">
        <f>AND(#REF!,"AAAAAGf81fU=")</f>
        <v>#REF!</v>
      </c>
      <c r="IM82" t="e">
        <f>AND(#REF!,"AAAAAGf81fY=")</f>
        <v>#REF!</v>
      </c>
      <c r="IN82" t="e">
        <f>AND(#REF!,"AAAAAGf81fc=")</f>
        <v>#REF!</v>
      </c>
      <c r="IO82" t="e">
        <f>AND(#REF!,"AAAAAGf81fg=")</f>
        <v>#REF!</v>
      </c>
      <c r="IP82" t="e">
        <f>IF(#REF!,"AAAAAGf81fk=",0)</f>
        <v>#REF!</v>
      </c>
      <c r="IQ82" t="e">
        <f>AND(#REF!,"AAAAAGf81fo=")</f>
        <v>#REF!</v>
      </c>
      <c r="IR82" t="e">
        <f>AND(#REF!,"AAAAAGf81fs=")</f>
        <v>#REF!</v>
      </c>
      <c r="IS82" t="e">
        <f>AND(#REF!,"AAAAAGf81fw=")</f>
        <v>#REF!</v>
      </c>
      <c r="IT82" t="e">
        <f>AND(#REF!,"AAAAAGf81f0=")</f>
        <v>#REF!</v>
      </c>
      <c r="IU82" t="e">
        <f>AND(#REF!,"AAAAAGf81f4=")</f>
        <v>#REF!</v>
      </c>
      <c r="IV82" t="e">
        <f>AND(#REF!,"AAAAAGf81f8=")</f>
        <v>#REF!</v>
      </c>
    </row>
    <row r="83" spans="1:256">
      <c r="A83" t="e">
        <f>AND(#REF!,"AAAAAG/P2AA=")</f>
        <v>#REF!</v>
      </c>
      <c r="B83" t="e">
        <f>AND(#REF!,"AAAAAG/P2AE=")</f>
        <v>#REF!</v>
      </c>
      <c r="C83" t="e">
        <f>AND(#REF!,"AAAAAG/P2AI=")</f>
        <v>#REF!</v>
      </c>
      <c r="D83" t="e">
        <f>AND(#REF!,"AAAAAG/P2AM=")</f>
        <v>#REF!</v>
      </c>
      <c r="E83" t="e">
        <f>AND(#REF!,"AAAAAG/P2AQ=")</f>
        <v>#REF!</v>
      </c>
      <c r="F83" t="e">
        <f>AND(#REF!,"AAAAAG/P2AU=")</f>
        <v>#REF!</v>
      </c>
      <c r="G83" t="e">
        <f>AND(#REF!,"AAAAAG/P2AY=")</f>
        <v>#REF!</v>
      </c>
      <c r="H83" t="e">
        <f>AND(#REF!,"AAAAAG/P2Ac=")</f>
        <v>#REF!</v>
      </c>
      <c r="I83" t="e">
        <f>AND(#REF!,"AAAAAG/P2Ag=")</f>
        <v>#REF!</v>
      </c>
      <c r="J83" t="e">
        <f>AND(#REF!,"AAAAAG/P2Ak=")</f>
        <v>#REF!</v>
      </c>
      <c r="K83" t="e">
        <f>AND(#REF!,"AAAAAG/P2Ao=")</f>
        <v>#REF!</v>
      </c>
      <c r="L83" t="e">
        <f>AND(#REF!,"AAAAAG/P2As=")</f>
        <v>#REF!</v>
      </c>
      <c r="M83" t="e">
        <f>AND(#REF!,"AAAAAG/P2Aw=")</f>
        <v>#REF!</v>
      </c>
      <c r="N83" t="e">
        <f>AND(#REF!,"AAAAAG/P2A0=")</f>
        <v>#REF!</v>
      </c>
      <c r="O83" t="e">
        <f>AND(#REF!,"AAAAAG/P2A4=")</f>
        <v>#REF!</v>
      </c>
      <c r="P83" t="e">
        <f>AND(#REF!,"AAAAAG/P2A8=")</f>
        <v>#REF!</v>
      </c>
      <c r="Q83" t="e">
        <f>AND(#REF!,"AAAAAG/P2BA=")</f>
        <v>#REF!</v>
      </c>
      <c r="R83" t="e">
        <f>AND(#REF!,"AAAAAG/P2BE=")</f>
        <v>#REF!</v>
      </c>
      <c r="S83" t="e">
        <f>IF(#REF!,"AAAAAG/P2BI=",0)</f>
        <v>#REF!</v>
      </c>
      <c r="T83" t="e">
        <f>AND(#REF!,"AAAAAG/P2BM=")</f>
        <v>#REF!</v>
      </c>
      <c r="U83" t="e">
        <f>AND(#REF!,"AAAAAG/P2BQ=")</f>
        <v>#REF!</v>
      </c>
      <c r="V83" t="e">
        <f>AND(#REF!,"AAAAAG/P2BU=")</f>
        <v>#REF!</v>
      </c>
      <c r="W83" t="e">
        <f>AND(#REF!,"AAAAAG/P2BY=")</f>
        <v>#REF!</v>
      </c>
      <c r="X83" t="e">
        <f>AND(#REF!,"AAAAAG/P2Bc=")</f>
        <v>#REF!</v>
      </c>
      <c r="Y83" t="e">
        <f>AND(#REF!,"AAAAAG/P2Bg=")</f>
        <v>#REF!</v>
      </c>
      <c r="Z83" t="e">
        <f>AND(#REF!,"AAAAAG/P2Bk=")</f>
        <v>#REF!</v>
      </c>
      <c r="AA83" t="e">
        <f>AND(#REF!,"AAAAAG/P2Bo=")</f>
        <v>#REF!</v>
      </c>
      <c r="AB83" t="e">
        <f>AND(#REF!,"AAAAAG/P2Bs=")</f>
        <v>#REF!</v>
      </c>
      <c r="AC83" t="e">
        <f>AND(#REF!,"AAAAAG/P2Bw=")</f>
        <v>#REF!</v>
      </c>
      <c r="AD83" t="e">
        <f>AND(#REF!,"AAAAAG/P2B0=")</f>
        <v>#REF!</v>
      </c>
      <c r="AE83" t="e">
        <f>AND(#REF!,"AAAAAG/P2B4=")</f>
        <v>#REF!</v>
      </c>
      <c r="AF83" t="e">
        <f>AND(#REF!,"AAAAAG/P2B8=")</f>
        <v>#REF!</v>
      </c>
      <c r="AG83" t="e">
        <f>AND(#REF!,"AAAAAG/P2CA=")</f>
        <v>#REF!</v>
      </c>
      <c r="AH83" t="e">
        <f>AND(#REF!,"AAAAAG/P2CE=")</f>
        <v>#REF!</v>
      </c>
      <c r="AI83" t="e">
        <f>AND(#REF!,"AAAAAG/P2CI=")</f>
        <v>#REF!</v>
      </c>
      <c r="AJ83" t="e">
        <f>AND(#REF!,"AAAAAG/P2CM=")</f>
        <v>#REF!</v>
      </c>
      <c r="AK83" t="e">
        <f>AND(#REF!,"AAAAAG/P2CQ=")</f>
        <v>#REF!</v>
      </c>
      <c r="AL83" t="e">
        <f>AND(#REF!,"AAAAAG/P2CU=")</f>
        <v>#REF!</v>
      </c>
      <c r="AM83" t="e">
        <f>AND(#REF!,"AAAAAG/P2CY=")</f>
        <v>#REF!</v>
      </c>
      <c r="AN83" t="e">
        <f>AND(#REF!,"AAAAAG/P2Cc=")</f>
        <v>#REF!</v>
      </c>
      <c r="AO83" t="e">
        <f>AND(#REF!,"AAAAAG/P2Cg=")</f>
        <v>#REF!</v>
      </c>
      <c r="AP83" t="e">
        <f>AND(#REF!,"AAAAAG/P2Ck=")</f>
        <v>#REF!</v>
      </c>
      <c r="AQ83" t="e">
        <f>AND(#REF!,"AAAAAG/P2Co=")</f>
        <v>#REF!</v>
      </c>
      <c r="AR83" t="e">
        <f>IF(#REF!,"AAAAAG/P2Cs=",0)</f>
        <v>#REF!</v>
      </c>
      <c r="AS83" t="e">
        <f>AND(#REF!,"AAAAAG/P2Cw=")</f>
        <v>#REF!</v>
      </c>
      <c r="AT83" t="e">
        <f>AND(#REF!,"AAAAAG/P2C0=")</f>
        <v>#REF!</v>
      </c>
      <c r="AU83" t="e">
        <f>AND(#REF!,"AAAAAG/P2C4=")</f>
        <v>#REF!</v>
      </c>
      <c r="AV83" t="e">
        <f>AND(#REF!,"AAAAAG/P2C8=")</f>
        <v>#REF!</v>
      </c>
      <c r="AW83" t="e">
        <f>AND(#REF!,"AAAAAG/P2DA=")</f>
        <v>#REF!</v>
      </c>
      <c r="AX83" t="e">
        <f>AND(#REF!,"AAAAAG/P2DE=")</f>
        <v>#REF!</v>
      </c>
      <c r="AY83" t="e">
        <f>AND(#REF!,"AAAAAG/P2DI=")</f>
        <v>#REF!</v>
      </c>
      <c r="AZ83" t="e">
        <f>AND(#REF!,"AAAAAG/P2DM=")</f>
        <v>#REF!</v>
      </c>
      <c r="BA83" t="e">
        <f>AND(#REF!,"AAAAAG/P2DQ=")</f>
        <v>#REF!</v>
      </c>
      <c r="BB83" t="e">
        <f>AND(#REF!,"AAAAAG/P2DU=")</f>
        <v>#REF!</v>
      </c>
      <c r="BC83" t="e">
        <f>AND(#REF!,"AAAAAG/P2DY=")</f>
        <v>#REF!</v>
      </c>
      <c r="BD83" t="e">
        <f>AND(#REF!,"AAAAAG/P2Dc=")</f>
        <v>#REF!</v>
      </c>
      <c r="BE83" t="e">
        <f>AND(#REF!,"AAAAAG/P2Dg=")</f>
        <v>#REF!</v>
      </c>
      <c r="BF83" t="e">
        <f>AND(#REF!,"AAAAAG/P2Dk=")</f>
        <v>#REF!</v>
      </c>
      <c r="BG83" t="e">
        <f>AND(#REF!,"AAAAAG/P2Do=")</f>
        <v>#REF!</v>
      </c>
      <c r="BH83" t="e">
        <f>AND(#REF!,"AAAAAG/P2Ds=")</f>
        <v>#REF!</v>
      </c>
      <c r="BI83" t="e">
        <f>AND(#REF!,"AAAAAG/P2Dw=")</f>
        <v>#REF!</v>
      </c>
      <c r="BJ83" t="e">
        <f>AND(#REF!,"AAAAAG/P2D0=")</f>
        <v>#REF!</v>
      </c>
      <c r="BK83" t="e">
        <f>AND(#REF!,"AAAAAG/P2D4=")</f>
        <v>#REF!</v>
      </c>
      <c r="BL83" t="e">
        <f>AND(#REF!,"AAAAAG/P2D8=")</f>
        <v>#REF!</v>
      </c>
      <c r="BM83" t="e">
        <f>AND(#REF!,"AAAAAG/P2EA=")</f>
        <v>#REF!</v>
      </c>
      <c r="BN83" t="e">
        <f>AND(#REF!,"AAAAAG/P2EE=")</f>
        <v>#REF!</v>
      </c>
      <c r="BO83" t="e">
        <f>AND(#REF!,"AAAAAG/P2EI=")</f>
        <v>#REF!</v>
      </c>
      <c r="BP83" t="e">
        <f>AND(#REF!,"AAAAAG/P2EM=")</f>
        <v>#REF!</v>
      </c>
      <c r="BQ83" t="e">
        <f>IF(#REF!,"AAAAAG/P2EQ=",0)</f>
        <v>#REF!</v>
      </c>
      <c r="BR83" t="e">
        <f>AND(#REF!,"AAAAAG/P2EU=")</f>
        <v>#REF!</v>
      </c>
      <c r="BS83" t="e">
        <f>AND(#REF!,"AAAAAG/P2EY=")</f>
        <v>#REF!</v>
      </c>
      <c r="BT83" t="e">
        <f>AND(#REF!,"AAAAAG/P2Ec=")</f>
        <v>#REF!</v>
      </c>
      <c r="BU83" t="e">
        <f>AND(#REF!,"AAAAAG/P2Eg=")</f>
        <v>#REF!</v>
      </c>
      <c r="BV83" t="e">
        <f>AND(#REF!,"AAAAAG/P2Ek=")</f>
        <v>#REF!</v>
      </c>
      <c r="BW83" t="e">
        <f>AND(#REF!,"AAAAAG/P2Eo=")</f>
        <v>#REF!</v>
      </c>
      <c r="BX83" t="e">
        <f>AND(#REF!,"AAAAAG/P2Es=")</f>
        <v>#REF!</v>
      </c>
      <c r="BY83" t="e">
        <f>AND(#REF!,"AAAAAG/P2Ew=")</f>
        <v>#REF!</v>
      </c>
      <c r="BZ83" t="e">
        <f>AND(#REF!,"AAAAAG/P2E0=")</f>
        <v>#REF!</v>
      </c>
      <c r="CA83" t="e">
        <f>AND(#REF!,"AAAAAG/P2E4=")</f>
        <v>#REF!</v>
      </c>
      <c r="CB83" t="e">
        <f>AND(#REF!,"AAAAAG/P2E8=")</f>
        <v>#REF!</v>
      </c>
      <c r="CC83" t="e">
        <f>AND(#REF!,"AAAAAG/P2FA=")</f>
        <v>#REF!</v>
      </c>
      <c r="CD83" t="e">
        <f>AND(#REF!,"AAAAAG/P2FE=")</f>
        <v>#REF!</v>
      </c>
      <c r="CE83" t="e">
        <f>AND(#REF!,"AAAAAG/P2FI=")</f>
        <v>#REF!</v>
      </c>
      <c r="CF83" t="e">
        <f>AND(#REF!,"AAAAAG/P2FM=")</f>
        <v>#REF!</v>
      </c>
      <c r="CG83" t="e">
        <f>AND(#REF!,"AAAAAG/P2FQ=")</f>
        <v>#REF!</v>
      </c>
      <c r="CH83" t="e">
        <f>AND(#REF!,"AAAAAG/P2FU=")</f>
        <v>#REF!</v>
      </c>
      <c r="CI83" t="e">
        <f>AND(#REF!,"AAAAAG/P2FY=")</f>
        <v>#REF!</v>
      </c>
      <c r="CJ83" t="e">
        <f>AND(#REF!,"AAAAAG/P2Fc=")</f>
        <v>#REF!</v>
      </c>
      <c r="CK83" t="e">
        <f>AND(#REF!,"AAAAAG/P2Fg=")</f>
        <v>#REF!</v>
      </c>
      <c r="CL83" t="e">
        <f>AND(#REF!,"AAAAAG/P2Fk=")</f>
        <v>#REF!</v>
      </c>
      <c r="CM83" t="e">
        <f>AND(#REF!,"AAAAAG/P2Fo=")</f>
        <v>#REF!</v>
      </c>
      <c r="CN83" t="e">
        <f>AND(#REF!,"AAAAAG/P2Fs=")</f>
        <v>#REF!</v>
      </c>
      <c r="CO83" t="e">
        <f>AND(#REF!,"AAAAAG/P2Fw=")</f>
        <v>#REF!</v>
      </c>
      <c r="CP83" t="e">
        <f>IF(#REF!,"AAAAAG/P2F0=",0)</f>
        <v>#REF!</v>
      </c>
      <c r="CQ83" t="e">
        <f>AND(#REF!,"AAAAAG/P2F4=")</f>
        <v>#REF!</v>
      </c>
      <c r="CR83" t="e">
        <f>AND(#REF!,"AAAAAG/P2F8=")</f>
        <v>#REF!</v>
      </c>
      <c r="CS83" t="e">
        <f>AND(#REF!,"AAAAAG/P2GA=")</f>
        <v>#REF!</v>
      </c>
      <c r="CT83" t="e">
        <f>AND(#REF!,"AAAAAG/P2GE=")</f>
        <v>#REF!</v>
      </c>
      <c r="CU83" t="e">
        <f>AND(#REF!,"AAAAAG/P2GI=")</f>
        <v>#REF!</v>
      </c>
      <c r="CV83" t="e">
        <f>AND(#REF!,"AAAAAG/P2GM=")</f>
        <v>#REF!</v>
      </c>
      <c r="CW83" t="e">
        <f>AND(#REF!,"AAAAAG/P2GQ=")</f>
        <v>#REF!</v>
      </c>
      <c r="CX83" t="e">
        <f>AND(#REF!,"AAAAAG/P2GU=")</f>
        <v>#REF!</v>
      </c>
      <c r="CY83" t="e">
        <f>AND(#REF!,"AAAAAG/P2GY=")</f>
        <v>#REF!</v>
      </c>
      <c r="CZ83" t="e">
        <f>AND(#REF!,"AAAAAG/P2Gc=")</f>
        <v>#REF!</v>
      </c>
      <c r="DA83" t="e">
        <f>AND(#REF!,"AAAAAG/P2Gg=")</f>
        <v>#REF!</v>
      </c>
      <c r="DB83" t="e">
        <f>AND(#REF!,"AAAAAG/P2Gk=")</f>
        <v>#REF!</v>
      </c>
      <c r="DC83" t="e">
        <f>AND(#REF!,"AAAAAG/P2Go=")</f>
        <v>#REF!</v>
      </c>
      <c r="DD83" t="e">
        <f>AND(#REF!,"AAAAAG/P2Gs=")</f>
        <v>#REF!</v>
      </c>
      <c r="DE83" t="e">
        <f>AND(#REF!,"AAAAAG/P2Gw=")</f>
        <v>#REF!</v>
      </c>
      <c r="DF83" t="e">
        <f>AND(#REF!,"AAAAAG/P2G0=")</f>
        <v>#REF!</v>
      </c>
      <c r="DG83" t="e">
        <f>AND(#REF!,"AAAAAG/P2G4=")</f>
        <v>#REF!</v>
      </c>
      <c r="DH83" t="e">
        <f>AND(#REF!,"AAAAAG/P2G8=")</f>
        <v>#REF!</v>
      </c>
      <c r="DI83" t="e">
        <f>AND(#REF!,"AAAAAG/P2HA=")</f>
        <v>#REF!</v>
      </c>
      <c r="DJ83" t="e">
        <f>AND(#REF!,"AAAAAG/P2HE=")</f>
        <v>#REF!</v>
      </c>
      <c r="DK83" t="e">
        <f>AND(#REF!,"AAAAAG/P2HI=")</f>
        <v>#REF!</v>
      </c>
      <c r="DL83" t="e">
        <f>AND(#REF!,"AAAAAG/P2HM=")</f>
        <v>#REF!</v>
      </c>
      <c r="DM83" t="e">
        <f>AND(#REF!,"AAAAAG/P2HQ=")</f>
        <v>#REF!</v>
      </c>
      <c r="DN83" t="e">
        <f>AND(#REF!,"AAAAAG/P2HU=")</f>
        <v>#REF!</v>
      </c>
      <c r="DO83" t="e">
        <f>IF(#REF!,"AAAAAG/P2HY=",0)</f>
        <v>#REF!</v>
      </c>
      <c r="DP83" t="e">
        <f>AND(#REF!,"AAAAAG/P2Hc=")</f>
        <v>#REF!</v>
      </c>
      <c r="DQ83" t="e">
        <f>AND(#REF!,"AAAAAG/P2Hg=")</f>
        <v>#REF!</v>
      </c>
      <c r="DR83" t="e">
        <f>AND(#REF!,"AAAAAG/P2Hk=")</f>
        <v>#REF!</v>
      </c>
      <c r="DS83" t="e">
        <f>AND(#REF!,"AAAAAG/P2Ho=")</f>
        <v>#REF!</v>
      </c>
      <c r="DT83" t="e">
        <f>AND(#REF!,"AAAAAG/P2Hs=")</f>
        <v>#REF!</v>
      </c>
      <c r="DU83" t="e">
        <f>AND(#REF!,"AAAAAG/P2Hw=")</f>
        <v>#REF!</v>
      </c>
      <c r="DV83" t="e">
        <f>AND(#REF!,"AAAAAG/P2H0=")</f>
        <v>#REF!</v>
      </c>
      <c r="DW83" t="e">
        <f>AND(#REF!,"AAAAAG/P2H4=")</f>
        <v>#REF!</v>
      </c>
      <c r="DX83" t="e">
        <f>AND(#REF!,"AAAAAG/P2H8=")</f>
        <v>#REF!</v>
      </c>
      <c r="DY83" t="e">
        <f>AND(#REF!,"AAAAAG/P2IA=")</f>
        <v>#REF!</v>
      </c>
      <c r="DZ83" t="e">
        <f>AND(#REF!,"AAAAAG/P2IE=")</f>
        <v>#REF!</v>
      </c>
      <c r="EA83" t="e">
        <f>AND(#REF!,"AAAAAG/P2II=")</f>
        <v>#REF!</v>
      </c>
      <c r="EB83" t="e">
        <f>AND(#REF!,"AAAAAG/P2IM=")</f>
        <v>#REF!</v>
      </c>
      <c r="EC83" t="e">
        <f>AND(#REF!,"AAAAAG/P2IQ=")</f>
        <v>#REF!</v>
      </c>
      <c r="ED83" t="e">
        <f>AND(#REF!,"AAAAAG/P2IU=")</f>
        <v>#REF!</v>
      </c>
      <c r="EE83" t="e">
        <f>AND(#REF!,"AAAAAG/P2IY=")</f>
        <v>#REF!</v>
      </c>
      <c r="EF83" t="e">
        <f>AND(#REF!,"AAAAAG/P2Ic=")</f>
        <v>#REF!</v>
      </c>
      <c r="EG83" t="e">
        <f>AND(#REF!,"AAAAAG/P2Ig=")</f>
        <v>#REF!</v>
      </c>
      <c r="EH83" t="e">
        <f>AND(#REF!,"AAAAAG/P2Ik=")</f>
        <v>#REF!</v>
      </c>
      <c r="EI83" t="e">
        <f>AND(#REF!,"AAAAAG/P2Io=")</f>
        <v>#REF!</v>
      </c>
      <c r="EJ83" t="e">
        <f>AND(#REF!,"AAAAAG/P2Is=")</f>
        <v>#REF!</v>
      </c>
      <c r="EK83" t="e">
        <f>AND(#REF!,"AAAAAG/P2Iw=")</f>
        <v>#REF!</v>
      </c>
      <c r="EL83" t="e">
        <f>AND(#REF!,"AAAAAG/P2I0=")</f>
        <v>#REF!</v>
      </c>
      <c r="EM83" t="e">
        <f>AND(#REF!,"AAAAAG/P2I4=")</f>
        <v>#REF!</v>
      </c>
      <c r="EN83" t="e">
        <f>IF(#REF!,"AAAAAG/P2I8=",0)</f>
        <v>#REF!</v>
      </c>
      <c r="EO83" t="e">
        <f>AND(#REF!,"AAAAAG/P2JA=")</f>
        <v>#REF!</v>
      </c>
      <c r="EP83" t="e">
        <f>AND(#REF!,"AAAAAG/P2JE=")</f>
        <v>#REF!</v>
      </c>
      <c r="EQ83" t="e">
        <f>AND(#REF!,"AAAAAG/P2JI=")</f>
        <v>#REF!</v>
      </c>
      <c r="ER83" t="e">
        <f>AND(#REF!,"AAAAAG/P2JM=")</f>
        <v>#REF!</v>
      </c>
      <c r="ES83" t="e">
        <f>AND(#REF!,"AAAAAG/P2JQ=")</f>
        <v>#REF!</v>
      </c>
      <c r="ET83" t="e">
        <f>AND(#REF!,"AAAAAG/P2JU=")</f>
        <v>#REF!</v>
      </c>
      <c r="EU83" t="e">
        <f>AND(#REF!,"AAAAAG/P2JY=")</f>
        <v>#REF!</v>
      </c>
      <c r="EV83" t="e">
        <f>AND(#REF!,"AAAAAG/P2Jc=")</f>
        <v>#REF!</v>
      </c>
      <c r="EW83" t="e">
        <f>AND(#REF!,"AAAAAG/P2Jg=")</f>
        <v>#REF!</v>
      </c>
      <c r="EX83" t="e">
        <f>AND(#REF!,"AAAAAG/P2Jk=")</f>
        <v>#REF!</v>
      </c>
      <c r="EY83" t="e">
        <f>AND(#REF!,"AAAAAG/P2Jo=")</f>
        <v>#REF!</v>
      </c>
      <c r="EZ83" t="e">
        <f>AND(#REF!,"AAAAAG/P2Js=")</f>
        <v>#REF!</v>
      </c>
      <c r="FA83" t="e">
        <f>AND(#REF!,"AAAAAG/P2Jw=")</f>
        <v>#REF!</v>
      </c>
      <c r="FB83" t="e">
        <f>AND(#REF!,"AAAAAG/P2J0=")</f>
        <v>#REF!</v>
      </c>
      <c r="FC83" t="e">
        <f>AND(#REF!,"AAAAAG/P2J4=")</f>
        <v>#REF!</v>
      </c>
      <c r="FD83" t="e">
        <f>AND(#REF!,"AAAAAG/P2J8=")</f>
        <v>#REF!</v>
      </c>
      <c r="FE83" t="e">
        <f>AND(#REF!,"AAAAAG/P2KA=")</f>
        <v>#REF!</v>
      </c>
      <c r="FF83" t="e">
        <f>AND(#REF!,"AAAAAG/P2KE=")</f>
        <v>#REF!</v>
      </c>
      <c r="FG83" t="e">
        <f>AND(#REF!,"AAAAAG/P2KI=")</f>
        <v>#REF!</v>
      </c>
      <c r="FH83" t="e">
        <f>AND(#REF!,"AAAAAG/P2KM=")</f>
        <v>#REF!</v>
      </c>
      <c r="FI83" t="e">
        <f>AND(#REF!,"AAAAAG/P2KQ=")</f>
        <v>#REF!</v>
      </c>
      <c r="FJ83" t="e">
        <f>AND(#REF!,"AAAAAG/P2KU=")</f>
        <v>#REF!</v>
      </c>
      <c r="FK83" t="e">
        <f>AND(#REF!,"AAAAAG/P2KY=")</f>
        <v>#REF!</v>
      </c>
      <c r="FL83" t="e">
        <f>AND(#REF!,"AAAAAG/P2Kc=")</f>
        <v>#REF!</v>
      </c>
      <c r="FM83" t="e">
        <f>IF(#REF!,"AAAAAG/P2Kg=",0)</f>
        <v>#REF!</v>
      </c>
      <c r="FN83" t="e">
        <f>AND(#REF!,"AAAAAG/P2Kk=")</f>
        <v>#REF!</v>
      </c>
      <c r="FO83" t="e">
        <f>AND(#REF!,"AAAAAG/P2Ko=")</f>
        <v>#REF!</v>
      </c>
      <c r="FP83" t="e">
        <f>AND(#REF!,"AAAAAG/P2Ks=")</f>
        <v>#REF!</v>
      </c>
      <c r="FQ83" t="e">
        <f>AND(#REF!,"AAAAAG/P2Kw=")</f>
        <v>#REF!</v>
      </c>
      <c r="FR83" t="e">
        <f>AND(#REF!,"AAAAAG/P2K0=")</f>
        <v>#REF!</v>
      </c>
      <c r="FS83" t="e">
        <f>AND(#REF!,"AAAAAG/P2K4=")</f>
        <v>#REF!</v>
      </c>
      <c r="FT83" t="e">
        <f>AND(#REF!,"AAAAAG/P2K8=")</f>
        <v>#REF!</v>
      </c>
      <c r="FU83" t="e">
        <f>AND(#REF!,"AAAAAG/P2LA=")</f>
        <v>#REF!</v>
      </c>
      <c r="FV83" t="e">
        <f>AND(#REF!,"AAAAAG/P2LE=")</f>
        <v>#REF!</v>
      </c>
      <c r="FW83" t="e">
        <f>AND(#REF!,"AAAAAG/P2LI=")</f>
        <v>#REF!</v>
      </c>
      <c r="FX83" t="e">
        <f>AND(#REF!,"AAAAAG/P2LM=")</f>
        <v>#REF!</v>
      </c>
      <c r="FY83" t="e">
        <f>AND(#REF!,"AAAAAG/P2LQ=")</f>
        <v>#REF!</v>
      </c>
      <c r="FZ83" t="e">
        <f>AND(#REF!,"AAAAAG/P2LU=")</f>
        <v>#REF!</v>
      </c>
      <c r="GA83" t="e">
        <f>AND(#REF!,"AAAAAG/P2LY=")</f>
        <v>#REF!</v>
      </c>
      <c r="GB83" t="e">
        <f>AND(#REF!,"AAAAAG/P2Lc=")</f>
        <v>#REF!</v>
      </c>
      <c r="GC83" t="e">
        <f>AND(#REF!,"AAAAAG/P2Lg=")</f>
        <v>#REF!</v>
      </c>
      <c r="GD83" t="e">
        <f>AND(#REF!,"AAAAAG/P2Lk=")</f>
        <v>#REF!</v>
      </c>
      <c r="GE83" t="e">
        <f>AND(#REF!,"AAAAAG/P2Lo=")</f>
        <v>#REF!</v>
      </c>
      <c r="GF83" t="e">
        <f>AND(#REF!,"AAAAAG/P2Ls=")</f>
        <v>#REF!</v>
      </c>
      <c r="GG83" t="e">
        <f>AND(#REF!,"AAAAAG/P2Lw=")</f>
        <v>#REF!</v>
      </c>
      <c r="GH83" t="e">
        <f>AND(#REF!,"AAAAAG/P2L0=")</f>
        <v>#REF!</v>
      </c>
      <c r="GI83" t="e">
        <f>AND(#REF!,"AAAAAG/P2L4=")</f>
        <v>#REF!</v>
      </c>
      <c r="GJ83" t="e">
        <f>AND(#REF!,"AAAAAG/P2L8=")</f>
        <v>#REF!</v>
      </c>
      <c r="GK83" t="e">
        <f>AND(#REF!,"AAAAAG/P2MA=")</f>
        <v>#REF!</v>
      </c>
      <c r="GL83" t="e">
        <f>IF(#REF!,"AAAAAG/P2ME=",0)</f>
        <v>#REF!</v>
      </c>
      <c r="GM83" t="e">
        <f>AND(#REF!,"AAAAAG/P2MI=")</f>
        <v>#REF!</v>
      </c>
      <c r="GN83" t="e">
        <f>AND(#REF!,"AAAAAG/P2MM=")</f>
        <v>#REF!</v>
      </c>
      <c r="GO83" t="e">
        <f>AND(#REF!,"AAAAAG/P2MQ=")</f>
        <v>#REF!</v>
      </c>
      <c r="GP83" t="e">
        <f>AND(#REF!,"AAAAAG/P2MU=")</f>
        <v>#REF!</v>
      </c>
      <c r="GQ83" t="e">
        <f>AND(#REF!,"AAAAAG/P2MY=")</f>
        <v>#REF!</v>
      </c>
      <c r="GR83" t="e">
        <f>AND(#REF!,"AAAAAG/P2Mc=")</f>
        <v>#REF!</v>
      </c>
      <c r="GS83" t="e">
        <f>AND(#REF!,"AAAAAG/P2Mg=")</f>
        <v>#REF!</v>
      </c>
      <c r="GT83" t="e">
        <f>AND(#REF!,"AAAAAG/P2Mk=")</f>
        <v>#REF!</v>
      </c>
      <c r="GU83" t="e">
        <f>AND(#REF!,"AAAAAG/P2Mo=")</f>
        <v>#REF!</v>
      </c>
      <c r="GV83" t="e">
        <f>AND(#REF!,"AAAAAG/P2Ms=")</f>
        <v>#REF!</v>
      </c>
      <c r="GW83" t="e">
        <f>AND(#REF!,"AAAAAG/P2Mw=")</f>
        <v>#REF!</v>
      </c>
      <c r="GX83" t="e">
        <f>AND(#REF!,"AAAAAG/P2M0=")</f>
        <v>#REF!</v>
      </c>
      <c r="GY83" t="e">
        <f>AND(#REF!,"AAAAAG/P2M4=")</f>
        <v>#REF!</v>
      </c>
      <c r="GZ83" t="e">
        <f>AND(#REF!,"AAAAAG/P2M8=")</f>
        <v>#REF!</v>
      </c>
      <c r="HA83" t="e">
        <f>AND(#REF!,"AAAAAG/P2NA=")</f>
        <v>#REF!</v>
      </c>
      <c r="HB83" t="e">
        <f>AND(#REF!,"AAAAAG/P2NE=")</f>
        <v>#REF!</v>
      </c>
      <c r="HC83" t="e">
        <f>AND(#REF!,"AAAAAG/P2NI=")</f>
        <v>#REF!</v>
      </c>
      <c r="HD83" t="e">
        <f>AND(#REF!,"AAAAAG/P2NM=")</f>
        <v>#REF!</v>
      </c>
      <c r="HE83" t="e">
        <f>AND(#REF!,"AAAAAG/P2NQ=")</f>
        <v>#REF!</v>
      </c>
      <c r="HF83" t="e">
        <f>AND(#REF!,"AAAAAG/P2NU=")</f>
        <v>#REF!</v>
      </c>
      <c r="HG83" t="e">
        <f>AND(#REF!,"AAAAAG/P2NY=")</f>
        <v>#REF!</v>
      </c>
      <c r="HH83" t="e">
        <f>AND(#REF!,"AAAAAG/P2Nc=")</f>
        <v>#REF!</v>
      </c>
      <c r="HI83" t="e">
        <f>AND(#REF!,"AAAAAG/P2Ng=")</f>
        <v>#REF!</v>
      </c>
      <c r="HJ83" t="e">
        <f>AND(#REF!,"AAAAAG/P2Nk=")</f>
        <v>#REF!</v>
      </c>
      <c r="HK83" t="e">
        <f>IF(#REF!,"AAAAAG/P2No=",0)</f>
        <v>#REF!</v>
      </c>
      <c r="HL83" t="e">
        <f>AND(#REF!,"AAAAAG/P2Ns=")</f>
        <v>#REF!</v>
      </c>
      <c r="HM83" t="e">
        <f>AND(#REF!,"AAAAAG/P2Nw=")</f>
        <v>#REF!</v>
      </c>
      <c r="HN83" t="e">
        <f>AND(#REF!,"AAAAAG/P2N0=")</f>
        <v>#REF!</v>
      </c>
      <c r="HO83" t="e">
        <f>AND(#REF!,"AAAAAG/P2N4=")</f>
        <v>#REF!</v>
      </c>
      <c r="HP83" t="e">
        <f>AND(#REF!,"AAAAAG/P2N8=")</f>
        <v>#REF!</v>
      </c>
      <c r="HQ83" t="e">
        <f>AND(#REF!,"AAAAAG/P2OA=")</f>
        <v>#REF!</v>
      </c>
      <c r="HR83" t="e">
        <f>AND(#REF!,"AAAAAG/P2OE=")</f>
        <v>#REF!</v>
      </c>
      <c r="HS83" t="e">
        <f>AND(#REF!,"AAAAAG/P2OI=")</f>
        <v>#REF!</v>
      </c>
      <c r="HT83" t="e">
        <f>AND(#REF!,"AAAAAG/P2OM=")</f>
        <v>#REF!</v>
      </c>
      <c r="HU83" t="e">
        <f>AND(#REF!,"AAAAAG/P2OQ=")</f>
        <v>#REF!</v>
      </c>
      <c r="HV83" t="e">
        <f>AND(#REF!,"AAAAAG/P2OU=")</f>
        <v>#REF!</v>
      </c>
      <c r="HW83" t="e">
        <f>AND(#REF!,"AAAAAG/P2OY=")</f>
        <v>#REF!</v>
      </c>
      <c r="HX83" t="e">
        <f>AND(#REF!,"AAAAAG/P2Oc=")</f>
        <v>#REF!</v>
      </c>
      <c r="HY83" t="e">
        <f>AND(#REF!,"AAAAAG/P2Og=")</f>
        <v>#REF!</v>
      </c>
      <c r="HZ83" t="e">
        <f>AND(#REF!,"AAAAAG/P2Ok=")</f>
        <v>#REF!</v>
      </c>
      <c r="IA83" t="e">
        <f>AND(#REF!,"AAAAAG/P2Oo=")</f>
        <v>#REF!</v>
      </c>
      <c r="IB83" t="e">
        <f>AND(#REF!,"AAAAAG/P2Os=")</f>
        <v>#REF!</v>
      </c>
      <c r="IC83" t="e">
        <f>AND(#REF!,"AAAAAG/P2Ow=")</f>
        <v>#REF!</v>
      </c>
      <c r="ID83" t="e">
        <f>AND(#REF!,"AAAAAG/P2O0=")</f>
        <v>#REF!</v>
      </c>
      <c r="IE83" t="e">
        <f>AND(#REF!,"AAAAAG/P2O4=")</f>
        <v>#REF!</v>
      </c>
      <c r="IF83" t="e">
        <f>AND(#REF!,"AAAAAG/P2O8=")</f>
        <v>#REF!</v>
      </c>
      <c r="IG83" t="e">
        <f>AND(#REF!,"AAAAAG/P2PA=")</f>
        <v>#REF!</v>
      </c>
      <c r="IH83" t="e">
        <f>AND(#REF!,"AAAAAG/P2PE=")</f>
        <v>#REF!</v>
      </c>
      <c r="II83" t="e">
        <f>AND(#REF!,"AAAAAG/P2PI=")</f>
        <v>#REF!</v>
      </c>
      <c r="IJ83" t="e">
        <f>IF(#REF!,"AAAAAG/P2PM=",0)</f>
        <v>#REF!</v>
      </c>
      <c r="IK83" t="e">
        <f>AND(#REF!,"AAAAAG/P2PQ=")</f>
        <v>#REF!</v>
      </c>
      <c r="IL83" t="e">
        <f>AND(#REF!,"AAAAAG/P2PU=")</f>
        <v>#REF!</v>
      </c>
      <c r="IM83" t="e">
        <f>AND(#REF!,"AAAAAG/P2PY=")</f>
        <v>#REF!</v>
      </c>
      <c r="IN83" t="e">
        <f>AND(#REF!,"AAAAAG/P2Pc=")</f>
        <v>#REF!</v>
      </c>
      <c r="IO83" t="e">
        <f>AND(#REF!,"AAAAAG/P2Pg=")</f>
        <v>#REF!</v>
      </c>
      <c r="IP83" t="e">
        <f>AND(#REF!,"AAAAAG/P2Pk=")</f>
        <v>#REF!</v>
      </c>
      <c r="IQ83" t="e">
        <f>AND(#REF!,"AAAAAG/P2Po=")</f>
        <v>#REF!</v>
      </c>
      <c r="IR83" t="e">
        <f>AND(#REF!,"AAAAAG/P2Ps=")</f>
        <v>#REF!</v>
      </c>
      <c r="IS83" t="e">
        <f>AND(#REF!,"AAAAAG/P2Pw=")</f>
        <v>#REF!</v>
      </c>
      <c r="IT83" t="e">
        <f>AND(#REF!,"AAAAAG/P2P0=")</f>
        <v>#REF!</v>
      </c>
      <c r="IU83" t="e">
        <f>AND(#REF!,"AAAAAG/P2P4=")</f>
        <v>#REF!</v>
      </c>
      <c r="IV83" t="e">
        <f>AND(#REF!,"AAAAAG/P2P8=")</f>
        <v>#REF!</v>
      </c>
    </row>
    <row r="84" spans="1:256">
      <c r="A84" t="e">
        <f>AND(#REF!,"AAAAAGXyRwA=")</f>
        <v>#REF!</v>
      </c>
      <c r="B84" t="e">
        <f>AND(#REF!,"AAAAAGXyRwE=")</f>
        <v>#REF!</v>
      </c>
      <c r="C84" t="e">
        <f>AND(#REF!,"AAAAAGXyRwI=")</f>
        <v>#REF!</v>
      </c>
      <c r="D84" t="e">
        <f>AND(#REF!,"AAAAAGXyRwM=")</f>
        <v>#REF!</v>
      </c>
      <c r="E84" t="e">
        <f>AND(#REF!,"AAAAAGXyRwQ=")</f>
        <v>#REF!</v>
      </c>
      <c r="F84" t="e">
        <f>AND(#REF!,"AAAAAGXyRwU=")</f>
        <v>#REF!</v>
      </c>
      <c r="G84" t="e">
        <f>AND(#REF!,"AAAAAGXyRwY=")</f>
        <v>#REF!</v>
      </c>
      <c r="H84" t="e">
        <f>AND(#REF!,"AAAAAGXyRwc=")</f>
        <v>#REF!</v>
      </c>
      <c r="I84" t="e">
        <f>AND(#REF!,"AAAAAGXyRwg=")</f>
        <v>#REF!</v>
      </c>
      <c r="J84" t="e">
        <f>AND(#REF!,"AAAAAGXyRwk=")</f>
        <v>#REF!</v>
      </c>
      <c r="K84" t="e">
        <f>AND(#REF!,"AAAAAGXyRwo=")</f>
        <v>#REF!</v>
      </c>
      <c r="L84" t="e">
        <f>AND(#REF!,"AAAAAGXyRws=")</f>
        <v>#REF!</v>
      </c>
      <c r="M84" t="e">
        <f>IF(#REF!,"AAAAAGXyRww=",0)</f>
        <v>#REF!</v>
      </c>
      <c r="N84" t="e">
        <f>AND(#REF!,"AAAAAGXyRw0=")</f>
        <v>#REF!</v>
      </c>
      <c r="O84" t="e">
        <f>AND(#REF!,"AAAAAGXyRw4=")</f>
        <v>#REF!</v>
      </c>
      <c r="P84" t="e">
        <f>AND(#REF!,"AAAAAGXyRw8=")</f>
        <v>#REF!</v>
      </c>
      <c r="Q84" t="e">
        <f>AND(#REF!,"AAAAAGXyRxA=")</f>
        <v>#REF!</v>
      </c>
      <c r="R84" t="e">
        <f>AND(#REF!,"AAAAAGXyRxE=")</f>
        <v>#REF!</v>
      </c>
      <c r="S84" t="e">
        <f>AND(#REF!,"AAAAAGXyRxI=")</f>
        <v>#REF!</v>
      </c>
      <c r="T84" t="e">
        <f>AND(#REF!,"AAAAAGXyRxM=")</f>
        <v>#REF!</v>
      </c>
      <c r="U84" t="e">
        <f>AND(#REF!,"AAAAAGXyRxQ=")</f>
        <v>#REF!</v>
      </c>
      <c r="V84" t="e">
        <f>AND(#REF!,"AAAAAGXyRxU=")</f>
        <v>#REF!</v>
      </c>
      <c r="W84" t="e">
        <f>AND(#REF!,"AAAAAGXyRxY=")</f>
        <v>#REF!</v>
      </c>
      <c r="X84" t="e">
        <f>AND(#REF!,"AAAAAGXyRxc=")</f>
        <v>#REF!</v>
      </c>
      <c r="Y84" t="e">
        <f>AND(#REF!,"AAAAAGXyRxg=")</f>
        <v>#REF!</v>
      </c>
      <c r="Z84" t="e">
        <f>AND(#REF!,"AAAAAGXyRxk=")</f>
        <v>#REF!</v>
      </c>
      <c r="AA84" t="e">
        <f>AND(#REF!,"AAAAAGXyRxo=")</f>
        <v>#REF!</v>
      </c>
      <c r="AB84" t="e">
        <f>AND(#REF!,"AAAAAGXyRxs=")</f>
        <v>#REF!</v>
      </c>
      <c r="AC84" t="e">
        <f>AND(#REF!,"AAAAAGXyRxw=")</f>
        <v>#REF!</v>
      </c>
      <c r="AD84" t="e">
        <f>AND(#REF!,"AAAAAGXyRx0=")</f>
        <v>#REF!</v>
      </c>
      <c r="AE84" t="e">
        <f>AND(#REF!,"AAAAAGXyRx4=")</f>
        <v>#REF!</v>
      </c>
      <c r="AF84" t="e">
        <f>AND(#REF!,"AAAAAGXyRx8=")</f>
        <v>#REF!</v>
      </c>
      <c r="AG84" t="e">
        <f>AND(#REF!,"AAAAAGXyRyA=")</f>
        <v>#REF!</v>
      </c>
      <c r="AH84" t="e">
        <f>AND(#REF!,"AAAAAGXyRyE=")</f>
        <v>#REF!</v>
      </c>
      <c r="AI84" t="e">
        <f>AND(#REF!,"AAAAAGXyRyI=")</f>
        <v>#REF!</v>
      </c>
      <c r="AJ84" t="e">
        <f>AND(#REF!,"AAAAAGXyRyM=")</f>
        <v>#REF!</v>
      </c>
      <c r="AK84" t="e">
        <f>AND(#REF!,"AAAAAGXyRyQ=")</f>
        <v>#REF!</v>
      </c>
      <c r="AL84" t="e">
        <f>IF(#REF!,"AAAAAGXyRyU=",0)</f>
        <v>#REF!</v>
      </c>
      <c r="AM84" t="e">
        <f>AND(#REF!,"AAAAAGXyRyY=")</f>
        <v>#REF!</v>
      </c>
      <c r="AN84" t="e">
        <f>AND(#REF!,"AAAAAGXyRyc=")</f>
        <v>#REF!</v>
      </c>
      <c r="AO84" t="e">
        <f>AND(#REF!,"AAAAAGXyRyg=")</f>
        <v>#REF!</v>
      </c>
      <c r="AP84" t="e">
        <f>AND(#REF!,"AAAAAGXyRyk=")</f>
        <v>#REF!</v>
      </c>
      <c r="AQ84" t="e">
        <f>AND(#REF!,"AAAAAGXyRyo=")</f>
        <v>#REF!</v>
      </c>
      <c r="AR84" t="e">
        <f>AND(#REF!,"AAAAAGXyRys=")</f>
        <v>#REF!</v>
      </c>
      <c r="AS84" t="e">
        <f>AND(#REF!,"AAAAAGXyRyw=")</f>
        <v>#REF!</v>
      </c>
      <c r="AT84" t="e">
        <f>AND(#REF!,"AAAAAGXyRy0=")</f>
        <v>#REF!</v>
      </c>
      <c r="AU84" t="e">
        <f>AND(#REF!,"AAAAAGXyRy4=")</f>
        <v>#REF!</v>
      </c>
      <c r="AV84" t="e">
        <f>AND(#REF!,"AAAAAGXyRy8=")</f>
        <v>#REF!</v>
      </c>
      <c r="AW84" t="e">
        <f>AND(#REF!,"AAAAAGXyRzA=")</f>
        <v>#REF!</v>
      </c>
      <c r="AX84" t="e">
        <f>AND(#REF!,"AAAAAGXyRzE=")</f>
        <v>#REF!</v>
      </c>
      <c r="AY84" t="e">
        <f>AND(#REF!,"AAAAAGXyRzI=")</f>
        <v>#REF!</v>
      </c>
      <c r="AZ84" t="e">
        <f>AND(#REF!,"AAAAAGXyRzM=")</f>
        <v>#REF!</v>
      </c>
      <c r="BA84" t="e">
        <f>AND(#REF!,"AAAAAGXyRzQ=")</f>
        <v>#REF!</v>
      </c>
      <c r="BB84" t="e">
        <f>AND(#REF!,"AAAAAGXyRzU=")</f>
        <v>#REF!</v>
      </c>
      <c r="BC84" t="e">
        <f>AND(#REF!,"AAAAAGXyRzY=")</f>
        <v>#REF!</v>
      </c>
      <c r="BD84" t="e">
        <f>AND(#REF!,"AAAAAGXyRzc=")</f>
        <v>#REF!</v>
      </c>
      <c r="BE84" t="e">
        <f>AND(#REF!,"AAAAAGXyRzg=")</f>
        <v>#REF!</v>
      </c>
      <c r="BF84" t="e">
        <f>AND(#REF!,"AAAAAGXyRzk=")</f>
        <v>#REF!</v>
      </c>
      <c r="BG84" t="e">
        <f>AND(#REF!,"AAAAAGXyRzo=")</f>
        <v>#REF!</v>
      </c>
      <c r="BH84" t="e">
        <f>AND(#REF!,"AAAAAGXyRzs=")</f>
        <v>#REF!</v>
      </c>
      <c r="BI84" t="e">
        <f>AND(#REF!,"AAAAAGXyRzw=")</f>
        <v>#REF!</v>
      </c>
      <c r="BJ84" t="e">
        <f>AND(#REF!,"AAAAAGXyRz0=")</f>
        <v>#REF!</v>
      </c>
      <c r="BK84" t="e">
        <f>IF(#REF!,"AAAAAGXyRz4=",0)</f>
        <v>#REF!</v>
      </c>
      <c r="BL84" t="e">
        <f>AND(#REF!,"AAAAAGXyRz8=")</f>
        <v>#REF!</v>
      </c>
      <c r="BM84" t="e">
        <f>AND(#REF!,"AAAAAGXyR0A=")</f>
        <v>#REF!</v>
      </c>
      <c r="BN84" t="e">
        <f>AND(#REF!,"AAAAAGXyR0E=")</f>
        <v>#REF!</v>
      </c>
      <c r="BO84" t="e">
        <f>AND(#REF!,"AAAAAGXyR0I=")</f>
        <v>#REF!</v>
      </c>
      <c r="BP84" t="e">
        <f>AND(#REF!,"AAAAAGXyR0M=")</f>
        <v>#REF!</v>
      </c>
      <c r="BQ84" t="e">
        <f>AND(#REF!,"AAAAAGXyR0Q=")</f>
        <v>#REF!</v>
      </c>
      <c r="BR84" t="e">
        <f>AND(#REF!,"AAAAAGXyR0U=")</f>
        <v>#REF!</v>
      </c>
      <c r="BS84" t="e">
        <f>AND(#REF!,"AAAAAGXyR0Y=")</f>
        <v>#REF!</v>
      </c>
      <c r="BT84" t="e">
        <f>AND(#REF!,"AAAAAGXyR0c=")</f>
        <v>#REF!</v>
      </c>
      <c r="BU84" t="e">
        <f>AND(#REF!,"AAAAAGXyR0g=")</f>
        <v>#REF!</v>
      </c>
      <c r="BV84" t="e">
        <f>AND(#REF!,"AAAAAGXyR0k=")</f>
        <v>#REF!</v>
      </c>
      <c r="BW84" t="e">
        <f>AND(#REF!,"AAAAAGXyR0o=")</f>
        <v>#REF!</v>
      </c>
      <c r="BX84" t="e">
        <f>AND(#REF!,"AAAAAGXyR0s=")</f>
        <v>#REF!</v>
      </c>
      <c r="BY84" t="e">
        <f>AND(#REF!,"AAAAAGXyR0w=")</f>
        <v>#REF!</v>
      </c>
      <c r="BZ84" t="e">
        <f>AND(#REF!,"AAAAAGXyR00=")</f>
        <v>#REF!</v>
      </c>
      <c r="CA84" t="e">
        <f>AND(#REF!,"AAAAAGXyR04=")</f>
        <v>#REF!</v>
      </c>
      <c r="CB84" t="e">
        <f>AND(#REF!,"AAAAAGXyR08=")</f>
        <v>#REF!</v>
      </c>
      <c r="CC84" t="e">
        <f>AND(#REF!,"AAAAAGXyR1A=")</f>
        <v>#REF!</v>
      </c>
      <c r="CD84" t="e">
        <f>AND(#REF!,"AAAAAGXyR1E=")</f>
        <v>#REF!</v>
      </c>
      <c r="CE84" t="e">
        <f>AND(#REF!,"AAAAAGXyR1I=")</f>
        <v>#REF!</v>
      </c>
      <c r="CF84" t="e">
        <f>AND(#REF!,"AAAAAGXyR1M=")</f>
        <v>#REF!</v>
      </c>
      <c r="CG84" t="e">
        <f>AND(#REF!,"AAAAAGXyR1Q=")</f>
        <v>#REF!</v>
      </c>
      <c r="CH84" t="e">
        <f>AND(#REF!,"AAAAAGXyR1U=")</f>
        <v>#REF!</v>
      </c>
      <c r="CI84" t="e">
        <f>AND(#REF!,"AAAAAGXyR1Y=")</f>
        <v>#REF!</v>
      </c>
      <c r="CJ84" t="e">
        <f>IF(#REF!,"AAAAAGXyR1c=",0)</f>
        <v>#REF!</v>
      </c>
      <c r="CK84" t="e">
        <f>AND(#REF!,"AAAAAGXyR1g=")</f>
        <v>#REF!</v>
      </c>
      <c r="CL84" t="e">
        <f>AND(#REF!,"AAAAAGXyR1k=")</f>
        <v>#REF!</v>
      </c>
      <c r="CM84" t="e">
        <f>AND(#REF!,"AAAAAGXyR1o=")</f>
        <v>#REF!</v>
      </c>
      <c r="CN84" t="e">
        <f>AND(#REF!,"AAAAAGXyR1s=")</f>
        <v>#REF!</v>
      </c>
      <c r="CO84" t="e">
        <f>AND(#REF!,"AAAAAGXyR1w=")</f>
        <v>#REF!</v>
      </c>
      <c r="CP84" t="e">
        <f>AND(#REF!,"AAAAAGXyR10=")</f>
        <v>#REF!</v>
      </c>
      <c r="CQ84" t="e">
        <f>AND(#REF!,"AAAAAGXyR14=")</f>
        <v>#REF!</v>
      </c>
      <c r="CR84" t="e">
        <f>AND(#REF!,"AAAAAGXyR18=")</f>
        <v>#REF!</v>
      </c>
      <c r="CS84" t="e">
        <f>AND(#REF!,"AAAAAGXyR2A=")</f>
        <v>#REF!</v>
      </c>
      <c r="CT84" t="e">
        <f>AND(#REF!,"AAAAAGXyR2E=")</f>
        <v>#REF!</v>
      </c>
      <c r="CU84" t="e">
        <f>AND(#REF!,"AAAAAGXyR2I=")</f>
        <v>#REF!</v>
      </c>
      <c r="CV84" t="e">
        <f>AND(#REF!,"AAAAAGXyR2M=")</f>
        <v>#REF!</v>
      </c>
      <c r="CW84" t="e">
        <f>AND(#REF!,"AAAAAGXyR2Q=")</f>
        <v>#REF!</v>
      </c>
      <c r="CX84" t="e">
        <f>AND(#REF!,"AAAAAGXyR2U=")</f>
        <v>#REF!</v>
      </c>
      <c r="CY84" t="e">
        <f>AND(#REF!,"AAAAAGXyR2Y=")</f>
        <v>#REF!</v>
      </c>
      <c r="CZ84" t="e">
        <f>AND(#REF!,"AAAAAGXyR2c=")</f>
        <v>#REF!</v>
      </c>
      <c r="DA84" t="e">
        <f>AND(#REF!,"AAAAAGXyR2g=")</f>
        <v>#REF!</v>
      </c>
      <c r="DB84" t="e">
        <f>AND(#REF!,"AAAAAGXyR2k=")</f>
        <v>#REF!</v>
      </c>
      <c r="DC84" t="e">
        <f>AND(#REF!,"AAAAAGXyR2o=")</f>
        <v>#REF!</v>
      </c>
      <c r="DD84" t="e">
        <f>AND(#REF!,"AAAAAGXyR2s=")</f>
        <v>#REF!</v>
      </c>
      <c r="DE84" t="e">
        <f>AND(#REF!,"AAAAAGXyR2w=")</f>
        <v>#REF!</v>
      </c>
      <c r="DF84" t="e">
        <f>AND(#REF!,"AAAAAGXyR20=")</f>
        <v>#REF!</v>
      </c>
      <c r="DG84" t="e">
        <f>AND(#REF!,"AAAAAGXyR24=")</f>
        <v>#REF!</v>
      </c>
      <c r="DH84" t="e">
        <f>AND(#REF!,"AAAAAGXyR28=")</f>
        <v>#REF!</v>
      </c>
      <c r="DI84" t="e">
        <f>IF(#REF!,"AAAAAGXyR3A=",0)</f>
        <v>#REF!</v>
      </c>
      <c r="DJ84" t="e">
        <f>AND(#REF!,"AAAAAGXyR3E=")</f>
        <v>#REF!</v>
      </c>
      <c r="DK84" t="e">
        <f>AND(#REF!,"AAAAAGXyR3I=")</f>
        <v>#REF!</v>
      </c>
      <c r="DL84" t="e">
        <f>AND(#REF!,"AAAAAGXyR3M=")</f>
        <v>#REF!</v>
      </c>
      <c r="DM84" t="e">
        <f>AND(#REF!,"AAAAAGXyR3Q=")</f>
        <v>#REF!</v>
      </c>
      <c r="DN84" t="e">
        <f>AND(#REF!,"AAAAAGXyR3U=")</f>
        <v>#REF!</v>
      </c>
      <c r="DO84" t="e">
        <f>AND(#REF!,"AAAAAGXyR3Y=")</f>
        <v>#REF!</v>
      </c>
      <c r="DP84" t="e">
        <f>AND(#REF!,"AAAAAGXyR3c=")</f>
        <v>#REF!</v>
      </c>
      <c r="DQ84" t="e">
        <f>AND(#REF!,"AAAAAGXyR3g=")</f>
        <v>#REF!</v>
      </c>
      <c r="DR84" t="e">
        <f>AND(#REF!,"AAAAAGXyR3k=")</f>
        <v>#REF!</v>
      </c>
      <c r="DS84" t="e">
        <f>AND(#REF!,"AAAAAGXyR3o=")</f>
        <v>#REF!</v>
      </c>
      <c r="DT84" t="e">
        <f>AND(#REF!,"AAAAAGXyR3s=")</f>
        <v>#REF!</v>
      </c>
      <c r="DU84" t="e">
        <f>AND(#REF!,"AAAAAGXyR3w=")</f>
        <v>#REF!</v>
      </c>
      <c r="DV84" t="e">
        <f>AND(#REF!,"AAAAAGXyR30=")</f>
        <v>#REF!</v>
      </c>
      <c r="DW84" t="e">
        <f>AND(#REF!,"AAAAAGXyR34=")</f>
        <v>#REF!</v>
      </c>
      <c r="DX84" t="e">
        <f>AND(#REF!,"AAAAAGXyR38=")</f>
        <v>#REF!</v>
      </c>
      <c r="DY84" t="e">
        <f>AND(#REF!,"AAAAAGXyR4A=")</f>
        <v>#REF!</v>
      </c>
      <c r="DZ84" t="e">
        <f>AND(#REF!,"AAAAAGXyR4E=")</f>
        <v>#REF!</v>
      </c>
      <c r="EA84" t="e">
        <f>AND(#REF!,"AAAAAGXyR4I=")</f>
        <v>#REF!</v>
      </c>
      <c r="EB84" t="e">
        <f>AND(#REF!,"AAAAAGXyR4M=")</f>
        <v>#REF!</v>
      </c>
      <c r="EC84" t="e">
        <f>AND(#REF!,"AAAAAGXyR4Q=")</f>
        <v>#REF!</v>
      </c>
      <c r="ED84" t="e">
        <f>AND(#REF!,"AAAAAGXyR4U=")</f>
        <v>#REF!</v>
      </c>
      <c r="EE84" t="e">
        <f>AND(#REF!,"AAAAAGXyR4Y=")</f>
        <v>#REF!</v>
      </c>
      <c r="EF84" t="e">
        <f>AND(#REF!,"AAAAAGXyR4c=")</f>
        <v>#REF!</v>
      </c>
      <c r="EG84" t="e">
        <f>AND(#REF!,"AAAAAGXyR4g=")</f>
        <v>#REF!</v>
      </c>
      <c r="EH84" t="e">
        <f>IF(#REF!,"AAAAAGXyR4k=",0)</f>
        <v>#REF!</v>
      </c>
      <c r="EI84" t="e">
        <f>AND(#REF!,"AAAAAGXyR4o=")</f>
        <v>#REF!</v>
      </c>
      <c r="EJ84" t="e">
        <f>AND(#REF!,"AAAAAGXyR4s=")</f>
        <v>#REF!</v>
      </c>
      <c r="EK84" t="e">
        <f>AND(#REF!,"AAAAAGXyR4w=")</f>
        <v>#REF!</v>
      </c>
      <c r="EL84" t="e">
        <f>AND(#REF!,"AAAAAGXyR40=")</f>
        <v>#REF!</v>
      </c>
      <c r="EM84" t="e">
        <f>AND(#REF!,"AAAAAGXyR44=")</f>
        <v>#REF!</v>
      </c>
      <c r="EN84" t="e">
        <f>AND(#REF!,"AAAAAGXyR48=")</f>
        <v>#REF!</v>
      </c>
      <c r="EO84" t="e">
        <f>AND(#REF!,"AAAAAGXyR5A=")</f>
        <v>#REF!</v>
      </c>
      <c r="EP84" t="e">
        <f>AND(#REF!,"AAAAAGXyR5E=")</f>
        <v>#REF!</v>
      </c>
      <c r="EQ84" t="e">
        <f>AND(#REF!,"AAAAAGXyR5I=")</f>
        <v>#REF!</v>
      </c>
      <c r="ER84" t="e">
        <f>AND(#REF!,"AAAAAGXyR5M=")</f>
        <v>#REF!</v>
      </c>
      <c r="ES84" t="e">
        <f>AND(#REF!,"AAAAAGXyR5Q=")</f>
        <v>#REF!</v>
      </c>
      <c r="ET84" t="e">
        <f>AND(#REF!,"AAAAAGXyR5U=")</f>
        <v>#REF!</v>
      </c>
      <c r="EU84" t="e">
        <f>AND(#REF!,"AAAAAGXyR5Y=")</f>
        <v>#REF!</v>
      </c>
      <c r="EV84" t="e">
        <f>AND(#REF!,"AAAAAGXyR5c=")</f>
        <v>#REF!</v>
      </c>
      <c r="EW84" t="e">
        <f>AND(#REF!,"AAAAAGXyR5g=")</f>
        <v>#REF!</v>
      </c>
      <c r="EX84" t="e">
        <f>AND(#REF!,"AAAAAGXyR5k=")</f>
        <v>#REF!</v>
      </c>
      <c r="EY84" t="e">
        <f>AND(#REF!,"AAAAAGXyR5o=")</f>
        <v>#REF!</v>
      </c>
      <c r="EZ84" t="e">
        <f>AND(#REF!,"AAAAAGXyR5s=")</f>
        <v>#REF!</v>
      </c>
      <c r="FA84" t="e">
        <f>AND(#REF!,"AAAAAGXyR5w=")</f>
        <v>#REF!</v>
      </c>
      <c r="FB84" t="e">
        <f>AND(#REF!,"AAAAAGXyR50=")</f>
        <v>#REF!</v>
      </c>
      <c r="FC84" t="e">
        <f>AND(#REF!,"AAAAAGXyR54=")</f>
        <v>#REF!</v>
      </c>
      <c r="FD84" t="e">
        <f>AND(#REF!,"AAAAAGXyR58=")</f>
        <v>#REF!</v>
      </c>
      <c r="FE84" t="e">
        <f>AND(#REF!,"AAAAAGXyR6A=")</f>
        <v>#REF!</v>
      </c>
      <c r="FF84" t="e">
        <f>AND(#REF!,"AAAAAGXyR6E=")</f>
        <v>#REF!</v>
      </c>
      <c r="FG84" t="e">
        <f>IF(#REF!,"AAAAAGXyR6I=",0)</f>
        <v>#REF!</v>
      </c>
      <c r="FH84" t="e">
        <f>AND(#REF!,"AAAAAGXyR6M=")</f>
        <v>#REF!</v>
      </c>
      <c r="FI84" t="e">
        <f>AND(#REF!,"AAAAAGXyR6Q=")</f>
        <v>#REF!</v>
      </c>
      <c r="FJ84" t="e">
        <f>AND(#REF!,"AAAAAGXyR6U=")</f>
        <v>#REF!</v>
      </c>
      <c r="FK84" t="e">
        <f>AND(#REF!,"AAAAAGXyR6Y=")</f>
        <v>#REF!</v>
      </c>
      <c r="FL84" t="e">
        <f>AND(#REF!,"AAAAAGXyR6c=")</f>
        <v>#REF!</v>
      </c>
      <c r="FM84" t="e">
        <f>AND(#REF!,"AAAAAGXyR6g=")</f>
        <v>#REF!</v>
      </c>
      <c r="FN84" t="e">
        <f>AND(#REF!,"AAAAAGXyR6k=")</f>
        <v>#REF!</v>
      </c>
      <c r="FO84" t="e">
        <f>AND(#REF!,"AAAAAGXyR6o=")</f>
        <v>#REF!</v>
      </c>
      <c r="FP84" t="e">
        <f>AND(#REF!,"AAAAAGXyR6s=")</f>
        <v>#REF!</v>
      </c>
      <c r="FQ84" t="e">
        <f>AND(#REF!,"AAAAAGXyR6w=")</f>
        <v>#REF!</v>
      </c>
      <c r="FR84" t="e">
        <f>AND(#REF!,"AAAAAGXyR60=")</f>
        <v>#REF!</v>
      </c>
      <c r="FS84" t="e">
        <f>AND(#REF!,"AAAAAGXyR64=")</f>
        <v>#REF!</v>
      </c>
      <c r="FT84" t="e">
        <f>AND(#REF!,"AAAAAGXyR68=")</f>
        <v>#REF!</v>
      </c>
      <c r="FU84" t="e">
        <f>AND(#REF!,"AAAAAGXyR7A=")</f>
        <v>#REF!</v>
      </c>
      <c r="FV84" t="e">
        <f>AND(#REF!,"AAAAAGXyR7E=")</f>
        <v>#REF!</v>
      </c>
      <c r="FW84" t="e">
        <f>AND(#REF!,"AAAAAGXyR7I=")</f>
        <v>#REF!</v>
      </c>
      <c r="FX84" t="e">
        <f>AND(#REF!,"AAAAAGXyR7M=")</f>
        <v>#REF!</v>
      </c>
      <c r="FY84" t="e">
        <f>AND(#REF!,"AAAAAGXyR7Q=")</f>
        <v>#REF!</v>
      </c>
      <c r="FZ84" t="e">
        <f>AND(#REF!,"AAAAAGXyR7U=")</f>
        <v>#REF!</v>
      </c>
      <c r="GA84" t="e">
        <f>AND(#REF!,"AAAAAGXyR7Y=")</f>
        <v>#REF!</v>
      </c>
      <c r="GB84" t="e">
        <f>AND(#REF!,"AAAAAGXyR7c=")</f>
        <v>#REF!</v>
      </c>
      <c r="GC84" t="e">
        <f>AND(#REF!,"AAAAAGXyR7g=")</f>
        <v>#REF!</v>
      </c>
      <c r="GD84" t="e">
        <f>AND(#REF!,"AAAAAGXyR7k=")</f>
        <v>#REF!</v>
      </c>
      <c r="GE84" t="e">
        <f>AND(#REF!,"AAAAAGXyR7o=")</f>
        <v>#REF!</v>
      </c>
      <c r="GF84" t="e">
        <f>IF(#REF!,"AAAAAGXyR7s=",0)</f>
        <v>#REF!</v>
      </c>
      <c r="GG84" t="e">
        <f>AND(#REF!,"AAAAAGXyR7w=")</f>
        <v>#REF!</v>
      </c>
      <c r="GH84" t="e">
        <f>AND(#REF!,"AAAAAGXyR70=")</f>
        <v>#REF!</v>
      </c>
      <c r="GI84" t="e">
        <f>AND(#REF!,"AAAAAGXyR74=")</f>
        <v>#REF!</v>
      </c>
      <c r="GJ84" t="e">
        <f>AND(#REF!,"AAAAAGXyR78=")</f>
        <v>#REF!</v>
      </c>
      <c r="GK84" t="e">
        <f>AND(#REF!,"AAAAAGXyR8A=")</f>
        <v>#REF!</v>
      </c>
      <c r="GL84" t="e">
        <f>AND(#REF!,"AAAAAGXyR8E=")</f>
        <v>#REF!</v>
      </c>
      <c r="GM84" t="e">
        <f>AND(#REF!,"AAAAAGXyR8I=")</f>
        <v>#REF!</v>
      </c>
      <c r="GN84" t="e">
        <f>AND(#REF!,"AAAAAGXyR8M=")</f>
        <v>#REF!</v>
      </c>
      <c r="GO84" t="e">
        <f>AND(#REF!,"AAAAAGXyR8Q=")</f>
        <v>#REF!</v>
      </c>
      <c r="GP84" t="e">
        <f>AND(#REF!,"AAAAAGXyR8U=")</f>
        <v>#REF!</v>
      </c>
      <c r="GQ84" t="e">
        <f>AND(#REF!,"AAAAAGXyR8Y=")</f>
        <v>#REF!</v>
      </c>
      <c r="GR84" t="e">
        <f>AND(#REF!,"AAAAAGXyR8c=")</f>
        <v>#REF!</v>
      </c>
      <c r="GS84" t="e">
        <f>AND(#REF!,"AAAAAGXyR8g=")</f>
        <v>#REF!</v>
      </c>
      <c r="GT84" t="e">
        <f>AND(#REF!,"AAAAAGXyR8k=")</f>
        <v>#REF!</v>
      </c>
      <c r="GU84" t="e">
        <f>AND(#REF!,"AAAAAGXyR8o=")</f>
        <v>#REF!</v>
      </c>
      <c r="GV84" t="e">
        <f>AND(#REF!,"AAAAAGXyR8s=")</f>
        <v>#REF!</v>
      </c>
      <c r="GW84" t="e">
        <f>AND(#REF!,"AAAAAGXyR8w=")</f>
        <v>#REF!</v>
      </c>
      <c r="GX84" t="e">
        <f>AND(#REF!,"AAAAAGXyR80=")</f>
        <v>#REF!</v>
      </c>
      <c r="GY84" t="e">
        <f>AND(#REF!,"AAAAAGXyR84=")</f>
        <v>#REF!</v>
      </c>
      <c r="GZ84" t="e">
        <f>AND(#REF!,"AAAAAGXyR88=")</f>
        <v>#REF!</v>
      </c>
      <c r="HA84" t="e">
        <f>AND(#REF!,"AAAAAGXyR9A=")</f>
        <v>#REF!</v>
      </c>
      <c r="HB84" t="e">
        <f>AND(#REF!,"AAAAAGXyR9E=")</f>
        <v>#REF!</v>
      </c>
      <c r="HC84" t="e">
        <f>AND(#REF!,"AAAAAGXyR9I=")</f>
        <v>#REF!</v>
      </c>
      <c r="HD84" t="e">
        <f>AND(#REF!,"AAAAAGXyR9M=")</f>
        <v>#REF!</v>
      </c>
      <c r="HE84" t="e">
        <f>IF(#REF!,"AAAAAGXyR9Q=",0)</f>
        <v>#REF!</v>
      </c>
      <c r="HF84" t="e">
        <f>AND(#REF!,"AAAAAGXyR9U=")</f>
        <v>#REF!</v>
      </c>
      <c r="HG84" t="e">
        <f>AND(#REF!,"AAAAAGXyR9Y=")</f>
        <v>#REF!</v>
      </c>
      <c r="HH84" t="e">
        <f>AND(#REF!,"AAAAAGXyR9c=")</f>
        <v>#REF!</v>
      </c>
      <c r="HI84" t="e">
        <f>AND(#REF!,"AAAAAGXyR9g=")</f>
        <v>#REF!</v>
      </c>
      <c r="HJ84" t="e">
        <f>AND(#REF!,"AAAAAGXyR9k=")</f>
        <v>#REF!</v>
      </c>
      <c r="HK84" t="e">
        <f>AND(#REF!,"AAAAAGXyR9o=")</f>
        <v>#REF!</v>
      </c>
      <c r="HL84" t="e">
        <f>AND(#REF!,"AAAAAGXyR9s=")</f>
        <v>#REF!</v>
      </c>
      <c r="HM84" t="e">
        <f>AND(#REF!,"AAAAAGXyR9w=")</f>
        <v>#REF!</v>
      </c>
      <c r="HN84" t="e">
        <f>AND(#REF!,"AAAAAGXyR90=")</f>
        <v>#REF!</v>
      </c>
      <c r="HO84" t="e">
        <f>AND(#REF!,"AAAAAGXyR94=")</f>
        <v>#REF!</v>
      </c>
      <c r="HP84" t="e">
        <f>AND(#REF!,"AAAAAGXyR98=")</f>
        <v>#REF!</v>
      </c>
      <c r="HQ84" t="e">
        <f>AND(#REF!,"AAAAAGXyR+A=")</f>
        <v>#REF!</v>
      </c>
      <c r="HR84" t="e">
        <f>AND(#REF!,"AAAAAGXyR+E=")</f>
        <v>#REF!</v>
      </c>
      <c r="HS84" t="e">
        <f>AND(#REF!,"AAAAAGXyR+I=")</f>
        <v>#REF!</v>
      </c>
      <c r="HT84" t="e">
        <f>AND(#REF!,"AAAAAGXyR+M=")</f>
        <v>#REF!</v>
      </c>
      <c r="HU84" t="e">
        <f>AND(#REF!,"AAAAAGXyR+Q=")</f>
        <v>#REF!</v>
      </c>
      <c r="HV84" t="e">
        <f>AND(#REF!,"AAAAAGXyR+U=")</f>
        <v>#REF!</v>
      </c>
      <c r="HW84" t="e">
        <f>AND(#REF!,"AAAAAGXyR+Y=")</f>
        <v>#REF!</v>
      </c>
      <c r="HX84" t="e">
        <f>AND(#REF!,"AAAAAGXyR+c=")</f>
        <v>#REF!</v>
      </c>
      <c r="HY84" t="e">
        <f>AND(#REF!,"AAAAAGXyR+g=")</f>
        <v>#REF!</v>
      </c>
      <c r="HZ84" t="e">
        <f>AND(#REF!,"AAAAAGXyR+k=")</f>
        <v>#REF!</v>
      </c>
      <c r="IA84" t="e">
        <f>AND(#REF!,"AAAAAGXyR+o=")</f>
        <v>#REF!</v>
      </c>
      <c r="IB84" t="e">
        <f>AND(#REF!,"AAAAAGXyR+s=")</f>
        <v>#REF!</v>
      </c>
      <c r="IC84" t="e">
        <f>AND(#REF!,"AAAAAGXyR+w=")</f>
        <v>#REF!</v>
      </c>
      <c r="ID84" t="e">
        <f>IF(#REF!,"AAAAAGXyR+0=",0)</f>
        <v>#REF!</v>
      </c>
      <c r="IE84" t="e">
        <f>AND(#REF!,"AAAAAGXyR+4=")</f>
        <v>#REF!</v>
      </c>
      <c r="IF84" t="e">
        <f>AND(#REF!,"AAAAAGXyR+8=")</f>
        <v>#REF!</v>
      </c>
      <c r="IG84" t="e">
        <f>AND(#REF!,"AAAAAGXyR/A=")</f>
        <v>#REF!</v>
      </c>
      <c r="IH84" t="e">
        <f>AND(#REF!,"AAAAAGXyR/E=")</f>
        <v>#REF!</v>
      </c>
      <c r="II84" t="e">
        <f>AND(#REF!,"AAAAAGXyR/I=")</f>
        <v>#REF!</v>
      </c>
      <c r="IJ84" t="e">
        <f>AND(#REF!,"AAAAAGXyR/M=")</f>
        <v>#REF!</v>
      </c>
      <c r="IK84" t="e">
        <f>AND(#REF!,"AAAAAGXyR/Q=")</f>
        <v>#REF!</v>
      </c>
      <c r="IL84" t="e">
        <f>AND(#REF!,"AAAAAGXyR/U=")</f>
        <v>#REF!</v>
      </c>
      <c r="IM84" t="e">
        <f>AND(#REF!,"AAAAAGXyR/Y=")</f>
        <v>#REF!</v>
      </c>
      <c r="IN84" t="e">
        <f>AND(#REF!,"AAAAAGXyR/c=")</f>
        <v>#REF!</v>
      </c>
      <c r="IO84" t="e">
        <f>AND(#REF!,"AAAAAGXyR/g=")</f>
        <v>#REF!</v>
      </c>
      <c r="IP84" t="e">
        <f>AND(#REF!,"AAAAAGXyR/k=")</f>
        <v>#REF!</v>
      </c>
      <c r="IQ84" t="e">
        <f>AND(#REF!,"AAAAAGXyR/o=")</f>
        <v>#REF!</v>
      </c>
      <c r="IR84" t="e">
        <f>AND(#REF!,"AAAAAGXyR/s=")</f>
        <v>#REF!</v>
      </c>
      <c r="IS84" t="e">
        <f>AND(#REF!,"AAAAAGXyR/w=")</f>
        <v>#REF!</v>
      </c>
      <c r="IT84" t="e">
        <f>AND(#REF!,"AAAAAGXyR/0=")</f>
        <v>#REF!</v>
      </c>
      <c r="IU84" t="e">
        <f>AND(#REF!,"AAAAAGXyR/4=")</f>
        <v>#REF!</v>
      </c>
      <c r="IV84" t="e">
        <f>AND(#REF!,"AAAAAGXyR/8=")</f>
        <v>#REF!</v>
      </c>
    </row>
    <row r="85" spans="1:256">
      <c r="A85" t="e">
        <f>AND(#REF!,"AAAAAHvyNgA=")</f>
        <v>#REF!</v>
      </c>
      <c r="B85" t="e">
        <f>AND(#REF!,"AAAAAHvyNgE=")</f>
        <v>#REF!</v>
      </c>
      <c r="C85" t="e">
        <f>AND(#REF!,"AAAAAHvyNgI=")</f>
        <v>#REF!</v>
      </c>
      <c r="D85" t="e">
        <f>AND(#REF!,"AAAAAHvyNgM=")</f>
        <v>#REF!</v>
      </c>
      <c r="E85" t="e">
        <f>AND(#REF!,"AAAAAHvyNgQ=")</f>
        <v>#REF!</v>
      </c>
      <c r="F85" t="e">
        <f>AND(#REF!,"AAAAAHvyNgU=")</f>
        <v>#REF!</v>
      </c>
      <c r="G85" t="e">
        <f>IF(#REF!,"AAAAAHvyNgY=",0)</f>
        <v>#REF!</v>
      </c>
      <c r="H85" t="e">
        <f>AND(#REF!,"AAAAAHvyNgc=")</f>
        <v>#REF!</v>
      </c>
      <c r="I85" t="e">
        <f>AND(#REF!,"AAAAAHvyNgg=")</f>
        <v>#REF!</v>
      </c>
      <c r="J85" t="e">
        <f>AND(#REF!,"AAAAAHvyNgk=")</f>
        <v>#REF!</v>
      </c>
      <c r="K85" t="e">
        <f>AND(#REF!,"AAAAAHvyNgo=")</f>
        <v>#REF!</v>
      </c>
      <c r="L85" t="e">
        <f>AND(#REF!,"AAAAAHvyNgs=")</f>
        <v>#REF!</v>
      </c>
      <c r="M85" t="e">
        <f>AND(#REF!,"AAAAAHvyNgw=")</f>
        <v>#REF!</v>
      </c>
      <c r="N85" t="e">
        <f>AND(#REF!,"AAAAAHvyNg0=")</f>
        <v>#REF!</v>
      </c>
      <c r="O85" t="e">
        <f>AND(#REF!,"AAAAAHvyNg4=")</f>
        <v>#REF!</v>
      </c>
      <c r="P85" t="e">
        <f>AND(#REF!,"AAAAAHvyNg8=")</f>
        <v>#REF!</v>
      </c>
      <c r="Q85" t="e">
        <f>AND(#REF!,"AAAAAHvyNhA=")</f>
        <v>#REF!</v>
      </c>
      <c r="R85" t="e">
        <f>AND(#REF!,"AAAAAHvyNhE=")</f>
        <v>#REF!</v>
      </c>
      <c r="S85" t="e">
        <f>AND(#REF!,"AAAAAHvyNhI=")</f>
        <v>#REF!</v>
      </c>
      <c r="T85" t="e">
        <f>AND(#REF!,"AAAAAHvyNhM=")</f>
        <v>#REF!</v>
      </c>
      <c r="U85" t="e">
        <f>AND(#REF!,"AAAAAHvyNhQ=")</f>
        <v>#REF!</v>
      </c>
      <c r="V85" t="e">
        <f>AND(#REF!,"AAAAAHvyNhU=")</f>
        <v>#REF!</v>
      </c>
      <c r="W85" t="e">
        <f>AND(#REF!,"AAAAAHvyNhY=")</f>
        <v>#REF!</v>
      </c>
      <c r="X85" t="e">
        <f>AND(#REF!,"AAAAAHvyNhc=")</f>
        <v>#REF!</v>
      </c>
      <c r="Y85" t="e">
        <f>AND(#REF!,"AAAAAHvyNhg=")</f>
        <v>#REF!</v>
      </c>
      <c r="Z85" t="e">
        <f>AND(#REF!,"AAAAAHvyNhk=")</f>
        <v>#REF!</v>
      </c>
      <c r="AA85" t="e">
        <f>AND(#REF!,"AAAAAHvyNho=")</f>
        <v>#REF!</v>
      </c>
      <c r="AB85" t="e">
        <f>AND(#REF!,"AAAAAHvyNhs=")</f>
        <v>#REF!</v>
      </c>
      <c r="AC85" t="e">
        <f>AND(#REF!,"AAAAAHvyNhw=")</f>
        <v>#REF!</v>
      </c>
      <c r="AD85" t="e">
        <f>AND(#REF!,"AAAAAHvyNh0=")</f>
        <v>#REF!</v>
      </c>
      <c r="AE85" t="e">
        <f>AND(#REF!,"AAAAAHvyNh4=")</f>
        <v>#REF!</v>
      </c>
      <c r="AF85" t="e">
        <f>IF(#REF!,"AAAAAHvyNh8=",0)</f>
        <v>#REF!</v>
      </c>
      <c r="AG85" t="e">
        <f>AND(#REF!,"AAAAAHvyNiA=")</f>
        <v>#REF!</v>
      </c>
      <c r="AH85" t="e">
        <f>AND(#REF!,"AAAAAHvyNiE=")</f>
        <v>#REF!</v>
      </c>
      <c r="AI85" t="e">
        <f>AND(#REF!,"AAAAAHvyNiI=")</f>
        <v>#REF!</v>
      </c>
      <c r="AJ85" t="e">
        <f>AND(#REF!,"AAAAAHvyNiM=")</f>
        <v>#REF!</v>
      </c>
      <c r="AK85" t="e">
        <f>AND(#REF!,"AAAAAHvyNiQ=")</f>
        <v>#REF!</v>
      </c>
      <c r="AL85" t="e">
        <f>AND(#REF!,"AAAAAHvyNiU=")</f>
        <v>#REF!</v>
      </c>
      <c r="AM85" t="e">
        <f>AND(#REF!,"AAAAAHvyNiY=")</f>
        <v>#REF!</v>
      </c>
      <c r="AN85" t="e">
        <f>AND(#REF!,"AAAAAHvyNic=")</f>
        <v>#REF!</v>
      </c>
      <c r="AO85" t="e">
        <f>AND(#REF!,"AAAAAHvyNig=")</f>
        <v>#REF!</v>
      </c>
      <c r="AP85" t="e">
        <f>AND(#REF!,"AAAAAHvyNik=")</f>
        <v>#REF!</v>
      </c>
      <c r="AQ85" t="e">
        <f>AND(#REF!,"AAAAAHvyNio=")</f>
        <v>#REF!</v>
      </c>
      <c r="AR85" t="e">
        <f>AND(#REF!,"AAAAAHvyNis=")</f>
        <v>#REF!</v>
      </c>
      <c r="AS85" t="e">
        <f>AND(#REF!,"AAAAAHvyNiw=")</f>
        <v>#REF!</v>
      </c>
      <c r="AT85" t="e">
        <f>AND(#REF!,"AAAAAHvyNi0=")</f>
        <v>#REF!</v>
      </c>
      <c r="AU85" t="e">
        <f>AND(#REF!,"AAAAAHvyNi4=")</f>
        <v>#REF!</v>
      </c>
      <c r="AV85" t="e">
        <f>AND(#REF!,"AAAAAHvyNi8=")</f>
        <v>#REF!</v>
      </c>
      <c r="AW85" t="e">
        <f>AND(#REF!,"AAAAAHvyNjA=")</f>
        <v>#REF!</v>
      </c>
      <c r="AX85" t="e">
        <f>AND(#REF!,"AAAAAHvyNjE=")</f>
        <v>#REF!</v>
      </c>
      <c r="AY85" t="e">
        <f>AND(#REF!,"AAAAAHvyNjI=")</f>
        <v>#REF!</v>
      </c>
      <c r="AZ85" t="e">
        <f>AND(#REF!,"AAAAAHvyNjM=")</f>
        <v>#REF!</v>
      </c>
      <c r="BA85" t="e">
        <f>AND(#REF!,"AAAAAHvyNjQ=")</f>
        <v>#REF!</v>
      </c>
      <c r="BB85" t="e">
        <f>AND(#REF!,"AAAAAHvyNjU=")</f>
        <v>#REF!</v>
      </c>
      <c r="BC85" t="e">
        <f>AND(#REF!,"AAAAAHvyNjY=")</f>
        <v>#REF!</v>
      </c>
      <c r="BD85" t="e">
        <f>AND(#REF!,"AAAAAHvyNjc=")</f>
        <v>#REF!</v>
      </c>
      <c r="BE85" t="e">
        <f>IF(#REF!,"AAAAAHvyNjg=",0)</f>
        <v>#REF!</v>
      </c>
      <c r="BF85" t="e">
        <f>AND(#REF!,"AAAAAHvyNjk=")</f>
        <v>#REF!</v>
      </c>
      <c r="BG85" t="e">
        <f>AND(#REF!,"AAAAAHvyNjo=")</f>
        <v>#REF!</v>
      </c>
      <c r="BH85" t="e">
        <f>AND(#REF!,"AAAAAHvyNjs=")</f>
        <v>#REF!</v>
      </c>
      <c r="BI85" t="e">
        <f>AND(#REF!,"AAAAAHvyNjw=")</f>
        <v>#REF!</v>
      </c>
      <c r="BJ85" t="e">
        <f>AND(#REF!,"AAAAAHvyNj0=")</f>
        <v>#REF!</v>
      </c>
      <c r="BK85" t="e">
        <f>AND(#REF!,"AAAAAHvyNj4=")</f>
        <v>#REF!</v>
      </c>
      <c r="BL85" t="e">
        <f>AND(#REF!,"AAAAAHvyNj8=")</f>
        <v>#REF!</v>
      </c>
      <c r="BM85" t="e">
        <f>AND(#REF!,"AAAAAHvyNkA=")</f>
        <v>#REF!</v>
      </c>
      <c r="BN85" t="e">
        <f>AND(#REF!,"AAAAAHvyNkE=")</f>
        <v>#REF!</v>
      </c>
      <c r="BO85" t="e">
        <f>AND(#REF!,"AAAAAHvyNkI=")</f>
        <v>#REF!</v>
      </c>
      <c r="BP85" t="e">
        <f>AND(#REF!,"AAAAAHvyNkM=")</f>
        <v>#REF!</v>
      </c>
      <c r="BQ85" t="e">
        <f>AND(#REF!,"AAAAAHvyNkQ=")</f>
        <v>#REF!</v>
      </c>
      <c r="BR85" t="e">
        <f>AND(#REF!,"AAAAAHvyNkU=")</f>
        <v>#REF!</v>
      </c>
      <c r="BS85" t="e">
        <f>AND(#REF!,"AAAAAHvyNkY=")</f>
        <v>#REF!</v>
      </c>
      <c r="BT85" t="e">
        <f>AND(#REF!,"AAAAAHvyNkc=")</f>
        <v>#REF!</v>
      </c>
      <c r="BU85" t="e">
        <f>AND(#REF!,"AAAAAHvyNkg=")</f>
        <v>#REF!</v>
      </c>
      <c r="BV85" t="e">
        <f>AND(#REF!,"AAAAAHvyNkk=")</f>
        <v>#REF!</v>
      </c>
      <c r="BW85" t="e">
        <f>AND(#REF!,"AAAAAHvyNko=")</f>
        <v>#REF!</v>
      </c>
      <c r="BX85" t="e">
        <f>AND(#REF!,"AAAAAHvyNks=")</f>
        <v>#REF!</v>
      </c>
      <c r="BY85" t="e">
        <f>AND(#REF!,"AAAAAHvyNkw=")</f>
        <v>#REF!</v>
      </c>
      <c r="BZ85" t="e">
        <f>AND(#REF!,"AAAAAHvyNk0=")</f>
        <v>#REF!</v>
      </c>
      <c r="CA85" t="e">
        <f>AND(#REF!,"AAAAAHvyNk4=")</f>
        <v>#REF!</v>
      </c>
      <c r="CB85" t="e">
        <f>AND(#REF!,"AAAAAHvyNk8=")</f>
        <v>#REF!</v>
      </c>
      <c r="CC85" t="e">
        <f>AND(#REF!,"AAAAAHvyNlA=")</f>
        <v>#REF!</v>
      </c>
      <c r="CD85" t="e">
        <f>IF(#REF!,"AAAAAHvyNlE=",0)</f>
        <v>#REF!</v>
      </c>
      <c r="CE85" t="e">
        <f>AND(#REF!,"AAAAAHvyNlI=")</f>
        <v>#REF!</v>
      </c>
      <c r="CF85" t="e">
        <f>AND(#REF!,"AAAAAHvyNlM=")</f>
        <v>#REF!</v>
      </c>
      <c r="CG85" t="e">
        <f>AND(#REF!,"AAAAAHvyNlQ=")</f>
        <v>#REF!</v>
      </c>
      <c r="CH85" t="e">
        <f>AND(#REF!,"AAAAAHvyNlU=")</f>
        <v>#REF!</v>
      </c>
      <c r="CI85" t="e">
        <f>AND(#REF!,"AAAAAHvyNlY=")</f>
        <v>#REF!</v>
      </c>
      <c r="CJ85" t="e">
        <f>AND(#REF!,"AAAAAHvyNlc=")</f>
        <v>#REF!</v>
      </c>
      <c r="CK85" t="e">
        <f>AND(#REF!,"AAAAAHvyNlg=")</f>
        <v>#REF!</v>
      </c>
      <c r="CL85" t="e">
        <f>AND(#REF!,"AAAAAHvyNlk=")</f>
        <v>#REF!</v>
      </c>
      <c r="CM85" t="e">
        <f>AND(#REF!,"AAAAAHvyNlo=")</f>
        <v>#REF!</v>
      </c>
      <c r="CN85" t="e">
        <f>AND(#REF!,"AAAAAHvyNls=")</f>
        <v>#REF!</v>
      </c>
      <c r="CO85" t="e">
        <f>AND(#REF!,"AAAAAHvyNlw=")</f>
        <v>#REF!</v>
      </c>
      <c r="CP85" t="e">
        <f>AND(#REF!,"AAAAAHvyNl0=")</f>
        <v>#REF!</v>
      </c>
      <c r="CQ85" t="e">
        <f>AND(#REF!,"AAAAAHvyNl4=")</f>
        <v>#REF!</v>
      </c>
      <c r="CR85" t="e">
        <f>AND(#REF!,"AAAAAHvyNl8=")</f>
        <v>#REF!</v>
      </c>
      <c r="CS85" t="e">
        <f>AND(#REF!,"AAAAAHvyNmA=")</f>
        <v>#REF!</v>
      </c>
      <c r="CT85" t="e">
        <f>AND(#REF!,"AAAAAHvyNmE=")</f>
        <v>#REF!</v>
      </c>
      <c r="CU85" t="e">
        <f>AND(#REF!,"AAAAAHvyNmI=")</f>
        <v>#REF!</v>
      </c>
      <c r="CV85" t="e">
        <f>AND(#REF!,"AAAAAHvyNmM=")</f>
        <v>#REF!</v>
      </c>
      <c r="CW85" t="e">
        <f>AND(#REF!,"AAAAAHvyNmQ=")</f>
        <v>#REF!</v>
      </c>
      <c r="CX85" t="e">
        <f>AND(#REF!,"AAAAAHvyNmU=")</f>
        <v>#REF!</v>
      </c>
      <c r="CY85" t="e">
        <f>AND(#REF!,"AAAAAHvyNmY=")</f>
        <v>#REF!</v>
      </c>
      <c r="CZ85" t="e">
        <f>AND(#REF!,"AAAAAHvyNmc=")</f>
        <v>#REF!</v>
      </c>
      <c r="DA85" t="e">
        <f>AND(#REF!,"AAAAAHvyNmg=")</f>
        <v>#REF!</v>
      </c>
      <c r="DB85" t="e">
        <f>AND(#REF!,"AAAAAHvyNmk=")</f>
        <v>#REF!</v>
      </c>
      <c r="DC85" t="e">
        <f>IF(#REF!,"AAAAAHvyNmo=",0)</f>
        <v>#REF!</v>
      </c>
      <c r="DD85" t="e">
        <f>AND(#REF!,"AAAAAHvyNms=")</f>
        <v>#REF!</v>
      </c>
      <c r="DE85" t="e">
        <f>AND(#REF!,"AAAAAHvyNmw=")</f>
        <v>#REF!</v>
      </c>
      <c r="DF85" t="e">
        <f>AND(#REF!,"AAAAAHvyNm0=")</f>
        <v>#REF!</v>
      </c>
      <c r="DG85" t="e">
        <f>AND(#REF!,"AAAAAHvyNm4=")</f>
        <v>#REF!</v>
      </c>
      <c r="DH85" t="e">
        <f>AND(#REF!,"AAAAAHvyNm8=")</f>
        <v>#REF!</v>
      </c>
      <c r="DI85" t="e">
        <f>AND(#REF!,"AAAAAHvyNnA=")</f>
        <v>#REF!</v>
      </c>
      <c r="DJ85" t="e">
        <f>AND(#REF!,"AAAAAHvyNnE=")</f>
        <v>#REF!</v>
      </c>
      <c r="DK85" t="e">
        <f>AND(#REF!,"AAAAAHvyNnI=")</f>
        <v>#REF!</v>
      </c>
      <c r="DL85" t="e">
        <f>AND(#REF!,"AAAAAHvyNnM=")</f>
        <v>#REF!</v>
      </c>
      <c r="DM85" t="e">
        <f>AND(#REF!,"AAAAAHvyNnQ=")</f>
        <v>#REF!</v>
      </c>
      <c r="DN85" t="e">
        <f>AND(#REF!,"AAAAAHvyNnU=")</f>
        <v>#REF!</v>
      </c>
      <c r="DO85" t="e">
        <f>AND(#REF!,"AAAAAHvyNnY=")</f>
        <v>#REF!</v>
      </c>
      <c r="DP85" t="e">
        <f>AND(#REF!,"AAAAAHvyNnc=")</f>
        <v>#REF!</v>
      </c>
      <c r="DQ85" t="e">
        <f>AND(#REF!,"AAAAAHvyNng=")</f>
        <v>#REF!</v>
      </c>
      <c r="DR85" t="e">
        <f>AND(#REF!,"AAAAAHvyNnk=")</f>
        <v>#REF!</v>
      </c>
      <c r="DS85" t="e">
        <f>AND(#REF!,"AAAAAHvyNno=")</f>
        <v>#REF!</v>
      </c>
      <c r="DT85" t="e">
        <f>AND(#REF!,"AAAAAHvyNns=")</f>
        <v>#REF!</v>
      </c>
      <c r="DU85" t="e">
        <f>AND(#REF!,"AAAAAHvyNnw=")</f>
        <v>#REF!</v>
      </c>
      <c r="DV85" t="e">
        <f>AND(#REF!,"AAAAAHvyNn0=")</f>
        <v>#REF!</v>
      </c>
      <c r="DW85" t="e">
        <f>AND(#REF!,"AAAAAHvyNn4=")</f>
        <v>#REF!</v>
      </c>
      <c r="DX85" t="e">
        <f>AND(#REF!,"AAAAAHvyNn8=")</f>
        <v>#REF!</v>
      </c>
      <c r="DY85" t="e">
        <f>AND(#REF!,"AAAAAHvyNoA=")</f>
        <v>#REF!</v>
      </c>
      <c r="DZ85" t="e">
        <f>AND(#REF!,"AAAAAHvyNoE=")</f>
        <v>#REF!</v>
      </c>
      <c r="EA85" t="e">
        <f>AND(#REF!,"AAAAAHvyNoI=")</f>
        <v>#REF!</v>
      </c>
      <c r="EB85" t="e">
        <f>IF(#REF!,"AAAAAHvyNoM=",0)</f>
        <v>#REF!</v>
      </c>
      <c r="EC85" t="e">
        <f>AND(#REF!,"AAAAAHvyNoQ=")</f>
        <v>#REF!</v>
      </c>
      <c r="ED85" t="e">
        <f>AND(#REF!,"AAAAAHvyNoU=")</f>
        <v>#REF!</v>
      </c>
      <c r="EE85" t="e">
        <f>AND(#REF!,"AAAAAHvyNoY=")</f>
        <v>#REF!</v>
      </c>
      <c r="EF85" t="e">
        <f>AND(#REF!,"AAAAAHvyNoc=")</f>
        <v>#REF!</v>
      </c>
      <c r="EG85" t="e">
        <f>AND(#REF!,"AAAAAHvyNog=")</f>
        <v>#REF!</v>
      </c>
      <c r="EH85" t="e">
        <f>AND(#REF!,"AAAAAHvyNok=")</f>
        <v>#REF!</v>
      </c>
      <c r="EI85" t="e">
        <f>AND(#REF!,"AAAAAHvyNoo=")</f>
        <v>#REF!</v>
      </c>
      <c r="EJ85" t="e">
        <f>AND(#REF!,"AAAAAHvyNos=")</f>
        <v>#REF!</v>
      </c>
      <c r="EK85" t="e">
        <f>AND(#REF!,"AAAAAHvyNow=")</f>
        <v>#REF!</v>
      </c>
      <c r="EL85" t="e">
        <f>AND(#REF!,"AAAAAHvyNo0=")</f>
        <v>#REF!</v>
      </c>
      <c r="EM85" t="e">
        <f>AND(#REF!,"AAAAAHvyNo4=")</f>
        <v>#REF!</v>
      </c>
      <c r="EN85" t="e">
        <f>AND(#REF!,"AAAAAHvyNo8=")</f>
        <v>#REF!</v>
      </c>
      <c r="EO85" t="e">
        <f>AND(#REF!,"AAAAAHvyNpA=")</f>
        <v>#REF!</v>
      </c>
      <c r="EP85" t="e">
        <f>AND(#REF!,"AAAAAHvyNpE=")</f>
        <v>#REF!</v>
      </c>
      <c r="EQ85" t="e">
        <f>AND(#REF!,"AAAAAHvyNpI=")</f>
        <v>#REF!</v>
      </c>
      <c r="ER85" t="e">
        <f>AND(#REF!,"AAAAAHvyNpM=")</f>
        <v>#REF!</v>
      </c>
      <c r="ES85" t="e">
        <f>AND(#REF!,"AAAAAHvyNpQ=")</f>
        <v>#REF!</v>
      </c>
      <c r="ET85" t="e">
        <f>AND(#REF!,"AAAAAHvyNpU=")</f>
        <v>#REF!</v>
      </c>
      <c r="EU85" t="e">
        <f>AND(#REF!,"AAAAAHvyNpY=")</f>
        <v>#REF!</v>
      </c>
      <c r="EV85" t="e">
        <f>AND(#REF!,"AAAAAHvyNpc=")</f>
        <v>#REF!</v>
      </c>
      <c r="EW85" t="e">
        <f>AND(#REF!,"AAAAAHvyNpg=")</f>
        <v>#REF!</v>
      </c>
      <c r="EX85" t="e">
        <f>AND(#REF!,"AAAAAHvyNpk=")</f>
        <v>#REF!</v>
      </c>
      <c r="EY85" t="e">
        <f>AND(#REF!,"AAAAAHvyNpo=")</f>
        <v>#REF!</v>
      </c>
      <c r="EZ85" t="e">
        <f>AND(#REF!,"AAAAAHvyNps=")</f>
        <v>#REF!</v>
      </c>
      <c r="FA85" t="e">
        <f>IF(#REF!,"AAAAAHvyNpw=",0)</f>
        <v>#REF!</v>
      </c>
      <c r="FB85" t="e">
        <f>AND(#REF!,"AAAAAHvyNp0=")</f>
        <v>#REF!</v>
      </c>
      <c r="FC85" t="e">
        <f>AND(#REF!,"AAAAAHvyNp4=")</f>
        <v>#REF!</v>
      </c>
      <c r="FD85" t="e">
        <f>AND(#REF!,"AAAAAHvyNp8=")</f>
        <v>#REF!</v>
      </c>
      <c r="FE85" t="e">
        <f>AND(#REF!,"AAAAAHvyNqA=")</f>
        <v>#REF!</v>
      </c>
      <c r="FF85" t="e">
        <f>AND(#REF!,"AAAAAHvyNqE=")</f>
        <v>#REF!</v>
      </c>
      <c r="FG85" t="e">
        <f>AND(#REF!,"AAAAAHvyNqI=")</f>
        <v>#REF!</v>
      </c>
      <c r="FH85" t="e">
        <f>AND(#REF!,"AAAAAHvyNqM=")</f>
        <v>#REF!</v>
      </c>
      <c r="FI85" t="e">
        <f>AND(#REF!,"AAAAAHvyNqQ=")</f>
        <v>#REF!</v>
      </c>
      <c r="FJ85" t="e">
        <f>AND(#REF!,"AAAAAHvyNqU=")</f>
        <v>#REF!</v>
      </c>
      <c r="FK85" t="e">
        <f>AND(#REF!,"AAAAAHvyNqY=")</f>
        <v>#REF!</v>
      </c>
      <c r="FL85" t="e">
        <f>AND(#REF!,"AAAAAHvyNqc=")</f>
        <v>#REF!</v>
      </c>
      <c r="FM85" t="e">
        <f>AND(#REF!,"AAAAAHvyNqg=")</f>
        <v>#REF!</v>
      </c>
      <c r="FN85" t="e">
        <f>AND(#REF!,"AAAAAHvyNqk=")</f>
        <v>#REF!</v>
      </c>
      <c r="FO85" t="e">
        <f>AND(#REF!,"AAAAAHvyNqo=")</f>
        <v>#REF!</v>
      </c>
      <c r="FP85" t="e">
        <f>AND(#REF!,"AAAAAHvyNqs=")</f>
        <v>#REF!</v>
      </c>
      <c r="FQ85" t="e">
        <f>AND(#REF!,"AAAAAHvyNqw=")</f>
        <v>#REF!</v>
      </c>
      <c r="FR85" t="e">
        <f>AND(#REF!,"AAAAAHvyNq0=")</f>
        <v>#REF!</v>
      </c>
      <c r="FS85" t="e">
        <f>AND(#REF!,"AAAAAHvyNq4=")</f>
        <v>#REF!</v>
      </c>
      <c r="FT85" t="e">
        <f>AND(#REF!,"AAAAAHvyNq8=")</f>
        <v>#REF!</v>
      </c>
      <c r="FU85" t="e">
        <f>AND(#REF!,"AAAAAHvyNrA=")</f>
        <v>#REF!</v>
      </c>
      <c r="FV85" t="e">
        <f>AND(#REF!,"AAAAAHvyNrE=")</f>
        <v>#REF!</v>
      </c>
      <c r="FW85" t="e">
        <f>AND(#REF!,"AAAAAHvyNrI=")</f>
        <v>#REF!</v>
      </c>
      <c r="FX85" t="e">
        <f>AND(#REF!,"AAAAAHvyNrM=")</f>
        <v>#REF!</v>
      </c>
      <c r="FY85" t="e">
        <f>AND(#REF!,"AAAAAHvyNrQ=")</f>
        <v>#REF!</v>
      </c>
      <c r="FZ85" t="e">
        <f>IF(#REF!,"AAAAAHvyNrU=",0)</f>
        <v>#REF!</v>
      </c>
      <c r="GA85" t="e">
        <f>AND(#REF!,"AAAAAHvyNrY=")</f>
        <v>#REF!</v>
      </c>
      <c r="GB85" t="e">
        <f>AND(#REF!,"AAAAAHvyNrc=")</f>
        <v>#REF!</v>
      </c>
      <c r="GC85" t="e">
        <f>AND(#REF!,"AAAAAHvyNrg=")</f>
        <v>#REF!</v>
      </c>
      <c r="GD85" t="e">
        <f>AND(#REF!,"AAAAAHvyNrk=")</f>
        <v>#REF!</v>
      </c>
      <c r="GE85" t="e">
        <f>AND(#REF!,"AAAAAHvyNro=")</f>
        <v>#REF!</v>
      </c>
      <c r="GF85" t="e">
        <f>AND(#REF!,"AAAAAHvyNrs=")</f>
        <v>#REF!</v>
      </c>
      <c r="GG85" t="e">
        <f>AND(#REF!,"AAAAAHvyNrw=")</f>
        <v>#REF!</v>
      </c>
      <c r="GH85" t="e">
        <f>AND(#REF!,"AAAAAHvyNr0=")</f>
        <v>#REF!</v>
      </c>
      <c r="GI85" t="e">
        <f>AND(#REF!,"AAAAAHvyNr4=")</f>
        <v>#REF!</v>
      </c>
      <c r="GJ85" t="e">
        <f>AND(#REF!,"AAAAAHvyNr8=")</f>
        <v>#REF!</v>
      </c>
      <c r="GK85" t="e">
        <f>AND(#REF!,"AAAAAHvyNsA=")</f>
        <v>#REF!</v>
      </c>
      <c r="GL85" t="e">
        <f>AND(#REF!,"AAAAAHvyNsE=")</f>
        <v>#REF!</v>
      </c>
      <c r="GM85" t="e">
        <f>AND(#REF!,"AAAAAHvyNsI=")</f>
        <v>#REF!</v>
      </c>
      <c r="GN85" t="e">
        <f>AND(#REF!,"AAAAAHvyNsM=")</f>
        <v>#REF!</v>
      </c>
      <c r="GO85" t="e">
        <f>AND(#REF!,"AAAAAHvyNsQ=")</f>
        <v>#REF!</v>
      </c>
      <c r="GP85" t="e">
        <f>AND(#REF!,"AAAAAHvyNsU=")</f>
        <v>#REF!</v>
      </c>
      <c r="GQ85" t="e">
        <f>AND(#REF!,"AAAAAHvyNsY=")</f>
        <v>#REF!</v>
      </c>
      <c r="GR85" t="e">
        <f>AND(#REF!,"AAAAAHvyNsc=")</f>
        <v>#REF!</v>
      </c>
      <c r="GS85" t="e">
        <f>AND(#REF!,"AAAAAHvyNsg=")</f>
        <v>#REF!</v>
      </c>
      <c r="GT85" t="e">
        <f>AND(#REF!,"AAAAAHvyNsk=")</f>
        <v>#REF!</v>
      </c>
      <c r="GU85" t="e">
        <f>AND(#REF!,"AAAAAHvyNso=")</f>
        <v>#REF!</v>
      </c>
      <c r="GV85" t="e">
        <f>AND(#REF!,"AAAAAHvyNss=")</f>
        <v>#REF!</v>
      </c>
      <c r="GW85" t="e">
        <f>AND(#REF!,"AAAAAHvyNsw=")</f>
        <v>#REF!</v>
      </c>
      <c r="GX85" t="e">
        <f>AND(#REF!,"AAAAAHvyNs0=")</f>
        <v>#REF!</v>
      </c>
      <c r="GY85" t="e">
        <f>IF(#REF!,"AAAAAHvyNs4=",0)</f>
        <v>#REF!</v>
      </c>
      <c r="GZ85" t="e">
        <f>AND(#REF!,"AAAAAHvyNs8=")</f>
        <v>#REF!</v>
      </c>
      <c r="HA85" t="e">
        <f>AND(#REF!,"AAAAAHvyNtA=")</f>
        <v>#REF!</v>
      </c>
      <c r="HB85" t="e">
        <f>AND(#REF!,"AAAAAHvyNtE=")</f>
        <v>#REF!</v>
      </c>
      <c r="HC85" t="e">
        <f>AND(#REF!,"AAAAAHvyNtI=")</f>
        <v>#REF!</v>
      </c>
      <c r="HD85" t="e">
        <f>AND(#REF!,"AAAAAHvyNtM=")</f>
        <v>#REF!</v>
      </c>
      <c r="HE85" t="e">
        <f>AND(#REF!,"AAAAAHvyNtQ=")</f>
        <v>#REF!</v>
      </c>
      <c r="HF85" t="e">
        <f>AND(#REF!,"AAAAAHvyNtU=")</f>
        <v>#REF!</v>
      </c>
      <c r="HG85" t="e">
        <f>AND(#REF!,"AAAAAHvyNtY=")</f>
        <v>#REF!</v>
      </c>
      <c r="HH85" t="e">
        <f>AND(#REF!,"AAAAAHvyNtc=")</f>
        <v>#REF!</v>
      </c>
      <c r="HI85" t="e">
        <f>AND(#REF!,"AAAAAHvyNtg=")</f>
        <v>#REF!</v>
      </c>
      <c r="HJ85" t="e">
        <f>AND(#REF!,"AAAAAHvyNtk=")</f>
        <v>#REF!</v>
      </c>
      <c r="HK85" t="e">
        <f>AND(#REF!,"AAAAAHvyNto=")</f>
        <v>#REF!</v>
      </c>
      <c r="HL85" t="e">
        <f>AND(#REF!,"AAAAAHvyNts=")</f>
        <v>#REF!</v>
      </c>
      <c r="HM85" t="e">
        <f>AND(#REF!,"AAAAAHvyNtw=")</f>
        <v>#REF!</v>
      </c>
      <c r="HN85" t="e">
        <f>AND(#REF!,"AAAAAHvyNt0=")</f>
        <v>#REF!</v>
      </c>
      <c r="HO85" t="e">
        <f>AND(#REF!,"AAAAAHvyNt4=")</f>
        <v>#REF!</v>
      </c>
      <c r="HP85" t="e">
        <f>AND(#REF!,"AAAAAHvyNt8=")</f>
        <v>#REF!</v>
      </c>
      <c r="HQ85" t="e">
        <f>AND(#REF!,"AAAAAHvyNuA=")</f>
        <v>#REF!</v>
      </c>
      <c r="HR85" t="e">
        <f>AND(#REF!,"AAAAAHvyNuE=")</f>
        <v>#REF!</v>
      </c>
      <c r="HS85" t="e">
        <f>AND(#REF!,"AAAAAHvyNuI=")</f>
        <v>#REF!</v>
      </c>
      <c r="HT85" t="e">
        <f>AND(#REF!,"AAAAAHvyNuM=")</f>
        <v>#REF!</v>
      </c>
      <c r="HU85" t="e">
        <f>AND(#REF!,"AAAAAHvyNuQ=")</f>
        <v>#REF!</v>
      </c>
      <c r="HV85" t="e">
        <f>AND(#REF!,"AAAAAHvyNuU=")</f>
        <v>#REF!</v>
      </c>
      <c r="HW85" t="e">
        <f>AND(#REF!,"AAAAAHvyNuY=")</f>
        <v>#REF!</v>
      </c>
      <c r="HX85" t="e">
        <f>IF(#REF!,"AAAAAHvyNuc=",0)</f>
        <v>#REF!</v>
      </c>
      <c r="HY85" t="e">
        <f>AND(#REF!,"AAAAAHvyNug=")</f>
        <v>#REF!</v>
      </c>
      <c r="HZ85" t="e">
        <f>AND(#REF!,"AAAAAHvyNuk=")</f>
        <v>#REF!</v>
      </c>
      <c r="IA85" t="e">
        <f>AND(#REF!,"AAAAAHvyNuo=")</f>
        <v>#REF!</v>
      </c>
      <c r="IB85" t="e">
        <f>AND(#REF!,"AAAAAHvyNus=")</f>
        <v>#REF!</v>
      </c>
      <c r="IC85" t="e">
        <f>AND(#REF!,"AAAAAHvyNuw=")</f>
        <v>#REF!</v>
      </c>
      <c r="ID85" t="e">
        <f>AND(#REF!,"AAAAAHvyNu0=")</f>
        <v>#REF!</v>
      </c>
      <c r="IE85" t="e">
        <f>AND(#REF!,"AAAAAHvyNu4=")</f>
        <v>#REF!</v>
      </c>
      <c r="IF85" t="e">
        <f>AND(#REF!,"AAAAAHvyNu8=")</f>
        <v>#REF!</v>
      </c>
      <c r="IG85" t="e">
        <f>AND(#REF!,"AAAAAHvyNvA=")</f>
        <v>#REF!</v>
      </c>
      <c r="IH85" t="e">
        <f>AND(#REF!,"AAAAAHvyNvE=")</f>
        <v>#REF!</v>
      </c>
      <c r="II85" t="e">
        <f>AND(#REF!,"AAAAAHvyNvI=")</f>
        <v>#REF!</v>
      </c>
      <c r="IJ85" t="e">
        <f>AND(#REF!,"AAAAAHvyNvM=")</f>
        <v>#REF!</v>
      </c>
      <c r="IK85" t="e">
        <f>AND(#REF!,"AAAAAHvyNvQ=")</f>
        <v>#REF!</v>
      </c>
      <c r="IL85" t="e">
        <f>AND(#REF!,"AAAAAHvyNvU=")</f>
        <v>#REF!</v>
      </c>
      <c r="IM85" t="e">
        <f>AND(#REF!,"AAAAAHvyNvY=")</f>
        <v>#REF!</v>
      </c>
      <c r="IN85" t="e">
        <f>AND(#REF!,"AAAAAHvyNvc=")</f>
        <v>#REF!</v>
      </c>
      <c r="IO85" t="e">
        <f>AND(#REF!,"AAAAAHvyNvg=")</f>
        <v>#REF!</v>
      </c>
      <c r="IP85" t="e">
        <f>AND(#REF!,"AAAAAHvyNvk=")</f>
        <v>#REF!</v>
      </c>
      <c r="IQ85" t="e">
        <f>AND(#REF!,"AAAAAHvyNvo=")</f>
        <v>#REF!</v>
      </c>
      <c r="IR85" t="e">
        <f>AND(#REF!,"AAAAAHvyNvs=")</f>
        <v>#REF!</v>
      </c>
      <c r="IS85" t="e">
        <f>AND(#REF!,"AAAAAHvyNvw=")</f>
        <v>#REF!</v>
      </c>
      <c r="IT85" t="e">
        <f>AND(#REF!,"AAAAAHvyNv0=")</f>
        <v>#REF!</v>
      </c>
      <c r="IU85" t="e">
        <f>AND(#REF!,"AAAAAHvyNv4=")</f>
        <v>#REF!</v>
      </c>
      <c r="IV85" t="e">
        <f>AND(#REF!,"AAAAAHvyNv8=")</f>
        <v>#REF!</v>
      </c>
    </row>
    <row r="86" spans="1:256">
      <c r="A86" t="e">
        <f>IF(#REF!,"AAAAAD3O9AA=",0)</f>
        <v>#REF!</v>
      </c>
      <c r="B86" t="e">
        <f>AND(#REF!,"AAAAAD3O9AE=")</f>
        <v>#REF!</v>
      </c>
      <c r="C86" t="e">
        <f>AND(#REF!,"AAAAAD3O9AI=")</f>
        <v>#REF!</v>
      </c>
      <c r="D86" t="e">
        <f>AND(#REF!,"AAAAAD3O9AM=")</f>
        <v>#REF!</v>
      </c>
      <c r="E86" t="e">
        <f>AND(#REF!,"AAAAAD3O9AQ=")</f>
        <v>#REF!</v>
      </c>
      <c r="F86" t="e">
        <f>AND(#REF!,"AAAAAD3O9AU=")</f>
        <v>#REF!</v>
      </c>
      <c r="G86" t="e">
        <f>AND(#REF!,"AAAAAD3O9AY=")</f>
        <v>#REF!</v>
      </c>
      <c r="H86" t="e">
        <f>AND(#REF!,"AAAAAD3O9Ac=")</f>
        <v>#REF!</v>
      </c>
      <c r="I86" t="e">
        <f>AND(#REF!,"AAAAAD3O9Ag=")</f>
        <v>#REF!</v>
      </c>
      <c r="J86" t="e">
        <f>AND(#REF!,"AAAAAD3O9Ak=")</f>
        <v>#REF!</v>
      </c>
      <c r="K86" t="e">
        <f>AND(#REF!,"AAAAAD3O9Ao=")</f>
        <v>#REF!</v>
      </c>
      <c r="L86" t="e">
        <f>AND(#REF!,"AAAAAD3O9As=")</f>
        <v>#REF!</v>
      </c>
      <c r="M86" t="e">
        <f>AND(#REF!,"AAAAAD3O9Aw=")</f>
        <v>#REF!</v>
      </c>
      <c r="N86" t="e">
        <f>AND(#REF!,"AAAAAD3O9A0=")</f>
        <v>#REF!</v>
      </c>
      <c r="O86" t="e">
        <f>AND(#REF!,"AAAAAD3O9A4=")</f>
        <v>#REF!</v>
      </c>
      <c r="P86" t="e">
        <f>AND(#REF!,"AAAAAD3O9A8=")</f>
        <v>#REF!</v>
      </c>
      <c r="Q86" t="e">
        <f>AND(#REF!,"AAAAAD3O9BA=")</f>
        <v>#REF!</v>
      </c>
      <c r="R86" t="e">
        <f>AND(#REF!,"AAAAAD3O9BE=")</f>
        <v>#REF!</v>
      </c>
      <c r="S86" t="e">
        <f>AND(#REF!,"AAAAAD3O9BI=")</f>
        <v>#REF!</v>
      </c>
      <c r="T86" t="e">
        <f>AND(#REF!,"AAAAAD3O9BM=")</f>
        <v>#REF!</v>
      </c>
      <c r="U86" t="e">
        <f>AND(#REF!,"AAAAAD3O9BQ=")</f>
        <v>#REF!</v>
      </c>
      <c r="V86" t="e">
        <f>AND(#REF!,"AAAAAD3O9BU=")</f>
        <v>#REF!</v>
      </c>
      <c r="W86" t="e">
        <f>AND(#REF!,"AAAAAD3O9BY=")</f>
        <v>#REF!</v>
      </c>
      <c r="X86" t="e">
        <f>AND(#REF!,"AAAAAD3O9Bc=")</f>
        <v>#REF!</v>
      </c>
      <c r="Y86" t="e">
        <f>AND(#REF!,"AAAAAD3O9Bg=")</f>
        <v>#REF!</v>
      </c>
      <c r="Z86" t="e">
        <f>IF(#REF!,"AAAAAD3O9Bk=",0)</f>
        <v>#REF!</v>
      </c>
      <c r="AA86" t="e">
        <f>AND(#REF!,"AAAAAD3O9Bo=")</f>
        <v>#REF!</v>
      </c>
      <c r="AB86" t="e">
        <f>AND(#REF!,"AAAAAD3O9Bs=")</f>
        <v>#REF!</v>
      </c>
      <c r="AC86" t="e">
        <f>AND(#REF!,"AAAAAD3O9Bw=")</f>
        <v>#REF!</v>
      </c>
      <c r="AD86" t="e">
        <f>AND(#REF!,"AAAAAD3O9B0=")</f>
        <v>#REF!</v>
      </c>
      <c r="AE86" t="e">
        <f>AND(#REF!,"AAAAAD3O9B4=")</f>
        <v>#REF!</v>
      </c>
      <c r="AF86" t="e">
        <f>AND(#REF!,"AAAAAD3O9B8=")</f>
        <v>#REF!</v>
      </c>
      <c r="AG86" t="e">
        <f>AND(#REF!,"AAAAAD3O9CA=")</f>
        <v>#REF!</v>
      </c>
      <c r="AH86" t="e">
        <f>AND(#REF!,"AAAAAD3O9CE=")</f>
        <v>#REF!</v>
      </c>
      <c r="AI86" t="e">
        <f>AND(#REF!,"AAAAAD3O9CI=")</f>
        <v>#REF!</v>
      </c>
      <c r="AJ86" t="e">
        <f>AND(#REF!,"AAAAAD3O9CM=")</f>
        <v>#REF!</v>
      </c>
      <c r="AK86" t="e">
        <f>AND(#REF!,"AAAAAD3O9CQ=")</f>
        <v>#REF!</v>
      </c>
      <c r="AL86" t="e">
        <f>AND(#REF!,"AAAAAD3O9CU=")</f>
        <v>#REF!</v>
      </c>
      <c r="AM86" t="e">
        <f>AND(#REF!,"AAAAAD3O9CY=")</f>
        <v>#REF!</v>
      </c>
      <c r="AN86" t="e">
        <f>AND(#REF!,"AAAAAD3O9Cc=")</f>
        <v>#REF!</v>
      </c>
      <c r="AO86" t="e">
        <f>AND(#REF!,"AAAAAD3O9Cg=")</f>
        <v>#REF!</v>
      </c>
      <c r="AP86" t="e">
        <f>AND(#REF!,"AAAAAD3O9Ck=")</f>
        <v>#REF!</v>
      </c>
      <c r="AQ86" t="e">
        <f>AND(#REF!,"AAAAAD3O9Co=")</f>
        <v>#REF!</v>
      </c>
      <c r="AR86" t="e">
        <f>AND(#REF!,"AAAAAD3O9Cs=")</f>
        <v>#REF!</v>
      </c>
      <c r="AS86" t="e">
        <f>AND(#REF!,"AAAAAD3O9Cw=")</f>
        <v>#REF!</v>
      </c>
      <c r="AT86" t="e">
        <f>AND(#REF!,"AAAAAD3O9C0=")</f>
        <v>#REF!</v>
      </c>
      <c r="AU86" t="e">
        <f>AND(#REF!,"AAAAAD3O9C4=")</f>
        <v>#REF!</v>
      </c>
      <c r="AV86" t="e">
        <f>AND(#REF!,"AAAAAD3O9C8=")</f>
        <v>#REF!</v>
      </c>
      <c r="AW86" t="e">
        <f>AND(#REF!,"AAAAAD3O9DA=")</f>
        <v>#REF!</v>
      </c>
      <c r="AX86" t="e">
        <f>AND(#REF!,"AAAAAD3O9DE=")</f>
        <v>#REF!</v>
      </c>
      <c r="AY86" t="e">
        <f>IF(#REF!,"AAAAAD3O9DI=",0)</f>
        <v>#REF!</v>
      </c>
      <c r="AZ86" t="e">
        <f>AND(#REF!,"AAAAAD3O9DM=")</f>
        <v>#REF!</v>
      </c>
      <c r="BA86" t="e">
        <f>AND(#REF!,"AAAAAD3O9DQ=")</f>
        <v>#REF!</v>
      </c>
      <c r="BB86" t="e">
        <f>AND(#REF!,"AAAAAD3O9DU=")</f>
        <v>#REF!</v>
      </c>
      <c r="BC86" t="e">
        <f>AND(#REF!,"AAAAAD3O9DY=")</f>
        <v>#REF!</v>
      </c>
      <c r="BD86" t="e">
        <f>AND(#REF!,"AAAAAD3O9Dc=")</f>
        <v>#REF!</v>
      </c>
      <c r="BE86" t="e">
        <f>AND(#REF!,"AAAAAD3O9Dg=")</f>
        <v>#REF!</v>
      </c>
      <c r="BF86" t="e">
        <f>AND(#REF!,"AAAAAD3O9Dk=")</f>
        <v>#REF!</v>
      </c>
      <c r="BG86" t="e">
        <f>AND(#REF!,"AAAAAD3O9Do=")</f>
        <v>#REF!</v>
      </c>
      <c r="BH86" t="e">
        <f>AND(#REF!,"AAAAAD3O9Ds=")</f>
        <v>#REF!</v>
      </c>
      <c r="BI86" t="e">
        <f>AND(#REF!,"AAAAAD3O9Dw=")</f>
        <v>#REF!</v>
      </c>
      <c r="BJ86" t="e">
        <f>AND(#REF!,"AAAAAD3O9D0=")</f>
        <v>#REF!</v>
      </c>
      <c r="BK86" t="e">
        <f>AND(#REF!,"AAAAAD3O9D4=")</f>
        <v>#REF!</v>
      </c>
      <c r="BL86" t="e">
        <f>AND(#REF!,"AAAAAD3O9D8=")</f>
        <v>#REF!</v>
      </c>
      <c r="BM86" t="e">
        <f>AND(#REF!,"AAAAAD3O9EA=")</f>
        <v>#REF!</v>
      </c>
      <c r="BN86" t="e">
        <f>AND(#REF!,"AAAAAD3O9EE=")</f>
        <v>#REF!</v>
      </c>
      <c r="BO86" t="e">
        <f>AND(#REF!,"AAAAAD3O9EI=")</f>
        <v>#REF!</v>
      </c>
      <c r="BP86" t="e">
        <f>AND(#REF!,"AAAAAD3O9EM=")</f>
        <v>#REF!</v>
      </c>
      <c r="BQ86" t="e">
        <f>AND(#REF!,"AAAAAD3O9EQ=")</f>
        <v>#REF!</v>
      </c>
      <c r="BR86" t="e">
        <f>AND(#REF!,"AAAAAD3O9EU=")</f>
        <v>#REF!</v>
      </c>
      <c r="BS86" t="e">
        <f>AND(#REF!,"AAAAAD3O9EY=")</f>
        <v>#REF!</v>
      </c>
      <c r="BT86" t="e">
        <f>AND(#REF!,"AAAAAD3O9Ec=")</f>
        <v>#REF!</v>
      </c>
      <c r="BU86" t="e">
        <f>AND(#REF!,"AAAAAD3O9Eg=")</f>
        <v>#REF!</v>
      </c>
      <c r="BV86" t="e">
        <f>AND(#REF!,"AAAAAD3O9Ek=")</f>
        <v>#REF!</v>
      </c>
      <c r="BW86" t="e">
        <f>AND(#REF!,"AAAAAD3O9Eo=")</f>
        <v>#REF!</v>
      </c>
      <c r="BX86" t="e">
        <f>IF(#REF!,"AAAAAD3O9Es=",0)</f>
        <v>#REF!</v>
      </c>
      <c r="BY86" t="e">
        <f>AND(#REF!,"AAAAAD3O9Ew=")</f>
        <v>#REF!</v>
      </c>
      <c r="BZ86" t="e">
        <f>AND(#REF!,"AAAAAD3O9E0=")</f>
        <v>#REF!</v>
      </c>
      <c r="CA86" t="e">
        <f>AND(#REF!,"AAAAAD3O9E4=")</f>
        <v>#REF!</v>
      </c>
      <c r="CB86" t="e">
        <f>AND(#REF!,"AAAAAD3O9E8=")</f>
        <v>#REF!</v>
      </c>
      <c r="CC86" t="e">
        <f>AND(#REF!,"AAAAAD3O9FA=")</f>
        <v>#REF!</v>
      </c>
      <c r="CD86" t="e">
        <f>AND(#REF!,"AAAAAD3O9FE=")</f>
        <v>#REF!</v>
      </c>
      <c r="CE86" t="e">
        <f>AND(#REF!,"AAAAAD3O9FI=")</f>
        <v>#REF!</v>
      </c>
      <c r="CF86" t="e">
        <f>AND(#REF!,"AAAAAD3O9FM=")</f>
        <v>#REF!</v>
      </c>
      <c r="CG86" t="e">
        <f>AND(#REF!,"AAAAAD3O9FQ=")</f>
        <v>#REF!</v>
      </c>
      <c r="CH86" t="e">
        <f>AND(#REF!,"AAAAAD3O9FU=")</f>
        <v>#REF!</v>
      </c>
      <c r="CI86" t="e">
        <f>AND(#REF!,"AAAAAD3O9FY=")</f>
        <v>#REF!</v>
      </c>
      <c r="CJ86" t="e">
        <f>AND(#REF!,"AAAAAD3O9Fc=")</f>
        <v>#REF!</v>
      </c>
      <c r="CK86" t="e">
        <f>AND(#REF!,"AAAAAD3O9Fg=")</f>
        <v>#REF!</v>
      </c>
      <c r="CL86" t="e">
        <f>AND(#REF!,"AAAAAD3O9Fk=")</f>
        <v>#REF!</v>
      </c>
      <c r="CM86" t="e">
        <f>AND(#REF!,"AAAAAD3O9Fo=")</f>
        <v>#REF!</v>
      </c>
      <c r="CN86" t="e">
        <f>AND(#REF!,"AAAAAD3O9Fs=")</f>
        <v>#REF!</v>
      </c>
      <c r="CO86" t="e">
        <f>AND(#REF!,"AAAAAD3O9Fw=")</f>
        <v>#REF!</v>
      </c>
      <c r="CP86" t="e">
        <f>AND(#REF!,"AAAAAD3O9F0=")</f>
        <v>#REF!</v>
      </c>
      <c r="CQ86" t="e">
        <f>AND(#REF!,"AAAAAD3O9F4=")</f>
        <v>#REF!</v>
      </c>
      <c r="CR86" t="e">
        <f>AND(#REF!,"AAAAAD3O9F8=")</f>
        <v>#REF!</v>
      </c>
      <c r="CS86" t="e">
        <f>AND(#REF!,"AAAAAD3O9GA=")</f>
        <v>#REF!</v>
      </c>
      <c r="CT86" t="e">
        <f>AND(#REF!,"AAAAAD3O9GE=")</f>
        <v>#REF!</v>
      </c>
      <c r="CU86" t="e">
        <f>AND(#REF!,"AAAAAD3O9GI=")</f>
        <v>#REF!</v>
      </c>
      <c r="CV86" t="e">
        <f>AND(#REF!,"AAAAAD3O9GM=")</f>
        <v>#REF!</v>
      </c>
      <c r="CW86" t="e">
        <f>IF(#REF!,"AAAAAD3O9GQ=",0)</f>
        <v>#REF!</v>
      </c>
      <c r="CX86" t="e">
        <f>AND(#REF!,"AAAAAD3O9GU=")</f>
        <v>#REF!</v>
      </c>
      <c r="CY86" t="e">
        <f>AND(#REF!,"AAAAAD3O9GY=")</f>
        <v>#REF!</v>
      </c>
      <c r="CZ86" t="e">
        <f>AND(#REF!,"AAAAAD3O9Gc=")</f>
        <v>#REF!</v>
      </c>
      <c r="DA86" t="e">
        <f>AND(#REF!,"AAAAAD3O9Gg=")</f>
        <v>#REF!</v>
      </c>
      <c r="DB86" t="e">
        <f>AND(#REF!,"AAAAAD3O9Gk=")</f>
        <v>#REF!</v>
      </c>
      <c r="DC86" t="e">
        <f>AND(#REF!,"AAAAAD3O9Go=")</f>
        <v>#REF!</v>
      </c>
      <c r="DD86" t="e">
        <f>AND(#REF!,"AAAAAD3O9Gs=")</f>
        <v>#REF!</v>
      </c>
      <c r="DE86" t="e">
        <f>AND(#REF!,"AAAAAD3O9Gw=")</f>
        <v>#REF!</v>
      </c>
      <c r="DF86" t="e">
        <f>AND(#REF!,"AAAAAD3O9G0=")</f>
        <v>#REF!</v>
      </c>
      <c r="DG86" t="e">
        <f>AND(#REF!,"AAAAAD3O9G4=")</f>
        <v>#REF!</v>
      </c>
      <c r="DH86" t="e">
        <f>AND(#REF!,"AAAAAD3O9G8=")</f>
        <v>#REF!</v>
      </c>
      <c r="DI86" t="e">
        <f>AND(#REF!,"AAAAAD3O9HA=")</f>
        <v>#REF!</v>
      </c>
      <c r="DJ86" t="e">
        <f>AND(#REF!,"AAAAAD3O9HE=")</f>
        <v>#REF!</v>
      </c>
      <c r="DK86" t="e">
        <f>AND(#REF!,"AAAAAD3O9HI=")</f>
        <v>#REF!</v>
      </c>
      <c r="DL86" t="e">
        <f>AND(#REF!,"AAAAAD3O9HM=")</f>
        <v>#REF!</v>
      </c>
      <c r="DM86" t="e">
        <f>AND(#REF!,"AAAAAD3O9HQ=")</f>
        <v>#REF!</v>
      </c>
      <c r="DN86" t="e">
        <f>AND(#REF!,"AAAAAD3O9HU=")</f>
        <v>#REF!</v>
      </c>
      <c r="DO86" t="e">
        <f>AND(#REF!,"AAAAAD3O9HY=")</f>
        <v>#REF!</v>
      </c>
      <c r="DP86" t="e">
        <f>AND(#REF!,"AAAAAD3O9Hc=")</f>
        <v>#REF!</v>
      </c>
      <c r="DQ86" t="e">
        <f>AND(#REF!,"AAAAAD3O9Hg=")</f>
        <v>#REF!</v>
      </c>
      <c r="DR86" t="e">
        <f>AND(#REF!,"AAAAAD3O9Hk=")</f>
        <v>#REF!</v>
      </c>
      <c r="DS86" t="e">
        <f>AND(#REF!,"AAAAAD3O9Ho=")</f>
        <v>#REF!</v>
      </c>
      <c r="DT86" t="e">
        <f>AND(#REF!,"AAAAAD3O9Hs=")</f>
        <v>#REF!</v>
      </c>
      <c r="DU86" t="e">
        <f>AND(#REF!,"AAAAAD3O9Hw=")</f>
        <v>#REF!</v>
      </c>
      <c r="DV86" t="e">
        <f>IF(#REF!,"AAAAAD3O9H0=",0)</f>
        <v>#REF!</v>
      </c>
      <c r="DW86" t="e">
        <f>AND(#REF!,"AAAAAD3O9H4=")</f>
        <v>#REF!</v>
      </c>
      <c r="DX86" t="e">
        <f>AND(#REF!,"AAAAAD3O9H8=")</f>
        <v>#REF!</v>
      </c>
      <c r="DY86" t="e">
        <f>AND(#REF!,"AAAAAD3O9IA=")</f>
        <v>#REF!</v>
      </c>
      <c r="DZ86" t="e">
        <f>AND(#REF!,"AAAAAD3O9IE=")</f>
        <v>#REF!</v>
      </c>
      <c r="EA86" t="e">
        <f>AND(#REF!,"AAAAAD3O9II=")</f>
        <v>#REF!</v>
      </c>
      <c r="EB86" t="e">
        <f>AND(#REF!,"AAAAAD3O9IM=")</f>
        <v>#REF!</v>
      </c>
      <c r="EC86" t="e">
        <f>AND(#REF!,"AAAAAD3O9IQ=")</f>
        <v>#REF!</v>
      </c>
      <c r="ED86" t="e">
        <f>AND(#REF!,"AAAAAD3O9IU=")</f>
        <v>#REF!</v>
      </c>
      <c r="EE86" t="e">
        <f>AND(#REF!,"AAAAAD3O9IY=")</f>
        <v>#REF!</v>
      </c>
      <c r="EF86" t="e">
        <f>AND(#REF!,"AAAAAD3O9Ic=")</f>
        <v>#REF!</v>
      </c>
      <c r="EG86" t="e">
        <f>AND(#REF!,"AAAAAD3O9Ig=")</f>
        <v>#REF!</v>
      </c>
      <c r="EH86" t="e">
        <f>AND(#REF!,"AAAAAD3O9Ik=")</f>
        <v>#REF!</v>
      </c>
      <c r="EI86" t="e">
        <f>AND(#REF!,"AAAAAD3O9Io=")</f>
        <v>#REF!</v>
      </c>
      <c r="EJ86" t="e">
        <f>AND(#REF!,"AAAAAD3O9Is=")</f>
        <v>#REF!</v>
      </c>
      <c r="EK86" t="e">
        <f>AND(#REF!,"AAAAAD3O9Iw=")</f>
        <v>#REF!</v>
      </c>
      <c r="EL86" t="e">
        <f>AND(#REF!,"AAAAAD3O9I0=")</f>
        <v>#REF!</v>
      </c>
      <c r="EM86" t="e">
        <f>AND(#REF!,"AAAAAD3O9I4=")</f>
        <v>#REF!</v>
      </c>
      <c r="EN86" t="e">
        <f>AND(#REF!,"AAAAAD3O9I8=")</f>
        <v>#REF!</v>
      </c>
      <c r="EO86" t="e">
        <f>AND(#REF!,"AAAAAD3O9JA=")</f>
        <v>#REF!</v>
      </c>
      <c r="EP86" t="e">
        <f>AND(#REF!,"AAAAAD3O9JE=")</f>
        <v>#REF!</v>
      </c>
      <c r="EQ86" t="e">
        <f>AND(#REF!,"AAAAAD3O9JI=")</f>
        <v>#REF!</v>
      </c>
      <c r="ER86" t="e">
        <f>AND(#REF!,"AAAAAD3O9JM=")</f>
        <v>#REF!</v>
      </c>
      <c r="ES86" t="e">
        <f>AND(#REF!,"AAAAAD3O9JQ=")</f>
        <v>#REF!</v>
      </c>
      <c r="ET86" t="e">
        <f>AND(#REF!,"AAAAAD3O9JU=")</f>
        <v>#REF!</v>
      </c>
      <c r="EU86" t="e">
        <f>IF(#REF!,"AAAAAD3O9JY=",0)</f>
        <v>#REF!</v>
      </c>
      <c r="EV86" t="e">
        <f>AND(#REF!,"AAAAAD3O9Jc=")</f>
        <v>#REF!</v>
      </c>
      <c r="EW86" t="e">
        <f>AND(#REF!,"AAAAAD3O9Jg=")</f>
        <v>#REF!</v>
      </c>
      <c r="EX86" t="e">
        <f>AND(#REF!,"AAAAAD3O9Jk=")</f>
        <v>#REF!</v>
      </c>
      <c r="EY86" t="e">
        <f>AND(#REF!,"AAAAAD3O9Jo=")</f>
        <v>#REF!</v>
      </c>
      <c r="EZ86" t="e">
        <f>AND(#REF!,"AAAAAD3O9Js=")</f>
        <v>#REF!</v>
      </c>
      <c r="FA86" t="e">
        <f>AND(#REF!,"AAAAAD3O9Jw=")</f>
        <v>#REF!</v>
      </c>
      <c r="FB86" t="e">
        <f>AND(#REF!,"AAAAAD3O9J0=")</f>
        <v>#REF!</v>
      </c>
      <c r="FC86" t="e">
        <f>AND(#REF!,"AAAAAD3O9J4=")</f>
        <v>#REF!</v>
      </c>
      <c r="FD86" t="e">
        <f>AND(#REF!,"AAAAAD3O9J8=")</f>
        <v>#REF!</v>
      </c>
      <c r="FE86" t="e">
        <f>AND(#REF!,"AAAAAD3O9KA=")</f>
        <v>#REF!</v>
      </c>
      <c r="FF86" t="e">
        <f>AND(#REF!,"AAAAAD3O9KE=")</f>
        <v>#REF!</v>
      </c>
      <c r="FG86" t="e">
        <f>AND(#REF!,"AAAAAD3O9KI=")</f>
        <v>#REF!</v>
      </c>
      <c r="FH86" t="e">
        <f>AND(#REF!,"AAAAAD3O9KM=")</f>
        <v>#REF!</v>
      </c>
      <c r="FI86" t="e">
        <f>AND(#REF!,"AAAAAD3O9KQ=")</f>
        <v>#REF!</v>
      </c>
      <c r="FJ86" t="e">
        <f>AND(#REF!,"AAAAAD3O9KU=")</f>
        <v>#REF!</v>
      </c>
      <c r="FK86" t="e">
        <f>AND(#REF!,"AAAAAD3O9KY=")</f>
        <v>#REF!</v>
      </c>
      <c r="FL86" t="e">
        <f>AND(#REF!,"AAAAAD3O9Kc=")</f>
        <v>#REF!</v>
      </c>
      <c r="FM86" t="e">
        <f>AND(#REF!,"AAAAAD3O9Kg=")</f>
        <v>#REF!</v>
      </c>
      <c r="FN86" t="e">
        <f>AND(#REF!,"AAAAAD3O9Kk=")</f>
        <v>#REF!</v>
      </c>
      <c r="FO86" t="e">
        <f>AND(#REF!,"AAAAAD3O9Ko=")</f>
        <v>#REF!</v>
      </c>
      <c r="FP86" t="e">
        <f>AND(#REF!,"AAAAAD3O9Ks=")</f>
        <v>#REF!</v>
      </c>
      <c r="FQ86" t="e">
        <f>AND(#REF!,"AAAAAD3O9Kw=")</f>
        <v>#REF!</v>
      </c>
      <c r="FR86" t="e">
        <f>AND(#REF!,"AAAAAD3O9K0=")</f>
        <v>#REF!</v>
      </c>
      <c r="FS86" t="e">
        <f>AND(#REF!,"AAAAAD3O9K4=")</f>
        <v>#REF!</v>
      </c>
      <c r="FT86" t="e">
        <f>IF(#REF!,"AAAAAD3O9K8=",0)</f>
        <v>#REF!</v>
      </c>
      <c r="FU86" t="e">
        <f>AND(#REF!,"AAAAAD3O9LA=")</f>
        <v>#REF!</v>
      </c>
      <c r="FV86" t="e">
        <f>AND(#REF!,"AAAAAD3O9LE=")</f>
        <v>#REF!</v>
      </c>
      <c r="FW86" t="e">
        <f>AND(#REF!,"AAAAAD3O9LI=")</f>
        <v>#REF!</v>
      </c>
      <c r="FX86" t="e">
        <f>AND(#REF!,"AAAAAD3O9LM=")</f>
        <v>#REF!</v>
      </c>
      <c r="FY86" t="e">
        <f>AND(#REF!,"AAAAAD3O9LQ=")</f>
        <v>#REF!</v>
      </c>
      <c r="FZ86" t="e">
        <f>AND(#REF!,"AAAAAD3O9LU=")</f>
        <v>#REF!</v>
      </c>
      <c r="GA86" t="e">
        <f>AND(#REF!,"AAAAAD3O9LY=")</f>
        <v>#REF!</v>
      </c>
      <c r="GB86" t="e">
        <f>AND(#REF!,"AAAAAD3O9Lc=")</f>
        <v>#REF!</v>
      </c>
      <c r="GC86" t="e">
        <f>AND(#REF!,"AAAAAD3O9Lg=")</f>
        <v>#REF!</v>
      </c>
      <c r="GD86" t="e">
        <f>AND(#REF!,"AAAAAD3O9Lk=")</f>
        <v>#REF!</v>
      </c>
      <c r="GE86" t="e">
        <f>AND(#REF!,"AAAAAD3O9Lo=")</f>
        <v>#REF!</v>
      </c>
      <c r="GF86" t="e">
        <f>AND(#REF!,"AAAAAD3O9Ls=")</f>
        <v>#REF!</v>
      </c>
      <c r="GG86" t="e">
        <f>AND(#REF!,"AAAAAD3O9Lw=")</f>
        <v>#REF!</v>
      </c>
      <c r="GH86" t="e">
        <f>AND(#REF!,"AAAAAD3O9L0=")</f>
        <v>#REF!</v>
      </c>
      <c r="GI86" t="e">
        <f>AND(#REF!,"AAAAAD3O9L4=")</f>
        <v>#REF!</v>
      </c>
      <c r="GJ86" t="e">
        <f>AND(#REF!,"AAAAAD3O9L8=")</f>
        <v>#REF!</v>
      </c>
      <c r="GK86" t="e">
        <f>AND(#REF!,"AAAAAD3O9MA=")</f>
        <v>#REF!</v>
      </c>
      <c r="GL86" t="e">
        <f>AND(#REF!,"AAAAAD3O9ME=")</f>
        <v>#REF!</v>
      </c>
      <c r="GM86" t="e">
        <f>AND(#REF!,"AAAAAD3O9MI=")</f>
        <v>#REF!</v>
      </c>
      <c r="GN86" t="e">
        <f>AND(#REF!,"AAAAAD3O9MM=")</f>
        <v>#REF!</v>
      </c>
      <c r="GO86" t="e">
        <f>AND(#REF!,"AAAAAD3O9MQ=")</f>
        <v>#REF!</v>
      </c>
      <c r="GP86" t="e">
        <f>AND(#REF!,"AAAAAD3O9MU=")</f>
        <v>#REF!</v>
      </c>
      <c r="GQ86" t="e">
        <f>AND(#REF!,"AAAAAD3O9MY=")</f>
        <v>#REF!</v>
      </c>
      <c r="GR86" t="e">
        <f>AND(#REF!,"AAAAAD3O9Mc=")</f>
        <v>#REF!</v>
      </c>
      <c r="GS86" t="e">
        <f>IF(#REF!,"AAAAAD3O9Mg=",0)</f>
        <v>#REF!</v>
      </c>
      <c r="GT86" t="e">
        <f>AND(#REF!,"AAAAAD3O9Mk=")</f>
        <v>#REF!</v>
      </c>
      <c r="GU86" t="e">
        <f>AND(#REF!,"AAAAAD3O9Mo=")</f>
        <v>#REF!</v>
      </c>
      <c r="GV86" t="e">
        <f>AND(#REF!,"AAAAAD3O9Ms=")</f>
        <v>#REF!</v>
      </c>
      <c r="GW86" t="e">
        <f>AND(#REF!,"AAAAAD3O9Mw=")</f>
        <v>#REF!</v>
      </c>
      <c r="GX86" t="e">
        <f>AND(#REF!,"AAAAAD3O9M0=")</f>
        <v>#REF!</v>
      </c>
      <c r="GY86" t="e">
        <f>AND(#REF!,"AAAAAD3O9M4=")</f>
        <v>#REF!</v>
      </c>
      <c r="GZ86" t="e">
        <f>AND(#REF!,"AAAAAD3O9M8=")</f>
        <v>#REF!</v>
      </c>
      <c r="HA86" t="e">
        <f>AND(#REF!,"AAAAAD3O9NA=")</f>
        <v>#REF!</v>
      </c>
      <c r="HB86" t="e">
        <f>AND(#REF!,"AAAAAD3O9NE=")</f>
        <v>#REF!</v>
      </c>
      <c r="HC86" t="e">
        <f>AND(#REF!,"AAAAAD3O9NI=")</f>
        <v>#REF!</v>
      </c>
      <c r="HD86" t="e">
        <f>AND(#REF!,"AAAAAD3O9NM=")</f>
        <v>#REF!</v>
      </c>
      <c r="HE86" t="e">
        <f>AND(#REF!,"AAAAAD3O9NQ=")</f>
        <v>#REF!</v>
      </c>
      <c r="HF86" t="e">
        <f>AND(#REF!,"AAAAAD3O9NU=")</f>
        <v>#REF!</v>
      </c>
      <c r="HG86" t="e">
        <f>AND(#REF!,"AAAAAD3O9NY=")</f>
        <v>#REF!</v>
      </c>
      <c r="HH86" t="e">
        <f>AND(#REF!,"AAAAAD3O9Nc=")</f>
        <v>#REF!</v>
      </c>
      <c r="HI86" t="e">
        <f>AND(#REF!,"AAAAAD3O9Ng=")</f>
        <v>#REF!</v>
      </c>
      <c r="HJ86" t="e">
        <f>AND(#REF!,"AAAAAD3O9Nk=")</f>
        <v>#REF!</v>
      </c>
      <c r="HK86" t="e">
        <f>AND(#REF!,"AAAAAD3O9No=")</f>
        <v>#REF!</v>
      </c>
      <c r="HL86" t="e">
        <f>AND(#REF!,"AAAAAD3O9Ns=")</f>
        <v>#REF!</v>
      </c>
      <c r="HM86" t="e">
        <f>AND(#REF!,"AAAAAD3O9Nw=")</f>
        <v>#REF!</v>
      </c>
      <c r="HN86" t="e">
        <f>AND(#REF!,"AAAAAD3O9N0=")</f>
        <v>#REF!</v>
      </c>
      <c r="HO86" t="e">
        <f>AND(#REF!,"AAAAAD3O9N4=")</f>
        <v>#REF!</v>
      </c>
      <c r="HP86" t="e">
        <f>AND(#REF!,"AAAAAD3O9N8=")</f>
        <v>#REF!</v>
      </c>
      <c r="HQ86" t="e">
        <f>AND(#REF!,"AAAAAD3O9OA=")</f>
        <v>#REF!</v>
      </c>
      <c r="HR86" t="e">
        <f>IF(#REF!,"AAAAAD3O9OE=",0)</f>
        <v>#REF!</v>
      </c>
      <c r="HS86" t="e">
        <f>AND(#REF!,"AAAAAD3O9OI=")</f>
        <v>#REF!</v>
      </c>
      <c r="HT86" t="e">
        <f>AND(#REF!,"AAAAAD3O9OM=")</f>
        <v>#REF!</v>
      </c>
      <c r="HU86" t="e">
        <f>AND(#REF!,"AAAAAD3O9OQ=")</f>
        <v>#REF!</v>
      </c>
      <c r="HV86" t="e">
        <f>AND(#REF!,"AAAAAD3O9OU=")</f>
        <v>#REF!</v>
      </c>
      <c r="HW86" t="e">
        <f>AND(#REF!,"AAAAAD3O9OY=")</f>
        <v>#REF!</v>
      </c>
      <c r="HX86" t="e">
        <f>AND(#REF!,"AAAAAD3O9Oc=")</f>
        <v>#REF!</v>
      </c>
      <c r="HY86" t="e">
        <f>AND(#REF!,"AAAAAD3O9Og=")</f>
        <v>#REF!</v>
      </c>
      <c r="HZ86" t="e">
        <f>AND(#REF!,"AAAAAD3O9Ok=")</f>
        <v>#REF!</v>
      </c>
      <c r="IA86" t="e">
        <f>AND(#REF!,"AAAAAD3O9Oo=")</f>
        <v>#REF!</v>
      </c>
      <c r="IB86" t="e">
        <f>AND(#REF!,"AAAAAD3O9Os=")</f>
        <v>#REF!</v>
      </c>
      <c r="IC86" t="e">
        <f>AND(#REF!,"AAAAAD3O9Ow=")</f>
        <v>#REF!</v>
      </c>
      <c r="ID86" t="e">
        <f>AND(#REF!,"AAAAAD3O9O0=")</f>
        <v>#REF!</v>
      </c>
      <c r="IE86" t="e">
        <f>AND(#REF!,"AAAAAD3O9O4=")</f>
        <v>#REF!</v>
      </c>
      <c r="IF86" t="e">
        <f>AND(#REF!,"AAAAAD3O9O8=")</f>
        <v>#REF!</v>
      </c>
      <c r="IG86" t="e">
        <f>AND(#REF!,"AAAAAD3O9PA=")</f>
        <v>#REF!</v>
      </c>
      <c r="IH86" t="e">
        <f>AND(#REF!,"AAAAAD3O9PE=")</f>
        <v>#REF!</v>
      </c>
      <c r="II86" t="e">
        <f>AND(#REF!,"AAAAAD3O9PI=")</f>
        <v>#REF!</v>
      </c>
      <c r="IJ86" t="e">
        <f>AND(#REF!,"AAAAAD3O9PM=")</f>
        <v>#REF!</v>
      </c>
      <c r="IK86" t="e">
        <f>AND(#REF!,"AAAAAD3O9PQ=")</f>
        <v>#REF!</v>
      </c>
      <c r="IL86" t="e">
        <f>AND(#REF!,"AAAAAD3O9PU=")</f>
        <v>#REF!</v>
      </c>
      <c r="IM86" t="e">
        <f>AND(#REF!,"AAAAAD3O9PY=")</f>
        <v>#REF!</v>
      </c>
      <c r="IN86" t="e">
        <f>AND(#REF!,"AAAAAD3O9Pc=")</f>
        <v>#REF!</v>
      </c>
      <c r="IO86" t="e">
        <f>AND(#REF!,"AAAAAD3O9Pg=")</f>
        <v>#REF!</v>
      </c>
      <c r="IP86" t="e">
        <f>AND(#REF!,"AAAAAD3O9Pk=")</f>
        <v>#REF!</v>
      </c>
      <c r="IQ86" t="e">
        <f>IF(#REF!,"AAAAAD3O9Po=",0)</f>
        <v>#REF!</v>
      </c>
      <c r="IR86" t="e">
        <f>AND(#REF!,"AAAAAD3O9Ps=")</f>
        <v>#REF!</v>
      </c>
      <c r="IS86" t="e">
        <f>AND(#REF!,"AAAAAD3O9Pw=")</f>
        <v>#REF!</v>
      </c>
      <c r="IT86" t="e">
        <f>AND(#REF!,"AAAAAD3O9P0=")</f>
        <v>#REF!</v>
      </c>
      <c r="IU86" t="e">
        <f>AND(#REF!,"AAAAAD3O9P4=")</f>
        <v>#REF!</v>
      </c>
      <c r="IV86" t="e">
        <f>AND(#REF!,"AAAAAD3O9P8=")</f>
        <v>#REF!</v>
      </c>
    </row>
    <row r="87" spans="1:256">
      <c r="A87" t="e">
        <f>AND(#REF!,"AAAAADO7/gA=")</f>
        <v>#REF!</v>
      </c>
      <c r="B87" t="e">
        <f>AND(#REF!,"AAAAADO7/gE=")</f>
        <v>#REF!</v>
      </c>
      <c r="C87" t="e">
        <f>AND(#REF!,"AAAAADO7/gI=")</f>
        <v>#REF!</v>
      </c>
      <c r="D87" t="e">
        <f>AND(#REF!,"AAAAADO7/gM=")</f>
        <v>#REF!</v>
      </c>
      <c r="E87" t="e">
        <f>AND(#REF!,"AAAAADO7/gQ=")</f>
        <v>#REF!</v>
      </c>
      <c r="F87" t="e">
        <f>AND(#REF!,"AAAAADO7/gU=")</f>
        <v>#REF!</v>
      </c>
      <c r="G87" t="e">
        <f>AND(#REF!,"AAAAADO7/gY=")</f>
        <v>#REF!</v>
      </c>
      <c r="H87" t="e">
        <f>AND(#REF!,"AAAAADO7/gc=")</f>
        <v>#REF!</v>
      </c>
      <c r="I87" t="e">
        <f>AND(#REF!,"AAAAADO7/gg=")</f>
        <v>#REF!</v>
      </c>
      <c r="J87" t="e">
        <f>AND(#REF!,"AAAAADO7/gk=")</f>
        <v>#REF!</v>
      </c>
      <c r="K87" t="e">
        <f>AND(#REF!,"AAAAADO7/go=")</f>
        <v>#REF!</v>
      </c>
      <c r="L87" t="e">
        <f>AND(#REF!,"AAAAADO7/gs=")</f>
        <v>#REF!</v>
      </c>
      <c r="M87" t="e">
        <f>AND(#REF!,"AAAAADO7/gw=")</f>
        <v>#REF!</v>
      </c>
      <c r="N87" t="e">
        <f>AND(#REF!,"AAAAADO7/g0=")</f>
        <v>#REF!</v>
      </c>
      <c r="O87" t="e">
        <f>AND(#REF!,"AAAAADO7/g4=")</f>
        <v>#REF!</v>
      </c>
      <c r="P87" t="e">
        <f>AND(#REF!,"AAAAADO7/g8=")</f>
        <v>#REF!</v>
      </c>
      <c r="Q87" t="e">
        <f>AND(#REF!,"AAAAADO7/hA=")</f>
        <v>#REF!</v>
      </c>
      <c r="R87" t="e">
        <f>AND(#REF!,"AAAAADO7/hE=")</f>
        <v>#REF!</v>
      </c>
      <c r="S87" t="e">
        <f>AND(#REF!,"AAAAADO7/hI=")</f>
        <v>#REF!</v>
      </c>
      <c r="T87" t="e">
        <f>IF(#REF!,"AAAAADO7/hM=",0)</f>
        <v>#REF!</v>
      </c>
      <c r="U87" t="e">
        <f>AND(#REF!,"AAAAADO7/hQ=")</f>
        <v>#REF!</v>
      </c>
      <c r="V87" t="e">
        <f>AND(#REF!,"AAAAADO7/hU=")</f>
        <v>#REF!</v>
      </c>
      <c r="W87" t="e">
        <f>AND(#REF!,"AAAAADO7/hY=")</f>
        <v>#REF!</v>
      </c>
      <c r="X87" t="e">
        <f>AND(#REF!,"AAAAADO7/hc=")</f>
        <v>#REF!</v>
      </c>
      <c r="Y87" t="e">
        <f>AND(#REF!,"AAAAADO7/hg=")</f>
        <v>#REF!</v>
      </c>
      <c r="Z87" t="e">
        <f>AND(#REF!,"AAAAADO7/hk=")</f>
        <v>#REF!</v>
      </c>
      <c r="AA87" t="e">
        <f>AND(#REF!,"AAAAADO7/ho=")</f>
        <v>#REF!</v>
      </c>
      <c r="AB87" t="e">
        <f>AND(#REF!,"AAAAADO7/hs=")</f>
        <v>#REF!</v>
      </c>
      <c r="AC87" t="e">
        <f>AND(#REF!,"AAAAADO7/hw=")</f>
        <v>#REF!</v>
      </c>
      <c r="AD87" t="e">
        <f>AND(#REF!,"AAAAADO7/h0=")</f>
        <v>#REF!</v>
      </c>
      <c r="AE87" t="e">
        <f>AND(#REF!,"AAAAADO7/h4=")</f>
        <v>#REF!</v>
      </c>
      <c r="AF87" t="e">
        <f>AND(#REF!,"AAAAADO7/h8=")</f>
        <v>#REF!</v>
      </c>
      <c r="AG87" t="e">
        <f>AND(#REF!,"AAAAADO7/iA=")</f>
        <v>#REF!</v>
      </c>
      <c r="AH87" t="e">
        <f>AND(#REF!,"AAAAADO7/iE=")</f>
        <v>#REF!</v>
      </c>
      <c r="AI87" t="e">
        <f>AND(#REF!,"AAAAADO7/iI=")</f>
        <v>#REF!</v>
      </c>
      <c r="AJ87" t="e">
        <f>AND(#REF!,"AAAAADO7/iM=")</f>
        <v>#REF!</v>
      </c>
      <c r="AK87" t="e">
        <f>AND(#REF!,"AAAAADO7/iQ=")</f>
        <v>#REF!</v>
      </c>
      <c r="AL87" t="e">
        <f>AND(#REF!,"AAAAADO7/iU=")</f>
        <v>#REF!</v>
      </c>
      <c r="AM87" t="e">
        <f>AND(#REF!,"AAAAADO7/iY=")</f>
        <v>#REF!</v>
      </c>
      <c r="AN87" t="e">
        <f>AND(#REF!,"AAAAADO7/ic=")</f>
        <v>#REF!</v>
      </c>
      <c r="AO87" t="e">
        <f>AND(#REF!,"AAAAADO7/ig=")</f>
        <v>#REF!</v>
      </c>
      <c r="AP87" t="e">
        <f>AND(#REF!,"AAAAADO7/ik=")</f>
        <v>#REF!</v>
      </c>
      <c r="AQ87" t="e">
        <f>AND(#REF!,"AAAAADO7/io=")</f>
        <v>#REF!</v>
      </c>
      <c r="AR87" t="e">
        <f>AND(#REF!,"AAAAADO7/is=")</f>
        <v>#REF!</v>
      </c>
      <c r="AS87" t="e">
        <f>IF(#REF!,"AAAAADO7/iw=",0)</f>
        <v>#REF!</v>
      </c>
      <c r="AT87" t="e">
        <f>AND(#REF!,"AAAAADO7/i0=")</f>
        <v>#REF!</v>
      </c>
      <c r="AU87" t="e">
        <f>AND(#REF!,"AAAAADO7/i4=")</f>
        <v>#REF!</v>
      </c>
      <c r="AV87" t="e">
        <f>AND(#REF!,"AAAAADO7/i8=")</f>
        <v>#REF!</v>
      </c>
      <c r="AW87" t="e">
        <f>AND(#REF!,"AAAAADO7/jA=")</f>
        <v>#REF!</v>
      </c>
      <c r="AX87" t="e">
        <f>AND(#REF!,"AAAAADO7/jE=")</f>
        <v>#REF!</v>
      </c>
      <c r="AY87" t="e">
        <f>AND(#REF!,"AAAAADO7/jI=")</f>
        <v>#REF!</v>
      </c>
      <c r="AZ87" t="e">
        <f>AND(#REF!,"AAAAADO7/jM=")</f>
        <v>#REF!</v>
      </c>
      <c r="BA87" t="e">
        <f>AND(#REF!,"AAAAADO7/jQ=")</f>
        <v>#REF!</v>
      </c>
      <c r="BB87" t="e">
        <f>AND(#REF!,"AAAAADO7/jU=")</f>
        <v>#REF!</v>
      </c>
      <c r="BC87" t="e">
        <f>AND(#REF!,"AAAAADO7/jY=")</f>
        <v>#REF!</v>
      </c>
      <c r="BD87" t="e">
        <f>AND(#REF!,"AAAAADO7/jc=")</f>
        <v>#REF!</v>
      </c>
      <c r="BE87" t="e">
        <f>AND(#REF!,"AAAAADO7/jg=")</f>
        <v>#REF!</v>
      </c>
      <c r="BF87" t="e">
        <f>AND(#REF!,"AAAAADO7/jk=")</f>
        <v>#REF!</v>
      </c>
      <c r="BG87" t="e">
        <f>AND(#REF!,"AAAAADO7/jo=")</f>
        <v>#REF!</v>
      </c>
      <c r="BH87" t="e">
        <f>AND(#REF!,"AAAAADO7/js=")</f>
        <v>#REF!</v>
      </c>
      <c r="BI87" t="e">
        <f>AND(#REF!,"AAAAADO7/jw=")</f>
        <v>#REF!</v>
      </c>
      <c r="BJ87" t="e">
        <f>AND(#REF!,"AAAAADO7/j0=")</f>
        <v>#REF!</v>
      </c>
      <c r="BK87" t="e">
        <f>AND(#REF!,"AAAAADO7/j4=")</f>
        <v>#REF!</v>
      </c>
      <c r="BL87" t="e">
        <f>AND(#REF!,"AAAAADO7/j8=")</f>
        <v>#REF!</v>
      </c>
      <c r="BM87" t="e">
        <f>AND(#REF!,"AAAAADO7/kA=")</f>
        <v>#REF!</v>
      </c>
      <c r="BN87" t="e">
        <f>AND(#REF!,"AAAAADO7/kE=")</f>
        <v>#REF!</v>
      </c>
      <c r="BO87" t="e">
        <f>AND(#REF!,"AAAAADO7/kI=")</f>
        <v>#REF!</v>
      </c>
      <c r="BP87" t="e">
        <f>AND(#REF!,"AAAAADO7/kM=")</f>
        <v>#REF!</v>
      </c>
      <c r="BQ87" t="e">
        <f>AND(#REF!,"AAAAADO7/kQ=")</f>
        <v>#REF!</v>
      </c>
      <c r="BR87" t="e">
        <f>IF(#REF!,"AAAAADO7/kU=",0)</f>
        <v>#REF!</v>
      </c>
      <c r="BS87" t="e">
        <f>AND(#REF!,"AAAAADO7/kY=")</f>
        <v>#REF!</v>
      </c>
      <c r="BT87" t="e">
        <f>AND(#REF!,"AAAAADO7/kc=")</f>
        <v>#REF!</v>
      </c>
      <c r="BU87" t="e">
        <f>AND(#REF!,"AAAAADO7/kg=")</f>
        <v>#REF!</v>
      </c>
      <c r="BV87" t="e">
        <f>AND(#REF!,"AAAAADO7/kk=")</f>
        <v>#REF!</v>
      </c>
      <c r="BW87" t="e">
        <f>AND(#REF!,"AAAAADO7/ko=")</f>
        <v>#REF!</v>
      </c>
      <c r="BX87" t="e">
        <f>AND(#REF!,"AAAAADO7/ks=")</f>
        <v>#REF!</v>
      </c>
      <c r="BY87" t="e">
        <f>AND(#REF!,"AAAAADO7/kw=")</f>
        <v>#REF!</v>
      </c>
      <c r="BZ87" t="e">
        <f>AND(#REF!,"AAAAADO7/k0=")</f>
        <v>#REF!</v>
      </c>
      <c r="CA87" t="e">
        <f>AND(#REF!,"AAAAADO7/k4=")</f>
        <v>#REF!</v>
      </c>
      <c r="CB87" t="e">
        <f>AND(#REF!,"AAAAADO7/k8=")</f>
        <v>#REF!</v>
      </c>
      <c r="CC87" t="e">
        <f>AND(#REF!,"AAAAADO7/lA=")</f>
        <v>#REF!</v>
      </c>
      <c r="CD87" t="e">
        <f>AND(#REF!,"AAAAADO7/lE=")</f>
        <v>#REF!</v>
      </c>
      <c r="CE87" t="e">
        <f>AND(#REF!,"AAAAADO7/lI=")</f>
        <v>#REF!</v>
      </c>
      <c r="CF87" t="e">
        <f>AND(#REF!,"AAAAADO7/lM=")</f>
        <v>#REF!</v>
      </c>
      <c r="CG87" t="e">
        <f>AND(#REF!,"AAAAADO7/lQ=")</f>
        <v>#REF!</v>
      </c>
      <c r="CH87" t="e">
        <f>AND(#REF!,"AAAAADO7/lU=")</f>
        <v>#REF!</v>
      </c>
      <c r="CI87" t="e">
        <f>AND(#REF!,"AAAAADO7/lY=")</f>
        <v>#REF!</v>
      </c>
      <c r="CJ87" t="e">
        <f>AND(#REF!,"AAAAADO7/lc=")</f>
        <v>#REF!</v>
      </c>
      <c r="CK87" t="e">
        <f>AND(#REF!,"AAAAADO7/lg=")</f>
        <v>#REF!</v>
      </c>
      <c r="CL87" t="e">
        <f>AND(#REF!,"AAAAADO7/lk=")</f>
        <v>#REF!</v>
      </c>
      <c r="CM87" t="e">
        <f>AND(#REF!,"AAAAADO7/lo=")</f>
        <v>#REF!</v>
      </c>
      <c r="CN87" t="e">
        <f>AND(#REF!,"AAAAADO7/ls=")</f>
        <v>#REF!</v>
      </c>
      <c r="CO87" t="e">
        <f>AND(#REF!,"AAAAADO7/lw=")</f>
        <v>#REF!</v>
      </c>
      <c r="CP87" t="e">
        <f>AND(#REF!,"AAAAADO7/l0=")</f>
        <v>#REF!</v>
      </c>
      <c r="CQ87" t="e">
        <f>IF(#REF!,"AAAAADO7/l4=",0)</f>
        <v>#REF!</v>
      </c>
      <c r="CR87" t="e">
        <f>AND(#REF!,"AAAAADO7/l8=")</f>
        <v>#REF!</v>
      </c>
      <c r="CS87" t="e">
        <f>AND(#REF!,"AAAAADO7/mA=")</f>
        <v>#REF!</v>
      </c>
      <c r="CT87" t="e">
        <f>AND(#REF!,"AAAAADO7/mE=")</f>
        <v>#REF!</v>
      </c>
      <c r="CU87" t="e">
        <f>AND(#REF!,"AAAAADO7/mI=")</f>
        <v>#REF!</v>
      </c>
      <c r="CV87" t="e">
        <f>AND(#REF!,"AAAAADO7/mM=")</f>
        <v>#REF!</v>
      </c>
      <c r="CW87" t="e">
        <f>AND(#REF!,"AAAAADO7/mQ=")</f>
        <v>#REF!</v>
      </c>
      <c r="CX87" t="e">
        <f>AND(#REF!,"AAAAADO7/mU=")</f>
        <v>#REF!</v>
      </c>
      <c r="CY87" t="e">
        <f>AND(#REF!,"AAAAADO7/mY=")</f>
        <v>#REF!</v>
      </c>
      <c r="CZ87" t="e">
        <f>AND(#REF!,"AAAAADO7/mc=")</f>
        <v>#REF!</v>
      </c>
      <c r="DA87" t="e">
        <f>AND(#REF!,"AAAAADO7/mg=")</f>
        <v>#REF!</v>
      </c>
      <c r="DB87" t="e">
        <f>AND(#REF!,"AAAAADO7/mk=")</f>
        <v>#REF!</v>
      </c>
      <c r="DC87" t="e">
        <f>AND(#REF!,"AAAAADO7/mo=")</f>
        <v>#REF!</v>
      </c>
      <c r="DD87" t="e">
        <f>AND(#REF!,"AAAAADO7/ms=")</f>
        <v>#REF!</v>
      </c>
      <c r="DE87" t="e">
        <f>AND(#REF!,"AAAAADO7/mw=")</f>
        <v>#REF!</v>
      </c>
      <c r="DF87" t="e">
        <f>AND(#REF!,"AAAAADO7/m0=")</f>
        <v>#REF!</v>
      </c>
      <c r="DG87" t="e">
        <f>AND(#REF!,"AAAAADO7/m4=")</f>
        <v>#REF!</v>
      </c>
      <c r="DH87" t="e">
        <f>AND(#REF!,"AAAAADO7/m8=")</f>
        <v>#REF!</v>
      </c>
      <c r="DI87" t="e">
        <f>AND(#REF!,"AAAAADO7/nA=")</f>
        <v>#REF!</v>
      </c>
      <c r="DJ87" t="e">
        <f>AND(#REF!,"AAAAADO7/nE=")</f>
        <v>#REF!</v>
      </c>
      <c r="DK87" t="e">
        <f>AND(#REF!,"AAAAADO7/nI=")</f>
        <v>#REF!</v>
      </c>
      <c r="DL87" t="e">
        <f>AND(#REF!,"AAAAADO7/nM=")</f>
        <v>#REF!</v>
      </c>
      <c r="DM87" t="e">
        <f>AND(#REF!,"AAAAADO7/nQ=")</f>
        <v>#REF!</v>
      </c>
      <c r="DN87" t="e">
        <f>AND(#REF!,"AAAAADO7/nU=")</f>
        <v>#REF!</v>
      </c>
      <c r="DO87" t="e">
        <f>AND(#REF!,"AAAAADO7/nY=")</f>
        <v>#REF!</v>
      </c>
      <c r="DP87" t="e">
        <f>IF(#REF!,"AAAAADO7/nc=",0)</f>
        <v>#REF!</v>
      </c>
      <c r="DQ87" t="e">
        <f>AND(#REF!,"AAAAADO7/ng=")</f>
        <v>#REF!</v>
      </c>
      <c r="DR87" t="e">
        <f>AND(#REF!,"AAAAADO7/nk=")</f>
        <v>#REF!</v>
      </c>
      <c r="DS87" t="e">
        <f>AND(#REF!,"AAAAADO7/no=")</f>
        <v>#REF!</v>
      </c>
      <c r="DT87" t="e">
        <f>AND(#REF!,"AAAAADO7/ns=")</f>
        <v>#REF!</v>
      </c>
      <c r="DU87" t="e">
        <f>AND(#REF!,"AAAAADO7/nw=")</f>
        <v>#REF!</v>
      </c>
      <c r="DV87" t="e">
        <f>AND(#REF!,"AAAAADO7/n0=")</f>
        <v>#REF!</v>
      </c>
      <c r="DW87" t="e">
        <f>AND(#REF!,"AAAAADO7/n4=")</f>
        <v>#REF!</v>
      </c>
      <c r="DX87" t="e">
        <f>AND(#REF!,"AAAAADO7/n8=")</f>
        <v>#REF!</v>
      </c>
      <c r="DY87" t="e">
        <f>AND(#REF!,"AAAAADO7/oA=")</f>
        <v>#REF!</v>
      </c>
      <c r="DZ87" t="e">
        <f>AND(#REF!,"AAAAADO7/oE=")</f>
        <v>#REF!</v>
      </c>
      <c r="EA87" t="e">
        <f>AND(#REF!,"AAAAADO7/oI=")</f>
        <v>#REF!</v>
      </c>
      <c r="EB87" t="e">
        <f>AND(#REF!,"AAAAADO7/oM=")</f>
        <v>#REF!</v>
      </c>
      <c r="EC87" t="e">
        <f>AND(#REF!,"AAAAADO7/oQ=")</f>
        <v>#REF!</v>
      </c>
      <c r="ED87" t="e">
        <f>AND(#REF!,"AAAAADO7/oU=")</f>
        <v>#REF!</v>
      </c>
      <c r="EE87" t="e">
        <f>AND(#REF!,"AAAAADO7/oY=")</f>
        <v>#REF!</v>
      </c>
      <c r="EF87" t="e">
        <f>AND(#REF!,"AAAAADO7/oc=")</f>
        <v>#REF!</v>
      </c>
      <c r="EG87" t="e">
        <f>AND(#REF!,"AAAAADO7/og=")</f>
        <v>#REF!</v>
      </c>
      <c r="EH87" t="e">
        <f>AND(#REF!,"AAAAADO7/ok=")</f>
        <v>#REF!</v>
      </c>
      <c r="EI87" t="e">
        <f>AND(#REF!,"AAAAADO7/oo=")</f>
        <v>#REF!</v>
      </c>
      <c r="EJ87" t="e">
        <f>AND(#REF!,"AAAAADO7/os=")</f>
        <v>#REF!</v>
      </c>
      <c r="EK87" t="e">
        <f>AND(#REF!,"AAAAADO7/ow=")</f>
        <v>#REF!</v>
      </c>
      <c r="EL87" t="e">
        <f>AND(#REF!,"AAAAADO7/o0=")</f>
        <v>#REF!</v>
      </c>
      <c r="EM87" t="e">
        <f>AND(#REF!,"AAAAADO7/o4=")</f>
        <v>#REF!</v>
      </c>
      <c r="EN87" t="e">
        <f>AND(#REF!,"AAAAADO7/o8=")</f>
        <v>#REF!</v>
      </c>
      <c r="EO87" t="e">
        <f>IF(#REF!,"AAAAADO7/pA=",0)</f>
        <v>#REF!</v>
      </c>
      <c r="EP87" t="e">
        <f>AND(#REF!,"AAAAADO7/pE=")</f>
        <v>#REF!</v>
      </c>
      <c r="EQ87" t="e">
        <f>AND(#REF!,"AAAAADO7/pI=")</f>
        <v>#REF!</v>
      </c>
      <c r="ER87" t="e">
        <f>AND(#REF!,"AAAAADO7/pM=")</f>
        <v>#REF!</v>
      </c>
      <c r="ES87" t="e">
        <f>AND(#REF!,"AAAAADO7/pQ=")</f>
        <v>#REF!</v>
      </c>
      <c r="ET87" t="e">
        <f>AND(#REF!,"AAAAADO7/pU=")</f>
        <v>#REF!</v>
      </c>
      <c r="EU87" t="e">
        <f>AND(#REF!,"AAAAADO7/pY=")</f>
        <v>#REF!</v>
      </c>
      <c r="EV87" t="e">
        <f>AND(#REF!,"AAAAADO7/pc=")</f>
        <v>#REF!</v>
      </c>
      <c r="EW87" t="e">
        <f>AND(#REF!,"AAAAADO7/pg=")</f>
        <v>#REF!</v>
      </c>
      <c r="EX87" t="e">
        <f>AND(#REF!,"AAAAADO7/pk=")</f>
        <v>#REF!</v>
      </c>
      <c r="EY87" t="e">
        <f>AND(#REF!,"AAAAADO7/po=")</f>
        <v>#REF!</v>
      </c>
      <c r="EZ87" t="e">
        <f>AND(#REF!,"AAAAADO7/ps=")</f>
        <v>#REF!</v>
      </c>
      <c r="FA87" t="e">
        <f>AND(#REF!,"AAAAADO7/pw=")</f>
        <v>#REF!</v>
      </c>
      <c r="FB87" t="e">
        <f>AND(#REF!,"AAAAADO7/p0=")</f>
        <v>#REF!</v>
      </c>
      <c r="FC87" t="e">
        <f>AND(#REF!,"AAAAADO7/p4=")</f>
        <v>#REF!</v>
      </c>
      <c r="FD87" t="e">
        <f>AND(#REF!,"AAAAADO7/p8=")</f>
        <v>#REF!</v>
      </c>
      <c r="FE87" t="e">
        <f>AND(#REF!,"AAAAADO7/qA=")</f>
        <v>#REF!</v>
      </c>
      <c r="FF87" t="e">
        <f>AND(#REF!,"AAAAADO7/qE=")</f>
        <v>#REF!</v>
      </c>
      <c r="FG87" t="e">
        <f>AND(#REF!,"AAAAADO7/qI=")</f>
        <v>#REF!</v>
      </c>
      <c r="FH87" t="e">
        <f>AND(#REF!,"AAAAADO7/qM=")</f>
        <v>#REF!</v>
      </c>
      <c r="FI87" t="e">
        <f>AND(#REF!,"AAAAADO7/qQ=")</f>
        <v>#REF!</v>
      </c>
      <c r="FJ87" t="e">
        <f>AND(#REF!,"AAAAADO7/qU=")</f>
        <v>#REF!</v>
      </c>
      <c r="FK87" t="e">
        <f>AND(#REF!,"AAAAADO7/qY=")</f>
        <v>#REF!</v>
      </c>
      <c r="FL87" t="e">
        <f>AND(#REF!,"AAAAADO7/qc=")</f>
        <v>#REF!</v>
      </c>
      <c r="FM87" t="e">
        <f>AND(#REF!,"AAAAADO7/qg=")</f>
        <v>#REF!</v>
      </c>
      <c r="FN87" t="e">
        <f>IF(#REF!,"AAAAADO7/qk=",0)</f>
        <v>#REF!</v>
      </c>
      <c r="FO87" t="e">
        <f>AND(#REF!,"AAAAADO7/qo=")</f>
        <v>#REF!</v>
      </c>
      <c r="FP87" t="e">
        <f>AND(#REF!,"AAAAADO7/qs=")</f>
        <v>#REF!</v>
      </c>
      <c r="FQ87" t="e">
        <f>AND(#REF!,"AAAAADO7/qw=")</f>
        <v>#REF!</v>
      </c>
      <c r="FR87" t="e">
        <f>AND(#REF!,"AAAAADO7/q0=")</f>
        <v>#REF!</v>
      </c>
      <c r="FS87" t="e">
        <f>AND(#REF!,"AAAAADO7/q4=")</f>
        <v>#REF!</v>
      </c>
      <c r="FT87" t="e">
        <f>AND(#REF!,"AAAAADO7/q8=")</f>
        <v>#REF!</v>
      </c>
      <c r="FU87" t="e">
        <f>AND(#REF!,"AAAAADO7/rA=")</f>
        <v>#REF!</v>
      </c>
      <c r="FV87" t="e">
        <f>AND(#REF!,"AAAAADO7/rE=")</f>
        <v>#REF!</v>
      </c>
      <c r="FW87" t="e">
        <f>AND(#REF!,"AAAAADO7/rI=")</f>
        <v>#REF!</v>
      </c>
      <c r="FX87" t="e">
        <f>AND(#REF!,"AAAAADO7/rM=")</f>
        <v>#REF!</v>
      </c>
      <c r="FY87" t="e">
        <f>AND(#REF!,"AAAAADO7/rQ=")</f>
        <v>#REF!</v>
      </c>
      <c r="FZ87" t="e">
        <f>AND(#REF!,"AAAAADO7/rU=")</f>
        <v>#REF!</v>
      </c>
      <c r="GA87" t="e">
        <f>AND(#REF!,"AAAAADO7/rY=")</f>
        <v>#REF!</v>
      </c>
      <c r="GB87" t="e">
        <f>AND(#REF!,"AAAAADO7/rc=")</f>
        <v>#REF!</v>
      </c>
      <c r="GC87" t="e">
        <f>AND(#REF!,"AAAAADO7/rg=")</f>
        <v>#REF!</v>
      </c>
      <c r="GD87" t="e">
        <f>AND(#REF!,"AAAAADO7/rk=")</f>
        <v>#REF!</v>
      </c>
      <c r="GE87" t="e">
        <f>AND(#REF!,"AAAAADO7/ro=")</f>
        <v>#REF!</v>
      </c>
      <c r="GF87" t="e">
        <f>AND(#REF!,"AAAAADO7/rs=")</f>
        <v>#REF!</v>
      </c>
      <c r="GG87" t="e">
        <f>AND(#REF!,"AAAAADO7/rw=")</f>
        <v>#REF!</v>
      </c>
      <c r="GH87" t="e">
        <f>AND(#REF!,"AAAAADO7/r0=")</f>
        <v>#REF!</v>
      </c>
      <c r="GI87" t="e">
        <f>AND(#REF!,"AAAAADO7/r4=")</f>
        <v>#REF!</v>
      </c>
      <c r="GJ87" t="e">
        <f>AND(#REF!,"AAAAADO7/r8=")</f>
        <v>#REF!</v>
      </c>
      <c r="GK87" t="e">
        <f>AND(#REF!,"AAAAADO7/sA=")</f>
        <v>#REF!</v>
      </c>
      <c r="GL87" t="e">
        <f>AND(#REF!,"AAAAADO7/sE=")</f>
        <v>#REF!</v>
      </c>
      <c r="GM87" t="e">
        <f>IF(#REF!,"AAAAADO7/sI=",0)</f>
        <v>#REF!</v>
      </c>
      <c r="GN87" t="e">
        <f>AND(#REF!,"AAAAADO7/sM=")</f>
        <v>#REF!</v>
      </c>
      <c r="GO87" t="e">
        <f>AND(#REF!,"AAAAADO7/sQ=")</f>
        <v>#REF!</v>
      </c>
      <c r="GP87" t="e">
        <f>AND(#REF!,"AAAAADO7/sU=")</f>
        <v>#REF!</v>
      </c>
      <c r="GQ87" t="e">
        <f>AND(#REF!,"AAAAADO7/sY=")</f>
        <v>#REF!</v>
      </c>
      <c r="GR87" t="e">
        <f>AND(#REF!,"AAAAADO7/sc=")</f>
        <v>#REF!</v>
      </c>
      <c r="GS87" t="e">
        <f>AND(#REF!,"AAAAADO7/sg=")</f>
        <v>#REF!</v>
      </c>
      <c r="GT87" t="e">
        <f>AND(#REF!,"AAAAADO7/sk=")</f>
        <v>#REF!</v>
      </c>
      <c r="GU87" t="e">
        <f>AND(#REF!,"AAAAADO7/so=")</f>
        <v>#REF!</v>
      </c>
      <c r="GV87" t="e">
        <f>AND(#REF!,"AAAAADO7/ss=")</f>
        <v>#REF!</v>
      </c>
      <c r="GW87" t="e">
        <f>AND(#REF!,"AAAAADO7/sw=")</f>
        <v>#REF!</v>
      </c>
      <c r="GX87" t="e">
        <f>AND(#REF!,"AAAAADO7/s0=")</f>
        <v>#REF!</v>
      </c>
      <c r="GY87" t="e">
        <f>AND(#REF!,"AAAAADO7/s4=")</f>
        <v>#REF!</v>
      </c>
      <c r="GZ87" t="e">
        <f>AND(#REF!,"AAAAADO7/s8=")</f>
        <v>#REF!</v>
      </c>
      <c r="HA87" t="e">
        <f>AND(#REF!,"AAAAADO7/tA=")</f>
        <v>#REF!</v>
      </c>
      <c r="HB87" t="e">
        <f>AND(#REF!,"AAAAADO7/tE=")</f>
        <v>#REF!</v>
      </c>
      <c r="HC87" t="e">
        <f>AND(#REF!,"AAAAADO7/tI=")</f>
        <v>#REF!</v>
      </c>
      <c r="HD87" t="e">
        <f>AND(#REF!,"AAAAADO7/tM=")</f>
        <v>#REF!</v>
      </c>
      <c r="HE87" t="e">
        <f>AND(#REF!,"AAAAADO7/tQ=")</f>
        <v>#REF!</v>
      </c>
      <c r="HF87" t="e">
        <f>AND(#REF!,"AAAAADO7/tU=")</f>
        <v>#REF!</v>
      </c>
      <c r="HG87" t="e">
        <f>AND(#REF!,"AAAAADO7/tY=")</f>
        <v>#REF!</v>
      </c>
      <c r="HH87" t="e">
        <f>AND(#REF!,"AAAAADO7/tc=")</f>
        <v>#REF!</v>
      </c>
      <c r="HI87" t="e">
        <f>AND(#REF!,"AAAAADO7/tg=")</f>
        <v>#REF!</v>
      </c>
      <c r="HJ87" t="e">
        <f>AND(#REF!,"AAAAADO7/tk=")</f>
        <v>#REF!</v>
      </c>
      <c r="HK87" t="e">
        <f>AND(#REF!,"AAAAADO7/to=")</f>
        <v>#REF!</v>
      </c>
      <c r="HL87" t="e">
        <f>IF(#REF!,"AAAAADO7/ts=",0)</f>
        <v>#REF!</v>
      </c>
      <c r="HM87" t="e">
        <f>AND(#REF!,"AAAAADO7/tw=")</f>
        <v>#REF!</v>
      </c>
      <c r="HN87" t="e">
        <f>AND(#REF!,"AAAAADO7/t0=")</f>
        <v>#REF!</v>
      </c>
      <c r="HO87" t="e">
        <f>AND(#REF!,"AAAAADO7/t4=")</f>
        <v>#REF!</v>
      </c>
      <c r="HP87" t="e">
        <f>AND(#REF!,"AAAAADO7/t8=")</f>
        <v>#REF!</v>
      </c>
      <c r="HQ87" t="e">
        <f>AND(#REF!,"AAAAADO7/uA=")</f>
        <v>#REF!</v>
      </c>
      <c r="HR87" t="e">
        <f>AND(#REF!,"AAAAADO7/uE=")</f>
        <v>#REF!</v>
      </c>
      <c r="HS87" t="e">
        <f>AND(#REF!,"AAAAADO7/uI=")</f>
        <v>#REF!</v>
      </c>
      <c r="HT87" t="e">
        <f>AND(#REF!,"AAAAADO7/uM=")</f>
        <v>#REF!</v>
      </c>
      <c r="HU87" t="e">
        <f>AND(#REF!,"AAAAADO7/uQ=")</f>
        <v>#REF!</v>
      </c>
      <c r="HV87" t="e">
        <f>AND(#REF!,"AAAAADO7/uU=")</f>
        <v>#REF!</v>
      </c>
      <c r="HW87" t="e">
        <f>AND(#REF!,"AAAAADO7/uY=")</f>
        <v>#REF!</v>
      </c>
      <c r="HX87" t="e">
        <f>AND(#REF!,"AAAAADO7/uc=")</f>
        <v>#REF!</v>
      </c>
      <c r="HY87" t="e">
        <f>AND(#REF!,"AAAAADO7/ug=")</f>
        <v>#REF!</v>
      </c>
      <c r="HZ87" t="e">
        <f>AND(#REF!,"AAAAADO7/uk=")</f>
        <v>#REF!</v>
      </c>
      <c r="IA87" t="e">
        <f>AND(#REF!,"AAAAADO7/uo=")</f>
        <v>#REF!</v>
      </c>
      <c r="IB87" t="e">
        <f>AND(#REF!,"AAAAADO7/us=")</f>
        <v>#REF!</v>
      </c>
      <c r="IC87" t="e">
        <f>AND(#REF!,"AAAAADO7/uw=")</f>
        <v>#REF!</v>
      </c>
      <c r="ID87" t="e">
        <f>AND(#REF!,"AAAAADO7/u0=")</f>
        <v>#REF!</v>
      </c>
      <c r="IE87" t="e">
        <f>AND(#REF!,"AAAAADO7/u4=")</f>
        <v>#REF!</v>
      </c>
      <c r="IF87" t="e">
        <f>AND(#REF!,"AAAAADO7/u8=")</f>
        <v>#REF!</v>
      </c>
      <c r="IG87" t="e">
        <f>AND(#REF!,"AAAAADO7/vA=")</f>
        <v>#REF!</v>
      </c>
      <c r="IH87" t="e">
        <f>AND(#REF!,"AAAAADO7/vE=")</f>
        <v>#REF!</v>
      </c>
      <c r="II87" t="e">
        <f>AND(#REF!,"AAAAADO7/vI=")</f>
        <v>#REF!</v>
      </c>
      <c r="IJ87" t="e">
        <f>AND(#REF!,"AAAAADO7/vM=")</f>
        <v>#REF!</v>
      </c>
      <c r="IK87" t="e">
        <f>IF(#REF!,"AAAAADO7/vQ=",0)</f>
        <v>#REF!</v>
      </c>
      <c r="IL87" t="e">
        <f>AND(#REF!,"AAAAADO7/vU=")</f>
        <v>#REF!</v>
      </c>
      <c r="IM87" t="e">
        <f>AND(#REF!,"AAAAADO7/vY=")</f>
        <v>#REF!</v>
      </c>
      <c r="IN87" t="e">
        <f>AND(#REF!,"AAAAADO7/vc=")</f>
        <v>#REF!</v>
      </c>
      <c r="IO87" t="e">
        <f>AND(#REF!,"AAAAADO7/vg=")</f>
        <v>#REF!</v>
      </c>
      <c r="IP87" t="e">
        <f>AND(#REF!,"AAAAADO7/vk=")</f>
        <v>#REF!</v>
      </c>
      <c r="IQ87" t="e">
        <f>AND(#REF!,"AAAAADO7/vo=")</f>
        <v>#REF!</v>
      </c>
      <c r="IR87" t="e">
        <f>AND(#REF!,"AAAAADO7/vs=")</f>
        <v>#REF!</v>
      </c>
      <c r="IS87" t="e">
        <f>AND(#REF!,"AAAAADO7/vw=")</f>
        <v>#REF!</v>
      </c>
      <c r="IT87" t="e">
        <f>AND(#REF!,"AAAAADO7/v0=")</f>
        <v>#REF!</v>
      </c>
      <c r="IU87" t="e">
        <f>AND(#REF!,"AAAAADO7/v4=")</f>
        <v>#REF!</v>
      </c>
      <c r="IV87" t="e">
        <f>AND(#REF!,"AAAAADO7/v8=")</f>
        <v>#REF!</v>
      </c>
    </row>
    <row r="88" spans="1:256">
      <c r="A88" t="e">
        <f>AND(#REF!,"AAAAAFrv/wA=")</f>
        <v>#REF!</v>
      </c>
      <c r="B88" t="e">
        <f>AND(#REF!,"AAAAAFrv/wE=")</f>
        <v>#REF!</v>
      </c>
      <c r="C88" t="e">
        <f>AND(#REF!,"AAAAAFrv/wI=")</f>
        <v>#REF!</v>
      </c>
      <c r="D88" t="e">
        <f>AND(#REF!,"AAAAAFrv/wM=")</f>
        <v>#REF!</v>
      </c>
      <c r="E88" t="e">
        <f>AND(#REF!,"AAAAAFrv/wQ=")</f>
        <v>#REF!</v>
      </c>
      <c r="F88" t="e">
        <f>AND(#REF!,"AAAAAFrv/wU=")</f>
        <v>#REF!</v>
      </c>
      <c r="G88" t="e">
        <f>AND(#REF!,"AAAAAFrv/wY=")</f>
        <v>#REF!</v>
      </c>
      <c r="H88" t="e">
        <f>AND(#REF!,"AAAAAFrv/wc=")</f>
        <v>#REF!</v>
      </c>
      <c r="I88" t="e">
        <f>AND(#REF!,"AAAAAFrv/wg=")</f>
        <v>#REF!</v>
      </c>
      <c r="J88" t="e">
        <f>AND(#REF!,"AAAAAFrv/wk=")</f>
        <v>#REF!</v>
      </c>
      <c r="K88" t="e">
        <f>AND(#REF!,"AAAAAFrv/wo=")</f>
        <v>#REF!</v>
      </c>
      <c r="L88" t="e">
        <f>AND(#REF!,"AAAAAFrv/ws=")</f>
        <v>#REF!</v>
      </c>
      <c r="M88" t="e">
        <f>AND(#REF!,"AAAAAFrv/ww=")</f>
        <v>#REF!</v>
      </c>
      <c r="N88" t="e">
        <f>IF(#REF!,"AAAAAFrv/w0=",0)</f>
        <v>#REF!</v>
      </c>
      <c r="O88" t="e">
        <f>AND(#REF!,"AAAAAFrv/w4=")</f>
        <v>#REF!</v>
      </c>
      <c r="P88" t="e">
        <f>AND(#REF!,"AAAAAFrv/w8=")</f>
        <v>#REF!</v>
      </c>
      <c r="Q88" t="e">
        <f>AND(#REF!,"AAAAAFrv/xA=")</f>
        <v>#REF!</v>
      </c>
      <c r="R88" t="e">
        <f>AND(#REF!,"AAAAAFrv/xE=")</f>
        <v>#REF!</v>
      </c>
      <c r="S88" t="e">
        <f>AND(#REF!,"AAAAAFrv/xI=")</f>
        <v>#REF!</v>
      </c>
      <c r="T88" t="e">
        <f>AND(#REF!,"AAAAAFrv/xM=")</f>
        <v>#REF!</v>
      </c>
      <c r="U88" t="e">
        <f>AND(#REF!,"AAAAAFrv/xQ=")</f>
        <v>#REF!</v>
      </c>
      <c r="V88" t="e">
        <f>AND(#REF!,"AAAAAFrv/xU=")</f>
        <v>#REF!</v>
      </c>
      <c r="W88" t="e">
        <f>AND(#REF!,"AAAAAFrv/xY=")</f>
        <v>#REF!</v>
      </c>
      <c r="X88" t="e">
        <f>AND(#REF!,"AAAAAFrv/xc=")</f>
        <v>#REF!</v>
      </c>
      <c r="Y88" t="e">
        <f>AND(#REF!,"AAAAAFrv/xg=")</f>
        <v>#REF!</v>
      </c>
      <c r="Z88" t="e">
        <f>AND(#REF!,"AAAAAFrv/xk=")</f>
        <v>#REF!</v>
      </c>
      <c r="AA88" t="e">
        <f>AND(#REF!,"AAAAAFrv/xo=")</f>
        <v>#REF!</v>
      </c>
      <c r="AB88" t="e">
        <f>AND(#REF!,"AAAAAFrv/xs=")</f>
        <v>#REF!</v>
      </c>
      <c r="AC88" t="e">
        <f>AND(#REF!,"AAAAAFrv/xw=")</f>
        <v>#REF!</v>
      </c>
      <c r="AD88" t="e">
        <f>AND(#REF!,"AAAAAFrv/x0=")</f>
        <v>#REF!</v>
      </c>
      <c r="AE88" t="e">
        <f>AND(#REF!,"AAAAAFrv/x4=")</f>
        <v>#REF!</v>
      </c>
      <c r="AF88" t="e">
        <f>AND(#REF!,"AAAAAFrv/x8=")</f>
        <v>#REF!</v>
      </c>
      <c r="AG88" t="e">
        <f>AND(#REF!,"AAAAAFrv/yA=")</f>
        <v>#REF!</v>
      </c>
      <c r="AH88" t="e">
        <f>AND(#REF!,"AAAAAFrv/yE=")</f>
        <v>#REF!</v>
      </c>
      <c r="AI88" t="e">
        <f>AND(#REF!,"AAAAAFrv/yI=")</f>
        <v>#REF!</v>
      </c>
      <c r="AJ88" t="e">
        <f>AND(#REF!,"AAAAAFrv/yM=")</f>
        <v>#REF!</v>
      </c>
      <c r="AK88" t="e">
        <f>AND(#REF!,"AAAAAFrv/yQ=")</f>
        <v>#REF!</v>
      </c>
      <c r="AL88" t="e">
        <f>AND(#REF!,"AAAAAFrv/yU=")</f>
        <v>#REF!</v>
      </c>
      <c r="AM88" t="e">
        <f>IF(#REF!,"AAAAAFrv/yY=",0)</f>
        <v>#REF!</v>
      </c>
      <c r="AN88" t="e">
        <f>AND(#REF!,"AAAAAFrv/yc=")</f>
        <v>#REF!</v>
      </c>
      <c r="AO88" t="e">
        <f>AND(#REF!,"AAAAAFrv/yg=")</f>
        <v>#REF!</v>
      </c>
      <c r="AP88" t="e">
        <f>AND(#REF!,"AAAAAFrv/yk=")</f>
        <v>#REF!</v>
      </c>
      <c r="AQ88" t="e">
        <f>AND(#REF!,"AAAAAFrv/yo=")</f>
        <v>#REF!</v>
      </c>
      <c r="AR88" t="e">
        <f>AND(#REF!,"AAAAAFrv/ys=")</f>
        <v>#REF!</v>
      </c>
      <c r="AS88" t="e">
        <f>AND(#REF!,"AAAAAFrv/yw=")</f>
        <v>#REF!</v>
      </c>
      <c r="AT88" t="e">
        <f>AND(#REF!,"AAAAAFrv/y0=")</f>
        <v>#REF!</v>
      </c>
      <c r="AU88" t="e">
        <f>AND(#REF!,"AAAAAFrv/y4=")</f>
        <v>#REF!</v>
      </c>
      <c r="AV88" t="e">
        <f>AND(#REF!,"AAAAAFrv/y8=")</f>
        <v>#REF!</v>
      </c>
      <c r="AW88" t="e">
        <f>AND(#REF!,"AAAAAFrv/zA=")</f>
        <v>#REF!</v>
      </c>
      <c r="AX88" t="e">
        <f>AND(#REF!,"AAAAAFrv/zE=")</f>
        <v>#REF!</v>
      </c>
      <c r="AY88" t="e">
        <f>AND(#REF!,"AAAAAFrv/zI=")</f>
        <v>#REF!</v>
      </c>
      <c r="AZ88" t="e">
        <f>AND(#REF!,"AAAAAFrv/zM=")</f>
        <v>#REF!</v>
      </c>
      <c r="BA88" t="e">
        <f>AND(#REF!,"AAAAAFrv/zQ=")</f>
        <v>#REF!</v>
      </c>
      <c r="BB88" t="e">
        <f>AND(#REF!,"AAAAAFrv/zU=")</f>
        <v>#REF!</v>
      </c>
      <c r="BC88" t="e">
        <f>AND(#REF!,"AAAAAFrv/zY=")</f>
        <v>#REF!</v>
      </c>
      <c r="BD88" t="e">
        <f>AND(#REF!,"AAAAAFrv/zc=")</f>
        <v>#REF!</v>
      </c>
      <c r="BE88" t="e">
        <f>AND(#REF!,"AAAAAFrv/zg=")</f>
        <v>#REF!</v>
      </c>
      <c r="BF88" t="e">
        <f>AND(#REF!,"AAAAAFrv/zk=")</f>
        <v>#REF!</v>
      </c>
      <c r="BG88" t="e">
        <f>AND(#REF!,"AAAAAFrv/zo=")</f>
        <v>#REF!</v>
      </c>
      <c r="BH88" t="e">
        <f>AND(#REF!,"AAAAAFrv/zs=")</f>
        <v>#REF!</v>
      </c>
      <c r="BI88" t="e">
        <f>AND(#REF!,"AAAAAFrv/zw=")</f>
        <v>#REF!</v>
      </c>
      <c r="BJ88" t="e">
        <f>AND(#REF!,"AAAAAFrv/z0=")</f>
        <v>#REF!</v>
      </c>
      <c r="BK88" t="e">
        <f>AND(#REF!,"AAAAAFrv/z4=")</f>
        <v>#REF!</v>
      </c>
      <c r="BL88" t="e">
        <f>IF(#REF!,"AAAAAFrv/z8=",0)</f>
        <v>#REF!</v>
      </c>
      <c r="BM88" t="e">
        <f>AND(#REF!,"AAAAAFrv/0A=")</f>
        <v>#REF!</v>
      </c>
      <c r="BN88" t="e">
        <f>AND(#REF!,"AAAAAFrv/0E=")</f>
        <v>#REF!</v>
      </c>
      <c r="BO88" t="e">
        <f>AND(#REF!,"AAAAAFrv/0I=")</f>
        <v>#REF!</v>
      </c>
      <c r="BP88" t="e">
        <f>AND(#REF!,"AAAAAFrv/0M=")</f>
        <v>#REF!</v>
      </c>
      <c r="BQ88" t="e">
        <f>AND(#REF!,"AAAAAFrv/0Q=")</f>
        <v>#REF!</v>
      </c>
      <c r="BR88" t="e">
        <f>AND(#REF!,"AAAAAFrv/0U=")</f>
        <v>#REF!</v>
      </c>
      <c r="BS88" t="e">
        <f>AND(#REF!,"AAAAAFrv/0Y=")</f>
        <v>#REF!</v>
      </c>
      <c r="BT88" t="e">
        <f>AND(#REF!,"AAAAAFrv/0c=")</f>
        <v>#REF!</v>
      </c>
      <c r="BU88" t="e">
        <f>AND(#REF!,"AAAAAFrv/0g=")</f>
        <v>#REF!</v>
      </c>
      <c r="BV88" t="e">
        <f>AND(#REF!,"AAAAAFrv/0k=")</f>
        <v>#REF!</v>
      </c>
      <c r="BW88" t="e">
        <f>AND(#REF!,"AAAAAFrv/0o=")</f>
        <v>#REF!</v>
      </c>
      <c r="BX88" t="e">
        <f>AND(#REF!,"AAAAAFrv/0s=")</f>
        <v>#REF!</v>
      </c>
      <c r="BY88" t="e">
        <f>AND(#REF!,"AAAAAFrv/0w=")</f>
        <v>#REF!</v>
      </c>
      <c r="BZ88" t="e">
        <f>AND(#REF!,"AAAAAFrv/00=")</f>
        <v>#REF!</v>
      </c>
      <c r="CA88" t="e">
        <f>AND(#REF!,"AAAAAFrv/04=")</f>
        <v>#REF!</v>
      </c>
      <c r="CB88" t="e">
        <f>AND(#REF!,"AAAAAFrv/08=")</f>
        <v>#REF!</v>
      </c>
      <c r="CC88" t="e">
        <f>AND(#REF!,"AAAAAFrv/1A=")</f>
        <v>#REF!</v>
      </c>
      <c r="CD88" t="e">
        <f>AND(#REF!,"AAAAAFrv/1E=")</f>
        <v>#REF!</v>
      </c>
      <c r="CE88" t="e">
        <f>AND(#REF!,"AAAAAFrv/1I=")</f>
        <v>#REF!</v>
      </c>
      <c r="CF88" t="e">
        <f>AND(#REF!,"AAAAAFrv/1M=")</f>
        <v>#REF!</v>
      </c>
      <c r="CG88" t="e">
        <f>AND(#REF!,"AAAAAFrv/1Q=")</f>
        <v>#REF!</v>
      </c>
      <c r="CH88" t="e">
        <f>AND(#REF!,"AAAAAFrv/1U=")</f>
        <v>#REF!</v>
      </c>
      <c r="CI88" t="e">
        <f>AND(#REF!,"AAAAAFrv/1Y=")</f>
        <v>#REF!</v>
      </c>
      <c r="CJ88" t="e">
        <f>AND(#REF!,"AAAAAFrv/1c=")</f>
        <v>#REF!</v>
      </c>
      <c r="CK88" t="e">
        <f>IF(#REF!,"AAAAAFrv/1g=",0)</f>
        <v>#REF!</v>
      </c>
      <c r="CL88" t="e">
        <f>AND(#REF!,"AAAAAFrv/1k=")</f>
        <v>#REF!</v>
      </c>
      <c r="CM88" t="e">
        <f>AND(#REF!,"AAAAAFrv/1o=")</f>
        <v>#REF!</v>
      </c>
      <c r="CN88" t="e">
        <f>AND(#REF!,"AAAAAFrv/1s=")</f>
        <v>#REF!</v>
      </c>
      <c r="CO88" t="e">
        <f>AND(#REF!,"AAAAAFrv/1w=")</f>
        <v>#REF!</v>
      </c>
      <c r="CP88" t="e">
        <f>AND(#REF!,"AAAAAFrv/10=")</f>
        <v>#REF!</v>
      </c>
      <c r="CQ88" t="e">
        <f>AND(#REF!,"AAAAAFrv/14=")</f>
        <v>#REF!</v>
      </c>
      <c r="CR88" t="e">
        <f>AND(#REF!,"AAAAAFrv/18=")</f>
        <v>#REF!</v>
      </c>
      <c r="CS88" t="e">
        <f>AND(#REF!,"AAAAAFrv/2A=")</f>
        <v>#REF!</v>
      </c>
      <c r="CT88" t="e">
        <f>AND(#REF!,"AAAAAFrv/2E=")</f>
        <v>#REF!</v>
      </c>
      <c r="CU88" t="e">
        <f>AND(#REF!,"AAAAAFrv/2I=")</f>
        <v>#REF!</v>
      </c>
      <c r="CV88" t="e">
        <f>AND(#REF!,"AAAAAFrv/2M=")</f>
        <v>#REF!</v>
      </c>
      <c r="CW88" t="e">
        <f>AND(#REF!,"AAAAAFrv/2Q=")</f>
        <v>#REF!</v>
      </c>
      <c r="CX88" t="e">
        <f>AND(#REF!,"AAAAAFrv/2U=")</f>
        <v>#REF!</v>
      </c>
      <c r="CY88" t="e">
        <f>AND(#REF!,"AAAAAFrv/2Y=")</f>
        <v>#REF!</v>
      </c>
      <c r="CZ88" t="e">
        <f>AND(#REF!,"AAAAAFrv/2c=")</f>
        <v>#REF!</v>
      </c>
      <c r="DA88" t="e">
        <f>AND(#REF!,"AAAAAFrv/2g=")</f>
        <v>#REF!</v>
      </c>
      <c r="DB88" t="e">
        <f>AND(#REF!,"AAAAAFrv/2k=")</f>
        <v>#REF!</v>
      </c>
      <c r="DC88" t="e">
        <f>AND(#REF!,"AAAAAFrv/2o=")</f>
        <v>#REF!</v>
      </c>
      <c r="DD88" t="e">
        <f>AND(#REF!,"AAAAAFrv/2s=")</f>
        <v>#REF!</v>
      </c>
      <c r="DE88" t="e">
        <f>AND(#REF!,"AAAAAFrv/2w=")</f>
        <v>#REF!</v>
      </c>
      <c r="DF88" t="e">
        <f>AND(#REF!,"AAAAAFrv/20=")</f>
        <v>#REF!</v>
      </c>
      <c r="DG88" t="e">
        <f>AND(#REF!,"AAAAAFrv/24=")</f>
        <v>#REF!</v>
      </c>
      <c r="DH88" t="e">
        <f>AND(#REF!,"AAAAAFrv/28=")</f>
        <v>#REF!</v>
      </c>
      <c r="DI88" t="e">
        <f>AND(#REF!,"AAAAAFrv/3A=")</f>
        <v>#REF!</v>
      </c>
      <c r="DJ88" t="e">
        <f>IF(#REF!,"AAAAAFrv/3E=",0)</f>
        <v>#REF!</v>
      </c>
      <c r="DK88" t="e">
        <f>AND(#REF!,"AAAAAFrv/3I=")</f>
        <v>#REF!</v>
      </c>
      <c r="DL88" t="e">
        <f>AND(#REF!,"AAAAAFrv/3M=")</f>
        <v>#REF!</v>
      </c>
      <c r="DM88" t="e">
        <f>AND(#REF!,"AAAAAFrv/3Q=")</f>
        <v>#REF!</v>
      </c>
      <c r="DN88" t="e">
        <f>AND(#REF!,"AAAAAFrv/3U=")</f>
        <v>#REF!</v>
      </c>
      <c r="DO88" t="e">
        <f>AND(#REF!,"AAAAAFrv/3Y=")</f>
        <v>#REF!</v>
      </c>
      <c r="DP88" t="e">
        <f>AND(#REF!,"AAAAAFrv/3c=")</f>
        <v>#REF!</v>
      </c>
      <c r="DQ88" t="e">
        <f>AND(#REF!,"AAAAAFrv/3g=")</f>
        <v>#REF!</v>
      </c>
      <c r="DR88" t="e">
        <f>AND(#REF!,"AAAAAFrv/3k=")</f>
        <v>#REF!</v>
      </c>
      <c r="DS88" t="e">
        <f>AND(#REF!,"AAAAAFrv/3o=")</f>
        <v>#REF!</v>
      </c>
      <c r="DT88" t="e">
        <f>AND(#REF!,"AAAAAFrv/3s=")</f>
        <v>#REF!</v>
      </c>
      <c r="DU88" t="e">
        <f>AND(#REF!,"AAAAAFrv/3w=")</f>
        <v>#REF!</v>
      </c>
      <c r="DV88" t="e">
        <f>AND(#REF!,"AAAAAFrv/30=")</f>
        <v>#REF!</v>
      </c>
      <c r="DW88" t="e">
        <f>AND(#REF!,"AAAAAFrv/34=")</f>
        <v>#REF!</v>
      </c>
      <c r="DX88" t="e">
        <f>AND(#REF!,"AAAAAFrv/38=")</f>
        <v>#REF!</v>
      </c>
      <c r="DY88" t="e">
        <f>AND(#REF!,"AAAAAFrv/4A=")</f>
        <v>#REF!</v>
      </c>
      <c r="DZ88" t="e">
        <f>AND(#REF!,"AAAAAFrv/4E=")</f>
        <v>#REF!</v>
      </c>
      <c r="EA88" t="e">
        <f>AND(#REF!,"AAAAAFrv/4I=")</f>
        <v>#REF!</v>
      </c>
      <c r="EB88" t="e">
        <f>AND(#REF!,"AAAAAFrv/4M=")</f>
        <v>#REF!</v>
      </c>
      <c r="EC88" t="e">
        <f>AND(#REF!,"AAAAAFrv/4Q=")</f>
        <v>#REF!</v>
      </c>
      <c r="ED88" t="e">
        <f>AND(#REF!,"AAAAAFrv/4U=")</f>
        <v>#REF!</v>
      </c>
      <c r="EE88" t="e">
        <f>AND(#REF!,"AAAAAFrv/4Y=")</f>
        <v>#REF!</v>
      </c>
      <c r="EF88" t="e">
        <f>AND(#REF!,"AAAAAFrv/4c=")</f>
        <v>#REF!</v>
      </c>
      <c r="EG88" t="e">
        <f>AND(#REF!,"AAAAAFrv/4g=")</f>
        <v>#REF!</v>
      </c>
      <c r="EH88" t="e">
        <f>AND(#REF!,"AAAAAFrv/4k=")</f>
        <v>#REF!</v>
      </c>
      <c r="EI88" t="e">
        <f>IF(#REF!,"AAAAAFrv/4o=",0)</f>
        <v>#REF!</v>
      </c>
      <c r="EJ88" t="e">
        <f>AND(#REF!,"AAAAAFrv/4s=")</f>
        <v>#REF!</v>
      </c>
      <c r="EK88" t="e">
        <f>AND(#REF!,"AAAAAFrv/4w=")</f>
        <v>#REF!</v>
      </c>
      <c r="EL88" t="e">
        <f>AND(#REF!,"AAAAAFrv/40=")</f>
        <v>#REF!</v>
      </c>
      <c r="EM88" t="e">
        <f>AND(#REF!,"AAAAAFrv/44=")</f>
        <v>#REF!</v>
      </c>
      <c r="EN88" t="e">
        <f>AND(#REF!,"AAAAAFrv/48=")</f>
        <v>#REF!</v>
      </c>
      <c r="EO88" t="e">
        <f>AND(#REF!,"AAAAAFrv/5A=")</f>
        <v>#REF!</v>
      </c>
      <c r="EP88" t="e">
        <f>AND(#REF!,"AAAAAFrv/5E=")</f>
        <v>#REF!</v>
      </c>
      <c r="EQ88" t="e">
        <f>AND(#REF!,"AAAAAFrv/5I=")</f>
        <v>#REF!</v>
      </c>
      <c r="ER88" t="e">
        <f>AND(#REF!,"AAAAAFrv/5M=")</f>
        <v>#REF!</v>
      </c>
      <c r="ES88" t="e">
        <f>AND(#REF!,"AAAAAFrv/5Q=")</f>
        <v>#REF!</v>
      </c>
      <c r="ET88" t="e">
        <f>AND(#REF!,"AAAAAFrv/5U=")</f>
        <v>#REF!</v>
      </c>
      <c r="EU88" t="e">
        <f>AND(#REF!,"AAAAAFrv/5Y=")</f>
        <v>#REF!</v>
      </c>
      <c r="EV88" t="e">
        <f>AND(#REF!,"AAAAAFrv/5c=")</f>
        <v>#REF!</v>
      </c>
      <c r="EW88" t="e">
        <f>AND(#REF!,"AAAAAFrv/5g=")</f>
        <v>#REF!</v>
      </c>
      <c r="EX88" t="e">
        <f>AND(#REF!,"AAAAAFrv/5k=")</f>
        <v>#REF!</v>
      </c>
      <c r="EY88" t="e">
        <f>AND(#REF!,"AAAAAFrv/5o=")</f>
        <v>#REF!</v>
      </c>
      <c r="EZ88" t="e">
        <f>AND(#REF!,"AAAAAFrv/5s=")</f>
        <v>#REF!</v>
      </c>
      <c r="FA88" t="e">
        <f>AND(#REF!,"AAAAAFrv/5w=")</f>
        <v>#REF!</v>
      </c>
      <c r="FB88" t="e">
        <f>AND(#REF!,"AAAAAFrv/50=")</f>
        <v>#REF!</v>
      </c>
      <c r="FC88" t="e">
        <f>AND(#REF!,"AAAAAFrv/54=")</f>
        <v>#REF!</v>
      </c>
      <c r="FD88" t="e">
        <f>AND(#REF!,"AAAAAFrv/58=")</f>
        <v>#REF!</v>
      </c>
      <c r="FE88" t="e">
        <f>AND(#REF!,"AAAAAFrv/6A=")</f>
        <v>#REF!</v>
      </c>
      <c r="FF88" t="e">
        <f>AND(#REF!,"AAAAAFrv/6E=")</f>
        <v>#REF!</v>
      </c>
      <c r="FG88" t="e">
        <f>AND(#REF!,"AAAAAFrv/6I=")</f>
        <v>#REF!</v>
      </c>
      <c r="FH88" t="e">
        <f>IF(#REF!,"AAAAAFrv/6M=",0)</f>
        <v>#REF!</v>
      </c>
      <c r="FI88" t="e">
        <f>AND(#REF!,"AAAAAFrv/6Q=")</f>
        <v>#REF!</v>
      </c>
      <c r="FJ88" t="e">
        <f>AND(#REF!,"AAAAAFrv/6U=")</f>
        <v>#REF!</v>
      </c>
      <c r="FK88" t="e">
        <f>AND(#REF!,"AAAAAFrv/6Y=")</f>
        <v>#REF!</v>
      </c>
      <c r="FL88" t="e">
        <f>AND(#REF!,"AAAAAFrv/6c=")</f>
        <v>#REF!</v>
      </c>
      <c r="FM88" t="e">
        <f>AND(#REF!,"AAAAAFrv/6g=")</f>
        <v>#REF!</v>
      </c>
      <c r="FN88" t="e">
        <f>AND(#REF!,"AAAAAFrv/6k=")</f>
        <v>#REF!</v>
      </c>
      <c r="FO88" t="e">
        <f>AND(#REF!,"AAAAAFrv/6o=")</f>
        <v>#REF!</v>
      </c>
      <c r="FP88" t="e">
        <f>AND(#REF!,"AAAAAFrv/6s=")</f>
        <v>#REF!</v>
      </c>
      <c r="FQ88" t="e">
        <f>AND(#REF!,"AAAAAFrv/6w=")</f>
        <v>#REF!</v>
      </c>
      <c r="FR88" t="e">
        <f>AND(#REF!,"AAAAAFrv/60=")</f>
        <v>#REF!</v>
      </c>
      <c r="FS88" t="e">
        <f>AND(#REF!,"AAAAAFrv/64=")</f>
        <v>#REF!</v>
      </c>
      <c r="FT88" t="e">
        <f>AND(#REF!,"AAAAAFrv/68=")</f>
        <v>#REF!</v>
      </c>
      <c r="FU88" t="e">
        <f>AND(#REF!,"AAAAAFrv/7A=")</f>
        <v>#REF!</v>
      </c>
      <c r="FV88" t="e">
        <f>AND(#REF!,"AAAAAFrv/7E=")</f>
        <v>#REF!</v>
      </c>
      <c r="FW88" t="e">
        <f>AND(#REF!,"AAAAAFrv/7I=")</f>
        <v>#REF!</v>
      </c>
      <c r="FX88" t="e">
        <f>AND(#REF!,"AAAAAFrv/7M=")</f>
        <v>#REF!</v>
      </c>
      <c r="FY88" t="e">
        <f>AND(#REF!,"AAAAAFrv/7Q=")</f>
        <v>#REF!</v>
      </c>
      <c r="FZ88" t="e">
        <f>AND(#REF!,"AAAAAFrv/7U=")</f>
        <v>#REF!</v>
      </c>
      <c r="GA88" t="e">
        <f>AND(#REF!,"AAAAAFrv/7Y=")</f>
        <v>#REF!</v>
      </c>
      <c r="GB88" t="e">
        <f>AND(#REF!,"AAAAAFrv/7c=")</f>
        <v>#REF!</v>
      </c>
      <c r="GC88" t="e">
        <f>AND(#REF!,"AAAAAFrv/7g=")</f>
        <v>#REF!</v>
      </c>
      <c r="GD88" t="e">
        <f>AND(#REF!,"AAAAAFrv/7k=")</f>
        <v>#REF!</v>
      </c>
      <c r="GE88" t="e">
        <f>AND(#REF!,"AAAAAFrv/7o=")</f>
        <v>#REF!</v>
      </c>
      <c r="GF88" t="e">
        <f>AND(#REF!,"AAAAAFrv/7s=")</f>
        <v>#REF!</v>
      </c>
      <c r="GG88" t="e">
        <f>IF(#REF!,"AAAAAFrv/7w=",0)</f>
        <v>#REF!</v>
      </c>
      <c r="GH88" t="e">
        <f>AND(#REF!,"AAAAAFrv/70=")</f>
        <v>#REF!</v>
      </c>
      <c r="GI88" t="e">
        <f>AND(#REF!,"AAAAAFrv/74=")</f>
        <v>#REF!</v>
      </c>
      <c r="GJ88" t="e">
        <f>AND(#REF!,"AAAAAFrv/78=")</f>
        <v>#REF!</v>
      </c>
      <c r="GK88" t="e">
        <f>AND(#REF!,"AAAAAFrv/8A=")</f>
        <v>#REF!</v>
      </c>
      <c r="GL88" t="e">
        <f>AND(#REF!,"AAAAAFrv/8E=")</f>
        <v>#REF!</v>
      </c>
      <c r="GM88" t="e">
        <f>AND(#REF!,"AAAAAFrv/8I=")</f>
        <v>#REF!</v>
      </c>
      <c r="GN88" t="e">
        <f>AND(#REF!,"AAAAAFrv/8M=")</f>
        <v>#REF!</v>
      </c>
      <c r="GO88" t="e">
        <f>AND(#REF!,"AAAAAFrv/8Q=")</f>
        <v>#REF!</v>
      </c>
      <c r="GP88" t="e">
        <f>AND(#REF!,"AAAAAFrv/8U=")</f>
        <v>#REF!</v>
      </c>
      <c r="GQ88" t="e">
        <f>AND(#REF!,"AAAAAFrv/8Y=")</f>
        <v>#REF!</v>
      </c>
      <c r="GR88" t="e">
        <f>AND(#REF!,"AAAAAFrv/8c=")</f>
        <v>#REF!</v>
      </c>
      <c r="GS88" t="e">
        <f>AND(#REF!,"AAAAAFrv/8g=")</f>
        <v>#REF!</v>
      </c>
      <c r="GT88" t="e">
        <f>AND(#REF!,"AAAAAFrv/8k=")</f>
        <v>#REF!</v>
      </c>
      <c r="GU88" t="e">
        <f>AND(#REF!,"AAAAAFrv/8o=")</f>
        <v>#REF!</v>
      </c>
      <c r="GV88" t="e">
        <f>AND(#REF!,"AAAAAFrv/8s=")</f>
        <v>#REF!</v>
      </c>
      <c r="GW88" t="e">
        <f>AND(#REF!,"AAAAAFrv/8w=")</f>
        <v>#REF!</v>
      </c>
      <c r="GX88" t="e">
        <f>AND(#REF!,"AAAAAFrv/80=")</f>
        <v>#REF!</v>
      </c>
      <c r="GY88" t="e">
        <f>AND(#REF!,"AAAAAFrv/84=")</f>
        <v>#REF!</v>
      </c>
      <c r="GZ88" t="e">
        <f>AND(#REF!,"AAAAAFrv/88=")</f>
        <v>#REF!</v>
      </c>
      <c r="HA88" t="e">
        <f>AND(#REF!,"AAAAAFrv/9A=")</f>
        <v>#REF!</v>
      </c>
      <c r="HB88" t="e">
        <f>AND(#REF!,"AAAAAFrv/9E=")</f>
        <v>#REF!</v>
      </c>
      <c r="HC88" t="e">
        <f>AND(#REF!,"AAAAAFrv/9I=")</f>
        <v>#REF!</v>
      </c>
      <c r="HD88" t="e">
        <f>AND(#REF!,"AAAAAFrv/9M=")</f>
        <v>#REF!</v>
      </c>
      <c r="HE88" t="e">
        <f>AND(#REF!,"AAAAAFrv/9Q=")</f>
        <v>#REF!</v>
      </c>
      <c r="HF88" t="e">
        <f>IF(#REF!,"AAAAAFrv/9U=",0)</f>
        <v>#REF!</v>
      </c>
      <c r="HG88" t="e">
        <f>AND(#REF!,"AAAAAFrv/9Y=")</f>
        <v>#REF!</v>
      </c>
      <c r="HH88" t="e">
        <f>AND(#REF!,"AAAAAFrv/9c=")</f>
        <v>#REF!</v>
      </c>
      <c r="HI88" t="e">
        <f>AND(#REF!,"AAAAAFrv/9g=")</f>
        <v>#REF!</v>
      </c>
      <c r="HJ88" t="e">
        <f>AND(#REF!,"AAAAAFrv/9k=")</f>
        <v>#REF!</v>
      </c>
      <c r="HK88" t="e">
        <f>AND(#REF!,"AAAAAFrv/9o=")</f>
        <v>#REF!</v>
      </c>
      <c r="HL88" t="e">
        <f>AND(#REF!,"AAAAAFrv/9s=")</f>
        <v>#REF!</v>
      </c>
      <c r="HM88" t="e">
        <f>AND(#REF!,"AAAAAFrv/9w=")</f>
        <v>#REF!</v>
      </c>
      <c r="HN88" t="e">
        <f>AND(#REF!,"AAAAAFrv/90=")</f>
        <v>#REF!</v>
      </c>
      <c r="HO88" t="e">
        <f>AND(#REF!,"AAAAAFrv/94=")</f>
        <v>#REF!</v>
      </c>
      <c r="HP88" t="e">
        <f>AND(#REF!,"AAAAAFrv/98=")</f>
        <v>#REF!</v>
      </c>
      <c r="HQ88" t="e">
        <f>AND(#REF!,"AAAAAFrv/+A=")</f>
        <v>#REF!</v>
      </c>
      <c r="HR88" t="e">
        <f>AND(#REF!,"AAAAAFrv/+E=")</f>
        <v>#REF!</v>
      </c>
      <c r="HS88" t="e">
        <f>AND(#REF!,"AAAAAFrv/+I=")</f>
        <v>#REF!</v>
      </c>
      <c r="HT88" t="e">
        <f>AND(#REF!,"AAAAAFrv/+M=")</f>
        <v>#REF!</v>
      </c>
      <c r="HU88" t="e">
        <f>AND(#REF!,"AAAAAFrv/+Q=")</f>
        <v>#REF!</v>
      </c>
      <c r="HV88" t="e">
        <f>AND(#REF!,"AAAAAFrv/+U=")</f>
        <v>#REF!</v>
      </c>
      <c r="HW88" t="e">
        <f>AND(#REF!,"AAAAAFrv/+Y=")</f>
        <v>#REF!</v>
      </c>
      <c r="HX88" t="e">
        <f>AND(#REF!,"AAAAAFrv/+c=")</f>
        <v>#REF!</v>
      </c>
      <c r="HY88" t="e">
        <f>AND(#REF!,"AAAAAFrv/+g=")</f>
        <v>#REF!</v>
      </c>
      <c r="HZ88" t="e">
        <f>AND(#REF!,"AAAAAFrv/+k=")</f>
        <v>#REF!</v>
      </c>
      <c r="IA88" t="e">
        <f>AND(#REF!,"AAAAAFrv/+o=")</f>
        <v>#REF!</v>
      </c>
      <c r="IB88" t="e">
        <f>AND(#REF!,"AAAAAFrv/+s=")</f>
        <v>#REF!</v>
      </c>
      <c r="IC88" t="e">
        <f>AND(#REF!,"AAAAAFrv/+w=")</f>
        <v>#REF!</v>
      </c>
      <c r="ID88" t="e">
        <f>AND(#REF!,"AAAAAFrv/+0=")</f>
        <v>#REF!</v>
      </c>
      <c r="IE88" t="e">
        <f>IF(#REF!,"AAAAAFrv/+4=",0)</f>
        <v>#REF!</v>
      </c>
      <c r="IF88" t="e">
        <f>AND(#REF!,"AAAAAFrv/+8=")</f>
        <v>#REF!</v>
      </c>
      <c r="IG88" t="e">
        <f>AND(#REF!,"AAAAAFrv//A=")</f>
        <v>#REF!</v>
      </c>
      <c r="IH88" t="e">
        <f>AND(#REF!,"AAAAAFrv//E=")</f>
        <v>#REF!</v>
      </c>
      <c r="II88" t="e">
        <f>AND(#REF!,"AAAAAFrv//I=")</f>
        <v>#REF!</v>
      </c>
      <c r="IJ88" t="e">
        <f>AND(#REF!,"AAAAAFrv//M=")</f>
        <v>#REF!</v>
      </c>
      <c r="IK88" t="e">
        <f>AND(#REF!,"AAAAAFrv//Q=")</f>
        <v>#REF!</v>
      </c>
      <c r="IL88" t="e">
        <f>AND(#REF!,"AAAAAFrv//U=")</f>
        <v>#REF!</v>
      </c>
      <c r="IM88" t="e">
        <f>AND(#REF!,"AAAAAFrv//Y=")</f>
        <v>#REF!</v>
      </c>
      <c r="IN88" t="e">
        <f>AND(#REF!,"AAAAAFrv//c=")</f>
        <v>#REF!</v>
      </c>
      <c r="IO88" t="e">
        <f>AND(#REF!,"AAAAAFrv//g=")</f>
        <v>#REF!</v>
      </c>
      <c r="IP88" t="e">
        <f>AND(#REF!,"AAAAAFrv//k=")</f>
        <v>#REF!</v>
      </c>
      <c r="IQ88" t="e">
        <f>AND(#REF!,"AAAAAFrv//o=")</f>
        <v>#REF!</v>
      </c>
      <c r="IR88" t="e">
        <f>AND(#REF!,"AAAAAFrv//s=")</f>
        <v>#REF!</v>
      </c>
      <c r="IS88" t="e">
        <f>AND(#REF!,"AAAAAFrv//w=")</f>
        <v>#REF!</v>
      </c>
      <c r="IT88" t="e">
        <f>AND(#REF!,"AAAAAFrv//0=")</f>
        <v>#REF!</v>
      </c>
      <c r="IU88" t="e">
        <f>AND(#REF!,"AAAAAFrv//4=")</f>
        <v>#REF!</v>
      </c>
      <c r="IV88" t="e">
        <f>AND(#REF!,"AAAAAFrv//8=")</f>
        <v>#REF!</v>
      </c>
    </row>
    <row r="89" spans="1:256">
      <c r="A89" t="e">
        <f>AND(#REF!,"AAAAAG/1/wA=")</f>
        <v>#REF!</v>
      </c>
      <c r="B89" t="e">
        <f>AND(#REF!,"AAAAAG/1/wE=")</f>
        <v>#REF!</v>
      </c>
      <c r="C89" t="e">
        <f>AND(#REF!,"AAAAAG/1/wI=")</f>
        <v>#REF!</v>
      </c>
      <c r="D89" t="e">
        <f>AND(#REF!,"AAAAAG/1/wM=")</f>
        <v>#REF!</v>
      </c>
      <c r="E89" t="e">
        <f>AND(#REF!,"AAAAAG/1/wQ=")</f>
        <v>#REF!</v>
      </c>
      <c r="F89" t="e">
        <f>AND(#REF!,"AAAAAG/1/wU=")</f>
        <v>#REF!</v>
      </c>
      <c r="G89" t="e">
        <f>AND(#REF!,"AAAAAG/1/wY=")</f>
        <v>#REF!</v>
      </c>
      <c r="H89" t="e">
        <f>IF(#REF!,"AAAAAG/1/wc=",0)</f>
        <v>#REF!</v>
      </c>
      <c r="I89" t="e">
        <f>AND(#REF!,"AAAAAG/1/wg=")</f>
        <v>#REF!</v>
      </c>
      <c r="J89" t="e">
        <f>AND(#REF!,"AAAAAG/1/wk=")</f>
        <v>#REF!</v>
      </c>
      <c r="K89" t="e">
        <f>AND(#REF!,"AAAAAG/1/wo=")</f>
        <v>#REF!</v>
      </c>
      <c r="L89" t="e">
        <f>AND(#REF!,"AAAAAG/1/ws=")</f>
        <v>#REF!</v>
      </c>
      <c r="M89" t="e">
        <f>AND(#REF!,"AAAAAG/1/ww=")</f>
        <v>#REF!</v>
      </c>
      <c r="N89" t="e">
        <f>AND(#REF!,"AAAAAG/1/w0=")</f>
        <v>#REF!</v>
      </c>
      <c r="O89" t="e">
        <f>AND(#REF!,"AAAAAG/1/w4=")</f>
        <v>#REF!</v>
      </c>
      <c r="P89" t="e">
        <f>AND(#REF!,"AAAAAG/1/w8=")</f>
        <v>#REF!</v>
      </c>
      <c r="Q89" t="e">
        <f>AND(#REF!,"AAAAAG/1/xA=")</f>
        <v>#REF!</v>
      </c>
      <c r="R89" t="e">
        <f>AND(#REF!,"AAAAAG/1/xE=")</f>
        <v>#REF!</v>
      </c>
      <c r="S89" t="e">
        <f>AND(#REF!,"AAAAAG/1/xI=")</f>
        <v>#REF!</v>
      </c>
      <c r="T89" t="e">
        <f>AND(#REF!,"AAAAAG/1/xM=")</f>
        <v>#REF!</v>
      </c>
      <c r="U89" t="e">
        <f>AND(#REF!,"AAAAAG/1/xQ=")</f>
        <v>#REF!</v>
      </c>
      <c r="V89" t="e">
        <f>AND(#REF!,"AAAAAG/1/xU=")</f>
        <v>#REF!</v>
      </c>
      <c r="W89" t="e">
        <f>AND(#REF!,"AAAAAG/1/xY=")</f>
        <v>#REF!</v>
      </c>
      <c r="X89" t="e">
        <f>AND(#REF!,"AAAAAG/1/xc=")</f>
        <v>#REF!</v>
      </c>
      <c r="Y89" t="e">
        <f>AND(#REF!,"AAAAAG/1/xg=")</f>
        <v>#REF!</v>
      </c>
      <c r="Z89" t="e">
        <f>AND(#REF!,"AAAAAG/1/xk=")</f>
        <v>#REF!</v>
      </c>
      <c r="AA89" t="e">
        <f>AND(#REF!,"AAAAAG/1/xo=")</f>
        <v>#REF!</v>
      </c>
      <c r="AB89" t="e">
        <f>AND(#REF!,"AAAAAG/1/xs=")</f>
        <v>#REF!</v>
      </c>
      <c r="AC89" t="e">
        <f>AND(#REF!,"AAAAAG/1/xw=")</f>
        <v>#REF!</v>
      </c>
      <c r="AD89" t="e">
        <f>AND(#REF!,"AAAAAG/1/x0=")</f>
        <v>#REF!</v>
      </c>
      <c r="AE89" t="e">
        <f>AND(#REF!,"AAAAAG/1/x4=")</f>
        <v>#REF!</v>
      </c>
      <c r="AF89" t="e">
        <f>AND(#REF!,"AAAAAG/1/x8=")</f>
        <v>#REF!</v>
      </c>
      <c r="AG89" t="e">
        <f>IF(#REF!,"AAAAAG/1/yA=",0)</f>
        <v>#REF!</v>
      </c>
      <c r="AH89" t="e">
        <f>AND(#REF!,"AAAAAG/1/yE=")</f>
        <v>#REF!</v>
      </c>
      <c r="AI89" t="e">
        <f>AND(#REF!,"AAAAAG/1/yI=")</f>
        <v>#REF!</v>
      </c>
      <c r="AJ89" t="e">
        <f>AND(#REF!,"AAAAAG/1/yM=")</f>
        <v>#REF!</v>
      </c>
      <c r="AK89" t="e">
        <f>AND(#REF!,"AAAAAG/1/yQ=")</f>
        <v>#REF!</v>
      </c>
      <c r="AL89" t="e">
        <f>AND(#REF!,"AAAAAG/1/yU=")</f>
        <v>#REF!</v>
      </c>
      <c r="AM89" t="e">
        <f>AND(#REF!,"AAAAAG/1/yY=")</f>
        <v>#REF!</v>
      </c>
      <c r="AN89" t="e">
        <f>AND(#REF!,"AAAAAG/1/yc=")</f>
        <v>#REF!</v>
      </c>
      <c r="AO89" t="e">
        <f>AND(#REF!,"AAAAAG/1/yg=")</f>
        <v>#REF!</v>
      </c>
      <c r="AP89" t="e">
        <f>AND(#REF!,"AAAAAG/1/yk=")</f>
        <v>#REF!</v>
      </c>
      <c r="AQ89" t="e">
        <f>AND(#REF!,"AAAAAG/1/yo=")</f>
        <v>#REF!</v>
      </c>
      <c r="AR89" t="e">
        <f>AND(#REF!,"AAAAAG/1/ys=")</f>
        <v>#REF!</v>
      </c>
      <c r="AS89" t="e">
        <f>AND(#REF!,"AAAAAG/1/yw=")</f>
        <v>#REF!</v>
      </c>
      <c r="AT89" t="e">
        <f>AND(#REF!,"AAAAAG/1/y0=")</f>
        <v>#REF!</v>
      </c>
      <c r="AU89" t="e">
        <f>AND(#REF!,"AAAAAG/1/y4=")</f>
        <v>#REF!</v>
      </c>
      <c r="AV89" t="e">
        <f>AND(#REF!,"AAAAAG/1/y8=")</f>
        <v>#REF!</v>
      </c>
      <c r="AW89" t="e">
        <f>AND(#REF!,"AAAAAG/1/zA=")</f>
        <v>#REF!</v>
      </c>
      <c r="AX89" t="e">
        <f>AND(#REF!,"AAAAAG/1/zE=")</f>
        <v>#REF!</v>
      </c>
      <c r="AY89" t="e">
        <f>AND(#REF!,"AAAAAG/1/zI=")</f>
        <v>#REF!</v>
      </c>
      <c r="AZ89" t="e">
        <f>AND(#REF!,"AAAAAG/1/zM=")</f>
        <v>#REF!</v>
      </c>
      <c r="BA89" t="e">
        <f>AND(#REF!,"AAAAAG/1/zQ=")</f>
        <v>#REF!</v>
      </c>
      <c r="BB89" t="e">
        <f>AND(#REF!,"AAAAAG/1/zU=")</f>
        <v>#REF!</v>
      </c>
      <c r="BC89" t="e">
        <f>AND(#REF!,"AAAAAG/1/zY=")</f>
        <v>#REF!</v>
      </c>
      <c r="BD89" t="e">
        <f>AND(#REF!,"AAAAAG/1/zc=")</f>
        <v>#REF!</v>
      </c>
      <c r="BE89" t="e">
        <f>AND(#REF!,"AAAAAG/1/zg=")</f>
        <v>#REF!</v>
      </c>
      <c r="BF89" t="e">
        <f>IF(#REF!,"AAAAAG/1/zk=",0)</f>
        <v>#REF!</v>
      </c>
      <c r="BG89" t="e">
        <f>AND(#REF!,"AAAAAG/1/zo=")</f>
        <v>#REF!</v>
      </c>
      <c r="BH89" t="e">
        <f>AND(#REF!,"AAAAAG/1/zs=")</f>
        <v>#REF!</v>
      </c>
      <c r="BI89" t="e">
        <f>AND(#REF!,"AAAAAG/1/zw=")</f>
        <v>#REF!</v>
      </c>
      <c r="BJ89" t="e">
        <f>AND(#REF!,"AAAAAG/1/z0=")</f>
        <v>#REF!</v>
      </c>
      <c r="BK89" t="e">
        <f>AND(#REF!,"AAAAAG/1/z4=")</f>
        <v>#REF!</v>
      </c>
      <c r="BL89" t="e">
        <f>AND(#REF!,"AAAAAG/1/z8=")</f>
        <v>#REF!</v>
      </c>
      <c r="BM89" t="e">
        <f>AND(#REF!,"AAAAAG/1/0A=")</f>
        <v>#REF!</v>
      </c>
      <c r="BN89" t="e">
        <f>AND(#REF!,"AAAAAG/1/0E=")</f>
        <v>#REF!</v>
      </c>
      <c r="BO89" t="e">
        <f>AND(#REF!,"AAAAAG/1/0I=")</f>
        <v>#REF!</v>
      </c>
      <c r="BP89" t="e">
        <f>AND(#REF!,"AAAAAG/1/0M=")</f>
        <v>#REF!</v>
      </c>
      <c r="BQ89" t="e">
        <f>AND(#REF!,"AAAAAG/1/0Q=")</f>
        <v>#REF!</v>
      </c>
      <c r="BR89" t="e">
        <f>AND(#REF!,"AAAAAG/1/0U=")</f>
        <v>#REF!</v>
      </c>
      <c r="BS89" t="e">
        <f>AND(#REF!,"AAAAAG/1/0Y=")</f>
        <v>#REF!</v>
      </c>
      <c r="BT89" t="e">
        <f>AND(#REF!,"AAAAAG/1/0c=")</f>
        <v>#REF!</v>
      </c>
      <c r="BU89" t="e">
        <f>AND(#REF!,"AAAAAG/1/0g=")</f>
        <v>#REF!</v>
      </c>
      <c r="BV89" t="e">
        <f>AND(#REF!,"AAAAAG/1/0k=")</f>
        <v>#REF!</v>
      </c>
      <c r="BW89" t="e">
        <f>AND(#REF!,"AAAAAG/1/0o=")</f>
        <v>#REF!</v>
      </c>
      <c r="BX89" t="e">
        <f>AND(#REF!,"AAAAAG/1/0s=")</f>
        <v>#REF!</v>
      </c>
      <c r="BY89" t="e">
        <f>AND(#REF!,"AAAAAG/1/0w=")</f>
        <v>#REF!</v>
      </c>
      <c r="BZ89" t="e">
        <f>AND(#REF!,"AAAAAG/1/00=")</f>
        <v>#REF!</v>
      </c>
      <c r="CA89" t="e">
        <f>AND(#REF!,"AAAAAG/1/04=")</f>
        <v>#REF!</v>
      </c>
      <c r="CB89" t="e">
        <f>AND(#REF!,"AAAAAG/1/08=")</f>
        <v>#REF!</v>
      </c>
      <c r="CC89" t="e">
        <f>AND(#REF!,"AAAAAG/1/1A=")</f>
        <v>#REF!</v>
      </c>
      <c r="CD89" t="e">
        <f>AND(#REF!,"AAAAAG/1/1E=")</f>
        <v>#REF!</v>
      </c>
      <c r="CE89" t="e">
        <f>IF(#REF!,"AAAAAG/1/1I=",0)</f>
        <v>#REF!</v>
      </c>
      <c r="CF89" t="e">
        <f>AND(#REF!,"AAAAAG/1/1M=")</f>
        <v>#REF!</v>
      </c>
      <c r="CG89" t="e">
        <f>AND(#REF!,"AAAAAG/1/1Q=")</f>
        <v>#REF!</v>
      </c>
      <c r="CH89" t="e">
        <f>AND(#REF!,"AAAAAG/1/1U=")</f>
        <v>#REF!</v>
      </c>
      <c r="CI89" t="e">
        <f>AND(#REF!,"AAAAAG/1/1Y=")</f>
        <v>#REF!</v>
      </c>
      <c r="CJ89" t="e">
        <f>AND(#REF!,"AAAAAG/1/1c=")</f>
        <v>#REF!</v>
      </c>
      <c r="CK89" t="e">
        <f>AND(#REF!,"AAAAAG/1/1g=")</f>
        <v>#REF!</v>
      </c>
      <c r="CL89" t="e">
        <f>AND(#REF!,"AAAAAG/1/1k=")</f>
        <v>#REF!</v>
      </c>
      <c r="CM89" t="e">
        <f>AND(#REF!,"AAAAAG/1/1o=")</f>
        <v>#REF!</v>
      </c>
      <c r="CN89" t="e">
        <f>AND(#REF!,"AAAAAG/1/1s=")</f>
        <v>#REF!</v>
      </c>
      <c r="CO89" t="e">
        <f>AND(#REF!,"AAAAAG/1/1w=")</f>
        <v>#REF!</v>
      </c>
      <c r="CP89" t="e">
        <f>AND(#REF!,"AAAAAG/1/10=")</f>
        <v>#REF!</v>
      </c>
      <c r="CQ89" t="e">
        <f>AND(#REF!,"AAAAAG/1/14=")</f>
        <v>#REF!</v>
      </c>
      <c r="CR89" t="e">
        <f>AND(#REF!,"AAAAAG/1/18=")</f>
        <v>#REF!</v>
      </c>
      <c r="CS89" t="e">
        <f>AND(#REF!,"AAAAAG/1/2A=")</f>
        <v>#REF!</v>
      </c>
      <c r="CT89" t="e">
        <f>AND(#REF!,"AAAAAG/1/2E=")</f>
        <v>#REF!</v>
      </c>
      <c r="CU89" t="e">
        <f>AND(#REF!,"AAAAAG/1/2I=")</f>
        <v>#REF!</v>
      </c>
      <c r="CV89" t="e">
        <f>AND(#REF!,"AAAAAG/1/2M=")</f>
        <v>#REF!</v>
      </c>
      <c r="CW89" t="e">
        <f>AND(#REF!,"AAAAAG/1/2Q=")</f>
        <v>#REF!</v>
      </c>
      <c r="CX89" t="e">
        <f>AND(#REF!,"AAAAAG/1/2U=")</f>
        <v>#REF!</v>
      </c>
      <c r="CY89" t="e">
        <f>AND(#REF!,"AAAAAG/1/2Y=")</f>
        <v>#REF!</v>
      </c>
      <c r="CZ89" t="e">
        <f>AND(#REF!,"AAAAAG/1/2c=")</f>
        <v>#REF!</v>
      </c>
      <c r="DA89" t="e">
        <f>AND(#REF!,"AAAAAG/1/2g=")</f>
        <v>#REF!</v>
      </c>
      <c r="DB89" t="e">
        <f>AND(#REF!,"AAAAAG/1/2k=")</f>
        <v>#REF!</v>
      </c>
      <c r="DC89" t="e">
        <f>AND(#REF!,"AAAAAG/1/2o=")</f>
        <v>#REF!</v>
      </c>
      <c r="DD89" t="e">
        <f>IF(#REF!,"AAAAAG/1/2s=",0)</f>
        <v>#REF!</v>
      </c>
      <c r="DE89" t="e">
        <f>AND(#REF!,"AAAAAG/1/2w=")</f>
        <v>#REF!</v>
      </c>
      <c r="DF89" t="e">
        <f>AND(#REF!,"AAAAAG/1/20=")</f>
        <v>#REF!</v>
      </c>
      <c r="DG89" t="e">
        <f>AND(#REF!,"AAAAAG/1/24=")</f>
        <v>#REF!</v>
      </c>
      <c r="DH89" t="e">
        <f>AND(#REF!,"AAAAAG/1/28=")</f>
        <v>#REF!</v>
      </c>
      <c r="DI89" t="e">
        <f>AND(#REF!,"AAAAAG/1/3A=")</f>
        <v>#REF!</v>
      </c>
      <c r="DJ89" t="e">
        <f>AND(#REF!,"AAAAAG/1/3E=")</f>
        <v>#REF!</v>
      </c>
      <c r="DK89" t="e">
        <f>AND(#REF!,"AAAAAG/1/3I=")</f>
        <v>#REF!</v>
      </c>
      <c r="DL89" t="e">
        <f>AND(#REF!,"AAAAAG/1/3M=")</f>
        <v>#REF!</v>
      </c>
      <c r="DM89" t="e">
        <f>AND(#REF!,"AAAAAG/1/3Q=")</f>
        <v>#REF!</v>
      </c>
      <c r="DN89" t="e">
        <f>AND(#REF!,"AAAAAG/1/3U=")</f>
        <v>#REF!</v>
      </c>
      <c r="DO89" t="e">
        <f>AND(#REF!,"AAAAAG/1/3Y=")</f>
        <v>#REF!</v>
      </c>
      <c r="DP89" t="e">
        <f>AND(#REF!,"AAAAAG/1/3c=")</f>
        <v>#REF!</v>
      </c>
      <c r="DQ89" t="e">
        <f>AND(#REF!,"AAAAAG/1/3g=")</f>
        <v>#REF!</v>
      </c>
      <c r="DR89" t="e">
        <f>AND(#REF!,"AAAAAG/1/3k=")</f>
        <v>#REF!</v>
      </c>
      <c r="DS89" t="e">
        <f>AND(#REF!,"AAAAAG/1/3o=")</f>
        <v>#REF!</v>
      </c>
      <c r="DT89" t="e">
        <f>AND(#REF!,"AAAAAG/1/3s=")</f>
        <v>#REF!</v>
      </c>
      <c r="DU89" t="e">
        <f>AND(#REF!,"AAAAAG/1/3w=")</f>
        <v>#REF!</v>
      </c>
      <c r="DV89" t="e">
        <f>AND(#REF!,"AAAAAG/1/30=")</f>
        <v>#REF!</v>
      </c>
      <c r="DW89" t="e">
        <f>AND(#REF!,"AAAAAG/1/34=")</f>
        <v>#REF!</v>
      </c>
      <c r="DX89" t="e">
        <f>AND(#REF!,"AAAAAG/1/38=")</f>
        <v>#REF!</v>
      </c>
      <c r="DY89" t="e">
        <f>AND(#REF!,"AAAAAG/1/4A=")</f>
        <v>#REF!</v>
      </c>
      <c r="DZ89" t="e">
        <f>AND(#REF!,"AAAAAG/1/4E=")</f>
        <v>#REF!</v>
      </c>
      <c r="EA89" t="e">
        <f>AND(#REF!,"AAAAAG/1/4I=")</f>
        <v>#REF!</v>
      </c>
      <c r="EB89" t="e">
        <f>AND(#REF!,"AAAAAG/1/4M=")</f>
        <v>#REF!</v>
      </c>
      <c r="EC89" t="e">
        <f>IF(#REF!,"AAAAAG/1/4Q=",0)</f>
        <v>#REF!</v>
      </c>
      <c r="ED89" t="e">
        <f>AND(#REF!,"AAAAAG/1/4U=")</f>
        <v>#REF!</v>
      </c>
      <c r="EE89" t="e">
        <f>AND(#REF!,"AAAAAG/1/4Y=")</f>
        <v>#REF!</v>
      </c>
      <c r="EF89" t="e">
        <f>AND(#REF!,"AAAAAG/1/4c=")</f>
        <v>#REF!</v>
      </c>
      <c r="EG89" t="e">
        <f>AND(#REF!,"AAAAAG/1/4g=")</f>
        <v>#REF!</v>
      </c>
      <c r="EH89" t="e">
        <f>AND(#REF!,"AAAAAG/1/4k=")</f>
        <v>#REF!</v>
      </c>
      <c r="EI89" t="e">
        <f>AND(#REF!,"AAAAAG/1/4o=")</f>
        <v>#REF!</v>
      </c>
      <c r="EJ89" t="e">
        <f>AND(#REF!,"AAAAAG/1/4s=")</f>
        <v>#REF!</v>
      </c>
      <c r="EK89" t="e">
        <f>AND(#REF!,"AAAAAG/1/4w=")</f>
        <v>#REF!</v>
      </c>
      <c r="EL89" t="e">
        <f>AND(#REF!,"AAAAAG/1/40=")</f>
        <v>#REF!</v>
      </c>
      <c r="EM89" t="e">
        <f>AND(#REF!,"AAAAAG/1/44=")</f>
        <v>#REF!</v>
      </c>
      <c r="EN89" t="e">
        <f>AND(#REF!,"AAAAAG/1/48=")</f>
        <v>#REF!</v>
      </c>
      <c r="EO89" t="e">
        <f>AND(#REF!,"AAAAAG/1/5A=")</f>
        <v>#REF!</v>
      </c>
      <c r="EP89" t="e">
        <f>AND(#REF!,"AAAAAG/1/5E=")</f>
        <v>#REF!</v>
      </c>
      <c r="EQ89" t="e">
        <f>AND(#REF!,"AAAAAG/1/5I=")</f>
        <v>#REF!</v>
      </c>
      <c r="ER89" t="e">
        <f>AND(#REF!,"AAAAAG/1/5M=")</f>
        <v>#REF!</v>
      </c>
      <c r="ES89" t="e">
        <f>AND(#REF!,"AAAAAG/1/5Q=")</f>
        <v>#REF!</v>
      </c>
      <c r="ET89" t="e">
        <f>AND(#REF!,"AAAAAG/1/5U=")</f>
        <v>#REF!</v>
      </c>
      <c r="EU89" t="e">
        <f>AND(#REF!,"AAAAAG/1/5Y=")</f>
        <v>#REF!</v>
      </c>
      <c r="EV89" t="e">
        <f>AND(#REF!,"AAAAAG/1/5c=")</f>
        <v>#REF!</v>
      </c>
      <c r="EW89" t="e">
        <f>AND(#REF!,"AAAAAG/1/5g=")</f>
        <v>#REF!</v>
      </c>
      <c r="EX89" t="e">
        <f>AND(#REF!,"AAAAAG/1/5k=")</f>
        <v>#REF!</v>
      </c>
      <c r="EY89" t="e">
        <f>AND(#REF!,"AAAAAG/1/5o=")</f>
        <v>#REF!</v>
      </c>
      <c r="EZ89" t="e">
        <f>AND(#REF!,"AAAAAG/1/5s=")</f>
        <v>#REF!</v>
      </c>
      <c r="FA89" t="e">
        <f>AND(#REF!,"AAAAAG/1/5w=")</f>
        <v>#REF!</v>
      </c>
      <c r="FB89" t="e">
        <f>IF(#REF!,"AAAAAG/1/50=",0)</f>
        <v>#REF!</v>
      </c>
      <c r="FC89" t="e">
        <f>AND(#REF!,"AAAAAG/1/54=")</f>
        <v>#REF!</v>
      </c>
      <c r="FD89" t="e">
        <f>AND(#REF!,"AAAAAG/1/58=")</f>
        <v>#REF!</v>
      </c>
      <c r="FE89" t="e">
        <f>AND(#REF!,"AAAAAG/1/6A=")</f>
        <v>#REF!</v>
      </c>
      <c r="FF89" t="e">
        <f>AND(#REF!,"AAAAAG/1/6E=")</f>
        <v>#REF!</v>
      </c>
      <c r="FG89" t="e">
        <f>AND(#REF!,"AAAAAG/1/6I=")</f>
        <v>#REF!</v>
      </c>
      <c r="FH89" t="e">
        <f>AND(#REF!,"AAAAAG/1/6M=")</f>
        <v>#REF!</v>
      </c>
      <c r="FI89" t="e">
        <f>AND(#REF!,"AAAAAG/1/6Q=")</f>
        <v>#REF!</v>
      </c>
      <c r="FJ89" t="e">
        <f>AND(#REF!,"AAAAAG/1/6U=")</f>
        <v>#REF!</v>
      </c>
      <c r="FK89" t="e">
        <f>AND(#REF!,"AAAAAG/1/6Y=")</f>
        <v>#REF!</v>
      </c>
      <c r="FL89" t="e">
        <f>AND(#REF!,"AAAAAG/1/6c=")</f>
        <v>#REF!</v>
      </c>
      <c r="FM89" t="e">
        <f>AND(#REF!,"AAAAAG/1/6g=")</f>
        <v>#REF!</v>
      </c>
      <c r="FN89" t="e">
        <f>AND(#REF!,"AAAAAG/1/6k=")</f>
        <v>#REF!</v>
      </c>
      <c r="FO89" t="e">
        <f>AND(#REF!,"AAAAAG/1/6o=")</f>
        <v>#REF!</v>
      </c>
      <c r="FP89" t="e">
        <f>AND(#REF!,"AAAAAG/1/6s=")</f>
        <v>#REF!</v>
      </c>
      <c r="FQ89" t="e">
        <f>AND(#REF!,"AAAAAG/1/6w=")</f>
        <v>#REF!</v>
      </c>
      <c r="FR89" t="e">
        <f>AND(#REF!,"AAAAAG/1/60=")</f>
        <v>#REF!</v>
      </c>
      <c r="FS89" t="e">
        <f>AND(#REF!,"AAAAAG/1/64=")</f>
        <v>#REF!</v>
      </c>
      <c r="FT89" t="e">
        <f>AND(#REF!,"AAAAAG/1/68=")</f>
        <v>#REF!</v>
      </c>
      <c r="FU89" t="e">
        <f>AND(#REF!,"AAAAAG/1/7A=")</f>
        <v>#REF!</v>
      </c>
      <c r="FV89" t="e">
        <f>AND(#REF!,"AAAAAG/1/7E=")</f>
        <v>#REF!</v>
      </c>
      <c r="FW89" t="e">
        <f>AND(#REF!,"AAAAAG/1/7I=")</f>
        <v>#REF!</v>
      </c>
      <c r="FX89" t="e">
        <f>AND(#REF!,"AAAAAG/1/7M=")</f>
        <v>#REF!</v>
      </c>
      <c r="FY89" t="e">
        <f>AND(#REF!,"AAAAAG/1/7Q=")</f>
        <v>#REF!</v>
      </c>
      <c r="FZ89" t="e">
        <f>AND(#REF!,"AAAAAG/1/7U=")</f>
        <v>#REF!</v>
      </c>
      <c r="GA89" t="e">
        <f>IF(#REF!,"AAAAAG/1/7Y=",0)</f>
        <v>#REF!</v>
      </c>
      <c r="GB89" t="e">
        <f>AND(#REF!,"AAAAAG/1/7c=")</f>
        <v>#REF!</v>
      </c>
      <c r="GC89" t="e">
        <f>AND(#REF!,"AAAAAG/1/7g=")</f>
        <v>#REF!</v>
      </c>
      <c r="GD89" t="e">
        <f>AND(#REF!,"AAAAAG/1/7k=")</f>
        <v>#REF!</v>
      </c>
      <c r="GE89" t="e">
        <f>AND(#REF!,"AAAAAG/1/7o=")</f>
        <v>#REF!</v>
      </c>
      <c r="GF89" t="e">
        <f>AND(#REF!,"AAAAAG/1/7s=")</f>
        <v>#REF!</v>
      </c>
      <c r="GG89" t="e">
        <f>AND(#REF!,"AAAAAG/1/7w=")</f>
        <v>#REF!</v>
      </c>
      <c r="GH89" t="e">
        <f>AND(#REF!,"AAAAAG/1/70=")</f>
        <v>#REF!</v>
      </c>
      <c r="GI89" t="e">
        <f>AND(#REF!,"AAAAAG/1/74=")</f>
        <v>#REF!</v>
      </c>
      <c r="GJ89" t="e">
        <f>AND(#REF!,"AAAAAG/1/78=")</f>
        <v>#REF!</v>
      </c>
      <c r="GK89" t="e">
        <f>AND(#REF!,"AAAAAG/1/8A=")</f>
        <v>#REF!</v>
      </c>
      <c r="GL89" t="e">
        <f>AND(#REF!,"AAAAAG/1/8E=")</f>
        <v>#REF!</v>
      </c>
      <c r="GM89" t="e">
        <f>AND(#REF!,"AAAAAG/1/8I=")</f>
        <v>#REF!</v>
      </c>
      <c r="GN89" t="e">
        <f>AND(#REF!,"AAAAAG/1/8M=")</f>
        <v>#REF!</v>
      </c>
      <c r="GO89" t="e">
        <f>AND(#REF!,"AAAAAG/1/8Q=")</f>
        <v>#REF!</v>
      </c>
      <c r="GP89" t="e">
        <f>AND(#REF!,"AAAAAG/1/8U=")</f>
        <v>#REF!</v>
      </c>
      <c r="GQ89" t="e">
        <f>AND(#REF!,"AAAAAG/1/8Y=")</f>
        <v>#REF!</v>
      </c>
      <c r="GR89" t="e">
        <f>AND(#REF!,"AAAAAG/1/8c=")</f>
        <v>#REF!</v>
      </c>
      <c r="GS89" t="e">
        <f>AND(#REF!,"AAAAAG/1/8g=")</f>
        <v>#REF!</v>
      </c>
      <c r="GT89" t="e">
        <f>AND(#REF!,"AAAAAG/1/8k=")</f>
        <v>#REF!</v>
      </c>
      <c r="GU89" t="e">
        <f>AND(#REF!,"AAAAAG/1/8o=")</f>
        <v>#REF!</v>
      </c>
      <c r="GV89" t="e">
        <f>AND(#REF!,"AAAAAG/1/8s=")</f>
        <v>#REF!</v>
      </c>
      <c r="GW89" t="e">
        <f>AND(#REF!,"AAAAAG/1/8w=")</f>
        <v>#REF!</v>
      </c>
      <c r="GX89" t="e">
        <f>AND(#REF!,"AAAAAG/1/80=")</f>
        <v>#REF!</v>
      </c>
      <c r="GY89" t="e">
        <f>AND(#REF!,"AAAAAG/1/84=")</f>
        <v>#REF!</v>
      </c>
      <c r="GZ89" t="e">
        <f>IF(#REF!,"AAAAAG/1/88=",0)</f>
        <v>#REF!</v>
      </c>
      <c r="HA89" t="e">
        <f>AND(#REF!,"AAAAAG/1/9A=")</f>
        <v>#REF!</v>
      </c>
      <c r="HB89" t="e">
        <f>AND(#REF!,"AAAAAG/1/9E=")</f>
        <v>#REF!</v>
      </c>
      <c r="HC89" t="e">
        <f>AND(#REF!,"AAAAAG/1/9I=")</f>
        <v>#REF!</v>
      </c>
      <c r="HD89" t="e">
        <f>AND(#REF!,"AAAAAG/1/9M=")</f>
        <v>#REF!</v>
      </c>
      <c r="HE89" t="e">
        <f>AND(#REF!,"AAAAAG/1/9Q=")</f>
        <v>#REF!</v>
      </c>
      <c r="HF89" t="e">
        <f>AND(#REF!,"AAAAAG/1/9U=")</f>
        <v>#REF!</v>
      </c>
      <c r="HG89" t="e">
        <f>AND(#REF!,"AAAAAG/1/9Y=")</f>
        <v>#REF!</v>
      </c>
      <c r="HH89" t="e">
        <f>AND(#REF!,"AAAAAG/1/9c=")</f>
        <v>#REF!</v>
      </c>
      <c r="HI89" t="e">
        <f>AND(#REF!,"AAAAAG/1/9g=")</f>
        <v>#REF!</v>
      </c>
      <c r="HJ89" t="e">
        <f>AND(#REF!,"AAAAAG/1/9k=")</f>
        <v>#REF!</v>
      </c>
      <c r="HK89" t="e">
        <f>AND(#REF!,"AAAAAG/1/9o=")</f>
        <v>#REF!</v>
      </c>
      <c r="HL89" t="e">
        <f>AND(#REF!,"AAAAAG/1/9s=")</f>
        <v>#REF!</v>
      </c>
      <c r="HM89" t="e">
        <f>AND(#REF!,"AAAAAG/1/9w=")</f>
        <v>#REF!</v>
      </c>
      <c r="HN89" t="e">
        <f>AND(#REF!,"AAAAAG/1/90=")</f>
        <v>#REF!</v>
      </c>
      <c r="HO89" t="e">
        <f>AND(#REF!,"AAAAAG/1/94=")</f>
        <v>#REF!</v>
      </c>
      <c r="HP89" t="e">
        <f>AND(#REF!,"AAAAAG/1/98=")</f>
        <v>#REF!</v>
      </c>
      <c r="HQ89" t="e">
        <f>AND(#REF!,"AAAAAG/1/+A=")</f>
        <v>#REF!</v>
      </c>
      <c r="HR89" t="e">
        <f>AND(#REF!,"AAAAAG/1/+E=")</f>
        <v>#REF!</v>
      </c>
      <c r="HS89" t="e">
        <f>AND(#REF!,"AAAAAG/1/+I=")</f>
        <v>#REF!</v>
      </c>
      <c r="HT89" t="e">
        <f>AND(#REF!,"AAAAAG/1/+M=")</f>
        <v>#REF!</v>
      </c>
      <c r="HU89" t="e">
        <f>AND(#REF!,"AAAAAG/1/+Q=")</f>
        <v>#REF!</v>
      </c>
      <c r="HV89" t="e">
        <f>AND(#REF!,"AAAAAG/1/+U=")</f>
        <v>#REF!</v>
      </c>
      <c r="HW89" t="e">
        <f>AND(#REF!,"AAAAAG/1/+Y=")</f>
        <v>#REF!</v>
      </c>
      <c r="HX89" t="e">
        <f>AND(#REF!,"AAAAAG/1/+c=")</f>
        <v>#REF!</v>
      </c>
      <c r="HY89" t="e">
        <f>IF(#REF!,"AAAAAG/1/+g=",0)</f>
        <v>#REF!</v>
      </c>
      <c r="HZ89" t="e">
        <f>AND(#REF!,"AAAAAG/1/+k=")</f>
        <v>#REF!</v>
      </c>
      <c r="IA89" t="e">
        <f>AND(#REF!,"AAAAAG/1/+o=")</f>
        <v>#REF!</v>
      </c>
      <c r="IB89" t="e">
        <f>AND(#REF!,"AAAAAG/1/+s=")</f>
        <v>#REF!</v>
      </c>
      <c r="IC89" t="e">
        <f>AND(#REF!,"AAAAAG/1/+w=")</f>
        <v>#REF!</v>
      </c>
      <c r="ID89" t="e">
        <f>AND(#REF!,"AAAAAG/1/+0=")</f>
        <v>#REF!</v>
      </c>
      <c r="IE89" t="e">
        <f>AND(#REF!,"AAAAAG/1/+4=")</f>
        <v>#REF!</v>
      </c>
      <c r="IF89" t="e">
        <f>AND(#REF!,"AAAAAG/1/+8=")</f>
        <v>#REF!</v>
      </c>
      <c r="IG89" t="e">
        <f>AND(#REF!,"AAAAAG/1//A=")</f>
        <v>#REF!</v>
      </c>
      <c r="IH89" t="e">
        <f>AND(#REF!,"AAAAAG/1//E=")</f>
        <v>#REF!</v>
      </c>
      <c r="II89" t="e">
        <f>AND(#REF!,"AAAAAG/1//I=")</f>
        <v>#REF!</v>
      </c>
      <c r="IJ89" t="e">
        <f>AND(#REF!,"AAAAAG/1//M=")</f>
        <v>#REF!</v>
      </c>
      <c r="IK89" t="e">
        <f>AND(#REF!,"AAAAAG/1//Q=")</f>
        <v>#REF!</v>
      </c>
      <c r="IL89" t="e">
        <f>AND(#REF!,"AAAAAG/1//U=")</f>
        <v>#REF!</v>
      </c>
      <c r="IM89" t="e">
        <f>AND(#REF!,"AAAAAG/1//Y=")</f>
        <v>#REF!</v>
      </c>
      <c r="IN89" t="e">
        <f>AND(#REF!,"AAAAAG/1//c=")</f>
        <v>#REF!</v>
      </c>
      <c r="IO89" t="e">
        <f>AND(#REF!,"AAAAAG/1//g=")</f>
        <v>#REF!</v>
      </c>
      <c r="IP89" t="e">
        <f>AND(#REF!,"AAAAAG/1//k=")</f>
        <v>#REF!</v>
      </c>
      <c r="IQ89" t="e">
        <f>AND(#REF!,"AAAAAG/1//o=")</f>
        <v>#REF!</v>
      </c>
      <c r="IR89" t="e">
        <f>AND(#REF!,"AAAAAG/1//s=")</f>
        <v>#REF!</v>
      </c>
      <c r="IS89" t="e">
        <f>AND(#REF!,"AAAAAG/1//w=")</f>
        <v>#REF!</v>
      </c>
      <c r="IT89" t="e">
        <f>AND(#REF!,"AAAAAG/1//0=")</f>
        <v>#REF!</v>
      </c>
      <c r="IU89" t="e">
        <f>AND(#REF!,"AAAAAG/1//4=")</f>
        <v>#REF!</v>
      </c>
      <c r="IV89" t="e">
        <f>AND(#REF!,"AAAAAG/1//8=")</f>
        <v>#REF!</v>
      </c>
    </row>
    <row r="90" spans="1:256">
      <c r="A90" t="e">
        <f>AND(#REF!,"AAAAAE7/dwA=")</f>
        <v>#REF!</v>
      </c>
      <c r="B90" t="e">
        <f>IF(#REF!,"AAAAAE7/dwE=",0)</f>
        <v>#REF!</v>
      </c>
      <c r="C90" t="e">
        <f>AND(#REF!,"AAAAAE7/dwI=")</f>
        <v>#REF!</v>
      </c>
      <c r="D90" t="e">
        <f>AND(#REF!,"AAAAAE7/dwM=")</f>
        <v>#REF!</v>
      </c>
      <c r="E90" t="e">
        <f>AND(#REF!,"AAAAAE7/dwQ=")</f>
        <v>#REF!</v>
      </c>
      <c r="F90" t="e">
        <f>AND(#REF!,"AAAAAE7/dwU=")</f>
        <v>#REF!</v>
      </c>
      <c r="G90" t="e">
        <f>AND(#REF!,"AAAAAE7/dwY=")</f>
        <v>#REF!</v>
      </c>
      <c r="H90" t="e">
        <f>AND(#REF!,"AAAAAE7/dwc=")</f>
        <v>#REF!</v>
      </c>
      <c r="I90" t="e">
        <f>AND(#REF!,"AAAAAE7/dwg=")</f>
        <v>#REF!</v>
      </c>
      <c r="J90" t="e">
        <f>AND(#REF!,"AAAAAE7/dwk=")</f>
        <v>#REF!</v>
      </c>
      <c r="K90" t="e">
        <f>AND(#REF!,"AAAAAE7/dwo=")</f>
        <v>#REF!</v>
      </c>
      <c r="L90" t="e">
        <f>AND(#REF!,"AAAAAE7/dws=")</f>
        <v>#REF!</v>
      </c>
      <c r="M90" t="e">
        <f>AND(#REF!,"AAAAAE7/dww=")</f>
        <v>#REF!</v>
      </c>
      <c r="N90" t="e">
        <f>AND(#REF!,"AAAAAE7/dw0=")</f>
        <v>#REF!</v>
      </c>
      <c r="O90" t="e">
        <f>AND(#REF!,"AAAAAE7/dw4=")</f>
        <v>#REF!</v>
      </c>
      <c r="P90" t="e">
        <f>AND(#REF!,"AAAAAE7/dw8=")</f>
        <v>#REF!</v>
      </c>
      <c r="Q90" t="e">
        <f>AND(#REF!,"AAAAAE7/dxA=")</f>
        <v>#REF!</v>
      </c>
      <c r="R90" t="e">
        <f>AND(#REF!,"AAAAAE7/dxE=")</f>
        <v>#REF!</v>
      </c>
      <c r="S90" t="e">
        <f>AND(#REF!,"AAAAAE7/dxI=")</f>
        <v>#REF!</v>
      </c>
      <c r="T90" t="e">
        <f>AND(#REF!,"AAAAAE7/dxM=")</f>
        <v>#REF!</v>
      </c>
      <c r="U90" t="e">
        <f>AND(#REF!,"AAAAAE7/dxQ=")</f>
        <v>#REF!</v>
      </c>
      <c r="V90" t="e">
        <f>AND(#REF!,"AAAAAE7/dxU=")</f>
        <v>#REF!</v>
      </c>
      <c r="W90" t="e">
        <f>AND(#REF!,"AAAAAE7/dxY=")</f>
        <v>#REF!</v>
      </c>
      <c r="X90" t="e">
        <f>AND(#REF!,"AAAAAE7/dxc=")</f>
        <v>#REF!</v>
      </c>
      <c r="Y90" t="e">
        <f>AND(#REF!,"AAAAAE7/dxg=")</f>
        <v>#REF!</v>
      </c>
      <c r="Z90" t="e">
        <f>AND(#REF!,"AAAAAE7/dxk=")</f>
        <v>#REF!</v>
      </c>
      <c r="AA90" t="e">
        <f>IF(#REF!,"AAAAAE7/dxo=",0)</f>
        <v>#REF!</v>
      </c>
      <c r="AB90" t="e">
        <f>AND(#REF!,"AAAAAE7/dxs=")</f>
        <v>#REF!</v>
      </c>
      <c r="AC90" t="e">
        <f>AND(#REF!,"AAAAAE7/dxw=")</f>
        <v>#REF!</v>
      </c>
      <c r="AD90" t="e">
        <f>AND(#REF!,"AAAAAE7/dx0=")</f>
        <v>#REF!</v>
      </c>
      <c r="AE90" t="e">
        <f>AND(#REF!,"AAAAAE7/dx4=")</f>
        <v>#REF!</v>
      </c>
      <c r="AF90" t="e">
        <f>AND(#REF!,"AAAAAE7/dx8=")</f>
        <v>#REF!</v>
      </c>
      <c r="AG90" t="e">
        <f>AND(#REF!,"AAAAAE7/dyA=")</f>
        <v>#REF!</v>
      </c>
      <c r="AH90" t="e">
        <f>AND(#REF!,"AAAAAE7/dyE=")</f>
        <v>#REF!</v>
      </c>
      <c r="AI90" t="e">
        <f>AND(#REF!,"AAAAAE7/dyI=")</f>
        <v>#REF!</v>
      </c>
      <c r="AJ90" t="e">
        <f>AND(#REF!,"AAAAAE7/dyM=")</f>
        <v>#REF!</v>
      </c>
      <c r="AK90" t="e">
        <f>AND(#REF!,"AAAAAE7/dyQ=")</f>
        <v>#REF!</v>
      </c>
      <c r="AL90" t="e">
        <f>AND(#REF!,"AAAAAE7/dyU=")</f>
        <v>#REF!</v>
      </c>
      <c r="AM90" t="e">
        <f>AND(#REF!,"AAAAAE7/dyY=")</f>
        <v>#REF!</v>
      </c>
      <c r="AN90" t="e">
        <f>AND(#REF!,"AAAAAE7/dyc=")</f>
        <v>#REF!</v>
      </c>
      <c r="AO90" t="e">
        <f>AND(#REF!,"AAAAAE7/dyg=")</f>
        <v>#REF!</v>
      </c>
      <c r="AP90" t="e">
        <f>AND(#REF!,"AAAAAE7/dyk=")</f>
        <v>#REF!</v>
      </c>
      <c r="AQ90" t="e">
        <f>AND(#REF!,"AAAAAE7/dyo=")</f>
        <v>#REF!</v>
      </c>
      <c r="AR90" t="e">
        <f>AND(#REF!,"AAAAAE7/dys=")</f>
        <v>#REF!</v>
      </c>
      <c r="AS90" t="e">
        <f>AND(#REF!,"AAAAAE7/dyw=")</f>
        <v>#REF!</v>
      </c>
      <c r="AT90" t="e">
        <f>AND(#REF!,"AAAAAE7/dy0=")</f>
        <v>#REF!</v>
      </c>
      <c r="AU90" t="e">
        <f>AND(#REF!,"AAAAAE7/dy4=")</f>
        <v>#REF!</v>
      </c>
      <c r="AV90" t="e">
        <f>AND(#REF!,"AAAAAE7/dy8=")</f>
        <v>#REF!</v>
      </c>
      <c r="AW90" t="e">
        <f>AND(#REF!,"AAAAAE7/dzA=")</f>
        <v>#REF!</v>
      </c>
      <c r="AX90" t="e">
        <f>AND(#REF!,"AAAAAE7/dzE=")</f>
        <v>#REF!</v>
      </c>
      <c r="AY90" t="e">
        <f>AND(#REF!,"AAAAAE7/dzI=")</f>
        <v>#REF!</v>
      </c>
      <c r="AZ90" t="e">
        <f>IF(#REF!,"AAAAAE7/dzM=",0)</f>
        <v>#REF!</v>
      </c>
      <c r="BA90" t="e">
        <f>AND(#REF!,"AAAAAE7/dzQ=")</f>
        <v>#REF!</v>
      </c>
      <c r="BB90" t="e">
        <f>AND(#REF!,"AAAAAE7/dzU=")</f>
        <v>#REF!</v>
      </c>
      <c r="BC90" t="e">
        <f>AND(#REF!,"AAAAAE7/dzY=")</f>
        <v>#REF!</v>
      </c>
      <c r="BD90" t="e">
        <f>AND(#REF!,"AAAAAE7/dzc=")</f>
        <v>#REF!</v>
      </c>
      <c r="BE90" t="e">
        <f>AND(#REF!,"AAAAAE7/dzg=")</f>
        <v>#REF!</v>
      </c>
      <c r="BF90" t="e">
        <f>AND(#REF!,"AAAAAE7/dzk=")</f>
        <v>#REF!</v>
      </c>
      <c r="BG90" t="e">
        <f>AND(#REF!,"AAAAAE7/dzo=")</f>
        <v>#REF!</v>
      </c>
      <c r="BH90" t="e">
        <f>AND(#REF!,"AAAAAE7/dzs=")</f>
        <v>#REF!</v>
      </c>
      <c r="BI90" t="e">
        <f>AND(#REF!,"AAAAAE7/dzw=")</f>
        <v>#REF!</v>
      </c>
      <c r="BJ90" t="e">
        <f>AND(#REF!,"AAAAAE7/dz0=")</f>
        <v>#REF!</v>
      </c>
      <c r="BK90" t="e">
        <f>AND(#REF!,"AAAAAE7/dz4=")</f>
        <v>#REF!</v>
      </c>
      <c r="BL90" t="e">
        <f>AND(#REF!,"AAAAAE7/dz8=")</f>
        <v>#REF!</v>
      </c>
      <c r="BM90" t="e">
        <f>AND(#REF!,"AAAAAE7/d0A=")</f>
        <v>#REF!</v>
      </c>
      <c r="BN90" t="e">
        <f>AND(#REF!,"AAAAAE7/d0E=")</f>
        <v>#REF!</v>
      </c>
      <c r="BO90" t="e">
        <f>AND(#REF!,"AAAAAE7/d0I=")</f>
        <v>#REF!</v>
      </c>
      <c r="BP90" t="e">
        <f>AND(#REF!,"AAAAAE7/d0M=")</f>
        <v>#REF!</v>
      </c>
      <c r="BQ90" t="e">
        <f>AND(#REF!,"AAAAAE7/d0Q=")</f>
        <v>#REF!</v>
      </c>
      <c r="BR90" t="e">
        <f>AND(#REF!,"AAAAAE7/d0U=")</f>
        <v>#REF!</v>
      </c>
      <c r="BS90" t="e">
        <f>AND(#REF!,"AAAAAE7/d0Y=")</f>
        <v>#REF!</v>
      </c>
      <c r="BT90" t="e">
        <f>AND(#REF!,"AAAAAE7/d0c=")</f>
        <v>#REF!</v>
      </c>
      <c r="BU90" t="e">
        <f>AND(#REF!,"AAAAAE7/d0g=")</f>
        <v>#REF!</v>
      </c>
      <c r="BV90" t="e">
        <f>AND(#REF!,"AAAAAE7/d0k=")</f>
        <v>#REF!</v>
      </c>
      <c r="BW90" t="e">
        <f>AND(#REF!,"AAAAAE7/d0o=")</f>
        <v>#REF!</v>
      </c>
      <c r="BX90" t="e">
        <f>AND(#REF!,"AAAAAE7/d0s=")</f>
        <v>#REF!</v>
      </c>
      <c r="BY90" t="e">
        <f>IF(#REF!,"AAAAAE7/d0w=",0)</f>
        <v>#REF!</v>
      </c>
      <c r="BZ90" t="e">
        <f>AND(#REF!,"AAAAAE7/d00=")</f>
        <v>#REF!</v>
      </c>
      <c r="CA90" t="e">
        <f>AND(#REF!,"AAAAAE7/d04=")</f>
        <v>#REF!</v>
      </c>
      <c r="CB90" t="e">
        <f>AND(#REF!,"AAAAAE7/d08=")</f>
        <v>#REF!</v>
      </c>
      <c r="CC90" t="e">
        <f>AND(#REF!,"AAAAAE7/d1A=")</f>
        <v>#REF!</v>
      </c>
      <c r="CD90" t="e">
        <f>AND(#REF!,"AAAAAE7/d1E=")</f>
        <v>#REF!</v>
      </c>
      <c r="CE90" t="e">
        <f>AND(#REF!,"AAAAAE7/d1I=")</f>
        <v>#REF!</v>
      </c>
      <c r="CF90" t="e">
        <f>AND(#REF!,"AAAAAE7/d1M=")</f>
        <v>#REF!</v>
      </c>
      <c r="CG90" t="e">
        <f>AND(#REF!,"AAAAAE7/d1Q=")</f>
        <v>#REF!</v>
      </c>
      <c r="CH90" t="e">
        <f>AND(#REF!,"AAAAAE7/d1U=")</f>
        <v>#REF!</v>
      </c>
      <c r="CI90" t="e">
        <f>AND(#REF!,"AAAAAE7/d1Y=")</f>
        <v>#REF!</v>
      </c>
      <c r="CJ90" t="e">
        <f>AND(#REF!,"AAAAAE7/d1c=")</f>
        <v>#REF!</v>
      </c>
      <c r="CK90" t="e">
        <f>AND(#REF!,"AAAAAE7/d1g=")</f>
        <v>#REF!</v>
      </c>
      <c r="CL90" t="e">
        <f>AND(#REF!,"AAAAAE7/d1k=")</f>
        <v>#REF!</v>
      </c>
      <c r="CM90" t="e">
        <f>AND(#REF!,"AAAAAE7/d1o=")</f>
        <v>#REF!</v>
      </c>
      <c r="CN90" t="e">
        <f>AND(#REF!,"AAAAAE7/d1s=")</f>
        <v>#REF!</v>
      </c>
      <c r="CO90" t="e">
        <f>AND(#REF!,"AAAAAE7/d1w=")</f>
        <v>#REF!</v>
      </c>
      <c r="CP90" t="e">
        <f>AND(#REF!,"AAAAAE7/d10=")</f>
        <v>#REF!</v>
      </c>
      <c r="CQ90" t="e">
        <f>AND(#REF!,"AAAAAE7/d14=")</f>
        <v>#REF!</v>
      </c>
      <c r="CR90" t="e">
        <f>AND(#REF!,"AAAAAE7/d18=")</f>
        <v>#REF!</v>
      </c>
      <c r="CS90" t="e">
        <f>AND(#REF!,"AAAAAE7/d2A=")</f>
        <v>#REF!</v>
      </c>
      <c r="CT90" t="e">
        <f>AND(#REF!,"AAAAAE7/d2E=")</f>
        <v>#REF!</v>
      </c>
      <c r="CU90" t="e">
        <f>AND(#REF!,"AAAAAE7/d2I=")</f>
        <v>#REF!</v>
      </c>
      <c r="CV90" t="e">
        <f>AND(#REF!,"AAAAAE7/d2M=")</f>
        <v>#REF!</v>
      </c>
      <c r="CW90" t="e">
        <f>AND(#REF!,"AAAAAE7/d2Q=")</f>
        <v>#REF!</v>
      </c>
      <c r="CX90" t="e">
        <f>IF(#REF!,"AAAAAE7/d2U=",0)</f>
        <v>#REF!</v>
      </c>
      <c r="CY90" t="e">
        <f>AND(#REF!,"AAAAAE7/d2Y=")</f>
        <v>#REF!</v>
      </c>
      <c r="CZ90" t="e">
        <f>AND(#REF!,"AAAAAE7/d2c=")</f>
        <v>#REF!</v>
      </c>
      <c r="DA90" t="e">
        <f>AND(#REF!,"AAAAAE7/d2g=")</f>
        <v>#REF!</v>
      </c>
      <c r="DB90" t="e">
        <f>AND(#REF!,"AAAAAE7/d2k=")</f>
        <v>#REF!</v>
      </c>
      <c r="DC90" t="e">
        <f>AND(#REF!,"AAAAAE7/d2o=")</f>
        <v>#REF!</v>
      </c>
      <c r="DD90" t="e">
        <f>AND(#REF!,"AAAAAE7/d2s=")</f>
        <v>#REF!</v>
      </c>
      <c r="DE90" t="e">
        <f>AND(#REF!,"AAAAAE7/d2w=")</f>
        <v>#REF!</v>
      </c>
      <c r="DF90" t="e">
        <f>AND(#REF!,"AAAAAE7/d20=")</f>
        <v>#REF!</v>
      </c>
      <c r="DG90" t="e">
        <f>AND(#REF!,"AAAAAE7/d24=")</f>
        <v>#REF!</v>
      </c>
      <c r="DH90" t="e">
        <f>AND(#REF!,"AAAAAE7/d28=")</f>
        <v>#REF!</v>
      </c>
      <c r="DI90" t="e">
        <f>AND(#REF!,"AAAAAE7/d3A=")</f>
        <v>#REF!</v>
      </c>
      <c r="DJ90" t="e">
        <f>AND(#REF!,"AAAAAE7/d3E=")</f>
        <v>#REF!</v>
      </c>
      <c r="DK90" t="e">
        <f>AND(#REF!,"AAAAAE7/d3I=")</f>
        <v>#REF!</v>
      </c>
      <c r="DL90" t="e">
        <f>AND(#REF!,"AAAAAE7/d3M=")</f>
        <v>#REF!</v>
      </c>
      <c r="DM90" t="e">
        <f>AND(#REF!,"AAAAAE7/d3Q=")</f>
        <v>#REF!</v>
      </c>
      <c r="DN90" t="e">
        <f>AND(#REF!,"AAAAAE7/d3U=")</f>
        <v>#REF!</v>
      </c>
      <c r="DO90" t="e">
        <f>AND(#REF!,"AAAAAE7/d3Y=")</f>
        <v>#REF!</v>
      </c>
      <c r="DP90" t="e">
        <f>AND(#REF!,"AAAAAE7/d3c=")</f>
        <v>#REF!</v>
      </c>
      <c r="DQ90" t="e">
        <f>AND(#REF!,"AAAAAE7/d3g=")</f>
        <v>#REF!</v>
      </c>
      <c r="DR90" t="e">
        <f>AND(#REF!,"AAAAAE7/d3k=")</f>
        <v>#REF!</v>
      </c>
      <c r="DS90" t="e">
        <f>AND(#REF!,"AAAAAE7/d3o=")</f>
        <v>#REF!</v>
      </c>
      <c r="DT90" t="e">
        <f>AND(#REF!,"AAAAAE7/d3s=")</f>
        <v>#REF!</v>
      </c>
      <c r="DU90" t="e">
        <f>AND(#REF!,"AAAAAE7/d3w=")</f>
        <v>#REF!</v>
      </c>
      <c r="DV90" t="e">
        <f>AND(#REF!,"AAAAAE7/d30=")</f>
        <v>#REF!</v>
      </c>
      <c r="DW90" t="e">
        <f>IF(#REF!,"AAAAAE7/d34=",0)</f>
        <v>#REF!</v>
      </c>
      <c r="DX90" t="e">
        <f>AND(#REF!,"AAAAAE7/d38=")</f>
        <v>#REF!</v>
      </c>
      <c r="DY90" t="e">
        <f>AND(#REF!,"AAAAAE7/d4A=")</f>
        <v>#REF!</v>
      </c>
      <c r="DZ90" t="e">
        <f>AND(#REF!,"AAAAAE7/d4E=")</f>
        <v>#REF!</v>
      </c>
      <c r="EA90" t="e">
        <f>AND(#REF!,"AAAAAE7/d4I=")</f>
        <v>#REF!</v>
      </c>
      <c r="EB90" t="e">
        <f>AND(#REF!,"AAAAAE7/d4M=")</f>
        <v>#REF!</v>
      </c>
      <c r="EC90" t="e">
        <f>AND(#REF!,"AAAAAE7/d4Q=")</f>
        <v>#REF!</v>
      </c>
      <c r="ED90" t="e">
        <f>AND(#REF!,"AAAAAE7/d4U=")</f>
        <v>#REF!</v>
      </c>
      <c r="EE90" t="e">
        <f>AND(#REF!,"AAAAAE7/d4Y=")</f>
        <v>#REF!</v>
      </c>
      <c r="EF90" t="e">
        <f>AND(#REF!,"AAAAAE7/d4c=")</f>
        <v>#REF!</v>
      </c>
      <c r="EG90" t="e">
        <f>AND(#REF!,"AAAAAE7/d4g=")</f>
        <v>#REF!</v>
      </c>
      <c r="EH90" t="e">
        <f>AND(#REF!,"AAAAAE7/d4k=")</f>
        <v>#REF!</v>
      </c>
      <c r="EI90" t="e">
        <f>AND(#REF!,"AAAAAE7/d4o=")</f>
        <v>#REF!</v>
      </c>
      <c r="EJ90" t="e">
        <f>AND(#REF!,"AAAAAE7/d4s=")</f>
        <v>#REF!</v>
      </c>
      <c r="EK90" t="e">
        <f>AND(#REF!,"AAAAAE7/d4w=")</f>
        <v>#REF!</v>
      </c>
      <c r="EL90" t="e">
        <f>AND(#REF!,"AAAAAE7/d40=")</f>
        <v>#REF!</v>
      </c>
      <c r="EM90" t="e">
        <f>AND(#REF!,"AAAAAE7/d44=")</f>
        <v>#REF!</v>
      </c>
      <c r="EN90" t="e">
        <f>AND(#REF!,"AAAAAE7/d48=")</f>
        <v>#REF!</v>
      </c>
      <c r="EO90" t="e">
        <f>AND(#REF!,"AAAAAE7/d5A=")</f>
        <v>#REF!</v>
      </c>
      <c r="EP90" t="e">
        <f>AND(#REF!,"AAAAAE7/d5E=")</f>
        <v>#REF!</v>
      </c>
      <c r="EQ90" t="e">
        <f>AND(#REF!,"AAAAAE7/d5I=")</f>
        <v>#REF!</v>
      </c>
      <c r="ER90" t="e">
        <f>AND(#REF!,"AAAAAE7/d5M=")</f>
        <v>#REF!</v>
      </c>
      <c r="ES90" t="e">
        <f>AND(#REF!,"AAAAAE7/d5Q=")</f>
        <v>#REF!</v>
      </c>
      <c r="ET90" t="e">
        <f>AND(#REF!,"AAAAAE7/d5U=")</f>
        <v>#REF!</v>
      </c>
      <c r="EU90" t="e">
        <f>AND(#REF!,"AAAAAE7/d5Y=")</f>
        <v>#REF!</v>
      </c>
      <c r="EV90" t="e">
        <f>IF(#REF!,"AAAAAE7/d5c=",0)</f>
        <v>#REF!</v>
      </c>
      <c r="EW90" t="e">
        <f>AND(#REF!,"AAAAAE7/d5g=")</f>
        <v>#REF!</v>
      </c>
      <c r="EX90" t="e">
        <f>AND(#REF!,"AAAAAE7/d5k=")</f>
        <v>#REF!</v>
      </c>
      <c r="EY90" t="e">
        <f>AND(#REF!,"AAAAAE7/d5o=")</f>
        <v>#REF!</v>
      </c>
      <c r="EZ90" t="e">
        <f>AND(#REF!,"AAAAAE7/d5s=")</f>
        <v>#REF!</v>
      </c>
      <c r="FA90" t="e">
        <f>AND(#REF!,"AAAAAE7/d5w=")</f>
        <v>#REF!</v>
      </c>
      <c r="FB90" t="e">
        <f>AND(#REF!,"AAAAAE7/d50=")</f>
        <v>#REF!</v>
      </c>
      <c r="FC90" t="e">
        <f>AND(#REF!,"AAAAAE7/d54=")</f>
        <v>#REF!</v>
      </c>
      <c r="FD90" t="e">
        <f>AND(#REF!,"AAAAAE7/d58=")</f>
        <v>#REF!</v>
      </c>
      <c r="FE90" t="e">
        <f>AND(#REF!,"AAAAAE7/d6A=")</f>
        <v>#REF!</v>
      </c>
      <c r="FF90" t="e">
        <f>AND(#REF!,"AAAAAE7/d6E=")</f>
        <v>#REF!</v>
      </c>
      <c r="FG90" t="e">
        <f>AND(#REF!,"AAAAAE7/d6I=")</f>
        <v>#REF!</v>
      </c>
      <c r="FH90" t="e">
        <f>AND(#REF!,"AAAAAE7/d6M=")</f>
        <v>#REF!</v>
      </c>
      <c r="FI90" t="e">
        <f>AND(#REF!,"AAAAAE7/d6Q=")</f>
        <v>#REF!</v>
      </c>
      <c r="FJ90" t="e">
        <f>AND(#REF!,"AAAAAE7/d6U=")</f>
        <v>#REF!</v>
      </c>
      <c r="FK90" t="e">
        <f>AND(#REF!,"AAAAAE7/d6Y=")</f>
        <v>#REF!</v>
      </c>
      <c r="FL90" t="e">
        <f>AND(#REF!,"AAAAAE7/d6c=")</f>
        <v>#REF!</v>
      </c>
      <c r="FM90" t="e">
        <f>AND(#REF!,"AAAAAE7/d6g=")</f>
        <v>#REF!</v>
      </c>
      <c r="FN90" t="e">
        <f>AND(#REF!,"AAAAAE7/d6k=")</f>
        <v>#REF!</v>
      </c>
      <c r="FO90" t="e">
        <f>AND(#REF!,"AAAAAE7/d6o=")</f>
        <v>#REF!</v>
      </c>
      <c r="FP90" t="e">
        <f>AND(#REF!,"AAAAAE7/d6s=")</f>
        <v>#REF!</v>
      </c>
      <c r="FQ90" t="e">
        <f>AND(#REF!,"AAAAAE7/d6w=")</f>
        <v>#REF!</v>
      </c>
      <c r="FR90" t="e">
        <f>AND(#REF!,"AAAAAE7/d60=")</f>
        <v>#REF!</v>
      </c>
      <c r="FS90" t="e">
        <f>AND(#REF!,"AAAAAE7/d64=")</f>
        <v>#REF!</v>
      </c>
      <c r="FT90" t="e">
        <f>AND(#REF!,"AAAAAE7/d68=")</f>
        <v>#REF!</v>
      </c>
      <c r="FU90" t="e">
        <f>IF(#REF!,"AAAAAE7/d7A=",0)</f>
        <v>#REF!</v>
      </c>
      <c r="FV90" t="e">
        <f>AND(#REF!,"AAAAAE7/d7E=")</f>
        <v>#REF!</v>
      </c>
      <c r="FW90" t="e">
        <f>AND(#REF!,"AAAAAE7/d7I=")</f>
        <v>#REF!</v>
      </c>
      <c r="FX90" t="e">
        <f>AND(#REF!,"AAAAAE7/d7M=")</f>
        <v>#REF!</v>
      </c>
      <c r="FY90" t="e">
        <f>AND(#REF!,"AAAAAE7/d7Q=")</f>
        <v>#REF!</v>
      </c>
      <c r="FZ90" t="e">
        <f>AND(#REF!,"AAAAAE7/d7U=")</f>
        <v>#REF!</v>
      </c>
      <c r="GA90" t="e">
        <f>AND(#REF!,"AAAAAE7/d7Y=")</f>
        <v>#REF!</v>
      </c>
      <c r="GB90" t="e">
        <f>AND(#REF!,"AAAAAE7/d7c=")</f>
        <v>#REF!</v>
      </c>
      <c r="GC90" t="e">
        <f>AND(#REF!,"AAAAAE7/d7g=")</f>
        <v>#REF!</v>
      </c>
      <c r="GD90" t="e">
        <f>AND(#REF!,"AAAAAE7/d7k=")</f>
        <v>#REF!</v>
      </c>
      <c r="GE90" t="e">
        <f>AND(#REF!,"AAAAAE7/d7o=")</f>
        <v>#REF!</v>
      </c>
      <c r="GF90" t="e">
        <f>AND(#REF!,"AAAAAE7/d7s=")</f>
        <v>#REF!</v>
      </c>
      <c r="GG90" t="e">
        <f>AND(#REF!,"AAAAAE7/d7w=")</f>
        <v>#REF!</v>
      </c>
      <c r="GH90" t="e">
        <f>AND(#REF!,"AAAAAE7/d70=")</f>
        <v>#REF!</v>
      </c>
      <c r="GI90" t="e">
        <f>AND(#REF!,"AAAAAE7/d74=")</f>
        <v>#REF!</v>
      </c>
      <c r="GJ90" t="e">
        <f>AND(#REF!,"AAAAAE7/d78=")</f>
        <v>#REF!</v>
      </c>
      <c r="GK90" t="e">
        <f>AND(#REF!,"AAAAAE7/d8A=")</f>
        <v>#REF!</v>
      </c>
      <c r="GL90" t="e">
        <f>AND(#REF!,"AAAAAE7/d8E=")</f>
        <v>#REF!</v>
      </c>
      <c r="GM90" t="e">
        <f>AND(#REF!,"AAAAAE7/d8I=")</f>
        <v>#REF!</v>
      </c>
      <c r="GN90" t="e">
        <f>AND(#REF!,"AAAAAE7/d8M=")</f>
        <v>#REF!</v>
      </c>
      <c r="GO90" t="e">
        <f>AND(#REF!,"AAAAAE7/d8Q=")</f>
        <v>#REF!</v>
      </c>
      <c r="GP90" t="e">
        <f>AND(#REF!,"AAAAAE7/d8U=")</f>
        <v>#REF!</v>
      </c>
      <c r="GQ90" t="e">
        <f>AND(#REF!,"AAAAAE7/d8Y=")</f>
        <v>#REF!</v>
      </c>
      <c r="GR90" t="e">
        <f>AND(#REF!,"AAAAAE7/d8c=")</f>
        <v>#REF!</v>
      </c>
      <c r="GS90" t="e">
        <f>AND(#REF!,"AAAAAE7/d8g=")</f>
        <v>#REF!</v>
      </c>
      <c r="GT90" t="e">
        <f>IF(#REF!,"AAAAAE7/d8k=",0)</f>
        <v>#REF!</v>
      </c>
      <c r="GU90" t="e">
        <f>AND(#REF!,"AAAAAE7/d8o=")</f>
        <v>#REF!</v>
      </c>
      <c r="GV90" t="e">
        <f>AND(#REF!,"AAAAAE7/d8s=")</f>
        <v>#REF!</v>
      </c>
      <c r="GW90" t="e">
        <f>AND(#REF!,"AAAAAE7/d8w=")</f>
        <v>#REF!</v>
      </c>
      <c r="GX90" t="e">
        <f>AND(#REF!,"AAAAAE7/d80=")</f>
        <v>#REF!</v>
      </c>
      <c r="GY90" t="e">
        <f>AND(#REF!,"AAAAAE7/d84=")</f>
        <v>#REF!</v>
      </c>
      <c r="GZ90" t="e">
        <f>AND(#REF!,"AAAAAE7/d88=")</f>
        <v>#REF!</v>
      </c>
      <c r="HA90" t="e">
        <f>AND(#REF!,"AAAAAE7/d9A=")</f>
        <v>#REF!</v>
      </c>
      <c r="HB90" t="e">
        <f>AND(#REF!,"AAAAAE7/d9E=")</f>
        <v>#REF!</v>
      </c>
      <c r="HC90" t="e">
        <f>AND(#REF!,"AAAAAE7/d9I=")</f>
        <v>#REF!</v>
      </c>
      <c r="HD90" t="e">
        <f>AND(#REF!,"AAAAAE7/d9M=")</f>
        <v>#REF!</v>
      </c>
      <c r="HE90" t="e">
        <f>AND(#REF!,"AAAAAE7/d9Q=")</f>
        <v>#REF!</v>
      </c>
      <c r="HF90" t="e">
        <f>AND(#REF!,"AAAAAE7/d9U=")</f>
        <v>#REF!</v>
      </c>
      <c r="HG90" t="e">
        <f>AND(#REF!,"AAAAAE7/d9Y=")</f>
        <v>#REF!</v>
      </c>
      <c r="HH90" t="e">
        <f>AND(#REF!,"AAAAAE7/d9c=")</f>
        <v>#REF!</v>
      </c>
      <c r="HI90" t="e">
        <f>AND(#REF!,"AAAAAE7/d9g=")</f>
        <v>#REF!</v>
      </c>
      <c r="HJ90" t="e">
        <f>AND(#REF!,"AAAAAE7/d9k=")</f>
        <v>#REF!</v>
      </c>
      <c r="HK90" t="e">
        <f>AND(#REF!,"AAAAAE7/d9o=")</f>
        <v>#REF!</v>
      </c>
      <c r="HL90" t="e">
        <f>AND(#REF!,"AAAAAE7/d9s=")</f>
        <v>#REF!</v>
      </c>
      <c r="HM90" t="e">
        <f>AND(#REF!,"AAAAAE7/d9w=")</f>
        <v>#REF!</v>
      </c>
      <c r="HN90" t="e">
        <f>AND(#REF!,"AAAAAE7/d90=")</f>
        <v>#REF!</v>
      </c>
      <c r="HO90" t="e">
        <f>AND(#REF!,"AAAAAE7/d94=")</f>
        <v>#REF!</v>
      </c>
      <c r="HP90" t="e">
        <f>AND(#REF!,"AAAAAE7/d98=")</f>
        <v>#REF!</v>
      </c>
      <c r="HQ90" t="e">
        <f>AND(#REF!,"AAAAAE7/d+A=")</f>
        <v>#REF!</v>
      </c>
      <c r="HR90" t="e">
        <f>AND(#REF!,"AAAAAE7/d+E=")</f>
        <v>#REF!</v>
      </c>
      <c r="HS90" t="e">
        <f>IF(#REF!,"AAAAAE7/d+I=",0)</f>
        <v>#REF!</v>
      </c>
      <c r="HT90" t="e">
        <f>AND(#REF!,"AAAAAE7/d+M=")</f>
        <v>#REF!</v>
      </c>
      <c r="HU90" t="e">
        <f>AND(#REF!,"AAAAAE7/d+Q=")</f>
        <v>#REF!</v>
      </c>
      <c r="HV90" t="e">
        <f>AND(#REF!,"AAAAAE7/d+U=")</f>
        <v>#REF!</v>
      </c>
      <c r="HW90" t="e">
        <f>AND(#REF!,"AAAAAE7/d+Y=")</f>
        <v>#REF!</v>
      </c>
      <c r="HX90" t="e">
        <f>AND(#REF!,"AAAAAE7/d+c=")</f>
        <v>#REF!</v>
      </c>
      <c r="HY90" t="e">
        <f>AND(#REF!,"AAAAAE7/d+g=")</f>
        <v>#REF!</v>
      </c>
      <c r="HZ90" t="e">
        <f>AND(#REF!,"AAAAAE7/d+k=")</f>
        <v>#REF!</v>
      </c>
      <c r="IA90" t="e">
        <f>AND(#REF!,"AAAAAE7/d+o=")</f>
        <v>#REF!</v>
      </c>
      <c r="IB90" t="e">
        <f>AND(#REF!,"AAAAAE7/d+s=")</f>
        <v>#REF!</v>
      </c>
      <c r="IC90" t="e">
        <f>AND(#REF!,"AAAAAE7/d+w=")</f>
        <v>#REF!</v>
      </c>
      <c r="ID90" t="e">
        <f>AND(#REF!,"AAAAAE7/d+0=")</f>
        <v>#REF!</v>
      </c>
      <c r="IE90" t="e">
        <f>AND(#REF!,"AAAAAE7/d+4=")</f>
        <v>#REF!</v>
      </c>
      <c r="IF90" t="e">
        <f>AND(#REF!,"AAAAAE7/d+8=")</f>
        <v>#REF!</v>
      </c>
      <c r="IG90" t="e">
        <f>AND(#REF!,"AAAAAE7/d/A=")</f>
        <v>#REF!</v>
      </c>
      <c r="IH90" t="e">
        <f>AND(#REF!,"AAAAAE7/d/E=")</f>
        <v>#REF!</v>
      </c>
      <c r="II90" t="e">
        <f>AND(#REF!,"AAAAAE7/d/I=")</f>
        <v>#REF!</v>
      </c>
      <c r="IJ90" t="e">
        <f>AND(#REF!,"AAAAAE7/d/M=")</f>
        <v>#REF!</v>
      </c>
      <c r="IK90" t="e">
        <f>AND(#REF!,"AAAAAE7/d/Q=")</f>
        <v>#REF!</v>
      </c>
      <c r="IL90" t="e">
        <f>AND(#REF!,"AAAAAE7/d/U=")</f>
        <v>#REF!</v>
      </c>
      <c r="IM90" t="e">
        <f>AND(#REF!,"AAAAAE7/d/Y=")</f>
        <v>#REF!</v>
      </c>
      <c r="IN90" t="e">
        <f>AND(#REF!,"AAAAAE7/d/c=")</f>
        <v>#REF!</v>
      </c>
      <c r="IO90" t="e">
        <f>AND(#REF!,"AAAAAE7/d/g=")</f>
        <v>#REF!</v>
      </c>
      <c r="IP90" t="e">
        <f>AND(#REF!,"AAAAAE7/d/k=")</f>
        <v>#REF!</v>
      </c>
      <c r="IQ90" t="e">
        <f>AND(#REF!,"AAAAAE7/d/o=")</f>
        <v>#REF!</v>
      </c>
      <c r="IR90" t="e">
        <f>IF(#REF!,"AAAAAE7/d/s=",0)</f>
        <v>#REF!</v>
      </c>
      <c r="IS90" t="e">
        <f>AND(#REF!,"AAAAAE7/d/w=")</f>
        <v>#REF!</v>
      </c>
      <c r="IT90" t="e">
        <f>AND(#REF!,"AAAAAE7/d/0=")</f>
        <v>#REF!</v>
      </c>
      <c r="IU90" t="e">
        <f>AND(#REF!,"AAAAAE7/d/4=")</f>
        <v>#REF!</v>
      </c>
      <c r="IV90" t="e">
        <f>AND(#REF!,"AAAAAE7/d/8=")</f>
        <v>#REF!</v>
      </c>
    </row>
    <row r="91" spans="1:256">
      <c r="A91" t="e">
        <f>AND(#REF!,"AAAAAHZ3xgA=")</f>
        <v>#REF!</v>
      </c>
      <c r="B91" t="e">
        <f>AND(#REF!,"AAAAAHZ3xgE=")</f>
        <v>#REF!</v>
      </c>
      <c r="C91" t="e">
        <f>AND(#REF!,"AAAAAHZ3xgI=")</f>
        <v>#REF!</v>
      </c>
      <c r="D91" t="e">
        <f>AND(#REF!,"AAAAAHZ3xgM=")</f>
        <v>#REF!</v>
      </c>
      <c r="E91" t="e">
        <f>AND(#REF!,"AAAAAHZ3xgQ=")</f>
        <v>#REF!</v>
      </c>
      <c r="F91" t="e">
        <f>AND(#REF!,"AAAAAHZ3xgU=")</f>
        <v>#REF!</v>
      </c>
      <c r="G91" t="e">
        <f>AND(#REF!,"AAAAAHZ3xgY=")</f>
        <v>#REF!</v>
      </c>
      <c r="H91" t="e">
        <f>AND(#REF!,"AAAAAHZ3xgc=")</f>
        <v>#REF!</v>
      </c>
      <c r="I91" t="e">
        <f>AND(#REF!,"AAAAAHZ3xgg=")</f>
        <v>#REF!</v>
      </c>
      <c r="J91" t="e">
        <f>AND(#REF!,"AAAAAHZ3xgk=")</f>
        <v>#REF!</v>
      </c>
      <c r="K91" t="e">
        <f>AND(#REF!,"AAAAAHZ3xgo=")</f>
        <v>#REF!</v>
      </c>
      <c r="L91" t="e">
        <f>AND(#REF!,"AAAAAHZ3xgs=")</f>
        <v>#REF!</v>
      </c>
      <c r="M91" t="e">
        <f>AND(#REF!,"AAAAAHZ3xgw=")</f>
        <v>#REF!</v>
      </c>
      <c r="N91" t="e">
        <f>AND(#REF!,"AAAAAHZ3xg0=")</f>
        <v>#REF!</v>
      </c>
      <c r="O91" t="e">
        <f>AND(#REF!,"AAAAAHZ3xg4=")</f>
        <v>#REF!</v>
      </c>
      <c r="P91" t="e">
        <f>AND(#REF!,"AAAAAHZ3xg8=")</f>
        <v>#REF!</v>
      </c>
      <c r="Q91" t="e">
        <f>AND(#REF!,"AAAAAHZ3xhA=")</f>
        <v>#REF!</v>
      </c>
      <c r="R91" t="e">
        <f>AND(#REF!,"AAAAAHZ3xhE=")</f>
        <v>#REF!</v>
      </c>
      <c r="S91" t="e">
        <f>AND(#REF!,"AAAAAHZ3xhI=")</f>
        <v>#REF!</v>
      </c>
      <c r="T91" t="e">
        <f>AND(#REF!,"AAAAAHZ3xhM=")</f>
        <v>#REF!</v>
      </c>
      <c r="U91" t="e">
        <f>IF(#REF!,"AAAAAHZ3xhQ=",0)</f>
        <v>#REF!</v>
      </c>
      <c r="V91" t="e">
        <f>AND(#REF!,"AAAAAHZ3xhU=")</f>
        <v>#REF!</v>
      </c>
      <c r="W91" t="e">
        <f>AND(#REF!,"AAAAAHZ3xhY=")</f>
        <v>#REF!</v>
      </c>
      <c r="X91" t="e">
        <f>AND(#REF!,"AAAAAHZ3xhc=")</f>
        <v>#REF!</v>
      </c>
      <c r="Y91" t="e">
        <f>AND(#REF!,"AAAAAHZ3xhg=")</f>
        <v>#REF!</v>
      </c>
      <c r="Z91" t="e">
        <f>AND(#REF!,"AAAAAHZ3xhk=")</f>
        <v>#REF!</v>
      </c>
      <c r="AA91" t="e">
        <f>AND(#REF!,"AAAAAHZ3xho=")</f>
        <v>#REF!</v>
      </c>
      <c r="AB91" t="e">
        <f>AND(#REF!,"AAAAAHZ3xhs=")</f>
        <v>#REF!</v>
      </c>
      <c r="AC91" t="e">
        <f>AND(#REF!,"AAAAAHZ3xhw=")</f>
        <v>#REF!</v>
      </c>
      <c r="AD91" t="e">
        <f>AND(#REF!,"AAAAAHZ3xh0=")</f>
        <v>#REF!</v>
      </c>
      <c r="AE91" t="e">
        <f>AND(#REF!,"AAAAAHZ3xh4=")</f>
        <v>#REF!</v>
      </c>
      <c r="AF91" t="e">
        <f>AND(#REF!,"AAAAAHZ3xh8=")</f>
        <v>#REF!</v>
      </c>
      <c r="AG91" t="e">
        <f>AND(#REF!,"AAAAAHZ3xiA=")</f>
        <v>#REF!</v>
      </c>
      <c r="AH91" t="e">
        <f>AND(#REF!,"AAAAAHZ3xiE=")</f>
        <v>#REF!</v>
      </c>
      <c r="AI91" t="e">
        <f>AND(#REF!,"AAAAAHZ3xiI=")</f>
        <v>#REF!</v>
      </c>
      <c r="AJ91" t="e">
        <f>AND(#REF!,"AAAAAHZ3xiM=")</f>
        <v>#REF!</v>
      </c>
      <c r="AK91" t="e">
        <f>AND(#REF!,"AAAAAHZ3xiQ=")</f>
        <v>#REF!</v>
      </c>
      <c r="AL91" t="e">
        <f>AND(#REF!,"AAAAAHZ3xiU=")</f>
        <v>#REF!</v>
      </c>
      <c r="AM91" t="e">
        <f>AND(#REF!,"AAAAAHZ3xiY=")</f>
        <v>#REF!</v>
      </c>
      <c r="AN91" t="e">
        <f>AND(#REF!,"AAAAAHZ3xic=")</f>
        <v>#REF!</v>
      </c>
      <c r="AO91" t="e">
        <f>AND(#REF!,"AAAAAHZ3xig=")</f>
        <v>#REF!</v>
      </c>
      <c r="AP91" t="e">
        <f>AND(#REF!,"AAAAAHZ3xik=")</f>
        <v>#REF!</v>
      </c>
      <c r="AQ91" t="e">
        <f>AND(#REF!,"AAAAAHZ3xio=")</f>
        <v>#REF!</v>
      </c>
      <c r="AR91" t="e">
        <f>AND(#REF!,"AAAAAHZ3xis=")</f>
        <v>#REF!</v>
      </c>
      <c r="AS91" t="e">
        <f>AND(#REF!,"AAAAAHZ3xiw=")</f>
        <v>#REF!</v>
      </c>
      <c r="AT91" t="e">
        <f>IF(#REF!,"AAAAAHZ3xi0=",0)</f>
        <v>#REF!</v>
      </c>
      <c r="AU91" t="e">
        <f>AND(#REF!,"AAAAAHZ3xi4=")</f>
        <v>#REF!</v>
      </c>
      <c r="AV91" t="e">
        <f>AND(#REF!,"AAAAAHZ3xi8=")</f>
        <v>#REF!</v>
      </c>
      <c r="AW91" t="e">
        <f>AND(#REF!,"AAAAAHZ3xjA=")</f>
        <v>#REF!</v>
      </c>
      <c r="AX91" t="e">
        <f>AND(#REF!,"AAAAAHZ3xjE=")</f>
        <v>#REF!</v>
      </c>
      <c r="AY91" t="e">
        <f>AND(#REF!,"AAAAAHZ3xjI=")</f>
        <v>#REF!</v>
      </c>
      <c r="AZ91" t="e">
        <f>AND(#REF!,"AAAAAHZ3xjM=")</f>
        <v>#REF!</v>
      </c>
      <c r="BA91" t="e">
        <f>AND(#REF!,"AAAAAHZ3xjQ=")</f>
        <v>#REF!</v>
      </c>
      <c r="BB91" t="e">
        <f>AND(#REF!,"AAAAAHZ3xjU=")</f>
        <v>#REF!</v>
      </c>
      <c r="BC91" t="e">
        <f>AND(#REF!,"AAAAAHZ3xjY=")</f>
        <v>#REF!</v>
      </c>
      <c r="BD91" t="e">
        <f>AND(#REF!,"AAAAAHZ3xjc=")</f>
        <v>#REF!</v>
      </c>
      <c r="BE91" t="e">
        <f>AND(#REF!,"AAAAAHZ3xjg=")</f>
        <v>#REF!</v>
      </c>
      <c r="BF91" t="e">
        <f>AND(#REF!,"AAAAAHZ3xjk=")</f>
        <v>#REF!</v>
      </c>
      <c r="BG91" t="e">
        <f>AND(#REF!,"AAAAAHZ3xjo=")</f>
        <v>#REF!</v>
      </c>
      <c r="BH91" t="e">
        <f>AND(#REF!,"AAAAAHZ3xjs=")</f>
        <v>#REF!</v>
      </c>
      <c r="BI91" t="e">
        <f>AND(#REF!,"AAAAAHZ3xjw=")</f>
        <v>#REF!</v>
      </c>
      <c r="BJ91" t="e">
        <f>AND(#REF!,"AAAAAHZ3xj0=")</f>
        <v>#REF!</v>
      </c>
      <c r="BK91" t="e">
        <f>AND(#REF!,"AAAAAHZ3xj4=")</f>
        <v>#REF!</v>
      </c>
      <c r="BL91" t="e">
        <f>AND(#REF!,"AAAAAHZ3xj8=")</f>
        <v>#REF!</v>
      </c>
      <c r="BM91" t="e">
        <f>AND(#REF!,"AAAAAHZ3xkA=")</f>
        <v>#REF!</v>
      </c>
      <c r="BN91" t="e">
        <f>AND(#REF!,"AAAAAHZ3xkE=")</f>
        <v>#REF!</v>
      </c>
      <c r="BO91" t="e">
        <f>AND(#REF!,"AAAAAHZ3xkI=")</f>
        <v>#REF!</v>
      </c>
      <c r="BP91" t="e">
        <f>AND(#REF!,"AAAAAHZ3xkM=")</f>
        <v>#REF!</v>
      </c>
      <c r="BQ91" t="e">
        <f>AND(#REF!,"AAAAAHZ3xkQ=")</f>
        <v>#REF!</v>
      </c>
      <c r="BR91" t="e">
        <f>AND(#REF!,"AAAAAHZ3xkU=")</f>
        <v>#REF!</v>
      </c>
      <c r="BS91" t="e">
        <f>IF(#REF!,"AAAAAHZ3xkY=",0)</f>
        <v>#REF!</v>
      </c>
      <c r="BT91" t="e">
        <f>AND(#REF!,"AAAAAHZ3xkc=")</f>
        <v>#REF!</v>
      </c>
      <c r="BU91" t="e">
        <f>AND(#REF!,"AAAAAHZ3xkg=")</f>
        <v>#REF!</v>
      </c>
      <c r="BV91" t="e">
        <f>AND(#REF!,"AAAAAHZ3xkk=")</f>
        <v>#REF!</v>
      </c>
      <c r="BW91" t="e">
        <f>AND(#REF!,"AAAAAHZ3xko=")</f>
        <v>#REF!</v>
      </c>
      <c r="BX91" t="e">
        <f>AND(#REF!,"AAAAAHZ3xks=")</f>
        <v>#REF!</v>
      </c>
      <c r="BY91" t="e">
        <f>AND(#REF!,"AAAAAHZ3xkw=")</f>
        <v>#REF!</v>
      </c>
      <c r="BZ91" t="e">
        <f>AND(#REF!,"AAAAAHZ3xk0=")</f>
        <v>#REF!</v>
      </c>
      <c r="CA91" t="e">
        <f>AND(#REF!,"AAAAAHZ3xk4=")</f>
        <v>#REF!</v>
      </c>
      <c r="CB91" t="e">
        <f>AND(#REF!,"AAAAAHZ3xk8=")</f>
        <v>#REF!</v>
      </c>
      <c r="CC91" t="e">
        <f>AND(#REF!,"AAAAAHZ3xlA=")</f>
        <v>#REF!</v>
      </c>
      <c r="CD91" t="e">
        <f>AND(#REF!,"AAAAAHZ3xlE=")</f>
        <v>#REF!</v>
      </c>
      <c r="CE91" t="e">
        <f>AND(#REF!,"AAAAAHZ3xlI=")</f>
        <v>#REF!</v>
      </c>
      <c r="CF91" t="e">
        <f>AND(#REF!,"AAAAAHZ3xlM=")</f>
        <v>#REF!</v>
      </c>
      <c r="CG91" t="e">
        <f>AND(#REF!,"AAAAAHZ3xlQ=")</f>
        <v>#REF!</v>
      </c>
      <c r="CH91" t="e">
        <f>AND(#REF!,"AAAAAHZ3xlU=")</f>
        <v>#REF!</v>
      </c>
      <c r="CI91" t="e">
        <f>AND(#REF!,"AAAAAHZ3xlY=")</f>
        <v>#REF!</v>
      </c>
      <c r="CJ91" t="e">
        <f>AND(#REF!,"AAAAAHZ3xlc=")</f>
        <v>#REF!</v>
      </c>
      <c r="CK91" t="e">
        <f>AND(#REF!,"AAAAAHZ3xlg=")</f>
        <v>#REF!</v>
      </c>
      <c r="CL91" t="e">
        <f>AND(#REF!,"AAAAAHZ3xlk=")</f>
        <v>#REF!</v>
      </c>
      <c r="CM91" t="e">
        <f>AND(#REF!,"AAAAAHZ3xlo=")</f>
        <v>#REF!</v>
      </c>
      <c r="CN91" t="e">
        <f>AND(#REF!,"AAAAAHZ3xls=")</f>
        <v>#REF!</v>
      </c>
      <c r="CO91" t="e">
        <f>AND(#REF!,"AAAAAHZ3xlw=")</f>
        <v>#REF!</v>
      </c>
      <c r="CP91" t="e">
        <f>AND(#REF!,"AAAAAHZ3xl0=")</f>
        <v>#REF!</v>
      </c>
      <c r="CQ91" t="e">
        <f>AND(#REF!,"AAAAAHZ3xl4=")</f>
        <v>#REF!</v>
      </c>
      <c r="CR91" t="e">
        <f>IF(#REF!,"AAAAAHZ3xl8=",0)</f>
        <v>#REF!</v>
      </c>
      <c r="CS91" t="e">
        <f>AND(#REF!,"AAAAAHZ3xmA=")</f>
        <v>#REF!</v>
      </c>
      <c r="CT91" t="e">
        <f>AND(#REF!,"AAAAAHZ3xmE=")</f>
        <v>#REF!</v>
      </c>
      <c r="CU91" t="e">
        <f>AND(#REF!,"AAAAAHZ3xmI=")</f>
        <v>#REF!</v>
      </c>
      <c r="CV91" t="e">
        <f>AND(#REF!,"AAAAAHZ3xmM=")</f>
        <v>#REF!</v>
      </c>
      <c r="CW91" t="e">
        <f>AND(#REF!,"AAAAAHZ3xmQ=")</f>
        <v>#REF!</v>
      </c>
      <c r="CX91" t="e">
        <f>AND(#REF!,"AAAAAHZ3xmU=")</f>
        <v>#REF!</v>
      </c>
      <c r="CY91" t="e">
        <f>AND(#REF!,"AAAAAHZ3xmY=")</f>
        <v>#REF!</v>
      </c>
      <c r="CZ91" t="e">
        <f>AND(#REF!,"AAAAAHZ3xmc=")</f>
        <v>#REF!</v>
      </c>
      <c r="DA91" t="e">
        <f>AND(#REF!,"AAAAAHZ3xmg=")</f>
        <v>#REF!</v>
      </c>
      <c r="DB91" t="e">
        <f>AND(#REF!,"AAAAAHZ3xmk=")</f>
        <v>#REF!</v>
      </c>
      <c r="DC91" t="e">
        <f>AND(#REF!,"AAAAAHZ3xmo=")</f>
        <v>#REF!</v>
      </c>
      <c r="DD91" t="e">
        <f>AND(#REF!,"AAAAAHZ3xms=")</f>
        <v>#REF!</v>
      </c>
      <c r="DE91" t="e">
        <f>AND(#REF!,"AAAAAHZ3xmw=")</f>
        <v>#REF!</v>
      </c>
      <c r="DF91" t="e">
        <f>AND(#REF!,"AAAAAHZ3xm0=")</f>
        <v>#REF!</v>
      </c>
      <c r="DG91" t="e">
        <f>AND(#REF!,"AAAAAHZ3xm4=")</f>
        <v>#REF!</v>
      </c>
      <c r="DH91" t="e">
        <f>AND(#REF!,"AAAAAHZ3xm8=")</f>
        <v>#REF!</v>
      </c>
      <c r="DI91" t="e">
        <f>AND(#REF!,"AAAAAHZ3xnA=")</f>
        <v>#REF!</v>
      </c>
      <c r="DJ91" t="e">
        <f>AND(#REF!,"AAAAAHZ3xnE=")</f>
        <v>#REF!</v>
      </c>
      <c r="DK91" t="e">
        <f>AND(#REF!,"AAAAAHZ3xnI=")</f>
        <v>#REF!</v>
      </c>
      <c r="DL91" t="e">
        <f>AND(#REF!,"AAAAAHZ3xnM=")</f>
        <v>#REF!</v>
      </c>
      <c r="DM91" t="e">
        <f>AND(#REF!,"AAAAAHZ3xnQ=")</f>
        <v>#REF!</v>
      </c>
      <c r="DN91" t="e">
        <f>AND(#REF!,"AAAAAHZ3xnU=")</f>
        <v>#REF!</v>
      </c>
      <c r="DO91" t="e">
        <f>AND(#REF!,"AAAAAHZ3xnY=")</f>
        <v>#REF!</v>
      </c>
      <c r="DP91" t="e">
        <f>AND(#REF!,"AAAAAHZ3xnc=")</f>
        <v>#REF!</v>
      </c>
      <c r="DQ91" t="e">
        <f>IF(#REF!,"AAAAAHZ3xng=",0)</f>
        <v>#REF!</v>
      </c>
      <c r="DR91" t="e">
        <f>AND(#REF!,"AAAAAHZ3xnk=")</f>
        <v>#REF!</v>
      </c>
      <c r="DS91" t="e">
        <f>AND(#REF!,"AAAAAHZ3xno=")</f>
        <v>#REF!</v>
      </c>
      <c r="DT91" t="e">
        <f>AND(#REF!,"AAAAAHZ3xns=")</f>
        <v>#REF!</v>
      </c>
      <c r="DU91" t="e">
        <f>AND(#REF!,"AAAAAHZ3xnw=")</f>
        <v>#REF!</v>
      </c>
      <c r="DV91" t="e">
        <f>AND(#REF!,"AAAAAHZ3xn0=")</f>
        <v>#REF!</v>
      </c>
      <c r="DW91" t="e">
        <f>AND(#REF!,"AAAAAHZ3xn4=")</f>
        <v>#REF!</v>
      </c>
      <c r="DX91" t="e">
        <f>AND(#REF!,"AAAAAHZ3xn8=")</f>
        <v>#REF!</v>
      </c>
      <c r="DY91" t="e">
        <f>AND(#REF!,"AAAAAHZ3xoA=")</f>
        <v>#REF!</v>
      </c>
      <c r="DZ91" t="e">
        <f>AND(#REF!,"AAAAAHZ3xoE=")</f>
        <v>#REF!</v>
      </c>
      <c r="EA91" t="e">
        <f>AND(#REF!,"AAAAAHZ3xoI=")</f>
        <v>#REF!</v>
      </c>
      <c r="EB91" t="e">
        <f>AND(#REF!,"AAAAAHZ3xoM=")</f>
        <v>#REF!</v>
      </c>
      <c r="EC91" t="e">
        <f>AND(#REF!,"AAAAAHZ3xoQ=")</f>
        <v>#REF!</v>
      </c>
      <c r="ED91" t="e">
        <f>AND(#REF!,"AAAAAHZ3xoU=")</f>
        <v>#REF!</v>
      </c>
      <c r="EE91" t="e">
        <f>AND(#REF!,"AAAAAHZ3xoY=")</f>
        <v>#REF!</v>
      </c>
      <c r="EF91" t="e">
        <f>AND(#REF!,"AAAAAHZ3xoc=")</f>
        <v>#REF!</v>
      </c>
      <c r="EG91" t="e">
        <f>AND(#REF!,"AAAAAHZ3xog=")</f>
        <v>#REF!</v>
      </c>
      <c r="EH91" t="e">
        <f>AND(#REF!,"AAAAAHZ3xok=")</f>
        <v>#REF!</v>
      </c>
      <c r="EI91" t="e">
        <f>AND(#REF!,"AAAAAHZ3xoo=")</f>
        <v>#REF!</v>
      </c>
      <c r="EJ91" t="e">
        <f>AND(#REF!,"AAAAAHZ3xos=")</f>
        <v>#REF!</v>
      </c>
      <c r="EK91" t="e">
        <f>AND(#REF!,"AAAAAHZ3xow=")</f>
        <v>#REF!</v>
      </c>
      <c r="EL91" t="e">
        <f>AND(#REF!,"AAAAAHZ3xo0=")</f>
        <v>#REF!</v>
      </c>
      <c r="EM91" t="e">
        <f>AND(#REF!,"AAAAAHZ3xo4=")</f>
        <v>#REF!</v>
      </c>
      <c r="EN91" t="e">
        <f>AND(#REF!,"AAAAAHZ3xo8=")</f>
        <v>#REF!</v>
      </c>
      <c r="EO91" t="e">
        <f>AND(#REF!,"AAAAAHZ3xpA=")</f>
        <v>#REF!</v>
      </c>
      <c r="EP91" t="e">
        <f>IF(#REF!,"AAAAAHZ3xpE=",0)</f>
        <v>#REF!</v>
      </c>
      <c r="EQ91" t="e">
        <f>AND(#REF!,"AAAAAHZ3xpI=")</f>
        <v>#REF!</v>
      </c>
      <c r="ER91" t="e">
        <f>AND(#REF!,"AAAAAHZ3xpM=")</f>
        <v>#REF!</v>
      </c>
      <c r="ES91" t="e">
        <f>AND(#REF!,"AAAAAHZ3xpQ=")</f>
        <v>#REF!</v>
      </c>
      <c r="ET91" t="e">
        <f>AND(#REF!,"AAAAAHZ3xpU=")</f>
        <v>#REF!</v>
      </c>
      <c r="EU91" t="e">
        <f>AND(#REF!,"AAAAAHZ3xpY=")</f>
        <v>#REF!</v>
      </c>
      <c r="EV91" t="e">
        <f>AND(#REF!,"AAAAAHZ3xpc=")</f>
        <v>#REF!</v>
      </c>
      <c r="EW91" t="e">
        <f>AND(#REF!,"AAAAAHZ3xpg=")</f>
        <v>#REF!</v>
      </c>
      <c r="EX91" t="e">
        <f>AND(#REF!,"AAAAAHZ3xpk=")</f>
        <v>#REF!</v>
      </c>
      <c r="EY91" t="e">
        <f>AND(#REF!,"AAAAAHZ3xpo=")</f>
        <v>#REF!</v>
      </c>
      <c r="EZ91" t="e">
        <f>AND(#REF!,"AAAAAHZ3xps=")</f>
        <v>#REF!</v>
      </c>
      <c r="FA91" t="e">
        <f>AND(#REF!,"AAAAAHZ3xpw=")</f>
        <v>#REF!</v>
      </c>
      <c r="FB91" t="e">
        <f>AND(#REF!,"AAAAAHZ3xp0=")</f>
        <v>#REF!</v>
      </c>
      <c r="FC91" t="e">
        <f>AND(#REF!,"AAAAAHZ3xp4=")</f>
        <v>#REF!</v>
      </c>
      <c r="FD91" t="e">
        <f>AND(#REF!,"AAAAAHZ3xp8=")</f>
        <v>#REF!</v>
      </c>
      <c r="FE91" t="e">
        <f>AND(#REF!,"AAAAAHZ3xqA=")</f>
        <v>#REF!</v>
      </c>
      <c r="FF91" t="e">
        <f>AND(#REF!,"AAAAAHZ3xqE=")</f>
        <v>#REF!</v>
      </c>
      <c r="FG91" t="e">
        <f>AND(#REF!,"AAAAAHZ3xqI=")</f>
        <v>#REF!</v>
      </c>
      <c r="FH91" t="e">
        <f>AND(#REF!,"AAAAAHZ3xqM=")</f>
        <v>#REF!</v>
      </c>
      <c r="FI91" t="e">
        <f>AND(#REF!,"AAAAAHZ3xqQ=")</f>
        <v>#REF!</v>
      </c>
      <c r="FJ91" t="e">
        <f>AND(#REF!,"AAAAAHZ3xqU=")</f>
        <v>#REF!</v>
      </c>
      <c r="FK91" t="e">
        <f>AND(#REF!,"AAAAAHZ3xqY=")</f>
        <v>#REF!</v>
      </c>
      <c r="FL91" t="e">
        <f>AND(#REF!,"AAAAAHZ3xqc=")</f>
        <v>#REF!</v>
      </c>
      <c r="FM91" t="e">
        <f>AND(#REF!,"AAAAAHZ3xqg=")</f>
        <v>#REF!</v>
      </c>
      <c r="FN91" t="e">
        <f>AND(#REF!,"AAAAAHZ3xqk=")</f>
        <v>#REF!</v>
      </c>
      <c r="FO91" t="e">
        <f>IF(#REF!,"AAAAAHZ3xqo=",0)</f>
        <v>#REF!</v>
      </c>
      <c r="FP91" t="e">
        <f>AND(#REF!,"AAAAAHZ3xqs=")</f>
        <v>#REF!</v>
      </c>
      <c r="FQ91" t="e">
        <f>AND(#REF!,"AAAAAHZ3xqw=")</f>
        <v>#REF!</v>
      </c>
      <c r="FR91" t="e">
        <f>AND(#REF!,"AAAAAHZ3xq0=")</f>
        <v>#REF!</v>
      </c>
      <c r="FS91" t="e">
        <f>AND(#REF!,"AAAAAHZ3xq4=")</f>
        <v>#REF!</v>
      </c>
      <c r="FT91" t="e">
        <f>AND(#REF!,"AAAAAHZ3xq8=")</f>
        <v>#REF!</v>
      </c>
      <c r="FU91" t="e">
        <f>AND(#REF!,"AAAAAHZ3xrA=")</f>
        <v>#REF!</v>
      </c>
      <c r="FV91" t="e">
        <f>AND(#REF!,"AAAAAHZ3xrE=")</f>
        <v>#REF!</v>
      </c>
      <c r="FW91" t="e">
        <f>AND(#REF!,"AAAAAHZ3xrI=")</f>
        <v>#REF!</v>
      </c>
      <c r="FX91" t="e">
        <f>AND(#REF!,"AAAAAHZ3xrM=")</f>
        <v>#REF!</v>
      </c>
      <c r="FY91" t="e">
        <f>AND(#REF!,"AAAAAHZ3xrQ=")</f>
        <v>#REF!</v>
      </c>
      <c r="FZ91" t="e">
        <f>AND(#REF!,"AAAAAHZ3xrU=")</f>
        <v>#REF!</v>
      </c>
      <c r="GA91" t="e">
        <f>AND(#REF!,"AAAAAHZ3xrY=")</f>
        <v>#REF!</v>
      </c>
      <c r="GB91" t="e">
        <f>AND(#REF!,"AAAAAHZ3xrc=")</f>
        <v>#REF!</v>
      </c>
      <c r="GC91" t="e">
        <f>AND(#REF!,"AAAAAHZ3xrg=")</f>
        <v>#REF!</v>
      </c>
      <c r="GD91" t="e">
        <f>AND(#REF!,"AAAAAHZ3xrk=")</f>
        <v>#REF!</v>
      </c>
      <c r="GE91" t="e">
        <f>AND(#REF!,"AAAAAHZ3xro=")</f>
        <v>#REF!</v>
      </c>
      <c r="GF91" t="e">
        <f>AND(#REF!,"AAAAAHZ3xrs=")</f>
        <v>#REF!</v>
      </c>
      <c r="GG91" t="e">
        <f>AND(#REF!,"AAAAAHZ3xrw=")</f>
        <v>#REF!</v>
      </c>
      <c r="GH91" t="e">
        <f>AND(#REF!,"AAAAAHZ3xr0=")</f>
        <v>#REF!</v>
      </c>
      <c r="GI91" t="e">
        <f>AND(#REF!,"AAAAAHZ3xr4=")</f>
        <v>#REF!</v>
      </c>
      <c r="GJ91" t="e">
        <f>AND(#REF!,"AAAAAHZ3xr8=")</f>
        <v>#REF!</v>
      </c>
      <c r="GK91" t="e">
        <f>AND(#REF!,"AAAAAHZ3xsA=")</f>
        <v>#REF!</v>
      </c>
      <c r="GL91" t="e">
        <f>AND(#REF!,"AAAAAHZ3xsE=")</f>
        <v>#REF!</v>
      </c>
      <c r="GM91" t="e">
        <f>AND(#REF!,"AAAAAHZ3xsI=")</f>
        <v>#REF!</v>
      </c>
      <c r="GN91" t="e">
        <f>IF(#REF!,"AAAAAHZ3xsM=",0)</f>
        <v>#REF!</v>
      </c>
      <c r="GO91" t="e">
        <f>AND(#REF!,"AAAAAHZ3xsQ=")</f>
        <v>#REF!</v>
      </c>
      <c r="GP91" t="e">
        <f>AND(#REF!,"AAAAAHZ3xsU=")</f>
        <v>#REF!</v>
      </c>
      <c r="GQ91" t="e">
        <f>AND(#REF!,"AAAAAHZ3xsY=")</f>
        <v>#REF!</v>
      </c>
      <c r="GR91" t="e">
        <f>AND(#REF!,"AAAAAHZ3xsc=")</f>
        <v>#REF!</v>
      </c>
      <c r="GS91" t="e">
        <f>AND(#REF!,"AAAAAHZ3xsg=")</f>
        <v>#REF!</v>
      </c>
      <c r="GT91" t="e">
        <f>AND(#REF!,"AAAAAHZ3xsk=")</f>
        <v>#REF!</v>
      </c>
      <c r="GU91" t="e">
        <f>AND(#REF!,"AAAAAHZ3xso=")</f>
        <v>#REF!</v>
      </c>
      <c r="GV91" t="e">
        <f>AND(#REF!,"AAAAAHZ3xss=")</f>
        <v>#REF!</v>
      </c>
      <c r="GW91" t="e">
        <f>AND(#REF!,"AAAAAHZ3xsw=")</f>
        <v>#REF!</v>
      </c>
      <c r="GX91" t="e">
        <f>AND(#REF!,"AAAAAHZ3xs0=")</f>
        <v>#REF!</v>
      </c>
      <c r="GY91" t="e">
        <f>AND(#REF!,"AAAAAHZ3xs4=")</f>
        <v>#REF!</v>
      </c>
      <c r="GZ91" t="e">
        <f>AND(#REF!,"AAAAAHZ3xs8=")</f>
        <v>#REF!</v>
      </c>
      <c r="HA91" t="e">
        <f>AND(#REF!,"AAAAAHZ3xtA=")</f>
        <v>#REF!</v>
      </c>
      <c r="HB91" t="e">
        <f>AND(#REF!,"AAAAAHZ3xtE=")</f>
        <v>#REF!</v>
      </c>
      <c r="HC91" t="e">
        <f>AND(#REF!,"AAAAAHZ3xtI=")</f>
        <v>#REF!</v>
      </c>
      <c r="HD91" t="e">
        <f>AND(#REF!,"AAAAAHZ3xtM=")</f>
        <v>#REF!</v>
      </c>
      <c r="HE91" t="e">
        <f>AND(#REF!,"AAAAAHZ3xtQ=")</f>
        <v>#REF!</v>
      </c>
      <c r="HF91" t="e">
        <f>AND(#REF!,"AAAAAHZ3xtU=")</f>
        <v>#REF!</v>
      </c>
      <c r="HG91" t="e">
        <f>AND(#REF!,"AAAAAHZ3xtY=")</f>
        <v>#REF!</v>
      </c>
      <c r="HH91" t="e">
        <f>AND(#REF!,"AAAAAHZ3xtc=")</f>
        <v>#REF!</v>
      </c>
      <c r="HI91" t="e">
        <f>AND(#REF!,"AAAAAHZ3xtg=")</f>
        <v>#REF!</v>
      </c>
      <c r="HJ91" t="e">
        <f>AND(#REF!,"AAAAAHZ3xtk=")</f>
        <v>#REF!</v>
      </c>
      <c r="HK91" t="e">
        <f>AND(#REF!,"AAAAAHZ3xto=")</f>
        <v>#REF!</v>
      </c>
      <c r="HL91" t="e">
        <f>AND(#REF!,"AAAAAHZ3xts=")</f>
        <v>#REF!</v>
      </c>
      <c r="HM91" t="e">
        <f>IF(#REF!,"AAAAAHZ3xtw=",0)</f>
        <v>#REF!</v>
      </c>
      <c r="HN91" t="e">
        <f>AND(#REF!,"AAAAAHZ3xt0=")</f>
        <v>#REF!</v>
      </c>
      <c r="HO91" t="e">
        <f>AND(#REF!,"AAAAAHZ3xt4=")</f>
        <v>#REF!</v>
      </c>
      <c r="HP91" t="e">
        <f>AND(#REF!,"AAAAAHZ3xt8=")</f>
        <v>#REF!</v>
      </c>
      <c r="HQ91" t="e">
        <f>AND(#REF!,"AAAAAHZ3xuA=")</f>
        <v>#REF!</v>
      </c>
      <c r="HR91" t="e">
        <f>AND(#REF!,"AAAAAHZ3xuE=")</f>
        <v>#REF!</v>
      </c>
      <c r="HS91" t="e">
        <f>AND(#REF!,"AAAAAHZ3xuI=")</f>
        <v>#REF!</v>
      </c>
      <c r="HT91" t="e">
        <f>AND(#REF!,"AAAAAHZ3xuM=")</f>
        <v>#REF!</v>
      </c>
      <c r="HU91" t="e">
        <f>AND(#REF!,"AAAAAHZ3xuQ=")</f>
        <v>#REF!</v>
      </c>
      <c r="HV91" t="e">
        <f>AND(#REF!,"AAAAAHZ3xuU=")</f>
        <v>#REF!</v>
      </c>
      <c r="HW91" t="e">
        <f>AND(#REF!,"AAAAAHZ3xuY=")</f>
        <v>#REF!</v>
      </c>
      <c r="HX91" t="e">
        <f>AND(#REF!,"AAAAAHZ3xuc=")</f>
        <v>#REF!</v>
      </c>
      <c r="HY91" t="e">
        <f>AND(#REF!,"AAAAAHZ3xug=")</f>
        <v>#REF!</v>
      </c>
      <c r="HZ91" t="e">
        <f>AND(#REF!,"AAAAAHZ3xuk=")</f>
        <v>#REF!</v>
      </c>
      <c r="IA91" t="e">
        <f>AND(#REF!,"AAAAAHZ3xuo=")</f>
        <v>#REF!</v>
      </c>
      <c r="IB91" t="e">
        <f>AND(#REF!,"AAAAAHZ3xus=")</f>
        <v>#REF!</v>
      </c>
      <c r="IC91" t="e">
        <f>AND(#REF!,"AAAAAHZ3xuw=")</f>
        <v>#REF!</v>
      </c>
      <c r="ID91" t="e">
        <f>AND(#REF!,"AAAAAHZ3xu0=")</f>
        <v>#REF!</v>
      </c>
      <c r="IE91" t="e">
        <f>AND(#REF!,"AAAAAHZ3xu4=")</f>
        <v>#REF!</v>
      </c>
      <c r="IF91" t="e">
        <f>AND(#REF!,"AAAAAHZ3xu8=")</f>
        <v>#REF!</v>
      </c>
      <c r="IG91" t="e">
        <f>AND(#REF!,"AAAAAHZ3xvA=")</f>
        <v>#REF!</v>
      </c>
      <c r="IH91" t="e">
        <f>AND(#REF!,"AAAAAHZ3xvE=")</f>
        <v>#REF!</v>
      </c>
      <c r="II91" t="e">
        <f>AND(#REF!,"AAAAAHZ3xvI=")</f>
        <v>#REF!</v>
      </c>
      <c r="IJ91" t="e">
        <f>AND(#REF!,"AAAAAHZ3xvM=")</f>
        <v>#REF!</v>
      </c>
      <c r="IK91" t="e">
        <f>AND(#REF!,"AAAAAHZ3xvQ=")</f>
        <v>#REF!</v>
      </c>
      <c r="IL91" t="e">
        <f>IF(#REF!,"AAAAAHZ3xvU=",0)</f>
        <v>#REF!</v>
      </c>
      <c r="IM91" t="e">
        <f>AND(#REF!,"AAAAAHZ3xvY=")</f>
        <v>#REF!</v>
      </c>
      <c r="IN91" t="e">
        <f>AND(#REF!,"AAAAAHZ3xvc=")</f>
        <v>#REF!</v>
      </c>
      <c r="IO91" t="e">
        <f>AND(#REF!,"AAAAAHZ3xvg=")</f>
        <v>#REF!</v>
      </c>
      <c r="IP91" t="e">
        <f>AND(#REF!,"AAAAAHZ3xvk=")</f>
        <v>#REF!</v>
      </c>
      <c r="IQ91" t="e">
        <f>AND(#REF!,"AAAAAHZ3xvo=")</f>
        <v>#REF!</v>
      </c>
      <c r="IR91" t="e">
        <f>AND(#REF!,"AAAAAHZ3xvs=")</f>
        <v>#REF!</v>
      </c>
      <c r="IS91" t="e">
        <f>AND(#REF!,"AAAAAHZ3xvw=")</f>
        <v>#REF!</v>
      </c>
      <c r="IT91" t="e">
        <f>AND(#REF!,"AAAAAHZ3xv0=")</f>
        <v>#REF!</v>
      </c>
      <c r="IU91" t="e">
        <f>AND(#REF!,"AAAAAHZ3xv4=")</f>
        <v>#REF!</v>
      </c>
      <c r="IV91" t="e">
        <f>AND(#REF!,"AAAAAHZ3xv8=")</f>
        <v>#REF!</v>
      </c>
    </row>
    <row r="92" spans="1:256">
      <c r="A92" t="e">
        <f>AND(#REF!,"AAAAACf30wA=")</f>
        <v>#REF!</v>
      </c>
      <c r="B92" t="e">
        <f>AND(#REF!,"AAAAACf30wE=")</f>
        <v>#REF!</v>
      </c>
      <c r="C92" t="e">
        <f>AND(#REF!,"AAAAACf30wI=")</f>
        <v>#REF!</v>
      </c>
      <c r="D92" t="e">
        <f>AND(#REF!,"AAAAACf30wM=")</f>
        <v>#REF!</v>
      </c>
      <c r="E92" t="e">
        <f>AND(#REF!,"AAAAACf30wQ=")</f>
        <v>#REF!</v>
      </c>
      <c r="F92" t="e">
        <f>AND(#REF!,"AAAAACf30wU=")</f>
        <v>#REF!</v>
      </c>
      <c r="G92" t="e">
        <f>AND(#REF!,"AAAAACf30wY=")</f>
        <v>#REF!</v>
      </c>
      <c r="H92" t="e">
        <f>AND(#REF!,"AAAAACf30wc=")</f>
        <v>#REF!</v>
      </c>
      <c r="I92" t="e">
        <f>AND(#REF!,"AAAAACf30wg=")</f>
        <v>#REF!</v>
      </c>
      <c r="J92" t="e">
        <f>AND(#REF!,"AAAAACf30wk=")</f>
        <v>#REF!</v>
      </c>
      <c r="K92" t="e">
        <f>AND(#REF!,"AAAAACf30wo=")</f>
        <v>#REF!</v>
      </c>
      <c r="L92" t="e">
        <f>AND(#REF!,"AAAAACf30ws=")</f>
        <v>#REF!</v>
      </c>
      <c r="M92" t="e">
        <f>AND(#REF!,"AAAAACf30ww=")</f>
        <v>#REF!</v>
      </c>
      <c r="N92" t="e">
        <f>AND(#REF!,"AAAAACf30w0=")</f>
        <v>#REF!</v>
      </c>
      <c r="O92" t="e">
        <f>IF(#REF!,"AAAAACf30w4=",0)</f>
        <v>#REF!</v>
      </c>
      <c r="P92" t="e">
        <f>AND(#REF!,"AAAAACf30w8=")</f>
        <v>#REF!</v>
      </c>
      <c r="Q92" t="e">
        <f>AND(#REF!,"AAAAACf30xA=")</f>
        <v>#REF!</v>
      </c>
      <c r="R92" t="e">
        <f>AND(#REF!,"AAAAACf30xE=")</f>
        <v>#REF!</v>
      </c>
      <c r="S92" t="e">
        <f>AND(#REF!,"AAAAACf30xI=")</f>
        <v>#REF!</v>
      </c>
      <c r="T92" t="e">
        <f>AND(#REF!,"AAAAACf30xM=")</f>
        <v>#REF!</v>
      </c>
      <c r="U92" t="e">
        <f>AND(#REF!,"AAAAACf30xQ=")</f>
        <v>#REF!</v>
      </c>
      <c r="V92" t="e">
        <f>AND(#REF!,"AAAAACf30xU=")</f>
        <v>#REF!</v>
      </c>
      <c r="W92" t="e">
        <f>AND(#REF!,"AAAAACf30xY=")</f>
        <v>#REF!</v>
      </c>
      <c r="X92" t="e">
        <f>AND(#REF!,"AAAAACf30xc=")</f>
        <v>#REF!</v>
      </c>
      <c r="Y92" t="e">
        <f>AND(#REF!,"AAAAACf30xg=")</f>
        <v>#REF!</v>
      </c>
      <c r="Z92" t="e">
        <f>AND(#REF!,"AAAAACf30xk=")</f>
        <v>#REF!</v>
      </c>
      <c r="AA92" t="e">
        <f>AND(#REF!,"AAAAACf30xo=")</f>
        <v>#REF!</v>
      </c>
      <c r="AB92" t="e">
        <f>AND(#REF!,"AAAAACf30xs=")</f>
        <v>#REF!</v>
      </c>
      <c r="AC92" t="e">
        <f>AND(#REF!,"AAAAACf30xw=")</f>
        <v>#REF!</v>
      </c>
      <c r="AD92" t="e">
        <f>AND(#REF!,"AAAAACf30x0=")</f>
        <v>#REF!</v>
      </c>
      <c r="AE92" t="e">
        <f>AND(#REF!,"AAAAACf30x4=")</f>
        <v>#REF!</v>
      </c>
      <c r="AF92" t="e">
        <f>AND(#REF!,"AAAAACf30x8=")</f>
        <v>#REF!</v>
      </c>
      <c r="AG92" t="e">
        <f>AND(#REF!,"AAAAACf30yA=")</f>
        <v>#REF!</v>
      </c>
      <c r="AH92" t="e">
        <f>AND(#REF!,"AAAAACf30yE=")</f>
        <v>#REF!</v>
      </c>
      <c r="AI92" t="e">
        <f>AND(#REF!,"AAAAACf30yI=")</f>
        <v>#REF!</v>
      </c>
      <c r="AJ92" t="e">
        <f>AND(#REF!,"AAAAACf30yM=")</f>
        <v>#REF!</v>
      </c>
      <c r="AK92" t="e">
        <f>AND(#REF!,"AAAAACf30yQ=")</f>
        <v>#REF!</v>
      </c>
      <c r="AL92" t="e">
        <f>AND(#REF!,"AAAAACf30yU=")</f>
        <v>#REF!</v>
      </c>
      <c r="AM92" t="e">
        <f>AND(#REF!,"AAAAACf30yY=")</f>
        <v>#REF!</v>
      </c>
      <c r="AN92" t="e">
        <f>IF(#REF!,"AAAAACf30yc=",0)</f>
        <v>#REF!</v>
      </c>
      <c r="AO92" t="e">
        <f>AND(#REF!,"AAAAACf30yg=")</f>
        <v>#REF!</v>
      </c>
      <c r="AP92" t="e">
        <f>AND(#REF!,"AAAAACf30yk=")</f>
        <v>#REF!</v>
      </c>
      <c r="AQ92" t="e">
        <f>AND(#REF!,"AAAAACf30yo=")</f>
        <v>#REF!</v>
      </c>
      <c r="AR92" t="e">
        <f>AND(#REF!,"AAAAACf30ys=")</f>
        <v>#REF!</v>
      </c>
      <c r="AS92" t="e">
        <f>AND(#REF!,"AAAAACf30yw=")</f>
        <v>#REF!</v>
      </c>
      <c r="AT92" t="e">
        <f>AND(#REF!,"AAAAACf30y0=")</f>
        <v>#REF!</v>
      </c>
      <c r="AU92" t="e">
        <f>AND(#REF!,"AAAAACf30y4=")</f>
        <v>#REF!</v>
      </c>
      <c r="AV92" t="e">
        <f>AND(#REF!,"AAAAACf30y8=")</f>
        <v>#REF!</v>
      </c>
      <c r="AW92" t="e">
        <f>AND(#REF!,"AAAAACf30zA=")</f>
        <v>#REF!</v>
      </c>
      <c r="AX92" t="e">
        <f>AND(#REF!,"AAAAACf30zE=")</f>
        <v>#REF!</v>
      </c>
      <c r="AY92" t="e">
        <f>AND(#REF!,"AAAAACf30zI=")</f>
        <v>#REF!</v>
      </c>
      <c r="AZ92" t="e">
        <f>AND(#REF!,"AAAAACf30zM=")</f>
        <v>#REF!</v>
      </c>
      <c r="BA92" t="e">
        <f>AND(#REF!,"AAAAACf30zQ=")</f>
        <v>#REF!</v>
      </c>
      <c r="BB92" t="e">
        <f>AND(#REF!,"AAAAACf30zU=")</f>
        <v>#REF!</v>
      </c>
      <c r="BC92" t="e">
        <f>AND(#REF!,"AAAAACf30zY=")</f>
        <v>#REF!</v>
      </c>
      <c r="BD92" t="e">
        <f>AND(#REF!,"AAAAACf30zc=")</f>
        <v>#REF!</v>
      </c>
      <c r="BE92" t="e">
        <f>AND(#REF!,"AAAAACf30zg=")</f>
        <v>#REF!</v>
      </c>
      <c r="BF92" t="e">
        <f>AND(#REF!,"AAAAACf30zk=")</f>
        <v>#REF!</v>
      </c>
      <c r="BG92" t="e">
        <f>AND(#REF!,"AAAAACf30zo=")</f>
        <v>#REF!</v>
      </c>
      <c r="BH92" t="e">
        <f>AND(#REF!,"AAAAACf30zs=")</f>
        <v>#REF!</v>
      </c>
      <c r="BI92" t="e">
        <f>AND(#REF!,"AAAAACf30zw=")</f>
        <v>#REF!</v>
      </c>
      <c r="BJ92" t="e">
        <f>AND(#REF!,"AAAAACf30z0=")</f>
        <v>#REF!</v>
      </c>
      <c r="BK92" t="e">
        <f>AND(#REF!,"AAAAACf30z4=")</f>
        <v>#REF!</v>
      </c>
      <c r="BL92" t="e">
        <f>AND(#REF!,"AAAAACf30z8=")</f>
        <v>#REF!</v>
      </c>
      <c r="BM92" t="e">
        <f>IF(#REF!,"AAAAACf300A=",0)</f>
        <v>#REF!</v>
      </c>
      <c r="BN92" t="e">
        <f>AND(#REF!,"AAAAACf300E=")</f>
        <v>#REF!</v>
      </c>
      <c r="BO92" t="e">
        <f>AND(#REF!,"AAAAACf300I=")</f>
        <v>#REF!</v>
      </c>
      <c r="BP92" t="e">
        <f>AND(#REF!,"AAAAACf300M=")</f>
        <v>#REF!</v>
      </c>
      <c r="BQ92" t="e">
        <f>AND(#REF!,"AAAAACf300Q=")</f>
        <v>#REF!</v>
      </c>
      <c r="BR92" t="e">
        <f>AND(#REF!,"AAAAACf300U=")</f>
        <v>#REF!</v>
      </c>
      <c r="BS92" t="e">
        <f>AND(#REF!,"AAAAACf300Y=")</f>
        <v>#REF!</v>
      </c>
      <c r="BT92" t="e">
        <f>AND(#REF!,"AAAAACf300c=")</f>
        <v>#REF!</v>
      </c>
      <c r="BU92" t="e">
        <f>AND(#REF!,"AAAAACf300g=")</f>
        <v>#REF!</v>
      </c>
      <c r="BV92" t="e">
        <f>AND(#REF!,"AAAAACf300k=")</f>
        <v>#REF!</v>
      </c>
      <c r="BW92" t="e">
        <f>AND(#REF!,"AAAAACf300o=")</f>
        <v>#REF!</v>
      </c>
      <c r="BX92" t="e">
        <f>AND(#REF!,"AAAAACf300s=")</f>
        <v>#REF!</v>
      </c>
      <c r="BY92" t="e">
        <f>AND(#REF!,"AAAAACf300w=")</f>
        <v>#REF!</v>
      </c>
      <c r="BZ92" t="e">
        <f>AND(#REF!,"AAAAACf3000=")</f>
        <v>#REF!</v>
      </c>
      <c r="CA92" t="e">
        <f>AND(#REF!,"AAAAACf3004=")</f>
        <v>#REF!</v>
      </c>
      <c r="CB92" t="e">
        <f>AND(#REF!,"AAAAACf3008=")</f>
        <v>#REF!</v>
      </c>
      <c r="CC92" t="e">
        <f>AND(#REF!,"AAAAACf301A=")</f>
        <v>#REF!</v>
      </c>
      <c r="CD92" t="e">
        <f>AND(#REF!,"AAAAACf301E=")</f>
        <v>#REF!</v>
      </c>
      <c r="CE92" t="e">
        <f>AND(#REF!,"AAAAACf301I=")</f>
        <v>#REF!</v>
      </c>
      <c r="CF92" t="e">
        <f>AND(#REF!,"AAAAACf301M=")</f>
        <v>#REF!</v>
      </c>
      <c r="CG92" t="e">
        <f>AND(#REF!,"AAAAACf301Q=")</f>
        <v>#REF!</v>
      </c>
      <c r="CH92" t="e">
        <f>AND(#REF!,"AAAAACf301U=")</f>
        <v>#REF!</v>
      </c>
      <c r="CI92" t="e">
        <f>AND(#REF!,"AAAAACf301Y=")</f>
        <v>#REF!</v>
      </c>
      <c r="CJ92" t="e">
        <f>AND(#REF!,"AAAAACf301c=")</f>
        <v>#REF!</v>
      </c>
      <c r="CK92" t="e">
        <f>AND(#REF!,"AAAAACf301g=")</f>
        <v>#REF!</v>
      </c>
      <c r="CL92" t="e">
        <f>IF(#REF!,"AAAAACf301k=",0)</f>
        <v>#REF!</v>
      </c>
      <c r="CM92" t="e">
        <f>AND(#REF!,"AAAAACf301o=")</f>
        <v>#REF!</v>
      </c>
      <c r="CN92" t="e">
        <f>AND(#REF!,"AAAAACf301s=")</f>
        <v>#REF!</v>
      </c>
      <c r="CO92" t="e">
        <f>AND(#REF!,"AAAAACf301w=")</f>
        <v>#REF!</v>
      </c>
      <c r="CP92" t="e">
        <f>AND(#REF!,"AAAAACf3010=")</f>
        <v>#REF!</v>
      </c>
      <c r="CQ92" t="e">
        <f>AND(#REF!,"AAAAACf3014=")</f>
        <v>#REF!</v>
      </c>
      <c r="CR92" t="e">
        <f>AND(#REF!,"AAAAACf3018=")</f>
        <v>#REF!</v>
      </c>
      <c r="CS92" t="e">
        <f>AND(#REF!,"AAAAACf302A=")</f>
        <v>#REF!</v>
      </c>
      <c r="CT92" t="e">
        <f>AND(#REF!,"AAAAACf302E=")</f>
        <v>#REF!</v>
      </c>
      <c r="CU92" t="e">
        <f>AND(#REF!,"AAAAACf302I=")</f>
        <v>#REF!</v>
      </c>
      <c r="CV92" t="e">
        <f>AND(#REF!,"AAAAACf302M=")</f>
        <v>#REF!</v>
      </c>
      <c r="CW92" t="e">
        <f>AND(#REF!,"AAAAACf302Q=")</f>
        <v>#REF!</v>
      </c>
      <c r="CX92" t="e">
        <f>AND(#REF!,"AAAAACf302U=")</f>
        <v>#REF!</v>
      </c>
      <c r="CY92" t="e">
        <f>AND(#REF!,"AAAAACf302Y=")</f>
        <v>#REF!</v>
      </c>
      <c r="CZ92" t="e">
        <f>AND(#REF!,"AAAAACf302c=")</f>
        <v>#REF!</v>
      </c>
      <c r="DA92" t="e">
        <f>AND(#REF!,"AAAAACf302g=")</f>
        <v>#REF!</v>
      </c>
      <c r="DB92" t="e">
        <f>AND(#REF!,"AAAAACf302k=")</f>
        <v>#REF!</v>
      </c>
      <c r="DC92" t="e">
        <f>AND(#REF!,"AAAAACf302o=")</f>
        <v>#REF!</v>
      </c>
      <c r="DD92" t="e">
        <f>AND(#REF!,"AAAAACf302s=")</f>
        <v>#REF!</v>
      </c>
      <c r="DE92" t="e">
        <f>AND(#REF!,"AAAAACf302w=")</f>
        <v>#REF!</v>
      </c>
      <c r="DF92" t="e">
        <f>AND(#REF!,"AAAAACf3020=")</f>
        <v>#REF!</v>
      </c>
      <c r="DG92" t="e">
        <f>AND(#REF!,"AAAAACf3024=")</f>
        <v>#REF!</v>
      </c>
      <c r="DH92" t="e">
        <f>AND(#REF!,"AAAAACf3028=")</f>
        <v>#REF!</v>
      </c>
      <c r="DI92" t="e">
        <f>AND(#REF!,"AAAAACf303A=")</f>
        <v>#REF!</v>
      </c>
      <c r="DJ92" t="e">
        <f>AND(#REF!,"AAAAACf303E=")</f>
        <v>#REF!</v>
      </c>
      <c r="DK92" t="e">
        <f>IF(#REF!,"AAAAACf303I=",0)</f>
        <v>#REF!</v>
      </c>
      <c r="DL92" t="e">
        <f>AND(#REF!,"AAAAACf303M=")</f>
        <v>#REF!</v>
      </c>
      <c r="DM92" t="e">
        <f>AND(#REF!,"AAAAACf303Q=")</f>
        <v>#REF!</v>
      </c>
      <c r="DN92" t="e">
        <f>AND(#REF!,"AAAAACf303U=")</f>
        <v>#REF!</v>
      </c>
      <c r="DO92" t="e">
        <f>AND(#REF!,"AAAAACf303Y=")</f>
        <v>#REF!</v>
      </c>
      <c r="DP92" t="e">
        <f>AND(#REF!,"AAAAACf303c=")</f>
        <v>#REF!</v>
      </c>
      <c r="DQ92" t="e">
        <f>AND(#REF!,"AAAAACf303g=")</f>
        <v>#REF!</v>
      </c>
      <c r="DR92" t="e">
        <f>AND(#REF!,"AAAAACf303k=")</f>
        <v>#REF!</v>
      </c>
      <c r="DS92" t="e">
        <f>AND(#REF!,"AAAAACf303o=")</f>
        <v>#REF!</v>
      </c>
      <c r="DT92" t="e">
        <f>AND(#REF!,"AAAAACf303s=")</f>
        <v>#REF!</v>
      </c>
      <c r="DU92" t="e">
        <f>AND(#REF!,"AAAAACf303w=")</f>
        <v>#REF!</v>
      </c>
      <c r="DV92" t="e">
        <f>AND(#REF!,"AAAAACf3030=")</f>
        <v>#REF!</v>
      </c>
      <c r="DW92" t="e">
        <f>AND(#REF!,"AAAAACf3034=")</f>
        <v>#REF!</v>
      </c>
      <c r="DX92" t="e">
        <f>AND(#REF!,"AAAAACf3038=")</f>
        <v>#REF!</v>
      </c>
      <c r="DY92" t="e">
        <f>AND(#REF!,"AAAAACf304A=")</f>
        <v>#REF!</v>
      </c>
      <c r="DZ92" t="e">
        <f>AND(#REF!,"AAAAACf304E=")</f>
        <v>#REF!</v>
      </c>
      <c r="EA92" t="e">
        <f>AND(#REF!,"AAAAACf304I=")</f>
        <v>#REF!</v>
      </c>
      <c r="EB92" t="e">
        <f>AND(#REF!,"AAAAACf304M=")</f>
        <v>#REF!</v>
      </c>
      <c r="EC92" t="e">
        <f>AND(#REF!,"AAAAACf304Q=")</f>
        <v>#REF!</v>
      </c>
      <c r="ED92" t="e">
        <f>AND(#REF!,"AAAAACf304U=")</f>
        <v>#REF!</v>
      </c>
      <c r="EE92" t="e">
        <f>AND(#REF!,"AAAAACf304Y=")</f>
        <v>#REF!</v>
      </c>
      <c r="EF92" t="e">
        <f>AND(#REF!,"AAAAACf304c=")</f>
        <v>#REF!</v>
      </c>
      <c r="EG92" t="e">
        <f>AND(#REF!,"AAAAACf304g=")</f>
        <v>#REF!</v>
      </c>
      <c r="EH92" t="e">
        <f>AND(#REF!,"AAAAACf304k=")</f>
        <v>#REF!</v>
      </c>
      <c r="EI92" t="e">
        <f>AND(#REF!,"AAAAACf304o=")</f>
        <v>#REF!</v>
      </c>
      <c r="EJ92" t="e">
        <f>IF(#REF!,"AAAAACf304s=",0)</f>
        <v>#REF!</v>
      </c>
      <c r="EK92" t="e">
        <f>AND(#REF!,"AAAAACf304w=")</f>
        <v>#REF!</v>
      </c>
      <c r="EL92" t="e">
        <f>AND(#REF!,"AAAAACf3040=")</f>
        <v>#REF!</v>
      </c>
      <c r="EM92" t="e">
        <f>AND(#REF!,"AAAAACf3044=")</f>
        <v>#REF!</v>
      </c>
      <c r="EN92" t="e">
        <f>AND(#REF!,"AAAAACf3048=")</f>
        <v>#REF!</v>
      </c>
      <c r="EO92" t="e">
        <f>AND(#REF!,"AAAAACf305A=")</f>
        <v>#REF!</v>
      </c>
      <c r="EP92" t="e">
        <f>AND(#REF!,"AAAAACf305E=")</f>
        <v>#REF!</v>
      </c>
      <c r="EQ92" t="e">
        <f>AND(#REF!,"AAAAACf305I=")</f>
        <v>#REF!</v>
      </c>
      <c r="ER92" t="e">
        <f>AND(#REF!,"AAAAACf305M=")</f>
        <v>#REF!</v>
      </c>
      <c r="ES92" t="e">
        <f>AND(#REF!,"AAAAACf305Q=")</f>
        <v>#REF!</v>
      </c>
      <c r="ET92" t="e">
        <f>AND(#REF!,"AAAAACf305U=")</f>
        <v>#REF!</v>
      </c>
      <c r="EU92" t="e">
        <f>AND(#REF!,"AAAAACf305Y=")</f>
        <v>#REF!</v>
      </c>
      <c r="EV92" t="e">
        <f>AND(#REF!,"AAAAACf305c=")</f>
        <v>#REF!</v>
      </c>
      <c r="EW92" t="e">
        <f>AND(#REF!,"AAAAACf305g=")</f>
        <v>#REF!</v>
      </c>
      <c r="EX92" t="e">
        <f>AND(#REF!,"AAAAACf305k=")</f>
        <v>#REF!</v>
      </c>
      <c r="EY92" t="e">
        <f>AND(#REF!,"AAAAACf305o=")</f>
        <v>#REF!</v>
      </c>
      <c r="EZ92" t="e">
        <f>AND(#REF!,"AAAAACf305s=")</f>
        <v>#REF!</v>
      </c>
      <c r="FA92" t="e">
        <f>AND(#REF!,"AAAAACf305w=")</f>
        <v>#REF!</v>
      </c>
      <c r="FB92" t="e">
        <f>AND(#REF!,"AAAAACf3050=")</f>
        <v>#REF!</v>
      </c>
      <c r="FC92" t="e">
        <f>AND(#REF!,"AAAAACf3054=")</f>
        <v>#REF!</v>
      </c>
      <c r="FD92" t="e">
        <f>AND(#REF!,"AAAAACf3058=")</f>
        <v>#REF!</v>
      </c>
      <c r="FE92" t="e">
        <f>AND(#REF!,"AAAAACf306A=")</f>
        <v>#REF!</v>
      </c>
      <c r="FF92" t="e">
        <f>AND(#REF!,"AAAAACf306E=")</f>
        <v>#REF!</v>
      </c>
      <c r="FG92" t="e">
        <f>AND(#REF!,"AAAAACf306I=")</f>
        <v>#REF!</v>
      </c>
      <c r="FH92" t="e">
        <f>AND(#REF!,"AAAAACf306M=")</f>
        <v>#REF!</v>
      </c>
      <c r="FI92" t="e">
        <f>IF(#REF!,"AAAAACf306Q=",0)</f>
        <v>#REF!</v>
      </c>
      <c r="FJ92" t="e">
        <f>AND(#REF!,"AAAAACf306U=")</f>
        <v>#REF!</v>
      </c>
      <c r="FK92" t="e">
        <f>AND(#REF!,"AAAAACf306Y=")</f>
        <v>#REF!</v>
      </c>
      <c r="FL92" t="e">
        <f>AND(#REF!,"AAAAACf306c=")</f>
        <v>#REF!</v>
      </c>
      <c r="FM92" t="e">
        <f>AND(#REF!,"AAAAACf306g=")</f>
        <v>#REF!</v>
      </c>
      <c r="FN92" t="e">
        <f>AND(#REF!,"AAAAACf306k=")</f>
        <v>#REF!</v>
      </c>
      <c r="FO92" t="e">
        <f>AND(#REF!,"AAAAACf306o=")</f>
        <v>#REF!</v>
      </c>
      <c r="FP92" t="e">
        <f>AND(#REF!,"AAAAACf306s=")</f>
        <v>#REF!</v>
      </c>
      <c r="FQ92" t="e">
        <f>AND(#REF!,"AAAAACf306w=")</f>
        <v>#REF!</v>
      </c>
      <c r="FR92" t="e">
        <f>AND(#REF!,"AAAAACf3060=")</f>
        <v>#REF!</v>
      </c>
      <c r="FS92" t="e">
        <f>AND(#REF!,"AAAAACf3064=")</f>
        <v>#REF!</v>
      </c>
      <c r="FT92" t="e">
        <f>AND(#REF!,"AAAAACf3068=")</f>
        <v>#REF!</v>
      </c>
      <c r="FU92" t="e">
        <f>AND(#REF!,"AAAAACf307A=")</f>
        <v>#REF!</v>
      </c>
      <c r="FV92" t="e">
        <f>AND(#REF!,"AAAAACf307E=")</f>
        <v>#REF!</v>
      </c>
      <c r="FW92" t="e">
        <f>AND(#REF!,"AAAAACf307I=")</f>
        <v>#REF!</v>
      </c>
      <c r="FX92" t="e">
        <f>AND(#REF!,"AAAAACf307M=")</f>
        <v>#REF!</v>
      </c>
      <c r="FY92" t="e">
        <f>AND(#REF!,"AAAAACf307Q=")</f>
        <v>#REF!</v>
      </c>
      <c r="FZ92" t="e">
        <f>AND(#REF!,"AAAAACf307U=")</f>
        <v>#REF!</v>
      </c>
      <c r="GA92" t="e">
        <f>AND(#REF!,"AAAAACf307Y=")</f>
        <v>#REF!</v>
      </c>
      <c r="GB92" t="e">
        <f>AND(#REF!,"AAAAACf307c=")</f>
        <v>#REF!</v>
      </c>
      <c r="GC92" t="e">
        <f>AND(#REF!,"AAAAACf307g=")</f>
        <v>#REF!</v>
      </c>
      <c r="GD92" t="e">
        <f>AND(#REF!,"AAAAACf307k=")</f>
        <v>#REF!</v>
      </c>
      <c r="GE92" t="e">
        <f>AND(#REF!,"AAAAACf307o=")</f>
        <v>#REF!</v>
      </c>
      <c r="GF92" t="e">
        <f>AND(#REF!,"AAAAACf307s=")</f>
        <v>#REF!</v>
      </c>
      <c r="GG92" t="e">
        <f>AND(#REF!,"AAAAACf307w=")</f>
        <v>#REF!</v>
      </c>
      <c r="GH92" t="e">
        <f>IF(#REF!,"AAAAACf3070=",0)</f>
        <v>#REF!</v>
      </c>
      <c r="GI92" t="e">
        <f>AND(#REF!,"AAAAACf3074=")</f>
        <v>#REF!</v>
      </c>
      <c r="GJ92" t="e">
        <f>AND(#REF!,"AAAAACf3078=")</f>
        <v>#REF!</v>
      </c>
      <c r="GK92" t="e">
        <f>AND(#REF!,"AAAAACf308A=")</f>
        <v>#REF!</v>
      </c>
      <c r="GL92" t="e">
        <f>AND(#REF!,"AAAAACf308E=")</f>
        <v>#REF!</v>
      </c>
      <c r="GM92" t="e">
        <f>AND(#REF!,"AAAAACf308I=")</f>
        <v>#REF!</v>
      </c>
      <c r="GN92" t="e">
        <f>AND(#REF!,"AAAAACf308M=")</f>
        <v>#REF!</v>
      </c>
      <c r="GO92" t="e">
        <f>AND(#REF!,"AAAAACf308Q=")</f>
        <v>#REF!</v>
      </c>
      <c r="GP92" t="e">
        <f>AND(#REF!,"AAAAACf308U=")</f>
        <v>#REF!</v>
      </c>
      <c r="GQ92" t="e">
        <f>AND(#REF!,"AAAAACf308Y=")</f>
        <v>#REF!</v>
      </c>
      <c r="GR92" t="e">
        <f>AND(#REF!,"AAAAACf308c=")</f>
        <v>#REF!</v>
      </c>
      <c r="GS92" t="e">
        <f>AND(#REF!,"AAAAACf308g=")</f>
        <v>#REF!</v>
      </c>
      <c r="GT92" t="e">
        <f>AND(#REF!,"AAAAACf308k=")</f>
        <v>#REF!</v>
      </c>
      <c r="GU92" t="e">
        <f>AND(#REF!,"AAAAACf308o=")</f>
        <v>#REF!</v>
      </c>
      <c r="GV92" t="e">
        <f>AND(#REF!,"AAAAACf308s=")</f>
        <v>#REF!</v>
      </c>
      <c r="GW92" t="e">
        <f>AND(#REF!,"AAAAACf308w=")</f>
        <v>#REF!</v>
      </c>
      <c r="GX92" t="e">
        <f>AND(#REF!,"AAAAACf3080=")</f>
        <v>#REF!</v>
      </c>
      <c r="GY92" t="e">
        <f>AND(#REF!,"AAAAACf3084=")</f>
        <v>#REF!</v>
      </c>
      <c r="GZ92" t="e">
        <f>AND(#REF!,"AAAAACf3088=")</f>
        <v>#REF!</v>
      </c>
      <c r="HA92" t="e">
        <f>AND(#REF!,"AAAAACf309A=")</f>
        <v>#REF!</v>
      </c>
      <c r="HB92" t="e">
        <f>AND(#REF!,"AAAAACf309E=")</f>
        <v>#REF!</v>
      </c>
      <c r="HC92" t="e">
        <f>AND(#REF!,"AAAAACf309I=")</f>
        <v>#REF!</v>
      </c>
      <c r="HD92" t="e">
        <f>AND(#REF!,"AAAAACf309M=")</f>
        <v>#REF!</v>
      </c>
      <c r="HE92" t="e">
        <f>AND(#REF!,"AAAAACf309Q=")</f>
        <v>#REF!</v>
      </c>
      <c r="HF92" t="e">
        <f>AND(#REF!,"AAAAACf309U=")</f>
        <v>#REF!</v>
      </c>
      <c r="HG92" t="e">
        <f>IF(#REF!,"AAAAACf309Y=",0)</f>
        <v>#REF!</v>
      </c>
      <c r="HH92" t="e">
        <f>AND(#REF!,"AAAAACf309c=")</f>
        <v>#REF!</v>
      </c>
      <c r="HI92" t="e">
        <f>AND(#REF!,"AAAAACf309g=")</f>
        <v>#REF!</v>
      </c>
      <c r="HJ92" t="e">
        <f>AND(#REF!,"AAAAACf309k=")</f>
        <v>#REF!</v>
      </c>
      <c r="HK92" t="e">
        <f>AND(#REF!,"AAAAACf309o=")</f>
        <v>#REF!</v>
      </c>
      <c r="HL92" t="e">
        <f>AND(#REF!,"AAAAACf309s=")</f>
        <v>#REF!</v>
      </c>
      <c r="HM92" t="e">
        <f>AND(#REF!,"AAAAACf309w=")</f>
        <v>#REF!</v>
      </c>
      <c r="HN92" t="e">
        <f>AND(#REF!,"AAAAACf3090=")</f>
        <v>#REF!</v>
      </c>
      <c r="HO92" t="e">
        <f>AND(#REF!,"AAAAACf3094=")</f>
        <v>#REF!</v>
      </c>
      <c r="HP92" t="e">
        <f>AND(#REF!,"AAAAACf3098=")</f>
        <v>#REF!</v>
      </c>
      <c r="HQ92" t="e">
        <f>AND(#REF!,"AAAAACf30+A=")</f>
        <v>#REF!</v>
      </c>
      <c r="HR92" t="e">
        <f>AND(#REF!,"AAAAACf30+E=")</f>
        <v>#REF!</v>
      </c>
      <c r="HS92" t="e">
        <f>AND(#REF!,"AAAAACf30+I=")</f>
        <v>#REF!</v>
      </c>
      <c r="HT92" t="e">
        <f>AND(#REF!,"AAAAACf30+M=")</f>
        <v>#REF!</v>
      </c>
      <c r="HU92" t="e">
        <f>AND(#REF!,"AAAAACf30+Q=")</f>
        <v>#REF!</v>
      </c>
      <c r="HV92" t="e">
        <f>AND(#REF!,"AAAAACf30+U=")</f>
        <v>#REF!</v>
      </c>
      <c r="HW92" t="e">
        <f>AND(#REF!,"AAAAACf30+Y=")</f>
        <v>#REF!</v>
      </c>
      <c r="HX92" t="e">
        <f>AND(#REF!,"AAAAACf30+c=")</f>
        <v>#REF!</v>
      </c>
      <c r="HY92" t="e">
        <f>AND(#REF!,"AAAAACf30+g=")</f>
        <v>#REF!</v>
      </c>
      <c r="HZ92" t="e">
        <f>AND(#REF!,"AAAAACf30+k=")</f>
        <v>#REF!</v>
      </c>
      <c r="IA92" t="e">
        <f>AND(#REF!,"AAAAACf30+o=")</f>
        <v>#REF!</v>
      </c>
      <c r="IB92" t="e">
        <f>AND(#REF!,"AAAAACf30+s=")</f>
        <v>#REF!</v>
      </c>
      <c r="IC92" t="e">
        <f>AND(#REF!,"AAAAACf30+w=")</f>
        <v>#REF!</v>
      </c>
      <c r="ID92" t="e">
        <f>AND(#REF!,"AAAAACf30+0=")</f>
        <v>#REF!</v>
      </c>
      <c r="IE92" t="e">
        <f>AND(#REF!,"AAAAACf30+4=")</f>
        <v>#REF!</v>
      </c>
      <c r="IF92" t="e">
        <f>IF(#REF!,"AAAAACf30+8=",0)</f>
        <v>#REF!</v>
      </c>
      <c r="IG92" t="e">
        <f>AND(#REF!,"AAAAACf30/A=")</f>
        <v>#REF!</v>
      </c>
      <c r="IH92" t="e">
        <f>AND(#REF!,"AAAAACf30/E=")</f>
        <v>#REF!</v>
      </c>
      <c r="II92" t="e">
        <f>AND(#REF!,"AAAAACf30/I=")</f>
        <v>#REF!</v>
      </c>
      <c r="IJ92" t="e">
        <f>AND(#REF!,"AAAAACf30/M=")</f>
        <v>#REF!</v>
      </c>
      <c r="IK92" t="e">
        <f>AND(#REF!,"AAAAACf30/Q=")</f>
        <v>#REF!</v>
      </c>
      <c r="IL92" t="e">
        <f>AND(#REF!,"AAAAACf30/U=")</f>
        <v>#REF!</v>
      </c>
      <c r="IM92" t="e">
        <f>AND(#REF!,"AAAAACf30/Y=")</f>
        <v>#REF!</v>
      </c>
      <c r="IN92" t="e">
        <f>AND(#REF!,"AAAAACf30/c=")</f>
        <v>#REF!</v>
      </c>
      <c r="IO92" t="e">
        <f>AND(#REF!,"AAAAACf30/g=")</f>
        <v>#REF!</v>
      </c>
      <c r="IP92" t="e">
        <f>AND(#REF!,"AAAAACf30/k=")</f>
        <v>#REF!</v>
      </c>
      <c r="IQ92" t="e">
        <f>AND(#REF!,"AAAAACf30/o=")</f>
        <v>#REF!</v>
      </c>
      <c r="IR92" t="e">
        <f>AND(#REF!,"AAAAACf30/s=")</f>
        <v>#REF!</v>
      </c>
      <c r="IS92" t="e">
        <f>AND(#REF!,"AAAAACf30/w=")</f>
        <v>#REF!</v>
      </c>
      <c r="IT92" t="e">
        <f>AND(#REF!,"AAAAACf30/0=")</f>
        <v>#REF!</v>
      </c>
      <c r="IU92" t="e">
        <f>AND(#REF!,"AAAAACf30/4=")</f>
        <v>#REF!</v>
      </c>
      <c r="IV92" t="e">
        <f>AND(#REF!,"AAAAACf30/8=")</f>
        <v>#REF!</v>
      </c>
    </row>
    <row r="93" spans="1:256">
      <c r="A93" t="e">
        <f>AND(#REF!,"AAAAAHl8/wA=")</f>
        <v>#REF!</v>
      </c>
      <c r="B93" t="e">
        <f>AND(#REF!,"AAAAAHl8/wE=")</f>
        <v>#REF!</v>
      </c>
      <c r="C93" t="e">
        <f>AND(#REF!,"AAAAAHl8/wI=")</f>
        <v>#REF!</v>
      </c>
      <c r="D93" t="e">
        <f>AND(#REF!,"AAAAAHl8/wM=")</f>
        <v>#REF!</v>
      </c>
      <c r="E93" t="e">
        <f>AND(#REF!,"AAAAAHl8/wQ=")</f>
        <v>#REF!</v>
      </c>
      <c r="F93" t="e">
        <f>AND(#REF!,"AAAAAHl8/wU=")</f>
        <v>#REF!</v>
      </c>
      <c r="G93" t="e">
        <f>AND(#REF!,"AAAAAHl8/wY=")</f>
        <v>#REF!</v>
      </c>
      <c r="H93" t="e">
        <f>AND(#REF!,"AAAAAHl8/wc=")</f>
        <v>#REF!</v>
      </c>
      <c r="I93" t="e">
        <f>IF(#REF!,"AAAAAHl8/wg=",0)</f>
        <v>#REF!</v>
      </c>
      <c r="J93" t="e">
        <f>AND(#REF!,"AAAAAHl8/wk=")</f>
        <v>#REF!</v>
      </c>
      <c r="K93" t="e">
        <f>AND(#REF!,"AAAAAHl8/wo=")</f>
        <v>#REF!</v>
      </c>
      <c r="L93" t="e">
        <f>AND(#REF!,"AAAAAHl8/ws=")</f>
        <v>#REF!</v>
      </c>
      <c r="M93" t="e">
        <f>AND(#REF!,"AAAAAHl8/ww=")</f>
        <v>#REF!</v>
      </c>
      <c r="N93" t="e">
        <f>AND(#REF!,"AAAAAHl8/w0=")</f>
        <v>#REF!</v>
      </c>
      <c r="O93" t="e">
        <f>AND(#REF!,"AAAAAHl8/w4=")</f>
        <v>#REF!</v>
      </c>
      <c r="P93" t="e">
        <f>AND(#REF!,"AAAAAHl8/w8=")</f>
        <v>#REF!</v>
      </c>
      <c r="Q93" t="e">
        <f>AND(#REF!,"AAAAAHl8/xA=")</f>
        <v>#REF!</v>
      </c>
      <c r="R93" t="e">
        <f>AND(#REF!,"AAAAAHl8/xE=")</f>
        <v>#REF!</v>
      </c>
      <c r="S93" t="e">
        <f>AND(#REF!,"AAAAAHl8/xI=")</f>
        <v>#REF!</v>
      </c>
      <c r="T93" t="e">
        <f>AND(#REF!,"AAAAAHl8/xM=")</f>
        <v>#REF!</v>
      </c>
      <c r="U93" t="e">
        <f>AND(#REF!,"AAAAAHl8/xQ=")</f>
        <v>#REF!</v>
      </c>
      <c r="V93" t="e">
        <f>AND(#REF!,"AAAAAHl8/xU=")</f>
        <v>#REF!</v>
      </c>
      <c r="W93" t="e">
        <f>AND(#REF!,"AAAAAHl8/xY=")</f>
        <v>#REF!</v>
      </c>
      <c r="X93" t="e">
        <f>AND(#REF!,"AAAAAHl8/xc=")</f>
        <v>#REF!</v>
      </c>
      <c r="Y93" t="e">
        <f>AND(#REF!,"AAAAAHl8/xg=")</f>
        <v>#REF!</v>
      </c>
      <c r="Z93" t="e">
        <f>AND(#REF!,"AAAAAHl8/xk=")</f>
        <v>#REF!</v>
      </c>
      <c r="AA93" t="e">
        <f>AND(#REF!,"AAAAAHl8/xo=")</f>
        <v>#REF!</v>
      </c>
      <c r="AB93" t="e">
        <f>AND(#REF!,"AAAAAHl8/xs=")</f>
        <v>#REF!</v>
      </c>
      <c r="AC93" t="e">
        <f>AND(#REF!,"AAAAAHl8/xw=")</f>
        <v>#REF!</v>
      </c>
      <c r="AD93" t="e">
        <f>AND(#REF!,"AAAAAHl8/x0=")</f>
        <v>#REF!</v>
      </c>
      <c r="AE93" t="e">
        <f>AND(#REF!,"AAAAAHl8/x4=")</f>
        <v>#REF!</v>
      </c>
      <c r="AF93" t="e">
        <f>AND(#REF!,"AAAAAHl8/x8=")</f>
        <v>#REF!</v>
      </c>
      <c r="AG93" t="e">
        <f>AND(#REF!,"AAAAAHl8/yA=")</f>
        <v>#REF!</v>
      </c>
      <c r="AH93" t="e">
        <f>IF(#REF!,"AAAAAHl8/yE=",0)</f>
        <v>#REF!</v>
      </c>
      <c r="AI93" t="e">
        <f>AND(#REF!,"AAAAAHl8/yI=")</f>
        <v>#REF!</v>
      </c>
      <c r="AJ93" t="e">
        <f>AND(#REF!,"AAAAAHl8/yM=")</f>
        <v>#REF!</v>
      </c>
      <c r="AK93" t="e">
        <f>AND(#REF!,"AAAAAHl8/yQ=")</f>
        <v>#REF!</v>
      </c>
      <c r="AL93" t="e">
        <f>AND(#REF!,"AAAAAHl8/yU=")</f>
        <v>#REF!</v>
      </c>
      <c r="AM93" t="e">
        <f>AND(#REF!,"AAAAAHl8/yY=")</f>
        <v>#REF!</v>
      </c>
      <c r="AN93" t="e">
        <f>AND(#REF!,"AAAAAHl8/yc=")</f>
        <v>#REF!</v>
      </c>
      <c r="AO93" t="e">
        <f>AND(#REF!,"AAAAAHl8/yg=")</f>
        <v>#REF!</v>
      </c>
      <c r="AP93" t="e">
        <f>AND(#REF!,"AAAAAHl8/yk=")</f>
        <v>#REF!</v>
      </c>
      <c r="AQ93" t="e">
        <f>AND(#REF!,"AAAAAHl8/yo=")</f>
        <v>#REF!</v>
      </c>
      <c r="AR93" t="e">
        <f>AND(#REF!,"AAAAAHl8/ys=")</f>
        <v>#REF!</v>
      </c>
      <c r="AS93" t="e">
        <f>AND(#REF!,"AAAAAHl8/yw=")</f>
        <v>#REF!</v>
      </c>
      <c r="AT93" t="e">
        <f>AND(#REF!,"AAAAAHl8/y0=")</f>
        <v>#REF!</v>
      </c>
      <c r="AU93" t="e">
        <f>AND(#REF!,"AAAAAHl8/y4=")</f>
        <v>#REF!</v>
      </c>
      <c r="AV93" t="e">
        <f>AND(#REF!,"AAAAAHl8/y8=")</f>
        <v>#REF!</v>
      </c>
      <c r="AW93" t="e">
        <f>AND(#REF!,"AAAAAHl8/zA=")</f>
        <v>#REF!</v>
      </c>
      <c r="AX93" t="e">
        <f>AND(#REF!,"AAAAAHl8/zE=")</f>
        <v>#REF!</v>
      </c>
      <c r="AY93" t="e">
        <f>AND(#REF!,"AAAAAHl8/zI=")</f>
        <v>#REF!</v>
      </c>
      <c r="AZ93" t="e">
        <f>AND(#REF!,"AAAAAHl8/zM=")</f>
        <v>#REF!</v>
      </c>
      <c r="BA93" t="e">
        <f>AND(#REF!,"AAAAAHl8/zQ=")</f>
        <v>#REF!</v>
      </c>
      <c r="BB93" t="e">
        <f>AND(#REF!,"AAAAAHl8/zU=")</f>
        <v>#REF!</v>
      </c>
      <c r="BC93" t="e">
        <f>AND(#REF!,"AAAAAHl8/zY=")</f>
        <v>#REF!</v>
      </c>
      <c r="BD93" t="e">
        <f>AND(#REF!,"AAAAAHl8/zc=")</f>
        <v>#REF!</v>
      </c>
      <c r="BE93" t="e">
        <f>AND(#REF!,"AAAAAHl8/zg=")</f>
        <v>#REF!</v>
      </c>
      <c r="BF93" t="e">
        <f>AND(#REF!,"AAAAAHl8/zk=")</f>
        <v>#REF!</v>
      </c>
      <c r="BG93" t="e">
        <f>IF(#REF!,"AAAAAHl8/zo=",0)</f>
        <v>#REF!</v>
      </c>
      <c r="BH93" t="e">
        <f>AND(#REF!,"AAAAAHl8/zs=")</f>
        <v>#REF!</v>
      </c>
      <c r="BI93" t="e">
        <f>AND(#REF!,"AAAAAHl8/zw=")</f>
        <v>#REF!</v>
      </c>
      <c r="BJ93" t="e">
        <f>AND(#REF!,"AAAAAHl8/z0=")</f>
        <v>#REF!</v>
      </c>
      <c r="BK93" t="e">
        <f>AND(#REF!,"AAAAAHl8/z4=")</f>
        <v>#REF!</v>
      </c>
      <c r="BL93" t="e">
        <f>AND(#REF!,"AAAAAHl8/z8=")</f>
        <v>#REF!</v>
      </c>
      <c r="BM93" t="e">
        <f>AND(#REF!,"AAAAAHl8/0A=")</f>
        <v>#REF!</v>
      </c>
      <c r="BN93" t="e">
        <f>AND(#REF!,"AAAAAHl8/0E=")</f>
        <v>#REF!</v>
      </c>
      <c r="BO93" t="e">
        <f>AND(#REF!,"AAAAAHl8/0I=")</f>
        <v>#REF!</v>
      </c>
      <c r="BP93" t="e">
        <f>AND(#REF!,"AAAAAHl8/0M=")</f>
        <v>#REF!</v>
      </c>
      <c r="BQ93" t="e">
        <f>AND(#REF!,"AAAAAHl8/0Q=")</f>
        <v>#REF!</v>
      </c>
      <c r="BR93" t="e">
        <f>AND(#REF!,"AAAAAHl8/0U=")</f>
        <v>#REF!</v>
      </c>
      <c r="BS93" t="e">
        <f>AND(#REF!,"AAAAAHl8/0Y=")</f>
        <v>#REF!</v>
      </c>
      <c r="BT93" t="e">
        <f>AND(#REF!,"AAAAAHl8/0c=")</f>
        <v>#REF!</v>
      </c>
      <c r="BU93" t="e">
        <f>AND(#REF!,"AAAAAHl8/0g=")</f>
        <v>#REF!</v>
      </c>
      <c r="BV93" t="e">
        <f>AND(#REF!,"AAAAAHl8/0k=")</f>
        <v>#REF!</v>
      </c>
      <c r="BW93" t="e">
        <f>AND(#REF!,"AAAAAHl8/0o=")</f>
        <v>#REF!</v>
      </c>
      <c r="BX93" t="e">
        <f>AND(#REF!,"AAAAAHl8/0s=")</f>
        <v>#REF!</v>
      </c>
      <c r="BY93" t="e">
        <f>AND(#REF!,"AAAAAHl8/0w=")</f>
        <v>#REF!</v>
      </c>
      <c r="BZ93" t="e">
        <f>AND(#REF!,"AAAAAHl8/00=")</f>
        <v>#REF!</v>
      </c>
      <c r="CA93" t="e">
        <f>AND(#REF!,"AAAAAHl8/04=")</f>
        <v>#REF!</v>
      </c>
      <c r="CB93" t="e">
        <f>AND(#REF!,"AAAAAHl8/08=")</f>
        <v>#REF!</v>
      </c>
      <c r="CC93" t="e">
        <f>AND(#REF!,"AAAAAHl8/1A=")</f>
        <v>#REF!</v>
      </c>
      <c r="CD93" t="e">
        <f>AND(#REF!,"AAAAAHl8/1E=")</f>
        <v>#REF!</v>
      </c>
      <c r="CE93" t="e">
        <f>AND(#REF!,"AAAAAHl8/1I=")</f>
        <v>#REF!</v>
      </c>
      <c r="CF93" t="e">
        <f>IF(#REF!,"AAAAAHl8/1M=",0)</f>
        <v>#REF!</v>
      </c>
      <c r="CG93" t="e">
        <f>AND(#REF!,"AAAAAHl8/1Q=")</f>
        <v>#REF!</v>
      </c>
      <c r="CH93" t="e">
        <f>AND(#REF!,"AAAAAHl8/1U=")</f>
        <v>#REF!</v>
      </c>
      <c r="CI93" t="e">
        <f>AND(#REF!,"AAAAAHl8/1Y=")</f>
        <v>#REF!</v>
      </c>
      <c r="CJ93" t="e">
        <f>AND(#REF!,"AAAAAHl8/1c=")</f>
        <v>#REF!</v>
      </c>
      <c r="CK93" t="e">
        <f>AND(#REF!,"AAAAAHl8/1g=")</f>
        <v>#REF!</v>
      </c>
      <c r="CL93" t="e">
        <f>AND(#REF!,"AAAAAHl8/1k=")</f>
        <v>#REF!</v>
      </c>
      <c r="CM93" t="e">
        <f>AND(#REF!,"AAAAAHl8/1o=")</f>
        <v>#REF!</v>
      </c>
      <c r="CN93" t="e">
        <f>AND(#REF!,"AAAAAHl8/1s=")</f>
        <v>#REF!</v>
      </c>
      <c r="CO93" t="e">
        <f>AND(#REF!,"AAAAAHl8/1w=")</f>
        <v>#REF!</v>
      </c>
      <c r="CP93" t="e">
        <f>AND(#REF!,"AAAAAHl8/10=")</f>
        <v>#REF!</v>
      </c>
      <c r="CQ93" t="e">
        <f>AND(#REF!,"AAAAAHl8/14=")</f>
        <v>#REF!</v>
      </c>
      <c r="CR93" t="e">
        <f>AND(#REF!,"AAAAAHl8/18=")</f>
        <v>#REF!</v>
      </c>
      <c r="CS93" t="e">
        <f>AND(#REF!,"AAAAAHl8/2A=")</f>
        <v>#REF!</v>
      </c>
      <c r="CT93" t="e">
        <f>AND(#REF!,"AAAAAHl8/2E=")</f>
        <v>#REF!</v>
      </c>
      <c r="CU93" t="e">
        <f>AND(#REF!,"AAAAAHl8/2I=")</f>
        <v>#REF!</v>
      </c>
      <c r="CV93" t="e">
        <f>AND(#REF!,"AAAAAHl8/2M=")</f>
        <v>#REF!</v>
      </c>
      <c r="CW93" t="e">
        <f>AND(#REF!,"AAAAAHl8/2Q=")</f>
        <v>#REF!</v>
      </c>
      <c r="CX93" t="e">
        <f>AND(#REF!,"AAAAAHl8/2U=")</f>
        <v>#REF!</v>
      </c>
      <c r="CY93" t="e">
        <f>AND(#REF!,"AAAAAHl8/2Y=")</f>
        <v>#REF!</v>
      </c>
      <c r="CZ93" t="e">
        <f>AND(#REF!,"AAAAAHl8/2c=")</f>
        <v>#REF!</v>
      </c>
      <c r="DA93" t="e">
        <f>AND(#REF!,"AAAAAHl8/2g=")</f>
        <v>#REF!</v>
      </c>
      <c r="DB93" t="e">
        <f>AND(#REF!,"AAAAAHl8/2k=")</f>
        <v>#REF!</v>
      </c>
      <c r="DC93" t="e">
        <f>AND(#REF!,"AAAAAHl8/2o=")</f>
        <v>#REF!</v>
      </c>
      <c r="DD93" t="e">
        <f>AND(#REF!,"AAAAAHl8/2s=")</f>
        <v>#REF!</v>
      </c>
      <c r="DE93" t="e">
        <f>IF(#REF!,"AAAAAHl8/2w=",0)</f>
        <v>#REF!</v>
      </c>
      <c r="DF93" t="e">
        <f>AND(#REF!,"AAAAAHl8/20=")</f>
        <v>#REF!</v>
      </c>
      <c r="DG93" t="e">
        <f>AND(#REF!,"AAAAAHl8/24=")</f>
        <v>#REF!</v>
      </c>
      <c r="DH93" t="e">
        <f>AND(#REF!,"AAAAAHl8/28=")</f>
        <v>#REF!</v>
      </c>
      <c r="DI93" t="e">
        <f>AND(#REF!,"AAAAAHl8/3A=")</f>
        <v>#REF!</v>
      </c>
      <c r="DJ93" t="e">
        <f>AND(#REF!,"AAAAAHl8/3E=")</f>
        <v>#REF!</v>
      </c>
      <c r="DK93" t="e">
        <f>AND(#REF!,"AAAAAHl8/3I=")</f>
        <v>#REF!</v>
      </c>
      <c r="DL93" t="e">
        <f>AND(#REF!,"AAAAAHl8/3M=")</f>
        <v>#REF!</v>
      </c>
      <c r="DM93" t="e">
        <f>AND(#REF!,"AAAAAHl8/3Q=")</f>
        <v>#REF!</v>
      </c>
      <c r="DN93" t="e">
        <f>AND(#REF!,"AAAAAHl8/3U=")</f>
        <v>#REF!</v>
      </c>
      <c r="DO93" t="e">
        <f>AND(#REF!,"AAAAAHl8/3Y=")</f>
        <v>#REF!</v>
      </c>
      <c r="DP93" t="e">
        <f>AND(#REF!,"AAAAAHl8/3c=")</f>
        <v>#REF!</v>
      </c>
      <c r="DQ93" t="e">
        <f>AND(#REF!,"AAAAAHl8/3g=")</f>
        <v>#REF!</v>
      </c>
      <c r="DR93" t="e">
        <f>AND(#REF!,"AAAAAHl8/3k=")</f>
        <v>#REF!</v>
      </c>
      <c r="DS93" t="e">
        <f>AND(#REF!,"AAAAAHl8/3o=")</f>
        <v>#REF!</v>
      </c>
      <c r="DT93" t="e">
        <f>AND(#REF!,"AAAAAHl8/3s=")</f>
        <v>#REF!</v>
      </c>
      <c r="DU93" t="e">
        <f>AND(#REF!,"AAAAAHl8/3w=")</f>
        <v>#REF!</v>
      </c>
      <c r="DV93" t="e">
        <f>AND(#REF!,"AAAAAHl8/30=")</f>
        <v>#REF!</v>
      </c>
      <c r="DW93" t="e">
        <f>AND(#REF!,"AAAAAHl8/34=")</f>
        <v>#REF!</v>
      </c>
      <c r="DX93" t="e">
        <f>AND(#REF!,"AAAAAHl8/38=")</f>
        <v>#REF!</v>
      </c>
      <c r="DY93" t="e">
        <f>AND(#REF!,"AAAAAHl8/4A=")</f>
        <v>#REF!</v>
      </c>
      <c r="DZ93" t="e">
        <f>AND(#REF!,"AAAAAHl8/4E=")</f>
        <v>#REF!</v>
      </c>
      <c r="EA93" t="e">
        <f>AND(#REF!,"AAAAAHl8/4I=")</f>
        <v>#REF!</v>
      </c>
      <c r="EB93" t="e">
        <f>AND(#REF!,"AAAAAHl8/4M=")</f>
        <v>#REF!</v>
      </c>
      <c r="EC93" t="e">
        <f>AND(#REF!,"AAAAAHl8/4Q=")</f>
        <v>#REF!</v>
      </c>
      <c r="ED93" t="e">
        <f>IF(#REF!,"AAAAAHl8/4U=",0)</f>
        <v>#REF!</v>
      </c>
      <c r="EE93" t="e">
        <f>AND(#REF!,"AAAAAHl8/4Y=")</f>
        <v>#REF!</v>
      </c>
      <c r="EF93" t="e">
        <f>AND(#REF!,"AAAAAHl8/4c=")</f>
        <v>#REF!</v>
      </c>
      <c r="EG93" t="e">
        <f>AND(#REF!,"AAAAAHl8/4g=")</f>
        <v>#REF!</v>
      </c>
      <c r="EH93" t="e">
        <f>AND(#REF!,"AAAAAHl8/4k=")</f>
        <v>#REF!</v>
      </c>
      <c r="EI93" t="e">
        <f>AND(#REF!,"AAAAAHl8/4o=")</f>
        <v>#REF!</v>
      </c>
      <c r="EJ93" t="e">
        <f>AND(#REF!,"AAAAAHl8/4s=")</f>
        <v>#REF!</v>
      </c>
      <c r="EK93" t="e">
        <f>AND(#REF!,"AAAAAHl8/4w=")</f>
        <v>#REF!</v>
      </c>
      <c r="EL93" t="e">
        <f>AND(#REF!,"AAAAAHl8/40=")</f>
        <v>#REF!</v>
      </c>
      <c r="EM93" t="e">
        <f>AND(#REF!,"AAAAAHl8/44=")</f>
        <v>#REF!</v>
      </c>
      <c r="EN93" t="e">
        <f>AND(#REF!,"AAAAAHl8/48=")</f>
        <v>#REF!</v>
      </c>
      <c r="EO93" t="e">
        <f>AND(#REF!,"AAAAAHl8/5A=")</f>
        <v>#REF!</v>
      </c>
      <c r="EP93" t="e">
        <f>AND(#REF!,"AAAAAHl8/5E=")</f>
        <v>#REF!</v>
      </c>
      <c r="EQ93" t="e">
        <f>AND(#REF!,"AAAAAHl8/5I=")</f>
        <v>#REF!</v>
      </c>
      <c r="ER93" t="e">
        <f>AND(#REF!,"AAAAAHl8/5M=")</f>
        <v>#REF!</v>
      </c>
      <c r="ES93" t="e">
        <f>AND(#REF!,"AAAAAHl8/5Q=")</f>
        <v>#REF!</v>
      </c>
      <c r="ET93" t="e">
        <f>AND(#REF!,"AAAAAHl8/5U=")</f>
        <v>#REF!</v>
      </c>
      <c r="EU93" t="e">
        <f>AND(#REF!,"AAAAAHl8/5Y=")</f>
        <v>#REF!</v>
      </c>
      <c r="EV93" t="e">
        <f>AND(#REF!,"AAAAAHl8/5c=")</f>
        <v>#REF!</v>
      </c>
      <c r="EW93" t="e">
        <f>AND(#REF!,"AAAAAHl8/5g=")</f>
        <v>#REF!</v>
      </c>
      <c r="EX93" t="e">
        <f>AND(#REF!,"AAAAAHl8/5k=")</f>
        <v>#REF!</v>
      </c>
      <c r="EY93" t="e">
        <f>AND(#REF!,"AAAAAHl8/5o=")</f>
        <v>#REF!</v>
      </c>
      <c r="EZ93" t="e">
        <f>AND(#REF!,"AAAAAHl8/5s=")</f>
        <v>#REF!</v>
      </c>
      <c r="FA93" t="e">
        <f>AND(#REF!,"AAAAAHl8/5w=")</f>
        <v>#REF!</v>
      </c>
      <c r="FB93" t="e">
        <f>AND(#REF!,"AAAAAHl8/50=")</f>
        <v>#REF!</v>
      </c>
      <c r="FC93" t="e">
        <f>IF(#REF!,"AAAAAHl8/54=",0)</f>
        <v>#REF!</v>
      </c>
      <c r="FD93" t="e">
        <f>AND(#REF!,"AAAAAHl8/58=")</f>
        <v>#REF!</v>
      </c>
      <c r="FE93" t="e">
        <f>AND(#REF!,"AAAAAHl8/6A=")</f>
        <v>#REF!</v>
      </c>
      <c r="FF93" t="e">
        <f>AND(#REF!,"AAAAAHl8/6E=")</f>
        <v>#REF!</v>
      </c>
      <c r="FG93" t="e">
        <f>AND(#REF!,"AAAAAHl8/6I=")</f>
        <v>#REF!</v>
      </c>
      <c r="FH93" t="e">
        <f>AND(#REF!,"AAAAAHl8/6M=")</f>
        <v>#REF!</v>
      </c>
      <c r="FI93" t="e">
        <f>AND(#REF!,"AAAAAHl8/6Q=")</f>
        <v>#REF!</v>
      </c>
      <c r="FJ93" t="e">
        <f>AND(#REF!,"AAAAAHl8/6U=")</f>
        <v>#REF!</v>
      </c>
      <c r="FK93" t="e">
        <f>AND(#REF!,"AAAAAHl8/6Y=")</f>
        <v>#REF!</v>
      </c>
      <c r="FL93" t="e">
        <f>AND(#REF!,"AAAAAHl8/6c=")</f>
        <v>#REF!</v>
      </c>
      <c r="FM93" t="e">
        <f>AND(#REF!,"AAAAAHl8/6g=")</f>
        <v>#REF!</v>
      </c>
      <c r="FN93" t="e">
        <f>AND(#REF!,"AAAAAHl8/6k=")</f>
        <v>#REF!</v>
      </c>
      <c r="FO93" t="e">
        <f>AND(#REF!,"AAAAAHl8/6o=")</f>
        <v>#REF!</v>
      </c>
      <c r="FP93" t="e">
        <f>AND(#REF!,"AAAAAHl8/6s=")</f>
        <v>#REF!</v>
      </c>
      <c r="FQ93" t="e">
        <f>AND(#REF!,"AAAAAHl8/6w=")</f>
        <v>#REF!</v>
      </c>
      <c r="FR93" t="e">
        <f>AND(#REF!,"AAAAAHl8/60=")</f>
        <v>#REF!</v>
      </c>
      <c r="FS93" t="e">
        <f>AND(#REF!,"AAAAAHl8/64=")</f>
        <v>#REF!</v>
      </c>
      <c r="FT93" t="e">
        <f>AND(#REF!,"AAAAAHl8/68=")</f>
        <v>#REF!</v>
      </c>
      <c r="FU93" t="e">
        <f>AND(#REF!,"AAAAAHl8/7A=")</f>
        <v>#REF!</v>
      </c>
      <c r="FV93" t="e">
        <f>AND(#REF!,"AAAAAHl8/7E=")</f>
        <v>#REF!</v>
      </c>
      <c r="FW93" t="e">
        <f>AND(#REF!,"AAAAAHl8/7I=")</f>
        <v>#REF!</v>
      </c>
      <c r="FX93" t="e">
        <f>AND(#REF!,"AAAAAHl8/7M=")</f>
        <v>#REF!</v>
      </c>
      <c r="FY93" t="e">
        <f>AND(#REF!,"AAAAAHl8/7Q=")</f>
        <v>#REF!</v>
      </c>
      <c r="FZ93" t="e">
        <f>AND(#REF!,"AAAAAHl8/7U=")</f>
        <v>#REF!</v>
      </c>
      <c r="GA93" t="e">
        <f>AND(#REF!,"AAAAAHl8/7Y=")</f>
        <v>#REF!</v>
      </c>
      <c r="GB93" t="e">
        <f>IF(#REF!,"AAAAAHl8/7c=",0)</f>
        <v>#REF!</v>
      </c>
      <c r="GC93" t="e">
        <f>AND(#REF!,"AAAAAHl8/7g=")</f>
        <v>#REF!</v>
      </c>
      <c r="GD93" t="e">
        <f>AND(#REF!,"AAAAAHl8/7k=")</f>
        <v>#REF!</v>
      </c>
      <c r="GE93" t="e">
        <f>AND(#REF!,"AAAAAHl8/7o=")</f>
        <v>#REF!</v>
      </c>
      <c r="GF93" t="e">
        <f>AND(#REF!,"AAAAAHl8/7s=")</f>
        <v>#REF!</v>
      </c>
      <c r="GG93" t="e">
        <f>AND(#REF!,"AAAAAHl8/7w=")</f>
        <v>#REF!</v>
      </c>
      <c r="GH93" t="e">
        <f>AND(#REF!,"AAAAAHl8/70=")</f>
        <v>#REF!</v>
      </c>
      <c r="GI93" t="e">
        <f>AND(#REF!,"AAAAAHl8/74=")</f>
        <v>#REF!</v>
      </c>
      <c r="GJ93" t="e">
        <f>AND(#REF!,"AAAAAHl8/78=")</f>
        <v>#REF!</v>
      </c>
      <c r="GK93" t="e">
        <f>AND(#REF!,"AAAAAHl8/8A=")</f>
        <v>#REF!</v>
      </c>
      <c r="GL93" t="e">
        <f>AND(#REF!,"AAAAAHl8/8E=")</f>
        <v>#REF!</v>
      </c>
      <c r="GM93" t="e">
        <f>AND(#REF!,"AAAAAHl8/8I=")</f>
        <v>#REF!</v>
      </c>
      <c r="GN93" t="e">
        <f>AND(#REF!,"AAAAAHl8/8M=")</f>
        <v>#REF!</v>
      </c>
      <c r="GO93" t="e">
        <f>AND(#REF!,"AAAAAHl8/8Q=")</f>
        <v>#REF!</v>
      </c>
      <c r="GP93" t="e">
        <f>AND(#REF!,"AAAAAHl8/8U=")</f>
        <v>#REF!</v>
      </c>
      <c r="GQ93" t="e">
        <f>AND(#REF!,"AAAAAHl8/8Y=")</f>
        <v>#REF!</v>
      </c>
      <c r="GR93" t="e">
        <f>AND(#REF!,"AAAAAHl8/8c=")</f>
        <v>#REF!</v>
      </c>
      <c r="GS93" t="e">
        <f>AND(#REF!,"AAAAAHl8/8g=")</f>
        <v>#REF!</v>
      </c>
      <c r="GT93" t="e">
        <f>AND(#REF!,"AAAAAHl8/8k=")</f>
        <v>#REF!</v>
      </c>
      <c r="GU93" t="e">
        <f>AND(#REF!,"AAAAAHl8/8o=")</f>
        <v>#REF!</v>
      </c>
      <c r="GV93" t="e">
        <f>AND(#REF!,"AAAAAHl8/8s=")</f>
        <v>#REF!</v>
      </c>
      <c r="GW93" t="e">
        <f>AND(#REF!,"AAAAAHl8/8w=")</f>
        <v>#REF!</v>
      </c>
      <c r="GX93" t="e">
        <f>AND(#REF!,"AAAAAHl8/80=")</f>
        <v>#REF!</v>
      </c>
      <c r="GY93" t="e">
        <f>AND(#REF!,"AAAAAHl8/84=")</f>
        <v>#REF!</v>
      </c>
      <c r="GZ93" t="e">
        <f>AND(#REF!,"AAAAAHl8/88=")</f>
        <v>#REF!</v>
      </c>
      <c r="HA93" t="e">
        <f>IF(#REF!,"AAAAAHl8/9A=",0)</f>
        <v>#REF!</v>
      </c>
      <c r="HB93" t="e">
        <f>AND(#REF!,"AAAAAHl8/9E=")</f>
        <v>#REF!</v>
      </c>
      <c r="HC93" t="e">
        <f>AND(#REF!,"AAAAAHl8/9I=")</f>
        <v>#REF!</v>
      </c>
      <c r="HD93" t="e">
        <f>AND(#REF!,"AAAAAHl8/9M=")</f>
        <v>#REF!</v>
      </c>
      <c r="HE93" t="e">
        <f>AND(#REF!,"AAAAAHl8/9Q=")</f>
        <v>#REF!</v>
      </c>
      <c r="HF93" t="e">
        <f>AND(#REF!,"AAAAAHl8/9U=")</f>
        <v>#REF!</v>
      </c>
      <c r="HG93" t="e">
        <f>AND(#REF!,"AAAAAHl8/9Y=")</f>
        <v>#REF!</v>
      </c>
      <c r="HH93" t="e">
        <f>AND(#REF!,"AAAAAHl8/9c=")</f>
        <v>#REF!</v>
      </c>
      <c r="HI93" t="e">
        <f>AND(#REF!,"AAAAAHl8/9g=")</f>
        <v>#REF!</v>
      </c>
      <c r="HJ93" t="e">
        <f>AND(#REF!,"AAAAAHl8/9k=")</f>
        <v>#REF!</v>
      </c>
      <c r="HK93" t="e">
        <f>AND(#REF!,"AAAAAHl8/9o=")</f>
        <v>#REF!</v>
      </c>
      <c r="HL93" t="e">
        <f>AND(#REF!,"AAAAAHl8/9s=")</f>
        <v>#REF!</v>
      </c>
      <c r="HM93" t="e">
        <f>AND(#REF!,"AAAAAHl8/9w=")</f>
        <v>#REF!</v>
      </c>
      <c r="HN93" t="e">
        <f>AND(#REF!,"AAAAAHl8/90=")</f>
        <v>#REF!</v>
      </c>
      <c r="HO93" t="e">
        <f>AND(#REF!,"AAAAAHl8/94=")</f>
        <v>#REF!</v>
      </c>
      <c r="HP93" t="e">
        <f>AND(#REF!,"AAAAAHl8/98=")</f>
        <v>#REF!</v>
      </c>
      <c r="HQ93" t="e">
        <f>AND(#REF!,"AAAAAHl8/+A=")</f>
        <v>#REF!</v>
      </c>
      <c r="HR93" t="e">
        <f>AND(#REF!,"AAAAAHl8/+E=")</f>
        <v>#REF!</v>
      </c>
      <c r="HS93" t="e">
        <f>AND(#REF!,"AAAAAHl8/+I=")</f>
        <v>#REF!</v>
      </c>
      <c r="HT93" t="e">
        <f>AND(#REF!,"AAAAAHl8/+M=")</f>
        <v>#REF!</v>
      </c>
      <c r="HU93" t="e">
        <f>AND(#REF!,"AAAAAHl8/+Q=")</f>
        <v>#REF!</v>
      </c>
      <c r="HV93" t="e">
        <f>AND(#REF!,"AAAAAHl8/+U=")</f>
        <v>#REF!</v>
      </c>
      <c r="HW93" t="e">
        <f>AND(#REF!,"AAAAAHl8/+Y=")</f>
        <v>#REF!</v>
      </c>
      <c r="HX93" t="e">
        <f>AND(#REF!,"AAAAAHl8/+c=")</f>
        <v>#REF!</v>
      </c>
      <c r="HY93" t="e">
        <f>AND(#REF!,"AAAAAHl8/+g=")</f>
        <v>#REF!</v>
      </c>
      <c r="HZ93" t="e">
        <f>IF(#REF!,"AAAAAHl8/+k=",0)</f>
        <v>#REF!</v>
      </c>
      <c r="IA93" t="e">
        <f>AND(#REF!,"AAAAAHl8/+o=")</f>
        <v>#REF!</v>
      </c>
      <c r="IB93" t="e">
        <f>AND(#REF!,"AAAAAHl8/+s=")</f>
        <v>#REF!</v>
      </c>
      <c r="IC93" t="e">
        <f>AND(#REF!,"AAAAAHl8/+w=")</f>
        <v>#REF!</v>
      </c>
      <c r="ID93" t="e">
        <f>AND(#REF!,"AAAAAHl8/+0=")</f>
        <v>#REF!</v>
      </c>
      <c r="IE93" t="e">
        <f>AND(#REF!,"AAAAAHl8/+4=")</f>
        <v>#REF!</v>
      </c>
      <c r="IF93" t="e">
        <f>AND(#REF!,"AAAAAHl8/+8=")</f>
        <v>#REF!</v>
      </c>
      <c r="IG93" t="e">
        <f>AND(#REF!,"AAAAAHl8//A=")</f>
        <v>#REF!</v>
      </c>
      <c r="IH93" t="e">
        <f>AND(#REF!,"AAAAAHl8//E=")</f>
        <v>#REF!</v>
      </c>
      <c r="II93" t="e">
        <f>AND(#REF!,"AAAAAHl8//I=")</f>
        <v>#REF!</v>
      </c>
      <c r="IJ93" t="e">
        <f>AND(#REF!,"AAAAAHl8//M=")</f>
        <v>#REF!</v>
      </c>
      <c r="IK93" t="e">
        <f>AND(#REF!,"AAAAAHl8//Q=")</f>
        <v>#REF!</v>
      </c>
      <c r="IL93" t="e">
        <f>AND(#REF!,"AAAAAHl8//U=")</f>
        <v>#REF!</v>
      </c>
      <c r="IM93" t="e">
        <f>AND(#REF!,"AAAAAHl8//Y=")</f>
        <v>#REF!</v>
      </c>
      <c r="IN93" t="e">
        <f>AND(#REF!,"AAAAAHl8//c=")</f>
        <v>#REF!</v>
      </c>
      <c r="IO93" t="e">
        <f>AND(#REF!,"AAAAAHl8//g=")</f>
        <v>#REF!</v>
      </c>
      <c r="IP93" t="e">
        <f>AND(#REF!,"AAAAAHl8//k=")</f>
        <v>#REF!</v>
      </c>
      <c r="IQ93" t="e">
        <f>AND(#REF!,"AAAAAHl8//o=")</f>
        <v>#REF!</v>
      </c>
      <c r="IR93" t="e">
        <f>AND(#REF!,"AAAAAHl8//s=")</f>
        <v>#REF!</v>
      </c>
      <c r="IS93" t="e">
        <f>AND(#REF!,"AAAAAHl8//w=")</f>
        <v>#REF!</v>
      </c>
      <c r="IT93" t="e">
        <f>AND(#REF!,"AAAAAHl8//0=")</f>
        <v>#REF!</v>
      </c>
      <c r="IU93" t="e">
        <f>AND(#REF!,"AAAAAHl8//4=")</f>
        <v>#REF!</v>
      </c>
      <c r="IV93" t="e">
        <f>AND(#REF!,"AAAAAHl8//8=")</f>
        <v>#REF!</v>
      </c>
    </row>
    <row r="94" spans="1:256">
      <c r="A94" t="e">
        <f>AND(#REF!,"AAAAAHf/3wA=")</f>
        <v>#REF!</v>
      </c>
      <c r="B94" t="e">
        <f>AND(#REF!,"AAAAAHf/3wE=")</f>
        <v>#REF!</v>
      </c>
      <c r="C94" t="e">
        <f>IF(#REF!,"AAAAAHf/3wI=",0)</f>
        <v>#REF!</v>
      </c>
      <c r="D94" t="e">
        <f>AND(#REF!,"AAAAAHf/3wM=")</f>
        <v>#REF!</v>
      </c>
      <c r="E94" t="e">
        <f>AND(#REF!,"AAAAAHf/3wQ=")</f>
        <v>#REF!</v>
      </c>
      <c r="F94" t="e">
        <f>AND(#REF!,"AAAAAHf/3wU=")</f>
        <v>#REF!</v>
      </c>
      <c r="G94" t="e">
        <f>AND(#REF!,"AAAAAHf/3wY=")</f>
        <v>#REF!</v>
      </c>
      <c r="H94" t="e">
        <f>AND(#REF!,"AAAAAHf/3wc=")</f>
        <v>#REF!</v>
      </c>
      <c r="I94" t="e">
        <f>AND(#REF!,"AAAAAHf/3wg=")</f>
        <v>#REF!</v>
      </c>
      <c r="J94" t="e">
        <f>AND(#REF!,"AAAAAHf/3wk=")</f>
        <v>#REF!</v>
      </c>
      <c r="K94" t="e">
        <f>AND(#REF!,"AAAAAHf/3wo=")</f>
        <v>#REF!</v>
      </c>
      <c r="L94" t="e">
        <f>AND(#REF!,"AAAAAHf/3ws=")</f>
        <v>#REF!</v>
      </c>
      <c r="M94" t="e">
        <f>AND(#REF!,"AAAAAHf/3ww=")</f>
        <v>#REF!</v>
      </c>
      <c r="N94" t="e">
        <f>AND(#REF!,"AAAAAHf/3w0=")</f>
        <v>#REF!</v>
      </c>
      <c r="O94" t="e">
        <f>AND(#REF!,"AAAAAHf/3w4=")</f>
        <v>#REF!</v>
      </c>
      <c r="P94" t="e">
        <f>AND(#REF!,"AAAAAHf/3w8=")</f>
        <v>#REF!</v>
      </c>
      <c r="Q94" t="e">
        <f>AND(#REF!,"AAAAAHf/3xA=")</f>
        <v>#REF!</v>
      </c>
      <c r="R94" t="e">
        <f>AND(#REF!,"AAAAAHf/3xE=")</f>
        <v>#REF!</v>
      </c>
      <c r="S94" t="e">
        <f>AND(#REF!,"AAAAAHf/3xI=")</f>
        <v>#REF!</v>
      </c>
      <c r="T94" t="e">
        <f>AND(#REF!,"AAAAAHf/3xM=")</f>
        <v>#REF!</v>
      </c>
      <c r="U94" t="e">
        <f>AND(#REF!,"AAAAAHf/3xQ=")</f>
        <v>#REF!</v>
      </c>
      <c r="V94" t="e">
        <f>AND(#REF!,"AAAAAHf/3xU=")</f>
        <v>#REF!</v>
      </c>
      <c r="W94" t="e">
        <f>AND(#REF!,"AAAAAHf/3xY=")</f>
        <v>#REF!</v>
      </c>
      <c r="X94" t="e">
        <f>AND(#REF!,"AAAAAHf/3xc=")</f>
        <v>#REF!</v>
      </c>
      <c r="Y94" t="e">
        <f>AND(#REF!,"AAAAAHf/3xg=")</f>
        <v>#REF!</v>
      </c>
      <c r="Z94" t="e">
        <f>AND(#REF!,"AAAAAHf/3xk=")</f>
        <v>#REF!</v>
      </c>
      <c r="AA94" t="e">
        <f>AND(#REF!,"AAAAAHf/3xo=")</f>
        <v>#REF!</v>
      </c>
      <c r="AB94" t="e">
        <f>IF(#REF!,"AAAAAHf/3xs=",0)</f>
        <v>#REF!</v>
      </c>
      <c r="AC94" t="e">
        <f>AND(#REF!,"AAAAAHf/3xw=")</f>
        <v>#REF!</v>
      </c>
      <c r="AD94" t="e">
        <f>AND(#REF!,"AAAAAHf/3x0=")</f>
        <v>#REF!</v>
      </c>
      <c r="AE94" t="e">
        <f>AND(#REF!,"AAAAAHf/3x4=")</f>
        <v>#REF!</v>
      </c>
      <c r="AF94" t="e">
        <f>AND(#REF!,"AAAAAHf/3x8=")</f>
        <v>#REF!</v>
      </c>
      <c r="AG94" t="e">
        <f>AND(#REF!,"AAAAAHf/3yA=")</f>
        <v>#REF!</v>
      </c>
      <c r="AH94" t="e">
        <f>AND(#REF!,"AAAAAHf/3yE=")</f>
        <v>#REF!</v>
      </c>
      <c r="AI94" t="e">
        <f>AND(#REF!,"AAAAAHf/3yI=")</f>
        <v>#REF!</v>
      </c>
      <c r="AJ94" t="e">
        <f>AND(#REF!,"AAAAAHf/3yM=")</f>
        <v>#REF!</v>
      </c>
      <c r="AK94" t="e">
        <f>AND(#REF!,"AAAAAHf/3yQ=")</f>
        <v>#REF!</v>
      </c>
      <c r="AL94" t="e">
        <f>AND(#REF!,"AAAAAHf/3yU=")</f>
        <v>#REF!</v>
      </c>
      <c r="AM94" t="e">
        <f>AND(#REF!,"AAAAAHf/3yY=")</f>
        <v>#REF!</v>
      </c>
      <c r="AN94" t="e">
        <f>AND(#REF!,"AAAAAHf/3yc=")</f>
        <v>#REF!</v>
      </c>
      <c r="AO94" t="e">
        <f>AND(#REF!,"AAAAAHf/3yg=")</f>
        <v>#REF!</v>
      </c>
      <c r="AP94" t="e">
        <f>AND(#REF!,"AAAAAHf/3yk=")</f>
        <v>#REF!</v>
      </c>
      <c r="AQ94" t="e">
        <f>AND(#REF!,"AAAAAHf/3yo=")</f>
        <v>#REF!</v>
      </c>
      <c r="AR94" t="e">
        <f>AND(#REF!,"AAAAAHf/3ys=")</f>
        <v>#REF!</v>
      </c>
      <c r="AS94" t="e">
        <f>AND(#REF!,"AAAAAHf/3yw=")</f>
        <v>#REF!</v>
      </c>
      <c r="AT94" t="e">
        <f>AND(#REF!,"AAAAAHf/3y0=")</f>
        <v>#REF!</v>
      </c>
      <c r="AU94" t="e">
        <f>AND(#REF!,"AAAAAHf/3y4=")</f>
        <v>#REF!</v>
      </c>
      <c r="AV94" t="e">
        <f>AND(#REF!,"AAAAAHf/3y8=")</f>
        <v>#REF!</v>
      </c>
      <c r="AW94" t="e">
        <f>AND(#REF!,"AAAAAHf/3zA=")</f>
        <v>#REF!</v>
      </c>
      <c r="AX94" t="e">
        <f>AND(#REF!,"AAAAAHf/3zE=")</f>
        <v>#REF!</v>
      </c>
      <c r="AY94" t="e">
        <f>AND(#REF!,"AAAAAHf/3zI=")</f>
        <v>#REF!</v>
      </c>
      <c r="AZ94" t="e">
        <f>AND(#REF!,"AAAAAHf/3zM=")</f>
        <v>#REF!</v>
      </c>
      <c r="BA94" t="e">
        <f>IF(#REF!,"AAAAAHf/3zQ=",0)</f>
        <v>#REF!</v>
      </c>
      <c r="BB94" t="e">
        <f>AND(#REF!,"AAAAAHf/3zU=")</f>
        <v>#REF!</v>
      </c>
      <c r="BC94" t="e">
        <f>AND(#REF!,"AAAAAHf/3zY=")</f>
        <v>#REF!</v>
      </c>
      <c r="BD94" t="e">
        <f>AND(#REF!,"AAAAAHf/3zc=")</f>
        <v>#REF!</v>
      </c>
      <c r="BE94" t="e">
        <f>AND(#REF!,"AAAAAHf/3zg=")</f>
        <v>#REF!</v>
      </c>
      <c r="BF94" t="e">
        <f>AND(#REF!,"AAAAAHf/3zk=")</f>
        <v>#REF!</v>
      </c>
      <c r="BG94" t="e">
        <f>AND(#REF!,"AAAAAHf/3zo=")</f>
        <v>#REF!</v>
      </c>
      <c r="BH94" t="e">
        <f>AND(#REF!,"AAAAAHf/3zs=")</f>
        <v>#REF!</v>
      </c>
      <c r="BI94" t="e">
        <f>AND(#REF!,"AAAAAHf/3zw=")</f>
        <v>#REF!</v>
      </c>
      <c r="BJ94" t="e">
        <f>AND(#REF!,"AAAAAHf/3z0=")</f>
        <v>#REF!</v>
      </c>
      <c r="BK94" t="e">
        <f>AND(#REF!,"AAAAAHf/3z4=")</f>
        <v>#REF!</v>
      </c>
      <c r="BL94" t="e">
        <f>AND(#REF!,"AAAAAHf/3z8=")</f>
        <v>#REF!</v>
      </c>
      <c r="BM94" t="e">
        <f>AND(#REF!,"AAAAAHf/30A=")</f>
        <v>#REF!</v>
      </c>
      <c r="BN94" t="e">
        <f>AND(#REF!,"AAAAAHf/30E=")</f>
        <v>#REF!</v>
      </c>
      <c r="BO94" t="e">
        <f>AND(#REF!,"AAAAAHf/30I=")</f>
        <v>#REF!</v>
      </c>
      <c r="BP94" t="e">
        <f>AND(#REF!,"AAAAAHf/30M=")</f>
        <v>#REF!</v>
      </c>
      <c r="BQ94" t="e">
        <f>AND(#REF!,"AAAAAHf/30Q=")</f>
        <v>#REF!</v>
      </c>
      <c r="BR94" t="e">
        <f>AND(#REF!,"AAAAAHf/30U=")</f>
        <v>#REF!</v>
      </c>
      <c r="BS94" t="e">
        <f>AND(#REF!,"AAAAAHf/30Y=")</f>
        <v>#REF!</v>
      </c>
      <c r="BT94" t="e">
        <f>AND(#REF!,"AAAAAHf/30c=")</f>
        <v>#REF!</v>
      </c>
      <c r="BU94" t="e">
        <f>AND(#REF!,"AAAAAHf/30g=")</f>
        <v>#REF!</v>
      </c>
      <c r="BV94" t="e">
        <f>AND(#REF!,"AAAAAHf/30k=")</f>
        <v>#REF!</v>
      </c>
      <c r="BW94" t="e">
        <f>AND(#REF!,"AAAAAHf/30o=")</f>
        <v>#REF!</v>
      </c>
      <c r="BX94" t="e">
        <f>AND(#REF!,"AAAAAHf/30s=")</f>
        <v>#REF!</v>
      </c>
      <c r="BY94" t="e">
        <f>AND(#REF!,"AAAAAHf/30w=")</f>
        <v>#REF!</v>
      </c>
      <c r="BZ94" t="e">
        <f>IF(#REF!,"AAAAAHf/300=",0)</f>
        <v>#REF!</v>
      </c>
      <c r="CA94" t="e">
        <f>AND(#REF!,"AAAAAHf/304=")</f>
        <v>#REF!</v>
      </c>
      <c r="CB94" t="e">
        <f>AND(#REF!,"AAAAAHf/308=")</f>
        <v>#REF!</v>
      </c>
      <c r="CC94" t="e">
        <f>AND(#REF!,"AAAAAHf/31A=")</f>
        <v>#REF!</v>
      </c>
      <c r="CD94" t="e">
        <f>AND(#REF!,"AAAAAHf/31E=")</f>
        <v>#REF!</v>
      </c>
      <c r="CE94" t="e">
        <f>AND(#REF!,"AAAAAHf/31I=")</f>
        <v>#REF!</v>
      </c>
      <c r="CF94" t="e">
        <f>AND(#REF!,"AAAAAHf/31M=")</f>
        <v>#REF!</v>
      </c>
      <c r="CG94" t="e">
        <f>AND(#REF!,"AAAAAHf/31Q=")</f>
        <v>#REF!</v>
      </c>
      <c r="CH94" t="e">
        <f>AND(#REF!,"AAAAAHf/31U=")</f>
        <v>#REF!</v>
      </c>
      <c r="CI94" t="e">
        <f>AND(#REF!,"AAAAAHf/31Y=")</f>
        <v>#REF!</v>
      </c>
      <c r="CJ94" t="e">
        <f>AND(#REF!,"AAAAAHf/31c=")</f>
        <v>#REF!</v>
      </c>
      <c r="CK94" t="e">
        <f>AND(#REF!,"AAAAAHf/31g=")</f>
        <v>#REF!</v>
      </c>
      <c r="CL94" t="e">
        <f>AND(#REF!,"AAAAAHf/31k=")</f>
        <v>#REF!</v>
      </c>
      <c r="CM94" t="e">
        <f>AND(#REF!,"AAAAAHf/31o=")</f>
        <v>#REF!</v>
      </c>
      <c r="CN94" t="e">
        <f>AND(#REF!,"AAAAAHf/31s=")</f>
        <v>#REF!</v>
      </c>
      <c r="CO94" t="e">
        <f>AND(#REF!,"AAAAAHf/31w=")</f>
        <v>#REF!</v>
      </c>
      <c r="CP94" t="e">
        <f>AND(#REF!,"AAAAAHf/310=")</f>
        <v>#REF!</v>
      </c>
      <c r="CQ94" t="e">
        <f>AND(#REF!,"AAAAAHf/314=")</f>
        <v>#REF!</v>
      </c>
      <c r="CR94" t="e">
        <f>AND(#REF!,"AAAAAHf/318=")</f>
        <v>#REF!</v>
      </c>
      <c r="CS94" t="e">
        <f>AND(#REF!,"AAAAAHf/32A=")</f>
        <v>#REF!</v>
      </c>
      <c r="CT94" t="e">
        <f>AND(#REF!,"AAAAAHf/32E=")</f>
        <v>#REF!</v>
      </c>
      <c r="CU94" t="e">
        <f>AND(#REF!,"AAAAAHf/32I=")</f>
        <v>#REF!</v>
      </c>
      <c r="CV94" t="e">
        <f>AND(#REF!,"AAAAAHf/32M=")</f>
        <v>#REF!</v>
      </c>
      <c r="CW94" t="e">
        <f>AND(#REF!,"AAAAAHf/32Q=")</f>
        <v>#REF!</v>
      </c>
      <c r="CX94" t="e">
        <f>AND(#REF!,"AAAAAHf/32U=")</f>
        <v>#REF!</v>
      </c>
      <c r="CY94" t="e">
        <f>IF(#REF!,"AAAAAHf/32Y=",0)</f>
        <v>#REF!</v>
      </c>
      <c r="CZ94" t="e">
        <f>AND(#REF!,"AAAAAHf/32c=")</f>
        <v>#REF!</v>
      </c>
      <c r="DA94" t="e">
        <f>AND(#REF!,"AAAAAHf/32g=")</f>
        <v>#REF!</v>
      </c>
      <c r="DB94" t="e">
        <f>AND(#REF!,"AAAAAHf/32k=")</f>
        <v>#REF!</v>
      </c>
      <c r="DC94" t="e">
        <f>AND(#REF!,"AAAAAHf/32o=")</f>
        <v>#REF!</v>
      </c>
      <c r="DD94" t="e">
        <f>AND(#REF!,"AAAAAHf/32s=")</f>
        <v>#REF!</v>
      </c>
      <c r="DE94" t="e">
        <f>AND(#REF!,"AAAAAHf/32w=")</f>
        <v>#REF!</v>
      </c>
      <c r="DF94" t="e">
        <f>AND(#REF!,"AAAAAHf/320=")</f>
        <v>#REF!</v>
      </c>
      <c r="DG94" t="e">
        <f>AND(#REF!,"AAAAAHf/324=")</f>
        <v>#REF!</v>
      </c>
      <c r="DH94" t="e">
        <f>AND(#REF!,"AAAAAHf/328=")</f>
        <v>#REF!</v>
      </c>
      <c r="DI94" t="e">
        <f>AND(#REF!,"AAAAAHf/33A=")</f>
        <v>#REF!</v>
      </c>
      <c r="DJ94" t="e">
        <f>AND(#REF!,"AAAAAHf/33E=")</f>
        <v>#REF!</v>
      </c>
      <c r="DK94" t="e">
        <f>AND(#REF!,"AAAAAHf/33I=")</f>
        <v>#REF!</v>
      </c>
      <c r="DL94" t="e">
        <f>AND(#REF!,"AAAAAHf/33M=")</f>
        <v>#REF!</v>
      </c>
      <c r="DM94" t="e">
        <f>AND(#REF!,"AAAAAHf/33Q=")</f>
        <v>#REF!</v>
      </c>
      <c r="DN94" t="e">
        <f>AND(#REF!,"AAAAAHf/33U=")</f>
        <v>#REF!</v>
      </c>
      <c r="DO94" t="e">
        <f>AND(#REF!,"AAAAAHf/33Y=")</f>
        <v>#REF!</v>
      </c>
      <c r="DP94" t="e">
        <f>AND(#REF!,"AAAAAHf/33c=")</f>
        <v>#REF!</v>
      </c>
      <c r="DQ94" t="e">
        <f>AND(#REF!,"AAAAAHf/33g=")</f>
        <v>#REF!</v>
      </c>
      <c r="DR94" t="e">
        <f>AND(#REF!,"AAAAAHf/33k=")</f>
        <v>#REF!</v>
      </c>
      <c r="DS94" t="e">
        <f>AND(#REF!,"AAAAAHf/33o=")</f>
        <v>#REF!</v>
      </c>
      <c r="DT94" t="e">
        <f>AND(#REF!,"AAAAAHf/33s=")</f>
        <v>#REF!</v>
      </c>
      <c r="DU94" t="e">
        <f>AND(#REF!,"AAAAAHf/33w=")</f>
        <v>#REF!</v>
      </c>
      <c r="DV94" t="e">
        <f>AND(#REF!,"AAAAAHf/330=")</f>
        <v>#REF!</v>
      </c>
      <c r="DW94" t="e">
        <f>AND(#REF!,"AAAAAHf/334=")</f>
        <v>#REF!</v>
      </c>
      <c r="DX94" t="e">
        <f>IF(#REF!,"AAAAAHf/338=",0)</f>
        <v>#REF!</v>
      </c>
      <c r="DY94" t="e">
        <f>AND(#REF!,"AAAAAHf/34A=")</f>
        <v>#REF!</v>
      </c>
      <c r="DZ94" t="e">
        <f>AND(#REF!,"AAAAAHf/34E=")</f>
        <v>#REF!</v>
      </c>
      <c r="EA94" t="e">
        <f>AND(#REF!,"AAAAAHf/34I=")</f>
        <v>#REF!</v>
      </c>
      <c r="EB94" t="e">
        <f>AND(#REF!,"AAAAAHf/34M=")</f>
        <v>#REF!</v>
      </c>
      <c r="EC94" t="e">
        <f>AND(#REF!,"AAAAAHf/34Q=")</f>
        <v>#REF!</v>
      </c>
      <c r="ED94" t="e">
        <f>AND(#REF!,"AAAAAHf/34U=")</f>
        <v>#REF!</v>
      </c>
      <c r="EE94" t="e">
        <f>AND(#REF!,"AAAAAHf/34Y=")</f>
        <v>#REF!</v>
      </c>
      <c r="EF94" t="e">
        <f>AND(#REF!,"AAAAAHf/34c=")</f>
        <v>#REF!</v>
      </c>
      <c r="EG94" t="e">
        <f>AND(#REF!,"AAAAAHf/34g=")</f>
        <v>#REF!</v>
      </c>
      <c r="EH94" t="e">
        <f>AND(#REF!,"AAAAAHf/34k=")</f>
        <v>#REF!</v>
      </c>
      <c r="EI94" t="e">
        <f>AND(#REF!,"AAAAAHf/34o=")</f>
        <v>#REF!</v>
      </c>
      <c r="EJ94" t="e">
        <f>AND(#REF!,"AAAAAHf/34s=")</f>
        <v>#REF!</v>
      </c>
      <c r="EK94" t="e">
        <f>AND(#REF!,"AAAAAHf/34w=")</f>
        <v>#REF!</v>
      </c>
      <c r="EL94" t="e">
        <f>AND(#REF!,"AAAAAHf/340=")</f>
        <v>#REF!</v>
      </c>
      <c r="EM94" t="e">
        <f>AND(#REF!,"AAAAAHf/344=")</f>
        <v>#REF!</v>
      </c>
      <c r="EN94" t="e">
        <f>AND(#REF!,"AAAAAHf/348=")</f>
        <v>#REF!</v>
      </c>
      <c r="EO94" t="e">
        <f>AND(#REF!,"AAAAAHf/35A=")</f>
        <v>#REF!</v>
      </c>
      <c r="EP94" t="e">
        <f>AND(#REF!,"AAAAAHf/35E=")</f>
        <v>#REF!</v>
      </c>
      <c r="EQ94" t="e">
        <f>AND(#REF!,"AAAAAHf/35I=")</f>
        <v>#REF!</v>
      </c>
      <c r="ER94" t="e">
        <f>AND(#REF!,"AAAAAHf/35M=")</f>
        <v>#REF!</v>
      </c>
      <c r="ES94" t="e">
        <f>AND(#REF!,"AAAAAHf/35Q=")</f>
        <v>#REF!</v>
      </c>
      <c r="ET94" t="e">
        <f>AND(#REF!,"AAAAAHf/35U=")</f>
        <v>#REF!</v>
      </c>
      <c r="EU94" t="e">
        <f>AND(#REF!,"AAAAAHf/35Y=")</f>
        <v>#REF!</v>
      </c>
      <c r="EV94" t="e">
        <f>AND(#REF!,"AAAAAHf/35c=")</f>
        <v>#REF!</v>
      </c>
      <c r="EW94" t="e">
        <f>IF(#REF!,"AAAAAHf/35g=",0)</f>
        <v>#REF!</v>
      </c>
      <c r="EX94" t="e">
        <f>AND(#REF!,"AAAAAHf/35k=")</f>
        <v>#REF!</v>
      </c>
      <c r="EY94" t="e">
        <f>AND(#REF!,"AAAAAHf/35o=")</f>
        <v>#REF!</v>
      </c>
      <c r="EZ94" t="e">
        <f>AND(#REF!,"AAAAAHf/35s=")</f>
        <v>#REF!</v>
      </c>
      <c r="FA94" t="e">
        <f>AND(#REF!,"AAAAAHf/35w=")</f>
        <v>#REF!</v>
      </c>
      <c r="FB94" t="e">
        <f>AND(#REF!,"AAAAAHf/350=")</f>
        <v>#REF!</v>
      </c>
      <c r="FC94" t="e">
        <f>AND(#REF!,"AAAAAHf/354=")</f>
        <v>#REF!</v>
      </c>
      <c r="FD94" t="e">
        <f>AND(#REF!,"AAAAAHf/358=")</f>
        <v>#REF!</v>
      </c>
      <c r="FE94" t="e">
        <f>AND(#REF!,"AAAAAHf/36A=")</f>
        <v>#REF!</v>
      </c>
      <c r="FF94" t="e">
        <f>AND(#REF!,"AAAAAHf/36E=")</f>
        <v>#REF!</v>
      </c>
      <c r="FG94" t="e">
        <f>AND(#REF!,"AAAAAHf/36I=")</f>
        <v>#REF!</v>
      </c>
      <c r="FH94" t="e">
        <f>AND(#REF!,"AAAAAHf/36M=")</f>
        <v>#REF!</v>
      </c>
      <c r="FI94" t="e">
        <f>AND(#REF!,"AAAAAHf/36Q=")</f>
        <v>#REF!</v>
      </c>
      <c r="FJ94" t="e">
        <f>AND(#REF!,"AAAAAHf/36U=")</f>
        <v>#REF!</v>
      </c>
      <c r="FK94" t="e">
        <f>AND(#REF!,"AAAAAHf/36Y=")</f>
        <v>#REF!</v>
      </c>
      <c r="FL94" t="e">
        <f>AND(#REF!,"AAAAAHf/36c=")</f>
        <v>#REF!</v>
      </c>
      <c r="FM94" t="e">
        <f>AND(#REF!,"AAAAAHf/36g=")</f>
        <v>#REF!</v>
      </c>
      <c r="FN94" t="e">
        <f>AND(#REF!,"AAAAAHf/36k=")</f>
        <v>#REF!</v>
      </c>
      <c r="FO94" t="e">
        <f>AND(#REF!,"AAAAAHf/36o=")</f>
        <v>#REF!</v>
      </c>
      <c r="FP94" t="e">
        <f>AND(#REF!,"AAAAAHf/36s=")</f>
        <v>#REF!</v>
      </c>
      <c r="FQ94" t="e">
        <f>AND(#REF!,"AAAAAHf/36w=")</f>
        <v>#REF!</v>
      </c>
      <c r="FR94" t="e">
        <f>AND(#REF!,"AAAAAHf/360=")</f>
        <v>#REF!</v>
      </c>
      <c r="FS94" t="e">
        <f>AND(#REF!,"AAAAAHf/364=")</f>
        <v>#REF!</v>
      </c>
      <c r="FT94" t="e">
        <f>AND(#REF!,"AAAAAHf/368=")</f>
        <v>#REF!</v>
      </c>
      <c r="FU94" t="e">
        <f>AND(#REF!,"AAAAAHf/37A=")</f>
        <v>#REF!</v>
      </c>
      <c r="FV94" t="e">
        <f>IF(#REF!,"AAAAAHf/37E=",0)</f>
        <v>#REF!</v>
      </c>
      <c r="FW94" t="e">
        <f>AND(#REF!,"AAAAAHf/37I=")</f>
        <v>#REF!</v>
      </c>
      <c r="FX94" t="e">
        <f>AND(#REF!,"AAAAAHf/37M=")</f>
        <v>#REF!</v>
      </c>
      <c r="FY94" t="e">
        <f>AND(#REF!,"AAAAAHf/37Q=")</f>
        <v>#REF!</v>
      </c>
      <c r="FZ94" t="e">
        <f>AND(#REF!,"AAAAAHf/37U=")</f>
        <v>#REF!</v>
      </c>
      <c r="GA94" t="e">
        <f>AND(#REF!,"AAAAAHf/37Y=")</f>
        <v>#REF!</v>
      </c>
      <c r="GB94" t="e">
        <f>AND(#REF!,"AAAAAHf/37c=")</f>
        <v>#REF!</v>
      </c>
      <c r="GC94" t="e">
        <f>AND(#REF!,"AAAAAHf/37g=")</f>
        <v>#REF!</v>
      </c>
      <c r="GD94" t="e">
        <f>AND(#REF!,"AAAAAHf/37k=")</f>
        <v>#REF!</v>
      </c>
      <c r="GE94" t="e">
        <f>AND(#REF!,"AAAAAHf/37o=")</f>
        <v>#REF!</v>
      </c>
      <c r="GF94" t="e">
        <f>AND(#REF!,"AAAAAHf/37s=")</f>
        <v>#REF!</v>
      </c>
      <c r="GG94" t="e">
        <f>AND(#REF!,"AAAAAHf/37w=")</f>
        <v>#REF!</v>
      </c>
      <c r="GH94" t="e">
        <f>AND(#REF!,"AAAAAHf/370=")</f>
        <v>#REF!</v>
      </c>
      <c r="GI94" t="e">
        <f>AND(#REF!,"AAAAAHf/374=")</f>
        <v>#REF!</v>
      </c>
      <c r="GJ94" t="e">
        <f>AND(#REF!,"AAAAAHf/378=")</f>
        <v>#REF!</v>
      </c>
      <c r="GK94" t="e">
        <f>AND(#REF!,"AAAAAHf/38A=")</f>
        <v>#REF!</v>
      </c>
      <c r="GL94" t="e">
        <f>AND(#REF!,"AAAAAHf/38E=")</f>
        <v>#REF!</v>
      </c>
      <c r="GM94" t="e">
        <f>AND(#REF!,"AAAAAHf/38I=")</f>
        <v>#REF!</v>
      </c>
      <c r="GN94" t="e">
        <f>AND(#REF!,"AAAAAHf/38M=")</f>
        <v>#REF!</v>
      </c>
      <c r="GO94" t="e">
        <f>AND(#REF!,"AAAAAHf/38Q=")</f>
        <v>#REF!</v>
      </c>
      <c r="GP94" t="e">
        <f>AND(#REF!,"AAAAAHf/38U=")</f>
        <v>#REF!</v>
      </c>
      <c r="GQ94" t="e">
        <f>AND(#REF!,"AAAAAHf/38Y=")</f>
        <v>#REF!</v>
      </c>
      <c r="GR94" t="e">
        <f>AND(#REF!,"AAAAAHf/38c=")</f>
        <v>#REF!</v>
      </c>
      <c r="GS94" t="e">
        <f>AND(#REF!,"AAAAAHf/38g=")</f>
        <v>#REF!</v>
      </c>
      <c r="GT94" t="e">
        <f>AND(#REF!,"AAAAAHf/38k=")</f>
        <v>#REF!</v>
      </c>
      <c r="GU94" t="e">
        <f>IF(#REF!,"AAAAAHf/38o=",0)</f>
        <v>#REF!</v>
      </c>
      <c r="GV94" t="e">
        <f>AND(#REF!,"AAAAAHf/38s=")</f>
        <v>#REF!</v>
      </c>
      <c r="GW94" t="e">
        <f>AND(#REF!,"AAAAAHf/38w=")</f>
        <v>#REF!</v>
      </c>
      <c r="GX94" t="e">
        <f>AND(#REF!,"AAAAAHf/380=")</f>
        <v>#REF!</v>
      </c>
      <c r="GY94" t="e">
        <f>AND(#REF!,"AAAAAHf/384=")</f>
        <v>#REF!</v>
      </c>
      <c r="GZ94" t="e">
        <f>AND(#REF!,"AAAAAHf/388=")</f>
        <v>#REF!</v>
      </c>
      <c r="HA94" t="e">
        <f>AND(#REF!,"AAAAAHf/39A=")</f>
        <v>#REF!</v>
      </c>
      <c r="HB94" t="e">
        <f>AND(#REF!,"AAAAAHf/39E=")</f>
        <v>#REF!</v>
      </c>
      <c r="HC94" t="e">
        <f>AND(#REF!,"AAAAAHf/39I=")</f>
        <v>#REF!</v>
      </c>
      <c r="HD94" t="e">
        <f>AND(#REF!,"AAAAAHf/39M=")</f>
        <v>#REF!</v>
      </c>
      <c r="HE94" t="e">
        <f>AND(#REF!,"AAAAAHf/39Q=")</f>
        <v>#REF!</v>
      </c>
      <c r="HF94" t="e">
        <f>AND(#REF!,"AAAAAHf/39U=")</f>
        <v>#REF!</v>
      </c>
      <c r="HG94" t="e">
        <f>AND(#REF!,"AAAAAHf/39Y=")</f>
        <v>#REF!</v>
      </c>
      <c r="HH94" t="e">
        <f>AND(#REF!,"AAAAAHf/39c=")</f>
        <v>#REF!</v>
      </c>
      <c r="HI94" t="e">
        <f>AND(#REF!,"AAAAAHf/39g=")</f>
        <v>#REF!</v>
      </c>
      <c r="HJ94" t="e">
        <f>AND(#REF!,"AAAAAHf/39k=")</f>
        <v>#REF!</v>
      </c>
      <c r="HK94" t="e">
        <f>AND(#REF!,"AAAAAHf/39o=")</f>
        <v>#REF!</v>
      </c>
      <c r="HL94" t="e">
        <f>AND(#REF!,"AAAAAHf/39s=")</f>
        <v>#REF!</v>
      </c>
      <c r="HM94" t="e">
        <f>AND(#REF!,"AAAAAHf/39w=")</f>
        <v>#REF!</v>
      </c>
      <c r="HN94" t="e">
        <f>AND(#REF!,"AAAAAHf/390=")</f>
        <v>#REF!</v>
      </c>
      <c r="HO94" t="e">
        <f>AND(#REF!,"AAAAAHf/394=")</f>
        <v>#REF!</v>
      </c>
      <c r="HP94" t="e">
        <f>AND(#REF!,"AAAAAHf/398=")</f>
        <v>#REF!</v>
      </c>
      <c r="HQ94" t="e">
        <f>AND(#REF!,"AAAAAHf/3+A=")</f>
        <v>#REF!</v>
      </c>
      <c r="HR94" t="e">
        <f>AND(#REF!,"AAAAAHf/3+E=")</f>
        <v>#REF!</v>
      </c>
      <c r="HS94" t="e">
        <f>AND(#REF!,"AAAAAHf/3+I=")</f>
        <v>#REF!</v>
      </c>
      <c r="HT94" t="e">
        <f>IF(#REF!,"AAAAAHf/3+M=",0)</f>
        <v>#REF!</v>
      </c>
      <c r="HU94" t="e">
        <f>AND(#REF!,"AAAAAHf/3+Q=")</f>
        <v>#REF!</v>
      </c>
      <c r="HV94" t="e">
        <f>AND(#REF!,"AAAAAHf/3+U=")</f>
        <v>#REF!</v>
      </c>
      <c r="HW94" t="e">
        <f>AND(#REF!,"AAAAAHf/3+Y=")</f>
        <v>#REF!</v>
      </c>
      <c r="HX94" t="e">
        <f>AND(#REF!,"AAAAAHf/3+c=")</f>
        <v>#REF!</v>
      </c>
      <c r="HY94" t="e">
        <f>AND(#REF!,"AAAAAHf/3+g=")</f>
        <v>#REF!</v>
      </c>
      <c r="HZ94" t="e">
        <f>AND(#REF!,"AAAAAHf/3+k=")</f>
        <v>#REF!</v>
      </c>
      <c r="IA94" t="e">
        <f>AND(#REF!,"AAAAAHf/3+o=")</f>
        <v>#REF!</v>
      </c>
      <c r="IB94" t="e">
        <f>AND(#REF!,"AAAAAHf/3+s=")</f>
        <v>#REF!</v>
      </c>
      <c r="IC94" t="e">
        <f>AND(#REF!,"AAAAAHf/3+w=")</f>
        <v>#REF!</v>
      </c>
      <c r="ID94" t="e">
        <f>AND(#REF!,"AAAAAHf/3+0=")</f>
        <v>#REF!</v>
      </c>
      <c r="IE94" t="e">
        <f>AND(#REF!,"AAAAAHf/3+4=")</f>
        <v>#REF!</v>
      </c>
      <c r="IF94" t="e">
        <f>AND(#REF!,"AAAAAHf/3+8=")</f>
        <v>#REF!</v>
      </c>
      <c r="IG94" t="e">
        <f>AND(#REF!,"AAAAAHf/3/A=")</f>
        <v>#REF!</v>
      </c>
      <c r="IH94" t="e">
        <f>AND(#REF!,"AAAAAHf/3/E=")</f>
        <v>#REF!</v>
      </c>
      <c r="II94" t="e">
        <f>AND(#REF!,"AAAAAHf/3/I=")</f>
        <v>#REF!</v>
      </c>
      <c r="IJ94" t="e">
        <f>AND(#REF!,"AAAAAHf/3/M=")</f>
        <v>#REF!</v>
      </c>
      <c r="IK94" t="e">
        <f>AND(#REF!,"AAAAAHf/3/Q=")</f>
        <v>#REF!</v>
      </c>
      <c r="IL94" t="e">
        <f>AND(#REF!,"AAAAAHf/3/U=")</f>
        <v>#REF!</v>
      </c>
      <c r="IM94" t="e">
        <f>AND(#REF!,"AAAAAHf/3/Y=")</f>
        <v>#REF!</v>
      </c>
      <c r="IN94" t="e">
        <f>AND(#REF!,"AAAAAHf/3/c=")</f>
        <v>#REF!</v>
      </c>
      <c r="IO94" t="e">
        <f>AND(#REF!,"AAAAAHf/3/g=")</f>
        <v>#REF!</v>
      </c>
      <c r="IP94" t="e">
        <f>AND(#REF!,"AAAAAHf/3/k=")</f>
        <v>#REF!</v>
      </c>
      <c r="IQ94" t="e">
        <f>AND(#REF!,"AAAAAHf/3/o=")</f>
        <v>#REF!</v>
      </c>
      <c r="IR94" t="e">
        <f>AND(#REF!,"AAAAAHf/3/s=")</f>
        <v>#REF!</v>
      </c>
      <c r="IS94" t="e">
        <f>IF(#REF!,"AAAAAHf/3/w=",0)</f>
        <v>#REF!</v>
      </c>
      <c r="IT94" t="e">
        <f>AND(#REF!,"AAAAAHf/3/0=")</f>
        <v>#REF!</v>
      </c>
      <c r="IU94" t="e">
        <f>AND(#REF!,"AAAAAHf/3/4=")</f>
        <v>#REF!</v>
      </c>
      <c r="IV94" t="e">
        <f>AND(#REF!,"AAAAAHf/3/8=")</f>
        <v>#REF!</v>
      </c>
    </row>
    <row r="95" spans="1:256">
      <c r="A95" t="e">
        <f>AND(#REF!,"AAAAAG7OfQA=")</f>
        <v>#REF!</v>
      </c>
      <c r="B95" t="e">
        <f>AND(#REF!,"AAAAAG7OfQE=")</f>
        <v>#REF!</v>
      </c>
      <c r="C95" t="e">
        <f>AND(#REF!,"AAAAAG7OfQI=")</f>
        <v>#REF!</v>
      </c>
      <c r="D95" t="e">
        <f>AND(#REF!,"AAAAAG7OfQM=")</f>
        <v>#REF!</v>
      </c>
      <c r="E95" t="e">
        <f>AND(#REF!,"AAAAAG7OfQQ=")</f>
        <v>#REF!</v>
      </c>
      <c r="F95" t="e">
        <f>AND(#REF!,"AAAAAG7OfQU=")</f>
        <v>#REF!</v>
      </c>
      <c r="G95" t="e">
        <f>AND(#REF!,"AAAAAG7OfQY=")</f>
        <v>#REF!</v>
      </c>
      <c r="H95" t="e">
        <f>AND(#REF!,"AAAAAG7OfQc=")</f>
        <v>#REF!</v>
      </c>
      <c r="I95" t="e">
        <f>AND(#REF!,"AAAAAG7OfQg=")</f>
        <v>#REF!</v>
      </c>
      <c r="J95" t="e">
        <f>AND(#REF!,"AAAAAG7OfQk=")</f>
        <v>#REF!</v>
      </c>
      <c r="K95" t="e">
        <f>AND(#REF!,"AAAAAG7OfQo=")</f>
        <v>#REF!</v>
      </c>
      <c r="L95" t="e">
        <f>AND(#REF!,"AAAAAG7OfQs=")</f>
        <v>#REF!</v>
      </c>
      <c r="M95" t="e">
        <f>AND(#REF!,"AAAAAG7OfQw=")</f>
        <v>#REF!</v>
      </c>
      <c r="N95" t="e">
        <f>AND(#REF!,"AAAAAG7OfQ0=")</f>
        <v>#REF!</v>
      </c>
      <c r="O95" t="e">
        <f>AND(#REF!,"AAAAAG7OfQ4=")</f>
        <v>#REF!</v>
      </c>
      <c r="P95" t="e">
        <f>AND(#REF!,"AAAAAG7OfQ8=")</f>
        <v>#REF!</v>
      </c>
      <c r="Q95" t="e">
        <f>AND(#REF!,"AAAAAG7OfRA=")</f>
        <v>#REF!</v>
      </c>
      <c r="R95" t="e">
        <f>AND(#REF!,"AAAAAG7OfRE=")</f>
        <v>#REF!</v>
      </c>
      <c r="S95" t="e">
        <f>AND(#REF!,"AAAAAG7OfRI=")</f>
        <v>#REF!</v>
      </c>
      <c r="T95" t="e">
        <f>AND(#REF!,"AAAAAG7OfRM=")</f>
        <v>#REF!</v>
      </c>
      <c r="U95" t="e">
        <f>AND(#REF!,"AAAAAG7OfRQ=")</f>
        <v>#REF!</v>
      </c>
      <c r="V95" t="e">
        <f>IF(#REF!,"AAAAAG7OfRU=",0)</f>
        <v>#REF!</v>
      </c>
      <c r="W95" t="e">
        <f>AND(#REF!,"AAAAAG7OfRY=")</f>
        <v>#REF!</v>
      </c>
      <c r="X95" t="e">
        <f>AND(#REF!,"AAAAAG7OfRc=")</f>
        <v>#REF!</v>
      </c>
      <c r="Y95" t="e">
        <f>AND(#REF!,"AAAAAG7OfRg=")</f>
        <v>#REF!</v>
      </c>
      <c r="Z95" t="e">
        <f>AND(#REF!,"AAAAAG7OfRk=")</f>
        <v>#REF!</v>
      </c>
      <c r="AA95" t="e">
        <f>AND(#REF!,"AAAAAG7OfRo=")</f>
        <v>#REF!</v>
      </c>
      <c r="AB95" t="e">
        <f>AND(#REF!,"AAAAAG7OfRs=")</f>
        <v>#REF!</v>
      </c>
      <c r="AC95" t="e">
        <f>AND(#REF!,"AAAAAG7OfRw=")</f>
        <v>#REF!</v>
      </c>
      <c r="AD95" t="e">
        <f>AND(#REF!,"AAAAAG7OfR0=")</f>
        <v>#REF!</v>
      </c>
      <c r="AE95" t="e">
        <f>AND(#REF!,"AAAAAG7OfR4=")</f>
        <v>#REF!</v>
      </c>
      <c r="AF95" t="e">
        <f>AND(#REF!,"AAAAAG7OfR8=")</f>
        <v>#REF!</v>
      </c>
      <c r="AG95" t="e">
        <f>AND(#REF!,"AAAAAG7OfSA=")</f>
        <v>#REF!</v>
      </c>
      <c r="AH95" t="e">
        <f>AND(#REF!,"AAAAAG7OfSE=")</f>
        <v>#REF!</v>
      </c>
      <c r="AI95" t="e">
        <f>AND(#REF!,"AAAAAG7OfSI=")</f>
        <v>#REF!</v>
      </c>
      <c r="AJ95" t="e">
        <f>AND(#REF!,"AAAAAG7OfSM=")</f>
        <v>#REF!</v>
      </c>
      <c r="AK95" t="e">
        <f>AND(#REF!,"AAAAAG7OfSQ=")</f>
        <v>#REF!</v>
      </c>
      <c r="AL95" t="e">
        <f>AND(#REF!,"AAAAAG7OfSU=")</f>
        <v>#REF!</v>
      </c>
      <c r="AM95" t="e">
        <f>AND(#REF!,"AAAAAG7OfSY=")</f>
        <v>#REF!</v>
      </c>
      <c r="AN95" t="e">
        <f>AND(#REF!,"AAAAAG7OfSc=")</f>
        <v>#REF!</v>
      </c>
      <c r="AO95" t="e">
        <f>AND(#REF!,"AAAAAG7OfSg=")</f>
        <v>#REF!</v>
      </c>
      <c r="AP95" t="e">
        <f>AND(#REF!,"AAAAAG7OfSk=")</f>
        <v>#REF!</v>
      </c>
      <c r="AQ95" t="e">
        <f>AND(#REF!,"AAAAAG7OfSo=")</f>
        <v>#REF!</v>
      </c>
      <c r="AR95" t="e">
        <f>AND(#REF!,"AAAAAG7OfSs=")</f>
        <v>#REF!</v>
      </c>
      <c r="AS95" t="e">
        <f>AND(#REF!,"AAAAAG7OfSw=")</f>
        <v>#REF!</v>
      </c>
      <c r="AT95" t="e">
        <f>AND(#REF!,"AAAAAG7OfS0=")</f>
        <v>#REF!</v>
      </c>
      <c r="AU95" t="e">
        <f>IF(#REF!,"AAAAAG7OfS4=",0)</f>
        <v>#REF!</v>
      </c>
      <c r="AV95" t="e">
        <f>AND(#REF!,"AAAAAG7OfS8=")</f>
        <v>#REF!</v>
      </c>
      <c r="AW95" t="e">
        <f>AND(#REF!,"AAAAAG7OfTA=")</f>
        <v>#REF!</v>
      </c>
      <c r="AX95" t="e">
        <f>AND(#REF!,"AAAAAG7OfTE=")</f>
        <v>#REF!</v>
      </c>
      <c r="AY95" t="e">
        <f>AND(#REF!,"AAAAAG7OfTI=")</f>
        <v>#REF!</v>
      </c>
      <c r="AZ95" t="e">
        <f>AND(#REF!,"AAAAAG7OfTM=")</f>
        <v>#REF!</v>
      </c>
      <c r="BA95" t="e">
        <f>AND(#REF!,"AAAAAG7OfTQ=")</f>
        <v>#REF!</v>
      </c>
      <c r="BB95" t="e">
        <f>AND(#REF!,"AAAAAG7OfTU=")</f>
        <v>#REF!</v>
      </c>
      <c r="BC95" t="e">
        <f>AND(#REF!,"AAAAAG7OfTY=")</f>
        <v>#REF!</v>
      </c>
      <c r="BD95" t="e">
        <f>AND(#REF!,"AAAAAG7OfTc=")</f>
        <v>#REF!</v>
      </c>
      <c r="BE95" t="e">
        <f>AND(#REF!,"AAAAAG7OfTg=")</f>
        <v>#REF!</v>
      </c>
      <c r="BF95" t="e">
        <f>AND(#REF!,"AAAAAG7OfTk=")</f>
        <v>#REF!</v>
      </c>
      <c r="BG95" t="e">
        <f>AND(#REF!,"AAAAAG7OfTo=")</f>
        <v>#REF!</v>
      </c>
      <c r="BH95" t="e">
        <f>AND(#REF!,"AAAAAG7OfTs=")</f>
        <v>#REF!</v>
      </c>
      <c r="BI95" t="e">
        <f>AND(#REF!,"AAAAAG7OfTw=")</f>
        <v>#REF!</v>
      </c>
      <c r="BJ95" t="e">
        <f>AND(#REF!,"AAAAAG7OfT0=")</f>
        <v>#REF!</v>
      </c>
      <c r="BK95" t="e">
        <f>AND(#REF!,"AAAAAG7OfT4=")</f>
        <v>#REF!</v>
      </c>
      <c r="BL95" t="e">
        <f>AND(#REF!,"AAAAAG7OfT8=")</f>
        <v>#REF!</v>
      </c>
      <c r="BM95" t="e">
        <f>AND(#REF!,"AAAAAG7OfUA=")</f>
        <v>#REF!</v>
      </c>
      <c r="BN95" t="e">
        <f>AND(#REF!,"AAAAAG7OfUE=")</f>
        <v>#REF!</v>
      </c>
      <c r="BO95" t="e">
        <f>AND(#REF!,"AAAAAG7OfUI=")</f>
        <v>#REF!</v>
      </c>
      <c r="BP95" t="e">
        <f>AND(#REF!,"AAAAAG7OfUM=")</f>
        <v>#REF!</v>
      </c>
      <c r="BQ95" t="e">
        <f>AND(#REF!,"AAAAAG7OfUQ=")</f>
        <v>#REF!</v>
      </c>
      <c r="BR95" t="e">
        <f>AND(#REF!,"AAAAAG7OfUU=")</f>
        <v>#REF!</v>
      </c>
      <c r="BS95" t="e">
        <f>AND(#REF!,"AAAAAG7OfUY=")</f>
        <v>#REF!</v>
      </c>
      <c r="BT95" t="e">
        <f>IF(#REF!,"AAAAAG7OfUc=",0)</f>
        <v>#REF!</v>
      </c>
      <c r="BU95" t="e">
        <f>AND(#REF!,"AAAAAG7OfUg=")</f>
        <v>#REF!</v>
      </c>
      <c r="BV95" t="e">
        <f>AND(#REF!,"AAAAAG7OfUk=")</f>
        <v>#REF!</v>
      </c>
      <c r="BW95" t="e">
        <f>AND(#REF!,"AAAAAG7OfUo=")</f>
        <v>#REF!</v>
      </c>
      <c r="BX95" t="e">
        <f>AND(#REF!,"AAAAAG7OfUs=")</f>
        <v>#REF!</v>
      </c>
      <c r="BY95" t="e">
        <f>AND(#REF!,"AAAAAG7OfUw=")</f>
        <v>#REF!</v>
      </c>
      <c r="BZ95" t="e">
        <f>AND(#REF!,"AAAAAG7OfU0=")</f>
        <v>#REF!</v>
      </c>
      <c r="CA95" t="e">
        <f>AND(#REF!,"AAAAAG7OfU4=")</f>
        <v>#REF!</v>
      </c>
      <c r="CB95" t="e">
        <f>AND(#REF!,"AAAAAG7OfU8=")</f>
        <v>#REF!</v>
      </c>
      <c r="CC95" t="e">
        <f>AND(#REF!,"AAAAAG7OfVA=")</f>
        <v>#REF!</v>
      </c>
      <c r="CD95" t="e">
        <f>AND(#REF!,"AAAAAG7OfVE=")</f>
        <v>#REF!</v>
      </c>
      <c r="CE95" t="e">
        <f>AND(#REF!,"AAAAAG7OfVI=")</f>
        <v>#REF!</v>
      </c>
      <c r="CF95" t="e">
        <f>AND(#REF!,"AAAAAG7OfVM=")</f>
        <v>#REF!</v>
      </c>
      <c r="CG95" t="e">
        <f>AND(#REF!,"AAAAAG7OfVQ=")</f>
        <v>#REF!</v>
      </c>
      <c r="CH95" t="e">
        <f>AND(#REF!,"AAAAAG7OfVU=")</f>
        <v>#REF!</v>
      </c>
      <c r="CI95" t="e">
        <f>AND(#REF!,"AAAAAG7OfVY=")</f>
        <v>#REF!</v>
      </c>
      <c r="CJ95" t="e">
        <f>AND(#REF!,"AAAAAG7OfVc=")</f>
        <v>#REF!</v>
      </c>
      <c r="CK95" t="e">
        <f>AND(#REF!,"AAAAAG7OfVg=")</f>
        <v>#REF!</v>
      </c>
      <c r="CL95" t="e">
        <f>AND(#REF!,"AAAAAG7OfVk=")</f>
        <v>#REF!</v>
      </c>
      <c r="CM95" t="e">
        <f>AND(#REF!,"AAAAAG7OfVo=")</f>
        <v>#REF!</v>
      </c>
      <c r="CN95" t="e">
        <f>AND(#REF!,"AAAAAG7OfVs=")</f>
        <v>#REF!</v>
      </c>
      <c r="CO95" t="e">
        <f>AND(#REF!,"AAAAAG7OfVw=")</f>
        <v>#REF!</v>
      </c>
      <c r="CP95" t="e">
        <f>AND(#REF!,"AAAAAG7OfV0=")</f>
        <v>#REF!</v>
      </c>
      <c r="CQ95" t="e">
        <f>AND(#REF!,"AAAAAG7OfV4=")</f>
        <v>#REF!</v>
      </c>
      <c r="CR95" t="e">
        <f>AND(#REF!,"AAAAAG7OfV8=")</f>
        <v>#REF!</v>
      </c>
      <c r="CS95" t="e">
        <f>IF(#REF!,"AAAAAG7OfWA=",0)</f>
        <v>#REF!</v>
      </c>
      <c r="CT95" t="e">
        <f>AND(#REF!,"AAAAAG7OfWE=")</f>
        <v>#REF!</v>
      </c>
      <c r="CU95" t="e">
        <f>AND(#REF!,"AAAAAG7OfWI=")</f>
        <v>#REF!</v>
      </c>
      <c r="CV95" t="e">
        <f>AND(#REF!,"AAAAAG7OfWM=")</f>
        <v>#REF!</v>
      </c>
      <c r="CW95" t="e">
        <f>AND(#REF!,"AAAAAG7OfWQ=")</f>
        <v>#REF!</v>
      </c>
      <c r="CX95" t="e">
        <f>AND(#REF!,"AAAAAG7OfWU=")</f>
        <v>#REF!</v>
      </c>
      <c r="CY95" t="e">
        <f>AND(#REF!,"AAAAAG7OfWY=")</f>
        <v>#REF!</v>
      </c>
      <c r="CZ95" t="e">
        <f>AND(#REF!,"AAAAAG7OfWc=")</f>
        <v>#REF!</v>
      </c>
      <c r="DA95" t="e">
        <f>AND(#REF!,"AAAAAG7OfWg=")</f>
        <v>#REF!</v>
      </c>
      <c r="DB95" t="e">
        <f>AND(#REF!,"AAAAAG7OfWk=")</f>
        <v>#REF!</v>
      </c>
      <c r="DC95" t="e">
        <f>AND(#REF!,"AAAAAG7OfWo=")</f>
        <v>#REF!</v>
      </c>
      <c r="DD95" t="e">
        <f>AND(#REF!,"AAAAAG7OfWs=")</f>
        <v>#REF!</v>
      </c>
      <c r="DE95" t="e">
        <f>AND(#REF!,"AAAAAG7OfWw=")</f>
        <v>#REF!</v>
      </c>
      <c r="DF95" t="e">
        <f>AND(#REF!,"AAAAAG7OfW0=")</f>
        <v>#REF!</v>
      </c>
      <c r="DG95" t="e">
        <f>AND(#REF!,"AAAAAG7OfW4=")</f>
        <v>#REF!</v>
      </c>
      <c r="DH95" t="e">
        <f>AND(#REF!,"AAAAAG7OfW8=")</f>
        <v>#REF!</v>
      </c>
      <c r="DI95" t="e">
        <f>AND(#REF!,"AAAAAG7OfXA=")</f>
        <v>#REF!</v>
      </c>
      <c r="DJ95" t="e">
        <f>AND(#REF!,"AAAAAG7OfXE=")</f>
        <v>#REF!</v>
      </c>
      <c r="DK95" t="e">
        <f>AND(#REF!,"AAAAAG7OfXI=")</f>
        <v>#REF!</v>
      </c>
      <c r="DL95" t="e">
        <f>AND(#REF!,"AAAAAG7OfXM=")</f>
        <v>#REF!</v>
      </c>
      <c r="DM95" t="e">
        <f>AND(#REF!,"AAAAAG7OfXQ=")</f>
        <v>#REF!</v>
      </c>
      <c r="DN95" t="e">
        <f>AND(#REF!,"AAAAAG7OfXU=")</f>
        <v>#REF!</v>
      </c>
      <c r="DO95" t="e">
        <f>AND(#REF!,"AAAAAG7OfXY=")</f>
        <v>#REF!</v>
      </c>
      <c r="DP95" t="e">
        <f>AND(#REF!,"AAAAAG7OfXc=")</f>
        <v>#REF!</v>
      </c>
      <c r="DQ95" t="e">
        <f>AND(#REF!,"AAAAAG7OfXg=")</f>
        <v>#REF!</v>
      </c>
      <c r="DR95" t="e">
        <f>IF(#REF!,"AAAAAG7OfXk=",0)</f>
        <v>#REF!</v>
      </c>
      <c r="DS95" t="e">
        <f>AND(#REF!,"AAAAAG7OfXo=")</f>
        <v>#REF!</v>
      </c>
      <c r="DT95" t="e">
        <f>AND(#REF!,"AAAAAG7OfXs=")</f>
        <v>#REF!</v>
      </c>
      <c r="DU95" t="e">
        <f>AND(#REF!,"AAAAAG7OfXw=")</f>
        <v>#REF!</v>
      </c>
      <c r="DV95" t="e">
        <f>AND(#REF!,"AAAAAG7OfX0=")</f>
        <v>#REF!</v>
      </c>
      <c r="DW95" t="e">
        <f>AND(#REF!,"AAAAAG7OfX4=")</f>
        <v>#REF!</v>
      </c>
      <c r="DX95" t="e">
        <f>AND(#REF!,"AAAAAG7OfX8=")</f>
        <v>#REF!</v>
      </c>
      <c r="DY95" t="e">
        <f>AND(#REF!,"AAAAAG7OfYA=")</f>
        <v>#REF!</v>
      </c>
      <c r="DZ95" t="e">
        <f>AND(#REF!,"AAAAAG7OfYE=")</f>
        <v>#REF!</v>
      </c>
      <c r="EA95" t="e">
        <f>AND(#REF!,"AAAAAG7OfYI=")</f>
        <v>#REF!</v>
      </c>
      <c r="EB95" t="e">
        <f>AND(#REF!,"AAAAAG7OfYM=")</f>
        <v>#REF!</v>
      </c>
      <c r="EC95" t="e">
        <f>AND(#REF!,"AAAAAG7OfYQ=")</f>
        <v>#REF!</v>
      </c>
      <c r="ED95" t="e">
        <f>AND(#REF!,"AAAAAG7OfYU=")</f>
        <v>#REF!</v>
      </c>
      <c r="EE95" t="e">
        <f>AND(#REF!,"AAAAAG7OfYY=")</f>
        <v>#REF!</v>
      </c>
      <c r="EF95" t="e">
        <f>AND(#REF!,"AAAAAG7OfYc=")</f>
        <v>#REF!</v>
      </c>
      <c r="EG95" t="e">
        <f>AND(#REF!,"AAAAAG7OfYg=")</f>
        <v>#REF!</v>
      </c>
      <c r="EH95" t="e">
        <f>AND(#REF!,"AAAAAG7OfYk=")</f>
        <v>#REF!</v>
      </c>
      <c r="EI95" t="e">
        <f>AND(#REF!,"AAAAAG7OfYo=")</f>
        <v>#REF!</v>
      </c>
      <c r="EJ95" t="e">
        <f>AND(#REF!,"AAAAAG7OfYs=")</f>
        <v>#REF!</v>
      </c>
      <c r="EK95" t="e">
        <f>AND(#REF!,"AAAAAG7OfYw=")</f>
        <v>#REF!</v>
      </c>
      <c r="EL95" t="e">
        <f>AND(#REF!,"AAAAAG7OfY0=")</f>
        <v>#REF!</v>
      </c>
      <c r="EM95" t="e">
        <f>AND(#REF!,"AAAAAG7OfY4=")</f>
        <v>#REF!</v>
      </c>
      <c r="EN95" t="e">
        <f>AND(#REF!,"AAAAAG7OfY8=")</f>
        <v>#REF!</v>
      </c>
      <c r="EO95" t="e">
        <f>AND(#REF!,"AAAAAG7OfZA=")</f>
        <v>#REF!</v>
      </c>
      <c r="EP95" t="e">
        <f>AND(#REF!,"AAAAAG7OfZE=")</f>
        <v>#REF!</v>
      </c>
      <c r="EQ95" t="e">
        <f>IF(#REF!,"AAAAAG7OfZI=",0)</f>
        <v>#REF!</v>
      </c>
      <c r="ER95" t="e">
        <f>AND(#REF!,"AAAAAG7OfZM=")</f>
        <v>#REF!</v>
      </c>
      <c r="ES95" t="e">
        <f>AND(#REF!,"AAAAAG7OfZQ=")</f>
        <v>#REF!</v>
      </c>
      <c r="ET95" t="e">
        <f>AND(#REF!,"AAAAAG7OfZU=")</f>
        <v>#REF!</v>
      </c>
      <c r="EU95" t="e">
        <f>AND(#REF!,"AAAAAG7OfZY=")</f>
        <v>#REF!</v>
      </c>
      <c r="EV95" t="e">
        <f>AND(#REF!,"AAAAAG7OfZc=")</f>
        <v>#REF!</v>
      </c>
      <c r="EW95" t="e">
        <f>AND(#REF!,"AAAAAG7OfZg=")</f>
        <v>#REF!</v>
      </c>
      <c r="EX95" t="e">
        <f>AND(#REF!,"AAAAAG7OfZk=")</f>
        <v>#REF!</v>
      </c>
      <c r="EY95" t="e">
        <f>AND(#REF!,"AAAAAG7OfZo=")</f>
        <v>#REF!</v>
      </c>
      <c r="EZ95" t="e">
        <f>AND(#REF!,"AAAAAG7OfZs=")</f>
        <v>#REF!</v>
      </c>
      <c r="FA95" t="e">
        <f>AND(#REF!,"AAAAAG7OfZw=")</f>
        <v>#REF!</v>
      </c>
      <c r="FB95" t="e">
        <f>AND(#REF!,"AAAAAG7OfZ0=")</f>
        <v>#REF!</v>
      </c>
      <c r="FC95" t="e">
        <f>AND(#REF!,"AAAAAG7OfZ4=")</f>
        <v>#REF!</v>
      </c>
      <c r="FD95" t="e">
        <f>AND(#REF!,"AAAAAG7OfZ8=")</f>
        <v>#REF!</v>
      </c>
      <c r="FE95" t="e">
        <f>AND(#REF!,"AAAAAG7OfaA=")</f>
        <v>#REF!</v>
      </c>
      <c r="FF95" t="e">
        <f>AND(#REF!,"AAAAAG7OfaE=")</f>
        <v>#REF!</v>
      </c>
      <c r="FG95" t="e">
        <f>AND(#REF!,"AAAAAG7OfaI=")</f>
        <v>#REF!</v>
      </c>
      <c r="FH95" t="e">
        <f>AND(#REF!,"AAAAAG7OfaM=")</f>
        <v>#REF!</v>
      </c>
      <c r="FI95" t="e">
        <f>AND(#REF!,"AAAAAG7OfaQ=")</f>
        <v>#REF!</v>
      </c>
      <c r="FJ95" t="e">
        <f>AND(#REF!,"AAAAAG7OfaU=")</f>
        <v>#REF!</v>
      </c>
      <c r="FK95" t="e">
        <f>AND(#REF!,"AAAAAG7OfaY=")</f>
        <v>#REF!</v>
      </c>
      <c r="FL95" t="e">
        <f>AND(#REF!,"AAAAAG7Ofac=")</f>
        <v>#REF!</v>
      </c>
      <c r="FM95" t="e">
        <f>AND(#REF!,"AAAAAG7Ofag=")</f>
        <v>#REF!</v>
      </c>
      <c r="FN95" t="e">
        <f>AND(#REF!,"AAAAAG7Ofak=")</f>
        <v>#REF!</v>
      </c>
      <c r="FO95" t="e">
        <f>AND(#REF!,"AAAAAG7Ofao=")</f>
        <v>#REF!</v>
      </c>
      <c r="FP95" t="e">
        <f>IF(#REF!,"AAAAAG7Ofas=",0)</f>
        <v>#REF!</v>
      </c>
      <c r="FQ95" t="e">
        <f>AND(#REF!,"AAAAAG7Ofaw=")</f>
        <v>#REF!</v>
      </c>
      <c r="FR95" t="e">
        <f>AND(#REF!,"AAAAAG7Ofa0=")</f>
        <v>#REF!</v>
      </c>
      <c r="FS95" t="e">
        <f>AND(#REF!,"AAAAAG7Ofa4=")</f>
        <v>#REF!</v>
      </c>
      <c r="FT95" t="e">
        <f>AND(#REF!,"AAAAAG7Ofa8=")</f>
        <v>#REF!</v>
      </c>
      <c r="FU95" t="e">
        <f>AND(#REF!,"AAAAAG7OfbA=")</f>
        <v>#REF!</v>
      </c>
      <c r="FV95" t="e">
        <f>AND(#REF!,"AAAAAG7OfbE=")</f>
        <v>#REF!</v>
      </c>
      <c r="FW95" t="e">
        <f>AND(#REF!,"AAAAAG7OfbI=")</f>
        <v>#REF!</v>
      </c>
      <c r="FX95" t="e">
        <f>AND(#REF!,"AAAAAG7OfbM=")</f>
        <v>#REF!</v>
      </c>
      <c r="FY95" t="e">
        <f>AND(#REF!,"AAAAAG7OfbQ=")</f>
        <v>#REF!</v>
      </c>
      <c r="FZ95" t="e">
        <f>AND(#REF!,"AAAAAG7OfbU=")</f>
        <v>#REF!</v>
      </c>
      <c r="GA95" t="e">
        <f>AND(#REF!,"AAAAAG7OfbY=")</f>
        <v>#REF!</v>
      </c>
      <c r="GB95" t="e">
        <f>AND(#REF!,"AAAAAG7Ofbc=")</f>
        <v>#REF!</v>
      </c>
      <c r="GC95" t="e">
        <f>AND(#REF!,"AAAAAG7Ofbg=")</f>
        <v>#REF!</v>
      </c>
      <c r="GD95" t="e">
        <f>AND(#REF!,"AAAAAG7Ofbk=")</f>
        <v>#REF!</v>
      </c>
      <c r="GE95" t="e">
        <f>AND(#REF!,"AAAAAG7Ofbo=")</f>
        <v>#REF!</v>
      </c>
      <c r="GF95" t="e">
        <f>AND(#REF!,"AAAAAG7Ofbs=")</f>
        <v>#REF!</v>
      </c>
      <c r="GG95" t="e">
        <f>AND(#REF!,"AAAAAG7Ofbw=")</f>
        <v>#REF!</v>
      </c>
      <c r="GH95" t="e">
        <f>AND(#REF!,"AAAAAG7Ofb0=")</f>
        <v>#REF!</v>
      </c>
      <c r="GI95" t="e">
        <f>AND(#REF!,"AAAAAG7Ofb4=")</f>
        <v>#REF!</v>
      </c>
      <c r="GJ95" t="e">
        <f>AND(#REF!,"AAAAAG7Ofb8=")</f>
        <v>#REF!</v>
      </c>
      <c r="GK95" t="e">
        <f>AND(#REF!,"AAAAAG7OfcA=")</f>
        <v>#REF!</v>
      </c>
      <c r="GL95" t="e">
        <f>AND(#REF!,"AAAAAG7OfcE=")</f>
        <v>#REF!</v>
      </c>
      <c r="GM95" t="e">
        <f>AND(#REF!,"AAAAAG7OfcI=")</f>
        <v>#REF!</v>
      </c>
      <c r="GN95" t="e">
        <f>AND(#REF!,"AAAAAG7OfcM=")</f>
        <v>#REF!</v>
      </c>
      <c r="GO95" t="e">
        <f>IF(#REF!,"AAAAAG7OfcQ=",0)</f>
        <v>#REF!</v>
      </c>
      <c r="GP95" t="e">
        <f>AND(#REF!,"AAAAAG7OfcU=")</f>
        <v>#REF!</v>
      </c>
      <c r="GQ95" t="e">
        <f>AND(#REF!,"AAAAAG7OfcY=")</f>
        <v>#REF!</v>
      </c>
      <c r="GR95" t="e">
        <f>AND(#REF!,"AAAAAG7Ofcc=")</f>
        <v>#REF!</v>
      </c>
      <c r="GS95" t="e">
        <f>AND(#REF!,"AAAAAG7Ofcg=")</f>
        <v>#REF!</v>
      </c>
      <c r="GT95" t="e">
        <f>AND(#REF!,"AAAAAG7Ofck=")</f>
        <v>#REF!</v>
      </c>
      <c r="GU95" t="e">
        <f>AND(#REF!,"AAAAAG7Ofco=")</f>
        <v>#REF!</v>
      </c>
      <c r="GV95" t="e">
        <f>AND(#REF!,"AAAAAG7Ofcs=")</f>
        <v>#REF!</v>
      </c>
      <c r="GW95" t="e">
        <f>AND(#REF!,"AAAAAG7Ofcw=")</f>
        <v>#REF!</v>
      </c>
      <c r="GX95" t="e">
        <f>AND(#REF!,"AAAAAG7Ofc0=")</f>
        <v>#REF!</v>
      </c>
      <c r="GY95" t="e">
        <f>AND(#REF!,"AAAAAG7Ofc4=")</f>
        <v>#REF!</v>
      </c>
      <c r="GZ95" t="e">
        <f>AND(#REF!,"AAAAAG7Ofc8=")</f>
        <v>#REF!</v>
      </c>
      <c r="HA95" t="e">
        <f>AND(#REF!,"AAAAAG7OfdA=")</f>
        <v>#REF!</v>
      </c>
      <c r="HB95" t="e">
        <f>AND(#REF!,"AAAAAG7OfdE=")</f>
        <v>#REF!</v>
      </c>
      <c r="HC95" t="e">
        <f>AND(#REF!,"AAAAAG7OfdI=")</f>
        <v>#REF!</v>
      </c>
      <c r="HD95" t="e">
        <f>AND(#REF!,"AAAAAG7OfdM=")</f>
        <v>#REF!</v>
      </c>
      <c r="HE95" t="e">
        <f>AND(#REF!,"AAAAAG7OfdQ=")</f>
        <v>#REF!</v>
      </c>
      <c r="HF95" t="e">
        <f>AND(#REF!,"AAAAAG7OfdU=")</f>
        <v>#REF!</v>
      </c>
      <c r="HG95" t="e">
        <f>AND(#REF!,"AAAAAG7OfdY=")</f>
        <v>#REF!</v>
      </c>
      <c r="HH95" t="e">
        <f>AND(#REF!,"AAAAAG7Ofdc=")</f>
        <v>#REF!</v>
      </c>
      <c r="HI95" t="e">
        <f>AND(#REF!,"AAAAAG7Ofdg=")</f>
        <v>#REF!</v>
      </c>
      <c r="HJ95" t="e">
        <f>AND(#REF!,"AAAAAG7Ofdk=")</f>
        <v>#REF!</v>
      </c>
      <c r="HK95" t="e">
        <f>AND(#REF!,"AAAAAG7Ofdo=")</f>
        <v>#REF!</v>
      </c>
      <c r="HL95" t="e">
        <f>AND(#REF!,"AAAAAG7Ofds=")</f>
        <v>#REF!</v>
      </c>
      <c r="HM95" t="e">
        <f>AND(#REF!,"AAAAAG7Ofdw=")</f>
        <v>#REF!</v>
      </c>
      <c r="HN95" t="e">
        <f>IF(#REF!,"AAAAAG7Ofd0=",0)</f>
        <v>#REF!</v>
      </c>
      <c r="HO95" t="e">
        <f>AND(#REF!,"AAAAAG7Ofd4=")</f>
        <v>#REF!</v>
      </c>
      <c r="HP95" t="e">
        <f>AND(#REF!,"AAAAAG7Ofd8=")</f>
        <v>#REF!</v>
      </c>
      <c r="HQ95" t="e">
        <f>AND(#REF!,"AAAAAG7OfeA=")</f>
        <v>#REF!</v>
      </c>
      <c r="HR95" t="e">
        <f>AND(#REF!,"AAAAAG7OfeE=")</f>
        <v>#REF!</v>
      </c>
      <c r="HS95" t="e">
        <f>AND(#REF!,"AAAAAG7OfeI=")</f>
        <v>#REF!</v>
      </c>
      <c r="HT95" t="e">
        <f>AND(#REF!,"AAAAAG7OfeM=")</f>
        <v>#REF!</v>
      </c>
      <c r="HU95" t="e">
        <f>AND(#REF!,"AAAAAG7OfeQ=")</f>
        <v>#REF!</v>
      </c>
      <c r="HV95" t="e">
        <f>AND(#REF!,"AAAAAG7OfeU=")</f>
        <v>#REF!</v>
      </c>
      <c r="HW95" t="e">
        <f>AND(#REF!,"AAAAAG7OfeY=")</f>
        <v>#REF!</v>
      </c>
      <c r="HX95" t="e">
        <f>AND(#REF!,"AAAAAG7Ofec=")</f>
        <v>#REF!</v>
      </c>
      <c r="HY95" t="e">
        <f>AND(#REF!,"AAAAAG7Ofeg=")</f>
        <v>#REF!</v>
      </c>
      <c r="HZ95" t="e">
        <f>AND(#REF!,"AAAAAG7Ofek=")</f>
        <v>#REF!</v>
      </c>
      <c r="IA95" t="e">
        <f>AND(#REF!,"AAAAAG7Ofeo=")</f>
        <v>#REF!</v>
      </c>
      <c r="IB95" t="e">
        <f>AND(#REF!,"AAAAAG7Ofes=")</f>
        <v>#REF!</v>
      </c>
      <c r="IC95" t="e">
        <f>AND(#REF!,"AAAAAG7Ofew=")</f>
        <v>#REF!</v>
      </c>
      <c r="ID95" t="e">
        <f>AND(#REF!,"AAAAAG7Ofe0=")</f>
        <v>#REF!</v>
      </c>
      <c r="IE95" t="e">
        <f>AND(#REF!,"AAAAAG7Ofe4=")</f>
        <v>#REF!</v>
      </c>
      <c r="IF95" t="e">
        <f>AND(#REF!,"AAAAAG7Ofe8=")</f>
        <v>#REF!</v>
      </c>
      <c r="IG95" t="e">
        <f>AND(#REF!,"AAAAAG7OffA=")</f>
        <v>#REF!</v>
      </c>
      <c r="IH95" t="e">
        <f>AND(#REF!,"AAAAAG7OffE=")</f>
        <v>#REF!</v>
      </c>
      <c r="II95" t="e">
        <f>AND(#REF!,"AAAAAG7OffI=")</f>
        <v>#REF!</v>
      </c>
      <c r="IJ95" t="e">
        <f>AND(#REF!,"AAAAAG7OffM=")</f>
        <v>#REF!</v>
      </c>
      <c r="IK95" t="e">
        <f>AND(#REF!,"AAAAAG7OffQ=")</f>
        <v>#REF!</v>
      </c>
      <c r="IL95" t="e">
        <f>AND(#REF!,"AAAAAG7OffU=")</f>
        <v>#REF!</v>
      </c>
      <c r="IM95" t="e">
        <f>IF(#REF!,"AAAAAG7OffY=",0)</f>
        <v>#REF!</v>
      </c>
      <c r="IN95" t="e">
        <f>AND(#REF!,"AAAAAG7Offc=")</f>
        <v>#REF!</v>
      </c>
      <c r="IO95" t="e">
        <f>AND(#REF!,"AAAAAG7Offg=")</f>
        <v>#REF!</v>
      </c>
      <c r="IP95" t="e">
        <f>AND(#REF!,"AAAAAG7Offk=")</f>
        <v>#REF!</v>
      </c>
      <c r="IQ95" t="e">
        <f>AND(#REF!,"AAAAAG7Offo=")</f>
        <v>#REF!</v>
      </c>
      <c r="IR95" t="e">
        <f>AND(#REF!,"AAAAAG7Offs=")</f>
        <v>#REF!</v>
      </c>
      <c r="IS95" t="e">
        <f>AND(#REF!,"AAAAAG7Offw=")</f>
        <v>#REF!</v>
      </c>
      <c r="IT95" t="e">
        <f>AND(#REF!,"AAAAAG7Off0=")</f>
        <v>#REF!</v>
      </c>
      <c r="IU95" t="e">
        <f>AND(#REF!,"AAAAAG7Off4=")</f>
        <v>#REF!</v>
      </c>
      <c r="IV95" t="e">
        <f>AND(#REF!,"AAAAAG7Off8=")</f>
        <v>#REF!</v>
      </c>
    </row>
    <row r="96" spans="1:256">
      <c r="A96" t="e">
        <f>AND(#REF!,"AAAAAD3l+wA=")</f>
        <v>#REF!</v>
      </c>
      <c r="B96" t="e">
        <f>AND(#REF!,"AAAAAD3l+wE=")</f>
        <v>#REF!</v>
      </c>
      <c r="C96" t="e">
        <f>AND(#REF!,"AAAAAD3l+wI=")</f>
        <v>#REF!</v>
      </c>
      <c r="D96" t="e">
        <f>AND(#REF!,"AAAAAD3l+wM=")</f>
        <v>#REF!</v>
      </c>
      <c r="E96" t="e">
        <f>AND(#REF!,"AAAAAD3l+wQ=")</f>
        <v>#REF!</v>
      </c>
      <c r="F96" t="e">
        <f>AND(#REF!,"AAAAAD3l+wU=")</f>
        <v>#REF!</v>
      </c>
      <c r="G96" t="e">
        <f>AND(#REF!,"AAAAAD3l+wY=")</f>
        <v>#REF!</v>
      </c>
      <c r="H96" t="e">
        <f>AND(#REF!,"AAAAAD3l+wc=")</f>
        <v>#REF!</v>
      </c>
      <c r="I96" t="e">
        <f>AND(#REF!,"AAAAAD3l+wg=")</f>
        <v>#REF!</v>
      </c>
      <c r="J96" t="e">
        <f>AND(#REF!,"AAAAAD3l+wk=")</f>
        <v>#REF!</v>
      </c>
      <c r="K96" t="e">
        <f>AND(#REF!,"AAAAAD3l+wo=")</f>
        <v>#REF!</v>
      </c>
      <c r="L96" t="e">
        <f>AND(#REF!,"AAAAAD3l+ws=")</f>
        <v>#REF!</v>
      </c>
      <c r="M96" t="e">
        <f>AND(#REF!,"AAAAAD3l+ww=")</f>
        <v>#REF!</v>
      </c>
      <c r="N96" t="e">
        <f>AND(#REF!,"AAAAAD3l+w0=")</f>
        <v>#REF!</v>
      </c>
      <c r="O96" t="e">
        <f>AND(#REF!,"AAAAAD3l+w4=")</f>
        <v>#REF!</v>
      </c>
      <c r="P96" t="e">
        <f>IF(#REF!,"AAAAAD3l+w8=",0)</f>
        <v>#REF!</v>
      </c>
      <c r="Q96" t="e">
        <f>AND(#REF!,"AAAAAD3l+xA=")</f>
        <v>#REF!</v>
      </c>
      <c r="R96" t="e">
        <f>AND(#REF!,"AAAAAD3l+xE=")</f>
        <v>#REF!</v>
      </c>
      <c r="S96" t="e">
        <f>AND(#REF!,"AAAAAD3l+xI=")</f>
        <v>#REF!</v>
      </c>
      <c r="T96" t="e">
        <f>AND(#REF!,"AAAAAD3l+xM=")</f>
        <v>#REF!</v>
      </c>
      <c r="U96" t="e">
        <f>AND(#REF!,"AAAAAD3l+xQ=")</f>
        <v>#REF!</v>
      </c>
      <c r="V96" t="e">
        <f>AND(#REF!,"AAAAAD3l+xU=")</f>
        <v>#REF!</v>
      </c>
      <c r="W96" t="e">
        <f>AND(#REF!,"AAAAAD3l+xY=")</f>
        <v>#REF!</v>
      </c>
      <c r="X96" t="e">
        <f>AND(#REF!,"AAAAAD3l+xc=")</f>
        <v>#REF!</v>
      </c>
      <c r="Y96" t="e">
        <f>AND(#REF!,"AAAAAD3l+xg=")</f>
        <v>#REF!</v>
      </c>
      <c r="Z96" t="e">
        <f>AND(#REF!,"AAAAAD3l+xk=")</f>
        <v>#REF!</v>
      </c>
      <c r="AA96" t="e">
        <f>AND(#REF!,"AAAAAD3l+xo=")</f>
        <v>#REF!</v>
      </c>
      <c r="AB96" t="e">
        <f>AND(#REF!,"AAAAAD3l+xs=")</f>
        <v>#REF!</v>
      </c>
      <c r="AC96" t="e">
        <f>AND(#REF!,"AAAAAD3l+xw=")</f>
        <v>#REF!</v>
      </c>
      <c r="AD96" t="e">
        <f>AND(#REF!,"AAAAAD3l+x0=")</f>
        <v>#REF!</v>
      </c>
      <c r="AE96" t="e">
        <f>AND(#REF!,"AAAAAD3l+x4=")</f>
        <v>#REF!</v>
      </c>
      <c r="AF96" t="e">
        <f>AND(#REF!,"AAAAAD3l+x8=")</f>
        <v>#REF!</v>
      </c>
      <c r="AG96" t="e">
        <f>AND(#REF!,"AAAAAD3l+yA=")</f>
        <v>#REF!</v>
      </c>
      <c r="AH96" t="e">
        <f>AND(#REF!,"AAAAAD3l+yE=")</f>
        <v>#REF!</v>
      </c>
      <c r="AI96" t="e">
        <f>AND(#REF!,"AAAAAD3l+yI=")</f>
        <v>#REF!</v>
      </c>
      <c r="AJ96" t="e">
        <f>AND(#REF!,"AAAAAD3l+yM=")</f>
        <v>#REF!</v>
      </c>
      <c r="AK96" t="e">
        <f>AND(#REF!,"AAAAAD3l+yQ=")</f>
        <v>#REF!</v>
      </c>
      <c r="AL96" t="e">
        <f>AND(#REF!,"AAAAAD3l+yU=")</f>
        <v>#REF!</v>
      </c>
      <c r="AM96" t="e">
        <f>AND(#REF!,"AAAAAD3l+yY=")</f>
        <v>#REF!</v>
      </c>
      <c r="AN96" t="e">
        <f>AND(#REF!,"AAAAAD3l+yc=")</f>
        <v>#REF!</v>
      </c>
      <c r="AO96" t="e">
        <f>IF(#REF!,"AAAAAD3l+yg=",0)</f>
        <v>#REF!</v>
      </c>
      <c r="AP96" t="e">
        <f>AND(#REF!,"AAAAAD3l+yk=")</f>
        <v>#REF!</v>
      </c>
      <c r="AQ96" t="e">
        <f>AND(#REF!,"AAAAAD3l+yo=")</f>
        <v>#REF!</v>
      </c>
      <c r="AR96" t="e">
        <f>AND(#REF!,"AAAAAD3l+ys=")</f>
        <v>#REF!</v>
      </c>
      <c r="AS96" t="e">
        <f>AND(#REF!,"AAAAAD3l+yw=")</f>
        <v>#REF!</v>
      </c>
      <c r="AT96" t="e">
        <f>AND(#REF!,"AAAAAD3l+y0=")</f>
        <v>#REF!</v>
      </c>
      <c r="AU96" t="e">
        <f>AND(#REF!,"AAAAAD3l+y4=")</f>
        <v>#REF!</v>
      </c>
      <c r="AV96" t="e">
        <f>AND(#REF!,"AAAAAD3l+y8=")</f>
        <v>#REF!</v>
      </c>
      <c r="AW96" t="e">
        <f>AND(#REF!,"AAAAAD3l+zA=")</f>
        <v>#REF!</v>
      </c>
      <c r="AX96" t="e">
        <f>AND(#REF!,"AAAAAD3l+zE=")</f>
        <v>#REF!</v>
      </c>
      <c r="AY96" t="e">
        <f>AND(#REF!,"AAAAAD3l+zI=")</f>
        <v>#REF!</v>
      </c>
      <c r="AZ96" t="e">
        <f>AND(#REF!,"AAAAAD3l+zM=")</f>
        <v>#REF!</v>
      </c>
      <c r="BA96" t="e">
        <f>AND(#REF!,"AAAAAD3l+zQ=")</f>
        <v>#REF!</v>
      </c>
      <c r="BB96" t="e">
        <f>AND(#REF!,"AAAAAD3l+zU=")</f>
        <v>#REF!</v>
      </c>
      <c r="BC96" t="e">
        <f>AND(#REF!,"AAAAAD3l+zY=")</f>
        <v>#REF!</v>
      </c>
      <c r="BD96" t="e">
        <f>AND(#REF!,"AAAAAD3l+zc=")</f>
        <v>#REF!</v>
      </c>
      <c r="BE96" t="e">
        <f>AND(#REF!,"AAAAAD3l+zg=")</f>
        <v>#REF!</v>
      </c>
      <c r="BF96" t="e">
        <f>AND(#REF!,"AAAAAD3l+zk=")</f>
        <v>#REF!</v>
      </c>
      <c r="BG96" t="e">
        <f>AND(#REF!,"AAAAAD3l+zo=")</f>
        <v>#REF!</v>
      </c>
      <c r="BH96" t="e">
        <f>AND(#REF!,"AAAAAD3l+zs=")</f>
        <v>#REF!</v>
      </c>
      <c r="BI96" t="e">
        <f>AND(#REF!,"AAAAAD3l+zw=")</f>
        <v>#REF!</v>
      </c>
      <c r="BJ96" t="e">
        <f>AND(#REF!,"AAAAAD3l+z0=")</f>
        <v>#REF!</v>
      </c>
      <c r="BK96" t="e">
        <f>AND(#REF!,"AAAAAD3l+z4=")</f>
        <v>#REF!</v>
      </c>
      <c r="BL96" t="e">
        <f>AND(#REF!,"AAAAAD3l+z8=")</f>
        <v>#REF!</v>
      </c>
      <c r="BM96" t="e">
        <f>AND(#REF!,"AAAAAD3l+0A=")</f>
        <v>#REF!</v>
      </c>
      <c r="BN96" t="e">
        <f>IF(#REF!,"AAAAAD3l+0E=",0)</f>
        <v>#REF!</v>
      </c>
      <c r="BO96" t="e">
        <f>AND(#REF!,"AAAAAD3l+0I=")</f>
        <v>#REF!</v>
      </c>
      <c r="BP96" t="e">
        <f>AND(#REF!,"AAAAAD3l+0M=")</f>
        <v>#REF!</v>
      </c>
      <c r="BQ96" t="e">
        <f>AND(#REF!,"AAAAAD3l+0Q=")</f>
        <v>#REF!</v>
      </c>
      <c r="BR96" t="e">
        <f>AND(#REF!,"AAAAAD3l+0U=")</f>
        <v>#REF!</v>
      </c>
      <c r="BS96" t="e">
        <f>AND(#REF!,"AAAAAD3l+0Y=")</f>
        <v>#REF!</v>
      </c>
      <c r="BT96" t="e">
        <f>AND(#REF!,"AAAAAD3l+0c=")</f>
        <v>#REF!</v>
      </c>
      <c r="BU96" t="e">
        <f>AND(#REF!,"AAAAAD3l+0g=")</f>
        <v>#REF!</v>
      </c>
      <c r="BV96" t="e">
        <f>AND(#REF!,"AAAAAD3l+0k=")</f>
        <v>#REF!</v>
      </c>
      <c r="BW96" t="e">
        <f>AND(#REF!,"AAAAAD3l+0o=")</f>
        <v>#REF!</v>
      </c>
      <c r="BX96" t="e">
        <f>AND(#REF!,"AAAAAD3l+0s=")</f>
        <v>#REF!</v>
      </c>
      <c r="BY96" t="e">
        <f>AND(#REF!,"AAAAAD3l+0w=")</f>
        <v>#REF!</v>
      </c>
      <c r="BZ96" t="e">
        <f>AND(#REF!,"AAAAAD3l+00=")</f>
        <v>#REF!</v>
      </c>
      <c r="CA96" t="e">
        <f>AND(#REF!,"AAAAAD3l+04=")</f>
        <v>#REF!</v>
      </c>
      <c r="CB96" t="e">
        <f>AND(#REF!,"AAAAAD3l+08=")</f>
        <v>#REF!</v>
      </c>
      <c r="CC96" t="e">
        <f>AND(#REF!,"AAAAAD3l+1A=")</f>
        <v>#REF!</v>
      </c>
      <c r="CD96" t="e">
        <f>AND(#REF!,"AAAAAD3l+1E=")</f>
        <v>#REF!</v>
      </c>
      <c r="CE96" t="e">
        <f>AND(#REF!,"AAAAAD3l+1I=")</f>
        <v>#REF!</v>
      </c>
      <c r="CF96" t="e">
        <f>AND(#REF!,"AAAAAD3l+1M=")</f>
        <v>#REF!</v>
      </c>
      <c r="CG96" t="e">
        <f>AND(#REF!,"AAAAAD3l+1Q=")</f>
        <v>#REF!</v>
      </c>
      <c r="CH96" t="e">
        <f>AND(#REF!,"AAAAAD3l+1U=")</f>
        <v>#REF!</v>
      </c>
      <c r="CI96" t="e">
        <f>AND(#REF!,"AAAAAD3l+1Y=")</f>
        <v>#REF!</v>
      </c>
      <c r="CJ96" t="e">
        <f>AND(#REF!,"AAAAAD3l+1c=")</f>
        <v>#REF!</v>
      </c>
      <c r="CK96" t="e">
        <f>AND(#REF!,"AAAAAD3l+1g=")</f>
        <v>#REF!</v>
      </c>
      <c r="CL96" t="e">
        <f>AND(#REF!,"AAAAAD3l+1k=")</f>
        <v>#REF!</v>
      </c>
      <c r="CM96" t="e">
        <f>IF(#REF!,"AAAAAD3l+1o=",0)</f>
        <v>#REF!</v>
      </c>
      <c r="CN96" t="e">
        <f>AND(#REF!,"AAAAAD3l+1s=")</f>
        <v>#REF!</v>
      </c>
      <c r="CO96" t="e">
        <f>AND(#REF!,"AAAAAD3l+1w=")</f>
        <v>#REF!</v>
      </c>
      <c r="CP96" t="e">
        <f>AND(#REF!,"AAAAAD3l+10=")</f>
        <v>#REF!</v>
      </c>
      <c r="CQ96" t="e">
        <f>AND(#REF!,"AAAAAD3l+14=")</f>
        <v>#REF!</v>
      </c>
      <c r="CR96" t="e">
        <f>AND(#REF!,"AAAAAD3l+18=")</f>
        <v>#REF!</v>
      </c>
      <c r="CS96" t="e">
        <f>AND(#REF!,"AAAAAD3l+2A=")</f>
        <v>#REF!</v>
      </c>
      <c r="CT96" t="e">
        <f>AND(#REF!,"AAAAAD3l+2E=")</f>
        <v>#REF!</v>
      </c>
      <c r="CU96" t="e">
        <f>AND(#REF!,"AAAAAD3l+2I=")</f>
        <v>#REF!</v>
      </c>
      <c r="CV96" t="e">
        <f>AND(#REF!,"AAAAAD3l+2M=")</f>
        <v>#REF!</v>
      </c>
      <c r="CW96" t="e">
        <f>AND(#REF!,"AAAAAD3l+2Q=")</f>
        <v>#REF!</v>
      </c>
      <c r="CX96" t="e">
        <f>AND(#REF!,"AAAAAD3l+2U=")</f>
        <v>#REF!</v>
      </c>
      <c r="CY96" t="e">
        <f>AND(#REF!,"AAAAAD3l+2Y=")</f>
        <v>#REF!</v>
      </c>
      <c r="CZ96" t="e">
        <f>AND(#REF!,"AAAAAD3l+2c=")</f>
        <v>#REF!</v>
      </c>
      <c r="DA96" t="e">
        <f>AND(#REF!,"AAAAAD3l+2g=")</f>
        <v>#REF!</v>
      </c>
      <c r="DB96" t="e">
        <f>AND(#REF!,"AAAAAD3l+2k=")</f>
        <v>#REF!</v>
      </c>
      <c r="DC96" t="e">
        <f>AND(#REF!,"AAAAAD3l+2o=")</f>
        <v>#REF!</v>
      </c>
      <c r="DD96" t="e">
        <f>AND(#REF!,"AAAAAD3l+2s=")</f>
        <v>#REF!</v>
      </c>
      <c r="DE96" t="e">
        <f>AND(#REF!,"AAAAAD3l+2w=")</f>
        <v>#REF!</v>
      </c>
      <c r="DF96" t="e">
        <f>AND(#REF!,"AAAAAD3l+20=")</f>
        <v>#REF!</v>
      </c>
      <c r="DG96" t="e">
        <f>AND(#REF!,"AAAAAD3l+24=")</f>
        <v>#REF!</v>
      </c>
      <c r="DH96" t="e">
        <f>AND(#REF!,"AAAAAD3l+28=")</f>
        <v>#REF!</v>
      </c>
      <c r="DI96" t="e">
        <f>AND(#REF!,"AAAAAD3l+3A=")</f>
        <v>#REF!</v>
      </c>
      <c r="DJ96" t="e">
        <f>AND(#REF!,"AAAAAD3l+3E=")</f>
        <v>#REF!</v>
      </c>
      <c r="DK96" t="e">
        <f>AND(#REF!,"AAAAAD3l+3I=")</f>
        <v>#REF!</v>
      </c>
      <c r="DL96" t="e">
        <f>IF(#REF!,"AAAAAD3l+3M=",0)</f>
        <v>#REF!</v>
      </c>
      <c r="DM96" t="e">
        <f>AND(#REF!,"AAAAAD3l+3Q=")</f>
        <v>#REF!</v>
      </c>
      <c r="DN96" t="e">
        <f>AND(#REF!,"AAAAAD3l+3U=")</f>
        <v>#REF!</v>
      </c>
      <c r="DO96" t="e">
        <f>AND(#REF!,"AAAAAD3l+3Y=")</f>
        <v>#REF!</v>
      </c>
      <c r="DP96" t="e">
        <f>AND(#REF!,"AAAAAD3l+3c=")</f>
        <v>#REF!</v>
      </c>
      <c r="DQ96" t="e">
        <f>AND(#REF!,"AAAAAD3l+3g=")</f>
        <v>#REF!</v>
      </c>
      <c r="DR96" t="e">
        <f>AND(#REF!,"AAAAAD3l+3k=")</f>
        <v>#REF!</v>
      </c>
      <c r="DS96" t="e">
        <f>AND(#REF!,"AAAAAD3l+3o=")</f>
        <v>#REF!</v>
      </c>
      <c r="DT96" t="e">
        <f>AND(#REF!,"AAAAAD3l+3s=")</f>
        <v>#REF!</v>
      </c>
      <c r="DU96" t="e">
        <f>AND(#REF!,"AAAAAD3l+3w=")</f>
        <v>#REF!</v>
      </c>
      <c r="DV96" t="e">
        <f>AND(#REF!,"AAAAAD3l+30=")</f>
        <v>#REF!</v>
      </c>
      <c r="DW96" t="e">
        <f>AND(#REF!,"AAAAAD3l+34=")</f>
        <v>#REF!</v>
      </c>
      <c r="DX96" t="e">
        <f>AND(#REF!,"AAAAAD3l+38=")</f>
        <v>#REF!</v>
      </c>
      <c r="DY96" t="e">
        <f>AND(#REF!,"AAAAAD3l+4A=")</f>
        <v>#REF!</v>
      </c>
      <c r="DZ96" t="e">
        <f>AND(#REF!,"AAAAAD3l+4E=")</f>
        <v>#REF!</v>
      </c>
      <c r="EA96" t="e">
        <f>AND(#REF!,"AAAAAD3l+4I=")</f>
        <v>#REF!</v>
      </c>
      <c r="EB96" t="e">
        <f>AND(#REF!,"AAAAAD3l+4M=")</f>
        <v>#REF!</v>
      </c>
      <c r="EC96" t="e">
        <f>AND(#REF!,"AAAAAD3l+4Q=")</f>
        <v>#REF!</v>
      </c>
      <c r="ED96" t="e">
        <f>AND(#REF!,"AAAAAD3l+4U=")</f>
        <v>#REF!</v>
      </c>
      <c r="EE96" t="e">
        <f>AND(#REF!,"AAAAAD3l+4Y=")</f>
        <v>#REF!</v>
      </c>
      <c r="EF96" t="e">
        <f>AND(#REF!,"AAAAAD3l+4c=")</f>
        <v>#REF!</v>
      </c>
      <c r="EG96" t="e">
        <f>AND(#REF!,"AAAAAD3l+4g=")</f>
        <v>#REF!</v>
      </c>
      <c r="EH96" t="e">
        <f>AND(#REF!,"AAAAAD3l+4k=")</f>
        <v>#REF!</v>
      </c>
      <c r="EI96" t="e">
        <f>AND(#REF!,"AAAAAD3l+4o=")</f>
        <v>#REF!</v>
      </c>
      <c r="EJ96" t="e">
        <f>AND(#REF!,"AAAAAD3l+4s=")</f>
        <v>#REF!</v>
      </c>
      <c r="EK96" t="e">
        <f>IF(#REF!,"AAAAAD3l+4w=",0)</f>
        <v>#REF!</v>
      </c>
      <c r="EL96" t="e">
        <f>AND(#REF!,"AAAAAD3l+40=")</f>
        <v>#REF!</v>
      </c>
      <c r="EM96" t="e">
        <f>AND(#REF!,"AAAAAD3l+44=")</f>
        <v>#REF!</v>
      </c>
      <c r="EN96" t="e">
        <f>AND(#REF!,"AAAAAD3l+48=")</f>
        <v>#REF!</v>
      </c>
      <c r="EO96" t="e">
        <f>AND(#REF!,"AAAAAD3l+5A=")</f>
        <v>#REF!</v>
      </c>
      <c r="EP96" t="e">
        <f>AND(#REF!,"AAAAAD3l+5E=")</f>
        <v>#REF!</v>
      </c>
      <c r="EQ96" t="e">
        <f>AND(#REF!,"AAAAAD3l+5I=")</f>
        <v>#REF!</v>
      </c>
      <c r="ER96" t="e">
        <f>AND(#REF!,"AAAAAD3l+5M=")</f>
        <v>#REF!</v>
      </c>
      <c r="ES96" t="e">
        <f>AND(#REF!,"AAAAAD3l+5Q=")</f>
        <v>#REF!</v>
      </c>
      <c r="ET96" t="e">
        <f>AND(#REF!,"AAAAAD3l+5U=")</f>
        <v>#REF!</v>
      </c>
      <c r="EU96" t="e">
        <f>AND(#REF!,"AAAAAD3l+5Y=")</f>
        <v>#REF!</v>
      </c>
      <c r="EV96" t="e">
        <f>AND(#REF!,"AAAAAD3l+5c=")</f>
        <v>#REF!</v>
      </c>
      <c r="EW96" t="e">
        <f>AND(#REF!,"AAAAAD3l+5g=")</f>
        <v>#REF!</v>
      </c>
      <c r="EX96" t="e">
        <f>AND(#REF!,"AAAAAD3l+5k=")</f>
        <v>#REF!</v>
      </c>
      <c r="EY96" t="e">
        <f>AND(#REF!,"AAAAAD3l+5o=")</f>
        <v>#REF!</v>
      </c>
      <c r="EZ96" t="e">
        <f>AND(#REF!,"AAAAAD3l+5s=")</f>
        <v>#REF!</v>
      </c>
      <c r="FA96" t="e">
        <f>AND(#REF!,"AAAAAD3l+5w=")</f>
        <v>#REF!</v>
      </c>
      <c r="FB96" t="e">
        <f>AND(#REF!,"AAAAAD3l+50=")</f>
        <v>#REF!</v>
      </c>
      <c r="FC96" t="e">
        <f>AND(#REF!,"AAAAAD3l+54=")</f>
        <v>#REF!</v>
      </c>
      <c r="FD96" t="e">
        <f>AND(#REF!,"AAAAAD3l+58=")</f>
        <v>#REF!</v>
      </c>
      <c r="FE96" t="e">
        <f>AND(#REF!,"AAAAAD3l+6A=")</f>
        <v>#REF!</v>
      </c>
      <c r="FF96" t="e">
        <f>AND(#REF!,"AAAAAD3l+6E=")</f>
        <v>#REF!</v>
      </c>
      <c r="FG96" t="e">
        <f>AND(#REF!,"AAAAAD3l+6I=")</f>
        <v>#REF!</v>
      </c>
      <c r="FH96" t="e">
        <f>AND(#REF!,"AAAAAD3l+6M=")</f>
        <v>#REF!</v>
      </c>
      <c r="FI96" t="e">
        <f>AND(#REF!,"AAAAAD3l+6Q=")</f>
        <v>#REF!</v>
      </c>
      <c r="FJ96" t="e">
        <f>IF(#REF!,"AAAAAD3l+6U=",0)</f>
        <v>#REF!</v>
      </c>
      <c r="FK96" t="e">
        <f>AND(#REF!,"AAAAAD3l+6Y=")</f>
        <v>#REF!</v>
      </c>
      <c r="FL96" t="e">
        <f>AND(#REF!,"AAAAAD3l+6c=")</f>
        <v>#REF!</v>
      </c>
      <c r="FM96" t="e">
        <f>AND(#REF!,"AAAAAD3l+6g=")</f>
        <v>#REF!</v>
      </c>
      <c r="FN96" t="e">
        <f>AND(#REF!,"AAAAAD3l+6k=")</f>
        <v>#REF!</v>
      </c>
      <c r="FO96" t="e">
        <f>AND(#REF!,"AAAAAD3l+6o=")</f>
        <v>#REF!</v>
      </c>
      <c r="FP96" t="e">
        <f>AND(#REF!,"AAAAAD3l+6s=")</f>
        <v>#REF!</v>
      </c>
      <c r="FQ96" t="e">
        <f>AND(#REF!,"AAAAAD3l+6w=")</f>
        <v>#REF!</v>
      </c>
      <c r="FR96" t="e">
        <f>AND(#REF!,"AAAAAD3l+60=")</f>
        <v>#REF!</v>
      </c>
      <c r="FS96" t="e">
        <f>AND(#REF!,"AAAAAD3l+64=")</f>
        <v>#REF!</v>
      </c>
      <c r="FT96" t="e">
        <f>AND(#REF!,"AAAAAD3l+68=")</f>
        <v>#REF!</v>
      </c>
      <c r="FU96" t="e">
        <f>AND(#REF!,"AAAAAD3l+7A=")</f>
        <v>#REF!</v>
      </c>
      <c r="FV96" t="e">
        <f>AND(#REF!,"AAAAAD3l+7E=")</f>
        <v>#REF!</v>
      </c>
      <c r="FW96" t="e">
        <f>AND(#REF!,"AAAAAD3l+7I=")</f>
        <v>#REF!</v>
      </c>
      <c r="FX96" t="e">
        <f>AND(#REF!,"AAAAAD3l+7M=")</f>
        <v>#REF!</v>
      </c>
      <c r="FY96" t="e">
        <f>AND(#REF!,"AAAAAD3l+7Q=")</f>
        <v>#REF!</v>
      </c>
      <c r="FZ96" t="e">
        <f>AND(#REF!,"AAAAAD3l+7U=")</f>
        <v>#REF!</v>
      </c>
      <c r="GA96" t="e">
        <f>AND(#REF!,"AAAAAD3l+7Y=")</f>
        <v>#REF!</v>
      </c>
      <c r="GB96" t="e">
        <f>AND(#REF!,"AAAAAD3l+7c=")</f>
        <v>#REF!</v>
      </c>
      <c r="GC96" t="e">
        <f>AND(#REF!,"AAAAAD3l+7g=")</f>
        <v>#REF!</v>
      </c>
      <c r="GD96" t="e">
        <f>AND(#REF!,"AAAAAD3l+7k=")</f>
        <v>#REF!</v>
      </c>
      <c r="GE96" t="e">
        <f>AND(#REF!,"AAAAAD3l+7o=")</f>
        <v>#REF!</v>
      </c>
      <c r="GF96" t="e">
        <f>AND(#REF!,"AAAAAD3l+7s=")</f>
        <v>#REF!</v>
      </c>
      <c r="GG96" t="e">
        <f>AND(#REF!,"AAAAAD3l+7w=")</f>
        <v>#REF!</v>
      </c>
      <c r="GH96" t="e">
        <f>AND(#REF!,"AAAAAD3l+70=")</f>
        <v>#REF!</v>
      </c>
      <c r="GI96" t="e">
        <f>IF(#REF!,"AAAAAD3l+74=",0)</f>
        <v>#REF!</v>
      </c>
      <c r="GJ96" t="e">
        <f>AND(#REF!,"AAAAAD3l+78=")</f>
        <v>#REF!</v>
      </c>
      <c r="GK96" t="e">
        <f>AND(#REF!,"AAAAAD3l+8A=")</f>
        <v>#REF!</v>
      </c>
      <c r="GL96" t="e">
        <f>AND(#REF!,"AAAAAD3l+8E=")</f>
        <v>#REF!</v>
      </c>
      <c r="GM96" t="e">
        <f>AND(#REF!,"AAAAAD3l+8I=")</f>
        <v>#REF!</v>
      </c>
      <c r="GN96" t="e">
        <f>AND(#REF!,"AAAAAD3l+8M=")</f>
        <v>#REF!</v>
      </c>
      <c r="GO96" t="e">
        <f>AND(#REF!,"AAAAAD3l+8Q=")</f>
        <v>#REF!</v>
      </c>
      <c r="GP96" t="e">
        <f>AND(#REF!,"AAAAAD3l+8U=")</f>
        <v>#REF!</v>
      </c>
      <c r="GQ96" t="e">
        <f>AND(#REF!,"AAAAAD3l+8Y=")</f>
        <v>#REF!</v>
      </c>
      <c r="GR96" t="e">
        <f>AND(#REF!,"AAAAAD3l+8c=")</f>
        <v>#REF!</v>
      </c>
      <c r="GS96" t="e">
        <f>AND(#REF!,"AAAAAD3l+8g=")</f>
        <v>#REF!</v>
      </c>
      <c r="GT96" t="e">
        <f>AND(#REF!,"AAAAAD3l+8k=")</f>
        <v>#REF!</v>
      </c>
      <c r="GU96" t="e">
        <f>AND(#REF!,"AAAAAD3l+8o=")</f>
        <v>#REF!</v>
      </c>
      <c r="GV96" t="e">
        <f>AND(#REF!,"AAAAAD3l+8s=")</f>
        <v>#REF!</v>
      </c>
      <c r="GW96" t="e">
        <f>AND(#REF!,"AAAAAD3l+8w=")</f>
        <v>#REF!</v>
      </c>
      <c r="GX96" t="e">
        <f>AND(#REF!,"AAAAAD3l+80=")</f>
        <v>#REF!</v>
      </c>
      <c r="GY96" t="e">
        <f>AND(#REF!,"AAAAAD3l+84=")</f>
        <v>#REF!</v>
      </c>
      <c r="GZ96" t="e">
        <f>AND(#REF!,"AAAAAD3l+88=")</f>
        <v>#REF!</v>
      </c>
      <c r="HA96" t="e">
        <f>AND(#REF!,"AAAAAD3l+9A=")</f>
        <v>#REF!</v>
      </c>
      <c r="HB96" t="e">
        <f>AND(#REF!,"AAAAAD3l+9E=")</f>
        <v>#REF!</v>
      </c>
      <c r="HC96" t="e">
        <f>AND(#REF!,"AAAAAD3l+9I=")</f>
        <v>#REF!</v>
      </c>
      <c r="HD96" t="e">
        <f>AND(#REF!,"AAAAAD3l+9M=")</f>
        <v>#REF!</v>
      </c>
      <c r="HE96" t="e">
        <f>AND(#REF!,"AAAAAD3l+9Q=")</f>
        <v>#REF!</v>
      </c>
      <c r="HF96" t="e">
        <f>AND(#REF!,"AAAAAD3l+9U=")</f>
        <v>#REF!</v>
      </c>
      <c r="HG96" t="e">
        <f>AND(#REF!,"AAAAAD3l+9Y=")</f>
        <v>#REF!</v>
      </c>
      <c r="HH96" t="e">
        <f>IF(#REF!,"AAAAAD3l+9c=",0)</f>
        <v>#REF!</v>
      </c>
      <c r="HI96" t="e">
        <f>AND(#REF!,"AAAAAD3l+9g=")</f>
        <v>#REF!</v>
      </c>
      <c r="HJ96" t="e">
        <f>AND(#REF!,"AAAAAD3l+9k=")</f>
        <v>#REF!</v>
      </c>
      <c r="HK96" t="e">
        <f>AND(#REF!,"AAAAAD3l+9o=")</f>
        <v>#REF!</v>
      </c>
      <c r="HL96" t="e">
        <f>AND(#REF!,"AAAAAD3l+9s=")</f>
        <v>#REF!</v>
      </c>
      <c r="HM96" t="e">
        <f>AND(#REF!,"AAAAAD3l+9w=")</f>
        <v>#REF!</v>
      </c>
      <c r="HN96" t="e">
        <f>AND(#REF!,"AAAAAD3l+90=")</f>
        <v>#REF!</v>
      </c>
      <c r="HO96" t="e">
        <f>AND(#REF!,"AAAAAD3l+94=")</f>
        <v>#REF!</v>
      </c>
      <c r="HP96" t="e">
        <f>AND(#REF!,"AAAAAD3l+98=")</f>
        <v>#REF!</v>
      </c>
      <c r="HQ96" t="e">
        <f>AND(#REF!,"AAAAAD3l++A=")</f>
        <v>#REF!</v>
      </c>
      <c r="HR96" t="e">
        <f>AND(#REF!,"AAAAAD3l++E=")</f>
        <v>#REF!</v>
      </c>
      <c r="HS96" t="e">
        <f>AND(#REF!,"AAAAAD3l++I=")</f>
        <v>#REF!</v>
      </c>
      <c r="HT96" t="e">
        <f>AND(#REF!,"AAAAAD3l++M=")</f>
        <v>#REF!</v>
      </c>
      <c r="HU96" t="e">
        <f>AND(#REF!,"AAAAAD3l++Q=")</f>
        <v>#REF!</v>
      </c>
      <c r="HV96" t="e">
        <f>AND(#REF!,"AAAAAD3l++U=")</f>
        <v>#REF!</v>
      </c>
      <c r="HW96" t="e">
        <f>AND(#REF!,"AAAAAD3l++Y=")</f>
        <v>#REF!</v>
      </c>
      <c r="HX96" t="e">
        <f>AND(#REF!,"AAAAAD3l++c=")</f>
        <v>#REF!</v>
      </c>
      <c r="HY96" t="e">
        <f>AND(#REF!,"AAAAAD3l++g=")</f>
        <v>#REF!</v>
      </c>
      <c r="HZ96" t="e">
        <f>AND(#REF!,"AAAAAD3l++k=")</f>
        <v>#REF!</v>
      </c>
      <c r="IA96" t="e">
        <f>AND(#REF!,"AAAAAD3l++o=")</f>
        <v>#REF!</v>
      </c>
      <c r="IB96" t="e">
        <f>AND(#REF!,"AAAAAD3l++s=")</f>
        <v>#REF!</v>
      </c>
      <c r="IC96" t="e">
        <f>AND(#REF!,"AAAAAD3l++w=")</f>
        <v>#REF!</v>
      </c>
      <c r="ID96" t="e">
        <f>AND(#REF!,"AAAAAD3l++0=")</f>
        <v>#REF!</v>
      </c>
      <c r="IE96" t="e">
        <f>AND(#REF!,"AAAAAD3l++4=")</f>
        <v>#REF!</v>
      </c>
      <c r="IF96" t="e">
        <f>AND(#REF!,"AAAAAD3l++8=")</f>
        <v>#REF!</v>
      </c>
      <c r="IG96" t="e">
        <f>IF(#REF!,"AAAAAD3l+/A=",0)</f>
        <v>#REF!</v>
      </c>
      <c r="IH96" t="e">
        <f>AND(#REF!,"AAAAAD3l+/E=")</f>
        <v>#REF!</v>
      </c>
      <c r="II96" t="e">
        <f>AND(#REF!,"AAAAAD3l+/I=")</f>
        <v>#REF!</v>
      </c>
      <c r="IJ96" t="e">
        <f>AND(#REF!,"AAAAAD3l+/M=")</f>
        <v>#REF!</v>
      </c>
      <c r="IK96" t="e">
        <f>AND(#REF!,"AAAAAD3l+/Q=")</f>
        <v>#REF!</v>
      </c>
      <c r="IL96" t="e">
        <f>AND(#REF!,"AAAAAD3l+/U=")</f>
        <v>#REF!</v>
      </c>
      <c r="IM96" t="e">
        <f>AND(#REF!,"AAAAAD3l+/Y=")</f>
        <v>#REF!</v>
      </c>
      <c r="IN96" t="e">
        <f>AND(#REF!,"AAAAAD3l+/c=")</f>
        <v>#REF!</v>
      </c>
      <c r="IO96" t="e">
        <f>AND(#REF!,"AAAAAD3l+/g=")</f>
        <v>#REF!</v>
      </c>
      <c r="IP96" t="e">
        <f>AND(#REF!,"AAAAAD3l+/k=")</f>
        <v>#REF!</v>
      </c>
      <c r="IQ96" t="e">
        <f>AND(#REF!,"AAAAAD3l+/o=")</f>
        <v>#REF!</v>
      </c>
      <c r="IR96" t="e">
        <f>AND(#REF!,"AAAAAD3l+/s=")</f>
        <v>#REF!</v>
      </c>
      <c r="IS96" t="e">
        <f>AND(#REF!,"AAAAAD3l+/w=")</f>
        <v>#REF!</v>
      </c>
      <c r="IT96" t="e">
        <f>AND(#REF!,"AAAAAD3l+/0=")</f>
        <v>#REF!</v>
      </c>
      <c r="IU96" t="e">
        <f>AND(#REF!,"AAAAAD3l+/4=")</f>
        <v>#REF!</v>
      </c>
      <c r="IV96" t="e">
        <f>AND(#REF!,"AAAAAD3l+/8=")</f>
        <v>#REF!</v>
      </c>
    </row>
    <row r="97" spans="1:256">
      <c r="A97" t="e">
        <f>AND(#REF!,"AAAAAE+rfwA=")</f>
        <v>#REF!</v>
      </c>
      <c r="B97" t="e">
        <f>AND(#REF!,"AAAAAE+rfwE=")</f>
        <v>#REF!</v>
      </c>
      <c r="C97" t="e">
        <f>AND(#REF!,"AAAAAE+rfwI=")</f>
        <v>#REF!</v>
      </c>
      <c r="D97" t="e">
        <f>AND(#REF!,"AAAAAE+rfwM=")</f>
        <v>#REF!</v>
      </c>
      <c r="E97" t="e">
        <f>AND(#REF!,"AAAAAE+rfwQ=")</f>
        <v>#REF!</v>
      </c>
      <c r="F97" t="e">
        <f>AND(#REF!,"AAAAAE+rfwU=")</f>
        <v>#REF!</v>
      </c>
      <c r="G97" t="e">
        <f>AND(#REF!,"AAAAAE+rfwY=")</f>
        <v>#REF!</v>
      </c>
      <c r="H97" t="e">
        <f>AND(#REF!,"AAAAAE+rfwc=")</f>
        <v>#REF!</v>
      </c>
      <c r="I97" t="e">
        <f>AND(#REF!,"AAAAAE+rfwg=")</f>
        <v>#REF!</v>
      </c>
      <c r="J97" t="e">
        <f>IF(#REF!,"AAAAAE+rfwk=",0)</f>
        <v>#REF!</v>
      </c>
      <c r="K97" t="e">
        <f>AND(#REF!,"AAAAAE+rfwo=")</f>
        <v>#REF!</v>
      </c>
      <c r="L97" t="e">
        <f>AND(#REF!,"AAAAAE+rfws=")</f>
        <v>#REF!</v>
      </c>
      <c r="M97" t="e">
        <f>AND(#REF!,"AAAAAE+rfww=")</f>
        <v>#REF!</v>
      </c>
      <c r="N97" t="e">
        <f>AND(#REF!,"AAAAAE+rfw0=")</f>
        <v>#REF!</v>
      </c>
      <c r="O97" t="e">
        <f>AND(#REF!,"AAAAAE+rfw4=")</f>
        <v>#REF!</v>
      </c>
      <c r="P97" t="e">
        <f>AND(#REF!,"AAAAAE+rfw8=")</f>
        <v>#REF!</v>
      </c>
      <c r="Q97" t="e">
        <f>AND(#REF!,"AAAAAE+rfxA=")</f>
        <v>#REF!</v>
      </c>
      <c r="R97" t="e">
        <f>AND(#REF!,"AAAAAE+rfxE=")</f>
        <v>#REF!</v>
      </c>
      <c r="S97" t="e">
        <f>AND(#REF!,"AAAAAE+rfxI=")</f>
        <v>#REF!</v>
      </c>
      <c r="T97" t="e">
        <f>AND(#REF!,"AAAAAE+rfxM=")</f>
        <v>#REF!</v>
      </c>
      <c r="U97" t="e">
        <f>AND(#REF!,"AAAAAE+rfxQ=")</f>
        <v>#REF!</v>
      </c>
      <c r="V97" t="e">
        <f>AND(#REF!,"AAAAAE+rfxU=")</f>
        <v>#REF!</v>
      </c>
      <c r="W97" t="e">
        <f>AND(#REF!,"AAAAAE+rfxY=")</f>
        <v>#REF!</v>
      </c>
      <c r="X97" t="e">
        <f>AND(#REF!,"AAAAAE+rfxc=")</f>
        <v>#REF!</v>
      </c>
      <c r="Y97" t="e">
        <f>AND(#REF!,"AAAAAE+rfxg=")</f>
        <v>#REF!</v>
      </c>
      <c r="Z97" t="e">
        <f>AND(#REF!,"AAAAAE+rfxk=")</f>
        <v>#REF!</v>
      </c>
      <c r="AA97" t="e">
        <f>AND(#REF!,"AAAAAE+rfxo=")</f>
        <v>#REF!</v>
      </c>
      <c r="AB97" t="e">
        <f>AND(#REF!,"AAAAAE+rfxs=")</f>
        <v>#REF!</v>
      </c>
      <c r="AC97" t="e">
        <f>AND(#REF!,"AAAAAE+rfxw=")</f>
        <v>#REF!</v>
      </c>
      <c r="AD97" t="e">
        <f>AND(#REF!,"AAAAAE+rfx0=")</f>
        <v>#REF!</v>
      </c>
      <c r="AE97" t="e">
        <f>AND(#REF!,"AAAAAE+rfx4=")</f>
        <v>#REF!</v>
      </c>
      <c r="AF97" t="e">
        <f>AND(#REF!,"AAAAAE+rfx8=")</f>
        <v>#REF!</v>
      </c>
      <c r="AG97" t="e">
        <f>AND(#REF!,"AAAAAE+rfyA=")</f>
        <v>#REF!</v>
      </c>
      <c r="AH97" t="e">
        <f>AND(#REF!,"AAAAAE+rfyE=")</f>
        <v>#REF!</v>
      </c>
      <c r="AI97" t="e">
        <f>IF(#REF!,"AAAAAE+rfyI=",0)</f>
        <v>#REF!</v>
      </c>
      <c r="AJ97" t="e">
        <f>AND(#REF!,"AAAAAE+rfyM=")</f>
        <v>#REF!</v>
      </c>
      <c r="AK97" t="e">
        <f>AND(#REF!,"AAAAAE+rfyQ=")</f>
        <v>#REF!</v>
      </c>
      <c r="AL97" t="e">
        <f>AND(#REF!,"AAAAAE+rfyU=")</f>
        <v>#REF!</v>
      </c>
      <c r="AM97" t="e">
        <f>AND(#REF!,"AAAAAE+rfyY=")</f>
        <v>#REF!</v>
      </c>
      <c r="AN97" t="e">
        <f>AND(#REF!,"AAAAAE+rfyc=")</f>
        <v>#REF!</v>
      </c>
      <c r="AO97" t="e">
        <f>AND(#REF!,"AAAAAE+rfyg=")</f>
        <v>#REF!</v>
      </c>
      <c r="AP97" t="e">
        <f>AND(#REF!,"AAAAAE+rfyk=")</f>
        <v>#REF!</v>
      </c>
      <c r="AQ97" t="e">
        <f>AND(#REF!,"AAAAAE+rfyo=")</f>
        <v>#REF!</v>
      </c>
      <c r="AR97" t="e">
        <f>AND(#REF!,"AAAAAE+rfys=")</f>
        <v>#REF!</v>
      </c>
      <c r="AS97" t="e">
        <f>AND(#REF!,"AAAAAE+rfyw=")</f>
        <v>#REF!</v>
      </c>
      <c r="AT97" t="e">
        <f>AND(#REF!,"AAAAAE+rfy0=")</f>
        <v>#REF!</v>
      </c>
      <c r="AU97" t="e">
        <f>AND(#REF!,"AAAAAE+rfy4=")</f>
        <v>#REF!</v>
      </c>
      <c r="AV97" t="e">
        <f>AND(#REF!,"AAAAAE+rfy8=")</f>
        <v>#REF!</v>
      </c>
      <c r="AW97" t="e">
        <f>AND(#REF!,"AAAAAE+rfzA=")</f>
        <v>#REF!</v>
      </c>
      <c r="AX97" t="e">
        <f>AND(#REF!,"AAAAAE+rfzE=")</f>
        <v>#REF!</v>
      </c>
      <c r="AY97" t="e">
        <f>AND(#REF!,"AAAAAE+rfzI=")</f>
        <v>#REF!</v>
      </c>
      <c r="AZ97" t="e">
        <f>AND(#REF!,"AAAAAE+rfzM=")</f>
        <v>#REF!</v>
      </c>
      <c r="BA97" t="e">
        <f>AND(#REF!,"AAAAAE+rfzQ=")</f>
        <v>#REF!</v>
      </c>
      <c r="BB97" t="e">
        <f>AND(#REF!,"AAAAAE+rfzU=")</f>
        <v>#REF!</v>
      </c>
      <c r="BC97" t="e">
        <f>AND(#REF!,"AAAAAE+rfzY=")</f>
        <v>#REF!</v>
      </c>
      <c r="BD97" t="e">
        <f>AND(#REF!,"AAAAAE+rfzc=")</f>
        <v>#REF!</v>
      </c>
      <c r="BE97" t="e">
        <f>AND(#REF!,"AAAAAE+rfzg=")</f>
        <v>#REF!</v>
      </c>
      <c r="BF97" t="e">
        <f>AND(#REF!,"AAAAAE+rfzk=")</f>
        <v>#REF!</v>
      </c>
      <c r="BG97" t="e">
        <f>AND(#REF!,"AAAAAE+rfzo=")</f>
        <v>#REF!</v>
      </c>
      <c r="BH97" t="e">
        <f>IF(#REF!,"AAAAAE+rfzs=",0)</f>
        <v>#REF!</v>
      </c>
      <c r="BI97" t="e">
        <f>AND(#REF!,"AAAAAE+rfzw=")</f>
        <v>#REF!</v>
      </c>
      <c r="BJ97" t="e">
        <f>AND(#REF!,"AAAAAE+rfz0=")</f>
        <v>#REF!</v>
      </c>
      <c r="BK97" t="e">
        <f>AND(#REF!,"AAAAAE+rfz4=")</f>
        <v>#REF!</v>
      </c>
      <c r="BL97" t="e">
        <f>AND(#REF!,"AAAAAE+rfz8=")</f>
        <v>#REF!</v>
      </c>
      <c r="BM97" t="e">
        <f>AND(#REF!,"AAAAAE+rf0A=")</f>
        <v>#REF!</v>
      </c>
      <c r="BN97" t="e">
        <f>AND(#REF!,"AAAAAE+rf0E=")</f>
        <v>#REF!</v>
      </c>
      <c r="BO97" t="e">
        <f>AND(#REF!,"AAAAAE+rf0I=")</f>
        <v>#REF!</v>
      </c>
      <c r="BP97" t="e">
        <f>AND(#REF!,"AAAAAE+rf0M=")</f>
        <v>#REF!</v>
      </c>
      <c r="BQ97" t="e">
        <f>AND(#REF!,"AAAAAE+rf0Q=")</f>
        <v>#REF!</v>
      </c>
      <c r="BR97" t="e">
        <f>AND(#REF!,"AAAAAE+rf0U=")</f>
        <v>#REF!</v>
      </c>
      <c r="BS97" t="e">
        <f>AND(#REF!,"AAAAAE+rf0Y=")</f>
        <v>#REF!</v>
      </c>
      <c r="BT97" t="e">
        <f>AND(#REF!,"AAAAAE+rf0c=")</f>
        <v>#REF!</v>
      </c>
      <c r="BU97" t="e">
        <f>AND(#REF!,"AAAAAE+rf0g=")</f>
        <v>#REF!</v>
      </c>
      <c r="BV97" t="e">
        <f>AND(#REF!,"AAAAAE+rf0k=")</f>
        <v>#REF!</v>
      </c>
      <c r="BW97" t="e">
        <f>AND(#REF!,"AAAAAE+rf0o=")</f>
        <v>#REF!</v>
      </c>
      <c r="BX97" t="e">
        <f>AND(#REF!,"AAAAAE+rf0s=")</f>
        <v>#REF!</v>
      </c>
      <c r="BY97" t="e">
        <f>AND(#REF!,"AAAAAE+rf0w=")</f>
        <v>#REF!</v>
      </c>
      <c r="BZ97" t="e">
        <f>AND(#REF!,"AAAAAE+rf00=")</f>
        <v>#REF!</v>
      </c>
      <c r="CA97" t="e">
        <f>AND(#REF!,"AAAAAE+rf04=")</f>
        <v>#REF!</v>
      </c>
      <c r="CB97" t="e">
        <f>AND(#REF!,"AAAAAE+rf08=")</f>
        <v>#REF!</v>
      </c>
      <c r="CC97" t="e">
        <f>AND(#REF!,"AAAAAE+rf1A=")</f>
        <v>#REF!</v>
      </c>
      <c r="CD97" t="e">
        <f>AND(#REF!,"AAAAAE+rf1E=")</f>
        <v>#REF!</v>
      </c>
      <c r="CE97" t="e">
        <f>AND(#REF!,"AAAAAE+rf1I=")</f>
        <v>#REF!</v>
      </c>
      <c r="CF97" t="e">
        <f>AND(#REF!,"AAAAAE+rf1M=")</f>
        <v>#REF!</v>
      </c>
      <c r="CG97" t="e">
        <f>IF(#REF!,"AAAAAE+rf1Q=",0)</f>
        <v>#REF!</v>
      </c>
      <c r="CH97" t="e">
        <f>AND(#REF!,"AAAAAE+rf1U=")</f>
        <v>#REF!</v>
      </c>
      <c r="CI97" t="e">
        <f>AND(#REF!,"AAAAAE+rf1Y=")</f>
        <v>#REF!</v>
      </c>
      <c r="CJ97" t="e">
        <f>AND(#REF!,"AAAAAE+rf1c=")</f>
        <v>#REF!</v>
      </c>
      <c r="CK97" t="e">
        <f>AND(#REF!,"AAAAAE+rf1g=")</f>
        <v>#REF!</v>
      </c>
      <c r="CL97" t="e">
        <f>AND(#REF!,"AAAAAE+rf1k=")</f>
        <v>#REF!</v>
      </c>
      <c r="CM97" t="e">
        <f>AND(#REF!,"AAAAAE+rf1o=")</f>
        <v>#REF!</v>
      </c>
      <c r="CN97" t="e">
        <f>AND(#REF!,"AAAAAE+rf1s=")</f>
        <v>#REF!</v>
      </c>
      <c r="CO97" t="e">
        <f>AND(#REF!,"AAAAAE+rf1w=")</f>
        <v>#REF!</v>
      </c>
      <c r="CP97" t="e">
        <f>AND(#REF!,"AAAAAE+rf10=")</f>
        <v>#REF!</v>
      </c>
      <c r="CQ97" t="e">
        <f>AND(#REF!,"AAAAAE+rf14=")</f>
        <v>#REF!</v>
      </c>
      <c r="CR97" t="e">
        <f>AND(#REF!,"AAAAAE+rf18=")</f>
        <v>#REF!</v>
      </c>
      <c r="CS97" t="e">
        <f>AND(#REF!,"AAAAAE+rf2A=")</f>
        <v>#REF!</v>
      </c>
      <c r="CT97" t="e">
        <f>AND(#REF!,"AAAAAE+rf2E=")</f>
        <v>#REF!</v>
      </c>
      <c r="CU97" t="e">
        <f>AND(#REF!,"AAAAAE+rf2I=")</f>
        <v>#REF!</v>
      </c>
      <c r="CV97" t="e">
        <f>AND(#REF!,"AAAAAE+rf2M=")</f>
        <v>#REF!</v>
      </c>
      <c r="CW97" t="e">
        <f>AND(#REF!,"AAAAAE+rf2Q=")</f>
        <v>#REF!</v>
      </c>
      <c r="CX97" t="e">
        <f>AND(#REF!,"AAAAAE+rf2U=")</f>
        <v>#REF!</v>
      </c>
      <c r="CY97" t="e">
        <f>AND(#REF!,"AAAAAE+rf2Y=")</f>
        <v>#REF!</v>
      </c>
      <c r="CZ97" t="e">
        <f>AND(#REF!,"AAAAAE+rf2c=")</f>
        <v>#REF!</v>
      </c>
      <c r="DA97" t="e">
        <f>AND(#REF!,"AAAAAE+rf2g=")</f>
        <v>#REF!</v>
      </c>
      <c r="DB97" t="e">
        <f>AND(#REF!,"AAAAAE+rf2k=")</f>
        <v>#REF!</v>
      </c>
      <c r="DC97" t="e">
        <f>AND(#REF!,"AAAAAE+rf2o=")</f>
        <v>#REF!</v>
      </c>
      <c r="DD97" t="e">
        <f>AND(#REF!,"AAAAAE+rf2s=")</f>
        <v>#REF!</v>
      </c>
      <c r="DE97" t="e">
        <f>AND(#REF!,"AAAAAE+rf2w=")</f>
        <v>#REF!</v>
      </c>
      <c r="DF97" t="e">
        <f>IF(#REF!,"AAAAAE+rf20=",0)</f>
        <v>#REF!</v>
      </c>
      <c r="DG97" t="e">
        <f>AND(#REF!,"AAAAAE+rf24=")</f>
        <v>#REF!</v>
      </c>
      <c r="DH97" t="e">
        <f>AND(#REF!,"AAAAAE+rf28=")</f>
        <v>#REF!</v>
      </c>
      <c r="DI97" t="e">
        <f>AND(#REF!,"AAAAAE+rf3A=")</f>
        <v>#REF!</v>
      </c>
      <c r="DJ97" t="e">
        <f>AND(#REF!,"AAAAAE+rf3E=")</f>
        <v>#REF!</v>
      </c>
      <c r="DK97" t="e">
        <f>AND(#REF!,"AAAAAE+rf3I=")</f>
        <v>#REF!</v>
      </c>
      <c r="DL97" t="e">
        <f>AND(#REF!,"AAAAAE+rf3M=")</f>
        <v>#REF!</v>
      </c>
      <c r="DM97" t="e">
        <f>AND(#REF!,"AAAAAE+rf3Q=")</f>
        <v>#REF!</v>
      </c>
      <c r="DN97" t="e">
        <f>AND(#REF!,"AAAAAE+rf3U=")</f>
        <v>#REF!</v>
      </c>
      <c r="DO97" t="e">
        <f>AND(#REF!,"AAAAAE+rf3Y=")</f>
        <v>#REF!</v>
      </c>
      <c r="DP97" t="e">
        <f>AND(#REF!,"AAAAAE+rf3c=")</f>
        <v>#REF!</v>
      </c>
      <c r="DQ97" t="e">
        <f>AND(#REF!,"AAAAAE+rf3g=")</f>
        <v>#REF!</v>
      </c>
      <c r="DR97" t="e">
        <f>AND(#REF!,"AAAAAE+rf3k=")</f>
        <v>#REF!</v>
      </c>
      <c r="DS97" t="e">
        <f>AND(#REF!,"AAAAAE+rf3o=")</f>
        <v>#REF!</v>
      </c>
      <c r="DT97" t="e">
        <f>AND(#REF!,"AAAAAE+rf3s=")</f>
        <v>#REF!</v>
      </c>
      <c r="DU97" t="e">
        <f>AND(#REF!,"AAAAAE+rf3w=")</f>
        <v>#REF!</v>
      </c>
      <c r="DV97" t="e">
        <f>AND(#REF!,"AAAAAE+rf30=")</f>
        <v>#REF!</v>
      </c>
      <c r="DW97" t="e">
        <f>AND(#REF!,"AAAAAE+rf34=")</f>
        <v>#REF!</v>
      </c>
      <c r="DX97" t="e">
        <f>AND(#REF!,"AAAAAE+rf38=")</f>
        <v>#REF!</v>
      </c>
      <c r="DY97" t="e">
        <f>AND(#REF!,"AAAAAE+rf4A=")</f>
        <v>#REF!</v>
      </c>
      <c r="DZ97" t="e">
        <f>AND(#REF!,"AAAAAE+rf4E=")</f>
        <v>#REF!</v>
      </c>
      <c r="EA97" t="e">
        <f>AND(#REF!,"AAAAAE+rf4I=")</f>
        <v>#REF!</v>
      </c>
      <c r="EB97" t="e">
        <f>AND(#REF!,"AAAAAE+rf4M=")</f>
        <v>#REF!</v>
      </c>
      <c r="EC97" t="e">
        <f>AND(#REF!,"AAAAAE+rf4Q=")</f>
        <v>#REF!</v>
      </c>
      <c r="ED97" t="e">
        <f>AND(#REF!,"AAAAAE+rf4U=")</f>
        <v>#REF!</v>
      </c>
      <c r="EE97" t="e">
        <f>IF(#REF!,"AAAAAE+rf4Y=",0)</f>
        <v>#REF!</v>
      </c>
      <c r="EF97" t="e">
        <f>AND(#REF!,"AAAAAE+rf4c=")</f>
        <v>#REF!</v>
      </c>
      <c r="EG97" t="e">
        <f>AND(#REF!,"AAAAAE+rf4g=")</f>
        <v>#REF!</v>
      </c>
      <c r="EH97" t="e">
        <f>AND(#REF!,"AAAAAE+rf4k=")</f>
        <v>#REF!</v>
      </c>
      <c r="EI97" t="e">
        <f>AND(#REF!,"AAAAAE+rf4o=")</f>
        <v>#REF!</v>
      </c>
      <c r="EJ97" t="e">
        <f>AND(#REF!,"AAAAAE+rf4s=")</f>
        <v>#REF!</v>
      </c>
      <c r="EK97" t="e">
        <f>AND(#REF!,"AAAAAE+rf4w=")</f>
        <v>#REF!</v>
      </c>
      <c r="EL97" t="e">
        <f>AND(#REF!,"AAAAAE+rf40=")</f>
        <v>#REF!</v>
      </c>
      <c r="EM97" t="e">
        <f>AND(#REF!,"AAAAAE+rf44=")</f>
        <v>#REF!</v>
      </c>
      <c r="EN97" t="e">
        <f>AND(#REF!,"AAAAAE+rf48=")</f>
        <v>#REF!</v>
      </c>
      <c r="EO97" t="e">
        <f>AND(#REF!,"AAAAAE+rf5A=")</f>
        <v>#REF!</v>
      </c>
      <c r="EP97" t="e">
        <f>AND(#REF!,"AAAAAE+rf5E=")</f>
        <v>#REF!</v>
      </c>
      <c r="EQ97" t="e">
        <f>AND(#REF!,"AAAAAE+rf5I=")</f>
        <v>#REF!</v>
      </c>
      <c r="ER97" t="e">
        <f>AND(#REF!,"AAAAAE+rf5M=")</f>
        <v>#REF!</v>
      </c>
      <c r="ES97" t="e">
        <f>AND(#REF!,"AAAAAE+rf5Q=")</f>
        <v>#REF!</v>
      </c>
      <c r="ET97" t="e">
        <f>AND(#REF!,"AAAAAE+rf5U=")</f>
        <v>#REF!</v>
      </c>
      <c r="EU97" t="e">
        <f>AND(#REF!,"AAAAAE+rf5Y=")</f>
        <v>#REF!</v>
      </c>
      <c r="EV97" t="e">
        <f>AND(#REF!,"AAAAAE+rf5c=")</f>
        <v>#REF!</v>
      </c>
      <c r="EW97" t="e">
        <f>AND(#REF!,"AAAAAE+rf5g=")</f>
        <v>#REF!</v>
      </c>
      <c r="EX97" t="e">
        <f>AND(#REF!,"AAAAAE+rf5k=")</f>
        <v>#REF!</v>
      </c>
      <c r="EY97" t="e">
        <f>AND(#REF!,"AAAAAE+rf5o=")</f>
        <v>#REF!</v>
      </c>
      <c r="EZ97" t="e">
        <f>AND(#REF!,"AAAAAE+rf5s=")</f>
        <v>#REF!</v>
      </c>
      <c r="FA97" t="e">
        <f>AND(#REF!,"AAAAAE+rf5w=")</f>
        <v>#REF!</v>
      </c>
      <c r="FB97" t="e">
        <f>AND(#REF!,"AAAAAE+rf50=")</f>
        <v>#REF!</v>
      </c>
      <c r="FC97" t="e">
        <f>AND(#REF!,"AAAAAE+rf54=")</f>
        <v>#REF!</v>
      </c>
      <c r="FD97" t="e">
        <f>IF(#REF!,"AAAAAE+rf58=",0)</f>
        <v>#REF!</v>
      </c>
      <c r="FE97" t="e">
        <f>AND(#REF!,"AAAAAE+rf6A=")</f>
        <v>#REF!</v>
      </c>
      <c r="FF97" t="e">
        <f>AND(#REF!,"AAAAAE+rf6E=")</f>
        <v>#REF!</v>
      </c>
      <c r="FG97" t="e">
        <f>AND(#REF!,"AAAAAE+rf6I=")</f>
        <v>#REF!</v>
      </c>
      <c r="FH97" t="e">
        <f>AND(#REF!,"AAAAAE+rf6M=")</f>
        <v>#REF!</v>
      </c>
      <c r="FI97" t="e">
        <f>AND(#REF!,"AAAAAE+rf6Q=")</f>
        <v>#REF!</v>
      </c>
      <c r="FJ97" t="e">
        <f>AND(#REF!,"AAAAAE+rf6U=")</f>
        <v>#REF!</v>
      </c>
      <c r="FK97" t="e">
        <f>AND(#REF!,"AAAAAE+rf6Y=")</f>
        <v>#REF!</v>
      </c>
      <c r="FL97" t="e">
        <f>AND(#REF!,"AAAAAE+rf6c=")</f>
        <v>#REF!</v>
      </c>
      <c r="FM97" t="e">
        <f>AND(#REF!,"AAAAAE+rf6g=")</f>
        <v>#REF!</v>
      </c>
      <c r="FN97" t="e">
        <f>AND(#REF!,"AAAAAE+rf6k=")</f>
        <v>#REF!</v>
      </c>
      <c r="FO97" t="e">
        <f>AND(#REF!,"AAAAAE+rf6o=")</f>
        <v>#REF!</v>
      </c>
      <c r="FP97" t="e">
        <f>AND(#REF!,"AAAAAE+rf6s=")</f>
        <v>#REF!</v>
      </c>
      <c r="FQ97" t="e">
        <f>AND(#REF!,"AAAAAE+rf6w=")</f>
        <v>#REF!</v>
      </c>
      <c r="FR97" t="e">
        <f>AND(#REF!,"AAAAAE+rf60=")</f>
        <v>#REF!</v>
      </c>
      <c r="FS97" t="e">
        <f>AND(#REF!,"AAAAAE+rf64=")</f>
        <v>#REF!</v>
      </c>
      <c r="FT97" t="e">
        <f>AND(#REF!,"AAAAAE+rf68=")</f>
        <v>#REF!</v>
      </c>
      <c r="FU97" t="e">
        <f>AND(#REF!,"AAAAAE+rf7A=")</f>
        <v>#REF!</v>
      </c>
      <c r="FV97" t="e">
        <f>AND(#REF!,"AAAAAE+rf7E=")</f>
        <v>#REF!</v>
      </c>
      <c r="FW97" t="e">
        <f>AND(#REF!,"AAAAAE+rf7I=")</f>
        <v>#REF!</v>
      </c>
      <c r="FX97" t="e">
        <f>AND(#REF!,"AAAAAE+rf7M=")</f>
        <v>#REF!</v>
      </c>
      <c r="FY97" t="e">
        <f>AND(#REF!,"AAAAAE+rf7Q=")</f>
        <v>#REF!</v>
      </c>
      <c r="FZ97" t="e">
        <f>AND(#REF!,"AAAAAE+rf7U=")</f>
        <v>#REF!</v>
      </c>
      <c r="GA97" t="e">
        <f>AND(#REF!,"AAAAAE+rf7Y=")</f>
        <v>#REF!</v>
      </c>
      <c r="GB97" t="e">
        <f>AND(#REF!,"AAAAAE+rf7c=")</f>
        <v>#REF!</v>
      </c>
      <c r="GC97" t="e">
        <f>IF(#REF!,"AAAAAE+rf7g=",0)</f>
        <v>#REF!</v>
      </c>
      <c r="GD97" t="e">
        <f>AND(#REF!,"AAAAAE+rf7k=")</f>
        <v>#REF!</v>
      </c>
      <c r="GE97" t="e">
        <f>AND(#REF!,"AAAAAE+rf7o=")</f>
        <v>#REF!</v>
      </c>
      <c r="GF97" t="e">
        <f>AND(#REF!,"AAAAAE+rf7s=")</f>
        <v>#REF!</v>
      </c>
      <c r="GG97" t="e">
        <f>AND(#REF!,"AAAAAE+rf7w=")</f>
        <v>#REF!</v>
      </c>
      <c r="GH97" t="e">
        <f>AND(#REF!,"AAAAAE+rf70=")</f>
        <v>#REF!</v>
      </c>
      <c r="GI97" t="e">
        <f>AND(#REF!,"AAAAAE+rf74=")</f>
        <v>#REF!</v>
      </c>
      <c r="GJ97" t="e">
        <f>AND(#REF!,"AAAAAE+rf78=")</f>
        <v>#REF!</v>
      </c>
      <c r="GK97" t="e">
        <f>AND(#REF!,"AAAAAE+rf8A=")</f>
        <v>#REF!</v>
      </c>
      <c r="GL97" t="e">
        <f>AND(#REF!,"AAAAAE+rf8E=")</f>
        <v>#REF!</v>
      </c>
      <c r="GM97" t="e">
        <f>AND(#REF!,"AAAAAE+rf8I=")</f>
        <v>#REF!</v>
      </c>
      <c r="GN97" t="e">
        <f>AND(#REF!,"AAAAAE+rf8M=")</f>
        <v>#REF!</v>
      </c>
      <c r="GO97" t="e">
        <f>AND(#REF!,"AAAAAE+rf8Q=")</f>
        <v>#REF!</v>
      </c>
      <c r="GP97" t="e">
        <f>AND(#REF!,"AAAAAE+rf8U=")</f>
        <v>#REF!</v>
      </c>
      <c r="GQ97" t="e">
        <f>AND(#REF!,"AAAAAE+rf8Y=")</f>
        <v>#REF!</v>
      </c>
      <c r="GR97" t="e">
        <f>AND(#REF!,"AAAAAE+rf8c=")</f>
        <v>#REF!</v>
      </c>
      <c r="GS97" t="e">
        <f>AND(#REF!,"AAAAAE+rf8g=")</f>
        <v>#REF!</v>
      </c>
      <c r="GT97" t="e">
        <f>AND(#REF!,"AAAAAE+rf8k=")</f>
        <v>#REF!</v>
      </c>
      <c r="GU97" t="e">
        <f>AND(#REF!,"AAAAAE+rf8o=")</f>
        <v>#REF!</v>
      </c>
      <c r="GV97" t="e">
        <f>AND(#REF!,"AAAAAE+rf8s=")</f>
        <v>#REF!</v>
      </c>
      <c r="GW97" t="e">
        <f>AND(#REF!,"AAAAAE+rf8w=")</f>
        <v>#REF!</v>
      </c>
      <c r="GX97" t="e">
        <f>AND(#REF!,"AAAAAE+rf80=")</f>
        <v>#REF!</v>
      </c>
      <c r="GY97" t="e">
        <f>AND(#REF!,"AAAAAE+rf84=")</f>
        <v>#REF!</v>
      </c>
      <c r="GZ97" t="e">
        <f>AND(#REF!,"AAAAAE+rf88=")</f>
        <v>#REF!</v>
      </c>
      <c r="HA97" t="e">
        <f>AND(#REF!,"AAAAAE+rf9A=")</f>
        <v>#REF!</v>
      </c>
      <c r="HB97" t="e">
        <f>IF(#REF!,"AAAAAE+rf9E=",0)</f>
        <v>#REF!</v>
      </c>
      <c r="HC97" t="e">
        <f>AND(#REF!,"AAAAAE+rf9I=")</f>
        <v>#REF!</v>
      </c>
      <c r="HD97" t="e">
        <f>AND(#REF!,"AAAAAE+rf9M=")</f>
        <v>#REF!</v>
      </c>
      <c r="HE97" t="e">
        <f>AND(#REF!,"AAAAAE+rf9Q=")</f>
        <v>#REF!</v>
      </c>
      <c r="HF97" t="e">
        <f>AND(#REF!,"AAAAAE+rf9U=")</f>
        <v>#REF!</v>
      </c>
      <c r="HG97" t="e">
        <f>AND(#REF!,"AAAAAE+rf9Y=")</f>
        <v>#REF!</v>
      </c>
      <c r="HH97" t="e">
        <f>AND(#REF!,"AAAAAE+rf9c=")</f>
        <v>#REF!</v>
      </c>
      <c r="HI97" t="e">
        <f>AND(#REF!,"AAAAAE+rf9g=")</f>
        <v>#REF!</v>
      </c>
      <c r="HJ97" t="e">
        <f>AND(#REF!,"AAAAAE+rf9k=")</f>
        <v>#REF!</v>
      </c>
      <c r="HK97" t="e">
        <f>AND(#REF!,"AAAAAE+rf9o=")</f>
        <v>#REF!</v>
      </c>
      <c r="HL97" t="e">
        <f>AND(#REF!,"AAAAAE+rf9s=")</f>
        <v>#REF!</v>
      </c>
      <c r="HM97" t="e">
        <f>AND(#REF!,"AAAAAE+rf9w=")</f>
        <v>#REF!</v>
      </c>
      <c r="HN97" t="e">
        <f>AND(#REF!,"AAAAAE+rf90=")</f>
        <v>#REF!</v>
      </c>
      <c r="HO97" t="e">
        <f>AND(#REF!,"AAAAAE+rf94=")</f>
        <v>#REF!</v>
      </c>
      <c r="HP97" t="e">
        <f>AND(#REF!,"AAAAAE+rf98=")</f>
        <v>#REF!</v>
      </c>
      <c r="HQ97" t="e">
        <f>AND(#REF!,"AAAAAE+rf+A=")</f>
        <v>#REF!</v>
      </c>
      <c r="HR97" t="e">
        <f>AND(#REF!,"AAAAAE+rf+E=")</f>
        <v>#REF!</v>
      </c>
      <c r="HS97" t="e">
        <f>AND(#REF!,"AAAAAE+rf+I=")</f>
        <v>#REF!</v>
      </c>
      <c r="HT97" t="e">
        <f>AND(#REF!,"AAAAAE+rf+M=")</f>
        <v>#REF!</v>
      </c>
      <c r="HU97" t="e">
        <f>AND(#REF!,"AAAAAE+rf+Q=")</f>
        <v>#REF!</v>
      </c>
      <c r="HV97" t="e">
        <f>AND(#REF!,"AAAAAE+rf+U=")</f>
        <v>#REF!</v>
      </c>
      <c r="HW97" t="e">
        <f>AND(#REF!,"AAAAAE+rf+Y=")</f>
        <v>#REF!</v>
      </c>
      <c r="HX97" t="e">
        <f>AND(#REF!,"AAAAAE+rf+c=")</f>
        <v>#REF!</v>
      </c>
      <c r="HY97" t="e">
        <f>AND(#REF!,"AAAAAE+rf+g=")</f>
        <v>#REF!</v>
      </c>
      <c r="HZ97" t="e">
        <f>AND(#REF!,"AAAAAE+rf+k=")</f>
        <v>#REF!</v>
      </c>
      <c r="IA97" t="e">
        <f>IF(#REF!,"AAAAAE+rf+o=",0)</f>
        <v>#REF!</v>
      </c>
      <c r="IB97" t="e">
        <f>AND(#REF!,"AAAAAE+rf+s=")</f>
        <v>#REF!</v>
      </c>
      <c r="IC97" t="e">
        <f>AND(#REF!,"AAAAAE+rf+w=")</f>
        <v>#REF!</v>
      </c>
      <c r="ID97" t="e">
        <f>AND(#REF!,"AAAAAE+rf+0=")</f>
        <v>#REF!</v>
      </c>
      <c r="IE97" t="e">
        <f>AND(#REF!,"AAAAAE+rf+4=")</f>
        <v>#REF!</v>
      </c>
      <c r="IF97" t="e">
        <f>AND(#REF!,"AAAAAE+rf+8=")</f>
        <v>#REF!</v>
      </c>
      <c r="IG97" t="e">
        <f>AND(#REF!,"AAAAAE+rf/A=")</f>
        <v>#REF!</v>
      </c>
      <c r="IH97" t="e">
        <f>AND(#REF!,"AAAAAE+rf/E=")</f>
        <v>#REF!</v>
      </c>
      <c r="II97" t="e">
        <f>AND(#REF!,"AAAAAE+rf/I=")</f>
        <v>#REF!</v>
      </c>
      <c r="IJ97" t="e">
        <f>AND(#REF!,"AAAAAE+rf/M=")</f>
        <v>#REF!</v>
      </c>
      <c r="IK97" t="e">
        <f>AND(#REF!,"AAAAAE+rf/Q=")</f>
        <v>#REF!</v>
      </c>
      <c r="IL97" t="e">
        <f>AND(#REF!,"AAAAAE+rf/U=")</f>
        <v>#REF!</v>
      </c>
      <c r="IM97" t="e">
        <f>AND(#REF!,"AAAAAE+rf/Y=")</f>
        <v>#REF!</v>
      </c>
      <c r="IN97" t="e">
        <f>AND(#REF!,"AAAAAE+rf/c=")</f>
        <v>#REF!</v>
      </c>
      <c r="IO97" t="e">
        <f>AND(#REF!,"AAAAAE+rf/g=")</f>
        <v>#REF!</v>
      </c>
      <c r="IP97" t="e">
        <f>AND(#REF!,"AAAAAE+rf/k=")</f>
        <v>#REF!</v>
      </c>
      <c r="IQ97" t="e">
        <f>AND(#REF!,"AAAAAE+rf/o=")</f>
        <v>#REF!</v>
      </c>
      <c r="IR97" t="e">
        <f>AND(#REF!,"AAAAAE+rf/s=")</f>
        <v>#REF!</v>
      </c>
      <c r="IS97" t="e">
        <f>AND(#REF!,"AAAAAE+rf/w=")</f>
        <v>#REF!</v>
      </c>
      <c r="IT97" t="e">
        <f>AND(#REF!,"AAAAAE+rf/0=")</f>
        <v>#REF!</v>
      </c>
      <c r="IU97" t="e">
        <f>AND(#REF!,"AAAAAE+rf/4=")</f>
        <v>#REF!</v>
      </c>
      <c r="IV97" t="e">
        <f>AND(#REF!,"AAAAAE+rf/8=")</f>
        <v>#REF!</v>
      </c>
    </row>
    <row r="98" spans="1:256">
      <c r="A98" t="e">
        <f>AND(#REF!,"AAAAAGL/rwA=")</f>
        <v>#REF!</v>
      </c>
      <c r="B98" t="e">
        <f>AND(#REF!,"AAAAAGL/rwE=")</f>
        <v>#REF!</v>
      </c>
      <c r="C98" t="e">
        <f>AND(#REF!,"AAAAAGL/rwI=")</f>
        <v>#REF!</v>
      </c>
      <c r="D98" t="e">
        <f>IF(#REF!,"AAAAAGL/rwM=",0)</f>
        <v>#REF!</v>
      </c>
      <c r="E98" t="e">
        <f>AND(#REF!,"AAAAAGL/rwQ=")</f>
        <v>#REF!</v>
      </c>
      <c r="F98" t="e">
        <f>AND(#REF!,"AAAAAGL/rwU=")</f>
        <v>#REF!</v>
      </c>
      <c r="G98" t="e">
        <f>AND(#REF!,"AAAAAGL/rwY=")</f>
        <v>#REF!</v>
      </c>
      <c r="H98" t="e">
        <f>AND(#REF!,"AAAAAGL/rwc=")</f>
        <v>#REF!</v>
      </c>
      <c r="I98" t="e">
        <f>AND(#REF!,"AAAAAGL/rwg=")</f>
        <v>#REF!</v>
      </c>
      <c r="J98" t="e">
        <f>AND(#REF!,"AAAAAGL/rwk=")</f>
        <v>#REF!</v>
      </c>
      <c r="K98" t="e">
        <f>AND(#REF!,"AAAAAGL/rwo=")</f>
        <v>#REF!</v>
      </c>
      <c r="L98" t="e">
        <f>AND(#REF!,"AAAAAGL/rws=")</f>
        <v>#REF!</v>
      </c>
      <c r="M98" t="e">
        <f>AND(#REF!,"AAAAAGL/rww=")</f>
        <v>#REF!</v>
      </c>
      <c r="N98" t="e">
        <f>AND(#REF!,"AAAAAGL/rw0=")</f>
        <v>#REF!</v>
      </c>
      <c r="O98" t="e">
        <f>AND(#REF!,"AAAAAGL/rw4=")</f>
        <v>#REF!</v>
      </c>
      <c r="P98" t="e">
        <f>AND(#REF!,"AAAAAGL/rw8=")</f>
        <v>#REF!</v>
      </c>
      <c r="Q98" t="e">
        <f>AND(#REF!,"AAAAAGL/rxA=")</f>
        <v>#REF!</v>
      </c>
      <c r="R98" t="e">
        <f>AND(#REF!,"AAAAAGL/rxE=")</f>
        <v>#REF!</v>
      </c>
      <c r="S98" t="e">
        <f>AND(#REF!,"AAAAAGL/rxI=")</f>
        <v>#REF!</v>
      </c>
      <c r="T98" t="e">
        <f>AND(#REF!,"AAAAAGL/rxM=")</f>
        <v>#REF!</v>
      </c>
      <c r="U98" t="e">
        <f>AND(#REF!,"AAAAAGL/rxQ=")</f>
        <v>#REF!</v>
      </c>
      <c r="V98" t="e">
        <f>AND(#REF!,"AAAAAGL/rxU=")</f>
        <v>#REF!</v>
      </c>
      <c r="W98" t="e">
        <f>AND(#REF!,"AAAAAGL/rxY=")</f>
        <v>#REF!</v>
      </c>
      <c r="X98" t="e">
        <f>AND(#REF!,"AAAAAGL/rxc=")</f>
        <v>#REF!</v>
      </c>
      <c r="Y98" t="e">
        <f>AND(#REF!,"AAAAAGL/rxg=")</f>
        <v>#REF!</v>
      </c>
      <c r="Z98" t="e">
        <f>AND(#REF!,"AAAAAGL/rxk=")</f>
        <v>#REF!</v>
      </c>
      <c r="AA98" t="e">
        <f>AND(#REF!,"AAAAAGL/rxo=")</f>
        <v>#REF!</v>
      </c>
      <c r="AB98" t="e">
        <f>AND(#REF!,"AAAAAGL/rxs=")</f>
        <v>#REF!</v>
      </c>
      <c r="AC98" t="e">
        <f>IF(#REF!,"AAAAAGL/rxw=",0)</f>
        <v>#REF!</v>
      </c>
      <c r="AD98" t="e">
        <f>AND(#REF!,"AAAAAGL/rx0=")</f>
        <v>#REF!</v>
      </c>
      <c r="AE98" t="e">
        <f>AND(#REF!,"AAAAAGL/rx4=")</f>
        <v>#REF!</v>
      </c>
      <c r="AF98" t="e">
        <f>AND(#REF!,"AAAAAGL/rx8=")</f>
        <v>#REF!</v>
      </c>
      <c r="AG98" t="e">
        <f>AND(#REF!,"AAAAAGL/ryA=")</f>
        <v>#REF!</v>
      </c>
      <c r="AH98" t="e">
        <f>AND(#REF!,"AAAAAGL/ryE=")</f>
        <v>#REF!</v>
      </c>
      <c r="AI98" t="e">
        <f>AND(#REF!,"AAAAAGL/ryI=")</f>
        <v>#REF!</v>
      </c>
      <c r="AJ98" t="e">
        <f>AND(#REF!,"AAAAAGL/ryM=")</f>
        <v>#REF!</v>
      </c>
      <c r="AK98" t="e">
        <f>AND(#REF!,"AAAAAGL/ryQ=")</f>
        <v>#REF!</v>
      </c>
      <c r="AL98" t="e">
        <f>AND(#REF!,"AAAAAGL/ryU=")</f>
        <v>#REF!</v>
      </c>
      <c r="AM98" t="e">
        <f>AND(#REF!,"AAAAAGL/ryY=")</f>
        <v>#REF!</v>
      </c>
      <c r="AN98" t="e">
        <f>AND(#REF!,"AAAAAGL/ryc=")</f>
        <v>#REF!</v>
      </c>
      <c r="AO98" t="e">
        <f>AND(#REF!,"AAAAAGL/ryg=")</f>
        <v>#REF!</v>
      </c>
      <c r="AP98" t="e">
        <f>AND(#REF!,"AAAAAGL/ryk=")</f>
        <v>#REF!</v>
      </c>
      <c r="AQ98" t="e">
        <f>AND(#REF!,"AAAAAGL/ryo=")</f>
        <v>#REF!</v>
      </c>
      <c r="AR98" t="e">
        <f>AND(#REF!,"AAAAAGL/rys=")</f>
        <v>#REF!</v>
      </c>
      <c r="AS98" t="e">
        <f>AND(#REF!,"AAAAAGL/ryw=")</f>
        <v>#REF!</v>
      </c>
      <c r="AT98" t="e">
        <f>AND(#REF!,"AAAAAGL/ry0=")</f>
        <v>#REF!</v>
      </c>
      <c r="AU98" t="e">
        <f>AND(#REF!,"AAAAAGL/ry4=")</f>
        <v>#REF!</v>
      </c>
      <c r="AV98" t="e">
        <f>AND(#REF!,"AAAAAGL/ry8=")</f>
        <v>#REF!</v>
      </c>
      <c r="AW98" t="e">
        <f>AND(#REF!,"AAAAAGL/rzA=")</f>
        <v>#REF!</v>
      </c>
      <c r="AX98" t="e">
        <f>AND(#REF!,"AAAAAGL/rzE=")</f>
        <v>#REF!</v>
      </c>
      <c r="AY98" t="e">
        <f>AND(#REF!,"AAAAAGL/rzI=")</f>
        <v>#REF!</v>
      </c>
      <c r="AZ98" t="e">
        <f>AND(#REF!,"AAAAAGL/rzM=")</f>
        <v>#REF!</v>
      </c>
      <c r="BA98" t="e">
        <f>AND(#REF!,"AAAAAGL/rzQ=")</f>
        <v>#REF!</v>
      </c>
      <c r="BB98" t="e">
        <f>IF(#REF!,"AAAAAGL/rzU=",0)</f>
        <v>#REF!</v>
      </c>
      <c r="BC98" t="e">
        <f>AND(#REF!,"AAAAAGL/rzY=")</f>
        <v>#REF!</v>
      </c>
      <c r="BD98" t="e">
        <f>AND(#REF!,"AAAAAGL/rzc=")</f>
        <v>#REF!</v>
      </c>
      <c r="BE98" t="e">
        <f>AND(#REF!,"AAAAAGL/rzg=")</f>
        <v>#REF!</v>
      </c>
      <c r="BF98" t="e">
        <f>AND(#REF!,"AAAAAGL/rzk=")</f>
        <v>#REF!</v>
      </c>
      <c r="BG98" t="e">
        <f>AND(#REF!,"AAAAAGL/rzo=")</f>
        <v>#REF!</v>
      </c>
      <c r="BH98" t="e">
        <f>AND(#REF!,"AAAAAGL/rzs=")</f>
        <v>#REF!</v>
      </c>
      <c r="BI98" t="e">
        <f>AND(#REF!,"AAAAAGL/rzw=")</f>
        <v>#REF!</v>
      </c>
      <c r="BJ98" t="e">
        <f>AND(#REF!,"AAAAAGL/rz0=")</f>
        <v>#REF!</v>
      </c>
      <c r="BK98" t="e">
        <f>AND(#REF!,"AAAAAGL/rz4=")</f>
        <v>#REF!</v>
      </c>
      <c r="BL98" t="e">
        <f>AND(#REF!,"AAAAAGL/rz8=")</f>
        <v>#REF!</v>
      </c>
      <c r="BM98" t="e">
        <f>AND(#REF!,"AAAAAGL/r0A=")</f>
        <v>#REF!</v>
      </c>
      <c r="BN98" t="e">
        <f>AND(#REF!,"AAAAAGL/r0E=")</f>
        <v>#REF!</v>
      </c>
      <c r="BO98" t="e">
        <f>AND(#REF!,"AAAAAGL/r0I=")</f>
        <v>#REF!</v>
      </c>
      <c r="BP98" t="e">
        <f>AND(#REF!,"AAAAAGL/r0M=")</f>
        <v>#REF!</v>
      </c>
      <c r="BQ98" t="e">
        <f>AND(#REF!,"AAAAAGL/r0Q=")</f>
        <v>#REF!</v>
      </c>
      <c r="BR98" t="e">
        <f>AND(#REF!,"AAAAAGL/r0U=")</f>
        <v>#REF!</v>
      </c>
      <c r="BS98" t="e">
        <f>AND(#REF!,"AAAAAGL/r0Y=")</f>
        <v>#REF!</v>
      </c>
      <c r="BT98" t="e">
        <f>AND(#REF!,"AAAAAGL/r0c=")</f>
        <v>#REF!</v>
      </c>
      <c r="BU98" t="e">
        <f>AND(#REF!,"AAAAAGL/r0g=")</f>
        <v>#REF!</v>
      </c>
      <c r="BV98" t="e">
        <f>AND(#REF!,"AAAAAGL/r0k=")</f>
        <v>#REF!</v>
      </c>
      <c r="BW98" t="e">
        <f>AND(#REF!,"AAAAAGL/r0o=")</f>
        <v>#REF!</v>
      </c>
      <c r="BX98" t="e">
        <f>AND(#REF!,"AAAAAGL/r0s=")</f>
        <v>#REF!</v>
      </c>
      <c r="BY98" t="e">
        <f>AND(#REF!,"AAAAAGL/r0w=")</f>
        <v>#REF!</v>
      </c>
      <c r="BZ98" t="e">
        <f>AND(#REF!,"AAAAAGL/r00=")</f>
        <v>#REF!</v>
      </c>
      <c r="CA98" t="e">
        <f>IF(#REF!,"AAAAAGL/r04=",0)</f>
        <v>#REF!</v>
      </c>
      <c r="CB98" t="e">
        <f>AND(#REF!,"AAAAAGL/r08=")</f>
        <v>#REF!</v>
      </c>
      <c r="CC98" t="e">
        <f>AND(#REF!,"AAAAAGL/r1A=")</f>
        <v>#REF!</v>
      </c>
      <c r="CD98" t="e">
        <f>AND(#REF!,"AAAAAGL/r1E=")</f>
        <v>#REF!</v>
      </c>
      <c r="CE98" t="e">
        <f>AND(#REF!,"AAAAAGL/r1I=")</f>
        <v>#REF!</v>
      </c>
      <c r="CF98" t="e">
        <f>AND(#REF!,"AAAAAGL/r1M=")</f>
        <v>#REF!</v>
      </c>
      <c r="CG98" t="e">
        <f>AND(#REF!,"AAAAAGL/r1Q=")</f>
        <v>#REF!</v>
      </c>
      <c r="CH98" t="e">
        <f>AND(#REF!,"AAAAAGL/r1U=")</f>
        <v>#REF!</v>
      </c>
      <c r="CI98" t="e">
        <f>AND(#REF!,"AAAAAGL/r1Y=")</f>
        <v>#REF!</v>
      </c>
      <c r="CJ98" t="e">
        <f>AND(#REF!,"AAAAAGL/r1c=")</f>
        <v>#REF!</v>
      </c>
      <c r="CK98" t="e">
        <f>AND(#REF!,"AAAAAGL/r1g=")</f>
        <v>#REF!</v>
      </c>
      <c r="CL98" t="e">
        <f>AND(#REF!,"AAAAAGL/r1k=")</f>
        <v>#REF!</v>
      </c>
      <c r="CM98" t="e">
        <f>AND(#REF!,"AAAAAGL/r1o=")</f>
        <v>#REF!</v>
      </c>
      <c r="CN98" t="e">
        <f>AND(#REF!,"AAAAAGL/r1s=")</f>
        <v>#REF!</v>
      </c>
      <c r="CO98" t="e">
        <f>AND(#REF!,"AAAAAGL/r1w=")</f>
        <v>#REF!</v>
      </c>
      <c r="CP98" t="e">
        <f>AND(#REF!,"AAAAAGL/r10=")</f>
        <v>#REF!</v>
      </c>
      <c r="CQ98" t="e">
        <f>AND(#REF!,"AAAAAGL/r14=")</f>
        <v>#REF!</v>
      </c>
      <c r="CR98" t="e">
        <f>AND(#REF!,"AAAAAGL/r18=")</f>
        <v>#REF!</v>
      </c>
      <c r="CS98" t="e">
        <f>AND(#REF!,"AAAAAGL/r2A=")</f>
        <v>#REF!</v>
      </c>
      <c r="CT98" t="e">
        <f>AND(#REF!,"AAAAAGL/r2E=")</f>
        <v>#REF!</v>
      </c>
      <c r="CU98" t="e">
        <f>AND(#REF!,"AAAAAGL/r2I=")</f>
        <v>#REF!</v>
      </c>
      <c r="CV98" t="e">
        <f>AND(#REF!,"AAAAAGL/r2M=")</f>
        <v>#REF!</v>
      </c>
      <c r="CW98" t="e">
        <f>AND(#REF!,"AAAAAGL/r2Q=")</f>
        <v>#REF!</v>
      </c>
      <c r="CX98" t="e">
        <f>AND(#REF!,"AAAAAGL/r2U=")</f>
        <v>#REF!</v>
      </c>
      <c r="CY98" t="e">
        <f>AND(#REF!,"AAAAAGL/r2Y=")</f>
        <v>#REF!</v>
      </c>
      <c r="CZ98" t="e">
        <f>IF(#REF!,"AAAAAGL/r2c=",0)</f>
        <v>#REF!</v>
      </c>
      <c r="DA98" t="e">
        <f>AND(#REF!,"AAAAAGL/r2g=")</f>
        <v>#REF!</v>
      </c>
      <c r="DB98" t="e">
        <f>AND(#REF!,"AAAAAGL/r2k=")</f>
        <v>#REF!</v>
      </c>
      <c r="DC98" t="e">
        <f>AND(#REF!,"AAAAAGL/r2o=")</f>
        <v>#REF!</v>
      </c>
      <c r="DD98" t="e">
        <f>AND(#REF!,"AAAAAGL/r2s=")</f>
        <v>#REF!</v>
      </c>
      <c r="DE98" t="e">
        <f>AND(#REF!,"AAAAAGL/r2w=")</f>
        <v>#REF!</v>
      </c>
      <c r="DF98" t="e">
        <f>AND(#REF!,"AAAAAGL/r20=")</f>
        <v>#REF!</v>
      </c>
      <c r="DG98" t="e">
        <f>AND(#REF!,"AAAAAGL/r24=")</f>
        <v>#REF!</v>
      </c>
      <c r="DH98" t="e">
        <f>AND(#REF!,"AAAAAGL/r28=")</f>
        <v>#REF!</v>
      </c>
      <c r="DI98" t="e">
        <f>AND(#REF!,"AAAAAGL/r3A=")</f>
        <v>#REF!</v>
      </c>
      <c r="DJ98" t="e">
        <f>AND(#REF!,"AAAAAGL/r3E=")</f>
        <v>#REF!</v>
      </c>
      <c r="DK98" t="e">
        <f>AND(#REF!,"AAAAAGL/r3I=")</f>
        <v>#REF!</v>
      </c>
      <c r="DL98" t="e">
        <f>AND(#REF!,"AAAAAGL/r3M=")</f>
        <v>#REF!</v>
      </c>
      <c r="DM98" t="e">
        <f>AND(#REF!,"AAAAAGL/r3Q=")</f>
        <v>#REF!</v>
      </c>
      <c r="DN98" t="e">
        <f>AND(#REF!,"AAAAAGL/r3U=")</f>
        <v>#REF!</v>
      </c>
      <c r="DO98" t="e">
        <f>AND(#REF!,"AAAAAGL/r3Y=")</f>
        <v>#REF!</v>
      </c>
      <c r="DP98" t="e">
        <f>AND(#REF!,"AAAAAGL/r3c=")</f>
        <v>#REF!</v>
      </c>
      <c r="DQ98" t="e">
        <f>AND(#REF!,"AAAAAGL/r3g=")</f>
        <v>#REF!</v>
      </c>
      <c r="DR98" t="e">
        <f>AND(#REF!,"AAAAAGL/r3k=")</f>
        <v>#REF!</v>
      </c>
      <c r="DS98" t="e">
        <f>AND(#REF!,"AAAAAGL/r3o=")</f>
        <v>#REF!</v>
      </c>
      <c r="DT98" t="e">
        <f>AND(#REF!,"AAAAAGL/r3s=")</f>
        <v>#REF!</v>
      </c>
      <c r="DU98" t="e">
        <f>AND(#REF!,"AAAAAGL/r3w=")</f>
        <v>#REF!</v>
      </c>
      <c r="DV98" t="e">
        <f>AND(#REF!,"AAAAAGL/r30=")</f>
        <v>#REF!</v>
      </c>
      <c r="DW98" t="e">
        <f>AND(#REF!,"AAAAAGL/r34=")</f>
        <v>#REF!</v>
      </c>
      <c r="DX98" t="e">
        <f>AND(#REF!,"AAAAAGL/r38=")</f>
        <v>#REF!</v>
      </c>
      <c r="DY98" t="e">
        <f>IF(#REF!,"AAAAAGL/r4A=",0)</f>
        <v>#REF!</v>
      </c>
      <c r="DZ98" t="e">
        <f>AND(#REF!,"AAAAAGL/r4E=")</f>
        <v>#REF!</v>
      </c>
      <c r="EA98" t="e">
        <f>AND(#REF!,"AAAAAGL/r4I=")</f>
        <v>#REF!</v>
      </c>
      <c r="EB98" t="e">
        <f>AND(#REF!,"AAAAAGL/r4M=")</f>
        <v>#REF!</v>
      </c>
      <c r="EC98" t="e">
        <f>AND(#REF!,"AAAAAGL/r4Q=")</f>
        <v>#REF!</v>
      </c>
      <c r="ED98" t="e">
        <f>AND(#REF!,"AAAAAGL/r4U=")</f>
        <v>#REF!</v>
      </c>
      <c r="EE98" t="e">
        <f>AND(#REF!,"AAAAAGL/r4Y=")</f>
        <v>#REF!</v>
      </c>
      <c r="EF98" t="e">
        <f>AND(#REF!,"AAAAAGL/r4c=")</f>
        <v>#REF!</v>
      </c>
      <c r="EG98" t="e">
        <f>AND(#REF!,"AAAAAGL/r4g=")</f>
        <v>#REF!</v>
      </c>
      <c r="EH98" t="e">
        <f>AND(#REF!,"AAAAAGL/r4k=")</f>
        <v>#REF!</v>
      </c>
      <c r="EI98" t="e">
        <f>AND(#REF!,"AAAAAGL/r4o=")</f>
        <v>#REF!</v>
      </c>
      <c r="EJ98" t="e">
        <f>AND(#REF!,"AAAAAGL/r4s=")</f>
        <v>#REF!</v>
      </c>
      <c r="EK98" t="e">
        <f>AND(#REF!,"AAAAAGL/r4w=")</f>
        <v>#REF!</v>
      </c>
      <c r="EL98" t="e">
        <f>AND(#REF!,"AAAAAGL/r40=")</f>
        <v>#REF!</v>
      </c>
      <c r="EM98" t="e">
        <f>AND(#REF!,"AAAAAGL/r44=")</f>
        <v>#REF!</v>
      </c>
      <c r="EN98" t="e">
        <f>AND(#REF!,"AAAAAGL/r48=")</f>
        <v>#REF!</v>
      </c>
      <c r="EO98" t="e">
        <f>AND(#REF!,"AAAAAGL/r5A=")</f>
        <v>#REF!</v>
      </c>
      <c r="EP98" t="e">
        <f>AND(#REF!,"AAAAAGL/r5E=")</f>
        <v>#REF!</v>
      </c>
      <c r="EQ98" t="e">
        <f>AND(#REF!,"AAAAAGL/r5I=")</f>
        <v>#REF!</v>
      </c>
      <c r="ER98" t="e">
        <f>AND(#REF!,"AAAAAGL/r5M=")</f>
        <v>#REF!</v>
      </c>
      <c r="ES98" t="e">
        <f>AND(#REF!,"AAAAAGL/r5Q=")</f>
        <v>#REF!</v>
      </c>
      <c r="ET98" t="e">
        <f>AND(#REF!,"AAAAAGL/r5U=")</f>
        <v>#REF!</v>
      </c>
      <c r="EU98" t="e">
        <f>AND(#REF!,"AAAAAGL/r5Y=")</f>
        <v>#REF!</v>
      </c>
      <c r="EV98" t="e">
        <f>AND(#REF!,"AAAAAGL/r5c=")</f>
        <v>#REF!</v>
      </c>
      <c r="EW98" t="e">
        <f>AND(#REF!,"AAAAAGL/r5g=")</f>
        <v>#REF!</v>
      </c>
      <c r="EX98" t="e">
        <f>IF(#REF!,"AAAAAGL/r5k=",0)</f>
        <v>#REF!</v>
      </c>
      <c r="EY98" t="e">
        <f>AND(#REF!,"AAAAAGL/r5o=")</f>
        <v>#REF!</v>
      </c>
      <c r="EZ98" t="e">
        <f>AND(#REF!,"AAAAAGL/r5s=")</f>
        <v>#REF!</v>
      </c>
      <c r="FA98" t="e">
        <f>AND(#REF!,"AAAAAGL/r5w=")</f>
        <v>#REF!</v>
      </c>
      <c r="FB98" t="e">
        <f>AND(#REF!,"AAAAAGL/r50=")</f>
        <v>#REF!</v>
      </c>
      <c r="FC98" t="e">
        <f>AND(#REF!,"AAAAAGL/r54=")</f>
        <v>#REF!</v>
      </c>
      <c r="FD98" t="e">
        <f>AND(#REF!,"AAAAAGL/r58=")</f>
        <v>#REF!</v>
      </c>
      <c r="FE98" t="e">
        <f>AND(#REF!,"AAAAAGL/r6A=")</f>
        <v>#REF!</v>
      </c>
      <c r="FF98" t="e">
        <f>AND(#REF!,"AAAAAGL/r6E=")</f>
        <v>#REF!</v>
      </c>
      <c r="FG98" t="e">
        <f>AND(#REF!,"AAAAAGL/r6I=")</f>
        <v>#REF!</v>
      </c>
      <c r="FH98" t="e">
        <f>AND(#REF!,"AAAAAGL/r6M=")</f>
        <v>#REF!</v>
      </c>
      <c r="FI98" t="e">
        <f>AND(#REF!,"AAAAAGL/r6Q=")</f>
        <v>#REF!</v>
      </c>
      <c r="FJ98" t="e">
        <f>AND(#REF!,"AAAAAGL/r6U=")</f>
        <v>#REF!</v>
      </c>
      <c r="FK98" t="e">
        <f>AND(#REF!,"AAAAAGL/r6Y=")</f>
        <v>#REF!</v>
      </c>
      <c r="FL98" t="e">
        <f>AND(#REF!,"AAAAAGL/r6c=")</f>
        <v>#REF!</v>
      </c>
      <c r="FM98" t="e">
        <f>AND(#REF!,"AAAAAGL/r6g=")</f>
        <v>#REF!</v>
      </c>
      <c r="FN98" t="e">
        <f>AND(#REF!,"AAAAAGL/r6k=")</f>
        <v>#REF!</v>
      </c>
      <c r="FO98" t="e">
        <f>AND(#REF!,"AAAAAGL/r6o=")</f>
        <v>#REF!</v>
      </c>
      <c r="FP98" t="e">
        <f>AND(#REF!,"AAAAAGL/r6s=")</f>
        <v>#REF!</v>
      </c>
      <c r="FQ98" t="e">
        <f>AND(#REF!,"AAAAAGL/r6w=")</f>
        <v>#REF!</v>
      </c>
      <c r="FR98" t="e">
        <f>AND(#REF!,"AAAAAGL/r60=")</f>
        <v>#REF!</v>
      </c>
      <c r="FS98" t="e">
        <f>AND(#REF!,"AAAAAGL/r64=")</f>
        <v>#REF!</v>
      </c>
      <c r="FT98" t="e">
        <f>AND(#REF!,"AAAAAGL/r68=")</f>
        <v>#REF!</v>
      </c>
      <c r="FU98" t="e">
        <f>AND(#REF!,"AAAAAGL/r7A=")</f>
        <v>#REF!</v>
      </c>
      <c r="FV98" t="e">
        <f>AND(#REF!,"AAAAAGL/r7E=")</f>
        <v>#REF!</v>
      </c>
      <c r="FW98" t="e">
        <f>IF(#REF!,"AAAAAGL/r7I=",0)</f>
        <v>#REF!</v>
      </c>
      <c r="FX98" t="e">
        <f>AND(#REF!,"AAAAAGL/r7M=")</f>
        <v>#REF!</v>
      </c>
      <c r="FY98" t="e">
        <f>AND(#REF!,"AAAAAGL/r7Q=")</f>
        <v>#REF!</v>
      </c>
      <c r="FZ98" t="e">
        <f>AND(#REF!,"AAAAAGL/r7U=")</f>
        <v>#REF!</v>
      </c>
      <c r="GA98" t="e">
        <f>AND(#REF!,"AAAAAGL/r7Y=")</f>
        <v>#REF!</v>
      </c>
      <c r="GB98" t="e">
        <f>AND(#REF!,"AAAAAGL/r7c=")</f>
        <v>#REF!</v>
      </c>
      <c r="GC98" t="e">
        <f>AND(#REF!,"AAAAAGL/r7g=")</f>
        <v>#REF!</v>
      </c>
      <c r="GD98" t="e">
        <f>AND(#REF!,"AAAAAGL/r7k=")</f>
        <v>#REF!</v>
      </c>
      <c r="GE98" t="e">
        <f>AND(#REF!,"AAAAAGL/r7o=")</f>
        <v>#REF!</v>
      </c>
      <c r="GF98" t="e">
        <f>AND(#REF!,"AAAAAGL/r7s=")</f>
        <v>#REF!</v>
      </c>
      <c r="GG98" t="e">
        <f>AND(#REF!,"AAAAAGL/r7w=")</f>
        <v>#REF!</v>
      </c>
      <c r="GH98" t="e">
        <f>AND(#REF!,"AAAAAGL/r70=")</f>
        <v>#REF!</v>
      </c>
      <c r="GI98" t="e">
        <f>AND(#REF!,"AAAAAGL/r74=")</f>
        <v>#REF!</v>
      </c>
      <c r="GJ98" t="e">
        <f>AND(#REF!,"AAAAAGL/r78=")</f>
        <v>#REF!</v>
      </c>
      <c r="GK98" t="e">
        <f>AND(#REF!,"AAAAAGL/r8A=")</f>
        <v>#REF!</v>
      </c>
      <c r="GL98" t="e">
        <f>AND(#REF!,"AAAAAGL/r8E=")</f>
        <v>#REF!</v>
      </c>
      <c r="GM98" t="e">
        <f>AND(#REF!,"AAAAAGL/r8I=")</f>
        <v>#REF!</v>
      </c>
      <c r="GN98" t="e">
        <f>AND(#REF!,"AAAAAGL/r8M=")</f>
        <v>#REF!</v>
      </c>
      <c r="GO98" t="e">
        <f>AND(#REF!,"AAAAAGL/r8Q=")</f>
        <v>#REF!</v>
      </c>
      <c r="GP98" t="e">
        <f>AND(#REF!,"AAAAAGL/r8U=")</f>
        <v>#REF!</v>
      </c>
      <c r="GQ98" t="e">
        <f>AND(#REF!,"AAAAAGL/r8Y=")</f>
        <v>#REF!</v>
      </c>
      <c r="GR98" t="e">
        <f>AND(#REF!,"AAAAAGL/r8c=")</f>
        <v>#REF!</v>
      </c>
      <c r="GS98" t="e">
        <f>AND(#REF!,"AAAAAGL/r8g=")</f>
        <v>#REF!</v>
      </c>
      <c r="GT98" t="e">
        <f>AND(#REF!,"AAAAAGL/r8k=")</f>
        <v>#REF!</v>
      </c>
      <c r="GU98" t="e">
        <f>AND(#REF!,"AAAAAGL/r8o=")</f>
        <v>#REF!</v>
      </c>
      <c r="GV98" t="e">
        <f>IF(#REF!,"AAAAAGL/r8s=",0)</f>
        <v>#REF!</v>
      </c>
      <c r="GW98" t="e">
        <f>AND(#REF!,"AAAAAGL/r8w=")</f>
        <v>#REF!</v>
      </c>
      <c r="GX98" t="e">
        <f>AND(#REF!,"AAAAAGL/r80=")</f>
        <v>#REF!</v>
      </c>
      <c r="GY98" t="e">
        <f>AND(#REF!,"AAAAAGL/r84=")</f>
        <v>#REF!</v>
      </c>
      <c r="GZ98" t="e">
        <f>AND(#REF!,"AAAAAGL/r88=")</f>
        <v>#REF!</v>
      </c>
      <c r="HA98" t="e">
        <f>AND(#REF!,"AAAAAGL/r9A=")</f>
        <v>#REF!</v>
      </c>
      <c r="HB98" t="e">
        <f>AND(#REF!,"AAAAAGL/r9E=")</f>
        <v>#REF!</v>
      </c>
      <c r="HC98" t="e">
        <f>AND(#REF!,"AAAAAGL/r9I=")</f>
        <v>#REF!</v>
      </c>
      <c r="HD98" t="e">
        <f>AND(#REF!,"AAAAAGL/r9M=")</f>
        <v>#REF!</v>
      </c>
      <c r="HE98" t="e">
        <f>AND(#REF!,"AAAAAGL/r9Q=")</f>
        <v>#REF!</v>
      </c>
      <c r="HF98" t="e">
        <f>AND(#REF!,"AAAAAGL/r9U=")</f>
        <v>#REF!</v>
      </c>
      <c r="HG98" t="e">
        <f>AND(#REF!,"AAAAAGL/r9Y=")</f>
        <v>#REF!</v>
      </c>
      <c r="HH98" t="e">
        <f>AND(#REF!,"AAAAAGL/r9c=")</f>
        <v>#REF!</v>
      </c>
      <c r="HI98" t="e">
        <f>AND(#REF!,"AAAAAGL/r9g=")</f>
        <v>#REF!</v>
      </c>
      <c r="HJ98" t="e">
        <f>AND(#REF!,"AAAAAGL/r9k=")</f>
        <v>#REF!</v>
      </c>
      <c r="HK98" t="e">
        <f>AND(#REF!,"AAAAAGL/r9o=")</f>
        <v>#REF!</v>
      </c>
      <c r="HL98" t="e">
        <f>AND(#REF!,"AAAAAGL/r9s=")</f>
        <v>#REF!</v>
      </c>
      <c r="HM98" t="e">
        <f>AND(#REF!,"AAAAAGL/r9w=")</f>
        <v>#REF!</v>
      </c>
      <c r="HN98" t="e">
        <f>AND(#REF!,"AAAAAGL/r90=")</f>
        <v>#REF!</v>
      </c>
      <c r="HO98" t="e">
        <f>AND(#REF!,"AAAAAGL/r94=")</f>
        <v>#REF!</v>
      </c>
      <c r="HP98" t="e">
        <f>AND(#REF!,"AAAAAGL/r98=")</f>
        <v>#REF!</v>
      </c>
      <c r="HQ98" t="e">
        <f>AND(#REF!,"AAAAAGL/r+A=")</f>
        <v>#REF!</v>
      </c>
      <c r="HR98" t="e">
        <f>AND(#REF!,"AAAAAGL/r+E=")</f>
        <v>#REF!</v>
      </c>
      <c r="HS98" t="e">
        <f>AND(#REF!,"AAAAAGL/r+I=")</f>
        <v>#REF!</v>
      </c>
      <c r="HT98" t="e">
        <f>AND(#REF!,"AAAAAGL/r+M=")</f>
        <v>#REF!</v>
      </c>
      <c r="HU98" t="e">
        <f>IF(#REF!,"AAAAAGL/r+Q=",0)</f>
        <v>#REF!</v>
      </c>
      <c r="HV98" t="e">
        <f>AND(#REF!,"AAAAAGL/r+U=")</f>
        <v>#REF!</v>
      </c>
      <c r="HW98" t="e">
        <f>AND(#REF!,"AAAAAGL/r+Y=")</f>
        <v>#REF!</v>
      </c>
      <c r="HX98" t="e">
        <f>AND(#REF!,"AAAAAGL/r+c=")</f>
        <v>#REF!</v>
      </c>
      <c r="HY98" t="e">
        <f>AND(#REF!,"AAAAAGL/r+g=")</f>
        <v>#REF!</v>
      </c>
      <c r="HZ98" t="e">
        <f>AND(#REF!,"AAAAAGL/r+k=")</f>
        <v>#REF!</v>
      </c>
      <c r="IA98" t="e">
        <f>AND(#REF!,"AAAAAGL/r+o=")</f>
        <v>#REF!</v>
      </c>
      <c r="IB98" t="e">
        <f>AND(#REF!,"AAAAAGL/r+s=")</f>
        <v>#REF!</v>
      </c>
      <c r="IC98" t="e">
        <f>AND(#REF!,"AAAAAGL/r+w=")</f>
        <v>#REF!</v>
      </c>
      <c r="ID98" t="e">
        <f>AND(#REF!,"AAAAAGL/r+0=")</f>
        <v>#REF!</v>
      </c>
      <c r="IE98" t="e">
        <f>AND(#REF!,"AAAAAGL/r+4=")</f>
        <v>#REF!</v>
      </c>
      <c r="IF98" t="e">
        <f>AND(#REF!,"AAAAAGL/r+8=")</f>
        <v>#REF!</v>
      </c>
      <c r="IG98" t="e">
        <f>AND(#REF!,"AAAAAGL/r/A=")</f>
        <v>#REF!</v>
      </c>
      <c r="IH98" t="e">
        <f>AND(#REF!,"AAAAAGL/r/E=")</f>
        <v>#REF!</v>
      </c>
      <c r="II98" t="e">
        <f>AND(#REF!,"AAAAAGL/r/I=")</f>
        <v>#REF!</v>
      </c>
      <c r="IJ98" t="e">
        <f>AND(#REF!,"AAAAAGL/r/M=")</f>
        <v>#REF!</v>
      </c>
      <c r="IK98" t="e">
        <f>AND(#REF!,"AAAAAGL/r/Q=")</f>
        <v>#REF!</v>
      </c>
      <c r="IL98" t="e">
        <f>AND(#REF!,"AAAAAGL/r/U=")</f>
        <v>#REF!</v>
      </c>
      <c r="IM98" t="e">
        <f>AND(#REF!,"AAAAAGL/r/Y=")</f>
        <v>#REF!</v>
      </c>
      <c r="IN98" t="e">
        <f>AND(#REF!,"AAAAAGL/r/c=")</f>
        <v>#REF!</v>
      </c>
      <c r="IO98" t="e">
        <f>AND(#REF!,"AAAAAGL/r/g=")</f>
        <v>#REF!</v>
      </c>
      <c r="IP98" t="e">
        <f>AND(#REF!,"AAAAAGL/r/k=")</f>
        <v>#REF!</v>
      </c>
      <c r="IQ98" t="e">
        <f>AND(#REF!,"AAAAAGL/r/o=")</f>
        <v>#REF!</v>
      </c>
      <c r="IR98" t="e">
        <f>AND(#REF!,"AAAAAGL/r/s=")</f>
        <v>#REF!</v>
      </c>
      <c r="IS98" t="e">
        <f>AND(#REF!,"AAAAAGL/r/w=")</f>
        <v>#REF!</v>
      </c>
      <c r="IT98" t="e">
        <f>IF(#REF!,"AAAAAGL/r/0=",0)</f>
        <v>#REF!</v>
      </c>
      <c r="IU98" t="e">
        <f>AND(#REF!,"AAAAAGL/r/4=")</f>
        <v>#REF!</v>
      </c>
      <c r="IV98" t="e">
        <f>AND(#REF!,"AAAAAGL/r/8=")</f>
        <v>#REF!</v>
      </c>
    </row>
    <row r="99" spans="1:256">
      <c r="A99" t="e">
        <f>AND(#REF!,"AAAAAHT/rwA=")</f>
        <v>#REF!</v>
      </c>
      <c r="B99" t="e">
        <f>AND(#REF!,"AAAAAHT/rwE=")</f>
        <v>#REF!</v>
      </c>
      <c r="C99" t="e">
        <f>AND(#REF!,"AAAAAHT/rwI=")</f>
        <v>#REF!</v>
      </c>
      <c r="D99" t="e">
        <f>AND(#REF!,"AAAAAHT/rwM=")</f>
        <v>#REF!</v>
      </c>
      <c r="E99" t="e">
        <f>AND(#REF!,"AAAAAHT/rwQ=")</f>
        <v>#REF!</v>
      </c>
      <c r="F99" t="e">
        <f>AND(#REF!,"AAAAAHT/rwU=")</f>
        <v>#REF!</v>
      </c>
      <c r="G99" t="e">
        <f>AND(#REF!,"AAAAAHT/rwY=")</f>
        <v>#REF!</v>
      </c>
      <c r="H99" t="e">
        <f>AND(#REF!,"AAAAAHT/rwc=")</f>
        <v>#REF!</v>
      </c>
      <c r="I99" t="e">
        <f>AND(#REF!,"AAAAAHT/rwg=")</f>
        <v>#REF!</v>
      </c>
      <c r="J99" t="e">
        <f>AND(#REF!,"AAAAAHT/rwk=")</f>
        <v>#REF!</v>
      </c>
      <c r="K99" t="e">
        <f>AND(#REF!,"AAAAAHT/rwo=")</f>
        <v>#REF!</v>
      </c>
      <c r="L99" t="e">
        <f>AND(#REF!,"AAAAAHT/rws=")</f>
        <v>#REF!</v>
      </c>
      <c r="M99" t="e">
        <f>AND(#REF!,"AAAAAHT/rww=")</f>
        <v>#REF!</v>
      </c>
      <c r="N99" t="e">
        <f>AND(#REF!,"AAAAAHT/rw0=")</f>
        <v>#REF!</v>
      </c>
      <c r="O99" t="e">
        <f>AND(#REF!,"AAAAAHT/rw4=")</f>
        <v>#REF!</v>
      </c>
      <c r="P99" t="e">
        <f>AND(#REF!,"AAAAAHT/rw8=")</f>
        <v>#REF!</v>
      </c>
      <c r="Q99" t="e">
        <f>AND(#REF!,"AAAAAHT/rxA=")</f>
        <v>#REF!</v>
      </c>
      <c r="R99" t="e">
        <f>AND(#REF!,"AAAAAHT/rxE=")</f>
        <v>#REF!</v>
      </c>
      <c r="S99" t="e">
        <f>AND(#REF!,"AAAAAHT/rxI=")</f>
        <v>#REF!</v>
      </c>
      <c r="T99" t="e">
        <f>AND(#REF!,"AAAAAHT/rxM=")</f>
        <v>#REF!</v>
      </c>
      <c r="U99" t="e">
        <f>AND(#REF!,"AAAAAHT/rxQ=")</f>
        <v>#REF!</v>
      </c>
      <c r="V99" t="e">
        <f>AND(#REF!,"AAAAAHT/rxU=")</f>
        <v>#REF!</v>
      </c>
      <c r="W99" t="e">
        <f>IF(#REF!,"AAAAAHT/rxY=",0)</f>
        <v>#REF!</v>
      </c>
      <c r="X99" t="e">
        <f>AND(#REF!,"AAAAAHT/rxc=")</f>
        <v>#REF!</v>
      </c>
      <c r="Y99" t="e">
        <f>AND(#REF!,"AAAAAHT/rxg=")</f>
        <v>#REF!</v>
      </c>
      <c r="Z99" t="e">
        <f>AND(#REF!,"AAAAAHT/rxk=")</f>
        <v>#REF!</v>
      </c>
      <c r="AA99" t="e">
        <f>AND(#REF!,"AAAAAHT/rxo=")</f>
        <v>#REF!</v>
      </c>
      <c r="AB99" t="e">
        <f>AND(#REF!,"AAAAAHT/rxs=")</f>
        <v>#REF!</v>
      </c>
      <c r="AC99" t="e">
        <f>AND(#REF!,"AAAAAHT/rxw=")</f>
        <v>#REF!</v>
      </c>
      <c r="AD99" t="e">
        <f>AND(#REF!,"AAAAAHT/rx0=")</f>
        <v>#REF!</v>
      </c>
      <c r="AE99" t="e">
        <f>AND(#REF!,"AAAAAHT/rx4=")</f>
        <v>#REF!</v>
      </c>
      <c r="AF99" t="e">
        <f>AND(#REF!,"AAAAAHT/rx8=")</f>
        <v>#REF!</v>
      </c>
      <c r="AG99" t="e">
        <f>AND(#REF!,"AAAAAHT/ryA=")</f>
        <v>#REF!</v>
      </c>
      <c r="AH99" t="e">
        <f>AND(#REF!,"AAAAAHT/ryE=")</f>
        <v>#REF!</v>
      </c>
      <c r="AI99" t="e">
        <f>AND(#REF!,"AAAAAHT/ryI=")</f>
        <v>#REF!</v>
      </c>
      <c r="AJ99" t="e">
        <f>AND(#REF!,"AAAAAHT/ryM=")</f>
        <v>#REF!</v>
      </c>
      <c r="AK99" t="e">
        <f>AND(#REF!,"AAAAAHT/ryQ=")</f>
        <v>#REF!</v>
      </c>
      <c r="AL99" t="e">
        <f>AND(#REF!,"AAAAAHT/ryU=")</f>
        <v>#REF!</v>
      </c>
      <c r="AM99" t="e">
        <f>AND(#REF!,"AAAAAHT/ryY=")</f>
        <v>#REF!</v>
      </c>
      <c r="AN99" t="e">
        <f>AND(#REF!,"AAAAAHT/ryc=")</f>
        <v>#REF!</v>
      </c>
      <c r="AO99" t="e">
        <f>AND(#REF!,"AAAAAHT/ryg=")</f>
        <v>#REF!</v>
      </c>
      <c r="AP99" t="e">
        <f>AND(#REF!,"AAAAAHT/ryk=")</f>
        <v>#REF!</v>
      </c>
      <c r="AQ99" t="e">
        <f>AND(#REF!,"AAAAAHT/ryo=")</f>
        <v>#REF!</v>
      </c>
      <c r="AR99" t="e">
        <f>AND(#REF!,"AAAAAHT/rys=")</f>
        <v>#REF!</v>
      </c>
      <c r="AS99" t="e">
        <f>AND(#REF!,"AAAAAHT/ryw=")</f>
        <v>#REF!</v>
      </c>
      <c r="AT99" t="e">
        <f>AND(#REF!,"AAAAAHT/ry0=")</f>
        <v>#REF!</v>
      </c>
      <c r="AU99" t="e">
        <f>AND(#REF!,"AAAAAHT/ry4=")</f>
        <v>#REF!</v>
      </c>
      <c r="AV99" t="e">
        <f>IF(#REF!,"AAAAAHT/ry8=",0)</f>
        <v>#REF!</v>
      </c>
      <c r="AW99" t="e">
        <f>AND(#REF!,"AAAAAHT/rzA=")</f>
        <v>#REF!</v>
      </c>
      <c r="AX99" t="e">
        <f>AND(#REF!,"AAAAAHT/rzE=")</f>
        <v>#REF!</v>
      </c>
      <c r="AY99" t="e">
        <f>AND(#REF!,"AAAAAHT/rzI=")</f>
        <v>#REF!</v>
      </c>
      <c r="AZ99" t="e">
        <f>AND(#REF!,"AAAAAHT/rzM=")</f>
        <v>#REF!</v>
      </c>
      <c r="BA99" t="e">
        <f>AND(#REF!,"AAAAAHT/rzQ=")</f>
        <v>#REF!</v>
      </c>
      <c r="BB99" t="e">
        <f>AND(#REF!,"AAAAAHT/rzU=")</f>
        <v>#REF!</v>
      </c>
      <c r="BC99" t="e">
        <f>AND(#REF!,"AAAAAHT/rzY=")</f>
        <v>#REF!</v>
      </c>
      <c r="BD99" t="e">
        <f>AND(#REF!,"AAAAAHT/rzc=")</f>
        <v>#REF!</v>
      </c>
      <c r="BE99" t="e">
        <f>AND(#REF!,"AAAAAHT/rzg=")</f>
        <v>#REF!</v>
      </c>
      <c r="BF99" t="e">
        <f>AND(#REF!,"AAAAAHT/rzk=")</f>
        <v>#REF!</v>
      </c>
      <c r="BG99" t="e">
        <f>AND(#REF!,"AAAAAHT/rzo=")</f>
        <v>#REF!</v>
      </c>
      <c r="BH99" t="e">
        <f>AND(#REF!,"AAAAAHT/rzs=")</f>
        <v>#REF!</v>
      </c>
      <c r="BI99" t="e">
        <f>AND(#REF!,"AAAAAHT/rzw=")</f>
        <v>#REF!</v>
      </c>
      <c r="BJ99" t="e">
        <f>AND(#REF!,"AAAAAHT/rz0=")</f>
        <v>#REF!</v>
      </c>
      <c r="BK99" t="e">
        <f>AND(#REF!,"AAAAAHT/rz4=")</f>
        <v>#REF!</v>
      </c>
      <c r="BL99" t="e">
        <f>AND(#REF!,"AAAAAHT/rz8=")</f>
        <v>#REF!</v>
      </c>
      <c r="BM99" t="e">
        <f>AND(#REF!,"AAAAAHT/r0A=")</f>
        <v>#REF!</v>
      </c>
      <c r="BN99" t="e">
        <f>AND(#REF!,"AAAAAHT/r0E=")</f>
        <v>#REF!</v>
      </c>
      <c r="BO99" t="e">
        <f>AND(#REF!,"AAAAAHT/r0I=")</f>
        <v>#REF!</v>
      </c>
      <c r="BP99" t="e">
        <f>AND(#REF!,"AAAAAHT/r0M=")</f>
        <v>#REF!</v>
      </c>
      <c r="BQ99" t="e">
        <f>AND(#REF!,"AAAAAHT/r0Q=")</f>
        <v>#REF!</v>
      </c>
      <c r="BR99" t="e">
        <f>AND(#REF!,"AAAAAHT/r0U=")</f>
        <v>#REF!</v>
      </c>
      <c r="BS99" t="e">
        <f>AND(#REF!,"AAAAAHT/r0Y=")</f>
        <v>#REF!</v>
      </c>
      <c r="BT99" t="e">
        <f>AND(#REF!,"AAAAAHT/r0c=")</f>
        <v>#REF!</v>
      </c>
      <c r="BU99" t="e">
        <f>IF(#REF!,"AAAAAHT/r0g=",0)</f>
        <v>#REF!</v>
      </c>
      <c r="BV99" t="e">
        <f>AND(#REF!,"AAAAAHT/r0k=")</f>
        <v>#REF!</v>
      </c>
      <c r="BW99" t="e">
        <f>AND(#REF!,"AAAAAHT/r0o=")</f>
        <v>#REF!</v>
      </c>
      <c r="BX99" t="e">
        <f>AND(#REF!,"AAAAAHT/r0s=")</f>
        <v>#REF!</v>
      </c>
      <c r="BY99" t="e">
        <f>AND(#REF!,"AAAAAHT/r0w=")</f>
        <v>#REF!</v>
      </c>
      <c r="BZ99" t="e">
        <f>AND(#REF!,"AAAAAHT/r00=")</f>
        <v>#REF!</v>
      </c>
      <c r="CA99" t="e">
        <f>AND(#REF!,"AAAAAHT/r04=")</f>
        <v>#REF!</v>
      </c>
      <c r="CB99" t="e">
        <f>AND(#REF!,"AAAAAHT/r08=")</f>
        <v>#REF!</v>
      </c>
      <c r="CC99" t="e">
        <f>AND(#REF!,"AAAAAHT/r1A=")</f>
        <v>#REF!</v>
      </c>
      <c r="CD99" t="e">
        <f>AND(#REF!,"AAAAAHT/r1E=")</f>
        <v>#REF!</v>
      </c>
      <c r="CE99" t="e">
        <f>AND(#REF!,"AAAAAHT/r1I=")</f>
        <v>#REF!</v>
      </c>
      <c r="CF99" t="e">
        <f>AND(#REF!,"AAAAAHT/r1M=")</f>
        <v>#REF!</v>
      </c>
      <c r="CG99" t="e">
        <f>AND(#REF!,"AAAAAHT/r1Q=")</f>
        <v>#REF!</v>
      </c>
      <c r="CH99" t="e">
        <f>AND(#REF!,"AAAAAHT/r1U=")</f>
        <v>#REF!</v>
      </c>
      <c r="CI99" t="e">
        <f>AND(#REF!,"AAAAAHT/r1Y=")</f>
        <v>#REF!</v>
      </c>
      <c r="CJ99" t="e">
        <f>AND(#REF!,"AAAAAHT/r1c=")</f>
        <v>#REF!</v>
      </c>
      <c r="CK99" t="e">
        <f>AND(#REF!,"AAAAAHT/r1g=")</f>
        <v>#REF!</v>
      </c>
      <c r="CL99" t="e">
        <f>AND(#REF!,"AAAAAHT/r1k=")</f>
        <v>#REF!</v>
      </c>
      <c r="CM99" t="e">
        <f>AND(#REF!,"AAAAAHT/r1o=")</f>
        <v>#REF!</v>
      </c>
      <c r="CN99" t="e">
        <f>AND(#REF!,"AAAAAHT/r1s=")</f>
        <v>#REF!</v>
      </c>
      <c r="CO99" t="e">
        <f>AND(#REF!,"AAAAAHT/r1w=")</f>
        <v>#REF!</v>
      </c>
      <c r="CP99" t="e">
        <f>AND(#REF!,"AAAAAHT/r10=")</f>
        <v>#REF!</v>
      </c>
      <c r="CQ99" t="e">
        <f>AND(#REF!,"AAAAAHT/r14=")</f>
        <v>#REF!</v>
      </c>
      <c r="CR99" t="e">
        <f>AND(#REF!,"AAAAAHT/r18=")</f>
        <v>#REF!</v>
      </c>
      <c r="CS99" t="e">
        <f>AND(#REF!,"AAAAAHT/r2A=")</f>
        <v>#REF!</v>
      </c>
      <c r="CT99" t="e">
        <f>IF(#REF!,"AAAAAHT/r2E=",0)</f>
        <v>#REF!</v>
      </c>
      <c r="CU99" t="e">
        <f>AND(#REF!,"AAAAAHT/r2I=")</f>
        <v>#REF!</v>
      </c>
      <c r="CV99" t="e">
        <f>AND(#REF!,"AAAAAHT/r2M=")</f>
        <v>#REF!</v>
      </c>
      <c r="CW99" t="e">
        <f>AND(#REF!,"AAAAAHT/r2Q=")</f>
        <v>#REF!</v>
      </c>
      <c r="CX99" t="e">
        <f>AND(#REF!,"AAAAAHT/r2U=")</f>
        <v>#REF!</v>
      </c>
      <c r="CY99" t="e">
        <f>AND(#REF!,"AAAAAHT/r2Y=")</f>
        <v>#REF!</v>
      </c>
      <c r="CZ99" t="e">
        <f>AND(#REF!,"AAAAAHT/r2c=")</f>
        <v>#REF!</v>
      </c>
      <c r="DA99" t="e">
        <f>AND(#REF!,"AAAAAHT/r2g=")</f>
        <v>#REF!</v>
      </c>
      <c r="DB99" t="e">
        <f>AND(#REF!,"AAAAAHT/r2k=")</f>
        <v>#REF!</v>
      </c>
      <c r="DC99" t="e">
        <f>AND(#REF!,"AAAAAHT/r2o=")</f>
        <v>#REF!</v>
      </c>
      <c r="DD99" t="e">
        <f>AND(#REF!,"AAAAAHT/r2s=")</f>
        <v>#REF!</v>
      </c>
      <c r="DE99" t="e">
        <f>AND(#REF!,"AAAAAHT/r2w=")</f>
        <v>#REF!</v>
      </c>
      <c r="DF99" t="e">
        <f>AND(#REF!,"AAAAAHT/r20=")</f>
        <v>#REF!</v>
      </c>
      <c r="DG99" t="e">
        <f>AND(#REF!,"AAAAAHT/r24=")</f>
        <v>#REF!</v>
      </c>
      <c r="DH99" t="e">
        <f>AND(#REF!,"AAAAAHT/r28=")</f>
        <v>#REF!</v>
      </c>
      <c r="DI99" t="e">
        <f>AND(#REF!,"AAAAAHT/r3A=")</f>
        <v>#REF!</v>
      </c>
      <c r="DJ99" t="e">
        <f>AND(#REF!,"AAAAAHT/r3E=")</f>
        <v>#REF!</v>
      </c>
      <c r="DK99" t="e">
        <f>AND(#REF!,"AAAAAHT/r3I=")</f>
        <v>#REF!</v>
      </c>
      <c r="DL99" t="e">
        <f>AND(#REF!,"AAAAAHT/r3M=")</f>
        <v>#REF!</v>
      </c>
      <c r="DM99" t="e">
        <f>AND(#REF!,"AAAAAHT/r3Q=")</f>
        <v>#REF!</v>
      </c>
      <c r="DN99" t="e">
        <f>AND(#REF!,"AAAAAHT/r3U=")</f>
        <v>#REF!</v>
      </c>
      <c r="DO99" t="e">
        <f>AND(#REF!,"AAAAAHT/r3Y=")</f>
        <v>#REF!</v>
      </c>
      <c r="DP99" t="e">
        <f>AND(#REF!,"AAAAAHT/r3c=")</f>
        <v>#REF!</v>
      </c>
      <c r="DQ99" t="e">
        <f>AND(#REF!,"AAAAAHT/r3g=")</f>
        <v>#REF!</v>
      </c>
      <c r="DR99" t="e">
        <f>AND(#REF!,"AAAAAHT/r3k=")</f>
        <v>#REF!</v>
      </c>
      <c r="DS99" t="e">
        <f>IF(#REF!,"AAAAAHT/r3o=",0)</f>
        <v>#REF!</v>
      </c>
      <c r="DT99" t="e">
        <f>AND(#REF!,"AAAAAHT/r3s=")</f>
        <v>#REF!</v>
      </c>
      <c r="DU99" t="e">
        <f>AND(#REF!,"AAAAAHT/r3w=")</f>
        <v>#REF!</v>
      </c>
      <c r="DV99" t="e">
        <f>AND(#REF!,"AAAAAHT/r30=")</f>
        <v>#REF!</v>
      </c>
      <c r="DW99" t="e">
        <f>AND(#REF!,"AAAAAHT/r34=")</f>
        <v>#REF!</v>
      </c>
      <c r="DX99" t="e">
        <f>AND(#REF!,"AAAAAHT/r38=")</f>
        <v>#REF!</v>
      </c>
      <c r="DY99" t="e">
        <f>AND(#REF!,"AAAAAHT/r4A=")</f>
        <v>#REF!</v>
      </c>
      <c r="DZ99" t="e">
        <f>AND(#REF!,"AAAAAHT/r4E=")</f>
        <v>#REF!</v>
      </c>
      <c r="EA99" t="e">
        <f>AND(#REF!,"AAAAAHT/r4I=")</f>
        <v>#REF!</v>
      </c>
      <c r="EB99" t="e">
        <f>AND(#REF!,"AAAAAHT/r4M=")</f>
        <v>#REF!</v>
      </c>
      <c r="EC99" t="e">
        <f>AND(#REF!,"AAAAAHT/r4Q=")</f>
        <v>#REF!</v>
      </c>
      <c r="ED99" t="e">
        <f>AND(#REF!,"AAAAAHT/r4U=")</f>
        <v>#REF!</v>
      </c>
      <c r="EE99" t="e">
        <f>AND(#REF!,"AAAAAHT/r4Y=")</f>
        <v>#REF!</v>
      </c>
      <c r="EF99" t="e">
        <f>AND(#REF!,"AAAAAHT/r4c=")</f>
        <v>#REF!</v>
      </c>
      <c r="EG99" t="e">
        <f>AND(#REF!,"AAAAAHT/r4g=")</f>
        <v>#REF!</v>
      </c>
      <c r="EH99" t="e">
        <f>AND(#REF!,"AAAAAHT/r4k=")</f>
        <v>#REF!</v>
      </c>
      <c r="EI99" t="e">
        <f>AND(#REF!,"AAAAAHT/r4o=")</f>
        <v>#REF!</v>
      </c>
      <c r="EJ99" t="e">
        <f>AND(#REF!,"AAAAAHT/r4s=")</f>
        <v>#REF!</v>
      </c>
      <c r="EK99" t="e">
        <f>AND(#REF!,"AAAAAHT/r4w=")</f>
        <v>#REF!</v>
      </c>
      <c r="EL99" t="e">
        <f>AND(#REF!,"AAAAAHT/r40=")</f>
        <v>#REF!</v>
      </c>
      <c r="EM99" t="e">
        <f>AND(#REF!,"AAAAAHT/r44=")</f>
        <v>#REF!</v>
      </c>
      <c r="EN99" t="e">
        <f>AND(#REF!,"AAAAAHT/r48=")</f>
        <v>#REF!</v>
      </c>
      <c r="EO99" t="e">
        <f>AND(#REF!,"AAAAAHT/r5A=")</f>
        <v>#REF!</v>
      </c>
      <c r="EP99" t="e">
        <f>AND(#REF!,"AAAAAHT/r5E=")</f>
        <v>#REF!</v>
      </c>
      <c r="EQ99" t="e">
        <f>AND(#REF!,"AAAAAHT/r5I=")</f>
        <v>#REF!</v>
      </c>
      <c r="ER99" t="e">
        <f>IF(#REF!,"AAAAAHT/r5M=",0)</f>
        <v>#REF!</v>
      </c>
      <c r="ES99" t="e">
        <f>AND(#REF!,"AAAAAHT/r5Q=")</f>
        <v>#REF!</v>
      </c>
      <c r="ET99" t="e">
        <f>AND(#REF!,"AAAAAHT/r5U=")</f>
        <v>#REF!</v>
      </c>
      <c r="EU99" t="e">
        <f>AND(#REF!,"AAAAAHT/r5Y=")</f>
        <v>#REF!</v>
      </c>
      <c r="EV99" t="e">
        <f>AND(#REF!,"AAAAAHT/r5c=")</f>
        <v>#REF!</v>
      </c>
      <c r="EW99" t="e">
        <f>AND(#REF!,"AAAAAHT/r5g=")</f>
        <v>#REF!</v>
      </c>
      <c r="EX99" t="e">
        <f>AND(#REF!,"AAAAAHT/r5k=")</f>
        <v>#REF!</v>
      </c>
      <c r="EY99" t="e">
        <f>AND(#REF!,"AAAAAHT/r5o=")</f>
        <v>#REF!</v>
      </c>
      <c r="EZ99" t="e">
        <f>AND(#REF!,"AAAAAHT/r5s=")</f>
        <v>#REF!</v>
      </c>
      <c r="FA99" t="e">
        <f>AND(#REF!,"AAAAAHT/r5w=")</f>
        <v>#REF!</v>
      </c>
      <c r="FB99" t="e">
        <f>AND(#REF!,"AAAAAHT/r50=")</f>
        <v>#REF!</v>
      </c>
      <c r="FC99" t="e">
        <f>AND(#REF!,"AAAAAHT/r54=")</f>
        <v>#REF!</v>
      </c>
      <c r="FD99" t="e">
        <f>AND(#REF!,"AAAAAHT/r58=")</f>
        <v>#REF!</v>
      </c>
      <c r="FE99" t="e">
        <f>AND(#REF!,"AAAAAHT/r6A=")</f>
        <v>#REF!</v>
      </c>
      <c r="FF99" t="e">
        <f>AND(#REF!,"AAAAAHT/r6E=")</f>
        <v>#REF!</v>
      </c>
      <c r="FG99" t="e">
        <f>AND(#REF!,"AAAAAHT/r6I=")</f>
        <v>#REF!</v>
      </c>
      <c r="FH99" t="e">
        <f>AND(#REF!,"AAAAAHT/r6M=")</f>
        <v>#REF!</v>
      </c>
      <c r="FI99" t="e">
        <f>AND(#REF!,"AAAAAHT/r6Q=")</f>
        <v>#REF!</v>
      </c>
      <c r="FJ99" t="e">
        <f>AND(#REF!,"AAAAAHT/r6U=")</f>
        <v>#REF!</v>
      </c>
      <c r="FK99" t="e">
        <f>AND(#REF!,"AAAAAHT/r6Y=")</f>
        <v>#REF!</v>
      </c>
      <c r="FL99" t="e">
        <f>AND(#REF!,"AAAAAHT/r6c=")</f>
        <v>#REF!</v>
      </c>
      <c r="FM99" t="e">
        <f>AND(#REF!,"AAAAAHT/r6g=")</f>
        <v>#REF!</v>
      </c>
      <c r="FN99" t="e">
        <f>AND(#REF!,"AAAAAHT/r6k=")</f>
        <v>#REF!</v>
      </c>
      <c r="FO99" t="e">
        <f>AND(#REF!,"AAAAAHT/r6o=")</f>
        <v>#REF!</v>
      </c>
      <c r="FP99" t="e">
        <f>AND(#REF!,"AAAAAHT/r6s=")</f>
        <v>#REF!</v>
      </c>
      <c r="FQ99" t="e">
        <f>IF(#REF!,"AAAAAHT/r6w=",0)</f>
        <v>#REF!</v>
      </c>
      <c r="FR99" t="e">
        <f>AND(#REF!,"AAAAAHT/r60=")</f>
        <v>#REF!</v>
      </c>
      <c r="FS99" t="e">
        <f>AND(#REF!,"AAAAAHT/r64=")</f>
        <v>#REF!</v>
      </c>
      <c r="FT99" t="e">
        <f>AND(#REF!,"AAAAAHT/r68=")</f>
        <v>#REF!</v>
      </c>
      <c r="FU99" t="e">
        <f>AND(#REF!,"AAAAAHT/r7A=")</f>
        <v>#REF!</v>
      </c>
      <c r="FV99" t="e">
        <f>AND(#REF!,"AAAAAHT/r7E=")</f>
        <v>#REF!</v>
      </c>
      <c r="FW99" t="e">
        <f>AND(#REF!,"AAAAAHT/r7I=")</f>
        <v>#REF!</v>
      </c>
      <c r="FX99" t="e">
        <f>AND(#REF!,"AAAAAHT/r7M=")</f>
        <v>#REF!</v>
      </c>
      <c r="FY99" t="e">
        <f>AND(#REF!,"AAAAAHT/r7Q=")</f>
        <v>#REF!</v>
      </c>
      <c r="FZ99" t="e">
        <f>AND(#REF!,"AAAAAHT/r7U=")</f>
        <v>#REF!</v>
      </c>
      <c r="GA99" t="e">
        <f>AND(#REF!,"AAAAAHT/r7Y=")</f>
        <v>#REF!</v>
      </c>
      <c r="GB99" t="e">
        <f>AND(#REF!,"AAAAAHT/r7c=")</f>
        <v>#REF!</v>
      </c>
      <c r="GC99" t="e">
        <f>AND(#REF!,"AAAAAHT/r7g=")</f>
        <v>#REF!</v>
      </c>
      <c r="GD99" t="e">
        <f>AND(#REF!,"AAAAAHT/r7k=")</f>
        <v>#REF!</v>
      </c>
      <c r="GE99" t="e">
        <f>AND(#REF!,"AAAAAHT/r7o=")</f>
        <v>#REF!</v>
      </c>
      <c r="GF99" t="e">
        <f>AND(#REF!,"AAAAAHT/r7s=")</f>
        <v>#REF!</v>
      </c>
      <c r="GG99" t="e">
        <f>AND(#REF!,"AAAAAHT/r7w=")</f>
        <v>#REF!</v>
      </c>
      <c r="GH99" t="e">
        <f>AND(#REF!,"AAAAAHT/r70=")</f>
        <v>#REF!</v>
      </c>
      <c r="GI99" t="e">
        <f>AND(#REF!,"AAAAAHT/r74=")</f>
        <v>#REF!</v>
      </c>
      <c r="GJ99" t="e">
        <f>AND(#REF!,"AAAAAHT/r78=")</f>
        <v>#REF!</v>
      </c>
      <c r="GK99" t="e">
        <f>AND(#REF!,"AAAAAHT/r8A=")</f>
        <v>#REF!</v>
      </c>
      <c r="GL99" t="e">
        <f>AND(#REF!,"AAAAAHT/r8E=")</f>
        <v>#REF!</v>
      </c>
      <c r="GM99" t="e">
        <f>AND(#REF!,"AAAAAHT/r8I=")</f>
        <v>#REF!</v>
      </c>
      <c r="GN99" t="e">
        <f>AND(#REF!,"AAAAAHT/r8M=")</f>
        <v>#REF!</v>
      </c>
      <c r="GO99" t="e">
        <f>AND(#REF!,"AAAAAHT/r8Q=")</f>
        <v>#REF!</v>
      </c>
      <c r="GP99" t="e">
        <f>IF(#REF!,"AAAAAHT/r8U=",0)</f>
        <v>#REF!</v>
      </c>
      <c r="GQ99" t="e">
        <f>AND(#REF!,"AAAAAHT/r8Y=")</f>
        <v>#REF!</v>
      </c>
      <c r="GR99" t="e">
        <f>AND(#REF!,"AAAAAHT/r8c=")</f>
        <v>#REF!</v>
      </c>
      <c r="GS99" t="e">
        <f>AND(#REF!,"AAAAAHT/r8g=")</f>
        <v>#REF!</v>
      </c>
      <c r="GT99" t="e">
        <f>AND(#REF!,"AAAAAHT/r8k=")</f>
        <v>#REF!</v>
      </c>
      <c r="GU99" t="e">
        <f>AND(#REF!,"AAAAAHT/r8o=")</f>
        <v>#REF!</v>
      </c>
      <c r="GV99" t="e">
        <f>AND(#REF!,"AAAAAHT/r8s=")</f>
        <v>#REF!</v>
      </c>
      <c r="GW99" t="e">
        <f>AND(#REF!,"AAAAAHT/r8w=")</f>
        <v>#REF!</v>
      </c>
      <c r="GX99" t="e">
        <f>AND(#REF!,"AAAAAHT/r80=")</f>
        <v>#REF!</v>
      </c>
      <c r="GY99" t="e">
        <f>AND(#REF!,"AAAAAHT/r84=")</f>
        <v>#REF!</v>
      </c>
      <c r="GZ99" t="e">
        <f>AND(#REF!,"AAAAAHT/r88=")</f>
        <v>#REF!</v>
      </c>
      <c r="HA99" t="e">
        <f>AND(#REF!,"AAAAAHT/r9A=")</f>
        <v>#REF!</v>
      </c>
      <c r="HB99" t="e">
        <f>AND(#REF!,"AAAAAHT/r9E=")</f>
        <v>#REF!</v>
      </c>
      <c r="HC99" t="e">
        <f>AND(#REF!,"AAAAAHT/r9I=")</f>
        <v>#REF!</v>
      </c>
      <c r="HD99" t="e">
        <f>AND(#REF!,"AAAAAHT/r9M=")</f>
        <v>#REF!</v>
      </c>
      <c r="HE99" t="e">
        <f>AND(#REF!,"AAAAAHT/r9Q=")</f>
        <v>#REF!</v>
      </c>
      <c r="HF99" t="e">
        <f>AND(#REF!,"AAAAAHT/r9U=")</f>
        <v>#REF!</v>
      </c>
      <c r="HG99" t="e">
        <f>AND(#REF!,"AAAAAHT/r9Y=")</f>
        <v>#REF!</v>
      </c>
      <c r="HH99" t="e">
        <f>AND(#REF!,"AAAAAHT/r9c=")</f>
        <v>#REF!</v>
      </c>
      <c r="HI99" t="e">
        <f>AND(#REF!,"AAAAAHT/r9g=")</f>
        <v>#REF!</v>
      </c>
      <c r="HJ99" t="e">
        <f>AND(#REF!,"AAAAAHT/r9k=")</f>
        <v>#REF!</v>
      </c>
      <c r="HK99" t="e">
        <f>AND(#REF!,"AAAAAHT/r9o=")</f>
        <v>#REF!</v>
      </c>
      <c r="HL99" t="e">
        <f>AND(#REF!,"AAAAAHT/r9s=")</f>
        <v>#REF!</v>
      </c>
      <c r="HM99" t="e">
        <f>AND(#REF!,"AAAAAHT/r9w=")</f>
        <v>#REF!</v>
      </c>
      <c r="HN99" t="e">
        <f>AND(#REF!,"AAAAAHT/r90=")</f>
        <v>#REF!</v>
      </c>
      <c r="HO99" t="e">
        <f>IF(#REF!,"AAAAAHT/r94=",0)</f>
        <v>#REF!</v>
      </c>
      <c r="HP99" t="e">
        <f>AND(#REF!,"AAAAAHT/r98=")</f>
        <v>#REF!</v>
      </c>
      <c r="HQ99" t="e">
        <f>AND(#REF!,"AAAAAHT/r+A=")</f>
        <v>#REF!</v>
      </c>
      <c r="HR99" t="e">
        <f>AND(#REF!,"AAAAAHT/r+E=")</f>
        <v>#REF!</v>
      </c>
      <c r="HS99" t="e">
        <f>AND(#REF!,"AAAAAHT/r+I=")</f>
        <v>#REF!</v>
      </c>
      <c r="HT99" t="e">
        <f>AND(#REF!,"AAAAAHT/r+M=")</f>
        <v>#REF!</v>
      </c>
      <c r="HU99" t="e">
        <f>AND(#REF!,"AAAAAHT/r+Q=")</f>
        <v>#REF!</v>
      </c>
      <c r="HV99" t="e">
        <f>AND(#REF!,"AAAAAHT/r+U=")</f>
        <v>#REF!</v>
      </c>
      <c r="HW99" t="e">
        <f>AND(#REF!,"AAAAAHT/r+Y=")</f>
        <v>#REF!</v>
      </c>
      <c r="HX99" t="e">
        <f>AND(#REF!,"AAAAAHT/r+c=")</f>
        <v>#REF!</v>
      </c>
      <c r="HY99" t="e">
        <f>AND(#REF!,"AAAAAHT/r+g=")</f>
        <v>#REF!</v>
      </c>
      <c r="HZ99" t="e">
        <f>AND(#REF!,"AAAAAHT/r+k=")</f>
        <v>#REF!</v>
      </c>
      <c r="IA99" t="e">
        <f>AND(#REF!,"AAAAAHT/r+o=")</f>
        <v>#REF!</v>
      </c>
      <c r="IB99" t="e">
        <f>AND(#REF!,"AAAAAHT/r+s=")</f>
        <v>#REF!</v>
      </c>
      <c r="IC99" t="e">
        <f>AND(#REF!,"AAAAAHT/r+w=")</f>
        <v>#REF!</v>
      </c>
      <c r="ID99" t="e">
        <f>AND(#REF!,"AAAAAHT/r+0=")</f>
        <v>#REF!</v>
      </c>
      <c r="IE99" t="e">
        <f>AND(#REF!,"AAAAAHT/r+4=")</f>
        <v>#REF!</v>
      </c>
      <c r="IF99" t="e">
        <f>AND(#REF!,"AAAAAHT/r+8=")</f>
        <v>#REF!</v>
      </c>
      <c r="IG99" t="e">
        <f>AND(#REF!,"AAAAAHT/r/A=")</f>
        <v>#REF!</v>
      </c>
      <c r="IH99" t="e">
        <f>AND(#REF!,"AAAAAHT/r/E=")</f>
        <v>#REF!</v>
      </c>
      <c r="II99" t="e">
        <f>AND(#REF!,"AAAAAHT/r/I=")</f>
        <v>#REF!</v>
      </c>
      <c r="IJ99" t="e">
        <f>AND(#REF!,"AAAAAHT/r/M=")</f>
        <v>#REF!</v>
      </c>
      <c r="IK99" t="e">
        <f>AND(#REF!,"AAAAAHT/r/Q=")</f>
        <v>#REF!</v>
      </c>
      <c r="IL99" t="e">
        <f>AND(#REF!,"AAAAAHT/r/U=")</f>
        <v>#REF!</v>
      </c>
      <c r="IM99" t="e">
        <f>AND(#REF!,"AAAAAHT/r/Y=")</f>
        <v>#REF!</v>
      </c>
      <c r="IN99" t="e">
        <f>IF(#REF!,"AAAAAHT/r/c=",0)</f>
        <v>#REF!</v>
      </c>
      <c r="IO99" t="e">
        <f>AND(#REF!,"AAAAAHT/r/g=")</f>
        <v>#REF!</v>
      </c>
      <c r="IP99" t="e">
        <f>AND(#REF!,"AAAAAHT/r/k=")</f>
        <v>#REF!</v>
      </c>
      <c r="IQ99" t="e">
        <f>AND(#REF!,"AAAAAHT/r/o=")</f>
        <v>#REF!</v>
      </c>
      <c r="IR99" t="e">
        <f>AND(#REF!,"AAAAAHT/r/s=")</f>
        <v>#REF!</v>
      </c>
      <c r="IS99" t="e">
        <f>AND(#REF!,"AAAAAHT/r/w=")</f>
        <v>#REF!</v>
      </c>
      <c r="IT99" t="e">
        <f>AND(#REF!,"AAAAAHT/r/0=")</f>
        <v>#REF!</v>
      </c>
      <c r="IU99" t="e">
        <f>AND(#REF!,"AAAAAHT/r/4=")</f>
        <v>#REF!</v>
      </c>
      <c r="IV99" t="e">
        <f>AND(#REF!,"AAAAAHT/r/8=")</f>
        <v>#REF!</v>
      </c>
    </row>
    <row r="100" spans="1:256">
      <c r="A100" t="e">
        <f>AND(#REF!,"AAAAAH53fwA=")</f>
        <v>#REF!</v>
      </c>
      <c r="B100" t="e">
        <f>AND(#REF!,"AAAAAH53fwE=")</f>
        <v>#REF!</v>
      </c>
      <c r="C100" t="e">
        <f>AND(#REF!,"AAAAAH53fwI=")</f>
        <v>#REF!</v>
      </c>
      <c r="D100" t="e">
        <f>AND(#REF!,"AAAAAH53fwM=")</f>
        <v>#REF!</v>
      </c>
      <c r="E100" t="e">
        <f>AND(#REF!,"AAAAAH53fwQ=")</f>
        <v>#REF!</v>
      </c>
      <c r="F100" t="e">
        <f>AND(#REF!,"AAAAAH53fwU=")</f>
        <v>#REF!</v>
      </c>
      <c r="G100" t="e">
        <f>AND(#REF!,"AAAAAH53fwY=")</f>
        <v>#REF!</v>
      </c>
      <c r="H100" t="e">
        <f>AND(#REF!,"AAAAAH53fwc=")</f>
        <v>#REF!</v>
      </c>
      <c r="I100" t="e">
        <f>AND(#REF!,"AAAAAH53fwg=")</f>
        <v>#REF!</v>
      </c>
      <c r="J100" t="e">
        <f>AND(#REF!,"AAAAAH53fwk=")</f>
        <v>#REF!</v>
      </c>
      <c r="K100" t="e">
        <f>AND(#REF!,"AAAAAH53fwo=")</f>
        <v>#REF!</v>
      </c>
      <c r="L100" t="e">
        <f>AND(#REF!,"AAAAAH53fws=")</f>
        <v>#REF!</v>
      </c>
      <c r="M100" t="e">
        <f>AND(#REF!,"AAAAAH53fww=")</f>
        <v>#REF!</v>
      </c>
      <c r="N100" t="e">
        <f>AND(#REF!,"AAAAAH53fw0=")</f>
        <v>#REF!</v>
      </c>
      <c r="O100" t="e">
        <f>AND(#REF!,"AAAAAH53fw4=")</f>
        <v>#REF!</v>
      </c>
      <c r="P100" t="e">
        <f>AND(#REF!,"AAAAAH53fw8=")</f>
        <v>#REF!</v>
      </c>
      <c r="Q100" t="e">
        <f>IF(#REF!,"AAAAAH53fxA=",0)</f>
        <v>#REF!</v>
      </c>
      <c r="R100" t="e">
        <f>AND(#REF!,"AAAAAH53fxE=")</f>
        <v>#REF!</v>
      </c>
      <c r="S100" t="e">
        <f>AND(#REF!,"AAAAAH53fxI=")</f>
        <v>#REF!</v>
      </c>
      <c r="T100" t="e">
        <f>AND(#REF!,"AAAAAH53fxM=")</f>
        <v>#REF!</v>
      </c>
      <c r="U100" t="e">
        <f>AND(#REF!,"AAAAAH53fxQ=")</f>
        <v>#REF!</v>
      </c>
      <c r="V100" t="e">
        <f>AND(#REF!,"AAAAAH53fxU=")</f>
        <v>#REF!</v>
      </c>
      <c r="W100" t="e">
        <f>AND(#REF!,"AAAAAH53fxY=")</f>
        <v>#REF!</v>
      </c>
      <c r="X100" t="e">
        <f>AND(#REF!,"AAAAAH53fxc=")</f>
        <v>#REF!</v>
      </c>
      <c r="Y100" t="e">
        <f>AND(#REF!,"AAAAAH53fxg=")</f>
        <v>#REF!</v>
      </c>
      <c r="Z100" t="e">
        <f>AND(#REF!,"AAAAAH53fxk=")</f>
        <v>#REF!</v>
      </c>
      <c r="AA100" t="e">
        <f>AND(#REF!,"AAAAAH53fxo=")</f>
        <v>#REF!</v>
      </c>
      <c r="AB100" t="e">
        <f>AND(#REF!,"AAAAAH53fxs=")</f>
        <v>#REF!</v>
      </c>
      <c r="AC100" t="e">
        <f>AND(#REF!,"AAAAAH53fxw=")</f>
        <v>#REF!</v>
      </c>
      <c r="AD100" t="e">
        <f>AND(#REF!,"AAAAAH53fx0=")</f>
        <v>#REF!</v>
      </c>
      <c r="AE100" t="e">
        <f>AND(#REF!,"AAAAAH53fx4=")</f>
        <v>#REF!</v>
      </c>
      <c r="AF100" t="e">
        <f>AND(#REF!,"AAAAAH53fx8=")</f>
        <v>#REF!</v>
      </c>
      <c r="AG100" t="e">
        <f>AND(#REF!,"AAAAAH53fyA=")</f>
        <v>#REF!</v>
      </c>
      <c r="AH100" t="e">
        <f>AND(#REF!,"AAAAAH53fyE=")</f>
        <v>#REF!</v>
      </c>
      <c r="AI100" t="e">
        <f>AND(#REF!,"AAAAAH53fyI=")</f>
        <v>#REF!</v>
      </c>
      <c r="AJ100" t="e">
        <f>AND(#REF!,"AAAAAH53fyM=")</f>
        <v>#REF!</v>
      </c>
      <c r="AK100" t="e">
        <f>AND(#REF!,"AAAAAH53fyQ=")</f>
        <v>#REF!</v>
      </c>
      <c r="AL100" t="e">
        <f>AND(#REF!,"AAAAAH53fyU=")</f>
        <v>#REF!</v>
      </c>
      <c r="AM100" t="e">
        <f>AND(#REF!,"AAAAAH53fyY=")</f>
        <v>#REF!</v>
      </c>
      <c r="AN100" t="e">
        <f>AND(#REF!,"AAAAAH53fyc=")</f>
        <v>#REF!</v>
      </c>
      <c r="AO100" t="e">
        <f>AND(#REF!,"AAAAAH53fyg=")</f>
        <v>#REF!</v>
      </c>
      <c r="AP100" t="e">
        <f>IF(#REF!,"AAAAAH53fyk=",0)</f>
        <v>#REF!</v>
      </c>
      <c r="AQ100" t="e">
        <f>AND(#REF!,"AAAAAH53fyo=")</f>
        <v>#REF!</v>
      </c>
      <c r="AR100" t="e">
        <f>AND(#REF!,"AAAAAH53fys=")</f>
        <v>#REF!</v>
      </c>
      <c r="AS100" t="e">
        <f>AND(#REF!,"AAAAAH53fyw=")</f>
        <v>#REF!</v>
      </c>
      <c r="AT100" t="e">
        <f>AND(#REF!,"AAAAAH53fy0=")</f>
        <v>#REF!</v>
      </c>
      <c r="AU100" t="e">
        <f>AND(#REF!,"AAAAAH53fy4=")</f>
        <v>#REF!</v>
      </c>
      <c r="AV100" t="e">
        <f>AND(#REF!,"AAAAAH53fy8=")</f>
        <v>#REF!</v>
      </c>
      <c r="AW100" t="e">
        <f>AND(#REF!,"AAAAAH53fzA=")</f>
        <v>#REF!</v>
      </c>
      <c r="AX100" t="e">
        <f>AND(#REF!,"AAAAAH53fzE=")</f>
        <v>#REF!</v>
      </c>
      <c r="AY100" t="e">
        <f>AND(#REF!,"AAAAAH53fzI=")</f>
        <v>#REF!</v>
      </c>
      <c r="AZ100" t="e">
        <f>AND(#REF!,"AAAAAH53fzM=")</f>
        <v>#REF!</v>
      </c>
      <c r="BA100" t="e">
        <f>AND(#REF!,"AAAAAH53fzQ=")</f>
        <v>#REF!</v>
      </c>
      <c r="BB100" t="e">
        <f>AND(#REF!,"AAAAAH53fzU=")</f>
        <v>#REF!</v>
      </c>
      <c r="BC100" t="e">
        <f>AND(#REF!,"AAAAAH53fzY=")</f>
        <v>#REF!</v>
      </c>
      <c r="BD100" t="e">
        <f>AND(#REF!,"AAAAAH53fzc=")</f>
        <v>#REF!</v>
      </c>
      <c r="BE100" t="e">
        <f>AND(#REF!,"AAAAAH53fzg=")</f>
        <v>#REF!</v>
      </c>
      <c r="BF100" t="e">
        <f>AND(#REF!,"AAAAAH53fzk=")</f>
        <v>#REF!</v>
      </c>
      <c r="BG100" t="e">
        <f>AND(#REF!,"AAAAAH53fzo=")</f>
        <v>#REF!</v>
      </c>
      <c r="BH100" t="e">
        <f>AND(#REF!,"AAAAAH53fzs=")</f>
        <v>#REF!</v>
      </c>
      <c r="BI100" t="e">
        <f>AND(#REF!,"AAAAAH53fzw=")</f>
        <v>#REF!</v>
      </c>
      <c r="BJ100" t="e">
        <f>AND(#REF!,"AAAAAH53fz0=")</f>
        <v>#REF!</v>
      </c>
      <c r="BK100" t="e">
        <f>AND(#REF!,"AAAAAH53fz4=")</f>
        <v>#REF!</v>
      </c>
      <c r="BL100" t="e">
        <f>AND(#REF!,"AAAAAH53fz8=")</f>
        <v>#REF!</v>
      </c>
      <c r="BM100" t="e">
        <f>AND(#REF!,"AAAAAH53f0A=")</f>
        <v>#REF!</v>
      </c>
      <c r="BN100" t="e">
        <f>AND(#REF!,"AAAAAH53f0E=")</f>
        <v>#REF!</v>
      </c>
      <c r="BO100" t="e">
        <f>IF(#REF!,"AAAAAH53f0I=",0)</f>
        <v>#REF!</v>
      </c>
      <c r="BP100" t="e">
        <f>AND(#REF!,"AAAAAH53f0M=")</f>
        <v>#REF!</v>
      </c>
      <c r="BQ100" t="e">
        <f>AND(#REF!,"AAAAAH53f0Q=")</f>
        <v>#REF!</v>
      </c>
      <c r="BR100" t="e">
        <f>AND(#REF!,"AAAAAH53f0U=")</f>
        <v>#REF!</v>
      </c>
      <c r="BS100" t="e">
        <f>AND(#REF!,"AAAAAH53f0Y=")</f>
        <v>#REF!</v>
      </c>
      <c r="BT100" t="e">
        <f>AND(#REF!,"AAAAAH53f0c=")</f>
        <v>#REF!</v>
      </c>
      <c r="BU100" t="e">
        <f>AND(#REF!,"AAAAAH53f0g=")</f>
        <v>#REF!</v>
      </c>
      <c r="BV100" t="e">
        <f>AND(#REF!,"AAAAAH53f0k=")</f>
        <v>#REF!</v>
      </c>
      <c r="BW100" t="e">
        <f>AND(#REF!,"AAAAAH53f0o=")</f>
        <v>#REF!</v>
      </c>
      <c r="BX100" t="e">
        <f>AND(#REF!,"AAAAAH53f0s=")</f>
        <v>#REF!</v>
      </c>
      <c r="BY100" t="e">
        <f>AND(#REF!,"AAAAAH53f0w=")</f>
        <v>#REF!</v>
      </c>
      <c r="BZ100" t="e">
        <f>AND(#REF!,"AAAAAH53f00=")</f>
        <v>#REF!</v>
      </c>
      <c r="CA100" t="e">
        <f>AND(#REF!,"AAAAAH53f04=")</f>
        <v>#REF!</v>
      </c>
      <c r="CB100" t="e">
        <f>AND(#REF!,"AAAAAH53f08=")</f>
        <v>#REF!</v>
      </c>
      <c r="CC100" t="e">
        <f>AND(#REF!,"AAAAAH53f1A=")</f>
        <v>#REF!</v>
      </c>
      <c r="CD100" t="e">
        <f>AND(#REF!,"AAAAAH53f1E=")</f>
        <v>#REF!</v>
      </c>
      <c r="CE100" t="e">
        <f>AND(#REF!,"AAAAAH53f1I=")</f>
        <v>#REF!</v>
      </c>
      <c r="CF100" t="e">
        <f>AND(#REF!,"AAAAAH53f1M=")</f>
        <v>#REF!</v>
      </c>
      <c r="CG100" t="e">
        <f>AND(#REF!,"AAAAAH53f1Q=")</f>
        <v>#REF!</v>
      </c>
      <c r="CH100" t="e">
        <f>AND(#REF!,"AAAAAH53f1U=")</f>
        <v>#REF!</v>
      </c>
      <c r="CI100" t="e">
        <f>AND(#REF!,"AAAAAH53f1Y=")</f>
        <v>#REF!</v>
      </c>
      <c r="CJ100" t="e">
        <f>AND(#REF!,"AAAAAH53f1c=")</f>
        <v>#REF!</v>
      </c>
      <c r="CK100" t="e">
        <f>AND(#REF!,"AAAAAH53f1g=")</f>
        <v>#REF!</v>
      </c>
      <c r="CL100" t="e">
        <f>AND(#REF!,"AAAAAH53f1k=")</f>
        <v>#REF!</v>
      </c>
      <c r="CM100" t="e">
        <f>AND(#REF!,"AAAAAH53f1o=")</f>
        <v>#REF!</v>
      </c>
      <c r="CN100" t="e">
        <f>IF(#REF!,"AAAAAH53f1s=",0)</f>
        <v>#REF!</v>
      </c>
      <c r="CO100" t="e">
        <f>AND(#REF!,"AAAAAH53f1w=")</f>
        <v>#REF!</v>
      </c>
      <c r="CP100" t="e">
        <f>AND(#REF!,"AAAAAH53f10=")</f>
        <v>#REF!</v>
      </c>
      <c r="CQ100" t="e">
        <f>AND(#REF!,"AAAAAH53f14=")</f>
        <v>#REF!</v>
      </c>
      <c r="CR100" t="e">
        <f>AND(#REF!,"AAAAAH53f18=")</f>
        <v>#REF!</v>
      </c>
      <c r="CS100" t="e">
        <f>AND(#REF!,"AAAAAH53f2A=")</f>
        <v>#REF!</v>
      </c>
      <c r="CT100" t="e">
        <f>AND(#REF!,"AAAAAH53f2E=")</f>
        <v>#REF!</v>
      </c>
      <c r="CU100" t="e">
        <f>AND(#REF!,"AAAAAH53f2I=")</f>
        <v>#REF!</v>
      </c>
      <c r="CV100" t="e">
        <f>AND(#REF!,"AAAAAH53f2M=")</f>
        <v>#REF!</v>
      </c>
      <c r="CW100" t="e">
        <f>AND(#REF!,"AAAAAH53f2Q=")</f>
        <v>#REF!</v>
      </c>
      <c r="CX100" t="e">
        <f>AND(#REF!,"AAAAAH53f2U=")</f>
        <v>#REF!</v>
      </c>
      <c r="CY100" t="e">
        <f>AND(#REF!,"AAAAAH53f2Y=")</f>
        <v>#REF!</v>
      </c>
      <c r="CZ100" t="e">
        <f>AND(#REF!,"AAAAAH53f2c=")</f>
        <v>#REF!</v>
      </c>
      <c r="DA100" t="e">
        <f>AND(#REF!,"AAAAAH53f2g=")</f>
        <v>#REF!</v>
      </c>
      <c r="DB100" t="e">
        <f>AND(#REF!,"AAAAAH53f2k=")</f>
        <v>#REF!</v>
      </c>
      <c r="DC100" t="e">
        <f>AND(#REF!,"AAAAAH53f2o=")</f>
        <v>#REF!</v>
      </c>
      <c r="DD100" t="e">
        <f>AND(#REF!,"AAAAAH53f2s=")</f>
        <v>#REF!</v>
      </c>
      <c r="DE100" t="e">
        <f>AND(#REF!,"AAAAAH53f2w=")</f>
        <v>#REF!</v>
      </c>
      <c r="DF100" t="e">
        <f>AND(#REF!,"AAAAAH53f20=")</f>
        <v>#REF!</v>
      </c>
      <c r="DG100" t="e">
        <f>AND(#REF!,"AAAAAH53f24=")</f>
        <v>#REF!</v>
      </c>
      <c r="DH100" t="e">
        <f>AND(#REF!,"AAAAAH53f28=")</f>
        <v>#REF!</v>
      </c>
      <c r="DI100" t="e">
        <f>AND(#REF!,"AAAAAH53f3A=")</f>
        <v>#REF!</v>
      </c>
      <c r="DJ100" t="e">
        <f>AND(#REF!,"AAAAAH53f3E=")</f>
        <v>#REF!</v>
      </c>
      <c r="DK100" t="e">
        <f>AND(#REF!,"AAAAAH53f3I=")</f>
        <v>#REF!</v>
      </c>
      <c r="DL100" t="e">
        <f>AND(#REF!,"AAAAAH53f3M=")</f>
        <v>#REF!</v>
      </c>
      <c r="DM100" t="e">
        <f>IF(#REF!,"AAAAAH53f3Q=",0)</f>
        <v>#REF!</v>
      </c>
      <c r="DN100" t="e">
        <f>AND(#REF!,"AAAAAH53f3U=")</f>
        <v>#REF!</v>
      </c>
      <c r="DO100" t="e">
        <f>AND(#REF!,"AAAAAH53f3Y=")</f>
        <v>#REF!</v>
      </c>
      <c r="DP100" t="e">
        <f>AND(#REF!,"AAAAAH53f3c=")</f>
        <v>#REF!</v>
      </c>
      <c r="DQ100" t="e">
        <f>AND(#REF!,"AAAAAH53f3g=")</f>
        <v>#REF!</v>
      </c>
      <c r="DR100" t="e">
        <f>AND(#REF!,"AAAAAH53f3k=")</f>
        <v>#REF!</v>
      </c>
      <c r="DS100" t="e">
        <f>AND(#REF!,"AAAAAH53f3o=")</f>
        <v>#REF!</v>
      </c>
      <c r="DT100" t="e">
        <f>AND(#REF!,"AAAAAH53f3s=")</f>
        <v>#REF!</v>
      </c>
      <c r="DU100" t="e">
        <f>AND(#REF!,"AAAAAH53f3w=")</f>
        <v>#REF!</v>
      </c>
      <c r="DV100" t="e">
        <f>AND(#REF!,"AAAAAH53f30=")</f>
        <v>#REF!</v>
      </c>
      <c r="DW100" t="e">
        <f>AND(#REF!,"AAAAAH53f34=")</f>
        <v>#REF!</v>
      </c>
      <c r="DX100" t="e">
        <f>AND(#REF!,"AAAAAH53f38=")</f>
        <v>#REF!</v>
      </c>
      <c r="DY100" t="e">
        <f>AND(#REF!,"AAAAAH53f4A=")</f>
        <v>#REF!</v>
      </c>
      <c r="DZ100" t="e">
        <f>AND(#REF!,"AAAAAH53f4E=")</f>
        <v>#REF!</v>
      </c>
      <c r="EA100" t="e">
        <f>AND(#REF!,"AAAAAH53f4I=")</f>
        <v>#REF!</v>
      </c>
      <c r="EB100" t="e">
        <f>AND(#REF!,"AAAAAH53f4M=")</f>
        <v>#REF!</v>
      </c>
      <c r="EC100" t="e">
        <f>AND(#REF!,"AAAAAH53f4Q=")</f>
        <v>#REF!</v>
      </c>
      <c r="ED100" t="e">
        <f>AND(#REF!,"AAAAAH53f4U=")</f>
        <v>#REF!</v>
      </c>
      <c r="EE100" t="e">
        <f>AND(#REF!,"AAAAAH53f4Y=")</f>
        <v>#REF!</v>
      </c>
      <c r="EF100" t="e">
        <f>AND(#REF!,"AAAAAH53f4c=")</f>
        <v>#REF!</v>
      </c>
      <c r="EG100" t="e">
        <f>AND(#REF!,"AAAAAH53f4g=")</f>
        <v>#REF!</v>
      </c>
      <c r="EH100" t="e">
        <f>AND(#REF!,"AAAAAH53f4k=")</f>
        <v>#REF!</v>
      </c>
      <c r="EI100" t="e">
        <f>AND(#REF!,"AAAAAH53f4o=")</f>
        <v>#REF!</v>
      </c>
      <c r="EJ100" t="e">
        <f>AND(#REF!,"AAAAAH53f4s=")</f>
        <v>#REF!</v>
      </c>
      <c r="EK100" t="e">
        <f>AND(#REF!,"AAAAAH53f4w=")</f>
        <v>#REF!</v>
      </c>
      <c r="EL100" t="e">
        <f>IF(#REF!,"AAAAAH53f40=",0)</f>
        <v>#REF!</v>
      </c>
      <c r="EM100" t="e">
        <f>AND(#REF!,"AAAAAH53f44=")</f>
        <v>#REF!</v>
      </c>
      <c r="EN100" t="e">
        <f>AND(#REF!,"AAAAAH53f48=")</f>
        <v>#REF!</v>
      </c>
      <c r="EO100" t="e">
        <f>AND(#REF!,"AAAAAH53f5A=")</f>
        <v>#REF!</v>
      </c>
      <c r="EP100" t="e">
        <f>AND(#REF!,"AAAAAH53f5E=")</f>
        <v>#REF!</v>
      </c>
      <c r="EQ100" t="e">
        <f>AND(#REF!,"AAAAAH53f5I=")</f>
        <v>#REF!</v>
      </c>
      <c r="ER100" t="e">
        <f>AND(#REF!,"AAAAAH53f5M=")</f>
        <v>#REF!</v>
      </c>
      <c r="ES100" t="e">
        <f>AND(#REF!,"AAAAAH53f5Q=")</f>
        <v>#REF!</v>
      </c>
      <c r="ET100" t="e">
        <f>AND(#REF!,"AAAAAH53f5U=")</f>
        <v>#REF!</v>
      </c>
      <c r="EU100" t="e">
        <f>AND(#REF!,"AAAAAH53f5Y=")</f>
        <v>#REF!</v>
      </c>
      <c r="EV100" t="e">
        <f>AND(#REF!,"AAAAAH53f5c=")</f>
        <v>#REF!</v>
      </c>
      <c r="EW100" t="e">
        <f>AND(#REF!,"AAAAAH53f5g=")</f>
        <v>#REF!</v>
      </c>
      <c r="EX100" t="e">
        <f>AND(#REF!,"AAAAAH53f5k=")</f>
        <v>#REF!</v>
      </c>
      <c r="EY100" t="e">
        <f>AND(#REF!,"AAAAAH53f5o=")</f>
        <v>#REF!</v>
      </c>
      <c r="EZ100" t="e">
        <f>AND(#REF!,"AAAAAH53f5s=")</f>
        <v>#REF!</v>
      </c>
      <c r="FA100" t="e">
        <f>AND(#REF!,"AAAAAH53f5w=")</f>
        <v>#REF!</v>
      </c>
      <c r="FB100" t="e">
        <f>AND(#REF!,"AAAAAH53f50=")</f>
        <v>#REF!</v>
      </c>
      <c r="FC100" t="e">
        <f>AND(#REF!,"AAAAAH53f54=")</f>
        <v>#REF!</v>
      </c>
      <c r="FD100" t="e">
        <f>AND(#REF!,"AAAAAH53f58=")</f>
        <v>#REF!</v>
      </c>
      <c r="FE100" t="e">
        <f>AND(#REF!,"AAAAAH53f6A=")</f>
        <v>#REF!</v>
      </c>
      <c r="FF100" t="e">
        <f>AND(#REF!,"AAAAAH53f6E=")</f>
        <v>#REF!</v>
      </c>
      <c r="FG100" t="e">
        <f>AND(#REF!,"AAAAAH53f6I=")</f>
        <v>#REF!</v>
      </c>
      <c r="FH100" t="e">
        <f>AND(#REF!,"AAAAAH53f6M=")</f>
        <v>#REF!</v>
      </c>
      <c r="FI100" t="e">
        <f>AND(#REF!,"AAAAAH53f6Q=")</f>
        <v>#REF!</v>
      </c>
      <c r="FJ100" t="e">
        <f>AND(#REF!,"AAAAAH53f6U=")</f>
        <v>#REF!</v>
      </c>
      <c r="FK100" t="e">
        <f>IF(#REF!,"AAAAAH53f6Y=",0)</f>
        <v>#REF!</v>
      </c>
      <c r="FL100" t="e">
        <f>AND(#REF!,"AAAAAH53f6c=")</f>
        <v>#REF!</v>
      </c>
      <c r="FM100" t="e">
        <f>AND(#REF!,"AAAAAH53f6g=")</f>
        <v>#REF!</v>
      </c>
      <c r="FN100" t="e">
        <f>AND(#REF!,"AAAAAH53f6k=")</f>
        <v>#REF!</v>
      </c>
      <c r="FO100" t="e">
        <f>AND(#REF!,"AAAAAH53f6o=")</f>
        <v>#REF!</v>
      </c>
      <c r="FP100" t="e">
        <f>AND(#REF!,"AAAAAH53f6s=")</f>
        <v>#REF!</v>
      </c>
      <c r="FQ100" t="e">
        <f>AND(#REF!,"AAAAAH53f6w=")</f>
        <v>#REF!</v>
      </c>
      <c r="FR100" t="e">
        <f>AND(#REF!,"AAAAAH53f60=")</f>
        <v>#REF!</v>
      </c>
      <c r="FS100" t="e">
        <f>AND(#REF!,"AAAAAH53f64=")</f>
        <v>#REF!</v>
      </c>
      <c r="FT100" t="e">
        <f>AND(#REF!,"AAAAAH53f68=")</f>
        <v>#REF!</v>
      </c>
      <c r="FU100" t="e">
        <f>AND(#REF!,"AAAAAH53f7A=")</f>
        <v>#REF!</v>
      </c>
      <c r="FV100" t="e">
        <f>AND(#REF!,"AAAAAH53f7E=")</f>
        <v>#REF!</v>
      </c>
      <c r="FW100" t="e">
        <f>AND(#REF!,"AAAAAH53f7I=")</f>
        <v>#REF!</v>
      </c>
      <c r="FX100" t="e">
        <f>AND(#REF!,"AAAAAH53f7M=")</f>
        <v>#REF!</v>
      </c>
      <c r="FY100" t="e">
        <f>AND(#REF!,"AAAAAH53f7Q=")</f>
        <v>#REF!</v>
      </c>
      <c r="FZ100" t="e">
        <f>AND(#REF!,"AAAAAH53f7U=")</f>
        <v>#REF!</v>
      </c>
      <c r="GA100" t="e">
        <f>AND(#REF!,"AAAAAH53f7Y=")</f>
        <v>#REF!</v>
      </c>
      <c r="GB100" t="e">
        <f>AND(#REF!,"AAAAAH53f7c=")</f>
        <v>#REF!</v>
      </c>
      <c r="GC100" t="e">
        <f>AND(#REF!,"AAAAAH53f7g=")</f>
        <v>#REF!</v>
      </c>
      <c r="GD100" t="e">
        <f>AND(#REF!,"AAAAAH53f7k=")</f>
        <v>#REF!</v>
      </c>
      <c r="GE100" t="e">
        <f>AND(#REF!,"AAAAAH53f7o=")</f>
        <v>#REF!</v>
      </c>
      <c r="GF100" t="e">
        <f>AND(#REF!,"AAAAAH53f7s=")</f>
        <v>#REF!</v>
      </c>
      <c r="GG100" t="e">
        <f>AND(#REF!,"AAAAAH53f7w=")</f>
        <v>#REF!</v>
      </c>
      <c r="GH100" t="e">
        <f>AND(#REF!,"AAAAAH53f70=")</f>
        <v>#REF!</v>
      </c>
      <c r="GI100" t="e">
        <f>AND(#REF!,"AAAAAH53f74=")</f>
        <v>#REF!</v>
      </c>
      <c r="GJ100" t="e">
        <f>IF(#REF!,"AAAAAH53f78=",0)</f>
        <v>#REF!</v>
      </c>
      <c r="GK100" t="e">
        <f>AND(#REF!,"AAAAAH53f8A=")</f>
        <v>#REF!</v>
      </c>
      <c r="GL100" t="e">
        <f>AND(#REF!,"AAAAAH53f8E=")</f>
        <v>#REF!</v>
      </c>
      <c r="GM100" t="e">
        <f>AND(#REF!,"AAAAAH53f8I=")</f>
        <v>#REF!</v>
      </c>
      <c r="GN100" t="e">
        <f>AND(#REF!,"AAAAAH53f8M=")</f>
        <v>#REF!</v>
      </c>
      <c r="GO100" t="e">
        <f>AND(#REF!,"AAAAAH53f8Q=")</f>
        <v>#REF!</v>
      </c>
      <c r="GP100" t="e">
        <f>AND(#REF!,"AAAAAH53f8U=")</f>
        <v>#REF!</v>
      </c>
      <c r="GQ100" t="e">
        <f>AND(#REF!,"AAAAAH53f8Y=")</f>
        <v>#REF!</v>
      </c>
      <c r="GR100" t="e">
        <f>AND(#REF!,"AAAAAH53f8c=")</f>
        <v>#REF!</v>
      </c>
      <c r="GS100" t="e">
        <f>AND(#REF!,"AAAAAH53f8g=")</f>
        <v>#REF!</v>
      </c>
      <c r="GT100" t="e">
        <f>AND(#REF!,"AAAAAH53f8k=")</f>
        <v>#REF!</v>
      </c>
      <c r="GU100" t="e">
        <f>AND(#REF!,"AAAAAH53f8o=")</f>
        <v>#REF!</v>
      </c>
      <c r="GV100" t="e">
        <f>AND(#REF!,"AAAAAH53f8s=")</f>
        <v>#REF!</v>
      </c>
      <c r="GW100" t="e">
        <f>AND(#REF!,"AAAAAH53f8w=")</f>
        <v>#REF!</v>
      </c>
      <c r="GX100" t="e">
        <f>AND(#REF!,"AAAAAH53f80=")</f>
        <v>#REF!</v>
      </c>
      <c r="GY100" t="e">
        <f>AND(#REF!,"AAAAAH53f84=")</f>
        <v>#REF!</v>
      </c>
      <c r="GZ100" t="e">
        <f>AND(#REF!,"AAAAAH53f88=")</f>
        <v>#REF!</v>
      </c>
      <c r="HA100" t="e">
        <f>AND(#REF!,"AAAAAH53f9A=")</f>
        <v>#REF!</v>
      </c>
      <c r="HB100" t="e">
        <f>AND(#REF!,"AAAAAH53f9E=")</f>
        <v>#REF!</v>
      </c>
      <c r="HC100" t="e">
        <f>AND(#REF!,"AAAAAH53f9I=")</f>
        <v>#REF!</v>
      </c>
      <c r="HD100" t="e">
        <f>AND(#REF!,"AAAAAH53f9M=")</f>
        <v>#REF!</v>
      </c>
      <c r="HE100" t="e">
        <f>AND(#REF!,"AAAAAH53f9Q=")</f>
        <v>#REF!</v>
      </c>
      <c r="HF100" t="e">
        <f>AND(#REF!,"AAAAAH53f9U=")</f>
        <v>#REF!</v>
      </c>
      <c r="HG100" t="e">
        <f>AND(#REF!,"AAAAAH53f9Y=")</f>
        <v>#REF!</v>
      </c>
      <c r="HH100" t="e">
        <f>AND(#REF!,"AAAAAH53f9c=")</f>
        <v>#REF!</v>
      </c>
      <c r="HI100" t="e">
        <f>IF(#REF!,"AAAAAH53f9g=",0)</f>
        <v>#REF!</v>
      </c>
      <c r="HJ100" t="e">
        <f>AND(#REF!,"AAAAAH53f9k=")</f>
        <v>#REF!</v>
      </c>
      <c r="HK100" t="e">
        <f>AND(#REF!,"AAAAAH53f9o=")</f>
        <v>#REF!</v>
      </c>
      <c r="HL100" t="e">
        <f>AND(#REF!,"AAAAAH53f9s=")</f>
        <v>#REF!</v>
      </c>
      <c r="HM100" t="e">
        <f>AND(#REF!,"AAAAAH53f9w=")</f>
        <v>#REF!</v>
      </c>
      <c r="HN100" t="e">
        <f>AND(#REF!,"AAAAAH53f90=")</f>
        <v>#REF!</v>
      </c>
      <c r="HO100" t="e">
        <f>AND(#REF!,"AAAAAH53f94=")</f>
        <v>#REF!</v>
      </c>
      <c r="HP100" t="e">
        <f>AND(#REF!,"AAAAAH53f98=")</f>
        <v>#REF!</v>
      </c>
      <c r="HQ100" t="e">
        <f>AND(#REF!,"AAAAAH53f+A=")</f>
        <v>#REF!</v>
      </c>
      <c r="HR100" t="e">
        <f>AND(#REF!,"AAAAAH53f+E=")</f>
        <v>#REF!</v>
      </c>
      <c r="HS100" t="e">
        <f>AND(#REF!,"AAAAAH53f+I=")</f>
        <v>#REF!</v>
      </c>
      <c r="HT100" t="e">
        <f>AND(#REF!,"AAAAAH53f+M=")</f>
        <v>#REF!</v>
      </c>
      <c r="HU100" t="e">
        <f>AND(#REF!,"AAAAAH53f+Q=")</f>
        <v>#REF!</v>
      </c>
      <c r="HV100" t="e">
        <f>AND(#REF!,"AAAAAH53f+U=")</f>
        <v>#REF!</v>
      </c>
      <c r="HW100" t="e">
        <f>AND(#REF!,"AAAAAH53f+Y=")</f>
        <v>#REF!</v>
      </c>
      <c r="HX100" t="e">
        <f>AND(#REF!,"AAAAAH53f+c=")</f>
        <v>#REF!</v>
      </c>
      <c r="HY100" t="e">
        <f>AND(#REF!,"AAAAAH53f+g=")</f>
        <v>#REF!</v>
      </c>
      <c r="HZ100" t="e">
        <f>AND(#REF!,"AAAAAH53f+k=")</f>
        <v>#REF!</v>
      </c>
      <c r="IA100" t="e">
        <f>AND(#REF!,"AAAAAH53f+o=")</f>
        <v>#REF!</v>
      </c>
      <c r="IB100" t="e">
        <f>AND(#REF!,"AAAAAH53f+s=")</f>
        <v>#REF!</v>
      </c>
      <c r="IC100" t="e">
        <f>AND(#REF!,"AAAAAH53f+w=")</f>
        <v>#REF!</v>
      </c>
      <c r="ID100" t="e">
        <f>AND(#REF!,"AAAAAH53f+0=")</f>
        <v>#REF!</v>
      </c>
      <c r="IE100" t="e">
        <f>AND(#REF!,"AAAAAH53f+4=")</f>
        <v>#REF!</v>
      </c>
      <c r="IF100" t="e">
        <f>AND(#REF!,"AAAAAH53f+8=")</f>
        <v>#REF!</v>
      </c>
      <c r="IG100" t="e">
        <f>AND(#REF!,"AAAAAH53f/A=")</f>
        <v>#REF!</v>
      </c>
      <c r="IH100" t="e">
        <f>IF(#REF!,"AAAAAH53f/E=",0)</f>
        <v>#REF!</v>
      </c>
      <c r="II100" t="e">
        <f>AND(#REF!,"AAAAAH53f/I=")</f>
        <v>#REF!</v>
      </c>
      <c r="IJ100" t="e">
        <f>AND(#REF!,"AAAAAH53f/M=")</f>
        <v>#REF!</v>
      </c>
      <c r="IK100" t="e">
        <f>AND(#REF!,"AAAAAH53f/Q=")</f>
        <v>#REF!</v>
      </c>
      <c r="IL100" t="e">
        <f>AND(#REF!,"AAAAAH53f/U=")</f>
        <v>#REF!</v>
      </c>
      <c r="IM100" t="e">
        <f>AND(#REF!,"AAAAAH53f/Y=")</f>
        <v>#REF!</v>
      </c>
      <c r="IN100" t="e">
        <f>AND(#REF!,"AAAAAH53f/c=")</f>
        <v>#REF!</v>
      </c>
      <c r="IO100" t="e">
        <f>AND(#REF!,"AAAAAH53f/g=")</f>
        <v>#REF!</v>
      </c>
      <c r="IP100" t="e">
        <f>AND(#REF!,"AAAAAH53f/k=")</f>
        <v>#REF!</v>
      </c>
      <c r="IQ100" t="e">
        <f>AND(#REF!,"AAAAAH53f/o=")</f>
        <v>#REF!</v>
      </c>
      <c r="IR100" t="e">
        <f>AND(#REF!,"AAAAAH53f/s=")</f>
        <v>#REF!</v>
      </c>
      <c r="IS100" t="e">
        <f>AND(#REF!,"AAAAAH53f/w=")</f>
        <v>#REF!</v>
      </c>
      <c r="IT100" t="e">
        <f>AND(#REF!,"AAAAAH53f/0=")</f>
        <v>#REF!</v>
      </c>
      <c r="IU100" t="e">
        <f>AND(#REF!,"AAAAAH53f/4=")</f>
        <v>#REF!</v>
      </c>
      <c r="IV100" t="e">
        <f>AND(#REF!,"AAAAAH53f/8=")</f>
        <v>#REF!</v>
      </c>
    </row>
    <row r="101" spans="1:256">
      <c r="A101" t="e">
        <f>AND(#REF!,"AAAAAHLb7wA=")</f>
        <v>#REF!</v>
      </c>
      <c r="B101" t="e">
        <f>AND(#REF!,"AAAAAHLb7wE=")</f>
        <v>#REF!</v>
      </c>
      <c r="C101" t="e">
        <f>AND(#REF!,"AAAAAHLb7wI=")</f>
        <v>#REF!</v>
      </c>
      <c r="D101" t="e">
        <f>AND(#REF!,"AAAAAHLb7wM=")</f>
        <v>#REF!</v>
      </c>
      <c r="E101" t="e">
        <f>AND(#REF!,"AAAAAHLb7wQ=")</f>
        <v>#REF!</v>
      </c>
      <c r="F101" t="e">
        <f>AND(#REF!,"AAAAAHLb7wU=")</f>
        <v>#REF!</v>
      </c>
      <c r="G101" t="e">
        <f>AND(#REF!,"AAAAAHLb7wY=")</f>
        <v>#REF!</v>
      </c>
      <c r="H101" t="e">
        <f>AND(#REF!,"AAAAAHLb7wc=")</f>
        <v>#REF!</v>
      </c>
      <c r="I101" t="e">
        <f>AND(#REF!,"AAAAAHLb7wg=")</f>
        <v>#REF!</v>
      </c>
      <c r="J101" t="e">
        <f>AND(#REF!,"AAAAAHLb7wk=")</f>
        <v>#REF!</v>
      </c>
      <c r="K101" t="e">
        <f>IF(#REF!,"AAAAAHLb7wo=",0)</f>
        <v>#REF!</v>
      </c>
      <c r="L101" t="e">
        <f>AND(#REF!,"AAAAAHLb7ws=")</f>
        <v>#REF!</v>
      </c>
      <c r="M101" t="e">
        <f>AND(#REF!,"AAAAAHLb7ww=")</f>
        <v>#REF!</v>
      </c>
      <c r="N101" t="e">
        <f>AND(#REF!,"AAAAAHLb7w0=")</f>
        <v>#REF!</v>
      </c>
      <c r="O101" t="e">
        <f>AND(#REF!,"AAAAAHLb7w4=")</f>
        <v>#REF!</v>
      </c>
      <c r="P101" t="e">
        <f>AND(#REF!,"AAAAAHLb7w8=")</f>
        <v>#REF!</v>
      </c>
      <c r="Q101" t="e">
        <f>AND(#REF!,"AAAAAHLb7xA=")</f>
        <v>#REF!</v>
      </c>
      <c r="R101" t="e">
        <f>AND(#REF!,"AAAAAHLb7xE=")</f>
        <v>#REF!</v>
      </c>
      <c r="S101" t="e">
        <f>AND(#REF!,"AAAAAHLb7xI=")</f>
        <v>#REF!</v>
      </c>
      <c r="T101" t="e">
        <f>AND(#REF!,"AAAAAHLb7xM=")</f>
        <v>#REF!</v>
      </c>
      <c r="U101" t="e">
        <f>AND(#REF!,"AAAAAHLb7xQ=")</f>
        <v>#REF!</v>
      </c>
      <c r="V101" t="e">
        <f>AND(#REF!,"AAAAAHLb7xU=")</f>
        <v>#REF!</v>
      </c>
      <c r="W101" t="e">
        <f>AND(#REF!,"AAAAAHLb7xY=")</f>
        <v>#REF!</v>
      </c>
      <c r="X101" t="e">
        <f>AND(#REF!,"AAAAAHLb7xc=")</f>
        <v>#REF!</v>
      </c>
      <c r="Y101" t="e">
        <f>AND(#REF!,"AAAAAHLb7xg=")</f>
        <v>#REF!</v>
      </c>
      <c r="Z101" t="e">
        <f>AND(#REF!,"AAAAAHLb7xk=")</f>
        <v>#REF!</v>
      </c>
      <c r="AA101" t="e">
        <f>AND(#REF!,"AAAAAHLb7xo=")</f>
        <v>#REF!</v>
      </c>
      <c r="AB101" t="e">
        <f>AND(#REF!,"AAAAAHLb7xs=")</f>
        <v>#REF!</v>
      </c>
      <c r="AC101" t="e">
        <f>AND(#REF!,"AAAAAHLb7xw=")</f>
        <v>#REF!</v>
      </c>
      <c r="AD101" t="e">
        <f>AND(#REF!,"AAAAAHLb7x0=")</f>
        <v>#REF!</v>
      </c>
      <c r="AE101" t="e">
        <f>AND(#REF!,"AAAAAHLb7x4=")</f>
        <v>#REF!</v>
      </c>
      <c r="AF101" t="e">
        <f>AND(#REF!,"AAAAAHLb7x8=")</f>
        <v>#REF!</v>
      </c>
      <c r="AG101" t="e">
        <f>AND(#REF!,"AAAAAHLb7yA=")</f>
        <v>#REF!</v>
      </c>
      <c r="AH101" t="e">
        <f>AND(#REF!,"AAAAAHLb7yE=")</f>
        <v>#REF!</v>
      </c>
      <c r="AI101" t="e">
        <f>AND(#REF!,"AAAAAHLb7yI=")</f>
        <v>#REF!</v>
      </c>
      <c r="AJ101" t="e">
        <f>IF(#REF!,"AAAAAHLb7yM=",0)</f>
        <v>#REF!</v>
      </c>
      <c r="AK101" t="e">
        <f>AND(#REF!,"AAAAAHLb7yQ=")</f>
        <v>#REF!</v>
      </c>
      <c r="AL101" t="e">
        <f>AND(#REF!,"AAAAAHLb7yU=")</f>
        <v>#REF!</v>
      </c>
      <c r="AM101" t="e">
        <f>AND(#REF!,"AAAAAHLb7yY=")</f>
        <v>#REF!</v>
      </c>
      <c r="AN101" t="e">
        <f>AND(#REF!,"AAAAAHLb7yc=")</f>
        <v>#REF!</v>
      </c>
      <c r="AO101" t="e">
        <f>AND(#REF!,"AAAAAHLb7yg=")</f>
        <v>#REF!</v>
      </c>
      <c r="AP101" t="e">
        <f>AND(#REF!,"AAAAAHLb7yk=")</f>
        <v>#REF!</v>
      </c>
      <c r="AQ101" t="e">
        <f>AND(#REF!,"AAAAAHLb7yo=")</f>
        <v>#REF!</v>
      </c>
      <c r="AR101" t="e">
        <f>AND(#REF!,"AAAAAHLb7ys=")</f>
        <v>#REF!</v>
      </c>
      <c r="AS101" t="e">
        <f>AND(#REF!,"AAAAAHLb7yw=")</f>
        <v>#REF!</v>
      </c>
      <c r="AT101" t="e">
        <f>AND(#REF!,"AAAAAHLb7y0=")</f>
        <v>#REF!</v>
      </c>
      <c r="AU101" t="e">
        <f>AND(#REF!,"AAAAAHLb7y4=")</f>
        <v>#REF!</v>
      </c>
      <c r="AV101" t="e">
        <f>AND(#REF!,"AAAAAHLb7y8=")</f>
        <v>#REF!</v>
      </c>
      <c r="AW101" t="e">
        <f>AND(#REF!,"AAAAAHLb7zA=")</f>
        <v>#REF!</v>
      </c>
      <c r="AX101" t="e">
        <f>AND(#REF!,"AAAAAHLb7zE=")</f>
        <v>#REF!</v>
      </c>
      <c r="AY101" t="e">
        <f>AND(#REF!,"AAAAAHLb7zI=")</f>
        <v>#REF!</v>
      </c>
      <c r="AZ101" t="e">
        <f>AND(#REF!,"AAAAAHLb7zM=")</f>
        <v>#REF!</v>
      </c>
      <c r="BA101" t="e">
        <f>AND(#REF!,"AAAAAHLb7zQ=")</f>
        <v>#REF!</v>
      </c>
      <c r="BB101" t="e">
        <f>AND(#REF!,"AAAAAHLb7zU=")</f>
        <v>#REF!</v>
      </c>
      <c r="BC101" t="e">
        <f>AND(#REF!,"AAAAAHLb7zY=")</f>
        <v>#REF!</v>
      </c>
      <c r="BD101" t="e">
        <f>AND(#REF!,"AAAAAHLb7zc=")</f>
        <v>#REF!</v>
      </c>
      <c r="BE101" t="e">
        <f>AND(#REF!,"AAAAAHLb7zg=")</f>
        <v>#REF!</v>
      </c>
      <c r="BF101" t="e">
        <f>AND(#REF!,"AAAAAHLb7zk=")</f>
        <v>#REF!</v>
      </c>
      <c r="BG101" t="e">
        <f>AND(#REF!,"AAAAAHLb7zo=")</f>
        <v>#REF!</v>
      </c>
      <c r="BH101" t="e">
        <f>AND(#REF!,"AAAAAHLb7zs=")</f>
        <v>#REF!</v>
      </c>
      <c r="BI101" t="e">
        <f>IF(#REF!,"AAAAAHLb7zw=",0)</f>
        <v>#REF!</v>
      </c>
      <c r="BJ101" t="e">
        <f>AND(#REF!,"AAAAAHLb7z0=")</f>
        <v>#REF!</v>
      </c>
      <c r="BK101" t="e">
        <f>AND(#REF!,"AAAAAHLb7z4=")</f>
        <v>#REF!</v>
      </c>
      <c r="BL101" t="e">
        <f>AND(#REF!,"AAAAAHLb7z8=")</f>
        <v>#REF!</v>
      </c>
      <c r="BM101" t="e">
        <f>AND(#REF!,"AAAAAHLb70A=")</f>
        <v>#REF!</v>
      </c>
      <c r="BN101" t="e">
        <f>AND(#REF!,"AAAAAHLb70E=")</f>
        <v>#REF!</v>
      </c>
      <c r="BO101" t="e">
        <f>AND(#REF!,"AAAAAHLb70I=")</f>
        <v>#REF!</v>
      </c>
      <c r="BP101" t="e">
        <f>AND(#REF!,"AAAAAHLb70M=")</f>
        <v>#REF!</v>
      </c>
      <c r="BQ101" t="e">
        <f>AND(#REF!,"AAAAAHLb70Q=")</f>
        <v>#REF!</v>
      </c>
      <c r="BR101" t="e">
        <f>AND(#REF!,"AAAAAHLb70U=")</f>
        <v>#REF!</v>
      </c>
      <c r="BS101" t="e">
        <f>AND(#REF!,"AAAAAHLb70Y=")</f>
        <v>#REF!</v>
      </c>
      <c r="BT101" t="e">
        <f>AND(#REF!,"AAAAAHLb70c=")</f>
        <v>#REF!</v>
      </c>
      <c r="BU101" t="e">
        <f>AND(#REF!,"AAAAAHLb70g=")</f>
        <v>#REF!</v>
      </c>
      <c r="BV101" t="e">
        <f>AND(#REF!,"AAAAAHLb70k=")</f>
        <v>#REF!</v>
      </c>
      <c r="BW101" t="e">
        <f>AND(#REF!,"AAAAAHLb70o=")</f>
        <v>#REF!</v>
      </c>
      <c r="BX101" t="e">
        <f>AND(#REF!,"AAAAAHLb70s=")</f>
        <v>#REF!</v>
      </c>
      <c r="BY101" t="e">
        <f>AND(#REF!,"AAAAAHLb70w=")</f>
        <v>#REF!</v>
      </c>
      <c r="BZ101" t="e">
        <f>AND(#REF!,"AAAAAHLb700=")</f>
        <v>#REF!</v>
      </c>
      <c r="CA101" t="e">
        <f>AND(#REF!,"AAAAAHLb704=")</f>
        <v>#REF!</v>
      </c>
      <c r="CB101" t="e">
        <f>AND(#REF!,"AAAAAHLb708=")</f>
        <v>#REF!</v>
      </c>
      <c r="CC101" t="e">
        <f>AND(#REF!,"AAAAAHLb71A=")</f>
        <v>#REF!</v>
      </c>
      <c r="CD101" t="e">
        <f>AND(#REF!,"AAAAAHLb71E=")</f>
        <v>#REF!</v>
      </c>
      <c r="CE101" t="e">
        <f>AND(#REF!,"AAAAAHLb71I=")</f>
        <v>#REF!</v>
      </c>
      <c r="CF101" t="e">
        <f>AND(#REF!,"AAAAAHLb71M=")</f>
        <v>#REF!</v>
      </c>
      <c r="CG101" t="e">
        <f>AND(#REF!,"AAAAAHLb71Q=")</f>
        <v>#REF!</v>
      </c>
      <c r="CH101" t="e">
        <f>IF(#REF!,"AAAAAHLb71U=",0)</f>
        <v>#REF!</v>
      </c>
      <c r="CI101" t="e">
        <f>AND(#REF!,"AAAAAHLb71Y=")</f>
        <v>#REF!</v>
      </c>
      <c r="CJ101" t="e">
        <f>AND(#REF!,"AAAAAHLb71c=")</f>
        <v>#REF!</v>
      </c>
      <c r="CK101" t="e">
        <f>AND(#REF!,"AAAAAHLb71g=")</f>
        <v>#REF!</v>
      </c>
      <c r="CL101" t="e">
        <f>AND(#REF!,"AAAAAHLb71k=")</f>
        <v>#REF!</v>
      </c>
      <c r="CM101" t="e">
        <f>AND(#REF!,"AAAAAHLb71o=")</f>
        <v>#REF!</v>
      </c>
      <c r="CN101" t="e">
        <f>AND(#REF!,"AAAAAHLb71s=")</f>
        <v>#REF!</v>
      </c>
      <c r="CO101" t="e">
        <f>AND(#REF!,"AAAAAHLb71w=")</f>
        <v>#REF!</v>
      </c>
      <c r="CP101" t="e">
        <f>AND(#REF!,"AAAAAHLb710=")</f>
        <v>#REF!</v>
      </c>
      <c r="CQ101" t="e">
        <f>AND(#REF!,"AAAAAHLb714=")</f>
        <v>#REF!</v>
      </c>
      <c r="CR101" t="e">
        <f>AND(#REF!,"AAAAAHLb718=")</f>
        <v>#REF!</v>
      </c>
      <c r="CS101" t="e">
        <f>AND(#REF!,"AAAAAHLb72A=")</f>
        <v>#REF!</v>
      </c>
      <c r="CT101" t="e">
        <f>AND(#REF!,"AAAAAHLb72E=")</f>
        <v>#REF!</v>
      </c>
      <c r="CU101" t="e">
        <f>AND(#REF!,"AAAAAHLb72I=")</f>
        <v>#REF!</v>
      </c>
      <c r="CV101" t="e">
        <f>AND(#REF!,"AAAAAHLb72M=")</f>
        <v>#REF!</v>
      </c>
      <c r="CW101" t="e">
        <f>AND(#REF!,"AAAAAHLb72Q=")</f>
        <v>#REF!</v>
      </c>
      <c r="CX101" t="e">
        <f>AND(#REF!,"AAAAAHLb72U=")</f>
        <v>#REF!</v>
      </c>
      <c r="CY101" t="e">
        <f>AND(#REF!,"AAAAAHLb72Y=")</f>
        <v>#REF!</v>
      </c>
      <c r="CZ101" t="e">
        <f>AND(#REF!,"AAAAAHLb72c=")</f>
        <v>#REF!</v>
      </c>
      <c r="DA101" t="e">
        <f>AND(#REF!,"AAAAAHLb72g=")</f>
        <v>#REF!</v>
      </c>
      <c r="DB101" t="e">
        <f>AND(#REF!,"AAAAAHLb72k=")</f>
        <v>#REF!</v>
      </c>
      <c r="DC101" t="e">
        <f>AND(#REF!,"AAAAAHLb72o=")</f>
        <v>#REF!</v>
      </c>
      <c r="DD101" t="e">
        <f>AND(#REF!,"AAAAAHLb72s=")</f>
        <v>#REF!</v>
      </c>
      <c r="DE101" t="e">
        <f>AND(#REF!,"AAAAAHLb72w=")</f>
        <v>#REF!</v>
      </c>
      <c r="DF101" t="e">
        <f>AND(#REF!,"AAAAAHLb720=")</f>
        <v>#REF!</v>
      </c>
      <c r="DG101" t="e">
        <f>IF(#REF!,"AAAAAHLb724=",0)</f>
        <v>#REF!</v>
      </c>
      <c r="DH101" t="e">
        <f>AND(#REF!,"AAAAAHLb728=")</f>
        <v>#REF!</v>
      </c>
      <c r="DI101" t="e">
        <f>AND(#REF!,"AAAAAHLb73A=")</f>
        <v>#REF!</v>
      </c>
      <c r="DJ101" t="e">
        <f>AND(#REF!,"AAAAAHLb73E=")</f>
        <v>#REF!</v>
      </c>
      <c r="DK101" t="e">
        <f>AND(#REF!,"AAAAAHLb73I=")</f>
        <v>#REF!</v>
      </c>
      <c r="DL101" t="e">
        <f>AND(#REF!,"AAAAAHLb73M=")</f>
        <v>#REF!</v>
      </c>
      <c r="DM101" t="e">
        <f>AND(#REF!,"AAAAAHLb73Q=")</f>
        <v>#REF!</v>
      </c>
      <c r="DN101" t="e">
        <f>AND(#REF!,"AAAAAHLb73U=")</f>
        <v>#REF!</v>
      </c>
      <c r="DO101" t="e">
        <f>AND(#REF!,"AAAAAHLb73Y=")</f>
        <v>#REF!</v>
      </c>
      <c r="DP101" t="e">
        <f>AND(#REF!,"AAAAAHLb73c=")</f>
        <v>#REF!</v>
      </c>
      <c r="DQ101" t="e">
        <f>AND(#REF!,"AAAAAHLb73g=")</f>
        <v>#REF!</v>
      </c>
      <c r="DR101" t="e">
        <f>AND(#REF!,"AAAAAHLb73k=")</f>
        <v>#REF!</v>
      </c>
      <c r="DS101" t="e">
        <f>AND(#REF!,"AAAAAHLb73o=")</f>
        <v>#REF!</v>
      </c>
      <c r="DT101" t="e">
        <f>AND(#REF!,"AAAAAHLb73s=")</f>
        <v>#REF!</v>
      </c>
      <c r="DU101" t="e">
        <f>AND(#REF!,"AAAAAHLb73w=")</f>
        <v>#REF!</v>
      </c>
      <c r="DV101" t="e">
        <f>AND(#REF!,"AAAAAHLb730=")</f>
        <v>#REF!</v>
      </c>
      <c r="DW101" t="e">
        <f>AND(#REF!,"AAAAAHLb734=")</f>
        <v>#REF!</v>
      </c>
      <c r="DX101" t="e">
        <f>AND(#REF!,"AAAAAHLb738=")</f>
        <v>#REF!</v>
      </c>
      <c r="DY101" t="e">
        <f>AND(#REF!,"AAAAAHLb74A=")</f>
        <v>#REF!</v>
      </c>
      <c r="DZ101" t="e">
        <f>AND(#REF!,"AAAAAHLb74E=")</f>
        <v>#REF!</v>
      </c>
      <c r="EA101" t="e">
        <f>AND(#REF!,"AAAAAHLb74I=")</f>
        <v>#REF!</v>
      </c>
      <c r="EB101" t="e">
        <f>AND(#REF!,"AAAAAHLb74M=")</f>
        <v>#REF!</v>
      </c>
      <c r="EC101" t="e">
        <f>AND(#REF!,"AAAAAHLb74Q=")</f>
        <v>#REF!</v>
      </c>
      <c r="ED101" t="e">
        <f>AND(#REF!,"AAAAAHLb74U=")</f>
        <v>#REF!</v>
      </c>
      <c r="EE101" t="e">
        <f>AND(#REF!,"AAAAAHLb74Y=")</f>
        <v>#REF!</v>
      </c>
      <c r="EF101" t="e">
        <f>IF(#REF!,"AAAAAHLb74c=",0)</f>
        <v>#REF!</v>
      </c>
      <c r="EG101" t="e">
        <f>AND(#REF!,"AAAAAHLb74g=")</f>
        <v>#REF!</v>
      </c>
      <c r="EH101" t="e">
        <f>AND(#REF!,"AAAAAHLb74k=")</f>
        <v>#REF!</v>
      </c>
      <c r="EI101" t="e">
        <f>AND(#REF!,"AAAAAHLb74o=")</f>
        <v>#REF!</v>
      </c>
      <c r="EJ101" t="e">
        <f>AND(#REF!,"AAAAAHLb74s=")</f>
        <v>#REF!</v>
      </c>
      <c r="EK101" t="e">
        <f>AND(#REF!,"AAAAAHLb74w=")</f>
        <v>#REF!</v>
      </c>
      <c r="EL101" t="e">
        <f>AND(#REF!,"AAAAAHLb740=")</f>
        <v>#REF!</v>
      </c>
      <c r="EM101" t="e">
        <f>AND(#REF!,"AAAAAHLb744=")</f>
        <v>#REF!</v>
      </c>
      <c r="EN101" t="e">
        <f>AND(#REF!,"AAAAAHLb748=")</f>
        <v>#REF!</v>
      </c>
      <c r="EO101" t="e">
        <f>AND(#REF!,"AAAAAHLb75A=")</f>
        <v>#REF!</v>
      </c>
      <c r="EP101" t="e">
        <f>AND(#REF!,"AAAAAHLb75E=")</f>
        <v>#REF!</v>
      </c>
      <c r="EQ101" t="e">
        <f>AND(#REF!,"AAAAAHLb75I=")</f>
        <v>#REF!</v>
      </c>
      <c r="ER101" t="e">
        <f>AND(#REF!,"AAAAAHLb75M=")</f>
        <v>#REF!</v>
      </c>
      <c r="ES101" t="e">
        <f>AND(#REF!,"AAAAAHLb75Q=")</f>
        <v>#REF!</v>
      </c>
      <c r="ET101" t="e">
        <f>AND(#REF!,"AAAAAHLb75U=")</f>
        <v>#REF!</v>
      </c>
      <c r="EU101" t="e">
        <f>AND(#REF!,"AAAAAHLb75Y=")</f>
        <v>#REF!</v>
      </c>
      <c r="EV101" t="e">
        <f>AND(#REF!,"AAAAAHLb75c=")</f>
        <v>#REF!</v>
      </c>
      <c r="EW101" t="e">
        <f>AND(#REF!,"AAAAAHLb75g=")</f>
        <v>#REF!</v>
      </c>
      <c r="EX101" t="e">
        <f>AND(#REF!,"AAAAAHLb75k=")</f>
        <v>#REF!</v>
      </c>
      <c r="EY101" t="e">
        <f>AND(#REF!,"AAAAAHLb75o=")</f>
        <v>#REF!</v>
      </c>
      <c r="EZ101" t="e">
        <f>AND(#REF!,"AAAAAHLb75s=")</f>
        <v>#REF!</v>
      </c>
      <c r="FA101" t="e">
        <f>AND(#REF!,"AAAAAHLb75w=")</f>
        <v>#REF!</v>
      </c>
      <c r="FB101" t="e">
        <f>AND(#REF!,"AAAAAHLb750=")</f>
        <v>#REF!</v>
      </c>
      <c r="FC101" t="e">
        <f>AND(#REF!,"AAAAAHLb754=")</f>
        <v>#REF!</v>
      </c>
      <c r="FD101" t="e">
        <f>AND(#REF!,"AAAAAHLb758=")</f>
        <v>#REF!</v>
      </c>
      <c r="FE101" t="e">
        <f>IF(#REF!,"AAAAAHLb76A=",0)</f>
        <v>#REF!</v>
      </c>
      <c r="FF101" t="e">
        <f>AND(#REF!,"AAAAAHLb76E=")</f>
        <v>#REF!</v>
      </c>
      <c r="FG101" t="e">
        <f>AND(#REF!,"AAAAAHLb76I=")</f>
        <v>#REF!</v>
      </c>
      <c r="FH101" t="e">
        <f>AND(#REF!,"AAAAAHLb76M=")</f>
        <v>#REF!</v>
      </c>
      <c r="FI101" t="e">
        <f>AND(#REF!,"AAAAAHLb76Q=")</f>
        <v>#REF!</v>
      </c>
      <c r="FJ101" t="e">
        <f>AND(#REF!,"AAAAAHLb76U=")</f>
        <v>#REF!</v>
      </c>
      <c r="FK101" t="e">
        <f>AND(#REF!,"AAAAAHLb76Y=")</f>
        <v>#REF!</v>
      </c>
      <c r="FL101" t="e">
        <f>AND(#REF!,"AAAAAHLb76c=")</f>
        <v>#REF!</v>
      </c>
      <c r="FM101" t="e">
        <f>AND(#REF!,"AAAAAHLb76g=")</f>
        <v>#REF!</v>
      </c>
      <c r="FN101" t="e">
        <f>AND(#REF!,"AAAAAHLb76k=")</f>
        <v>#REF!</v>
      </c>
      <c r="FO101" t="e">
        <f>AND(#REF!,"AAAAAHLb76o=")</f>
        <v>#REF!</v>
      </c>
      <c r="FP101" t="e">
        <f>AND(#REF!,"AAAAAHLb76s=")</f>
        <v>#REF!</v>
      </c>
      <c r="FQ101" t="e">
        <f>AND(#REF!,"AAAAAHLb76w=")</f>
        <v>#REF!</v>
      </c>
      <c r="FR101" t="e">
        <f>AND(#REF!,"AAAAAHLb760=")</f>
        <v>#REF!</v>
      </c>
      <c r="FS101" t="e">
        <f>AND(#REF!,"AAAAAHLb764=")</f>
        <v>#REF!</v>
      </c>
      <c r="FT101" t="e">
        <f>AND(#REF!,"AAAAAHLb768=")</f>
        <v>#REF!</v>
      </c>
      <c r="FU101" t="e">
        <f>AND(#REF!,"AAAAAHLb77A=")</f>
        <v>#REF!</v>
      </c>
      <c r="FV101" t="e">
        <f>AND(#REF!,"AAAAAHLb77E=")</f>
        <v>#REF!</v>
      </c>
      <c r="FW101" t="e">
        <f>AND(#REF!,"AAAAAHLb77I=")</f>
        <v>#REF!</v>
      </c>
      <c r="FX101" t="e">
        <f>AND(#REF!,"AAAAAHLb77M=")</f>
        <v>#REF!</v>
      </c>
      <c r="FY101" t="e">
        <f>AND(#REF!,"AAAAAHLb77Q=")</f>
        <v>#REF!</v>
      </c>
      <c r="FZ101" t="e">
        <f>AND(#REF!,"AAAAAHLb77U=")</f>
        <v>#REF!</v>
      </c>
      <c r="GA101" t="e">
        <f>AND(#REF!,"AAAAAHLb77Y=")</f>
        <v>#REF!</v>
      </c>
      <c r="GB101" t="e">
        <f>AND(#REF!,"AAAAAHLb77c=")</f>
        <v>#REF!</v>
      </c>
      <c r="GC101" t="e">
        <f>AND(#REF!,"AAAAAHLb77g=")</f>
        <v>#REF!</v>
      </c>
      <c r="GD101" t="e">
        <f>IF(#REF!,"AAAAAHLb77k=",0)</f>
        <v>#REF!</v>
      </c>
      <c r="GE101" t="e">
        <f>AND(#REF!,"AAAAAHLb77o=")</f>
        <v>#REF!</v>
      </c>
      <c r="GF101" t="e">
        <f>AND(#REF!,"AAAAAHLb77s=")</f>
        <v>#REF!</v>
      </c>
      <c r="GG101" t="e">
        <f>AND(#REF!,"AAAAAHLb77w=")</f>
        <v>#REF!</v>
      </c>
      <c r="GH101" t="e">
        <f>AND(#REF!,"AAAAAHLb770=")</f>
        <v>#REF!</v>
      </c>
      <c r="GI101" t="e">
        <f>AND(#REF!,"AAAAAHLb774=")</f>
        <v>#REF!</v>
      </c>
      <c r="GJ101" t="e">
        <f>AND(#REF!,"AAAAAHLb778=")</f>
        <v>#REF!</v>
      </c>
      <c r="GK101" t="e">
        <f>AND(#REF!,"AAAAAHLb78A=")</f>
        <v>#REF!</v>
      </c>
      <c r="GL101" t="e">
        <f>AND(#REF!,"AAAAAHLb78E=")</f>
        <v>#REF!</v>
      </c>
      <c r="GM101" t="e">
        <f>AND(#REF!,"AAAAAHLb78I=")</f>
        <v>#REF!</v>
      </c>
      <c r="GN101" t="e">
        <f>AND(#REF!,"AAAAAHLb78M=")</f>
        <v>#REF!</v>
      </c>
      <c r="GO101" t="e">
        <f>AND(#REF!,"AAAAAHLb78Q=")</f>
        <v>#REF!</v>
      </c>
      <c r="GP101" t="e">
        <f>AND(#REF!,"AAAAAHLb78U=")</f>
        <v>#REF!</v>
      </c>
      <c r="GQ101" t="e">
        <f>AND(#REF!,"AAAAAHLb78Y=")</f>
        <v>#REF!</v>
      </c>
      <c r="GR101" t="e">
        <f>AND(#REF!,"AAAAAHLb78c=")</f>
        <v>#REF!</v>
      </c>
      <c r="GS101" t="e">
        <f>AND(#REF!,"AAAAAHLb78g=")</f>
        <v>#REF!</v>
      </c>
      <c r="GT101" t="e">
        <f>AND(#REF!,"AAAAAHLb78k=")</f>
        <v>#REF!</v>
      </c>
      <c r="GU101" t="e">
        <f>AND(#REF!,"AAAAAHLb78o=")</f>
        <v>#REF!</v>
      </c>
      <c r="GV101" t="e">
        <f>AND(#REF!,"AAAAAHLb78s=")</f>
        <v>#REF!</v>
      </c>
      <c r="GW101" t="e">
        <f>AND(#REF!,"AAAAAHLb78w=")</f>
        <v>#REF!</v>
      </c>
      <c r="GX101" t="e">
        <f>AND(#REF!,"AAAAAHLb780=")</f>
        <v>#REF!</v>
      </c>
      <c r="GY101" t="e">
        <f>AND(#REF!,"AAAAAHLb784=")</f>
        <v>#REF!</v>
      </c>
      <c r="GZ101" t="e">
        <f>AND(#REF!,"AAAAAHLb788=")</f>
        <v>#REF!</v>
      </c>
      <c r="HA101" t="e">
        <f>AND(#REF!,"AAAAAHLb79A=")</f>
        <v>#REF!</v>
      </c>
      <c r="HB101" t="e">
        <f>AND(#REF!,"AAAAAHLb79E=")</f>
        <v>#REF!</v>
      </c>
      <c r="HC101" t="e">
        <f>IF(#REF!,"AAAAAHLb79I=",0)</f>
        <v>#REF!</v>
      </c>
      <c r="HD101" t="e">
        <f>AND(#REF!,"AAAAAHLb79M=")</f>
        <v>#REF!</v>
      </c>
      <c r="HE101" t="e">
        <f>AND(#REF!,"AAAAAHLb79Q=")</f>
        <v>#REF!</v>
      </c>
      <c r="HF101" t="e">
        <f>AND(#REF!,"AAAAAHLb79U=")</f>
        <v>#REF!</v>
      </c>
      <c r="HG101" t="e">
        <f>AND(#REF!,"AAAAAHLb79Y=")</f>
        <v>#REF!</v>
      </c>
      <c r="HH101" t="e">
        <f>AND(#REF!,"AAAAAHLb79c=")</f>
        <v>#REF!</v>
      </c>
      <c r="HI101" t="e">
        <f>AND(#REF!,"AAAAAHLb79g=")</f>
        <v>#REF!</v>
      </c>
      <c r="HJ101" t="e">
        <f>AND(#REF!,"AAAAAHLb79k=")</f>
        <v>#REF!</v>
      </c>
      <c r="HK101" t="e">
        <f>AND(#REF!,"AAAAAHLb79o=")</f>
        <v>#REF!</v>
      </c>
      <c r="HL101" t="e">
        <f>AND(#REF!,"AAAAAHLb79s=")</f>
        <v>#REF!</v>
      </c>
      <c r="HM101" t="e">
        <f>AND(#REF!,"AAAAAHLb79w=")</f>
        <v>#REF!</v>
      </c>
      <c r="HN101" t="e">
        <f>AND(#REF!,"AAAAAHLb790=")</f>
        <v>#REF!</v>
      </c>
      <c r="HO101" t="e">
        <f>AND(#REF!,"AAAAAHLb794=")</f>
        <v>#REF!</v>
      </c>
      <c r="HP101" t="e">
        <f>AND(#REF!,"AAAAAHLb798=")</f>
        <v>#REF!</v>
      </c>
      <c r="HQ101" t="e">
        <f>AND(#REF!,"AAAAAHLb7+A=")</f>
        <v>#REF!</v>
      </c>
      <c r="HR101" t="e">
        <f>AND(#REF!,"AAAAAHLb7+E=")</f>
        <v>#REF!</v>
      </c>
      <c r="HS101" t="e">
        <f>AND(#REF!,"AAAAAHLb7+I=")</f>
        <v>#REF!</v>
      </c>
      <c r="HT101" t="e">
        <f>AND(#REF!,"AAAAAHLb7+M=")</f>
        <v>#REF!</v>
      </c>
      <c r="HU101" t="e">
        <f>AND(#REF!,"AAAAAHLb7+Q=")</f>
        <v>#REF!</v>
      </c>
      <c r="HV101" t="e">
        <f>AND(#REF!,"AAAAAHLb7+U=")</f>
        <v>#REF!</v>
      </c>
      <c r="HW101" t="e">
        <f>AND(#REF!,"AAAAAHLb7+Y=")</f>
        <v>#REF!</v>
      </c>
      <c r="HX101" t="e">
        <f>AND(#REF!,"AAAAAHLb7+c=")</f>
        <v>#REF!</v>
      </c>
      <c r="HY101" t="e">
        <f>AND(#REF!,"AAAAAHLb7+g=")</f>
        <v>#REF!</v>
      </c>
      <c r="HZ101" t="e">
        <f>AND(#REF!,"AAAAAHLb7+k=")</f>
        <v>#REF!</v>
      </c>
      <c r="IA101" t="e">
        <f>AND(#REF!,"AAAAAHLb7+o=")</f>
        <v>#REF!</v>
      </c>
      <c r="IB101" t="e">
        <f>IF(#REF!,"AAAAAHLb7+s=",0)</f>
        <v>#REF!</v>
      </c>
      <c r="IC101" t="e">
        <f>AND(#REF!,"AAAAAHLb7+w=")</f>
        <v>#REF!</v>
      </c>
      <c r="ID101" t="e">
        <f>AND(#REF!,"AAAAAHLb7+0=")</f>
        <v>#REF!</v>
      </c>
      <c r="IE101" t="e">
        <f>AND(#REF!,"AAAAAHLb7+4=")</f>
        <v>#REF!</v>
      </c>
      <c r="IF101" t="e">
        <f>AND(#REF!,"AAAAAHLb7+8=")</f>
        <v>#REF!</v>
      </c>
      <c r="IG101" t="e">
        <f>AND(#REF!,"AAAAAHLb7/A=")</f>
        <v>#REF!</v>
      </c>
      <c r="IH101" t="e">
        <f>AND(#REF!,"AAAAAHLb7/E=")</f>
        <v>#REF!</v>
      </c>
      <c r="II101" t="e">
        <f>AND(#REF!,"AAAAAHLb7/I=")</f>
        <v>#REF!</v>
      </c>
      <c r="IJ101" t="e">
        <f>AND(#REF!,"AAAAAHLb7/M=")</f>
        <v>#REF!</v>
      </c>
      <c r="IK101" t="e">
        <f>AND(#REF!,"AAAAAHLb7/Q=")</f>
        <v>#REF!</v>
      </c>
      <c r="IL101" t="e">
        <f>AND(#REF!,"AAAAAHLb7/U=")</f>
        <v>#REF!</v>
      </c>
      <c r="IM101" t="e">
        <f>AND(#REF!,"AAAAAHLb7/Y=")</f>
        <v>#REF!</v>
      </c>
      <c r="IN101" t="e">
        <f>AND(#REF!,"AAAAAHLb7/c=")</f>
        <v>#REF!</v>
      </c>
      <c r="IO101" t="e">
        <f>AND(#REF!,"AAAAAHLb7/g=")</f>
        <v>#REF!</v>
      </c>
      <c r="IP101" t="e">
        <f>AND(#REF!,"AAAAAHLb7/k=")</f>
        <v>#REF!</v>
      </c>
      <c r="IQ101" t="e">
        <f>AND(#REF!,"AAAAAHLb7/o=")</f>
        <v>#REF!</v>
      </c>
      <c r="IR101" t="e">
        <f>AND(#REF!,"AAAAAHLb7/s=")</f>
        <v>#REF!</v>
      </c>
      <c r="IS101" t="e">
        <f>AND(#REF!,"AAAAAHLb7/w=")</f>
        <v>#REF!</v>
      </c>
      <c r="IT101" t="e">
        <f>AND(#REF!,"AAAAAHLb7/0=")</f>
        <v>#REF!</v>
      </c>
      <c r="IU101" t="e">
        <f>AND(#REF!,"AAAAAHLb7/4=")</f>
        <v>#REF!</v>
      </c>
      <c r="IV101" t="e">
        <f>AND(#REF!,"AAAAAHLb7/8=")</f>
        <v>#REF!</v>
      </c>
    </row>
    <row r="102" spans="1:256">
      <c r="A102" t="e">
        <f>AND(#REF!,"AAAAAHqf6wA=")</f>
        <v>#REF!</v>
      </c>
      <c r="B102" t="e">
        <f>AND(#REF!,"AAAAAHqf6wE=")</f>
        <v>#REF!</v>
      </c>
      <c r="C102" t="e">
        <f>AND(#REF!,"AAAAAHqf6wI=")</f>
        <v>#REF!</v>
      </c>
      <c r="D102" t="e">
        <f>AND(#REF!,"AAAAAHqf6wM=")</f>
        <v>#REF!</v>
      </c>
      <c r="E102" t="e">
        <f>IF(#REF!,"AAAAAHqf6wQ=",0)</f>
        <v>#REF!</v>
      </c>
      <c r="F102" t="e">
        <f>AND(#REF!,"AAAAAHqf6wU=")</f>
        <v>#REF!</v>
      </c>
      <c r="G102" t="e">
        <f>AND(#REF!,"AAAAAHqf6wY=")</f>
        <v>#REF!</v>
      </c>
      <c r="H102" t="e">
        <f>AND(#REF!,"AAAAAHqf6wc=")</f>
        <v>#REF!</v>
      </c>
      <c r="I102" t="e">
        <f>AND(#REF!,"AAAAAHqf6wg=")</f>
        <v>#REF!</v>
      </c>
      <c r="J102" t="e">
        <f>AND(#REF!,"AAAAAHqf6wk=")</f>
        <v>#REF!</v>
      </c>
      <c r="K102" t="e">
        <f>AND(#REF!,"AAAAAHqf6wo=")</f>
        <v>#REF!</v>
      </c>
      <c r="L102" t="e">
        <f>AND(#REF!,"AAAAAHqf6ws=")</f>
        <v>#REF!</v>
      </c>
      <c r="M102" t="e">
        <f>AND(#REF!,"AAAAAHqf6ww=")</f>
        <v>#REF!</v>
      </c>
      <c r="N102" t="e">
        <f>AND(#REF!,"AAAAAHqf6w0=")</f>
        <v>#REF!</v>
      </c>
      <c r="O102" t="e">
        <f>AND(#REF!,"AAAAAHqf6w4=")</f>
        <v>#REF!</v>
      </c>
      <c r="P102" t="e">
        <f>AND(#REF!,"AAAAAHqf6w8=")</f>
        <v>#REF!</v>
      </c>
      <c r="Q102" t="e">
        <f>AND(#REF!,"AAAAAHqf6xA=")</f>
        <v>#REF!</v>
      </c>
      <c r="R102" t="e">
        <f>AND(#REF!,"AAAAAHqf6xE=")</f>
        <v>#REF!</v>
      </c>
      <c r="S102" t="e">
        <f>AND(#REF!,"AAAAAHqf6xI=")</f>
        <v>#REF!</v>
      </c>
      <c r="T102" t="e">
        <f>AND(#REF!,"AAAAAHqf6xM=")</f>
        <v>#REF!</v>
      </c>
      <c r="U102" t="e">
        <f>AND(#REF!,"AAAAAHqf6xQ=")</f>
        <v>#REF!</v>
      </c>
      <c r="V102" t="e">
        <f>AND(#REF!,"AAAAAHqf6xU=")</f>
        <v>#REF!</v>
      </c>
      <c r="W102" t="e">
        <f>AND(#REF!,"AAAAAHqf6xY=")</f>
        <v>#REF!</v>
      </c>
      <c r="X102" t="e">
        <f>AND(#REF!,"AAAAAHqf6xc=")</f>
        <v>#REF!</v>
      </c>
      <c r="Y102" t="e">
        <f>AND(#REF!,"AAAAAHqf6xg=")</f>
        <v>#REF!</v>
      </c>
      <c r="Z102" t="e">
        <f>AND(#REF!,"AAAAAHqf6xk=")</f>
        <v>#REF!</v>
      </c>
      <c r="AA102" t="e">
        <f>AND(#REF!,"AAAAAHqf6xo=")</f>
        <v>#REF!</v>
      </c>
      <c r="AB102" t="e">
        <f>AND(#REF!,"AAAAAHqf6xs=")</f>
        <v>#REF!</v>
      </c>
      <c r="AC102" t="e">
        <f>AND(#REF!,"AAAAAHqf6xw=")</f>
        <v>#REF!</v>
      </c>
      <c r="AD102" t="e">
        <f>IF(#REF!,"AAAAAHqf6x0=",0)</f>
        <v>#REF!</v>
      </c>
      <c r="AE102" t="e">
        <f>AND(#REF!,"AAAAAHqf6x4=")</f>
        <v>#REF!</v>
      </c>
      <c r="AF102" t="e">
        <f>AND(#REF!,"AAAAAHqf6x8=")</f>
        <v>#REF!</v>
      </c>
      <c r="AG102" t="e">
        <f>AND(#REF!,"AAAAAHqf6yA=")</f>
        <v>#REF!</v>
      </c>
      <c r="AH102" t="e">
        <f>AND(#REF!,"AAAAAHqf6yE=")</f>
        <v>#REF!</v>
      </c>
      <c r="AI102" t="e">
        <f>AND(#REF!,"AAAAAHqf6yI=")</f>
        <v>#REF!</v>
      </c>
      <c r="AJ102" t="e">
        <f>AND(#REF!,"AAAAAHqf6yM=")</f>
        <v>#REF!</v>
      </c>
      <c r="AK102" t="e">
        <f>AND(#REF!,"AAAAAHqf6yQ=")</f>
        <v>#REF!</v>
      </c>
      <c r="AL102" t="e">
        <f>AND(#REF!,"AAAAAHqf6yU=")</f>
        <v>#REF!</v>
      </c>
      <c r="AM102" t="e">
        <f>AND(#REF!,"AAAAAHqf6yY=")</f>
        <v>#REF!</v>
      </c>
      <c r="AN102" t="e">
        <f>AND(#REF!,"AAAAAHqf6yc=")</f>
        <v>#REF!</v>
      </c>
      <c r="AO102" t="e">
        <f>AND(#REF!,"AAAAAHqf6yg=")</f>
        <v>#REF!</v>
      </c>
      <c r="AP102" t="e">
        <f>AND(#REF!,"AAAAAHqf6yk=")</f>
        <v>#REF!</v>
      </c>
      <c r="AQ102" t="e">
        <f>AND(#REF!,"AAAAAHqf6yo=")</f>
        <v>#REF!</v>
      </c>
      <c r="AR102" t="e">
        <f>AND(#REF!,"AAAAAHqf6ys=")</f>
        <v>#REF!</v>
      </c>
      <c r="AS102" t="e">
        <f>AND(#REF!,"AAAAAHqf6yw=")</f>
        <v>#REF!</v>
      </c>
      <c r="AT102" t="e">
        <f>AND(#REF!,"AAAAAHqf6y0=")</f>
        <v>#REF!</v>
      </c>
      <c r="AU102" t="e">
        <f>AND(#REF!,"AAAAAHqf6y4=")</f>
        <v>#REF!</v>
      </c>
      <c r="AV102" t="e">
        <f>AND(#REF!,"AAAAAHqf6y8=")</f>
        <v>#REF!</v>
      </c>
      <c r="AW102" t="e">
        <f>AND(#REF!,"AAAAAHqf6zA=")</f>
        <v>#REF!</v>
      </c>
      <c r="AX102" t="e">
        <f>AND(#REF!,"AAAAAHqf6zE=")</f>
        <v>#REF!</v>
      </c>
      <c r="AY102" t="e">
        <f>AND(#REF!,"AAAAAHqf6zI=")</f>
        <v>#REF!</v>
      </c>
      <c r="AZ102" t="e">
        <f>AND(#REF!,"AAAAAHqf6zM=")</f>
        <v>#REF!</v>
      </c>
      <c r="BA102" t="e">
        <f>AND(#REF!,"AAAAAHqf6zQ=")</f>
        <v>#REF!</v>
      </c>
      <c r="BB102" t="e">
        <f>AND(#REF!,"AAAAAHqf6zU=")</f>
        <v>#REF!</v>
      </c>
      <c r="BC102" t="e">
        <f>IF(#REF!,"AAAAAHqf6zY=",0)</f>
        <v>#REF!</v>
      </c>
      <c r="BD102" t="e">
        <f>AND(#REF!,"AAAAAHqf6zc=")</f>
        <v>#REF!</v>
      </c>
      <c r="BE102" t="e">
        <f>AND(#REF!,"AAAAAHqf6zg=")</f>
        <v>#REF!</v>
      </c>
      <c r="BF102" t="e">
        <f>AND(#REF!,"AAAAAHqf6zk=")</f>
        <v>#REF!</v>
      </c>
      <c r="BG102" t="e">
        <f>AND(#REF!,"AAAAAHqf6zo=")</f>
        <v>#REF!</v>
      </c>
      <c r="BH102" t="e">
        <f>AND(#REF!,"AAAAAHqf6zs=")</f>
        <v>#REF!</v>
      </c>
      <c r="BI102" t="e">
        <f>AND(#REF!,"AAAAAHqf6zw=")</f>
        <v>#REF!</v>
      </c>
      <c r="BJ102" t="e">
        <f>AND(#REF!,"AAAAAHqf6z0=")</f>
        <v>#REF!</v>
      </c>
      <c r="BK102" t="e">
        <f>AND(#REF!,"AAAAAHqf6z4=")</f>
        <v>#REF!</v>
      </c>
      <c r="BL102" t="e">
        <f>AND(#REF!,"AAAAAHqf6z8=")</f>
        <v>#REF!</v>
      </c>
      <c r="BM102" t="e">
        <f>AND(#REF!,"AAAAAHqf60A=")</f>
        <v>#REF!</v>
      </c>
      <c r="BN102" t="e">
        <f>AND(#REF!,"AAAAAHqf60E=")</f>
        <v>#REF!</v>
      </c>
      <c r="BO102" t="e">
        <f>AND(#REF!,"AAAAAHqf60I=")</f>
        <v>#REF!</v>
      </c>
      <c r="BP102" t="e">
        <f>AND(#REF!,"AAAAAHqf60M=")</f>
        <v>#REF!</v>
      </c>
      <c r="BQ102" t="e">
        <f>AND(#REF!,"AAAAAHqf60Q=")</f>
        <v>#REF!</v>
      </c>
      <c r="BR102" t="e">
        <f>AND(#REF!,"AAAAAHqf60U=")</f>
        <v>#REF!</v>
      </c>
      <c r="BS102" t="e">
        <f>AND(#REF!,"AAAAAHqf60Y=")</f>
        <v>#REF!</v>
      </c>
      <c r="BT102" t="e">
        <f>AND(#REF!,"AAAAAHqf60c=")</f>
        <v>#REF!</v>
      </c>
      <c r="BU102" t="e">
        <f>AND(#REF!,"AAAAAHqf60g=")</f>
        <v>#REF!</v>
      </c>
      <c r="BV102" t="e">
        <f>AND(#REF!,"AAAAAHqf60k=")</f>
        <v>#REF!</v>
      </c>
      <c r="BW102" t="e">
        <f>AND(#REF!,"AAAAAHqf60o=")</f>
        <v>#REF!</v>
      </c>
      <c r="BX102" t="e">
        <f>AND(#REF!,"AAAAAHqf60s=")</f>
        <v>#REF!</v>
      </c>
      <c r="BY102" t="e">
        <f>AND(#REF!,"AAAAAHqf60w=")</f>
        <v>#REF!</v>
      </c>
      <c r="BZ102" t="e">
        <f>AND(#REF!,"AAAAAHqf600=")</f>
        <v>#REF!</v>
      </c>
      <c r="CA102" t="e">
        <f>AND(#REF!,"AAAAAHqf604=")</f>
        <v>#REF!</v>
      </c>
      <c r="CB102" t="e">
        <f>IF(#REF!,"AAAAAHqf608=",0)</f>
        <v>#REF!</v>
      </c>
      <c r="CC102" t="e">
        <f>AND(#REF!,"AAAAAHqf61A=")</f>
        <v>#REF!</v>
      </c>
      <c r="CD102" t="e">
        <f>AND(#REF!,"AAAAAHqf61E=")</f>
        <v>#REF!</v>
      </c>
      <c r="CE102" t="e">
        <f>AND(#REF!,"AAAAAHqf61I=")</f>
        <v>#REF!</v>
      </c>
      <c r="CF102" t="e">
        <f>AND(#REF!,"AAAAAHqf61M=")</f>
        <v>#REF!</v>
      </c>
      <c r="CG102" t="e">
        <f>AND(#REF!,"AAAAAHqf61Q=")</f>
        <v>#REF!</v>
      </c>
      <c r="CH102" t="e">
        <f>AND(#REF!,"AAAAAHqf61U=")</f>
        <v>#REF!</v>
      </c>
      <c r="CI102" t="e">
        <f>AND(#REF!,"AAAAAHqf61Y=")</f>
        <v>#REF!</v>
      </c>
      <c r="CJ102" t="e">
        <f>AND(#REF!,"AAAAAHqf61c=")</f>
        <v>#REF!</v>
      </c>
      <c r="CK102" t="e">
        <f>AND(#REF!,"AAAAAHqf61g=")</f>
        <v>#REF!</v>
      </c>
      <c r="CL102" t="e">
        <f>AND(#REF!,"AAAAAHqf61k=")</f>
        <v>#REF!</v>
      </c>
      <c r="CM102" t="e">
        <f>AND(#REF!,"AAAAAHqf61o=")</f>
        <v>#REF!</v>
      </c>
      <c r="CN102" t="e">
        <f>AND(#REF!,"AAAAAHqf61s=")</f>
        <v>#REF!</v>
      </c>
      <c r="CO102" t="e">
        <f>AND(#REF!,"AAAAAHqf61w=")</f>
        <v>#REF!</v>
      </c>
      <c r="CP102" t="e">
        <f>AND(#REF!,"AAAAAHqf610=")</f>
        <v>#REF!</v>
      </c>
      <c r="CQ102" t="e">
        <f>AND(#REF!,"AAAAAHqf614=")</f>
        <v>#REF!</v>
      </c>
      <c r="CR102" t="e">
        <f>AND(#REF!,"AAAAAHqf618=")</f>
        <v>#REF!</v>
      </c>
      <c r="CS102" t="e">
        <f>AND(#REF!,"AAAAAHqf62A=")</f>
        <v>#REF!</v>
      </c>
      <c r="CT102" t="e">
        <f>AND(#REF!,"AAAAAHqf62E=")</f>
        <v>#REF!</v>
      </c>
      <c r="CU102" t="e">
        <f>AND(#REF!,"AAAAAHqf62I=")</f>
        <v>#REF!</v>
      </c>
      <c r="CV102" t="e">
        <f>AND(#REF!,"AAAAAHqf62M=")</f>
        <v>#REF!</v>
      </c>
      <c r="CW102" t="e">
        <f>AND(#REF!,"AAAAAHqf62Q=")</f>
        <v>#REF!</v>
      </c>
      <c r="CX102" t="e">
        <f>AND(#REF!,"AAAAAHqf62U=")</f>
        <v>#REF!</v>
      </c>
      <c r="CY102" t="e">
        <f>AND(#REF!,"AAAAAHqf62Y=")</f>
        <v>#REF!</v>
      </c>
      <c r="CZ102" t="e">
        <f>AND(#REF!,"AAAAAHqf62c=")</f>
        <v>#REF!</v>
      </c>
      <c r="DA102" t="e">
        <f>IF(#REF!,"AAAAAHqf62g=",0)</f>
        <v>#REF!</v>
      </c>
      <c r="DB102" t="e">
        <f>AND(#REF!,"AAAAAHqf62k=")</f>
        <v>#REF!</v>
      </c>
      <c r="DC102" t="e">
        <f>AND(#REF!,"AAAAAHqf62o=")</f>
        <v>#REF!</v>
      </c>
      <c r="DD102" t="e">
        <f>AND(#REF!,"AAAAAHqf62s=")</f>
        <v>#REF!</v>
      </c>
      <c r="DE102" t="e">
        <f>AND(#REF!,"AAAAAHqf62w=")</f>
        <v>#REF!</v>
      </c>
      <c r="DF102" t="e">
        <f>AND(#REF!,"AAAAAHqf620=")</f>
        <v>#REF!</v>
      </c>
      <c r="DG102" t="e">
        <f>AND(#REF!,"AAAAAHqf624=")</f>
        <v>#REF!</v>
      </c>
      <c r="DH102" t="e">
        <f>AND(#REF!,"AAAAAHqf628=")</f>
        <v>#REF!</v>
      </c>
      <c r="DI102" t="e">
        <f>AND(#REF!,"AAAAAHqf63A=")</f>
        <v>#REF!</v>
      </c>
      <c r="DJ102" t="e">
        <f>AND(#REF!,"AAAAAHqf63E=")</f>
        <v>#REF!</v>
      </c>
      <c r="DK102" t="e">
        <f>AND(#REF!,"AAAAAHqf63I=")</f>
        <v>#REF!</v>
      </c>
      <c r="DL102" t="e">
        <f>AND(#REF!,"AAAAAHqf63M=")</f>
        <v>#REF!</v>
      </c>
      <c r="DM102" t="e">
        <f>AND(#REF!,"AAAAAHqf63Q=")</f>
        <v>#REF!</v>
      </c>
      <c r="DN102" t="e">
        <f>AND(#REF!,"AAAAAHqf63U=")</f>
        <v>#REF!</v>
      </c>
      <c r="DO102" t="e">
        <f>AND(#REF!,"AAAAAHqf63Y=")</f>
        <v>#REF!</v>
      </c>
      <c r="DP102" t="e">
        <f>AND(#REF!,"AAAAAHqf63c=")</f>
        <v>#REF!</v>
      </c>
      <c r="DQ102" t="e">
        <f>AND(#REF!,"AAAAAHqf63g=")</f>
        <v>#REF!</v>
      </c>
      <c r="DR102" t="e">
        <f>AND(#REF!,"AAAAAHqf63k=")</f>
        <v>#REF!</v>
      </c>
      <c r="DS102" t="e">
        <f>AND(#REF!,"AAAAAHqf63o=")</f>
        <v>#REF!</v>
      </c>
      <c r="DT102" t="e">
        <f>AND(#REF!,"AAAAAHqf63s=")</f>
        <v>#REF!</v>
      </c>
      <c r="DU102" t="e">
        <f>AND(#REF!,"AAAAAHqf63w=")</f>
        <v>#REF!</v>
      </c>
      <c r="DV102" t="e">
        <f>AND(#REF!,"AAAAAHqf630=")</f>
        <v>#REF!</v>
      </c>
      <c r="DW102" t="e">
        <f>AND(#REF!,"AAAAAHqf634=")</f>
        <v>#REF!</v>
      </c>
      <c r="DX102" t="e">
        <f>AND(#REF!,"AAAAAHqf638=")</f>
        <v>#REF!</v>
      </c>
      <c r="DY102" t="e">
        <f>AND(#REF!,"AAAAAHqf64A=")</f>
        <v>#REF!</v>
      </c>
      <c r="DZ102" t="e">
        <f>IF(#REF!,"AAAAAHqf64E=",0)</f>
        <v>#REF!</v>
      </c>
      <c r="EA102" t="e">
        <f>AND(#REF!,"AAAAAHqf64I=")</f>
        <v>#REF!</v>
      </c>
      <c r="EB102" t="e">
        <f>AND(#REF!,"AAAAAHqf64M=")</f>
        <v>#REF!</v>
      </c>
      <c r="EC102" t="e">
        <f>AND(#REF!,"AAAAAHqf64Q=")</f>
        <v>#REF!</v>
      </c>
      <c r="ED102" t="e">
        <f>AND(#REF!,"AAAAAHqf64U=")</f>
        <v>#REF!</v>
      </c>
      <c r="EE102" t="e">
        <f>AND(#REF!,"AAAAAHqf64Y=")</f>
        <v>#REF!</v>
      </c>
      <c r="EF102" t="e">
        <f>AND(#REF!,"AAAAAHqf64c=")</f>
        <v>#REF!</v>
      </c>
      <c r="EG102" t="e">
        <f>AND(#REF!,"AAAAAHqf64g=")</f>
        <v>#REF!</v>
      </c>
      <c r="EH102" t="e">
        <f>AND(#REF!,"AAAAAHqf64k=")</f>
        <v>#REF!</v>
      </c>
      <c r="EI102" t="e">
        <f>AND(#REF!,"AAAAAHqf64o=")</f>
        <v>#REF!</v>
      </c>
      <c r="EJ102" t="e">
        <f>AND(#REF!,"AAAAAHqf64s=")</f>
        <v>#REF!</v>
      </c>
      <c r="EK102" t="e">
        <f>AND(#REF!,"AAAAAHqf64w=")</f>
        <v>#REF!</v>
      </c>
      <c r="EL102" t="e">
        <f>AND(#REF!,"AAAAAHqf640=")</f>
        <v>#REF!</v>
      </c>
      <c r="EM102" t="e">
        <f>AND(#REF!,"AAAAAHqf644=")</f>
        <v>#REF!</v>
      </c>
      <c r="EN102" t="e">
        <f>AND(#REF!,"AAAAAHqf648=")</f>
        <v>#REF!</v>
      </c>
      <c r="EO102" t="e">
        <f>AND(#REF!,"AAAAAHqf65A=")</f>
        <v>#REF!</v>
      </c>
      <c r="EP102" t="e">
        <f>AND(#REF!,"AAAAAHqf65E=")</f>
        <v>#REF!</v>
      </c>
      <c r="EQ102" t="e">
        <f>AND(#REF!,"AAAAAHqf65I=")</f>
        <v>#REF!</v>
      </c>
      <c r="ER102" t="e">
        <f>AND(#REF!,"AAAAAHqf65M=")</f>
        <v>#REF!</v>
      </c>
      <c r="ES102" t="e">
        <f>AND(#REF!,"AAAAAHqf65Q=")</f>
        <v>#REF!</v>
      </c>
      <c r="ET102" t="e">
        <f>AND(#REF!,"AAAAAHqf65U=")</f>
        <v>#REF!</v>
      </c>
      <c r="EU102" t="e">
        <f>AND(#REF!,"AAAAAHqf65Y=")</f>
        <v>#REF!</v>
      </c>
      <c r="EV102" t="e">
        <f>AND(#REF!,"AAAAAHqf65c=")</f>
        <v>#REF!</v>
      </c>
      <c r="EW102" t="e">
        <f>AND(#REF!,"AAAAAHqf65g=")</f>
        <v>#REF!</v>
      </c>
      <c r="EX102" t="e">
        <f>AND(#REF!,"AAAAAHqf65k=")</f>
        <v>#REF!</v>
      </c>
      <c r="EY102" t="e">
        <f>IF(#REF!,"AAAAAHqf65o=",0)</f>
        <v>#REF!</v>
      </c>
      <c r="EZ102" t="e">
        <f>AND(#REF!,"AAAAAHqf65s=")</f>
        <v>#REF!</v>
      </c>
      <c r="FA102" t="e">
        <f>AND(#REF!,"AAAAAHqf65w=")</f>
        <v>#REF!</v>
      </c>
      <c r="FB102" t="e">
        <f>AND(#REF!,"AAAAAHqf650=")</f>
        <v>#REF!</v>
      </c>
      <c r="FC102" t="e">
        <f>AND(#REF!,"AAAAAHqf654=")</f>
        <v>#REF!</v>
      </c>
      <c r="FD102" t="e">
        <f>AND(#REF!,"AAAAAHqf658=")</f>
        <v>#REF!</v>
      </c>
      <c r="FE102" t="e">
        <f>AND(#REF!,"AAAAAHqf66A=")</f>
        <v>#REF!</v>
      </c>
      <c r="FF102" t="e">
        <f>AND(#REF!,"AAAAAHqf66E=")</f>
        <v>#REF!</v>
      </c>
      <c r="FG102" t="e">
        <f>AND(#REF!,"AAAAAHqf66I=")</f>
        <v>#REF!</v>
      </c>
      <c r="FH102" t="e">
        <f>AND(#REF!,"AAAAAHqf66M=")</f>
        <v>#REF!</v>
      </c>
      <c r="FI102" t="e">
        <f>AND(#REF!,"AAAAAHqf66Q=")</f>
        <v>#REF!</v>
      </c>
      <c r="FJ102" t="e">
        <f>AND(#REF!,"AAAAAHqf66U=")</f>
        <v>#REF!</v>
      </c>
      <c r="FK102" t="e">
        <f>AND(#REF!,"AAAAAHqf66Y=")</f>
        <v>#REF!</v>
      </c>
      <c r="FL102" t="e">
        <f>AND(#REF!,"AAAAAHqf66c=")</f>
        <v>#REF!</v>
      </c>
      <c r="FM102" t="e">
        <f>AND(#REF!,"AAAAAHqf66g=")</f>
        <v>#REF!</v>
      </c>
      <c r="FN102" t="e">
        <f>AND(#REF!,"AAAAAHqf66k=")</f>
        <v>#REF!</v>
      </c>
      <c r="FO102" t="e">
        <f>AND(#REF!,"AAAAAHqf66o=")</f>
        <v>#REF!</v>
      </c>
      <c r="FP102" t="e">
        <f>AND(#REF!,"AAAAAHqf66s=")</f>
        <v>#REF!</v>
      </c>
      <c r="FQ102" t="e">
        <f>AND(#REF!,"AAAAAHqf66w=")</f>
        <v>#REF!</v>
      </c>
      <c r="FR102" t="e">
        <f>AND(#REF!,"AAAAAHqf660=")</f>
        <v>#REF!</v>
      </c>
      <c r="FS102" t="e">
        <f>AND(#REF!,"AAAAAHqf664=")</f>
        <v>#REF!</v>
      </c>
      <c r="FT102" t="e">
        <f>AND(#REF!,"AAAAAHqf668=")</f>
        <v>#REF!</v>
      </c>
      <c r="FU102" t="e">
        <f>AND(#REF!,"AAAAAHqf67A=")</f>
        <v>#REF!</v>
      </c>
      <c r="FV102" t="e">
        <f>AND(#REF!,"AAAAAHqf67E=")</f>
        <v>#REF!</v>
      </c>
      <c r="FW102" t="e">
        <f>AND(#REF!,"AAAAAHqf67I=")</f>
        <v>#REF!</v>
      </c>
      <c r="FX102" t="e">
        <f>IF(#REF!,"AAAAAHqf67M=",0)</f>
        <v>#REF!</v>
      </c>
      <c r="FY102" t="e">
        <f>AND(#REF!,"AAAAAHqf67Q=")</f>
        <v>#REF!</v>
      </c>
      <c r="FZ102" t="e">
        <f>AND(#REF!,"AAAAAHqf67U=")</f>
        <v>#REF!</v>
      </c>
      <c r="GA102" t="e">
        <f>AND(#REF!,"AAAAAHqf67Y=")</f>
        <v>#REF!</v>
      </c>
      <c r="GB102" t="e">
        <f>AND(#REF!,"AAAAAHqf67c=")</f>
        <v>#REF!</v>
      </c>
      <c r="GC102" t="e">
        <f>AND(#REF!,"AAAAAHqf67g=")</f>
        <v>#REF!</v>
      </c>
      <c r="GD102" t="e">
        <f>AND(#REF!,"AAAAAHqf67k=")</f>
        <v>#REF!</v>
      </c>
      <c r="GE102" t="e">
        <f>AND(#REF!,"AAAAAHqf67o=")</f>
        <v>#REF!</v>
      </c>
      <c r="GF102" t="e">
        <f>AND(#REF!,"AAAAAHqf67s=")</f>
        <v>#REF!</v>
      </c>
      <c r="GG102" t="e">
        <f>AND(#REF!,"AAAAAHqf67w=")</f>
        <v>#REF!</v>
      </c>
      <c r="GH102" t="e">
        <f>AND(#REF!,"AAAAAHqf670=")</f>
        <v>#REF!</v>
      </c>
      <c r="GI102" t="e">
        <f>AND(#REF!,"AAAAAHqf674=")</f>
        <v>#REF!</v>
      </c>
      <c r="GJ102" t="e">
        <f>AND(#REF!,"AAAAAHqf678=")</f>
        <v>#REF!</v>
      </c>
      <c r="GK102" t="e">
        <f>AND(#REF!,"AAAAAHqf68A=")</f>
        <v>#REF!</v>
      </c>
      <c r="GL102" t="e">
        <f>AND(#REF!,"AAAAAHqf68E=")</f>
        <v>#REF!</v>
      </c>
      <c r="GM102" t="e">
        <f>AND(#REF!,"AAAAAHqf68I=")</f>
        <v>#REF!</v>
      </c>
      <c r="GN102" t="e">
        <f>AND(#REF!,"AAAAAHqf68M=")</f>
        <v>#REF!</v>
      </c>
      <c r="GO102" t="e">
        <f>AND(#REF!,"AAAAAHqf68Q=")</f>
        <v>#REF!</v>
      </c>
      <c r="GP102" t="e">
        <f>AND(#REF!,"AAAAAHqf68U=")</f>
        <v>#REF!</v>
      </c>
      <c r="GQ102" t="e">
        <f>AND(#REF!,"AAAAAHqf68Y=")</f>
        <v>#REF!</v>
      </c>
      <c r="GR102" t="e">
        <f>AND(#REF!,"AAAAAHqf68c=")</f>
        <v>#REF!</v>
      </c>
      <c r="GS102" t="e">
        <f>AND(#REF!,"AAAAAHqf68g=")</f>
        <v>#REF!</v>
      </c>
      <c r="GT102" t="e">
        <f>AND(#REF!,"AAAAAHqf68k=")</f>
        <v>#REF!</v>
      </c>
      <c r="GU102" t="e">
        <f>AND(#REF!,"AAAAAHqf68o=")</f>
        <v>#REF!</v>
      </c>
      <c r="GV102" t="e">
        <f>AND(#REF!,"AAAAAHqf68s=")</f>
        <v>#REF!</v>
      </c>
      <c r="GW102" t="e">
        <f>IF(#REF!,"AAAAAHqf68w=",0)</f>
        <v>#REF!</v>
      </c>
      <c r="GX102" t="e">
        <f>AND(#REF!,"AAAAAHqf680=")</f>
        <v>#REF!</v>
      </c>
      <c r="GY102" t="e">
        <f>AND(#REF!,"AAAAAHqf684=")</f>
        <v>#REF!</v>
      </c>
      <c r="GZ102" t="e">
        <f>AND(#REF!,"AAAAAHqf688=")</f>
        <v>#REF!</v>
      </c>
      <c r="HA102" t="e">
        <f>AND(#REF!,"AAAAAHqf69A=")</f>
        <v>#REF!</v>
      </c>
      <c r="HB102" t="e">
        <f>AND(#REF!,"AAAAAHqf69E=")</f>
        <v>#REF!</v>
      </c>
      <c r="HC102" t="e">
        <f>AND(#REF!,"AAAAAHqf69I=")</f>
        <v>#REF!</v>
      </c>
      <c r="HD102" t="e">
        <f>AND(#REF!,"AAAAAHqf69M=")</f>
        <v>#REF!</v>
      </c>
      <c r="HE102" t="e">
        <f>AND(#REF!,"AAAAAHqf69Q=")</f>
        <v>#REF!</v>
      </c>
      <c r="HF102" t="e">
        <f>AND(#REF!,"AAAAAHqf69U=")</f>
        <v>#REF!</v>
      </c>
      <c r="HG102" t="e">
        <f>AND(#REF!,"AAAAAHqf69Y=")</f>
        <v>#REF!</v>
      </c>
      <c r="HH102" t="e">
        <f>AND(#REF!,"AAAAAHqf69c=")</f>
        <v>#REF!</v>
      </c>
      <c r="HI102" t="e">
        <f>AND(#REF!,"AAAAAHqf69g=")</f>
        <v>#REF!</v>
      </c>
      <c r="HJ102" t="e">
        <f>AND(#REF!,"AAAAAHqf69k=")</f>
        <v>#REF!</v>
      </c>
      <c r="HK102" t="e">
        <f>AND(#REF!,"AAAAAHqf69o=")</f>
        <v>#REF!</v>
      </c>
      <c r="HL102" t="e">
        <f>AND(#REF!,"AAAAAHqf69s=")</f>
        <v>#REF!</v>
      </c>
      <c r="HM102" t="e">
        <f>AND(#REF!,"AAAAAHqf69w=")</f>
        <v>#REF!</v>
      </c>
      <c r="HN102" t="e">
        <f>AND(#REF!,"AAAAAHqf690=")</f>
        <v>#REF!</v>
      </c>
      <c r="HO102" t="e">
        <f>AND(#REF!,"AAAAAHqf694=")</f>
        <v>#REF!</v>
      </c>
      <c r="HP102" t="e">
        <f>AND(#REF!,"AAAAAHqf698=")</f>
        <v>#REF!</v>
      </c>
      <c r="HQ102" t="e">
        <f>AND(#REF!,"AAAAAHqf6+A=")</f>
        <v>#REF!</v>
      </c>
      <c r="HR102" t="e">
        <f>AND(#REF!,"AAAAAHqf6+E=")</f>
        <v>#REF!</v>
      </c>
      <c r="HS102" t="e">
        <f>AND(#REF!,"AAAAAHqf6+I=")</f>
        <v>#REF!</v>
      </c>
      <c r="HT102" t="e">
        <f>AND(#REF!,"AAAAAHqf6+M=")</f>
        <v>#REF!</v>
      </c>
      <c r="HU102" t="e">
        <f>AND(#REF!,"AAAAAHqf6+Q=")</f>
        <v>#REF!</v>
      </c>
      <c r="HV102" t="e">
        <f>IF(#REF!,"AAAAAHqf6+U=",0)</f>
        <v>#REF!</v>
      </c>
      <c r="HW102" t="e">
        <f>AND(#REF!,"AAAAAHqf6+Y=")</f>
        <v>#REF!</v>
      </c>
      <c r="HX102" t="e">
        <f>AND(#REF!,"AAAAAHqf6+c=")</f>
        <v>#REF!</v>
      </c>
      <c r="HY102" t="e">
        <f>AND(#REF!,"AAAAAHqf6+g=")</f>
        <v>#REF!</v>
      </c>
      <c r="HZ102" t="e">
        <f>AND(#REF!,"AAAAAHqf6+k=")</f>
        <v>#REF!</v>
      </c>
      <c r="IA102" t="e">
        <f>AND(#REF!,"AAAAAHqf6+o=")</f>
        <v>#REF!</v>
      </c>
      <c r="IB102" t="e">
        <f>AND(#REF!,"AAAAAHqf6+s=")</f>
        <v>#REF!</v>
      </c>
      <c r="IC102" t="e">
        <f>AND(#REF!,"AAAAAHqf6+w=")</f>
        <v>#REF!</v>
      </c>
      <c r="ID102" t="e">
        <f>AND(#REF!,"AAAAAHqf6+0=")</f>
        <v>#REF!</v>
      </c>
      <c r="IE102" t="e">
        <f>AND(#REF!,"AAAAAHqf6+4=")</f>
        <v>#REF!</v>
      </c>
      <c r="IF102" t="e">
        <f>AND(#REF!,"AAAAAHqf6+8=")</f>
        <v>#REF!</v>
      </c>
      <c r="IG102" t="e">
        <f>AND(#REF!,"AAAAAHqf6/A=")</f>
        <v>#REF!</v>
      </c>
      <c r="IH102" t="e">
        <f>AND(#REF!,"AAAAAHqf6/E=")</f>
        <v>#REF!</v>
      </c>
      <c r="II102" t="e">
        <f>AND(#REF!,"AAAAAHqf6/I=")</f>
        <v>#REF!</v>
      </c>
      <c r="IJ102" t="e">
        <f>AND(#REF!,"AAAAAHqf6/M=")</f>
        <v>#REF!</v>
      </c>
      <c r="IK102" t="e">
        <f>AND(#REF!,"AAAAAHqf6/Q=")</f>
        <v>#REF!</v>
      </c>
      <c r="IL102" t="e">
        <f>AND(#REF!,"AAAAAHqf6/U=")</f>
        <v>#REF!</v>
      </c>
      <c r="IM102" t="e">
        <f>AND(#REF!,"AAAAAHqf6/Y=")</f>
        <v>#REF!</v>
      </c>
      <c r="IN102" t="e">
        <f>AND(#REF!,"AAAAAHqf6/c=")</f>
        <v>#REF!</v>
      </c>
      <c r="IO102" t="e">
        <f>AND(#REF!,"AAAAAHqf6/g=")</f>
        <v>#REF!</v>
      </c>
      <c r="IP102" t="e">
        <f>AND(#REF!,"AAAAAHqf6/k=")</f>
        <v>#REF!</v>
      </c>
      <c r="IQ102" t="e">
        <f>AND(#REF!,"AAAAAHqf6/o=")</f>
        <v>#REF!</v>
      </c>
      <c r="IR102" t="e">
        <f>AND(#REF!,"AAAAAHqf6/s=")</f>
        <v>#REF!</v>
      </c>
      <c r="IS102" t="e">
        <f>AND(#REF!,"AAAAAHqf6/w=")</f>
        <v>#REF!</v>
      </c>
      <c r="IT102" t="e">
        <f>AND(#REF!,"AAAAAHqf6/0=")</f>
        <v>#REF!</v>
      </c>
      <c r="IU102" t="e">
        <f>IF(#REF!,"AAAAAHqf6/4=",0)</f>
        <v>#REF!</v>
      </c>
      <c r="IV102" t="e">
        <f>AND(#REF!,"AAAAAHqf6/8=")</f>
        <v>#REF!</v>
      </c>
    </row>
    <row r="103" spans="1:256">
      <c r="A103" t="e">
        <f>AND(#REF!,"AAAAAG/nbwA=")</f>
        <v>#REF!</v>
      </c>
      <c r="B103" t="e">
        <f>AND(#REF!,"AAAAAG/nbwE=")</f>
        <v>#REF!</v>
      </c>
      <c r="C103" t="e">
        <f>AND(#REF!,"AAAAAG/nbwI=")</f>
        <v>#REF!</v>
      </c>
      <c r="D103" t="e">
        <f>AND(#REF!,"AAAAAG/nbwM=")</f>
        <v>#REF!</v>
      </c>
      <c r="E103" t="e">
        <f>AND(#REF!,"AAAAAG/nbwQ=")</f>
        <v>#REF!</v>
      </c>
      <c r="F103" t="e">
        <f>AND(#REF!,"AAAAAG/nbwU=")</f>
        <v>#REF!</v>
      </c>
      <c r="G103" t="e">
        <f>AND(#REF!,"AAAAAG/nbwY=")</f>
        <v>#REF!</v>
      </c>
      <c r="H103" t="e">
        <f>AND(#REF!,"AAAAAG/nbwc=")</f>
        <v>#REF!</v>
      </c>
      <c r="I103" t="e">
        <f>AND(#REF!,"AAAAAG/nbwg=")</f>
        <v>#REF!</v>
      </c>
      <c r="J103" t="e">
        <f>AND(#REF!,"AAAAAG/nbwk=")</f>
        <v>#REF!</v>
      </c>
      <c r="K103" t="e">
        <f>AND(#REF!,"AAAAAG/nbwo=")</f>
        <v>#REF!</v>
      </c>
      <c r="L103" t="e">
        <f>AND(#REF!,"AAAAAG/nbws=")</f>
        <v>#REF!</v>
      </c>
      <c r="M103" t="e">
        <f>AND(#REF!,"AAAAAG/nbww=")</f>
        <v>#REF!</v>
      </c>
      <c r="N103" t="e">
        <f>AND(#REF!,"AAAAAG/nbw0=")</f>
        <v>#REF!</v>
      </c>
      <c r="O103" t="e">
        <f>AND(#REF!,"AAAAAG/nbw4=")</f>
        <v>#REF!</v>
      </c>
      <c r="P103" t="e">
        <f>AND(#REF!,"AAAAAG/nbw8=")</f>
        <v>#REF!</v>
      </c>
      <c r="Q103" t="e">
        <f>AND(#REF!,"AAAAAG/nbxA=")</f>
        <v>#REF!</v>
      </c>
      <c r="R103" t="e">
        <f>AND(#REF!,"AAAAAG/nbxE=")</f>
        <v>#REF!</v>
      </c>
      <c r="S103" t="e">
        <f>AND(#REF!,"AAAAAG/nbxI=")</f>
        <v>#REF!</v>
      </c>
      <c r="T103" t="e">
        <f>AND(#REF!,"AAAAAG/nbxM=")</f>
        <v>#REF!</v>
      </c>
      <c r="U103" t="e">
        <f>AND(#REF!,"AAAAAG/nbxQ=")</f>
        <v>#REF!</v>
      </c>
      <c r="V103" t="e">
        <f>AND(#REF!,"AAAAAG/nbxU=")</f>
        <v>#REF!</v>
      </c>
      <c r="W103" t="e">
        <f>AND(#REF!,"AAAAAG/nbxY=")</f>
        <v>#REF!</v>
      </c>
      <c r="X103" t="e">
        <f>IF(#REF!,"AAAAAG/nbxc=",0)</f>
        <v>#REF!</v>
      </c>
      <c r="Y103" t="e">
        <f>AND(#REF!,"AAAAAG/nbxg=")</f>
        <v>#REF!</v>
      </c>
      <c r="Z103" t="e">
        <f>AND(#REF!,"AAAAAG/nbxk=")</f>
        <v>#REF!</v>
      </c>
      <c r="AA103" t="e">
        <f>AND(#REF!,"AAAAAG/nbxo=")</f>
        <v>#REF!</v>
      </c>
      <c r="AB103" t="e">
        <f>AND(#REF!,"AAAAAG/nbxs=")</f>
        <v>#REF!</v>
      </c>
      <c r="AC103" t="e">
        <f>AND(#REF!,"AAAAAG/nbxw=")</f>
        <v>#REF!</v>
      </c>
      <c r="AD103" t="e">
        <f>AND(#REF!,"AAAAAG/nbx0=")</f>
        <v>#REF!</v>
      </c>
      <c r="AE103" t="e">
        <f>AND(#REF!,"AAAAAG/nbx4=")</f>
        <v>#REF!</v>
      </c>
      <c r="AF103" t="e">
        <f>AND(#REF!,"AAAAAG/nbx8=")</f>
        <v>#REF!</v>
      </c>
      <c r="AG103" t="e">
        <f>AND(#REF!,"AAAAAG/nbyA=")</f>
        <v>#REF!</v>
      </c>
      <c r="AH103" t="e">
        <f>AND(#REF!,"AAAAAG/nbyE=")</f>
        <v>#REF!</v>
      </c>
      <c r="AI103" t="e">
        <f>AND(#REF!,"AAAAAG/nbyI=")</f>
        <v>#REF!</v>
      </c>
      <c r="AJ103" t="e">
        <f>AND(#REF!,"AAAAAG/nbyM=")</f>
        <v>#REF!</v>
      </c>
      <c r="AK103" t="e">
        <f>AND(#REF!,"AAAAAG/nbyQ=")</f>
        <v>#REF!</v>
      </c>
      <c r="AL103" t="e">
        <f>AND(#REF!,"AAAAAG/nbyU=")</f>
        <v>#REF!</v>
      </c>
      <c r="AM103" t="e">
        <f>AND(#REF!,"AAAAAG/nbyY=")</f>
        <v>#REF!</v>
      </c>
      <c r="AN103" t="e">
        <f>AND(#REF!,"AAAAAG/nbyc=")</f>
        <v>#REF!</v>
      </c>
      <c r="AO103" t="e">
        <f>AND(#REF!,"AAAAAG/nbyg=")</f>
        <v>#REF!</v>
      </c>
      <c r="AP103" t="e">
        <f>AND(#REF!,"AAAAAG/nbyk=")</f>
        <v>#REF!</v>
      </c>
      <c r="AQ103" t="e">
        <f>AND(#REF!,"AAAAAG/nbyo=")</f>
        <v>#REF!</v>
      </c>
      <c r="AR103" t="e">
        <f>AND(#REF!,"AAAAAG/nbys=")</f>
        <v>#REF!</v>
      </c>
      <c r="AS103" t="e">
        <f>AND(#REF!,"AAAAAG/nbyw=")</f>
        <v>#REF!</v>
      </c>
      <c r="AT103" t="e">
        <f>AND(#REF!,"AAAAAG/nby0=")</f>
        <v>#REF!</v>
      </c>
      <c r="AU103" t="e">
        <f>AND(#REF!,"AAAAAG/nby4=")</f>
        <v>#REF!</v>
      </c>
      <c r="AV103" t="e">
        <f>AND(#REF!,"AAAAAG/nby8=")</f>
        <v>#REF!</v>
      </c>
      <c r="AW103" t="e">
        <f>IF(#REF!,"AAAAAG/nbzA=",0)</f>
        <v>#REF!</v>
      </c>
      <c r="AX103" t="e">
        <f>AND(#REF!,"AAAAAG/nbzE=")</f>
        <v>#REF!</v>
      </c>
      <c r="AY103" t="e">
        <f>AND(#REF!,"AAAAAG/nbzI=")</f>
        <v>#REF!</v>
      </c>
      <c r="AZ103" t="e">
        <f>AND(#REF!,"AAAAAG/nbzM=")</f>
        <v>#REF!</v>
      </c>
      <c r="BA103" t="e">
        <f>AND(#REF!,"AAAAAG/nbzQ=")</f>
        <v>#REF!</v>
      </c>
      <c r="BB103" t="e">
        <f>AND(#REF!,"AAAAAG/nbzU=")</f>
        <v>#REF!</v>
      </c>
      <c r="BC103" t="e">
        <f>AND(#REF!,"AAAAAG/nbzY=")</f>
        <v>#REF!</v>
      </c>
      <c r="BD103" t="e">
        <f>AND(#REF!,"AAAAAG/nbzc=")</f>
        <v>#REF!</v>
      </c>
      <c r="BE103" t="e">
        <f>AND(#REF!,"AAAAAG/nbzg=")</f>
        <v>#REF!</v>
      </c>
      <c r="BF103" t="e">
        <f>AND(#REF!,"AAAAAG/nbzk=")</f>
        <v>#REF!</v>
      </c>
      <c r="BG103" t="e">
        <f>AND(#REF!,"AAAAAG/nbzo=")</f>
        <v>#REF!</v>
      </c>
      <c r="BH103" t="e">
        <f>AND(#REF!,"AAAAAG/nbzs=")</f>
        <v>#REF!</v>
      </c>
      <c r="BI103" t="e">
        <f>AND(#REF!,"AAAAAG/nbzw=")</f>
        <v>#REF!</v>
      </c>
      <c r="BJ103" t="e">
        <f>AND(#REF!,"AAAAAG/nbz0=")</f>
        <v>#REF!</v>
      </c>
      <c r="BK103" t="e">
        <f>AND(#REF!,"AAAAAG/nbz4=")</f>
        <v>#REF!</v>
      </c>
      <c r="BL103" t="e">
        <f>AND(#REF!,"AAAAAG/nbz8=")</f>
        <v>#REF!</v>
      </c>
      <c r="BM103" t="e">
        <f>AND(#REF!,"AAAAAG/nb0A=")</f>
        <v>#REF!</v>
      </c>
      <c r="BN103" t="e">
        <f>AND(#REF!,"AAAAAG/nb0E=")</f>
        <v>#REF!</v>
      </c>
      <c r="BO103" t="e">
        <f>AND(#REF!,"AAAAAG/nb0I=")</f>
        <v>#REF!</v>
      </c>
      <c r="BP103" t="e">
        <f>AND(#REF!,"AAAAAG/nb0M=")</f>
        <v>#REF!</v>
      </c>
      <c r="BQ103" t="e">
        <f>AND(#REF!,"AAAAAG/nb0Q=")</f>
        <v>#REF!</v>
      </c>
      <c r="BR103" t="e">
        <f>AND(#REF!,"AAAAAG/nb0U=")</f>
        <v>#REF!</v>
      </c>
      <c r="BS103" t="e">
        <f>AND(#REF!,"AAAAAG/nb0Y=")</f>
        <v>#REF!</v>
      </c>
      <c r="BT103" t="e">
        <f>AND(#REF!,"AAAAAG/nb0c=")</f>
        <v>#REF!</v>
      </c>
      <c r="BU103" t="e">
        <f>AND(#REF!,"AAAAAG/nb0g=")</f>
        <v>#REF!</v>
      </c>
      <c r="BV103" t="e">
        <f>IF(#REF!,"AAAAAG/nb0k=",0)</f>
        <v>#REF!</v>
      </c>
      <c r="BW103" t="e">
        <f>AND(#REF!,"AAAAAG/nb0o=")</f>
        <v>#REF!</v>
      </c>
      <c r="BX103" t="e">
        <f>AND(#REF!,"AAAAAG/nb0s=")</f>
        <v>#REF!</v>
      </c>
      <c r="BY103" t="e">
        <f>AND(#REF!,"AAAAAG/nb0w=")</f>
        <v>#REF!</v>
      </c>
      <c r="BZ103" t="e">
        <f>AND(#REF!,"AAAAAG/nb00=")</f>
        <v>#REF!</v>
      </c>
      <c r="CA103" t="e">
        <f>AND(#REF!,"AAAAAG/nb04=")</f>
        <v>#REF!</v>
      </c>
      <c r="CB103" t="e">
        <f>AND(#REF!,"AAAAAG/nb08=")</f>
        <v>#REF!</v>
      </c>
      <c r="CC103" t="e">
        <f>AND(#REF!,"AAAAAG/nb1A=")</f>
        <v>#REF!</v>
      </c>
      <c r="CD103" t="e">
        <f>AND(#REF!,"AAAAAG/nb1E=")</f>
        <v>#REF!</v>
      </c>
      <c r="CE103" t="e">
        <f>AND(#REF!,"AAAAAG/nb1I=")</f>
        <v>#REF!</v>
      </c>
      <c r="CF103" t="e">
        <f>AND(#REF!,"AAAAAG/nb1M=")</f>
        <v>#REF!</v>
      </c>
      <c r="CG103" t="e">
        <f>AND(#REF!,"AAAAAG/nb1Q=")</f>
        <v>#REF!</v>
      </c>
      <c r="CH103" t="e">
        <f>AND(#REF!,"AAAAAG/nb1U=")</f>
        <v>#REF!</v>
      </c>
      <c r="CI103" t="e">
        <f>AND(#REF!,"AAAAAG/nb1Y=")</f>
        <v>#REF!</v>
      </c>
      <c r="CJ103" t="e">
        <f>AND(#REF!,"AAAAAG/nb1c=")</f>
        <v>#REF!</v>
      </c>
      <c r="CK103" t="e">
        <f>AND(#REF!,"AAAAAG/nb1g=")</f>
        <v>#REF!</v>
      </c>
      <c r="CL103" t="e">
        <f>AND(#REF!,"AAAAAG/nb1k=")</f>
        <v>#REF!</v>
      </c>
      <c r="CM103" t="e">
        <f>AND(#REF!,"AAAAAG/nb1o=")</f>
        <v>#REF!</v>
      </c>
      <c r="CN103" t="e">
        <f>AND(#REF!,"AAAAAG/nb1s=")</f>
        <v>#REF!</v>
      </c>
      <c r="CO103" t="e">
        <f>AND(#REF!,"AAAAAG/nb1w=")</f>
        <v>#REF!</v>
      </c>
      <c r="CP103" t="e">
        <f>AND(#REF!,"AAAAAG/nb10=")</f>
        <v>#REF!</v>
      </c>
      <c r="CQ103" t="e">
        <f>AND(#REF!,"AAAAAG/nb14=")</f>
        <v>#REF!</v>
      </c>
      <c r="CR103" t="e">
        <f>AND(#REF!,"AAAAAG/nb18=")</f>
        <v>#REF!</v>
      </c>
      <c r="CS103" t="e">
        <f>AND(#REF!,"AAAAAG/nb2A=")</f>
        <v>#REF!</v>
      </c>
      <c r="CT103" t="e">
        <f>AND(#REF!,"AAAAAG/nb2E=")</f>
        <v>#REF!</v>
      </c>
      <c r="CU103" t="e">
        <f>IF(#REF!,"AAAAAG/nb2I=",0)</f>
        <v>#REF!</v>
      </c>
      <c r="CV103" t="e">
        <f>AND(#REF!,"AAAAAG/nb2M=")</f>
        <v>#REF!</v>
      </c>
      <c r="CW103" t="e">
        <f>AND(#REF!,"AAAAAG/nb2Q=")</f>
        <v>#REF!</v>
      </c>
      <c r="CX103" t="e">
        <f>AND(#REF!,"AAAAAG/nb2U=")</f>
        <v>#REF!</v>
      </c>
      <c r="CY103" t="e">
        <f>AND(#REF!,"AAAAAG/nb2Y=")</f>
        <v>#REF!</v>
      </c>
      <c r="CZ103" t="e">
        <f>AND(#REF!,"AAAAAG/nb2c=")</f>
        <v>#REF!</v>
      </c>
      <c r="DA103" t="e">
        <f>AND(#REF!,"AAAAAG/nb2g=")</f>
        <v>#REF!</v>
      </c>
      <c r="DB103" t="e">
        <f>AND(#REF!,"AAAAAG/nb2k=")</f>
        <v>#REF!</v>
      </c>
      <c r="DC103" t="e">
        <f>AND(#REF!,"AAAAAG/nb2o=")</f>
        <v>#REF!</v>
      </c>
      <c r="DD103" t="e">
        <f>AND(#REF!,"AAAAAG/nb2s=")</f>
        <v>#REF!</v>
      </c>
      <c r="DE103" t="e">
        <f>AND(#REF!,"AAAAAG/nb2w=")</f>
        <v>#REF!</v>
      </c>
      <c r="DF103" t="e">
        <f>AND(#REF!,"AAAAAG/nb20=")</f>
        <v>#REF!</v>
      </c>
      <c r="DG103" t="e">
        <f>AND(#REF!,"AAAAAG/nb24=")</f>
        <v>#REF!</v>
      </c>
      <c r="DH103" t="e">
        <f>AND(#REF!,"AAAAAG/nb28=")</f>
        <v>#REF!</v>
      </c>
      <c r="DI103" t="e">
        <f>AND(#REF!,"AAAAAG/nb3A=")</f>
        <v>#REF!</v>
      </c>
      <c r="DJ103" t="e">
        <f>AND(#REF!,"AAAAAG/nb3E=")</f>
        <v>#REF!</v>
      </c>
      <c r="DK103" t="e">
        <f>AND(#REF!,"AAAAAG/nb3I=")</f>
        <v>#REF!</v>
      </c>
      <c r="DL103" t="e">
        <f>AND(#REF!,"AAAAAG/nb3M=")</f>
        <v>#REF!</v>
      </c>
      <c r="DM103" t="e">
        <f>AND(#REF!,"AAAAAG/nb3Q=")</f>
        <v>#REF!</v>
      </c>
      <c r="DN103" t="e">
        <f>AND(#REF!,"AAAAAG/nb3U=")</f>
        <v>#REF!</v>
      </c>
      <c r="DO103" t="e">
        <f>AND(#REF!,"AAAAAG/nb3Y=")</f>
        <v>#REF!</v>
      </c>
      <c r="DP103" t="e">
        <f>AND(#REF!,"AAAAAG/nb3c=")</f>
        <v>#REF!</v>
      </c>
      <c r="DQ103" t="e">
        <f>AND(#REF!,"AAAAAG/nb3g=")</f>
        <v>#REF!</v>
      </c>
      <c r="DR103" t="e">
        <f>AND(#REF!,"AAAAAG/nb3k=")</f>
        <v>#REF!</v>
      </c>
      <c r="DS103" t="e">
        <f>AND(#REF!,"AAAAAG/nb3o=")</f>
        <v>#REF!</v>
      </c>
      <c r="DT103" t="e">
        <f>IF(#REF!,"AAAAAG/nb3s=",0)</f>
        <v>#REF!</v>
      </c>
      <c r="DU103" t="e">
        <f>AND(#REF!,"AAAAAG/nb3w=")</f>
        <v>#REF!</v>
      </c>
      <c r="DV103" t="e">
        <f>AND(#REF!,"AAAAAG/nb30=")</f>
        <v>#REF!</v>
      </c>
      <c r="DW103" t="e">
        <f>AND(#REF!,"AAAAAG/nb34=")</f>
        <v>#REF!</v>
      </c>
      <c r="DX103" t="e">
        <f>AND(#REF!,"AAAAAG/nb38=")</f>
        <v>#REF!</v>
      </c>
      <c r="DY103" t="e">
        <f>AND(#REF!,"AAAAAG/nb4A=")</f>
        <v>#REF!</v>
      </c>
      <c r="DZ103" t="e">
        <f>AND(#REF!,"AAAAAG/nb4E=")</f>
        <v>#REF!</v>
      </c>
      <c r="EA103" t="e">
        <f>AND(#REF!,"AAAAAG/nb4I=")</f>
        <v>#REF!</v>
      </c>
      <c r="EB103" t="e">
        <f>AND(#REF!,"AAAAAG/nb4M=")</f>
        <v>#REF!</v>
      </c>
      <c r="EC103" t="e">
        <f>AND(#REF!,"AAAAAG/nb4Q=")</f>
        <v>#REF!</v>
      </c>
      <c r="ED103" t="e">
        <f>AND(#REF!,"AAAAAG/nb4U=")</f>
        <v>#REF!</v>
      </c>
      <c r="EE103" t="e">
        <f>AND(#REF!,"AAAAAG/nb4Y=")</f>
        <v>#REF!</v>
      </c>
      <c r="EF103" t="e">
        <f>AND(#REF!,"AAAAAG/nb4c=")</f>
        <v>#REF!</v>
      </c>
      <c r="EG103" t="e">
        <f>AND(#REF!,"AAAAAG/nb4g=")</f>
        <v>#REF!</v>
      </c>
      <c r="EH103" t="e">
        <f>AND(#REF!,"AAAAAG/nb4k=")</f>
        <v>#REF!</v>
      </c>
      <c r="EI103" t="e">
        <f>AND(#REF!,"AAAAAG/nb4o=")</f>
        <v>#REF!</v>
      </c>
      <c r="EJ103" t="e">
        <f>AND(#REF!,"AAAAAG/nb4s=")</f>
        <v>#REF!</v>
      </c>
      <c r="EK103" t="e">
        <f>AND(#REF!,"AAAAAG/nb4w=")</f>
        <v>#REF!</v>
      </c>
      <c r="EL103" t="e">
        <f>AND(#REF!,"AAAAAG/nb40=")</f>
        <v>#REF!</v>
      </c>
      <c r="EM103" t="e">
        <f>AND(#REF!,"AAAAAG/nb44=")</f>
        <v>#REF!</v>
      </c>
      <c r="EN103" t="e">
        <f>AND(#REF!,"AAAAAG/nb48=")</f>
        <v>#REF!</v>
      </c>
      <c r="EO103" t="e">
        <f>AND(#REF!,"AAAAAG/nb5A=")</f>
        <v>#REF!</v>
      </c>
      <c r="EP103" t="e">
        <f>AND(#REF!,"AAAAAG/nb5E=")</f>
        <v>#REF!</v>
      </c>
      <c r="EQ103" t="e">
        <f>AND(#REF!,"AAAAAG/nb5I=")</f>
        <v>#REF!</v>
      </c>
      <c r="ER103" t="e">
        <f>AND(#REF!,"AAAAAG/nb5M=")</f>
        <v>#REF!</v>
      </c>
      <c r="ES103" t="e">
        <f>IF(#REF!,"AAAAAG/nb5Q=",0)</f>
        <v>#REF!</v>
      </c>
      <c r="ET103" t="e">
        <f>AND(#REF!,"AAAAAG/nb5U=")</f>
        <v>#REF!</v>
      </c>
      <c r="EU103" t="e">
        <f>AND(#REF!,"AAAAAG/nb5Y=")</f>
        <v>#REF!</v>
      </c>
      <c r="EV103" t="e">
        <f>AND(#REF!,"AAAAAG/nb5c=")</f>
        <v>#REF!</v>
      </c>
      <c r="EW103" t="e">
        <f>AND(#REF!,"AAAAAG/nb5g=")</f>
        <v>#REF!</v>
      </c>
      <c r="EX103" t="e">
        <f>AND(#REF!,"AAAAAG/nb5k=")</f>
        <v>#REF!</v>
      </c>
      <c r="EY103" t="e">
        <f>AND(#REF!,"AAAAAG/nb5o=")</f>
        <v>#REF!</v>
      </c>
      <c r="EZ103" t="e">
        <f>AND(#REF!,"AAAAAG/nb5s=")</f>
        <v>#REF!</v>
      </c>
      <c r="FA103" t="e">
        <f>AND(#REF!,"AAAAAG/nb5w=")</f>
        <v>#REF!</v>
      </c>
      <c r="FB103" t="e">
        <f>AND(#REF!,"AAAAAG/nb50=")</f>
        <v>#REF!</v>
      </c>
      <c r="FC103" t="e">
        <f>AND(#REF!,"AAAAAG/nb54=")</f>
        <v>#REF!</v>
      </c>
      <c r="FD103" t="e">
        <f>AND(#REF!,"AAAAAG/nb58=")</f>
        <v>#REF!</v>
      </c>
      <c r="FE103" t="e">
        <f>AND(#REF!,"AAAAAG/nb6A=")</f>
        <v>#REF!</v>
      </c>
      <c r="FF103" t="e">
        <f>AND(#REF!,"AAAAAG/nb6E=")</f>
        <v>#REF!</v>
      </c>
      <c r="FG103" t="e">
        <f>AND(#REF!,"AAAAAG/nb6I=")</f>
        <v>#REF!</v>
      </c>
      <c r="FH103" t="e">
        <f>AND(#REF!,"AAAAAG/nb6M=")</f>
        <v>#REF!</v>
      </c>
      <c r="FI103" t="e">
        <f>AND(#REF!,"AAAAAG/nb6Q=")</f>
        <v>#REF!</v>
      </c>
      <c r="FJ103" t="e">
        <f>AND(#REF!,"AAAAAG/nb6U=")</f>
        <v>#REF!</v>
      </c>
      <c r="FK103" t="e">
        <f>AND(#REF!,"AAAAAG/nb6Y=")</f>
        <v>#REF!</v>
      </c>
      <c r="FL103" t="e">
        <f>AND(#REF!,"AAAAAG/nb6c=")</f>
        <v>#REF!</v>
      </c>
      <c r="FM103" t="e">
        <f>AND(#REF!,"AAAAAG/nb6g=")</f>
        <v>#REF!</v>
      </c>
      <c r="FN103" t="e">
        <f>AND(#REF!,"AAAAAG/nb6k=")</f>
        <v>#REF!</v>
      </c>
      <c r="FO103" t="e">
        <f>AND(#REF!,"AAAAAG/nb6o=")</f>
        <v>#REF!</v>
      </c>
      <c r="FP103" t="e">
        <f>AND(#REF!,"AAAAAG/nb6s=")</f>
        <v>#REF!</v>
      </c>
      <c r="FQ103" t="e">
        <f>AND(#REF!,"AAAAAG/nb6w=")</f>
        <v>#REF!</v>
      </c>
      <c r="FR103" t="e">
        <f>IF(#REF!,"AAAAAG/nb60=",0)</f>
        <v>#REF!</v>
      </c>
      <c r="FS103" t="e">
        <f>AND(#REF!,"AAAAAG/nb64=")</f>
        <v>#REF!</v>
      </c>
      <c r="FT103" t="e">
        <f>AND(#REF!,"AAAAAG/nb68=")</f>
        <v>#REF!</v>
      </c>
      <c r="FU103" t="e">
        <f>AND(#REF!,"AAAAAG/nb7A=")</f>
        <v>#REF!</v>
      </c>
      <c r="FV103" t="e">
        <f>AND(#REF!,"AAAAAG/nb7E=")</f>
        <v>#REF!</v>
      </c>
      <c r="FW103" t="e">
        <f>AND(#REF!,"AAAAAG/nb7I=")</f>
        <v>#REF!</v>
      </c>
      <c r="FX103" t="e">
        <f>AND(#REF!,"AAAAAG/nb7M=")</f>
        <v>#REF!</v>
      </c>
      <c r="FY103" t="e">
        <f>AND(#REF!,"AAAAAG/nb7Q=")</f>
        <v>#REF!</v>
      </c>
      <c r="FZ103" t="e">
        <f>AND(#REF!,"AAAAAG/nb7U=")</f>
        <v>#REF!</v>
      </c>
      <c r="GA103" t="e">
        <f>AND(#REF!,"AAAAAG/nb7Y=")</f>
        <v>#REF!</v>
      </c>
      <c r="GB103" t="e">
        <f>AND(#REF!,"AAAAAG/nb7c=")</f>
        <v>#REF!</v>
      </c>
      <c r="GC103" t="e">
        <f>AND(#REF!,"AAAAAG/nb7g=")</f>
        <v>#REF!</v>
      </c>
      <c r="GD103" t="e">
        <f>AND(#REF!,"AAAAAG/nb7k=")</f>
        <v>#REF!</v>
      </c>
      <c r="GE103" t="e">
        <f>AND(#REF!,"AAAAAG/nb7o=")</f>
        <v>#REF!</v>
      </c>
      <c r="GF103" t="e">
        <f>AND(#REF!,"AAAAAG/nb7s=")</f>
        <v>#REF!</v>
      </c>
      <c r="GG103" t="e">
        <f>AND(#REF!,"AAAAAG/nb7w=")</f>
        <v>#REF!</v>
      </c>
      <c r="GH103" t="e">
        <f>AND(#REF!,"AAAAAG/nb70=")</f>
        <v>#REF!</v>
      </c>
      <c r="GI103" t="e">
        <f>AND(#REF!,"AAAAAG/nb74=")</f>
        <v>#REF!</v>
      </c>
      <c r="GJ103" t="e">
        <f>AND(#REF!,"AAAAAG/nb78=")</f>
        <v>#REF!</v>
      </c>
      <c r="GK103" t="e">
        <f>AND(#REF!,"AAAAAG/nb8A=")</f>
        <v>#REF!</v>
      </c>
      <c r="GL103" t="e">
        <f>AND(#REF!,"AAAAAG/nb8E=")</f>
        <v>#REF!</v>
      </c>
      <c r="GM103" t="e">
        <f>AND(#REF!,"AAAAAG/nb8I=")</f>
        <v>#REF!</v>
      </c>
      <c r="GN103" t="e">
        <f>AND(#REF!,"AAAAAG/nb8M=")</f>
        <v>#REF!</v>
      </c>
      <c r="GO103" t="e">
        <f>AND(#REF!,"AAAAAG/nb8Q=")</f>
        <v>#REF!</v>
      </c>
      <c r="GP103" t="e">
        <f>AND(#REF!,"AAAAAG/nb8U=")</f>
        <v>#REF!</v>
      </c>
      <c r="GQ103" t="e">
        <f>IF(#REF!,"AAAAAG/nb8Y=",0)</f>
        <v>#REF!</v>
      </c>
      <c r="GR103" t="e">
        <f>AND(#REF!,"AAAAAG/nb8c=")</f>
        <v>#REF!</v>
      </c>
      <c r="GS103" t="e">
        <f>AND(#REF!,"AAAAAG/nb8g=")</f>
        <v>#REF!</v>
      </c>
      <c r="GT103" t="e">
        <f>AND(#REF!,"AAAAAG/nb8k=")</f>
        <v>#REF!</v>
      </c>
      <c r="GU103" t="e">
        <f>AND(#REF!,"AAAAAG/nb8o=")</f>
        <v>#REF!</v>
      </c>
      <c r="GV103" t="e">
        <f>AND(#REF!,"AAAAAG/nb8s=")</f>
        <v>#REF!</v>
      </c>
      <c r="GW103" t="e">
        <f>AND(#REF!,"AAAAAG/nb8w=")</f>
        <v>#REF!</v>
      </c>
      <c r="GX103" t="e">
        <f>AND(#REF!,"AAAAAG/nb80=")</f>
        <v>#REF!</v>
      </c>
      <c r="GY103" t="e">
        <f>AND(#REF!,"AAAAAG/nb84=")</f>
        <v>#REF!</v>
      </c>
      <c r="GZ103" t="e">
        <f>AND(#REF!,"AAAAAG/nb88=")</f>
        <v>#REF!</v>
      </c>
      <c r="HA103" t="e">
        <f>AND(#REF!,"AAAAAG/nb9A=")</f>
        <v>#REF!</v>
      </c>
      <c r="HB103" t="e">
        <f>AND(#REF!,"AAAAAG/nb9E=")</f>
        <v>#REF!</v>
      </c>
      <c r="HC103" t="e">
        <f>AND(#REF!,"AAAAAG/nb9I=")</f>
        <v>#REF!</v>
      </c>
      <c r="HD103" t="e">
        <f>AND(#REF!,"AAAAAG/nb9M=")</f>
        <v>#REF!</v>
      </c>
      <c r="HE103" t="e">
        <f>AND(#REF!,"AAAAAG/nb9Q=")</f>
        <v>#REF!</v>
      </c>
      <c r="HF103" t="e">
        <f>AND(#REF!,"AAAAAG/nb9U=")</f>
        <v>#REF!</v>
      </c>
      <c r="HG103" t="e">
        <f>AND(#REF!,"AAAAAG/nb9Y=")</f>
        <v>#REF!</v>
      </c>
      <c r="HH103" t="e">
        <f>AND(#REF!,"AAAAAG/nb9c=")</f>
        <v>#REF!</v>
      </c>
      <c r="HI103" t="e">
        <f>AND(#REF!,"AAAAAG/nb9g=")</f>
        <v>#REF!</v>
      </c>
      <c r="HJ103" t="e">
        <f>AND(#REF!,"AAAAAG/nb9k=")</f>
        <v>#REF!</v>
      </c>
      <c r="HK103" t="e">
        <f>AND(#REF!,"AAAAAG/nb9o=")</f>
        <v>#REF!</v>
      </c>
      <c r="HL103" t="e">
        <f>AND(#REF!,"AAAAAG/nb9s=")</f>
        <v>#REF!</v>
      </c>
      <c r="HM103" t="e">
        <f>AND(#REF!,"AAAAAG/nb9w=")</f>
        <v>#REF!</v>
      </c>
      <c r="HN103" t="e">
        <f>AND(#REF!,"AAAAAG/nb90=")</f>
        <v>#REF!</v>
      </c>
      <c r="HO103" t="e">
        <f>AND(#REF!,"AAAAAG/nb94=")</f>
        <v>#REF!</v>
      </c>
      <c r="HP103" t="e">
        <f>IF(#REF!,"AAAAAG/nb98=",0)</f>
        <v>#REF!</v>
      </c>
      <c r="HQ103" t="e">
        <f>AND(#REF!,"AAAAAG/nb+A=")</f>
        <v>#REF!</v>
      </c>
      <c r="HR103" t="e">
        <f>AND(#REF!,"AAAAAG/nb+E=")</f>
        <v>#REF!</v>
      </c>
      <c r="HS103" t="e">
        <f>AND(#REF!,"AAAAAG/nb+I=")</f>
        <v>#REF!</v>
      </c>
      <c r="HT103" t="e">
        <f>AND(#REF!,"AAAAAG/nb+M=")</f>
        <v>#REF!</v>
      </c>
      <c r="HU103" t="e">
        <f>AND(#REF!,"AAAAAG/nb+Q=")</f>
        <v>#REF!</v>
      </c>
      <c r="HV103" t="e">
        <f>AND(#REF!,"AAAAAG/nb+U=")</f>
        <v>#REF!</v>
      </c>
      <c r="HW103" t="e">
        <f>AND(#REF!,"AAAAAG/nb+Y=")</f>
        <v>#REF!</v>
      </c>
      <c r="HX103" t="e">
        <f>AND(#REF!,"AAAAAG/nb+c=")</f>
        <v>#REF!</v>
      </c>
      <c r="HY103" t="e">
        <f>AND(#REF!,"AAAAAG/nb+g=")</f>
        <v>#REF!</v>
      </c>
      <c r="HZ103" t="e">
        <f>AND(#REF!,"AAAAAG/nb+k=")</f>
        <v>#REF!</v>
      </c>
      <c r="IA103" t="e">
        <f>AND(#REF!,"AAAAAG/nb+o=")</f>
        <v>#REF!</v>
      </c>
      <c r="IB103" t="e">
        <f>AND(#REF!,"AAAAAG/nb+s=")</f>
        <v>#REF!</v>
      </c>
      <c r="IC103" t="e">
        <f>AND(#REF!,"AAAAAG/nb+w=")</f>
        <v>#REF!</v>
      </c>
      <c r="ID103" t="e">
        <f>AND(#REF!,"AAAAAG/nb+0=")</f>
        <v>#REF!</v>
      </c>
      <c r="IE103" t="e">
        <f>AND(#REF!,"AAAAAG/nb+4=")</f>
        <v>#REF!</v>
      </c>
      <c r="IF103" t="e">
        <f>AND(#REF!,"AAAAAG/nb+8=")</f>
        <v>#REF!</v>
      </c>
      <c r="IG103" t="e">
        <f>AND(#REF!,"AAAAAG/nb/A=")</f>
        <v>#REF!</v>
      </c>
      <c r="IH103" t="e">
        <f>AND(#REF!,"AAAAAG/nb/E=")</f>
        <v>#REF!</v>
      </c>
      <c r="II103" t="e">
        <f>AND(#REF!,"AAAAAG/nb/I=")</f>
        <v>#REF!</v>
      </c>
      <c r="IJ103" t="e">
        <f>AND(#REF!,"AAAAAG/nb/M=")</f>
        <v>#REF!</v>
      </c>
      <c r="IK103" t="e">
        <f>AND(#REF!,"AAAAAG/nb/Q=")</f>
        <v>#REF!</v>
      </c>
      <c r="IL103" t="e">
        <f>AND(#REF!,"AAAAAG/nb/U=")</f>
        <v>#REF!</v>
      </c>
      <c r="IM103" t="e">
        <f>AND(#REF!,"AAAAAG/nb/Y=")</f>
        <v>#REF!</v>
      </c>
      <c r="IN103" t="e">
        <f>AND(#REF!,"AAAAAG/nb/c=")</f>
        <v>#REF!</v>
      </c>
      <c r="IO103" t="e">
        <f>IF(#REF!,"AAAAAG/nb/g=",0)</f>
        <v>#REF!</v>
      </c>
      <c r="IP103" t="e">
        <f>AND(#REF!,"AAAAAG/nb/k=")</f>
        <v>#REF!</v>
      </c>
      <c r="IQ103" t="e">
        <f>AND(#REF!,"AAAAAG/nb/o=")</f>
        <v>#REF!</v>
      </c>
      <c r="IR103" t="e">
        <f>AND(#REF!,"AAAAAG/nb/s=")</f>
        <v>#REF!</v>
      </c>
      <c r="IS103" t="e">
        <f>AND(#REF!,"AAAAAG/nb/w=")</f>
        <v>#REF!</v>
      </c>
      <c r="IT103" t="e">
        <f>AND(#REF!,"AAAAAG/nb/0=")</f>
        <v>#REF!</v>
      </c>
      <c r="IU103" t="e">
        <f>AND(#REF!,"AAAAAG/nb/4=")</f>
        <v>#REF!</v>
      </c>
      <c r="IV103" t="e">
        <f>AND(#REF!,"AAAAAG/nb/8=")</f>
        <v>#REF!</v>
      </c>
    </row>
    <row r="104" spans="1:256">
      <c r="A104" t="e">
        <f>AND(#REF!,"AAAAAF/7/QA=")</f>
        <v>#REF!</v>
      </c>
      <c r="B104" t="e">
        <f>AND(#REF!,"AAAAAF/7/QE=")</f>
        <v>#REF!</v>
      </c>
      <c r="C104" t="e">
        <f>AND(#REF!,"AAAAAF/7/QI=")</f>
        <v>#REF!</v>
      </c>
      <c r="D104" t="e">
        <f>AND(#REF!,"AAAAAF/7/QM=")</f>
        <v>#REF!</v>
      </c>
      <c r="E104" t="e">
        <f>AND(#REF!,"AAAAAF/7/QQ=")</f>
        <v>#REF!</v>
      </c>
      <c r="F104" t="e">
        <f>AND(#REF!,"AAAAAF/7/QU=")</f>
        <v>#REF!</v>
      </c>
      <c r="G104" t="e">
        <f>AND(#REF!,"AAAAAF/7/QY=")</f>
        <v>#REF!</v>
      </c>
      <c r="H104" t="e">
        <f>AND(#REF!,"AAAAAF/7/Qc=")</f>
        <v>#REF!</v>
      </c>
      <c r="I104" t="e">
        <f>AND(#REF!,"AAAAAF/7/Qg=")</f>
        <v>#REF!</v>
      </c>
      <c r="J104" t="e">
        <f>AND(#REF!,"AAAAAF/7/Qk=")</f>
        <v>#REF!</v>
      </c>
      <c r="K104" t="e">
        <f>AND(#REF!,"AAAAAF/7/Qo=")</f>
        <v>#REF!</v>
      </c>
      <c r="L104" t="e">
        <f>AND(#REF!,"AAAAAF/7/Qs=")</f>
        <v>#REF!</v>
      </c>
      <c r="M104" t="e">
        <f>AND(#REF!,"AAAAAF/7/Qw=")</f>
        <v>#REF!</v>
      </c>
      <c r="N104" t="e">
        <f>AND(#REF!,"AAAAAF/7/Q0=")</f>
        <v>#REF!</v>
      </c>
      <c r="O104" t="e">
        <f>AND(#REF!,"AAAAAF/7/Q4=")</f>
        <v>#REF!</v>
      </c>
      <c r="P104" t="e">
        <f>AND(#REF!,"AAAAAF/7/Q8=")</f>
        <v>#REF!</v>
      </c>
      <c r="Q104" t="e">
        <f>AND(#REF!,"AAAAAF/7/RA=")</f>
        <v>#REF!</v>
      </c>
      <c r="R104" t="e">
        <f>IF(#REF!,"AAAAAF/7/RE=",0)</f>
        <v>#REF!</v>
      </c>
      <c r="S104" t="e">
        <f>AND(#REF!,"AAAAAF/7/RI=")</f>
        <v>#REF!</v>
      </c>
      <c r="T104" t="e">
        <f>AND(#REF!,"AAAAAF/7/RM=")</f>
        <v>#REF!</v>
      </c>
      <c r="U104" t="e">
        <f>AND(#REF!,"AAAAAF/7/RQ=")</f>
        <v>#REF!</v>
      </c>
      <c r="V104" t="e">
        <f>AND(#REF!,"AAAAAF/7/RU=")</f>
        <v>#REF!</v>
      </c>
      <c r="W104" t="e">
        <f>AND(#REF!,"AAAAAF/7/RY=")</f>
        <v>#REF!</v>
      </c>
      <c r="X104" t="e">
        <f>AND(#REF!,"AAAAAF/7/Rc=")</f>
        <v>#REF!</v>
      </c>
      <c r="Y104" t="e">
        <f>AND(#REF!,"AAAAAF/7/Rg=")</f>
        <v>#REF!</v>
      </c>
      <c r="Z104" t="e">
        <f>AND(#REF!,"AAAAAF/7/Rk=")</f>
        <v>#REF!</v>
      </c>
      <c r="AA104" t="e">
        <f>AND(#REF!,"AAAAAF/7/Ro=")</f>
        <v>#REF!</v>
      </c>
      <c r="AB104" t="e">
        <f>AND(#REF!,"AAAAAF/7/Rs=")</f>
        <v>#REF!</v>
      </c>
      <c r="AC104" t="e">
        <f>AND(#REF!,"AAAAAF/7/Rw=")</f>
        <v>#REF!</v>
      </c>
      <c r="AD104" t="e">
        <f>AND(#REF!,"AAAAAF/7/R0=")</f>
        <v>#REF!</v>
      </c>
      <c r="AE104" t="e">
        <f>AND(#REF!,"AAAAAF/7/R4=")</f>
        <v>#REF!</v>
      </c>
      <c r="AF104" t="e">
        <f>AND(#REF!,"AAAAAF/7/R8=")</f>
        <v>#REF!</v>
      </c>
      <c r="AG104" t="e">
        <f>AND(#REF!,"AAAAAF/7/SA=")</f>
        <v>#REF!</v>
      </c>
      <c r="AH104" t="e">
        <f>AND(#REF!,"AAAAAF/7/SE=")</f>
        <v>#REF!</v>
      </c>
      <c r="AI104" t="e">
        <f>AND(#REF!,"AAAAAF/7/SI=")</f>
        <v>#REF!</v>
      </c>
      <c r="AJ104" t="e">
        <f>AND(#REF!,"AAAAAF/7/SM=")</f>
        <v>#REF!</v>
      </c>
      <c r="AK104" t="e">
        <f>AND(#REF!,"AAAAAF/7/SQ=")</f>
        <v>#REF!</v>
      </c>
      <c r="AL104" t="e">
        <f>AND(#REF!,"AAAAAF/7/SU=")</f>
        <v>#REF!</v>
      </c>
      <c r="AM104" t="e">
        <f>AND(#REF!,"AAAAAF/7/SY=")</f>
        <v>#REF!</v>
      </c>
      <c r="AN104" t="e">
        <f>AND(#REF!,"AAAAAF/7/Sc=")</f>
        <v>#REF!</v>
      </c>
      <c r="AO104" t="e">
        <f>AND(#REF!,"AAAAAF/7/Sg=")</f>
        <v>#REF!</v>
      </c>
      <c r="AP104" t="e">
        <f>AND(#REF!,"AAAAAF/7/Sk=")</f>
        <v>#REF!</v>
      </c>
      <c r="AQ104" t="e">
        <f>IF(#REF!,"AAAAAF/7/So=",0)</f>
        <v>#REF!</v>
      </c>
      <c r="AR104" t="e">
        <f>AND(#REF!,"AAAAAF/7/Ss=")</f>
        <v>#REF!</v>
      </c>
      <c r="AS104" t="e">
        <f>AND(#REF!,"AAAAAF/7/Sw=")</f>
        <v>#REF!</v>
      </c>
      <c r="AT104" t="e">
        <f>AND(#REF!,"AAAAAF/7/S0=")</f>
        <v>#REF!</v>
      </c>
      <c r="AU104" t="e">
        <f>AND(#REF!,"AAAAAF/7/S4=")</f>
        <v>#REF!</v>
      </c>
      <c r="AV104" t="e">
        <f>AND(#REF!,"AAAAAF/7/S8=")</f>
        <v>#REF!</v>
      </c>
      <c r="AW104" t="e">
        <f>AND(#REF!,"AAAAAF/7/TA=")</f>
        <v>#REF!</v>
      </c>
      <c r="AX104" t="e">
        <f>AND(#REF!,"AAAAAF/7/TE=")</f>
        <v>#REF!</v>
      </c>
      <c r="AY104" t="e">
        <f>AND(#REF!,"AAAAAF/7/TI=")</f>
        <v>#REF!</v>
      </c>
      <c r="AZ104" t="e">
        <f>AND(#REF!,"AAAAAF/7/TM=")</f>
        <v>#REF!</v>
      </c>
      <c r="BA104" t="e">
        <f>AND(#REF!,"AAAAAF/7/TQ=")</f>
        <v>#REF!</v>
      </c>
      <c r="BB104" t="e">
        <f>AND(#REF!,"AAAAAF/7/TU=")</f>
        <v>#REF!</v>
      </c>
      <c r="BC104" t="e">
        <f>AND(#REF!,"AAAAAF/7/TY=")</f>
        <v>#REF!</v>
      </c>
      <c r="BD104" t="e">
        <f>AND(#REF!,"AAAAAF/7/Tc=")</f>
        <v>#REF!</v>
      </c>
      <c r="BE104" t="e">
        <f>AND(#REF!,"AAAAAF/7/Tg=")</f>
        <v>#REF!</v>
      </c>
      <c r="BF104" t="e">
        <f>AND(#REF!,"AAAAAF/7/Tk=")</f>
        <v>#REF!</v>
      </c>
      <c r="BG104" t="e">
        <f>AND(#REF!,"AAAAAF/7/To=")</f>
        <v>#REF!</v>
      </c>
      <c r="BH104" t="e">
        <f>AND(#REF!,"AAAAAF/7/Ts=")</f>
        <v>#REF!</v>
      </c>
      <c r="BI104" t="e">
        <f>AND(#REF!,"AAAAAF/7/Tw=")</f>
        <v>#REF!</v>
      </c>
      <c r="BJ104" t="e">
        <f>AND(#REF!,"AAAAAF/7/T0=")</f>
        <v>#REF!</v>
      </c>
      <c r="BK104" t="e">
        <f>AND(#REF!,"AAAAAF/7/T4=")</f>
        <v>#REF!</v>
      </c>
      <c r="BL104" t="e">
        <f>AND(#REF!,"AAAAAF/7/T8=")</f>
        <v>#REF!</v>
      </c>
      <c r="BM104" t="e">
        <f>AND(#REF!,"AAAAAF/7/UA=")</f>
        <v>#REF!</v>
      </c>
      <c r="BN104" t="e">
        <f>AND(#REF!,"AAAAAF/7/UE=")</f>
        <v>#REF!</v>
      </c>
      <c r="BO104" t="e">
        <f>AND(#REF!,"AAAAAF/7/UI=")</f>
        <v>#REF!</v>
      </c>
      <c r="BP104" t="e">
        <f>IF(#REF!,"AAAAAF/7/UM=",0)</f>
        <v>#REF!</v>
      </c>
      <c r="BQ104" t="e">
        <f>AND(#REF!,"AAAAAF/7/UQ=")</f>
        <v>#REF!</v>
      </c>
      <c r="BR104" t="e">
        <f>AND(#REF!,"AAAAAF/7/UU=")</f>
        <v>#REF!</v>
      </c>
      <c r="BS104" t="e">
        <f>AND(#REF!,"AAAAAF/7/UY=")</f>
        <v>#REF!</v>
      </c>
      <c r="BT104" t="e">
        <f>AND(#REF!,"AAAAAF/7/Uc=")</f>
        <v>#REF!</v>
      </c>
      <c r="BU104" t="e">
        <f>AND(#REF!,"AAAAAF/7/Ug=")</f>
        <v>#REF!</v>
      </c>
      <c r="BV104" t="e">
        <f>AND(#REF!,"AAAAAF/7/Uk=")</f>
        <v>#REF!</v>
      </c>
      <c r="BW104" t="e">
        <f>AND(#REF!,"AAAAAF/7/Uo=")</f>
        <v>#REF!</v>
      </c>
      <c r="BX104" t="e">
        <f>AND(#REF!,"AAAAAF/7/Us=")</f>
        <v>#REF!</v>
      </c>
      <c r="BY104" t="e">
        <f>AND(#REF!,"AAAAAF/7/Uw=")</f>
        <v>#REF!</v>
      </c>
      <c r="BZ104" t="e">
        <f>AND(#REF!,"AAAAAF/7/U0=")</f>
        <v>#REF!</v>
      </c>
      <c r="CA104" t="e">
        <f>AND(#REF!,"AAAAAF/7/U4=")</f>
        <v>#REF!</v>
      </c>
      <c r="CB104" t="e">
        <f>AND(#REF!,"AAAAAF/7/U8=")</f>
        <v>#REF!</v>
      </c>
      <c r="CC104" t="e">
        <f>AND(#REF!,"AAAAAF/7/VA=")</f>
        <v>#REF!</v>
      </c>
      <c r="CD104" t="e">
        <f>AND(#REF!,"AAAAAF/7/VE=")</f>
        <v>#REF!</v>
      </c>
      <c r="CE104" t="e">
        <f>AND(#REF!,"AAAAAF/7/VI=")</f>
        <v>#REF!</v>
      </c>
      <c r="CF104" t="e">
        <f>AND(#REF!,"AAAAAF/7/VM=")</f>
        <v>#REF!</v>
      </c>
      <c r="CG104" t="e">
        <f>AND(#REF!,"AAAAAF/7/VQ=")</f>
        <v>#REF!</v>
      </c>
      <c r="CH104" t="e">
        <f>AND(#REF!,"AAAAAF/7/VU=")</f>
        <v>#REF!</v>
      </c>
      <c r="CI104" t="e">
        <f>AND(#REF!,"AAAAAF/7/VY=")</f>
        <v>#REF!</v>
      </c>
      <c r="CJ104" t="e">
        <f>AND(#REF!,"AAAAAF/7/Vc=")</f>
        <v>#REF!</v>
      </c>
      <c r="CK104" t="e">
        <f>AND(#REF!,"AAAAAF/7/Vg=")</f>
        <v>#REF!</v>
      </c>
      <c r="CL104" t="e">
        <f>AND(#REF!,"AAAAAF/7/Vk=")</f>
        <v>#REF!</v>
      </c>
      <c r="CM104" t="e">
        <f>AND(#REF!,"AAAAAF/7/Vo=")</f>
        <v>#REF!</v>
      </c>
      <c r="CN104" t="e">
        <f>AND(#REF!,"AAAAAF/7/Vs=")</f>
        <v>#REF!</v>
      </c>
      <c r="CO104" t="e">
        <f>IF(#REF!,"AAAAAF/7/Vw=",0)</f>
        <v>#REF!</v>
      </c>
      <c r="CP104" t="e">
        <f>AND(#REF!,"AAAAAF/7/V0=")</f>
        <v>#REF!</v>
      </c>
      <c r="CQ104" t="e">
        <f>AND(#REF!,"AAAAAF/7/V4=")</f>
        <v>#REF!</v>
      </c>
      <c r="CR104" t="e">
        <f>AND(#REF!,"AAAAAF/7/V8=")</f>
        <v>#REF!</v>
      </c>
      <c r="CS104" t="e">
        <f>AND(#REF!,"AAAAAF/7/WA=")</f>
        <v>#REF!</v>
      </c>
      <c r="CT104" t="e">
        <f>AND(#REF!,"AAAAAF/7/WE=")</f>
        <v>#REF!</v>
      </c>
      <c r="CU104" t="e">
        <f>AND(#REF!,"AAAAAF/7/WI=")</f>
        <v>#REF!</v>
      </c>
      <c r="CV104" t="e">
        <f>AND(#REF!,"AAAAAF/7/WM=")</f>
        <v>#REF!</v>
      </c>
      <c r="CW104" t="e">
        <f>AND(#REF!,"AAAAAF/7/WQ=")</f>
        <v>#REF!</v>
      </c>
      <c r="CX104" t="e">
        <f>AND(#REF!,"AAAAAF/7/WU=")</f>
        <v>#REF!</v>
      </c>
      <c r="CY104" t="e">
        <f>AND(#REF!,"AAAAAF/7/WY=")</f>
        <v>#REF!</v>
      </c>
      <c r="CZ104" t="e">
        <f>AND(#REF!,"AAAAAF/7/Wc=")</f>
        <v>#REF!</v>
      </c>
      <c r="DA104" t="e">
        <f>AND(#REF!,"AAAAAF/7/Wg=")</f>
        <v>#REF!</v>
      </c>
      <c r="DB104" t="e">
        <f>AND(#REF!,"AAAAAF/7/Wk=")</f>
        <v>#REF!</v>
      </c>
      <c r="DC104" t="e">
        <f>AND(#REF!,"AAAAAF/7/Wo=")</f>
        <v>#REF!</v>
      </c>
      <c r="DD104" t="e">
        <f>AND(#REF!,"AAAAAF/7/Ws=")</f>
        <v>#REF!</v>
      </c>
      <c r="DE104" t="e">
        <f>AND(#REF!,"AAAAAF/7/Ww=")</f>
        <v>#REF!</v>
      </c>
      <c r="DF104" t="e">
        <f>AND(#REF!,"AAAAAF/7/W0=")</f>
        <v>#REF!</v>
      </c>
      <c r="DG104" t="e">
        <f>AND(#REF!,"AAAAAF/7/W4=")</f>
        <v>#REF!</v>
      </c>
      <c r="DH104" t="e">
        <f>AND(#REF!,"AAAAAF/7/W8=")</f>
        <v>#REF!</v>
      </c>
      <c r="DI104" t="e">
        <f>AND(#REF!,"AAAAAF/7/XA=")</f>
        <v>#REF!</v>
      </c>
      <c r="DJ104" t="e">
        <f>AND(#REF!,"AAAAAF/7/XE=")</f>
        <v>#REF!</v>
      </c>
      <c r="DK104" t="e">
        <f>AND(#REF!,"AAAAAF/7/XI=")</f>
        <v>#REF!</v>
      </c>
      <c r="DL104" t="e">
        <f>AND(#REF!,"AAAAAF/7/XM=")</f>
        <v>#REF!</v>
      </c>
      <c r="DM104" t="e">
        <f>AND(#REF!,"AAAAAF/7/XQ=")</f>
        <v>#REF!</v>
      </c>
      <c r="DN104" t="e">
        <f>IF(#REF!,"AAAAAF/7/XU=",0)</f>
        <v>#REF!</v>
      </c>
      <c r="DO104" t="e">
        <f>AND(#REF!,"AAAAAF/7/XY=")</f>
        <v>#REF!</v>
      </c>
      <c r="DP104" t="e">
        <f>AND(#REF!,"AAAAAF/7/Xc=")</f>
        <v>#REF!</v>
      </c>
      <c r="DQ104" t="e">
        <f>AND(#REF!,"AAAAAF/7/Xg=")</f>
        <v>#REF!</v>
      </c>
      <c r="DR104" t="e">
        <f>AND(#REF!,"AAAAAF/7/Xk=")</f>
        <v>#REF!</v>
      </c>
      <c r="DS104" t="e">
        <f>AND(#REF!,"AAAAAF/7/Xo=")</f>
        <v>#REF!</v>
      </c>
      <c r="DT104" t="e">
        <f>AND(#REF!,"AAAAAF/7/Xs=")</f>
        <v>#REF!</v>
      </c>
      <c r="DU104" t="e">
        <f>AND(#REF!,"AAAAAF/7/Xw=")</f>
        <v>#REF!</v>
      </c>
      <c r="DV104" t="e">
        <f>AND(#REF!,"AAAAAF/7/X0=")</f>
        <v>#REF!</v>
      </c>
      <c r="DW104" t="e">
        <f>AND(#REF!,"AAAAAF/7/X4=")</f>
        <v>#REF!</v>
      </c>
      <c r="DX104" t="e">
        <f>AND(#REF!,"AAAAAF/7/X8=")</f>
        <v>#REF!</v>
      </c>
      <c r="DY104" t="e">
        <f>AND(#REF!,"AAAAAF/7/YA=")</f>
        <v>#REF!</v>
      </c>
      <c r="DZ104" t="e">
        <f>AND(#REF!,"AAAAAF/7/YE=")</f>
        <v>#REF!</v>
      </c>
      <c r="EA104" t="e">
        <f>AND(#REF!,"AAAAAF/7/YI=")</f>
        <v>#REF!</v>
      </c>
      <c r="EB104" t="e">
        <f>AND(#REF!,"AAAAAF/7/YM=")</f>
        <v>#REF!</v>
      </c>
      <c r="EC104" t="e">
        <f>AND(#REF!,"AAAAAF/7/YQ=")</f>
        <v>#REF!</v>
      </c>
      <c r="ED104" t="e">
        <f>AND(#REF!,"AAAAAF/7/YU=")</f>
        <v>#REF!</v>
      </c>
      <c r="EE104" t="e">
        <f>AND(#REF!,"AAAAAF/7/YY=")</f>
        <v>#REF!</v>
      </c>
      <c r="EF104" t="e">
        <f>AND(#REF!,"AAAAAF/7/Yc=")</f>
        <v>#REF!</v>
      </c>
      <c r="EG104" t="e">
        <f>AND(#REF!,"AAAAAF/7/Yg=")</f>
        <v>#REF!</v>
      </c>
      <c r="EH104" t="e">
        <f>AND(#REF!,"AAAAAF/7/Yk=")</f>
        <v>#REF!</v>
      </c>
      <c r="EI104" t="e">
        <f>AND(#REF!,"AAAAAF/7/Yo=")</f>
        <v>#REF!</v>
      </c>
      <c r="EJ104" t="e">
        <f>AND(#REF!,"AAAAAF/7/Ys=")</f>
        <v>#REF!</v>
      </c>
      <c r="EK104" t="e">
        <f>AND(#REF!,"AAAAAF/7/Yw=")</f>
        <v>#REF!</v>
      </c>
      <c r="EL104" t="e">
        <f>AND(#REF!,"AAAAAF/7/Y0=")</f>
        <v>#REF!</v>
      </c>
      <c r="EM104" t="e">
        <f>IF(#REF!,"AAAAAF/7/Y4=",0)</f>
        <v>#REF!</v>
      </c>
      <c r="EN104" t="e">
        <f>AND(#REF!,"AAAAAF/7/Y8=")</f>
        <v>#REF!</v>
      </c>
      <c r="EO104" t="e">
        <f>AND(#REF!,"AAAAAF/7/ZA=")</f>
        <v>#REF!</v>
      </c>
      <c r="EP104" t="e">
        <f>AND(#REF!,"AAAAAF/7/ZE=")</f>
        <v>#REF!</v>
      </c>
      <c r="EQ104" t="e">
        <f>AND(#REF!,"AAAAAF/7/ZI=")</f>
        <v>#REF!</v>
      </c>
      <c r="ER104" t="e">
        <f>AND(#REF!,"AAAAAF/7/ZM=")</f>
        <v>#REF!</v>
      </c>
      <c r="ES104" t="e">
        <f>AND(#REF!,"AAAAAF/7/ZQ=")</f>
        <v>#REF!</v>
      </c>
      <c r="ET104" t="e">
        <f>AND(#REF!,"AAAAAF/7/ZU=")</f>
        <v>#REF!</v>
      </c>
      <c r="EU104" t="e">
        <f>AND(#REF!,"AAAAAF/7/ZY=")</f>
        <v>#REF!</v>
      </c>
      <c r="EV104" t="e">
        <f>AND(#REF!,"AAAAAF/7/Zc=")</f>
        <v>#REF!</v>
      </c>
      <c r="EW104" t="e">
        <f>AND(#REF!,"AAAAAF/7/Zg=")</f>
        <v>#REF!</v>
      </c>
      <c r="EX104" t="e">
        <f>AND(#REF!,"AAAAAF/7/Zk=")</f>
        <v>#REF!</v>
      </c>
      <c r="EY104" t="e">
        <f>AND(#REF!,"AAAAAF/7/Zo=")</f>
        <v>#REF!</v>
      </c>
      <c r="EZ104" t="e">
        <f>AND(#REF!,"AAAAAF/7/Zs=")</f>
        <v>#REF!</v>
      </c>
      <c r="FA104" t="e">
        <f>AND(#REF!,"AAAAAF/7/Zw=")</f>
        <v>#REF!</v>
      </c>
      <c r="FB104" t="e">
        <f>AND(#REF!,"AAAAAF/7/Z0=")</f>
        <v>#REF!</v>
      </c>
      <c r="FC104" t="e">
        <f>AND(#REF!,"AAAAAF/7/Z4=")</f>
        <v>#REF!</v>
      </c>
      <c r="FD104" t="e">
        <f>AND(#REF!,"AAAAAF/7/Z8=")</f>
        <v>#REF!</v>
      </c>
      <c r="FE104" t="e">
        <f>AND(#REF!,"AAAAAF/7/aA=")</f>
        <v>#REF!</v>
      </c>
      <c r="FF104" t="e">
        <f>AND(#REF!,"AAAAAF/7/aE=")</f>
        <v>#REF!</v>
      </c>
      <c r="FG104" t="e">
        <f>AND(#REF!,"AAAAAF/7/aI=")</f>
        <v>#REF!</v>
      </c>
      <c r="FH104" t="e">
        <f>AND(#REF!,"AAAAAF/7/aM=")</f>
        <v>#REF!</v>
      </c>
      <c r="FI104" t="e">
        <f>AND(#REF!,"AAAAAF/7/aQ=")</f>
        <v>#REF!</v>
      </c>
      <c r="FJ104" t="e">
        <f>AND(#REF!,"AAAAAF/7/aU=")</f>
        <v>#REF!</v>
      </c>
      <c r="FK104" t="e">
        <f>AND(#REF!,"AAAAAF/7/aY=")</f>
        <v>#REF!</v>
      </c>
      <c r="FL104" t="e">
        <f>IF(#REF!,"AAAAAF/7/ac=",0)</f>
        <v>#REF!</v>
      </c>
      <c r="FM104" t="e">
        <f>AND(#REF!,"AAAAAF/7/ag=")</f>
        <v>#REF!</v>
      </c>
      <c r="FN104" t="e">
        <f>AND(#REF!,"AAAAAF/7/ak=")</f>
        <v>#REF!</v>
      </c>
      <c r="FO104" t="e">
        <f>AND(#REF!,"AAAAAF/7/ao=")</f>
        <v>#REF!</v>
      </c>
      <c r="FP104" t="e">
        <f>AND(#REF!,"AAAAAF/7/as=")</f>
        <v>#REF!</v>
      </c>
      <c r="FQ104" t="e">
        <f>AND(#REF!,"AAAAAF/7/aw=")</f>
        <v>#REF!</v>
      </c>
      <c r="FR104" t="e">
        <f>AND(#REF!,"AAAAAF/7/a0=")</f>
        <v>#REF!</v>
      </c>
      <c r="FS104" t="e">
        <f>AND(#REF!,"AAAAAF/7/a4=")</f>
        <v>#REF!</v>
      </c>
      <c r="FT104" t="e">
        <f>AND(#REF!,"AAAAAF/7/a8=")</f>
        <v>#REF!</v>
      </c>
      <c r="FU104" t="e">
        <f>AND(#REF!,"AAAAAF/7/bA=")</f>
        <v>#REF!</v>
      </c>
      <c r="FV104" t="e">
        <f>AND(#REF!,"AAAAAF/7/bE=")</f>
        <v>#REF!</v>
      </c>
      <c r="FW104" t="e">
        <f>AND(#REF!,"AAAAAF/7/bI=")</f>
        <v>#REF!</v>
      </c>
      <c r="FX104" t="e">
        <f>AND(#REF!,"AAAAAF/7/bM=")</f>
        <v>#REF!</v>
      </c>
      <c r="FY104" t="e">
        <f>AND(#REF!,"AAAAAF/7/bQ=")</f>
        <v>#REF!</v>
      </c>
      <c r="FZ104" t="e">
        <f>AND(#REF!,"AAAAAF/7/bU=")</f>
        <v>#REF!</v>
      </c>
      <c r="GA104" t="e">
        <f>AND(#REF!,"AAAAAF/7/bY=")</f>
        <v>#REF!</v>
      </c>
      <c r="GB104" t="e">
        <f>AND(#REF!,"AAAAAF/7/bc=")</f>
        <v>#REF!</v>
      </c>
      <c r="GC104" t="e">
        <f>AND(#REF!,"AAAAAF/7/bg=")</f>
        <v>#REF!</v>
      </c>
      <c r="GD104" t="e">
        <f>AND(#REF!,"AAAAAF/7/bk=")</f>
        <v>#REF!</v>
      </c>
      <c r="GE104" t="e">
        <f>AND(#REF!,"AAAAAF/7/bo=")</f>
        <v>#REF!</v>
      </c>
      <c r="GF104" t="e">
        <f>AND(#REF!,"AAAAAF/7/bs=")</f>
        <v>#REF!</v>
      </c>
      <c r="GG104" t="e">
        <f>AND(#REF!,"AAAAAF/7/bw=")</f>
        <v>#REF!</v>
      </c>
      <c r="GH104" t="e">
        <f>AND(#REF!,"AAAAAF/7/b0=")</f>
        <v>#REF!</v>
      </c>
      <c r="GI104" t="e">
        <f>AND(#REF!,"AAAAAF/7/b4=")</f>
        <v>#REF!</v>
      </c>
      <c r="GJ104" t="e">
        <f>AND(#REF!,"AAAAAF/7/b8=")</f>
        <v>#REF!</v>
      </c>
      <c r="GK104" t="e">
        <f>IF(#REF!,"AAAAAF/7/cA=",0)</f>
        <v>#REF!</v>
      </c>
      <c r="GL104" t="e">
        <f>AND(#REF!,"AAAAAF/7/cE=")</f>
        <v>#REF!</v>
      </c>
      <c r="GM104" t="e">
        <f>AND(#REF!,"AAAAAF/7/cI=")</f>
        <v>#REF!</v>
      </c>
      <c r="GN104" t="e">
        <f>AND(#REF!,"AAAAAF/7/cM=")</f>
        <v>#REF!</v>
      </c>
      <c r="GO104" t="e">
        <f>AND(#REF!,"AAAAAF/7/cQ=")</f>
        <v>#REF!</v>
      </c>
      <c r="GP104" t="e">
        <f>AND(#REF!,"AAAAAF/7/cU=")</f>
        <v>#REF!</v>
      </c>
      <c r="GQ104" t="e">
        <f>AND(#REF!,"AAAAAF/7/cY=")</f>
        <v>#REF!</v>
      </c>
      <c r="GR104" t="e">
        <f>AND(#REF!,"AAAAAF/7/cc=")</f>
        <v>#REF!</v>
      </c>
      <c r="GS104" t="e">
        <f>AND(#REF!,"AAAAAF/7/cg=")</f>
        <v>#REF!</v>
      </c>
      <c r="GT104" t="e">
        <f>AND(#REF!,"AAAAAF/7/ck=")</f>
        <v>#REF!</v>
      </c>
      <c r="GU104" t="e">
        <f>AND(#REF!,"AAAAAF/7/co=")</f>
        <v>#REF!</v>
      </c>
      <c r="GV104" t="e">
        <f>AND(#REF!,"AAAAAF/7/cs=")</f>
        <v>#REF!</v>
      </c>
      <c r="GW104" t="e">
        <f>AND(#REF!,"AAAAAF/7/cw=")</f>
        <v>#REF!</v>
      </c>
      <c r="GX104" t="e">
        <f>AND(#REF!,"AAAAAF/7/c0=")</f>
        <v>#REF!</v>
      </c>
      <c r="GY104" t="e">
        <f>AND(#REF!,"AAAAAF/7/c4=")</f>
        <v>#REF!</v>
      </c>
      <c r="GZ104" t="e">
        <f>AND(#REF!,"AAAAAF/7/c8=")</f>
        <v>#REF!</v>
      </c>
      <c r="HA104" t="e">
        <f>AND(#REF!,"AAAAAF/7/dA=")</f>
        <v>#REF!</v>
      </c>
      <c r="HB104" t="e">
        <f>AND(#REF!,"AAAAAF/7/dE=")</f>
        <v>#REF!</v>
      </c>
      <c r="HC104" t="e">
        <f>AND(#REF!,"AAAAAF/7/dI=")</f>
        <v>#REF!</v>
      </c>
      <c r="HD104" t="e">
        <f>AND(#REF!,"AAAAAF/7/dM=")</f>
        <v>#REF!</v>
      </c>
      <c r="HE104" t="e">
        <f>AND(#REF!,"AAAAAF/7/dQ=")</f>
        <v>#REF!</v>
      </c>
      <c r="HF104" t="e">
        <f>AND(#REF!,"AAAAAF/7/dU=")</f>
        <v>#REF!</v>
      </c>
      <c r="HG104" t="e">
        <f>AND(#REF!,"AAAAAF/7/dY=")</f>
        <v>#REF!</v>
      </c>
      <c r="HH104" t="e">
        <f>AND(#REF!,"AAAAAF/7/dc=")</f>
        <v>#REF!</v>
      </c>
      <c r="HI104" t="e">
        <f>AND(#REF!,"AAAAAF/7/dg=")</f>
        <v>#REF!</v>
      </c>
      <c r="HJ104" t="e">
        <f>IF(#REF!,"AAAAAF/7/dk=",0)</f>
        <v>#REF!</v>
      </c>
      <c r="HK104" t="e">
        <f>AND(#REF!,"AAAAAF/7/do=")</f>
        <v>#REF!</v>
      </c>
      <c r="HL104" t="e">
        <f>AND(#REF!,"AAAAAF/7/ds=")</f>
        <v>#REF!</v>
      </c>
      <c r="HM104" t="e">
        <f>AND(#REF!,"AAAAAF/7/dw=")</f>
        <v>#REF!</v>
      </c>
      <c r="HN104" t="e">
        <f>AND(#REF!,"AAAAAF/7/d0=")</f>
        <v>#REF!</v>
      </c>
      <c r="HO104" t="e">
        <f>AND(#REF!,"AAAAAF/7/d4=")</f>
        <v>#REF!</v>
      </c>
      <c r="HP104" t="e">
        <f>AND(#REF!,"AAAAAF/7/d8=")</f>
        <v>#REF!</v>
      </c>
      <c r="HQ104" t="e">
        <f>AND(#REF!,"AAAAAF/7/eA=")</f>
        <v>#REF!</v>
      </c>
      <c r="HR104" t="e">
        <f>AND(#REF!,"AAAAAF/7/eE=")</f>
        <v>#REF!</v>
      </c>
      <c r="HS104" t="e">
        <f>AND(#REF!,"AAAAAF/7/eI=")</f>
        <v>#REF!</v>
      </c>
      <c r="HT104" t="e">
        <f>AND(#REF!,"AAAAAF/7/eM=")</f>
        <v>#REF!</v>
      </c>
      <c r="HU104" t="e">
        <f>AND(#REF!,"AAAAAF/7/eQ=")</f>
        <v>#REF!</v>
      </c>
      <c r="HV104" t="e">
        <f>AND(#REF!,"AAAAAF/7/eU=")</f>
        <v>#REF!</v>
      </c>
      <c r="HW104" t="e">
        <f>AND(#REF!,"AAAAAF/7/eY=")</f>
        <v>#REF!</v>
      </c>
      <c r="HX104" t="e">
        <f>AND(#REF!,"AAAAAF/7/ec=")</f>
        <v>#REF!</v>
      </c>
      <c r="HY104" t="e">
        <f>AND(#REF!,"AAAAAF/7/eg=")</f>
        <v>#REF!</v>
      </c>
      <c r="HZ104" t="e">
        <f>AND(#REF!,"AAAAAF/7/ek=")</f>
        <v>#REF!</v>
      </c>
      <c r="IA104" t="e">
        <f>AND(#REF!,"AAAAAF/7/eo=")</f>
        <v>#REF!</v>
      </c>
      <c r="IB104" t="e">
        <f>AND(#REF!,"AAAAAF/7/es=")</f>
        <v>#REF!</v>
      </c>
      <c r="IC104" t="e">
        <f>AND(#REF!,"AAAAAF/7/ew=")</f>
        <v>#REF!</v>
      </c>
      <c r="ID104" t="e">
        <f>AND(#REF!,"AAAAAF/7/e0=")</f>
        <v>#REF!</v>
      </c>
      <c r="IE104" t="e">
        <f>AND(#REF!,"AAAAAF/7/e4=")</f>
        <v>#REF!</v>
      </c>
      <c r="IF104" t="e">
        <f>AND(#REF!,"AAAAAF/7/e8=")</f>
        <v>#REF!</v>
      </c>
      <c r="IG104" t="e">
        <f>AND(#REF!,"AAAAAF/7/fA=")</f>
        <v>#REF!</v>
      </c>
      <c r="IH104" t="e">
        <f>AND(#REF!,"AAAAAF/7/fE=")</f>
        <v>#REF!</v>
      </c>
      <c r="II104" t="e">
        <f>IF(#REF!,"AAAAAF/7/fI=",0)</f>
        <v>#REF!</v>
      </c>
      <c r="IJ104" t="e">
        <f>AND(#REF!,"AAAAAF/7/fM=")</f>
        <v>#REF!</v>
      </c>
      <c r="IK104" t="e">
        <f>AND(#REF!,"AAAAAF/7/fQ=")</f>
        <v>#REF!</v>
      </c>
      <c r="IL104" t="e">
        <f>AND(#REF!,"AAAAAF/7/fU=")</f>
        <v>#REF!</v>
      </c>
      <c r="IM104" t="e">
        <f>AND(#REF!,"AAAAAF/7/fY=")</f>
        <v>#REF!</v>
      </c>
      <c r="IN104" t="e">
        <f>AND(#REF!,"AAAAAF/7/fc=")</f>
        <v>#REF!</v>
      </c>
      <c r="IO104" t="e">
        <f>AND(#REF!,"AAAAAF/7/fg=")</f>
        <v>#REF!</v>
      </c>
      <c r="IP104" t="e">
        <f>AND(#REF!,"AAAAAF/7/fk=")</f>
        <v>#REF!</v>
      </c>
      <c r="IQ104" t="e">
        <f>AND(#REF!,"AAAAAF/7/fo=")</f>
        <v>#REF!</v>
      </c>
      <c r="IR104" t="e">
        <f>AND(#REF!,"AAAAAF/7/fs=")</f>
        <v>#REF!</v>
      </c>
      <c r="IS104" t="e">
        <f>AND(#REF!,"AAAAAF/7/fw=")</f>
        <v>#REF!</v>
      </c>
      <c r="IT104" t="e">
        <f>AND(#REF!,"AAAAAF/7/f0=")</f>
        <v>#REF!</v>
      </c>
      <c r="IU104" t="e">
        <f>AND(#REF!,"AAAAAF/7/f4=")</f>
        <v>#REF!</v>
      </c>
      <c r="IV104" t="e">
        <f>AND(#REF!,"AAAAAF/7/f8=")</f>
        <v>#REF!</v>
      </c>
    </row>
    <row r="105" spans="1:256">
      <c r="A105" t="e">
        <f>AND(#REF!,"AAAAAE//+QA=")</f>
        <v>#REF!</v>
      </c>
      <c r="B105" t="e">
        <f>AND(#REF!,"AAAAAE//+QE=")</f>
        <v>#REF!</v>
      </c>
      <c r="C105" t="e">
        <f>AND(#REF!,"AAAAAE//+QI=")</f>
        <v>#REF!</v>
      </c>
      <c r="D105" t="e">
        <f>AND(#REF!,"AAAAAE//+QM=")</f>
        <v>#REF!</v>
      </c>
      <c r="E105" t="e">
        <f>AND(#REF!,"AAAAAE//+QQ=")</f>
        <v>#REF!</v>
      </c>
      <c r="F105" t="e">
        <f>AND(#REF!,"AAAAAE//+QU=")</f>
        <v>#REF!</v>
      </c>
      <c r="G105" t="e">
        <f>AND(#REF!,"AAAAAE//+QY=")</f>
        <v>#REF!</v>
      </c>
      <c r="H105" t="e">
        <f>AND(#REF!,"AAAAAE//+Qc=")</f>
        <v>#REF!</v>
      </c>
      <c r="I105" t="e">
        <f>AND(#REF!,"AAAAAE//+Qg=")</f>
        <v>#REF!</v>
      </c>
      <c r="J105" t="e">
        <f>AND(#REF!,"AAAAAE//+Qk=")</f>
        <v>#REF!</v>
      </c>
      <c r="K105" t="e">
        <f>AND(#REF!,"AAAAAE//+Qo=")</f>
        <v>#REF!</v>
      </c>
      <c r="L105" t="e">
        <f>IF(#REF!,"AAAAAE//+Qs=",0)</f>
        <v>#REF!</v>
      </c>
      <c r="M105" t="e">
        <f>AND(#REF!,"AAAAAE//+Qw=")</f>
        <v>#REF!</v>
      </c>
      <c r="N105" t="e">
        <f>AND(#REF!,"AAAAAE//+Q0=")</f>
        <v>#REF!</v>
      </c>
      <c r="O105" t="e">
        <f>AND(#REF!,"AAAAAE//+Q4=")</f>
        <v>#REF!</v>
      </c>
      <c r="P105" t="e">
        <f>AND(#REF!,"AAAAAE//+Q8=")</f>
        <v>#REF!</v>
      </c>
      <c r="Q105" t="e">
        <f>AND(#REF!,"AAAAAE//+RA=")</f>
        <v>#REF!</v>
      </c>
      <c r="R105" t="e">
        <f>AND(#REF!,"AAAAAE//+RE=")</f>
        <v>#REF!</v>
      </c>
      <c r="S105" t="e">
        <f>AND(#REF!,"AAAAAE//+RI=")</f>
        <v>#REF!</v>
      </c>
      <c r="T105" t="e">
        <f>AND(#REF!,"AAAAAE//+RM=")</f>
        <v>#REF!</v>
      </c>
      <c r="U105" t="e">
        <f>AND(#REF!,"AAAAAE//+RQ=")</f>
        <v>#REF!</v>
      </c>
      <c r="V105" t="e">
        <f>AND(#REF!,"AAAAAE//+RU=")</f>
        <v>#REF!</v>
      </c>
      <c r="W105" t="e">
        <f>AND(#REF!,"AAAAAE//+RY=")</f>
        <v>#REF!</v>
      </c>
      <c r="X105" t="e">
        <f>AND(#REF!,"AAAAAE//+Rc=")</f>
        <v>#REF!</v>
      </c>
      <c r="Y105" t="e">
        <f>AND(#REF!,"AAAAAE//+Rg=")</f>
        <v>#REF!</v>
      </c>
      <c r="Z105" t="e">
        <f>AND(#REF!,"AAAAAE//+Rk=")</f>
        <v>#REF!</v>
      </c>
      <c r="AA105" t="e">
        <f>AND(#REF!,"AAAAAE//+Ro=")</f>
        <v>#REF!</v>
      </c>
      <c r="AB105" t="e">
        <f>AND(#REF!,"AAAAAE//+Rs=")</f>
        <v>#REF!</v>
      </c>
      <c r="AC105" t="e">
        <f>AND(#REF!,"AAAAAE//+Rw=")</f>
        <v>#REF!</v>
      </c>
      <c r="AD105" t="e">
        <f>AND(#REF!,"AAAAAE//+R0=")</f>
        <v>#REF!</v>
      </c>
      <c r="AE105" t="e">
        <f>AND(#REF!,"AAAAAE//+R4=")</f>
        <v>#REF!</v>
      </c>
      <c r="AF105" t="e">
        <f>AND(#REF!,"AAAAAE//+R8=")</f>
        <v>#REF!</v>
      </c>
      <c r="AG105" t="e">
        <f>AND(#REF!,"AAAAAE//+SA=")</f>
        <v>#REF!</v>
      </c>
      <c r="AH105" t="e">
        <f>AND(#REF!,"AAAAAE//+SE=")</f>
        <v>#REF!</v>
      </c>
      <c r="AI105" t="e">
        <f>AND(#REF!,"AAAAAE//+SI=")</f>
        <v>#REF!</v>
      </c>
      <c r="AJ105" t="e">
        <f>AND(#REF!,"AAAAAE//+SM=")</f>
        <v>#REF!</v>
      </c>
      <c r="AK105" t="e">
        <f>IF(#REF!,"AAAAAE//+SQ=",0)</f>
        <v>#REF!</v>
      </c>
      <c r="AL105" t="e">
        <f>AND(#REF!,"AAAAAE//+SU=")</f>
        <v>#REF!</v>
      </c>
      <c r="AM105" t="e">
        <f>AND(#REF!,"AAAAAE//+SY=")</f>
        <v>#REF!</v>
      </c>
      <c r="AN105" t="e">
        <f>AND(#REF!,"AAAAAE//+Sc=")</f>
        <v>#REF!</v>
      </c>
      <c r="AO105" t="e">
        <f>AND(#REF!,"AAAAAE//+Sg=")</f>
        <v>#REF!</v>
      </c>
      <c r="AP105" t="e">
        <f>AND(#REF!,"AAAAAE//+Sk=")</f>
        <v>#REF!</v>
      </c>
      <c r="AQ105" t="e">
        <f>AND(#REF!,"AAAAAE//+So=")</f>
        <v>#REF!</v>
      </c>
      <c r="AR105" t="e">
        <f>AND(#REF!,"AAAAAE//+Ss=")</f>
        <v>#REF!</v>
      </c>
      <c r="AS105" t="e">
        <f>AND(#REF!,"AAAAAE//+Sw=")</f>
        <v>#REF!</v>
      </c>
      <c r="AT105" t="e">
        <f>AND(#REF!,"AAAAAE//+S0=")</f>
        <v>#REF!</v>
      </c>
      <c r="AU105" t="e">
        <f>AND(#REF!,"AAAAAE//+S4=")</f>
        <v>#REF!</v>
      </c>
      <c r="AV105" t="e">
        <f>AND(#REF!,"AAAAAE//+S8=")</f>
        <v>#REF!</v>
      </c>
      <c r="AW105" t="e">
        <f>AND(#REF!,"AAAAAE//+TA=")</f>
        <v>#REF!</v>
      </c>
      <c r="AX105" t="e">
        <f>AND(#REF!,"AAAAAE//+TE=")</f>
        <v>#REF!</v>
      </c>
      <c r="AY105" t="e">
        <f>AND(#REF!,"AAAAAE//+TI=")</f>
        <v>#REF!</v>
      </c>
      <c r="AZ105" t="e">
        <f>AND(#REF!,"AAAAAE//+TM=")</f>
        <v>#REF!</v>
      </c>
      <c r="BA105" t="e">
        <f>AND(#REF!,"AAAAAE//+TQ=")</f>
        <v>#REF!</v>
      </c>
      <c r="BB105" t="e">
        <f>AND(#REF!,"AAAAAE//+TU=")</f>
        <v>#REF!</v>
      </c>
      <c r="BC105" t="e">
        <f>AND(#REF!,"AAAAAE//+TY=")</f>
        <v>#REF!</v>
      </c>
      <c r="BD105" t="e">
        <f>AND(#REF!,"AAAAAE//+Tc=")</f>
        <v>#REF!</v>
      </c>
      <c r="BE105" t="e">
        <f>AND(#REF!,"AAAAAE//+Tg=")</f>
        <v>#REF!</v>
      </c>
      <c r="BF105" t="e">
        <f>AND(#REF!,"AAAAAE//+Tk=")</f>
        <v>#REF!</v>
      </c>
      <c r="BG105" t="e">
        <f>AND(#REF!,"AAAAAE//+To=")</f>
        <v>#REF!</v>
      </c>
      <c r="BH105" t="e">
        <f>AND(#REF!,"AAAAAE//+Ts=")</f>
        <v>#REF!</v>
      </c>
      <c r="BI105" t="e">
        <f>AND(#REF!,"AAAAAE//+Tw=")</f>
        <v>#REF!</v>
      </c>
      <c r="BJ105" t="e">
        <f>IF(#REF!,"AAAAAE//+T0=",0)</f>
        <v>#REF!</v>
      </c>
      <c r="BK105" t="e">
        <f>AND(#REF!,"AAAAAE//+T4=")</f>
        <v>#REF!</v>
      </c>
      <c r="BL105" t="e">
        <f>AND(#REF!,"AAAAAE//+T8=")</f>
        <v>#REF!</v>
      </c>
      <c r="BM105" t="e">
        <f>AND(#REF!,"AAAAAE//+UA=")</f>
        <v>#REF!</v>
      </c>
      <c r="BN105" t="e">
        <f>AND(#REF!,"AAAAAE//+UE=")</f>
        <v>#REF!</v>
      </c>
      <c r="BO105" t="e">
        <f>AND(#REF!,"AAAAAE//+UI=")</f>
        <v>#REF!</v>
      </c>
      <c r="BP105" t="e">
        <f>AND(#REF!,"AAAAAE//+UM=")</f>
        <v>#REF!</v>
      </c>
      <c r="BQ105" t="e">
        <f>AND(#REF!,"AAAAAE//+UQ=")</f>
        <v>#REF!</v>
      </c>
      <c r="BR105" t="e">
        <f>AND(#REF!,"AAAAAE//+UU=")</f>
        <v>#REF!</v>
      </c>
      <c r="BS105" t="e">
        <f>AND(#REF!,"AAAAAE//+UY=")</f>
        <v>#REF!</v>
      </c>
      <c r="BT105" t="e">
        <f>AND(#REF!,"AAAAAE//+Uc=")</f>
        <v>#REF!</v>
      </c>
      <c r="BU105" t="e">
        <f>AND(#REF!,"AAAAAE//+Ug=")</f>
        <v>#REF!</v>
      </c>
      <c r="BV105" t="e">
        <f>AND(#REF!,"AAAAAE//+Uk=")</f>
        <v>#REF!</v>
      </c>
      <c r="BW105" t="e">
        <f>AND(#REF!,"AAAAAE//+Uo=")</f>
        <v>#REF!</v>
      </c>
      <c r="BX105" t="e">
        <f>AND(#REF!,"AAAAAE//+Us=")</f>
        <v>#REF!</v>
      </c>
      <c r="BY105" t="e">
        <f>AND(#REF!,"AAAAAE//+Uw=")</f>
        <v>#REF!</v>
      </c>
      <c r="BZ105" t="e">
        <f>AND(#REF!,"AAAAAE//+U0=")</f>
        <v>#REF!</v>
      </c>
      <c r="CA105" t="e">
        <f>AND(#REF!,"AAAAAE//+U4=")</f>
        <v>#REF!</v>
      </c>
      <c r="CB105" t="e">
        <f>AND(#REF!,"AAAAAE//+U8=")</f>
        <v>#REF!</v>
      </c>
      <c r="CC105" t="e">
        <f>AND(#REF!,"AAAAAE//+VA=")</f>
        <v>#REF!</v>
      </c>
      <c r="CD105" t="e">
        <f>AND(#REF!,"AAAAAE//+VE=")</f>
        <v>#REF!</v>
      </c>
      <c r="CE105" t="e">
        <f>AND(#REF!,"AAAAAE//+VI=")</f>
        <v>#REF!</v>
      </c>
      <c r="CF105" t="e">
        <f>AND(#REF!,"AAAAAE//+VM=")</f>
        <v>#REF!</v>
      </c>
      <c r="CG105" t="e">
        <f>AND(#REF!,"AAAAAE//+VQ=")</f>
        <v>#REF!</v>
      </c>
      <c r="CH105" t="e">
        <f>AND(#REF!,"AAAAAE//+VU=")</f>
        <v>#REF!</v>
      </c>
      <c r="CI105" t="e">
        <f>IF(#REF!,"AAAAAE//+VY=",0)</f>
        <v>#REF!</v>
      </c>
      <c r="CJ105" t="e">
        <f>AND(#REF!,"AAAAAE//+Vc=")</f>
        <v>#REF!</v>
      </c>
      <c r="CK105" t="e">
        <f>AND(#REF!,"AAAAAE//+Vg=")</f>
        <v>#REF!</v>
      </c>
      <c r="CL105" t="e">
        <f>AND(#REF!,"AAAAAE//+Vk=")</f>
        <v>#REF!</v>
      </c>
      <c r="CM105" t="e">
        <f>AND(#REF!,"AAAAAE//+Vo=")</f>
        <v>#REF!</v>
      </c>
      <c r="CN105" t="e">
        <f>AND(#REF!,"AAAAAE//+Vs=")</f>
        <v>#REF!</v>
      </c>
      <c r="CO105" t="e">
        <f>AND(#REF!,"AAAAAE//+Vw=")</f>
        <v>#REF!</v>
      </c>
      <c r="CP105" t="e">
        <f>AND(#REF!,"AAAAAE//+V0=")</f>
        <v>#REF!</v>
      </c>
      <c r="CQ105" t="e">
        <f>AND(#REF!,"AAAAAE//+V4=")</f>
        <v>#REF!</v>
      </c>
      <c r="CR105" t="e">
        <f>AND(#REF!,"AAAAAE//+V8=")</f>
        <v>#REF!</v>
      </c>
      <c r="CS105" t="e">
        <f>AND(#REF!,"AAAAAE//+WA=")</f>
        <v>#REF!</v>
      </c>
      <c r="CT105" t="e">
        <f>AND(#REF!,"AAAAAE//+WE=")</f>
        <v>#REF!</v>
      </c>
      <c r="CU105" t="e">
        <f>AND(#REF!,"AAAAAE//+WI=")</f>
        <v>#REF!</v>
      </c>
      <c r="CV105" t="e">
        <f>AND(#REF!,"AAAAAE//+WM=")</f>
        <v>#REF!</v>
      </c>
      <c r="CW105" t="e">
        <f>AND(#REF!,"AAAAAE//+WQ=")</f>
        <v>#REF!</v>
      </c>
      <c r="CX105" t="e">
        <f>AND(#REF!,"AAAAAE//+WU=")</f>
        <v>#REF!</v>
      </c>
      <c r="CY105" t="e">
        <f>AND(#REF!,"AAAAAE//+WY=")</f>
        <v>#REF!</v>
      </c>
      <c r="CZ105" t="e">
        <f>AND(#REF!,"AAAAAE//+Wc=")</f>
        <v>#REF!</v>
      </c>
      <c r="DA105" t="e">
        <f>AND(#REF!,"AAAAAE//+Wg=")</f>
        <v>#REF!</v>
      </c>
      <c r="DB105" t="e">
        <f>AND(#REF!,"AAAAAE//+Wk=")</f>
        <v>#REF!</v>
      </c>
      <c r="DC105" t="e">
        <f>AND(#REF!,"AAAAAE//+Wo=")</f>
        <v>#REF!</v>
      </c>
      <c r="DD105" t="e">
        <f>AND(#REF!,"AAAAAE//+Ws=")</f>
        <v>#REF!</v>
      </c>
      <c r="DE105" t="e">
        <f>AND(#REF!,"AAAAAE//+Ww=")</f>
        <v>#REF!</v>
      </c>
      <c r="DF105" t="e">
        <f>AND(#REF!,"AAAAAE//+W0=")</f>
        <v>#REF!</v>
      </c>
      <c r="DG105" t="e">
        <f>AND(#REF!,"AAAAAE//+W4=")</f>
        <v>#REF!</v>
      </c>
      <c r="DH105" t="e">
        <f>IF(#REF!,"AAAAAE//+W8=",0)</f>
        <v>#REF!</v>
      </c>
      <c r="DI105" t="e">
        <f>AND(#REF!,"AAAAAE//+XA=")</f>
        <v>#REF!</v>
      </c>
      <c r="DJ105" t="e">
        <f>AND(#REF!,"AAAAAE//+XE=")</f>
        <v>#REF!</v>
      </c>
      <c r="DK105" t="e">
        <f>AND(#REF!,"AAAAAE//+XI=")</f>
        <v>#REF!</v>
      </c>
      <c r="DL105" t="e">
        <f>AND(#REF!,"AAAAAE//+XM=")</f>
        <v>#REF!</v>
      </c>
      <c r="DM105" t="e">
        <f>AND(#REF!,"AAAAAE//+XQ=")</f>
        <v>#REF!</v>
      </c>
      <c r="DN105" t="e">
        <f>AND(#REF!,"AAAAAE//+XU=")</f>
        <v>#REF!</v>
      </c>
      <c r="DO105" t="e">
        <f>AND(#REF!,"AAAAAE//+XY=")</f>
        <v>#REF!</v>
      </c>
      <c r="DP105" t="e">
        <f>AND(#REF!,"AAAAAE//+Xc=")</f>
        <v>#REF!</v>
      </c>
      <c r="DQ105" t="e">
        <f>AND(#REF!,"AAAAAE//+Xg=")</f>
        <v>#REF!</v>
      </c>
      <c r="DR105" t="e">
        <f>AND(#REF!,"AAAAAE//+Xk=")</f>
        <v>#REF!</v>
      </c>
      <c r="DS105" t="e">
        <f>AND(#REF!,"AAAAAE//+Xo=")</f>
        <v>#REF!</v>
      </c>
      <c r="DT105" t="e">
        <f>AND(#REF!,"AAAAAE//+Xs=")</f>
        <v>#REF!</v>
      </c>
      <c r="DU105" t="e">
        <f>AND(#REF!,"AAAAAE//+Xw=")</f>
        <v>#REF!</v>
      </c>
      <c r="DV105" t="e">
        <f>AND(#REF!,"AAAAAE//+X0=")</f>
        <v>#REF!</v>
      </c>
      <c r="DW105" t="e">
        <f>AND(#REF!,"AAAAAE//+X4=")</f>
        <v>#REF!</v>
      </c>
      <c r="DX105" t="e">
        <f>AND(#REF!,"AAAAAE//+X8=")</f>
        <v>#REF!</v>
      </c>
      <c r="DY105" t="e">
        <f>AND(#REF!,"AAAAAE//+YA=")</f>
        <v>#REF!</v>
      </c>
      <c r="DZ105" t="e">
        <f>AND(#REF!,"AAAAAE//+YE=")</f>
        <v>#REF!</v>
      </c>
      <c r="EA105" t="e">
        <f>AND(#REF!,"AAAAAE//+YI=")</f>
        <v>#REF!</v>
      </c>
      <c r="EB105" t="e">
        <f>AND(#REF!,"AAAAAE//+YM=")</f>
        <v>#REF!</v>
      </c>
      <c r="EC105" t="e">
        <f>AND(#REF!,"AAAAAE//+YQ=")</f>
        <v>#REF!</v>
      </c>
      <c r="ED105" t="e">
        <f>AND(#REF!,"AAAAAE//+YU=")</f>
        <v>#REF!</v>
      </c>
      <c r="EE105" t="e">
        <f>AND(#REF!,"AAAAAE//+YY=")</f>
        <v>#REF!</v>
      </c>
      <c r="EF105" t="e">
        <f>AND(#REF!,"AAAAAE//+Yc=")</f>
        <v>#REF!</v>
      </c>
      <c r="EG105" t="e">
        <f>IF(#REF!,"AAAAAE//+Yg=",0)</f>
        <v>#REF!</v>
      </c>
      <c r="EH105" t="e">
        <f>AND(#REF!,"AAAAAE//+Yk=")</f>
        <v>#REF!</v>
      </c>
      <c r="EI105" t="e">
        <f>AND(#REF!,"AAAAAE//+Yo=")</f>
        <v>#REF!</v>
      </c>
      <c r="EJ105" t="e">
        <f>AND(#REF!,"AAAAAE//+Ys=")</f>
        <v>#REF!</v>
      </c>
      <c r="EK105" t="e">
        <f>AND(#REF!,"AAAAAE//+Yw=")</f>
        <v>#REF!</v>
      </c>
      <c r="EL105" t="e">
        <f>AND(#REF!,"AAAAAE//+Y0=")</f>
        <v>#REF!</v>
      </c>
      <c r="EM105" t="e">
        <f>AND(#REF!,"AAAAAE//+Y4=")</f>
        <v>#REF!</v>
      </c>
      <c r="EN105" t="e">
        <f>AND(#REF!,"AAAAAE//+Y8=")</f>
        <v>#REF!</v>
      </c>
      <c r="EO105" t="e">
        <f>AND(#REF!,"AAAAAE//+ZA=")</f>
        <v>#REF!</v>
      </c>
      <c r="EP105" t="e">
        <f>AND(#REF!,"AAAAAE//+ZE=")</f>
        <v>#REF!</v>
      </c>
      <c r="EQ105" t="e">
        <f>AND(#REF!,"AAAAAE//+ZI=")</f>
        <v>#REF!</v>
      </c>
      <c r="ER105" t="e">
        <f>AND(#REF!,"AAAAAE//+ZM=")</f>
        <v>#REF!</v>
      </c>
      <c r="ES105" t="e">
        <f>AND(#REF!,"AAAAAE//+ZQ=")</f>
        <v>#REF!</v>
      </c>
      <c r="ET105" t="e">
        <f>AND(#REF!,"AAAAAE//+ZU=")</f>
        <v>#REF!</v>
      </c>
      <c r="EU105" t="e">
        <f>AND(#REF!,"AAAAAE//+ZY=")</f>
        <v>#REF!</v>
      </c>
      <c r="EV105" t="e">
        <f>AND(#REF!,"AAAAAE//+Zc=")</f>
        <v>#REF!</v>
      </c>
      <c r="EW105" t="e">
        <f>AND(#REF!,"AAAAAE//+Zg=")</f>
        <v>#REF!</v>
      </c>
      <c r="EX105" t="e">
        <f>AND(#REF!,"AAAAAE//+Zk=")</f>
        <v>#REF!</v>
      </c>
      <c r="EY105" t="e">
        <f>AND(#REF!,"AAAAAE//+Zo=")</f>
        <v>#REF!</v>
      </c>
      <c r="EZ105" t="e">
        <f>AND(#REF!,"AAAAAE//+Zs=")</f>
        <v>#REF!</v>
      </c>
      <c r="FA105" t="e">
        <f>AND(#REF!,"AAAAAE//+Zw=")</f>
        <v>#REF!</v>
      </c>
      <c r="FB105" t="e">
        <f>AND(#REF!,"AAAAAE//+Z0=")</f>
        <v>#REF!</v>
      </c>
      <c r="FC105" t="e">
        <f>AND(#REF!,"AAAAAE//+Z4=")</f>
        <v>#REF!</v>
      </c>
      <c r="FD105" t="e">
        <f>AND(#REF!,"AAAAAE//+Z8=")</f>
        <v>#REF!</v>
      </c>
      <c r="FE105" t="e">
        <f>AND(#REF!,"AAAAAE//+aA=")</f>
        <v>#REF!</v>
      </c>
      <c r="FF105" t="e">
        <f>IF(#REF!,"AAAAAE//+aE=",0)</f>
        <v>#REF!</v>
      </c>
      <c r="FG105" t="e">
        <f>AND(#REF!,"AAAAAE//+aI=")</f>
        <v>#REF!</v>
      </c>
      <c r="FH105" t="e">
        <f>AND(#REF!,"AAAAAE//+aM=")</f>
        <v>#REF!</v>
      </c>
      <c r="FI105" t="e">
        <f>AND(#REF!,"AAAAAE//+aQ=")</f>
        <v>#REF!</v>
      </c>
      <c r="FJ105" t="e">
        <f>AND(#REF!,"AAAAAE//+aU=")</f>
        <v>#REF!</v>
      </c>
      <c r="FK105" t="e">
        <f>AND(#REF!,"AAAAAE//+aY=")</f>
        <v>#REF!</v>
      </c>
      <c r="FL105" t="e">
        <f>AND(#REF!,"AAAAAE//+ac=")</f>
        <v>#REF!</v>
      </c>
      <c r="FM105" t="e">
        <f>AND(#REF!,"AAAAAE//+ag=")</f>
        <v>#REF!</v>
      </c>
      <c r="FN105" t="e">
        <f>AND(#REF!,"AAAAAE//+ak=")</f>
        <v>#REF!</v>
      </c>
      <c r="FO105" t="e">
        <f>AND(#REF!,"AAAAAE//+ao=")</f>
        <v>#REF!</v>
      </c>
      <c r="FP105" t="e">
        <f>AND(#REF!,"AAAAAE//+as=")</f>
        <v>#REF!</v>
      </c>
      <c r="FQ105" t="e">
        <f>AND(#REF!,"AAAAAE//+aw=")</f>
        <v>#REF!</v>
      </c>
      <c r="FR105" t="e">
        <f>AND(#REF!,"AAAAAE//+a0=")</f>
        <v>#REF!</v>
      </c>
      <c r="FS105" t="e">
        <f>AND(#REF!,"AAAAAE//+a4=")</f>
        <v>#REF!</v>
      </c>
      <c r="FT105" t="e">
        <f>AND(#REF!,"AAAAAE//+a8=")</f>
        <v>#REF!</v>
      </c>
      <c r="FU105" t="e">
        <f>AND(#REF!,"AAAAAE//+bA=")</f>
        <v>#REF!</v>
      </c>
      <c r="FV105" t="e">
        <f>AND(#REF!,"AAAAAE//+bE=")</f>
        <v>#REF!</v>
      </c>
      <c r="FW105" t="e">
        <f>AND(#REF!,"AAAAAE//+bI=")</f>
        <v>#REF!</v>
      </c>
      <c r="FX105" t="e">
        <f>AND(#REF!,"AAAAAE//+bM=")</f>
        <v>#REF!</v>
      </c>
      <c r="FY105" t="e">
        <f>AND(#REF!,"AAAAAE//+bQ=")</f>
        <v>#REF!</v>
      </c>
      <c r="FZ105" t="e">
        <f>AND(#REF!,"AAAAAE//+bU=")</f>
        <v>#REF!</v>
      </c>
      <c r="GA105" t="e">
        <f>AND(#REF!,"AAAAAE//+bY=")</f>
        <v>#REF!</v>
      </c>
      <c r="GB105" t="e">
        <f>AND(#REF!,"AAAAAE//+bc=")</f>
        <v>#REF!</v>
      </c>
      <c r="GC105" t="e">
        <f>AND(#REF!,"AAAAAE//+bg=")</f>
        <v>#REF!</v>
      </c>
      <c r="GD105" t="e">
        <f>AND(#REF!,"AAAAAE//+bk=")</f>
        <v>#REF!</v>
      </c>
      <c r="GE105" t="e">
        <f>IF(#REF!,"AAAAAE//+bo=",0)</f>
        <v>#REF!</v>
      </c>
      <c r="GF105" t="e">
        <f>AND(#REF!,"AAAAAE//+bs=")</f>
        <v>#REF!</v>
      </c>
      <c r="GG105" t="e">
        <f>AND(#REF!,"AAAAAE//+bw=")</f>
        <v>#REF!</v>
      </c>
      <c r="GH105" t="e">
        <f>AND(#REF!,"AAAAAE//+b0=")</f>
        <v>#REF!</v>
      </c>
      <c r="GI105" t="e">
        <f>AND(#REF!,"AAAAAE//+b4=")</f>
        <v>#REF!</v>
      </c>
      <c r="GJ105" t="e">
        <f>AND(#REF!,"AAAAAE//+b8=")</f>
        <v>#REF!</v>
      </c>
      <c r="GK105" t="e">
        <f>AND(#REF!,"AAAAAE//+cA=")</f>
        <v>#REF!</v>
      </c>
      <c r="GL105" t="e">
        <f>AND(#REF!,"AAAAAE//+cE=")</f>
        <v>#REF!</v>
      </c>
      <c r="GM105" t="e">
        <f>AND(#REF!,"AAAAAE//+cI=")</f>
        <v>#REF!</v>
      </c>
      <c r="GN105" t="e">
        <f>AND(#REF!,"AAAAAE//+cM=")</f>
        <v>#REF!</v>
      </c>
      <c r="GO105" t="e">
        <f>AND(#REF!,"AAAAAE//+cQ=")</f>
        <v>#REF!</v>
      </c>
      <c r="GP105" t="e">
        <f>AND(#REF!,"AAAAAE//+cU=")</f>
        <v>#REF!</v>
      </c>
      <c r="GQ105" t="e">
        <f>AND(#REF!,"AAAAAE//+cY=")</f>
        <v>#REF!</v>
      </c>
      <c r="GR105" t="e">
        <f>AND(#REF!,"AAAAAE//+cc=")</f>
        <v>#REF!</v>
      </c>
      <c r="GS105" t="e">
        <f>AND(#REF!,"AAAAAE//+cg=")</f>
        <v>#REF!</v>
      </c>
      <c r="GT105" t="e">
        <f>AND(#REF!,"AAAAAE//+ck=")</f>
        <v>#REF!</v>
      </c>
      <c r="GU105" t="e">
        <f>AND(#REF!,"AAAAAE//+co=")</f>
        <v>#REF!</v>
      </c>
      <c r="GV105" t="e">
        <f>AND(#REF!,"AAAAAE//+cs=")</f>
        <v>#REF!</v>
      </c>
      <c r="GW105" t="e">
        <f>AND(#REF!,"AAAAAE//+cw=")</f>
        <v>#REF!</v>
      </c>
      <c r="GX105" t="e">
        <f>AND(#REF!,"AAAAAE//+c0=")</f>
        <v>#REF!</v>
      </c>
      <c r="GY105" t="e">
        <f>AND(#REF!,"AAAAAE//+c4=")</f>
        <v>#REF!</v>
      </c>
      <c r="GZ105" t="e">
        <f>AND(#REF!,"AAAAAE//+c8=")</f>
        <v>#REF!</v>
      </c>
      <c r="HA105" t="e">
        <f>AND(#REF!,"AAAAAE//+dA=")</f>
        <v>#REF!</v>
      </c>
      <c r="HB105" t="e">
        <f>AND(#REF!,"AAAAAE//+dE=")</f>
        <v>#REF!</v>
      </c>
      <c r="HC105" t="e">
        <f>AND(#REF!,"AAAAAE//+dI=")</f>
        <v>#REF!</v>
      </c>
      <c r="HD105" t="e">
        <f>IF(#REF!,"AAAAAE//+dM=",0)</f>
        <v>#REF!</v>
      </c>
      <c r="HE105" t="e">
        <f>AND(#REF!,"AAAAAE//+dQ=")</f>
        <v>#REF!</v>
      </c>
      <c r="HF105" t="e">
        <f>AND(#REF!,"AAAAAE//+dU=")</f>
        <v>#REF!</v>
      </c>
      <c r="HG105" t="e">
        <f>AND(#REF!,"AAAAAE//+dY=")</f>
        <v>#REF!</v>
      </c>
      <c r="HH105" t="e">
        <f>AND(#REF!,"AAAAAE//+dc=")</f>
        <v>#REF!</v>
      </c>
      <c r="HI105" t="e">
        <f>AND(#REF!,"AAAAAE//+dg=")</f>
        <v>#REF!</v>
      </c>
      <c r="HJ105" t="e">
        <f>AND(#REF!,"AAAAAE//+dk=")</f>
        <v>#REF!</v>
      </c>
      <c r="HK105" t="e">
        <f>AND(#REF!,"AAAAAE//+do=")</f>
        <v>#REF!</v>
      </c>
      <c r="HL105" t="e">
        <f>AND(#REF!,"AAAAAE//+ds=")</f>
        <v>#REF!</v>
      </c>
      <c r="HM105" t="e">
        <f>AND(#REF!,"AAAAAE//+dw=")</f>
        <v>#REF!</v>
      </c>
      <c r="HN105" t="e">
        <f>AND(#REF!,"AAAAAE//+d0=")</f>
        <v>#REF!</v>
      </c>
      <c r="HO105" t="e">
        <f>AND(#REF!,"AAAAAE//+d4=")</f>
        <v>#REF!</v>
      </c>
      <c r="HP105" t="e">
        <f>AND(#REF!,"AAAAAE//+d8=")</f>
        <v>#REF!</v>
      </c>
      <c r="HQ105" t="e">
        <f>AND(#REF!,"AAAAAE//+eA=")</f>
        <v>#REF!</v>
      </c>
      <c r="HR105" t="e">
        <f>AND(#REF!,"AAAAAE//+eE=")</f>
        <v>#REF!</v>
      </c>
      <c r="HS105" t="e">
        <f>AND(#REF!,"AAAAAE//+eI=")</f>
        <v>#REF!</v>
      </c>
      <c r="HT105" t="e">
        <f>AND(#REF!,"AAAAAE//+eM=")</f>
        <v>#REF!</v>
      </c>
      <c r="HU105" t="e">
        <f>AND(#REF!,"AAAAAE//+eQ=")</f>
        <v>#REF!</v>
      </c>
      <c r="HV105" t="e">
        <f>AND(#REF!,"AAAAAE//+eU=")</f>
        <v>#REF!</v>
      </c>
      <c r="HW105" t="e">
        <f>AND(#REF!,"AAAAAE//+eY=")</f>
        <v>#REF!</v>
      </c>
      <c r="HX105" t="e">
        <f>AND(#REF!,"AAAAAE//+ec=")</f>
        <v>#REF!</v>
      </c>
      <c r="HY105" t="e">
        <f>AND(#REF!,"AAAAAE//+eg=")</f>
        <v>#REF!</v>
      </c>
      <c r="HZ105" t="e">
        <f>AND(#REF!,"AAAAAE//+ek=")</f>
        <v>#REF!</v>
      </c>
      <c r="IA105" t="e">
        <f>AND(#REF!,"AAAAAE//+eo=")</f>
        <v>#REF!</v>
      </c>
      <c r="IB105" t="e">
        <f>AND(#REF!,"AAAAAE//+es=")</f>
        <v>#REF!</v>
      </c>
      <c r="IC105" t="e">
        <f>IF(#REF!,"AAAAAE//+ew=",0)</f>
        <v>#REF!</v>
      </c>
      <c r="ID105" t="e">
        <f>AND(#REF!,"AAAAAE//+e0=")</f>
        <v>#REF!</v>
      </c>
      <c r="IE105" t="e">
        <f>AND(#REF!,"AAAAAE//+e4=")</f>
        <v>#REF!</v>
      </c>
      <c r="IF105" t="e">
        <f>AND(#REF!,"AAAAAE//+e8=")</f>
        <v>#REF!</v>
      </c>
      <c r="IG105" t="e">
        <f>AND(#REF!,"AAAAAE//+fA=")</f>
        <v>#REF!</v>
      </c>
      <c r="IH105" t="e">
        <f>AND(#REF!,"AAAAAE//+fE=")</f>
        <v>#REF!</v>
      </c>
      <c r="II105" t="e">
        <f>AND(#REF!,"AAAAAE//+fI=")</f>
        <v>#REF!</v>
      </c>
      <c r="IJ105" t="e">
        <f>AND(#REF!,"AAAAAE//+fM=")</f>
        <v>#REF!</v>
      </c>
      <c r="IK105" t="e">
        <f>AND(#REF!,"AAAAAE//+fQ=")</f>
        <v>#REF!</v>
      </c>
      <c r="IL105" t="e">
        <f>AND(#REF!,"AAAAAE//+fU=")</f>
        <v>#REF!</v>
      </c>
      <c r="IM105" t="e">
        <f>AND(#REF!,"AAAAAE//+fY=")</f>
        <v>#REF!</v>
      </c>
      <c r="IN105" t="e">
        <f>AND(#REF!,"AAAAAE//+fc=")</f>
        <v>#REF!</v>
      </c>
      <c r="IO105" t="e">
        <f>AND(#REF!,"AAAAAE//+fg=")</f>
        <v>#REF!</v>
      </c>
      <c r="IP105" t="e">
        <f>AND(#REF!,"AAAAAE//+fk=")</f>
        <v>#REF!</v>
      </c>
      <c r="IQ105" t="e">
        <f>AND(#REF!,"AAAAAE//+fo=")</f>
        <v>#REF!</v>
      </c>
      <c r="IR105" t="e">
        <f>AND(#REF!,"AAAAAE//+fs=")</f>
        <v>#REF!</v>
      </c>
      <c r="IS105" t="e">
        <f>AND(#REF!,"AAAAAE//+fw=")</f>
        <v>#REF!</v>
      </c>
      <c r="IT105" t="e">
        <f>AND(#REF!,"AAAAAE//+f0=")</f>
        <v>#REF!</v>
      </c>
      <c r="IU105" t="e">
        <f>AND(#REF!,"AAAAAE//+f4=")</f>
        <v>#REF!</v>
      </c>
      <c r="IV105" t="e">
        <f>AND(#REF!,"AAAAAE//+f8=")</f>
        <v>#REF!</v>
      </c>
    </row>
    <row r="106" spans="1:256">
      <c r="A106" t="e">
        <f>AND(#REF!,"AAAAAD/T/QA=")</f>
        <v>#REF!</v>
      </c>
      <c r="B106" t="e">
        <f>AND(#REF!,"AAAAAD/T/QE=")</f>
        <v>#REF!</v>
      </c>
      <c r="C106" t="e">
        <f>AND(#REF!,"AAAAAD/T/QI=")</f>
        <v>#REF!</v>
      </c>
      <c r="D106" t="e">
        <f>AND(#REF!,"AAAAAD/T/QM=")</f>
        <v>#REF!</v>
      </c>
      <c r="E106" t="e">
        <f>AND(#REF!,"AAAAAD/T/QQ=")</f>
        <v>#REF!</v>
      </c>
      <c r="F106" t="e">
        <f>IF(#REF!,"AAAAAD/T/QU=",0)</f>
        <v>#REF!</v>
      </c>
      <c r="G106" t="e">
        <f>AND(#REF!,"AAAAAD/T/QY=")</f>
        <v>#REF!</v>
      </c>
      <c r="H106" t="e">
        <f>AND(#REF!,"AAAAAD/T/Qc=")</f>
        <v>#REF!</v>
      </c>
      <c r="I106" t="e">
        <f>AND(#REF!,"AAAAAD/T/Qg=")</f>
        <v>#REF!</v>
      </c>
      <c r="J106" t="e">
        <f>AND(#REF!,"AAAAAD/T/Qk=")</f>
        <v>#REF!</v>
      </c>
      <c r="K106" t="e">
        <f>AND(#REF!,"AAAAAD/T/Qo=")</f>
        <v>#REF!</v>
      </c>
      <c r="L106" t="e">
        <f>AND(#REF!,"AAAAAD/T/Qs=")</f>
        <v>#REF!</v>
      </c>
      <c r="M106" t="e">
        <f>AND(#REF!,"AAAAAD/T/Qw=")</f>
        <v>#REF!</v>
      </c>
      <c r="N106" t="e">
        <f>AND(#REF!,"AAAAAD/T/Q0=")</f>
        <v>#REF!</v>
      </c>
      <c r="O106" t="e">
        <f>AND(#REF!,"AAAAAD/T/Q4=")</f>
        <v>#REF!</v>
      </c>
      <c r="P106" t="e">
        <f>AND(#REF!,"AAAAAD/T/Q8=")</f>
        <v>#REF!</v>
      </c>
      <c r="Q106" t="e">
        <f>AND(#REF!,"AAAAAD/T/RA=")</f>
        <v>#REF!</v>
      </c>
      <c r="R106" t="e">
        <f>AND(#REF!,"AAAAAD/T/RE=")</f>
        <v>#REF!</v>
      </c>
      <c r="S106" t="e">
        <f>AND(#REF!,"AAAAAD/T/RI=")</f>
        <v>#REF!</v>
      </c>
      <c r="T106" t="e">
        <f>AND(#REF!,"AAAAAD/T/RM=")</f>
        <v>#REF!</v>
      </c>
      <c r="U106" t="e">
        <f>AND(#REF!,"AAAAAD/T/RQ=")</f>
        <v>#REF!</v>
      </c>
      <c r="V106" t="e">
        <f>AND(#REF!,"AAAAAD/T/RU=")</f>
        <v>#REF!</v>
      </c>
      <c r="W106" t="e">
        <f>AND(#REF!,"AAAAAD/T/RY=")</f>
        <v>#REF!</v>
      </c>
      <c r="X106" t="e">
        <f>AND(#REF!,"AAAAAD/T/Rc=")</f>
        <v>#REF!</v>
      </c>
      <c r="Y106" t="e">
        <f>AND(#REF!,"AAAAAD/T/Rg=")</f>
        <v>#REF!</v>
      </c>
      <c r="Z106" t="e">
        <f>AND(#REF!,"AAAAAD/T/Rk=")</f>
        <v>#REF!</v>
      </c>
      <c r="AA106" t="e">
        <f>AND(#REF!,"AAAAAD/T/Ro=")</f>
        <v>#REF!</v>
      </c>
      <c r="AB106" t="e">
        <f>AND(#REF!,"AAAAAD/T/Rs=")</f>
        <v>#REF!</v>
      </c>
      <c r="AC106" t="e">
        <f>AND(#REF!,"AAAAAD/T/Rw=")</f>
        <v>#REF!</v>
      </c>
      <c r="AD106" t="e">
        <f>AND(#REF!,"AAAAAD/T/R0=")</f>
        <v>#REF!</v>
      </c>
      <c r="AE106" t="e">
        <f>IF(#REF!,"AAAAAD/T/R4=",0)</f>
        <v>#REF!</v>
      </c>
      <c r="AF106" t="e">
        <f>AND(#REF!,"AAAAAD/T/R8=")</f>
        <v>#REF!</v>
      </c>
      <c r="AG106" t="e">
        <f>AND(#REF!,"AAAAAD/T/SA=")</f>
        <v>#REF!</v>
      </c>
      <c r="AH106" t="e">
        <f>AND(#REF!,"AAAAAD/T/SE=")</f>
        <v>#REF!</v>
      </c>
      <c r="AI106" t="e">
        <f>AND(#REF!,"AAAAAD/T/SI=")</f>
        <v>#REF!</v>
      </c>
      <c r="AJ106" t="e">
        <f>AND(#REF!,"AAAAAD/T/SM=")</f>
        <v>#REF!</v>
      </c>
      <c r="AK106" t="e">
        <f>AND(#REF!,"AAAAAD/T/SQ=")</f>
        <v>#REF!</v>
      </c>
      <c r="AL106" t="e">
        <f>AND(#REF!,"AAAAAD/T/SU=")</f>
        <v>#REF!</v>
      </c>
      <c r="AM106" t="e">
        <f>AND(#REF!,"AAAAAD/T/SY=")</f>
        <v>#REF!</v>
      </c>
      <c r="AN106" t="e">
        <f>AND(#REF!,"AAAAAD/T/Sc=")</f>
        <v>#REF!</v>
      </c>
      <c r="AO106" t="e">
        <f>AND(#REF!,"AAAAAD/T/Sg=")</f>
        <v>#REF!</v>
      </c>
      <c r="AP106" t="e">
        <f>AND(#REF!,"AAAAAD/T/Sk=")</f>
        <v>#REF!</v>
      </c>
      <c r="AQ106" t="e">
        <f>AND(#REF!,"AAAAAD/T/So=")</f>
        <v>#REF!</v>
      </c>
      <c r="AR106" t="e">
        <f>AND(#REF!,"AAAAAD/T/Ss=")</f>
        <v>#REF!</v>
      </c>
      <c r="AS106" t="e">
        <f>AND(#REF!,"AAAAAD/T/Sw=")</f>
        <v>#REF!</v>
      </c>
      <c r="AT106" t="e">
        <f>AND(#REF!,"AAAAAD/T/S0=")</f>
        <v>#REF!</v>
      </c>
      <c r="AU106" t="e">
        <f>AND(#REF!,"AAAAAD/T/S4=")</f>
        <v>#REF!</v>
      </c>
      <c r="AV106" t="e">
        <f>AND(#REF!,"AAAAAD/T/S8=")</f>
        <v>#REF!</v>
      </c>
      <c r="AW106" t="e">
        <f>AND(#REF!,"AAAAAD/T/TA=")</f>
        <v>#REF!</v>
      </c>
      <c r="AX106" t="e">
        <f>AND(#REF!,"AAAAAD/T/TE=")</f>
        <v>#REF!</v>
      </c>
      <c r="AY106" t="e">
        <f>AND(#REF!,"AAAAAD/T/TI=")</f>
        <v>#REF!</v>
      </c>
      <c r="AZ106" t="e">
        <f>AND(#REF!,"AAAAAD/T/TM=")</f>
        <v>#REF!</v>
      </c>
      <c r="BA106" t="e">
        <f>AND(#REF!,"AAAAAD/T/TQ=")</f>
        <v>#REF!</v>
      </c>
      <c r="BB106" t="e">
        <f>AND(#REF!,"AAAAAD/T/TU=")</f>
        <v>#REF!</v>
      </c>
      <c r="BC106" t="e">
        <f>AND(#REF!,"AAAAAD/T/TY=")</f>
        <v>#REF!</v>
      </c>
      <c r="BD106" t="e">
        <f>IF(#REF!,"AAAAAD/T/Tc=",0)</f>
        <v>#REF!</v>
      </c>
      <c r="BE106" t="e">
        <f>AND(#REF!,"AAAAAD/T/Tg=")</f>
        <v>#REF!</v>
      </c>
      <c r="BF106" t="e">
        <f>AND(#REF!,"AAAAAD/T/Tk=")</f>
        <v>#REF!</v>
      </c>
      <c r="BG106" t="e">
        <f>AND(#REF!,"AAAAAD/T/To=")</f>
        <v>#REF!</v>
      </c>
      <c r="BH106" t="e">
        <f>AND(#REF!,"AAAAAD/T/Ts=")</f>
        <v>#REF!</v>
      </c>
      <c r="BI106" t="e">
        <f>AND(#REF!,"AAAAAD/T/Tw=")</f>
        <v>#REF!</v>
      </c>
      <c r="BJ106" t="e">
        <f>AND(#REF!,"AAAAAD/T/T0=")</f>
        <v>#REF!</v>
      </c>
      <c r="BK106" t="e">
        <f>AND(#REF!,"AAAAAD/T/T4=")</f>
        <v>#REF!</v>
      </c>
      <c r="BL106" t="e">
        <f>AND(#REF!,"AAAAAD/T/T8=")</f>
        <v>#REF!</v>
      </c>
      <c r="BM106" t="e">
        <f>AND(#REF!,"AAAAAD/T/UA=")</f>
        <v>#REF!</v>
      </c>
      <c r="BN106" t="e">
        <f>AND(#REF!,"AAAAAD/T/UE=")</f>
        <v>#REF!</v>
      </c>
      <c r="BO106" t="e">
        <f>AND(#REF!,"AAAAAD/T/UI=")</f>
        <v>#REF!</v>
      </c>
      <c r="BP106" t="e">
        <f>AND(#REF!,"AAAAAD/T/UM=")</f>
        <v>#REF!</v>
      </c>
      <c r="BQ106" t="e">
        <f>AND(#REF!,"AAAAAD/T/UQ=")</f>
        <v>#REF!</v>
      </c>
      <c r="BR106" t="e">
        <f>AND(#REF!,"AAAAAD/T/UU=")</f>
        <v>#REF!</v>
      </c>
      <c r="BS106" t="e">
        <f>AND(#REF!,"AAAAAD/T/UY=")</f>
        <v>#REF!</v>
      </c>
      <c r="BT106" t="e">
        <f>AND(#REF!,"AAAAAD/T/Uc=")</f>
        <v>#REF!</v>
      </c>
      <c r="BU106" t="e">
        <f>AND(#REF!,"AAAAAD/T/Ug=")</f>
        <v>#REF!</v>
      </c>
      <c r="BV106" t="e">
        <f>AND(#REF!,"AAAAAD/T/Uk=")</f>
        <v>#REF!</v>
      </c>
      <c r="BW106" t="e">
        <f>AND(#REF!,"AAAAAD/T/Uo=")</f>
        <v>#REF!</v>
      </c>
      <c r="BX106" t="e">
        <f>AND(#REF!,"AAAAAD/T/Us=")</f>
        <v>#REF!</v>
      </c>
      <c r="BY106" t="e">
        <f>AND(#REF!,"AAAAAD/T/Uw=")</f>
        <v>#REF!</v>
      </c>
      <c r="BZ106" t="e">
        <f>AND(#REF!,"AAAAAD/T/U0=")</f>
        <v>#REF!</v>
      </c>
      <c r="CA106" t="e">
        <f>AND(#REF!,"AAAAAD/T/U4=")</f>
        <v>#REF!</v>
      </c>
      <c r="CB106" t="e">
        <f>AND(#REF!,"AAAAAD/T/U8=")</f>
        <v>#REF!</v>
      </c>
      <c r="CC106" t="e">
        <f>IF(#REF!,"AAAAAD/T/VA=",0)</f>
        <v>#REF!</v>
      </c>
      <c r="CD106" t="e">
        <f>AND(#REF!,"AAAAAD/T/VE=")</f>
        <v>#REF!</v>
      </c>
      <c r="CE106" t="e">
        <f>AND(#REF!,"AAAAAD/T/VI=")</f>
        <v>#REF!</v>
      </c>
      <c r="CF106" t="e">
        <f>AND(#REF!,"AAAAAD/T/VM=")</f>
        <v>#REF!</v>
      </c>
      <c r="CG106" t="e">
        <f>AND(#REF!,"AAAAAD/T/VQ=")</f>
        <v>#REF!</v>
      </c>
      <c r="CH106" t="e">
        <f>AND(#REF!,"AAAAAD/T/VU=")</f>
        <v>#REF!</v>
      </c>
      <c r="CI106" t="e">
        <f>AND(#REF!,"AAAAAD/T/VY=")</f>
        <v>#REF!</v>
      </c>
      <c r="CJ106" t="e">
        <f>AND(#REF!,"AAAAAD/T/Vc=")</f>
        <v>#REF!</v>
      </c>
      <c r="CK106" t="e">
        <f>AND(#REF!,"AAAAAD/T/Vg=")</f>
        <v>#REF!</v>
      </c>
      <c r="CL106" t="e">
        <f>AND(#REF!,"AAAAAD/T/Vk=")</f>
        <v>#REF!</v>
      </c>
      <c r="CM106" t="e">
        <f>AND(#REF!,"AAAAAD/T/Vo=")</f>
        <v>#REF!</v>
      </c>
      <c r="CN106" t="e">
        <f>AND(#REF!,"AAAAAD/T/Vs=")</f>
        <v>#REF!</v>
      </c>
      <c r="CO106" t="e">
        <f>AND(#REF!,"AAAAAD/T/Vw=")</f>
        <v>#REF!</v>
      </c>
      <c r="CP106" t="e">
        <f>AND(#REF!,"AAAAAD/T/V0=")</f>
        <v>#REF!</v>
      </c>
      <c r="CQ106" t="e">
        <f>AND(#REF!,"AAAAAD/T/V4=")</f>
        <v>#REF!</v>
      </c>
      <c r="CR106" t="e">
        <f>AND(#REF!,"AAAAAD/T/V8=")</f>
        <v>#REF!</v>
      </c>
      <c r="CS106" t="e">
        <f>AND(#REF!,"AAAAAD/T/WA=")</f>
        <v>#REF!</v>
      </c>
      <c r="CT106" t="e">
        <f>AND(#REF!,"AAAAAD/T/WE=")</f>
        <v>#REF!</v>
      </c>
      <c r="CU106" t="e">
        <f>AND(#REF!,"AAAAAD/T/WI=")</f>
        <v>#REF!</v>
      </c>
      <c r="CV106" t="e">
        <f>AND(#REF!,"AAAAAD/T/WM=")</f>
        <v>#REF!</v>
      </c>
      <c r="CW106" t="e">
        <f>AND(#REF!,"AAAAAD/T/WQ=")</f>
        <v>#REF!</v>
      </c>
      <c r="CX106" t="e">
        <f>AND(#REF!,"AAAAAD/T/WU=")</f>
        <v>#REF!</v>
      </c>
      <c r="CY106" t="e">
        <f>AND(#REF!,"AAAAAD/T/WY=")</f>
        <v>#REF!</v>
      </c>
      <c r="CZ106" t="e">
        <f>AND(#REF!,"AAAAAD/T/Wc=")</f>
        <v>#REF!</v>
      </c>
      <c r="DA106" t="e">
        <f>AND(#REF!,"AAAAAD/T/Wg=")</f>
        <v>#REF!</v>
      </c>
      <c r="DB106" t="e">
        <f>IF(#REF!,"AAAAAD/T/Wk=",0)</f>
        <v>#REF!</v>
      </c>
      <c r="DC106" t="e">
        <f>AND(#REF!,"AAAAAD/T/Wo=")</f>
        <v>#REF!</v>
      </c>
      <c r="DD106" t="e">
        <f>AND(#REF!,"AAAAAD/T/Ws=")</f>
        <v>#REF!</v>
      </c>
      <c r="DE106" t="e">
        <f>AND(#REF!,"AAAAAD/T/Ww=")</f>
        <v>#REF!</v>
      </c>
      <c r="DF106" t="e">
        <f>AND(#REF!,"AAAAAD/T/W0=")</f>
        <v>#REF!</v>
      </c>
      <c r="DG106" t="e">
        <f>AND(#REF!,"AAAAAD/T/W4=")</f>
        <v>#REF!</v>
      </c>
      <c r="DH106" t="e">
        <f>AND(#REF!,"AAAAAD/T/W8=")</f>
        <v>#REF!</v>
      </c>
      <c r="DI106" t="e">
        <f>AND(#REF!,"AAAAAD/T/XA=")</f>
        <v>#REF!</v>
      </c>
      <c r="DJ106" t="e">
        <f>AND(#REF!,"AAAAAD/T/XE=")</f>
        <v>#REF!</v>
      </c>
      <c r="DK106" t="e">
        <f>AND(#REF!,"AAAAAD/T/XI=")</f>
        <v>#REF!</v>
      </c>
      <c r="DL106" t="e">
        <f>AND(#REF!,"AAAAAD/T/XM=")</f>
        <v>#REF!</v>
      </c>
      <c r="DM106" t="e">
        <f>AND(#REF!,"AAAAAD/T/XQ=")</f>
        <v>#REF!</v>
      </c>
      <c r="DN106" t="e">
        <f>AND(#REF!,"AAAAAD/T/XU=")</f>
        <v>#REF!</v>
      </c>
      <c r="DO106" t="e">
        <f>AND(#REF!,"AAAAAD/T/XY=")</f>
        <v>#REF!</v>
      </c>
      <c r="DP106" t="e">
        <f>AND(#REF!,"AAAAAD/T/Xc=")</f>
        <v>#REF!</v>
      </c>
      <c r="DQ106" t="e">
        <f>AND(#REF!,"AAAAAD/T/Xg=")</f>
        <v>#REF!</v>
      </c>
      <c r="DR106" t="e">
        <f>AND(#REF!,"AAAAAD/T/Xk=")</f>
        <v>#REF!</v>
      </c>
      <c r="DS106" t="e">
        <f>AND(#REF!,"AAAAAD/T/Xo=")</f>
        <v>#REF!</v>
      </c>
      <c r="DT106" t="e">
        <f>AND(#REF!,"AAAAAD/T/Xs=")</f>
        <v>#REF!</v>
      </c>
      <c r="DU106" t="e">
        <f>AND(#REF!,"AAAAAD/T/Xw=")</f>
        <v>#REF!</v>
      </c>
      <c r="DV106" t="e">
        <f>AND(#REF!,"AAAAAD/T/X0=")</f>
        <v>#REF!</v>
      </c>
      <c r="DW106" t="e">
        <f>AND(#REF!,"AAAAAD/T/X4=")</f>
        <v>#REF!</v>
      </c>
      <c r="DX106" t="e">
        <f>AND(#REF!,"AAAAAD/T/X8=")</f>
        <v>#REF!</v>
      </c>
      <c r="DY106" t="e">
        <f>AND(#REF!,"AAAAAD/T/YA=")</f>
        <v>#REF!</v>
      </c>
      <c r="DZ106" t="e">
        <f>AND(#REF!,"AAAAAD/T/YE=")</f>
        <v>#REF!</v>
      </c>
      <c r="EA106" t="e">
        <f>IF(#REF!,"AAAAAD/T/YI=",0)</f>
        <v>#REF!</v>
      </c>
      <c r="EB106" t="e">
        <f>AND(#REF!,"AAAAAD/T/YM=")</f>
        <v>#REF!</v>
      </c>
      <c r="EC106" t="e">
        <f>AND(#REF!,"AAAAAD/T/YQ=")</f>
        <v>#REF!</v>
      </c>
      <c r="ED106" t="e">
        <f>AND(#REF!,"AAAAAD/T/YU=")</f>
        <v>#REF!</v>
      </c>
      <c r="EE106" t="e">
        <f>AND(#REF!,"AAAAAD/T/YY=")</f>
        <v>#REF!</v>
      </c>
      <c r="EF106" t="e">
        <f>AND(#REF!,"AAAAAD/T/Yc=")</f>
        <v>#REF!</v>
      </c>
      <c r="EG106" t="e">
        <f>AND(#REF!,"AAAAAD/T/Yg=")</f>
        <v>#REF!</v>
      </c>
      <c r="EH106" t="e">
        <f>AND(#REF!,"AAAAAD/T/Yk=")</f>
        <v>#REF!</v>
      </c>
      <c r="EI106" t="e">
        <f>AND(#REF!,"AAAAAD/T/Yo=")</f>
        <v>#REF!</v>
      </c>
      <c r="EJ106" t="e">
        <f>AND(#REF!,"AAAAAD/T/Ys=")</f>
        <v>#REF!</v>
      </c>
      <c r="EK106" t="e">
        <f>AND(#REF!,"AAAAAD/T/Yw=")</f>
        <v>#REF!</v>
      </c>
      <c r="EL106" t="e">
        <f>AND(#REF!,"AAAAAD/T/Y0=")</f>
        <v>#REF!</v>
      </c>
      <c r="EM106" t="e">
        <f>AND(#REF!,"AAAAAD/T/Y4=")</f>
        <v>#REF!</v>
      </c>
      <c r="EN106" t="e">
        <f>AND(#REF!,"AAAAAD/T/Y8=")</f>
        <v>#REF!</v>
      </c>
      <c r="EO106" t="e">
        <f>AND(#REF!,"AAAAAD/T/ZA=")</f>
        <v>#REF!</v>
      </c>
      <c r="EP106" t="e">
        <f>AND(#REF!,"AAAAAD/T/ZE=")</f>
        <v>#REF!</v>
      </c>
      <c r="EQ106" t="e">
        <f>AND(#REF!,"AAAAAD/T/ZI=")</f>
        <v>#REF!</v>
      </c>
      <c r="ER106" t="e">
        <f>AND(#REF!,"AAAAAD/T/ZM=")</f>
        <v>#REF!</v>
      </c>
      <c r="ES106" t="e">
        <f>AND(#REF!,"AAAAAD/T/ZQ=")</f>
        <v>#REF!</v>
      </c>
      <c r="ET106" t="e">
        <f>AND(#REF!,"AAAAAD/T/ZU=")</f>
        <v>#REF!</v>
      </c>
      <c r="EU106" t="e">
        <f>AND(#REF!,"AAAAAD/T/ZY=")</f>
        <v>#REF!</v>
      </c>
      <c r="EV106" t="e">
        <f>AND(#REF!,"AAAAAD/T/Zc=")</f>
        <v>#REF!</v>
      </c>
      <c r="EW106" t="e">
        <f>AND(#REF!,"AAAAAD/T/Zg=")</f>
        <v>#REF!</v>
      </c>
      <c r="EX106" t="e">
        <f>AND(#REF!,"AAAAAD/T/Zk=")</f>
        <v>#REF!</v>
      </c>
      <c r="EY106" t="e">
        <f>AND(#REF!,"AAAAAD/T/Zo=")</f>
        <v>#REF!</v>
      </c>
      <c r="EZ106" t="e">
        <f>IF(#REF!,"AAAAAD/T/Zs=",0)</f>
        <v>#REF!</v>
      </c>
      <c r="FA106" t="e">
        <f>AND(#REF!,"AAAAAD/T/Zw=")</f>
        <v>#REF!</v>
      </c>
      <c r="FB106" t="e">
        <f>AND(#REF!,"AAAAAD/T/Z0=")</f>
        <v>#REF!</v>
      </c>
      <c r="FC106" t="e">
        <f>AND(#REF!,"AAAAAD/T/Z4=")</f>
        <v>#REF!</v>
      </c>
      <c r="FD106" t="e">
        <f>AND(#REF!,"AAAAAD/T/Z8=")</f>
        <v>#REF!</v>
      </c>
      <c r="FE106" t="e">
        <f>AND(#REF!,"AAAAAD/T/aA=")</f>
        <v>#REF!</v>
      </c>
      <c r="FF106" t="e">
        <f>AND(#REF!,"AAAAAD/T/aE=")</f>
        <v>#REF!</v>
      </c>
      <c r="FG106" t="e">
        <f>AND(#REF!,"AAAAAD/T/aI=")</f>
        <v>#REF!</v>
      </c>
      <c r="FH106" t="e">
        <f>AND(#REF!,"AAAAAD/T/aM=")</f>
        <v>#REF!</v>
      </c>
      <c r="FI106" t="e">
        <f>AND(#REF!,"AAAAAD/T/aQ=")</f>
        <v>#REF!</v>
      </c>
      <c r="FJ106" t="e">
        <f>AND(#REF!,"AAAAAD/T/aU=")</f>
        <v>#REF!</v>
      </c>
      <c r="FK106" t="e">
        <f>AND(#REF!,"AAAAAD/T/aY=")</f>
        <v>#REF!</v>
      </c>
      <c r="FL106" t="e">
        <f>AND(#REF!,"AAAAAD/T/ac=")</f>
        <v>#REF!</v>
      </c>
      <c r="FM106" t="e">
        <f>AND(#REF!,"AAAAAD/T/ag=")</f>
        <v>#REF!</v>
      </c>
      <c r="FN106" t="e">
        <f>AND(#REF!,"AAAAAD/T/ak=")</f>
        <v>#REF!</v>
      </c>
      <c r="FO106" t="e">
        <f>AND(#REF!,"AAAAAD/T/ao=")</f>
        <v>#REF!</v>
      </c>
      <c r="FP106" t="e">
        <f>AND(#REF!,"AAAAAD/T/as=")</f>
        <v>#REF!</v>
      </c>
      <c r="FQ106" t="e">
        <f>AND(#REF!,"AAAAAD/T/aw=")</f>
        <v>#REF!</v>
      </c>
      <c r="FR106" t="e">
        <f>AND(#REF!,"AAAAAD/T/a0=")</f>
        <v>#REF!</v>
      </c>
      <c r="FS106" t="e">
        <f>AND(#REF!,"AAAAAD/T/a4=")</f>
        <v>#REF!</v>
      </c>
      <c r="FT106" t="e">
        <f>AND(#REF!,"AAAAAD/T/a8=")</f>
        <v>#REF!</v>
      </c>
      <c r="FU106" t="e">
        <f>AND(#REF!,"AAAAAD/T/bA=")</f>
        <v>#REF!</v>
      </c>
      <c r="FV106" t="e">
        <f>AND(#REF!,"AAAAAD/T/bE=")</f>
        <v>#REF!</v>
      </c>
      <c r="FW106" t="e">
        <f>AND(#REF!,"AAAAAD/T/bI=")</f>
        <v>#REF!</v>
      </c>
      <c r="FX106" t="e">
        <f>AND(#REF!,"AAAAAD/T/bM=")</f>
        <v>#REF!</v>
      </c>
      <c r="FY106" t="e">
        <f>IF(#REF!,"AAAAAD/T/bQ=",0)</f>
        <v>#REF!</v>
      </c>
      <c r="FZ106" t="e">
        <f>AND(#REF!,"AAAAAD/T/bU=")</f>
        <v>#REF!</v>
      </c>
      <c r="GA106" t="e">
        <f>AND(#REF!,"AAAAAD/T/bY=")</f>
        <v>#REF!</v>
      </c>
      <c r="GB106" t="e">
        <f>AND(#REF!,"AAAAAD/T/bc=")</f>
        <v>#REF!</v>
      </c>
      <c r="GC106" t="e">
        <f>AND(#REF!,"AAAAAD/T/bg=")</f>
        <v>#REF!</v>
      </c>
      <c r="GD106" t="e">
        <f>AND(#REF!,"AAAAAD/T/bk=")</f>
        <v>#REF!</v>
      </c>
      <c r="GE106" t="e">
        <f>AND(#REF!,"AAAAAD/T/bo=")</f>
        <v>#REF!</v>
      </c>
      <c r="GF106" t="e">
        <f>AND(#REF!,"AAAAAD/T/bs=")</f>
        <v>#REF!</v>
      </c>
      <c r="GG106" t="e">
        <f>AND(#REF!,"AAAAAD/T/bw=")</f>
        <v>#REF!</v>
      </c>
      <c r="GH106" t="e">
        <f>AND(#REF!,"AAAAAD/T/b0=")</f>
        <v>#REF!</v>
      </c>
      <c r="GI106" t="e">
        <f>AND(#REF!,"AAAAAD/T/b4=")</f>
        <v>#REF!</v>
      </c>
      <c r="GJ106" t="e">
        <f>AND(#REF!,"AAAAAD/T/b8=")</f>
        <v>#REF!</v>
      </c>
      <c r="GK106" t="e">
        <f>AND(#REF!,"AAAAAD/T/cA=")</f>
        <v>#REF!</v>
      </c>
      <c r="GL106" t="e">
        <f>AND(#REF!,"AAAAAD/T/cE=")</f>
        <v>#REF!</v>
      </c>
      <c r="GM106" t="e">
        <f>AND(#REF!,"AAAAAD/T/cI=")</f>
        <v>#REF!</v>
      </c>
      <c r="GN106" t="e">
        <f>AND(#REF!,"AAAAAD/T/cM=")</f>
        <v>#REF!</v>
      </c>
      <c r="GO106" t="e">
        <f>AND(#REF!,"AAAAAD/T/cQ=")</f>
        <v>#REF!</v>
      </c>
      <c r="GP106" t="e">
        <f>AND(#REF!,"AAAAAD/T/cU=")</f>
        <v>#REF!</v>
      </c>
      <c r="GQ106" t="e">
        <f>AND(#REF!,"AAAAAD/T/cY=")</f>
        <v>#REF!</v>
      </c>
      <c r="GR106" t="e">
        <f>AND(#REF!,"AAAAAD/T/cc=")</f>
        <v>#REF!</v>
      </c>
      <c r="GS106" t="e">
        <f>AND(#REF!,"AAAAAD/T/cg=")</f>
        <v>#REF!</v>
      </c>
      <c r="GT106" t="e">
        <f>AND(#REF!,"AAAAAD/T/ck=")</f>
        <v>#REF!</v>
      </c>
      <c r="GU106" t="e">
        <f>AND(#REF!,"AAAAAD/T/co=")</f>
        <v>#REF!</v>
      </c>
      <c r="GV106" t="e">
        <f>AND(#REF!,"AAAAAD/T/cs=")</f>
        <v>#REF!</v>
      </c>
      <c r="GW106" t="e">
        <f>AND(#REF!,"AAAAAD/T/cw=")</f>
        <v>#REF!</v>
      </c>
      <c r="GX106" t="e">
        <f>IF(#REF!,"AAAAAD/T/c0=",0)</f>
        <v>#REF!</v>
      </c>
      <c r="GY106" t="e">
        <f>AND(#REF!,"AAAAAD/T/c4=")</f>
        <v>#REF!</v>
      </c>
      <c r="GZ106" t="e">
        <f>AND(#REF!,"AAAAAD/T/c8=")</f>
        <v>#REF!</v>
      </c>
      <c r="HA106" t="e">
        <f>AND(#REF!,"AAAAAD/T/dA=")</f>
        <v>#REF!</v>
      </c>
      <c r="HB106" t="e">
        <f>AND(#REF!,"AAAAAD/T/dE=")</f>
        <v>#REF!</v>
      </c>
      <c r="HC106" t="e">
        <f>AND(#REF!,"AAAAAD/T/dI=")</f>
        <v>#REF!</v>
      </c>
      <c r="HD106" t="e">
        <f>AND(#REF!,"AAAAAD/T/dM=")</f>
        <v>#REF!</v>
      </c>
      <c r="HE106" t="e">
        <f>AND(#REF!,"AAAAAD/T/dQ=")</f>
        <v>#REF!</v>
      </c>
      <c r="HF106" t="e">
        <f>AND(#REF!,"AAAAAD/T/dU=")</f>
        <v>#REF!</v>
      </c>
      <c r="HG106" t="e">
        <f>AND(#REF!,"AAAAAD/T/dY=")</f>
        <v>#REF!</v>
      </c>
      <c r="HH106" t="e">
        <f>AND(#REF!,"AAAAAD/T/dc=")</f>
        <v>#REF!</v>
      </c>
      <c r="HI106" t="e">
        <f>AND(#REF!,"AAAAAD/T/dg=")</f>
        <v>#REF!</v>
      </c>
      <c r="HJ106" t="e">
        <f>AND(#REF!,"AAAAAD/T/dk=")</f>
        <v>#REF!</v>
      </c>
      <c r="HK106" t="e">
        <f>AND(#REF!,"AAAAAD/T/do=")</f>
        <v>#REF!</v>
      </c>
      <c r="HL106" t="e">
        <f>AND(#REF!,"AAAAAD/T/ds=")</f>
        <v>#REF!</v>
      </c>
      <c r="HM106" t="e">
        <f>AND(#REF!,"AAAAAD/T/dw=")</f>
        <v>#REF!</v>
      </c>
      <c r="HN106" t="e">
        <f>AND(#REF!,"AAAAAD/T/d0=")</f>
        <v>#REF!</v>
      </c>
      <c r="HO106" t="e">
        <f>AND(#REF!,"AAAAAD/T/d4=")</f>
        <v>#REF!</v>
      </c>
      <c r="HP106" t="e">
        <f>AND(#REF!,"AAAAAD/T/d8=")</f>
        <v>#REF!</v>
      </c>
      <c r="HQ106" t="e">
        <f>AND(#REF!,"AAAAAD/T/eA=")</f>
        <v>#REF!</v>
      </c>
      <c r="HR106" t="e">
        <f>AND(#REF!,"AAAAAD/T/eE=")</f>
        <v>#REF!</v>
      </c>
      <c r="HS106" t="e">
        <f>AND(#REF!,"AAAAAD/T/eI=")</f>
        <v>#REF!</v>
      </c>
      <c r="HT106" t="e">
        <f>AND(#REF!,"AAAAAD/T/eM=")</f>
        <v>#REF!</v>
      </c>
      <c r="HU106" t="e">
        <f>AND(#REF!,"AAAAAD/T/eQ=")</f>
        <v>#REF!</v>
      </c>
      <c r="HV106" t="e">
        <f>AND(#REF!,"AAAAAD/T/eU=")</f>
        <v>#REF!</v>
      </c>
      <c r="HW106" t="e">
        <f>IF(#REF!,"AAAAAD/T/eY=",0)</f>
        <v>#REF!</v>
      </c>
      <c r="HX106" t="e">
        <f>AND(#REF!,"AAAAAD/T/ec=")</f>
        <v>#REF!</v>
      </c>
      <c r="HY106" t="e">
        <f>AND(#REF!,"AAAAAD/T/eg=")</f>
        <v>#REF!</v>
      </c>
      <c r="HZ106" t="e">
        <f>AND(#REF!,"AAAAAD/T/ek=")</f>
        <v>#REF!</v>
      </c>
      <c r="IA106" t="e">
        <f>AND(#REF!,"AAAAAD/T/eo=")</f>
        <v>#REF!</v>
      </c>
      <c r="IB106" t="e">
        <f>AND(#REF!,"AAAAAD/T/es=")</f>
        <v>#REF!</v>
      </c>
      <c r="IC106" t="e">
        <f>AND(#REF!,"AAAAAD/T/ew=")</f>
        <v>#REF!</v>
      </c>
      <c r="ID106" t="e">
        <f>AND(#REF!,"AAAAAD/T/e0=")</f>
        <v>#REF!</v>
      </c>
      <c r="IE106" t="e">
        <f>AND(#REF!,"AAAAAD/T/e4=")</f>
        <v>#REF!</v>
      </c>
      <c r="IF106" t="e">
        <f>AND(#REF!,"AAAAAD/T/e8=")</f>
        <v>#REF!</v>
      </c>
      <c r="IG106" t="e">
        <f>AND(#REF!,"AAAAAD/T/fA=")</f>
        <v>#REF!</v>
      </c>
      <c r="IH106" t="e">
        <f>AND(#REF!,"AAAAAD/T/fE=")</f>
        <v>#REF!</v>
      </c>
      <c r="II106" t="e">
        <f>AND(#REF!,"AAAAAD/T/fI=")</f>
        <v>#REF!</v>
      </c>
      <c r="IJ106" t="e">
        <f>AND(#REF!,"AAAAAD/T/fM=")</f>
        <v>#REF!</v>
      </c>
      <c r="IK106" t="e">
        <f>AND(#REF!,"AAAAAD/T/fQ=")</f>
        <v>#REF!</v>
      </c>
      <c r="IL106" t="e">
        <f>AND(#REF!,"AAAAAD/T/fU=")</f>
        <v>#REF!</v>
      </c>
      <c r="IM106" t="e">
        <f>AND(#REF!,"AAAAAD/T/fY=")</f>
        <v>#REF!</v>
      </c>
      <c r="IN106" t="e">
        <f>AND(#REF!,"AAAAAD/T/fc=")</f>
        <v>#REF!</v>
      </c>
      <c r="IO106" t="e">
        <f>AND(#REF!,"AAAAAD/T/fg=")</f>
        <v>#REF!</v>
      </c>
      <c r="IP106" t="e">
        <f>AND(#REF!,"AAAAAD/T/fk=")</f>
        <v>#REF!</v>
      </c>
      <c r="IQ106" t="e">
        <f>AND(#REF!,"AAAAAD/T/fo=")</f>
        <v>#REF!</v>
      </c>
      <c r="IR106" t="e">
        <f>AND(#REF!,"AAAAAD/T/fs=")</f>
        <v>#REF!</v>
      </c>
      <c r="IS106" t="e">
        <f>AND(#REF!,"AAAAAD/T/fw=")</f>
        <v>#REF!</v>
      </c>
      <c r="IT106" t="e">
        <f>AND(#REF!,"AAAAAD/T/f0=")</f>
        <v>#REF!</v>
      </c>
      <c r="IU106" t="e">
        <f>AND(#REF!,"AAAAAD/T/f4=")</f>
        <v>#REF!</v>
      </c>
      <c r="IV106" t="e">
        <f>IF(#REF!,"AAAAAD/T/f8=",0)</f>
        <v>#REF!</v>
      </c>
    </row>
    <row r="107" spans="1:256">
      <c r="A107" t="e">
        <f>AND(#REF!,"AAAAAGvnMwA=")</f>
        <v>#REF!</v>
      </c>
      <c r="B107" t="e">
        <f>AND(#REF!,"AAAAAGvnMwE=")</f>
        <v>#REF!</v>
      </c>
      <c r="C107" t="e">
        <f>AND(#REF!,"AAAAAGvnMwI=")</f>
        <v>#REF!</v>
      </c>
      <c r="D107" t="e">
        <f>AND(#REF!,"AAAAAGvnMwM=")</f>
        <v>#REF!</v>
      </c>
      <c r="E107" t="e">
        <f>AND(#REF!,"AAAAAGvnMwQ=")</f>
        <v>#REF!</v>
      </c>
      <c r="F107" t="e">
        <f>AND(#REF!,"AAAAAGvnMwU=")</f>
        <v>#REF!</v>
      </c>
      <c r="G107" t="e">
        <f>AND(#REF!,"AAAAAGvnMwY=")</f>
        <v>#REF!</v>
      </c>
      <c r="H107" t="e">
        <f>AND(#REF!,"AAAAAGvnMwc=")</f>
        <v>#REF!</v>
      </c>
      <c r="I107" t="e">
        <f>AND(#REF!,"AAAAAGvnMwg=")</f>
        <v>#REF!</v>
      </c>
      <c r="J107" t="e">
        <f>AND(#REF!,"AAAAAGvnMwk=")</f>
        <v>#REF!</v>
      </c>
      <c r="K107" t="e">
        <f>AND(#REF!,"AAAAAGvnMwo=")</f>
        <v>#REF!</v>
      </c>
      <c r="L107" t="e">
        <f>AND(#REF!,"AAAAAGvnMws=")</f>
        <v>#REF!</v>
      </c>
      <c r="M107" t="e">
        <f>AND(#REF!,"AAAAAGvnMww=")</f>
        <v>#REF!</v>
      </c>
      <c r="N107" t="e">
        <f>AND(#REF!,"AAAAAGvnMw0=")</f>
        <v>#REF!</v>
      </c>
      <c r="O107" t="e">
        <f>AND(#REF!,"AAAAAGvnMw4=")</f>
        <v>#REF!</v>
      </c>
      <c r="P107" t="e">
        <f>AND(#REF!,"AAAAAGvnMw8=")</f>
        <v>#REF!</v>
      </c>
      <c r="Q107" t="e">
        <f>AND(#REF!,"AAAAAGvnMxA=")</f>
        <v>#REF!</v>
      </c>
      <c r="R107" t="e">
        <f>AND(#REF!,"AAAAAGvnMxE=")</f>
        <v>#REF!</v>
      </c>
      <c r="S107" t="e">
        <f>AND(#REF!,"AAAAAGvnMxI=")</f>
        <v>#REF!</v>
      </c>
      <c r="T107" t="e">
        <f>AND(#REF!,"AAAAAGvnMxM=")</f>
        <v>#REF!</v>
      </c>
      <c r="U107" t="e">
        <f>AND(#REF!,"AAAAAGvnMxQ=")</f>
        <v>#REF!</v>
      </c>
      <c r="V107" t="e">
        <f>AND(#REF!,"AAAAAGvnMxU=")</f>
        <v>#REF!</v>
      </c>
      <c r="W107" t="e">
        <f>AND(#REF!,"AAAAAGvnMxY=")</f>
        <v>#REF!</v>
      </c>
      <c r="X107" t="e">
        <f>AND(#REF!,"AAAAAGvnMxc=")</f>
        <v>#REF!</v>
      </c>
      <c r="Y107" t="e">
        <f>IF(#REF!,"AAAAAGvnMxg=",0)</f>
        <v>#REF!</v>
      </c>
      <c r="Z107" t="e">
        <f>AND(#REF!,"AAAAAGvnMxk=")</f>
        <v>#REF!</v>
      </c>
      <c r="AA107" t="e">
        <f>AND(#REF!,"AAAAAGvnMxo=")</f>
        <v>#REF!</v>
      </c>
      <c r="AB107" t="e">
        <f>AND(#REF!,"AAAAAGvnMxs=")</f>
        <v>#REF!</v>
      </c>
      <c r="AC107" t="e">
        <f>AND(#REF!,"AAAAAGvnMxw=")</f>
        <v>#REF!</v>
      </c>
      <c r="AD107" t="e">
        <f>AND(#REF!,"AAAAAGvnMx0=")</f>
        <v>#REF!</v>
      </c>
      <c r="AE107" t="e">
        <f>AND(#REF!,"AAAAAGvnMx4=")</f>
        <v>#REF!</v>
      </c>
      <c r="AF107" t="e">
        <f>AND(#REF!,"AAAAAGvnMx8=")</f>
        <v>#REF!</v>
      </c>
      <c r="AG107" t="e">
        <f>AND(#REF!,"AAAAAGvnMyA=")</f>
        <v>#REF!</v>
      </c>
      <c r="AH107" t="e">
        <f>AND(#REF!,"AAAAAGvnMyE=")</f>
        <v>#REF!</v>
      </c>
      <c r="AI107" t="e">
        <f>AND(#REF!,"AAAAAGvnMyI=")</f>
        <v>#REF!</v>
      </c>
      <c r="AJ107" t="e">
        <f>AND(#REF!,"AAAAAGvnMyM=")</f>
        <v>#REF!</v>
      </c>
      <c r="AK107" t="e">
        <f>AND(#REF!,"AAAAAGvnMyQ=")</f>
        <v>#REF!</v>
      </c>
      <c r="AL107" t="e">
        <f>AND(#REF!,"AAAAAGvnMyU=")</f>
        <v>#REF!</v>
      </c>
      <c r="AM107" t="e">
        <f>AND(#REF!,"AAAAAGvnMyY=")</f>
        <v>#REF!</v>
      </c>
      <c r="AN107" t="e">
        <f>AND(#REF!,"AAAAAGvnMyc=")</f>
        <v>#REF!</v>
      </c>
      <c r="AO107" t="e">
        <f>AND(#REF!,"AAAAAGvnMyg=")</f>
        <v>#REF!</v>
      </c>
      <c r="AP107" t="e">
        <f>AND(#REF!,"AAAAAGvnMyk=")</f>
        <v>#REF!</v>
      </c>
      <c r="AQ107" t="e">
        <f>AND(#REF!,"AAAAAGvnMyo=")</f>
        <v>#REF!</v>
      </c>
      <c r="AR107" t="e">
        <f>AND(#REF!,"AAAAAGvnMys=")</f>
        <v>#REF!</v>
      </c>
      <c r="AS107" t="e">
        <f>AND(#REF!,"AAAAAGvnMyw=")</f>
        <v>#REF!</v>
      </c>
      <c r="AT107" t="e">
        <f>AND(#REF!,"AAAAAGvnMy0=")</f>
        <v>#REF!</v>
      </c>
      <c r="AU107" t="e">
        <f>AND(#REF!,"AAAAAGvnMy4=")</f>
        <v>#REF!</v>
      </c>
      <c r="AV107" t="e">
        <f>AND(#REF!,"AAAAAGvnMy8=")</f>
        <v>#REF!</v>
      </c>
      <c r="AW107" t="e">
        <f>AND(#REF!,"AAAAAGvnMzA=")</f>
        <v>#REF!</v>
      </c>
      <c r="AX107" t="e">
        <f>IF(#REF!,"AAAAAGvnMzE=",0)</f>
        <v>#REF!</v>
      </c>
      <c r="AY107" t="e">
        <f>AND(#REF!,"AAAAAGvnMzI=")</f>
        <v>#REF!</v>
      </c>
      <c r="AZ107" t="e">
        <f>AND(#REF!,"AAAAAGvnMzM=")</f>
        <v>#REF!</v>
      </c>
      <c r="BA107" t="e">
        <f>AND(#REF!,"AAAAAGvnMzQ=")</f>
        <v>#REF!</v>
      </c>
      <c r="BB107" t="e">
        <f>AND(#REF!,"AAAAAGvnMzU=")</f>
        <v>#REF!</v>
      </c>
      <c r="BC107" t="e">
        <f>AND(#REF!,"AAAAAGvnMzY=")</f>
        <v>#REF!</v>
      </c>
      <c r="BD107" t="e">
        <f>AND(#REF!,"AAAAAGvnMzc=")</f>
        <v>#REF!</v>
      </c>
      <c r="BE107" t="e">
        <f>AND(#REF!,"AAAAAGvnMzg=")</f>
        <v>#REF!</v>
      </c>
      <c r="BF107" t="e">
        <f>AND(#REF!,"AAAAAGvnMzk=")</f>
        <v>#REF!</v>
      </c>
      <c r="BG107" t="e">
        <f>AND(#REF!,"AAAAAGvnMzo=")</f>
        <v>#REF!</v>
      </c>
      <c r="BH107" t="e">
        <f>AND(#REF!,"AAAAAGvnMzs=")</f>
        <v>#REF!</v>
      </c>
      <c r="BI107" t="e">
        <f>AND(#REF!,"AAAAAGvnMzw=")</f>
        <v>#REF!</v>
      </c>
      <c r="BJ107" t="e">
        <f>AND(#REF!,"AAAAAGvnMz0=")</f>
        <v>#REF!</v>
      </c>
      <c r="BK107" t="e">
        <f>AND(#REF!,"AAAAAGvnMz4=")</f>
        <v>#REF!</v>
      </c>
      <c r="BL107" t="e">
        <f>AND(#REF!,"AAAAAGvnMz8=")</f>
        <v>#REF!</v>
      </c>
      <c r="BM107" t="e">
        <f>AND(#REF!,"AAAAAGvnM0A=")</f>
        <v>#REF!</v>
      </c>
      <c r="BN107" t="e">
        <f>AND(#REF!,"AAAAAGvnM0E=")</f>
        <v>#REF!</v>
      </c>
      <c r="BO107" t="e">
        <f>AND(#REF!,"AAAAAGvnM0I=")</f>
        <v>#REF!</v>
      </c>
      <c r="BP107" t="e">
        <f>AND(#REF!,"AAAAAGvnM0M=")</f>
        <v>#REF!</v>
      </c>
      <c r="BQ107" t="e">
        <f>AND(#REF!,"AAAAAGvnM0Q=")</f>
        <v>#REF!</v>
      </c>
      <c r="BR107" t="e">
        <f>AND(#REF!,"AAAAAGvnM0U=")</f>
        <v>#REF!</v>
      </c>
      <c r="BS107" t="e">
        <f>AND(#REF!,"AAAAAGvnM0Y=")</f>
        <v>#REF!</v>
      </c>
      <c r="BT107" t="e">
        <f>AND(#REF!,"AAAAAGvnM0c=")</f>
        <v>#REF!</v>
      </c>
      <c r="BU107" t="e">
        <f>AND(#REF!,"AAAAAGvnM0g=")</f>
        <v>#REF!</v>
      </c>
      <c r="BV107" t="e">
        <f>AND(#REF!,"AAAAAGvnM0k=")</f>
        <v>#REF!</v>
      </c>
      <c r="BW107" t="e">
        <f>IF(#REF!,"AAAAAGvnM0o=",0)</f>
        <v>#REF!</v>
      </c>
      <c r="BX107" t="e">
        <f>AND(#REF!,"AAAAAGvnM0s=")</f>
        <v>#REF!</v>
      </c>
      <c r="BY107" t="e">
        <f>AND(#REF!,"AAAAAGvnM0w=")</f>
        <v>#REF!</v>
      </c>
      <c r="BZ107" t="e">
        <f>AND(#REF!,"AAAAAGvnM00=")</f>
        <v>#REF!</v>
      </c>
      <c r="CA107" t="e">
        <f>AND(#REF!,"AAAAAGvnM04=")</f>
        <v>#REF!</v>
      </c>
      <c r="CB107" t="e">
        <f>AND(#REF!,"AAAAAGvnM08=")</f>
        <v>#REF!</v>
      </c>
      <c r="CC107" t="e">
        <f>AND(#REF!,"AAAAAGvnM1A=")</f>
        <v>#REF!</v>
      </c>
      <c r="CD107" t="e">
        <f>AND(#REF!,"AAAAAGvnM1E=")</f>
        <v>#REF!</v>
      </c>
      <c r="CE107" t="e">
        <f>AND(#REF!,"AAAAAGvnM1I=")</f>
        <v>#REF!</v>
      </c>
      <c r="CF107" t="e">
        <f>AND(#REF!,"AAAAAGvnM1M=")</f>
        <v>#REF!</v>
      </c>
      <c r="CG107" t="e">
        <f>AND(#REF!,"AAAAAGvnM1Q=")</f>
        <v>#REF!</v>
      </c>
      <c r="CH107" t="e">
        <f>AND(#REF!,"AAAAAGvnM1U=")</f>
        <v>#REF!</v>
      </c>
      <c r="CI107" t="e">
        <f>AND(#REF!,"AAAAAGvnM1Y=")</f>
        <v>#REF!</v>
      </c>
      <c r="CJ107" t="e">
        <f>AND(#REF!,"AAAAAGvnM1c=")</f>
        <v>#REF!</v>
      </c>
      <c r="CK107" t="e">
        <f>AND(#REF!,"AAAAAGvnM1g=")</f>
        <v>#REF!</v>
      </c>
      <c r="CL107" t="e">
        <f>AND(#REF!,"AAAAAGvnM1k=")</f>
        <v>#REF!</v>
      </c>
      <c r="CM107" t="e">
        <f>AND(#REF!,"AAAAAGvnM1o=")</f>
        <v>#REF!</v>
      </c>
      <c r="CN107" t="e">
        <f>AND(#REF!,"AAAAAGvnM1s=")</f>
        <v>#REF!</v>
      </c>
      <c r="CO107" t="e">
        <f>AND(#REF!,"AAAAAGvnM1w=")</f>
        <v>#REF!</v>
      </c>
      <c r="CP107" t="e">
        <f>AND(#REF!,"AAAAAGvnM10=")</f>
        <v>#REF!</v>
      </c>
      <c r="CQ107" t="e">
        <f>AND(#REF!,"AAAAAGvnM14=")</f>
        <v>#REF!</v>
      </c>
      <c r="CR107" t="e">
        <f>AND(#REF!,"AAAAAGvnM18=")</f>
        <v>#REF!</v>
      </c>
      <c r="CS107" t="e">
        <f>AND(#REF!,"AAAAAGvnM2A=")</f>
        <v>#REF!</v>
      </c>
      <c r="CT107" t="e">
        <f>AND(#REF!,"AAAAAGvnM2E=")</f>
        <v>#REF!</v>
      </c>
      <c r="CU107" t="e">
        <f>AND(#REF!,"AAAAAGvnM2I=")</f>
        <v>#REF!</v>
      </c>
      <c r="CV107" t="e">
        <f>IF(#REF!,"AAAAAGvnM2M=",0)</f>
        <v>#REF!</v>
      </c>
      <c r="CW107" t="e">
        <f>AND(#REF!,"AAAAAGvnM2Q=")</f>
        <v>#REF!</v>
      </c>
      <c r="CX107" t="e">
        <f>AND(#REF!,"AAAAAGvnM2U=")</f>
        <v>#REF!</v>
      </c>
      <c r="CY107" t="e">
        <f>AND(#REF!,"AAAAAGvnM2Y=")</f>
        <v>#REF!</v>
      </c>
      <c r="CZ107" t="e">
        <f>AND(#REF!,"AAAAAGvnM2c=")</f>
        <v>#REF!</v>
      </c>
      <c r="DA107" t="e">
        <f>AND(#REF!,"AAAAAGvnM2g=")</f>
        <v>#REF!</v>
      </c>
      <c r="DB107" t="e">
        <f>AND(#REF!,"AAAAAGvnM2k=")</f>
        <v>#REF!</v>
      </c>
      <c r="DC107" t="e">
        <f>AND(#REF!,"AAAAAGvnM2o=")</f>
        <v>#REF!</v>
      </c>
      <c r="DD107" t="e">
        <f>AND(#REF!,"AAAAAGvnM2s=")</f>
        <v>#REF!</v>
      </c>
      <c r="DE107" t="e">
        <f>AND(#REF!,"AAAAAGvnM2w=")</f>
        <v>#REF!</v>
      </c>
      <c r="DF107" t="e">
        <f>AND(#REF!,"AAAAAGvnM20=")</f>
        <v>#REF!</v>
      </c>
      <c r="DG107" t="e">
        <f>AND(#REF!,"AAAAAGvnM24=")</f>
        <v>#REF!</v>
      </c>
      <c r="DH107" t="e">
        <f>AND(#REF!,"AAAAAGvnM28=")</f>
        <v>#REF!</v>
      </c>
      <c r="DI107" t="e">
        <f>AND(#REF!,"AAAAAGvnM3A=")</f>
        <v>#REF!</v>
      </c>
      <c r="DJ107" t="e">
        <f>AND(#REF!,"AAAAAGvnM3E=")</f>
        <v>#REF!</v>
      </c>
      <c r="DK107" t="e">
        <f>AND(#REF!,"AAAAAGvnM3I=")</f>
        <v>#REF!</v>
      </c>
      <c r="DL107" t="e">
        <f>AND(#REF!,"AAAAAGvnM3M=")</f>
        <v>#REF!</v>
      </c>
      <c r="DM107" t="e">
        <f>AND(#REF!,"AAAAAGvnM3Q=")</f>
        <v>#REF!</v>
      </c>
      <c r="DN107" t="e">
        <f>AND(#REF!,"AAAAAGvnM3U=")</f>
        <v>#REF!</v>
      </c>
      <c r="DO107" t="e">
        <f>AND(#REF!,"AAAAAGvnM3Y=")</f>
        <v>#REF!</v>
      </c>
      <c r="DP107" t="e">
        <f>AND(#REF!,"AAAAAGvnM3c=")</f>
        <v>#REF!</v>
      </c>
      <c r="DQ107" t="e">
        <f>AND(#REF!,"AAAAAGvnM3g=")</f>
        <v>#REF!</v>
      </c>
      <c r="DR107" t="e">
        <f>AND(#REF!,"AAAAAGvnM3k=")</f>
        <v>#REF!</v>
      </c>
      <c r="DS107" t="e">
        <f>AND(#REF!,"AAAAAGvnM3o=")</f>
        <v>#REF!</v>
      </c>
      <c r="DT107" t="e">
        <f>AND(#REF!,"AAAAAGvnM3s=")</f>
        <v>#REF!</v>
      </c>
      <c r="DU107" t="e">
        <f>IF(#REF!,"AAAAAGvnM3w=",0)</f>
        <v>#REF!</v>
      </c>
      <c r="DV107" t="e">
        <f>AND(#REF!,"AAAAAGvnM30=")</f>
        <v>#REF!</v>
      </c>
      <c r="DW107" t="e">
        <f>AND(#REF!,"AAAAAGvnM34=")</f>
        <v>#REF!</v>
      </c>
      <c r="DX107" t="e">
        <f>AND(#REF!,"AAAAAGvnM38=")</f>
        <v>#REF!</v>
      </c>
      <c r="DY107" t="e">
        <f>AND(#REF!,"AAAAAGvnM4A=")</f>
        <v>#REF!</v>
      </c>
      <c r="DZ107" t="e">
        <f>AND(#REF!,"AAAAAGvnM4E=")</f>
        <v>#REF!</v>
      </c>
      <c r="EA107" t="e">
        <f>AND(#REF!,"AAAAAGvnM4I=")</f>
        <v>#REF!</v>
      </c>
      <c r="EB107" t="e">
        <f>AND(#REF!,"AAAAAGvnM4M=")</f>
        <v>#REF!</v>
      </c>
      <c r="EC107" t="e">
        <f>AND(#REF!,"AAAAAGvnM4Q=")</f>
        <v>#REF!</v>
      </c>
      <c r="ED107" t="e">
        <f>AND(#REF!,"AAAAAGvnM4U=")</f>
        <v>#REF!</v>
      </c>
      <c r="EE107" t="e">
        <f>AND(#REF!,"AAAAAGvnM4Y=")</f>
        <v>#REF!</v>
      </c>
      <c r="EF107" t="e">
        <f>AND(#REF!,"AAAAAGvnM4c=")</f>
        <v>#REF!</v>
      </c>
      <c r="EG107" t="e">
        <f>AND(#REF!,"AAAAAGvnM4g=")</f>
        <v>#REF!</v>
      </c>
      <c r="EH107" t="e">
        <f>AND(#REF!,"AAAAAGvnM4k=")</f>
        <v>#REF!</v>
      </c>
      <c r="EI107" t="e">
        <f>AND(#REF!,"AAAAAGvnM4o=")</f>
        <v>#REF!</v>
      </c>
      <c r="EJ107" t="e">
        <f>AND(#REF!,"AAAAAGvnM4s=")</f>
        <v>#REF!</v>
      </c>
      <c r="EK107" t="e">
        <f>AND(#REF!,"AAAAAGvnM4w=")</f>
        <v>#REF!</v>
      </c>
      <c r="EL107" t="e">
        <f>AND(#REF!,"AAAAAGvnM40=")</f>
        <v>#REF!</v>
      </c>
      <c r="EM107" t="e">
        <f>AND(#REF!,"AAAAAGvnM44=")</f>
        <v>#REF!</v>
      </c>
      <c r="EN107" t="e">
        <f>AND(#REF!,"AAAAAGvnM48=")</f>
        <v>#REF!</v>
      </c>
      <c r="EO107" t="e">
        <f>AND(#REF!,"AAAAAGvnM5A=")</f>
        <v>#REF!</v>
      </c>
      <c r="EP107" t="e">
        <f>AND(#REF!,"AAAAAGvnM5E=")</f>
        <v>#REF!</v>
      </c>
      <c r="EQ107" t="e">
        <f>AND(#REF!,"AAAAAGvnM5I=")</f>
        <v>#REF!</v>
      </c>
      <c r="ER107" t="e">
        <f>AND(#REF!,"AAAAAGvnM5M=")</f>
        <v>#REF!</v>
      </c>
      <c r="ES107" t="e">
        <f>AND(#REF!,"AAAAAGvnM5Q=")</f>
        <v>#REF!</v>
      </c>
      <c r="ET107" t="e">
        <f>IF(#REF!,"AAAAAGvnM5U=",0)</f>
        <v>#REF!</v>
      </c>
      <c r="EU107" t="e">
        <f>AND(#REF!,"AAAAAGvnM5Y=")</f>
        <v>#REF!</v>
      </c>
      <c r="EV107" t="e">
        <f>AND(#REF!,"AAAAAGvnM5c=")</f>
        <v>#REF!</v>
      </c>
      <c r="EW107" t="e">
        <f>AND(#REF!,"AAAAAGvnM5g=")</f>
        <v>#REF!</v>
      </c>
      <c r="EX107" t="e">
        <f>AND(#REF!,"AAAAAGvnM5k=")</f>
        <v>#REF!</v>
      </c>
      <c r="EY107" t="e">
        <f>AND(#REF!,"AAAAAGvnM5o=")</f>
        <v>#REF!</v>
      </c>
      <c r="EZ107" t="e">
        <f>AND(#REF!,"AAAAAGvnM5s=")</f>
        <v>#REF!</v>
      </c>
      <c r="FA107" t="e">
        <f>AND(#REF!,"AAAAAGvnM5w=")</f>
        <v>#REF!</v>
      </c>
      <c r="FB107" t="e">
        <f>AND(#REF!,"AAAAAGvnM50=")</f>
        <v>#REF!</v>
      </c>
      <c r="FC107" t="e">
        <f>AND(#REF!,"AAAAAGvnM54=")</f>
        <v>#REF!</v>
      </c>
      <c r="FD107" t="e">
        <f>AND(#REF!,"AAAAAGvnM58=")</f>
        <v>#REF!</v>
      </c>
      <c r="FE107" t="e">
        <f>AND(#REF!,"AAAAAGvnM6A=")</f>
        <v>#REF!</v>
      </c>
      <c r="FF107" t="e">
        <f>AND(#REF!,"AAAAAGvnM6E=")</f>
        <v>#REF!</v>
      </c>
      <c r="FG107" t="e">
        <f>AND(#REF!,"AAAAAGvnM6I=")</f>
        <v>#REF!</v>
      </c>
      <c r="FH107" t="e">
        <f>AND(#REF!,"AAAAAGvnM6M=")</f>
        <v>#REF!</v>
      </c>
      <c r="FI107" t="e">
        <f>AND(#REF!,"AAAAAGvnM6Q=")</f>
        <v>#REF!</v>
      </c>
      <c r="FJ107" t="e">
        <f>AND(#REF!,"AAAAAGvnM6U=")</f>
        <v>#REF!</v>
      </c>
      <c r="FK107" t="e">
        <f>AND(#REF!,"AAAAAGvnM6Y=")</f>
        <v>#REF!</v>
      </c>
      <c r="FL107" t="e">
        <f>AND(#REF!,"AAAAAGvnM6c=")</f>
        <v>#REF!</v>
      </c>
      <c r="FM107" t="e">
        <f>AND(#REF!,"AAAAAGvnM6g=")</f>
        <v>#REF!</v>
      </c>
      <c r="FN107" t="e">
        <f>AND(#REF!,"AAAAAGvnM6k=")</f>
        <v>#REF!</v>
      </c>
      <c r="FO107" t="e">
        <f>AND(#REF!,"AAAAAGvnM6o=")</f>
        <v>#REF!</v>
      </c>
      <c r="FP107" t="e">
        <f>AND(#REF!,"AAAAAGvnM6s=")</f>
        <v>#REF!</v>
      </c>
      <c r="FQ107" t="e">
        <f>AND(#REF!,"AAAAAGvnM6w=")</f>
        <v>#REF!</v>
      </c>
      <c r="FR107" t="e">
        <f>AND(#REF!,"AAAAAGvnM60=")</f>
        <v>#REF!</v>
      </c>
      <c r="FS107" t="e">
        <f>IF(#REF!,"AAAAAGvnM64=",0)</f>
        <v>#REF!</v>
      </c>
      <c r="FT107" t="e">
        <f>AND(#REF!,"AAAAAGvnM68=")</f>
        <v>#REF!</v>
      </c>
      <c r="FU107" t="e">
        <f>AND(#REF!,"AAAAAGvnM7A=")</f>
        <v>#REF!</v>
      </c>
      <c r="FV107" t="e">
        <f>AND(#REF!,"AAAAAGvnM7E=")</f>
        <v>#REF!</v>
      </c>
      <c r="FW107" t="e">
        <f>AND(#REF!,"AAAAAGvnM7I=")</f>
        <v>#REF!</v>
      </c>
      <c r="FX107" t="e">
        <f>AND(#REF!,"AAAAAGvnM7M=")</f>
        <v>#REF!</v>
      </c>
      <c r="FY107" t="e">
        <f>AND(#REF!,"AAAAAGvnM7Q=")</f>
        <v>#REF!</v>
      </c>
      <c r="FZ107" t="e">
        <f>AND(#REF!,"AAAAAGvnM7U=")</f>
        <v>#REF!</v>
      </c>
      <c r="GA107" t="e">
        <f>AND(#REF!,"AAAAAGvnM7Y=")</f>
        <v>#REF!</v>
      </c>
      <c r="GB107" t="e">
        <f>AND(#REF!,"AAAAAGvnM7c=")</f>
        <v>#REF!</v>
      </c>
      <c r="GC107" t="e">
        <f>AND(#REF!,"AAAAAGvnM7g=")</f>
        <v>#REF!</v>
      </c>
      <c r="GD107" t="e">
        <f>AND(#REF!,"AAAAAGvnM7k=")</f>
        <v>#REF!</v>
      </c>
      <c r="GE107" t="e">
        <f>AND(#REF!,"AAAAAGvnM7o=")</f>
        <v>#REF!</v>
      </c>
      <c r="GF107" t="e">
        <f>AND(#REF!,"AAAAAGvnM7s=")</f>
        <v>#REF!</v>
      </c>
      <c r="GG107" t="e">
        <f>AND(#REF!,"AAAAAGvnM7w=")</f>
        <v>#REF!</v>
      </c>
      <c r="GH107" t="e">
        <f>AND(#REF!,"AAAAAGvnM70=")</f>
        <v>#REF!</v>
      </c>
      <c r="GI107" t="e">
        <f>AND(#REF!,"AAAAAGvnM74=")</f>
        <v>#REF!</v>
      </c>
      <c r="GJ107" t="e">
        <f>AND(#REF!,"AAAAAGvnM78=")</f>
        <v>#REF!</v>
      </c>
      <c r="GK107" t="e">
        <f>AND(#REF!,"AAAAAGvnM8A=")</f>
        <v>#REF!</v>
      </c>
      <c r="GL107" t="e">
        <f>AND(#REF!,"AAAAAGvnM8E=")</f>
        <v>#REF!</v>
      </c>
      <c r="GM107" t="e">
        <f>AND(#REF!,"AAAAAGvnM8I=")</f>
        <v>#REF!</v>
      </c>
      <c r="GN107" t="e">
        <f>AND(#REF!,"AAAAAGvnM8M=")</f>
        <v>#REF!</v>
      </c>
      <c r="GO107" t="e">
        <f>AND(#REF!,"AAAAAGvnM8Q=")</f>
        <v>#REF!</v>
      </c>
      <c r="GP107" t="e">
        <f>AND(#REF!,"AAAAAGvnM8U=")</f>
        <v>#REF!</v>
      </c>
      <c r="GQ107" t="e">
        <f>AND(#REF!,"AAAAAGvnM8Y=")</f>
        <v>#REF!</v>
      </c>
      <c r="GR107" t="e">
        <f>IF(#REF!,"AAAAAGvnM8c=",0)</f>
        <v>#REF!</v>
      </c>
      <c r="GS107" t="e">
        <f>AND(#REF!,"AAAAAGvnM8g=")</f>
        <v>#REF!</v>
      </c>
      <c r="GT107" t="e">
        <f>AND(#REF!,"AAAAAGvnM8k=")</f>
        <v>#REF!</v>
      </c>
      <c r="GU107" t="e">
        <f>AND(#REF!,"AAAAAGvnM8o=")</f>
        <v>#REF!</v>
      </c>
      <c r="GV107" t="e">
        <f>AND(#REF!,"AAAAAGvnM8s=")</f>
        <v>#REF!</v>
      </c>
      <c r="GW107" t="e">
        <f>AND(#REF!,"AAAAAGvnM8w=")</f>
        <v>#REF!</v>
      </c>
      <c r="GX107" t="e">
        <f>AND(#REF!,"AAAAAGvnM80=")</f>
        <v>#REF!</v>
      </c>
      <c r="GY107" t="e">
        <f>AND(#REF!,"AAAAAGvnM84=")</f>
        <v>#REF!</v>
      </c>
      <c r="GZ107" t="e">
        <f>AND(#REF!,"AAAAAGvnM88=")</f>
        <v>#REF!</v>
      </c>
      <c r="HA107" t="e">
        <f>AND(#REF!,"AAAAAGvnM9A=")</f>
        <v>#REF!</v>
      </c>
      <c r="HB107" t="e">
        <f>AND(#REF!,"AAAAAGvnM9E=")</f>
        <v>#REF!</v>
      </c>
      <c r="HC107" t="e">
        <f>AND(#REF!,"AAAAAGvnM9I=")</f>
        <v>#REF!</v>
      </c>
      <c r="HD107" t="e">
        <f>AND(#REF!,"AAAAAGvnM9M=")</f>
        <v>#REF!</v>
      </c>
      <c r="HE107" t="e">
        <f>AND(#REF!,"AAAAAGvnM9Q=")</f>
        <v>#REF!</v>
      </c>
      <c r="HF107" t="e">
        <f>AND(#REF!,"AAAAAGvnM9U=")</f>
        <v>#REF!</v>
      </c>
      <c r="HG107" t="e">
        <f>AND(#REF!,"AAAAAGvnM9Y=")</f>
        <v>#REF!</v>
      </c>
      <c r="HH107" t="e">
        <f>AND(#REF!,"AAAAAGvnM9c=")</f>
        <v>#REF!</v>
      </c>
      <c r="HI107" t="e">
        <f>AND(#REF!,"AAAAAGvnM9g=")</f>
        <v>#REF!</v>
      </c>
      <c r="HJ107" t="e">
        <f>AND(#REF!,"AAAAAGvnM9k=")</f>
        <v>#REF!</v>
      </c>
      <c r="HK107" t="e">
        <f>AND(#REF!,"AAAAAGvnM9o=")</f>
        <v>#REF!</v>
      </c>
      <c r="HL107" t="e">
        <f>AND(#REF!,"AAAAAGvnM9s=")</f>
        <v>#REF!</v>
      </c>
      <c r="HM107" t="e">
        <f>AND(#REF!,"AAAAAGvnM9w=")</f>
        <v>#REF!</v>
      </c>
      <c r="HN107" t="e">
        <f>AND(#REF!,"AAAAAGvnM90=")</f>
        <v>#REF!</v>
      </c>
      <c r="HO107" t="e">
        <f>AND(#REF!,"AAAAAGvnM94=")</f>
        <v>#REF!</v>
      </c>
      <c r="HP107" t="e">
        <f>AND(#REF!,"AAAAAGvnM98=")</f>
        <v>#REF!</v>
      </c>
      <c r="HQ107" t="e">
        <f>IF(#REF!,"AAAAAGvnM+A=",0)</f>
        <v>#REF!</v>
      </c>
      <c r="HR107" t="e">
        <f>AND(#REF!,"AAAAAGvnM+E=")</f>
        <v>#REF!</v>
      </c>
      <c r="HS107" t="e">
        <f>AND(#REF!,"AAAAAGvnM+I=")</f>
        <v>#REF!</v>
      </c>
      <c r="HT107" t="e">
        <f>AND(#REF!,"AAAAAGvnM+M=")</f>
        <v>#REF!</v>
      </c>
      <c r="HU107" t="e">
        <f>AND(#REF!,"AAAAAGvnM+Q=")</f>
        <v>#REF!</v>
      </c>
      <c r="HV107" t="e">
        <f>AND(#REF!,"AAAAAGvnM+U=")</f>
        <v>#REF!</v>
      </c>
      <c r="HW107" t="e">
        <f>AND(#REF!,"AAAAAGvnM+Y=")</f>
        <v>#REF!</v>
      </c>
      <c r="HX107" t="e">
        <f>AND(#REF!,"AAAAAGvnM+c=")</f>
        <v>#REF!</v>
      </c>
      <c r="HY107" t="e">
        <f>AND(#REF!,"AAAAAGvnM+g=")</f>
        <v>#REF!</v>
      </c>
      <c r="HZ107" t="e">
        <f>AND(#REF!,"AAAAAGvnM+k=")</f>
        <v>#REF!</v>
      </c>
      <c r="IA107" t="e">
        <f>AND(#REF!,"AAAAAGvnM+o=")</f>
        <v>#REF!</v>
      </c>
      <c r="IB107" t="e">
        <f>AND(#REF!,"AAAAAGvnM+s=")</f>
        <v>#REF!</v>
      </c>
      <c r="IC107" t="e">
        <f>AND(#REF!,"AAAAAGvnM+w=")</f>
        <v>#REF!</v>
      </c>
      <c r="ID107" t="e">
        <f>AND(#REF!,"AAAAAGvnM+0=")</f>
        <v>#REF!</v>
      </c>
      <c r="IE107" t="e">
        <f>AND(#REF!,"AAAAAGvnM+4=")</f>
        <v>#REF!</v>
      </c>
      <c r="IF107" t="e">
        <f>AND(#REF!,"AAAAAGvnM+8=")</f>
        <v>#REF!</v>
      </c>
      <c r="IG107" t="e">
        <f>AND(#REF!,"AAAAAGvnM/A=")</f>
        <v>#REF!</v>
      </c>
      <c r="IH107" t="e">
        <f>AND(#REF!,"AAAAAGvnM/E=")</f>
        <v>#REF!</v>
      </c>
      <c r="II107" t="e">
        <f>AND(#REF!,"AAAAAGvnM/I=")</f>
        <v>#REF!</v>
      </c>
      <c r="IJ107" t="e">
        <f>AND(#REF!,"AAAAAGvnM/M=")</f>
        <v>#REF!</v>
      </c>
      <c r="IK107" t="e">
        <f>AND(#REF!,"AAAAAGvnM/Q=")</f>
        <v>#REF!</v>
      </c>
      <c r="IL107" t="e">
        <f>AND(#REF!,"AAAAAGvnM/U=")</f>
        <v>#REF!</v>
      </c>
      <c r="IM107" t="e">
        <f>AND(#REF!,"AAAAAGvnM/Y=")</f>
        <v>#REF!</v>
      </c>
      <c r="IN107" t="e">
        <f>AND(#REF!,"AAAAAGvnM/c=")</f>
        <v>#REF!</v>
      </c>
      <c r="IO107" t="e">
        <f>AND(#REF!,"AAAAAGvnM/g=")</f>
        <v>#REF!</v>
      </c>
      <c r="IP107" t="e">
        <f>IF(#REF!,"AAAAAGvnM/k=",0)</f>
        <v>#REF!</v>
      </c>
      <c r="IQ107" t="e">
        <f>AND(#REF!,"AAAAAGvnM/o=")</f>
        <v>#REF!</v>
      </c>
      <c r="IR107" t="e">
        <f>AND(#REF!,"AAAAAGvnM/s=")</f>
        <v>#REF!</v>
      </c>
      <c r="IS107" t="e">
        <f>AND(#REF!,"AAAAAGvnM/w=")</f>
        <v>#REF!</v>
      </c>
      <c r="IT107" t="e">
        <f>AND(#REF!,"AAAAAGvnM/0=")</f>
        <v>#REF!</v>
      </c>
      <c r="IU107" t="e">
        <f>AND(#REF!,"AAAAAGvnM/4=")</f>
        <v>#REF!</v>
      </c>
      <c r="IV107" t="e">
        <f>AND(#REF!,"AAAAAGvnM/8=")</f>
        <v>#REF!</v>
      </c>
    </row>
    <row r="108" spans="1:256">
      <c r="A108" t="e">
        <f>AND(#REF!,"AAAAAHd58wA=")</f>
        <v>#REF!</v>
      </c>
      <c r="B108" t="e">
        <f>AND(#REF!,"AAAAAHd58wE=")</f>
        <v>#REF!</v>
      </c>
      <c r="C108" t="e">
        <f>AND(#REF!,"AAAAAHd58wI=")</f>
        <v>#REF!</v>
      </c>
      <c r="D108" t="e">
        <f>AND(#REF!,"AAAAAHd58wM=")</f>
        <v>#REF!</v>
      </c>
      <c r="E108" t="e">
        <f>AND(#REF!,"AAAAAHd58wQ=")</f>
        <v>#REF!</v>
      </c>
      <c r="F108" t="e">
        <f>AND(#REF!,"AAAAAHd58wU=")</f>
        <v>#REF!</v>
      </c>
      <c r="G108" t="e">
        <f>AND(#REF!,"AAAAAHd58wY=")</f>
        <v>#REF!</v>
      </c>
      <c r="H108" t="e">
        <f>AND(#REF!,"AAAAAHd58wc=")</f>
        <v>#REF!</v>
      </c>
      <c r="I108" t="e">
        <f>AND(#REF!,"AAAAAHd58wg=")</f>
        <v>#REF!</v>
      </c>
      <c r="J108" t="e">
        <f>AND(#REF!,"AAAAAHd58wk=")</f>
        <v>#REF!</v>
      </c>
      <c r="K108" t="e">
        <f>AND(#REF!,"AAAAAHd58wo=")</f>
        <v>#REF!</v>
      </c>
      <c r="L108" t="e">
        <f>AND(#REF!,"AAAAAHd58ws=")</f>
        <v>#REF!</v>
      </c>
      <c r="M108" t="e">
        <f>AND(#REF!,"AAAAAHd58ww=")</f>
        <v>#REF!</v>
      </c>
      <c r="N108" t="e">
        <f>AND(#REF!,"AAAAAHd58w0=")</f>
        <v>#REF!</v>
      </c>
      <c r="O108" t="e">
        <f>AND(#REF!,"AAAAAHd58w4=")</f>
        <v>#REF!</v>
      </c>
      <c r="P108" t="e">
        <f>AND(#REF!,"AAAAAHd58w8=")</f>
        <v>#REF!</v>
      </c>
      <c r="Q108" t="e">
        <f>AND(#REF!,"AAAAAHd58xA=")</f>
        <v>#REF!</v>
      </c>
      <c r="R108" t="e">
        <f>AND(#REF!,"AAAAAHd58xE=")</f>
        <v>#REF!</v>
      </c>
      <c r="S108" t="e">
        <f>IF(#REF!,"AAAAAHd58xI=",0)</f>
        <v>#REF!</v>
      </c>
      <c r="T108" t="e">
        <f>AND(#REF!,"AAAAAHd58xM=")</f>
        <v>#REF!</v>
      </c>
      <c r="U108" t="e">
        <f>AND(#REF!,"AAAAAHd58xQ=")</f>
        <v>#REF!</v>
      </c>
      <c r="V108" t="e">
        <f>AND(#REF!,"AAAAAHd58xU=")</f>
        <v>#REF!</v>
      </c>
      <c r="W108" t="e">
        <f>AND(#REF!,"AAAAAHd58xY=")</f>
        <v>#REF!</v>
      </c>
      <c r="X108" t="e">
        <f>AND(#REF!,"AAAAAHd58xc=")</f>
        <v>#REF!</v>
      </c>
      <c r="Y108" t="e">
        <f>AND(#REF!,"AAAAAHd58xg=")</f>
        <v>#REF!</v>
      </c>
      <c r="Z108" t="e">
        <f>AND(#REF!,"AAAAAHd58xk=")</f>
        <v>#REF!</v>
      </c>
      <c r="AA108" t="e">
        <f>AND(#REF!,"AAAAAHd58xo=")</f>
        <v>#REF!</v>
      </c>
      <c r="AB108" t="e">
        <f>AND(#REF!,"AAAAAHd58xs=")</f>
        <v>#REF!</v>
      </c>
      <c r="AC108" t="e">
        <f>AND(#REF!,"AAAAAHd58xw=")</f>
        <v>#REF!</v>
      </c>
      <c r="AD108" t="e">
        <f>AND(#REF!,"AAAAAHd58x0=")</f>
        <v>#REF!</v>
      </c>
      <c r="AE108" t="e">
        <f>AND(#REF!,"AAAAAHd58x4=")</f>
        <v>#REF!</v>
      </c>
      <c r="AF108" t="e">
        <f>AND(#REF!,"AAAAAHd58x8=")</f>
        <v>#REF!</v>
      </c>
      <c r="AG108" t="e">
        <f>AND(#REF!,"AAAAAHd58yA=")</f>
        <v>#REF!</v>
      </c>
      <c r="AH108" t="e">
        <f>AND(#REF!,"AAAAAHd58yE=")</f>
        <v>#REF!</v>
      </c>
      <c r="AI108" t="e">
        <f>AND(#REF!,"AAAAAHd58yI=")</f>
        <v>#REF!</v>
      </c>
      <c r="AJ108" t="e">
        <f>AND(#REF!,"AAAAAHd58yM=")</f>
        <v>#REF!</v>
      </c>
      <c r="AK108" t="e">
        <f>AND(#REF!,"AAAAAHd58yQ=")</f>
        <v>#REF!</v>
      </c>
      <c r="AL108" t="e">
        <f>AND(#REF!,"AAAAAHd58yU=")</f>
        <v>#REF!</v>
      </c>
      <c r="AM108" t="e">
        <f>AND(#REF!,"AAAAAHd58yY=")</f>
        <v>#REF!</v>
      </c>
      <c r="AN108" t="e">
        <f>AND(#REF!,"AAAAAHd58yc=")</f>
        <v>#REF!</v>
      </c>
      <c r="AO108" t="e">
        <f>AND(#REF!,"AAAAAHd58yg=")</f>
        <v>#REF!</v>
      </c>
      <c r="AP108" t="e">
        <f>AND(#REF!,"AAAAAHd58yk=")</f>
        <v>#REF!</v>
      </c>
      <c r="AQ108" t="e">
        <f>AND(#REF!,"AAAAAHd58yo=")</f>
        <v>#REF!</v>
      </c>
      <c r="AR108" t="e">
        <f>IF(#REF!,"AAAAAHd58ys=",0)</f>
        <v>#REF!</v>
      </c>
      <c r="AS108" t="e">
        <f>AND(#REF!,"AAAAAHd58yw=")</f>
        <v>#REF!</v>
      </c>
      <c r="AT108" t="e">
        <f>AND(#REF!,"AAAAAHd58y0=")</f>
        <v>#REF!</v>
      </c>
      <c r="AU108" t="e">
        <f>AND(#REF!,"AAAAAHd58y4=")</f>
        <v>#REF!</v>
      </c>
      <c r="AV108" t="e">
        <f>AND(#REF!,"AAAAAHd58y8=")</f>
        <v>#REF!</v>
      </c>
      <c r="AW108" t="e">
        <f>AND(#REF!,"AAAAAHd58zA=")</f>
        <v>#REF!</v>
      </c>
      <c r="AX108" t="e">
        <f>AND(#REF!,"AAAAAHd58zE=")</f>
        <v>#REF!</v>
      </c>
      <c r="AY108" t="e">
        <f>AND(#REF!,"AAAAAHd58zI=")</f>
        <v>#REF!</v>
      </c>
      <c r="AZ108" t="e">
        <f>AND(#REF!,"AAAAAHd58zM=")</f>
        <v>#REF!</v>
      </c>
      <c r="BA108" t="e">
        <f>AND(#REF!,"AAAAAHd58zQ=")</f>
        <v>#REF!</v>
      </c>
      <c r="BB108" t="e">
        <f>AND(#REF!,"AAAAAHd58zU=")</f>
        <v>#REF!</v>
      </c>
      <c r="BC108" t="e">
        <f>AND(#REF!,"AAAAAHd58zY=")</f>
        <v>#REF!</v>
      </c>
      <c r="BD108" t="e">
        <f>AND(#REF!,"AAAAAHd58zc=")</f>
        <v>#REF!</v>
      </c>
      <c r="BE108" t="e">
        <f>AND(#REF!,"AAAAAHd58zg=")</f>
        <v>#REF!</v>
      </c>
      <c r="BF108" t="e">
        <f>AND(#REF!,"AAAAAHd58zk=")</f>
        <v>#REF!</v>
      </c>
      <c r="BG108" t="e">
        <f>AND(#REF!,"AAAAAHd58zo=")</f>
        <v>#REF!</v>
      </c>
      <c r="BH108" t="e">
        <f>AND(#REF!,"AAAAAHd58zs=")</f>
        <v>#REF!</v>
      </c>
      <c r="BI108" t="e">
        <f>AND(#REF!,"AAAAAHd58zw=")</f>
        <v>#REF!</v>
      </c>
      <c r="BJ108" t="e">
        <f>AND(#REF!,"AAAAAHd58z0=")</f>
        <v>#REF!</v>
      </c>
      <c r="BK108" t="e">
        <f>AND(#REF!,"AAAAAHd58z4=")</f>
        <v>#REF!</v>
      </c>
      <c r="BL108" t="e">
        <f>AND(#REF!,"AAAAAHd58z8=")</f>
        <v>#REF!</v>
      </c>
      <c r="BM108" t="e">
        <f>AND(#REF!,"AAAAAHd580A=")</f>
        <v>#REF!</v>
      </c>
      <c r="BN108" t="e">
        <f>AND(#REF!,"AAAAAHd580E=")</f>
        <v>#REF!</v>
      </c>
      <c r="BO108" t="e">
        <f>AND(#REF!,"AAAAAHd580I=")</f>
        <v>#REF!</v>
      </c>
      <c r="BP108" t="e">
        <f>AND(#REF!,"AAAAAHd580M=")</f>
        <v>#REF!</v>
      </c>
      <c r="BQ108" t="e">
        <f>IF(#REF!,"AAAAAHd580Q=",0)</f>
        <v>#REF!</v>
      </c>
      <c r="BR108" t="e">
        <f>AND(#REF!,"AAAAAHd580U=")</f>
        <v>#REF!</v>
      </c>
      <c r="BS108" t="e">
        <f>AND(#REF!,"AAAAAHd580Y=")</f>
        <v>#REF!</v>
      </c>
      <c r="BT108" t="e">
        <f>AND(#REF!,"AAAAAHd580c=")</f>
        <v>#REF!</v>
      </c>
      <c r="BU108" t="e">
        <f>AND(#REF!,"AAAAAHd580g=")</f>
        <v>#REF!</v>
      </c>
      <c r="BV108" t="e">
        <f>AND(#REF!,"AAAAAHd580k=")</f>
        <v>#REF!</v>
      </c>
      <c r="BW108" t="e">
        <f>AND(#REF!,"AAAAAHd580o=")</f>
        <v>#REF!</v>
      </c>
      <c r="BX108" t="e">
        <f>AND(#REF!,"AAAAAHd580s=")</f>
        <v>#REF!</v>
      </c>
      <c r="BY108" t="e">
        <f>AND(#REF!,"AAAAAHd580w=")</f>
        <v>#REF!</v>
      </c>
      <c r="BZ108" t="e">
        <f>AND(#REF!,"AAAAAHd5800=")</f>
        <v>#REF!</v>
      </c>
      <c r="CA108" t="e">
        <f>AND(#REF!,"AAAAAHd5804=")</f>
        <v>#REF!</v>
      </c>
      <c r="CB108" t="e">
        <f>AND(#REF!,"AAAAAHd5808=")</f>
        <v>#REF!</v>
      </c>
      <c r="CC108" t="e">
        <f>AND(#REF!,"AAAAAHd581A=")</f>
        <v>#REF!</v>
      </c>
      <c r="CD108" t="e">
        <f>AND(#REF!,"AAAAAHd581E=")</f>
        <v>#REF!</v>
      </c>
      <c r="CE108" t="e">
        <f>AND(#REF!,"AAAAAHd581I=")</f>
        <v>#REF!</v>
      </c>
      <c r="CF108" t="e">
        <f>AND(#REF!,"AAAAAHd581M=")</f>
        <v>#REF!</v>
      </c>
      <c r="CG108" t="e">
        <f>AND(#REF!,"AAAAAHd581Q=")</f>
        <v>#REF!</v>
      </c>
      <c r="CH108" t="e">
        <f>AND(#REF!,"AAAAAHd581U=")</f>
        <v>#REF!</v>
      </c>
      <c r="CI108" t="e">
        <f>AND(#REF!,"AAAAAHd581Y=")</f>
        <v>#REF!</v>
      </c>
      <c r="CJ108" t="e">
        <f>AND(#REF!,"AAAAAHd581c=")</f>
        <v>#REF!</v>
      </c>
      <c r="CK108" t="e">
        <f>AND(#REF!,"AAAAAHd581g=")</f>
        <v>#REF!</v>
      </c>
      <c r="CL108" t="e">
        <f>AND(#REF!,"AAAAAHd581k=")</f>
        <v>#REF!</v>
      </c>
      <c r="CM108" t="e">
        <f>AND(#REF!,"AAAAAHd581o=")</f>
        <v>#REF!</v>
      </c>
      <c r="CN108" t="e">
        <f>AND(#REF!,"AAAAAHd581s=")</f>
        <v>#REF!</v>
      </c>
      <c r="CO108" t="e">
        <f>AND(#REF!,"AAAAAHd581w=")</f>
        <v>#REF!</v>
      </c>
      <c r="CP108" t="e">
        <f>IF(#REF!,"AAAAAHd5810=",0)</f>
        <v>#REF!</v>
      </c>
      <c r="CQ108" t="e">
        <f>AND(#REF!,"AAAAAHd5814=")</f>
        <v>#REF!</v>
      </c>
      <c r="CR108" t="e">
        <f>AND(#REF!,"AAAAAHd5818=")</f>
        <v>#REF!</v>
      </c>
      <c r="CS108" t="e">
        <f>AND(#REF!,"AAAAAHd582A=")</f>
        <v>#REF!</v>
      </c>
      <c r="CT108" t="e">
        <f>AND(#REF!,"AAAAAHd582E=")</f>
        <v>#REF!</v>
      </c>
      <c r="CU108" t="e">
        <f>AND(#REF!,"AAAAAHd582I=")</f>
        <v>#REF!</v>
      </c>
      <c r="CV108" t="e">
        <f>AND(#REF!,"AAAAAHd582M=")</f>
        <v>#REF!</v>
      </c>
      <c r="CW108" t="e">
        <f>AND(#REF!,"AAAAAHd582Q=")</f>
        <v>#REF!</v>
      </c>
      <c r="CX108" t="e">
        <f>AND(#REF!,"AAAAAHd582U=")</f>
        <v>#REF!</v>
      </c>
      <c r="CY108" t="e">
        <f>AND(#REF!,"AAAAAHd582Y=")</f>
        <v>#REF!</v>
      </c>
      <c r="CZ108" t="e">
        <f>AND(#REF!,"AAAAAHd582c=")</f>
        <v>#REF!</v>
      </c>
      <c r="DA108" t="e">
        <f>AND(#REF!,"AAAAAHd582g=")</f>
        <v>#REF!</v>
      </c>
      <c r="DB108" t="e">
        <f>AND(#REF!,"AAAAAHd582k=")</f>
        <v>#REF!</v>
      </c>
      <c r="DC108" t="e">
        <f>AND(#REF!,"AAAAAHd582o=")</f>
        <v>#REF!</v>
      </c>
      <c r="DD108" t="e">
        <f>AND(#REF!,"AAAAAHd582s=")</f>
        <v>#REF!</v>
      </c>
      <c r="DE108" t="e">
        <f>AND(#REF!,"AAAAAHd582w=")</f>
        <v>#REF!</v>
      </c>
      <c r="DF108" t="e">
        <f>AND(#REF!,"AAAAAHd5820=")</f>
        <v>#REF!</v>
      </c>
      <c r="DG108" t="e">
        <f>AND(#REF!,"AAAAAHd5824=")</f>
        <v>#REF!</v>
      </c>
      <c r="DH108" t="e">
        <f>AND(#REF!,"AAAAAHd5828=")</f>
        <v>#REF!</v>
      </c>
      <c r="DI108" t="e">
        <f>AND(#REF!,"AAAAAHd583A=")</f>
        <v>#REF!</v>
      </c>
      <c r="DJ108" t="e">
        <f>AND(#REF!,"AAAAAHd583E=")</f>
        <v>#REF!</v>
      </c>
      <c r="DK108" t="e">
        <f>AND(#REF!,"AAAAAHd583I=")</f>
        <v>#REF!</v>
      </c>
      <c r="DL108" t="e">
        <f>AND(#REF!,"AAAAAHd583M=")</f>
        <v>#REF!</v>
      </c>
      <c r="DM108" t="e">
        <f>AND(#REF!,"AAAAAHd583Q=")</f>
        <v>#REF!</v>
      </c>
      <c r="DN108" t="e">
        <f>AND(#REF!,"AAAAAHd583U=")</f>
        <v>#REF!</v>
      </c>
      <c r="DO108" t="e">
        <f>IF(#REF!,"AAAAAHd583Y=",0)</f>
        <v>#REF!</v>
      </c>
      <c r="DP108" t="e">
        <f>AND(#REF!,"AAAAAHd583c=")</f>
        <v>#REF!</v>
      </c>
      <c r="DQ108" t="e">
        <f>AND(#REF!,"AAAAAHd583g=")</f>
        <v>#REF!</v>
      </c>
      <c r="DR108" t="e">
        <f>AND(#REF!,"AAAAAHd583k=")</f>
        <v>#REF!</v>
      </c>
      <c r="DS108" t="e">
        <f>AND(#REF!,"AAAAAHd583o=")</f>
        <v>#REF!</v>
      </c>
      <c r="DT108" t="e">
        <f>AND(#REF!,"AAAAAHd583s=")</f>
        <v>#REF!</v>
      </c>
      <c r="DU108" t="e">
        <f>AND(#REF!,"AAAAAHd583w=")</f>
        <v>#REF!</v>
      </c>
      <c r="DV108" t="e">
        <f>AND(#REF!,"AAAAAHd5830=")</f>
        <v>#REF!</v>
      </c>
      <c r="DW108" t="e">
        <f>AND(#REF!,"AAAAAHd5834=")</f>
        <v>#REF!</v>
      </c>
      <c r="DX108" t="e">
        <f>AND(#REF!,"AAAAAHd5838=")</f>
        <v>#REF!</v>
      </c>
      <c r="DY108" t="e">
        <f>AND(#REF!,"AAAAAHd584A=")</f>
        <v>#REF!</v>
      </c>
      <c r="DZ108" t="e">
        <f>AND(#REF!,"AAAAAHd584E=")</f>
        <v>#REF!</v>
      </c>
      <c r="EA108" t="e">
        <f>AND(#REF!,"AAAAAHd584I=")</f>
        <v>#REF!</v>
      </c>
      <c r="EB108" t="e">
        <f>AND(#REF!,"AAAAAHd584M=")</f>
        <v>#REF!</v>
      </c>
      <c r="EC108" t="e">
        <f>AND(#REF!,"AAAAAHd584Q=")</f>
        <v>#REF!</v>
      </c>
      <c r="ED108" t="e">
        <f>AND(#REF!,"AAAAAHd584U=")</f>
        <v>#REF!</v>
      </c>
      <c r="EE108" t="e">
        <f>AND(#REF!,"AAAAAHd584Y=")</f>
        <v>#REF!</v>
      </c>
      <c r="EF108" t="e">
        <f>AND(#REF!,"AAAAAHd584c=")</f>
        <v>#REF!</v>
      </c>
      <c r="EG108" t="e">
        <f>AND(#REF!,"AAAAAHd584g=")</f>
        <v>#REF!</v>
      </c>
      <c r="EH108" t="e">
        <f>AND(#REF!,"AAAAAHd584k=")</f>
        <v>#REF!</v>
      </c>
      <c r="EI108" t="e">
        <f>AND(#REF!,"AAAAAHd584o=")</f>
        <v>#REF!</v>
      </c>
      <c r="EJ108" t="e">
        <f>AND(#REF!,"AAAAAHd584s=")</f>
        <v>#REF!</v>
      </c>
      <c r="EK108" t="e">
        <f>AND(#REF!,"AAAAAHd584w=")</f>
        <v>#REF!</v>
      </c>
      <c r="EL108" t="e">
        <f>AND(#REF!,"AAAAAHd5840=")</f>
        <v>#REF!</v>
      </c>
      <c r="EM108" t="e">
        <f>AND(#REF!,"AAAAAHd5844=")</f>
        <v>#REF!</v>
      </c>
      <c r="EN108" t="e">
        <f>IF(#REF!,"AAAAAHd5848=",0)</f>
        <v>#REF!</v>
      </c>
      <c r="EO108" t="e">
        <f>AND(#REF!,"AAAAAHd585A=")</f>
        <v>#REF!</v>
      </c>
      <c r="EP108" t="e">
        <f>AND(#REF!,"AAAAAHd585E=")</f>
        <v>#REF!</v>
      </c>
      <c r="EQ108" t="e">
        <f>AND(#REF!,"AAAAAHd585I=")</f>
        <v>#REF!</v>
      </c>
      <c r="ER108" t="e">
        <f>AND(#REF!,"AAAAAHd585M=")</f>
        <v>#REF!</v>
      </c>
      <c r="ES108" t="e">
        <f>AND(#REF!,"AAAAAHd585Q=")</f>
        <v>#REF!</v>
      </c>
      <c r="ET108" t="e">
        <f>AND(#REF!,"AAAAAHd585U=")</f>
        <v>#REF!</v>
      </c>
      <c r="EU108" t="e">
        <f>AND(#REF!,"AAAAAHd585Y=")</f>
        <v>#REF!</v>
      </c>
      <c r="EV108" t="e">
        <f>AND(#REF!,"AAAAAHd585c=")</f>
        <v>#REF!</v>
      </c>
      <c r="EW108" t="e">
        <f>AND(#REF!,"AAAAAHd585g=")</f>
        <v>#REF!</v>
      </c>
      <c r="EX108" t="e">
        <f>AND(#REF!,"AAAAAHd585k=")</f>
        <v>#REF!</v>
      </c>
      <c r="EY108" t="e">
        <f>AND(#REF!,"AAAAAHd585o=")</f>
        <v>#REF!</v>
      </c>
      <c r="EZ108" t="e">
        <f>AND(#REF!,"AAAAAHd585s=")</f>
        <v>#REF!</v>
      </c>
      <c r="FA108" t="e">
        <f>AND(#REF!,"AAAAAHd585w=")</f>
        <v>#REF!</v>
      </c>
      <c r="FB108" t="e">
        <f>AND(#REF!,"AAAAAHd5850=")</f>
        <v>#REF!</v>
      </c>
      <c r="FC108" t="e">
        <f>AND(#REF!,"AAAAAHd5854=")</f>
        <v>#REF!</v>
      </c>
      <c r="FD108" t="e">
        <f>AND(#REF!,"AAAAAHd5858=")</f>
        <v>#REF!</v>
      </c>
      <c r="FE108" t="e">
        <f>AND(#REF!,"AAAAAHd586A=")</f>
        <v>#REF!</v>
      </c>
      <c r="FF108" t="e">
        <f>AND(#REF!,"AAAAAHd586E=")</f>
        <v>#REF!</v>
      </c>
      <c r="FG108" t="e">
        <f>AND(#REF!,"AAAAAHd586I=")</f>
        <v>#REF!</v>
      </c>
      <c r="FH108" t="e">
        <f>AND(#REF!,"AAAAAHd586M=")</f>
        <v>#REF!</v>
      </c>
      <c r="FI108" t="e">
        <f>AND(#REF!,"AAAAAHd586Q=")</f>
        <v>#REF!</v>
      </c>
      <c r="FJ108" t="e">
        <f>AND(#REF!,"AAAAAHd586U=")</f>
        <v>#REF!</v>
      </c>
      <c r="FK108" t="e">
        <f>AND(#REF!,"AAAAAHd586Y=")</f>
        <v>#REF!</v>
      </c>
      <c r="FL108" t="e">
        <f>AND(#REF!,"AAAAAHd586c=")</f>
        <v>#REF!</v>
      </c>
      <c r="FM108" t="e">
        <f>IF(#REF!,"AAAAAHd586g=",0)</f>
        <v>#REF!</v>
      </c>
      <c r="FN108" t="e">
        <f>AND(#REF!,"AAAAAHd586k=")</f>
        <v>#REF!</v>
      </c>
      <c r="FO108" t="e">
        <f>AND(#REF!,"AAAAAHd586o=")</f>
        <v>#REF!</v>
      </c>
      <c r="FP108" t="e">
        <f>AND(#REF!,"AAAAAHd586s=")</f>
        <v>#REF!</v>
      </c>
      <c r="FQ108" t="e">
        <f>AND(#REF!,"AAAAAHd586w=")</f>
        <v>#REF!</v>
      </c>
      <c r="FR108" t="e">
        <f>AND(#REF!,"AAAAAHd5860=")</f>
        <v>#REF!</v>
      </c>
      <c r="FS108" t="e">
        <f>AND(#REF!,"AAAAAHd5864=")</f>
        <v>#REF!</v>
      </c>
      <c r="FT108" t="e">
        <f>AND(#REF!,"AAAAAHd5868=")</f>
        <v>#REF!</v>
      </c>
      <c r="FU108" t="e">
        <f>AND(#REF!,"AAAAAHd587A=")</f>
        <v>#REF!</v>
      </c>
      <c r="FV108" t="e">
        <f>AND(#REF!,"AAAAAHd587E=")</f>
        <v>#REF!</v>
      </c>
      <c r="FW108" t="e">
        <f>AND(#REF!,"AAAAAHd587I=")</f>
        <v>#REF!</v>
      </c>
      <c r="FX108" t="e">
        <f>AND(#REF!,"AAAAAHd587M=")</f>
        <v>#REF!</v>
      </c>
      <c r="FY108" t="e">
        <f>AND(#REF!,"AAAAAHd587Q=")</f>
        <v>#REF!</v>
      </c>
      <c r="FZ108" t="e">
        <f>AND(#REF!,"AAAAAHd587U=")</f>
        <v>#REF!</v>
      </c>
      <c r="GA108" t="e">
        <f>AND(#REF!,"AAAAAHd587Y=")</f>
        <v>#REF!</v>
      </c>
      <c r="GB108" t="e">
        <f>AND(#REF!,"AAAAAHd587c=")</f>
        <v>#REF!</v>
      </c>
      <c r="GC108" t="e">
        <f>AND(#REF!,"AAAAAHd587g=")</f>
        <v>#REF!</v>
      </c>
      <c r="GD108" t="e">
        <f>AND(#REF!,"AAAAAHd587k=")</f>
        <v>#REF!</v>
      </c>
      <c r="GE108" t="e">
        <f>AND(#REF!,"AAAAAHd587o=")</f>
        <v>#REF!</v>
      </c>
      <c r="GF108" t="e">
        <f>AND(#REF!,"AAAAAHd587s=")</f>
        <v>#REF!</v>
      </c>
      <c r="GG108" t="e">
        <f>AND(#REF!,"AAAAAHd587w=")</f>
        <v>#REF!</v>
      </c>
      <c r="GH108" t="e">
        <f>AND(#REF!,"AAAAAHd5870=")</f>
        <v>#REF!</v>
      </c>
      <c r="GI108" t="e">
        <f>AND(#REF!,"AAAAAHd5874=")</f>
        <v>#REF!</v>
      </c>
      <c r="GJ108" t="e">
        <f>AND(#REF!,"AAAAAHd5878=")</f>
        <v>#REF!</v>
      </c>
      <c r="GK108" t="e">
        <f>AND(#REF!,"AAAAAHd588A=")</f>
        <v>#REF!</v>
      </c>
      <c r="GL108" t="e">
        <f>IF(#REF!,"AAAAAHd588E=",0)</f>
        <v>#REF!</v>
      </c>
      <c r="GM108" t="e">
        <f>AND(#REF!,"AAAAAHd588I=")</f>
        <v>#REF!</v>
      </c>
      <c r="GN108" t="e">
        <f>AND(#REF!,"AAAAAHd588M=")</f>
        <v>#REF!</v>
      </c>
      <c r="GO108" t="e">
        <f>AND(#REF!,"AAAAAHd588Q=")</f>
        <v>#REF!</v>
      </c>
      <c r="GP108" t="e">
        <f>AND(#REF!,"AAAAAHd588U=")</f>
        <v>#REF!</v>
      </c>
      <c r="GQ108" t="e">
        <f>AND(#REF!,"AAAAAHd588Y=")</f>
        <v>#REF!</v>
      </c>
      <c r="GR108" t="e">
        <f>AND(#REF!,"AAAAAHd588c=")</f>
        <v>#REF!</v>
      </c>
      <c r="GS108" t="e">
        <f>AND(#REF!,"AAAAAHd588g=")</f>
        <v>#REF!</v>
      </c>
      <c r="GT108" t="e">
        <f>AND(#REF!,"AAAAAHd588k=")</f>
        <v>#REF!</v>
      </c>
      <c r="GU108" t="e">
        <f>AND(#REF!,"AAAAAHd588o=")</f>
        <v>#REF!</v>
      </c>
      <c r="GV108" t="e">
        <f>AND(#REF!,"AAAAAHd588s=")</f>
        <v>#REF!</v>
      </c>
      <c r="GW108" t="e">
        <f>AND(#REF!,"AAAAAHd588w=")</f>
        <v>#REF!</v>
      </c>
      <c r="GX108" t="e">
        <f>AND(#REF!,"AAAAAHd5880=")</f>
        <v>#REF!</v>
      </c>
      <c r="GY108" t="e">
        <f>AND(#REF!,"AAAAAHd5884=")</f>
        <v>#REF!</v>
      </c>
      <c r="GZ108" t="e">
        <f>AND(#REF!,"AAAAAHd5888=")</f>
        <v>#REF!</v>
      </c>
      <c r="HA108" t="e">
        <f>AND(#REF!,"AAAAAHd589A=")</f>
        <v>#REF!</v>
      </c>
      <c r="HB108" t="e">
        <f>AND(#REF!,"AAAAAHd589E=")</f>
        <v>#REF!</v>
      </c>
      <c r="HC108" t="e">
        <f>AND(#REF!,"AAAAAHd589I=")</f>
        <v>#REF!</v>
      </c>
      <c r="HD108" t="e">
        <f>AND(#REF!,"AAAAAHd589M=")</f>
        <v>#REF!</v>
      </c>
      <c r="HE108" t="e">
        <f>AND(#REF!,"AAAAAHd589Q=")</f>
        <v>#REF!</v>
      </c>
      <c r="HF108" t="e">
        <f>AND(#REF!,"AAAAAHd589U=")</f>
        <v>#REF!</v>
      </c>
      <c r="HG108" t="e">
        <f>AND(#REF!,"AAAAAHd589Y=")</f>
        <v>#REF!</v>
      </c>
      <c r="HH108" t="e">
        <f>AND(#REF!,"AAAAAHd589c=")</f>
        <v>#REF!</v>
      </c>
      <c r="HI108" t="e">
        <f>AND(#REF!,"AAAAAHd589g=")</f>
        <v>#REF!</v>
      </c>
      <c r="HJ108" t="e">
        <f>AND(#REF!,"AAAAAHd589k=")</f>
        <v>#REF!</v>
      </c>
      <c r="HK108" t="e">
        <f>IF(#REF!,"AAAAAHd589o=",0)</f>
        <v>#REF!</v>
      </c>
      <c r="HL108" t="e">
        <f>AND(#REF!,"AAAAAHd589s=")</f>
        <v>#REF!</v>
      </c>
      <c r="HM108" t="e">
        <f>AND(#REF!,"AAAAAHd589w=")</f>
        <v>#REF!</v>
      </c>
      <c r="HN108" t="e">
        <f>AND(#REF!,"AAAAAHd5890=")</f>
        <v>#REF!</v>
      </c>
      <c r="HO108" t="e">
        <f>AND(#REF!,"AAAAAHd5894=")</f>
        <v>#REF!</v>
      </c>
      <c r="HP108" t="e">
        <f>AND(#REF!,"AAAAAHd5898=")</f>
        <v>#REF!</v>
      </c>
      <c r="HQ108" t="e">
        <f>AND(#REF!,"AAAAAHd58+A=")</f>
        <v>#REF!</v>
      </c>
      <c r="HR108" t="e">
        <f>AND(#REF!,"AAAAAHd58+E=")</f>
        <v>#REF!</v>
      </c>
      <c r="HS108" t="e">
        <f>AND(#REF!,"AAAAAHd58+I=")</f>
        <v>#REF!</v>
      </c>
      <c r="HT108" t="e">
        <f>AND(#REF!,"AAAAAHd58+M=")</f>
        <v>#REF!</v>
      </c>
      <c r="HU108" t="e">
        <f>AND(#REF!,"AAAAAHd58+Q=")</f>
        <v>#REF!</v>
      </c>
      <c r="HV108" t="e">
        <f>AND(#REF!,"AAAAAHd58+U=")</f>
        <v>#REF!</v>
      </c>
      <c r="HW108" t="e">
        <f>AND(#REF!,"AAAAAHd58+Y=")</f>
        <v>#REF!</v>
      </c>
      <c r="HX108" t="e">
        <f>AND(#REF!,"AAAAAHd58+c=")</f>
        <v>#REF!</v>
      </c>
      <c r="HY108" t="e">
        <f>AND(#REF!,"AAAAAHd58+g=")</f>
        <v>#REF!</v>
      </c>
      <c r="HZ108" t="e">
        <f>AND(#REF!,"AAAAAHd58+k=")</f>
        <v>#REF!</v>
      </c>
      <c r="IA108" t="e">
        <f>AND(#REF!,"AAAAAHd58+o=")</f>
        <v>#REF!</v>
      </c>
      <c r="IB108" t="e">
        <f>AND(#REF!,"AAAAAHd58+s=")</f>
        <v>#REF!</v>
      </c>
      <c r="IC108" t="e">
        <f>AND(#REF!,"AAAAAHd58+w=")</f>
        <v>#REF!</v>
      </c>
      <c r="ID108" t="e">
        <f>AND(#REF!,"AAAAAHd58+0=")</f>
        <v>#REF!</v>
      </c>
      <c r="IE108" t="e">
        <f>AND(#REF!,"AAAAAHd58+4=")</f>
        <v>#REF!</v>
      </c>
      <c r="IF108" t="e">
        <f>AND(#REF!,"AAAAAHd58+8=")</f>
        <v>#REF!</v>
      </c>
      <c r="IG108" t="e">
        <f>AND(#REF!,"AAAAAHd58/A=")</f>
        <v>#REF!</v>
      </c>
      <c r="IH108" t="e">
        <f>AND(#REF!,"AAAAAHd58/E=")</f>
        <v>#REF!</v>
      </c>
      <c r="II108" t="e">
        <f>AND(#REF!,"AAAAAHd58/I=")</f>
        <v>#REF!</v>
      </c>
      <c r="IJ108" t="e">
        <f>IF(#REF!,"AAAAAHd58/M=",0)</f>
        <v>#REF!</v>
      </c>
      <c r="IK108" t="e">
        <f>AND(#REF!,"AAAAAHd58/Q=")</f>
        <v>#REF!</v>
      </c>
      <c r="IL108" t="e">
        <f>AND(#REF!,"AAAAAHd58/U=")</f>
        <v>#REF!</v>
      </c>
      <c r="IM108" t="e">
        <f>AND(#REF!,"AAAAAHd58/Y=")</f>
        <v>#REF!</v>
      </c>
      <c r="IN108" t="e">
        <f>AND(#REF!,"AAAAAHd58/c=")</f>
        <v>#REF!</v>
      </c>
      <c r="IO108" t="e">
        <f>AND(#REF!,"AAAAAHd58/g=")</f>
        <v>#REF!</v>
      </c>
      <c r="IP108" t="e">
        <f>AND(#REF!,"AAAAAHd58/k=")</f>
        <v>#REF!</v>
      </c>
      <c r="IQ108" t="e">
        <f>AND(#REF!,"AAAAAHd58/o=")</f>
        <v>#REF!</v>
      </c>
      <c r="IR108" t="e">
        <f>AND(#REF!,"AAAAAHd58/s=")</f>
        <v>#REF!</v>
      </c>
      <c r="IS108" t="e">
        <f>AND(#REF!,"AAAAAHd58/w=")</f>
        <v>#REF!</v>
      </c>
      <c r="IT108" t="e">
        <f>AND(#REF!,"AAAAAHd58/0=")</f>
        <v>#REF!</v>
      </c>
      <c r="IU108" t="e">
        <f>AND(#REF!,"AAAAAHd58/4=")</f>
        <v>#REF!</v>
      </c>
      <c r="IV108" t="e">
        <f>AND(#REF!,"AAAAAHd58/8=")</f>
        <v>#REF!</v>
      </c>
    </row>
    <row r="109" spans="1:256">
      <c r="A109" t="e">
        <f>AND(#REF!,"AAAAAGzY/AA=")</f>
        <v>#REF!</v>
      </c>
      <c r="B109" t="e">
        <f>AND(#REF!,"AAAAAGzY/AE=")</f>
        <v>#REF!</v>
      </c>
      <c r="C109" t="e">
        <f>AND(#REF!,"AAAAAGzY/AI=")</f>
        <v>#REF!</v>
      </c>
      <c r="D109" t="e">
        <f>AND(#REF!,"AAAAAGzY/AM=")</f>
        <v>#REF!</v>
      </c>
      <c r="E109" t="e">
        <f>AND(#REF!,"AAAAAGzY/AQ=")</f>
        <v>#REF!</v>
      </c>
      <c r="F109" t="e">
        <f>AND(#REF!,"AAAAAGzY/AU=")</f>
        <v>#REF!</v>
      </c>
      <c r="G109" t="e">
        <f>AND(#REF!,"AAAAAGzY/AY=")</f>
        <v>#REF!</v>
      </c>
      <c r="H109" t="e">
        <f>AND(#REF!,"AAAAAGzY/Ac=")</f>
        <v>#REF!</v>
      </c>
      <c r="I109" t="e">
        <f>AND(#REF!,"AAAAAGzY/Ag=")</f>
        <v>#REF!</v>
      </c>
      <c r="J109" t="e">
        <f>AND(#REF!,"AAAAAGzY/Ak=")</f>
        <v>#REF!</v>
      </c>
      <c r="K109" t="e">
        <f>AND(#REF!,"AAAAAGzY/Ao=")</f>
        <v>#REF!</v>
      </c>
      <c r="L109" t="e">
        <f>AND(#REF!,"AAAAAGzY/As=")</f>
        <v>#REF!</v>
      </c>
      <c r="M109" t="e">
        <f>IF(#REF!,"AAAAAGzY/Aw=",0)</f>
        <v>#REF!</v>
      </c>
      <c r="N109" t="e">
        <f>AND(#REF!,"AAAAAGzY/A0=")</f>
        <v>#REF!</v>
      </c>
      <c r="O109" t="e">
        <f>AND(#REF!,"AAAAAGzY/A4=")</f>
        <v>#REF!</v>
      </c>
      <c r="P109" t="e">
        <f>AND(#REF!,"AAAAAGzY/A8=")</f>
        <v>#REF!</v>
      </c>
      <c r="Q109" t="e">
        <f>AND(#REF!,"AAAAAGzY/BA=")</f>
        <v>#REF!</v>
      </c>
      <c r="R109" t="e">
        <f>AND(#REF!,"AAAAAGzY/BE=")</f>
        <v>#REF!</v>
      </c>
      <c r="S109" t="e">
        <f>AND(#REF!,"AAAAAGzY/BI=")</f>
        <v>#REF!</v>
      </c>
      <c r="T109" t="e">
        <f>AND(#REF!,"AAAAAGzY/BM=")</f>
        <v>#REF!</v>
      </c>
      <c r="U109" t="e">
        <f>AND(#REF!,"AAAAAGzY/BQ=")</f>
        <v>#REF!</v>
      </c>
      <c r="V109" t="e">
        <f>AND(#REF!,"AAAAAGzY/BU=")</f>
        <v>#REF!</v>
      </c>
      <c r="W109" t="e">
        <f>AND(#REF!,"AAAAAGzY/BY=")</f>
        <v>#REF!</v>
      </c>
      <c r="X109" t="e">
        <f>AND(#REF!,"AAAAAGzY/Bc=")</f>
        <v>#REF!</v>
      </c>
      <c r="Y109" t="e">
        <f>AND(#REF!,"AAAAAGzY/Bg=")</f>
        <v>#REF!</v>
      </c>
      <c r="Z109" t="e">
        <f>AND(#REF!,"AAAAAGzY/Bk=")</f>
        <v>#REF!</v>
      </c>
      <c r="AA109" t="e">
        <f>AND(#REF!,"AAAAAGzY/Bo=")</f>
        <v>#REF!</v>
      </c>
      <c r="AB109" t="e">
        <f>AND(#REF!,"AAAAAGzY/Bs=")</f>
        <v>#REF!</v>
      </c>
      <c r="AC109" t="e">
        <f>AND(#REF!,"AAAAAGzY/Bw=")</f>
        <v>#REF!</v>
      </c>
      <c r="AD109" t="e">
        <f>AND(#REF!,"AAAAAGzY/B0=")</f>
        <v>#REF!</v>
      </c>
      <c r="AE109" t="e">
        <f>AND(#REF!,"AAAAAGzY/B4=")</f>
        <v>#REF!</v>
      </c>
      <c r="AF109" t="e">
        <f>AND(#REF!,"AAAAAGzY/B8=")</f>
        <v>#REF!</v>
      </c>
      <c r="AG109" t="e">
        <f>AND(#REF!,"AAAAAGzY/CA=")</f>
        <v>#REF!</v>
      </c>
      <c r="AH109" t="e">
        <f>AND(#REF!,"AAAAAGzY/CE=")</f>
        <v>#REF!</v>
      </c>
      <c r="AI109" t="e">
        <f>AND(#REF!,"AAAAAGzY/CI=")</f>
        <v>#REF!</v>
      </c>
      <c r="AJ109" t="e">
        <f>AND(#REF!,"AAAAAGzY/CM=")</f>
        <v>#REF!</v>
      </c>
      <c r="AK109" t="e">
        <f>AND(#REF!,"AAAAAGzY/CQ=")</f>
        <v>#REF!</v>
      </c>
      <c r="AL109" t="e">
        <f>IF(#REF!,"AAAAAGzY/CU=",0)</f>
        <v>#REF!</v>
      </c>
      <c r="AM109" t="e">
        <f>AND(#REF!,"AAAAAGzY/CY=")</f>
        <v>#REF!</v>
      </c>
      <c r="AN109" t="e">
        <f>AND(#REF!,"AAAAAGzY/Cc=")</f>
        <v>#REF!</v>
      </c>
      <c r="AO109" t="e">
        <f>AND(#REF!,"AAAAAGzY/Cg=")</f>
        <v>#REF!</v>
      </c>
      <c r="AP109" t="e">
        <f>AND(#REF!,"AAAAAGzY/Ck=")</f>
        <v>#REF!</v>
      </c>
      <c r="AQ109" t="e">
        <f>AND(#REF!,"AAAAAGzY/Co=")</f>
        <v>#REF!</v>
      </c>
      <c r="AR109" t="e">
        <f>AND(#REF!,"AAAAAGzY/Cs=")</f>
        <v>#REF!</v>
      </c>
      <c r="AS109" t="e">
        <f>AND(#REF!,"AAAAAGzY/Cw=")</f>
        <v>#REF!</v>
      </c>
      <c r="AT109" t="e">
        <f>AND(#REF!,"AAAAAGzY/C0=")</f>
        <v>#REF!</v>
      </c>
      <c r="AU109" t="e">
        <f>AND(#REF!,"AAAAAGzY/C4=")</f>
        <v>#REF!</v>
      </c>
      <c r="AV109" t="e">
        <f>AND(#REF!,"AAAAAGzY/C8=")</f>
        <v>#REF!</v>
      </c>
      <c r="AW109" t="e">
        <f>AND(#REF!,"AAAAAGzY/DA=")</f>
        <v>#REF!</v>
      </c>
      <c r="AX109" t="e">
        <f>AND(#REF!,"AAAAAGzY/DE=")</f>
        <v>#REF!</v>
      </c>
      <c r="AY109" t="e">
        <f>AND(#REF!,"AAAAAGzY/DI=")</f>
        <v>#REF!</v>
      </c>
      <c r="AZ109" t="e">
        <f>AND(#REF!,"AAAAAGzY/DM=")</f>
        <v>#REF!</v>
      </c>
      <c r="BA109" t="e">
        <f>AND(#REF!,"AAAAAGzY/DQ=")</f>
        <v>#REF!</v>
      </c>
      <c r="BB109" t="e">
        <f>AND(#REF!,"AAAAAGzY/DU=")</f>
        <v>#REF!</v>
      </c>
      <c r="BC109" t="e">
        <f>AND(#REF!,"AAAAAGzY/DY=")</f>
        <v>#REF!</v>
      </c>
      <c r="BD109" t="e">
        <f>AND(#REF!,"AAAAAGzY/Dc=")</f>
        <v>#REF!</v>
      </c>
      <c r="BE109" t="e">
        <f>AND(#REF!,"AAAAAGzY/Dg=")</f>
        <v>#REF!</v>
      </c>
      <c r="BF109" t="e">
        <f>AND(#REF!,"AAAAAGzY/Dk=")</f>
        <v>#REF!</v>
      </c>
      <c r="BG109" t="e">
        <f>AND(#REF!,"AAAAAGzY/Do=")</f>
        <v>#REF!</v>
      </c>
      <c r="BH109" t="e">
        <f>AND(#REF!,"AAAAAGzY/Ds=")</f>
        <v>#REF!</v>
      </c>
      <c r="BI109" t="e">
        <f>AND(#REF!,"AAAAAGzY/Dw=")</f>
        <v>#REF!</v>
      </c>
      <c r="BJ109" t="e">
        <f>AND(#REF!,"AAAAAGzY/D0=")</f>
        <v>#REF!</v>
      </c>
      <c r="BK109" t="e">
        <f>IF(#REF!,"AAAAAGzY/D4=",0)</f>
        <v>#REF!</v>
      </c>
      <c r="BL109" t="e">
        <f>AND(#REF!,"AAAAAGzY/D8=")</f>
        <v>#REF!</v>
      </c>
      <c r="BM109" t="e">
        <f>AND(#REF!,"AAAAAGzY/EA=")</f>
        <v>#REF!</v>
      </c>
      <c r="BN109" t="e">
        <f>AND(#REF!,"AAAAAGzY/EE=")</f>
        <v>#REF!</v>
      </c>
      <c r="BO109" t="e">
        <f>AND(#REF!,"AAAAAGzY/EI=")</f>
        <v>#REF!</v>
      </c>
      <c r="BP109" t="e">
        <f>AND(#REF!,"AAAAAGzY/EM=")</f>
        <v>#REF!</v>
      </c>
      <c r="BQ109" t="e">
        <f>AND(#REF!,"AAAAAGzY/EQ=")</f>
        <v>#REF!</v>
      </c>
      <c r="BR109" t="e">
        <f>AND(#REF!,"AAAAAGzY/EU=")</f>
        <v>#REF!</v>
      </c>
      <c r="BS109" t="e">
        <f>AND(#REF!,"AAAAAGzY/EY=")</f>
        <v>#REF!</v>
      </c>
      <c r="BT109" t="e">
        <f>AND(#REF!,"AAAAAGzY/Ec=")</f>
        <v>#REF!</v>
      </c>
      <c r="BU109" t="e">
        <f>AND(#REF!,"AAAAAGzY/Eg=")</f>
        <v>#REF!</v>
      </c>
      <c r="BV109" t="e">
        <f>AND(#REF!,"AAAAAGzY/Ek=")</f>
        <v>#REF!</v>
      </c>
      <c r="BW109" t="e">
        <f>AND(#REF!,"AAAAAGzY/Eo=")</f>
        <v>#REF!</v>
      </c>
      <c r="BX109" t="e">
        <f>AND(#REF!,"AAAAAGzY/Es=")</f>
        <v>#REF!</v>
      </c>
      <c r="BY109" t="e">
        <f>AND(#REF!,"AAAAAGzY/Ew=")</f>
        <v>#REF!</v>
      </c>
      <c r="BZ109" t="e">
        <f>AND(#REF!,"AAAAAGzY/E0=")</f>
        <v>#REF!</v>
      </c>
      <c r="CA109" t="e">
        <f>AND(#REF!,"AAAAAGzY/E4=")</f>
        <v>#REF!</v>
      </c>
      <c r="CB109" t="e">
        <f>AND(#REF!,"AAAAAGzY/E8=")</f>
        <v>#REF!</v>
      </c>
      <c r="CC109" t="e">
        <f>AND(#REF!,"AAAAAGzY/FA=")</f>
        <v>#REF!</v>
      </c>
      <c r="CD109" t="e">
        <f>AND(#REF!,"AAAAAGzY/FE=")</f>
        <v>#REF!</v>
      </c>
      <c r="CE109" t="e">
        <f>AND(#REF!,"AAAAAGzY/FI=")</f>
        <v>#REF!</v>
      </c>
      <c r="CF109" t="e">
        <f>AND(#REF!,"AAAAAGzY/FM=")</f>
        <v>#REF!</v>
      </c>
      <c r="CG109" t="e">
        <f>AND(#REF!,"AAAAAGzY/FQ=")</f>
        <v>#REF!</v>
      </c>
      <c r="CH109" t="e">
        <f>AND(#REF!,"AAAAAGzY/FU=")</f>
        <v>#REF!</v>
      </c>
      <c r="CI109" t="e">
        <f>AND(#REF!,"AAAAAGzY/FY=")</f>
        <v>#REF!</v>
      </c>
      <c r="CJ109" t="e">
        <f>IF(#REF!,"AAAAAGzY/Fc=",0)</f>
        <v>#REF!</v>
      </c>
      <c r="CK109" t="e">
        <f>AND(#REF!,"AAAAAGzY/Fg=")</f>
        <v>#REF!</v>
      </c>
      <c r="CL109" t="e">
        <f>AND(#REF!,"AAAAAGzY/Fk=")</f>
        <v>#REF!</v>
      </c>
      <c r="CM109" t="e">
        <f>AND(#REF!,"AAAAAGzY/Fo=")</f>
        <v>#REF!</v>
      </c>
      <c r="CN109" t="e">
        <f>AND(#REF!,"AAAAAGzY/Fs=")</f>
        <v>#REF!</v>
      </c>
      <c r="CO109" t="e">
        <f>AND(#REF!,"AAAAAGzY/Fw=")</f>
        <v>#REF!</v>
      </c>
      <c r="CP109" t="e">
        <f>AND(#REF!,"AAAAAGzY/F0=")</f>
        <v>#REF!</v>
      </c>
      <c r="CQ109" t="e">
        <f>AND(#REF!,"AAAAAGzY/F4=")</f>
        <v>#REF!</v>
      </c>
      <c r="CR109" t="e">
        <f>AND(#REF!,"AAAAAGzY/F8=")</f>
        <v>#REF!</v>
      </c>
      <c r="CS109" t="e">
        <f>AND(#REF!,"AAAAAGzY/GA=")</f>
        <v>#REF!</v>
      </c>
      <c r="CT109" t="e">
        <f>AND(#REF!,"AAAAAGzY/GE=")</f>
        <v>#REF!</v>
      </c>
      <c r="CU109" t="e">
        <f>AND(#REF!,"AAAAAGzY/GI=")</f>
        <v>#REF!</v>
      </c>
      <c r="CV109" t="e">
        <f>AND(#REF!,"AAAAAGzY/GM=")</f>
        <v>#REF!</v>
      </c>
      <c r="CW109" t="e">
        <f>AND(#REF!,"AAAAAGzY/GQ=")</f>
        <v>#REF!</v>
      </c>
      <c r="CX109" t="e">
        <f>AND(#REF!,"AAAAAGzY/GU=")</f>
        <v>#REF!</v>
      </c>
      <c r="CY109" t="e">
        <f>AND(#REF!,"AAAAAGzY/GY=")</f>
        <v>#REF!</v>
      </c>
      <c r="CZ109" t="e">
        <f>AND(#REF!,"AAAAAGzY/Gc=")</f>
        <v>#REF!</v>
      </c>
      <c r="DA109" t="e">
        <f>AND(#REF!,"AAAAAGzY/Gg=")</f>
        <v>#REF!</v>
      </c>
      <c r="DB109" t="e">
        <f>AND(#REF!,"AAAAAGzY/Gk=")</f>
        <v>#REF!</v>
      </c>
      <c r="DC109" t="e">
        <f>AND(#REF!,"AAAAAGzY/Go=")</f>
        <v>#REF!</v>
      </c>
      <c r="DD109" t="e">
        <f>AND(#REF!,"AAAAAGzY/Gs=")</f>
        <v>#REF!</v>
      </c>
      <c r="DE109" t="e">
        <f>AND(#REF!,"AAAAAGzY/Gw=")</f>
        <v>#REF!</v>
      </c>
      <c r="DF109" t="e">
        <f>AND(#REF!,"AAAAAGzY/G0=")</f>
        <v>#REF!</v>
      </c>
      <c r="DG109" t="e">
        <f>AND(#REF!,"AAAAAGzY/G4=")</f>
        <v>#REF!</v>
      </c>
      <c r="DH109" t="e">
        <f>AND(#REF!,"AAAAAGzY/G8=")</f>
        <v>#REF!</v>
      </c>
      <c r="DI109" t="e">
        <f>IF(#REF!,"AAAAAGzY/HA=",0)</f>
        <v>#REF!</v>
      </c>
      <c r="DJ109" t="e">
        <f>AND(#REF!,"AAAAAGzY/HE=")</f>
        <v>#REF!</v>
      </c>
      <c r="DK109" t="e">
        <f>AND(#REF!,"AAAAAGzY/HI=")</f>
        <v>#REF!</v>
      </c>
      <c r="DL109" t="e">
        <f>AND(#REF!,"AAAAAGzY/HM=")</f>
        <v>#REF!</v>
      </c>
      <c r="DM109" t="e">
        <f>AND(#REF!,"AAAAAGzY/HQ=")</f>
        <v>#REF!</v>
      </c>
      <c r="DN109" t="e">
        <f>AND(#REF!,"AAAAAGzY/HU=")</f>
        <v>#REF!</v>
      </c>
      <c r="DO109" t="e">
        <f>AND(#REF!,"AAAAAGzY/HY=")</f>
        <v>#REF!</v>
      </c>
      <c r="DP109" t="e">
        <f>AND(#REF!,"AAAAAGzY/Hc=")</f>
        <v>#REF!</v>
      </c>
      <c r="DQ109" t="e">
        <f>AND(#REF!,"AAAAAGzY/Hg=")</f>
        <v>#REF!</v>
      </c>
      <c r="DR109" t="e">
        <f>AND(#REF!,"AAAAAGzY/Hk=")</f>
        <v>#REF!</v>
      </c>
      <c r="DS109" t="e">
        <f>AND(#REF!,"AAAAAGzY/Ho=")</f>
        <v>#REF!</v>
      </c>
      <c r="DT109" t="e">
        <f>AND(#REF!,"AAAAAGzY/Hs=")</f>
        <v>#REF!</v>
      </c>
      <c r="DU109" t="e">
        <f>AND(#REF!,"AAAAAGzY/Hw=")</f>
        <v>#REF!</v>
      </c>
      <c r="DV109" t="e">
        <f>AND(#REF!,"AAAAAGzY/H0=")</f>
        <v>#REF!</v>
      </c>
      <c r="DW109" t="e">
        <f>AND(#REF!,"AAAAAGzY/H4=")</f>
        <v>#REF!</v>
      </c>
      <c r="DX109" t="e">
        <f>AND(#REF!,"AAAAAGzY/H8=")</f>
        <v>#REF!</v>
      </c>
      <c r="DY109" t="e">
        <f>AND(#REF!,"AAAAAGzY/IA=")</f>
        <v>#REF!</v>
      </c>
      <c r="DZ109" t="e">
        <f>AND(#REF!,"AAAAAGzY/IE=")</f>
        <v>#REF!</v>
      </c>
      <c r="EA109" t="e">
        <f>AND(#REF!,"AAAAAGzY/II=")</f>
        <v>#REF!</v>
      </c>
      <c r="EB109" t="e">
        <f>AND(#REF!,"AAAAAGzY/IM=")</f>
        <v>#REF!</v>
      </c>
      <c r="EC109" t="e">
        <f>AND(#REF!,"AAAAAGzY/IQ=")</f>
        <v>#REF!</v>
      </c>
      <c r="ED109" t="e">
        <f>AND(#REF!,"AAAAAGzY/IU=")</f>
        <v>#REF!</v>
      </c>
      <c r="EE109" t="e">
        <f>AND(#REF!,"AAAAAGzY/IY=")</f>
        <v>#REF!</v>
      </c>
      <c r="EF109" t="e">
        <f>AND(#REF!,"AAAAAGzY/Ic=")</f>
        <v>#REF!</v>
      </c>
      <c r="EG109" t="e">
        <f>AND(#REF!,"AAAAAGzY/Ig=")</f>
        <v>#REF!</v>
      </c>
      <c r="EH109" t="e">
        <f>IF(#REF!,"AAAAAGzY/Ik=",0)</f>
        <v>#REF!</v>
      </c>
      <c r="EI109" t="e">
        <f>AND(#REF!,"AAAAAGzY/Io=")</f>
        <v>#REF!</v>
      </c>
      <c r="EJ109" t="e">
        <f>AND(#REF!,"AAAAAGzY/Is=")</f>
        <v>#REF!</v>
      </c>
      <c r="EK109" t="e">
        <f>AND(#REF!,"AAAAAGzY/Iw=")</f>
        <v>#REF!</v>
      </c>
      <c r="EL109" t="e">
        <f>AND(#REF!,"AAAAAGzY/I0=")</f>
        <v>#REF!</v>
      </c>
      <c r="EM109" t="e">
        <f>AND(#REF!,"AAAAAGzY/I4=")</f>
        <v>#REF!</v>
      </c>
      <c r="EN109" t="e">
        <f>AND(#REF!,"AAAAAGzY/I8=")</f>
        <v>#REF!</v>
      </c>
      <c r="EO109" t="e">
        <f>AND(#REF!,"AAAAAGzY/JA=")</f>
        <v>#REF!</v>
      </c>
      <c r="EP109" t="e">
        <f>AND(#REF!,"AAAAAGzY/JE=")</f>
        <v>#REF!</v>
      </c>
      <c r="EQ109" t="e">
        <f>AND(#REF!,"AAAAAGzY/JI=")</f>
        <v>#REF!</v>
      </c>
      <c r="ER109" t="e">
        <f>AND(#REF!,"AAAAAGzY/JM=")</f>
        <v>#REF!</v>
      </c>
      <c r="ES109" t="e">
        <f>AND(#REF!,"AAAAAGzY/JQ=")</f>
        <v>#REF!</v>
      </c>
      <c r="ET109" t="e">
        <f>AND(#REF!,"AAAAAGzY/JU=")</f>
        <v>#REF!</v>
      </c>
      <c r="EU109" t="e">
        <f>AND(#REF!,"AAAAAGzY/JY=")</f>
        <v>#REF!</v>
      </c>
      <c r="EV109" t="e">
        <f>AND(#REF!,"AAAAAGzY/Jc=")</f>
        <v>#REF!</v>
      </c>
      <c r="EW109" t="e">
        <f>AND(#REF!,"AAAAAGzY/Jg=")</f>
        <v>#REF!</v>
      </c>
      <c r="EX109" t="e">
        <f>AND(#REF!,"AAAAAGzY/Jk=")</f>
        <v>#REF!</v>
      </c>
      <c r="EY109" t="e">
        <f>AND(#REF!,"AAAAAGzY/Jo=")</f>
        <v>#REF!</v>
      </c>
      <c r="EZ109" t="e">
        <f>AND(#REF!,"AAAAAGzY/Js=")</f>
        <v>#REF!</v>
      </c>
      <c r="FA109" t="e">
        <f>AND(#REF!,"AAAAAGzY/Jw=")</f>
        <v>#REF!</v>
      </c>
      <c r="FB109" t="e">
        <f>AND(#REF!,"AAAAAGzY/J0=")</f>
        <v>#REF!</v>
      </c>
      <c r="FC109" t="e">
        <f>AND(#REF!,"AAAAAGzY/J4=")</f>
        <v>#REF!</v>
      </c>
      <c r="FD109" t="e">
        <f>AND(#REF!,"AAAAAGzY/J8=")</f>
        <v>#REF!</v>
      </c>
      <c r="FE109" t="e">
        <f>AND(#REF!,"AAAAAGzY/KA=")</f>
        <v>#REF!</v>
      </c>
      <c r="FF109" t="e">
        <f>AND(#REF!,"AAAAAGzY/KE=")</f>
        <v>#REF!</v>
      </c>
      <c r="FG109" t="e">
        <f>IF(#REF!,"AAAAAGzY/KI=",0)</f>
        <v>#REF!</v>
      </c>
      <c r="FH109" t="e">
        <f>AND(#REF!,"AAAAAGzY/KM=")</f>
        <v>#REF!</v>
      </c>
      <c r="FI109" t="e">
        <f>AND(#REF!,"AAAAAGzY/KQ=")</f>
        <v>#REF!</v>
      </c>
      <c r="FJ109" t="e">
        <f>AND(#REF!,"AAAAAGzY/KU=")</f>
        <v>#REF!</v>
      </c>
      <c r="FK109" t="e">
        <f>AND(#REF!,"AAAAAGzY/KY=")</f>
        <v>#REF!</v>
      </c>
      <c r="FL109" t="e">
        <f>AND(#REF!,"AAAAAGzY/Kc=")</f>
        <v>#REF!</v>
      </c>
      <c r="FM109" t="e">
        <f>AND(#REF!,"AAAAAGzY/Kg=")</f>
        <v>#REF!</v>
      </c>
      <c r="FN109" t="e">
        <f>AND(#REF!,"AAAAAGzY/Kk=")</f>
        <v>#REF!</v>
      </c>
      <c r="FO109" t="e">
        <f>AND(#REF!,"AAAAAGzY/Ko=")</f>
        <v>#REF!</v>
      </c>
      <c r="FP109" t="e">
        <f>AND(#REF!,"AAAAAGzY/Ks=")</f>
        <v>#REF!</v>
      </c>
      <c r="FQ109" t="e">
        <f>AND(#REF!,"AAAAAGzY/Kw=")</f>
        <v>#REF!</v>
      </c>
      <c r="FR109" t="e">
        <f>AND(#REF!,"AAAAAGzY/K0=")</f>
        <v>#REF!</v>
      </c>
      <c r="FS109" t="e">
        <f>AND(#REF!,"AAAAAGzY/K4=")</f>
        <v>#REF!</v>
      </c>
      <c r="FT109" t="e">
        <f>AND(#REF!,"AAAAAGzY/K8=")</f>
        <v>#REF!</v>
      </c>
      <c r="FU109" t="e">
        <f>AND(#REF!,"AAAAAGzY/LA=")</f>
        <v>#REF!</v>
      </c>
      <c r="FV109" t="e">
        <f>AND(#REF!,"AAAAAGzY/LE=")</f>
        <v>#REF!</v>
      </c>
      <c r="FW109" t="e">
        <f>AND(#REF!,"AAAAAGzY/LI=")</f>
        <v>#REF!</v>
      </c>
      <c r="FX109" t="e">
        <f>AND(#REF!,"AAAAAGzY/LM=")</f>
        <v>#REF!</v>
      </c>
      <c r="FY109" t="e">
        <f>AND(#REF!,"AAAAAGzY/LQ=")</f>
        <v>#REF!</v>
      </c>
      <c r="FZ109" t="e">
        <f>AND(#REF!,"AAAAAGzY/LU=")</f>
        <v>#REF!</v>
      </c>
      <c r="GA109" t="e">
        <f>AND(#REF!,"AAAAAGzY/LY=")</f>
        <v>#REF!</v>
      </c>
      <c r="GB109" t="e">
        <f>AND(#REF!,"AAAAAGzY/Lc=")</f>
        <v>#REF!</v>
      </c>
      <c r="GC109" t="e">
        <f>AND(#REF!,"AAAAAGzY/Lg=")</f>
        <v>#REF!</v>
      </c>
      <c r="GD109" t="e">
        <f>AND(#REF!,"AAAAAGzY/Lk=")</f>
        <v>#REF!</v>
      </c>
      <c r="GE109" t="e">
        <f>AND(#REF!,"AAAAAGzY/Lo=")</f>
        <v>#REF!</v>
      </c>
      <c r="GF109" t="e">
        <f>IF(#REF!,"AAAAAGzY/Ls=",0)</f>
        <v>#REF!</v>
      </c>
      <c r="GG109" t="e">
        <f>AND(#REF!,"AAAAAGzY/Lw=")</f>
        <v>#REF!</v>
      </c>
      <c r="GH109" t="e">
        <f>AND(#REF!,"AAAAAGzY/L0=")</f>
        <v>#REF!</v>
      </c>
      <c r="GI109" t="e">
        <f>AND(#REF!,"AAAAAGzY/L4=")</f>
        <v>#REF!</v>
      </c>
      <c r="GJ109" t="e">
        <f>AND(#REF!,"AAAAAGzY/L8=")</f>
        <v>#REF!</v>
      </c>
      <c r="GK109" t="e">
        <f>AND(#REF!,"AAAAAGzY/MA=")</f>
        <v>#REF!</v>
      </c>
      <c r="GL109" t="e">
        <f>AND(#REF!,"AAAAAGzY/ME=")</f>
        <v>#REF!</v>
      </c>
      <c r="GM109" t="e">
        <f>AND(#REF!,"AAAAAGzY/MI=")</f>
        <v>#REF!</v>
      </c>
      <c r="GN109" t="e">
        <f>AND(#REF!,"AAAAAGzY/MM=")</f>
        <v>#REF!</v>
      </c>
      <c r="GO109" t="e">
        <f>AND(#REF!,"AAAAAGzY/MQ=")</f>
        <v>#REF!</v>
      </c>
      <c r="GP109" t="e">
        <f>AND(#REF!,"AAAAAGzY/MU=")</f>
        <v>#REF!</v>
      </c>
      <c r="GQ109" t="e">
        <f>AND(#REF!,"AAAAAGzY/MY=")</f>
        <v>#REF!</v>
      </c>
      <c r="GR109" t="e">
        <f>AND(#REF!,"AAAAAGzY/Mc=")</f>
        <v>#REF!</v>
      </c>
      <c r="GS109" t="e">
        <f>AND(#REF!,"AAAAAGzY/Mg=")</f>
        <v>#REF!</v>
      </c>
      <c r="GT109" t="e">
        <f>AND(#REF!,"AAAAAGzY/Mk=")</f>
        <v>#REF!</v>
      </c>
      <c r="GU109" t="e">
        <f>AND(#REF!,"AAAAAGzY/Mo=")</f>
        <v>#REF!</v>
      </c>
      <c r="GV109" t="e">
        <f>AND(#REF!,"AAAAAGzY/Ms=")</f>
        <v>#REF!</v>
      </c>
      <c r="GW109" t="e">
        <f>AND(#REF!,"AAAAAGzY/Mw=")</f>
        <v>#REF!</v>
      </c>
      <c r="GX109" t="e">
        <f>AND(#REF!,"AAAAAGzY/M0=")</f>
        <v>#REF!</v>
      </c>
      <c r="GY109" t="e">
        <f>AND(#REF!,"AAAAAGzY/M4=")</f>
        <v>#REF!</v>
      </c>
      <c r="GZ109" t="e">
        <f>AND(#REF!,"AAAAAGzY/M8=")</f>
        <v>#REF!</v>
      </c>
      <c r="HA109" t="e">
        <f>AND(#REF!,"AAAAAGzY/NA=")</f>
        <v>#REF!</v>
      </c>
      <c r="HB109" t="e">
        <f>AND(#REF!,"AAAAAGzY/NE=")</f>
        <v>#REF!</v>
      </c>
      <c r="HC109" t="e">
        <f>AND(#REF!,"AAAAAGzY/NI=")</f>
        <v>#REF!</v>
      </c>
      <c r="HD109" t="e">
        <f>AND(#REF!,"AAAAAGzY/NM=")</f>
        <v>#REF!</v>
      </c>
      <c r="HE109" t="e">
        <f>IF(#REF!,"AAAAAGzY/NQ=",0)</f>
        <v>#REF!</v>
      </c>
      <c r="HF109" t="e">
        <f>AND(#REF!,"AAAAAGzY/NU=")</f>
        <v>#REF!</v>
      </c>
      <c r="HG109" t="e">
        <f>AND(#REF!,"AAAAAGzY/NY=")</f>
        <v>#REF!</v>
      </c>
      <c r="HH109" t="e">
        <f>AND(#REF!,"AAAAAGzY/Nc=")</f>
        <v>#REF!</v>
      </c>
      <c r="HI109" t="e">
        <f>AND(#REF!,"AAAAAGzY/Ng=")</f>
        <v>#REF!</v>
      </c>
      <c r="HJ109" t="e">
        <f>AND(#REF!,"AAAAAGzY/Nk=")</f>
        <v>#REF!</v>
      </c>
      <c r="HK109" t="e">
        <f>AND(#REF!,"AAAAAGzY/No=")</f>
        <v>#REF!</v>
      </c>
      <c r="HL109" t="e">
        <f>AND(#REF!,"AAAAAGzY/Ns=")</f>
        <v>#REF!</v>
      </c>
      <c r="HM109" t="e">
        <f>AND(#REF!,"AAAAAGzY/Nw=")</f>
        <v>#REF!</v>
      </c>
      <c r="HN109" t="e">
        <f>AND(#REF!,"AAAAAGzY/N0=")</f>
        <v>#REF!</v>
      </c>
      <c r="HO109" t="e">
        <f>AND(#REF!,"AAAAAGzY/N4=")</f>
        <v>#REF!</v>
      </c>
      <c r="HP109" t="e">
        <f>AND(#REF!,"AAAAAGzY/N8=")</f>
        <v>#REF!</v>
      </c>
      <c r="HQ109" t="e">
        <f>AND(#REF!,"AAAAAGzY/OA=")</f>
        <v>#REF!</v>
      </c>
      <c r="HR109" t="e">
        <f>AND(#REF!,"AAAAAGzY/OE=")</f>
        <v>#REF!</v>
      </c>
      <c r="HS109" t="e">
        <f>AND(#REF!,"AAAAAGzY/OI=")</f>
        <v>#REF!</v>
      </c>
      <c r="HT109" t="e">
        <f>AND(#REF!,"AAAAAGzY/OM=")</f>
        <v>#REF!</v>
      </c>
      <c r="HU109" t="e">
        <f>AND(#REF!,"AAAAAGzY/OQ=")</f>
        <v>#REF!</v>
      </c>
      <c r="HV109" t="e">
        <f>AND(#REF!,"AAAAAGzY/OU=")</f>
        <v>#REF!</v>
      </c>
      <c r="HW109" t="e">
        <f>AND(#REF!,"AAAAAGzY/OY=")</f>
        <v>#REF!</v>
      </c>
      <c r="HX109" t="e">
        <f>AND(#REF!,"AAAAAGzY/Oc=")</f>
        <v>#REF!</v>
      </c>
      <c r="HY109" t="e">
        <f>AND(#REF!,"AAAAAGzY/Og=")</f>
        <v>#REF!</v>
      </c>
      <c r="HZ109" t="e">
        <f>AND(#REF!,"AAAAAGzY/Ok=")</f>
        <v>#REF!</v>
      </c>
      <c r="IA109" t="e">
        <f>AND(#REF!,"AAAAAGzY/Oo=")</f>
        <v>#REF!</v>
      </c>
      <c r="IB109" t="e">
        <f>AND(#REF!,"AAAAAGzY/Os=")</f>
        <v>#REF!</v>
      </c>
      <c r="IC109" t="e">
        <f>AND(#REF!,"AAAAAGzY/Ow=")</f>
        <v>#REF!</v>
      </c>
      <c r="ID109" t="e">
        <f>IF(#REF!,"AAAAAGzY/O0=",0)</f>
        <v>#REF!</v>
      </c>
      <c r="IE109" t="e">
        <f>AND(#REF!,"AAAAAGzY/O4=")</f>
        <v>#REF!</v>
      </c>
      <c r="IF109" t="e">
        <f>AND(#REF!,"AAAAAGzY/O8=")</f>
        <v>#REF!</v>
      </c>
      <c r="IG109" t="e">
        <f>AND(#REF!,"AAAAAGzY/PA=")</f>
        <v>#REF!</v>
      </c>
      <c r="IH109" t="e">
        <f>AND(#REF!,"AAAAAGzY/PE=")</f>
        <v>#REF!</v>
      </c>
      <c r="II109" t="e">
        <f>AND(#REF!,"AAAAAGzY/PI=")</f>
        <v>#REF!</v>
      </c>
      <c r="IJ109" t="e">
        <f>AND(#REF!,"AAAAAGzY/PM=")</f>
        <v>#REF!</v>
      </c>
      <c r="IK109" t="e">
        <f>AND(#REF!,"AAAAAGzY/PQ=")</f>
        <v>#REF!</v>
      </c>
      <c r="IL109" t="e">
        <f>AND(#REF!,"AAAAAGzY/PU=")</f>
        <v>#REF!</v>
      </c>
      <c r="IM109" t="e">
        <f>AND(#REF!,"AAAAAGzY/PY=")</f>
        <v>#REF!</v>
      </c>
      <c r="IN109" t="e">
        <f>AND(#REF!,"AAAAAGzY/Pc=")</f>
        <v>#REF!</v>
      </c>
      <c r="IO109" t="e">
        <f>AND(#REF!,"AAAAAGzY/Pg=")</f>
        <v>#REF!</v>
      </c>
      <c r="IP109" t="e">
        <f>AND(#REF!,"AAAAAGzY/Pk=")</f>
        <v>#REF!</v>
      </c>
      <c r="IQ109" t="e">
        <f>AND(#REF!,"AAAAAGzY/Po=")</f>
        <v>#REF!</v>
      </c>
      <c r="IR109" t="e">
        <f>AND(#REF!,"AAAAAGzY/Ps=")</f>
        <v>#REF!</v>
      </c>
      <c r="IS109" t="e">
        <f>AND(#REF!,"AAAAAGzY/Pw=")</f>
        <v>#REF!</v>
      </c>
      <c r="IT109" t="e">
        <f>AND(#REF!,"AAAAAGzY/P0=")</f>
        <v>#REF!</v>
      </c>
      <c r="IU109" t="e">
        <f>AND(#REF!,"AAAAAGzY/P4=")</f>
        <v>#REF!</v>
      </c>
      <c r="IV109" t="e">
        <f>AND(#REF!,"AAAAAGzY/P8=")</f>
        <v>#REF!</v>
      </c>
    </row>
    <row r="110" spans="1:256">
      <c r="A110" t="e">
        <f>AND(#REF!,"AAAAAH/tfgA=")</f>
        <v>#REF!</v>
      </c>
      <c r="B110" t="e">
        <f>AND(#REF!,"AAAAAH/tfgE=")</f>
        <v>#REF!</v>
      </c>
      <c r="C110" t="e">
        <f>AND(#REF!,"AAAAAH/tfgI=")</f>
        <v>#REF!</v>
      </c>
      <c r="D110" t="e">
        <f>AND(#REF!,"AAAAAH/tfgM=")</f>
        <v>#REF!</v>
      </c>
      <c r="E110" t="e">
        <f>AND(#REF!,"AAAAAH/tfgQ=")</f>
        <v>#REF!</v>
      </c>
      <c r="F110" t="e">
        <f>AND(#REF!,"AAAAAH/tfgU=")</f>
        <v>#REF!</v>
      </c>
      <c r="G110" t="e">
        <f>IF(#REF!,"AAAAAH/tfgY=",0)</f>
        <v>#REF!</v>
      </c>
      <c r="H110" t="e">
        <f>AND(#REF!,"AAAAAH/tfgc=")</f>
        <v>#REF!</v>
      </c>
      <c r="I110" t="e">
        <f>AND(#REF!,"AAAAAH/tfgg=")</f>
        <v>#REF!</v>
      </c>
      <c r="J110" t="e">
        <f>AND(#REF!,"AAAAAH/tfgk=")</f>
        <v>#REF!</v>
      </c>
      <c r="K110" t="e">
        <f>AND(#REF!,"AAAAAH/tfgo=")</f>
        <v>#REF!</v>
      </c>
      <c r="L110" t="e">
        <f>AND(#REF!,"AAAAAH/tfgs=")</f>
        <v>#REF!</v>
      </c>
      <c r="M110" t="e">
        <f>AND(#REF!,"AAAAAH/tfgw=")</f>
        <v>#REF!</v>
      </c>
      <c r="N110" t="e">
        <f>AND(#REF!,"AAAAAH/tfg0=")</f>
        <v>#REF!</v>
      </c>
      <c r="O110" t="e">
        <f>AND(#REF!,"AAAAAH/tfg4=")</f>
        <v>#REF!</v>
      </c>
      <c r="P110" t="e">
        <f>AND(#REF!,"AAAAAH/tfg8=")</f>
        <v>#REF!</v>
      </c>
      <c r="Q110" t="e">
        <f>AND(#REF!,"AAAAAH/tfhA=")</f>
        <v>#REF!</v>
      </c>
      <c r="R110" t="e">
        <f>AND(#REF!,"AAAAAH/tfhE=")</f>
        <v>#REF!</v>
      </c>
      <c r="S110" t="e">
        <f>AND(#REF!,"AAAAAH/tfhI=")</f>
        <v>#REF!</v>
      </c>
      <c r="T110" t="e">
        <f>AND(#REF!,"AAAAAH/tfhM=")</f>
        <v>#REF!</v>
      </c>
      <c r="U110" t="e">
        <f>AND(#REF!,"AAAAAH/tfhQ=")</f>
        <v>#REF!</v>
      </c>
      <c r="V110" t="e">
        <f>AND(#REF!,"AAAAAH/tfhU=")</f>
        <v>#REF!</v>
      </c>
      <c r="W110" t="e">
        <f>AND(#REF!,"AAAAAH/tfhY=")</f>
        <v>#REF!</v>
      </c>
      <c r="X110" t="e">
        <f>AND(#REF!,"AAAAAH/tfhc=")</f>
        <v>#REF!</v>
      </c>
      <c r="Y110" t="e">
        <f>AND(#REF!,"AAAAAH/tfhg=")</f>
        <v>#REF!</v>
      </c>
      <c r="Z110" t="e">
        <f>AND(#REF!,"AAAAAH/tfhk=")</f>
        <v>#REF!</v>
      </c>
      <c r="AA110" t="e">
        <f>AND(#REF!,"AAAAAH/tfho=")</f>
        <v>#REF!</v>
      </c>
      <c r="AB110" t="e">
        <f>AND(#REF!,"AAAAAH/tfhs=")</f>
        <v>#REF!</v>
      </c>
      <c r="AC110" t="e">
        <f>AND(#REF!,"AAAAAH/tfhw=")</f>
        <v>#REF!</v>
      </c>
      <c r="AD110" t="e">
        <f>AND(#REF!,"AAAAAH/tfh0=")</f>
        <v>#REF!</v>
      </c>
      <c r="AE110" t="e">
        <f>AND(#REF!,"AAAAAH/tfh4=")</f>
        <v>#REF!</v>
      </c>
      <c r="AF110" t="e">
        <f>IF(#REF!,"AAAAAH/tfh8=",0)</f>
        <v>#REF!</v>
      </c>
      <c r="AG110" t="e">
        <f>AND(#REF!,"AAAAAH/tfiA=")</f>
        <v>#REF!</v>
      </c>
      <c r="AH110" t="e">
        <f>AND(#REF!,"AAAAAH/tfiE=")</f>
        <v>#REF!</v>
      </c>
      <c r="AI110" t="e">
        <f>AND(#REF!,"AAAAAH/tfiI=")</f>
        <v>#REF!</v>
      </c>
      <c r="AJ110" t="e">
        <f>AND(#REF!,"AAAAAH/tfiM=")</f>
        <v>#REF!</v>
      </c>
      <c r="AK110" t="e">
        <f>AND(#REF!,"AAAAAH/tfiQ=")</f>
        <v>#REF!</v>
      </c>
      <c r="AL110" t="e">
        <f>AND(#REF!,"AAAAAH/tfiU=")</f>
        <v>#REF!</v>
      </c>
      <c r="AM110" t="e">
        <f>AND(#REF!,"AAAAAH/tfiY=")</f>
        <v>#REF!</v>
      </c>
      <c r="AN110" t="e">
        <f>AND(#REF!,"AAAAAH/tfic=")</f>
        <v>#REF!</v>
      </c>
      <c r="AO110" t="e">
        <f>AND(#REF!,"AAAAAH/tfig=")</f>
        <v>#REF!</v>
      </c>
      <c r="AP110" t="e">
        <f>AND(#REF!,"AAAAAH/tfik=")</f>
        <v>#REF!</v>
      </c>
      <c r="AQ110" t="e">
        <f>AND(#REF!,"AAAAAH/tfio=")</f>
        <v>#REF!</v>
      </c>
      <c r="AR110" t="e">
        <f>AND(#REF!,"AAAAAH/tfis=")</f>
        <v>#REF!</v>
      </c>
      <c r="AS110" t="e">
        <f>AND(#REF!,"AAAAAH/tfiw=")</f>
        <v>#REF!</v>
      </c>
      <c r="AT110" t="e">
        <f>AND(#REF!,"AAAAAH/tfi0=")</f>
        <v>#REF!</v>
      </c>
      <c r="AU110" t="e">
        <f>AND(#REF!,"AAAAAH/tfi4=")</f>
        <v>#REF!</v>
      </c>
      <c r="AV110" t="e">
        <f>AND(#REF!,"AAAAAH/tfi8=")</f>
        <v>#REF!</v>
      </c>
      <c r="AW110" t="e">
        <f>AND(#REF!,"AAAAAH/tfjA=")</f>
        <v>#REF!</v>
      </c>
      <c r="AX110" t="e">
        <f>AND(#REF!,"AAAAAH/tfjE=")</f>
        <v>#REF!</v>
      </c>
      <c r="AY110" t="e">
        <f>AND(#REF!,"AAAAAH/tfjI=")</f>
        <v>#REF!</v>
      </c>
      <c r="AZ110" t="e">
        <f>AND(#REF!,"AAAAAH/tfjM=")</f>
        <v>#REF!</v>
      </c>
      <c r="BA110" t="e">
        <f>AND(#REF!,"AAAAAH/tfjQ=")</f>
        <v>#REF!</v>
      </c>
      <c r="BB110" t="e">
        <f>AND(#REF!,"AAAAAH/tfjU=")</f>
        <v>#REF!</v>
      </c>
      <c r="BC110" t="e">
        <f>AND(#REF!,"AAAAAH/tfjY=")</f>
        <v>#REF!</v>
      </c>
      <c r="BD110" t="e">
        <f>AND(#REF!,"AAAAAH/tfjc=")</f>
        <v>#REF!</v>
      </c>
      <c r="BE110" t="e">
        <f>IF(#REF!,"AAAAAH/tfjg=",0)</f>
        <v>#REF!</v>
      </c>
      <c r="BF110" t="e">
        <f>AND(#REF!,"AAAAAH/tfjk=")</f>
        <v>#REF!</v>
      </c>
      <c r="BG110" t="e">
        <f>AND(#REF!,"AAAAAH/tfjo=")</f>
        <v>#REF!</v>
      </c>
      <c r="BH110" t="e">
        <f>AND(#REF!,"AAAAAH/tfjs=")</f>
        <v>#REF!</v>
      </c>
      <c r="BI110" t="e">
        <f>AND(#REF!,"AAAAAH/tfjw=")</f>
        <v>#REF!</v>
      </c>
      <c r="BJ110" t="e">
        <f>AND(#REF!,"AAAAAH/tfj0=")</f>
        <v>#REF!</v>
      </c>
      <c r="BK110" t="e">
        <f>AND(#REF!,"AAAAAH/tfj4=")</f>
        <v>#REF!</v>
      </c>
      <c r="BL110" t="e">
        <f>AND(#REF!,"AAAAAH/tfj8=")</f>
        <v>#REF!</v>
      </c>
      <c r="BM110" t="e">
        <f>AND(#REF!,"AAAAAH/tfkA=")</f>
        <v>#REF!</v>
      </c>
      <c r="BN110" t="e">
        <f>AND(#REF!,"AAAAAH/tfkE=")</f>
        <v>#REF!</v>
      </c>
      <c r="BO110" t="e">
        <f>AND(#REF!,"AAAAAH/tfkI=")</f>
        <v>#REF!</v>
      </c>
      <c r="BP110" t="e">
        <f>AND(#REF!,"AAAAAH/tfkM=")</f>
        <v>#REF!</v>
      </c>
      <c r="BQ110" t="e">
        <f>AND(#REF!,"AAAAAH/tfkQ=")</f>
        <v>#REF!</v>
      </c>
      <c r="BR110" t="e">
        <f>AND(#REF!,"AAAAAH/tfkU=")</f>
        <v>#REF!</v>
      </c>
      <c r="BS110" t="e">
        <f>AND(#REF!,"AAAAAH/tfkY=")</f>
        <v>#REF!</v>
      </c>
      <c r="BT110" t="e">
        <f>AND(#REF!,"AAAAAH/tfkc=")</f>
        <v>#REF!</v>
      </c>
      <c r="BU110" t="e">
        <f>AND(#REF!,"AAAAAH/tfkg=")</f>
        <v>#REF!</v>
      </c>
      <c r="BV110" t="e">
        <f>AND(#REF!,"AAAAAH/tfkk=")</f>
        <v>#REF!</v>
      </c>
      <c r="BW110" t="e">
        <f>AND(#REF!,"AAAAAH/tfko=")</f>
        <v>#REF!</v>
      </c>
      <c r="BX110" t="e">
        <f>AND(#REF!,"AAAAAH/tfks=")</f>
        <v>#REF!</v>
      </c>
      <c r="BY110" t="e">
        <f>AND(#REF!,"AAAAAH/tfkw=")</f>
        <v>#REF!</v>
      </c>
      <c r="BZ110" t="e">
        <f>AND(#REF!,"AAAAAH/tfk0=")</f>
        <v>#REF!</v>
      </c>
      <c r="CA110" t="e">
        <f>AND(#REF!,"AAAAAH/tfk4=")</f>
        <v>#REF!</v>
      </c>
      <c r="CB110" t="e">
        <f>AND(#REF!,"AAAAAH/tfk8=")</f>
        <v>#REF!</v>
      </c>
      <c r="CC110" t="e">
        <f>AND(#REF!,"AAAAAH/tflA=")</f>
        <v>#REF!</v>
      </c>
      <c r="CD110" t="e">
        <f>IF(#REF!,"AAAAAH/tflE=",0)</f>
        <v>#REF!</v>
      </c>
      <c r="CE110" t="e">
        <f>AND(#REF!,"AAAAAH/tflI=")</f>
        <v>#REF!</v>
      </c>
      <c r="CF110" t="e">
        <f>AND(#REF!,"AAAAAH/tflM=")</f>
        <v>#REF!</v>
      </c>
      <c r="CG110" t="e">
        <f>AND(#REF!,"AAAAAH/tflQ=")</f>
        <v>#REF!</v>
      </c>
      <c r="CH110" t="e">
        <f>AND(#REF!,"AAAAAH/tflU=")</f>
        <v>#REF!</v>
      </c>
      <c r="CI110" t="e">
        <f>AND(#REF!,"AAAAAH/tflY=")</f>
        <v>#REF!</v>
      </c>
      <c r="CJ110" t="e">
        <f>AND(#REF!,"AAAAAH/tflc=")</f>
        <v>#REF!</v>
      </c>
      <c r="CK110" t="e">
        <f>AND(#REF!,"AAAAAH/tflg=")</f>
        <v>#REF!</v>
      </c>
      <c r="CL110" t="e">
        <f>AND(#REF!,"AAAAAH/tflk=")</f>
        <v>#REF!</v>
      </c>
      <c r="CM110" t="e">
        <f>AND(#REF!,"AAAAAH/tflo=")</f>
        <v>#REF!</v>
      </c>
      <c r="CN110" t="e">
        <f>AND(#REF!,"AAAAAH/tfls=")</f>
        <v>#REF!</v>
      </c>
      <c r="CO110" t="e">
        <f>AND(#REF!,"AAAAAH/tflw=")</f>
        <v>#REF!</v>
      </c>
      <c r="CP110" t="e">
        <f>AND(#REF!,"AAAAAH/tfl0=")</f>
        <v>#REF!</v>
      </c>
      <c r="CQ110" t="e">
        <f>AND(#REF!,"AAAAAH/tfl4=")</f>
        <v>#REF!</v>
      </c>
      <c r="CR110" t="e">
        <f>AND(#REF!,"AAAAAH/tfl8=")</f>
        <v>#REF!</v>
      </c>
      <c r="CS110" t="e">
        <f>AND(#REF!,"AAAAAH/tfmA=")</f>
        <v>#REF!</v>
      </c>
      <c r="CT110" t="e">
        <f>AND(#REF!,"AAAAAH/tfmE=")</f>
        <v>#REF!</v>
      </c>
      <c r="CU110" t="e">
        <f>AND(#REF!,"AAAAAH/tfmI=")</f>
        <v>#REF!</v>
      </c>
      <c r="CV110" t="e">
        <f>AND(#REF!,"AAAAAH/tfmM=")</f>
        <v>#REF!</v>
      </c>
      <c r="CW110" t="e">
        <f>AND(#REF!,"AAAAAH/tfmQ=")</f>
        <v>#REF!</v>
      </c>
      <c r="CX110" t="e">
        <f>AND(#REF!,"AAAAAH/tfmU=")</f>
        <v>#REF!</v>
      </c>
      <c r="CY110" t="e">
        <f>AND(#REF!,"AAAAAH/tfmY=")</f>
        <v>#REF!</v>
      </c>
      <c r="CZ110" t="e">
        <f>AND(#REF!,"AAAAAH/tfmc=")</f>
        <v>#REF!</v>
      </c>
      <c r="DA110" t="e">
        <f>AND(#REF!,"AAAAAH/tfmg=")</f>
        <v>#REF!</v>
      </c>
      <c r="DB110" t="e">
        <f>AND(#REF!,"AAAAAH/tfmk=")</f>
        <v>#REF!</v>
      </c>
      <c r="DC110" t="e">
        <f>IF(#REF!,"AAAAAH/tfmo=",0)</f>
        <v>#REF!</v>
      </c>
      <c r="DD110" t="e">
        <f>AND(#REF!,"AAAAAH/tfms=")</f>
        <v>#REF!</v>
      </c>
      <c r="DE110" t="e">
        <f>AND(#REF!,"AAAAAH/tfmw=")</f>
        <v>#REF!</v>
      </c>
      <c r="DF110" t="e">
        <f>AND(#REF!,"AAAAAH/tfm0=")</f>
        <v>#REF!</v>
      </c>
      <c r="DG110" t="e">
        <f>AND(#REF!,"AAAAAH/tfm4=")</f>
        <v>#REF!</v>
      </c>
      <c r="DH110" t="e">
        <f>AND(#REF!,"AAAAAH/tfm8=")</f>
        <v>#REF!</v>
      </c>
      <c r="DI110" t="e">
        <f>AND(#REF!,"AAAAAH/tfnA=")</f>
        <v>#REF!</v>
      </c>
      <c r="DJ110" t="e">
        <f>AND(#REF!,"AAAAAH/tfnE=")</f>
        <v>#REF!</v>
      </c>
      <c r="DK110" t="e">
        <f>AND(#REF!,"AAAAAH/tfnI=")</f>
        <v>#REF!</v>
      </c>
      <c r="DL110" t="e">
        <f>AND(#REF!,"AAAAAH/tfnM=")</f>
        <v>#REF!</v>
      </c>
      <c r="DM110" t="e">
        <f>AND(#REF!,"AAAAAH/tfnQ=")</f>
        <v>#REF!</v>
      </c>
      <c r="DN110" t="e">
        <f>AND(#REF!,"AAAAAH/tfnU=")</f>
        <v>#REF!</v>
      </c>
      <c r="DO110" t="e">
        <f>AND(#REF!,"AAAAAH/tfnY=")</f>
        <v>#REF!</v>
      </c>
      <c r="DP110" t="e">
        <f>AND(#REF!,"AAAAAH/tfnc=")</f>
        <v>#REF!</v>
      </c>
      <c r="DQ110" t="e">
        <f>AND(#REF!,"AAAAAH/tfng=")</f>
        <v>#REF!</v>
      </c>
      <c r="DR110" t="e">
        <f>AND(#REF!,"AAAAAH/tfnk=")</f>
        <v>#REF!</v>
      </c>
      <c r="DS110" t="e">
        <f>AND(#REF!,"AAAAAH/tfno=")</f>
        <v>#REF!</v>
      </c>
      <c r="DT110" t="e">
        <f>AND(#REF!,"AAAAAH/tfns=")</f>
        <v>#REF!</v>
      </c>
      <c r="DU110" t="e">
        <f>AND(#REF!,"AAAAAH/tfnw=")</f>
        <v>#REF!</v>
      </c>
      <c r="DV110" t="e">
        <f>AND(#REF!,"AAAAAH/tfn0=")</f>
        <v>#REF!</v>
      </c>
      <c r="DW110" t="e">
        <f>AND(#REF!,"AAAAAH/tfn4=")</f>
        <v>#REF!</v>
      </c>
      <c r="DX110" t="e">
        <f>AND(#REF!,"AAAAAH/tfn8=")</f>
        <v>#REF!</v>
      </c>
      <c r="DY110" t="e">
        <f>AND(#REF!,"AAAAAH/tfoA=")</f>
        <v>#REF!</v>
      </c>
      <c r="DZ110" t="e">
        <f>AND(#REF!,"AAAAAH/tfoE=")</f>
        <v>#REF!</v>
      </c>
      <c r="EA110" t="e">
        <f>AND(#REF!,"AAAAAH/tfoI=")</f>
        <v>#REF!</v>
      </c>
      <c r="EB110" t="e">
        <f>IF(#REF!,"AAAAAH/tfoM=",0)</f>
        <v>#REF!</v>
      </c>
      <c r="EC110" t="e">
        <f>AND(#REF!,"AAAAAH/tfoQ=")</f>
        <v>#REF!</v>
      </c>
      <c r="ED110" t="e">
        <f>AND(#REF!,"AAAAAH/tfoU=")</f>
        <v>#REF!</v>
      </c>
      <c r="EE110" t="e">
        <f>AND(#REF!,"AAAAAH/tfoY=")</f>
        <v>#REF!</v>
      </c>
      <c r="EF110" t="e">
        <f>AND(#REF!,"AAAAAH/tfoc=")</f>
        <v>#REF!</v>
      </c>
      <c r="EG110" t="e">
        <f>AND(#REF!,"AAAAAH/tfog=")</f>
        <v>#REF!</v>
      </c>
      <c r="EH110" t="e">
        <f>AND(#REF!,"AAAAAH/tfok=")</f>
        <v>#REF!</v>
      </c>
      <c r="EI110" t="e">
        <f>AND(#REF!,"AAAAAH/tfoo=")</f>
        <v>#REF!</v>
      </c>
      <c r="EJ110" t="e">
        <f>AND(#REF!,"AAAAAH/tfos=")</f>
        <v>#REF!</v>
      </c>
      <c r="EK110" t="e">
        <f>AND(#REF!,"AAAAAH/tfow=")</f>
        <v>#REF!</v>
      </c>
      <c r="EL110" t="e">
        <f>AND(#REF!,"AAAAAH/tfo0=")</f>
        <v>#REF!</v>
      </c>
      <c r="EM110" t="e">
        <f>AND(#REF!,"AAAAAH/tfo4=")</f>
        <v>#REF!</v>
      </c>
      <c r="EN110" t="e">
        <f>AND(#REF!,"AAAAAH/tfo8=")</f>
        <v>#REF!</v>
      </c>
      <c r="EO110" t="e">
        <f>AND(#REF!,"AAAAAH/tfpA=")</f>
        <v>#REF!</v>
      </c>
      <c r="EP110" t="e">
        <f>AND(#REF!,"AAAAAH/tfpE=")</f>
        <v>#REF!</v>
      </c>
      <c r="EQ110" t="e">
        <f>AND(#REF!,"AAAAAH/tfpI=")</f>
        <v>#REF!</v>
      </c>
      <c r="ER110" t="e">
        <f>AND(#REF!,"AAAAAH/tfpM=")</f>
        <v>#REF!</v>
      </c>
      <c r="ES110" t="e">
        <f>AND(#REF!,"AAAAAH/tfpQ=")</f>
        <v>#REF!</v>
      </c>
      <c r="ET110" t="e">
        <f>AND(#REF!,"AAAAAH/tfpU=")</f>
        <v>#REF!</v>
      </c>
      <c r="EU110" t="e">
        <f>AND(#REF!,"AAAAAH/tfpY=")</f>
        <v>#REF!</v>
      </c>
      <c r="EV110" t="e">
        <f>AND(#REF!,"AAAAAH/tfpc=")</f>
        <v>#REF!</v>
      </c>
      <c r="EW110" t="e">
        <f>AND(#REF!,"AAAAAH/tfpg=")</f>
        <v>#REF!</v>
      </c>
      <c r="EX110" t="e">
        <f>AND(#REF!,"AAAAAH/tfpk=")</f>
        <v>#REF!</v>
      </c>
      <c r="EY110" t="e">
        <f>AND(#REF!,"AAAAAH/tfpo=")</f>
        <v>#REF!</v>
      </c>
      <c r="EZ110" t="e">
        <f>AND(#REF!,"AAAAAH/tfps=")</f>
        <v>#REF!</v>
      </c>
      <c r="FA110" t="e">
        <f>IF(#REF!,"AAAAAH/tfpw=",0)</f>
        <v>#REF!</v>
      </c>
      <c r="FB110" t="e">
        <f>AND(#REF!,"AAAAAH/tfp0=")</f>
        <v>#REF!</v>
      </c>
      <c r="FC110" t="e">
        <f>AND(#REF!,"AAAAAH/tfp4=")</f>
        <v>#REF!</v>
      </c>
      <c r="FD110" t="e">
        <f>AND(#REF!,"AAAAAH/tfp8=")</f>
        <v>#REF!</v>
      </c>
      <c r="FE110" t="e">
        <f>AND(#REF!,"AAAAAH/tfqA=")</f>
        <v>#REF!</v>
      </c>
      <c r="FF110" t="e">
        <f>AND(#REF!,"AAAAAH/tfqE=")</f>
        <v>#REF!</v>
      </c>
      <c r="FG110" t="e">
        <f>AND(#REF!,"AAAAAH/tfqI=")</f>
        <v>#REF!</v>
      </c>
      <c r="FH110" t="e">
        <f>AND(#REF!,"AAAAAH/tfqM=")</f>
        <v>#REF!</v>
      </c>
      <c r="FI110" t="e">
        <f>AND(#REF!,"AAAAAH/tfqQ=")</f>
        <v>#REF!</v>
      </c>
      <c r="FJ110" t="e">
        <f>AND(#REF!,"AAAAAH/tfqU=")</f>
        <v>#REF!</v>
      </c>
      <c r="FK110" t="e">
        <f>AND(#REF!,"AAAAAH/tfqY=")</f>
        <v>#REF!</v>
      </c>
      <c r="FL110" t="e">
        <f>AND(#REF!,"AAAAAH/tfqc=")</f>
        <v>#REF!</v>
      </c>
      <c r="FM110" t="e">
        <f>AND(#REF!,"AAAAAH/tfqg=")</f>
        <v>#REF!</v>
      </c>
      <c r="FN110" t="e">
        <f>AND(#REF!,"AAAAAH/tfqk=")</f>
        <v>#REF!</v>
      </c>
      <c r="FO110" t="e">
        <f>AND(#REF!,"AAAAAH/tfqo=")</f>
        <v>#REF!</v>
      </c>
      <c r="FP110" t="e">
        <f>AND(#REF!,"AAAAAH/tfqs=")</f>
        <v>#REF!</v>
      </c>
      <c r="FQ110" t="e">
        <f>AND(#REF!,"AAAAAH/tfqw=")</f>
        <v>#REF!</v>
      </c>
      <c r="FR110" t="e">
        <f>AND(#REF!,"AAAAAH/tfq0=")</f>
        <v>#REF!</v>
      </c>
      <c r="FS110" t="e">
        <f>AND(#REF!,"AAAAAH/tfq4=")</f>
        <v>#REF!</v>
      </c>
      <c r="FT110" t="e">
        <f>AND(#REF!,"AAAAAH/tfq8=")</f>
        <v>#REF!</v>
      </c>
      <c r="FU110" t="e">
        <f>AND(#REF!,"AAAAAH/tfrA=")</f>
        <v>#REF!</v>
      </c>
      <c r="FV110" t="e">
        <f>AND(#REF!,"AAAAAH/tfrE=")</f>
        <v>#REF!</v>
      </c>
      <c r="FW110" t="e">
        <f>AND(#REF!,"AAAAAH/tfrI=")</f>
        <v>#REF!</v>
      </c>
      <c r="FX110" t="e">
        <f>AND(#REF!,"AAAAAH/tfrM=")</f>
        <v>#REF!</v>
      </c>
      <c r="FY110" t="e">
        <f>AND(#REF!,"AAAAAH/tfrQ=")</f>
        <v>#REF!</v>
      </c>
      <c r="FZ110" t="e">
        <f>IF(#REF!,"AAAAAH/tfrU=",0)</f>
        <v>#REF!</v>
      </c>
      <c r="GA110" t="e">
        <f>AND(#REF!,"AAAAAH/tfrY=")</f>
        <v>#REF!</v>
      </c>
      <c r="GB110" t="e">
        <f>AND(#REF!,"AAAAAH/tfrc=")</f>
        <v>#REF!</v>
      </c>
      <c r="GC110" t="e">
        <f>AND(#REF!,"AAAAAH/tfrg=")</f>
        <v>#REF!</v>
      </c>
      <c r="GD110" t="e">
        <f>AND(#REF!,"AAAAAH/tfrk=")</f>
        <v>#REF!</v>
      </c>
      <c r="GE110" t="e">
        <f>AND(#REF!,"AAAAAH/tfro=")</f>
        <v>#REF!</v>
      </c>
      <c r="GF110" t="e">
        <f>AND(#REF!,"AAAAAH/tfrs=")</f>
        <v>#REF!</v>
      </c>
      <c r="GG110" t="e">
        <f>AND(#REF!,"AAAAAH/tfrw=")</f>
        <v>#REF!</v>
      </c>
      <c r="GH110" t="e">
        <f>AND(#REF!,"AAAAAH/tfr0=")</f>
        <v>#REF!</v>
      </c>
      <c r="GI110" t="e">
        <f>AND(#REF!,"AAAAAH/tfr4=")</f>
        <v>#REF!</v>
      </c>
      <c r="GJ110" t="e">
        <f>AND(#REF!,"AAAAAH/tfr8=")</f>
        <v>#REF!</v>
      </c>
      <c r="GK110" t="e">
        <f>AND(#REF!,"AAAAAH/tfsA=")</f>
        <v>#REF!</v>
      </c>
      <c r="GL110" t="e">
        <f>AND(#REF!,"AAAAAH/tfsE=")</f>
        <v>#REF!</v>
      </c>
      <c r="GM110" t="e">
        <f>AND(#REF!,"AAAAAH/tfsI=")</f>
        <v>#REF!</v>
      </c>
      <c r="GN110" t="e">
        <f>AND(#REF!,"AAAAAH/tfsM=")</f>
        <v>#REF!</v>
      </c>
      <c r="GO110" t="e">
        <f>AND(#REF!,"AAAAAH/tfsQ=")</f>
        <v>#REF!</v>
      </c>
      <c r="GP110" t="e">
        <f>AND(#REF!,"AAAAAH/tfsU=")</f>
        <v>#REF!</v>
      </c>
      <c r="GQ110" t="e">
        <f>AND(#REF!,"AAAAAH/tfsY=")</f>
        <v>#REF!</v>
      </c>
      <c r="GR110" t="e">
        <f>AND(#REF!,"AAAAAH/tfsc=")</f>
        <v>#REF!</v>
      </c>
      <c r="GS110" t="e">
        <f>AND(#REF!,"AAAAAH/tfsg=")</f>
        <v>#REF!</v>
      </c>
      <c r="GT110" t="e">
        <f>AND(#REF!,"AAAAAH/tfsk=")</f>
        <v>#REF!</v>
      </c>
      <c r="GU110" t="e">
        <f>AND(#REF!,"AAAAAH/tfso=")</f>
        <v>#REF!</v>
      </c>
      <c r="GV110" t="e">
        <f>AND(#REF!,"AAAAAH/tfss=")</f>
        <v>#REF!</v>
      </c>
      <c r="GW110" t="e">
        <f>AND(#REF!,"AAAAAH/tfsw=")</f>
        <v>#REF!</v>
      </c>
      <c r="GX110" t="e">
        <f>AND(#REF!,"AAAAAH/tfs0=")</f>
        <v>#REF!</v>
      </c>
      <c r="GY110" t="e">
        <f>IF(#REF!,"AAAAAH/tfs4=",0)</f>
        <v>#REF!</v>
      </c>
      <c r="GZ110" t="e">
        <f>AND(#REF!,"AAAAAH/tfs8=")</f>
        <v>#REF!</v>
      </c>
      <c r="HA110" t="e">
        <f>AND(#REF!,"AAAAAH/tftA=")</f>
        <v>#REF!</v>
      </c>
      <c r="HB110" t="e">
        <f>AND(#REF!,"AAAAAH/tftE=")</f>
        <v>#REF!</v>
      </c>
      <c r="HC110" t="e">
        <f>AND(#REF!,"AAAAAH/tftI=")</f>
        <v>#REF!</v>
      </c>
      <c r="HD110" t="e">
        <f>AND(#REF!,"AAAAAH/tftM=")</f>
        <v>#REF!</v>
      </c>
      <c r="HE110" t="e">
        <f>AND(#REF!,"AAAAAH/tftQ=")</f>
        <v>#REF!</v>
      </c>
      <c r="HF110" t="e">
        <f>AND(#REF!,"AAAAAH/tftU=")</f>
        <v>#REF!</v>
      </c>
      <c r="HG110" t="e">
        <f>AND(#REF!,"AAAAAH/tftY=")</f>
        <v>#REF!</v>
      </c>
      <c r="HH110" t="e">
        <f>AND(#REF!,"AAAAAH/tftc=")</f>
        <v>#REF!</v>
      </c>
      <c r="HI110" t="e">
        <f>AND(#REF!,"AAAAAH/tftg=")</f>
        <v>#REF!</v>
      </c>
      <c r="HJ110" t="e">
        <f>AND(#REF!,"AAAAAH/tftk=")</f>
        <v>#REF!</v>
      </c>
      <c r="HK110" t="e">
        <f>AND(#REF!,"AAAAAH/tfto=")</f>
        <v>#REF!</v>
      </c>
      <c r="HL110" t="e">
        <f>AND(#REF!,"AAAAAH/tfts=")</f>
        <v>#REF!</v>
      </c>
      <c r="HM110" t="e">
        <f>AND(#REF!,"AAAAAH/tftw=")</f>
        <v>#REF!</v>
      </c>
      <c r="HN110" t="e">
        <f>AND(#REF!,"AAAAAH/tft0=")</f>
        <v>#REF!</v>
      </c>
      <c r="HO110" t="e">
        <f>AND(#REF!,"AAAAAH/tft4=")</f>
        <v>#REF!</v>
      </c>
      <c r="HP110" t="e">
        <f>AND(#REF!,"AAAAAH/tft8=")</f>
        <v>#REF!</v>
      </c>
      <c r="HQ110" t="e">
        <f>AND(#REF!,"AAAAAH/tfuA=")</f>
        <v>#REF!</v>
      </c>
      <c r="HR110" t="e">
        <f>AND(#REF!,"AAAAAH/tfuE=")</f>
        <v>#REF!</v>
      </c>
      <c r="HS110" t="e">
        <f>AND(#REF!,"AAAAAH/tfuI=")</f>
        <v>#REF!</v>
      </c>
      <c r="HT110" t="e">
        <f>AND(#REF!,"AAAAAH/tfuM=")</f>
        <v>#REF!</v>
      </c>
      <c r="HU110" t="e">
        <f>AND(#REF!,"AAAAAH/tfuQ=")</f>
        <v>#REF!</v>
      </c>
      <c r="HV110" t="e">
        <f>AND(#REF!,"AAAAAH/tfuU=")</f>
        <v>#REF!</v>
      </c>
      <c r="HW110" t="e">
        <f>AND(#REF!,"AAAAAH/tfuY=")</f>
        <v>#REF!</v>
      </c>
      <c r="HX110" t="e">
        <f>IF(#REF!,"AAAAAH/tfuc=",0)</f>
        <v>#REF!</v>
      </c>
      <c r="HY110" t="e">
        <f>AND(#REF!,"AAAAAH/tfug=")</f>
        <v>#REF!</v>
      </c>
      <c r="HZ110" t="e">
        <f>AND(#REF!,"AAAAAH/tfuk=")</f>
        <v>#REF!</v>
      </c>
      <c r="IA110" t="e">
        <f>AND(#REF!,"AAAAAH/tfuo=")</f>
        <v>#REF!</v>
      </c>
      <c r="IB110" t="e">
        <f>AND(#REF!,"AAAAAH/tfus=")</f>
        <v>#REF!</v>
      </c>
      <c r="IC110" t="e">
        <f>AND(#REF!,"AAAAAH/tfuw=")</f>
        <v>#REF!</v>
      </c>
      <c r="ID110" t="e">
        <f>AND(#REF!,"AAAAAH/tfu0=")</f>
        <v>#REF!</v>
      </c>
      <c r="IE110" t="e">
        <f>AND(#REF!,"AAAAAH/tfu4=")</f>
        <v>#REF!</v>
      </c>
      <c r="IF110" t="e">
        <f>AND(#REF!,"AAAAAH/tfu8=")</f>
        <v>#REF!</v>
      </c>
      <c r="IG110" t="e">
        <f>AND(#REF!,"AAAAAH/tfvA=")</f>
        <v>#REF!</v>
      </c>
      <c r="IH110" t="e">
        <f>AND(#REF!,"AAAAAH/tfvE=")</f>
        <v>#REF!</v>
      </c>
      <c r="II110" t="e">
        <f>AND(#REF!,"AAAAAH/tfvI=")</f>
        <v>#REF!</v>
      </c>
      <c r="IJ110" t="e">
        <f>AND(#REF!,"AAAAAH/tfvM=")</f>
        <v>#REF!</v>
      </c>
      <c r="IK110" t="e">
        <f>AND(#REF!,"AAAAAH/tfvQ=")</f>
        <v>#REF!</v>
      </c>
      <c r="IL110" t="e">
        <f>AND(#REF!,"AAAAAH/tfvU=")</f>
        <v>#REF!</v>
      </c>
      <c r="IM110" t="e">
        <f>AND(#REF!,"AAAAAH/tfvY=")</f>
        <v>#REF!</v>
      </c>
      <c r="IN110" t="e">
        <f>AND(#REF!,"AAAAAH/tfvc=")</f>
        <v>#REF!</v>
      </c>
      <c r="IO110" t="e">
        <f>AND(#REF!,"AAAAAH/tfvg=")</f>
        <v>#REF!</v>
      </c>
      <c r="IP110" t="e">
        <f>AND(#REF!,"AAAAAH/tfvk=")</f>
        <v>#REF!</v>
      </c>
      <c r="IQ110" t="e">
        <f>AND(#REF!,"AAAAAH/tfvo=")</f>
        <v>#REF!</v>
      </c>
      <c r="IR110" t="e">
        <f>AND(#REF!,"AAAAAH/tfvs=")</f>
        <v>#REF!</v>
      </c>
      <c r="IS110" t="e">
        <f>AND(#REF!,"AAAAAH/tfvw=")</f>
        <v>#REF!</v>
      </c>
      <c r="IT110" t="e">
        <f>AND(#REF!,"AAAAAH/tfv0=")</f>
        <v>#REF!</v>
      </c>
      <c r="IU110" t="e">
        <f>AND(#REF!,"AAAAAH/tfv4=")</f>
        <v>#REF!</v>
      </c>
      <c r="IV110" t="e">
        <f>AND(#REF!,"AAAAAH/tfv8=")</f>
        <v>#REF!</v>
      </c>
    </row>
    <row r="111" spans="1:256">
      <c r="A111" t="e">
        <f>IF(#REF!,"AAAAAH8bawA=",0)</f>
        <v>#REF!</v>
      </c>
      <c r="B111" t="e">
        <f>AND(#REF!,"AAAAAH8bawE=")</f>
        <v>#REF!</v>
      </c>
      <c r="C111" t="e">
        <f>AND(#REF!,"AAAAAH8bawI=")</f>
        <v>#REF!</v>
      </c>
      <c r="D111" t="e">
        <f>AND(#REF!,"AAAAAH8bawM=")</f>
        <v>#REF!</v>
      </c>
      <c r="E111" t="e">
        <f>AND(#REF!,"AAAAAH8bawQ=")</f>
        <v>#REF!</v>
      </c>
      <c r="F111" t="e">
        <f>AND(#REF!,"AAAAAH8bawU=")</f>
        <v>#REF!</v>
      </c>
      <c r="G111" t="e">
        <f>AND(#REF!,"AAAAAH8bawY=")</f>
        <v>#REF!</v>
      </c>
      <c r="H111" t="e">
        <f>AND(#REF!,"AAAAAH8bawc=")</f>
        <v>#REF!</v>
      </c>
      <c r="I111" t="e">
        <f>AND(#REF!,"AAAAAH8bawg=")</f>
        <v>#REF!</v>
      </c>
      <c r="J111" t="e">
        <f>AND(#REF!,"AAAAAH8bawk=")</f>
        <v>#REF!</v>
      </c>
      <c r="K111" t="e">
        <f>AND(#REF!,"AAAAAH8bawo=")</f>
        <v>#REF!</v>
      </c>
      <c r="L111" t="e">
        <f>AND(#REF!,"AAAAAH8baws=")</f>
        <v>#REF!</v>
      </c>
      <c r="M111" t="e">
        <f>AND(#REF!,"AAAAAH8baww=")</f>
        <v>#REF!</v>
      </c>
      <c r="N111" t="e">
        <f>AND(#REF!,"AAAAAH8baw0=")</f>
        <v>#REF!</v>
      </c>
      <c r="O111" t="e">
        <f>AND(#REF!,"AAAAAH8baw4=")</f>
        <v>#REF!</v>
      </c>
      <c r="P111" t="e">
        <f>AND(#REF!,"AAAAAH8baw8=")</f>
        <v>#REF!</v>
      </c>
      <c r="Q111" t="e">
        <f>AND(#REF!,"AAAAAH8baxA=")</f>
        <v>#REF!</v>
      </c>
      <c r="R111" t="e">
        <f>AND(#REF!,"AAAAAH8baxE=")</f>
        <v>#REF!</v>
      </c>
      <c r="S111" t="e">
        <f>AND(#REF!,"AAAAAH8baxI=")</f>
        <v>#REF!</v>
      </c>
      <c r="T111" t="e">
        <f>AND(#REF!,"AAAAAH8baxM=")</f>
        <v>#REF!</v>
      </c>
      <c r="U111" t="e">
        <f>AND(#REF!,"AAAAAH8baxQ=")</f>
        <v>#REF!</v>
      </c>
      <c r="V111" t="e">
        <f>AND(#REF!,"AAAAAH8baxU=")</f>
        <v>#REF!</v>
      </c>
      <c r="W111" t="e">
        <f>AND(#REF!,"AAAAAH8baxY=")</f>
        <v>#REF!</v>
      </c>
      <c r="X111" t="e">
        <f>AND(#REF!,"AAAAAH8baxc=")</f>
        <v>#REF!</v>
      </c>
      <c r="Y111" t="e">
        <f>AND(#REF!,"AAAAAH8baxg=")</f>
        <v>#REF!</v>
      </c>
      <c r="Z111" t="e">
        <f>IF(#REF!,"AAAAAH8baxk=",0)</f>
        <v>#REF!</v>
      </c>
      <c r="AA111" t="e">
        <f>AND(#REF!,"AAAAAH8baxo=")</f>
        <v>#REF!</v>
      </c>
      <c r="AB111" t="e">
        <f>AND(#REF!,"AAAAAH8baxs=")</f>
        <v>#REF!</v>
      </c>
      <c r="AC111" t="e">
        <f>AND(#REF!,"AAAAAH8baxw=")</f>
        <v>#REF!</v>
      </c>
      <c r="AD111" t="e">
        <f>AND(#REF!,"AAAAAH8bax0=")</f>
        <v>#REF!</v>
      </c>
      <c r="AE111" t="e">
        <f>AND(#REF!,"AAAAAH8bax4=")</f>
        <v>#REF!</v>
      </c>
      <c r="AF111" t="e">
        <f>AND(#REF!,"AAAAAH8bax8=")</f>
        <v>#REF!</v>
      </c>
      <c r="AG111" t="e">
        <f>AND(#REF!,"AAAAAH8bayA=")</f>
        <v>#REF!</v>
      </c>
      <c r="AH111" t="e">
        <f>AND(#REF!,"AAAAAH8bayE=")</f>
        <v>#REF!</v>
      </c>
      <c r="AI111" t="e">
        <f>AND(#REF!,"AAAAAH8bayI=")</f>
        <v>#REF!</v>
      </c>
      <c r="AJ111" t="e">
        <f>AND(#REF!,"AAAAAH8bayM=")</f>
        <v>#REF!</v>
      </c>
      <c r="AK111" t="e">
        <f>AND(#REF!,"AAAAAH8bayQ=")</f>
        <v>#REF!</v>
      </c>
      <c r="AL111" t="e">
        <f>AND(#REF!,"AAAAAH8bayU=")</f>
        <v>#REF!</v>
      </c>
      <c r="AM111" t="e">
        <f>AND(#REF!,"AAAAAH8bayY=")</f>
        <v>#REF!</v>
      </c>
      <c r="AN111" t="e">
        <f>AND(#REF!,"AAAAAH8bayc=")</f>
        <v>#REF!</v>
      </c>
      <c r="AO111" t="e">
        <f>AND(#REF!,"AAAAAH8bayg=")</f>
        <v>#REF!</v>
      </c>
      <c r="AP111" t="e">
        <f>AND(#REF!,"AAAAAH8bayk=")</f>
        <v>#REF!</v>
      </c>
      <c r="AQ111" t="e">
        <f>AND(#REF!,"AAAAAH8bayo=")</f>
        <v>#REF!</v>
      </c>
      <c r="AR111" t="e">
        <f>AND(#REF!,"AAAAAH8bays=")</f>
        <v>#REF!</v>
      </c>
      <c r="AS111" t="e">
        <f>AND(#REF!,"AAAAAH8bayw=")</f>
        <v>#REF!</v>
      </c>
      <c r="AT111" t="e">
        <f>AND(#REF!,"AAAAAH8bay0=")</f>
        <v>#REF!</v>
      </c>
      <c r="AU111" t="e">
        <f>AND(#REF!,"AAAAAH8bay4=")</f>
        <v>#REF!</v>
      </c>
      <c r="AV111" t="e">
        <f>AND(#REF!,"AAAAAH8bay8=")</f>
        <v>#REF!</v>
      </c>
      <c r="AW111" t="e">
        <f>AND(#REF!,"AAAAAH8bazA=")</f>
        <v>#REF!</v>
      </c>
      <c r="AX111" t="e">
        <f>AND(#REF!,"AAAAAH8bazE=")</f>
        <v>#REF!</v>
      </c>
      <c r="AY111" t="e">
        <f>IF(#REF!,"AAAAAH8bazI=",0)</f>
        <v>#REF!</v>
      </c>
      <c r="AZ111" t="e">
        <f>AND(#REF!,"AAAAAH8bazM=")</f>
        <v>#REF!</v>
      </c>
      <c r="BA111" t="e">
        <f>AND(#REF!,"AAAAAH8bazQ=")</f>
        <v>#REF!</v>
      </c>
      <c r="BB111" t="e">
        <f>AND(#REF!,"AAAAAH8bazU=")</f>
        <v>#REF!</v>
      </c>
      <c r="BC111" t="e">
        <f>AND(#REF!,"AAAAAH8bazY=")</f>
        <v>#REF!</v>
      </c>
      <c r="BD111" t="e">
        <f>AND(#REF!,"AAAAAH8bazc=")</f>
        <v>#REF!</v>
      </c>
      <c r="BE111" t="e">
        <f>AND(#REF!,"AAAAAH8bazg=")</f>
        <v>#REF!</v>
      </c>
      <c r="BF111" t="e">
        <f>AND(#REF!,"AAAAAH8bazk=")</f>
        <v>#REF!</v>
      </c>
      <c r="BG111" t="e">
        <f>AND(#REF!,"AAAAAH8bazo=")</f>
        <v>#REF!</v>
      </c>
      <c r="BH111" t="e">
        <f>AND(#REF!,"AAAAAH8bazs=")</f>
        <v>#REF!</v>
      </c>
      <c r="BI111" t="e">
        <f>AND(#REF!,"AAAAAH8bazw=")</f>
        <v>#REF!</v>
      </c>
      <c r="BJ111" t="e">
        <f>AND(#REF!,"AAAAAH8baz0=")</f>
        <v>#REF!</v>
      </c>
      <c r="BK111" t="e">
        <f>AND(#REF!,"AAAAAH8baz4=")</f>
        <v>#REF!</v>
      </c>
      <c r="BL111" t="e">
        <f>AND(#REF!,"AAAAAH8baz8=")</f>
        <v>#REF!</v>
      </c>
      <c r="BM111" t="e">
        <f>AND(#REF!,"AAAAAH8ba0A=")</f>
        <v>#REF!</v>
      </c>
      <c r="BN111" t="e">
        <f>AND(#REF!,"AAAAAH8ba0E=")</f>
        <v>#REF!</v>
      </c>
      <c r="BO111" t="e">
        <f>AND(#REF!,"AAAAAH8ba0I=")</f>
        <v>#REF!</v>
      </c>
      <c r="BP111" t="e">
        <f>AND(#REF!,"AAAAAH8ba0M=")</f>
        <v>#REF!</v>
      </c>
      <c r="BQ111" t="e">
        <f>AND(#REF!,"AAAAAH8ba0Q=")</f>
        <v>#REF!</v>
      </c>
      <c r="BR111" t="e">
        <f>AND(#REF!,"AAAAAH8ba0U=")</f>
        <v>#REF!</v>
      </c>
      <c r="BS111" t="e">
        <f>AND(#REF!,"AAAAAH8ba0Y=")</f>
        <v>#REF!</v>
      </c>
      <c r="BT111" t="e">
        <f>AND(#REF!,"AAAAAH8ba0c=")</f>
        <v>#REF!</v>
      </c>
      <c r="BU111" t="e">
        <f>AND(#REF!,"AAAAAH8ba0g=")</f>
        <v>#REF!</v>
      </c>
      <c r="BV111" t="e">
        <f>AND(#REF!,"AAAAAH8ba0k=")</f>
        <v>#REF!</v>
      </c>
      <c r="BW111" t="e">
        <f>AND(#REF!,"AAAAAH8ba0o=")</f>
        <v>#REF!</v>
      </c>
      <c r="BX111" t="e">
        <f>IF(#REF!,"AAAAAH8ba0s=",0)</f>
        <v>#REF!</v>
      </c>
      <c r="BY111" t="e">
        <f>AND(#REF!,"AAAAAH8ba0w=")</f>
        <v>#REF!</v>
      </c>
      <c r="BZ111" t="e">
        <f>AND(#REF!,"AAAAAH8ba00=")</f>
        <v>#REF!</v>
      </c>
      <c r="CA111" t="e">
        <f>AND(#REF!,"AAAAAH8ba04=")</f>
        <v>#REF!</v>
      </c>
      <c r="CB111" t="e">
        <f>AND(#REF!,"AAAAAH8ba08=")</f>
        <v>#REF!</v>
      </c>
      <c r="CC111" t="e">
        <f>AND(#REF!,"AAAAAH8ba1A=")</f>
        <v>#REF!</v>
      </c>
      <c r="CD111" t="e">
        <f>AND(#REF!,"AAAAAH8ba1E=")</f>
        <v>#REF!</v>
      </c>
      <c r="CE111" t="e">
        <f>AND(#REF!,"AAAAAH8ba1I=")</f>
        <v>#REF!</v>
      </c>
      <c r="CF111" t="e">
        <f>AND(#REF!,"AAAAAH8ba1M=")</f>
        <v>#REF!</v>
      </c>
      <c r="CG111" t="e">
        <f>AND(#REF!,"AAAAAH8ba1Q=")</f>
        <v>#REF!</v>
      </c>
      <c r="CH111" t="e">
        <f>AND(#REF!,"AAAAAH8ba1U=")</f>
        <v>#REF!</v>
      </c>
      <c r="CI111" t="e">
        <f>AND(#REF!,"AAAAAH8ba1Y=")</f>
        <v>#REF!</v>
      </c>
      <c r="CJ111" t="e">
        <f>AND(#REF!,"AAAAAH8ba1c=")</f>
        <v>#REF!</v>
      </c>
      <c r="CK111" t="e">
        <f>AND(#REF!,"AAAAAH8ba1g=")</f>
        <v>#REF!</v>
      </c>
      <c r="CL111" t="e">
        <f>AND(#REF!,"AAAAAH8ba1k=")</f>
        <v>#REF!</v>
      </c>
      <c r="CM111" t="e">
        <f>AND(#REF!,"AAAAAH8ba1o=")</f>
        <v>#REF!</v>
      </c>
      <c r="CN111" t="e">
        <f>AND(#REF!,"AAAAAH8ba1s=")</f>
        <v>#REF!</v>
      </c>
      <c r="CO111" t="e">
        <f>AND(#REF!,"AAAAAH8ba1w=")</f>
        <v>#REF!</v>
      </c>
      <c r="CP111" t="e">
        <f>AND(#REF!,"AAAAAH8ba10=")</f>
        <v>#REF!</v>
      </c>
      <c r="CQ111" t="e">
        <f>AND(#REF!,"AAAAAH8ba14=")</f>
        <v>#REF!</v>
      </c>
      <c r="CR111" t="e">
        <f>AND(#REF!,"AAAAAH8ba18=")</f>
        <v>#REF!</v>
      </c>
      <c r="CS111" t="e">
        <f>AND(#REF!,"AAAAAH8ba2A=")</f>
        <v>#REF!</v>
      </c>
      <c r="CT111" t="e">
        <f>AND(#REF!,"AAAAAH8ba2E=")</f>
        <v>#REF!</v>
      </c>
      <c r="CU111" t="e">
        <f>AND(#REF!,"AAAAAH8ba2I=")</f>
        <v>#REF!</v>
      </c>
      <c r="CV111" t="e">
        <f>AND(#REF!,"AAAAAH8ba2M=")</f>
        <v>#REF!</v>
      </c>
      <c r="CW111" t="e">
        <f>IF(#REF!,"AAAAAH8ba2Q=",0)</f>
        <v>#REF!</v>
      </c>
      <c r="CX111" t="e">
        <f>AND(#REF!,"AAAAAH8ba2U=")</f>
        <v>#REF!</v>
      </c>
      <c r="CY111" t="e">
        <f>AND(#REF!,"AAAAAH8ba2Y=")</f>
        <v>#REF!</v>
      </c>
      <c r="CZ111" t="e">
        <f>AND(#REF!,"AAAAAH8ba2c=")</f>
        <v>#REF!</v>
      </c>
      <c r="DA111" t="e">
        <f>AND(#REF!,"AAAAAH8ba2g=")</f>
        <v>#REF!</v>
      </c>
      <c r="DB111" t="e">
        <f>AND(#REF!,"AAAAAH8ba2k=")</f>
        <v>#REF!</v>
      </c>
      <c r="DC111" t="e">
        <f>AND(#REF!,"AAAAAH8ba2o=")</f>
        <v>#REF!</v>
      </c>
      <c r="DD111" t="e">
        <f>AND(#REF!,"AAAAAH8ba2s=")</f>
        <v>#REF!</v>
      </c>
      <c r="DE111" t="e">
        <f>AND(#REF!,"AAAAAH8ba2w=")</f>
        <v>#REF!</v>
      </c>
      <c r="DF111" t="e">
        <f>AND(#REF!,"AAAAAH8ba20=")</f>
        <v>#REF!</v>
      </c>
      <c r="DG111" t="e">
        <f>AND(#REF!,"AAAAAH8ba24=")</f>
        <v>#REF!</v>
      </c>
      <c r="DH111" t="e">
        <f>AND(#REF!,"AAAAAH8ba28=")</f>
        <v>#REF!</v>
      </c>
      <c r="DI111" t="e">
        <f>AND(#REF!,"AAAAAH8ba3A=")</f>
        <v>#REF!</v>
      </c>
      <c r="DJ111" t="e">
        <f>AND(#REF!,"AAAAAH8ba3E=")</f>
        <v>#REF!</v>
      </c>
      <c r="DK111" t="e">
        <f>AND(#REF!,"AAAAAH8ba3I=")</f>
        <v>#REF!</v>
      </c>
      <c r="DL111" t="e">
        <f>AND(#REF!,"AAAAAH8ba3M=")</f>
        <v>#REF!</v>
      </c>
      <c r="DM111" t="e">
        <f>AND(#REF!,"AAAAAH8ba3Q=")</f>
        <v>#REF!</v>
      </c>
      <c r="DN111" t="e">
        <f>AND(#REF!,"AAAAAH8ba3U=")</f>
        <v>#REF!</v>
      </c>
      <c r="DO111" t="e">
        <f>AND(#REF!,"AAAAAH8ba3Y=")</f>
        <v>#REF!</v>
      </c>
      <c r="DP111" t="e">
        <f>AND(#REF!,"AAAAAH8ba3c=")</f>
        <v>#REF!</v>
      </c>
      <c r="DQ111" t="e">
        <f>AND(#REF!,"AAAAAH8ba3g=")</f>
        <v>#REF!</v>
      </c>
      <c r="DR111" t="e">
        <f>AND(#REF!,"AAAAAH8ba3k=")</f>
        <v>#REF!</v>
      </c>
      <c r="DS111" t="e">
        <f>AND(#REF!,"AAAAAH8ba3o=")</f>
        <v>#REF!</v>
      </c>
      <c r="DT111" t="e">
        <f>AND(#REF!,"AAAAAH8ba3s=")</f>
        <v>#REF!</v>
      </c>
      <c r="DU111" t="e">
        <f>AND(#REF!,"AAAAAH8ba3w=")</f>
        <v>#REF!</v>
      </c>
      <c r="DV111" t="e">
        <f>IF(#REF!,"AAAAAH8ba30=",0)</f>
        <v>#REF!</v>
      </c>
      <c r="DW111" t="e">
        <f>AND(#REF!,"AAAAAH8ba34=")</f>
        <v>#REF!</v>
      </c>
      <c r="DX111" t="e">
        <f>AND(#REF!,"AAAAAH8ba38=")</f>
        <v>#REF!</v>
      </c>
      <c r="DY111" t="e">
        <f>AND(#REF!,"AAAAAH8ba4A=")</f>
        <v>#REF!</v>
      </c>
      <c r="DZ111" t="e">
        <f>AND(#REF!,"AAAAAH8ba4E=")</f>
        <v>#REF!</v>
      </c>
      <c r="EA111" t="e">
        <f>AND(#REF!,"AAAAAH8ba4I=")</f>
        <v>#REF!</v>
      </c>
      <c r="EB111" t="e">
        <f>AND(#REF!,"AAAAAH8ba4M=")</f>
        <v>#REF!</v>
      </c>
      <c r="EC111" t="e">
        <f>AND(#REF!,"AAAAAH8ba4Q=")</f>
        <v>#REF!</v>
      </c>
      <c r="ED111" t="e">
        <f>AND(#REF!,"AAAAAH8ba4U=")</f>
        <v>#REF!</v>
      </c>
      <c r="EE111" t="e">
        <f>AND(#REF!,"AAAAAH8ba4Y=")</f>
        <v>#REF!</v>
      </c>
      <c r="EF111" t="e">
        <f>AND(#REF!,"AAAAAH8ba4c=")</f>
        <v>#REF!</v>
      </c>
      <c r="EG111" t="e">
        <f>AND(#REF!,"AAAAAH8ba4g=")</f>
        <v>#REF!</v>
      </c>
      <c r="EH111" t="e">
        <f>AND(#REF!,"AAAAAH8ba4k=")</f>
        <v>#REF!</v>
      </c>
      <c r="EI111" t="e">
        <f>AND(#REF!,"AAAAAH8ba4o=")</f>
        <v>#REF!</v>
      </c>
      <c r="EJ111" t="e">
        <f>AND(#REF!,"AAAAAH8ba4s=")</f>
        <v>#REF!</v>
      </c>
      <c r="EK111" t="e">
        <f>AND(#REF!,"AAAAAH8ba4w=")</f>
        <v>#REF!</v>
      </c>
      <c r="EL111" t="e">
        <f>AND(#REF!,"AAAAAH8ba40=")</f>
        <v>#REF!</v>
      </c>
      <c r="EM111" t="e">
        <f>AND(#REF!,"AAAAAH8ba44=")</f>
        <v>#REF!</v>
      </c>
      <c r="EN111" t="e">
        <f>AND(#REF!,"AAAAAH8ba48=")</f>
        <v>#REF!</v>
      </c>
      <c r="EO111" t="e">
        <f>AND(#REF!,"AAAAAH8ba5A=")</f>
        <v>#REF!</v>
      </c>
      <c r="EP111" t="e">
        <f>AND(#REF!,"AAAAAH8ba5E=")</f>
        <v>#REF!</v>
      </c>
      <c r="EQ111" t="e">
        <f>AND(#REF!,"AAAAAH8ba5I=")</f>
        <v>#REF!</v>
      </c>
      <c r="ER111" t="e">
        <f>AND(#REF!,"AAAAAH8ba5M=")</f>
        <v>#REF!</v>
      </c>
      <c r="ES111" t="e">
        <f>AND(#REF!,"AAAAAH8ba5Q=")</f>
        <v>#REF!</v>
      </c>
      <c r="ET111" t="e">
        <f>AND(#REF!,"AAAAAH8ba5U=")</f>
        <v>#REF!</v>
      </c>
      <c r="EU111" t="e">
        <f>IF(#REF!,"AAAAAH8ba5Y=",0)</f>
        <v>#REF!</v>
      </c>
      <c r="EV111" t="e">
        <f>AND(#REF!,"AAAAAH8ba5c=")</f>
        <v>#REF!</v>
      </c>
      <c r="EW111" t="e">
        <f>AND(#REF!,"AAAAAH8ba5g=")</f>
        <v>#REF!</v>
      </c>
      <c r="EX111" t="e">
        <f>AND(#REF!,"AAAAAH8ba5k=")</f>
        <v>#REF!</v>
      </c>
      <c r="EY111" t="e">
        <f>AND(#REF!,"AAAAAH8ba5o=")</f>
        <v>#REF!</v>
      </c>
      <c r="EZ111" t="e">
        <f>AND(#REF!,"AAAAAH8ba5s=")</f>
        <v>#REF!</v>
      </c>
      <c r="FA111" t="e">
        <f>AND(#REF!,"AAAAAH8ba5w=")</f>
        <v>#REF!</v>
      </c>
      <c r="FB111" t="e">
        <f>AND(#REF!,"AAAAAH8ba50=")</f>
        <v>#REF!</v>
      </c>
      <c r="FC111" t="e">
        <f>AND(#REF!,"AAAAAH8ba54=")</f>
        <v>#REF!</v>
      </c>
      <c r="FD111" t="e">
        <f>AND(#REF!,"AAAAAH8ba58=")</f>
        <v>#REF!</v>
      </c>
      <c r="FE111" t="e">
        <f>AND(#REF!,"AAAAAH8ba6A=")</f>
        <v>#REF!</v>
      </c>
      <c r="FF111" t="e">
        <f>AND(#REF!,"AAAAAH8ba6E=")</f>
        <v>#REF!</v>
      </c>
      <c r="FG111" t="e">
        <f>AND(#REF!,"AAAAAH8ba6I=")</f>
        <v>#REF!</v>
      </c>
      <c r="FH111" t="e">
        <f>AND(#REF!,"AAAAAH8ba6M=")</f>
        <v>#REF!</v>
      </c>
      <c r="FI111" t="e">
        <f>AND(#REF!,"AAAAAH8ba6Q=")</f>
        <v>#REF!</v>
      </c>
      <c r="FJ111" t="e">
        <f>AND(#REF!,"AAAAAH8ba6U=")</f>
        <v>#REF!</v>
      </c>
      <c r="FK111" t="e">
        <f>AND(#REF!,"AAAAAH8ba6Y=")</f>
        <v>#REF!</v>
      </c>
      <c r="FL111" t="e">
        <f>AND(#REF!,"AAAAAH8ba6c=")</f>
        <v>#REF!</v>
      </c>
      <c r="FM111" t="e">
        <f>AND(#REF!,"AAAAAH8ba6g=")</f>
        <v>#REF!</v>
      </c>
      <c r="FN111" t="e">
        <f>AND(#REF!,"AAAAAH8ba6k=")</f>
        <v>#REF!</v>
      </c>
      <c r="FO111" t="e">
        <f>AND(#REF!,"AAAAAH8ba6o=")</f>
        <v>#REF!</v>
      </c>
      <c r="FP111" t="e">
        <f>AND(#REF!,"AAAAAH8ba6s=")</f>
        <v>#REF!</v>
      </c>
      <c r="FQ111" t="e">
        <f>AND(#REF!,"AAAAAH8ba6w=")</f>
        <v>#REF!</v>
      </c>
      <c r="FR111" t="e">
        <f>AND(#REF!,"AAAAAH8ba60=")</f>
        <v>#REF!</v>
      </c>
      <c r="FS111" t="e">
        <f>AND(#REF!,"AAAAAH8ba64=")</f>
        <v>#REF!</v>
      </c>
      <c r="FT111" t="e">
        <f>IF(#REF!,"AAAAAH8ba68=",0)</f>
        <v>#REF!</v>
      </c>
      <c r="FU111" t="e">
        <f>AND(#REF!,"AAAAAH8ba7A=")</f>
        <v>#REF!</v>
      </c>
      <c r="FV111" t="e">
        <f>AND(#REF!,"AAAAAH8ba7E=")</f>
        <v>#REF!</v>
      </c>
      <c r="FW111" t="e">
        <f>AND(#REF!,"AAAAAH8ba7I=")</f>
        <v>#REF!</v>
      </c>
      <c r="FX111" t="e">
        <f>AND(#REF!,"AAAAAH8ba7M=")</f>
        <v>#REF!</v>
      </c>
      <c r="FY111" t="e">
        <f>AND(#REF!,"AAAAAH8ba7Q=")</f>
        <v>#REF!</v>
      </c>
      <c r="FZ111" t="e">
        <f>AND(#REF!,"AAAAAH8ba7U=")</f>
        <v>#REF!</v>
      </c>
      <c r="GA111" t="e">
        <f>AND(#REF!,"AAAAAH8ba7Y=")</f>
        <v>#REF!</v>
      </c>
      <c r="GB111" t="e">
        <f>AND(#REF!,"AAAAAH8ba7c=")</f>
        <v>#REF!</v>
      </c>
      <c r="GC111" t="e">
        <f>AND(#REF!,"AAAAAH8ba7g=")</f>
        <v>#REF!</v>
      </c>
      <c r="GD111" t="e">
        <f>AND(#REF!,"AAAAAH8ba7k=")</f>
        <v>#REF!</v>
      </c>
      <c r="GE111" t="e">
        <f>AND(#REF!,"AAAAAH8ba7o=")</f>
        <v>#REF!</v>
      </c>
      <c r="GF111" t="e">
        <f>AND(#REF!,"AAAAAH8ba7s=")</f>
        <v>#REF!</v>
      </c>
      <c r="GG111" t="e">
        <f>AND(#REF!,"AAAAAH8ba7w=")</f>
        <v>#REF!</v>
      </c>
      <c r="GH111" t="e">
        <f>AND(#REF!,"AAAAAH8ba70=")</f>
        <v>#REF!</v>
      </c>
      <c r="GI111" t="e">
        <f>AND(#REF!,"AAAAAH8ba74=")</f>
        <v>#REF!</v>
      </c>
      <c r="GJ111" t="e">
        <f>AND(#REF!,"AAAAAH8ba78=")</f>
        <v>#REF!</v>
      </c>
      <c r="GK111" t="e">
        <f>AND(#REF!,"AAAAAH8ba8A=")</f>
        <v>#REF!</v>
      </c>
      <c r="GL111" t="e">
        <f>AND(#REF!,"AAAAAH8ba8E=")</f>
        <v>#REF!</v>
      </c>
      <c r="GM111" t="e">
        <f>AND(#REF!,"AAAAAH8ba8I=")</f>
        <v>#REF!</v>
      </c>
      <c r="GN111" t="e">
        <f>AND(#REF!,"AAAAAH8ba8M=")</f>
        <v>#REF!</v>
      </c>
      <c r="GO111" t="e">
        <f>AND(#REF!,"AAAAAH8ba8Q=")</f>
        <v>#REF!</v>
      </c>
      <c r="GP111" t="e">
        <f>AND(#REF!,"AAAAAH8ba8U=")</f>
        <v>#REF!</v>
      </c>
      <c r="GQ111" t="e">
        <f>AND(#REF!,"AAAAAH8ba8Y=")</f>
        <v>#REF!</v>
      </c>
      <c r="GR111" t="e">
        <f>AND(#REF!,"AAAAAH8ba8c=")</f>
        <v>#REF!</v>
      </c>
      <c r="GS111" t="e">
        <f>IF(#REF!,"AAAAAH8ba8g=",0)</f>
        <v>#REF!</v>
      </c>
      <c r="GT111" t="e">
        <f>AND(#REF!,"AAAAAH8ba8k=")</f>
        <v>#REF!</v>
      </c>
      <c r="GU111" t="e">
        <f>AND(#REF!,"AAAAAH8ba8o=")</f>
        <v>#REF!</v>
      </c>
      <c r="GV111" t="e">
        <f>AND(#REF!,"AAAAAH8ba8s=")</f>
        <v>#REF!</v>
      </c>
      <c r="GW111" t="e">
        <f>AND(#REF!,"AAAAAH8ba8w=")</f>
        <v>#REF!</v>
      </c>
      <c r="GX111" t="e">
        <f>AND(#REF!,"AAAAAH8ba80=")</f>
        <v>#REF!</v>
      </c>
      <c r="GY111" t="e">
        <f>AND(#REF!,"AAAAAH8ba84=")</f>
        <v>#REF!</v>
      </c>
      <c r="GZ111" t="e">
        <f>AND(#REF!,"AAAAAH8ba88=")</f>
        <v>#REF!</v>
      </c>
      <c r="HA111" t="e">
        <f>AND(#REF!,"AAAAAH8ba9A=")</f>
        <v>#REF!</v>
      </c>
      <c r="HB111" t="e">
        <f>AND(#REF!,"AAAAAH8ba9E=")</f>
        <v>#REF!</v>
      </c>
      <c r="HC111" t="e">
        <f>AND(#REF!,"AAAAAH8ba9I=")</f>
        <v>#REF!</v>
      </c>
      <c r="HD111" t="e">
        <f>AND(#REF!,"AAAAAH8ba9M=")</f>
        <v>#REF!</v>
      </c>
      <c r="HE111" t="e">
        <f>AND(#REF!,"AAAAAH8ba9Q=")</f>
        <v>#REF!</v>
      </c>
      <c r="HF111" t="e">
        <f>AND(#REF!,"AAAAAH8ba9U=")</f>
        <v>#REF!</v>
      </c>
      <c r="HG111" t="e">
        <f>AND(#REF!,"AAAAAH8ba9Y=")</f>
        <v>#REF!</v>
      </c>
      <c r="HH111" t="e">
        <f>AND(#REF!,"AAAAAH8ba9c=")</f>
        <v>#REF!</v>
      </c>
      <c r="HI111" t="e">
        <f>AND(#REF!,"AAAAAH8ba9g=")</f>
        <v>#REF!</v>
      </c>
      <c r="HJ111" t="e">
        <f>AND(#REF!,"AAAAAH8ba9k=")</f>
        <v>#REF!</v>
      </c>
      <c r="HK111" t="e">
        <f>AND(#REF!,"AAAAAH8ba9o=")</f>
        <v>#REF!</v>
      </c>
      <c r="HL111" t="e">
        <f>AND(#REF!,"AAAAAH8ba9s=")</f>
        <v>#REF!</v>
      </c>
      <c r="HM111" t="e">
        <f>AND(#REF!,"AAAAAH8ba9w=")</f>
        <v>#REF!</v>
      </c>
      <c r="HN111" t="e">
        <f>AND(#REF!,"AAAAAH8ba90=")</f>
        <v>#REF!</v>
      </c>
      <c r="HO111" t="e">
        <f>AND(#REF!,"AAAAAH8ba94=")</f>
        <v>#REF!</v>
      </c>
      <c r="HP111" t="e">
        <f>AND(#REF!,"AAAAAH8ba98=")</f>
        <v>#REF!</v>
      </c>
      <c r="HQ111" t="e">
        <f>AND(#REF!,"AAAAAH8ba+A=")</f>
        <v>#REF!</v>
      </c>
      <c r="HR111" t="e">
        <f>IF(#REF!,"AAAAAH8ba+E=",0)</f>
        <v>#REF!</v>
      </c>
      <c r="HS111" t="e">
        <f>AND(#REF!,"AAAAAH8ba+I=")</f>
        <v>#REF!</v>
      </c>
      <c r="HT111" t="e">
        <f>AND(#REF!,"AAAAAH8ba+M=")</f>
        <v>#REF!</v>
      </c>
      <c r="HU111" t="e">
        <f>AND(#REF!,"AAAAAH8ba+Q=")</f>
        <v>#REF!</v>
      </c>
      <c r="HV111" t="e">
        <f>AND(#REF!,"AAAAAH8ba+U=")</f>
        <v>#REF!</v>
      </c>
      <c r="HW111" t="e">
        <f>AND(#REF!,"AAAAAH8ba+Y=")</f>
        <v>#REF!</v>
      </c>
      <c r="HX111" t="e">
        <f>AND(#REF!,"AAAAAH8ba+c=")</f>
        <v>#REF!</v>
      </c>
      <c r="HY111" t="e">
        <f>AND(#REF!,"AAAAAH8ba+g=")</f>
        <v>#REF!</v>
      </c>
      <c r="HZ111" t="e">
        <f>AND(#REF!,"AAAAAH8ba+k=")</f>
        <v>#REF!</v>
      </c>
      <c r="IA111" t="e">
        <f>AND(#REF!,"AAAAAH8ba+o=")</f>
        <v>#REF!</v>
      </c>
      <c r="IB111" t="e">
        <f>AND(#REF!,"AAAAAH8ba+s=")</f>
        <v>#REF!</v>
      </c>
      <c r="IC111" t="e">
        <f>AND(#REF!,"AAAAAH8ba+w=")</f>
        <v>#REF!</v>
      </c>
      <c r="ID111" t="e">
        <f>AND(#REF!,"AAAAAH8ba+0=")</f>
        <v>#REF!</v>
      </c>
      <c r="IE111" t="e">
        <f>AND(#REF!,"AAAAAH8ba+4=")</f>
        <v>#REF!</v>
      </c>
      <c r="IF111" t="e">
        <f>AND(#REF!,"AAAAAH8ba+8=")</f>
        <v>#REF!</v>
      </c>
      <c r="IG111" t="e">
        <f>AND(#REF!,"AAAAAH8ba/A=")</f>
        <v>#REF!</v>
      </c>
      <c r="IH111" t="e">
        <f>AND(#REF!,"AAAAAH8ba/E=")</f>
        <v>#REF!</v>
      </c>
      <c r="II111" t="e">
        <f>AND(#REF!,"AAAAAH8ba/I=")</f>
        <v>#REF!</v>
      </c>
      <c r="IJ111" t="e">
        <f>AND(#REF!,"AAAAAH8ba/M=")</f>
        <v>#REF!</v>
      </c>
      <c r="IK111" t="e">
        <f>AND(#REF!,"AAAAAH8ba/Q=")</f>
        <v>#REF!</v>
      </c>
      <c r="IL111" t="e">
        <f>AND(#REF!,"AAAAAH8ba/U=")</f>
        <v>#REF!</v>
      </c>
      <c r="IM111" t="e">
        <f>AND(#REF!,"AAAAAH8ba/Y=")</f>
        <v>#REF!</v>
      </c>
      <c r="IN111" t="e">
        <f>AND(#REF!,"AAAAAH8ba/c=")</f>
        <v>#REF!</v>
      </c>
      <c r="IO111" t="e">
        <f>AND(#REF!,"AAAAAH8ba/g=")</f>
        <v>#REF!</v>
      </c>
      <c r="IP111" t="e">
        <f>AND(#REF!,"AAAAAH8ba/k=")</f>
        <v>#REF!</v>
      </c>
      <c r="IQ111" t="e">
        <f>IF(#REF!,"AAAAAH8ba/o=",0)</f>
        <v>#REF!</v>
      </c>
      <c r="IR111" t="e">
        <f>AND(#REF!,"AAAAAH8ba/s=")</f>
        <v>#REF!</v>
      </c>
      <c r="IS111" t="e">
        <f>AND(#REF!,"AAAAAH8ba/w=")</f>
        <v>#REF!</v>
      </c>
      <c r="IT111" t="e">
        <f>AND(#REF!,"AAAAAH8ba/0=")</f>
        <v>#REF!</v>
      </c>
      <c r="IU111" t="e">
        <f>AND(#REF!,"AAAAAH8ba/4=")</f>
        <v>#REF!</v>
      </c>
      <c r="IV111" t="e">
        <f>AND(#REF!,"AAAAAH8ba/8=")</f>
        <v>#REF!</v>
      </c>
    </row>
    <row r="112" spans="1:256">
      <c r="A112" t="e">
        <f>AND(#REF!,"AAAAAD+99wA=")</f>
        <v>#REF!</v>
      </c>
      <c r="B112" t="e">
        <f>AND(#REF!,"AAAAAD+99wE=")</f>
        <v>#REF!</v>
      </c>
      <c r="C112" t="e">
        <f>AND(#REF!,"AAAAAD+99wI=")</f>
        <v>#REF!</v>
      </c>
      <c r="D112" t="e">
        <f>AND(#REF!,"AAAAAD+99wM=")</f>
        <v>#REF!</v>
      </c>
      <c r="E112" t="e">
        <f>AND(#REF!,"AAAAAD+99wQ=")</f>
        <v>#REF!</v>
      </c>
      <c r="F112" t="e">
        <f>AND(#REF!,"AAAAAD+99wU=")</f>
        <v>#REF!</v>
      </c>
      <c r="G112" t="e">
        <f>AND(#REF!,"AAAAAD+99wY=")</f>
        <v>#REF!</v>
      </c>
      <c r="H112" t="e">
        <f>AND(#REF!,"AAAAAD+99wc=")</f>
        <v>#REF!</v>
      </c>
      <c r="I112" t="e">
        <f>AND(#REF!,"AAAAAD+99wg=")</f>
        <v>#REF!</v>
      </c>
      <c r="J112" t="e">
        <f>AND(#REF!,"AAAAAD+99wk=")</f>
        <v>#REF!</v>
      </c>
      <c r="K112" t="e">
        <f>AND(#REF!,"AAAAAD+99wo=")</f>
        <v>#REF!</v>
      </c>
      <c r="L112" t="e">
        <f>AND(#REF!,"AAAAAD+99ws=")</f>
        <v>#REF!</v>
      </c>
      <c r="M112" t="e">
        <f>AND(#REF!,"AAAAAD+99ww=")</f>
        <v>#REF!</v>
      </c>
      <c r="N112" t="e">
        <f>AND(#REF!,"AAAAAD+99w0=")</f>
        <v>#REF!</v>
      </c>
      <c r="O112" t="e">
        <f>AND(#REF!,"AAAAAD+99w4=")</f>
        <v>#REF!</v>
      </c>
      <c r="P112" t="e">
        <f>AND(#REF!,"AAAAAD+99w8=")</f>
        <v>#REF!</v>
      </c>
      <c r="Q112" t="e">
        <f>AND(#REF!,"AAAAAD+99xA=")</f>
        <v>#REF!</v>
      </c>
      <c r="R112" t="e">
        <f>AND(#REF!,"AAAAAD+99xE=")</f>
        <v>#REF!</v>
      </c>
      <c r="S112" t="e">
        <f>AND(#REF!,"AAAAAD+99xI=")</f>
        <v>#REF!</v>
      </c>
      <c r="T112" t="e">
        <f>IF(#REF!,"AAAAAD+99xM=",0)</f>
        <v>#REF!</v>
      </c>
      <c r="U112" t="e">
        <f>AND(#REF!,"AAAAAD+99xQ=")</f>
        <v>#REF!</v>
      </c>
      <c r="V112" t="e">
        <f>AND(#REF!,"AAAAAD+99xU=")</f>
        <v>#REF!</v>
      </c>
      <c r="W112" t="e">
        <f>AND(#REF!,"AAAAAD+99xY=")</f>
        <v>#REF!</v>
      </c>
      <c r="X112" t="e">
        <f>AND(#REF!,"AAAAAD+99xc=")</f>
        <v>#REF!</v>
      </c>
      <c r="Y112" t="e">
        <f>AND(#REF!,"AAAAAD+99xg=")</f>
        <v>#REF!</v>
      </c>
      <c r="Z112" t="e">
        <f>AND(#REF!,"AAAAAD+99xk=")</f>
        <v>#REF!</v>
      </c>
      <c r="AA112" t="e">
        <f>AND(#REF!,"AAAAAD+99xo=")</f>
        <v>#REF!</v>
      </c>
      <c r="AB112" t="e">
        <f>AND(#REF!,"AAAAAD+99xs=")</f>
        <v>#REF!</v>
      </c>
      <c r="AC112" t="e">
        <f>AND(#REF!,"AAAAAD+99xw=")</f>
        <v>#REF!</v>
      </c>
      <c r="AD112" t="e">
        <f>AND(#REF!,"AAAAAD+99x0=")</f>
        <v>#REF!</v>
      </c>
      <c r="AE112" t="e">
        <f>AND(#REF!,"AAAAAD+99x4=")</f>
        <v>#REF!</v>
      </c>
      <c r="AF112" t="e">
        <f>AND(#REF!,"AAAAAD+99x8=")</f>
        <v>#REF!</v>
      </c>
      <c r="AG112" t="e">
        <f>AND(#REF!,"AAAAAD+99yA=")</f>
        <v>#REF!</v>
      </c>
      <c r="AH112" t="e">
        <f>AND(#REF!,"AAAAAD+99yE=")</f>
        <v>#REF!</v>
      </c>
      <c r="AI112" t="e">
        <f>AND(#REF!,"AAAAAD+99yI=")</f>
        <v>#REF!</v>
      </c>
      <c r="AJ112" t="e">
        <f>AND(#REF!,"AAAAAD+99yM=")</f>
        <v>#REF!</v>
      </c>
      <c r="AK112" t="e">
        <f>AND(#REF!,"AAAAAD+99yQ=")</f>
        <v>#REF!</v>
      </c>
      <c r="AL112" t="e">
        <f>AND(#REF!,"AAAAAD+99yU=")</f>
        <v>#REF!</v>
      </c>
      <c r="AM112" t="e">
        <f>AND(#REF!,"AAAAAD+99yY=")</f>
        <v>#REF!</v>
      </c>
      <c r="AN112" t="e">
        <f>AND(#REF!,"AAAAAD+99yc=")</f>
        <v>#REF!</v>
      </c>
      <c r="AO112" t="e">
        <f>AND(#REF!,"AAAAAD+99yg=")</f>
        <v>#REF!</v>
      </c>
      <c r="AP112" t="e">
        <f>AND(#REF!,"AAAAAD+99yk=")</f>
        <v>#REF!</v>
      </c>
      <c r="AQ112" t="e">
        <f>AND(#REF!,"AAAAAD+99yo=")</f>
        <v>#REF!</v>
      </c>
      <c r="AR112" t="e">
        <f>AND(#REF!,"AAAAAD+99ys=")</f>
        <v>#REF!</v>
      </c>
      <c r="AS112" t="e">
        <f>IF(#REF!,"AAAAAD+99yw=",0)</f>
        <v>#REF!</v>
      </c>
      <c r="AT112" t="e">
        <f>AND(#REF!,"AAAAAD+99y0=")</f>
        <v>#REF!</v>
      </c>
      <c r="AU112" t="e">
        <f>AND(#REF!,"AAAAAD+99y4=")</f>
        <v>#REF!</v>
      </c>
      <c r="AV112" t="e">
        <f>AND(#REF!,"AAAAAD+99y8=")</f>
        <v>#REF!</v>
      </c>
      <c r="AW112" t="e">
        <f>AND(#REF!,"AAAAAD+99zA=")</f>
        <v>#REF!</v>
      </c>
      <c r="AX112" t="e">
        <f>AND(#REF!,"AAAAAD+99zE=")</f>
        <v>#REF!</v>
      </c>
      <c r="AY112" t="e">
        <f>AND(#REF!,"AAAAAD+99zI=")</f>
        <v>#REF!</v>
      </c>
      <c r="AZ112" t="e">
        <f>AND(#REF!,"AAAAAD+99zM=")</f>
        <v>#REF!</v>
      </c>
      <c r="BA112" t="e">
        <f>AND(#REF!,"AAAAAD+99zQ=")</f>
        <v>#REF!</v>
      </c>
      <c r="BB112" t="e">
        <f>AND(#REF!,"AAAAAD+99zU=")</f>
        <v>#REF!</v>
      </c>
      <c r="BC112" t="e">
        <f>AND(#REF!,"AAAAAD+99zY=")</f>
        <v>#REF!</v>
      </c>
      <c r="BD112" t="e">
        <f>AND(#REF!,"AAAAAD+99zc=")</f>
        <v>#REF!</v>
      </c>
      <c r="BE112" t="e">
        <f>AND(#REF!,"AAAAAD+99zg=")</f>
        <v>#REF!</v>
      </c>
      <c r="BF112" t="e">
        <f>AND(#REF!,"AAAAAD+99zk=")</f>
        <v>#REF!</v>
      </c>
      <c r="BG112" t="e">
        <f>AND(#REF!,"AAAAAD+99zo=")</f>
        <v>#REF!</v>
      </c>
      <c r="BH112" t="e">
        <f>AND(#REF!,"AAAAAD+99zs=")</f>
        <v>#REF!</v>
      </c>
      <c r="BI112" t="e">
        <f>AND(#REF!,"AAAAAD+99zw=")</f>
        <v>#REF!</v>
      </c>
      <c r="BJ112" t="e">
        <f>AND(#REF!,"AAAAAD+99z0=")</f>
        <v>#REF!</v>
      </c>
      <c r="BK112" t="e">
        <f>AND(#REF!,"AAAAAD+99z4=")</f>
        <v>#REF!</v>
      </c>
      <c r="BL112" t="e">
        <f>AND(#REF!,"AAAAAD+99z8=")</f>
        <v>#REF!</v>
      </c>
      <c r="BM112" t="e">
        <f>AND(#REF!,"AAAAAD+990A=")</f>
        <v>#REF!</v>
      </c>
      <c r="BN112" t="e">
        <f>AND(#REF!,"AAAAAD+990E=")</f>
        <v>#REF!</v>
      </c>
      <c r="BO112" t="e">
        <f>AND(#REF!,"AAAAAD+990I=")</f>
        <v>#REF!</v>
      </c>
      <c r="BP112" t="e">
        <f>AND(#REF!,"AAAAAD+990M=")</f>
        <v>#REF!</v>
      </c>
      <c r="BQ112" t="e">
        <f>AND(#REF!,"AAAAAD+990Q=")</f>
        <v>#REF!</v>
      </c>
      <c r="BR112" t="e">
        <f>IF(#REF!,"AAAAAD+990U=",0)</f>
        <v>#REF!</v>
      </c>
      <c r="BS112" t="e">
        <f>AND(#REF!,"AAAAAD+990Y=")</f>
        <v>#REF!</v>
      </c>
      <c r="BT112" t="e">
        <f>AND(#REF!,"AAAAAD+990c=")</f>
        <v>#REF!</v>
      </c>
      <c r="BU112" t="e">
        <f>AND(#REF!,"AAAAAD+990g=")</f>
        <v>#REF!</v>
      </c>
      <c r="BV112" t="e">
        <f>AND(#REF!,"AAAAAD+990k=")</f>
        <v>#REF!</v>
      </c>
      <c r="BW112" t="e">
        <f>AND(#REF!,"AAAAAD+990o=")</f>
        <v>#REF!</v>
      </c>
      <c r="BX112" t="e">
        <f>AND(#REF!,"AAAAAD+990s=")</f>
        <v>#REF!</v>
      </c>
      <c r="BY112" t="e">
        <f>AND(#REF!,"AAAAAD+990w=")</f>
        <v>#REF!</v>
      </c>
      <c r="BZ112" t="e">
        <f>AND(#REF!,"AAAAAD+9900=")</f>
        <v>#REF!</v>
      </c>
      <c r="CA112" t="e">
        <f>AND(#REF!,"AAAAAD+9904=")</f>
        <v>#REF!</v>
      </c>
      <c r="CB112" t="e">
        <f>AND(#REF!,"AAAAAD+9908=")</f>
        <v>#REF!</v>
      </c>
      <c r="CC112" t="e">
        <f>AND(#REF!,"AAAAAD+991A=")</f>
        <v>#REF!</v>
      </c>
      <c r="CD112" t="e">
        <f>AND(#REF!,"AAAAAD+991E=")</f>
        <v>#REF!</v>
      </c>
      <c r="CE112" t="e">
        <f>AND(#REF!,"AAAAAD+991I=")</f>
        <v>#REF!</v>
      </c>
      <c r="CF112" t="e">
        <f>AND(#REF!,"AAAAAD+991M=")</f>
        <v>#REF!</v>
      </c>
      <c r="CG112" t="e">
        <f>AND(#REF!,"AAAAAD+991Q=")</f>
        <v>#REF!</v>
      </c>
      <c r="CH112" t="e">
        <f>AND(#REF!,"AAAAAD+991U=")</f>
        <v>#REF!</v>
      </c>
      <c r="CI112" t="e">
        <f>AND(#REF!,"AAAAAD+991Y=")</f>
        <v>#REF!</v>
      </c>
      <c r="CJ112" t="e">
        <f>AND(#REF!,"AAAAAD+991c=")</f>
        <v>#REF!</v>
      </c>
      <c r="CK112" t="e">
        <f>AND(#REF!,"AAAAAD+991g=")</f>
        <v>#REF!</v>
      </c>
      <c r="CL112" t="e">
        <f>AND(#REF!,"AAAAAD+991k=")</f>
        <v>#REF!</v>
      </c>
      <c r="CM112" t="e">
        <f>AND(#REF!,"AAAAAD+991o=")</f>
        <v>#REF!</v>
      </c>
      <c r="CN112" t="e">
        <f>AND(#REF!,"AAAAAD+991s=")</f>
        <v>#REF!</v>
      </c>
      <c r="CO112" t="e">
        <f>AND(#REF!,"AAAAAD+991w=")</f>
        <v>#REF!</v>
      </c>
      <c r="CP112" t="e">
        <f>AND(#REF!,"AAAAAD+9910=")</f>
        <v>#REF!</v>
      </c>
      <c r="CQ112" t="e">
        <f>IF(#REF!,"AAAAAD+9914=",0)</f>
        <v>#REF!</v>
      </c>
      <c r="CR112" t="e">
        <f>AND(#REF!,"AAAAAD+9918=")</f>
        <v>#REF!</v>
      </c>
      <c r="CS112" t="e">
        <f>AND(#REF!,"AAAAAD+992A=")</f>
        <v>#REF!</v>
      </c>
      <c r="CT112" t="e">
        <f>AND(#REF!,"AAAAAD+992E=")</f>
        <v>#REF!</v>
      </c>
      <c r="CU112" t="e">
        <f>AND(#REF!,"AAAAAD+992I=")</f>
        <v>#REF!</v>
      </c>
      <c r="CV112" t="e">
        <f>AND(#REF!,"AAAAAD+992M=")</f>
        <v>#REF!</v>
      </c>
      <c r="CW112" t="e">
        <f>AND(#REF!,"AAAAAD+992Q=")</f>
        <v>#REF!</v>
      </c>
      <c r="CX112" t="e">
        <f>AND(#REF!,"AAAAAD+992U=")</f>
        <v>#REF!</v>
      </c>
      <c r="CY112" t="e">
        <f>AND(#REF!,"AAAAAD+992Y=")</f>
        <v>#REF!</v>
      </c>
      <c r="CZ112" t="e">
        <f>AND(#REF!,"AAAAAD+992c=")</f>
        <v>#REF!</v>
      </c>
      <c r="DA112" t="e">
        <f>AND(#REF!,"AAAAAD+992g=")</f>
        <v>#REF!</v>
      </c>
      <c r="DB112" t="e">
        <f>AND(#REF!,"AAAAAD+992k=")</f>
        <v>#REF!</v>
      </c>
      <c r="DC112" t="e">
        <f>AND(#REF!,"AAAAAD+992o=")</f>
        <v>#REF!</v>
      </c>
      <c r="DD112" t="e">
        <f>AND(#REF!,"AAAAAD+992s=")</f>
        <v>#REF!</v>
      </c>
      <c r="DE112" t="e">
        <f>AND(#REF!,"AAAAAD+992w=")</f>
        <v>#REF!</v>
      </c>
      <c r="DF112" t="e">
        <f>AND(#REF!,"AAAAAD+9920=")</f>
        <v>#REF!</v>
      </c>
      <c r="DG112" t="e">
        <f>AND(#REF!,"AAAAAD+9924=")</f>
        <v>#REF!</v>
      </c>
      <c r="DH112" t="e">
        <f>AND(#REF!,"AAAAAD+9928=")</f>
        <v>#REF!</v>
      </c>
      <c r="DI112" t="e">
        <f>AND(#REF!,"AAAAAD+993A=")</f>
        <v>#REF!</v>
      </c>
      <c r="DJ112" t="e">
        <f>AND(#REF!,"AAAAAD+993E=")</f>
        <v>#REF!</v>
      </c>
      <c r="DK112" t="e">
        <f>AND(#REF!,"AAAAAD+993I=")</f>
        <v>#REF!</v>
      </c>
      <c r="DL112" t="e">
        <f>AND(#REF!,"AAAAAD+993M=")</f>
        <v>#REF!</v>
      </c>
      <c r="DM112" t="e">
        <f>AND(#REF!,"AAAAAD+993Q=")</f>
        <v>#REF!</v>
      </c>
      <c r="DN112" t="e">
        <f>AND(#REF!,"AAAAAD+993U=")</f>
        <v>#REF!</v>
      </c>
      <c r="DO112" t="e">
        <f>AND(#REF!,"AAAAAD+993Y=")</f>
        <v>#REF!</v>
      </c>
      <c r="DP112" t="e">
        <f>IF(#REF!,"AAAAAD+993c=",0)</f>
        <v>#REF!</v>
      </c>
      <c r="DQ112" t="e">
        <f>AND(#REF!,"AAAAAD+993g=")</f>
        <v>#REF!</v>
      </c>
      <c r="DR112" t="e">
        <f>AND(#REF!,"AAAAAD+993k=")</f>
        <v>#REF!</v>
      </c>
      <c r="DS112" t="e">
        <f>AND(#REF!,"AAAAAD+993o=")</f>
        <v>#REF!</v>
      </c>
      <c r="DT112" t="e">
        <f>AND(#REF!,"AAAAAD+993s=")</f>
        <v>#REF!</v>
      </c>
      <c r="DU112" t="e">
        <f>AND(#REF!,"AAAAAD+993w=")</f>
        <v>#REF!</v>
      </c>
      <c r="DV112" t="e">
        <f>AND(#REF!,"AAAAAD+9930=")</f>
        <v>#REF!</v>
      </c>
      <c r="DW112" t="e">
        <f>AND(#REF!,"AAAAAD+9934=")</f>
        <v>#REF!</v>
      </c>
      <c r="DX112" t="e">
        <f>AND(#REF!,"AAAAAD+9938=")</f>
        <v>#REF!</v>
      </c>
      <c r="DY112" t="e">
        <f>AND(#REF!,"AAAAAD+994A=")</f>
        <v>#REF!</v>
      </c>
      <c r="DZ112" t="e">
        <f>AND(#REF!,"AAAAAD+994E=")</f>
        <v>#REF!</v>
      </c>
      <c r="EA112" t="e">
        <f>AND(#REF!,"AAAAAD+994I=")</f>
        <v>#REF!</v>
      </c>
      <c r="EB112" t="e">
        <f>AND(#REF!,"AAAAAD+994M=")</f>
        <v>#REF!</v>
      </c>
      <c r="EC112" t="e">
        <f>AND(#REF!,"AAAAAD+994Q=")</f>
        <v>#REF!</v>
      </c>
      <c r="ED112" t="e">
        <f>AND(#REF!,"AAAAAD+994U=")</f>
        <v>#REF!</v>
      </c>
      <c r="EE112" t="e">
        <f>AND(#REF!,"AAAAAD+994Y=")</f>
        <v>#REF!</v>
      </c>
      <c r="EF112" t="e">
        <f>AND(#REF!,"AAAAAD+994c=")</f>
        <v>#REF!</v>
      </c>
      <c r="EG112" t="e">
        <f>AND(#REF!,"AAAAAD+994g=")</f>
        <v>#REF!</v>
      </c>
      <c r="EH112" t="e">
        <f>AND(#REF!,"AAAAAD+994k=")</f>
        <v>#REF!</v>
      </c>
      <c r="EI112" t="e">
        <f>AND(#REF!,"AAAAAD+994o=")</f>
        <v>#REF!</v>
      </c>
      <c r="EJ112" t="e">
        <f>AND(#REF!,"AAAAAD+994s=")</f>
        <v>#REF!</v>
      </c>
      <c r="EK112" t="e">
        <f>AND(#REF!,"AAAAAD+994w=")</f>
        <v>#REF!</v>
      </c>
      <c r="EL112" t="e">
        <f>AND(#REF!,"AAAAAD+9940=")</f>
        <v>#REF!</v>
      </c>
      <c r="EM112" t="e">
        <f>AND(#REF!,"AAAAAD+9944=")</f>
        <v>#REF!</v>
      </c>
      <c r="EN112" t="e">
        <f>AND(#REF!,"AAAAAD+9948=")</f>
        <v>#REF!</v>
      </c>
      <c r="EO112" t="e">
        <f>IF(#REF!,"AAAAAD+995A=",0)</f>
        <v>#REF!</v>
      </c>
      <c r="EP112" t="e">
        <f>AND(#REF!,"AAAAAD+995E=")</f>
        <v>#REF!</v>
      </c>
      <c r="EQ112" t="e">
        <f>AND(#REF!,"AAAAAD+995I=")</f>
        <v>#REF!</v>
      </c>
      <c r="ER112" t="e">
        <f>AND(#REF!,"AAAAAD+995M=")</f>
        <v>#REF!</v>
      </c>
      <c r="ES112" t="e">
        <f>AND(#REF!,"AAAAAD+995Q=")</f>
        <v>#REF!</v>
      </c>
      <c r="ET112" t="e">
        <f>AND(#REF!,"AAAAAD+995U=")</f>
        <v>#REF!</v>
      </c>
      <c r="EU112" t="e">
        <f>AND(#REF!,"AAAAAD+995Y=")</f>
        <v>#REF!</v>
      </c>
      <c r="EV112" t="e">
        <f>AND(#REF!,"AAAAAD+995c=")</f>
        <v>#REF!</v>
      </c>
      <c r="EW112" t="e">
        <f>AND(#REF!,"AAAAAD+995g=")</f>
        <v>#REF!</v>
      </c>
      <c r="EX112" t="e">
        <f>AND(#REF!,"AAAAAD+995k=")</f>
        <v>#REF!</v>
      </c>
      <c r="EY112" t="e">
        <f>AND(#REF!,"AAAAAD+995o=")</f>
        <v>#REF!</v>
      </c>
      <c r="EZ112" t="e">
        <f>AND(#REF!,"AAAAAD+995s=")</f>
        <v>#REF!</v>
      </c>
      <c r="FA112" t="e">
        <f>AND(#REF!,"AAAAAD+995w=")</f>
        <v>#REF!</v>
      </c>
      <c r="FB112" t="e">
        <f>AND(#REF!,"AAAAAD+9950=")</f>
        <v>#REF!</v>
      </c>
      <c r="FC112" t="e">
        <f>AND(#REF!,"AAAAAD+9954=")</f>
        <v>#REF!</v>
      </c>
      <c r="FD112" t="e">
        <f>AND(#REF!,"AAAAAD+9958=")</f>
        <v>#REF!</v>
      </c>
      <c r="FE112" t="e">
        <f>AND(#REF!,"AAAAAD+996A=")</f>
        <v>#REF!</v>
      </c>
      <c r="FF112" t="e">
        <f>AND(#REF!,"AAAAAD+996E=")</f>
        <v>#REF!</v>
      </c>
      <c r="FG112" t="e">
        <f>AND(#REF!,"AAAAAD+996I=")</f>
        <v>#REF!</v>
      </c>
      <c r="FH112" t="e">
        <f>AND(#REF!,"AAAAAD+996M=")</f>
        <v>#REF!</v>
      </c>
      <c r="FI112" t="e">
        <f>AND(#REF!,"AAAAAD+996Q=")</f>
        <v>#REF!</v>
      </c>
      <c r="FJ112" t="e">
        <f>AND(#REF!,"AAAAAD+996U=")</f>
        <v>#REF!</v>
      </c>
      <c r="FK112" t="e">
        <f>AND(#REF!,"AAAAAD+996Y=")</f>
        <v>#REF!</v>
      </c>
      <c r="FL112" t="e">
        <f>AND(#REF!,"AAAAAD+996c=")</f>
        <v>#REF!</v>
      </c>
      <c r="FM112" t="e">
        <f>AND(#REF!,"AAAAAD+996g=")</f>
        <v>#REF!</v>
      </c>
      <c r="FN112" t="e">
        <f>IF(#REF!,"AAAAAD+996k=",0)</f>
        <v>#REF!</v>
      </c>
      <c r="FO112" t="e">
        <f>AND(#REF!,"AAAAAD+996o=")</f>
        <v>#REF!</v>
      </c>
      <c r="FP112" t="e">
        <f>AND(#REF!,"AAAAAD+996s=")</f>
        <v>#REF!</v>
      </c>
      <c r="FQ112" t="e">
        <f>AND(#REF!,"AAAAAD+996w=")</f>
        <v>#REF!</v>
      </c>
      <c r="FR112" t="e">
        <f>AND(#REF!,"AAAAAD+9960=")</f>
        <v>#REF!</v>
      </c>
      <c r="FS112" t="e">
        <f>AND(#REF!,"AAAAAD+9964=")</f>
        <v>#REF!</v>
      </c>
      <c r="FT112" t="e">
        <f>AND(#REF!,"AAAAAD+9968=")</f>
        <v>#REF!</v>
      </c>
      <c r="FU112" t="e">
        <f>AND(#REF!,"AAAAAD+997A=")</f>
        <v>#REF!</v>
      </c>
      <c r="FV112" t="e">
        <f>AND(#REF!,"AAAAAD+997E=")</f>
        <v>#REF!</v>
      </c>
      <c r="FW112" t="e">
        <f>AND(#REF!,"AAAAAD+997I=")</f>
        <v>#REF!</v>
      </c>
      <c r="FX112" t="e">
        <f>AND(#REF!,"AAAAAD+997M=")</f>
        <v>#REF!</v>
      </c>
      <c r="FY112" t="e">
        <f>AND(#REF!,"AAAAAD+997Q=")</f>
        <v>#REF!</v>
      </c>
      <c r="FZ112" t="e">
        <f>AND(#REF!,"AAAAAD+997U=")</f>
        <v>#REF!</v>
      </c>
      <c r="GA112" t="e">
        <f>AND(#REF!,"AAAAAD+997Y=")</f>
        <v>#REF!</v>
      </c>
      <c r="GB112" t="e">
        <f>AND(#REF!,"AAAAAD+997c=")</f>
        <v>#REF!</v>
      </c>
      <c r="GC112" t="e">
        <f>AND(#REF!,"AAAAAD+997g=")</f>
        <v>#REF!</v>
      </c>
      <c r="GD112" t="e">
        <f>AND(#REF!,"AAAAAD+997k=")</f>
        <v>#REF!</v>
      </c>
      <c r="GE112" t="e">
        <f>AND(#REF!,"AAAAAD+997o=")</f>
        <v>#REF!</v>
      </c>
      <c r="GF112" t="e">
        <f>AND(#REF!,"AAAAAD+997s=")</f>
        <v>#REF!</v>
      </c>
      <c r="GG112" t="e">
        <f>AND(#REF!,"AAAAAD+997w=")</f>
        <v>#REF!</v>
      </c>
      <c r="GH112" t="e">
        <f>AND(#REF!,"AAAAAD+9970=")</f>
        <v>#REF!</v>
      </c>
      <c r="GI112" t="e">
        <f>AND(#REF!,"AAAAAD+9974=")</f>
        <v>#REF!</v>
      </c>
      <c r="GJ112" t="e">
        <f>AND(#REF!,"AAAAAD+9978=")</f>
        <v>#REF!</v>
      </c>
      <c r="GK112" t="e">
        <f>AND(#REF!,"AAAAAD+998A=")</f>
        <v>#REF!</v>
      </c>
      <c r="GL112" t="e">
        <f>AND(#REF!,"AAAAAD+998E=")</f>
        <v>#REF!</v>
      </c>
      <c r="GM112" t="e">
        <f>IF(#REF!,"AAAAAD+998I=",0)</f>
        <v>#REF!</v>
      </c>
      <c r="GN112" t="e">
        <f>AND(#REF!,"AAAAAD+998M=")</f>
        <v>#REF!</v>
      </c>
      <c r="GO112" t="e">
        <f>AND(#REF!,"AAAAAD+998Q=")</f>
        <v>#REF!</v>
      </c>
      <c r="GP112" t="e">
        <f>AND(#REF!,"AAAAAD+998U=")</f>
        <v>#REF!</v>
      </c>
      <c r="GQ112" t="e">
        <f>AND(#REF!,"AAAAAD+998Y=")</f>
        <v>#REF!</v>
      </c>
      <c r="GR112" t="e">
        <f>AND(#REF!,"AAAAAD+998c=")</f>
        <v>#REF!</v>
      </c>
      <c r="GS112" t="e">
        <f>AND(#REF!,"AAAAAD+998g=")</f>
        <v>#REF!</v>
      </c>
      <c r="GT112" t="e">
        <f>AND(#REF!,"AAAAAD+998k=")</f>
        <v>#REF!</v>
      </c>
      <c r="GU112" t="e">
        <f>AND(#REF!,"AAAAAD+998o=")</f>
        <v>#REF!</v>
      </c>
      <c r="GV112" t="e">
        <f>AND(#REF!,"AAAAAD+998s=")</f>
        <v>#REF!</v>
      </c>
      <c r="GW112" t="e">
        <f>AND(#REF!,"AAAAAD+998w=")</f>
        <v>#REF!</v>
      </c>
      <c r="GX112" t="e">
        <f>AND(#REF!,"AAAAAD+9980=")</f>
        <v>#REF!</v>
      </c>
      <c r="GY112" t="e">
        <f>AND(#REF!,"AAAAAD+9984=")</f>
        <v>#REF!</v>
      </c>
      <c r="GZ112" t="e">
        <f>AND(#REF!,"AAAAAD+9988=")</f>
        <v>#REF!</v>
      </c>
      <c r="HA112" t="e">
        <f>AND(#REF!,"AAAAAD+999A=")</f>
        <v>#REF!</v>
      </c>
      <c r="HB112" t="e">
        <f>AND(#REF!,"AAAAAD+999E=")</f>
        <v>#REF!</v>
      </c>
      <c r="HC112" t="e">
        <f>AND(#REF!,"AAAAAD+999I=")</f>
        <v>#REF!</v>
      </c>
      <c r="HD112" t="e">
        <f>AND(#REF!,"AAAAAD+999M=")</f>
        <v>#REF!</v>
      </c>
      <c r="HE112" t="e">
        <f>AND(#REF!,"AAAAAD+999Q=")</f>
        <v>#REF!</v>
      </c>
      <c r="HF112" t="e">
        <f>AND(#REF!,"AAAAAD+999U=")</f>
        <v>#REF!</v>
      </c>
      <c r="HG112" t="e">
        <f>AND(#REF!,"AAAAAD+999Y=")</f>
        <v>#REF!</v>
      </c>
      <c r="HH112" t="e">
        <f>AND(#REF!,"AAAAAD+999c=")</f>
        <v>#REF!</v>
      </c>
      <c r="HI112" t="e">
        <f>AND(#REF!,"AAAAAD+999g=")</f>
        <v>#REF!</v>
      </c>
      <c r="HJ112" t="e">
        <f>AND(#REF!,"AAAAAD+999k=")</f>
        <v>#REF!</v>
      </c>
      <c r="HK112" t="e">
        <f>AND(#REF!,"AAAAAD+999o=")</f>
        <v>#REF!</v>
      </c>
      <c r="HL112" t="e">
        <f>IF(#REF!,"AAAAAD+999s=",0)</f>
        <v>#REF!</v>
      </c>
      <c r="HM112" t="e">
        <f>AND(#REF!,"AAAAAD+999w=")</f>
        <v>#REF!</v>
      </c>
      <c r="HN112" t="e">
        <f>AND(#REF!,"AAAAAD+9990=")</f>
        <v>#REF!</v>
      </c>
      <c r="HO112" t="e">
        <f>AND(#REF!,"AAAAAD+9994=")</f>
        <v>#REF!</v>
      </c>
      <c r="HP112" t="e">
        <f>AND(#REF!,"AAAAAD+9998=")</f>
        <v>#REF!</v>
      </c>
      <c r="HQ112" t="e">
        <f>AND(#REF!,"AAAAAD+99+A=")</f>
        <v>#REF!</v>
      </c>
      <c r="HR112" t="e">
        <f>AND(#REF!,"AAAAAD+99+E=")</f>
        <v>#REF!</v>
      </c>
      <c r="HS112" t="e">
        <f>AND(#REF!,"AAAAAD+99+I=")</f>
        <v>#REF!</v>
      </c>
      <c r="HT112" t="e">
        <f>AND(#REF!,"AAAAAD+99+M=")</f>
        <v>#REF!</v>
      </c>
      <c r="HU112" t="e">
        <f>AND(#REF!,"AAAAAD+99+Q=")</f>
        <v>#REF!</v>
      </c>
      <c r="HV112" t="e">
        <f>AND(#REF!,"AAAAAD+99+U=")</f>
        <v>#REF!</v>
      </c>
      <c r="HW112" t="e">
        <f>AND(#REF!,"AAAAAD+99+Y=")</f>
        <v>#REF!</v>
      </c>
      <c r="HX112" t="e">
        <f>AND(#REF!,"AAAAAD+99+c=")</f>
        <v>#REF!</v>
      </c>
      <c r="HY112" t="e">
        <f>AND(#REF!,"AAAAAD+99+g=")</f>
        <v>#REF!</v>
      </c>
      <c r="HZ112" t="e">
        <f>AND(#REF!,"AAAAAD+99+k=")</f>
        <v>#REF!</v>
      </c>
      <c r="IA112" t="e">
        <f>AND(#REF!,"AAAAAD+99+o=")</f>
        <v>#REF!</v>
      </c>
      <c r="IB112" t="e">
        <f>AND(#REF!,"AAAAAD+99+s=")</f>
        <v>#REF!</v>
      </c>
      <c r="IC112" t="e">
        <f>AND(#REF!,"AAAAAD+99+w=")</f>
        <v>#REF!</v>
      </c>
      <c r="ID112" t="e">
        <f>AND(#REF!,"AAAAAD+99+0=")</f>
        <v>#REF!</v>
      </c>
      <c r="IE112" t="e">
        <f>AND(#REF!,"AAAAAD+99+4=")</f>
        <v>#REF!</v>
      </c>
      <c r="IF112" t="e">
        <f>AND(#REF!,"AAAAAD+99+8=")</f>
        <v>#REF!</v>
      </c>
      <c r="IG112" t="e">
        <f>AND(#REF!,"AAAAAD+99/A=")</f>
        <v>#REF!</v>
      </c>
      <c r="IH112" t="e">
        <f>AND(#REF!,"AAAAAD+99/E=")</f>
        <v>#REF!</v>
      </c>
      <c r="II112" t="e">
        <f>AND(#REF!,"AAAAAD+99/I=")</f>
        <v>#REF!</v>
      </c>
      <c r="IJ112" t="e">
        <f>AND(#REF!,"AAAAAD+99/M=")</f>
        <v>#REF!</v>
      </c>
      <c r="IK112" t="e">
        <f>IF(#REF!,"AAAAAD+99/Q=",0)</f>
        <v>#REF!</v>
      </c>
      <c r="IL112" t="e">
        <f>AND(#REF!,"AAAAAD+99/U=")</f>
        <v>#REF!</v>
      </c>
      <c r="IM112" t="e">
        <f>AND(#REF!,"AAAAAD+99/Y=")</f>
        <v>#REF!</v>
      </c>
      <c r="IN112" t="e">
        <f>AND(#REF!,"AAAAAD+99/c=")</f>
        <v>#REF!</v>
      </c>
      <c r="IO112" t="e">
        <f>AND(#REF!,"AAAAAD+99/g=")</f>
        <v>#REF!</v>
      </c>
      <c r="IP112" t="e">
        <f>AND(#REF!,"AAAAAD+99/k=")</f>
        <v>#REF!</v>
      </c>
      <c r="IQ112" t="e">
        <f>AND(#REF!,"AAAAAD+99/o=")</f>
        <v>#REF!</v>
      </c>
      <c r="IR112" t="e">
        <f>AND(#REF!,"AAAAAD+99/s=")</f>
        <v>#REF!</v>
      </c>
      <c r="IS112" t="e">
        <f>AND(#REF!,"AAAAAD+99/w=")</f>
        <v>#REF!</v>
      </c>
      <c r="IT112" t="e">
        <f>AND(#REF!,"AAAAAD+99/0=")</f>
        <v>#REF!</v>
      </c>
      <c r="IU112" t="e">
        <f>AND(#REF!,"AAAAAD+99/4=")</f>
        <v>#REF!</v>
      </c>
      <c r="IV112" t="e">
        <f>AND(#REF!,"AAAAAD+99/8=")</f>
        <v>#REF!</v>
      </c>
    </row>
    <row r="113" spans="1:256">
      <c r="A113" t="e">
        <f>AND(#REF!,"AAAAAGPuXwA=")</f>
        <v>#REF!</v>
      </c>
      <c r="B113" t="e">
        <f>AND(#REF!,"AAAAAGPuXwE=")</f>
        <v>#REF!</v>
      </c>
      <c r="C113" t="e">
        <f>AND(#REF!,"AAAAAGPuXwI=")</f>
        <v>#REF!</v>
      </c>
      <c r="D113" t="e">
        <f>AND(#REF!,"AAAAAGPuXwM=")</f>
        <v>#REF!</v>
      </c>
      <c r="E113" t="e">
        <f>AND(#REF!,"AAAAAGPuXwQ=")</f>
        <v>#REF!</v>
      </c>
      <c r="F113" t="e">
        <f>AND(#REF!,"AAAAAGPuXwU=")</f>
        <v>#REF!</v>
      </c>
      <c r="G113" t="e">
        <f>AND(#REF!,"AAAAAGPuXwY=")</f>
        <v>#REF!</v>
      </c>
      <c r="H113" t="e">
        <f>AND(#REF!,"AAAAAGPuXwc=")</f>
        <v>#REF!</v>
      </c>
      <c r="I113" t="e">
        <f>AND(#REF!,"AAAAAGPuXwg=")</f>
        <v>#REF!</v>
      </c>
      <c r="J113" t="e">
        <f>AND(#REF!,"AAAAAGPuXwk=")</f>
        <v>#REF!</v>
      </c>
      <c r="K113" t="e">
        <f>AND(#REF!,"AAAAAGPuXwo=")</f>
        <v>#REF!</v>
      </c>
      <c r="L113" t="e">
        <f>AND(#REF!,"AAAAAGPuXws=")</f>
        <v>#REF!</v>
      </c>
      <c r="M113" t="e">
        <f>AND(#REF!,"AAAAAGPuXww=")</f>
        <v>#REF!</v>
      </c>
      <c r="N113" t="e">
        <f>IF(#REF!,"AAAAAGPuXw0=",0)</f>
        <v>#REF!</v>
      </c>
      <c r="O113" t="e">
        <f>AND(#REF!,"AAAAAGPuXw4=")</f>
        <v>#REF!</v>
      </c>
      <c r="P113" t="e">
        <f>AND(#REF!,"AAAAAGPuXw8=")</f>
        <v>#REF!</v>
      </c>
      <c r="Q113" t="e">
        <f>AND(#REF!,"AAAAAGPuXxA=")</f>
        <v>#REF!</v>
      </c>
      <c r="R113" t="e">
        <f>AND(#REF!,"AAAAAGPuXxE=")</f>
        <v>#REF!</v>
      </c>
      <c r="S113" t="e">
        <f>AND(#REF!,"AAAAAGPuXxI=")</f>
        <v>#REF!</v>
      </c>
      <c r="T113" t="e">
        <f>AND(#REF!,"AAAAAGPuXxM=")</f>
        <v>#REF!</v>
      </c>
      <c r="U113" t="e">
        <f>AND(#REF!,"AAAAAGPuXxQ=")</f>
        <v>#REF!</v>
      </c>
      <c r="V113" t="e">
        <f>AND(#REF!,"AAAAAGPuXxU=")</f>
        <v>#REF!</v>
      </c>
      <c r="W113" t="e">
        <f>AND(#REF!,"AAAAAGPuXxY=")</f>
        <v>#REF!</v>
      </c>
      <c r="X113" t="e">
        <f>AND(#REF!,"AAAAAGPuXxc=")</f>
        <v>#REF!</v>
      </c>
      <c r="Y113" t="e">
        <f>AND(#REF!,"AAAAAGPuXxg=")</f>
        <v>#REF!</v>
      </c>
      <c r="Z113" t="e">
        <f>AND(#REF!,"AAAAAGPuXxk=")</f>
        <v>#REF!</v>
      </c>
      <c r="AA113" t="e">
        <f>AND(#REF!,"AAAAAGPuXxo=")</f>
        <v>#REF!</v>
      </c>
      <c r="AB113" t="e">
        <f>AND(#REF!,"AAAAAGPuXxs=")</f>
        <v>#REF!</v>
      </c>
      <c r="AC113" t="e">
        <f>AND(#REF!,"AAAAAGPuXxw=")</f>
        <v>#REF!</v>
      </c>
      <c r="AD113" t="e">
        <f>AND(#REF!,"AAAAAGPuXx0=")</f>
        <v>#REF!</v>
      </c>
      <c r="AE113" t="e">
        <f>AND(#REF!,"AAAAAGPuXx4=")</f>
        <v>#REF!</v>
      </c>
      <c r="AF113" t="e">
        <f>AND(#REF!,"AAAAAGPuXx8=")</f>
        <v>#REF!</v>
      </c>
      <c r="AG113" t="e">
        <f>AND(#REF!,"AAAAAGPuXyA=")</f>
        <v>#REF!</v>
      </c>
      <c r="AH113" t="e">
        <f>AND(#REF!,"AAAAAGPuXyE=")</f>
        <v>#REF!</v>
      </c>
      <c r="AI113" t="e">
        <f>AND(#REF!,"AAAAAGPuXyI=")</f>
        <v>#REF!</v>
      </c>
      <c r="AJ113" t="e">
        <f>AND(#REF!,"AAAAAGPuXyM=")</f>
        <v>#REF!</v>
      </c>
      <c r="AK113" t="e">
        <f>AND(#REF!,"AAAAAGPuXyQ=")</f>
        <v>#REF!</v>
      </c>
      <c r="AL113" t="e">
        <f>AND(#REF!,"AAAAAGPuXyU=")</f>
        <v>#REF!</v>
      </c>
      <c r="AM113" t="e">
        <f>IF(#REF!,"AAAAAGPuXyY=",0)</f>
        <v>#REF!</v>
      </c>
      <c r="AN113" t="e">
        <f>AND(#REF!,"AAAAAGPuXyc=")</f>
        <v>#REF!</v>
      </c>
      <c r="AO113" t="e">
        <f>AND(#REF!,"AAAAAGPuXyg=")</f>
        <v>#REF!</v>
      </c>
      <c r="AP113" t="e">
        <f>AND(#REF!,"AAAAAGPuXyk=")</f>
        <v>#REF!</v>
      </c>
      <c r="AQ113" t="e">
        <f>AND(#REF!,"AAAAAGPuXyo=")</f>
        <v>#REF!</v>
      </c>
      <c r="AR113" t="e">
        <f>AND(#REF!,"AAAAAGPuXys=")</f>
        <v>#REF!</v>
      </c>
      <c r="AS113" t="e">
        <f>AND(#REF!,"AAAAAGPuXyw=")</f>
        <v>#REF!</v>
      </c>
      <c r="AT113" t="e">
        <f>AND(#REF!,"AAAAAGPuXy0=")</f>
        <v>#REF!</v>
      </c>
      <c r="AU113" t="e">
        <f>AND(#REF!,"AAAAAGPuXy4=")</f>
        <v>#REF!</v>
      </c>
      <c r="AV113" t="e">
        <f>AND(#REF!,"AAAAAGPuXy8=")</f>
        <v>#REF!</v>
      </c>
      <c r="AW113" t="e">
        <f>AND(#REF!,"AAAAAGPuXzA=")</f>
        <v>#REF!</v>
      </c>
      <c r="AX113" t="e">
        <f>AND(#REF!,"AAAAAGPuXzE=")</f>
        <v>#REF!</v>
      </c>
      <c r="AY113" t="e">
        <f>AND(#REF!,"AAAAAGPuXzI=")</f>
        <v>#REF!</v>
      </c>
      <c r="AZ113" t="e">
        <f>AND(#REF!,"AAAAAGPuXzM=")</f>
        <v>#REF!</v>
      </c>
      <c r="BA113" t="e">
        <f>AND(#REF!,"AAAAAGPuXzQ=")</f>
        <v>#REF!</v>
      </c>
      <c r="BB113" t="e">
        <f>AND(#REF!,"AAAAAGPuXzU=")</f>
        <v>#REF!</v>
      </c>
      <c r="BC113" t="e">
        <f>AND(#REF!,"AAAAAGPuXzY=")</f>
        <v>#REF!</v>
      </c>
      <c r="BD113" t="e">
        <f>AND(#REF!,"AAAAAGPuXzc=")</f>
        <v>#REF!</v>
      </c>
      <c r="BE113" t="e">
        <f>AND(#REF!,"AAAAAGPuXzg=")</f>
        <v>#REF!</v>
      </c>
      <c r="BF113" t="e">
        <f>AND(#REF!,"AAAAAGPuXzk=")</f>
        <v>#REF!</v>
      </c>
      <c r="BG113" t="e">
        <f>AND(#REF!,"AAAAAGPuXzo=")</f>
        <v>#REF!</v>
      </c>
      <c r="BH113" t="e">
        <f>AND(#REF!,"AAAAAGPuXzs=")</f>
        <v>#REF!</v>
      </c>
      <c r="BI113" t="e">
        <f>AND(#REF!,"AAAAAGPuXzw=")</f>
        <v>#REF!</v>
      </c>
      <c r="BJ113" t="e">
        <f>AND(#REF!,"AAAAAGPuXz0=")</f>
        <v>#REF!</v>
      </c>
      <c r="BK113" t="e">
        <f>AND(#REF!,"AAAAAGPuXz4=")</f>
        <v>#REF!</v>
      </c>
      <c r="BL113" t="e">
        <f>IF(#REF!,"AAAAAGPuXz8=",0)</f>
        <v>#REF!</v>
      </c>
      <c r="BM113" t="e">
        <f>AND(#REF!,"AAAAAGPuX0A=")</f>
        <v>#REF!</v>
      </c>
      <c r="BN113" t="e">
        <f>AND(#REF!,"AAAAAGPuX0E=")</f>
        <v>#REF!</v>
      </c>
      <c r="BO113" t="e">
        <f>AND(#REF!,"AAAAAGPuX0I=")</f>
        <v>#REF!</v>
      </c>
      <c r="BP113" t="e">
        <f>AND(#REF!,"AAAAAGPuX0M=")</f>
        <v>#REF!</v>
      </c>
      <c r="BQ113" t="e">
        <f>AND(#REF!,"AAAAAGPuX0Q=")</f>
        <v>#REF!</v>
      </c>
      <c r="BR113" t="e">
        <f>AND(#REF!,"AAAAAGPuX0U=")</f>
        <v>#REF!</v>
      </c>
      <c r="BS113" t="e">
        <f>AND(#REF!,"AAAAAGPuX0Y=")</f>
        <v>#REF!</v>
      </c>
      <c r="BT113" t="e">
        <f>AND(#REF!,"AAAAAGPuX0c=")</f>
        <v>#REF!</v>
      </c>
      <c r="BU113" t="e">
        <f>AND(#REF!,"AAAAAGPuX0g=")</f>
        <v>#REF!</v>
      </c>
      <c r="BV113" t="e">
        <f>AND(#REF!,"AAAAAGPuX0k=")</f>
        <v>#REF!</v>
      </c>
      <c r="BW113" t="e">
        <f>AND(#REF!,"AAAAAGPuX0o=")</f>
        <v>#REF!</v>
      </c>
      <c r="BX113" t="e">
        <f>AND(#REF!,"AAAAAGPuX0s=")</f>
        <v>#REF!</v>
      </c>
      <c r="BY113" t="e">
        <f>AND(#REF!,"AAAAAGPuX0w=")</f>
        <v>#REF!</v>
      </c>
      <c r="BZ113" t="e">
        <f>AND(#REF!,"AAAAAGPuX00=")</f>
        <v>#REF!</v>
      </c>
      <c r="CA113" t="e">
        <f>AND(#REF!,"AAAAAGPuX04=")</f>
        <v>#REF!</v>
      </c>
      <c r="CB113" t="e">
        <f>AND(#REF!,"AAAAAGPuX08=")</f>
        <v>#REF!</v>
      </c>
      <c r="CC113" t="e">
        <f>AND(#REF!,"AAAAAGPuX1A=")</f>
        <v>#REF!</v>
      </c>
      <c r="CD113" t="e">
        <f>AND(#REF!,"AAAAAGPuX1E=")</f>
        <v>#REF!</v>
      </c>
      <c r="CE113" t="e">
        <f>AND(#REF!,"AAAAAGPuX1I=")</f>
        <v>#REF!</v>
      </c>
      <c r="CF113" t="e">
        <f>AND(#REF!,"AAAAAGPuX1M=")</f>
        <v>#REF!</v>
      </c>
      <c r="CG113" t="e">
        <f>AND(#REF!,"AAAAAGPuX1Q=")</f>
        <v>#REF!</v>
      </c>
      <c r="CH113" t="e">
        <f>AND(#REF!,"AAAAAGPuX1U=")</f>
        <v>#REF!</v>
      </c>
      <c r="CI113" t="e">
        <f>AND(#REF!,"AAAAAGPuX1Y=")</f>
        <v>#REF!</v>
      </c>
      <c r="CJ113" t="e">
        <f>AND(#REF!,"AAAAAGPuX1c=")</f>
        <v>#REF!</v>
      </c>
      <c r="CK113" t="e">
        <f>IF(#REF!,"AAAAAGPuX1g=",0)</f>
        <v>#REF!</v>
      </c>
      <c r="CL113" t="e">
        <f>AND(#REF!,"AAAAAGPuX1k=")</f>
        <v>#REF!</v>
      </c>
      <c r="CM113" t="e">
        <f>AND(#REF!,"AAAAAGPuX1o=")</f>
        <v>#REF!</v>
      </c>
      <c r="CN113" t="e">
        <f>AND(#REF!,"AAAAAGPuX1s=")</f>
        <v>#REF!</v>
      </c>
      <c r="CO113" t="e">
        <f>AND(#REF!,"AAAAAGPuX1w=")</f>
        <v>#REF!</v>
      </c>
      <c r="CP113" t="e">
        <f>AND(#REF!,"AAAAAGPuX10=")</f>
        <v>#REF!</v>
      </c>
      <c r="CQ113" t="e">
        <f>AND(#REF!,"AAAAAGPuX14=")</f>
        <v>#REF!</v>
      </c>
      <c r="CR113" t="e">
        <f>AND(#REF!,"AAAAAGPuX18=")</f>
        <v>#REF!</v>
      </c>
      <c r="CS113" t="e">
        <f>AND(#REF!,"AAAAAGPuX2A=")</f>
        <v>#REF!</v>
      </c>
      <c r="CT113" t="e">
        <f>AND(#REF!,"AAAAAGPuX2E=")</f>
        <v>#REF!</v>
      </c>
      <c r="CU113" t="e">
        <f>AND(#REF!,"AAAAAGPuX2I=")</f>
        <v>#REF!</v>
      </c>
      <c r="CV113" t="e">
        <f>AND(#REF!,"AAAAAGPuX2M=")</f>
        <v>#REF!</v>
      </c>
      <c r="CW113" t="e">
        <f>AND(#REF!,"AAAAAGPuX2Q=")</f>
        <v>#REF!</v>
      </c>
      <c r="CX113" t="e">
        <f>AND(#REF!,"AAAAAGPuX2U=")</f>
        <v>#REF!</v>
      </c>
      <c r="CY113" t="e">
        <f>AND(#REF!,"AAAAAGPuX2Y=")</f>
        <v>#REF!</v>
      </c>
      <c r="CZ113" t="e">
        <f>AND(#REF!,"AAAAAGPuX2c=")</f>
        <v>#REF!</v>
      </c>
      <c r="DA113" t="e">
        <f>AND(#REF!,"AAAAAGPuX2g=")</f>
        <v>#REF!</v>
      </c>
      <c r="DB113" t="e">
        <f>AND(#REF!,"AAAAAGPuX2k=")</f>
        <v>#REF!</v>
      </c>
      <c r="DC113" t="e">
        <f>AND(#REF!,"AAAAAGPuX2o=")</f>
        <v>#REF!</v>
      </c>
      <c r="DD113" t="e">
        <f>AND(#REF!,"AAAAAGPuX2s=")</f>
        <v>#REF!</v>
      </c>
      <c r="DE113" t="e">
        <f>AND(#REF!,"AAAAAGPuX2w=")</f>
        <v>#REF!</v>
      </c>
      <c r="DF113" t="e">
        <f>AND(#REF!,"AAAAAGPuX20=")</f>
        <v>#REF!</v>
      </c>
      <c r="DG113" t="e">
        <f>AND(#REF!,"AAAAAGPuX24=")</f>
        <v>#REF!</v>
      </c>
      <c r="DH113" t="e">
        <f>AND(#REF!,"AAAAAGPuX28=")</f>
        <v>#REF!</v>
      </c>
      <c r="DI113" t="e">
        <f>AND(#REF!,"AAAAAGPuX3A=")</f>
        <v>#REF!</v>
      </c>
      <c r="DJ113" t="e">
        <f>IF(#REF!,"AAAAAGPuX3E=",0)</f>
        <v>#REF!</v>
      </c>
      <c r="DK113" t="e">
        <f>AND(#REF!,"AAAAAGPuX3I=")</f>
        <v>#REF!</v>
      </c>
      <c r="DL113" t="e">
        <f>AND(#REF!,"AAAAAGPuX3M=")</f>
        <v>#REF!</v>
      </c>
      <c r="DM113" t="e">
        <f>AND(#REF!,"AAAAAGPuX3Q=")</f>
        <v>#REF!</v>
      </c>
      <c r="DN113" t="e">
        <f>AND(#REF!,"AAAAAGPuX3U=")</f>
        <v>#REF!</v>
      </c>
      <c r="DO113" t="e">
        <f>AND(#REF!,"AAAAAGPuX3Y=")</f>
        <v>#REF!</v>
      </c>
      <c r="DP113" t="e">
        <f>AND(#REF!,"AAAAAGPuX3c=")</f>
        <v>#REF!</v>
      </c>
      <c r="DQ113" t="e">
        <f>AND(#REF!,"AAAAAGPuX3g=")</f>
        <v>#REF!</v>
      </c>
      <c r="DR113" t="e">
        <f>AND(#REF!,"AAAAAGPuX3k=")</f>
        <v>#REF!</v>
      </c>
      <c r="DS113" t="e">
        <f>AND(#REF!,"AAAAAGPuX3o=")</f>
        <v>#REF!</v>
      </c>
      <c r="DT113" t="e">
        <f>AND(#REF!,"AAAAAGPuX3s=")</f>
        <v>#REF!</v>
      </c>
      <c r="DU113" t="e">
        <f>AND(#REF!,"AAAAAGPuX3w=")</f>
        <v>#REF!</v>
      </c>
      <c r="DV113" t="e">
        <f>AND(#REF!,"AAAAAGPuX30=")</f>
        <v>#REF!</v>
      </c>
      <c r="DW113" t="e">
        <f>AND(#REF!,"AAAAAGPuX34=")</f>
        <v>#REF!</v>
      </c>
      <c r="DX113" t="e">
        <f>AND(#REF!,"AAAAAGPuX38=")</f>
        <v>#REF!</v>
      </c>
      <c r="DY113" t="e">
        <f>AND(#REF!,"AAAAAGPuX4A=")</f>
        <v>#REF!</v>
      </c>
      <c r="DZ113" t="e">
        <f>AND(#REF!,"AAAAAGPuX4E=")</f>
        <v>#REF!</v>
      </c>
      <c r="EA113" t="e">
        <f>AND(#REF!,"AAAAAGPuX4I=")</f>
        <v>#REF!</v>
      </c>
      <c r="EB113" t="e">
        <f>AND(#REF!,"AAAAAGPuX4M=")</f>
        <v>#REF!</v>
      </c>
      <c r="EC113" t="e">
        <f>AND(#REF!,"AAAAAGPuX4Q=")</f>
        <v>#REF!</v>
      </c>
      <c r="ED113" t="e">
        <f>AND(#REF!,"AAAAAGPuX4U=")</f>
        <v>#REF!</v>
      </c>
      <c r="EE113" t="e">
        <f>AND(#REF!,"AAAAAGPuX4Y=")</f>
        <v>#REF!</v>
      </c>
      <c r="EF113" t="e">
        <f>AND(#REF!,"AAAAAGPuX4c=")</f>
        <v>#REF!</v>
      </c>
      <c r="EG113" t="e">
        <f>AND(#REF!,"AAAAAGPuX4g=")</f>
        <v>#REF!</v>
      </c>
      <c r="EH113" t="e">
        <f>AND(#REF!,"AAAAAGPuX4k=")</f>
        <v>#REF!</v>
      </c>
      <c r="EI113" t="e">
        <f>IF(#REF!,"AAAAAGPuX4o=",0)</f>
        <v>#REF!</v>
      </c>
      <c r="EJ113" t="e">
        <f>AND(#REF!,"AAAAAGPuX4s=")</f>
        <v>#REF!</v>
      </c>
      <c r="EK113" t="e">
        <f>AND(#REF!,"AAAAAGPuX4w=")</f>
        <v>#REF!</v>
      </c>
      <c r="EL113" t="e">
        <f>AND(#REF!,"AAAAAGPuX40=")</f>
        <v>#REF!</v>
      </c>
      <c r="EM113" t="e">
        <f>AND(#REF!,"AAAAAGPuX44=")</f>
        <v>#REF!</v>
      </c>
      <c r="EN113" t="e">
        <f>AND(#REF!,"AAAAAGPuX48=")</f>
        <v>#REF!</v>
      </c>
      <c r="EO113" t="e">
        <f>AND(#REF!,"AAAAAGPuX5A=")</f>
        <v>#REF!</v>
      </c>
      <c r="EP113" t="e">
        <f>AND(#REF!,"AAAAAGPuX5E=")</f>
        <v>#REF!</v>
      </c>
      <c r="EQ113" t="e">
        <f>AND(#REF!,"AAAAAGPuX5I=")</f>
        <v>#REF!</v>
      </c>
      <c r="ER113" t="e">
        <f>AND(#REF!,"AAAAAGPuX5M=")</f>
        <v>#REF!</v>
      </c>
      <c r="ES113" t="e">
        <f>AND(#REF!,"AAAAAGPuX5Q=")</f>
        <v>#REF!</v>
      </c>
      <c r="ET113" t="e">
        <f>AND(#REF!,"AAAAAGPuX5U=")</f>
        <v>#REF!</v>
      </c>
      <c r="EU113" t="e">
        <f>AND(#REF!,"AAAAAGPuX5Y=")</f>
        <v>#REF!</v>
      </c>
      <c r="EV113" t="e">
        <f>AND(#REF!,"AAAAAGPuX5c=")</f>
        <v>#REF!</v>
      </c>
      <c r="EW113" t="e">
        <f>AND(#REF!,"AAAAAGPuX5g=")</f>
        <v>#REF!</v>
      </c>
      <c r="EX113" t="e">
        <f>AND(#REF!,"AAAAAGPuX5k=")</f>
        <v>#REF!</v>
      </c>
      <c r="EY113" t="e">
        <f>AND(#REF!,"AAAAAGPuX5o=")</f>
        <v>#REF!</v>
      </c>
      <c r="EZ113" t="e">
        <f>AND(#REF!,"AAAAAGPuX5s=")</f>
        <v>#REF!</v>
      </c>
      <c r="FA113" t="e">
        <f>AND(#REF!,"AAAAAGPuX5w=")</f>
        <v>#REF!</v>
      </c>
      <c r="FB113" t="e">
        <f>AND(#REF!,"AAAAAGPuX50=")</f>
        <v>#REF!</v>
      </c>
      <c r="FC113" t="e">
        <f>AND(#REF!,"AAAAAGPuX54=")</f>
        <v>#REF!</v>
      </c>
      <c r="FD113" t="e">
        <f>AND(#REF!,"AAAAAGPuX58=")</f>
        <v>#REF!</v>
      </c>
      <c r="FE113" t="e">
        <f>AND(#REF!,"AAAAAGPuX6A=")</f>
        <v>#REF!</v>
      </c>
      <c r="FF113" t="e">
        <f>AND(#REF!,"AAAAAGPuX6E=")</f>
        <v>#REF!</v>
      </c>
      <c r="FG113" t="e">
        <f>AND(#REF!,"AAAAAGPuX6I=")</f>
        <v>#REF!</v>
      </c>
      <c r="FH113" t="e">
        <f>IF(#REF!,"AAAAAGPuX6M=",0)</f>
        <v>#REF!</v>
      </c>
      <c r="FI113" t="e">
        <f>AND(#REF!,"AAAAAGPuX6Q=")</f>
        <v>#REF!</v>
      </c>
      <c r="FJ113" t="e">
        <f>AND(#REF!,"AAAAAGPuX6U=")</f>
        <v>#REF!</v>
      </c>
      <c r="FK113" t="e">
        <f>AND(#REF!,"AAAAAGPuX6Y=")</f>
        <v>#REF!</v>
      </c>
      <c r="FL113" t="e">
        <f>AND(#REF!,"AAAAAGPuX6c=")</f>
        <v>#REF!</v>
      </c>
      <c r="FM113" t="e">
        <f>AND(#REF!,"AAAAAGPuX6g=")</f>
        <v>#REF!</v>
      </c>
      <c r="FN113" t="e">
        <f>AND(#REF!,"AAAAAGPuX6k=")</f>
        <v>#REF!</v>
      </c>
      <c r="FO113" t="e">
        <f>AND(#REF!,"AAAAAGPuX6o=")</f>
        <v>#REF!</v>
      </c>
      <c r="FP113" t="e">
        <f>AND(#REF!,"AAAAAGPuX6s=")</f>
        <v>#REF!</v>
      </c>
      <c r="FQ113" t="e">
        <f>AND(#REF!,"AAAAAGPuX6w=")</f>
        <v>#REF!</v>
      </c>
      <c r="FR113" t="e">
        <f>AND(#REF!,"AAAAAGPuX60=")</f>
        <v>#REF!</v>
      </c>
      <c r="FS113" t="e">
        <f>AND(#REF!,"AAAAAGPuX64=")</f>
        <v>#REF!</v>
      </c>
      <c r="FT113" t="e">
        <f>AND(#REF!,"AAAAAGPuX68=")</f>
        <v>#REF!</v>
      </c>
      <c r="FU113" t="e">
        <f>AND(#REF!,"AAAAAGPuX7A=")</f>
        <v>#REF!</v>
      </c>
      <c r="FV113" t="e">
        <f>AND(#REF!,"AAAAAGPuX7E=")</f>
        <v>#REF!</v>
      </c>
      <c r="FW113" t="e">
        <f>AND(#REF!,"AAAAAGPuX7I=")</f>
        <v>#REF!</v>
      </c>
      <c r="FX113" t="e">
        <f>AND(#REF!,"AAAAAGPuX7M=")</f>
        <v>#REF!</v>
      </c>
      <c r="FY113" t="e">
        <f>AND(#REF!,"AAAAAGPuX7Q=")</f>
        <v>#REF!</v>
      </c>
      <c r="FZ113" t="e">
        <f>AND(#REF!,"AAAAAGPuX7U=")</f>
        <v>#REF!</v>
      </c>
      <c r="GA113" t="e">
        <f>AND(#REF!,"AAAAAGPuX7Y=")</f>
        <v>#REF!</v>
      </c>
      <c r="GB113" t="e">
        <f>AND(#REF!,"AAAAAGPuX7c=")</f>
        <v>#REF!</v>
      </c>
      <c r="GC113" t="e">
        <f>AND(#REF!,"AAAAAGPuX7g=")</f>
        <v>#REF!</v>
      </c>
      <c r="GD113" t="e">
        <f>AND(#REF!,"AAAAAGPuX7k=")</f>
        <v>#REF!</v>
      </c>
      <c r="GE113" t="e">
        <f>AND(#REF!,"AAAAAGPuX7o=")</f>
        <v>#REF!</v>
      </c>
      <c r="GF113" t="e">
        <f>AND(#REF!,"AAAAAGPuX7s=")</f>
        <v>#REF!</v>
      </c>
      <c r="GG113" t="e">
        <f>IF(#REF!,"AAAAAGPuX7w=",0)</f>
        <v>#REF!</v>
      </c>
      <c r="GH113" t="e">
        <f>AND(#REF!,"AAAAAGPuX70=")</f>
        <v>#REF!</v>
      </c>
      <c r="GI113" t="e">
        <f>AND(#REF!,"AAAAAGPuX74=")</f>
        <v>#REF!</v>
      </c>
      <c r="GJ113" t="e">
        <f>AND(#REF!,"AAAAAGPuX78=")</f>
        <v>#REF!</v>
      </c>
      <c r="GK113" t="e">
        <f>AND(#REF!,"AAAAAGPuX8A=")</f>
        <v>#REF!</v>
      </c>
      <c r="GL113" t="e">
        <f>AND(#REF!,"AAAAAGPuX8E=")</f>
        <v>#REF!</v>
      </c>
      <c r="GM113" t="e">
        <f>AND(#REF!,"AAAAAGPuX8I=")</f>
        <v>#REF!</v>
      </c>
      <c r="GN113" t="e">
        <f>AND(#REF!,"AAAAAGPuX8M=")</f>
        <v>#REF!</v>
      </c>
      <c r="GO113" t="e">
        <f>AND(#REF!,"AAAAAGPuX8Q=")</f>
        <v>#REF!</v>
      </c>
      <c r="GP113" t="e">
        <f>AND(#REF!,"AAAAAGPuX8U=")</f>
        <v>#REF!</v>
      </c>
      <c r="GQ113" t="e">
        <f>AND(#REF!,"AAAAAGPuX8Y=")</f>
        <v>#REF!</v>
      </c>
      <c r="GR113" t="e">
        <f>AND(#REF!,"AAAAAGPuX8c=")</f>
        <v>#REF!</v>
      </c>
      <c r="GS113" t="e">
        <f>AND(#REF!,"AAAAAGPuX8g=")</f>
        <v>#REF!</v>
      </c>
      <c r="GT113" t="e">
        <f>AND(#REF!,"AAAAAGPuX8k=")</f>
        <v>#REF!</v>
      </c>
      <c r="GU113" t="e">
        <f>AND(#REF!,"AAAAAGPuX8o=")</f>
        <v>#REF!</v>
      </c>
      <c r="GV113" t="e">
        <f>AND(#REF!,"AAAAAGPuX8s=")</f>
        <v>#REF!</v>
      </c>
      <c r="GW113" t="e">
        <f>AND(#REF!,"AAAAAGPuX8w=")</f>
        <v>#REF!</v>
      </c>
      <c r="GX113" t="e">
        <f>AND(#REF!,"AAAAAGPuX80=")</f>
        <v>#REF!</v>
      </c>
      <c r="GY113" t="e">
        <f>AND(#REF!,"AAAAAGPuX84=")</f>
        <v>#REF!</v>
      </c>
      <c r="GZ113" t="e">
        <f>AND(#REF!,"AAAAAGPuX88=")</f>
        <v>#REF!</v>
      </c>
      <c r="HA113" t="e">
        <f>AND(#REF!,"AAAAAGPuX9A=")</f>
        <v>#REF!</v>
      </c>
      <c r="HB113" t="e">
        <f>AND(#REF!,"AAAAAGPuX9E=")</f>
        <v>#REF!</v>
      </c>
      <c r="HC113" t="e">
        <f>AND(#REF!,"AAAAAGPuX9I=")</f>
        <v>#REF!</v>
      </c>
      <c r="HD113" t="e">
        <f>AND(#REF!,"AAAAAGPuX9M=")</f>
        <v>#REF!</v>
      </c>
      <c r="HE113" t="e">
        <f>AND(#REF!,"AAAAAGPuX9Q=")</f>
        <v>#REF!</v>
      </c>
      <c r="HF113" t="e">
        <f>IF(#REF!,"AAAAAGPuX9U=",0)</f>
        <v>#REF!</v>
      </c>
      <c r="HG113" t="e">
        <f>AND(#REF!,"AAAAAGPuX9Y=")</f>
        <v>#REF!</v>
      </c>
      <c r="HH113" t="e">
        <f>AND(#REF!,"AAAAAGPuX9c=")</f>
        <v>#REF!</v>
      </c>
      <c r="HI113" t="e">
        <f>AND(#REF!,"AAAAAGPuX9g=")</f>
        <v>#REF!</v>
      </c>
      <c r="HJ113" t="e">
        <f>AND(#REF!,"AAAAAGPuX9k=")</f>
        <v>#REF!</v>
      </c>
      <c r="HK113" t="e">
        <f>AND(#REF!,"AAAAAGPuX9o=")</f>
        <v>#REF!</v>
      </c>
      <c r="HL113" t="e">
        <f>AND(#REF!,"AAAAAGPuX9s=")</f>
        <v>#REF!</v>
      </c>
      <c r="HM113" t="e">
        <f>AND(#REF!,"AAAAAGPuX9w=")</f>
        <v>#REF!</v>
      </c>
      <c r="HN113" t="e">
        <f>AND(#REF!,"AAAAAGPuX90=")</f>
        <v>#REF!</v>
      </c>
      <c r="HO113" t="e">
        <f>AND(#REF!,"AAAAAGPuX94=")</f>
        <v>#REF!</v>
      </c>
      <c r="HP113" t="e">
        <f>AND(#REF!,"AAAAAGPuX98=")</f>
        <v>#REF!</v>
      </c>
      <c r="HQ113" t="e">
        <f>AND(#REF!,"AAAAAGPuX+A=")</f>
        <v>#REF!</v>
      </c>
      <c r="HR113" t="e">
        <f>AND(#REF!,"AAAAAGPuX+E=")</f>
        <v>#REF!</v>
      </c>
      <c r="HS113" t="e">
        <f>AND(#REF!,"AAAAAGPuX+I=")</f>
        <v>#REF!</v>
      </c>
      <c r="HT113" t="e">
        <f>AND(#REF!,"AAAAAGPuX+M=")</f>
        <v>#REF!</v>
      </c>
      <c r="HU113" t="e">
        <f>AND(#REF!,"AAAAAGPuX+Q=")</f>
        <v>#REF!</v>
      </c>
      <c r="HV113" t="e">
        <f>AND(#REF!,"AAAAAGPuX+U=")</f>
        <v>#REF!</v>
      </c>
      <c r="HW113" t="e">
        <f>AND(#REF!,"AAAAAGPuX+Y=")</f>
        <v>#REF!</v>
      </c>
      <c r="HX113" t="e">
        <f>AND(#REF!,"AAAAAGPuX+c=")</f>
        <v>#REF!</v>
      </c>
      <c r="HY113" t="e">
        <f>AND(#REF!,"AAAAAGPuX+g=")</f>
        <v>#REF!</v>
      </c>
      <c r="HZ113" t="e">
        <f>AND(#REF!,"AAAAAGPuX+k=")</f>
        <v>#REF!</v>
      </c>
      <c r="IA113" t="e">
        <f>AND(#REF!,"AAAAAGPuX+o=")</f>
        <v>#REF!</v>
      </c>
      <c r="IB113" t="e">
        <f>AND(#REF!,"AAAAAGPuX+s=")</f>
        <v>#REF!</v>
      </c>
      <c r="IC113" t="e">
        <f>AND(#REF!,"AAAAAGPuX+w=")</f>
        <v>#REF!</v>
      </c>
      <c r="ID113" t="e">
        <f>AND(#REF!,"AAAAAGPuX+0=")</f>
        <v>#REF!</v>
      </c>
      <c r="IE113" t="e">
        <f>IF(#REF!,"AAAAAGPuX+4=",0)</f>
        <v>#REF!</v>
      </c>
      <c r="IF113" t="e">
        <f>AND(#REF!,"AAAAAGPuX+8=")</f>
        <v>#REF!</v>
      </c>
      <c r="IG113" t="e">
        <f>AND(#REF!,"AAAAAGPuX/A=")</f>
        <v>#REF!</v>
      </c>
      <c r="IH113" t="e">
        <f>AND(#REF!,"AAAAAGPuX/E=")</f>
        <v>#REF!</v>
      </c>
      <c r="II113" t="e">
        <f>AND(#REF!,"AAAAAGPuX/I=")</f>
        <v>#REF!</v>
      </c>
      <c r="IJ113" t="e">
        <f>AND(#REF!,"AAAAAGPuX/M=")</f>
        <v>#REF!</v>
      </c>
      <c r="IK113" t="e">
        <f>AND(#REF!,"AAAAAGPuX/Q=")</f>
        <v>#REF!</v>
      </c>
      <c r="IL113" t="e">
        <f>AND(#REF!,"AAAAAGPuX/U=")</f>
        <v>#REF!</v>
      </c>
      <c r="IM113" t="e">
        <f>AND(#REF!,"AAAAAGPuX/Y=")</f>
        <v>#REF!</v>
      </c>
      <c r="IN113" t="e">
        <f>AND(#REF!,"AAAAAGPuX/c=")</f>
        <v>#REF!</v>
      </c>
      <c r="IO113" t="e">
        <f>AND(#REF!,"AAAAAGPuX/g=")</f>
        <v>#REF!</v>
      </c>
      <c r="IP113" t="e">
        <f>AND(#REF!,"AAAAAGPuX/k=")</f>
        <v>#REF!</v>
      </c>
      <c r="IQ113" t="e">
        <f>AND(#REF!,"AAAAAGPuX/o=")</f>
        <v>#REF!</v>
      </c>
      <c r="IR113" t="e">
        <f>AND(#REF!,"AAAAAGPuX/s=")</f>
        <v>#REF!</v>
      </c>
      <c r="IS113" t="e">
        <f>AND(#REF!,"AAAAAGPuX/w=")</f>
        <v>#REF!</v>
      </c>
      <c r="IT113" t="e">
        <f>AND(#REF!,"AAAAAGPuX/0=")</f>
        <v>#REF!</v>
      </c>
      <c r="IU113" t="e">
        <f>AND(#REF!,"AAAAAGPuX/4=")</f>
        <v>#REF!</v>
      </c>
      <c r="IV113" t="e">
        <f>AND(#REF!,"AAAAAGPuX/8=")</f>
        <v>#REF!</v>
      </c>
    </row>
    <row r="114" spans="1:256">
      <c r="A114" t="e">
        <f>AND(#REF!,"AAAAAH1/zQA=")</f>
        <v>#REF!</v>
      </c>
      <c r="B114" t="e">
        <f>AND(#REF!,"AAAAAH1/zQE=")</f>
        <v>#REF!</v>
      </c>
      <c r="C114" t="e">
        <f>AND(#REF!,"AAAAAH1/zQI=")</f>
        <v>#REF!</v>
      </c>
      <c r="D114" t="e">
        <f>AND(#REF!,"AAAAAH1/zQM=")</f>
        <v>#REF!</v>
      </c>
      <c r="E114" t="e">
        <f>AND(#REF!,"AAAAAH1/zQQ=")</f>
        <v>#REF!</v>
      </c>
      <c r="F114" t="e">
        <f>AND(#REF!,"AAAAAH1/zQU=")</f>
        <v>#REF!</v>
      </c>
      <c r="G114" t="e">
        <f>AND(#REF!,"AAAAAH1/zQY=")</f>
        <v>#REF!</v>
      </c>
      <c r="H114" t="e">
        <f>IF(#REF!,"AAAAAH1/zQc=",0)</f>
        <v>#REF!</v>
      </c>
      <c r="I114" t="e">
        <f>AND(#REF!,"AAAAAH1/zQg=")</f>
        <v>#REF!</v>
      </c>
      <c r="J114" t="e">
        <f>AND(#REF!,"AAAAAH1/zQk=")</f>
        <v>#REF!</v>
      </c>
      <c r="K114" t="e">
        <f>AND(#REF!,"AAAAAH1/zQo=")</f>
        <v>#REF!</v>
      </c>
      <c r="L114" t="e">
        <f>AND(#REF!,"AAAAAH1/zQs=")</f>
        <v>#REF!</v>
      </c>
      <c r="M114" t="e">
        <f>AND(#REF!,"AAAAAH1/zQw=")</f>
        <v>#REF!</v>
      </c>
      <c r="N114" t="e">
        <f>AND(#REF!,"AAAAAH1/zQ0=")</f>
        <v>#REF!</v>
      </c>
      <c r="O114" t="e">
        <f>AND(#REF!,"AAAAAH1/zQ4=")</f>
        <v>#REF!</v>
      </c>
      <c r="P114" t="e">
        <f>AND(#REF!,"AAAAAH1/zQ8=")</f>
        <v>#REF!</v>
      </c>
      <c r="Q114" t="e">
        <f>AND(#REF!,"AAAAAH1/zRA=")</f>
        <v>#REF!</v>
      </c>
      <c r="R114" t="e">
        <f>AND(#REF!,"AAAAAH1/zRE=")</f>
        <v>#REF!</v>
      </c>
      <c r="S114" t="e">
        <f>AND(#REF!,"AAAAAH1/zRI=")</f>
        <v>#REF!</v>
      </c>
      <c r="T114" t="e">
        <f>AND(#REF!,"AAAAAH1/zRM=")</f>
        <v>#REF!</v>
      </c>
      <c r="U114" t="e">
        <f>AND(#REF!,"AAAAAH1/zRQ=")</f>
        <v>#REF!</v>
      </c>
      <c r="V114" t="e">
        <f>AND(#REF!,"AAAAAH1/zRU=")</f>
        <v>#REF!</v>
      </c>
      <c r="W114" t="e">
        <f>AND(#REF!,"AAAAAH1/zRY=")</f>
        <v>#REF!</v>
      </c>
      <c r="X114" t="e">
        <f>AND(#REF!,"AAAAAH1/zRc=")</f>
        <v>#REF!</v>
      </c>
      <c r="Y114" t="e">
        <f>AND(#REF!,"AAAAAH1/zRg=")</f>
        <v>#REF!</v>
      </c>
      <c r="Z114" t="e">
        <f>AND(#REF!,"AAAAAH1/zRk=")</f>
        <v>#REF!</v>
      </c>
      <c r="AA114" t="e">
        <f>AND(#REF!,"AAAAAH1/zRo=")</f>
        <v>#REF!</v>
      </c>
      <c r="AB114" t="e">
        <f>AND(#REF!,"AAAAAH1/zRs=")</f>
        <v>#REF!</v>
      </c>
      <c r="AC114" t="e">
        <f>AND(#REF!,"AAAAAH1/zRw=")</f>
        <v>#REF!</v>
      </c>
      <c r="AD114" t="e">
        <f>AND(#REF!,"AAAAAH1/zR0=")</f>
        <v>#REF!</v>
      </c>
      <c r="AE114" t="e">
        <f>AND(#REF!,"AAAAAH1/zR4=")</f>
        <v>#REF!</v>
      </c>
      <c r="AF114" t="e">
        <f>AND(#REF!,"AAAAAH1/zR8=")</f>
        <v>#REF!</v>
      </c>
      <c r="AG114" t="e">
        <f>IF(#REF!,"AAAAAH1/zSA=",0)</f>
        <v>#REF!</v>
      </c>
      <c r="AH114" t="e">
        <f>AND(#REF!,"AAAAAH1/zSE=")</f>
        <v>#REF!</v>
      </c>
      <c r="AI114" t="e">
        <f>AND(#REF!,"AAAAAH1/zSI=")</f>
        <v>#REF!</v>
      </c>
      <c r="AJ114" t="e">
        <f>AND(#REF!,"AAAAAH1/zSM=")</f>
        <v>#REF!</v>
      </c>
      <c r="AK114" t="e">
        <f>AND(#REF!,"AAAAAH1/zSQ=")</f>
        <v>#REF!</v>
      </c>
      <c r="AL114" t="e">
        <f>AND(#REF!,"AAAAAH1/zSU=")</f>
        <v>#REF!</v>
      </c>
      <c r="AM114" t="e">
        <f>AND(#REF!,"AAAAAH1/zSY=")</f>
        <v>#REF!</v>
      </c>
      <c r="AN114" t="e">
        <f>AND(#REF!,"AAAAAH1/zSc=")</f>
        <v>#REF!</v>
      </c>
      <c r="AO114" t="e">
        <f>AND(#REF!,"AAAAAH1/zSg=")</f>
        <v>#REF!</v>
      </c>
      <c r="AP114" t="e">
        <f>AND(#REF!,"AAAAAH1/zSk=")</f>
        <v>#REF!</v>
      </c>
      <c r="AQ114" t="e">
        <f>AND(#REF!,"AAAAAH1/zSo=")</f>
        <v>#REF!</v>
      </c>
      <c r="AR114" t="e">
        <f>AND(#REF!,"AAAAAH1/zSs=")</f>
        <v>#REF!</v>
      </c>
      <c r="AS114" t="e">
        <f>AND(#REF!,"AAAAAH1/zSw=")</f>
        <v>#REF!</v>
      </c>
      <c r="AT114" t="e">
        <f>AND(#REF!,"AAAAAH1/zS0=")</f>
        <v>#REF!</v>
      </c>
      <c r="AU114" t="e">
        <f>AND(#REF!,"AAAAAH1/zS4=")</f>
        <v>#REF!</v>
      </c>
      <c r="AV114" t="e">
        <f>AND(#REF!,"AAAAAH1/zS8=")</f>
        <v>#REF!</v>
      </c>
      <c r="AW114" t="e">
        <f>AND(#REF!,"AAAAAH1/zTA=")</f>
        <v>#REF!</v>
      </c>
      <c r="AX114" t="e">
        <f>AND(#REF!,"AAAAAH1/zTE=")</f>
        <v>#REF!</v>
      </c>
      <c r="AY114" t="e">
        <f>AND(#REF!,"AAAAAH1/zTI=")</f>
        <v>#REF!</v>
      </c>
      <c r="AZ114" t="e">
        <f>AND(#REF!,"AAAAAH1/zTM=")</f>
        <v>#REF!</v>
      </c>
      <c r="BA114" t="e">
        <f>AND(#REF!,"AAAAAH1/zTQ=")</f>
        <v>#REF!</v>
      </c>
      <c r="BB114" t="e">
        <f>AND(#REF!,"AAAAAH1/zTU=")</f>
        <v>#REF!</v>
      </c>
      <c r="BC114" t="e">
        <f>AND(#REF!,"AAAAAH1/zTY=")</f>
        <v>#REF!</v>
      </c>
      <c r="BD114" t="e">
        <f>AND(#REF!,"AAAAAH1/zTc=")</f>
        <v>#REF!</v>
      </c>
      <c r="BE114" t="e">
        <f>AND(#REF!,"AAAAAH1/zTg=")</f>
        <v>#REF!</v>
      </c>
      <c r="BF114" t="e">
        <f>IF(#REF!,"AAAAAH1/zTk=",0)</f>
        <v>#REF!</v>
      </c>
      <c r="BG114" t="e">
        <f>AND(#REF!,"AAAAAH1/zTo=")</f>
        <v>#REF!</v>
      </c>
      <c r="BH114" t="e">
        <f>AND(#REF!,"AAAAAH1/zTs=")</f>
        <v>#REF!</v>
      </c>
      <c r="BI114" t="e">
        <f>AND(#REF!,"AAAAAH1/zTw=")</f>
        <v>#REF!</v>
      </c>
      <c r="BJ114" t="e">
        <f>AND(#REF!,"AAAAAH1/zT0=")</f>
        <v>#REF!</v>
      </c>
      <c r="BK114" t="e">
        <f>AND(#REF!,"AAAAAH1/zT4=")</f>
        <v>#REF!</v>
      </c>
      <c r="BL114" t="e">
        <f>AND(#REF!,"AAAAAH1/zT8=")</f>
        <v>#REF!</v>
      </c>
      <c r="BM114" t="e">
        <f>AND(#REF!,"AAAAAH1/zUA=")</f>
        <v>#REF!</v>
      </c>
      <c r="BN114" t="e">
        <f>AND(#REF!,"AAAAAH1/zUE=")</f>
        <v>#REF!</v>
      </c>
      <c r="BO114" t="e">
        <f>AND(#REF!,"AAAAAH1/zUI=")</f>
        <v>#REF!</v>
      </c>
      <c r="BP114" t="e">
        <f>AND(#REF!,"AAAAAH1/zUM=")</f>
        <v>#REF!</v>
      </c>
      <c r="BQ114" t="e">
        <f>AND(#REF!,"AAAAAH1/zUQ=")</f>
        <v>#REF!</v>
      </c>
      <c r="BR114" t="e">
        <f>AND(#REF!,"AAAAAH1/zUU=")</f>
        <v>#REF!</v>
      </c>
      <c r="BS114" t="e">
        <f>AND(#REF!,"AAAAAH1/zUY=")</f>
        <v>#REF!</v>
      </c>
      <c r="BT114" t="e">
        <f>AND(#REF!,"AAAAAH1/zUc=")</f>
        <v>#REF!</v>
      </c>
      <c r="BU114" t="e">
        <f>AND(#REF!,"AAAAAH1/zUg=")</f>
        <v>#REF!</v>
      </c>
      <c r="BV114" t="e">
        <f>AND(#REF!,"AAAAAH1/zUk=")</f>
        <v>#REF!</v>
      </c>
      <c r="BW114" t="e">
        <f>AND(#REF!,"AAAAAH1/zUo=")</f>
        <v>#REF!</v>
      </c>
      <c r="BX114" t="e">
        <f>AND(#REF!,"AAAAAH1/zUs=")</f>
        <v>#REF!</v>
      </c>
      <c r="BY114" t="e">
        <f>AND(#REF!,"AAAAAH1/zUw=")</f>
        <v>#REF!</v>
      </c>
      <c r="BZ114" t="e">
        <f>AND(#REF!,"AAAAAH1/zU0=")</f>
        <v>#REF!</v>
      </c>
      <c r="CA114" t="e">
        <f>AND(#REF!,"AAAAAH1/zU4=")</f>
        <v>#REF!</v>
      </c>
      <c r="CB114" t="e">
        <f>AND(#REF!,"AAAAAH1/zU8=")</f>
        <v>#REF!</v>
      </c>
      <c r="CC114" t="e">
        <f>AND(#REF!,"AAAAAH1/zVA=")</f>
        <v>#REF!</v>
      </c>
      <c r="CD114" t="e">
        <f>AND(#REF!,"AAAAAH1/zVE=")</f>
        <v>#REF!</v>
      </c>
      <c r="CE114" t="e">
        <f>IF(#REF!,"AAAAAH1/zVI=",0)</f>
        <v>#REF!</v>
      </c>
      <c r="CF114" t="e">
        <f>AND(#REF!,"AAAAAH1/zVM=")</f>
        <v>#REF!</v>
      </c>
      <c r="CG114" t="e">
        <f>AND(#REF!,"AAAAAH1/zVQ=")</f>
        <v>#REF!</v>
      </c>
      <c r="CH114" t="e">
        <f>AND(#REF!,"AAAAAH1/zVU=")</f>
        <v>#REF!</v>
      </c>
      <c r="CI114" t="e">
        <f>AND(#REF!,"AAAAAH1/zVY=")</f>
        <v>#REF!</v>
      </c>
      <c r="CJ114" t="e">
        <f>AND(#REF!,"AAAAAH1/zVc=")</f>
        <v>#REF!</v>
      </c>
      <c r="CK114" t="e">
        <f>AND(#REF!,"AAAAAH1/zVg=")</f>
        <v>#REF!</v>
      </c>
      <c r="CL114" t="e">
        <f>AND(#REF!,"AAAAAH1/zVk=")</f>
        <v>#REF!</v>
      </c>
      <c r="CM114" t="e">
        <f>AND(#REF!,"AAAAAH1/zVo=")</f>
        <v>#REF!</v>
      </c>
      <c r="CN114" t="e">
        <f>AND(#REF!,"AAAAAH1/zVs=")</f>
        <v>#REF!</v>
      </c>
      <c r="CO114" t="e">
        <f>AND(#REF!,"AAAAAH1/zVw=")</f>
        <v>#REF!</v>
      </c>
      <c r="CP114" t="e">
        <f>AND(#REF!,"AAAAAH1/zV0=")</f>
        <v>#REF!</v>
      </c>
      <c r="CQ114" t="e">
        <f>AND(#REF!,"AAAAAH1/zV4=")</f>
        <v>#REF!</v>
      </c>
      <c r="CR114" t="e">
        <f>AND(#REF!,"AAAAAH1/zV8=")</f>
        <v>#REF!</v>
      </c>
      <c r="CS114" t="e">
        <f>AND(#REF!,"AAAAAH1/zWA=")</f>
        <v>#REF!</v>
      </c>
      <c r="CT114" t="e">
        <f>AND(#REF!,"AAAAAH1/zWE=")</f>
        <v>#REF!</v>
      </c>
      <c r="CU114" t="e">
        <f>AND(#REF!,"AAAAAH1/zWI=")</f>
        <v>#REF!</v>
      </c>
      <c r="CV114" t="e">
        <f>AND(#REF!,"AAAAAH1/zWM=")</f>
        <v>#REF!</v>
      </c>
      <c r="CW114" t="e">
        <f>AND(#REF!,"AAAAAH1/zWQ=")</f>
        <v>#REF!</v>
      </c>
      <c r="CX114" t="e">
        <f>AND(#REF!,"AAAAAH1/zWU=")</f>
        <v>#REF!</v>
      </c>
      <c r="CY114" t="e">
        <f>AND(#REF!,"AAAAAH1/zWY=")</f>
        <v>#REF!</v>
      </c>
      <c r="CZ114" t="e">
        <f>AND(#REF!,"AAAAAH1/zWc=")</f>
        <v>#REF!</v>
      </c>
      <c r="DA114" t="e">
        <f>AND(#REF!,"AAAAAH1/zWg=")</f>
        <v>#REF!</v>
      </c>
      <c r="DB114" t="e">
        <f>AND(#REF!,"AAAAAH1/zWk=")</f>
        <v>#REF!</v>
      </c>
      <c r="DC114" t="e">
        <f>AND(#REF!,"AAAAAH1/zWo=")</f>
        <v>#REF!</v>
      </c>
      <c r="DD114" t="e">
        <f>IF(#REF!,"AAAAAH1/zWs=",0)</f>
        <v>#REF!</v>
      </c>
      <c r="DE114" t="e">
        <f>AND(#REF!,"AAAAAH1/zWw=")</f>
        <v>#REF!</v>
      </c>
      <c r="DF114" t="e">
        <f>AND(#REF!,"AAAAAH1/zW0=")</f>
        <v>#REF!</v>
      </c>
      <c r="DG114" t="e">
        <f>AND(#REF!,"AAAAAH1/zW4=")</f>
        <v>#REF!</v>
      </c>
      <c r="DH114" t="e">
        <f>AND(#REF!,"AAAAAH1/zW8=")</f>
        <v>#REF!</v>
      </c>
      <c r="DI114" t="e">
        <f>AND(#REF!,"AAAAAH1/zXA=")</f>
        <v>#REF!</v>
      </c>
      <c r="DJ114" t="e">
        <f>AND(#REF!,"AAAAAH1/zXE=")</f>
        <v>#REF!</v>
      </c>
      <c r="DK114" t="e">
        <f>AND(#REF!,"AAAAAH1/zXI=")</f>
        <v>#REF!</v>
      </c>
      <c r="DL114" t="e">
        <f>AND(#REF!,"AAAAAH1/zXM=")</f>
        <v>#REF!</v>
      </c>
      <c r="DM114" t="e">
        <f>AND(#REF!,"AAAAAH1/zXQ=")</f>
        <v>#REF!</v>
      </c>
      <c r="DN114" t="e">
        <f>AND(#REF!,"AAAAAH1/zXU=")</f>
        <v>#REF!</v>
      </c>
      <c r="DO114" t="e">
        <f>AND(#REF!,"AAAAAH1/zXY=")</f>
        <v>#REF!</v>
      </c>
      <c r="DP114" t="e">
        <f>AND(#REF!,"AAAAAH1/zXc=")</f>
        <v>#REF!</v>
      </c>
      <c r="DQ114" t="e">
        <f>AND(#REF!,"AAAAAH1/zXg=")</f>
        <v>#REF!</v>
      </c>
      <c r="DR114" t="e">
        <f>AND(#REF!,"AAAAAH1/zXk=")</f>
        <v>#REF!</v>
      </c>
      <c r="DS114" t="e">
        <f>AND(#REF!,"AAAAAH1/zXo=")</f>
        <v>#REF!</v>
      </c>
      <c r="DT114" t="e">
        <f>AND(#REF!,"AAAAAH1/zXs=")</f>
        <v>#REF!</v>
      </c>
      <c r="DU114" t="e">
        <f>AND(#REF!,"AAAAAH1/zXw=")</f>
        <v>#REF!</v>
      </c>
      <c r="DV114" t="e">
        <f>AND(#REF!,"AAAAAH1/zX0=")</f>
        <v>#REF!</v>
      </c>
      <c r="DW114" t="e">
        <f>AND(#REF!,"AAAAAH1/zX4=")</f>
        <v>#REF!</v>
      </c>
      <c r="DX114" t="e">
        <f>AND(#REF!,"AAAAAH1/zX8=")</f>
        <v>#REF!</v>
      </c>
      <c r="DY114" t="e">
        <f>AND(#REF!,"AAAAAH1/zYA=")</f>
        <v>#REF!</v>
      </c>
      <c r="DZ114" t="e">
        <f>AND(#REF!,"AAAAAH1/zYE=")</f>
        <v>#REF!</v>
      </c>
      <c r="EA114" t="e">
        <f>AND(#REF!,"AAAAAH1/zYI=")</f>
        <v>#REF!</v>
      </c>
      <c r="EB114" t="e">
        <f>AND(#REF!,"AAAAAH1/zYM=")</f>
        <v>#REF!</v>
      </c>
      <c r="EC114" t="e">
        <f>IF(#REF!,"AAAAAH1/zYQ=",0)</f>
        <v>#REF!</v>
      </c>
      <c r="ED114" t="e">
        <f>AND(#REF!,"AAAAAH1/zYU=")</f>
        <v>#REF!</v>
      </c>
      <c r="EE114" t="e">
        <f>AND(#REF!,"AAAAAH1/zYY=")</f>
        <v>#REF!</v>
      </c>
      <c r="EF114" t="e">
        <f>AND(#REF!,"AAAAAH1/zYc=")</f>
        <v>#REF!</v>
      </c>
      <c r="EG114" t="e">
        <f>AND(#REF!,"AAAAAH1/zYg=")</f>
        <v>#REF!</v>
      </c>
      <c r="EH114" t="e">
        <f>AND(#REF!,"AAAAAH1/zYk=")</f>
        <v>#REF!</v>
      </c>
      <c r="EI114" t="e">
        <f>AND(#REF!,"AAAAAH1/zYo=")</f>
        <v>#REF!</v>
      </c>
      <c r="EJ114" t="e">
        <f>AND(#REF!,"AAAAAH1/zYs=")</f>
        <v>#REF!</v>
      </c>
      <c r="EK114" t="e">
        <f>AND(#REF!,"AAAAAH1/zYw=")</f>
        <v>#REF!</v>
      </c>
      <c r="EL114" t="e">
        <f>AND(#REF!,"AAAAAH1/zY0=")</f>
        <v>#REF!</v>
      </c>
      <c r="EM114" t="e">
        <f>AND(#REF!,"AAAAAH1/zY4=")</f>
        <v>#REF!</v>
      </c>
      <c r="EN114" t="e">
        <f>AND(#REF!,"AAAAAH1/zY8=")</f>
        <v>#REF!</v>
      </c>
      <c r="EO114" t="e">
        <f>AND(#REF!,"AAAAAH1/zZA=")</f>
        <v>#REF!</v>
      </c>
      <c r="EP114" t="e">
        <f>AND(#REF!,"AAAAAH1/zZE=")</f>
        <v>#REF!</v>
      </c>
      <c r="EQ114" t="e">
        <f>AND(#REF!,"AAAAAH1/zZI=")</f>
        <v>#REF!</v>
      </c>
      <c r="ER114" t="e">
        <f>AND(#REF!,"AAAAAH1/zZM=")</f>
        <v>#REF!</v>
      </c>
      <c r="ES114" t="e">
        <f>AND(#REF!,"AAAAAH1/zZQ=")</f>
        <v>#REF!</v>
      </c>
      <c r="ET114" t="e">
        <f>AND(#REF!,"AAAAAH1/zZU=")</f>
        <v>#REF!</v>
      </c>
      <c r="EU114" t="e">
        <f>AND(#REF!,"AAAAAH1/zZY=")</f>
        <v>#REF!</v>
      </c>
      <c r="EV114" t="e">
        <f>AND(#REF!,"AAAAAH1/zZc=")</f>
        <v>#REF!</v>
      </c>
      <c r="EW114" t="e">
        <f>AND(#REF!,"AAAAAH1/zZg=")</f>
        <v>#REF!</v>
      </c>
      <c r="EX114" t="e">
        <f>AND(#REF!,"AAAAAH1/zZk=")</f>
        <v>#REF!</v>
      </c>
      <c r="EY114" t="e">
        <f>AND(#REF!,"AAAAAH1/zZo=")</f>
        <v>#REF!</v>
      </c>
      <c r="EZ114" t="e">
        <f>AND(#REF!,"AAAAAH1/zZs=")</f>
        <v>#REF!</v>
      </c>
      <c r="FA114" t="e">
        <f>AND(#REF!,"AAAAAH1/zZw=")</f>
        <v>#REF!</v>
      </c>
      <c r="FB114" t="e">
        <f>IF(#REF!,"AAAAAH1/zZ0=",0)</f>
        <v>#REF!</v>
      </c>
      <c r="FC114" t="e">
        <f>AND(#REF!,"AAAAAH1/zZ4=")</f>
        <v>#REF!</v>
      </c>
      <c r="FD114" t="e">
        <f>AND(#REF!,"AAAAAH1/zZ8=")</f>
        <v>#REF!</v>
      </c>
      <c r="FE114" t="e">
        <f>AND(#REF!,"AAAAAH1/zaA=")</f>
        <v>#REF!</v>
      </c>
      <c r="FF114" t="e">
        <f>AND(#REF!,"AAAAAH1/zaE=")</f>
        <v>#REF!</v>
      </c>
      <c r="FG114" t="e">
        <f>AND(#REF!,"AAAAAH1/zaI=")</f>
        <v>#REF!</v>
      </c>
      <c r="FH114" t="e">
        <f>AND(#REF!,"AAAAAH1/zaM=")</f>
        <v>#REF!</v>
      </c>
      <c r="FI114" t="e">
        <f>AND(#REF!,"AAAAAH1/zaQ=")</f>
        <v>#REF!</v>
      </c>
      <c r="FJ114" t="e">
        <f>AND(#REF!,"AAAAAH1/zaU=")</f>
        <v>#REF!</v>
      </c>
      <c r="FK114" t="e">
        <f>AND(#REF!,"AAAAAH1/zaY=")</f>
        <v>#REF!</v>
      </c>
      <c r="FL114" t="e">
        <f>AND(#REF!,"AAAAAH1/zac=")</f>
        <v>#REF!</v>
      </c>
      <c r="FM114" t="e">
        <f>AND(#REF!,"AAAAAH1/zag=")</f>
        <v>#REF!</v>
      </c>
      <c r="FN114" t="e">
        <f>AND(#REF!,"AAAAAH1/zak=")</f>
        <v>#REF!</v>
      </c>
      <c r="FO114" t="e">
        <f>AND(#REF!,"AAAAAH1/zao=")</f>
        <v>#REF!</v>
      </c>
      <c r="FP114" t="e">
        <f>AND(#REF!,"AAAAAH1/zas=")</f>
        <v>#REF!</v>
      </c>
      <c r="FQ114" t="e">
        <f>AND(#REF!,"AAAAAH1/zaw=")</f>
        <v>#REF!</v>
      </c>
      <c r="FR114" t="e">
        <f>AND(#REF!,"AAAAAH1/za0=")</f>
        <v>#REF!</v>
      </c>
      <c r="FS114" t="e">
        <f>AND(#REF!,"AAAAAH1/za4=")</f>
        <v>#REF!</v>
      </c>
      <c r="FT114" t="e">
        <f>AND(#REF!,"AAAAAH1/za8=")</f>
        <v>#REF!</v>
      </c>
      <c r="FU114" t="e">
        <f>AND(#REF!,"AAAAAH1/zbA=")</f>
        <v>#REF!</v>
      </c>
      <c r="FV114" t="e">
        <f>AND(#REF!,"AAAAAH1/zbE=")</f>
        <v>#REF!</v>
      </c>
      <c r="FW114" t="e">
        <f>AND(#REF!,"AAAAAH1/zbI=")</f>
        <v>#REF!</v>
      </c>
      <c r="FX114" t="e">
        <f>AND(#REF!,"AAAAAH1/zbM=")</f>
        <v>#REF!</v>
      </c>
      <c r="FY114" t="e">
        <f>AND(#REF!,"AAAAAH1/zbQ=")</f>
        <v>#REF!</v>
      </c>
      <c r="FZ114" t="e">
        <f>AND(#REF!,"AAAAAH1/zbU=")</f>
        <v>#REF!</v>
      </c>
      <c r="GA114" t="e">
        <f>IF(#REF!,"AAAAAH1/zbY=",0)</f>
        <v>#REF!</v>
      </c>
      <c r="GB114" t="e">
        <f>AND(#REF!,"AAAAAH1/zbc=")</f>
        <v>#REF!</v>
      </c>
      <c r="GC114" t="e">
        <f>AND(#REF!,"AAAAAH1/zbg=")</f>
        <v>#REF!</v>
      </c>
      <c r="GD114" t="e">
        <f>AND(#REF!,"AAAAAH1/zbk=")</f>
        <v>#REF!</v>
      </c>
      <c r="GE114" t="e">
        <f>AND(#REF!,"AAAAAH1/zbo=")</f>
        <v>#REF!</v>
      </c>
      <c r="GF114" t="e">
        <f>AND(#REF!,"AAAAAH1/zbs=")</f>
        <v>#REF!</v>
      </c>
      <c r="GG114" t="e">
        <f>AND(#REF!,"AAAAAH1/zbw=")</f>
        <v>#REF!</v>
      </c>
      <c r="GH114" t="e">
        <f>AND(#REF!,"AAAAAH1/zb0=")</f>
        <v>#REF!</v>
      </c>
      <c r="GI114" t="e">
        <f>AND(#REF!,"AAAAAH1/zb4=")</f>
        <v>#REF!</v>
      </c>
      <c r="GJ114" t="e">
        <f>AND(#REF!,"AAAAAH1/zb8=")</f>
        <v>#REF!</v>
      </c>
      <c r="GK114" t="e">
        <f>AND(#REF!,"AAAAAH1/zcA=")</f>
        <v>#REF!</v>
      </c>
      <c r="GL114" t="e">
        <f>AND(#REF!,"AAAAAH1/zcE=")</f>
        <v>#REF!</v>
      </c>
      <c r="GM114" t="e">
        <f>AND(#REF!,"AAAAAH1/zcI=")</f>
        <v>#REF!</v>
      </c>
      <c r="GN114" t="e">
        <f>AND(#REF!,"AAAAAH1/zcM=")</f>
        <v>#REF!</v>
      </c>
      <c r="GO114" t="e">
        <f>AND(#REF!,"AAAAAH1/zcQ=")</f>
        <v>#REF!</v>
      </c>
      <c r="GP114" t="e">
        <f>AND(#REF!,"AAAAAH1/zcU=")</f>
        <v>#REF!</v>
      </c>
      <c r="GQ114" t="e">
        <f>AND(#REF!,"AAAAAH1/zcY=")</f>
        <v>#REF!</v>
      </c>
      <c r="GR114" t="e">
        <f>AND(#REF!,"AAAAAH1/zcc=")</f>
        <v>#REF!</v>
      </c>
      <c r="GS114" t="e">
        <f>AND(#REF!,"AAAAAH1/zcg=")</f>
        <v>#REF!</v>
      </c>
      <c r="GT114" t="e">
        <f>AND(#REF!,"AAAAAH1/zck=")</f>
        <v>#REF!</v>
      </c>
      <c r="GU114" t="e">
        <f>AND(#REF!,"AAAAAH1/zco=")</f>
        <v>#REF!</v>
      </c>
      <c r="GV114" t="e">
        <f>AND(#REF!,"AAAAAH1/zcs=")</f>
        <v>#REF!</v>
      </c>
      <c r="GW114" t="e">
        <f>AND(#REF!,"AAAAAH1/zcw=")</f>
        <v>#REF!</v>
      </c>
      <c r="GX114" t="e">
        <f>AND(#REF!,"AAAAAH1/zc0=")</f>
        <v>#REF!</v>
      </c>
      <c r="GY114" t="e">
        <f>AND(#REF!,"AAAAAH1/zc4=")</f>
        <v>#REF!</v>
      </c>
      <c r="GZ114" t="e">
        <f>IF(#REF!,"AAAAAH1/zc8=",0)</f>
        <v>#REF!</v>
      </c>
      <c r="HA114" t="e">
        <f>AND(#REF!,"AAAAAH1/zdA=")</f>
        <v>#REF!</v>
      </c>
      <c r="HB114" t="e">
        <f>AND(#REF!,"AAAAAH1/zdE=")</f>
        <v>#REF!</v>
      </c>
      <c r="HC114" t="e">
        <f>AND(#REF!,"AAAAAH1/zdI=")</f>
        <v>#REF!</v>
      </c>
      <c r="HD114" t="e">
        <f>AND(#REF!,"AAAAAH1/zdM=")</f>
        <v>#REF!</v>
      </c>
      <c r="HE114" t="e">
        <f>AND(#REF!,"AAAAAH1/zdQ=")</f>
        <v>#REF!</v>
      </c>
      <c r="HF114" t="e">
        <f>AND(#REF!,"AAAAAH1/zdU=")</f>
        <v>#REF!</v>
      </c>
      <c r="HG114" t="e">
        <f>AND(#REF!,"AAAAAH1/zdY=")</f>
        <v>#REF!</v>
      </c>
      <c r="HH114" t="e">
        <f>AND(#REF!,"AAAAAH1/zdc=")</f>
        <v>#REF!</v>
      </c>
      <c r="HI114" t="e">
        <f>AND(#REF!,"AAAAAH1/zdg=")</f>
        <v>#REF!</v>
      </c>
      <c r="HJ114" t="e">
        <f>AND(#REF!,"AAAAAH1/zdk=")</f>
        <v>#REF!</v>
      </c>
      <c r="HK114" t="e">
        <f>AND(#REF!,"AAAAAH1/zdo=")</f>
        <v>#REF!</v>
      </c>
      <c r="HL114" t="e">
        <f>AND(#REF!,"AAAAAH1/zds=")</f>
        <v>#REF!</v>
      </c>
      <c r="HM114" t="e">
        <f>AND(#REF!,"AAAAAH1/zdw=")</f>
        <v>#REF!</v>
      </c>
      <c r="HN114" t="e">
        <f>AND(#REF!,"AAAAAH1/zd0=")</f>
        <v>#REF!</v>
      </c>
      <c r="HO114" t="e">
        <f>AND(#REF!,"AAAAAH1/zd4=")</f>
        <v>#REF!</v>
      </c>
      <c r="HP114" t="e">
        <f>AND(#REF!,"AAAAAH1/zd8=")</f>
        <v>#REF!</v>
      </c>
      <c r="HQ114" t="e">
        <f>AND(#REF!,"AAAAAH1/zeA=")</f>
        <v>#REF!</v>
      </c>
      <c r="HR114" t="e">
        <f>AND(#REF!,"AAAAAH1/zeE=")</f>
        <v>#REF!</v>
      </c>
      <c r="HS114" t="e">
        <f>AND(#REF!,"AAAAAH1/zeI=")</f>
        <v>#REF!</v>
      </c>
      <c r="HT114" t="e">
        <f>AND(#REF!,"AAAAAH1/zeM=")</f>
        <v>#REF!</v>
      </c>
      <c r="HU114" t="e">
        <f>AND(#REF!,"AAAAAH1/zeQ=")</f>
        <v>#REF!</v>
      </c>
      <c r="HV114" t="e">
        <f>AND(#REF!,"AAAAAH1/zeU=")</f>
        <v>#REF!</v>
      </c>
      <c r="HW114" t="e">
        <f>AND(#REF!,"AAAAAH1/zeY=")</f>
        <v>#REF!</v>
      </c>
      <c r="HX114" t="e">
        <f>AND(#REF!,"AAAAAH1/zec=")</f>
        <v>#REF!</v>
      </c>
      <c r="HY114" t="e">
        <f>IF(#REF!,"AAAAAH1/zeg=",0)</f>
        <v>#REF!</v>
      </c>
      <c r="HZ114" t="e">
        <f>AND(#REF!,"AAAAAH1/zek=")</f>
        <v>#REF!</v>
      </c>
      <c r="IA114" t="e">
        <f>AND(#REF!,"AAAAAH1/zeo=")</f>
        <v>#REF!</v>
      </c>
      <c r="IB114" t="e">
        <f>AND(#REF!,"AAAAAH1/zes=")</f>
        <v>#REF!</v>
      </c>
      <c r="IC114" t="e">
        <f>AND(#REF!,"AAAAAH1/zew=")</f>
        <v>#REF!</v>
      </c>
      <c r="ID114" t="e">
        <f>AND(#REF!,"AAAAAH1/ze0=")</f>
        <v>#REF!</v>
      </c>
      <c r="IE114" t="e">
        <f>AND(#REF!,"AAAAAH1/ze4=")</f>
        <v>#REF!</v>
      </c>
      <c r="IF114" t="e">
        <f>AND(#REF!,"AAAAAH1/ze8=")</f>
        <v>#REF!</v>
      </c>
      <c r="IG114" t="e">
        <f>AND(#REF!,"AAAAAH1/zfA=")</f>
        <v>#REF!</v>
      </c>
      <c r="IH114" t="e">
        <f>AND(#REF!,"AAAAAH1/zfE=")</f>
        <v>#REF!</v>
      </c>
      <c r="II114" t="e">
        <f>AND(#REF!,"AAAAAH1/zfI=")</f>
        <v>#REF!</v>
      </c>
      <c r="IJ114" t="e">
        <f>AND(#REF!,"AAAAAH1/zfM=")</f>
        <v>#REF!</v>
      </c>
      <c r="IK114" t="e">
        <f>AND(#REF!,"AAAAAH1/zfQ=")</f>
        <v>#REF!</v>
      </c>
      <c r="IL114" t="e">
        <f>AND(#REF!,"AAAAAH1/zfU=")</f>
        <v>#REF!</v>
      </c>
      <c r="IM114" t="e">
        <f>AND(#REF!,"AAAAAH1/zfY=")</f>
        <v>#REF!</v>
      </c>
      <c r="IN114" t="e">
        <f>AND(#REF!,"AAAAAH1/zfc=")</f>
        <v>#REF!</v>
      </c>
      <c r="IO114" t="e">
        <f>AND(#REF!,"AAAAAH1/zfg=")</f>
        <v>#REF!</v>
      </c>
      <c r="IP114" t="e">
        <f>AND(#REF!,"AAAAAH1/zfk=")</f>
        <v>#REF!</v>
      </c>
      <c r="IQ114" t="e">
        <f>AND(#REF!,"AAAAAH1/zfo=")</f>
        <v>#REF!</v>
      </c>
      <c r="IR114" t="e">
        <f>AND(#REF!,"AAAAAH1/zfs=")</f>
        <v>#REF!</v>
      </c>
      <c r="IS114" t="e">
        <f>AND(#REF!,"AAAAAH1/zfw=")</f>
        <v>#REF!</v>
      </c>
      <c r="IT114" t="e">
        <f>AND(#REF!,"AAAAAH1/zf0=")</f>
        <v>#REF!</v>
      </c>
      <c r="IU114" t="e">
        <f>AND(#REF!,"AAAAAH1/zf4=")</f>
        <v>#REF!</v>
      </c>
      <c r="IV114" t="e">
        <f>AND(#REF!,"AAAAAH1/zf8=")</f>
        <v>#REF!</v>
      </c>
    </row>
    <row r="115" spans="1:256">
      <c r="A115" t="e">
        <f>AND(#REF!,"AAAAAB/79gA=")</f>
        <v>#REF!</v>
      </c>
      <c r="B115" t="e">
        <f>IF(#REF!,"AAAAAB/79gE=",0)</f>
        <v>#REF!</v>
      </c>
      <c r="C115" t="e">
        <f>AND(#REF!,"AAAAAB/79gI=")</f>
        <v>#REF!</v>
      </c>
      <c r="D115" t="e">
        <f>AND(#REF!,"AAAAAB/79gM=")</f>
        <v>#REF!</v>
      </c>
      <c r="E115" t="e">
        <f>AND(#REF!,"AAAAAB/79gQ=")</f>
        <v>#REF!</v>
      </c>
      <c r="F115" t="e">
        <f>AND(#REF!,"AAAAAB/79gU=")</f>
        <v>#REF!</v>
      </c>
      <c r="G115" t="e">
        <f>AND(#REF!,"AAAAAB/79gY=")</f>
        <v>#REF!</v>
      </c>
      <c r="H115" t="e">
        <f>AND(#REF!,"AAAAAB/79gc=")</f>
        <v>#REF!</v>
      </c>
      <c r="I115" t="e">
        <f>AND(#REF!,"AAAAAB/79gg=")</f>
        <v>#REF!</v>
      </c>
      <c r="J115" t="e">
        <f>AND(#REF!,"AAAAAB/79gk=")</f>
        <v>#REF!</v>
      </c>
      <c r="K115" t="e">
        <f>AND(#REF!,"AAAAAB/79go=")</f>
        <v>#REF!</v>
      </c>
      <c r="L115" t="e">
        <f>AND(#REF!,"AAAAAB/79gs=")</f>
        <v>#REF!</v>
      </c>
      <c r="M115" t="e">
        <f>AND(#REF!,"AAAAAB/79gw=")</f>
        <v>#REF!</v>
      </c>
      <c r="N115" t="e">
        <f>AND(#REF!,"AAAAAB/79g0=")</f>
        <v>#REF!</v>
      </c>
      <c r="O115" t="e">
        <f>AND(#REF!,"AAAAAB/79g4=")</f>
        <v>#REF!</v>
      </c>
      <c r="P115" t="e">
        <f>AND(#REF!,"AAAAAB/79g8=")</f>
        <v>#REF!</v>
      </c>
      <c r="Q115" t="e">
        <f>AND(#REF!,"AAAAAB/79hA=")</f>
        <v>#REF!</v>
      </c>
      <c r="R115" t="e">
        <f>AND(#REF!,"AAAAAB/79hE=")</f>
        <v>#REF!</v>
      </c>
      <c r="S115" t="e">
        <f>AND(#REF!,"AAAAAB/79hI=")</f>
        <v>#REF!</v>
      </c>
      <c r="T115" t="e">
        <f>AND(#REF!,"AAAAAB/79hM=")</f>
        <v>#REF!</v>
      </c>
      <c r="U115" t="e">
        <f>AND(#REF!,"AAAAAB/79hQ=")</f>
        <v>#REF!</v>
      </c>
      <c r="V115" t="e">
        <f>AND(#REF!,"AAAAAB/79hU=")</f>
        <v>#REF!</v>
      </c>
      <c r="W115" t="e">
        <f>AND(#REF!,"AAAAAB/79hY=")</f>
        <v>#REF!</v>
      </c>
      <c r="X115" t="e">
        <f>AND(#REF!,"AAAAAB/79hc=")</f>
        <v>#REF!</v>
      </c>
      <c r="Y115" t="e">
        <f>AND(#REF!,"AAAAAB/79hg=")</f>
        <v>#REF!</v>
      </c>
      <c r="Z115" t="e">
        <f>AND(#REF!,"AAAAAB/79hk=")</f>
        <v>#REF!</v>
      </c>
      <c r="AA115" t="e">
        <f>IF(#REF!,"AAAAAB/79ho=",0)</f>
        <v>#REF!</v>
      </c>
      <c r="AB115" t="e">
        <f>AND(#REF!,"AAAAAB/79hs=")</f>
        <v>#REF!</v>
      </c>
      <c r="AC115" t="e">
        <f>AND(#REF!,"AAAAAB/79hw=")</f>
        <v>#REF!</v>
      </c>
      <c r="AD115" t="e">
        <f>AND(#REF!,"AAAAAB/79h0=")</f>
        <v>#REF!</v>
      </c>
      <c r="AE115" t="e">
        <f>AND(#REF!,"AAAAAB/79h4=")</f>
        <v>#REF!</v>
      </c>
      <c r="AF115" t="e">
        <f>AND(#REF!,"AAAAAB/79h8=")</f>
        <v>#REF!</v>
      </c>
      <c r="AG115" t="e">
        <f>AND(#REF!,"AAAAAB/79iA=")</f>
        <v>#REF!</v>
      </c>
      <c r="AH115" t="e">
        <f>AND(#REF!,"AAAAAB/79iE=")</f>
        <v>#REF!</v>
      </c>
      <c r="AI115" t="e">
        <f>AND(#REF!,"AAAAAB/79iI=")</f>
        <v>#REF!</v>
      </c>
      <c r="AJ115" t="e">
        <f>AND(#REF!,"AAAAAB/79iM=")</f>
        <v>#REF!</v>
      </c>
      <c r="AK115" t="e">
        <f>AND(#REF!,"AAAAAB/79iQ=")</f>
        <v>#REF!</v>
      </c>
      <c r="AL115" t="e">
        <f>AND(#REF!,"AAAAAB/79iU=")</f>
        <v>#REF!</v>
      </c>
      <c r="AM115" t="e">
        <f>AND(#REF!,"AAAAAB/79iY=")</f>
        <v>#REF!</v>
      </c>
      <c r="AN115" t="e">
        <f>AND(#REF!,"AAAAAB/79ic=")</f>
        <v>#REF!</v>
      </c>
      <c r="AO115" t="e">
        <f>AND(#REF!,"AAAAAB/79ig=")</f>
        <v>#REF!</v>
      </c>
      <c r="AP115" t="e">
        <f>AND(#REF!,"AAAAAB/79ik=")</f>
        <v>#REF!</v>
      </c>
      <c r="AQ115" t="e">
        <f>AND(#REF!,"AAAAAB/79io=")</f>
        <v>#REF!</v>
      </c>
      <c r="AR115" t="e">
        <f>AND(#REF!,"AAAAAB/79is=")</f>
        <v>#REF!</v>
      </c>
      <c r="AS115" t="e">
        <f>AND(#REF!,"AAAAAB/79iw=")</f>
        <v>#REF!</v>
      </c>
      <c r="AT115" t="e">
        <f>AND(#REF!,"AAAAAB/79i0=")</f>
        <v>#REF!</v>
      </c>
      <c r="AU115" t="e">
        <f>AND(#REF!,"AAAAAB/79i4=")</f>
        <v>#REF!</v>
      </c>
      <c r="AV115" t="e">
        <f>AND(#REF!,"AAAAAB/79i8=")</f>
        <v>#REF!</v>
      </c>
      <c r="AW115" t="e">
        <f>AND(#REF!,"AAAAAB/79jA=")</f>
        <v>#REF!</v>
      </c>
      <c r="AX115" t="e">
        <f>AND(#REF!,"AAAAAB/79jE=")</f>
        <v>#REF!</v>
      </c>
      <c r="AY115" t="e">
        <f>AND(#REF!,"AAAAAB/79jI=")</f>
        <v>#REF!</v>
      </c>
      <c r="AZ115" t="e">
        <f>IF(#REF!,"AAAAAB/79jM=",0)</f>
        <v>#REF!</v>
      </c>
      <c r="BA115" t="e">
        <f>AND(#REF!,"AAAAAB/79jQ=")</f>
        <v>#REF!</v>
      </c>
      <c r="BB115" t="e">
        <f>AND(#REF!,"AAAAAB/79jU=")</f>
        <v>#REF!</v>
      </c>
      <c r="BC115" t="e">
        <f>AND(#REF!,"AAAAAB/79jY=")</f>
        <v>#REF!</v>
      </c>
      <c r="BD115" t="e">
        <f>AND(#REF!,"AAAAAB/79jc=")</f>
        <v>#REF!</v>
      </c>
      <c r="BE115" t="e">
        <f>AND(#REF!,"AAAAAB/79jg=")</f>
        <v>#REF!</v>
      </c>
      <c r="BF115" t="e">
        <f>AND(#REF!,"AAAAAB/79jk=")</f>
        <v>#REF!</v>
      </c>
      <c r="BG115" t="e">
        <f>AND(#REF!,"AAAAAB/79jo=")</f>
        <v>#REF!</v>
      </c>
      <c r="BH115" t="e">
        <f>AND(#REF!,"AAAAAB/79js=")</f>
        <v>#REF!</v>
      </c>
      <c r="BI115" t="e">
        <f>AND(#REF!,"AAAAAB/79jw=")</f>
        <v>#REF!</v>
      </c>
      <c r="BJ115" t="e">
        <f>AND(#REF!,"AAAAAB/79j0=")</f>
        <v>#REF!</v>
      </c>
      <c r="BK115" t="e">
        <f>AND(#REF!,"AAAAAB/79j4=")</f>
        <v>#REF!</v>
      </c>
      <c r="BL115" t="e">
        <f>AND(#REF!,"AAAAAB/79j8=")</f>
        <v>#REF!</v>
      </c>
      <c r="BM115" t="e">
        <f>AND(#REF!,"AAAAAB/79kA=")</f>
        <v>#REF!</v>
      </c>
      <c r="BN115" t="e">
        <f>AND(#REF!,"AAAAAB/79kE=")</f>
        <v>#REF!</v>
      </c>
      <c r="BO115" t="e">
        <f>AND(#REF!,"AAAAAB/79kI=")</f>
        <v>#REF!</v>
      </c>
      <c r="BP115" t="e">
        <f>AND(#REF!,"AAAAAB/79kM=")</f>
        <v>#REF!</v>
      </c>
      <c r="BQ115" t="e">
        <f>AND(#REF!,"AAAAAB/79kQ=")</f>
        <v>#REF!</v>
      </c>
      <c r="BR115" t="e">
        <f>AND(#REF!,"AAAAAB/79kU=")</f>
        <v>#REF!</v>
      </c>
      <c r="BS115" t="e">
        <f>AND(#REF!,"AAAAAB/79kY=")</f>
        <v>#REF!</v>
      </c>
      <c r="BT115" t="e">
        <f>AND(#REF!,"AAAAAB/79kc=")</f>
        <v>#REF!</v>
      </c>
      <c r="BU115" t="e">
        <f>AND(#REF!,"AAAAAB/79kg=")</f>
        <v>#REF!</v>
      </c>
      <c r="BV115" t="e">
        <f>AND(#REF!,"AAAAAB/79kk=")</f>
        <v>#REF!</v>
      </c>
      <c r="BW115" t="e">
        <f>AND(#REF!,"AAAAAB/79ko=")</f>
        <v>#REF!</v>
      </c>
      <c r="BX115" t="e">
        <f>AND(#REF!,"AAAAAB/79ks=")</f>
        <v>#REF!</v>
      </c>
      <c r="BY115" t="e">
        <f>IF(#REF!,"AAAAAB/79kw=",0)</f>
        <v>#REF!</v>
      </c>
      <c r="BZ115" t="e">
        <f>AND(#REF!,"AAAAAB/79k0=")</f>
        <v>#REF!</v>
      </c>
      <c r="CA115" t="e">
        <f>AND(#REF!,"AAAAAB/79k4=")</f>
        <v>#REF!</v>
      </c>
      <c r="CB115" t="e">
        <f>AND(#REF!,"AAAAAB/79k8=")</f>
        <v>#REF!</v>
      </c>
      <c r="CC115" t="e">
        <f>AND(#REF!,"AAAAAB/79lA=")</f>
        <v>#REF!</v>
      </c>
      <c r="CD115" t="e">
        <f>AND(#REF!,"AAAAAB/79lE=")</f>
        <v>#REF!</v>
      </c>
      <c r="CE115" t="e">
        <f>AND(#REF!,"AAAAAB/79lI=")</f>
        <v>#REF!</v>
      </c>
      <c r="CF115" t="e">
        <f>AND(#REF!,"AAAAAB/79lM=")</f>
        <v>#REF!</v>
      </c>
      <c r="CG115" t="e">
        <f>AND(#REF!,"AAAAAB/79lQ=")</f>
        <v>#REF!</v>
      </c>
      <c r="CH115" t="e">
        <f>AND(#REF!,"AAAAAB/79lU=")</f>
        <v>#REF!</v>
      </c>
      <c r="CI115" t="e">
        <f>AND(#REF!,"AAAAAB/79lY=")</f>
        <v>#REF!</v>
      </c>
      <c r="CJ115" t="e">
        <f>AND(#REF!,"AAAAAB/79lc=")</f>
        <v>#REF!</v>
      </c>
      <c r="CK115" t="e">
        <f>AND(#REF!,"AAAAAB/79lg=")</f>
        <v>#REF!</v>
      </c>
      <c r="CL115" t="e">
        <f>AND(#REF!,"AAAAAB/79lk=")</f>
        <v>#REF!</v>
      </c>
      <c r="CM115" t="e">
        <f>AND(#REF!,"AAAAAB/79lo=")</f>
        <v>#REF!</v>
      </c>
      <c r="CN115" t="e">
        <f>AND(#REF!,"AAAAAB/79ls=")</f>
        <v>#REF!</v>
      </c>
      <c r="CO115" t="e">
        <f>AND(#REF!,"AAAAAB/79lw=")</f>
        <v>#REF!</v>
      </c>
      <c r="CP115" t="e">
        <f>AND(#REF!,"AAAAAB/79l0=")</f>
        <v>#REF!</v>
      </c>
      <c r="CQ115" t="e">
        <f>AND(#REF!,"AAAAAB/79l4=")</f>
        <v>#REF!</v>
      </c>
      <c r="CR115" t="e">
        <f>AND(#REF!,"AAAAAB/79l8=")</f>
        <v>#REF!</v>
      </c>
      <c r="CS115" t="e">
        <f>AND(#REF!,"AAAAAB/79mA=")</f>
        <v>#REF!</v>
      </c>
      <c r="CT115" t="e">
        <f>AND(#REF!,"AAAAAB/79mE=")</f>
        <v>#REF!</v>
      </c>
      <c r="CU115" t="e">
        <f>AND(#REF!,"AAAAAB/79mI=")</f>
        <v>#REF!</v>
      </c>
      <c r="CV115" t="e">
        <f>AND(#REF!,"AAAAAB/79mM=")</f>
        <v>#REF!</v>
      </c>
      <c r="CW115" t="e">
        <f>AND(#REF!,"AAAAAB/79mQ=")</f>
        <v>#REF!</v>
      </c>
      <c r="CX115" t="e">
        <f>IF(#REF!,"AAAAAB/79mU=",0)</f>
        <v>#REF!</v>
      </c>
      <c r="CY115" t="e">
        <f>AND(#REF!,"AAAAAB/79mY=")</f>
        <v>#REF!</v>
      </c>
      <c r="CZ115" t="e">
        <f>AND(#REF!,"AAAAAB/79mc=")</f>
        <v>#REF!</v>
      </c>
      <c r="DA115" t="e">
        <f>AND(#REF!,"AAAAAB/79mg=")</f>
        <v>#REF!</v>
      </c>
      <c r="DB115" t="e">
        <f>AND(#REF!,"AAAAAB/79mk=")</f>
        <v>#REF!</v>
      </c>
      <c r="DC115" t="e">
        <f>AND(#REF!,"AAAAAB/79mo=")</f>
        <v>#REF!</v>
      </c>
      <c r="DD115" t="e">
        <f>AND(#REF!,"AAAAAB/79ms=")</f>
        <v>#REF!</v>
      </c>
      <c r="DE115" t="e">
        <f>AND(#REF!,"AAAAAB/79mw=")</f>
        <v>#REF!</v>
      </c>
      <c r="DF115" t="e">
        <f>AND(#REF!,"AAAAAB/79m0=")</f>
        <v>#REF!</v>
      </c>
      <c r="DG115" t="e">
        <f>AND(#REF!,"AAAAAB/79m4=")</f>
        <v>#REF!</v>
      </c>
      <c r="DH115" t="e">
        <f>AND(#REF!,"AAAAAB/79m8=")</f>
        <v>#REF!</v>
      </c>
      <c r="DI115" t="e">
        <f>AND(#REF!,"AAAAAB/79nA=")</f>
        <v>#REF!</v>
      </c>
      <c r="DJ115" t="e">
        <f>AND(#REF!,"AAAAAB/79nE=")</f>
        <v>#REF!</v>
      </c>
      <c r="DK115" t="e">
        <f>AND(#REF!,"AAAAAB/79nI=")</f>
        <v>#REF!</v>
      </c>
      <c r="DL115" t="e">
        <f>AND(#REF!,"AAAAAB/79nM=")</f>
        <v>#REF!</v>
      </c>
      <c r="DM115" t="e">
        <f>AND(#REF!,"AAAAAB/79nQ=")</f>
        <v>#REF!</v>
      </c>
      <c r="DN115" t="e">
        <f>AND(#REF!,"AAAAAB/79nU=")</f>
        <v>#REF!</v>
      </c>
      <c r="DO115" t="e">
        <f>AND(#REF!,"AAAAAB/79nY=")</f>
        <v>#REF!</v>
      </c>
      <c r="DP115" t="e">
        <f>AND(#REF!,"AAAAAB/79nc=")</f>
        <v>#REF!</v>
      </c>
      <c r="DQ115" t="e">
        <f>AND(#REF!,"AAAAAB/79ng=")</f>
        <v>#REF!</v>
      </c>
      <c r="DR115" t="e">
        <f>AND(#REF!,"AAAAAB/79nk=")</f>
        <v>#REF!</v>
      </c>
      <c r="DS115" t="e">
        <f>AND(#REF!,"AAAAAB/79no=")</f>
        <v>#REF!</v>
      </c>
      <c r="DT115" t="e">
        <f>AND(#REF!,"AAAAAB/79ns=")</f>
        <v>#REF!</v>
      </c>
      <c r="DU115" t="e">
        <f>AND(#REF!,"AAAAAB/79nw=")</f>
        <v>#REF!</v>
      </c>
      <c r="DV115" t="e">
        <f>AND(#REF!,"AAAAAB/79n0=")</f>
        <v>#REF!</v>
      </c>
      <c r="DW115" t="e">
        <f>IF(#REF!,"AAAAAB/79n4=",0)</f>
        <v>#REF!</v>
      </c>
      <c r="DX115" t="e">
        <f>AND(#REF!,"AAAAAB/79n8=")</f>
        <v>#REF!</v>
      </c>
      <c r="DY115" t="e">
        <f>AND(#REF!,"AAAAAB/79oA=")</f>
        <v>#REF!</v>
      </c>
      <c r="DZ115" t="e">
        <f>AND(#REF!,"AAAAAB/79oE=")</f>
        <v>#REF!</v>
      </c>
      <c r="EA115" t="e">
        <f>AND(#REF!,"AAAAAB/79oI=")</f>
        <v>#REF!</v>
      </c>
      <c r="EB115" t="e">
        <f>AND(#REF!,"AAAAAB/79oM=")</f>
        <v>#REF!</v>
      </c>
      <c r="EC115" t="e">
        <f>AND(#REF!,"AAAAAB/79oQ=")</f>
        <v>#REF!</v>
      </c>
      <c r="ED115" t="e">
        <f>AND(#REF!,"AAAAAB/79oU=")</f>
        <v>#REF!</v>
      </c>
      <c r="EE115" t="e">
        <f>AND(#REF!,"AAAAAB/79oY=")</f>
        <v>#REF!</v>
      </c>
      <c r="EF115" t="e">
        <f>AND(#REF!,"AAAAAB/79oc=")</f>
        <v>#REF!</v>
      </c>
      <c r="EG115" t="e">
        <f>AND(#REF!,"AAAAAB/79og=")</f>
        <v>#REF!</v>
      </c>
      <c r="EH115" t="e">
        <f>AND(#REF!,"AAAAAB/79ok=")</f>
        <v>#REF!</v>
      </c>
      <c r="EI115" t="e">
        <f>AND(#REF!,"AAAAAB/79oo=")</f>
        <v>#REF!</v>
      </c>
      <c r="EJ115" t="e">
        <f>AND(#REF!,"AAAAAB/79os=")</f>
        <v>#REF!</v>
      </c>
      <c r="EK115" t="e">
        <f>AND(#REF!,"AAAAAB/79ow=")</f>
        <v>#REF!</v>
      </c>
      <c r="EL115" t="e">
        <f>AND(#REF!,"AAAAAB/79o0=")</f>
        <v>#REF!</v>
      </c>
      <c r="EM115" t="e">
        <f>AND(#REF!,"AAAAAB/79o4=")</f>
        <v>#REF!</v>
      </c>
      <c r="EN115" t="e">
        <f>AND(#REF!,"AAAAAB/79o8=")</f>
        <v>#REF!</v>
      </c>
      <c r="EO115" t="e">
        <f>AND(#REF!,"AAAAAB/79pA=")</f>
        <v>#REF!</v>
      </c>
      <c r="EP115" t="e">
        <f>AND(#REF!,"AAAAAB/79pE=")</f>
        <v>#REF!</v>
      </c>
      <c r="EQ115" t="e">
        <f>AND(#REF!,"AAAAAB/79pI=")</f>
        <v>#REF!</v>
      </c>
      <c r="ER115" t="e">
        <f>AND(#REF!,"AAAAAB/79pM=")</f>
        <v>#REF!</v>
      </c>
      <c r="ES115" t="e">
        <f>AND(#REF!,"AAAAAB/79pQ=")</f>
        <v>#REF!</v>
      </c>
      <c r="ET115" t="e">
        <f>AND(#REF!,"AAAAAB/79pU=")</f>
        <v>#REF!</v>
      </c>
      <c r="EU115" t="e">
        <f>AND(#REF!,"AAAAAB/79pY=")</f>
        <v>#REF!</v>
      </c>
      <c r="EV115" t="e">
        <f>IF(#REF!,"AAAAAB/79pc=",0)</f>
        <v>#REF!</v>
      </c>
      <c r="EW115" t="e">
        <f>AND(#REF!,"AAAAAB/79pg=")</f>
        <v>#REF!</v>
      </c>
      <c r="EX115" t="e">
        <f>AND(#REF!,"AAAAAB/79pk=")</f>
        <v>#REF!</v>
      </c>
      <c r="EY115" t="e">
        <f>AND(#REF!,"AAAAAB/79po=")</f>
        <v>#REF!</v>
      </c>
      <c r="EZ115" t="e">
        <f>AND(#REF!,"AAAAAB/79ps=")</f>
        <v>#REF!</v>
      </c>
      <c r="FA115" t="e">
        <f>AND(#REF!,"AAAAAB/79pw=")</f>
        <v>#REF!</v>
      </c>
      <c r="FB115" t="e">
        <f>AND(#REF!,"AAAAAB/79p0=")</f>
        <v>#REF!</v>
      </c>
      <c r="FC115" t="e">
        <f>AND(#REF!,"AAAAAB/79p4=")</f>
        <v>#REF!</v>
      </c>
      <c r="FD115" t="e">
        <f>AND(#REF!,"AAAAAB/79p8=")</f>
        <v>#REF!</v>
      </c>
      <c r="FE115" t="e">
        <f>AND(#REF!,"AAAAAB/79qA=")</f>
        <v>#REF!</v>
      </c>
      <c r="FF115" t="e">
        <f>AND(#REF!,"AAAAAB/79qE=")</f>
        <v>#REF!</v>
      </c>
      <c r="FG115" t="e">
        <f>AND(#REF!,"AAAAAB/79qI=")</f>
        <v>#REF!</v>
      </c>
      <c r="FH115" t="e">
        <f>AND(#REF!,"AAAAAB/79qM=")</f>
        <v>#REF!</v>
      </c>
      <c r="FI115" t="e">
        <f>AND(#REF!,"AAAAAB/79qQ=")</f>
        <v>#REF!</v>
      </c>
      <c r="FJ115" t="e">
        <f>AND(#REF!,"AAAAAB/79qU=")</f>
        <v>#REF!</v>
      </c>
      <c r="FK115" t="e">
        <f>AND(#REF!,"AAAAAB/79qY=")</f>
        <v>#REF!</v>
      </c>
      <c r="FL115" t="e">
        <f>AND(#REF!,"AAAAAB/79qc=")</f>
        <v>#REF!</v>
      </c>
      <c r="FM115" t="e">
        <f>AND(#REF!,"AAAAAB/79qg=")</f>
        <v>#REF!</v>
      </c>
      <c r="FN115" t="e">
        <f>AND(#REF!,"AAAAAB/79qk=")</f>
        <v>#REF!</v>
      </c>
      <c r="FO115" t="e">
        <f>AND(#REF!,"AAAAAB/79qo=")</f>
        <v>#REF!</v>
      </c>
      <c r="FP115" t="e">
        <f>AND(#REF!,"AAAAAB/79qs=")</f>
        <v>#REF!</v>
      </c>
      <c r="FQ115" t="e">
        <f>AND(#REF!,"AAAAAB/79qw=")</f>
        <v>#REF!</v>
      </c>
      <c r="FR115" t="e">
        <f>AND(#REF!,"AAAAAB/79q0=")</f>
        <v>#REF!</v>
      </c>
      <c r="FS115" t="e">
        <f>AND(#REF!,"AAAAAB/79q4=")</f>
        <v>#REF!</v>
      </c>
      <c r="FT115" t="e">
        <f>AND(#REF!,"AAAAAB/79q8=")</f>
        <v>#REF!</v>
      </c>
      <c r="FU115" t="e">
        <f>IF(#REF!,"AAAAAB/79rA=",0)</f>
        <v>#REF!</v>
      </c>
      <c r="FV115" t="e">
        <f>AND(#REF!,"AAAAAB/79rE=")</f>
        <v>#REF!</v>
      </c>
      <c r="FW115" t="e">
        <f>AND(#REF!,"AAAAAB/79rI=")</f>
        <v>#REF!</v>
      </c>
      <c r="FX115" t="e">
        <f>AND(#REF!,"AAAAAB/79rM=")</f>
        <v>#REF!</v>
      </c>
      <c r="FY115" t="e">
        <f>AND(#REF!,"AAAAAB/79rQ=")</f>
        <v>#REF!</v>
      </c>
      <c r="FZ115" t="e">
        <f>AND(#REF!,"AAAAAB/79rU=")</f>
        <v>#REF!</v>
      </c>
      <c r="GA115" t="e">
        <f>AND(#REF!,"AAAAAB/79rY=")</f>
        <v>#REF!</v>
      </c>
      <c r="GB115" t="e">
        <f>AND(#REF!,"AAAAAB/79rc=")</f>
        <v>#REF!</v>
      </c>
      <c r="GC115" t="e">
        <f>AND(#REF!,"AAAAAB/79rg=")</f>
        <v>#REF!</v>
      </c>
      <c r="GD115" t="e">
        <f>AND(#REF!,"AAAAAB/79rk=")</f>
        <v>#REF!</v>
      </c>
      <c r="GE115" t="e">
        <f>AND(#REF!,"AAAAAB/79ro=")</f>
        <v>#REF!</v>
      </c>
      <c r="GF115" t="e">
        <f>AND(#REF!,"AAAAAB/79rs=")</f>
        <v>#REF!</v>
      </c>
      <c r="GG115" t="e">
        <f>AND(#REF!,"AAAAAB/79rw=")</f>
        <v>#REF!</v>
      </c>
      <c r="GH115" t="e">
        <f>AND(#REF!,"AAAAAB/79r0=")</f>
        <v>#REF!</v>
      </c>
      <c r="GI115" t="e">
        <f>AND(#REF!,"AAAAAB/79r4=")</f>
        <v>#REF!</v>
      </c>
      <c r="GJ115" t="e">
        <f>AND(#REF!,"AAAAAB/79r8=")</f>
        <v>#REF!</v>
      </c>
      <c r="GK115" t="e">
        <f>AND(#REF!,"AAAAAB/79sA=")</f>
        <v>#REF!</v>
      </c>
      <c r="GL115" t="e">
        <f>AND(#REF!,"AAAAAB/79sE=")</f>
        <v>#REF!</v>
      </c>
      <c r="GM115" t="e">
        <f>AND(#REF!,"AAAAAB/79sI=")</f>
        <v>#REF!</v>
      </c>
      <c r="GN115" t="e">
        <f>AND(#REF!,"AAAAAB/79sM=")</f>
        <v>#REF!</v>
      </c>
      <c r="GO115" t="e">
        <f>AND(#REF!,"AAAAAB/79sQ=")</f>
        <v>#REF!</v>
      </c>
      <c r="GP115" t="e">
        <f>AND(#REF!,"AAAAAB/79sU=")</f>
        <v>#REF!</v>
      </c>
      <c r="GQ115" t="e">
        <f>AND(#REF!,"AAAAAB/79sY=")</f>
        <v>#REF!</v>
      </c>
      <c r="GR115" t="e">
        <f>AND(#REF!,"AAAAAB/79sc=")</f>
        <v>#REF!</v>
      </c>
      <c r="GS115" t="e">
        <f>AND(#REF!,"AAAAAB/79sg=")</f>
        <v>#REF!</v>
      </c>
      <c r="GT115" t="e">
        <f>IF(#REF!,"AAAAAB/79sk=",0)</f>
        <v>#REF!</v>
      </c>
      <c r="GU115" t="e">
        <f>AND(#REF!,"AAAAAB/79so=")</f>
        <v>#REF!</v>
      </c>
      <c r="GV115" t="e">
        <f>AND(#REF!,"AAAAAB/79ss=")</f>
        <v>#REF!</v>
      </c>
      <c r="GW115" t="e">
        <f>AND(#REF!,"AAAAAB/79sw=")</f>
        <v>#REF!</v>
      </c>
      <c r="GX115" t="e">
        <f>AND(#REF!,"AAAAAB/79s0=")</f>
        <v>#REF!</v>
      </c>
      <c r="GY115" t="e">
        <f>AND(#REF!,"AAAAAB/79s4=")</f>
        <v>#REF!</v>
      </c>
      <c r="GZ115" t="e">
        <f>AND(#REF!,"AAAAAB/79s8=")</f>
        <v>#REF!</v>
      </c>
      <c r="HA115" t="e">
        <f>AND(#REF!,"AAAAAB/79tA=")</f>
        <v>#REF!</v>
      </c>
      <c r="HB115" t="e">
        <f>AND(#REF!,"AAAAAB/79tE=")</f>
        <v>#REF!</v>
      </c>
      <c r="HC115" t="e">
        <f>AND(#REF!,"AAAAAB/79tI=")</f>
        <v>#REF!</v>
      </c>
      <c r="HD115" t="e">
        <f>AND(#REF!,"AAAAAB/79tM=")</f>
        <v>#REF!</v>
      </c>
      <c r="HE115" t="e">
        <f>AND(#REF!,"AAAAAB/79tQ=")</f>
        <v>#REF!</v>
      </c>
      <c r="HF115" t="e">
        <f>AND(#REF!,"AAAAAB/79tU=")</f>
        <v>#REF!</v>
      </c>
      <c r="HG115" t="e">
        <f>AND(#REF!,"AAAAAB/79tY=")</f>
        <v>#REF!</v>
      </c>
      <c r="HH115" t="e">
        <f>AND(#REF!,"AAAAAB/79tc=")</f>
        <v>#REF!</v>
      </c>
      <c r="HI115" t="e">
        <f>AND(#REF!,"AAAAAB/79tg=")</f>
        <v>#REF!</v>
      </c>
      <c r="HJ115" t="e">
        <f>AND(#REF!,"AAAAAB/79tk=")</f>
        <v>#REF!</v>
      </c>
      <c r="HK115" t="e">
        <f>AND(#REF!,"AAAAAB/79to=")</f>
        <v>#REF!</v>
      </c>
      <c r="HL115" t="e">
        <f>AND(#REF!,"AAAAAB/79ts=")</f>
        <v>#REF!</v>
      </c>
      <c r="HM115" t="e">
        <f>AND(#REF!,"AAAAAB/79tw=")</f>
        <v>#REF!</v>
      </c>
      <c r="HN115" t="e">
        <f>AND(#REF!,"AAAAAB/79t0=")</f>
        <v>#REF!</v>
      </c>
      <c r="HO115" t="e">
        <f>AND(#REF!,"AAAAAB/79t4=")</f>
        <v>#REF!</v>
      </c>
      <c r="HP115" t="e">
        <f>AND(#REF!,"AAAAAB/79t8=")</f>
        <v>#REF!</v>
      </c>
      <c r="HQ115" t="e">
        <f>AND(#REF!,"AAAAAB/79uA=")</f>
        <v>#REF!</v>
      </c>
      <c r="HR115" t="e">
        <f>AND(#REF!,"AAAAAB/79uE=")</f>
        <v>#REF!</v>
      </c>
      <c r="HS115" t="e">
        <f>IF(#REF!,"AAAAAB/79uI=",0)</f>
        <v>#REF!</v>
      </c>
      <c r="HT115" t="e">
        <f>AND(#REF!,"AAAAAB/79uM=")</f>
        <v>#REF!</v>
      </c>
      <c r="HU115" t="e">
        <f>AND(#REF!,"AAAAAB/79uQ=")</f>
        <v>#REF!</v>
      </c>
      <c r="HV115" t="e">
        <f>AND(#REF!,"AAAAAB/79uU=")</f>
        <v>#REF!</v>
      </c>
      <c r="HW115" t="e">
        <f>AND(#REF!,"AAAAAB/79uY=")</f>
        <v>#REF!</v>
      </c>
      <c r="HX115" t="e">
        <f>AND(#REF!,"AAAAAB/79uc=")</f>
        <v>#REF!</v>
      </c>
      <c r="HY115" t="e">
        <f>AND(#REF!,"AAAAAB/79ug=")</f>
        <v>#REF!</v>
      </c>
      <c r="HZ115" t="e">
        <f>AND(#REF!,"AAAAAB/79uk=")</f>
        <v>#REF!</v>
      </c>
      <c r="IA115" t="e">
        <f>AND(#REF!,"AAAAAB/79uo=")</f>
        <v>#REF!</v>
      </c>
      <c r="IB115" t="e">
        <f>AND(#REF!,"AAAAAB/79us=")</f>
        <v>#REF!</v>
      </c>
      <c r="IC115" t="e">
        <f>AND(#REF!,"AAAAAB/79uw=")</f>
        <v>#REF!</v>
      </c>
      <c r="ID115" t="e">
        <f>AND(#REF!,"AAAAAB/79u0=")</f>
        <v>#REF!</v>
      </c>
      <c r="IE115" t="e">
        <f>AND(#REF!,"AAAAAB/79u4=")</f>
        <v>#REF!</v>
      </c>
      <c r="IF115" t="e">
        <f>AND(#REF!,"AAAAAB/79u8=")</f>
        <v>#REF!</v>
      </c>
      <c r="IG115" t="e">
        <f>AND(#REF!,"AAAAAB/79vA=")</f>
        <v>#REF!</v>
      </c>
      <c r="IH115" t="e">
        <f>AND(#REF!,"AAAAAB/79vE=")</f>
        <v>#REF!</v>
      </c>
      <c r="II115" t="e">
        <f>AND(#REF!,"AAAAAB/79vI=")</f>
        <v>#REF!</v>
      </c>
      <c r="IJ115" t="e">
        <f>AND(#REF!,"AAAAAB/79vM=")</f>
        <v>#REF!</v>
      </c>
      <c r="IK115" t="e">
        <f>AND(#REF!,"AAAAAB/79vQ=")</f>
        <v>#REF!</v>
      </c>
      <c r="IL115" t="e">
        <f>AND(#REF!,"AAAAAB/79vU=")</f>
        <v>#REF!</v>
      </c>
      <c r="IM115" t="e">
        <f>AND(#REF!,"AAAAAB/79vY=")</f>
        <v>#REF!</v>
      </c>
      <c r="IN115" t="e">
        <f>AND(#REF!,"AAAAAB/79vc=")</f>
        <v>#REF!</v>
      </c>
      <c r="IO115" t="e">
        <f>AND(#REF!,"AAAAAB/79vg=")</f>
        <v>#REF!</v>
      </c>
      <c r="IP115" t="e">
        <f>AND(#REF!,"AAAAAB/79vk=")</f>
        <v>#REF!</v>
      </c>
      <c r="IQ115" t="e">
        <f>AND(#REF!,"AAAAAB/79vo=")</f>
        <v>#REF!</v>
      </c>
      <c r="IR115" t="e">
        <f>IF(#REF!,"AAAAAB/79vs=",0)</f>
        <v>#REF!</v>
      </c>
      <c r="IS115" t="e">
        <f>AND(#REF!,"AAAAAB/79vw=")</f>
        <v>#REF!</v>
      </c>
      <c r="IT115" t="e">
        <f>AND(#REF!,"AAAAAB/79v0=")</f>
        <v>#REF!</v>
      </c>
      <c r="IU115" t="e">
        <f>AND(#REF!,"AAAAAB/79v4=")</f>
        <v>#REF!</v>
      </c>
      <c r="IV115" t="e">
        <f>AND(#REF!,"AAAAAB/79v8=")</f>
        <v>#REF!</v>
      </c>
    </row>
    <row r="116" spans="1:256">
      <c r="A116" t="e">
        <f>AND(#REF!,"AAAAAGo1jgA=")</f>
        <v>#REF!</v>
      </c>
      <c r="B116" t="e">
        <f>AND(#REF!,"AAAAAGo1jgE=")</f>
        <v>#REF!</v>
      </c>
      <c r="C116" t="e">
        <f>AND(#REF!,"AAAAAGo1jgI=")</f>
        <v>#REF!</v>
      </c>
      <c r="D116" t="e">
        <f>AND(#REF!,"AAAAAGo1jgM=")</f>
        <v>#REF!</v>
      </c>
      <c r="E116" t="e">
        <f>AND(#REF!,"AAAAAGo1jgQ=")</f>
        <v>#REF!</v>
      </c>
      <c r="F116" t="e">
        <f>AND(#REF!,"AAAAAGo1jgU=")</f>
        <v>#REF!</v>
      </c>
      <c r="G116" t="e">
        <f>AND(#REF!,"AAAAAGo1jgY=")</f>
        <v>#REF!</v>
      </c>
      <c r="H116" t="e">
        <f>AND(#REF!,"AAAAAGo1jgc=")</f>
        <v>#REF!</v>
      </c>
      <c r="I116" t="e">
        <f>AND(#REF!,"AAAAAGo1jgg=")</f>
        <v>#REF!</v>
      </c>
      <c r="J116" t="e">
        <f>AND(#REF!,"AAAAAGo1jgk=")</f>
        <v>#REF!</v>
      </c>
      <c r="K116" t="e">
        <f>AND(#REF!,"AAAAAGo1jgo=")</f>
        <v>#REF!</v>
      </c>
      <c r="L116" t="e">
        <f>AND(#REF!,"AAAAAGo1jgs=")</f>
        <v>#REF!</v>
      </c>
      <c r="M116" t="e">
        <f>AND(#REF!,"AAAAAGo1jgw=")</f>
        <v>#REF!</v>
      </c>
      <c r="N116" t="e">
        <f>AND(#REF!,"AAAAAGo1jg0=")</f>
        <v>#REF!</v>
      </c>
      <c r="O116" t="e">
        <f>AND(#REF!,"AAAAAGo1jg4=")</f>
        <v>#REF!</v>
      </c>
      <c r="P116" t="e">
        <f>AND(#REF!,"AAAAAGo1jg8=")</f>
        <v>#REF!</v>
      </c>
      <c r="Q116" t="e">
        <f>AND(#REF!,"AAAAAGo1jhA=")</f>
        <v>#REF!</v>
      </c>
      <c r="R116" t="e">
        <f>AND(#REF!,"AAAAAGo1jhE=")</f>
        <v>#REF!</v>
      </c>
      <c r="S116" t="e">
        <f>AND(#REF!,"AAAAAGo1jhI=")</f>
        <v>#REF!</v>
      </c>
      <c r="T116" t="e">
        <f>AND(#REF!,"AAAAAGo1jhM=")</f>
        <v>#REF!</v>
      </c>
      <c r="U116" t="e">
        <f>IF(#REF!,"AAAAAGo1jhQ=",0)</f>
        <v>#REF!</v>
      </c>
      <c r="V116" t="e">
        <f>AND(#REF!,"AAAAAGo1jhU=")</f>
        <v>#REF!</v>
      </c>
      <c r="W116" t="e">
        <f>AND(#REF!,"AAAAAGo1jhY=")</f>
        <v>#REF!</v>
      </c>
      <c r="X116" t="e">
        <f>AND(#REF!,"AAAAAGo1jhc=")</f>
        <v>#REF!</v>
      </c>
      <c r="Y116" t="e">
        <f>AND(#REF!,"AAAAAGo1jhg=")</f>
        <v>#REF!</v>
      </c>
      <c r="Z116" t="e">
        <f>AND(#REF!,"AAAAAGo1jhk=")</f>
        <v>#REF!</v>
      </c>
      <c r="AA116" t="e">
        <f>AND(#REF!,"AAAAAGo1jho=")</f>
        <v>#REF!</v>
      </c>
      <c r="AB116" t="e">
        <f>AND(#REF!,"AAAAAGo1jhs=")</f>
        <v>#REF!</v>
      </c>
      <c r="AC116" t="e">
        <f>AND(#REF!,"AAAAAGo1jhw=")</f>
        <v>#REF!</v>
      </c>
      <c r="AD116" t="e">
        <f>AND(#REF!,"AAAAAGo1jh0=")</f>
        <v>#REF!</v>
      </c>
      <c r="AE116" t="e">
        <f>AND(#REF!,"AAAAAGo1jh4=")</f>
        <v>#REF!</v>
      </c>
      <c r="AF116" t="e">
        <f>AND(#REF!,"AAAAAGo1jh8=")</f>
        <v>#REF!</v>
      </c>
      <c r="AG116" t="e">
        <f>AND(#REF!,"AAAAAGo1jiA=")</f>
        <v>#REF!</v>
      </c>
      <c r="AH116" t="e">
        <f>AND(#REF!,"AAAAAGo1jiE=")</f>
        <v>#REF!</v>
      </c>
      <c r="AI116" t="e">
        <f>AND(#REF!,"AAAAAGo1jiI=")</f>
        <v>#REF!</v>
      </c>
      <c r="AJ116" t="e">
        <f>AND(#REF!,"AAAAAGo1jiM=")</f>
        <v>#REF!</v>
      </c>
      <c r="AK116" t="e">
        <f>AND(#REF!,"AAAAAGo1jiQ=")</f>
        <v>#REF!</v>
      </c>
      <c r="AL116" t="e">
        <f>AND(#REF!,"AAAAAGo1jiU=")</f>
        <v>#REF!</v>
      </c>
      <c r="AM116" t="e">
        <f>AND(#REF!,"AAAAAGo1jiY=")</f>
        <v>#REF!</v>
      </c>
      <c r="AN116" t="e">
        <f>AND(#REF!,"AAAAAGo1jic=")</f>
        <v>#REF!</v>
      </c>
      <c r="AO116" t="e">
        <f>AND(#REF!,"AAAAAGo1jig=")</f>
        <v>#REF!</v>
      </c>
      <c r="AP116" t="e">
        <f>AND(#REF!,"AAAAAGo1jik=")</f>
        <v>#REF!</v>
      </c>
      <c r="AQ116" t="e">
        <f>AND(#REF!,"AAAAAGo1jio=")</f>
        <v>#REF!</v>
      </c>
      <c r="AR116" t="e">
        <f>AND(#REF!,"AAAAAGo1jis=")</f>
        <v>#REF!</v>
      </c>
      <c r="AS116" t="e">
        <f>AND(#REF!,"AAAAAGo1jiw=")</f>
        <v>#REF!</v>
      </c>
      <c r="AT116" t="e">
        <f>IF(#REF!,"AAAAAGo1ji0=",0)</f>
        <v>#REF!</v>
      </c>
      <c r="AU116" t="e">
        <f>AND(#REF!,"AAAAAGo1ji4=")</f>
        <v>#REF!</v>
      </c>
      <c r="AV116" t="e">
        <f>AND(#REF!,"AAAAAGo1ji8=")</f>
        <v>#REF!</v>
      </c>
      <c r="AW116" t="e">
        <f>AND(#REF!,"AAAAAGo1jjA=")</f>
        <v>#REF!</v>
      </c>
      <c r="AX116" t="e">
        <f>AND(#REF!,"AAAAAGo1jjE=")</f>
        <v>#REF!</v>
      </c>
      <c r="AY116" t="e">
        <f>AND(#REF!,"AAAAAGo1jjI=")</f>
        <v>#REF!</v>
      </c>
      <c r="AZ116" t="e">
        <f>AND(#REF!,"AAAAAGo1jjM=")</f>
        <v>#REF!</v>
      </c>
      <c r="BA116" t="e">
        <f>AND(#REF!,"AAAAAGo1jjQ=")</f>
        <v>#REF!</v>
      </c>
      <c r="BB116" t="e">
        <f>AND(#REF!,"AAAAAGo1jjU=")</f>
        <v>#REF!</v>
      </c>
      <c r="BC116" t="e">
        <f>AND(#REF!,"AAAAAGo1jjY=")</f>
        <v>#REF!</v>
      </c>
      <c r="BD116" t="e">
        <f>AND(#REF!,"AAAAAGo1jjc=")</f>
        <v>#REF!</v>
      </c>
      <c r="BE116" t="e">
        <f>AND(#REF!,"AAAAAGo1jjg=")</f>
        <v>#REF!</v>
      </c>
      <c r="BF116" t="e">
        <f>AND(#REF!,"AAAAAGo1jjk=")</f>
        <v>#REF!</v>
      </c>
      <c r="BG116" t="e">
        <f>AND(#REF!,"AAAAAGo1jjo=")</f>
        <v>#REF!</v>
      </c>
      <c r="BH116" t="e">
        <f>AND(#REF!,"AAAAAGo1jjs=")</f>
        <v>#REF!</v>
      </c>
      <c r="BI116" t="e">
        <f>AND(#REF!,"AAAAAGo1jjw=")</f>
        <v>#REF!</v>
      </c>
      <c r="BJ116" t="e">
        <f>AND(#REF!,"AAAAAGo1jj0=")</f>
        <v>#REF!</v>
      </c>
      <c r="BK116" t="e">
        <f>AND(#REF!,"AAAAAGo1jj4=")</f>
        <v>#REF!</v>
      </c>
      <c r="BL116" t="e">
        <f>AND(#REF!,"AAAAAGo1jj8=")</f>
        <v>#REF!</v>
      </c>
      <c r="BM116" t="e">
        <f>AND(#REF!,"AAAAAGo1jkA=")</f>
        <v>#REF!</v>
      </c>
      <c r="BN116" t="e">
        <f>AND(#REF!,"AAAAAGo1jkE=")</f>
        <v>#REF!</v>
      </c>
      <c r="BO116" t="e">
        <f>AND(#REF!,"AAAAAGo1jkI=")</f>
        <v>#REF!</v>
      </c>
      <c r="BP116" t="e">
        <f>AND(#REF!,"AAAAAGo1jkM=")</f>
        <v>#REF!</v>
      </c>
      <c r="BQ116" t="e">
        <f>AND(#REF!,"AAAAAGo1jkQ=")</f>
        <v>#REF!</v>
      </c>
      <c r="BR116" t="e">
        <f>AND(#REF!,"AAAAAGo1jkU=")</f>
        <v>#REF!</v>
      </c>
      <c r="BS116" t="e">
        <f>IF(#REF!,"AAAAAGo1jkY=",0)</f>
        <v>#REF!</v>
      </c>
      <c r="BT116" t="e">
        <f>AND(#REF!,"AAAAAGo1jkc=")</f>
        <v>#REF!</v>
      </c>
      <c r="BU116" t="e">
        <f>AND(#REF!,"AAAAAGo1jkg=")</f>
        <v>#REF!</v>
      </c>
      <c r="BV116" t="e">
        <f>AND(#REF!,"AAAAAGo1jkk=")</f>
        <v>#REF!</v>
      </c>
      <c r="BW116" t="e">
        <f>AND(#REF!,"AAAAAGo1jko=")</f>
        <v>#REF!</v>
      </c>
      <c r="BX116" t="e">
        <f>AND(#REF!,"AAAAAGo1jks=")</f>
        <v>#REF!</v>
      </c>
      <c r="BY116" t="e">
        <f>AND(#REF!,"AAAAAGo1jkw=")</f>
        <v>#REF!</v>
      </c>
      <c r="BZ116" t="e">
        <f>AND(#REF!,"AAAAAGo1jk0=")</f>
        <v>#REF!</v>
      </c>
      <c r="CA116" t="e">
        <f>AND(#REF!,"AAAAAGo1jk4=")</f>
        <v>#REF!</v>
      </c>
      <c r="CB116" t="e">
        <f>AND(#REF!,"AAAAAGo1jk8=")</f>
        <v>#REF!</v>
      </c>
      <c r="CC116" t="e">
        <f>AND(#REF!,"AAAAAGo1jlA=")</f>
        <v>#REF!</v>
      </c>
      <c r="CD116" t="e">
        <f>AND(#REF!,"AAAAAGo1jlE=")</f>
        <v>#REF!</v>
      </c>
      <c r="CE116" t="e">
        <f>AND(#REF!,"AAAAAGo1jlI=")</f>
        <v>#REF!</v>
      </c>
      <c r="CF116" t="e">
        <f>AND(#REF!,"AAAAAGo1jlM=")</f>
        <v>#REF!</v>
      </c>
      <c r="CG116" t="e">
        <f>AND(#REF!,"AAAAAGo1jlQ=")</f>
        <v>#REF!</v>
      </c>
      <c r="CH116" t="e">
        <f>AND(#REF!,"AAAAAGo1jlU=")</f>
        <v>#REF!</v>
      </c>
      <c r="CI116" t="e">
        <f>AND(#REF!,"AAAAAGo1jlY=")</f>
        <v>#REF!</v>
      </c>
      <c r="CJ116" t="e">
        <f>AND(#REF!,"AAAAAGo1jlc=")</f>
        <v>#REF!</v>
      </c>
      <c r="CK116" t="e">
        <f>AND(#REF!,"AAAAAGo1jlg=")</f>
        <v>#REF!</v>
      </c>
      <c r="CL116" t="e">
        <f>AND(#REF!,"AAAAAGo1jlk=")</f>
        <v>#REF!</v>
      </c>
      <c r="CM116" t="e">
        <f>AND(#REF!,"AAAAAGo1jlo=")</f>
        <v>#REF!</v>
      </c>
      <c r="CN116" t="e">
        <f>AND(#REF!,"AAAAAGo1jls=")</f>
        <v>#REF!</v>
      </c>
      <c r="CO116" t="e">
        <f>AND(#REF!,"AAAAAGo1jlw=")</f>
        <v>#REF!</v>
      </c>
      <c r="CP116" t="e">
        <f>AND(#REF!,"AAAAAGo1jl0=")</f>
        <v>#REF!</v>
      </c>
      <c r="CQ116" t="e">
        <f>AND(#REF!,"AAAAAGo1jl4=")</f>
        <v>#REF!</v>
      </c>
      <c r="CR116" t="e">
        <f>IF(#REF!,"AAAAAGo1jl8=",0)</f>
        <v>#REF!</v>
      </c>
      <c r="CS116" t="e">
        <f>AND(#REF!,"AAAAAGo1jmA=")</f>
        <v>#REF!</v>
      </c>
      <c r="CT116" t="e">
        <f>AND(#REF!,"AAAAAGo1jmE=")</f>
        <v>#REF!</v>
      </c>
      <c r="CU116" t="e">
        <f>AND(#REF!,"AAAAAGo1jmI=")</f>
        <v>#REF!</v>
      </c>
      <c r="CV116" t="e">
        <f>AND(#REF!,"AAAAAGo1jmM=")</f>
        <v>#REF!</v>
      </c>
      <c r="CW116" t="e">
        <f>AND(#REF!,"AAAAAGo1jmQ=")</f>
        <v>#REF!</v>
      </c>
      <c r="CX116" t="e">
        <f>AND(#REF!,"AAAAAGo1jmU=")</f>
        <v>#REF!</v>
      </c>
      <c r="CY116" t="e">
        <f>AND(#REF!,"AAAAAGo1jmY=")</f>
        <v>#REF!</v>
      </c>
      <c r="CZ116" t="e">
        <f>AND(#REF!,"AAAAAGo1jmc=")</f>
        <v>#REF!</v>
      </c>
      <c r="DA116" t="e">
        <f>AND(#REF!,"AAAAAGo1jmg=")</f>
        <v>#REF!</v>
      </c>
      <c r="DB116" t="e">
        <f>AND(#REF!,"AAAAAGo1jmk=")</f>
        <v>#REF!</v>
      </c>
      <c r="DC116" t="e">
        <f>AND(#REF!,"AAAAAGo1jmo=")</f>
        <v>#REF!</v>
      </c>
      <c r="DD116" t="e">
        <f>AND(#REF!,"AAAAAGo1jms=")</f>
        <v>#REF!</v>
      </c>
      <c r="DE116" t="e">
        <f>AND(#REF!,"AAAAAGo1jmw=")</f>
        <v>#REF!</v>
      </c>
      <c r="DF116" t="e">
        <f>AND(#REF!,"AAAAAGo1jm0=")</f>
        <v>#REF!</v>
      </c>
      <c r="DG116" t="e">
        <f>AND(#REF!,"AAAAAGo1jm4=")</f>
        <v>#REF!</v>
      </c>
      <c r="DH116" t="e">
        <f>AND(#REF!,"AAAAAGo1jm8=")</f>
        <v>#REF!</v>
      </c>
      <c r="DI116" t="e">
        <f>AND(#REF!,"AAAAAGo1jnA=")</f>
        <v>#REF!</v>
      </c>
      <c r="DJ116" t="e">
        <f>AND(#REF!,"AAAAAGo1jnE=")</f>
        <v>#REF!</v>
      </c>
      <c r="DK116" t="e">
        <f>AND(#REF!,"AAAAAGo1jnI=")</f>
        <v>#REF!</v>
      </c>
      <c r="DL116" t="e">
        <f>AND(#REF!,"AAAAAGo1jnM=")</f>
        <v>#REF!</v>
      </c>
      <c r="DM116" t="e">
        <f>AND(#REF!,"AAAAAGo1jnQ=")</f>
        <v>#REF!</v>
      </c>
      <c r="DN116" t="e">
        <f>AND(#REF!,"AAAAAGo1jnU=")</f>
        <v>#REF!</v>
      </c>
      <c r="DO116" t="e">
        <f>AND(#REF!,"AAAAAGo1jnY=")</f>
        <v>#REF!</v>
      </c>
      <c r="DP116" t="e">
        <f>AND(#REF!,"AAAAAGo1jnc=")</f>
        <v>#REF!</v>
      </c>
      <c r="DQ116" t="e">
        <f>IF(#REF!,"AAAAAGo1jng=",0)</f>
        <v>#REF!</v>
      </c>
      <c r="DR116" t="e">
        <f>AND(#REF!,"AAAAAGo1jnk=")</f>
        <v>#REF!</v>
      </c>
      <c r="DS116" t="e">
        <f>AND(#REF!,"AAAAAGo1jno=")</f>
        <v>#REF!</v>
      </c>
      <c r="DT116" t="e">
        <f>AND(#REF!,"AAAAAGo1jns=")</f>
        <v>#REF!</v>
      </c>
      <c r="DU116" t="e">
        <f>AND(#REF!,"AAAAAGo1jnw=")</f>
        <v>#REF!</v>
      </c>
      <c r="DV116" t="e">
        <f>AND(#REF!,"AAAAAGo1jn0=")</f>
        <v>#REF!</v>
      </c>
      <c r="DW116" t="e">
        <f>AND(#REF!,"AAAAAGo1jn4=")</f>
        <v>#REF!</v>
      </c>
      <c r="DX116" t="e">
        <f>AND(#REF!,"AAAAAGo1jn8=")</f>
        <v>#REF!</v>
      </c>
      <c r="DY116" t="e">
        <f>AND(#REF!,"AAAAAGo1joA=")</f>
        <v>#REF!</v>
      </c>
      <c r="DZ116" t="e">
        <f>AND(#REF!,"AAAAAGo1joE=")</f>
        <v>#REF!</v>
      </c>
      <c r="EA116" t="e">
        <f>AND(#REF!,"AAAAAGo1joI=")</f>
        <v>#REF!</v>
      </c>
      <c r="EB116" t="e">
        <f>AND(#REF!,"AAAAAGo1joM=")</f>
        <v>#REF!</v>
      </c>
      <c r="EC116" t="e">
        <f>AND(#REF!,"AAAAAGo1joQ=")</f>
        <v>#REF!</v>
      </c>
      <c r="ED116" t="e">
        <f>AND(#REF!,"AAAAAGo1joU=")</f>
        <v>#REF!</v>
      </c>
      <c r="EE116" t="e">
        <f>AND(#REF!,"AAAAAGo1joY=")</f>
        <v>#REF!</v>
      </c>
      <c r="EF116" t="e">
        <f>AND(#REF!,"AAAAAGo1joc=")</f>
        <v>#REF!</v>
      </c>
      <c r="EG116" t="e">
        <f>AND(#REF!,"AAAAAGo1jog=")</f>
        <v>#REF!</v>
      </c>
      <c r="EH116" t="e">
        <f>AND(#REF!,"AAAAAGo1jok=")</f>
        <v>#REF!</v>
      </c>
      <c r="EI116" t="e">
        <f>AND(#REF!,"AAAAAGo1joo=")</f>
        <v>#REF!</v>
      </c>
      <c r="EJ116" t="e">
        <f>AND(#REF!,"AAAAAGo1jos=")</f>
        <v>#REF!</v>
      </c>
      <c r="EK116" t="e">
        <f>AND(#REF!,"AAAAAGo1jow=")</f>
        <v>#REF!</v>
      </c>
      <c r="EL116" t="e">
        <f>AND(#REF!,"AAAAAGo1jo0=")</f>
        <v>#REF!</v>
      </c>
      <c r="EM116" t="e">
        <f>AND(#REF!,"AAAAAGo1jo4=")</f>
        <v>#REF!</v>
      </c>
      <c r="EN116" t="e">
        <f>AND(#REF!,"AAAAAGo1jo8=")</f>
        <v>#REF!</v>
      </c>
      <c r="EO116" t="e">
        <f>AND(#REF!,"AAAAAGo1jpA=")</f>
        <v>#REF!</v>
      </c>
      <c r="EP116" t="e">
        <f>IF(#REF!,"AAAAAGo1jpE=",0)</f>
        <v>#REF!</v>
      </c>
      <c r="EQ116" t="e">
        <f>AND(#REF!,"AAAAAGo1jpI=")</f>
        <v>#REF!</v>
      </c>
      <c r="ER116" t="e">
        <f>AND(#REF!,"AAAAAGo1jpM=")</f>
        <v>#REF!</v>
      </c>
      <c r="ES116" t="e">
        <f>AND(#REF!,"AAAAAGo1jpQ=")</f>
        <v>#REF!</v>
      </c>
      <c r="ET116" t="e">
        <f>AND(#REF!,"AAAAAGo1jpU=")</f>
        <v>#REF!</v>
      </c>
      <c r="EU116" t="e">
        <f>AND(#REF!,"AAAAAGo1jpY=")</f>
        <v>#REF!</v>
      </c>
      <c r="EV116" t="e">
        <f>AND(#REF!,"AAAAAGo1jpc=")</f>
        <v>#REF!</v>
      </c>
      <c r="EW116" t="e">
        <f>AND(#REF!,"AAAAAGo1jpg=")</f>
        <v>#REF!</v>
      </c>
      <c r="EX116" t="e">
        <f>AND(#REF!,"AAAAAGo1jpk=")</f>
        <v>#REF!</v>
      </c>
      <c r="EY116" t="e">
        <f>AND(#REF!,"AAAAAGo1jpo=")</f>
        <v>#REF!</v>
      </c>
      <c r="EZ116" t="e">
        <f>AND(#REF!,"AAAAAGo1jps=")</f>
        <v>#REF!</v>
      </c>
      <c r="FA116" t="e">
        <f>AND(#REF!,"AAAAAGo1jpw=")</f>
        <v>#REF!</v>
      </c>
      <c r="FB116" t="e">
        <f>AND(#REF!,"AAAAAGo1jp0=")</f>
        <v>#REF!</v>
      </c>
      <c r="FC116" t="e">
        <f>AND(#REF!,"AAAAAGo1jp4=")</f>
        <v>#REF!</v>
      </c>
      <c r="FD116" t="e">
        <f>AND(#REF!,"AAAAAGo1jp8=")</f>
        <v>#REF!</v>
      </c>
      <c r="FE116" t="e">
        <f>AND(#REF!,"AAAAAGo1jqA=")</f>
        <v>#REF!</v>
      </c>
      <c r="FF116" t="e">
        <f>AND(#REF!,"AAAAAGo1jqE=")</f>
        <v>#REF!</v>
      </c>
      <c r="FG116" t="e">
        <f>AND(#REF!,"AAAAAGo1jqI=")</f>
        <v>#REF!</v>
      </c>
      <c r="FH116" t="e">
        <f>AND(#REF!,"AAAAAGo1jqM=")</f>
        <v>#REF!</v>
      </c>
      <c r="FI116" t="e">
        <f>AND(#REF!,"AAAAAGo1jqQ=")</f>
        <v>#REF!</v>
      </c>
      <c r="FJ116" t="e">
        <f>AND(#REF!,"AAAAAGo1jqU=")</f>
        <v>#REF!</v>
      </c>
      <c r="FK116" t="e">
        <f>AND(#REF!,"AAAAAGo1jqY=")</f>
        <v>#REF!</v>
      </c>
      <c r="FL116" t="e">
        <f>AND(#REF!,"AAAAAGo1jqc=")</f>
        <v>#REF!</v>
      </c>
      <c r="FM116" t="e">
        <f>AND(#REF!,"AAAAAGo1jqg=")</f>
        <v>#REF!</v>
      </c>
      <c r="FN116" t="e">
        <f>AND(#REF!,"AAAAAGo1jqk=")</f>
        <v>#REF!</v>
      </c>
      <c r="FO116" t="e">
        <f>IF(#REF!,"AAAAAGo1jqo=",0)</f>
        <v>#REF!</v>
      </c>
      <c r="FP116" t="e">
        <f>AND(#REF!,"AAAAAGo1jqs=")</f>
        <v>#REF!</v>
      </c>
      <c r="FQ116" t="e">
        <f>AND(#REF!,"AAAAAGo1jqw=")</f>
        <v>#REF!</v>
      </c>
      <c r="FR116" t="e">
        <f>AND(#REF!,"AAAAAGo1jq0=")</f>
        <v>#REF!</v>
      </c>
      <c r="FS116" t="e">
        <f>AND(#REF!,"AAAAAGo1jq4=")</f>
        <v>#REF!</v>
      </c>
      <c r="FT116" t="e">
        <f>AND(#REF!,"AAAAAGo1jq8=")</f>
        <v>#REF!</v>
      </c>
      <c r="FU116" t="e">
        <f>AND(#REF!,"AAAAAGo1jrA=")</f>
        <v>#REF!</v>
      </c>
      <c r="FV116" t="e">
        <f>AND(#REF!,"AAAAAGo1jrE=")</f>
        <v>#REF!</v>
      </c>
      <c r="FW116" t="e">
        <f>AND(#REF!,"AAAAAGo1jrI=")</f>
        <v>#REF!</v>
      </c>
      <c r="FX116" t="e">
        <f>AND(#REF!,"AAAAAGo1jrM=")</f>
        <v>#REF!</v>
      </c>
      <c r="FY116" t="e">
        <f>AND(#REF!,"AAAAAGo1jrQ=")</f>
        <v>#REF!</v>
      </c>
      <c r="FZ116" t="e">
        <f>AND(#REF!,"AAAAAGo1jrU=")</f>
        <v>#REF!</v>
      </c>
      <c r="GA116" t="e">
        <f>AND(#REF!,"AAAAAGo1jrY=")</f>
        <v>#REF!</v>
      </c>
      <c r="GB116" t="e">
        <f>AND(#REF!,"AAAAAGo1jrc=")</f>
        <v>#REF!</v>
      </c>
      <c r="GC116" t="e">
        <f>AND(#REF!,"AAAAAGo1jrg=")</f>
        <v>#REF!</v>
      </c>
      <c r="GD116" t="e">
        <f>AND(#REF!,"AAAAAGo1jrk=")</f>
        <v>#REF!</v>
      </c>
      <c r="GE116" t="e">
        <f>AND(#REF!,"AAAAAGo1jro=")</f>
        <v>#REF!</v>
      </c>
      <c r="GF116" t="e">
        <f>AND(#REF!,"AAAAAGo1jrs=")</f>
        <v>#REF!</v>
      </c>
      <c r="GG116" t="e">
        <f>AND(#REF!,"AAAAAGo1jrw=")</f>
        <v>#REF!</v>
      </c>
      <c r="GH116" t="e">
        <f>AND(#REF!,"AAAAAGo1jr0=")</f>
        <v>#REF!</v>
      </c>
      <c r="GI116" t="e">
        <f>AND(#REF!,"AAAAAGo1jr4=")</f>
        <v>#REF!</v>
      </c>
      <c r="GJ116" t="e">
        <f>AND(#REF!,"AAAAAGo1jr8=")</f>
        <v>#REF!</v>
      </c>
      <c r="GK116" t="e">
        <f>AND(#REF!,"AAAAAGo1jsA=")</f>
        <v>#REF!</v>
      </c>
      <c r="GL116" t="e">
        <f>AND(#REF!,"AAAAAGo1jsE=")</f>
        <v>#REF!</v>
      </c>
      <c r="GM116" t="e">
        <f>AND(#REF!,"AAAAAGo1jsI=")</f>
        <v>#REF!</v>
      </c>
      <c r="GN116" t="e">
        <f>IF(#REF!,"AAAAAGo1jsM=",0)</f>
        <v>#REF!</v>
      </c>
      <c r="GO116" t="e">
        <f>AND(#REF!,"AAAAAGo1jsQ=")</f>
        <v>#REF!</v>
      </c>
      <c r="GP116" t="e">
        <f>AND(#REF!,"AAAAAGo1jsU=")</f>
        <v>#REF!</v>
      </c>
      <c r="GQ116" t="e">
        <f>AND(#REF!,"AAAAAGo1jsY=")</f>
        <v>#REF!</v>
      </c>
      <c r="GR116" t="e">
        <f>AND(#REF!,"AAAAAGo1jsc=")</f>
        <v>#REF!</v>
      </c>
      <c r="GS116" t="e">
        <f>AND(#REF!,"AAAAAGo1jsg=")</f>
        <v>#REF!</v>
      </c>
      <c r="GT116" t="e">
        <f>AND(#REF!,"AAAAAGo1jsk=")</f>
        <v>#REF!</v>
      </c>
      <c r="GU116" t="e">
        <f>AND(#REF!,"AAAAAGo1jso=")</f>
        <v>#REF!</v>
      </c>
      <c r="GV116" t="e">
        <f>AND(#REF!,"AAAAAGo1jss=")</f>
        <v>#REF!</v>
      </c>
      <c r="GW116" t="e">
        <f>AND(#REF!,"AAAAAGo1jsw=")</f>
        <v>#REF!</v>
      </c>
      <c r="GX116" t="e">
        <f>AND(#REF!,"AAAAAGo1js0=")</f>
        <v>#REF!</v>
      </c>
      <c r="GY116" t="e">
        <f>AND(#REF!,"AAAAAGo1js4=")</f>
        <v>#REF!</v>
      </c>
      <c r="GZ116" t="e">
        <f>AND(#REF!,"AAAAAGo1js8=")</f>
        <v>#REF!</v>
      </c>
      <c r="HA116" t="e">
        <f>AND(#REF!,"AAAAAGo1jtA=")</f>
        <v>#REF!</v>
      </c>
      <c r="HB116" t="e">
        <f>AND(#REF!,"AAAAAGo1jtE=")</f>
        <v>#REF!</v>
      </c>
      <c r="HC116" t="e">
        <f>AND(#REF!,"AAAAAGo1jtI=")</f>
        <v>#REF!</v>
      </c>
      <c r="HD116" t="e">
        <f>AND(#REF!,"AAAAAGo1jtM=")</f>
        <v>#REF!</v>
      </c>
      <c r="HE116" t="e">
        <f>AND(#REF!,"AAAAAGo1jtQ=")</f>
        <v>#REF!</v>
      </c>
      <c r="HF116" t="e">
        <f>AND(#REF!,"AAAAAGo1jtU=")</f>
        <v>#REF!</v>
      </c>
      <c r="HG116" t="e">
        <f>AND(#REF!,"AAAAAGo1jtY=")</f>
        <v>#REF!</v>
      </c>
      <c r="HH116" t="e">
        <f>AND(#REF!,"AAAAAGo1jtc=")</f>
        <v>#REF!</v>
      </c>
      <c r="HI116" t="e">
        <f>AND(#REF!,"AAAAAGo1jtg=")</f>
        <v>#REF!</v>
      </c>
      <c r="HJ116" t="e">
        <f>AND(#REF!,"AAAAAGo1jtk=")</f>
        <v>#REF!</v>
      </c>
      <c r="HK116" t="e">
        <f>AND(#REF!,"AAAAAGo1jto=")</f>
        <v>#REF!</v>
      </c>
      <c r="HL116" t="e">
        <f>AND(#REF!,"AAAAAGo1jts=")</f>
        <v>#REF!</v>
      </c>
      <c r="HM116" t="e">
        <f>IF(#REF!,"AAAAAGo1jtw=",0)</f>
        <v>#REF!</v>
      </c>
      <c r="HN116" t="e">
        <f>AND(#REF!,"AAAAAGo1jt0=")</f>
        <v>#REF!</v>
      </c>
      <c r="HO116" t="e">
        <f>AND(#REF!,"AAAAAGo1jt4=")</f>
        <v>#REF!</v>
      </c>
      <c r="HP116" t="e">
        <f>AND(#REF!,"AAAAAGo1jt8=")</f>
        <v>#REF!</v>
      </c>
      <c r="HQ116" t="e">
        <f>AND(#REF!,"AAAAAGo1juA=")</f>
        <v>#REF!</v>
      </c>
      <c r="HR116" t="e">
        <f>AND(#REF!,"AAAAAGo1juE=")</f>
        <v>#REF!</v>
      </c>
      <c r="HS116" t="e">
        <f>AND(#REF!,"AAAAAGo1juI=")</f>
        <v>#REF!</v>
      </c>
      <c r="HT116" t="e">
        <f>AND(#REF!,"AAAAAGo1juM=")</f>
        <v>#REF!</v>
      </c>
      <c r="HU116" t="e">
        <f>AND(#REF!,"AAAAAGo1juQ=")</f>
        <v>#REF!</v>
      </c>
      <c r="HV116" t="e">
        <f>AND(#REF!,"AAAAAGo1juU=")</f>
        <v>#REF!</v>
      </c>
      <c r="HW116" t="e">
        <f>AND(#REF!,"AAAAAGo1juY=")</f>
        <v>#REF!</v>
      </c>
      <c r="HX116" t="e">
        <f>AND(#REF!,"AAAAAGo1juc=")</f>
        <v>#REF!</v>
      </c>
      <c r="HY116" t="e">
        <f>AND(#REF!,"AAAAAGo1jug=")</f>
        <v>#REF!</v>
      </c>
      <c r="HZ116" t="e">
        <f>AND(#REF!,"AAAAAGo1juk=")</f>
        <v>#REF!</v>
      </c>
      <c r="IA116" t="e">
        <f>AND(#REF!,"AAAAAGo1juo=")</f>
        <v>#REF!</v>
      </c>
      <c r="IB116" t="e">
        <f>AND(#REF!,"AAAAAGo1jus=")</f>
        <v>#REF!</v>
      </c>
      <c r="IC116" t="e">
        <f>AND(#REF!,"AAAAAGo1juw=")</f>
        <v>#REF!</v>
      </c>
      <c r="ID116" t="e">
        <f>AND(#REF!,"AAAAAGo1ju0=")</f>
        <v>#REF!</v>
      </c>
      <c r="IE116" t="e">
        <f>AND(#REF!,"AAAAAGo1ju4=")</f>
        <v>#REF!</v>
      </c>
      <c r="IF116" t="e">
        <f>AND(#REF!,"AAAAAGo1ju8=")</f>
        <v>#REF!</v>
      </c>
      <c r="IG116" t="e">
        <f>AND(#REF!,"AAAAAGo1jvA=")</f>
        <v>#REF!</v>
      </c>
      <c r="IH116" t="e">
        <f>AND(#REF!,"AAAAAGo1jvE=")</f>
        <v>#REF!</v>
      </c>
      <c r="II116" t="e">
        <f>AND(#REF!,"AAAAAGo1jvI=")</f>
        <v>#REF!</v>
      </c>
      <c r="IJ116" t="e">
        <f>AND(#REF!,"AAAAAGo1jvM=")</f>
        <v>#REF!</v>
      </c>
      <c r="IK116" t="e">
        <f>AND(#REF!,"AAAAAGo1jvQ=")</f>
        <v>#REF!</v>
      </c>
      <c r="IL116" t="e">
        <f>IF(#REF!,"AAAAAGo1jvU=",0)</f>
        <v>#REF!</v>
      </c>
      <c r="IM116" t="e">
        <f>AND(#REF!,"AAAAAGo1jvY=")</f>
        <v>#REF!</v>
      </c>
      <c r="IN116" t="e">
        <f>AND(#REF!,"AAAAAGo1jvc=")</f>
        <v>#REF!</v>
      </c>
      <c r="IO116" t="e">
        <f>AND(#REF!,"AAAAAGo1jvg=")</f>
        <v>#REF!</v>
      </c>
      <c r="IP116" t="e">
        <f>AND(#REF!,"AAAAAGo1jvk=")</f>
        <v>#REF!</v>
      </c>
      <c r="IQ116" t="e">
        <f>AND(#REF!,"AAAAAGo1jvo=")</f>
        <v>#REF!</v>
      </c>
      <c r="IR116" t="e">
        <f>AND(#REF!,"AAAAAGo1jvs=")</f>
        <v>#REF!</v>
      </c>
      <c r="IS116" t="e">
        <f>AND(#REF!,"AAAAAGo1jvw=")</f>
        <v>#REF!</v>
      </c>
      <c r="IT116" t="e">
        <f>AND(#REF!,"AAAAAGo1jv0=")</f>
        <v>#REF!</v>
      </c>
      <c r="IU116" t="e">
        <f>AND(#REF!,"AAAAAGo1jv4=")</f>
        <v>#REF!</v>
      </c>
      <c r="IV116" t="e">
        <f>AND(#REF!,"AAAAAGo1jv8=")</f>
        <v>#REF!</v>
      </c>
    </row>
    <row r="117" spans="1:256">
      <c r="A117" t="e">
        <f>AND(#REF!,"AAAAAFva9wA=")</f>
        <v>#REF!</v>
      </c>
      <c r="B117" t="e">
        <f>AND(#REF!,"AAAAAFva9wE=")</f>
        <v>#REF!</v>
      </c>
      <c r="C117" t="e">
        <f>AND(#REF!,"AAAAAFva9wI=")</f>
        <v>#REF!</v>
      </c>
      <c r="D117" t="e">
        <f>AND(#REF!,"AAAAAFva9wM=")</f>
        <v>#REF!</v>
      </c>
      <c r="E117" t="e">
        <f>AND(#REF!,"AAAAAFva9wQ=")</f>
        <v>#REF!</v>
      </c>
      <c r="F117" t="e">
        <f>AND(#REF!,"AAAAAFva9wU=")</f>
        <v>#REF!</v>
      </c>
      <c r="G117" t="e">
        <f>AND(#REF!,"AAAAAFva9wY=")</f>
        <v>#REF!</v>
      </c>
      <c r="H117" t="e">
        <f>AND(#REF!,"AAAAAFva9wc=")</f>
        <v>#REF!</v>
      </c>
      <c r="I117" t="e">
        <f>AND(#REF!,"AAAAAFva9wg=")</f>
        <v>#REF!</v>
      </c>
      <c r="J117" t="e">
        <f>AND(#REF!,"AAAAAFva9wk=")</f>
        <v>#REF!</v>
      </c>
      <c r="K117" t="e">
        <f>AND(#REF!,"AAAAAFva9wo=")</f>
        <v>#REF!</v>
      </c>
      <c r="L117" t="e">
        <f>AND(#REF!,"AAAAAFva9ws=")</f>
        <v>#REF!</v>
      </c>
      <c r="M117" t="e">
        <f>AND(#REF!,"AAAAAFva9ww=")</f>
        <v>#REF!</v>
      </c>
      <c r="N117" t="e">
        <f>AND(#REF!,"AAAAAFva9w0=")</f>
        <v>#REF!</v>
      </c>
      <c r="O117" t="e">
        <f>IF(#REF!,"AAAAAFva9w4=",0)</f>
        <v>#REF!</v>
      </c>
      <c r="P117" t="e">
        <f>AND(#REF!,"AAAAAFva9w8=")</f>
        <v>#REF!</v>
      </c>
      <c r="Q117" t="e">
        <f>AND(#REF!,"AAAAAFva9xA=")</f>
        <v>#REF!</v>
      </c>
      <c r="R117" t="e">
        <f>AND(#REF!,"AAAAAFva9xE=")</f>
        <v>#REF!</v>
      </c>
      <c r="S117" t="e">
        <f>AND(#REF!,"AAAAAFva9xI=")</f>
        <v>#REF!</v>
      </c>
      <c r="T117" t="e">
        <f>AND(#REF!,"AAAAAFva9xM=")</f>
        <v>#REF!</v>
      </c>
      <c r="U117" t="e">
        <f>AND(#REF!,"AAAAAFva9xQ=")</f>
        <v>#REF!</v>
      </c>
      <c r="V117" t="e">
        <f>AND(#REF!,"AAAAAFva9xU=")</f>
        <v>#REF!</v>
      </c>
      <c r="W117" t="e">
        <f>AND(#REF!,"AAAAAFva9xY=")</f>
        <v>#REF!</v>
      </c>
      <c r="X117" t="e">
        <f>AND(#REF!,"AAAAAFva9xc=")</f>
        <v>#REF!</v>
      </c>
      <c r="Y117" t="e">
        <f>AND(#REF!,"AAAAAFva9xg=")</f>
        <v>#REF!</v>
      </c>
      <c r="Z117" t="e">
        <f>AND(#REF!,"AAAAAFva9xk=")</f>
        <v>#REF!</v>
      </c>
      <c r="AA117" t="e">
        <f>AND(#REF!,"AAAAAFva9xo=")</f>
        <v>#REF!</v>
      </c>
      <c r="AB117" t="e">
        <f>AND(#REF!,"AAAAAFva9xs=")</f>
        <v>#REF!</v>
      </c>
      <c r="AC117" t="e">
        <f>AND(#REF!,"AAAAAFva9xw=")</f>
        <v>#REF!</v>
      </c>
      <c r="AD117" t="e">
        <f>AND(#REF!,"AAAAAFva9x0=")</f>
        <v>#REF!</v>
      </c>
      <c r="AE117" t="e">
        <f>AND(#REF!,"AAAAAFva9x4=")</f>
        <v>#REF!</v>
      </c>
      <c r="AF117" t="e">
        <f>AND(#REF!,"AAAAAFva9x8=")</f>
        <v>#REF!</v>
      </c>
      <c r="AG117" t="e">
        <f>AND(#REF!,"AAAAAFva9yA=")</f>
        <v>#REF!</v>
      </c>
      <c r="AH117" t="e">
        <f>AND(#REF!,"AAAAAFva9yE=")</f>
        <v>#REF!</v>
      </c>
      <c r="AI117" t="e">
        <f>AND(#REF!,"AAAAAFva9yI=")</f>
        <v>#REF!</v>
      </c>
      <c r="AJ117" t="e">
        <f>AND(#REF!,"AAAAAFva9yM=")</f>
        <v>#REF!</v>
      </c>
      <c r="AK117" t="e">
        <f>AND(#REF!,"AAAAAFva9yQ=")</f>
        <v>#REF!</v>
      </c>
      <c r="AL117" t="e">
        <f>AND(#REF!,"AAAAAFva9yU=")</f>
        <v>#REF!</v>
      </c>
      <c r="AM117" t="e">
        <f>AND(#REF!,"AAAAAFva9yY=")</f>
        <v>#REF!</v>
      </c>
      <c r="AN117" t="e">
        <f>IF(#REF!,"AAAAAFva9yc=",0)</f>
        <v>#REF!</v>
      </c>
      <c r="AO117" t="e">
        <f>AND(#REF!,"AAAAAFva9yg=")</f>
        <v>#REF!</v>
      </c>
      <c r="AP117" t="e">
        <f>AND(#REF!,"AAAAAFva9yk=")</f>
        <v>#REF!</v>
      </c>
      <c r="AQ117" t="e">
        <f>AND(#REF!,"AAAAAFva9yo=")</f>
        <v>#REF!</v>
      </c>
      <c r="AR117" t="e">
        <f>AND(#REF!,"AAAAAFva9ys=")</f>
        <v>#REF!</v>
      </c>
      <c r="AS117" t="e">
        <f>AND(#REF!,"AAAAAFva9yw=")</f>
        <v>#REF!</v>
      </c>
      <c r="AT117" t="e">
        <f>AND(#REF!,"AAAAAFva9y0=")</f>
        <v>#REF!</v>
      </c>
      <c r="AU117" t="e">
        <f>AND(#REF!,"AAAAAFva9y4=")</f>
        <v>#REF!</v>
      </c>
      <c r="AV117" t="e">
        <f>AND(#REF!,"AAAAAFva9y8=")</f>
        <v>#REF!</v>
      </c>
      <c r="AW117" t="e">
        <f>AND(#REF!,"AAAAAFva9zA=")</f>
        <v>#REF!</v>
      </c>
      <c r="AX117" t="e">
        <f>AND(#REF!,"AAAAAFva9zE=")</f>
        <v>#REF!</v>
      </c>
      <c r="AY117" t="e">
        <f>AND(#REF!,"AAAAAFva9zI=")</f>
        <v>#REF!</v>
      </c>
      <c r="AZ117" t="e">
        <f>AND(#REF!,"AAAAAFva9zM=")</f>
        <v>#REF!</v>
      </c>
      <c r="BA117" t="e">
        <f>AND(#REF!,"AAAAAFva9zQ=")</f>
        <v>#REF!</v>
      </c>
      <c r="BB117" t="e">
        <f>AND(#REF!,"AAAAAFva9zU=")</f>
        <v>#REF!</v>
      </c>
      <c r="BC117" t="e">
        <f>AND(#REF!,"AAAAAFva9zY=")</f>
        <v>#REF!</v>
      </c>
      <c r="BD117" t="e">
        <f>AND(#REF!,"AAAAAFva9zc=")</f>
        <v>#REF!</v>
      </c>
      <c r="BE117" t="e">
        <f>AND(#REF!,"AAAAAFva9zg=")</f>
        <v>#REF!</v>
      </c>
      <c r="BF117" t="e">
        <f>AND(#REF!,"AAAAAFva9zk=")</f>
        <v>#REF!</v>
      </c>
      <c r="BG117" t="e">
        <f>AND(#REF!,"AAAAAFva9zo=")</f>
        <v>#REF!</v>
      </c>
      <c r="BH117" t="e">
        <f>AND(#REF!,"AAAAAFva9zs=")</f>
        <v>#REF!</v>
      </c>
      <c r="BI117" t="e">
        <f>AND(#REF!,"AAAAAFva9zw=")</f>
        <v>#REF!</v>
      </c>
      <c r="BJ117" t="e">
        <f>AND(#REF!,"AAAAAFva9z0=")</f>
        <v>#REF!</v>
      </c>
      <c r="BK117" t="e">
        <f>AND(#REF!,"AAAAAFva9z4=")</f>
        <v>#REF!</v>
      </c>
      <c r="BL117" t="e">
        <f>AND(#REF!,"AAAAAFva9z8=")</f>
        <v>#REF!</v>
      </c>
      <c r="BM117" t="e">
        <f>IF(#REF!,"AAAAAFva90A=",0)</f>
        <v>#REF!</v>
      </c>
      <c r="BN117" t="e">
        <f>AND(#REF!,"AAAAAFva90E=")</f>
        <v>#REF!</v>
      </c>
      <c r="BO117" t="e">
        <f>AND(#REF!,"AAAAAFva90I=")</f>
        <v>#REF!</v>
      </c>
      <c r="BP117" t="e">
        <f>AND(#REF!,"AAAAAFva90M=")</f>
        <v>#REF!</v>
      </c>
      <c r="BQ117" t="e">
        <f>AND(#REF!,"AAAAAFva90Q=")</f>
        <v>#REF!</v>
      </c>
      <c r="BR117" t="e">
        <f>AND(#REF!,"AAAAAFva90U=")</f>
        <v>#REF!</v>
      </c>
      <c r="BS117" t="e">
        <f>AND(#REF!,"AAAAAFva90Y=")</f>
        <v>#REF!</v>
      </c>
      <c r="BT117" t="e">
        <f>AND(#REF!,"AAAAAFva90c=")</f>
        <v>#REF!</v>
      </c>
      <c r="BU117" t="e">
        <f>AND(#REF!,"AAAAAFva90g=")</f>
        <v>#REF!</v>
      </c>
      <c r="BV117" t="e">
        <f>AND(#REF!,"AAAAAFva90k=")</f>
        <v>#REF!</v>
      </c>
      <c r="BW117" t="e">
        <f>AND(#REF!,"AAAAAFva90o=")</f>
        <v>#REF!</v>
      </c>
      <c r="BX117" t="e">
        <f>AND(#REF!,"AAAAAFva90s=")</f>
        <v>#REF!</v>
      </c>
      <c r="BY117" t="e">
        <f>AND(#REF!,"AAAAAFva90w=")</f>
        <v>#REF!</v>
      </c>
      <c r="BZ117" t="e">
        <f>AND(#REF!,"AAAAAFva900=")</f>
        <v>#REF!</v>
      </c>
      <c r="CA117" t="e">
        <f>AND(#REF!,"AAAAAFva904=")</f>
        <v>#REF!</v>
      </c>
      <c r="CB117" t="e">
        <f>AND(#REF!,"AAAAAFva908=")</f>
        <v>#REF!</v>
      </c>
      <c r="CC117" t="e">
        <f>AND(#REF!,"AAAAAFva91A=")</f>
        <v>#REF!</v>
      </c>
      <c r="CD117" t="e">
        <f>AND(#REF!,"AAAAAFva91E=")</f>
        <v>#REF!</v>
      </c>
      <c r="CE117" t="e">
        <f>AND(#REF!,"AAAAAFva91I=")</f>
        <v>#REF!</v>
      </c>
      <c r="CF117" t="e">
        <f>AND(#REF!,"AAAAAFva91M=")</f>
        <v>#REF!</v>
      </c>
      <c r="CG117" t="e">
        <f>AND(#REF!,"AAAAAFva91Q=")</f>
        <v>#REF!</v>
      </c>
      <c r="CH117" t="e">
        <f>AND(#REF!,"AAAAAFva91U=")</f>
        <v>#REF!</v>
      </c>
      <c r="CI117" t="e">
        <f>AND(#REF!,"AAAAAFva91Y=")</f>
        <v>#REF!</v>
      </c>
      <c r="CJ117" t="e">
        <f>AND(#REF!,"AAAAAFva91c=")</f>
        <v>#REF!</v>
      </c>
      <c r="CK117" t="e">
        <f>AND(#REF!,"AAAAAFva91g=")</f>
        <v>#REF!</v>
      </c>
      <c r="CL117" t="e">
        <f>IF(#REF!,"AAAAAFva91k=",0)</f>
        <v>#REF!</v>
      </c>
      <c r="CM117" t="e">
        <f>AND(#REF!,"AAAAAFva91o=")</f>
        <v>#REF!</v>
      </c>
      <c r="CN117" t="e">
        <f>AND(#REF!,"AAAAAFva91s=")</f>
        <v>#REF!</v>
      </c>
      <c r="CO117" t="e">
        <f>AND(#REF!,"AAAAAFva91w=")</f>
        <v>#REF!</v>
      </c>
      <c r="CP117" t="e">
        <f>AND(#REF!,"AAAAAFva910=")</f>
        <v>#REF!</v>
      </c>
      <c r="CQ117" t="e">
        <f>AND(#REF!,"AAAAAFva914=")</f>
        <v>#REF!</v>
      </c>
      <c r="CR117" t="e">
        <f>AND(#REF!,"AAAAAFva918=")</f>
        <v>#REF!</v>
      </c>
      <c r="CS117" t="e">
        <f>AND(#REF!,"AAAAAFva92A=")</f>
        <v>#REF!</v>
      </c>
      <c r="CT117" t="e">
        <f>AND(#REF!,"AAAAAFva92E=")</f>
        <v>#REF!</v>
      </c>
      <c r="CU117" t="e">
        <f>AND(#REF!,"AAAAAFva92I=")</f>
        <v>#REF!</v>
      </c>
      <c r="CV117" t="e">
        <f>AND(#REF!,"AAAAAFva92M=")</f>
        <v>#REF!</v>
      </c>
      <c r="CW117" t="e">
        <f>AND(#REF!,"AAAAAFva92Q=")</f>
        <v>#REF!</v>
      </c>
      <c r="CX117" t="e">
        <f>AND(#REF!,"AAAAAFva92U=")</f>
        <v>#REF!</v>
      </c>
      <c r="CY117" t="e">
        <f>AND(#REF!,"AAAAAFva92Y=")</f>
        <v>#REF!</v>
      </c>
      <c r="CZ117" t="e">
        <f>AND(#REF!,"AAAAAFva92c=")</f>
        <v>#REF!</v>
      </c>
      <c r="DA117" t="e">
        <f>AND(#REF!,"AAAAAFva92g=")</f>
        <v>#REF!</v>
      </c>
      <c r="DB117" t="e">
        <f>AND(#REF!,"AAAAAFva92k=")</f>
        <v>#REF!</v>
      </c>
      <c r="DC117" t="e">
        <f>AND(#REF!,"AAAAAFva92o=")</f>
        <v>#REF!</v>
      </c>
      <c r="DD117" t="e">
        <f>AND(#REF!,"AAAAAFva92s=")</f>
        <v>#REF!</v>
      </c>
      <c r="DE117" t="e">
        <f>AND(#REF!,"AAAAAFva92w=")</f>
        <v>#REF!</v>
      </c>
      <c r="DF117" t="e">
        <f>AND(#REF!,"AAAAAFva920=")</f>
        <v>#REF!</v>
      </c>
      <c r="DG117" t="e">
        <f>AND(#REF!,"AAAAAFva924=")</f>
        <v>#REF!</v>
      </c>
      <c r="DH117" t="e">
        <f>AND(#REF!,"AAAAAFva928=")</f>
        <v>#REF!</v>
      </c>
      <c r="DI117" t="e">
        <f>AND(#REF!,"AAAAAFva93A=")</f>
        <v>#REF!</v>
      </c>
      <c r="DJ117" t="e">
        <f>AND(#REF!,"AAAAAFva93E=")</f>
        <v>#REF!</v>
      </c>
      <c r="DK117" t="e">
        <f>IF(#REF!,"AAAAAFva93I=",0)</f>
        <v>#REF!</v>
      </c>
      <c r="DL117" t="e">
        <f>AND(#REF!,"AAAAAFva93M=")</f>
        <v>#REF!</v>
      </c>
      <c r="DM117" t="e">
        <f>AND(#REF!,"AAAAAFva93Q=")</f>
        <v>#REF!</v>
      </c>
      <c r="DN117" t="e">
        <f>AND(#REF!,"AAAAAFva93U=")</f>
        <v>#REF!</v>
      </c>
      <c r="DO117" t="e">
        <f>AND(#REF!,"AAAAAFva93Y=")</f>
        <v>#REF!</v>
      </c>
      <c r="DP117" t="e">
        <f>AND(#REF!,"AAAAAFva93c=")</f>
        <v>#REF!</v>
      </c>
      <c r="DQ117" t="e">
        <f>AND(#REF!,"AAAAAFva93g=")</f>
        <v>#REF!</v>
      </c>
      <c r="DR117" t="e">
        <f>AND(#REF!,"AAAAAFva93k=")</f>
        <v>#REF!</v>
      </c>
      <c r="DS117" t="e">
        <f>AND(#REF!,"AAAAAFva93o=")</f>
        <v>#REF!</v>
      </c>
      <c r="DT117" t="e">
        <f>AND(#REF!,"AAAAAFva93s=")</f>
        <v>#REF!</v>
      </c>
      <c r="DU117" t="e">
        <f>AND(#REF!,"AAAAAFva93w=")</f>
        <v>#REF!</v>
      </c>
      <c r="DV117" t="e">
        <f>AND(#REF!,"AAAAAFva930=")</f>
        <v>#REF!</v>
      </c>
      <c r="DW117" t="e">
        <f>AND(#REF!,"AAAAAFva934=")</f>
        <v>#REF!</v>
      </c>
      <c r="DX117" t="e">
        <f>AND(#REF!,"AAAAAFva938=")</f>
        <v>#REF!</v>
      </c>
      <c r="DY117" t="e">
        <f>AND(#REF!,"AAAAAFva94A=")</f>
        <v>#REF!</v>
      </c>
      <c r="DZ117" t="e">
        <f>AND(#REF!,"AAAAAFva94E=")</f>
        <v>#REF!</v>
      </c>
      <c r="EA117" t="e">
        <f>AND(#REF!,"AAAAAFva94I=")</f>
        <v>#REF!</v>
      </c>
      <c r="EB117" t="e">
        <f>AND(#REF!,"AAAAAFva94M=")</f>
        <v>#REF!</v>
      </c>
      <c r="EC117" t="e">
        <f>AND(#REF!,"AAAAAFva94Q=")</f>
        <v>#REF!</v>
      </c>
      <c r="ED117" t="e">
        <f>AND(#REF!,"AAAAAFva94U=")</f>
        <v>#REF!</v>
      </c>
      <c r="EE117" t="e">
        <f>AND(#REF!,"AAAAAFva94Y=")</f>
        <v>#REF!</v>
      </c>
      <c r="EF117" t="e">
        <f>AND(#REF!,"AAAAAFva94c=")</f>
        <v>#REF!</v>
      </c>
      <c r="EG117" t="e">
        <f>AND(#REF!,"AAAAAFva94g=")</f>
        <v>#REF!</v>
      </c>
      <c r="EH117" t="e">
        <f>AND(#REF!,"AAAAAFva94k=")</f>
        <v>#REF!</v>
      </c>
      <c r="EI117" t="e">
        <f>AND(#REF!,"AAAAAFva94o=")</f>
        <v>#REF!</v>
      </c>
      <c r="EJ117" t="e">
        <f>IF(#REF!,"AAAAAFva94s=",0)</f>
        <v>#REF!</v>
      </c>
      <c r="EK117" t="e">
        <f>AND(#REF!,"AAAAAFva94w=")</f>
        <v>#REF!</v>
      </c>
      <c r="EL117" t="e">
        <f>AND(#REF!,"AAAAAFva940=")</f>
        <v>#REF!</v>
      </c>
      <c r="EM117" t="e">
        <f>AND(#REF!,"AAAAAFva944=")</f>
        <v>#REF!</v>
      </c>
      <c r="EN117" t="e">
        <f>AND(#REF!,"AAAAAFva948=")</f>
        <v>#REF!</v>
      </c>
      <c r="EO117" t="e">
        <f>AND(#REF!,"AAAAAFva95A=")</f>
        <v>#REF!</v>
      </c>
      <c r="EP117" t="e">
        <f>AND(#REF!,"AAAAAFva95E=")</f>
        <v>#REF!</v>
      </c>
      <c r="EQ117" t="e">
        <f>AND(#REF!,"AAAAAFva95I=")</f>
        <v>#REF!</v>
      </c>
      <c r="ER117" t="e">
        <f>AND(#REF!,"AAAAAFva95M=")</f>
        <v>#REF!</v>
      </c>
      <c r="ES117" t="e">
        <f>AND(#REF!,"AAAAAFva95Q=")</f>
        <v>#REF!</v>
      </c>
      <c r="ET117" t="e">
        <f>AND(#REF!,"AAAAAFva95U=")</f>
        <v>#REF!</v>
      </c>
      <c r="EU117" t="e">
        <f>AND(#REF!,"AAAAAFva95Y=")</f>
        <v>#REF!</v>
      </c>
      <c r="EV117" t="e">
        <f>AND(#REF!,"AAAAAFva95c=")</f>
        <v>#REF!</v>
      </c>
      <c r="EW117" t="e">
        <f>AND(#REF!,"AAAAAFva95g=")</f>
        <v>#REF!</v>
      </c>
      <c r="EX117" t="e">
        <f>AND(#REF!,"AAAAAFva95k=")</f>
        <v>#REF!</v>
      </c>
      <c r="EY117" t="e">
        <f>AND(#REF!,"AAAAAFva95o=")</f>
        <v>#REF!</v>
      </c>
      <c r="EZ117" t="e">
        <f>AND(#REF!,"AAAAAFva95s=")</f>
        <v>#REF!</v>
      </c>
      <c r="FA117" t="e">
        <f>AND(#REF!,"AAAAAFva95w=")</f>
        <v>#REF!</v>
      </c>
      <c r="FB117" t="e">
        <f>AND(#REF!,"AAAAAFva950=")</f>
        <v>#REF!</v>
      </c>
      <c r="FC117" t="e">
        <f>AND(#REF!,"AAAAAFva954=")</f>
        <v>#REF!</v>
      </c>
      <c r="FD117" t="e">
        <f>AND(#REF!,"AAAAAFva958=")</f>
        <v>#REF!</v>
      </c>
      <c r="FE117" t="e">
        <f>AND(#REF!,"AAAAAFva96A=")</f>
        <v>#REF!</v>
      </c>
      <c r="FF117" t="e">
        <f>AND(#REF!,"AAAAAFva96E=")</f>
        <v>#REF!</v>
      </c>
      <c r="FG117" t="e">
        <f>AND(#REF!,"AAAAAFva96I=")</f>
        <v>#REF!</v>
      </c>
      <c r="FH117" t="e">
        <f>AND(#REF!,"AAAAAFva96M=")</f>
        <v>#REF!</v>
      </c>
      <c r="FI117" t="e">
        <f>IF(#REF!,"AAAAAFva96Q=",0)</f>
        <v>#REF!</v>
      </c>
      <c r="FJ117" t="e">
        <f>AND(#REF!,"AAAAAFva96U=")</f>
        <v>#REF!</v>
      </c>
      <c r="FK117" t="e">
        <f>AND(#REF!,"AAAAAFva96Y=")</f>
        <v>#REF!</v>
      </c>
      <c r="FL117" t="e">
        <f>AND(#REF!,"AAAAAFva96c=")</f>
        <v>#REF!</v>
      </c>
      <c r="FM117" t="e">
        <f>AND(#REF!,"AAAAAFva96g=")</f>
        <v>#REF!</v>
      </c>
      <c r="FN117" t="e">
        <f>AND(#REF!,"AAAAAFva96k=")</f>
        <v>#REF!</v>
      </c>
      <c r="FO117" t="e">
        <f>AND(#REF!,"AAAAAFva96o=")</f>
        <v>#REF!</v>
      </c>
      <c r="FP117" t="e">
        <f>AND(#REF!,"AAAAAFva96s=")</f>
        <v>#REF!</v>
      </c>
      <c r="FQ117" t="e">
        <f>AND(#REF!,"AAAAAFva96w=")</f>
        <v>#REF!</v>
      </c>
      <c r="FR117" t="e">
        <f>AND(#REF!,"AAAAAFva960=")</f>
        <v>#REF!</v>
      </c>
      <c r="FS117" t="e">
        <f>AND(#REF!,"AAAAAFva964=")</f>
        <v>#REF!</v>
      </c>
      <c r="FT117" t="e">
        <f>AND(#REF!,"AAAAAFva968=")</f>
        <v>#REF!</v>
      </c>
      <c r="FU117" t="e">
        <f>AND(#REF!,"AAAAAFva97A=")</f>
        <v>#REF!</v>
      </c>
      <c r="FV117" t="e">
        <f>AND(#REF!,"AAAAAFva97E=")</f>
        <v>#REF!</v>
      </c>
      <c r="FW117" t="e">
        <f>AND(#REF!,"AAAAAFva97I=")</f>
        <v>#REF!</v>
      </c>
      <c r="FX117" t="e">
        <f>AND(#REF!,"AAAAAFva97M=")</f>
        <v>#REF!</v>
      </c>
      <c r="FY117" t="e">
        <f>AND(#REF!,"AAAAAFva97Q=")</f>
        <v>#REF!</v>
      </c>
      <c r="FZ117" t="e">
        <f>AND(#REF!,"AAAAAFva97U=")</f>
        <v>#REF!</v>
      </c>
      <c r="GA117" t="e">
        <f>AND(#REF!,"AAAAAFva97Y=")</f>
        <v>#REF!</v>
      </c>
      <c r="GB117" t="e">
        <f>AND(#REF!,"AAAAAFva97c=")</f>
        <v>#REF!</v>
      </c>
      <c r="GC117" t="e">
        <f>AND(#REF!,"AAAAAFva97g=")</f>
        <v>#REF!</v>
      </c>
      <c r="GD117" t="e">
        <f>AND(#REF!,"AAAAAFva97k=")</f>
        <v>#REF!</v>
      </c>
      <c r="GE117" t="e">
        <f>AND(#REF!,"AAAAAFva97o=")</f>
        <v>#REF!</v>
      </c>
      <c r="GF117" t="e">
        <f>AND(#REF!,"AAAAAFva97s=")</f>
        <v>#REF!</v>
      </c>
      <c r="GG117" t="e">
        <f>AND(#REF!,"AAAAAFva97w=")</f>
        <v>#REF!</v>
      </c>
      <c r="GH117" t="e">
        <f>IF(#REF!,"AAAAAFva970=",0)</f>
        <v>#REF!</v>
      </c>
      <c r="GI117" t="e">
        <f>AND(#REF!,"AAAAAFva974=")</f>
        <v>#REF!</v>
      </c>
      <c r="GJ117" t="e">
        <f>AND(#REF!,"AAAAAFva978=")</f>
        <v>#REF!</v>
      </c>
      <c r="GK117" t="e">
        <f>AND(#REF!,"AAAAAFva98A=")</f>
        <v>#REF!</v>
      </c>
      <c r="GL117" t="e">
        <f>AND(#REF!,"AAAAAFva98E=")</f>
        <v>#REF!</v>
      </c>
      <c r="GM117" t="e">
        <f>AND(#REF!,"AAAAAFva98I=")</f>
        <v>#REF!</v>
      </c>
      <c r="GN117" t="e">
        <f>AND(#REF!,"AAAAAFva98M=")</f>
        <v>#REF!</v>
      </c>
      <c r="GO117" t="e">
        <f>AND(#REF!,"AAAAAFva98Q=")</f>
        <v>#REF!</v>
      </c>
      <c r="GP117" t="e">
        <f>AND(#REF!,"AAAAAFva98U=")</f>
        <v>#REF!</v>
      </c>
      <c r="GQ117" t="e">
        <f>AND(#REF!,"AAAAAFva98Y=")</f>
        <v>#REF!</v>
      </c>
      <c r="GR117" t="e">
        <f>AND(#REF!,"AAAAAFva98c=")</f>
        <v>#REF!</v>
      </c>
      <c r="GS117" t="e">
        <f>AND(#REF!,"AAAAAFva98g=")</f>
        <v>#REF!</v>
      </c>
      <c r="GT117" t="e">
        <f>AND(#REF!,"AAAAAFva98k=")</f>
        <v>#REF!</v>
      </c>
      <c r="GU117" t="e">
        <f>AND(#REF!,"AAAAAFva98o=")</f>
        <v>#REF!</v>
      </c>
      <c r="GV117" t="e">
        <f>AND(#REF!,"AAAAAFva98s=")</f>
        <v>#REF!</v>
      </c>
      <c r="GW117" t="e">
        <f>AND(#REF!,"AAAAAFva98w=")</f>
        <v>#REF!</v>
      </c>
      <c r="GX117" t="e">
        <f>AND(#REF!,"AAAAAFva980=")</f>
        <v>#REF!</v>
      </c>
      <c r="GY117" t="e">
        <f>AND(#REF!,"AAAAAFva984=")</f>
        <v>#REF!</v>
      </c>
      <c r="GZ117" t="e">
        <f>AND(#REF!,"AAAAAFva988=")</f>
        <v>#REF!</v>
      </c>
      <c r="HA117" t="e">
        <f>AND(#REF!,"AAAAAFva99A=")</f>
        <v>#REF!</v>
      </c>
      <c r="HB117" t="e">
        <f>AND(#REF!,"AAAAAFva99E=")</f>
        <v>#REF!</v>
      </c>
      <c r="HC117" t="e">
        <f>AND(#REF!,"AAAAAFva99I=")</f>
        <v>#REF!</v>
      </c>
      <c r="HD117" t="e">
        <f>AND(#REF!,"AAAAAFva99M=")</f>
        <v>#REF!</v>
      </c>
      <c r="HE117" t="e">
        <f>AND(#REF!,"AAAAAFva99Q=")</f>
        <v>#REF!</v>
      </c>
      <c r="HF117" t="e">
        <f>AND(#REF!,"AAAAAFva99U=")</f>
        <v>#REF!</v>
      </c>
      <c r="HG117" t="e">
        <f>IF(#REF!,"AAAAAFva99Y=",0)</f>
        <v>#REF!</v>
      </c>
      <c r="HH117" t="e">
        <f>AND(#REF!,"AAAAAFva99c=")</f>
        <v>#REF!</v>
      </c>
      <c r="HI117" t="e">
        <f>AND(#REF!,"AAAAAFva99g=")</f>
        <v>#REF!</v>
      </c>
      <c r="HJ117" t="e">
        <f>AND(#REF!,"AAAAAFva99k=")</f>
        <v>#REF!</v>
      </c>
      <c r="HK117" t="e">
        <f>AND(#REF!,"AAAAAFva99o=")</f>
        <v>#REF!</v>
      </c>
      <c r="HL117" t="e">
        <f>AND(#REF!,"AAAAAFva99s=")</f>
        <v>#REF!</v>
      </c>
      <c r="HM117" t="e">
        <f>AND(#REF!,"AAAAAFva99w=")</f>
        <v>#REF!</v>
      </c>
      <c r="HN117" t="e">
        <f>AND(#REF!,"AAAAAFva990=")</f>
        <v>#REF!</v>
      </c>
      <c r="HO117" t="e">
        <f>AND(#REF!,"AAAAAFva994=")</f>
        <v>#REF!</v>
      </c>
      <c r="HP117" t="e">
        <f>AND(#REF!,"AAAAAFva998=")</f>
        <v>#REF!</v>
      </c>
      <c r="HQ117" t="e">
        <f>AND(#REF!,"AAAAAFva9+A=")</f>
        <v>#REF!</v>
      </c>
      <c r="HR117" t="e">
        <f>AND(#REF!,"AAAAAFva9+E=")</f>
        <v>#REF!</v>
      </c>
      <c r="HS117" t="e">
        <f>AND(#REF!,"AAAAAFva9+I=")</f>
        <v>#REF!</v>
      </c>
      <c r="HT117" t="e">
        <f>AND(#REF!,"AAAAAFva9+M=")</f>
        <v>#REF!</v>
      </c>
      <c r="HU117" t="e">
        <f>AND(#REF!,"AAAAAFva9+Q=")</f>
        <v>#REF!</v>
      </c>
      <c r="HV117" t="e">
        <f>AND(#REF!,"AAAAAFva9+U=")</f>
        <v>#REF!</v>
      </c>
      <c r="HW117" t="e">
        <f>AND(#REF!,"AAAAAFva9+Y=")</f>
        <v>#REF!</v>
      </c>
      <c r="HX117" t="e">
        <f>AND(#REF!,"AAAAAFva9+c=")</f>
        <v>#REF!</v>
      </c>
      <c r="HY117" t="e">
        <f>AND(#REF!,"AAAAAFva9+g=")</f>
        <v>#REF!</v>
      </c>
      <c r="HZ117" t="e">
        <f>AND(#REF!,"AAAAAFva9+k=")</f>
        <v>#REF!</v>
      </c>
      <c r="IA117" t="e">
        <f>AND(#REF!,"AAAAAFva9+o=")</f>
        <v>#REF!</v>
      </c>
      <c r="IB117" t="e">
        <f>AND(#REF!,"AAAAAFva9+s=")</f>
        <v>#REF!</v>
      </c>
      <c r="IC117" t="e">
        <f>AND(#REF!,"AAAAAFva9+w=")</f>
        <v>#REF!</v>
      </c>
      <c r="ID117" t="e">
        <f>AND(#REF!,"AAAAAFva9+0=")</f>
        <v>#REF!</v>
      </c>
      <c r="IE117" t="e">
        <f>AND(#REF!,"AAAAAFva9+4=")</f>
        <v>#REF!</v>
      </c>
      <c r="IF117" t="e">
        <f>IF(#REF!,"AAAAAFva9+8=",0)</f>
        <v>#REF!</v>
      </c>
      <c r="IG117" t="e">
        <f>AND(#REF!,"AAAAAFva9/A=")</f>
        <v>#REF!</v>
      </c>
      <c r="IH117" t="e">
        <f>AND(#REF!,"AAAAAFva9/E=")</f>
        <v>#REF!</v>
      </c>
      <c r="II117" t="e">
        <f>AND(#REF!,"AAAAAFva9/I=")</f>
        <v>#REF!</v>
      </c>
      <c r="IJ117" t="e">
        <f>AND(#REF!,"AAAAAFva9/M=")</f>
        <v>#REF!</v>
      </c>
      <c r="IK117" t="e">
        <f>AND(#REF!,"AAAAAFva9/Q=")</f>
        <v>#REF!</v>
      </c>
      <c r="IL117" t="e">
        <f>AND(#REF!,"AAAAAFva9/U=")</f>
        <v>#REF!</v>
      </c>
      <c r="IM117" t="e">
        <f>AND(#REF!,"AAAAAFva9/Y=")</f>
        <v>#REF!</v>
      </c>
      <c r="IN117" t="e">
        <f>AND(#REF!,"AAAAAFva9/c=")</f>
        <v>#REF!</v>
      </c>
      <c r="IO117" t="e">
        <f>AND(#REF!,"AAAAAFva9/g=")</f>
        <v>#REF!</v>
      </c>
      <c r="IP117" t="e">
        <f>AND(#REF!,"AAAAAFva9/k=")</f>
        <v>#REF!</v>
      </c>
      <c r="IQ117" t="e">
        <f>AND(#REF!,"AAAAAFva9/o=")</f>
        <v>#REF!</v>
      </c>
      <c r="IR117" t="e">
        <f>AND(#REF!,"AAAAAFva9/s=")</f>
        <v>#REF!</v>
      </c>
      <c r="IS117" t="e">
        <f>AND(#REF!,"AAAAAFva9/w=")</f>
        <v>#REF!</v>
      </c>
      <c r="IT117" t="e">
        <f>AND(#REF!,"AAAAAFva9/0=")</f>
        <v>#REF!</v>
      </c>
      <c r="IU117" t="e">
        <f>AND(#REF!,"AAAAAFva9/4=")</f>
        <v>#REF!</v>
      </c>
      <c r="IV117" t="e">
        <f>AND(#REF!,"AAAAAFva9/8=")</f>
        <v>#REF!</v>
      </c>
    </row>
    <row r="118" spans="1:256">
      <c r="A118" t="e">
        <f>AND(#REF!,"AAAAAH9vtwA=")</f>
        <v>#REF!</v>
      </c>
      <c r="B118" t="e">
        <f>AND(#REF!,"AAAAAH9vtwE=")</f>
        <v>#REF!</v>
      </c>
      <c r="C118" t="e">
        <f>AND(#REF!,"AAAAAH9vtwI=")</f>
        <v>#REF!</v>
      </c>
      <c r="D118" t="e">
        <f>AND(#REF!,"AAAAAH9vtwM=")</f>
        <v>#REF!</v>
      </c>
      <c r="E118" t="e">
        <f>AND(#REF!,"AAAAAH9vtwQ=")</f>
        <v>#REF!</v>
      </c>
      <c r="F118" t="e">
        <f>AND(#REF!,"AAAAAH9vtwU=")</f>
        <v>#REF!</v>
      </c>
      <c r="G118" t="e">
        <f>AND(#REF!,"AAAAAH9vtwY=")</f>
        <v>#REF!</v>
      </c>
      <c r="H118" t="e">
        <f>AND(#REF!,"AAAAAH9vtwc=")</f>
        <v>#REF!</v>
      </c>
      <c r="I118" t="e">
        <f>IF(#REF!,"AAAAAH9vtwg=",0)</f>
        <v>#REF!</v>
      </c>
      <c r="J118" t="e">
        <f>AND(#REF!,"AAAAAH9vtwk=")</f>
        <v>#REF!</v>
      </c>
      <c r="K118" t="e">
        <f>AND(#REF!,"AAAAAH9vtwo=")</f>
        <v>#REF!</v>
      </c>
      <c r="L118" t="e">
        <f>AND(#REF!,"AAAAAH9vtws=")</f>
        <v>#REF!</v>
      </c>
      <c r="M118" t="e">
        <f>AND(#REF!,"AAAAAH9vtww=")</f>
        <v>#REF!</v>
      </c>
      <c r="N118" t="e">
        <f>AND(#REF!,"AAAAAH9vtw0=")</f>
        <v>#REF!</v>
      </c>
      <c r="O118" t="e">
        <f>AND(#REF!,"AAAAAH9vtw4=")</f>
        <v>#REF!</v>
      </c>
      <c r="P118" t="e">
        <f>AND(#REF!,"AAAAAH9vtw8=")</f>
        <v>#REF!</v>
      </c>
      <c r="Q118" t="e">
        <f>AND(#REF!,"AAAAAH9vtxA=")</f>
        <v>#REF!</v>
      </c>
      <c r="R118" t="e">
        <f>AND(#REF!,"AAAAAH9vtxE=")</f>
        <v>#REF!</v>
      </c>
      <c r="S118" t="e">
        <f>AND(#REF!,"AAAAAH9vtxI=")</f>
        <v>#REF!</v>
      </c>
      <c r="T118" t="e">
        <f>AND(#REF!,"AAAAAH9vtxM=")</f>
        <v>#REF!</v>
      </c>
      <c r="U118" t="e">
        <f>AND(#REF!,"AAAAAH9vtxQ=")</f>
        <v>#REF!</v>
      </c>
      <c r="V118" t="e">
        <f>AND(#REF!,"AAAAAH9vtxU=")</f>
        <v>#REF!</v>
      </c>
      <c r="W118" t="e">
        <f>AND(#REF!,"AAAAAH9vtxY=")</f>
        <v>#REF!</v>
      </c>
      <c r="X118" t="e">
        <f>AND(#REF!,"AAAAAH9vtxc=")</f>
        <v>#REF!</v>
      </c>
      <c r="Y118" t="e">
        <f>AND(#REF!,"AAAAAH9vtxg=")</f>
        <v>#REF!</v>
      </c>
      <c r="Z118" t="e">
        <f>AND(#REF!,"AAAAAH9vtxk=")</f>
        <v>#REF!</v>
      </c>
      <c r="AA118" t="e">
        <f>AND(#REF!,"AAAAAH9vtxo=")</f>
        <v>#REF!</v>
      </c>
      <c r="AB118" t="e">
        <f>AND(#REF!,"AAAAAH9vtxs=")</f>
        <v>#REF!</v>
      </c>
      <c r="AC118" t="e">
        <f>AND(#REF!,"AAAAAH9vtxw=")</f>
        <v>#REF!</v>
      </c>
      <c r="AD118" t="e">
        <f>AND(#REF!,"AAAAAH9vtx0=")</f>
        <v>#REF!</v>
      </c>
      <c r="AE118" t="e">
        <f>AND(#REF!,"AAAAAH9vtx4=")</f>
        <v>#REF!</v>
      </c>
      <c r="AF118" t="e">
        <f>AND(#REF!,"AAAAAH9vtx8=")</f>
        <v>#REF!</v>
      </c>
      <c r="AG118" t="e">
        <f>AND(#REF!,"AAAAAH9vtyA=")</f>
        <v>#REF!</v>
      </c>
      <c r="AH118" t="e">
        <f>IF(#REF!,"AAAAAH9vtyE=",0)</f>
        <v>#REF!</v>
      </c>
      <c r="AI118" t="e">
        <f>AND(#REF!,"AAAAAH9vtyI=")</f>
        <v>#REF!</v>
      </c>
      <c r="AJ118" t="e">
        <f>AND(#REF!,"AAAAAH9vtyM=")</f>
        <v>#REF!</v>
      </c>
      <c r="AK118" t="e">
        <f>AND(#REF!,"AAAAAH9vtyQ=")</f>
        <v>#REF!</v>
      </c>
      <c r="AL118" t="e">
        <f>AND(#REF!,"AAAAAH9vtyU=")</f>
        <v>#REF!</v>
      </c>
      <c r="AM118" t="e">
        <f>AND(#REF!,"AAAAAH9vtyY=")</f>
        <v>#REF!</v>
      </c>
      <c r="AN118" t="e">
        <f>AND(#REF!,"AAAAAH9vtyc=")</f>
        <v>#REF!</v>
      </c>
      <c r="AO118" t="e">
        <f>AND(#REF!,"AAAAAH9vtyg=")</f>
        <v>#REF!</v>
      </c>
      <c r="AP118" t="e">
        <f>AND(#REF!,"AAAAAH9vtyk=")</f>
        <v>#REF!</v>
      </c>
      <c r="AQ118" t="e">
        <f>AND(#REF!,"AAAAAH9vtyo=")</f>
        <v>#REF!</v>
      </c>
      <c r="AR118" t="e">
        <f>AND(#REF!,"AAAAAH9vtys=")</f>
        <v>#REF!</v>
      </c>
      <c r="AS118" t="e">
        <f>AND(#REF!,"AAAAAH9vtyw=")</f>
        <v>#REF!</v>
      </c>
      <c r="AT118" t="e">
        <f>AND(#REF!,"AAAAAH9vty0=")</f>
        <v>#REF!</v>
      </c>
      <c r="AU118" t="e">
        <f>AND(#REF!,"AAAAAH9vty4=")</f>
        <v>#REF!</v>
      </c>
      <c r="AV118" t="e">
        <f>AND(#REF!,"AAAAAH9vty8=")</f>
        <v>#REF!</v>
      </c>
      <c r="AW118" t="e">
        <f>AND(#REF!,"AAAAAH9vtzA=")</f>
        <v>#REF!</v>
      </c>
      <c r="AX118" t="e">
        <f>AND(#REF!,"AAAAAH9vtzE=")</f>
        <v>#REF!</v>
      </c>
      <c r="AY118" t="e">
        <f>AND(#REF!,"AAAAAH9vtzI=")</f>
        <v>#REF!</v>
      </c>
      <c r="AZ118" t="e">
        <f>AND(#REF!,"AAAAAH9vtzM=")</f>
        <v>#REF!</v>
      </c>
      <c r="BA118" t="e">
        <f>AND(#REF!,"AAAAAH9vtzQ=")</f>
        <v>#REF!</v>
      </c>
      <c r="BB118" t="e">
        <f>AND(#REF!,"AAAAAH9vtzU=")</f>
        <v>#REF!</v>
      </c>
      <c r="BC118" t="e">
        <f>AND(#REF!,"AAAAAH9vtzY=")</f>
        <v>#REF!</v>
      </c>
      <c r="BD118" t="e">
        <f>AND(#REF!,"AAAAAH9vtzc=")</f>
        <v>#REF!</v>
      </c>
      <c r="BE118" t="e">
        <f>AND(#REF!,"AAAAAH9vtzg=")</f>
        <v>#REF!</v>
      </c>
      <c r="BF118" t="e">
        <f>AND(#REF!,"AAAAAH9vtzk=")</f>
        <v>#REF!</v>
      </c>
      <c r="BG118" t="e">
        <f>IF(#REF!,"AAAAAH9vtzo=",0)</f>
        <v>#REF!</v>
      </c>
      <c r="BH118" t="e">
        <f>AND(#REF!,"AAAAAH9vtzs=")</f>
        <v>#REF!</v>
      </c>
      <c r="BI118" t="e">
        <f>AND(#REF!,"AAAAAH9vtzw=")</f>
        <v>#REF!</v>
      </c>
      <c r="BJ118" t="e">
        <f>AND(#REF!,"AAAAAH9vtz0=")</f>
        <v>#REF!</v>
      </c>
      <c r="BK118" t="e">
        <f>AND(#REF!,"AAAAAH9vtz4=")</f>
        <v>#REF!</v>
      </c>
      <c r="BL118" t="e">
        <f>AND(#REF!,"AAAAAH9vtz8=")</f>
        <v>#REF!</v>
      </c>
      <c r="BM118" t="e">
        <f>AND(#REF!,"AAAAAH9vt0A=")</f>
        <v>#REF!</v>
      </c>
      <c r="BN118" t="e">
        <f>AND(#REF!,"AAAAAH9vt0E=")</f>
        <v>#REF!</v>
      </c>
      <c r="BO118" t="e">
        <f>AND(#REF!,"AAAAAH9vt0I=")</f>
        <v>#REF!</v>
      </c>
      <c r="BP118" t="e">
        <f>AND(#REF!,"AAAAAH9vt0M=")</f>
        <v>#REF!</v>
      </c>
      <c r="BQ118" t="e">
        <f>AND(#REF!,"AAAAAH9vt0Q=")</f>
        <v>#REF!</v>
      </c>
      <c r="BR118" t="e">
        <f>AND(#REF!,"AAAAAH9vt0U=")</f>
        <v>#REF!</v>
      </c>
      <c r="BS118" t="e">
        <f>AND(#REF!,"AAAAAH9vt0Y=")</f>
        <v>#REF!</v>
      </c>
      <c r="BT118" t="e">
        <f>AND(#REF!,"AAAAAH9vt0c=")</f>
        <v>#REF!</v>
      </c>
      <c r="BU118" t="e">
        <f>AND(#REF!,"AAAAAH9vt0g=")</f>
        <v>#REF!</v>
      </c>
      <c r="BV118" t="e">
        <f>AND(#REF!,"AAAAAH9vt0k=")</f>
        <v>#REF!</v>
      </c>
      <c r="BW118" t="e">
        <f>AND(#REF!,"AAAAAH9vt0o=")</f>
        <v>#REF!</v>
      </c>
      <c r="BX118" t="e">
        <f>AND(#REF!,"AAAAAH9vt0s=")</f>
        <v>#REF!</v>
      </c>
      <c r="BY118" t="e">
        <f>AND(#REF!,"AAAAAH9vt0w=")</f>
        <v>#REF!</v>
      </c>
      <c r="BZ118" t="e">
        <f>AND(#REF!,"AAAAAH9vt00=")</f>
        <v>#REF!</v>
      </c>
      <c r="CA118" t="e">
        <f>AND(#REF!,"AAAAAH9vt04=")</f>
        <v>#REF!</v>
      </c>
      <c r="CB118" t="e">
        <f>AND(#REF!,"AAAAAH9vt08=")</f>
        <v>#REF!</v>
      </c>
      <c r="CC118" t="e">
        <f>AND(#REF!,"AAAAAH9vt1A=")</f>
        <v>#REF!</v>
      </c>
      <c r="CD118" t="e">
        <f>AND(#REF!,"AAAAAH9vt1E=")</f>
        <v>#REF!</v>
      </c>
      <c r="CE118" t="e">
        <f>AND(#REF!,"AAAAAH9vt1I=")</f>
        <v>#REF!</v>
      </c>
      <c r="CF118" t="e">
        <f>IF(#REF!,"AAAAAH9vt1M=",0)</f>
        <v>#REF!</v>
      </c>
      <c r="CG118" t="e">
        <f>AND(#REF!,"AAAAAH9vt1Q=")</f>
        <v>#REF!</v>
      </c>
      <c r="CH118" t="e">
        <f>AND(#REF!,"AAAAAH9vt1U=")</f>
        <v>#REF!</v>
      </c>
      <c r="CI118" t="e">
        <f>AND(#REF!,"AAAAAH9vt1Y=")</f>
        <v>#REF!</v>
      </c>
      <c r="CJ118" t="e">
        <f>AND(#REF!,"AAAAAH9vt1c=")</f>
        <v>#REF!</v>
      </c>
      <c r="CK118" t="e">
        <f>AND(#REF!,"AAAAAH9vt1g=")</f>
        <v>#REF!</v>
      </c>
      <c r="CL118" t="e">
        <f>AND(#REF!,"AAAAAH9vt1k=")</f>
        <v>#REF!</v>
      </c>
      <c r="CM118" t="e">
        <f>AND(#REF!,"AAAAAH9vt1o=")</f>
        <v>#REF!</v>
      </c>
      <c r="CN118" t="e">
        <f>AND(#REF!,"AAAAAH9vt1s=")</f>
        <v>#REF!</v>
      </c>
      <c r="CO118" t="e">
        <f>AND(#REF!,"AAAAAH9vt1w=")</f>
        <v>#REF!</v>
      </c>
      <c r="CP118" t="e">
        <f>AND(#REF!,"AAAAAH9vt10=")</f>
        <v>#REF!</v>
      </c>
      <c r="CQ118" t="e">
        <f>AND(#REF!,"AAAAAH9vt14=")</f>
        <v>#REF!</v>
      </c>
      <c r="CR118" t="e">
        <f>AND(#REF!,"AAAAAH9vt18=")</f>
        <v>#REF!</v>
      </c>
      <c r="CS118" t="e">
        <f>AND(#REF!,"AAAAAH9vt2A=")</f>
        <v>#REF!</v>
      </c>
      <c r="CT118" t="e">
        <f>AND(#REF!,"AAAAAH9vt2E=")</f>
        <v>#REF!</v>
      </c>
      <c r="CU118" t="e">
        <f>AND(#REF!,"AAAAAH9vt2I=")</f>
        <v>#REF!</v>
      </c>
      <c r="CV118" t="e">
        <f>AND(#REF!,"AAAAAH9vt2M=")</f>
        <v>#REF!</v>
      </c>
      <c r="CW118" t="e">
        <f>AND(#REF!,"AAAAAH9vt2Q=")</f>
        <v>#REF!</v>
      </c>
      <c r="CX118" t="e">
        <f>AND(#REF!,"AAAAAH9vt2U=")</f>
        <v>#REF!</v>
      </c>
      <c r="CY118" t="e">
        <f>AND(#REF!,"AAAAAH9vt2Y=")</f>
        <v>#REF!</v>
      </c>
      <c r="CZ118" t="e">
        <f>AND(#REF!,"AAAAAH9vt2c=")</f>
        <v>#REF!</v>
      </c>
      <c r="DA118" t="e">
        <f>AND(#REF!,"AAAAAH9vt2g=")</f>
        <v>#REF!</v>
      </c>
      <c r="DB118" t="e">
        <f>AND(#REF!,"AAAAAH9vt2k=")</f>
        <v>#REF!</v>
      </c>
      <c r="DC118" t="e">
        <f>AND(#REF!,"AAAAAH9vt2o=")</f>
        <v>#REF!</v>
      </c>
      <c r="DD118" t="e">
        <f>AND(#REF!,"AAAAAH9vt2s=")</f>
        <v>#REF!</v>
      </c>
      <c r="DE118" t="e">
        <f>IF(#REF!,"AAAAAH9vt2w=",0)</f>
        <v>#REF!</v>
      </c>
      <c r="DF118" t="e">
        <f>AND(#REF!,"AAAAAH9vt20=")</f>
        <v>#REF!</v>
      </c>
      <c r="DG118" t="e">
        <f>AND(#REF!,"AAAAAH9vt24=")</f>
        <v>#REF!</v>
      </c>
      <c r="DH118" t="e">
        <f>AND(#REF!,"AAAAAH9vt28=")</f>
        <v>#REF!</v>
      </c>
      <c r="DI118" t="e">
        <f>AND(#REF!,"AAAAAH9vt3A=")</f>
        <v>#REF!</v>
      </c>
      <c r="DJ118" t="e">
        <f>AND(#REF!,"AAAAAH9vt3E=")</f>
        <v>#REF!</v>
      </c>
      <c r="DK118" t="e">
        <f>AND(#REF!,"AAAAAH9vt3I=")</f>
        <v>#REF!</v>
      </c>
      <c r="DL118" t="e">
        <f>AND(#REF!,"AAAAAH9vt3M=")</f>
        <v>#REF!</v>
      </c>
      <c r="DM118" t="e">
        <f>AND(#REF!,"AAAAAH9vt3Q=")</f>
        <v>#REF!</v>
      </c>
      <c r="DN118" t="e">
        <f>AND(#REF!,"AAAAAH9vt3U=")</f>
        <v>#REF!</v>
      </c>
      <c r="DO118" t="e">
        <f>AND(#REF!,"AAAAAH9vt3Y=")</f>
        <v>#REF!</v>
      </c>
      <c r="DP118" t="e">
        <f>AND(#REF!,"AAAAAH9vt3c=")</f>
        <v>#REF!</v>
      </c>
      <c r="DQ118" t="e">
        <f>AND(#REF!,"AAAAAH9vt3g=")</f>
        <v>#REF!</v>
      </c>
      <c r="DR118" t="e">
        <f>AND(#REF!,"AAAAAH9vt3k=")</f>
        <v>#REF!</v>
      </c>
      <c r="DS118" t="e">
        <f>AND(#REF!,"AAAAAH9vt3o=")</f>
        <v>#REF!</v>
      </c>
      <c r="DT118" t="e">
        <f>AND(#REF!,"AAAAAH9vt3s=")</f>
        <v>#REF!</v>
      </c>
      <c r="DU118" t="e">
        <f>AND(#REF!,"AAAAAH9vt3w=")</f>
        <v>#REF!</v>
      </c>
      <c r="DV118" t="e">
        <f>AND(#REF!,"AAAAAH9vt30=")</f>
        <v>#REF!</v>
      </c>
      <c r="DW118" t="e">
        <f>AND(#REF!,"AAAAAH9vt34=")</f>
        <v>#REF!</v>
      </c>
      <c r="DX118" t="e">
        <f>AND(#REF!,"AAAAAH9vt38=")</f>
        <v>#REF!</v>
      </c>
      <c r="DY118" t="e">
        <f>AND(#REF!,"AAAAAH9vt4A=")</f>
        <v>#REF!</v>
      </c>
      <c r="DZ118" t="e">
        <f>AND(#REF!,"AAAAAH9vt4E=")</f>
        <v>#REF!</v>
      </c>
      <c r="EA118" t="e">
        <f>AND(#REF!,"AAAAAH9vt4I=")</f>
        <v>#REF!</v>
      </c>
      <c r="EB118" t="e">
        <f>AND(#REF!,"AAAAAH9vt4M=")</f>
        <v>#REF!</v>
      </c>
      <c r="EC118" t="e">
        <f>AND(#REF!,"AAAAAH9vt4Q=")</f>
        <v>#REF!</v>
      </c>
      <c r="ED118" t="e">
        <f>IF(#REF!,"AAAAAH9vt4U=",0)</f>
        <v>#REF!</v>
      </c>
      <c r="EE118" t="e">
        <f>AND(#REF!,"AAAAAH9vt4Y=")</f>
        <v>#REF!</v>
      </c>
      <c r="EF118" t="e">
        <f>AND(#REF!,"AAAAAH9vt4c=")</f>
        <v>#REF!</v>
      </c>
      <c r="EG118" t="e">
        <f>AND(#REF!,"AAAAAH9vt4g=")</f>
        <v>#REF!</v>
      </c>
      <c r="EH118" t="e">
        <f>AND(#REF!,"AAAAAH9vt4k=")</f>
        <v>#REF!</v>
      </c>
      <c r="EI118" t="e">
        <f>AND(#REF!,"AAAAAH9vt4o=")</f>
        <v>#REF!</v>
      </c>
      <c r="EJ118" t="e">
        <f>AND(#REF!,"AAAAAH9vt4s=")</f>
        <v>#REF!</v>
      </c>
      <c r="EK118" t="e">
        <f>AND(#REF!,"AAAAAH9vt4w=")</f>
        <v>#REF!</v>
      </c>
      <c r="EL118" t="e">
        <f>AND(#REF!,"AAAAAH9vt40=")</f>
        <v>#REF!</v>
      </c>
      <c r="EM118" t="e">
        <f>AND(#REF!,"AAAAAH9vt44=")</f>
        <v>#REF!</v>
      </c>
      <c r="EN118" t="e">
        <f>AND(#REF!,"AAAAAH9vt48=")</f>
        <v>#REF!</v>
      </c>
      <c r="EO118" t="e">
        <f>AND(#REF!,"AAAAAH9vt5A=")</f>
        <v>#REF!</v>
      </c>
      <c r="EP118" t="e">
        <f>AND(#REF!,"AAAAAH9vt5E=")</f>
        <v>#REF!</v>
      </c>
      <c r="EQ118" t="e">
        <f>AND(#REF!,"AAAAAH9vt5I=")</f>
        <v>#REF!</v>
      </c>
      <c r="ER118" t="e">
        <f>AND(#REF!,"AAAAAH9vt5M=")</f>
        <v>#REF!</v>
      </c>
      <c r="ES118" t="e">
        <f>AND(#REF!,"AAAAAH9vt5Q=")</f>
        <v>#REF!</v>
      </c>
      <c r="ET118" t="e">
        <f>AND(#REF!,"AAAAAH9vt5U=")</f>
        <v>#REF!</v>
      </c>
      <c r="EU118" t="e">
        <f>AND(#REF!,"AAAAAH9vt5Y=")</f>
        <v>#REF!</v>
      </c>
      <c r="EV118" t="e">
        <f>AND(#REF!,"AAAAAH9vt5c=")</f>
        <v>#REF!</v>
      </c>
      <c r="EW118" t="e">
        <f>AND(#REF!,"AAAAAH9vt5g=")</f>
        <v>#REF!</v>
      </c>
      <c r="EX118" t="e">
        <f>AND(#REF!,"AAAAAH9vt5k=")</f>
        <v>#REF!</v>
      </c>
      <c r="EY118" t="e">
        <f>AND(#REF!,"AAAAAH9vt5o=")</f>
        <v>#REF!</v>
      </c>
      <c r="EZ118" t="e">
        <f>AND(#REF!,"AAAAAH9vt5s=")</f>
        <v>#REF!</v>
      </c>
      <c r="FA118" t="e">
        <f>AND(#REF!,"AAAAAH9vt5w=")</f>
        <v>#REF!</v>
      </c>
      <c r="FB118" t="e">
        <f>AND(#REF!,"AAAAAH9vt50=")</f>
        <v>#REF!</v>
      </c>
      <c r="FC118" t="e">
        <f>IF(#REF!,"AAAAAH9vt54=",0)</f>
        <v>#REF!</v>
      </c>
      <c r="FD118" t="e">
        <f>AND(#REF!,"AAAAAH9vt58=")</f>
        <v>#REF!</v>
      </c>
      <c r="FE118" t="e">
        <f>AND(#REF!,"AAAAAH9vt6A=")</f>
        <v>#REF!</v>
      </c>
      <c r="FF118" t="e">
        <f>AND(#REF!,"AAAAAH9vt6E=")</f>
        <v>#REF!</v>
      </c>
      <c r="FG118" t="e">
        <f>AND(#REF!,"AAAAAH9vt6I=")</f>
        <v>#REF!</v>
      </c>
      <c r="FH118" t="e">
        <f>AND(#REF!,"AAAAAH9vt6M=")</f>
        <v>#REF!</v>
      </c>
      <c r="FI118" t="e">
        <f>AND(#REF!,"AAAAAH9vt6Q=")</f>
        <v>#REF!</v>
      </c>
      <c r="FJ118" t="e">
        <f>AND(#REF!,"AAAAAH9vt6U=")</f>
        <v>#REF!</v>
      </c>
      <c r="FK118" t="e">
        <f>AND(#REF!,"AAAAAH9vt6Y=")</f>
        <v>#REF!</v>
      </c>
      <c r="FL118" t="e">
        <f>AND(#REF!,"AAAAAH9vt6c=")</f>
        <v>#REF!</v>
      </c>
      <c r="FM118" t="e">
        <f>AND(#REF!,"AAAAAH9vt6g=")</f>
        <v>#REF!</v>
      </c>
      <c r="FN118" t="e">
        <f>AND(#REF!,"AAAAAH9vt6k=")</f>
        <v>#REF!</v>
      </c>
      <c r="FO118" t="e">
        <f>AND(#REF!,"AAAAAH9vt6o=")</f>
        <v>#REF!</v>
      </c>
      <c r="FP118" t="e">
        <f>AND(#REF!,"AAAAAH9vt6s=")</f>
        <v>#REF!</v>
      </c>
      <c r="FQ118" t="e">
        <f>AND(#REF!,"AAAAAH9vt6w=")</f>
        <v>#REF!</v>
      </c>
      <c r="FR118" t="e">
        <f>AND(#REF!,"AAAAAH9vt60=")</f>
        <v>#REF!</v>
      </c>
      <c r="FS118" t="e">
        <f>AND(#REF!,"AAAAAH9vt64=")</f>
        <v>#REF!</v>
      </c>
      <c r="FT118" t="e">
        <f>AND(#REF!,"AAAAAH9vt68=")</f>
        <v>#REF!</v>
      </c>
      <c r="FU118" t="e">
        <f>AND(#REF!,"AAAAAH9vt7A=")</f>
        <v>#REF!</v>
      </c>
      <c r="FV118" t="e">
        <f>AND(#REF!,"AAAAAH9vt7E=")</f>
        <v>#REF!</v>
      </c>
      <c r="FW118" t="e">
        <f>AND(#REF!,"AAAAAH9vt7I=")</f>
        <v>#REF!</v>
      </c>
      <c r="FX118" t="e">
        <f>AND(#REF!,"AAAAAH9vt7M=")</f>
        <v>#REF!</v>
      </c>
      <c r="FY118" t="e">
        <f>AND(#REF!,"AAAAAH9vt7Q=")</f>
        <v>#REF!</v>
      </c>
      <c r="FZ118" t="e">
        <f>AND(#REF!,"AAAAAH9vt7U=")</f>
        <v>#REF!</v>
      </c>
      <c r="GA118" t="e">
        <f>AND(#REF!,"AAAAAH9vt7Y=")</f>
        <v>#REF!</v>
      </c>
      <c r="GB118" t="e">
        <f>IF(#REF!,"AAAAAH9vt7c=",0)</f>
        <v>#REF!</v>
      </c>
      <c r="GC118" t="e">
        <f>AND(#REF!,"AAAAAH9vt7g=")</f>
        <v>#REF!</v>
      </c>
      <c r="GD118" t="e">
        <f>AND(#REF!,"AAAAAH9vt7k=")</f>
        <v>#REF!</v>
      </c>
      <c r="GE118" t="e">
        <f>AND(#REF!,"AAAAAH9vt7o=")</f>
        <v>#REF!</v>
      </c>
      <c r="GF118" t="e">
        <f>AND(#REF!,"AAAAAH9vt7s=")</f>
        <v>#REF!</v>
      </c>
      <c r="GG118" t="e">
        <f>AND(#REF!,"AAAAAH9vt7w=")</f>
        <v>#REF!</v>
      </c>
      <c r="GH118" t="e">
        <f>AND(#REF!,"AAAAAH9vt70=")</f>
        <v>#REF!</v>
      </c>
      <c r="GI118" t="e">
        <f>AND(#REF!,"AAAAAH9vt74=")</f>
        <v>#REF!</v>
      </c>
      <c r="GJ118" t="e">
        <f>AND(#REF!,"AAAAAH9vt78=")</f>
        <v>#REF!</v>
      </c>
      <c r="GK118" t="e">
        <f>AND(#REF!,"AAAAAH9vt8A=")</f>
        <v>#REF!</v>
      </c>
      <c r="GL118" t="e">
        <f>AND(#REF!,"AAAAAH9vt8E=")</f>
        <v>#REF!</v>
      </c>
      <c r="GM118" t="e">
        <f>AND(#REF!,"AAAAAH9vt8I=")</f>
        <v>#REF!</v>
      </c>
      <c r="GN118" t="e">
        <f>AND(#REF!,"AAAAAH9vt8M=")</f>
        <v>#REF!</v>
      </c>
      <c r="GO118" t="e">
        <f>AND(#REF!,"AAAAAH9vt8Q=")</f>
        <v>#REF!</v>
      </c>
      <c r="GP118" t="e">
        <f>AND(#REF!,"AAAAAH9vt8U=")</f>
        <v>#REF!</v>
      </c>
      <c r="GQ118" t="e">
        <f>AND(#REF!,"AAAAAH9vt8Y=")</f>
        <v>#REF!</v>
      </c>
      <c r="GR118" t="e">
        <f>AND(#REF!,"AAAAAH9vt8c=")</f>
        <v>#REF!</v>
      </c>
      <c r="GS118" t="e">
        <f>AND(#REF!,"AAAAAH9vt8g=")</f>
        <v>#REF!</v>
      </c>
      <c r="GT118" t="e">
        <f>AND(#REF!,"AAAAAH9vt8k=")</f>
        <v>#REF!</v>
      </c>
      <c r="GU118" t="e">
        <f>AND(#REF!,"AAAAAH9vt8o=")</f>
        <v>#REF!</v>
      </c>
      <c r="GV118" t="e">
        <f>AND(#REF!,"AAAAAH9vt8s=")</f>
        <v>#REF!</v>
      </c>
      <c r="GW118" t="e">
        <f>AND(#REF!,"AAAAAH9vt8w=")</f>
        <v>#REF!</v>
      </c>
      <c r="GX118" t="e">
        <f>AND(#REF!,"AAAAAH9vt80=")</f>
        <v>#REF!</v>
      </c>
      <c r="GY118" t="e">
        <f>AND(#REF!,"AAAAAH9vt84=")</f>
        <v>#REF!</v>
      </c>
      <c r="GZ118" t="e">
        <f>AND(#REF!,"AAAAAH9vt88=")</f>
        <v>#REF!</v>
      </c>
      <c r="HA118" t="e">
        <f>IF(#REF!,"AAAAAH9vt9A=",0)</f>
        <v>#REF!</v>
      </c>
      <c r="HB118" t="e">
        <f>AND(#REF!,"AAAAAH9vt9E=")</f>
        <v>#REF!</v>
      </c>
      <c r="HC118" t="e">
        <f>AND(#REF!,"AAAAAH9vt9I=")</f>
        <v>#REF!</v>
      </c>
      <c r="HD118" t="e">
        <f>AND(#REF!,"AAAAAH9vt9M=")</f>
        <v>#REF!</v>
      </c>
      <c r="HE118" t="e">
        <f>AND(#REF!,"AAAAAH9vt9Q=")</f>
        <v>#REF!</v>
      </c>
      <c r="HF118" t="e">
        <f>AND(#REF!,"AAAAAH9vt9U=")</f>
        <v>#REF!</v>
      </c>
      <c r="HG118" t="e">
        <f>AND(#REF!,"AAAAAH9vt9Y=")</f>
        <v>#REF!</v>
      </c>
      <c r="HH118" t="e">
        <f>AND(#REF!,"AAAAAH9vt9c=")</f>
        <v>#REF!</v>
      </c>
      <c r="HI118" t="e">
        <f>AND(#REF!,"AAAAAH9vt9g=")</f>
        <v>#REF!</v>
      </c>
      <c r="HJ118" t="e">
        <f>AND(#REF!,"AAAAAH9vt9k=")</f>
        <v>#REF!</v>
      </c>
      <c r="HK118" t="e">
        <f>AND(#REF!,"AAAAAH9vt9o=")</f>
        <v>#REF!</v>
      </c>
      <c r="HL118" t="e">
        <f>AND(#REF!,"AAAAAH9vt9s=")</f>
        <v>#REF!</v>
      </c>
      <c r="HM118" t="e">
        <f>AND(#REF!,"AAAAAH9vt9w=")</f>
        <v>#REF!</v>
      </c>
      <c r="HN118" t="e">
        <f>AND(#REF!,"AAAAAH9vt90=")</f>
        <v>#REF!</v>
      </c>
      <c r="HO118" t="e">
        <f>AND(#REF!,"AAAAAH9vt94=")</f>
        <v>#REF!</v>
      </c>
      <c r="HP118" t="e">
        <f>AND(#REF!,"AAAAAH9vt98=")</f>
        <v>#REF!</v>
      </c>
      <c r="HQ118" t="e">
        <f>AND(#REF!,"AAAAAH9vt+A=")</f>
        <v>#REF!</v>
      </c>
      <c r="HR118" t="e">
        <f>AND(#REF!,"AAAAAH9vt+E=")</f>
        <v>#REF!</v>
      </c>
      <c r="HS118" t="e">
        <f>AND(#REF!,"AAAAAH9vt+I=")</f>
        <v>#REF!</v>
      </c>
      <c r="HT118" t="e">
        <f>AND(#REF!,"AAAAAH9vt+M=")</f>
        <v>#REF!</v>
      </c>
      <c r="HU118" t="e">
        <f>AND(#REF!,"AAAAAH9vt+Q=")</f>
        <v>#REF!</v>
      </c>
      <c r="HV118" t="e">
        <f>AND(#REF!,"AAAAAH9vt+U=")</f>
        <v>#REF!</v>
      </c>
      <c r="HW118" t="e">
        <f>AND(#REF!,"AAAAAH9vt+Y=")</f>
        <v>#REF!</v>
      </c>
      <c r="HX118" t="e">
        <f>AND(#REF!,"AAAAAH9vt+c=")</f>
        <v>#REF!</v>
      </c>
      <c r="HY118" t="e">
        <f>AND(#REF!,"AAAAAH9vt+g=")</f>
        <v>#REF!</v>
      </c>
      <c r="HZ118" t="e">
        <f>IF(#REF!,"AAAAAH9vt+k=",0)</f>
        <v>#REF!</v>
      </c>
      <c r="IA118" t="e">
        <f>AND(#REF!,"AAAAAH9vt+o=")</f>
        <v>#REF!</v>
      </c>
      <c r="IB118" t="e">
        <f>AND(#REF!,"AAAAAH9vt+s=")</f>
        <v>#REF!</v>
      </c>
      <c r="IC118" t="e">
        <f>AND(#REF!,"AAAAAH9vt+w=")</f>
        <v>#REF!</v>
      </c>
      <c r="ID118" t="e">
        <f>AND(#REF!,"AAAAAH9vt+0=")</f>
        <v>#REF!</v>
      </c>
      <c r="IE118" t="e">
        <f>AND(#REF!,"AAAAAH9vt+4=")</f>
        <v>#REF!</v>
      </c>
      <c r="IF118" t="e">
        <f>AND(#REF!,"AAAAAH9vt+8=")</f>
        <v>#REF!</v>
      </c>
      <c r="IG118" t="e">
        <f>AND(#REF!,"AAAAAH9vt/A=")</f>
        <v>#REF!</v>
      </c>
      <c r="IH118" t="e">
        <f>AND(#REF!,"AAAAAH9vt/E=")</f>
        <v>#REF!</v>
      </c>
      <c r="II118" t="e">
        <f>AND(#REF!,"AAAAAH9vt/I=")</f>
        <v>#REF!</v>
      </c>
      <c r="IJ118" t="e">
        <f>AND(#REF!,"AAAAAH9vt/M=")</f>
        <v>#REF!</v>
      </c>
      <c r="IK118" t="e">
        <f>AND(#REF!,"AAAAAH9vt/Q=")</f>
        <v>#REF!</v>
      </c>
      <c r="IL118" t="e">
        <f>AND(#REF!,"AAAAAH9vt/U=")</f>
        <v>#REF!</v>
      </c>
      <c r="IM118" t="e">
        <f>AND(#REF!,"AAAAAH9vt/Y=")</f>
        <v>#REF!</v>
      </c>
      <c r="IN118" t="e">
        <f>AND(#REF!,"AAAAAH9vt/c=")</f>
        <v>#REF!</v>
      </c>
      <c r="IO118" t="e">
        <f>AND(#REF!,"AAAAAH9vt/g=")</f>
        <v>#REF!</v>
      </c>
      <c r="IP118" t="e">
        <f>AND(#REF!,"AAAAAH9vt/k=")</f>
        <v>#REF!</v>
      </c>
      <c r="IQ118" t="e">
        <f>AND(#REF!,"AAAAAH9vt/o=")</f>
        <v>#REF!</v>
      </c>
      <c r="IR118" t="e">
        <f>AND(#REF!,"AAAAAH9vt/s=")</f>
        <v>#REF!</v>
      </c>
      <c r="IS118" t="e">
        <f>AND(#REF!,"AAAAAH9vt/w=")</f>
        <v>#REF!</v>
      </c>
      <c r="IT118" t="e">
        <f>AND(#REF!,"AAAAAH9vt/0=")</f>
        <v>#REF!</v>
      </c>
      <c r="IU118" t="e">
        <f>AND(#REF!,"AAAAAH9vt/4=")</f>
        <v>#REF!</v>
      </c>
      <c r="IV118" t="e">
        <f>AND(#REF!,"AAAAAH9vt/8=")</f>
        <v>#REF!</v>
      </c>
    </row>
    <row r="119" spans="1:256">
      <c r="A119" t="e">
        <f>AND(#REF!,"AAAAAH33+wA=")</f>
        <v>#REF!</v>
      </c>
      <c r="B119" t="e">
        <f>AND(#REF!,"AAAAAH33+wE=")</f>
        <v>#REF!</v>
      </c>
      <c r="C119" t="e">
        <f>IF(#REF!,"AAAAAH33+wI=",0)</f>
        <v>#REF!</v>
      </c>
      <c r="D119" t="e">
        <f>AND(#REF!,"AAAAAH33+wM=")</f>
        <v>#REF!</v>
      </c>
      <c r="E119" t="e">
        <f>AND(#REF!,"AAAAAH33+wQ=")</f>
        <v>#REF!</v>
      </c>
      <c r="F119" t="e">
        <f>AND(#REF!,"AAAAAH33+wU=")</f>
        <v>#REF!</v>
      </c>
      <c r="G119" t="e">
        <f>AND(#REF!,"AAAAAH33+wY=")</f>
        <v>#REF!</v>
      </c>
      <c r="H119" t="e">
        <f>AND(#REF!,"AAAAAH33+wc=")</f>
        <v>#REF!</v>
      </c>
      <c r="I119" t="e">
        <f>AND(#REF!,"AAAAAH33+wg=")</f>
        <v>#REF!</v>
      </c>
      <c r="J119" t="e">
        <f>AND(#REF!,"AAAAAH33+wk=")</f>
        <v>#REF!</v>
      </c>
      <c r="K119" t="e">
        <f>AND(#REF!,"AAAAAH33+wo=")</f>
        <v>#REF!</v>
      </c>
      <c r="L119" t="e">
        <f>AND(#REF!,"AAAAAH33+ws=")</f>
        <v>#REF!</v>
      </c>
      <c r="M119" t="e">
        <f>AND(#REF!,"AAAAAH33+ww=")</f>
        <v>#REF!</v>
      </c>
      <c r="N119" t="e">
        <f>AND(#REF!,"AAAAAH33+w0=")</f>
        <v>#REF!</v>
      </c>
      <c r="O119" t="e">
        <f>AND(#REF!,"AAAAAH33+w4=")</f>
        <v>#REF!</v>
      </c>
      <c r="P119" t="e">
        <f>AND(#REF!,"AAAAAH33+w8=")</f>
        <v>#REF!</v>
      </c>
      <c r="Q119" t="e">
        <f>AND(#REF!,"AAAAAH33+xA=")</f>
        <v>#REF!</v>
      </c>
      <c r="R119" t="e">
        <f>AND(#REF!,"AAAAAH33+xE=")</f>
        <v>#REF!</v>
      </c>
      <c r="S119" t="e">
        <f>AND(#REF!,"AAAAAH33+xI=")</f>
        <v>#REF!</v>
      </c>
      <c r="T119" t="e">
        <f>AND(#REF!,"AAAAAH33+xM=")</f>
        <v>#REF!</v>
      </c>
      <c r="U119" t="e">
        <f>AND(#REF!,"AAAAAH33+xQ=")</f>
        <v>#REF!</v>
      </c>
      <c r="V119" t="e">
        <f>AND(#REF!,"AAAAAH33+xU=")</f>
        <v>#REF!</v>
      </c>
      <c r="W119" t="e">
        <f>AND(#REF!,"AAAAAH33+xY=")</f>
        <v>#REF!</v>
      </c>
      <c r="X119" t="e">
        <f>AND(#REF!,"AAAAAH33+xc=")</f>
        <v>#REF!</v>
      </c>
      <c r="Y119" t="e">
        <f>AND(#REF!,"AAAAAH33+xg=")</f>
        <v>#REF!</v>
      </c>
      <c r="Z119" t="e">
        <f>AND(#REF!,"AAAAAH33+xk=")</f>
        <v>#REF!</v>
      </c>
      <c r="AA119" t="e">
        <f>AND(#REF!,"AAAAAH33+xo=")</f>
        <v>#REF!</v>
      </c>
      <c r="AB119" t="e">
        <f>IF(#REF!,"AAAAAH33+xs=",0)</f>
        <v>#REF!</v>
      </c>
      <c r="AC119" t="e">
        <f>AND(#REF!,"AAAAAH33+xw=")</f>
        <v>#REF!</v>
      </c>
      <c r="AD119" t="e">
        <f>AND(#REF!,"AAAAAH33+x0=")</f>
        <v>#REF!</v>
      </c>
      <c r="AE119" t="e">
        <f>AND(#REF!,"AAAAAH33+x4=")</f>
        <v>#REF!</v>
      </c>
      <c r="AF119" t="e">
        <f>AND(#REF!,"AAAAAH33+x8=")</f>
        <v>#REF!</v>
      </c>
      <c r="AG119" t="e">
        <f>AND(#REF!,"AAAAAH33+yA=")</f>
        <v>#REF!</v>
      </c>
      <c r="AH119" t="e">
        <f>AND(#REF!,"AAAAAH33+yE=")</f>
        <v>#REF!</v>
      </c>
      <c r="AI119" t="e">
        <f>AND(#REF!,"AAAAAH33+yI=")</f>
        <v>#REF!</v>
      </c>
      <c r="AJ119" t="e">
        <f>AND(#REF!,"AAAAAH33+yM=")</f>
        <v>#REF!</v>
      </c>
      <c r="AK119" t="e">
        <f>AND(#REF!,"AAAAAH33+yQ=")</f>
        <v>#REF!</v>
      </c>
      <c r="AL119" t="e">
        <f>AND(#REF!,"AAAAAH33+yU=")</f>
        <v>#REF!</v>
      </c>
      <c r="AM119" t="e">
        <f>AND(#REF!,"AAAAAH33+yY=")</f>
        <v>#REF!</v>
      </c>
      <c r="AN119" t="e">
        <f>AND(#REF!,"AAAAAH33+yc=")</f>
        <v>#REF!</v>
      </c>
      <c r="AO119" t="e">
        <f>AND(#REF!,"AAAAAH33+yg=")</f>
        <v>#REF!</v>
      </c>
      <c r="AP119" t="e">
        <f>AND(#REF!,"AAAAAH33+yk=")</f>
        <v>#REF!</v>
      </c>
      <c r="AQ119" t="e">
        <f>AND(#REF!,"AAAAAH33+yo=")</f>
        <v>#REF!</v>
      </c>
      <c r="AR119" t="e">
        <f>AND(#REF!,"AAAAAH33+ys=")</f>
        <v>#REF!</v>
      </c>
      <c r="AS119" t="e">
        <f>AND(#REF!,"AAAAAH33+yw=")</f>
        <v>#REF!</v>
      </c>
      <c r="AT119" t="e">
        <f>AND(#REF!,"AAAAAH33+y0=")</f>
        <v>#REF!</v>
      </c>
      <c r="AU119" t="e">
        <f>AND(#REF!,"AAAAAH33+y4=")</f>
        <v>#REF!</v>
      </c>
      <c r="AV119" t="e">
        <f>AND(#REF!,"AAAAAH33+y8=")</f>
        <v>#REF!</v>
      </c>
      <c r="AW119" t="e">
        <f>AND(#REF!,"AAAAAH33+zA=")</f>
        <v>#REF!</v>
      </c>
      <c r="AX119" t="e">
        <f>AND(#REF!,"AAAAAH33+zE=")</f>
        <v>#REF!</v>
      </c>
      <c r="AY119" t="e">
        <f>AND(#REF!,"AAAAAH33+zI=")</f>
        <v>#REF!</v>
      </c>
      <c r="AZ119" t="e">
        <f>AND(#REF!,"AAAAAH33+zM=")</f>
        <v>#REF!</v>
      </c>
      <c r="BA119" t="e">
        <f>IF(#REF!,"AAAAAH33+zQ=",0)</f>
        <v>#REF!</v>
      </c>
      <c r="BB119" t="e">
        <f>AND(#REF!,"AAAAAH33+zU=")</f>
        <v>#REF!</v>
      </c>
      <c r="BC119" t="e">
        <f>AND(#REF!,"AAAAAH33+zY=")</f>
        <v>#REF!</v>
      </c>
      <c r="BD119" t="e">
        <f>AND(#REF!,"AAAAAH33+zc=")</f>
        <v>#REF!</v>
      </c>
      <c r="BE119" t="e">
        <f>AND(#REF!,"AAAAAH33+zg=")</f>
        <v>#REF!</v>
      </c>
      <c r="BF119" t="e">
        <f>AND(#REF!,"AAAAAH33+zk=")</f>
        <v>#REF!</v>
      </c>
      <c r="BG119" t="e">
        <f>AND(#REF!,"AAAAAH33+zo=")</f>
        <v>#REF!</v>
      </c>
      <c r="BH119" t="e">
        <f>AND(#REF!,"AAAAAH33+zs=")</f>
        <v>#REF!</v>
      </c>
      <c r="BI119" t="e">
        <f>AND(#REF!,"AAAAAH33+zw=")</f>
        <v>#REF!</v>
      </c>
      <c r="BJ119" t="e">
        <f>AND(#REF!,"AAAAAH33+z0=")</f>
        <v>#REF!</v>
      </c>
      <c r="BK119" t="e">
        <f>AND(#REF!,"AAAAAH33+z4=")</f>
        <v>#REF!</v>
      </c>
      <c r="BL119" t="e">
        <f>AND(#REF!,"AAAAAH33+z8=")</f>
        <v>#REF!</v>
      </c>
      <c r="BM119" t="e">
        <f>AND(#REF!,"AAAAAH33+0A=")</f>
        <v>#REF!</v>
      </c>
      <c r="BN119" t="e">
        <f>AND(#REF!,"AAAAAH33+0E=")</f>
        <v>#REF!</v>
      </c>
      <c r="BO119" t="e">
        <f>AND(#REF!,"AAAAAH33+0I=")</f>
        <v>#REF!</v>
      </c>
      <c r="BP119" t="e">
        <f>AND(#REF!,"AAAAAH33+0M=")</f>
        <v>#REF!</v>
      </c>
      <c r="BQ119" t="e">
        <f>AND(#REF!,"AAAAAH33+0Q=")</f>
        <v>#REF!</v>
      </c>
      <c r="BR119" t="e">
        <f>AND(#REF!,"AAAAAH33+0U=")</f>
        <v>#REF!</v>
      </c>
      <c r="BS119" t="e">
        <f>AND(#REF!,"AAAAAH33+0Y=")</f>
        <v>#REF!</v>
      </c>
      <c r="BT119" t="e">
        <f>AND(#REF!,"AAAAAH33+0c=")</f>
        <v>#REF!</v>
      </c>
      <c r="BU119" t="e">
        <f>AND(#REF!,"AAAAAH33+0g=")</f>
        <v>#REF!</v>
      </c>
      <c r="BV119" t="e">
        <f>AND(#REF!,"AAAAAH33+0k=")</f>
        <v>#REF!</v>
      </c>
      <c r="BW119" t="e">
        <f>AND(#REF!,"AAAAAH33+0o=")</f>
        <v>#REF!</v>
      </c>
      <c r="BX119" t="e">
        <f>AND(#REF!,"AAAAAH33+0s=")</f>
        <v>#REF!</v>
      </c>
      <c r="BY119" t="e">
        <f>AND(#REF!,"AAAAAH33+0w=")</f>
        <v>#REF!</v>
      </c>
      <c r="BZ119" t="e">
        <f>IF(#REF!,"AAAAAH33+00=",0)</f>
        <v>#REF!</v>
      </c>
      <c r="CA119" t="e">
        <f>AND(#REF!,"AAAAAH33+04=")</f>
        <v>#REF!</v>
      </c>
      <c r="CB119" t="e">
        <f>AND(#REF!,"AAAAAH33+08=")</f>
        <v>#REF!</v>
      </c>
      <c r="CC119" t="e">
        <f>AND(#REF!,"AAAAAH33+1A=")</f>
        <v>#REF!</v>
      </c>
      <c r="CD119" t="e">
        <f>AND(#REF!,"AAAAAH33+1E=")</f>
        <v>#REF!</v>
      </c>
      <c r="CE119" t="e">
        <f>AND(#REF!,"AAAAAH33+1I=")</f>
        <v>#REF!</v>
      </c>
      <c r="CF119" t="e">
        <f>AND(#REF!,"AAAAAH33+1M=")</f>
        <v>#REF!</v>
      </c>
      <c r="CG119" t="e">
        <f>AND(#REF!,"AAAAAH33+1Q=")</f>
        <v>#REF!</v>
      </c>
      <c r="CH119" t="e">
        <f>AND(#REF!,"AAAAAH33+1U=")</f>
        <v>#REF!</v>
      </c>
      <c r="CI119" t="e">
        <f>AND(#REF!,"AAAAAH33+1Y=")</f>
        <v>#REF!</v>
      </c>
      <c r="CJ119" t="e">
        <f>AND(#REF!,"AAAAAH33+1c=")</f>
        <v>#REF!</v>
      </c>
      <c r="CK119" t="e">
        <f>AND(#REF!,"AAAAAH33+1g=")</f>
        <v>#REF!</v>
      </c>
      <c r="CL119" t="e">
        <f>AND(#REF!,"AAAAAH33+1k=")</f>
        <v>#REF!</v>
      </c>
      <c r="CM119" t="e">
        <f>AND(#REF!,"AAAAAH33+1o=")</f>
        <v>#REF!</v>
      </c>
      <c r="CN119" t="e">
        <f>AND(#REF!,"AAAAAH33+1s=")</f>
        <v>#REF!</v>
      </c>
      <c r="CO119" t="e">
        <f>AND(#REF!,"AAAAAH33+1w=")</f>
        <v>#REF!</v>
      </c>
      <c r="CP119" t="e">
        <f>AND(#REF!,"AAAAAH33+10=")</f>
        <v>#REF!</v>
      </c>
      <c r="CQ119" t="e">
        <f>AND(#REF!,"AAAAAH33+14=")</f>
        <v>#REF!</v>
      </c>
      <c r="CR119" t="e">
        <f>AND(#REF!,"AAAAAH33+18=")</f>
        <v>#REF!</v>
      </c>
      <c r="CS119" t="e">
        <f>AND(#REF!,"AAAAAH33+2A=")</f>
        <v>#REF!</v>
      </c>
      <c r="CT119" t="e">
        <f>AND(#REF!,"AAAAAH33+2E=")</f>
        <v>#REF!</v>
      </c>
      <c r="CU119" t="e">
        <f>AND(#REF!,"AAAAAH33+2I=")</f>
        <v>#REF!</v>
      </c>
      <c r="CV119" t="e">
        <f>AND(#REF!,"AAAAAH33+2M=")</f>
        <v>#REF!</v>
      </c>
      <c r="CW119" t="e">
        <f>AND(#REF!,"AAAAAH33+2Q=")</f>
        <v>#REF!</v>
      </c>
      <c r="CX119" t="e">
        <f>AND(#REF!,"AAAAAH33+2U=")</f>
        <v>#REF!</v>
      </c>
      <c r="CY119" t="e">
        <f>IF(#REF!,"AAAAAH33+2Y=",0)</f>
        <v>#REF!</v>
      </c>
      <c r="CZ119" t="e">
        <f>AND(#REF!,"AAAAAH33+2c=")</f>
        <v>#REF!</v>
      </c>
      <c r="DA119" t="e">
        <f>AND(#REF!,"AAAAAH33+2g=")</f>
        <v>#REF!</v>
      </c>
      <c r="DB119" t="e">
        <f>AND(#REF!,"AAAAAH33+2k=")</f>
        <v>#REF!</v>
      </c>
      <c r="DC119" t="e">
        <f>AND(#REF!,"AAAAAH33+2o=")</f>
        <v>#REF!</v>
      </c>
      <c r="DD119" t="e">
        <f>AND(#REF!,"AAAAAH33+2s=")</f>
        <v>#REF!</v>
      </c>
      <c r="DE119" t="e">
        <f>AND(#REF!,"AAAAAH33+2w=")</f>
        <v>#REF!</v>
      </c>
      <c r="DF119" t="e">
        <f>AND(#REF!,"AAAAAH33+20=")</f>
        <v>#REF!</v>
      </c>
      <c r="DG119" t="e">
        <f>AND(#REF!,"AAAAAH33+24=")</f>
        <v>#REF!</v>
      </c>
      <c r="DH119" t="e">
        <f>AND(#REF!,"AAAAAH33+28=")</f>
        <v>#REF!</v>
      </c>
      <c r="DI119" t="e">
        <f>AND(#REF!,"AAAAAH33+3A=")</f>
        <v>#REF!</v>
      </c>
      <c r="DJ119" t="e">
        <f>AND(#REF!,"AAAAAH33+3E=")</f>
        <v>#REF!</v>
      </c>
      <c r="DK119" t="e">
        <f>AND(#REF!,"AAAAAH33+3I=")</f>
        <v>#REF!</v>
      </c>
      <c r="DL119" t="e">
        <f>AND(#REF!,"AAAAAH33+3M=")</f>
        <v>#REF!</v>
      </c>
      <c r="DM119" t="e">
        <f>AND(#REF!,"AAAAAH33+3Q=")</f>
        <v>#REF!</v>
      </c>
      <c r="DN119" t="e">
        <f>AND(#REF!,"AAAAAH33+3U=")</f>
        <v>#REF!</v>
      </c>
      <c r="DO119" t="e">
        <f>AND(#REF!,"AAAAAH33+3Y=")</f>
        <v>#REF!</v>
      </c>
      <c r="DP119" t="e">
        <f>AND(#REF!,"AAAAAH33+3c=")</f>
        <v>#REF!</v>
      </c>
      <c r="DQ119" t="e">
        <f>AND(#REF!,"AAAAAH33+3g=")</f>
        <v>#REF!</v>
      </c>
      <c r="DR119" t="e">
        <f>AND(#REF!,"AAAAAH33+3k=")</f>
        <v>#REF!</v>
      </c>
      <c r="DS119" t="e">
        <f>AND(#REF!,"AAAAAH33+3o=")</f>
        <v>#REF!</v>
      </c>
      <c r="DT119" t="e">
        <f>AND(#REF!,"AAAAAH33+3s=")</f>
        <v>#REF!</v>
      </c>
      <c r="DU119" t="e">
        <f>AND(#REF!,"AAAAAH33+3w=")</f>
        <v>#REF!</v>
      </c>
      <c r="DV119" t="e">
        <f>AND(#REF!,"AAAAAH33+30=")</f>
        <v>#REF!</v>
      </c>
      <c r="DW119" t="e">
        <f>AND(#REF!,"AAAAAH33+34=")</f>
        <v>#REF!</v>
      </c>
      <c r="DX119" t="e">
        <f>IF(#REF!,"AAAAAH33+38=",0)</f>
        <v>#REF!</v>
      </c>
      <c r="DY119" t="e">
        <f>AND(#REF!,"AAAAAH33+4A=")</f>
        <v>#REF!</v>
      </c>
      <c r="DZ119" t="e">
        <f>AND(#REF!,"AAAAAH33+4E=")</f>
        <v>#REF!</v>
      </c>
      <c r="EA119" t="e">
        <f>AND(#REF!,"AAAAAH33+4I=")</f>
        <v>#REF!</v>
      </c>
      <c r="EB119" t="e">
        <f>AND(#REF!,"AAAAAH33+4M=")</f>
        <v>#REF!</v>
      </c>
      <c r="EC119" t="e">
        <f>AND(#REF!,"AAAAAH33+4Q=")</f>
        <v>#REF!</v>
      </c>
      <c r="ED119" t="e">
        <f>AND(#REF!,"AAAAAH33+4U=")</f>
        <v>#REF!</v>
      </c>
      <c r="EE119" t="e">
        <f>AND(#REF!,"AAAAAH33+4Y=")</f>
        <v>#REF!</v>
      </c>
      <c r="EF119" t="e">
        <f>AND(#REF!,"AAAAAH33+4c=")</f>
        <v>#REF!</v>
      </c>
      <c r="EG119" t="e">
        <f>AND(#REF!,"AAAAAH33+4g=")</f>
        <v>#REF!</v>
      </c>
      <c r="EH119" t="e">
        <f>AND(#REF!,"AAAAAH33+4k=")</f>
        <v>#REF!</v>
      </c>
      <c r="EI119" t="e">
        <f>AND(#REF!,"AAAAAH33+4o=")</f>
        <v>#REF!</v>
      </c>
      <c r="EJ119" t="e">
        <f>AND(#REF!,"AAAAAH33+4s=")</f>
        <v>#REF!</v>
      </c>
      <c r="EK119" t="e">
        <f>AND(#REF!,"AAAAAH33+4w=")</f>
        <v>#REF!</v>
      </c>
      <c r="EL119" t="e">
        <f>AND(#REF!,"AAAAAH33+40=")</f>
        <v>#REF!</v>
      </c>
      <c r="EM119" t="e">
        <f>AND(#REF!,"AAAAAH33+44=")</f>
        <v>#REF!</v>
      </c>
      <c r="EN119" t="e">
        <f>AND(#REF!,"AAAAAH33+48=")</f>
        <v>#REF!</v>
      </c>
      <c r="EO119" t="e">
        <f>AND(#REF!,"AAAAAH33+5A=")</f>
        <v>#REF!</v>
      </c>
      <c r="EP119" t="e">
        <f>AND(#REF!,"AAAAAH33+5E=")</f>
        <v>#REF!</v>
      </c>
      <c r="EQ119" t="e">
        <f>AND(#REF!,"AAAAAH33+5I=")</f>
        <v>#REF!</v>
      </c>
      <c r="ER119" t="e">
        <f>AND(#REF!,"AAAAAH33+5M=")</f>
        <v>#REF!</v>
      </c>
      <c r="ES119" t="e">
        <f>AND(#REF!,"AAAAAH33+5Q=")</f>
        <v>#REF!</v>
      </c>
      <c r="ET119" t="e">
        <f>AND(#REF!,"AAAAAH33+5U=")</f>
        <v>#REF!</v>
      </c>
      <c r="EU119" t="e">
        <f>AND(#REF!,"AAAAAH33+5Y=")</f>
        <v>#REF!</v>
      </c>
      <c r="EV119" t="e">
        <f>AND(#REF!,"AAAAAH33+5c=")</f>
        <v>#REF!</v>
      </c>
      <c r="EW119" t="e">
        <f>IF(#REF!,"AAAAAH33+5g=",0)</f>
        <v>#REF!</v>
      </c>
      <c r="EX119" t="e">
        <f>AND(#REF!,"AAAAAH33+5k=")</f>
        <v>#REF!</v>
      </c>
      <c r="EY119" t="e">
        <f>AND(#REF!,"AAAAAH33+5o=")</f>
        <v>#REF!</v>
      </c>
      <c r="EZ119" t="e">
        <f>AND(#REF!,"AAAAAH33+5s=")</f>
        <v>#REF!</v>
      </c>
      <c r="FA119" t="e">
        <f>AND(#REF!,"AAAAAH33+5w=")</f>
        <v>#REF!</v>
      </c>
      <c r="FB119" t="e">
        <f>AND(#REF!,"AAAAAH33+50=")</f>
        <v>#REF!</v>
      </c>
      <c r="FC119" t="e">
        <f>AND(#REF!,"AAAAAH33+54=")</f>
        <v>#REF!</v>
      </c>
      <c r="FD119" t="e">
        <f>AND(#REF!,"AAAAAH33+58=")</f>
        <v>#REF!</v>
      </c>
      <c r="FE119" t="e">
        <f>AND(#REF!,"AAAAAH33+6A=")</f>
        <v>#REF!</v>
      </c>
      <c r="FF119" t="e">
        <f>AND(#REF!,"AAAAAH33+6E=")</f>
        <v>#REF!</v>
      </c>
      <c r="FG119" t="e">
        <f>AND(#REF!,"AAAAAH33+6I=")</f>
        <v>#REF!</v>
      </c>
      <c r="FH119" t="e">
        <f>AND(#REF!,"AAAAAH33+6M=")</f>
        <v>#REF!</v>
      </c>
      <c r="FI119" t="e">
        <f>AND(#REF!,"AAAAAH33+6Q=")</f>
        <v>#REF!</v>
      </c>
      <c r="FJ119" t="e">
        <f>AND(#REF!,"AAAAAH33+6U=")</f>
        <v>#REF!</v>
      </c>
      <c r="FK119" t="e">
        <f>AND(#REF!,"AAAAAH33+6Y=")</f>
        <v>#REF!</v>
      </c>
      <c r="FL119" t="e">
        <f>AND(#REF!,"AAAAAH33+6c=")</f>
        <v>#REF!</v>
      </c>
      <c r="FM119" t="e">
        <f>AND(#REF!,"AAAAAH33+6g=")</f>
        <v>#REF!</v>
      </c>
      <c r="FN119" t="e">
        <f>AND(#REF!,"AAAAAH33+6k=")</f>
        <v>#REF!</v>
      </c>
      <c r="FO119" t="e">
        <f>AND(#REF!,"AAAAAH33+6o=")</f>
        <v>#REF!</v>
      </c>
      <c r="FP119" t="e">
        <f>AND(#REF!,"AAAAAH33+6s=")</f>
        <v>#REF!</v>
      </c>
      <c r="FQ119" t="e">
        <f>AND(#REF!,"AAAAAH33+6w=")</f>
        <v>#REF!</v>
      </c>
      <c r="FR119" t="e">
        <f>AND(#REF!,"AAAAAH33+60=")</f>
        <v>#REF!</v>
      </c>
      <c r="FS119" t="e">
        <f>AND(#REF!,"AAAAAH33+64=")</f>
        <v>#REF!</v>
      </c>
      <c r="FT119" t="e">
        <f>AND(#REF!,"AAAAAH33+68=")</f>
        <v>#REF!</v>
      </c>
      <c r="FU119" t="e">
        <f>AND(#REF!,"AAAAAH33+7A=")</f>
        <v>#REF!</v>
      </c>
      <c r="FV119" t="e">
        <f>IF(#REF!,"AAAAAH33+7E=",0)</f>
        <v>#REF!</v>
      </c>
      <c r="FW119" t="e">
        <f>AND(#REF!,"AAAAAH33+7I=")</f>
        <v>#REF!</v>
      </c>
      <c r="FX119" t="e">
        <f>AND(#REF!,"AAAAAH33+7M=")</f>
        <v>#REF!</v>
      </c>
      <c r="FY119" t="e">
        <f>AND(#REF!,"AAAAAH33+7Q=")</f>
        <v>#REF!</v>
      </c>
      <c r="FZ119" t="e">
        <f>AND(#REF!,"AAAAAH33+7U=")</f>
        <v>#REF!</v>
      </c>
      <c r="GA119" t="e">
        <f>AND(#REF!,"AAAAAH33+7Y=")</f>
        <v>#REF!</v>
      </c>
      <c r="GB119" t="e">
        <f>AND(#REF!,"AAAAAH33+7c=")</f>
        <v>#REF!</v>
      </c>
      <c r="GC119" t="e">
        <f>AND(#REF!,"AAAAAH33+7g=")</f>
        <v>#REF!</v>
      </c>
      <c r="GD119" t="e">
        <f>AND(#REF!,"AAAAAH33+7k=")</f>
        <v>#REF!</v>
      </c>
      <c r="GE119" t="e">
        <f>AND(#REF!,"AAAAAH33+7o=")</f>
        <v>#REF!</v>
      </c>
      <c r="GF119" t="e">
        <f>AND(#REF!,"AAAAAH33+7s=")</f>
        <v>#REF!</v>
      </c>
      <c r="GG119" t="e">
        <f>AND(#REF!,"AAAAAH33+7w=")</f>
        <v>#REF!</v>
      </c>
      <c r="GH119" t="e">
        <f>AND(#REF!,"AAAAAH33+70=")</f>
        <v>#REF!</v>
      </c>
      <c r="GI119" t="e">
        <f>AND(#REF!,"AAAAAH33+74=")</f>
        <v>#REF!</v>
      </c>
      <c r="GJ119" t="e">
        <f>AND(#REF!,"AAAAAH33+78=")</f>
        <v>#REF!</v>
      </c>
      <c r="GK119" t="e">
        <f>AND(#REF!,"AAAAAH33+8A=")</f>
        <v>#REF!</v>
      </c>
      <c r="GL119" t="e">
        <f>AND(#REF!,"AAAAAH33+8E=")</f>
        <v>#REF!</v>
      </c>
      <c r="GM119" t="e">
        <f>AND(#REF!,"AAAAAH33+8I=")</f>
        <v>#REF!</v>
      </c>
      <c r="GN119" t="e">
        <f>AND(#REF!,"AAAAAH33+8M=")</f>
        <v>#REF!</v>
      </c>
      <c r="GO119" t="e">
        <f>AND(#REF!,"AAAAAH33+8Q=")</f>
        <v>#REF!</v>
      </c>
      <c r="GP119" t="e">
        <f>AND(#REF!,"AAAAAH33+8U=")</f>
        <v>#REF!</v>
      </c>
      <c r="GQ119" t="e">
        <f>AND(#REF!,"AAAAAH33+8Y=")</f>
        <v>#REF!</v>
      </c>
      <c r="GR119" t="e">
        <f>AND(#REF!,"AAAAAH33+8c=")</f>
        <v>#REF!</v>
      </c>
      <c r="GS119" t="e">
        <f>AND(#REF!,"AAAAAH33+8g=")</f>
        <v>#REF!</v>
      </c>
      <c r="GT119" t="e">
        <f>AND(#REF!,"AAAAAH33+8k=")</f>
        <v>#REF!</v>
      </c>
      <c r="GU119" t="e">
        <f>IF(#REF!,"AAAAAH33+8o=",0)</f>
        <v>#REF!</v>
      </c>
      <c r="GV119" t="e">
        <f>AND(#REF!,"AAAAAH33+8s=")</f>
        <v>#REF!</v>
      </c>
      <c r="GW119" t="e">
        <f>AND(#REF!,"AAAAAH33+8w=")</f>
        <v>#REF!</v>
      </c>
      <c r="GX119" t="e">
        <f>AND(#REF!,"AAAAAH33+80=")</f>
        <v>#REF!</v>
      </c>
      <c r="GY119" t="e">
        <f>AND(#REF!,"AAAAAH33+84=")</f>
        <v>#REF!</v>
      </c>
      <c r="GZ119" t="e">
        <f>AND(#REF!,"AAAAAH33+88=")</f>
        <v>#REF!</v>
      </c>
      <c r="HA119" t="e">
        <f>AND(#REF!,"AAAAAH33+9A=")</f>
        <v>#REF!</v>
      </c>
      <c r="HB119" t="e">
        <f>AND(#REF!,"AAAAAH33+9E=")</f>
        <v>#REF!</v>
      </c>
      <c r="HC119" t="e">
        <f>AND(#REF!,"AAAAAH33+9I=")</f>
        <v>#REF!</v>
      </c>
      <c r="HD119" t="e">
        <f>AND(#REF!,"AAAAAH33+9M=")</f>
        <v>#REF!</v>
      </c>
      <c r="HE119" t="e">
        <f>AND(#REF!,"AAAAAH33+9Q=")</f>
        <v>#REF!</v>
      </c>
      <c r="HF119" t="e">
        <f>AND(#REF!,"AAAAAH33+9U=")</f>
        <v>#REF!</v>
      </c>
      <c r="HG119" t="e">
        <f>AND(#REF!,"AAAAAH33+9Y=")</f>
        <v>#REF!</v>
      </c>
      <c r="HH119" t="e">
        <f>AND(#REF!,"AAAAAH33+9c=")</f>
        <v>#REF!</v>
      </c>
      <c r="HI119" t="e">
        <f>AND(#REF!,"AAAAAH33+9g=")</f>
        <v>#REF!</v>
      </c>
      <c r="HJ119" t="e">
        <f>AND(#REF!,"AAAAAH33+9k=")</f>
        <v>#REF!</v>
      </c>
      <c r="HK119" t="e">
        <f>AND(#REF!,"AAAAAH33+9o=")</f>
        <v>#REF!</v>
      </c>
      <c r="HL119" t="e">
        <f>AND(#REF!,"AAAAAH33+9s=")</f>
        <v>#REF!</v>
      </c>
      <c r="HM119" t="e">
        <f>AND(#REF!,"AAAAAH33+9w=")</f>
        <v>#REF!</v>
      </c>
      <c r="HN119" t="e">
        <f>AND(#REF!,"AAAAAH33+90=")</f>
        <v>#REF!</v>
      </c>
      <c r="HO119" t="e">
        <f>AND(#REF!,"AAAAAH33+94=")</f>
        <v>#REF!</v>
      </c>
      <c r="HP119" t="e">
        <f>AND(#REF!,"AAAAAH33+98=")</f>
        <v>#REF!</v>
      </c>
      <c r="HQ119" t="e">
        <f>AND(#REF!,"AAAAAH33++A=")</f>
        <v>#REF!</v>
      </c>
      <c r="HR119" t="e">
        <f>AND(#REF!,"AAAAAH33++E=")</f>
        <v>#REF!</v>
      </c>
      <c r="HS119" t="e">
        <f>AND(#REF!,"AAAAAH33++I=")</f>
        <v>#REF!</v>
      </c>
      <c r="HT119" t="e">
        <f>IF(#REF!,"AAAAAH33++M=",0)</f>
        <v>#REF!</v>
      </c>
      <c r="HU119" t="e">
        <f>AND(#REF!,"AAAAAH33++Q=")</f>
        <v>#REF!</v>
      </c>
      <c r="HV119" t="e">
        <f>AND(#REF!,"AAAAAH33++U=")</f>
        <v>#REF!</v>
      </c>
      <c r="HW119" t="e">
        <f>AND(#REF!,"AAAAAH33++Y=")</f>
        <v>#REF!</v>
      </c>
      <c r="HX119" t="e">
        <f>AND(#REF!,"AAAAAH33++c=")</f>
        <v>#REF!</v>
      </c>
      <c r="HY119" t="e">
        <f>AND(#REF!,"AAAAAH33++g=")</f>
        <v>#REF!</v>
      </c>
      <c r="HZ119" t="e">
        <f>AND(#REF!,"AAAAAH33++k=")</f>
        <v>#REF!</v>
      </c>
      <c r="IA119" t="e">
        <f>AND(#REF!,"AAAAAH33++o=")</f>
        <v>#REF!</v>
      </c>
      <c r="IB119" t="e">
        <f>AND(#REF!,"AAAAAH33++s=")</f>
        <v>#REF!</v>
      </c>
      <c r="IC119" t="e">
        <f>AND(#REF!,"AAAAAH33++w=")</f>
        <v>#REF!</v>
      </c>
      <c r="ID119" t="e">
        <f>AND(#REF!,"AAAAAH33++0=")</f>
        <v>#REF!</v>
      </c>
      <c r="IE119" t="e">
        <f>AND(#REF!,"AAAAAH33++4=")</f>
        <v>#REF!</v>
      </c>
      <c r="IF119" t="e">
        <f>AND(#REF!,"AAAAAH33++8=")</f>
        <v>#REF!</v>
      </c>
      <c r="IG119" t="e">
        <f>AND(#REF!,"AAAAAH33+/A=")</f>
        <v>#REF!</v>
      </c>
      <c r="IH119" t="e">
        <f>AND(#REF!,"AAAAAH33+/E=")</f>
        <v>#REF!</v>
      </c>
      <c r="II119" t="e">
        <f>AND(#REF!,"AAAAAH33+/I=")</f>
        <v>#REF!</v>
      </c>
      <c r="IJ119" t="e">
        <f>AND(#REF!,"AAAAAH33+/M=")</f>
        <v>#REF!</v>
      </c>
      <c r="IK119" t="e">
        <f>AND(#REF!,"AAAAAH33+/Q=")</f>
        <v>#REF!</v>
      </c>
      <c r="IL119" t="e">
        <f>AND(#REF!,"AAAAAH33+/U=")</f>
        <v>#REF!</v>
      </c>
      <c r="IM119" t="e">
        <f>AND(#REF!,"AAAAAH33+/Y=")</f>
        <v>#REF!</v>
      </c>
      <c r="IN119" t="e">
        <f>AND(#REF!,"AAAAAH33+/c=")</f>
        <v>#REF!</v>
      </c>
      <c r="IO119" t="e">
        <f>AND(#REF!,"AAAAAH33+/g=")</f>
        <v>#REF!</v>
      </c>
      <c r="IP119" t="e">
        <f>AND(#REF!,"AAAAAH33+/k=")</f>
        <v>#REF!</v>
      </c>
      <c r="IQ119" t="e">
        <f>AND(#REF!,"AAAAAH33+/o=")</f>
        <v>#REF!</v>
      </c>
      <c r="IR119" t="e">
        <f>AND(#REF!,"AAAAAH33+/s=")</f>
        <v>#REF!</v>
      </c>
      <c r="IS119" t="e">
        <f>IF(#REF!,"AAAAAH33+/w=",0)</f>
        <v>#REF!</v>
      </c>
      <c r="IT119" t="e">
        <f>AND(#REF!,"AAAAAH33+/0=")</f>
        <v>#REF!</v>
      </c>
      <c r="IU119" t="e">
        <f>AND(#REF!,"AAAAAH33+/4=")</f>
        <v>#REF!</v>
      </c>
      <c r="IV119" t="e">
        <f>AND(#REF!,"AAAAAH33+/8=")</f>
        <v>#REF!</v>
      </c>
    </row>
    <row r="120" spans="1:256">
      <c r="A120" t="e">
        <f>AND(#REF!,"AAAAAH9//wA=")</f>
        <v>#REF!</v>
      </c>
      <c r="B120" t="e">
        <f>AND(#REF!,"AAAAAH9//wE=")</f>
        <v>#REF!</v>
      </c>
      <c r="C120" t="e">
        <f>AND(#REF!,"AAAAAH9//wI=")</f>
        <v>#REF!</v>
      </c>
      <c r="D120" t="e">
        <f>AND(#REF!,"AAAAAH9//wM=")</f>
        <v>#REF!</v>
      </c>
      <c r="E120" t="e">
        <f>AND(#REF!,"AAAAAH9//wQ=")</f>
        <v>#REF!</v>
      </c>
      <c r="F120" t="e">
        <f>AND(#REF!,"AAAAAH9//wU=")</f>
        <v>#REF!</v>
      </c>
      <c r="G120" t="e">
        <f>AND(#REF!,"AAAAAH9//wY=")</f>
        <v>#REF!</v>
      </c>
      <c r="H120" t="e">
        <f>AND(#REF!,"AAAAAH9//wc=")</f>
        <v>#REF!</v>
      </c>
      <c r="I120" t="e">
        <f>AND(#REF!,"AAAAAH9//wg=")</f>
        <v>#REF!</v>
      </c>
      <c r="J120" t="e">
        <f>AND(#REF!,"AAAAAH9//wk=")</f>
        <v>#REF!</v>
      </c>
      <c r="K120" t="e">
        <f>AND(#REF!,"AAAAAH9//wo=")</f>
        <v>#REF!</v>
      </c>
      <c r="L120" t="e">
        <f>AND(#REF!,"AAAAAH9//ws=")</f>
        <v>#REF!</v>
      </c>
      <c r="M120" t="e">
        <f>AND(#REF!,"AAAAAH9//ww=")</f>
        <v>#REF!</v>
      </c>
      <c r="N120" t="e">
        <f>AND(#REF!,"AAAAAH9//w0=")</f>
        <v>#REF!</v>
      </c>
      <c r="O120" t="e">
        <f>AND(#REF!,"AAAAAH9//w4=")</f>
        <v>#REF!</v>
      </c>
      <c r="P120" t="e">
        <f>AND(#REF!,"AAAAAH9//w8=")</f>
        <v>#REF!</v>
      </c>
      <c r="Q120" t="e">
        <f>AND(#REF!,"AAAAAH9//xA=")</f>
        <v>#REF!</v>
      </c>
      <c r="R120" t="e">
        <f>AND(#REF!,"AAAAAH9//xE=")</f>
        <v>#REF!</v>
      </c>
      <c r="S120" t="e">
        <f>AND(#REF!,"AAAAAH9//xI=")</f>
        <v>#REF!</v>
      </c>
      <c r="T120" t="e">
        <f>AND(#REF!,"AAAAAH9//xM=")</f>
        <v>#REF!</v>
      </c>
      <c r="U120" t="e">
        <f>AND(#REF!,"AAAAAH9//xQ=")</f>
        <v>#REF!</v>
      </c>
      <c r="V120" t="e">
        <f>IF(#REF!,"AAAAAH9//xU=",0)</f>
        <v>#REF!</v>
      </c>
      <c r="W120" t="e">
        <f>AND(#REF!,"AAAAAH9//xY=")</f>
        <v>#REF!</v>
      </c>
      <c r="X120" t="e">
        <f>AND(#REF!,"AAAAAH9//xc=")</f>
        <v>#REF!</v>
      </c>
      <c r="Y120" t="e">
        <f>AND(#REF!,"AAAAAH9//xg=")</f>
        <v>#REF!</v>
      </c>
      <c r="Z120" t="e">
        <f>AND(#REF!,"AAAAAH9//xk=")</f>
        <v>#REF!</v>
      </c>
      <c r="AA120" t="e">
        <f>AND(#REF!,"AAAAAH9//xo=")</f>
        <v>#REF!</v>
      </c>
      <c r="AB120" t="e">
        <f>AND(#REF!,"AAAAAH9//xs=")</f>
        <v>#REF!</v>
      </c>
      <c r="AC120" t="e">
        <f>AND(#REF!,"AAAAAH9//xw=")</f>
        <v>#REF!</v>
      </c>
      <c r="AD120" t="e">
        <f>AND(#REF!,"AAAAAH9//x0=")</f>
        <v>#REF!</v>
      </c>
      <c r="AE120" t="e">
        <f>AND(#REF!,"AAAAAH9//x4=")</f>
        <v>#REF!</v>
      </c>
      <c r="AF120" t="e">
        <f>AND(#REF!,"AAAAAH9//x8=")</f>
        <v>#REF!</v>
      </c>
      <c r="AG120" t="e">
        <f>AND(#REF!,"AAAAAH9//yA=")</f>
        <v>#REF!</v>
      </c>
      <c r="AH120" t="e">
        <f>AND(#REF!,"AAAAAH9//yE=")</f>
        <v>#REF!</v>
      </c>
      <c r="AI120" t="e">
        <f>AND(#REF!,"AAAAAH9//yI=")</f>
        <v>#REF!</v>
      </c>
      <c r="AJ120" t="e">
        <f>AND(#REF!,"AAAAAH9//yM=")</f>
        <v>#REF!</v>
      </c>
      <c r="AK120" t="e">
        <f>AND(#REF!,"AAAAAH9//yQ=")</f>
        <v>#REF!</v>
      </c>
      <c r="AL120" t="e">
        <f>AND(#REF!,"AAAAAH9//yU=")</f>
        <v>#REF!</v>
      </c>
      <c r="AM120" t="e">
        <f>AND(#REF!,"AAAAAH9//yY=")</f>
        <v>#REF!</v>
      </c>
      <c r="AN120" t="e">
        <f>AND(#REF!,"AAAAAH9//yc=")</f>
        <v>#REF!</v>
      </c>
      <c r="AO120" t="e">
        <f>AND(#REF!,"AAAAAH9//yg=")</f>
        <v>#REF!</v>
      </c>
      <c r="AP120" t="e">
        <f>AND(#REF!,"AAAAAH9//yk=")</f>
        <v>#REF!</v>
      </c>
      <c r="AQ120" t="e">
        <f>AND(#REF!,"AAAAAH9//yo=")</f>
        <v>#REF!</v>
      </c>
      <c r="AR120" t="e">
        <f>AND(#REF!,"AAAAAH9//ys=")</f>
        <v>#REF!</v>
      </c>
      <c r="AS120" t="e">
        <f>AND(#REF!,"AAAAAH9//yw=")</f>
        <v>#REF!</v>
      </c>
      <c r="AT120" t="e">
        <f>AND(#REF!,"AAAAAH9//y0=")</f>
        <v>#REF!</v>
      </c>
      <c r="AU120" t="e">
        <f>IF(#REF!,"AAAAAH9//y4=",0)</f>
        <v>#REF!</v>
      </c>
      <c r="AV120" t="e">
        <f>AND(#REF!,"AAAAAH9//y8=")</f>
        <v>#REF!</v>
      </c>
      <c r="AW120" t="e">
        <f>AND(#REF!,"AAAAAH9//zA=")</f>
        <v>#REF!</v>
      </c>
      <c r="AX120" t="e">
        <f>AND(#REF!,"AAAAAH9//zE=")</f>
        <v>#REF!</v>
      </c>
      <c r="AY120" t="e">
        <f>AND(#REF!,"AAAAAH9//zI=")</f>
        <v>#REF!</v>
      </c>
      <c r="AZ120" t="e">
        <f>AND(#REF!,"AAAAAH9//zM=")</f>
        <v>#REF!</v>
      </c>
      <c r="BA120" t="e">
        <f>AND(#REF!,"AAAAAH9//zQ=")</f>
        <v>#REF!</v>
      </c>
      <c r="BB120" t="e">
        <f>AND(#REF!,"AAAAAH9//zU=")</f>
        <v>#REF!</v>
      </c>
      <c r="BC120" t="e">
        <f>AND(#REF!,"AAAAAH9//zY=")</f>
        <v>#REF!</v>
      </c>
      <c r="BD120" t="e">
        <f>AND(#REF!,"AAAAAH9//zc=")</f>
        <v>#REF!</v>
      </c>
      <c r="BE120" t="e">
        <f>AND(#REF!,"AAAAAH9//zg=")</f>
        <v>#REF!</v>
      </c>
      <c r="BF120" t="e">
        <f>AND(#REF!,"AAAAAH9//zk=")</f>
        <v>#REF!</v>
      </c>
      <c r="BG120" t="e">
        <f>AND(#REF!,"AAAAAH9//zo=")</f>
        <v>#REF!</v>
      </c>
      <c r="BH120" t="e">
        <f>AND(#REF!,"AAAAAH9//zs=")</f>
        <v>#REF!</v>
      </c>
      <c r="BI120" t="e">
        <f>AND(#REF!,"AAAAAH9//zw=")</f>
        <v>#REF!</v>
      </c>
      <c r="BJ120" t="e">
        <f>AND(#REF!,"AAAAAH9//z0=")</f>
        <v>#REF!</v>
      </c>
      <c r="BK120" t="e">
        <f>AND(#REF!,"AAAAAH9//z4=")</f>
        <v>#REF!</v>
      </c>
      <c r="BL120" t="e">
        <f>AND(#REF!,"AAAAAH9//z8=")</f>
        <v>#REF!</v>
      </c>
      <c r="BM120" t="e">
        <f>AND(#REF!,"AAAAAH9//0A=")</f>
        <v>#REF!</v>
      </c>
      <c r="BN120" t="e">
        <f>AND(#REF!,"AAAAAH9//0E=")</f>
        <v>#REF!</v>
      </c>
      <c r="BO120" t="e">
        <f>AND(#REF!,"AAAAAH9//0I=")</f>
        <v>#REF!</v>
      </c>
      <c r="BP120" t="e">
        <f>AND(#REF!,"AAAAAH9//0M=")</f>
        <v>#REF!</v>
      </c>
      <c r="BQ120" t="e">
        <f>AND(#REF!,"AAAAAH9//0Q=")</f>
        <v>#REF!</v>
      </c>
      <c r="BR120" t="e">
        <f>AND(#REF!,"AAAAAH9//0U=")</f>
        <v>#REF!</v>
      </c>
      <c r="BS120" t="e">
        <f>AND(#REF!,"AAAAAH9//0Y=")</f>
        <v>#REF!</v>
      </c>
      <c r="BT120" t="e">
        <f>IF(#REF!,"AAAAAH9//0c=",0)</f>
        <v>#REF!</v>
      </c>
      <c r="BU120" t="e">
        <f>AND(#REF!,"AAAAAH9//0g=")</f>
        <v>#REF!</v>
      </c>
      <c r="BV120" t="e">
        <f>AND(#REF!,"AAAAAH9//0k=")</f>
        <v>#REF!</v>
      </c>
      <c r="BW120" t="e">
        <f>AND(#REF!,"AAAAAH9//0o=")</f>
        <v>#REF!</v>
      </c>
      <c r="BX120" t="e">
        <f>AND(#REF!,"AAAAAH9//0s=")</f>
        <v>#REF!</v>
      </c>
      <c r="BY120" t="e">
        <f>AND(#REF!,"AAAAAH9//0w=")</f>
        <v>#REF!</v>
      </c>
      <c r="BZ120" t="e">
        <f>AND(#REF!,"AAAAAH9//00=")</f>
        <v>#REF!</v>
      </c>
      <c r="CA120" t="e">
        <f>AND(#REF!,"AAAAAH9//04=")</f>
        <v>#REF!</v>
      </c>
      <c r="CB120" t="e">
        <f>AND(#REF!,"AAAAAH9//08=")</f>
        <v>#REF!</v>
      </c>
      <c r="CC120" t="e">
        <f>AND(#REF!,"AAAAAH9//1A=")</f>
        <v>#REF!</v>
      </c>
      <c r="CD120" t="e">
        <f>AND(#REF!,"AAAAAH9//1E=")</f>
        <v>#REF!</v>
      </c>
      <c r="CE120" t="e">
        <f>AND(#REF!,"AAAAAH9//1I=")</f>
        <v>#REF!</v>
      </c>
      <c r="CF120" t="e">
        <f>AND(#REF!,"AAAAAH9//1M=")</f>
        <v>#REF!</v>
      </c>
      <c r="CG120" t="e">
        <f>AND(#REF!,"AAAAAH9//1Q=")</f>
        <v>#REF!</v>
      </c>
      <c r="CH120" t="e">
        <f>AND(#REF!,"AAAAAH9//1U=")</f>
        <v>#REF!</v>
      </c>
      <c r="CI120" t="e">
        <f>AND(#REF!,"AAAAAH9//1Y=")</f>
        <v>#REF!</v>
      </c>
      <c r="CJ120" t="e">
        <f>AND(#REF!,"AAAAAH9//1c=")</f>
        <v>#REF!</v>
      </c>
      <c r="CK120" t="e">
        <f>AND(#REF!,"AAAAAH9//1g=")</f>
        <v>#REF!</v>
      </c>
      <c r="CL120" t="e">
        <f>AND(#REF!,"AAAAAH9//1k=")</f>
        <v>#REF!</v>
      </c>
      <c r="CM120" t="e">
        <f>AND(#REF!,"AAAAAH9//1o=")</f>
        <v>#REF!</v>
      </c>
      <c r="CN120" t="e">
        <f>AND(#REF!,"AAAAAH9//1s=")</f>
        <v>#REF!</v>
      </c>
      <c r="CO120" t="e">
        <f>AND(#REF!,"AAAAAH9//1w=")</f>
        <v>#REF!</v>
      </c>
      <c r="CP120" t="e">
        <f>AND(#REF!,"AAAAAH9//10=")</f>
        <v>#REF!</v>
      </c>
      <c r="CQ120" t="e">
        <f>AND(#REF!,"AAAAAH9//14=")</f>
        <v>#REF!</v>
      </c>
      <c r="CR120" t="e">
        <f>AND(#REF!,"AAAAAH9//18=")</f>
        <v>#REF!</v>
      </c>
      <c r="CS120" t="e">
        <f>IF(#REF!,"AAAAAH9//2A=",0)</f>
        <v>#REF!</v>
      </c>
      <c r="CT120" t="e">
        <f>AND(#REF!,"AAAAAH9//2E=")</f>
        <v>#REF!</v>
      </c>
      <c r="CU120" t="e">
        <f>AND(#REF!,"AAAAAH9//2I=")</f>
        <v>#REF!</v>
      </c>
      <c r="CV120" t="e">
        <f>AND(#REF!,"AAAAAH9//2M=")</f>
        <v>#REF!</v>
      </c>
      <c r="CW120" t="e">
        <f>AND(#REF!,"AAAAAH9//2Q=")</f>
        <v>#REF!</v>
      </c>
      <c r="CX120" t="e">
        <f>AND(#REF!,"AAAAAH9//2U=")</f>
        <v>#REF!</v>
      </c>
      <c r="CY120" t="e">
        <f>AND(#REF!,"AAAAAH9//2Y=")</f>
        <v>#REF!</v>
      </c>
      <c r="CZ120" t="e">
        <f>AND(#REF!,"AAAAAH9//2c=")</f>
        <v>#REF!</v>
      </c>
      <c r="DA120" t="e">
        <f>AND(#REF!,"AAAAAH9//2g=")</f>
        <v>#REF!</v>
      </c>
      <c r="DB120" t="e">
        <f>AND(#REF!,"AAAAAH9//2k=")</f>
        <v>#REF!</v>
      </c>
      <c r="DC120" t="e">
        <f>AND(#REF!,"AAAAAH9//2o=")</f>
        <v>#REF!</v>
      </c>
      <c r="DD120" t="e">
        <f>AND(#REF!,"AAAAAH9//2s=")</f>
        <v>#REF!</v>
      </c>
      <c r="DE120" t="e">
        <f>AND(#REF!,"AAAAAH9//2w=")</f>
        <v>#REF!</v>
      </c>
      <c r="DF120" t="e">
        <f>AND(#REF!,"AAAAAH9//20=")</f>
        <v>#REF!</v>
      </c>
      <c r="DG120" t="e">
        <f>AND(#REF!,"AAAAAH9//24=")</f>
        <v>#REF!</v>
      </c>
      <c r="DH120" t="e">
        <f>AND(#REF!,"AAAAAH9//28=")</f>
        <v>#REF!</v>
      </c>
      <c r="DI120" t="e">
        <f>AND(#REF!,"AAAAAH9//3A=")</f>
        <v>#REF!</v>
      </c>
      <c r="DJ120" t="e">
        <f>AND(#REF!,"AAAAAH9//3E=")</f>
        <v>#REF!</v>
      </c>
      <c r="DK120" t="e">
        <f>AND(#REF!,"AAAAAH9//3I=")</f>
        <v>#REF!</v>
      </c>
      <c r="DL120" t="e">
        <f>AND(#REF!,"AAAAAH9//3M=")</f>
        <v>#REF!</v>
      </c>
      <c r="DM120" t="e">
        <f>AND(#REF!,"AAAAAH9//3Q=")</f>
        <v>#REF!</v>
      </c>
      <c r="DN120" t="e">
        <f>AND(#REF!,"AAAAAH9//3U=")</f>
        <v>#REF!</v>
      </c>
      <c r="DO120" t="e">
        <f>AND(#REF!,"AAAAAH9//3Y=")</f>
        <v>#REF!</v>
      </c>
      <c r="DP120" t="e">
        <f>AND(#REF!,"AAAAAH9//3c=")</f>
        <v>#REF!</v>
      </c>
      <c r="DQ120" t="e">
        <f>AND(#REF!,"AAAAAH9//3g=")</f>
        <v>#REF!</v>
      </c>
      <c r="DR120" t="e">
        <f>IF(#REF!,"AAAAAH9//3k=",0)</f>
        <v>#REF!</v>
      </c>
      <c r="DS120" t="e">
        <f>AND(#REF!,"AAAAAH9//3o=")</f>
        <v>#REF!</v>
      </c>
      <c r="DT120" t="e">
        <f>AND(#REF!,"AAAAAH9//3s=")</f>
        <v>#REF!</v>
      </c>
      <c r="DU120" t="e">
        <f>AND(#REF!,"AAAAAH9//3w=")</f>
        <v>#REF!</v>
      </c>
      <c r="DV120" t="e">
        <f>AND(#REF!,"AAAAAH9//30=")</f>
        <v>#REF!</v>
      </c>
      <c r="DW120" t="e">
        <f>AND(#REF!,"AAAAAH9//34=")</f>
        <v>#REF!</v>
      </c>
      <c r="DX120" t="e">
        <f>AND(#REF!,"AAAAAH9//38=")</f>
        <v>#REF!</v>
      </c>
      <c r="DY120" t="e">
        <f>AND(#REF!,"AAAAAH9//4A=")</f>
        <v>#REF!</v>
      </c>
      <c r="DZ120" t="e">
        <f>AND(#REF!,"AAAAAH9//4E=")</f>
        <v>#REF!</v>
      </c>
      <c r="EA120" t="e">
        <f>AND(#REF!,"AAAAAH9//4I=")</f>
        <v>#REF!</v>
      </c>
      <c r="EB120" t="e">
        <f>AND(#REF!,"AAAAAH9//4M=")</f>
        <v>#REF!</v>
      </c>
      <c r="EC120" t="e">
        <f>AND(#REF!,"AAAAAH9//4Q=")</f>
        <v>#REF!</v>
      </c>
      <c r="ED120" t="e">
        <f>AND(#REF!,"AAAAAH9//4U=")</f>
        <v>#REF!</v>
      </c>
      <c r="EE120" t="e">
        <f>AND(#REF!,"AAAAAH9//4Y=")</f>
        <v>#REF!</v>
      </c>
      <c r="EF120" t="e">
        <f>AND(#REF!,"AAAAAH9//4c=")</f>
        <v>#REF!</v>
      </c>
      <c r="EG120" t="e">
        <f>AND(#REF!,"AAAAAH9//4g=")</f>
        <v>#REF!</v>
      </c>
      <c r="EH120" t="e">
        <f>AND(#REF!,"AAAAAH9//4k=")</f>
        <v>#REF!</v>
      </c>
      <c r="EI120" t="e">
        <f>AND(#REF!,"AAAAAH9//4o=")</f>
        <v>#REF!</v>
      </c>
      <c r="EJ120" t="e">
        <f>AND(#REF!,"AAAAAH9//4s=")</f>
        <v>#REF!</v>
      </c>
      <c r="EK120" t="e">
        <f>AND(#REF!,"AAAAAH9//4w=")</f>
        <v>#REF!</v>
      </c>
      <c r="EL120" t="e">
        <f>AND(#REF!,"AAAAAH9//40=")</f>
        <v>#REF!</v>
      </c>
      <c r="EM120" t="e">
        <f>AND(#REF!,"AAAAAH9//44=")</f>
        <v>#REF!</v>
      </c>
      <c r="EN120" t="e">
        <f>AND(#REF!,"AAAAAH9//48=")</f>
        <v>#REF!</v>
      </c>
      <c r="EO120" t="e">
        <f>AND(#REF!,"AAAAAH9//5A=")</f>
        <v>#REF!</v>
      </c>
      <c r="EP120" t="e">
        <f>AND(#REF!,"AAAAAH9//5E=")</f>
        <v>#REF!</v>
      </c>
      <c r="EQ120" t="e">
        <f>IF(#REF!,"AAAAAH9//5I=",0)</f>
        <v>#REF!</v>
      </c>
      <c r="ER120" t="e">
        <f>AND(#REF!,"AAAAAH9//5M=")</f>
        <v>#REF!</v>
      </c>
      <c r="ES120" t="e">
        <f>AND(#REF!,"AAAAAH9//5Q=")</f>
        <v>#REF!</v>
      </c>
      <c r="ET120" t="e">
        <f>AND(#REF!,"AAAAAH9//5U=")</f>
        <v>#REF!</v>
      </c>
      <c r="EU120" t="e">
        <f>AND(#REF!,"AAAAAH9//5Y=")</f>
        <v>#REF!</v>
      </c>
      <c r="EV120" t="e">
        <f>AND(#REF!,"AAAAAH9//5c=")</f>
        <v>#REF!</v>
      </c>
      <c r="EW120" t="e">
        <f>AND(#REF!,"AAAAAH9//5g=")</f>
        <v>#REF!</v>
      </c>
      <c r="EX120" t="e">
        <f>AND(#REF!,"AAAAAH9//5k=")</f>
        <v>#REF!</v>
      </c>
      <c r="EY120" t="e">
        <f>AND(#REF!,"AAAAAH9//5o=")</f>
        <v>#REF!</v>
      </c>
      <c r="EZ120" t="e">
        <f>AND(#REF!,"AAAAAH9//5s=")</f>
        <v>#REF!</v>
      </c>
      <c r="FA120" t="e">
        <f>AND(#REF!,"AAAAAH9//5w=")</f>
        <v>#REF!</v>
      </c>
      <c r="FB120" t="e">
        <f>AND(#REF!,"AAAAAH9//50=")</f>
        <v>#REF!</v>
      </c>
      <c r="FC120" t="e">
        <f>AND(#REF!,"AAAAAH9//54=")</f>
        <v>#REF!</v>
      </c>
      <c r="FD120" t="e">
        <f>AND(#REF!,"AAAAAH9//58=")</f>
        <v>#REF!</v>
      </c>
      <c r="FE120" t="e">
        <f>AND(#REF!,"AAAAAH9//6A=")</f>
        <v>#REF!</v>
      </c>
      <c r="FF120" t="e">
        <f>AND(#REF!,"AAAAAH9//6E=")</f>
        <v>#REF!</v>
      </c>
      <c r="FG120" t="e">
        <f>AND(#REF!,"AAAAAH9//6I=")</f>
        <v>#REF!</v>
      </c>
      <c r="FH120" t="e">
        <f>AND(#REF!,"AAAAAH9//6M=")</f>
        <v>#REF!</v>
      </c>
      <c r="FI120" t="e">
        <f>AND(#REF!,"AAAAAH9//6Q=")</f>
        <v>#REF!</v>
      </c>
      <c r="FJ120" t="e">
        <f>AND(#REF!,"AAAAAH9//6U=")</f>
        <v>#REF!</v>
      </c>
      <c r="FK120" t="e">
        <f>AND(#REF!,"AAAAAH9//6Y=")</f>
        <v>#REF!</v>
      </c>
      <c r="FL120" t="e">
        <f>AND(#REF!,"AAAAAH9//6c=")</f>
        <v>#REF!</v>
      </c>
      <c r="FM120" t="e">
        <f>AND(#REF!,"AAAAAH9//6g=")</f>
        <v>#REF!</v>
      </c>
      <c r="FN120" t="e">
        <f>AND(#REF!,"AAAAAH9//6k=")</f>
        <v>#REF!</v>
      </c>
      <c r="FO120" t="e">
        <f>AND(#REF!,"AAAAAH9//6o=")</f>
        <v>#REF!</v>
      </c>
      <c r="FP120" t="e">
        <f>IF(#REF!,"AAAAAH9//6s=",0)</f>
        <v>#REF!</v>
      </c>
      <c r="FQ120" t="e">
        <f>AND(#REF!,"AAAAAH9//6w=")</f>
        <v>#REF!</v>
      </c>
      <c r="FR120" t="e">
        <f>AND(#REF!,"AAAAAH9//60=")</f>
        <v>#REF!</v>
      </c>
      <c r="FS120" t="e">
        <f>AND(#REF!,"AAAAAH9//64=")</f>
        <v>#REF!</v>
      </c>
      <c r="FT120" t="e">
        <f>AND(#REF!,"AAAAAH9//68=")</f>
        <v>#REF!</v>
      </c>
      <c r="FU120" t="e">
        <f>AND(#REF!,"AAAAAH9//7A=")</f>
        <v>#REF!</v>
      </c>
      <c r="FV120" t="e">
        <f>AND(#REF!,"AAAAAH9//7E=")</f>
        <v>#REF!</v>
      </c>
      <c r="FW120" t="e">
        <f>AND(#REF!,"AAAAAH9//7I=")</f>
        <v>#REF!</v>
      </c>
      <c r="FX120" t="e">
        <f>AND(#REF!,"AAAAAH9//7M=")</f>
        <v>#REF!</v>
      </c>
      <c r="FY120" t="e">
        <f>AND(#REF!,"AAAAAH9//7Q=")</f>
        <v>#REF!</v>
      </c>
      <c r="FZ120" t="e">
        <f>AND(#REF!,"AAAAAH9//7U=")</f>
        <v>#REF!</v>
      </c>
      <c r="GA120" t="e">
        <f>AND(#REF!,"AAAAAH9//7Y=")</f>
        <v>#REF!</v>
      </c>
      <c r="GB120" t="e">
        <f>AND(#REF!,"AAAAAH9//7c=")</f>
        <v>#REF!</v>
      </c>
      <c r="GC120" t="e">
        <f>AND(#REF!,"AAAAAH9//7g=")</f>
        <v>#REF!</v>
      </c>
      <c r="GD120" t="e">
        <f>AND(#REF!,"AAAAAH9//7k=")</f>
        <v>#REF!</v>
      </c>
      <c r="GE120" t="e">
        <f>AND(#REF!,"AAAAAH9//7o=")</f>
        <v>#REF!</v>
      </c>
      <c r="GF120" t="e">
        <f>AND(#REF!,"AAAAAH9//7s=")</f>
        <v>#REF!</v>
      </c>
      <c r="GG120" t="e">
        <f>AND(#REF!,"AAAAAH9//7w=")</f>
        <v>#REF!</v>
      </c>
      <c r="GH120" t="e">
        <f>AND(#REF!,"AAAAAH9//70=")</f>
        <v>#REF!</v>
      </c>
      <c r="GI120" t="e">
        <f>AND(#REF!,"AAAAAH9//74=")</f>
        <v>#REF!</v>
      </c>
      <c r="GJ120" t="e">
        <f>AND(#REF!,"AAAAAH9//78=")</f>
        <v>#REF!</v>
      </c>
      <c r="GK120" t="e">
        <f>AND(#REF!,"AAAAAH9//8A=")</f>
        <v>#REF!</v>
      </c>
      <c r="GL120" t="e">
        <f>AND(#REF!,"AAAAAH9//8E=")</f>
        <v>#REF!</v>
      </c>
      <c r="GM120" t="e">
        <f>AND(#REF!,"AAAAAH9//8I=")</f>
        <v>#REF!</v>
      </c>
      <c r="GN120" t="e">
        <f>AND(#REF!,"AAAAAH9//8M=")</f>
        <v>#REF!</v>
      </c>
      <c r="GO120" t="e">
        <f>IF(#REF!,"AAAAAH9//8Q=",0)</f>
        <v>#REF!</v>
      </c>
      <c r="GP120" t="e">
        <f>AND(#REF!,"AAAAAH9//8U=")</f>
        <v>#REF!</v>
      </c>
      <c r="GQ120" t="e">
        <f>AND(#REF!,"AAAAAH9//8Y=")</f>
        <v>#REF!</v>
      </c>
      <c r="GR120" t="e">
        <f>AND(#REF!,"AAAAAH9//8c=")</f>
        <v>#REF!</v>
      </c>
      <c r="GS120" t="e">
        <f>AND(#REF!,"AAAAAH9//8g=")</f>
        <v>#REF!</v>
      </c>
      <c r="GT120" t="e">
        <f>AND(#REF!,"AAAAAH9//8k=")</f>
        <v>#REF!</v>
      </c>
      <c r="GU120" t="e">
        <f>AND(#REF!,"AAAAAH9//8o=")</f>
        <v>#REF!</v>
      </c>
      <c r="GV120" t="e">
        <f>AND(#REF!,"AAAAAH9//8s=")</f>
        <v>#REF!</v>
      </c>
      <c r="GW120" t="e">
        <f>AND(#REF!,"AAAAAH9//8w=")</f>
        <v>#REF!</v>
      </c>
      <c r="GX120" t="e">
        <f>AND(#REF!,"AAAAAH9//80=")</f>
        <v>#REF!</v>
      </c>
      <c r="GY120" t="e">
        <f>AND(#REF!,"AAAAAH9//84=")</f>
        <v>#REF!</v>
      </c>
      <c r="GZ120" t="e">
        <f>AND(#REF!,"AAAAAH9//88=")</f>
        <v>#REF!</v>
      </c>
      <c r="HA120" t="e">
        <f>AND(#REF!,"AAAAAH9//9A=")</f>
        <v>#REF!</v>
      </c>
      <c r="HB120" t="e">
        <f>AND(#REF!,"AAAAAH9//9E=")</f>
        <v>#REF!</v>
      </c>
      <c r="HC120" t="e">
        <f>AND(#REF!,"AAAAAH9//9I=")</f>
        <v>#REF!</v>
      </c>
      <c r="HD120" t="e">
        <f>AND(#REF!,"AAAAAH9//9M=")</f>
        <v>#REF!</v>
      </c>
      <c r="HE120" t="e">
        <f>AND(#REF!,"AAAAAH9//9Q=")</f>
        <v>#REF!</v>
      </c>
      <c r="HF120" t="e">
        <f>AND(#REF!,"AAAAAH9//9U=")</f>
        <v>#REF!</v>
      </c>
      <c r="HG120" t="e">
        <f>AND(#REF!,"AAAAAH9//9Y=")</f>
        <v>#REF!</v>
      </c>
      <c r="HH120" t="e">
        <f>AND(#REF!,"AAAAAH9//9c=")</f>
        <v>#REF!</v>
      </c>
      <c r="HI120" t="e">
        <f>AND(#REF!,"AAAAAH9//9g=")</f>
        <v>#REF!</v>
      </c>
      <c r="HJ120" t="e">
        <f>AND(#REF!,"AAAAAH9//9k=")</f>
        <v>#REF!</v>
      </c>
      <c r="HK120" t="e">
        <f>AND(#REF!,"AAAAAH9//9o=")</f>
        <v>#REF!</v>
      </c>
      <c r="HL120" t="e">
        <f>AND(#REF!,"AAAAAH9//9s=")</f>
        <v>#REF!</v>
      </c>
      <c r="HM120" t="e">
        <f>AND(#REF!,"AAAAAH9//9w=")</f>
        <v>#REF!</v>
      </c>
      <c r="HN120" t="e">
        <f>IF(#REF!,"AAAAAH9//90=",0)</f>
        <v>#REF!</v>
      </c>
      <c r="HO120" t="e">
        <f>AND(#REF!,"AAAAAH9//94=")</f>
        <v>#REF!</v>
      </c>
      <c r="HP120" t="e">
        <f>AND(#REF!,"AAAAAH9//98=")</f>
        <v>#REF!</v>
      </c>
      <c r="HQ120" t="e">
        <f>AND(#REF!,"AAAAAH9//+A=")</f>
        <v>#REF!</v>
      </c>
      <c r="HR120" t="e">
        <f>AND(#REF!,"AAAAAH9//+E=")</f>
        <v>#REF!</v>
      </c>
      <c r="HS120" t="e">
        <f>AND(#REF!,"AAAAAH9//+I=")</f>
        <v>#REF!</v>
      </c>
      <c r="HT120" t="e">
        <f>AND(#REF!,"AAAAAH9//+M=")</f>
        <v>#REF!</v>
      </c>
      <c r="HU120" t="e">
        <f>AND(#REF!,"AAAAAH9//+Q=")</f>
        <v>#REF!</v>
      </c>
      <c r="HV120" t="e">
        <f>AND(#REF!,"AAAAAH9//+U=")</f>
        <v>#REF!</v>
      </c>
      <c r="HW120" t="e">
        <f>AND(#REF!,"AAAAAH9//+Y=")</f>
        <v>#REF!</v>
      </c>
      <c r="HX120" t="e">
        <f>AND(#REF!,"AAAAAH9//+c=")</f>
        <v>#REF!</v>
      </c>
      <c r="HY120" t="e">
        <f>AND(#REF!,"AAAAAH9//+g=")</f>
        <v>#REF!</v>
      </c>
      <c r="HZ120" t="e">
        <f>AND(#REF!,"AAAAAH9//+k=")</f>
        <v>#REF!</v>
      </c>
      <c r="IA120" t="e">
        <f>AND(#REF!,"AAAAAH9//+o=")</f>
        <v>#REF!</v>
      </c>
      <c r="IB120" t="e">
        <f>AND(#REF!,"AAAAAH9//+s=")</f>
        <v>#REF!</v>
      </c>
      <c r="IC120" t="e">
        <f>AND(#REF!,"AAAAAH9//+w=")</f>
        <v>#REF!</v>
      </c>
      <c r="ID120" t="e">
        <f>AND(#REF!,"AAAAAH9//+0=")</f>
        <v>#REF!</v>
      </c>
      <c r="IE120" t="e">
        <f>AND(#REF!,"AAAAAH9//+4=")</f>
        <v>#REF!</v>
      </c>
      <c r="IF120" t="e">
        <f>AND(#REF!,"AAAAAH9//+8=")</f>
        <v>#REF!</v>
      </c>
      <c r="IG120" t="e">
        <f>AND(#REF!,"AAAAAH9///A=")</f>
        <v>#REF!</v>
      </c>
      <c r="IH120" t="e">
        <f>AND(#REF!,"AAAAAH9///E=")</f>
        <v>#REF!</v>
      </c>
      <c r="II120" t="e">
        <f>AND(#REF!,"AAAAAH9///I=")</f>
        <v>#REF!</v>
      </c>
      <c r="IJ120" t="e">
        <f>AND(#REF!,"AAAAAH9///M=")</f>
        <v>#REF!</v>
      </c>
      <c r="IK120" t="e">
        <f>AND(#REF!,"AAAAAH9///Q=")</f>
        <v>#REF!</v>
      </c>
      <c r="IL120" t="e">
        <f>AND(#REF!,"AAAAAH9///U=")</f>
        <v>#REF!</v>
      </c>
      <c r="IM120" t="e">
        <f>IF(#REF!,"AAAAAH9///Y=",0)</f>
        <v>#REF!</v>
      </c>
      <c r="IN120" t="e">
        <f>AND(#REF!,"AAAAAH9///c=")</f>
        <v>#REF!</v>
      </c>
      <c r="IO120" t="e">
        <f>AND(#REF!,"AAAAAH9///g=")</f>
        <v>#REF!</v>
      </c>
      <c r="IP120" t="e">
        <f>AND(#REF!,"AAAAAH9///k=")</f>
        <v>#REF!</v>
      </c>
      <c r="IQ120" t="e">
        <f>AND(#REF!,"AAAAAH9///o=")</f>
        <v>#REF!</v>
      </c>
      <c r="IR120" t="e">
        <f>AND(#REF!,"AAAAAH9///s=")</f>
        <v>#REF!</v>
      </c>
      <c r="IS120" t="e">
        <f>AND(#REF!,"AAAAAH9///w=")</f>
        <v>#REF!</v>
      </c>
      <c r="IT120" t="e">
        <f>AND(#REF!,"AAAAAH9///0=")</f>
        <v>#REF!</v>
      </c>
      <c r="IU120" t="e">
        <f>AND(#REF!,"AAAAAH9///4=")</f>
        <v>#REF!</v>
      </c>
      <c r="IV120" t="e">
        <f>AND(#REF!,"AAAAAH9///8=")</f>
        <v>#REF!</v>
      </c>
    </row>
    <row r="121" spans="1:256">
      <c r="A121" t="e">
        <f>AND(#REF!,"AAAAAD535wA=")</f>
        <v>#REF!</v>
      </c>
      <c r="B121" t="e">
        <f>AND(#REF!,"AAAAAD535wE=")</f>
        <v>#REF!</v>
      </c>
      <c r="C121" t="e">
        <f>AND(#REF!,"AAAAAD535wI=")</f>
        <v>#REF!</v>
      </c>
      <c r="D121" t="e">
        <f>AND(#REF!,"AAAAAD535wM=")</f>
        <v>#REF!</v>
      </c>
      <c r="E121" t="e">
        <f>AND(#REF!,"AAAAAD535wQ=")</f>
        <v>#REF!</v>
      </c>
      <c r="F121" t="e">
        <f>AND(#REF!,"AAAAAD535wU=")</f>
        <v>#REF!</v>
      </c>
      <c r="G121" t="e">
        <f>AND(#REF!,"AAAAAD535wY=")</f>
        <v>#REF!</v>
      </c>
      <c r="H121" t="e">
        <f>AND(#REF!,"AAAAAD535wc=")</f>
        <v>#REF!</v>
      </c>
      <c r="I121" t="e">
        <f>AND(#REF!,"AAAAAD535wg=")</f>
        <v>#REF!</v>
      </c>
      <c r="J121" t="e">
        <f>AND(#REF!,"AAAAAD535wk=")</f>
        <v>#REF!</v>
      </c>
      <c r="K121" t="e">
        <f>AND(#REF!,"AAAAAD535wo=")</f>
        <v>#REF!</v>
      </c>
      <c r="L121" t="e">
        <f>AND(#REF!,"AAAAAD535ws=")</f>
        <v>#REF!</v>
      </c>
      <c r="M121" t="e">
        <f>AND(#REF!,"AAAAAD535ww=")</f>
        <v>#REF!</v>
      </c>
      <c r="N121" t="e">
        <f>AND(#REF!,"AAAAAD535w0=")</f>
        <v>#REF!</v>
      </c>
      <c r="O121" t="e">
        <f>AND(#REF!,"AAAAAD535w4=")</f>
        <v>#REF!</v>
      </c>
      <c r="P121" t="e">
        <f>IF(#REF!,"AAAAAD535w8=",0)</f>
        <v>#REF!</v>
      </c>
      <c r="Q121" t="e">
        <f>AND(#REF!,"AAAAAD535xA=")</f>
        <v>#REF!</v>
      </c>
      <c r="R121" t="e">
        <f>AND(#REF!,"AAAAAD535xE=")</f>
        <v>#REF!</v>
      </c>
      <c r="S121" t="e">
        <f>AND(#REF!,"AAAAAD535xI=")</f>
        <v>#REF!</v>
      </c>
      <c r="T121" t="e">
        <f>AND(#REF!,"AAAAAD535xM=")</f>
        <v>#REF!</v>
      </c>
      <c r="U121" t="e">
        <f>AND(#REF!,"AAAAAD535xQ=")</f>
        <v>#REF!</v>
      </c>
      <c r="V121" t="e">
        <f>AND(#REF!,"AAAAAD535xU=")</f>
        <v>#REF!</v>
      </c>
      <c r="W121" t="e">
        <f>AND(#REF!,"AAAAAD535xY=")</f>
        <v>#REF!</v>
      </c>
      <c r="X121" t="e">
        <f>AND(#REF!,"AAAAAD535xc=")</f>
        <v>#REF!</v>
      </c>
      <c r="Y121" t="e">
        <f>AND(#REF!,"AAAAAD535xg=")</f>
        <v>#REF!</v>
      </c>
      <c r="Z121" t="e">
        <f>AND(#REF!,"AAAAAD535xk=")</f>
        <v>#REF!</v>
      </c>
      <c r="AA121" t="e">
        <f>AND(#REF!,"AAAAAD535xo=")</f>
        <v>#REF!</v>
      </c>
      <c r="AB121" t="e">
        <f>AND(#REF!,"AAAAAD535xs=")</f>
        <v>#REF!</v>
      </c>
      <c r="AC121" t="e">
        <f>AND(#REF!,"AAAAAD535xw=")</f>
        <v>#REF!</v>
      </c>
      <c r="AD121" t="e">
        <f>AND(#REF!,"AAAAAD535x0=")</f>
        <v>#REF!</v>
      </c>
      <c r="AE121" t="e">
        <f>AND(#REF!,"AAAAAD535x4=")</f>
        <v>#REF!</v>
      </c>
      <c r="AF121" t="e">
        <f>AND(#REF!,"AAAAAD535x8=")</f>
        <v>#REF!</v>
      </c>
      <c r="AG121" t="e">
        <f>AND(#REF!,"AAAAAD535yA=")</f>
        <v>#REF!</v>
      </c>
      <c r="AH121" t="e">
        <f>AND(#REF!,"AAAAAD535yE=")</f>
        <v>#REF!</v>
      </c>
      <c r="AI121" t="e">
        <f>AND(#REF!,"AAAAAD535yI=")</f>
        <v>#REF!</v>
      </c>
      <c r="AJ121" t="e">
        <f>AND(#REF!,"AAAAAD535yM=")</f>
        <v>#REF!</v>
      </c>
      <c r="AK121" t="e">
        <f>AND(#REF!,"AAAAAD535yQ=")</f>
        <v>#REF!</v>
      </c>
      <c r="AL121" t="e">
        <f>AND(#REF!,"AAAAAD535yU=")</f>
        <v>#REF!</v>
      </c>
      <c r="AM121" t="e">
        <f>AND(#REF!,"AAAAAD535yY=")</f>
        <v>#REF!</v>
      </c>
      <c r="AN121" t="e">
        <f>AND(#REF!,"AAAAAD535yc=")</f>
        <v>#REF!</v>
      </c>
      <c r="AO121" t="e">
        <f>IF(#REF!,"AAAAAD535yg=",0)</f>
        <v>#REF!</v>
      </c>
      <c r="AP121" t="e">
        <f>AND(#REF!,"AAAAAD535yk=")</f>
        <v>#REF!</v>
      </c>
      <c r="AQ121" t="e">
        <f>AND(#REF!,"AAAAAD535yo=")</f>
        <v>#REF!</v>
      </c>
      <c r="AR121" t="e">
        <f>AND(#REF!,"AAAAAD535ys=")</f>
        <v>#REF!</v>
      </c>
      <c r="AS121" t="e">
        <f>AND(#REF!,"AAAAAD535yw=")</f>
        <v>#REF!</v>
      </c>
      <c r="AT121" t="e">
        <f>AND(#REF!,"AAAAAD535y0=")</f>
        <v>#REF!</v>
      </c>
      <c r="AU121" t="e">
        <f>AND(#REF!,"AAAAAD535y4=")</f>
        <v>#REF!</v>
      </c>
      <c r="AV121" t="e">
        <f>AND(#REF!,"AAAAAD535y8=")</f>
        <v>#REF!</v>
      </c>
      <c r="AW121" t="e">
        <f>AND(#REF!,"AAAAAD535zA=")</f>
        <v>#REF!</v>
      </c>
      <c r="AX121" t="e">
        <f>AND(#REF!,"AAAAAD535zE=")</f>
        <v>#REF!</v>
      </c>
      <c r="AY121" t="e">
        <f>AND(#REF!,"AAAAAD535zI=")</f>
        <v>#REF!</v>
      </c>
      <c r="AZ121" t="e">
        <f>AND(#REF!,"AAAAAD535zM=")</f>
        <v>#REF!</v>
      </c>
      <c r="BA121" t="e">
        <f>AND(#REF!,"AAAAAD535zQ=")</f>
        <v>#REF!</v>
      </c>
      <c r="BB121" t="e">
        <f>AND(#REF!,"AAAAAD535zU=")</f>
        <v>#REF!</v>
      </c>
      <c r="BC121" t="e">
        <f>AND(#REF!,"AAAAAD535zY=")</f>
        <v>#REF!</v>
      </c>
      <c r="BD121" t="e">
        <f>AND(#REF!,"AAAAAD535zc=")</f>
        <v>#REF!</v>
      </c>
      <c r="BE121" t="e">
        <f>AND(#REF!,"AAAAAD535zg=")</f>
        <v>#REF!</v>
      </c>
      <c r="BF121" t="e">
        <f>AND(#REF!,"AAAAAD535zk=")</f>
        <v>#REF!</v>
      </c>
      <c r="BG121" t="e">
        <f>AND(#REF!,"AAAAAD535zo=")</f>
        <v>#REF!</v>
      </c>
      <c r="BH121" t="e">
        <f>AND(#REF!,"AAAAAD535zs=")</f>
        <v>#REF!</v>
      </c>
      <c r="BI121" t="e">
        <f>AND(#REF!,"AAAAAD535zw=")</f>
        <v>#REF!</v>
      </c>
      <c r="BJ121" t="e">
        <f>AND(#REF!,"AAAAAD535z0=")</f>
        <v>#REF!</v>
      </c>
      <c r="BK121" t="e">
        <f>AND(#REF!,"AAAAAD535z4=")</f>
        <v>#REF!</v>
      </c>
      <c r="BL121" t="e">
        <f>AND(#REF!,"AAAAAD535z8=")</f>
        <v>#REF!</v>
      </c>
      <c r="BM121" t="e">
        <f>AND(#REF!,"AAAAAD5350A=")</f>
        <v>#REF!</v>
      </c>
      <c r="BN121" t="e">
        <f>IF(#REF!,"AAAAAD5350E=",0)</f>
        <v>#REF!</v>
      </c>
      <c r="BO121" t="e">
        <f>AND(#REF!,"AAAAAD5350I=")</f>
        <v>#REF!</v>
      </c>
      <c r="BP121" t="e">
        <f>AND(#REF!,"AAAAAD5350M=")</f>
        <v>#REF!</v>
      </c>
      <c r="BQ121" t="e">
        <f>AND(#REF!,"AAAAAD5350Q=")</f>
        <v>#REF!</v>
      </c>
      <c r="BR121" t="e">
        <f>AND(#REF!,"AAAAAD5350U=")</f>
        <v>#REF!</v>
      </c>
      <c r="BS121" t="e">
        <f>AND(#REF!,"AAAAAD5350Y=")</f>
        <v>#REF!</v>
      </c>
      <c r="BT121" t="e">
        <f>AND(#REF!,"AAAAAD5350c=")</f>
        <v>#REF!</v>
      </c>
      <c r="BU121" t="e">
        <f>AND(#REF!,"AAAAAD5350g=")</f>
        <v>#REF!</v>
      </c>
      <c r="BV121" t="e">
        <f>AND(#REF!,"AAAAAD5350k=")</f>
        <v>#REF!</v>
      </c>
      <c r="BW121" t="e">
        <f>AND(#REF!,"AAAAAD5350o=")</f>
        <v>#REF!</v>
      </c>
      <c r="BX121" t="e">
        <f>AND(#REF!,"AAAAAD5350s=")</f>
        <v>#REF!</v>
      </c>
      <c r="BY121" t="e">
        <f>AND(#REF!,"AAAAAD5350w=")</f>
        <v>#REF!</v>
      </c>
      <c r="BZ121" t="e">
        <f>AND(#REF!,"AAAAAD53500=")</f>
        <v>#REF!</v>
      </c>
      <c r="CA121" t="e">
        <f>AND(#REF!,"AAAAAD53504=")</f>
        <v>#REF!</v>
      </c>
      <c r="CB121" t="e">
        <f>AND(#REF!,"AAAAAD53508=")</f>
        <v>#REF!</v>
      </c>
      <c r="CC121" t="e">
        <f>AND(#REF!,"AAAAAD5351A=")</f>
        <v>#REF!</v>
      </c>
      <c r="CD121" t="e">
        <f>AND(#REF!,"AAAAAD5351E=")</f>
        <v>#REF!</v>
      </c>
      <c r="CE121" t="e">
        <f>AND(#REF!,"AAAAAD5351I=")</f>
        <v>#REF!</v>
      </c>
      <c r="CF121" t="e">
        <f>AND(#REF!,"AAAAAD5351M=")</f>
        <v>#REF!</v>
      </c>
      <c r="CG121" t="e">
        <f>AND(#REF!,"AAAAAD5351Q=")</f>
        <v>#REF!</v>
      </c>
      <c r="CH121" t="e">
        <f>AND(#REF!,"AAAAAD5351U=")</f>
        <v>#REF!</v>
      </c>
      <c r="CI121" t="e">
        <f>AND(#REF!,"AAAAAD5351Y=")</f>
        <v>#REF!</v>
      </c>
      <c r="CJ121" t="e">
        <f>AND(#REF!,"AAAAAD5351c=")</f>
        <v>#REF!</v>
      </c>
      <c r="CK121" t="e">
        <f>AND(#REF!,"AAAAAD5351g=")</f>
        <v>#REF!</v>
      </c>
      <c r="CL121" t="e">
        <f>AND(#REF!,"AAAAAD5351k=")</f>
        <v>#REF!</v>
      </c>
      <c r="CM121" t="e">
        <f>IF(#REF!,"AAAAAD5351o=",0)</f>
        <v>#REF!</v>
      </c>
      <c r="CN121" t="e">
        <f>AND(#REF!,"AAAAAD5351s=")</f>
        <v>#REF!</v>
      </c>
      <c r="CO121" t="e">
        <f>AND(#REF!,"AAAAAD5351w=")</f>
        <v>#REF!</v>
      </c>
      <c r="CP121" t="e">
        <f>AND(#REF!,"AAAAAD53510=")</f>
        <v>#REF!</v>
      </c>
      <c r="CQ121" t="e">
        <f>AND(#REF!,"AAAAAD53514=")</f>
        <v>#REF!</v>
      </c>
      <c r="CR121" t="e">
        <f>AND(#REF!,"AAAAAD53518=")</f>
        <v>#REF!</v>
      </c>
      <c r="CS121" t="e">
        <f>AND(#REF!,"AAAAAD5352A=")</f>
        <v>#REF!</v>
      </c>
      <c r="CT121" t="e">
        <f>AND(#REF!,"AAAAAD5352E=")</f>
        <v>#REF!</v>
      </c>
      <c r="CU121" t="e">
        <f>AND(#REF!,"AAAAAD5352I=")</f>
        <v>#REF!</v>
      </c>
      <c r="CV121" t="e">
        <f>AND(#REF!,"AAAAAD5352M=")</f>
        <v>#REF!</v>
      </c>
      <c r="CW121" t="e">
        <f>AND(#REF!,"AAAAAD5352Q=")</f>
        <v>#REF!</v>
      </c>
      <c r="CX121" t="e">
        <f>AND(#REF!,"AAAAAD5352U=")</f>
        <v>#REF!</v>
      </c>
      <c r="CY121" t="e">
        <f>AND(#REF!,"AAAAAD5352Y=")</f>
        <v>#REF!</v>
      </c>
      <c r="CZ121" t="e">
        <f>AND(#REF!,"AAAAAD5352c=")</f>
        <v>#REF!</v>
      </c>
      <c r="DA121" t="e">
        <f>AND(#REF!,"AAAAAD5352g=")</f>
        <v>#REF!</v>
      </c>
      <c r="DB121" t="e">
        <f>AND(#REF!,"AAAAAD5352k=")</f>
        <v>#REF!</v>
      </c>
      <c r="DC121" t="e">
        <f>AND(#REF!,"AAAAAD5352o=")</f>
        <v>#REF!</v>
      </c>
      <c r="DD121" t="e">
        <f>AND(#REF!,"AAAAAD5352s=")</f>
        <v>#REF!</v>
      </c>
      <c r="DE121" t="e">
        <f>AND(#REF!,"AAAAAD5352w=")</f>
        <v>#REF!</v>
      </c>
      <c r="DF121" t="e">
        <f>AND(#REF!,"AAAAAD53520=")</f>
        <v>#REF!</v>
      </c>
      <c r="DG121" t="e">
        <f>AND(#REF!,"AAAAAD53524=")</f>
        <v>#REF!</v>
      </c>
      <c r="DH121" t="e">
        <f>AND(#REF!,"AAAAAD53528=")</f>
        <v>#REF!</v>
      </c>
      <c r="DI121" t="e">
        <f>AND(#REF!,"AAAAAD5353A=")</f>
        <v>#REF!</v>
      </c>
      <c r="DJ121" t="e">
        <f>AND(#REF!,"AAAAAD5353E=")</f>
        <v>#REF!</v>
      </c>
      <c r="DK121" t="e">
        <f>AND(#REF!,"AAAAAD5353I=")</f>
        <v>#REF!</v>
      </c>
      <c r="DL121" t="e">
        <f>IF(#REF!,"AAAAAD5353M=",0)</f>
        <v>#REF!</v>
      </c>
      <c r="DM121" t="e">
        <f>AND(#REF!,"AAAAAD5353Q=")</f>
        <v>#REF!</v>
      </c>
      <c r="DN121" t="e">
        <f>AND(#REF!,"AAAAAD5353U=")</f>
        <v>#REF!</v>
      </c>
      <c r="DO121" t="e">
        <f>AND(#REF!,"AAAAAD5353Y=")</f>
        <v>#REF!</v>
      </c>
      <c r="DP121" t="e">
        <f>AND(#REF!,"AAAAAD5353c=")</f>
        <v>#REF!</v>
      </c>
      <c r="DQ121" t="e">
        <f>AND(#REF!,"AAAAAD5353g=")</f>
        <v>#REF!</v>
      </c>
      <c r="DR121" t="e">
        <f>AND(#REF!,"AAAAAD5353k=")</f>
        <v>#REF!</v>
      </c>
      <c r="DS121" t="e">
        <f>AND(#REF!,"AAAAAD5353o=")</f>
        <v>#REF!</v>
      </c>
      <c r="DT121" t="e">
        <f>AND(#REF!,"AAAAAD5353s=")</f>
        <v>#REF!</v>
      </c>
      <c r="DU121" t="e">
        <f>AND(#REF!,"AAAAAD5353w=")</f>
        <v>#REF!</v>
      </c>
      <c r="DV121" t="e">
        <f>AND(#REF!,"AAAAAD53530=")</f>
        <v>#REF!</v>
      </c>
      <c r="DW121" t="e">
        <f>AND(#REF!,"AAAAAD53534=")</f>
        <v>#REF!</v>
      </c>
      <c r="DX121" t="e">
        <f>AND(#REF!,"AAAAAD53538=")</f>
        <v>#REF!</v>
      </c>
      <c r="DY121" t="e">
        <f>AND(#REF!,"AAAAAD5354A=")</f>
        <v>#REF!</v>
      </c>
      <c r="DZ121" t="e">
        <f>AND(#REF!,"AAAAAD5354E=")</f>
        <v>#REF!</v>
      </c>
      <c r="EA121" t="e">
        <f>AND(#REF!,"AAAAAD5354I=")</f>
        <v>#REF!</v>
      </c>
      <c r="EB121" t="e">
        <f>AND(#REF!,"AAAAAD5354M=")</f>
        <v>#REF!</v>
      </c>
      <c r="EC121" t="e">
        <f>AND(#REF!,"AAAAAD5354Q=")</f>
        <v>#REF!</v>
      </c>
      <c r="ED121" t="e">
        <f>AND(#REF!,"AAAAAD5354U=")</f>
        <v>#REF!</v>
      </c>
      <c r="EE121" t="e">
        <f>AND(#REF!,"AAAAAD5354Y=")</f>
        <v>#REF!</v>
      </c>
      <c r="EF121" t="e">
        <f>AND(#REF!,"AAAAAD5354c=")</f>
        <v>#REF!</v>
      </c>
      <c r="EG121" t="e">
        <f>AND(#REF!,"AAAAAD5354g=")</f>
        <v>#REF!</v>
      </c>
      <c r="EH121" t="e">
        <f>AND(#REF!,"AAAAAD5354k=")</f>
        <v>#REF!</v>
      </c>
      <c r="EI121" t="e">
        <f>AND(#REF!,"AAAAAD5354o=")</f>
        <v>#REF!</v>
      </c>
      <c r="EJ121" t="e">
        <f>AND(#REF!,"AAAAAD5354s=")</f>
        <v>#REF!</v>
      </c>
      <c r="EK121" t="e">
        <f>IF(#REF!,"AAAAAD5354w=",0)</f>
        <v>#REF!</v>
      </c>
      <c r="EL121" t="e">
        <f>AND(#REF!,"AAAAAD53540=")</f>
        <v>#REF!</v>
      </c>
      <c r="EM121" t="e">
        <f>AND(#REF!,"AAAAAD53544=")</f>
        <v>#REF!</v>
      </c>
      <c r="EN121" t="e">
        <f>AND(#REF!,"AAAAAD53548=")</f>
        <v>#REF!</v>
      </c>
      <c r="EO121" t="e">
        <f>AND(#REF!,"AAAAAD5355A=")</f>
        <v>#REF!</v>
      </c>
      <c r="EP121" t="e">
        <f>AND(#REF!,"AAAAAD5355E=")</f>
        <v>#REF!</v>
      </c>
      <c r="EQ121" t="e">
        <f>AND(#REF!,"AAAAAD5355I=")</f>
        <v>#REF!</v>
      </c>
      <c r="ER121" t="e">
        <f>AND(#REF!,"AAAAAD5355M=")</f>
        <v>#REF!</v>
      </c>
      <c r="ES121" t="e">
        <f>AND(#REF!,"AAAAAD5355Q=")</f>
        <v>#REF!</v>
      </c>
      <c r="ET121" t="e">
        <f>AND(#REF!,"AAAAAD5355U=")</f>
        <v>#REF!</v>
      </c>
      <c r="EU121" t="e">
        <f>AND(#REF!,"AAAAAD5355Y=")</f>
        <v>#REF!</v>
      </c>
      <c r="EV121" t="e">
        <f>AND(#REF!,"AAAAAD5355c=")</f>
        <v>#REF!</v>
      </c>
      <c r="EW121" t="e">
        <f>AND(#REF!,"AAAAAD5355g=")</f>
        <v>#REF!</v>
      </c>
      <c r="EX121" t="e">
        <f>AND(#REF!,"AAAAAD5355k=")</f>
        <v>#REF!</v>
      </c>
      <c r="EY121" t="e">
        <f>AND(#REF!,"AAAAAD5355o=")</f>
        <v>#REF!</v>
      </c>
      <c r="EZ121" t="e">
        <f>AND(#REF!,"AAAAAD5355s=")</f>
        <v>#REF!</v>
      </c>
      <c r="FA121" t="e">
        <f>AND(#REF!,"AAAAAD5355w=")</f>
        <v>#REF!</v>
      </c>
      <c r="FB121" t="e">
        <f>AND(#REF!,"AAAAAD53550=")</f>
        <v>#REF!</v>
      </c>
      <c r="FC121" t="e">
        <f>AND(#REF!,"AAAAAD53554=")</f>
        <v>#REF!</v>
      </c>
      <c r="FD121" t="e">
        <f>AND(#REF!,"AAAAAD53558=")</f>
        <v>#REF!</v>
      </c>
      <c r="FE121" t="e">
        <f>AND(#REF!,"AAAAAD5356A=")</f>
        <v>#REF!</v>
      </c>
      <c r="FF121" t="e">
        <f>AND(#REF!,"AAAAAD5356E=")</f>
        <v>#REF!</v>
      </c>
      <c r="FG121" t="e">
        <f>AND(#REF!,"AAAAAD5356I=")</f>
        <v>#REF!</v>
      </c>
      <c r="FH121" t="e">
        <f>AND(#REF!,"AAAAAD5356M=")</f>
        <v>#REF!</v>
      </c>
      <c r="FI121" t="e">
        <f>AND(#REF!,"AAAAAD5356Q=")</f>
        <v>#REF!</v>
      </c>
      <c r="FJ121" t="e">
        <f>IF(#REF!,"AAAAAD5356U=",0)</f>
        <v>#REF!</v>
      </c>
      <c r="FK121" t="e">
        <f>AND(#REF!,"AAAAAD5356Y=")</f>
        <v>#REF!</v>
      </c>
      <c r="FL121" t="e">
        <f>AND(#REF!,"AAAAAD5356c=")</f>
        <v>#REF!</v>
      </c>
      <c r="FM121" t="e">
        <f>AND(#REF!,"AAAAAD5356g=")</f>
        <v>#REF!</v>
      </c>
      <c r="FN121" t="e">
        <f>AND(#REF!,"AAAAAD5356k=")</f>
        <v>#REF!</v>
      </c>
      <c r="FO121" t="e">
        <f>AND(#REF!,"AAAAAD5356o=")</f>
        <v>#REF!</v>
      </c>
      <c r="FP121" t="e">
        <f>AND(#REF!,"AAAAAD5356s=")</f>
        <v>#REF!</v>
      </c>
      <c r="FQ121" t="e">
        <f>AND(#REF!,"AAAAAD5356w=")</f>
        <v>#REF!</v>
      </c>
      <c r="FR121" t="e">
        <f>AND(#REF!,"AAAAAD53560=")</f>
        <v>#REF!</v>
      </c>
      <c r="FS121" t="e">
        <f>AND(#REF!,"AAAAAD53564=")</f>
        <v>#REF!</v>
      </c>
      <c r="FT121" t="e">
        <f>AND(#REF!,"AAAAAD53568=")</f>
        <v>#REF!</v>
      </c>
      <c r="FU121" t="e">
        <f>AND(#REF!,"AAAAAD5357A=")</f>
        <v>#REF!</v>
      </c>
      <c r="FV121" t="e">
        <f>AND(#REF!,"AAAAAD5357E=")</f>
        <v>#REF!</v>
      </c>
      <c r="FW121" t="e">
        <f>AND(#REF!,"AAAAAD5357I=")</f>
        <v>#REF!</v>
      </c>
      <c r="FX121" t="e">
        <f>AND(#REF!,"AAAAAD5357M=")</f>
        <v>#REF!</v>
      </c>
      <c r="FY121" t="e">
        <f>AND(#REF!,"AAAAAD5357Q=")</f>
        <v>#REF!</v>
      </c>
      <c r="FZ121" t="e">
        <f>AND(#REF!,"AAAAAD5357U=")</f>
        <v>#REF!</v>
      </c>
      <c r="GA121" t="e">
        <f>AND(#REF!,"AAAAAD5357Y=")</f>
        <v>#REF!</v>
      </c>
      <c r="GB121" t="e">
        <f>AND(#REF!,"AAAAAD5357c=")</f>
        <v>#REF!</v>
      </c>
      <c r="GC121" t="e">
        <f>AND(#REF!,"AAAAAD5357g=")</f>
        <v>#REF!</v>
      </c>
      <c r="GD121" t="e">
        <f>AND(#REF!,"AAAAAD5357k=")</f>
        <v>#REF!</v>
      </c>
      <c r="GE121" t="e">
        <f>AND(#REF!,"AAAAAD5357o=")</f>
        <v>#REF!</v>
      </c>
      <c r="GF121" t="e">
        <f>AND(#REF!,"AAAAAD5357s=")</f>
        <v>#REF!</v>
      </c>
      <c r="GG121" t="e">
        <f>AND(#REF!,"AAAAAD5357w=")</f>
        <v>#REF!</v>
      </c>
      <c r="GH121" t="e">
        <f>AND(#REF!,"AAAAAD53570=")</f>
        <v>#REF!</v>
      </c>
      <c r="GI121" t="e">
        <f>IF(#REF!,"AAAAAD53574=",0)</f>
        <v>#REF!</v>
      </c>
      <c r="GJ121" t="e">
        <f>AND(#REF!,"AAAAAD53578=")</f>
        <v>#REF!</v>
      </c>
      <c r="GK121" t="e">
        <f>AND(#REF!,"AAAAAD5358A=")</f>
        <v>#REF!</v>
      </c>
      <c r="GL121" t="e">
        <f>AND(#REF!,"AAAAAD5358E=")</f>
        <v>#REF!</v>
      </c>
      <c r="GM121" t="e">
        <f>AND(#REF!,"AAAAAD5358I=")</f>
        <v>#REF!</v>
      </c>
      <c r="GN121" t="e">
        <f>AND(#REF!,"AAAAAD5358M=")</f>
        <v>#REF!</v>
      </c>
      <c r="GO121" t="e">
        <f>AND(#REF!,"AAAAAD5358Q=")</f>
        <v>#REF!</v>
      </c>
      <c r="GP121" t="e">
        <f>AND(#REF!,"AAAAAD5358U=")</f>
        <v>#REF!</v>
      </c>
      <c r="GQ121" t="e">
        <f>AND(#REF!,"AAAAAD5358Y=")</f>
        <v>#REF!</v>
      </c>
      <c r="GR121" t="e">
        <f>AND(#REF!,"AAAAAD5358c=")</f>
        <v>#REF!</v>
      </c>
      <c r="GS121" t="e">
        <f>AND(#REF!,"AAAAAD5358g=")</f>
        <v>#REF!</v>
      </c>
      <c r="GT121" t="e">
        <f>AND(#REF!,"AAAAAD5358k=")</f>
        <v>#REF!</v>
      </c>
      <c r="GU121" t="e">
        <f>AND(#REF!,"AAAAAD5358o=")</f>
        <v>#REF!</v>
      </c>
      <c r="GV121" t="e">
        <f>AND(#REF!,"AAAAAD5358s=")</f>
        <v>#REF!</v>
      </c>
      <c r="GW121" t="e">
        <f>AND(#REF!,"AAAAAD5358w=")</f>
        <v>#REF!</v>
      </c>
      <c r="GX121" t="e">
        <f>AND(#REF!,"AAAAAD53580=")</f>
        <v>#REF!</v>
      </c>
      <c r="GY121" t="e">
        <f>AND(#REF!,"AAAAAD53584=")</f>
        <v>#REF!</v>
      </c>
      <c r="GZ121" t="e">
        <f>AND(#REF!,"AAAAAD53588=")</f>
        <v>#REF!</v>
      </c>
      <c r="HA121" t="e">
        <f>AND(#REF!,"AAAAAD5359A=")</f>
        <v>#REF!</v>
      </c>
      <c r="HB121" t="e">
        <f>AND(#REF!,"AAAAAD5359E=")</f>
        <v>#REF!</v>
      </c>
      <c r="HC121" t="e">
        <f>AND(#REF!,"AAAAAD5359I=")</f>
        <v>#REF!</v>
      </c>
      <c r="HD121" t="e">
        <f>AND(#REF!,"AAAAAD5359M=")</f>
        <v>#REF!</v>
      </c>
      <c r="HE121" t="e">
        <f>AND(#REF!,"AAAAAD5359Q=")</f>
        <v>#REF!</v>
      </c>
      <c r="HF121" t="e">
        <f>AND(#REF!,"AAAAAD5359U=")</f>
        <v>#REF!</v>
      </c>
      <c r="HG121" t="e">
        <f>AND(#REF!,"AAAAAD5359Y=")</f>
        <v>#REF!</v>
      </c>
      <c r="HH121" t="e">
        <f>IF(#REF!,"AAAAAD5359c=",0)</f>
        <v>#REF!</v>
      </c>
      <c r="HI121" t="e">
        <f>AND(#REF!,"AAAAAD5359g=")</f>
        <v>#REF!</v>
      </c>
      <c r="HJ121" t="e">
        <f>AND(#REF!,"AAAAAD5359k=")</f>
        <v>#REF!</v>
      </c>
      <c r="HK121" t="e">
        <f>AND(#REF!,"AAAAAD5359o=")</f>
        <v>#REF!</v>
      </c>
      <c r="HL121" t="e">
        <f>AND(#REF!,"AAAAAD5359s=")</f>
        <v>#REF!</v>
      </c>
      <c r="HM121" t="e">
        <f>AND(#REF!,"AAAAAD5359w=")</f>
        <v>#REF!</v>
      </c>
      <c r="HN121" t="e">
        <f>AND(#REF!,"AAAAAD53590=")</f>
        <v>#REF!</v>
      </c>
      <c r="HO121" t="e">
        <f>AND(#REF!,"AAAAAD53594=")</f>
        <v>#REF!</v>
      </c>
      <c r="HP121" t="e">
        <f>AND(#REF!,"AAAAAD53598=")</f>
        <v>#REF!</v>
      </c>
      <c r="HQ121" t="e">
        <f>AND(#REF!,"AAAAAD535+A=")</f>
        <v>#REF!</v>
      </c>
      <c r="HR121" t="e">
        <f>AND(#REF!,"AAAAAD535+E=")</f>
        <v>#REF!</v>
      </c>
      <c r="HS121" t="e">
        <f>AND(#REF!,"AAAAAD535+I=")</f>
        <v>#REF!</v>
      </c>
      <c r="HT121" t="e">
        <f>AND(#REF!,"AAAAAD535+M=")</f>
        <v>#REF!</v>
      </c>
      <c r="HU121" t="e">
        <f>AND(#REF!,"AAAAAD535+Q=")</f>
        <v>#REF!</v>
      </c>
      <c r="HV121" t="e">
        <f>AND(#REF!,"AAAAAD535+U=")</f>
        <v>#REF!</v>
      </c>
      <c r="HW121" t="e">
        <f>AND(#REF!,"AAAAAD535+Y=")</f>
        <v>#REF!</v>
      </c>
      <c r="HX121" t="e">
        <f>AND(#REF!,"AAAAAD535+c=")</f>
        <v>#REF!</v>
      </c>
      <c r="HY121" t="e">
        <f>AND(#REF!,"AAAAAD535+g=")</f>
        <v>#REF!</v>
      </c>
      <c r="HZ121" t="e">
        <f>AND(#REF!,"AAAAAD535+k=")</f>
        <v>#REF!</v>
      </c>
      <c r="IA121" t="e">
        <f>AND(#REF!,"AAAAAD535+o=")</f>
        <v>#REF!</v>
      </c>
      <c r="IB121" t="e">
        <f>AND(#REF!,"AAAAAD535+s=")</f>
        <v>#REF!</v>
      </c>
      <c r="IC121" t="e">
        <f>AND(#REF!,"AAAAAD535+w=")</f>
        <v>#REF!</v>
      </c>
      <c r="ID121" t="e">
        <f>AND(#REF!,"AAAAAD535+0=")</f>
        <v>#REF!</v>
      </c>
      <c r="IE121" t="e">
        <f>AND(#REF!,"AAAAAD535+4=")</f>
        <v>#REF!</v>
      </c>
      <c r="IF121" t="e">
        <f>AND(#REF!,"AAAAAD535+8=")</f>
        <v>#REF!</v>
      </c>
      <c r="IG121" t="e">
        <f>IF(#REF!,"AAAAAD535/A=",0)</f>
        <v>#REF!</v>
      </c>
      <c r="IH121" t="e">
        <f>AND(#REF!,"AAAAAD535/E=")</f>
        <v>#REF!</v>
      </c>
      <c r="II121" t="e">
        <f>AND(#REF!,"AAAAAD535/I=")</f>
        <v>#REF!</v>
      </c>
      <c r="IJ121" t="e">
        <f>AND(#REF!,"AAAAAD535/M=")</f>
        <v>#REF!</v>
      </c>
      <c r="IK121" t="e">
        <f>AND(#REF!,"AAAAAD535/Q=")</f>
        <v>#REF!</v>
      </c>
      <c r="IL121" t="e">
        <f>AND(#REF!,"AAAAAD535/U=")</f>
        <v>#REF!</v>
      </c>
      <c r="IM121" t="e">
        <f>AND(#REF!,"AAAAAD535/Y=")</f>
        <v>#REF!</v>
      </c>
      <c r="IN121" t="e">
        <f>AND(#REF!,"AAAAAD535/c=")</f>
        <v>#REF!</v>
      </c>
      <c r="IO121" t="e">
        <f>AND(#REF!,"AAAAAD535/g=")</f>
        <v>#REF!</v>
      </c>
      <c r="IP121" t="e">
        <f>AND(#REF!,"AAAAAD535/k=")</f>
        <v>#REF!</v>
      </c>
      <c r="IQ121" t="e">
        <f>AND(#REF!,"AAAAAD535/o=")</f>
        <v>#REF!</v>
      </c>
      <c r="IR121" t="e">
        <f>AND(#REF!,"AAAAAD535/s=")</f>
        <v>#REF!</v>
      </c>
      <c r="IS121" t="e">
        <f>AND(#REF!,"AAAAAD535/w=")</f>
        <v>#REF!</v>
      </c>
      <c r="IT121" t="e">
        <f>AND(#REF!,"AAAAAD535/0=")</f>
        <v>#REF!</v>
      </c>
      <c r="IU121" t="e">
        <f>AND(#REF!,"AAAAAD535/4=")</f>
        <v>#REF!</v>
      </c>
      <c r="IV121" t="e">
        <f>AND(#REF!,"AAAAAD535/8=")</f>
        <v>#REF!</v>
      </c>
    </row>
    <row r="122" spans="1:256">
      <c r="A122" t="e">
        <f>AND(#REF!,"AAAAAHnf5wA=")</f>
        <v>#REF!</v>
      </c>
      <c r="B122" t="e">
        <f>AND(#REF!,"AAAAAHnf5wE=")</f>
        <v>#REF!</v>
      </c>
      <c r="C122" t="e">
        <f>AND(#REF!,"AAAAAHnf5wI=")</f>
        <v>#REF!</v>
      </c>
      <c r="D122" t="e">
        <f>AND(#REF!,"AAAAAHnf5wM=")</f>
        <v>#REF!</v>
      </c>
      <c r="E122" t="e">
        <f>AND(#REF!,"AAAAAHnf5wQ=")</f>
        <v>#REF!</v>
      </c>
      <c r="F122" t="e">
        <f>AND(#REF!,"AAAAAHnf5wU=")</f>
        <v>#REF!</v>
      </c>
      <c r="G122" t="e">
        <f>AND(#REF!,"AAAAAHnf5wY=")</f>
        <v>#REF!</v>
      </c>
      <c r="H122" t="e">
        <f>AND(#REF!,"AAAAAHnf5wc=")</f>
        <v>#REF!</v>
      </c>
      <c r="I122" t="e">
        <f>AND(#REF!,"AAAAAHnf5wg=")</f>
        <v>#REF!</v>
      </c>
      <c r="J122" t="e">
        <f>IF(#REF!,"AAAAAHnf5wk=",0)</f>
        <v>#REF!</v>
      </c>
      <c r="K122" t="e">
        <f>AND(#REF!,"AAAAAHnf5wo=")</f>
        <v>#REF!</v>
      </c>
      <c r="L122" t="e">
        <f>AND(#REF!,"AAAAAHnf5ws=")</f>
        <v>#REF!</v>
      </c>
      <c r="M122" t="e">
        <f>AND(#REF!,"AAAAAHnf5ww=")</f>
        <v>#REF!</v>
      </c>
      <c r="N122" t="e">
        <f>AND(#REF!,"AAAAAHnf5w0=")</f>
        <v>#REF!</v>
      </c>
      <c r="O122" t="e">
        <f>AND(#REF!,"AAAAAHnf5w4=")</f>
        <v>#REF!</v>
      </c>
      <c r="P122" t="e">
        <f>AND(#REF!,"AAAAAHnf5w8=")</f>
        <v>#REF!</v>
      </c>
      <c r="Q122" t="e">
        <f>AND(#REF!,"AAAAAHnf5xA=")</f>
        <v>#REF!</v>
      </c>
      <c r="R122" t="e">
        <f>AND(#REF!,"AAAAAHnf5xE=")</f>
        <v>#REF!</v>
      </c>
      <c r="S122" t="e">
        <f>AND(#REF!,"AAAAAHnf5xI=")</f>
        <v>#REF!</v>
      </c>
      <c r="T122" t="e">
        <f>AND(#REF!,"AAAAAHnf5xM=")</f>
        <v>#REF!</v>
      </c>
      <c r="U122" t="e">
        <f>AND(#REF!,"AAAAAHnf5xQ=")</f>
        <v>#REF!</v>
      </c>
      <c r="V122" t="e">
        <f>AND(#REF!,"AAAAAHnf5xU=")</f>
        <v>#REF!</v>
      </c>
      <c r="W122" t="e">
        <f>AND(#REF!,"AAAAAHnf5xY=")</f>
        <v>#REF!</v>
      </c>
      <c r="X122" t="e">
        <f>AND(#REF!,"AAAAAHnf5xc=")</f>
        <v>#REF!</v>
      </c>
      <c r="Y122" t="e">
        <f>AND(#REF!,"AAAAAHnf5xg=")</f>
        <v>#REF!</v>
      </c>
      <c r="Z122" t="e">
        <f>AND(#REF!,"AAAAAHnf5xk=")</f>
        <v>#REF!</v>
      </c>
      <c r="AA122" t="e">
        <f>AND(#REF!,"AAAAAHnf5xo=")</f>
        <v>#REF!</v>
      </c>
      <c r="AB122" t="e">
        <f>AND(#REF!,"AAAAAHnf5xs=")</f>
        <v>#REF!</v>
      </c>
      <c r="AC122" t="e">
        <f>AND(#REF!,"AAAAAHnf5xw=")</f>
        <v>#REF!</v>
      </c>
      <c r="AD122" t="e">
        <f>AND(#REF!,"AAAAAHnf5x0=")</f>
        <v>#REF!</v>
      </c>
      <c r="AE122" t="e">
        <f>AND(#REF!,"AAAAAHnf5x4=")</f>
        <v>#REF!</v>
      </c>
      <c r="AF122" t="e">
        <f>AND(#REF!,"AAAAAHnf5x8=")</f>
        <v>#REF!</v>
      </c>
      <c r="AG122" t="e">
        <f>AND(#REF!,"AAAAAHnf5yA=")</f>
        <v>#REF!</v>
      </c>
      <c r="AH122" t="e">
        <f>AND(#REF!,"AAAAAHnf5yE=")</f>
        <v>#REF!</v>
      </c>
      <c r="AI122" t="e">
        <f>IF(#REF!,"AAAAAHnf5yI=",0)</f>
        <v>#REF!</v>
      </c>
      <c r="AJ122" t="e">
        <f>AND(#REF!,"AAAAAHnf5yM=")</f>
        <v>#REF!</v>
      </c>
      <c r="AK122" t="e">
        <f>AND(#REF!,"AAAAAHnf5yQ=")</f>
        <v>#REF!</v>
      </c>
      <c r="AL122" t="e">
        <f>AND(#REF!,"AAAAAHnf5yU=")</f>
        <v>#REF!</v>
      </c>
      <c r="AM122" t="e">
        <f>AND(#REF!,"AAAAAHnf5yY=")</f>
        <v>#REF!</v>
      </c>
      <c r="AN122" t="e">
        <f>AND(#REF!,"AAAAAHnf5yc=")</f>
        <v>#REF!</v>
      </c>
      <c r="AO122" t="e">
        <f>AND(#REF!,"AAAAAHnf5yg=")</f>
        <v>#REF!</v>
      </c>
      <c r="AP122" t="e">
        <f>AND(#REF!,"AAAAAHnf5yk=")</f>
        <v>#REF!</v>
      </c>
      <c r="AQ122" t="e">
        <f>AND(#REF!,"AAAAAHnf5yo=")</f>
        <v>#REF!</v>
      </c>
      <c r="AR122" t="e">
        <f>AND(#REF!,"AAAAAHnf5ys=")</f>
        <v>#REF!</v>
      </c>
      <c r="AS122" t="e">
        <f>AND(#REF!,"AAAAAHnf5yw=")</f>
        <v>#REF!</v>
      </c>
      <c r="AT122" t="e">
        <f>AND(#REF!,"AAAAAHnf5y0=")</f>
        <v>#REF!</v>
      </c>
      <c r="AU122" t="e">
        <f>AND(#REF!,"AAAAAHnf5y4=")</f>
        <v>#REF!</v>
      </c>
      <c r="AV122" t="e">
        <f>AND(#REF!,"AAAAAHnf5y8=")</f>
        <v>#REF!</v>
      </c>
      <c r="AW122" t="e">
        <f>AND(#REF!,"AAAAAHnf5zA=")</f>
        <v>#REF!</v>
      </c>
      <c r="AX122" t="e">
        <f>AND(#REF!,"AAAAAHnf5zE=")</f>
        <v>#REF!</v>
      </c>
      <c r="AY122" t="e">
        <f>AND(#REF!,"AAAAAHnf5zI=")</f>
        <v>#REF!</v>
      </c>
      <c r="AZ122" t="e">
        <f>AND(#REF!,"AAAAAHnf5zM=")</f>
        <v>#REF!</v>
      </c>
      <c r="BA122" t="e">
        <f>AND(#REF!,"AAAAAHnf5zQ=")</f>
        <v>#REF!</v>
      </c>
      <c r="BB122" t="e">
        <f>AND(#REF!,"AAAAAHnf5zU=")</f>
        <v>#REF!</v>
      </c>
      <c r="BC122" t="e">
        <f>AND(#REF!,"AAAAAHnf5zY=")</f>
        <v>#REF!</v>
      </c>
      <c r="BD122" t="e">
        <f>AND(#REF!,"AAAAAHnf5zc=")</f>
        <v>#REF!</v>
      </c>
      <c r="BE122" t="e">
        <f>AND(#REF!,"AAAAAHnf5zg=")</f>
        <v>#REF!</v>
      </c>
      <c r="BF122" t="e">
        <f>AND(#REF!,"AAAAAHnf5zk=")</f>
        <v>#REF!</v>
      </c>
      <c r="BG122" t="e">
        <f>AND(#REF!,"AAAAAHnf5zo=")</f>
        <v>#REF!</v>
      </c>
      <c r="BH122" t="e">
        <f>IF(#REF!,"AAAAAHnf5zs=",0)</f>
        <v>#REF!</v>
      </c>
      <c r="BI122" t="e">
        <f>AND(#REF!,"AAAAAHnf5zw=")</f>
        <v>#REF!</v>
      </c>
      <c r="BJ122" t="e">
        <f>AND(#REF!,"AAAAAHnf5z0=")</f>
        <v>#REF!</v>
      </c>
      <c r="BK122" t="e">
        <f>AND(#REF!,"AAAAAHnf5z4=")</f>
        <v>#REF!</v>
      </c>
      <c r="BL122" t="e">
        <f>AND(#REF!,"AAAAAHnf5z8=")</f>
        <v>#REF!</v>
      </c>
      <c r="BM122" t="e">
        <f>AND(#REF!,"AAAAAHnf50A=")</f>
        <v>#REF!</v>
      </c>
      <c r="BN122" t="e">
        <f>AND(#REF!,"AAAAAHnf50E=")</f>
        <v>#REF!</v>
      </c>
      <c r="BO122" t="e">
        <f>AND(#REF!,"AAAAAHnf50I=")</f>
        <v>#REF!</v>
      </c>
      <c r="BP122" t="e">
        <f>AND(#REF!,"AAAAAHnf50M=")</f>
        <v>#REF!</v>
      </c>
      <c r="BQ122" t="e">
        <f>AND(#REF!,"AAAAAHnf50Q=")</f>
        <v>#REF!</v>
      </c>
      <c r="BR122" t="e">
        <f>AND(#REF!,"AAAAAHnf50U=")</f>
        <v>#REF!</v>
      </c>
      <c r="BS122" t="e">
        <f>AND(#REF!,"AAAAAHnf50Y=")</f>
        <v>#REF!</v>
      </c>
      <c r="BT122" t="e">
        <f>AND(#REF!,"AAAAAHnf50c=")</f>
        <v>#REF!</v>
      </c>
      <c r="BU122" t="e">
        <f>AND(#REF!,"AAAAAHnf50g=")</f>
        <v>#REF!</v>
      </c>
      <c r="BV122" t="e">
        <f>AND(#REF!,"AAAAAHnf50k=")</f>
        <v>#REF!</v>
      </c>
      <c r="BW122" t="e">
        <f>AND(#REF!,"AAAAAHnf50o=")</f>
        <v>#REF!</v>
      </c>
      <c r="BX122" t="e">
        <f>AND(#REF!,"AAAAAHnf50s=")</f>
        <v>#REF!</v>
      </c>
      <c r="BY122" t="e">
        <f>AND(#REF!,"AAAAAHnf50w=")</f>
        <v>#REF!</v>
      </c>
      <c r="BZ122" t="e">
        <f>AND(#REF!,"AAAAAHnf500=")</f>
        <v>#REF!</v>
      </c>
      <c r="CA122" t="e">
        <f>AND(#REF!,"AAAAAHnf504=")</f>
        <v>#REF!</v>
      </c>
      <c r="CB122" t="e">
        <f>AND(#REF!,"AAAAAHnf508=")</f>
        <v>#REF!</v>
      </c>
      <c r="CC122" t="e">
        <f>AND(#REF!,"AAAAAHnf51A=")</f>
        <v>#REF!</v>
      </c>
      <c r="CD122" t="e">
        <f>AND(#REF!,"AAAAAHnf51E=")</f>
        <v>#REF!</v>
      </c>
      <c r="CE122" t="e">
        <f>AND(#REF!,"AAAAAHnf51I=")</f>
        <v>#REF!</v>
      </c>
      <c r="CF122" t="e">
        <f>AND(#REF!,"AAAAAHnf51M=")</f>
        <v>#REF!</v>
      </c>
      <c r="CG122" t="e">
        <f>IF(#REF!,"AAAAAHnf51Q=",0)</f>
        <v>#REF!</v>
      </c>
      <c r="CH122" t="e">
        <f>AND(#REF!,"AAAAAHnf51U=")</f>
        <v>#REF!</v>
      </c>
      <c r="CI122" t="e">
        <f>AND(#REF!,"AAAAAHnf51Y=")</f>
        <v>#REF!</v>
      </c>
      <c r="CJ122" t="e">
        <f>AND(#REF!,"AAAAAHnf51c=")</f>
        <v>#REF!</v>
      </c>
      <c r="CK122" t="e">
        <f>AND(#REF!,"AAAAAHnf51g=")</f>
        <v>#REF!</v>
      </c>
      <c r="CL122" t="e">
        <f>AND(#REF!,"AAAAAHnf51k=")</f>
        <v>#REF!</v>
      </c>
      <c r="CM122" t="e">
        <f>AND(#REF!,"AAAAAHnf51o=")</f>
        <v>#REF!</v>
      </c>
      <c r="CN122" t="e">
        <f>AND(#REF!,"AAAAAHnf51s=")</f>
        <v>#REF!</v>
      </c>
      <c r="CO122" t="e">
        <f>AND(#REF!,"AAAAAHnf51w=")</f>
        <v>#REF!</v>
      </c>
      <c r="CP122" t="e">
        <f>AND(#REF!,"AAAAAHnf510=")</f>
        <v>#REF!</v>
      </c>
      <c r="CQ122" t="e">
        <f>AND(#REF!,"AAAAAHnf514=")</f>
        <v>#REF!</v>
      </c>
      <c r="CR122" t="e">
        <f>AND(#REF!,"AAAAAHnf518=")</f>
        <v>#REF!</v>
      </c>
      <c r="CS122" t="e">
        <f>AND(#REF!,"AAAAAHnf52A=")</f>
        <v>#REF!</v>
      </c>
      <c r="CT122" t="e">
        <f>AND(#REF!,"AAAAAHnf52E=")</f>
        <v>#REF!</v>
      </c>
      <c r="CU122" t="e">
        <f>AND(#REF!,"AAAAAHnf52I=")</f>
        <v>#REF!</v>
      </c>
      <c r="CV122" t="e">
        <f>AND(#REF!,"AAAAAHnf52M=")</f>
        <v>#REF!</v>
      </c>
      <c r="CW122" t="e">
        <f>AND(#REF!,"AAAAAHnf52Q=")</f>
        <v>#REF!</v>
      </c>
      <c r="CX122" t="e">
        <f>AND(#REF!,"AAAAAHnf52U=")</f>
        <v>#REF!</v>
      </c>
      <c r="CY122" t="e">
        <f>AND(#REF!,"AAAAAHnf52Y=")</f>
        <v>#REF!</v>
      </c>
      <c r="CZ122" t="e">
        <f>AND(#REF!,"AAAAAHnf52c=")</f>
        <v>#REF!</v>
      </c>
      <c r="DA122" t="e">
        <f>AND(#REF!,"AAAAAHnf52g=")</f>
        <v>#REF!</v>
      </c>
      <c r="DB122" t="e">
        <f>AND(#REF!,"AAAAAHnf52k=")</f>
        <v>#REF!</v>
      </c>
      <c r="DC122" t="e">
        <f>AND(#REF!,"AAAAAHnf52o=")</f>
        <v>#REF!</v>
      </c>
      <c r="DD122" t="e">
        <f>AND(#REF!,"AAAAAHnf52s=")</f>
        <v>#REF!</v>
      </c>
      <c r="DE122" t="e">
        <f>AND(#REF!,"AAAAAHnf52w=")</f>
        <v>#REF!</v>
      </c>
      <c r="DF122" t="e">
        <f>IF(#REF!,"AAAAAHnf520=",0)</f>
        <v>#REF!</v>
      </c>
      <c r="DG122" t="e">
        <f>AND(#REF!,"AAAAAHnf524=")</f>
        <v>#REF!</v>
      </c>
      <c r="DH122" t="e">
        <f>AND(#REF!,"AAAAAHnf528=")</f>
        <v>#REF!</v>
      </c>
      <c r="DI122" t="e">
        <f>AND(#REF!,"AAAAAHnf53A=")</f>
        <v>#REF!</v>
      </c>
      <c r="DJ122" t="e">
        <f>AND(#REF!,"AAAAAHnf53E=")</f>
        <v>#REF!</v>
      </c>
      <c r="DK122" t="e">
        <f>AND(#REF!,"AAAAAHnf53I=")</f>
        <v>#REF!</v>
      </c>
      <c r="DL122" t="e">
        <f>AND(#REF!,"AAAAAHnf53M=")</f>
        <v>#REF!</v>
      </c>
      <c r="DM122" t="e">
        <f>AND(#REF!,"AAAAAHnf53Q=")</f>
        <v>#REF!</v>
      </c>
      <c r="DN122" t="e">
        <f>AND(#REF!,"AAAAAHnf53U=")</f>
        <v>#REF!</v>
      </c>
      <c r="DO122" t="e">
        <f>AND(#REF!,"AAAAAHnf53Y=")</f>
        <v>#REF!</v>
      </c>
      <c r="DP122" t="e">
        <f>AND(#REF!,"AAAAAHnf53c=")</f>
        <v>#REF!</v>
      </c>
      <c r="DQ122" t="e">
        <f>AND(#REF!,"AAAAAHnf53g=")</f>
        <v>#REF!</v>
      </c>
      <c r="DR122" t="e">
        <f>AND(#REF!,"AAAAAHnf53k=")</f>
        <v>#REF!</v>
      </c>
      <c r="DS122" t="e">
        <f>AND(#REF!,"AAAAAHnf53o=")</f>
        <v>#REF!</v>
      </c>
      <c r="DT122" t="e">
        <f>AND(#REF!,"AAAAAHnf53s=")</f>
        <v>#REF!</v>
      </c>
      <c r="DU122" t="e">
        <f>AND(#REF!,"AAAAAHnf53w=")</f>
        <v>#REF!</v>
      </c>
      <c r="DV122" t="e">
        <f>AND(#REF!,"AAAAAHnf530=")</f>
        <v>#REF!</v>
      </c>
      <c r="DW122" t="e">
        <f>AND(#REF!,"AAAAAHnf534=")</f>
        <v>#REF!</v>
      </c>
      <c r="DX122" t="e">
        <f>AND(#REF!,"AAAAAHnf538=")</f>
        <v>#REF!</v>
      </c>
      <c r="DY122" t="e">
        <f>AND(#REF!,"AAAAAHnf54A=")</f>
        <v>#REF!</v>
      </c>
      <c r="DZ122" t="e">
        <f>AND(#REF!,"AAAAAHnf54E=")</f>
        <v>#REF!</v>
      </c>
      <c r="EA122" t="e">
        <f>AND(#REF!,"AAAAAHnf54I=")</f>
        <v>#REF!</v>
      </c>
      <c r="EB122" t="e">
        <f>AND(#REF!,"AAAAAHnf54M=")</f>
        <v>#REF!</v>
      </c>
      <c r="EC122" t="e">
        <f>AND(#REF!,"AAAAAHnf54Q=")</f>
        <v>#REF!</v>
      </c>
      <c r="ED122" t="e">
        <f>AND(#REF!,"AAAAAHnf54U=")</f>
        <v>#REF!</v>
      </c>
      <c r="EE122" t="e">
        <f>IF(#REF!,"AAAAAHnf54Y=",0)</f>
        <v>#REF!</v>
      </c>
      <c r="EF122" t="e">
        <f>AND(#REF!,"AAAAAHnf54c=")</f>
        <v>#REF!</v>
      </c>
      <c r="EG122" t="e">
        <f>AND(#REF!,"AAAAAHnf54g=")</f>
        <v>#REF!</v>
      </c>
      <c r="EH122" t="e">
        <f>AND(#REF!,"AAAAAHnf54k=")</f>
        <v>#REF!</v>
      </c>
      <c r="EI122" t="e">
        <f>AND(#REF!,"AAAAAHnf54o=")</f>
        <v>#REF!</v>
      </c>
      <c r="EJ122" t="e">
        <f>AND(#REF!,"AAAAAHnf54s=")</f>
        <v>#REF!</v>
      </c>
      <c r="EK122" t="e">
        <f>AND(#REF!,"AAAAAHnf54w=")</f>
        <v>#REF!</v>
      </c>
      <c r="EL122" t="e">
        <f>AND(#REF!,"AAAAAHnf540=")</f>
        <v>#REF!</v>
      </c>
      <c r="EM122" t="e">
        <f>AND(#REF!,"AAAAAHnf544=")</f>
        <v>#REF!</v>
      </c>
      <c r="EN122" t="e">
        <f>AND(#REF!,"AAAAAHnf548=")</f>
        <v>#REF!</v>
      </c>
      <c r="EO122" t="e">
        <f>AND(#REF!,"AAAAAHnf55A=")</f>
        <v>#REF!</v>
      </c>
      <c r="EP122" t="e">
        <f>AND(#REF!,"AAAAAHnf55E=")</f>
        <v>#REF!</v>
      </c>
      <c r="EQ122" t="e">
        <f>AND(#REF!,"AAAAAHnf55I=")</f>
        <v>#REF!</v>
      </c>
      <c r="ER122" t="e">
        <f>AND(#REF!,"AAAAAHnf55M=")</f>
        <v>#REF!</v>
      </c>
      <c r="ES122" t="e">
        <f>AND(#REF!,"AAAAAHnf55Q=")</f>
        <v>#REF!</v>
      </c>
      <c r="ET122" t="e">
        <f>AND(#REF!,"AAAAAHnf55U=")</f>
        <v>#REF!</v>
      </c>
      <c r="EU122" t="e">
        <f>AND(#REF!,"AAAAAHnf55Y=")</f>
        <v>#REF!</v>
      </c>
      <c r="EV122" t="e">
        <f>AND(#REF!,"AAAAAHnf55c=")</f>
        <v>#REF!</v>
      </c>
      <c r="EW122" t="e">
        <f>AND(#REF!,"AAAAAHnf55g=")</f>
        <v>#REF!</v>
      </c>
      <c r="EX122" t="e">
        <f>AND(#REF!,"AAAAAHnf55k=")</f>
        <v>#REF!</v>
      </c>
      <c r="EY122" t="e">
        <f>AND(#REF!,"AAAAAHnf55o=")</f>
        <v>#REF!</v>
      </c>
      <c r="EZ122" t="e">
        <f>AND(#REF!,"AAAAAHnf55s=")</f>
        <v>#REF!</v>
      </c>
      <c r="FA122" t="e">
        <f>AND(#REF!,"AAAAAHnf55w=")</f>
        <v>#REF!</v>
      </c>
      <c r="FB122" t="e">
        <f>AND(#REF!,"AAAAAHnf550=")</f>
        <v>#REF!</v>
      </c>
      <c r="FC122" t="e">
        <f>AND(#REF!,"AAAAAHnf554=")</f>
        <v>#REF!</v>
      </c>
      <c r="FD122" t="e">
        <f>IF(#REF!,"AAAAAHnf558=",0)</f>
        <v>#REF!</v>
      </c>
      <c r="FE122" t="e">
        <f>AND(#REF!,"AAAAAHnf56A=")</f>
        <v>#REF!</v>
      </c>
      <c r="FF122" t="e">
        <f>AND(#REF!,"AAAAAHnf56E=")</f>
        <v>#REF!</v>
      </c>
      <c r="FG122" t="e">
        <f>AND(#REF!,"AAAAAHnf56I=")</f>
        <v>#REF!</v>
      </c>
      <c r="FH122" t="e">
        <f>AND(#REF!,"AAAAAHnf56M=")</f>
        <v>#REF!</v>
      </c>
      <c r="FI122" t="e">
        <f>AND(#REF!,"AAAAAHnf56Q=")</f>
        <v>#REF!</v>
      </c>
      <c r="FJ122" t="e">
        <f>AND(#REF!,"AAAAAHnf56U=")</f>
        <v>#REF!</v>
      </c>
      <c r="FK122" t="e">
        <f>AND(#REF!,"AAAAAHnf56Y=")</f>
        <v>#REF!</v>
      </c>
      <c r="FL122" t="e">
        <f>AND(#REF!,"AAAAAHnf56c=")</f>
        <v>#REF!</v>
      </c>
      <c r="FM122" t="e">
        <f>AND(#REF!,"AAAAAHnf56g=")</f>
        <v>#REF!</v>
      </c>
      <c r="FN122" t="e">
        <f>AND(#REF!,"AAAAAHnf56k=")</f>
        <v>#REF!</v>
      </c>
      <c r="FO122" t="e">
        <f>AND(#REF!,"AAAAAHnf56o=")</f>
        <v>#REF!</v>
      </c>
      <c r="FP122" t="e">
        <f>AND(#REF!,"AAAAAHnf56s=")</f>
        <v>#REF!</v>
      </c>
      <c r="FQ122" t="e">
        <f>AND(#REF!,"AAAAAHnf56w=")</f>
        <v>#REF!</v>
      </c>
      <c r="FR122" t="e">
        <f>AND(#REF!,"AAAAAHnf560=")</f>
        <v>#REF!</v>
      </c>
      <c r="FS122" t="e">
        <f>AND(#REF!,"AAAAAHnf564=")</f>
        <v>#REF!</v>
      </c>
      <c r="FT122" t="e">
        <f>AND(#REF!,"AAAAAHnf568=")</f>
        <v>#REF!</v>
      </c>
      <c r="FU122" t="e">
        <f>AND(#REF!,"AAAAAHnf57A=")</f>
        <v>#REF!</v>
      </c>
      <c r="FV122" t="e">
        <f>AND(#REF!,"AAAAAHnf57E=")</f>
        <v>#REF!</v>
      </c>
      <c r="FW122" t="e">
        <f>AND(#REF!,"AAAAAHnf57I=")</f>
        <v>#REF!</v>
      </c>
      <c r="FX122" t="e">
        <f>AND(#REF!,"AAAAAHnf57M=")</f>
        <v>#REF!</v>
      </c>
      <c r="FY122" t="e">
        <f>AND(#REF!,"AAAAAHnf57Q=")</f>
        <v>#REF!</v>
      </c>
      <c r="FZ122" t="e">
        <f>AND(#REF!,"AAAAAHnf57U=")</f>
        <v>#REF!</v>
      </c>
      <c r="GA122" t="e">
        <f>AND(#REF!,"AAAAAHnf57Y=")</f>
        <v>#REF!</v>
      </c>
      <c r="GB122" t="e">
        <f>AND(#REF!,"AAAAAHnf57c=")</f>
        <v>#REF!</v>
      </c>
      <c r="GC122" t="e">
        <f>IF(#REF!,"AAAAAHnf57g=",0)</f>
        <v>#REF!</v>
      </c>
      <c r="GD122" t="e">
        <f>AND(#REF!,"AAAAAHnf57k=")</f>
        <v>#REF!</v>
      </c>
      <c r="GE122" t="e">
        <f>AND(#REF!,"AAAAAHnf57o=")</f>
        <v>#REF!</v>
      </c>
      <c r="GF122" t="e">
        <f>AND(#REF!,"AAAAAHnf57s=")</f>
        <v>#REF!</v>
      </c>
      <c r="GG122" t="e">
        <f>AND(#REF!,"AAAAAHnf57w=")</f>
        <v>#REF!</v>
      </c>
      <c r="GH122" t="e">
        <f>AND(#REF!,"AAAAAHnf570=")</f>
        <v>#REF!</v>
      </c>
      <c r="GI122" t="e">
        <f>AND(#REF!,"AAAAAHnf574=")</f>
        <v>#REF!</v>
      </c>
      <c r="GJ122" t="e">
        <f>AND(#REF!,"AAAAAHnf578=")</f>
        <v>#REF!</v>
      </c>
      <c r="GK122" t="e">
        <f>AND(#REF!,"AAAAAHnf58A=")</f>
        <v>#REF!</v>
      </c>
      <c r="GL122" t="e">
        <f>AND(#REF!,"AAAAAHnf58E=")</f>
        <v>#REF!</v>
      </c>
      <c r="GM122" t="e">
        <f>AND(#REF!,"AAAAAHnf58I=")</f>
        <v>#REF!</v>
      </c>
      <c r="GN122" t="e">
        <f>AND(#REF!,"AAAAAHnf58M=")</f>
        <v>#REF!</v>
      </c>
      <c r="GO122" t="e">
        <f>AND(#REF!,"AAAAAHnf58Q=")</f>
        <v>#REF!</v>
      </c>
      <c r="GP122" t="e">
        <f>AND(#REF!,"AAAAAHnf58U=")</f>
        <v>#REF!</v>
      </c>
      <c r="GQ122" t="e">
        <f>AND(#REF!,"AAAAAHnf58Y=")</f>
        <v>#REF!</v>
      </c>
      <c r="GR122" t="e">
        <f>AND(#REF!,"AAAAAHnf58c=")</f>
        <v>#REF!</v>
      </c>
      <c r="GS122" t="e">
        <f>AND(#REF!,"AAAAAHnf58g=")</f>
        <v>#REF!</v>
      </c>
      <c r="GT122" t="e">
        <f>AND(#REF!,"AAAAAHnf58k=")</f>
        <v>#REF!</v>
      </c>
      <c r="GU122" t="e">
        <f>AND(#REF!,"AAAAAHnf58o=")</f>
        <v>#REF!</v>
      </c>
      <c r="GV122" t="e">
        <f>AND(#REF!,"AAAAAHnf58s=")</f>
        <v>#REF!</v>
      </c>
      <c r="GW122" t="e">
        <f>AND(#REF!,"AAAAAHnf58w=")</f>
        <v>#REF!</v>
      </c>
      <c r="GX122" t="e">
        <f>AND(#REF!,"AAAAAHnf580=")</f>
        <v>#REF!</v>
      </c>
      <c r="GY122" t="e">
        <f>AND(#REF!,"AAAAAHnf584=")</f>
        <v>#REF!</v>
      </c>
      <c r="GZ122" t="e">
        <f>AND(#REF!,"AAAAAHnf588=")</f>
        <v>#REF!</v>
      </c>
      <c r="HA122" t="e">
        <f>AND(#REF!,"AAAAAHnf59A=")</f>
        <v>#REF!</v>
      </c>
      <c r="HB122" t="e">
        <f>IF(#REF!,"AAAAAHnf59E=",0)</f>
        <v>#REF!</v>
      </c>
      <c r="HC122" t="e">
        <f>AND(#REF!,"AAAAAHnf59I=")</f>
        <v>#REF!</v>
      </c>
      <c r="HD122" t="e">
        <f>AND(#REF!,"AAAAAHnf59M=")</f>
        <v>#REF!</v>
      </c>
      <c r="HE122" t="e">
        <f>AND(#REF!,"AAAAAHnf59Q=")</f>
        <v>#REF!</v>
      </c>
      <c r="HF122" t="e">
        <f>AND(#REF!,"AAAAAHnf59U=")</f>
        <v>#REF!</v>
      </c>
      <c r="HG122" t="e">
        <f>AND(#REF!,"AAAAAHnf59Y=")</f>
        <v>#REF!</v>
      </c>
      <c r="HH122" t="e">
        <f>AND(#REF!,"AAAAAHnf59c=")</f>
        <v>#REF!</v>
      </c>
      <c r="HI122" t="e">
        <f>AND(#REF!,"AAAAAHnf59g=")</f>
        <v>#REF!</v>
      </c>
      <c r="HJ122" t="e">
        <f>AND(#REF!,"AAAAAHnf59k=")</f>
        <v>#REF!</v>
      </c>
      <c r="HK122" t="e">
        <f>AND(#REF!,"AAAAAHnf59o=")</f>
        <v>#REF!</v>
      </c>
      <c r="HL122" t="e">
        <f>AND(#REF!,"AAAAAHnf59s=")</f>
        <v>#REF!</v>
      </c>
      <c r="HM122" t="e">
        <f>AND(#REF!,"AAAAAHnf59w=")</f>
        <v>#REF!</v>
      </c>
      <c r="HN122" t="e">
        <f>AND(#REF!,"AAAAAHnf590=")</f>
        <v>#REF!</v>
      </c>
      <c r="HO122" t="e">
        <f>AND(#REF!,"AAAAAHnf594=")</f>
        <v>#REF!</v>
      </c>
      <c r="HP122" t="e">
        <f>AND(#REF!,"AAAAAHnf598=")</f>
        <v>#REF!</v>
      </c>
      <c r="HQ122" t="e">
        <f>AND(#REF!,"AAAAAHnf5+A=")</f>
        <v>#REF!</v>
      </c>
      <c r="HR122" t="e">
        <f>AND(#REF!,"AAAAAHnf5+E=")</f>
        <v>#REF!</v>
      </c>
      <c r="HS122" t="e">
        <f>AND(#REF!,"AAAAAHnf5+I=")</f>
        <v>#REF!</v>
      </c>
      <c r="HT122" t="e">
        <f>AND(#REF!,"AAAAAHnf5+M=")</f>
        <v>#REF!</v>
      </c>
      <c r="HU122" t="e">
        <f>AND(#REF!,"AAAAAHnf5+Q=")</f>
        <v>#REF!</v>
      </c>
      <c r="HV122" t="e">
        <f>AND(#REF!,"AAAAAHnf5+U=")</f>
        <v>#REF!</v>
      </c>
      <c r="HW122" t="e">
        <f>AND(#REF!,"AAAAAHnf5+Y=")</f>
        <v>#REF!</v>
      </c>
      <c r="HX122" t="e">
        <f>AND(#REF!,"AAAAAHnf5+c=")</f>
        <v>#REF!</v>
      </c>
      <c r="HY122" t="e">
        <f>AND(#REF!,"AAAAAHnf5+g=")</f>
        <v>#REF!</v>
      </c>
      <c r="HZ122" t="e">
        <f>AND(#REF!,"AAAAAHnf5+k=")</f>
        <v>#REF!</v>
      </c>
      <c r="IA122" t="e">
        <f>IF(#REF!,"AAAAAHnf5+o=",0)</f>
        <v>#REF!</v>
      </c>
      <c r="IB122" t="e">
        <f>AND(#REF!,"AAAAAHnf5+s=")</f>
        <v>#REF!</v>
      </c>
      <c r="IC122" t="e">
        <f>AND(#REF!,"AAAAAHnf5+w=")</f>
        <v>#REF!</v>
      </c>
      <c r="ID122" t="e">
        <f>AND(#REF!,"AAAAAHnf5+0=")</f>
        <v>#REF!</v>
      </c>
      <c r="IE122" t="e">
        <f>AND(#REF!,"AAAAAHnf5+4=")</f>
        <v>#REF!</v>
      </c>
      <c r="IF122" t="e">
        <f>AND(#REF!,"AAAAAHnf5+8=")</f>
        <v>#REF!</v>
      </c>
      <c r="IG122" t="e">
        <f>AND(#REF!,"AAAAAHnf5/A=")</f>
        <v>#REF!</v>
      </c>
      <c r="IH122" t="e">
        <f>AND(#REF!,"AAAAAHnf5/E=")</f>
        <v>#REF!</v>
      </c>
      <c r="II122" t="e">
        <f>AND(#REF!,"AAAAAHnf5/I=")</f>
        <v>#REF!</v>
      </c>
      <c r="IJ122" t="e">
        <f>AND(#REF!,"AAAAAHnf5/M=")</f>
        <v>#REF!</v>
      </c>
      <c r="IK122" t="e">
        <f>AND(#REF!,"AAAAAHnf5/Q=")</f>
        <v>#REF!</v>
      </c>
      <c r="IL122" t="e">
        <f>AND(#REF!,"AAAAAHnf5/U=")</f>
        <v>#REF!</v>
      </c>
      <c r="IM122" t="e">
        <f>AND(#REF!,"AAAAAHnf5/Y=")</f>
        <v>#REF!</v>
      </c>
      <c r="IN122" t="e">
        <f>AND(#REF!,"AAAAAHnf5/c=")</f>
        <v>#REF!</v>
      </c>
      <c r="IO122" t="e">
        <f>AND(#REF!,"AAAAAHnf5/g=")</f>
        <v>#REF!</v>
      </c>
      <c r="IP122" t="e">
        <f>AND(#REF!,"AAAAAHnf5/k=")</f>
        <v>#REF!</v>
      </c>
      <c r="IQ122" t="e">
        <f>AND(#REF!,"AAAAAHnf5/o=")</f>
        <v>#REF!</v>
      </c>
      <c r="IR122" t="e">
        <f>AND(#REF!,"AAAAAHnf5/s=")</f>
        <v>#REF!</v>
      </c>
      <c r="IS122" t="e">
        <f>AND(#REF!,"AAAAAHnf5/w=")</f>
        <v>#REF!</v>
      </c>
      <c r="IT122" t="e">
        <f>AND(#REF!,"AAAAAHnf5/0=")</f>
        <v>#REF!</v>
      </c>
      <c r="IU122" t="e">
        <f>AND(#REF!,"AAAAAHnf5/4=")</f>
        <v>#REF!</v>
      </c>
      <c r="IV122" t="e">
        <f>AND(#REF!,"AAAAAHnf5/8=")</f>
        <v>#REF!</v>
      </c>
    </row>
    <row r="123" spans="1:256">
      <c r="A123" t="e">
        <f>AND(#REF!,"AAAAADyw/wA=")</f>
        <v>#REF!</v>
      </c>
      <c r="B123" t="e">
        <f>AND(#REF!,"AAAAADyw/wE=")</f>
        <v>#REF!</v>
      </c>
      <c r="C123" t="e">
        <f>AND(#REF!,"AAAAADyw/wI=")</f>
        <v>#REF!</v>
      </c>
      <c r="D123" t="e">
        <f>IF(#REF!,"AAAAADyw/wM=",0)</f>
        <v>#REF!</v>
      </c>
      <c r="E123" t="e">
        <f>AND(#REF!,"AAAAADyw/wQ=")</f>
        <v>#REF!</v>
      </c>
      <c r="F123" t="e">
        <f>AND(#REF!,"AAAAADyw/wU=")</f>
        <v>#REF!</v>
      </c>
      <c r="G123" t="e">
        <f>AND(#REF!,"AAAAADyw/wY=")</f>
        <v>#REF!</v>
      </c>
      <c r="H123" t="e">
        <f>AND(#REF!,"AAAAADyw/wc=")</f>
        <v>#REF!</v>
      </c>
      <c r="I123" t="e">
        <f>AND(#REF!,"AAAAADyw/wg=")</f>
        <v>#REF!</v>
      </c>
      <c r="J123" t="e">
        <f>AND(#REF!,"AAAAADyw/wk=")</f>
        <v>#REF!</v>
      </c>
      <c r="K123" t="e">
        <f>AND(#REF!,"AAAAADyw/wo=")</f>
        <v>#REF!</v>
      </c>
      <c r="L123" t="e">
        <f>AND(#REF!,"AAAAADyw/ws=")</f>
        <v>#REF!</v>
      </c>
      <c r="M123" t="e">
        <f>AND(#REF!,"AAAAADyw/ww=")</f>
        <v>#REF!</v>
      </c>
      <c r="N123" t="e">
        <f>AND(#REF!,"AAAAADyw/w0=")</f>
        <v>#REF!</v>
      </c>
      <c r="O123" t="e">
        <f>AND(#REF!,"AAAAADyw/w4=")</f>
        <v>#REF!</v>
      </c>
      <c r="P123" t="e">
        <f>AND(#REF!,"AAAAADyw/w8=")</f>
        <v>#REF!</v>
      </c>
      <c r="Q123" t="e">
        <f>AND(#REF!,"AAAAADyw/xA=")</f>
        <v>#REF!</v>
      </c>
      <c r="R123" t="e">
        <f>AND(#REF!,"AAAAADyw/xE=")</f>
        <v>#REF!</v>
      </c>
      <c r="S123" t="e">
        <f>AND(#REF!,"AAAAADyw/xI=")</f>
        <v>#REF!</v>
      </c>
      <c r="T123" t="e">
        <f>AND(#REF!,"AAAAADyw/xM=")</f>
        <v>#REF!</v>
      </c>
      <c r="U123" t="e">
        <f>AND(#REF!,"AAAAADyw/xQ=")</f>
        <v>#REF!</v>
      </c>
      <c r="V123" t="e">
        <f>AND(#REF!,"AAAAADyw/xU=")</f>
        <v>#REF!</v>
      </c>
      <c r="W123" t="e">
        <f>AND(#REF!,"AAAAADyw/xY=")</f>
        <v>#REF!</v>
      </c>
      <c r="X123" t="e">
        <f>AND(#REF!,"AAAAADyw/xc=")</f>
        <v>#REF!</v>
      </c>
      <c r="Y123" t="e">
        <f>AND(#REF!,"AAAAADyw/xg=")</f>
        <v>#REF!</v>
      </c>
      <c r="Z123" t="e">
        <f>AND(#REF!,"AAAAADyw/xk=")</f>
        <v>#REF!</v>
      </c>
      <c r="AA123" t="e">
        <f>AND(#REF!,"AAAAADyw/xo=")</f>
        <v>#REF!</v>
      </c>
      <c r="AB123" t="e">
        <f>AND(#REF!,"AAAAADyw/xs=")</f>
        <v>#REF!</v>
      </c>
      <c r="AC123" t="e">
        <f>IF(#REF!,"AAAAADyw/xw=",0)</f>
        <v>#REF!</v>
      </c>
      <c r="AD123" t="e">
        <f>AND(#REF!,"AAAAADyw/x0=")</f>
        <v>#REF!</v>
      </c>
      <c r="AE123" t="e">
        <f>AND(#REF!,"AAAAADyw/x4=")</f>
        <v>#REF!</v>
      </c>
      <c r="AF123" t="e">
        <f>AND(#REF!,"AAAAADyw/x8=")</f>
        <v>#REF!</v>
      </c>
      <c r="AG123" t="e">
        <f>AND(#REF!,"AAAAADyw/yA=")</f>
        <v>#REF!</v>
      </c>
      <c r="AH123" t="e">
        <f>AND(#REF!,"AAAAADyw/yE=")</f>
        <v>#REF!</v>
      </c>
      <c r="AI123" t="e">
        <f>AND(#REF!,"AAAAADyw/yI=")</f>
        <v>#REF!</v>
      </c>
      <c r="AJ123" t="e">
        <f>AND(#REF!,"AAAAADyw/yM=")</f>
        <v>#REF!</v>
      </c>
      <c r="AK123" t="e">
        <f>AND(#REF!,"AAAAADyw/yQ=")</f>
        <v>#REF!</v>
      </c>
      <c r="AL123" t="e">
        <f>AND(#REF!,"AAAAADyw/yU=")</f>
        <v>#REF!</v>
      </c>
      <c r="AM123" t="e">
        <f>AND(#REF!,"AAAAADyw/yY=")</f>
        <v>#REF!</v>
      </c>
      <c r="AN123" t="e">
        <f>AND(#REF!,"AAAAADyw/yc=")</f>
        <v>#REF!</v>
      </c>
      <c r="AO123" t="e">
        <f>AND(#REF!,"AAAAADyw/yg=")</f>
        <v>#REF!</v>
      </c>
      <c r="AP123" t="e">
        <f>AND(#REF!,"AAAAADyw/yk=")</f>
        <v>#REF!</v>
      </c>
      <c r="AQ123" t="e">
        <f>AND(#REF!,"AAAAADyw/yo=")</f>
        <v>#REF!</v>
      </c>
      <c r="AR123" t="e">
        <f>AND(#REF!,"AAAAADyw/ys=")</f>
        <v>#REF!</v>
      </c>
      <c r="AS123" t="e">
        <f>AND(#REF!,"AAAAADyw/yw=")</f>
        <v>#REF!</v>
      </c>
      <c r="AT123" t="e">
        <f>AND(#REF!,"AAAAADyw/y0=")</f>
        <v>#REF!</v>
      </c>
      <c r="AU123" t="e">
        <f>AND(#REF!,"AAAAADyw/y4=")</f>
        <v>#REF!</v>
      </c>
      <c r="AV123" t="e">
        <f>AND(#REF!,"AAAAADyw/y8=")</f>
        <v>#REF!</v>
      </c>
      <c r="AW123" t="e">
        <f>AND(#REF!,"AAAAADyw/zA=")</f>
        <v>#REF!</v>
      </c>
      <c r="AX123" t="e">
        <f>AND(#REF!,"AAAAADyw/zE=")</f>
        <v>#REF!</v>
      </c>
      <c r="AY123" t="e">
        <f>AND(#REF!,"AAAAADyw/zI=")</f>
        <v>#REF!</v>
      </c>
      <c r="AZ123" t="e">
        <f>AND(#REF!,"AAAAADyw/zM=")</f>
        <v>#REF!</v>
      </c>
      <c r="BA123" t="e">
        <f>AND(#REF!,"AAAAADyw/zQ=")</f>
        <v>#REF!</v>
      </c>
      <c r="BB123" t="e">
        <f>IF(#REF!,"AAAAADyw/zU=",0)</f>
        <v>#REF!</v>
      </c>
      <c r="BC123" t="e">
        <f>AND(#REF!,"AAAAADyw/zY=")</f>
        <v>#REF!</v>
      </c>
      <c r="BD123" t="e">
        <f>AND(#REF!,"AAAAADyw/zc=")</f>
        <v>#REF!</v>
      </c>
      <c r="BE123" t="e">
        <f>AND(#REF!,"AAAAADyw/zg=")</f>
        <v>#REF!</v>
      </c>
      <c r="BF123" t="e">
        <f>AND(#REF!,"AAAAADyw/zk=")</f>
        <v>#REF!</v>
      </c>
      <c r="BG123" t="e">
        <f>AND(#REF!,"AAAAADyw/zo=")</f>
        <v>#REF!</v>
      </c>
      <c r="BH123" t="e">
        <f>AND(#REF!,"AAAAADyw/zs=")</f>
        <v>#REF!</v>
      </c>
      <c r="BI123" t="e">
        <f>AND(#REF!,"AAAAADyw/zw=")</f>
        <v>#REF!</v>
      </c>
      <c r="BJ123" t="e">
        <f>AND(#REF!,"AAAAADyw/z0=")</f>
        <v>#REF!</v>
      </c>
      <c r="BK123" t="e">
        <f>AND(#REF!,"AAAAADyw/z4=")</f>
        <v>#REF!</v>
      </c>
      <c r="BL123" t="e">
        <f>AND(#REF!,"AAAAADyw/z8=")</f>
        <v>#REF!</v>
      </c>
      <c r="BM123" t="e">
        <f>AND(#REF!,"AAAAADyw/0A=")</f>
        <v>#REF!</v>
      </c>
      <c r="BN123" t="e">
        <f>AND(#REF!,"AAAAADyw/0E=")</f>
        <v>#REF!</v>
      </c>
      <c r="BO123" t="e">
        <f>AND(#REF!,"AAAAADyw/0I=")</f>
        <v>#REF!</v>
      </c>
      <c r="BP123" t="e">
        <f>AND(#REF!,"AAAAADyw/0M=")</f>
        <v>#REF!</v>
      </c>
      <c r="BQ123" t="e">
        <f>AND(#REF!,"AAAAADyw/0Q=")</f>
        <v>#REF!</v>
      </c>
      <c r="BR123" t="e">
        <f>AND(#REF!,"AAAAADyw/0U=")</f>
        <v>#REF!</v>
      </c>
      <c r="BS123" t="e">
        <f>AND(#REF!,"AAAAADyw/0Y=")</f>
        <v>#REF!</v>
      </c>
      <c r="BT123" t="e">
        <f>AND(#REF!,"AAAAADyw/0c=")</f>
        <v>#REF!</v>
      </c>
      <c r="BU123" t="e">
        <f>AND(#REF!,"AAAAADyw/0g=")</f>
        <v>#REF!</v>
      </c>
      <c r="BV123" t="e">
        <f>AND(#REF!,"AAAAADyw/0k=")</f>
        <v>#REF!</v>
      </c>
      <c r="BW123" t="e">
        <f>AND(#REF!,"AAAAADyw/0o=")</f>
        <v>#REF!</v>
      </c>
      <c r="BX123" t="e">
        <f>AND(#REF!,"AAAAADyw/0s=")</f>
        <v>#REF!</v>
      </c>
      <c r="BY123" t="e">
        <f>AND(#REF!,"AAAAADyw/0w=")</f>
        <v>#REF!</v>
      </c>
      <c r="BZ123" t="e">
        <f>AND(#REF!,"AAAAADyw/00=")</f>
        <v>#REF!</v>
      </c>
      <c r="CA123" t="e">
        <f>IF(#REF!,"AAAAADyw/04=",0)</f>
        <v>#REF!</v>
      </c>
      <c r="CB123" t="e">
        <f>AND(#REF!,"AAAAADyw/08=")</f>
        <v>#REF!</v>
      </c>
      <c r="CC123" t="e">
        <f>AND(#REF!,"AAAAADyw/1A=")</f>
        <v>#REF!</v>
      </c>
      <c r="CD123" t="e">
        <f>AND(#REF!,"AAAAADyw/1E=")</f>
        <v>#REF!</v>
      </c>
      <c r="CE123" t="e">
        <f>AND(#REF!,"AAAAADyw/1I=")</f>
        <v>#REF!</v>
      </c>
      <c r="CF123" t="e">
        <f>AND(#REF!,"AAAAADyw/1M=")</f>
        <v>#REF!</v>
      </c>
      <c r="CG123" t="e">
        <f>AND(#REF!,"AAAAADyw/1Q=")</f>
        <v>#REF!</v>
      </c>
      <c r="CH123" t="e">
        <f>AND(#REF!,"AAAAADyw/1U=")</f>
        <v>#REF!</v>
      </c>
      <c r="CI123" t="e">
        <f>AND(#REF!,"AAAAADyw/1Y=")</f>
        <v>#REF!</v>
      </c>
      <c r="CJ123" t="e">
        <f>AND(#REF!,"AAAAADyw/1c=")</f>
        <v>#REF!</v>
      </c>
      <c r="CK123" t="e">
        <f>AND(#REF!,"AAAAADyw/1g=")</f>
        <v>#REF!</v>
      </c>
      <c r="CL123" t="e">
        <f>AND(#REF!,"AAAAADyw/1k=")</f>
        <v>#REF!</v>
      </c>
      <c r="CM123" t="e">
        <f>AND(#REF!,"AAAAADyw/1o=")</f>
        <v>#REF!</v>
      </c>
      <c r="CN123" t="e">
        <f>AND(#REF!,"AAAAADyw/1s=")</f>
        <v>#REF!</v>
      </c>
      <c r="CO123" t="e">
        <f>AND(#REF!,"AAAAADyw/1w=")</f>
        <v>#REF!</v>
      </c>
      <c r="CP123" t="e">
        <f>AND(#REF!,"AAAAADyw/10=")</f>
        <v>#REF!</v>
      </c>
      <c r="CQ123" t="e">
        <f>AND(#REF!,"AAAAADyw/14=")</f>
        <v>#REF!</v>
      </c>
      <c r="CR123" t="e">
        <f>AND(#REF!,"AAAAADyw/18=")</f>
        <v>#REF!</v>
      </c>
      <c r="CS123" t="e">
        <f>AND(#REF!,"AAAAADyw/2A=")</f>
        <v>#REF!</v>
      </c>
      <c r="CT123" t="e">
        <f>AND(#REF!,"AAAAADyw/2E=")</f>
        <v>#REF!</v>
      </c>
      <c r="CU123" t="e">
        <f>AND(#REF!,"AAAAADyw/2I=")</f>
        <v>#REF!</v>
      </c>
      <c r="CV123" t="e">
        <f>AND(#REF!,"AAAAADyw/2M=")</f>
        <v>#REF!</v>
      </c>
      <c r="CW123" t="e">
        <f>AND(#REF!,"AAAAADyw/2Q=")</f>
        <v>#REF!</v>
      </c>
      <c r="CX123" t="e">
        <f>AND(#REF!,"AAAAADyw/2U=")</f>
        <v>#REF!</v>
      </c>
      <c r="CY123" t="e">
        <f>AND(#REF!,"AAAAADyw/2Y=")</f>
        <v>#REF!</v>
      </c>
      <c r="CZ123" t="e">
        <f>IF(#REF!,"AAAAADyw/2c=",0)</f>
        <v>#REF!</v>
      </c>
      <c r="DA123" t="e">
        <f>AND(#REF!,"AAAAADyw/2g=")</f>
        <v>#REF!</v>
      </c>
      <c r="DB123" t="e">
        <f>AND(#REF!,"AAAAADyw/2k=")</f>
        <v>#REF!</v>
      </c>
      <c r="DC123" t="e">
        <f>AND(#REF!,"AAAAADyw/2o=")</f>
        <v>#REF!</v>
      </c>
      <c r="DD123" t="e">
        <f>AND(#REF!,"AAAAADyw/2s=")</f>
        <v>#REF!</v>
      </c>
      <c r="DE123" t="e">
        <f>AND(#REF!,"AAAAADyw/2w=")</f>
        <v>#REF!</v>
      </c>
      <c r="DF123" t="e">
        <f>AND(#REF!,"AAAAADyw/20=")</f>
        <v>#REF!</v>
      </c>
      <c r="DG123" t="e">
        <f>AND(#REF!,"AAAAADyw/24=")</f>
        <v>#REF!</v>
      </c>
      <c r="DH123" t="e">
        <f>AND(#REF!,"AAAAADyw/28=")</f>
        <v>#REF!</v>
      </c>
      <c r="DI123" t="e">
        <f>AND(#REF!,"AAAAADyw/3A=")</f>
        <v>#REF!</v>
      </c>
      <c r="DJ123" t="e">
        <f>AND(#REF!,"AAAAADyw/3E=")</f>
        <v>#REF!</v>
      </c>
      <c r="DK123" t="e">
        <f>AND(#REF!,"AAAAADyw/3I=")</f>
        <v>#REF!</v>
      </c>
      <c r="DL123" t="e">
        <f>AND(#REF!,"AAAAADyw/3M=")</f>
        <v>#REF!</v>
      </c>
      <c r="DM123" t="e">
        <f>AND(#REF!,"AAAAADyw/3Q=")</f>
        <v>#REF!</v>
      </c>
      <c r="DN123" t="e">
        <f>AND(#REF!,"AAAAADyw/3U=")</f>
        <v>#REF!</v>
      </c>
      <c r="DO123" t="e">
        <f>AND(#REF!,"AAAAADyw/3Y=")</f>
        <v>#REF!</v>
      </c>
      <c r="DP123" t="e">
        <f>AND(#REF!,"AAAAADyw/3c=")</f>
        <v>#REF!</v>
      </c>
      <c r="DQ123" t="e">
        <f>AND(#REF!,"AAAAADyw/3g=")</f>
        <v>#REF!</v>
      </c>
      <c r="DR123" t="e">
        <f>AND(#REF!,"AAAAADyw/3k=")</f>
        <v>#REF!</v>
      </c>
      <c r="DS123" t="e">
        <f>AND(#REF!,"AAAAADyw/3o=")</f>
        <v>#REF!</v>
      </c>
      <c r="DT123" t="e">
        <f>AND(#REF!,"AAAAADyw/3s=")</f>
        <v>#REF!</v>
      </c>
      <c r="DU123" t="e">
        <f>AND(#REF!,"AAAAADyw/3w=")</f>
        <v>#REF!</v>
      </c>
      <c r="DV123" t="e">
        <f>AND(#REF!,"AAAAADyw/30=")</f>
        <v>#REF!</v>
      </c>
      <c r="DW123" t="e">
        <f>AND(#REF!,"AAAAADyw/34=")</f>
        <v>#REF!</v>
      </c>
      <c r="DX123" t="e">
        <f>AND(#REF!,"AAAAADyw/38=")</f>
        <v>#REF!</v>
      </c>
      <c r="DY123" t="e">
        <f>IF(#REF!,"AAAAADyw/4A=",0)</f>
        <v>#REF!</v>
      </c>
      <c r="DZ123" t="e">
        <f>AND(#REF!,"AAAAADyw/4E=")</f>
        <v>#REF!</v>
      </c>
      <c r="EA123" t="e">
        <f>AND(#REF!,"AAAAADyw/4I=")</f>
        <v>#REF!</v>
      </c>
      <c r="EB123" t="e">
        <f>AND(#REF!,"AAAAADyw/4M=")</f>
        <v>#REF!</v>
      </c>
      <c r="EC123" t="e">
        <f>AND(#REF!,"AAAAADyw/4Q=")</f>
        <v>#REF!</v>
      </c>
      <c r="ED123" t="e">
        <f>AND(#REF!,"AAAAADyw/4U=")</f>
        <v>#REF!</v>
      </c>
      <c r="EE123" t="e">
        <f>AND(#REF!,"AAAAADyw/4Y=")</f>
        <v>#REF!</v>
      </c>
      <c r="EF123" t="e">
        <f>AND(#REF!,"AAAAADyw/4c=")</f>
        <v>#REF!</v>
      </c>
      <c r="EG123" t="e">
        <f>AND(#REF!,"AAAAADyw/4g=")</f>
        <v>#REF!</v>
      </c>
      <c r="EH123" t="e">
        <f>AND(#REF!,"AAAAADyw/4k=")</f>
        <v>#REF!</v>
      </c>
      <c r="EI123" t="e">
        <f>AND(#REF!,"AAAAADyw/4o=")</f>
        <v>#REF!</v>
      </c>
      <c r="EJ123" t="e">
        <f>AND(#REF!,"AAAAADyw/4s=")</f>
        <v>#REF!</v>
      </c>
      <c r="EK123" t="e">
        <f>AND(#REF!,"AAAAADyw/4w=")</f>
        <v>#REF!</v>
      </c>
      <c r="EL123" t="e">
        <f>AND(#REF!,"AAAAADyw/40=")</f>
        <v>#REF!</v>
      </c>
      <c r="EM123" t="e">
        <f>AND(#REF!,"AAAAADyw/44=")</f>
        <v>#REF!</v>
      </c>
      <c r="EN123" t="e">
        <f>AND(#REF!,"AAAAADyw/48=")</f>
        <v>#REF!</v>
      </c>
      <c r="EO123" t="e">
        <f>AND(#REF!,"AAAAADyw/5A=")</f>
        <v>#REF!</v>
      </c>
      <c r="EP123" t="e">
        <f>AND(#REF!,"AAAAADyw/5E=")</f>
        <v>#REF!</v>
      </c>
      <c r="EQ123" t="e">
        <f>AND(#REF!,"AAAAADyw/5I=")</f>
        <v>#REF!</v>
      </c>
      <c r="ER123" t="e">
        <f>AND(#REF!,"AAAAADyw/5M=")</f>
        <v>#REF!</v>
      </c>
      <c r="ES123" t="e">
        <f>AND(#REF!,"AAAAADyw/5Q=")</f>
        <v>#REF!</v>
      </c>
      <c r="ET123" t="e">
        <f>AND(#REF!,"AAAAADyw/5U=")</f>
        <v>#REF!</v>
      </c>
      <c r="EU123" t="e">
        <f>AND(#REF!,"AAAAADyw/5Y=")</f>
        <v>#REF!</v>
      </c>
      <c r="EV123" t="e">
        <f>AND(#REF!,"AAAAADyw/5c=")</f>
        <v>#REF!</v>
      </c>
      <c r="EW123" t="e">
        <f>AND(#REF!,"AAAAADyw/5g=")</f>
        <v>#REF!</v>
      </c>
      <c r="EX123" t="e">
        <f>IF(#REF!,"AAAAADyw/5k=",0)</f>
        <v>#REF!</v>
      </c>
      <c r="EY123" t="e">
        <f>AND(#REF!,"AAAAADyw/5o=")</f>
        <v>#REF!</v>
      </c>
      <c r="EZ123" t="e">
        <f>AND(#REF!,"AAAAADyw/5s=")</f>
        <v>#REF!</v>
      </c>
      <c r="FA123" t="e">
        <f>AND(#REF!,"AAAAADyw/5w=")</f>
        <v>#REF!</v>
      </c>
      <c r="FB123" t="e">
        <f>AND(#REF!,"AAAAADyw/50=")</f>
        <v>#REF!</v>
      </c>
      <c r="FC123" t="e">
        <f>AND(#REF!,"AAAAADyw/54=")</f>
        <v>#REF!</v>
      </c>
      <c r="FD123" t="e">
        <f>AND(#REF!,"AAAAADyw/58=")</f>
        <v>#REF!</v>
      </c>
      <c r="FE123" t="e">
        <f>AND(#REF!,"AAAAADyw/6A=")</f>
        <v>#REF!</v>
      </c>
      <c r="FF123" t="e">
        <f>AND(#REF!,"AAAAADyw/6E=")</f>
        <v>#REF!</v>
      </c>
      <c r="FG123" t="e">
        <f>AND(#REF!,"AAAAADyw/6I=")</f>
        <v>#REF!</v>
      </c>
      <c r="FH123" t="e">
        <f>AND(#REF!,"AAAAADyw/6M=")</f>
        <v>#REF!</v>
      </c>
      <c r="FI123" t="e">
        <f>AND(#REF!,"AAAAADyw/6Q=")</f>
        <v>#REF!</v>
      </c>
      <c r="FJ123" t="e">
        <f>AND(#REF!,"AAAAADyw/6U=")</f>
        <v>#REF!</v>
      </c>
      <c r="FK123" t="e">
        <f>AND(#REF!,"AAAAADyw/6Y=")</f>
        <v>#REF!</v>
      </c>
      <c r="FL123" t="e">
        <f>AND(#REF!,"AAAAADyw/6c=")</f>
        <v>#REF!</v>
      </c>
      <c r="FM123" t="e">
        <f>AND(#REF!,"AAAAADyw/6g=")</f>
        <v>#REF!</v>
      </c>
      <c r="FN123" t="e">
        <f>AND(#REF!,"AAAAADyw/6k=")</f>
        <v>#REF!</v>
      </c>
      <c r="FO123" t="e">
        <f>AND(#REF!,"AAAAADyw/6o=")</f>
        <v>#REF!</v>
      </c>
      <c r="FP123" t="e">
        <f>AND(#REF!,"AAAAADyw/6s=")</f>
        <v>#REF!</v>
      </c>
      <c r="FQ123" t="e">
        <f>AND(#REF!,"AAAAADyw/6w=")</f>
        <v>#REF!</v>
      </c>
      <c r="FR123" t="e">
        <f>AND(#REF!,"AAAAADyw/60=")</f>
        <v>#REF!</v>
      </c>
      <c r="FS123" t="e">
        <f>AND(#REF!,"AAAAADyw/64=")</f>
        <v>#REF!</v>
      </c>
      <c r="FT123" t="e">
        <f>AND(#REF!,"AAAAADyw/68=")</f>
        <v>#REF!</v>
      </c>
      <c r="FU123" t="e">
        <f>AND(#REF!,"AAAAADyw/7A=")</f>
        <v>#REF!</v>
      </c>
      <c r="FV123" t="e">
        <f>AND(#REF!,"AAAAADyw/7E=")</f>
        <v>#REF!</v>
      </c>
      <c r="FW123" t="e">
        <f>IF(#REF!,"AAAAADyw/7I=",0)</f>
        <v>#REF!</v>
      </c>
      <c r="FX123" t="e">
        <f>AND(#REF!,"AAAAADyw/7M=")</f>
        <v>#REF!</v>
      </c>
      <c r="FY123" t="e">
        <f>AND(#REF!,"AAAAADyw/7Q=")</f>
        <v>#REF!</v>
      </c>
      <c r="FZ123" t="e">
        <f>AND(#REF!,"AAAAADyw/7U=")</f>
        <v>#REF!</v>
      </c>
      <c r="GA123" t="e">
        <f>AND(#REF!,"AAAAADyw/7Y=")</f>
        <v>#REF!</v>
      </c>
      <c r="GB123" t="e">
        <f>AND(#REF!,"AAAAADyw/7c=")</f>
        <v>#REF!</v>
      </c>
      <c r="GC123" t="e">
        <f>AND(#REF!,"AAAAADyw/7g=")</f>
        <v>#REF!</v>
      </c>
      <c r="GD123" t="e">
        <f>AND(#REF!,"AAAAADyw/7k=")</f>
        <v>#REF!</v>
      </c>
      <c r="GE123" t="e">
        <f>AND(#REF!,"AAAAADyw/7o=")</f>
        <v>#REF!</v>
      </c>
      <c r="GF123" t="e">
        <f>AND(#REF!,"AAAAADyw/7s=")</f>
        <v>#REF!</v>
      </c>
      <c r="GG123" t="e">
        <f>AND(#REF!,"AAAAADyw/7w=")</f>
        <v>#REF!</v>
      </c>
      <c r="GH123" t="e">
        <f>AND(#REF!,"AAAAADyw/70=")</f>
        <v>#REF!</v>
      </c>
      <c r="GI123" t="e">
        <f>AND(#REF!,"AAAAADyw/74=")</f>
        <v>#REF!</v>
      </c>
      <c r="GJ123" t="e">
        <f>AND(#REF!,"AAAAADyw/78=")</f>
        <v>#REF!</v>
      </c>
      <c r="GK123" t="e">
        <f>AND(#REF!,"AAAAADyw/8A=")</f>
        <v>#REF!</v>
      </c>
      <c r="GL123" t="e">
        <f>AND(#REF!,"AAAAADyw/8E=")</f>
        <v>#REF!</v>
      </c>
      <c r="GM123" t="e">
        <f>AND(#REF!,"AAAAADyw/8I=")</f>
        <v>#REF!</v>
      </c>
      <c r="GN123" t="e">
        <f>AND(#REF!,"AAAAADyw/8M=")</f>
        <v>#REF!</v>
      </c>
      <c r="GO123" t="e">
        <f>AND(#REF!,"AAAAADyw/8Q=")</f>
        <v>#REF!</v>
      </c>
      <c r="GP123" t="e">
        <f>AND(#REF!,"AAAAADyw/8U=")</f>
        <v>#REF!</v>
      </c>
      <c r="GQ123" t="e">
        <f>AND(#REF!,"AAAAADyw/8Y=")</f>
        <v>#REF!</v>
      </c>
      <c r="GR123" t="e">
        <f>AND(#REF!,"AAAAADyw/8c=")</f>
        <v>#REF!</v>
      </c>
      <c r="GS123" t="e">
        <f>AND(#REF!,"AAAAADyw/8g=")</f>
        <v>#REF!</v>
      </c>
      <c r="GT123" t="e">
        <f>AND(#REF!,"AAAAADyw/8k=")</f>
        <v>#REF!</v>
      </c>
      <c r="GU123" t="e">
        <f>AND(#REF!,"AAAAADyw/8o=")</f>
        <v>#REF!</v>
      </c>
      <c r="GV123" t="e">
        <f>IF(#REF!,"AAAAADyw/8s=",0)</f>
        <v>#REF!</v>
      </c>
      <c r="GW123" t="e">
        <f>AND(#REF!,"AAAAADyw/8w=")</f>
        <v>#REF!</v>
      </c>
      <c r="GX123" t="e">
        <f>AND(#REF!,"AAAAADyw/80=")</f>
        <v>#REF!</v>
      </c>
      <c r="GY123" t="e">
        <f>AND(#REF!,"AAAAADyw/84=")</f>
        <v>#REF!</v>
      </c>
      <c r="GZ123" t="e">
        <f>AND(#REF!,"AAAAADyw/88=")</f>
        <v>#REF!</v>
      </c>
      <c r="HA123" t="e">
        <f>AND(#REF!,"AAAAADyw/9A=")</f>
        <v>#REF!</v>
      </c>
      <c r="HB123" t="e">
        <f>AND(#REF!,"AAAAADyw/9E=")</f>
        <v>#REF!</v>
      </c>
      <c r="HC123" t="e">
        <f>AND(#REF!,"AAAAADyw/9I=")</f>
        <v>#REF!</v>
      </c>
      <c r="HD123" t="e">
        <f>AND(#REF!,"AAAAADyw/9M=")</f>
        <v>#REF!</v>
      </c>
      <c r="HE123" t="e">
        <f>AND(#REF!,"AAAAADyw/9Q=")</f>
        <v>#REF!</v>
      </c>
      <c r="HF123" t="e">
        <f>AND(#REF!,"AAAAADyw/9U=")</f>
        <v>#REF!</v>
      </c>
      <c r="HG123" t="e">
        <f>AND(#REF!,"AAAAADyw/9Y=")</f>
        <v>#REF!</v>
      </c>
      <c r="HH123" t="e">
        <f>AND(#REF!,"AAAAADyw/9c=")</f>
        <v>#REF!</v>
      </c>
      <c r="HI123" t="e">
        <f>AND(#REF!,"AAAAADyw/9g=")</f>
        <v>#REF!</v>
      </c>
      <c r="HJ123" t="e">
        <f>AND(#REF!,"AAAAADyw/9k=")</f>
        <v>#REF!</v>
      </c>
      <c r="HK123" t="e">
        <f>AND(#REF!,"AAAAADyw/9o=")</f>
        <v>#REF!</v>
      </c>
      <c r="HL123" t="e">
        <f>AND(#REF!,"AAAAADyw/9s=")</f>
        <v>#REF!</v>
      </c>
      <c r="HM123" t="e">
        <f>AND(#REF!,"AAAAADyw/9w=")</f>
        <v>#REF!</v>
      </c>
      <c r="HN123" t="e">
        <f>AND(#REF!,"AAAAADyw/90=")</f>
        <v>#REF!</v>
      </c>
      <c r="HO123" t="e">
        <f>AND(#REF!,"AAAAADyw/94=")</f>
        <v>#REF!</v>
      </c>
      <c r="HP123" t="e">
        <f>AND(#REF!,"AAAAADyw/98=")</f>
        <v>#REF!</v>
      </c>
      <c r="HQ123" t="e">
        <f>AND(#REF!,"AAAAADyw/+A=")</f>
        <v>#REF!</v>
      </c>
      <c r="HR123" t="e">
        <f>AND(#REF!,"AAAAADyw/+E=")</f>
        <v>#REF!</v>
      </c>
      <c r="HS123" t="e">
        <f>AND(#REF!,"AAAAADyw/+I=")</f>
        <v>#REF!</v>
      </c>
      <c r="HT123" t="e">
        <f>AND(#REF!,"AAAAADyw/+M=")</f>
        <v>#REF!</v>
      </c>
      <c r="HU123" t="e">
        <f>IF(#REF!,"AAAAADyw/+Q=",0)</f>
        <v>#REF!</v>
      </c>
      <c r="HV123" t="e">
        <f>AND(#REF!,"AAAAADyw/+U=")</f>
        <v>#REF!</v>
      </c>
      <c r="HW123" t="e">
        <f>AND(#REF!,"AAAAADyw/+Y=")</f>
        <v>#REF!</v>
      </c>
      <c r="HX123" t="e">
        <f>AND(#REF!,"AAAAADyw/+c=")</f>
        <v>#REF!</v>
      </c>
      <c r="HY123" t="e">
        <f>AND(#REF!,"AAAAADyw/+g=")</f>
        <v>#REF!</v>
      </c>
      <c r="HZ123" t="e">
        <f>AND(#REF!,"AAAAADyw/+k=")</f>
        <v>#REF!</v>
      </c>
      <c r="IA123" t="e">
        <f>AND(#REF!,"AAAAADyw/+o=")</f>
        <v>#REF!</v>
      </c>
      <c r="IB123" t="e">
        <f>AND(#REF!,"AAAAADyw/+s=")</f>
        <v>#REF!</v>
      </c>
      <c r="IC123" t="e">
        <f>AND(#REF!,"AAAAADyw/+w=")</f>
        <v>#REF!</v>
      </c>
      <c r="ID123" t="e">
        <f>AND(#REF!,"AAAAADyw/+0=")</f>
        <v>#REF!</v>
      </c>
      <c r="IE123" t="e">
        <f>AND(#REF!,"AAAAADyw/+4=")</f>
        <v>#REF!</v>
      </c>
      <c r="IF123" t="e">
        <f>AND(#REF!,"AAAAADyw/+8=")</f>
        <v>#REF!</v>
      </c>
      <c r="IG123" t="e">
        <f>AND(#REF!,"AAAAADyw//A=")</f>
        <v>#REF!</v>
      </c>
      <c r="IH123" t="e">
        <f>AND(#REF!,"AAAAADyw//E=")</f>
        <v>#REF!</v>
      </c>
      <c r="II123" t="e">
        <f>AND(#REF!,"AAAAADyw//I=")</f>
        <v>#REF!</v>
      </c>
      <c r="IJ123" t="e">
        <f>AND(#REF!,"AAAAADyw//M=")</f>
        <v>#REF!</v>
      </c>
      <c r="IK123" t="e">
        <f>AND(#REF!,"AAAAADyw//Q=")</f>
        <v>#REF!</v>
      </c>
      <c r="IL123" t="e">
        <f>AND(#REF!,"AAAAADyw//U=")</f>
        <v>#REF!</v>
      </c>
      <c r="IM123" t="e">
        <f>AND(#REF!,"AAAAADyw//Y=")</f>
        <v>#REF!</v>
      </c>
      <c r="IN123" t="e">
        <f>AND(#REF!,"AAAAADyw//c=")</f>
        <v>#REF!</v>
      </c>
      <c r="IO123" t="e">
        <f>AND(#REF!,"AAAAADyw//g=")</f>
        <v>#REF!</v>
      </c>
      <c r="IP123" t="e">
        <f>AND(#REF!,"AAAAADyw//k=")</f>
        <v>#REF!</v>
      </c>
      <c r="IQ123" t="e">
        <f>AND(#REF!,"AAAAADyw//o=")</f>
        <v>#REF!</v>
      </c>
      <c r="IR123" t="e">
        <f>AND(#REF!,"AAAAADyw//s=")</f>
        <v>#REF!</v>
      </c>
      <c r="IS123" t="e">
        <f>AND(#REF!,"AAAAADyw//w=")</f>
        <v>#REF!</v>
      </c>
      <c r="IT123" t="e">
        <f>IF(#REF!,"AAAAADyw//0=",0)</f>
        <v>#REF!</v>
      </c>
      <c r="IU123" t="e">
        <f>AND(#REF!,"AAAAADyw//4=")</f>
        <v>#REF!</v>
      </c>
      <c r="IV123" t="e">
        <f>AND(#REF!,"AAAAADyw//8=")</f>
        <v>#REF!</v>
      </c>
    </row>
    <row r="124" spans="1:256">
      <c r="A124" t="e">
        <f>AND(#REF!,"AAAAACW/9gA=")</f>
        <v>#REF!</v>
      </c>
      <c r="B124" t="e">
        <f>AND(#REF!,"AAAAACW/9gE=")</f>
        <v>#REF!</v>
      </c>
      <c r="C124" t="e">
        <f>AND(#REF!,"AAAAACW/9gI=")</f>
        <v>#REF!</v>
      </c>
      <c r="D124" t="e">
        <f>AND(#REF!,"AAAAACW/9gM=")</f>
        <v>#REF!</v>
      </c>
      <c r="E124" t="e">
        <f>AND(#REF!,"AAAAACW/9gQ=")</f>
        <v>#REF!</v>
      </c>
      <c r="F124" t="e">
        <f>AND(#REF!,"AAAAACW/9gU=")</f>
        <v>#REF!</v>
      </c>
      <c r="G124" t="e">
        <f>AND(#REF!,"AAAAACW/9gY=")</f>
        <v>#REF!</v>
      </c>
      <c r="H124" t="e">
        <f>AND(#REF!,"AAAAACW/9gc=")</f>
        <v>#REF!</v>
      </c>
      <c r="I124" t="e">
        <f>AND(#REF!,"AAAAACW/9gg=")</f>
        <v>#REF!</v>
      </c>
      <c r="J124" t="e">
        <f>AND(#REF!,"AAAAACW/9gk=")</f>
        <v>#REF!</v>
      </c>
      <c r="K124" t="e">
        <f>AND(#REF!,"AAAAACW/9go=")</f>
        <v>#REF!</v>
      </c>
      <c r="L124" t="e">
        <f>AND(#REF!,"AAAAACW/9gs=")</f>
        <v>#REF!</v>
      </c>
      <c r="M124" t="e">
        <f>AND(#REF!,"AAAAACW/9gw=")</f>
        <v>#REF!</v>
      </c>
      <c r="N124" t="e">
        <f>AND(#REF!,"AAAAACW/9g0=")</f>
        <v>#REF!</v>
      </c>
      <c r="O124" t="e">
        <f>AND(#REF!,"AAAAACW/9g4=")</f>
        <v>#REF!</v>
      </c>
      <c r="P124" t="e">
        <f>AND(#REF!,"AAAAACW/9g8=")</f>
        <v>#REF!</v>
      </c>
      <c r="Q124" t="e">
        <f>AND(#REF!,"AAAAACW/9hA=")</f>
        <v>#REF!</v>
      </c>
      <c r="R124" t="e">
        <f>AND(#REF!,"AAAAACW/9hE=")</f>
        <v>#REF!</v>
      </c>
      <c r="S124" t="e">
        <f>AND(#REF!,"AAAAACW/9hI=")</f>
        <v>#REF!</v>
      </c>
      <c r="T124" t="e">
        <f>AND(#REF!,"AAAAACW/9hM=")</f>
        <v>#REF!</v>
      </c>
      <c r="U124" t="e">
        <f>AND(#REF!,"AAAAACW/9hQ=")</f>
        <v>#REF!</v>
      </c>
      <c r="V124" t="e">
        <f>AND(#REF!,"AAAAACW/9hU=")</f>
        <v>#REF!</v>
      </c>
      <c r="W124" t="e">
        <f>IF(#REF!,"AAAAACW/9hY=",0)</f>
        <v>#REF!</v>
      </c>
      <c r="X124" t="e">
        <f>AND(#REF!,"AAAAACW/9hc=")</f>
        <v>#REF!</v>
      </c>
      <c r="Y124" t="e">
        <f>AND(#REF!,"AAAAACW/9hg=")</f>
        <v>#REF!</v>
      </c>
      <c r="Z124" t="e">
        <f>AND(#REF!,"AAAAACW/9hk=")</f>
        <v>#REF!</v>
      </c>
      <c r="AA124" t="e">
        <f>AND(#REF!,"AAAAACW/9ho=")</f>
        <v>#REF!</v>
      </c>
      <c r="AB124" t="e">
        <f>AND(#REF!,"AAAAACW/9hs=")</f>
        <v>#REF!</v>
      </c>
      <c r="AC124" t="e">
        <f>AND(#REF!,"AAAAACW/9hw=")</f>
        <v>#REF!</v>
      </c>
      <c r="AD124" t="e">
        <f>AND(#REF!,"AAAAACW/9h0=")</f>
        <v>#REF!</v>
      </c>
      <c r="AE124" t="e">
        <f>AND(#REF!,"AAAAACW/9h4=")</f>
        <v>#REF!</v>
      </c>
      <c r="AF124" t="e">
        <f>AND(#REF!,"AAAAACW/9h8=")</f>
        <v>#REF!</v>
      </c>
      <c r="AG124" t="e">
        <f>AND(#REF!,"AAAAACW/9iA=")</f>
        <v>#REF!</v>
      </c>
      <c r="AH124" t="e">
        <f>AND(#REF!,"AAAAACW/9iE=")</f>
        <v>#REF!</v>
      </c>
      <c r="AI124" t="e">
        <f>AND(#REF!,"AAAAACW/9iI=")</f>
        <v>#REF!</v>
      </c>
      <c r="AJ124" t="e">
        <f>AND(#REF!,"AAAAACW/9iM=")</f>
        <v>#REF!</v>
      </c>
      <c r="AK124" t="e">
        <f>AND(#REF!,"AAAAACW/9iQ=")</f>
        <v>#REF!</v>
      </c>
      <c r="AL124" t="e">
        <f>AND(#REF!,"AAAAACW/9iU=")</f>
        <v>#REF!</v>
      </c>
      <c r="AM124" t="e">
        <f>AND(#REF!,"AAAAACW/9iY=")</f>
        <v>#REF!</v>
      </c>
      <c r="AN124" t="e">
        <f>AND(#REF!,"AAAAACW/9ic=")</f>
        <v>#REF!</v>
      </c>
      <c r="AO124" t="e">
        <f>AND(#REF!,"AAAAACW/9ig=")</f>
        <v>#REF!</v>
      </c>
      <c r="AP124" t="e">
        <f>AND(#REF!,"AAAAACW/9ik=")</f>
        <v>#REF!</v>
      </c>
      <c r="AQ124" t="e">
        <f>AND(#REF!,"AAAAACW/9io=")</f>
        <v>#REF!</v>
      </c>
      <c r="AR124" t="e">
        <f>AND(#REF!,"AAAAACW/9is=")</f>
        <v>#REF!</v>
      </c>
      <c r="AS124" t="e">
        <f>AND(#REF!,"AAAAACW/9iw=")</f>
        <v>#REF!</v>
      </c>
      <c r="AT124" t="e">
        <f>AND(#REF!,"AAAAACW/9i0=")</f>
        <v>#REF!</v>
      </c>
      <c r="AU124" t="e">
        <f>AND(#REF!,"AAAAACW/9i4=")</f>
        <v>#REF!</v>
      </c>
      <c r="AV124" t="e">
        <f>IF(#REF!,"AAAAACW/9i8=",0)</f>
        <v>#REF!</v>
      </c>
      <c r="AW124" t="e">
        <f>AND(#REF!,"AAAAACW/9jA=")</f>
        <v>#REF!</v>
      </c>
      <c r="AX124" t="e">
        <f>AND(#REF!,"AAAAACW/9jE=")</f>
        <v>#REF!</v>
      </c>
      <c r="AY124" t="e">
        <f>AND(#REF!,"AAAAACW/9jI=")</f>
        <v>#REF!</v>
      </c>
      <c r="AZ124" t="e">
        <f>AND(#REF!,"AAAAACW/9jM=")</f>
        <v>#REF!</v>
      </c>
      <c r="BA124" t="e">
        <f>AND(#REF!,"AAAAACW/9jQ=")</f>
        <v>#REF!</v>
      </c>
      <c r="BB124" t="e">
        <f>AND(#REF!,"AAAAACW/9jU=")</f>
        <v>#REF!</v>
      </c>
      <c r="BC124" t="e">
        <f>AND(#REF!,"AAAAACW/9jY=")</f>
        <v>#REF!</v>
      </c>
      <c r="BD124" t="e">
        <f>AND(#REF!,"AAAAACW/9jc=")</f>
        <v>#REF!</v>
      </c>
      <c r="BE124" t="e">
        <f>AND(#REF!,"AAAAACW/9jg=")</f>
        <v>#REF!</v>
      </c>
      <c r="BF124" t="e">
        <f>AND(#REF!,"AAAAACW/9jk=")</f>
        <v>#REF!</v>
      </c>
      <c r="BG124" t="e">
        <f>AND(#REF!,"AAAAACW/9jo=")</f>
        <v>#REF!</v>
      </c>
      <c r="BH124" t="e">
        <f>AND(#REF!,"AAAAACW/9js=")</f>
        <v>#REF!</v>
      </c>
      <c r="BI124" t="e">
        <f>AND(#REF!,"AAAAACW/9jw=")</f>
        <v>#REF!</v>
      </c>
      <c r="BJ124" t="e">
        <f>AND(#REF!,"AAAAACW/9j0=")</f>
        <v>#REF!</v>
      </c>
      <c r="BK124" t="e">
        <f>AND(#REF!,"AAAAACW/9j4=")</f>
        <v>#REF!</v>
      </c>
      <c r="BL124" t="e">
        <f>AND(#REF!,"AAAAACW/9j8=")</f>
        <v>#REF!</v>
      </c>
      <c r="BM124" t="e">
        <f>AND(#REF!,"AAAAACW/9kA=")</f>
        <v>#REF!</v>
      </c>
      <c r="BN124" t="e">
        <f>AND(#REF!,"AAAAACW/9kE=")</f>
        <v>#REF!</v>
      </c>
      <c r="BO124" t="e">
        <f>AND(#REF!,"AAAAACW/9kI=")</f>
        <v>#REF!</v>
      </c>
      <c r="BP124" t="e">
        <f>AND(#REF!,"AAAAACW/9kM=")</f>
        <v>#REF!</v>
      </c>
      <c r="BQ124" t="e">
        <f>AND(#REF!,"AAAAACW/9kQ=")</f>
        <v>#REF!</v>
      </c>
      <c r="BR124" t="e">
        <f>AND(#REF!,"AAAAACW/9kU=")</f>
        <v>#REF!</v>
      </c>
      <c r="BS124" t="e">
        <f>AND(#REF!,"AAAAACW/9kY=")</f>
        <v>#REF!</v>
      </c>
      <c r="BT124" t="e">
        <f>AND(#REF!,"AAAAACW/9kc=")</f>
        <v>#REF!</v>
      </c>
      <c r="BU124" t="e">
        <f>IF(#REF!,"AAAAACW/9kg=",0)</f>
        <v>#REF!</v>
      </c>
      <c r="BV124" t="e">
        <f>AND(#REF!,"AAAAACW/9kk=")</f>
        <v>#REF!</v>
      </c>
      <c r="BW124" t="e">
        <f>AND(#REF!,"AAAAACW/9ko=")</f>
        <v>#REF!</v>
      </c>
      <c r="BX124" t="e">
        <f>AND(#REF!,"AAAAACW/9ks=")</f>
        <v>#REF!</v>
      </c>
      <c r="BY124" t="e">
        <f>AND(#REF!,"AAAAACW/9kw=")</f>
        <v>#REF!</v>
      </c>
      <c r="BZ124" t="e">
        <f>AND(#REF!,"AAAAACW/9k0=")</f>
        <v>#REF!</v>
      </c>
      <c r="CA124" t="e">
        <f>AND(#REF!,"AAAAACW/9k4=")</f>
        <v>#REF!</v>
      </c>
      <c r="CB124" t="e">
        <f>AND(#REF!,"AAAAACW/9k8=")</f>
        <v>#REF!</v>
      </c>
      <c r="CC124" t="e">
        <f>AND(#REF!,"AAAAACW/9lA=")</f>
        <v>#REF!</v>
      </c>
      <c r="CD124" t="e">
        <f>AND(#REF!,"AAAAACW/9lE=")</f>
        <v>#REF!</v>
      </c>
      <c r="CE124" t="e">
        <f>AND(#REF!,"AAAAACW/9lI=")</f>
        <v>#REF!</v>
      </c>
      <c r="CF124" t="e">
        <f>AND(#REF!,"AAAAACW/9lM=")</f>
        <v>#REF!</v>
      </c>
      <c r="CG124" t="e">
        <f>AND(#REF!,"AAAAACW/9lQ=")</f>
        <v>#REF!</v>
      </c>
      <c r="CH124" t="e">
        <f>AND(#REF!,"AAAAACW/9lU=")</f>
        <v>#REF!</v>
      </c>
      <c r="CI124" t="e">
        <f>AND(#REF!,"AAAAACW/9lY=")</f>
        <v>#REF!</v>
      </c>
      <c r="CJ124" t="e">
        <f>AND(#REF!,"AAAAACW/9lc=")</f>
        <v>#REF!</v>
      </c>
      <c r="CK124" t="e">
        <f>AND(#REF!,"AAAAACW/9lg=")</f>
        <v>#REF!</v>
      </c>
      <c r="CL124" t="e">
        <f>AND(#REF!,"AAAAACW/9lk=")</f>
        <v>#REF!</v>
      </c>
      <c r="CM124" t="e">
        <f>AND(#REF!,"AAAAACW/9lo=")</f>
        <v>#REF!</v>
      </c>
      <c r="CN124" t="e">
        <f>AND(#REF!,"AAAAACW/9ls=")</f>
        <v>#REF!</v>
      </c>
      <c r="CO124" t="e">
        <f>AND(#REF!,"AAAAACW/9lw=")</f>
        <v>#REF!</v>
      </c>
      <c r="CP124" t="e">
        <f>AND(#REF!,"AAAAACW/9l0=")</f>
        <v>#REF!</v>
      </c>
      <c r="CQ124" t="e">
        <f>AND(#REF!,"AAAAACW/9l4=")</f>
        <v>#REF!</v>
      </c>
      <c r="CR124" t="e">
        <f>AND(#REF!,"AAAAACW/9l8=")</f>
        <v>#REF!</v>
      </c>
      <c r="CS124" t="e">
        <f>AND(#REF!,"AAAAACW/9mA=")</f>
        <v>#REF!</v>
      </c>
      <c r="CT124" t="e">
        <f>IF(#REF!,"AAAAACW/9mE=",0)</f>
        <v>#REF!</v>
      </c>
      <c r="CU124" t="e">
        <f>AND(#REF!,"AAAAACW/9mI=")</f>
        <v>#REF!</v>
      </c>
      <c r="CV124" t="e">
        <f>AND(#REF!,"AAAAACW/9mM=")</f>
        <v>#REF!</v>
      </c>
      <c r="CW124" t="e">
        <f>AND(#REF!,"AAAAACW/9mQ=")</f>
        <v>#REF!</v>
      </c>
      <c r="CX124" t="e">
        <f>AND(#REF!,"AAAAACW/9mU=")</f>
        <v>#REF!</v>
      </c>
      <c r="CY124" t="e">
        <f>AND(#REF!,"AAAAACW/9mY=")</f>
        <v>#REF!</v>
      </c>
      <c r="CZ124" t="e">
        <f>AND(#REF!,"AAAAACW/9mc=")</f>
        <v>#REF!</v>
      </c>
      <c r="DA124" t="e">
        <f>AND(#REF!,"AAAAACW/9mg=")</f>
        <v>#REF!</v>
      </c>
      <c r="DB124" t="e">
        <f>AND(#REF!,"AAAAACW/9mk=")</f>
        <v>#REF!</v>
      </c>
      <c r="DC124" t="e">
        <f>AND(#REF!,"AAAAACW/9mo=")</f>
        <v>#REF!</v>
      </c>
      <c r="DD124" t="e">
        <f>AND(#REF!,"AAAAACW/9ms=")</f>
        <v>#REF!</v>
      </c>
      <c r="DE124" t="e">
        <f>AND(#REF!,"AAAAACW/9mw=")</f>
        <v>#REF!</v>
      </c>
      <c r="DF124" t="e">
        <f>AND(#REF!,"AAAAACW/9m0=")</f>
        <v>#REF!</v>
      </c>
      <c r="DG124" t="e">
        <f>AND(#REF!,"AAAAACW/9m4=")</f>
        <v>#REF!</v>
      </c>
      <c r="DH124" t="e">
        <f>AND(#REF!,"AAAAACW/9m8=")</f>
        <v>#REF!</v>
      </c>
      <c r="DI124" t="e">
        <f>AND(#REF!,"AAAAACW/9nA=")</f>
        <v>#REF!</v>
      </c>
      <c r="DJ124" t="e">
        <f>AND(#REF!,"AAAAACW/9nE=")</f>
        <v>#REF!</v>
      </c>
      <c r="DK124" t="e">
        <f>AND(#REF!,"AAAAACW/9nI=")</f>
        <v>#REF!</v>
      </c>
      <c r="DL124" t="e">
        <f>AND(#REF!,"AAAAACW/9nM=")</f>
        <v>#REF!</v>
      </c>
      <c r="DM124" t="e">
        <f>AND(#REF!,"AAAAACW/9nQ=")</f>
        <v>#REF!</v>
      </c>
      <c r="DN124" t="e">
        <f>AND(#REF!,"AAAAACW/9nU=")</f>
        <v>#REF!</v>
      </c>
      <c r="DO124" t="e">
        <f>AND(#REF!,"AAAAACW/9nY=")</f>
        <v>#REF!</v>
      </c>
      <c r="DP124" t="e">
        <f>AND(#REF!,"AAAAACW/9nc=")</f>
        <v>#REF!</v>
      </c>
      <c r="DQ124" t="e">
        <f>AND(#REF!,"AAAAACW/9ng=")</f>
        <v>#REF!</v>
      </c>
      <c r="DR124" t="e">
        <f>AND(#REF!,"AAAAACW/9nk=")</f>
        <v>#REF!</v>
      </c>
      <c r="DS124" t="e">
        <f>IF(#REF!,"AAAAACW/9no=",0)</f>
        <v>#REF!</v>
      </c>
      <c r="DT124" t="e">
        <f>AND(#REF!,"AAAAACW/9ns=")</f>
        <v>#REF!</v>
      </c>
      <c r="DU124" t="e">
        <f>AND(#REF!,"AAAAACW/9nw=")</f>
        <v>#REF!</v>
      </c>
      <c r="DV124" t="e">
        <f>AND(#REF!,"AAAAACW/9n0=")</f>
        <v>#REF!</v>
      </c>
      <c r="DW124" t="e">
        <f>AND(#REF!,"AAAAACW/9n4=")</f>
        <v>#REF!</v>
      </c>
      <c r="DX124" t="e">
        <f>AND(#REF!,"AAAAACW/9n8=")</f>
        <v>#REF!</v>
      </c>
      <c r="DY124" t="e">
        <f>AND(#REF!,"AAAAACW/9oA=")</f>
        <v>#REF!</v>
      </c>
      <c r="DZ124" t="e">
        <f>AND(#REF!,"AAAAACW/9oE=")</f>
        <v>#REF!</v>
      </c>
      <c r="EA124" t="e">
        <f>AND(#REF!,"AAAAACW/9oI=")</f>
        <v>#REF!</v>
      </c>
      <c r="EB124" t="e">
        <f>AND(#REF!,"AAAAACW/9oM=")</f>
        <v>#REF!</v>
      </c>
      <c r="EC124" t="e">
        <f>AND(#REF!,"AAAAACW/9oQ=")</f>
        <v>#REF!</v>
      </c>
      <c r="ED124" t="e">
        <f>AND(#REF!,"AAAAACW/9oU=")</f>
        <v>#REF!</v>
      </c>
      <c r="EE124" t="e">
        <f>AND(#REF!,"AAAAACW/9oY=")</f>
        <v>#REF!</v>
      </c>
      <c r="EF124" t="e">
        <f>AND(#REF!,"AAAAACW/9oc=")</f>
        <v>#REF!</v>
      </c>
      <c r="EG124" t="e">
        <f>AND(#REF!,"AAAAACW/9og=")</f>
        <v>#REF!</v>
      </c>
      <c r="EH124" t="e">
        <f>AND(#REF!,"AAAAACW/9ok=")</f>
        <v>#REF!</v>
      </c>
      <c r="EI124" t="e">
        <f>AND(#REF!,"AAAAACW/9oo=")</f>
        <v>#REF!</v>
      </c>
      <c r="EJ124" t="e">
        <f>AND(#REF!,"AAAAACW/9os=")</f>
        <v>#REF!</v>
      </c>
      <c r="EK124" t="e">
        <f>AND(#REF!,"AAAAACW/9ow=")</f>
        <v>#REF!</v>
      </c>
      <c r="EL124" t="e">
        <f>AND(#REF!,"AAAAACW/9o0=")</f>
        <v>#REF!</v>
      </c>
      <c r="EM124" t="e">
        <f>AND(#REF!,"AAAAACW/9o4=")</f>
        <v>#REF!</v>
      </c>
      <c r="EN124" t="e">
        <f>AND(#REF!,"AAAAACW/9o8=")</f>
        <v>#REF!</v>
      </c>
      <c r="EO124" t="e">
        <f>AND(#REF!,"AAAAACW/9pA=")</f>
        <v>#REF!</v>
      </c>
      <c r="EP124" t="e">
        <f>AND(#REF!,"AAAAACW/9pE=")</f>
        <v>#REF!</v>
      </c>
      <c r="EQ124" t="e">
        <f>AND(#REF!,"AAAAACW/9pI=")</f>
        <v>#REF!</v>
      </c>
      <c r="ER124" t="e">
        <f>IF(#REF!,"AAAAACW/9pM=",0)</f>
        <v>#REF!</v>
      </c>
      <c r="ES124" t="e">
        <f>AND(#REF!,"AAAAACW/9pQ=")</f>
        <v>#REF!</v>
      </c>
      <c r="ET124" t="e">
        <f>AND(#REF!,"AAAAACW/9pU=")</f>
        <v>#REF!</v>
      </c>
      <c r="EU124" t="e">
        <f>AND(#REF!,"AAAAACW/9pY=")</f>
        <v>#REF!</v>
      </c>
      <c r="EV124" t="e">
        <f>AND(#REF!,"AAAAACW/9pc=")</f>
        <v>#REF!</v>
      </c>
      <c r="EW124" t="e">
        <f>AND(#REF!,"AAAAACW/9pg=")</f>
        <v>#REF!</v>
      </c>
      <c r="EX124" t="e">
        <f>AND(#REF!,"AAAAACW/9pk=")</f>
        <v>#REF!</v>
      </c>
      <c r="EY124" t="e">
        <f>AND(#REF!,"AAAAACW/9po=")</f>
        <v>#REF!</v>
      </c>
      <c r="EZ124" t="e">
        <f>AND(#REF!,"AAAAACW/9ps=")</f>
        <v>#REF!</v>
      </c>
      <c r="FA124" t="e">
        <f>AND(#REF!,"AAAAACW/9pw=")</f>
        <v>#REF!</v>
      </c>
      <c r="FB124" t="e">
        <f>AND(#REF!,"AAAAACW/9p0=")</f>
        <v>#REF!</v>
      </c>
      <c r="FC124" t="e">
        <f>AND(#REF!,"AAAAACW/9p4=")</f>
        <v>#REF!</v>
      </c>
      <c r="FD124" t="e">
        <f>AND(#REF!,"AAAAACW/9p8=")</f>
        <v>#REF!</v>
      </c>
      <c r="FE124" t="e">
        <f>AND(#REF!,"AAAAACW/9qA=")</f>
        <v>#REF!</v>
      </c>
      <c r="FF124" t="e">
        <f>AND(#REF!,"AAAAACW/9qE=")</f>
        <v>#REF!</v>
      </c>
      <c r="FG124" t="e">
        <f>AND(#REF!,"AAAAACW/9qI=")</f>
        <v>#REF!</v>
      </c>
      <c r="FH124" t="e">
        <f>AND(#REF!,"AAAAACW/9qM=")</f>
        <v>#REF!</v>
      </c>
      <c r="FI124" t="e">
        <f>AND(#REF!,"AAAAACW/9qQ=")</f>
        <v>#REF!</v>
      </c>
      <c r="FJ124" t="e">
        <f>AND(#REF!,"AAAAACW/9qU=")</f>
        <v>#REF!</v>
      </c>
      <c r="FK124" t="e">
        <f>AND(#REF!,"AAAAACW/9qY=")</f>
        <v>#REF!</v>
      </c>
      <c r="FL124" t="e">
        <f>AND(#REF!,"AAAAACW/9qc=")</f>
        <v>#REF!</v>
      </c>
      <c r="FM124" t="e">
        <f>AND(#REF!,"AAAAACW/9qg=")</f>
        <v>#REF!</v>
      </c>
      <c r="FN124" t="e">
        <f>AND(#REF!,"AAAAACW/9qk=")</f>
        <v>#REF!</v>
      </c>
      <c r="FO124" t="e">
        <f>AND(#REF!,"AAAAACW/9qo=")</f>
        <v>#REF!</v>
      </c>
      <c r="FP124" t="e">
        <f>AND(#REF!,"AAAAACW/9qs=")</f>
        <v>#REF!</v>
      </c>
      <c r="FQ124" t="e">
        <f>IF(#REF!,"AAAAACW/9qw=",0)</f>
        <v>#REF!</v>
      </c>
      <c r="FR124" t="e">
        <f>AND(#REF!,"AAAAACW/9q0=")</f>
        <v>#REF!</v>
      </c>
      <c r="FS124" t="e">
        <f>AND(#REF!,"AAAAACW/9q4=")</f>
        <v>#REF!</v>
      </c>
      <c r="FT124" t="e">
        <f>AND(#REF!,"AAAAACW/9q8=")</f>
        <v>#REF!</v>
      </c>
      <c r="FU124" t="e">
        <f>AND(#REF!,"AAAAACW/9rA=")</f>
        <v>#REF!</v>
      </c>
      <c r="FV124" t="e">
        <f>AND(#REF!,"AAAAACW/9rE=")</f>
        <v>#REF!</v>
      </c>
      <c r="FW124" t="e">
        <f>AND(#REF!,"AAAAACW/9rI=")</f>
        <v>#REF!</v>
      </c>
      <c r="FX124" t="e">
        <f>AND(#REF!,"AAAAACW/9rM=")</f>
        <v>#REF!</v>
      </c>
      <c r="FY124" t="e">
        <f>AND(#REF!,"AAAAACW/9rQ=")</f>
        <v>#REF!</v>
      </c>
      <c r="FZ124" t="e">
        <f>AND(#REF!,"AAAAACW/9rU=")</f>
        <v>#REF!</v>
      </c>
      <c r="GA124" t="e">
        <f>AND(#REF!,"AAAAACW/9rY=")</f>
        <v>#REF!</v>
      </c>
      <c r="GB124" t="e">
        <f>AND(#REF!,"AAAAACW/9rc=")</f>
        <v>#REF!</v>
      </c>
      <c r="GC124" t="e">
        <f>AND(#REF!,"AAAAACW/9rg=")</f>
        <v>#REF!</v>
      </c>
      <c r="GD124" t="e">
        <f>AND(#REF!,"AAAAACW/9rk=")</f>
        <v>#REF!</v>
      </c>
      <c r="GE124" t="e">
        <f>AND(#REF!,"AAAAACW/9ro=")</f>
        <v>#REF!</v>
      </c>
      <c r="GF124" t="e">
        <f>AND(#REF!,"AAAAACW/9rs=")</f>
        <v>#REF!</v>
      </c>
      <c r="GG124" t="e">
        <f>AND(#REF!,"AAAAACW/9rw=")</f>
        <v>#REF!</v>
      </c>
      <c r="GH124" t="e">
        <f>AND(#REF!,"AAAAACW/9r0=")</f>
        <v>#REF!</v>
      </c>
      <c r="GI124" t="e">
        <f>AND(#REF!,"AAAAACW/9r4=")</f>
        <v>#REF!</v>
      </c>
      <c r="GJ124" t="e">
        <f>AND(#REF!,"AAAAACW/9r8=")</f>
        <v>#REF!</v>
      </c>
      <c r="GK124" t="e">
        <f>AND(#REF!,"AAAAACW/9sA=")</f>
        <v>#REF!</v>
      </c>
      <c r="GL124" t="e">
        <f>AND(#REF!,"AAAAACW/9sE=")</f>
        <v>#REF!</v>
      </c>
      <c r="GM124" t="e">
        <f>AND(#REF!,"AAAAACW/9sI=")</f>
        <v>#REF!</v>
      </c>
      <c r="GN124" t="e">
        <f>AND(#REF!,"AAAAACW/9sM=")</f>
        <v>#REF!</v>
      </c>
      <c r="GO124" t="e">
        <f>AND(#REF!,"AAAAACW/9sQ=")</f>
        <v>#REF!</v>
      </c>
      <c r="GP124" t="e">
        <f>IF(#REF!,"AAAAACW/9sU=",0)</f>
        <v>#REF!</v>
      </c>
      <c r="GQ124" t="e">
        <f>AND(#REF!,"AAAAACW/9sY=")</f>
        <v>#REF!</v>
      </c>
      <c r="GR124" t="e">
        <f>AND(#REF!,"AAAAACW/9sc=")</f>
        <v>#REF!</v>
      </c>
      <c r="GS124" t="e">
        <f>AND(#REF!,"AAAAACW/9sg=")</f>
        <v>#REF!</v>
      </c>
      <c r="GT124" t="e">
        <f>AND(#REF!,"AAAAACW/9sk=")</f>
        <v>#REF!</v>
      </c>
      <c r="GU124" t="e">
        <f>AND(#REF!,"AAAAACW/9so=")</f>
        <v>#REF!</v>
      </c>
      <c r="GV124" t="e">
        <f>AND(#REF!,"AAAAACW/9ss=")</f>
        <v>#REF!</v>
      </c>
      <c r="GW124" t="e">
        <f>AND(#REF!,"AAAAACW/9sw=")</f>
        <v>#REF!</v>
      </c>
      <c r="GX124" t="e">
        <f>AND(#REF!,"AAAAACW/9s0=")</f>
        <v>#REF!</v>
      </c>
      <c r="GY124" t="e">
        <f>AND(#REF!,"AAAAACW/9s4=")</f>
        <v>#REF!</v>
      </c>
      <c r="GZ124" t="e">
        <f>AND(#REF!,"AAAAACW/9s8=")</f>
        <v>#REF!</v>
      </c>
      <c r="HA124" t="e">
        <f>AND(#REF!,"AAAAACW/9tA=")</f>
        <v>#REF!</v>
      </c>
      <c r="HB124" t="e">
        <f>AND(#REF!,"AAAAACW/9tE=")</f>
        <v>#REF!</v>
      </c>
      <c r="HC124" t="e">
        <f>AND(#REF!,"AAAAACW/9tI=")</f>
        <v>#REF!</v>
      </c>
      <c r="HD124" t="e">
        <f>AND(#REF!,"AAAAACW/9tM=")</f>
        <v>#REF!</v>
      </c>
      <c r="HE124" t="e">
        <f>AND(#REF!,"AAAAACW/9tQ=")</f>
        <v>#REF!</v>
      </c>
      <c r="HF124" t="e">
        <f>AND(#REF!,"AAAAACW/9tU=")</f>
        <v>#REF!</v>
      </c>
      <c r="HG124" t="e">
        <f>AND(#REF!,"AAAAACW/9tY=")</f>
        <v>#REF!</v>
      </c>
      <c r="HH124" t="e">
        <f>AND(#REF!,"AAAAACW/9tc=")</f>
        <v>#REF!</v>
      </c>
      <c r="HI124" t="e">
        <f>AND(#REF!,"AAAAACW/9tg=")</f>
        <v>#REF!</v>
      </c>
      <c r="HJ124" t="e">
        <f>AND(#REF!,"AAAAACW/9tk=")</f>
        <v>#REF!</v>
      </c>
      <c r="HK124" t="e">
        <f>AND(#REF!,"AAAAACW/9to=")</f>
        <v>#REF!</v>
      </c>
      <c r="HL124" t="e">
        <f>AND(#REF!,"AAAAACW/9ts=")</f>
        <v>#REF!</v>
      </c>
      <c r="HM124" t="e">
        <f>AND(#REF!,"AAAAACW/9tw=")</f>
        <v>#REF!</v>
      </c>
      <c r="HN124" t="e">
        <f>AND(#REF!,"AAAAACW/9t0=")</f>
        <v>#REF!</v>
      </c>
      <c r="HO124" t="e">
        <f>IF(#REF!,"AAAAACW/9t4=",0)</f>
        <v>#REF!</v>
      </c>
      <c r="HP124" t="e">
        <f>AND(#REF!,"AAAAACW/9t8=")</f>
        <v>#REF!</v>
      </c>
      <c r="HQ124" t="e">
        <f>AND(#REF!,"AAAAACW/9uA=")</f>
        <v>#REF!</v>
      </c>
      <c r="HR124" t="e">
        <f>AND(#REF!,"AAAAACW/9uE=")</f>
        <v>#REF!</v>
      </c>
      <c r="HS124" t="e">
        <f>AND(#REF!,"AAAAACW/9uI=")</f>
        <v>#REF!</v>
      </c>
      <c r="HT124" t="e">
        <f>AND(#REF!,"AAAAACW/9uM=")</f>
        <v>#REF!</v>
      </c>
      <c r="HU124" t="e">
        <f>AND(#REF!,"AAAAACW/9uQ=")</f>
        <v>#REF!</v>
      </c>
      <c r="HV124" t="e">
        <f>AND(#REF!,"AAAAACW/9uU=")</f>
        <v>#REF!</v>
      </c>
      <c r="HW124" t="e">
        <f>AND(#REF!,"AAAAACW/9uY=")</f>
        <v>#REF!</v>
      </c>
      <c r="HX124" t="e">
        <f>AND(#REF!,"AAAAACW/9uc=")</f>
        <v>#REF!</v>
      </c>
      <c r="HY124" t="e">
        <f>AND(#REF!,"AAAAACW/9ug=")</f>
        <v>#REF!</v>
      </c>
      <c r="HZ124" t="e">
        <f>AND(#REF!,"AAAAACW/9uk=")</f>
        <v>#REF!</v>
      </c>
      <c r="IA124" t="e">
        <f>AND(#REF!,"AAAAACW/9uo=")</f>
        <v>#REF!</v>
      </c>
      <c r="IB124" t="e">
        <f>AND(#REF!,"AAAAACW/9us=")</f>
        <v>#REF!</v>
      </c>
      <c r="IC124" t="e">
        <f>AND(#REF!,"AAAAACW/9uw=")</f>
        <v>#REF!</v>
      </c>
      <c r="ID124" t="e">
        <f>AND(#REF!,"AAAAACW/9u0=")</f>
        <v>#REF!</v>
      </c>
      <c r="IE124" t="e">
        <f>AND(#REF!,"AAAAACW/9u4=")</f>
        <v>#REF!</v>
      </c>
      <c r="IF124" t="e">
        <f>AND(#REF!,"AAAAACW/9u8=")</f>
        <v>#REF!</v>
      </c>
      <c r="IG124" t="e">
        <f>AND(#REF!,"AAAAACW/9vA=")</f>
        <v>#REF!</v>
      </c>
      <c r="IH124" t="e">
        <f>AND(#REF!,"AAAAACW/9vE=")</f>
        <v>#REF!</v>
      </c>
      <c r="II124" t="e">
        <f>AND(#REF!,"AAAAACW/9vI=")</f>
        <v>#REF!</v>
      </c>
      <c r="IJ124" t="e">
        <f>AND(#REF!,"AAAAACW/9vM=")</f>
        <v>#REF!</v>
      </c>
      <c r="IK124" t="e">
        <f>AND(#REF!,"AAAAACW/9vQ=")</f>
        <v>#REF!</v>
      </c>
      <c r="IL124" t="e">
        <f>AND(#REF!,"AAAAACW/9vU=")</f>
        <v>#REF!</v>
      </c>
      <c r="IM124" t="e">
        <f>AND(#REF!,"AAAAACW/9vY=")</f>
        <v>#REF!</v>
      </c>
      <c r="IN124" t="e">
        <f>IF(#REF!,"AAAAACW/9vc=",0)</f>
        <v>#REF!</v>
      </c>
      <c r="IO124" t="e">
        <f>AND(#REF!,"AAAAACW/9vg=")</f>
        <v>#REF!</v>
      </c>
      <c r="IP124" t="e">
        <f>AND(#REF!,"AAAAACW/9vk=")</f>
        <v>#REF!</v>
      </c>
      <c r="IQ124" t="e">
        <f>AND(#REF!,"AAAAACW/9vo=")</f>
        <v>#REF!</v>
      </c>
      <c r="IR124" t="e">
        <f>AND(#REF!,"AAAAACW/9vs=")</f>
        <v>#REF!</v>
      </c>
      <c r="IS124" t="e">
        <f>AND(#REF!,"AAAAACW/9vw=")</f>
        <v>#REF!</v>
      </c>
      <c r="IT124" t="e">
        <f>AND(#REF!,"AAAAACW/9v0=")</f>
        <v>#REF!</v>
      </c>
      <c r="IU124" t="e">
        <f>AND(#REF!,"AAAAACW/9v4=")</f>
        <v>#REF!</v>
      </c>
      <c r="IV124" t="e">
        <f>AND(#REF!,"AAAAACW/9v8=")</f>
        <v>#REF!</v>
      </c>
    </row>
    <row r="125" spans="1:256">
      <c r="A125" t="e">
        <f>AND(#REF!,"AAAAABv93wA=")</f>
        <v>#REF!</v>
      </c>
      <c r="B125" t="e">
        <f>AND(#REF!,"AAAAABv93wE=")</f>
        <v>#REF!</v>
      </c>
      <c r="C125" t="e">
        <f>AND(#REF!,"AAAAABv93wI=")</f>
        <v>#REF!</v>
      </c>
      <c r="D125" t="e">
        <f>AND(#REF!,"AAAAABv93wM=")</f>
        <v>#REF!</v>
      </c>
      <c r="E125" t="e">
        <f>AND(#REF!,"AAAAABv93wQ=")</f>
        <v>#REF!</v>
      </c>
      <c r="F125" t="e">
        <f>AND(#REF!,"AAAAABv93wU=")</f>
        <v>#REF!</v>
      </c>
      <c r="G125" t="e">
        <f>AND(#REF!,"AAAAABv93wY=")</f>
        <v>#REF!</v>
      </c>
      <c r="H125" t="e">
        <f>AND(#REF!,"AAAAABv93wc=")</f>
        <v>#REF!</v>
      </c>
      <c r="I125" t="e">
        <f>AND(#REF!,"AAAAABv93wg=")</f>
        <v>#REF!</v>
      </c>
      <c r="J125" t="e">
        <f>AND(#REF!,"AAAAABv93wk=")</f>
        <v>#REF!</v>
      </c>
      <c r="K125" t="e">
        <f>AND(#REF!,"AAAAABv93wo=")</f>
        <v>#REF!</v>
      </c>
      <c r="L125" t="e">
        <f>AND(#REF!,"AAAAABv93ws=")</f>
        <v>#REF!</v>
      </c>
      <c r="M125" t="e">
        <f>AND(#REF!,"AAAAABv93ww=")</f>
        <v>#REF!</v>
      </c>
      <c r="N125" t="e">
        <f>AND(#REF!,"AAAAABv93w0=")</f>
        <v>#REF!</v>
      </c>
      <c r="O125" t="e">
        <f>AND(#REF!,"AAAAABv93w4=")</f>
        <v>#REF!</v>
      </c>
      <c r="P125" t="e">
        <f>AND(#REF!,"AAAAABv93w8=")</f>
        <v>#REF!</v>
      </c>
      <c r="Q125" t="e">
        <f>IF(#REF!,"AAAAABv93xA=",0)</f>
        <v>#REF!</v>
      </c>
      <c r="R125" t="e">
        <f>AND(#REF!,"AAAAABv93xE=")</f>
        <v>#REF!</v>
      </c>
      <c r="S125" t="e">
        <f>AND(#REF!,"AAAAABv93xI=")</f>
        <v>#REF!</v>
      </c>
      <c r="T125" t="e">
        <f>AND(#REF!,"AAAAABv93xM=")</f>
        <v>#REF!</v>
      </c>
      <c r="U125" t="e">
        <f>AND(#REF!,"AAAAABv93xQ=")</f>
        <v>#REF!</v>
      </c>
      <c r="V125" t="e">
        <f>AND(#REF!,"AAAAABv93xU=")</f>
        <v>#REF!</v>
      </c>
      <c r="W125" t="e">
        <f>AND(#REF!,"AAAAABv93xY=")</f>
        <v>#REF!</v>
      </c>
      <c r="X125" t="e">
        <f>AND(#REF!,"AAAAABv93xc=")</f>
        <v>#REF!</v>
      </c>
      <c r="Y125" t="e">
        <f>AND(#REF!,"AAAAABv93xg=")</f>
        <v>#REF!</v>
      </c>
      <c r="Z125" t="e">
        <f>AND(#REF!,"AAAAABv93xk=")</f>
        <v>#REF!</v>
      </c>
      <c r="AA125" t="e">
        <f>AND(#REF!,"AAAAABv93xo=")</f>
        <v>#REF!</v>
      </c>
      <c r="AB125" t="e">
        <f>AND(#REF!,"AAAAABv93xs=")</f>
        <v>#REF!</v>
      </c>
      <c r="AC125" t="e">
        <f>AND(#REF!,"AAAAABv93xw=")</f>
        <v>#REF!</v>
      </c>
      <c r="AD125" t="e">
        <f>AND(#REF!,"AAAAABv93x0=")</f>
        <v>#REF!</v>
      </c>
      <c r="AE125" t="e">
        <f>AND(#REF!,"AAAAABv93x4=")</f>
        <v>#REF!</v>
      </c>
      <c r="AF125" t="e">
        <f>AND(#REF!,"AAAAABv93x8=")</f>
        <v>#REF!</v>
      </c>
      <c r="AG125" t="e">
        <f>AND(#REF!,"AAAAABv93yA=")</f>
        <v>#REF!</v>
      </c>
      <c r="AH125" t="e">
        <f>AND(#REF!,"AAAAABv93yE=")</f>
        <v>#REF!</v>
      </c>
      <c r="AI125" t="e">
        <f>AND(#REF!,"AAAAABv93yI=")</f>
        <v>#REF!</v>
      </c>
      <c r="AJ125" t="e">
        <f>AND(#REF!,"AAAAABv93yM=")</f>
        <v>#REF!</v>
      </c>
      <c r="AK125" t="e">
        <f>AND(#REF!,"AAAAABv93yQ=")</f>
        <v>#REF!</v>
      </c>
      <c r="AL125" t="e">
        <f>AND(#REF!,"AAAAABv93yU=")</f>
        <v>#REF!</v>
      </c>
      <c r="AM125" t="e">
        <f>AND(#REF!,"AAAAABv93yY=")</f>
        <v>#REF!</v>
      </c>
      <c r="AN125" t="e">
        <f>AND(#REF!,"AAAAABv93yc=")</f>
        <v>#REF!</v>
      </c>
      <c r="AO125" t="e">
        <f>AND(#REF!,"AAAAABv93yg=")</f>
        <v>#REF!</v>
      </c>
      <c r="AP125" t="e">
        <f>IF(#REF!,"AAAAABv93yk=",0)</f>
        <v>#REF!</v>
      </c>
      <c r="AQ125" t="e">
        <f>AND(#REF!,"AAAAABv93yo=")</f>
        <v>#REF!</v>
      </c>
      <c r="AR125" t="e">
        <f>AND(#REF!,"AAAAABv93ys=")</f>
        <v>#REF!</v>
      </c>
      <c r="AS125" t="e">
        <f>AND(#REF!,"AAAAABv93yw=")</f>
        <v>#REF!</v>
      </c>
      <c r="AT125" t="e">
        <f>AND(#REF!,"AAAAABv93y0=")</f>
        <v>#REF!</v>
      </c>
      <c r="AU125" t="e">
        <f>AND(#REF!,"AAAAABv93y4=")</f>
        <v>#REF!</v>
      </c>
      <c r="AV125" t="e">
        <f>AND(#REF!,"AAAAABv93y8=")</f>
        <v>#REF!</v>
      </c>
      <c r="AW125" t="e">
        <f>AND(#REF!,"AAAAABv93zA=")</f>
        <v>#REF!</v>
      </c>
      <c r="AX125" t="e">
        <f>AND(#REF!,"AAAAABv93zE=")</f>
        <v>#REF!</v>
      </c>
      <c r="AY125" t="e">
        <f>AND(#REF!,"AAAAABv93zI=")</f>
        <v>#REF!</v>
      </c>
      <c r="AZ125" t="e">
        <f>AND(#REF!,"AAAAABv93zM=")</f>
        <v>#REF!</v>
      </c>
      <c r="BA125" t="e">
        <f>AND(#REF!,"AAAAABv93zQ=")</f>
        <v>#REF!</v>
      </c>
      <c r="BB125" t="e">
        <f>AND(#REF!,"AAAAABv93zU=")</f>
        <v>#REF!</v>
      </c>
      <c r="BC125" t="e">
        <f>AND(#REF!,"AAAAABv93zY=")</f>
        <v>#REF!</v>
      </c>
      <c r="BD125" t="e">
        <f>AND(#REF!,"AAAAABv93zc=")</f>
        <v>#REF!</v>
      </c>
      <c r="BE125" t="e">
        <f>AND(#REF!,"AAAAABv93zg=")</f>
        <v>#REF!</v>
      </c>
      <c r="BF125" t="e">
        <f>AND(#REF!,"AAAAABv93zk=")</f>
        <v>#REF!</v>
      </c>
      <c r="BG125" t="e">
        <f>AND(#REF!,"AAAAABv93zo=")</f>
        <v>#REF!</v>
      </c>
      <c r="BH125" t="e">
        <f>AND(#REF!,"AAAAABv93zs=")</f>
        <v>#REF!</v>
      </c>
      <c r="BI125" t="e">
        <f>AND(#REF!,"AAAAABv93zw=")</f>
        <v>#REF!</v>
      </c>
      <c r="BJ125" t="e">
        <f>AND(#REF!,"AAAAABv93z0=")</f>
        <v>#REF!</v>
      </c>
      <c r="BK125" t="e">
        <f>AND(#REF!,"AAAAABv93z4=")</f>
        <v>#REF!</v>
      </c>
      <c r="BL125" t="e">
        <f>AND(#REF!,"AAAAABv93z8=")</f>
        <v>#REF!</v>
      </c>
      <c r="BM125" t="e">
        <f>AND(#REF!,"AAAAABv930A=")</f>
        <v>#REF!</v>
      </c>
      <c r="BN125" t="e">
        <f>AND(#REF!,"AAAAABv930E=")</f>
        <v>#REF!</v>
      </c>
      <c r="BO125" t="e">
        <f>IF(#REF!,"AAAAABv930I=",0)</f>
        <v>#REF!</v>
      </c>
      <c r="BP125" t="e">
        <f>AND(#REF!,"AAAAABv930M=")</f>
        <v>#REF!</v>
      </c>
      <c r="BQ125" t="e">
        <f>AND(#REF!,"AAAAABv930Q=")</f>
        <v>#REF!</v>
      </c>
      <c r="BR125" t="e">
        <f>AND(#REF!,"AAAAABv930U=")</f>
        <v>#REF!</v>
      </c>
      <c r="BS125" t="e">
        <f>AND(#REF!,"AAAAABv930Y=")</f>
        <v>#REF!</v>
      </c>
      <c r="BT125" t="e">
        <f>AND(#REF!,"AAAAABv930c=")</f>
        <v>#REF!</v>
      </c>
      <c r="BU125" t="e">
        <f>AND(#REF!,"AAAAABv930g=")</f>
        <v>#REF!</v>
      </c>
      <c r="BV125" t="e">
        <f>AND(#REF!,"AAAAABv930k=")</f>
        <v>#REF!</v>
      </c>
      <c r="BW125" t="e">
        <f>AND(#REF!,"AAAAABv930o=")</f>
        <v>#REF!</v>
      </c>
      <c r="BX125" t="e">
        <f>AND(#REF!,"AAAAABv930s=")</f>
        <v>#REF!</v>
      </c>
      <c r="BY125" t="e">
        <f>AND(#REF!,"AAAAABv930w=")</f>
        <v>#REF!</v>
      </c>
      <c r="BZ125" t="e">
        <f>AND(#REF!,"AAAAABv9300=")</f>
        <v>#REF!</v>
      </c>
      <c r="CA125" t="e">
        <f>AND(#REF!,"AAAAABv9304=")</f>
        <v>#REF!</v>
      </c>
      <c r="CB125" t="e">
        <f>AND(#REF!,"AAAAABv9308=")</f>
        <v>#REF!</v>
      </c>
      <c r="CC125" t="e">
        <f>AND(#REF!,"AAAAABv931A=")</f>
        <v>#REF!</v>
      </c>
      <c r="CD125" t="e">
        <f>AND(#REF!,"AAAAABv931E=")</f>
        <v>#REF!</v>
      </c>
      <c r="CE125" t="e">
        <f>AND(#REF!,"AAAAABv931I=")</f>
        <v>#REF!</v>
      </c>
      <c r="CF125" t="e">
        <f>AND(#REF!,"AAAAABv931M=")</f>
        <v>#REF!</v>
      </c>
      <c r="CG125" t="e">
        <f>AND(#REF!,"AAAAABv931Q=")</f>
        <v>#REF!</v>
      </c>
      <c r="CH125" t="e">
        <f>AND(#REF!,"AAAAABv931U=")</f>
        <v>#REF!</v>
      </c>
      <c r="CI125" t="e">
        <f>AND(#REF!,"AAAAABv931Y=")</f>
        <v>#REF!</v>
      </c>
      <c r="CJ125" t="e">
        <f>AND(#REF!,"AAAAABv931c=")</f>
        <v>#REF!</v>
      </c>
      <c r="CK125" t="e">
        <f>AND(#REF!,"AAAAABv931g=")</f>
        <v>#REF!</v>
      </c>
      <c r="CL125" t="e">
        <f>AND(#REF!,"AAAAABv931k=")</f>
        <v>#REF!</v>
      </c>
      <c r="CM125" t="e">
        <f>AND(#REF!,"AAAAABv931o=")</f>
        <v>#REF!</v>
      </c>
      <c r="CN125" t="e">
        <f>IF(#REF!,"AAAAABv931s=",0)</f>
        <v>#REF!</v>
      </c>
      <c r="CO125" t="e">
        <f>AND(#REF!,"AAAAABv931w=")</f>
        <v>#REF!</v>
      </c>
      <c r="CP125" t="e">
        <f>AND(#REF!,"AAAAABv9310=")</f>
        <v>#REF!</v>
      </c>
      <c r="CQ125" t="e">
        <f>AND(#REF!,"AAAAABv9314=")</f>
        <v>#REF!</v>
      </c>
      <c r="CR125" t="e">
        <f>AND(#REF!,"AAAAABv9318=")</f>
        <v>#REF!</v>
      </c>
      <c r="CS125" t="e">
        <f>AND(#REF!,"AAAAABv932A=")</f>
        <v>#REF!</v>
      </c>
      <c r="CT125" t="e">
        <f>AND(#REF!,"AAAAABv932E=")</f>
        <v>#REF!</v>
      </c>
      <c r="CU125" t="e">
        <f>AND(#REF!,"AAAAABv932I=")</f>
        <v>#REF!</v>
      </c>
      <c r="CV125" t="e">
        <f>AND(#REF!,"AAAAABv932M=")</f>
        <v>#REF!</v>
      </c>
      <c r="CW125" t="e">
        <f>AND(#REF!,"AAAAABv932Q=")</f>
        <v>#REF!</v>
      </c>
      <c r="CX125" t="e">
        <f>AND(#REF!,"AAAAABv932U=")</f>
        <v>#REF!</v>
      </c>
      <c r="CY125" t="e">
        <f>AND(#REF!,"AAAAABv932Y=")</f>
        <v>#REF!</v>
      </c>
      <c r="CZ125" t="e">
        <f>AND(#REF!,"AAAAABv932c=")</f>
        <v>#REF!</v>
      </c>
      <c r="DA125" t="e">
        <f>AND(#REF!,"AAAAABv932g=")</f>
        <v>#REF!</v>
      </c>
      <c r="DB125" t="e">
        <f>AND(#REF!,"AAAAABv932k=")</f>
        <v>#REF!</v>
      </c>
      <c r="DC125" t="e">
        <f>AND(#REF!,"AAAAABv932o=")</f>
        <v>#REF!</v>
      </c>
      <c r="DD125" t="e">
        <f>AND(#REF!,"AAAAABv932s=")</f>
        <v>#REF!</v>
      </c>
      <c r="DE125" t="e">
        <f>AND(#REF!,"AAAAABv932w=")</f>
        <v>#REF!</v>
      </c>
      <c r="DF125" t="e">
        <f>AND(#REF!,"AAAAABv9320=")</f>
        <v>#REF!</v>
      </c>
      <c r="DG125" t="e">
        <f>AND(#REF!,"AAAAABv9324=")</f>
        <v>#REF!</v>
      </c>
      <c r="DH125" t="e">
        <f>AND(#REF!,"AAAAABv9328=")</f>
        <v>#REF!</v>
      </c>
      <c r="DI125" t="e">
        <f>AND(#REF!,"AAAAABv933A=")</f>
        <v>#REF!</v>
      </c>
      <c r="DJ125" t="e">
        <f>AND(#REF!,"AAAAABv933E=")</f>
        <v>#REF!</v>
      </c>
      <c r="DK125" t="e">
        <f>AND(#REF!,"AAAAABv933I=")</f>
        <v>#REF!</v>
      </c>
      <c r="DL125" t="e">
        <f>AND(#REF!,"AAAAABv933M=")</f>
        <v>#REF!</v>
      </c>
      <c r="DM125" t="e">
        <f>IF(#REF!,"AAAAABv933Q=",0)</f>
        <v>#REF!</v>
      </c>
      <c r="DN125" t="e">
        <f>AND(#REF!,"AAAAABv933U=")</f>
        <v>#REF!</v>
      </c>
      <c r="DO125" t="e">
        <f>AND(#REF!,"AAAAABv933Y=")</f>
        <v>#REF!</v>
      </c>
      <c r="DP125" t="e">
        <f>AND(#REF!,"AAAAABv933c=")</f>
        <v>#REF!</v>
      </c>
      <c r="DQ125" t="e">
        <f>AND(#REF!,"AAAAABv933g=")</f>
        <v>#REF!</v>
      </c>
      <c r="DR125" t="e">
        <f>AND(#REF!,"AAAAABv933k=")</f>
        <v>#REF!</v>
      </c>
      <c r="DS125" t="e">
        <f>AND(#REF!,"AAAAABv933o=")</f>
        <v>#REF!</v>
      </c>
      <c r="DT125" t="e">
        <f>AND(#REF!,"AAAAABv933s=")</f>
        <v>#REF!</v>
      </c>
      <c r="DU125" t="e">
        <f>AND(#REF!,"AAAAABv933w=")</f>
        <v>#REF!</v>
      </c>
      <c r="DV125" t="e">
        <f>AND(#REF!,"AAAAABv9330=")</f>
        <v>#REF!</v>
      </c>
      <c r="DW125" t="e">
        <f>AND(#REF!,"AAAAABv9334=")</f>
        <v>#REF!</v>
      </c>
      <c r="DX125" t="e">
        <f>AND(#REF!,"AAAAABv9338=")</f>
        <v>#REF!</v>
      </c>
      <c r="DY125" t="e">
        <f>AND(#REF!,"AAAAABv934A=")</f>
        <v>#REF!</v>
      </c>
      <c r="DZ125" t="e">
        <f>AND(#REF!,"AAAAABv934E=")</f>
        <v>#REF!</v>
      </c>
      <c r="EA125" t="e">
        <f>AND(#REF!,"AAAAABv934I=")</f>
        <v>#REF!</v>
      </c>
      <c r="EB125" t="e">
        <f>AND(#REF!,"AAAAABv934M=")</f>
        <v>#REF!</v>
      </c>
      <c r="EC125" t="e">
        <f>AND(#REF!,"AAAAABv934Q=")</f>
        <v>#REF!</v>
      </c>
      <c r="ED125" t="e">
        <f>AND(#REF!,"AAAAABv934U=")</f>
        <v>#REF!</v>
      </c>
      <c r="EE125" t="e">
        <f>AND(#REF!,"AAAAABv934Y=")</f>
        <v>#REF!</v>
      </c>
      <c r="EF125" t="e">
        <f>AND(#REF!,"AAAAABv934c=")</f>
        <v>#REF!</v>
      </c>
      <c r="EG125" t="e">
        <f>AND(#REF!,"AAAAABv934g=")</f>
        <v>#REF!</v>
      </c>
      <c r="EH125" t="e">
        <f>AND(#REF!,"AAAAABv934k=")</f>
        <v>#REF!</v>
      </c>
      <c r="EI125" t="e">
        <f>AND(#REF!,"AAAAABv934o=")</f>
        <v>#REF!</v>
      </c>
      <c r="EJ125" t="e">
        <f>AND(#REF!,"AAAAABv934s=")</f>
        <v>#REF!</v>
      </c>
      <c r="EK125" t="e">
        <f>AND(#REF!,"AAAAABv934w=")</f>
        <v>#REF!</v>
      </c>
      <c r="EL125" t="e">
        <f>IF(#REF!,"AAAAABv9340=",0)</f>
        <v>#REF!</v>
      </c>
      <c r="EM125" t="e">
        <f>AND(#REF!,"AAAAABv9344=")</f>
        <v>#REF!</v>
      </c>
      <c r="EN125" t="e">
        <f>AND(#REF!,"AAAAABv9348=")</f>
        <v>#REF!</v>
      </c>
      <c r="EO125" t="e">
        <f>AND(#REF!,"AAAAABv935A=")</f>
        <v>#REF!</v>
      </c>
      <c r="EP125" t="e">
        <f>AND(#REF!,"AAAAABv935E=")</f>
        <v>#REF!</v>
      </c>
      <c r="EQ125" t="e">
        <f>AND(#REF!,"AAAAABv935I=")</f>
        <v>#REF!</v>
      </c>
      <c r="ER125" t="e">
        <f>AND(#REF!,"AAAAABv935M=")</f>
        <v>#REF!</v>
      </c>
      <c r="ES125" t="e">
        <f>AND(#REF!,"AAAAABv935Q=")</f>
        <v>#REF!</v>
      </c>
      <c r="ET125" t="e">
        <f>AND(#REF!,"AAAAABv935U=")</f>
        <v>#REF!</v>
      </c>
      <c r="EU125" t="e">
        <f>AND(#REF!,"AAAAABv935Y=")</f>
        <v>#REF!</v>
      </c>
      <c r="EV125" t="e">
        <f>AND(#REF!,"AAAAABv935c=")</f>
        <v>#REF!</v>
      </c>
      <c r="EW125" t="e">
        <f>AND(#REF!,"AAAAABv935g=")</f>
        <v>#REF!</v>
      </c>
      <c r="EX125" t="e">
        <f>AND(#REF!,"AAAAABv935k=")</f>
        <v>#REF!</v>
      </c>
      <c r="EY125" t="e">
        <f>AND(#REF!,"AAAAABv935o=")</f>
        <v>#REF!</v>
      </c>
      <c r="EZ125" t="e">
        <f>AND(#REF!,"AAAAABv935s=")</f>
        <v>#REF!</v>
      </c>
      <c r="FA125" t="e">
        <f>AND(#REF!,"AAAAABv935w=")</f>
        <v>#REF!</v>
      </c>
      <c r="FB125" t="e">
        <f>AND(#REF!,"AAAAABv9350=")</f>
        <v>#REF!</v>
      </c>
      <c r="FC125" t="e">
        <f>AND(#REF!,"AAAAABv9354=")</f>
        <v>#REF!</v>
      </c>
      <c r="FD125" t="e">
        <f>AND(#REF!,"AAAAABv9358=")</f>
        <v>#REF!</v>
      </c>
      <c r="FE125" t="e">
        <f>AND(#REF!,"AAAAABv936A=")</f>
        <v>#REF!</v>
      </c>
      <c r="FF125" t="e">
        <f>AND(#REF!,"AAAAABv936E=")</f>
        <v>#REF!</v>
      </c>
      <c r="FG125" t="e">
        <f>AND(#REF!,"AAAAABv936I=")</f>
        <v>#REF!</v>
      </c>
      <c r="FH125" t="e">
        <f>AND(#REF!,"AAAAABv936M=")</f>
        <v>#REF!</v>
      </c>
      <c r="FI125" t="e">
        <f>AND(#REF!,"AAAAABv936Q=")</f>
        <v>#REF!</v>
      </c>
      <c r="FJ125" t="e">
        <f>AND(#REF!,"AAAAABv936U=")</f>
        <v>#REF!</v>
      </c>
      <c r="FK125" t="e">
        <f>IF(#REF!,"AAAAABv936Y=",0)</f>
        <v>#REF!</v>
      </c>
      <c r="FL125" t="e">
        <f>AND(#REF!,"AAAAABv936c=")</f>
        <v>#REF!</v>
      </c>
      <c r="FM125" t="e">
        <f>AND(#REF!,"AAAAABv936g=")</f>
        <v>#REF!</v>
      </c>
      <c r="FN125" t="e">
        <f>AND(#REF!,"AAAAABv936k=")</f>
        <v>#REF!</v>
      </c>
      <c r="FO125" t="e">
        <f>AND(#REF!,"AAAAABv936o=")</f>
        <v>#REF!</v>
      </c>
      <c r="FP125" t="e">
        <f>AND(#REF!,"AAAAABv936s=")</f>
        <v>#REF!</v>
      </c>
      <c r="FQ125" t="e">
        <f>AND(#REF!,"AAAAABv936w=")</f>
        <v>#REF!</v>
      </c>
      <c r="FR125" t="e">
        <f>AND(#REF!,"AAAAABv9360=")</f>
        <v>#REF!</v>
      </c>
      <c r="FS125" t="e">
        <f>AND(#REF!,"AAAAABv9364=")</f>
        <v>#REF!</v>
      </c>
      <c r="FT125" t="e">
        <f>AND(#REF!,"AAAAABv9368=")</f>
        <v>#REF!</v>
      </c>
      <c r="FU125" t="e">
        <f>AND(#REF!,"AAAAABv937A=")</f>
        <v>#REF!</v>
      </c>
      <c r="FV125" t="e">
        <f>AND(#REF!,"AAAAABv937E=")</f>
        <v>#REF!</v>
      </c>
      <c r="FW125" t="e">
        <f>AND(#REF!,"AAAAABv937I=")</f>
        <v>#REF!</v>
      </c>
      <c r="FX125" t="e">
        <f>AND(#REF!,"AAAAABv937M=")</f>
        <v>#REF!</v>
      </c>
      <c r="FY125" t="e">
        <f>AND(#REF!,"AAAAABv937Q=")</f>
        <v>#REF!</v>
      </c>
      <c r="FZ125" t="e">
        <f>AND(#REF!,"AAAAABv937U=")</f>
        <v>#REF!</v>
      </c>
      <c r="GA125" t="e">
        <f>AND(#REF!,"AAAAABv937Y=")</f>
        <v>#REF!</v>
      </c>
      <c r="GB125" t="e">
        <f>AND(#REF!,"AAAAABv937c=")</f>
        <v>#REF!</v>
      </c>
      <c r="GC125" t="e">
        <f>AND(#REF!,"AAAAABv937g=")</f>
        <v>#REF!</v>
      </c>
      <c r="GD125" t="e">
        <f>AND(#REF!,"AAAAABv937k=")</f>
        <v>#REF!</v>
      </c>
      <c r="GE125" t="e">
        <f>AND(#REF!,"AAAAABv937o=")</f>
        <v>#REF!</v>
      </c>
      <c r="GF125" t="e">
        <f>AND(#REF!,"AAAAABv937s=")</f>
        <v>#REF!</v>
      </c>
      <c r="GG125" t="e">
        <f>AND(#REF!,"AAAAABv937w=")</f>
        <v>#REF!</v>
      </c>
      <c r="GH125" t="e">
        <f>AND(#REF!,"AAAAABv9370=")</f>
        <v>#REF!</v>
      </c>
      <c r="GI125" t="e">
        <f>AND(#REF!,"AAAAABv9374=")</f>
        <v>#REF!</v>
      </c>
      <c r="GJ125" t="e">
        <f>IF(#REF!,"AAAAABv9378=",0)</f>
        <v>#REF!</v>
      </c>
      <c r="GK125" t="e">
        <f>AND(#REF!,"AAAAABv938A=")</f>
        <v>#REF!</v>
      </c>
      <c r="GL125" t="e">
        <f>AND(#REF!,"AAAAABv938E=")</f>
        <v>#REF!</v>
      </c>
      <c r="GM125" t="e">
        <f>AND(#REF!,"AAAAABv938I=")</f>
        <v>#REF!</v>
      </c>
      <c r="GN125" t="e">
        <f>AND(#REF!,"AAAAABv938M=")</f>
        <v>#REF!</v>
      </c>
      <c r="GO125" t="e">
        <f>AND(#REF!,"AAAAABv938Q=")</f>
        <v>#REF!</v>
      </c>
      <c r="GP125" t="e">
        <f>AND(#REF!,"AAAAABv938U=")</f>
        <v>#REF!</v>
      </c>
      <c r="GQ125" t="e">
        <f>AND(#REF!,"AAAAABv938Y=")</f>
        <v>#REF!</v>
      </c>
      <c r="GR125" t="e">
        <f>AND(#REF!,"AAAAABv938c=")</f>
        <v>#REF!</v>
      </c>
      <c r="GS125" t="e">
        <f>AND(#REF!,"AAAAABv938g=")</f>
        <v>#REF!</v>
      </c>
      <c r="GT125" t="e">
        <f>AND(#REF!,"AAAAABv938k=")</f>
        <v>#REF!</v>
      </c>
      <c r="GU125" t="e">
        <f>AND(#REF!,"AAAAABv938o=")</f>
        <v>#REF!</v>
      </c>
      <c r="GV125" t="e">
        <f>AND(#REF!,"AAAAABv938s=")</f>
        <v>#REF!</v>
      </c>
      <c r="GW125" t="e">
        <f>AND(#REF!,"AAAAABv938w=")</f>
        <v>#REF!</v>
      </c>
      <c r="GX125" t="e">
        <f>AND(#REF!,"AAAAABv9380=")</f>
        <v>#REF!</v>
      </c>
      <c r="GY125" t="e">
        <f>AND(#REF!,"AAAAABv9384=")</f>
        <v>#REF!</v>
      </c>
      <c r="GZ125" t="e">
        <f>AND(#REF!,"AAAAABv9388=")</f>
        <v>#REF!</v>
      </c>
      <c r="HA125" t="e">
        <f>AND(#REF!,"AAAAABv939A=")</f>
        <v>#REF!</v>
      </c>
      <c r="HB125" t="e">
        <f>AND(#REF!,"AAAAABv939E=")</f>
        <v>#REF!</v>
      </c>
      <c r="HC125" t="e">
        <f>AND(#REF!,"AAAAABv939I=")</f>
        <v>#REF!</v>
      </c>
      <c r="HD125" t="e">
        <f>AND(#REF!,"AAAAABv939M=")</f>
        <v>#REF!</v>
      </c>
      <c r="HE125" t="e">
        <f>AND(#REF!,"AAAAABv939Q=")</f>
        <v>#REF!</v>
      </c>
      <c r="HF125" t="e">
        <f>AND(#REF!,"AAAAABv939U=")</f>
        <v>#REF!</v>
      </c>
      <c r="HG125" t="e">
        <f>AND(#REF!,"AAAAABv939Y=")</f>
        <v>#REF!</v>
      </c>
      <c r="HH125" t="e">
        <f>AND(#REF!,"AAAAABv939c=")</f>
        <v>#REF!</v>
      </c>
      <c r="HI125" t="e">
        <f>IF(#REF!,"AAAAABv939g=",0)</f>
        <v>#REF!</v>
      </c>
      <c r="HJ125" t="e">
        <f>AND(#REF!,"AAAAABv939k=")</f>
        <v>#REF!</v>
      </c>
      <c r="HK125" t="e">
        <f>AND(#REF!,"AAAAABv939o=")</f>
        <v>#REF!</v>
      </c>
      <c r="HL125" t="e">
        <f>AND(#REF!,"AAAAABv939s=")</f>
        <v>#REF!</v>
      </c>
      <c r="HM125" t="e">
        <f>AND(#REF!,"AAAAABv939w=")</f>
        <v>#REF!</v>
      </c>
      <c r="HN125" t="e">
        <f>AND(#REF!,"AAAAABv9390=")</f>
        <v>#REF!</v>
      </c>
      <c r="HO125" t="e">
        <f>AND(#REF!,"AAAAABv9394=")</f>
        <v>#REF!</v>
      </c>
      <c r="HP125" t="e">
        <f>AND(#REF!,"AAAAABv9398=")</f>
        <v>#REF!</v>
      </c>
      <c r="HQ125" t="e">
        <f>AND(#REF!,"AAAAABv93+A=")</f>
        <v>#REF!</v>
      </c>
      <c r="HR125" t="e">
        <f>AND(#REF!,"AAAAABv93+E=")</f>
        <v>#REF!</v>
      </c>
      <c r="HS125" t="e">
        <f>AND(#REF!,"AAAAABv93+I=")</f>
        <v>#REF!</v>
      </c>
      <c r="HT125" t="e">
        <f>AND(#REF!,"AAAAABv93+M=")</f>
        <v>#REF!</v>
      </c>
      <c r="HU125" t="e">
        <f>AND(#REF!,"AAAAABv93+Q=")</f>
        <v>#REF!</v>
      </c>
      <c r="HV125" t="e">
        <f>AND(#REF!,"AAAAABv93+U=")</f>
        <v>#REF!</v>
      </c>
      <c r="HW125" t="e">
        <f>AND(#REF!,"AAAAABv93+Y=")</f>
        <v>#REF!</v>
      </c>
      <c r="HX125" t="e">
        <f>AND(#REF!,"AAAAABv93+c=")</f>
        <v>#REF!</v>
      </c>
      <c r="HY125" t="e">
        <f>AND(#REF!,"AAAAABv93+g=")</f>
        <v>#REF!</v>
      </c>
      <c r="HZ125" t="e">
        <f>AND(#REF!,"AAAAABv93+k=")</f>
        <v>#REF!</v>
      </c>
      <c r="IA125" t="e">
        <f>AND(#REF!,"AAAAABv93+o=")</f>
        <v>#REF!</v>
      </c>
      <c r="IB125" t="e">
        <f>AND(#REF!,"AAAAABv93+s=")</f>
        <v>#REF!</v>
      </c>
      <c r="IC125" t="e">
        <f>AND(#REF!,"AAAAABv93+w=")</f>
        <v>#REF!</v>
      </c>
      <c r="ID125" t="e">
        <f>AND(#REF!,"AAAAABv93+0=")</f>
        <v>#REF!</v>
      </c>
      <c r="IE125" t="e">
        <f>AND(#REF!,"AAAAABv93+4=")</f>
        <v>#REF!</v>
      </c>
      <c r="IF125" t="e">
        <f>AND(#REF!,"AAAAABv93+8=")</f>
        <v>#REF!</v>
      </c>
      <c r="IG125" t="e">
        <f>AND(#REF!,"AAAAABv93/A=")</f>
        <v>#REF!</v>
      </c>
      <c r="IH125" t="e">
        <f>IF(#REF!,"AAAAABv93/E=",0)</f>
        <v>#REF!</v>
      </c>
      <c r="II125" t="e">
        <f>AND(#REF!,"AAAAABv93/I=")</f>
        <v>#REF!</v>
      </c>
      <c r="IJ125" t="e">
        <f>AND(#REF!,"AAAAABv93/M=")</f>
        <v>#REF!</v>
      </c>
      <c r="IK125" t="e">
        <f>AND(#REF!,"AAAAABv93/Q=")</f>
        <v>#REF!</v>
      </c>
      <c r="IL125" t="e">
        <f>AND(#REF!,"AAAAABv93/U=")</f>
        <v>#REF!</v>
      </c>
      <c r="IM125" t="e">
        <f>AND(#REF!,"AAAAABv93/Y=")</f>
        <v>#REF!</v>
      </c>
      <c r="IN125" t="e">
        <f>AND(#REF!,"AAAAABv93/c=")</f>
        <v>#REF!</v>
      </c>
      <c r="IO125" t="e">
        <f>AND(#REF!,"AAAAABv93/g=")</f>
        <v>#REF!</v>
      </c>
      <c r="IP125" t="e">
        <f>AND(#REF!,"AAAAABv93/k=")</f>
        <v>#REF!</v>
      </c>
      <c r="IQ125" t="e">
        <f>AND(#REF!,"AAAAABv93/o=")</f>
        <v>#REF!</v>
      </c>
      <c r="IR125" t="e">
        <f>AND(#REF!,"AAAAABv93/s=")</f>
        <v>#REF!</v>
      </c>
      <c r="IS125" t="e">
        <f>AND(#REF!,"AAAAABv93/w=")</f>
        <v>#REF!</v>
      </c>
      <c r="IT125" t="e">
        <f>AND(#REF!,"AAAAABv93/0=")</f>
        <v>#REF!</v>
      </c>
      <c r="IU125" t="e">
        <f>AND(#REF!,"AAAAABv93/4=")</f>
        <v>#REF!</v>
      </c>
      <c r="IV125" t="e">
        <f>AND(#REF!,"AAAAABv93/8=")</f>
        <v>#REF!</v>
      </c>
    </row>
    <row r="126" spans="1:256">
      <c r="A126" t="e">
        <f>AND(#REF!,"AAAAAH///wA=")</f>
        <v>#REF!</v>
      </c>
      <c r="B126" t="e">
        <f>AND(#REF!,"AAAAAH///wE=")</f>
        <v>#REF!</v>
      </c>
      <c r="C126" t="e">
        <f>AND(#REF!,"AAAAAH///wI=")</f>
        <v>#REF!</v>
      </c>
      <c r="D126" t="e">
        <f>AND(#REF!,"AAAAAH///wM=")</f>
        <v>#REF!</v>
      </c>
      <c r="E126" t="e">
        <f>AND(#REF!,"AAAAAH///wQ=")</f>
        <v>#REF!</v>
      </c>
      <c r="F126" t="e">
        <f>AND(#REF!,"AAAAAH///wU=")</f>
        <v>#REF!</v>
      </c>
      <c r="G126" t="e">
        <f>AND(#REF!,"AAAAAH///wY=")</f>
        <v>#REF!</v>
      </c>
      <c r="H126" t="e">
        <f>AND(#REF!,"AAAAAH///wc=")</f>
        <v>#REF!</v>
      </c>
      <c r="I126" t="e">
        <f>AND(#REF!,"AAAAAH///wg=")</f>
        <v>#REF!</v>
      </c>
      <c r="J126" t="e">
        <f>AND(#REF!,"AAAAAH///wk=")</f>
        <v>#REF!</v>
      </c>
      <c r="K126" t="e">
        <f>IF(#REF!,"AAAAAH///wo=",0)</f>
        <v>#REF!</v>
      </c>
      <c r="L126" t="e">
        <f>AND(#REF!,"AAAAAH///ws=")</f>
        <v>#REF!</v>
      </c>
      <c r="M126" t="e">
        <f>AND(#REF!,"AAAAAH///ww=")</f>
        <v>#REF!</v>
      </c>
      <c r="N126" t="e">
        <f>AND(#REF!,"AAAAAH///w0=")</f>
        <v>#REF!</v>
      </c>
      <c r="O126" t="e">
        <f>AND(#REF!,"AAAAAH///w4=")</f>
        <v>#REF!</v>
      </c>
      <c r="P126" t="e">
        <f>AND(#REF!,"AAAAAH///w8=")</f>
        <v>#REF!</v>
      </c>
      <c r="Q126" t="e">
        <f>AND(#REF!,"AAAAAH///xA=")</f>
        <v>#REF!</v>
      </c>
      <c r="R126" t="e">
        <f>AND(#REF!,"AAAAAH///xE=")</f>
        <v>#REF!</v>
      </c>
      <c r="S126" t="e">
        <f>AND(#REF!,"AAAAAH///xI=")</f>
        <v>#REF!</v>
      </c>
      <c r="T126" t="e">
        <f>AND(#REF!,"AAAAAH///xM=")</f>
        <v>#REF!</v>
      </c>
      <c r="U126" t="e">
        <f>AND(#REF!,"AAAAAH///xQ=")</f>
        <v>#REF!</v>
      </c>
      <c r="V126" t="e">
        <f>AND(#REF!,"AAAAAH///xU=")</f>
        <v>#REF!</v>
      </c>
      <c r="W126" t="e">
        <f>AND(#REF!,"AAAAAH///xY=")</f>
        <v>#REF!</v>
      </c>
      <c r="X126" t="e">
        <f>AND(#REF!,"AAAAAH///xc=")</f>
        <v>#REF!</v>
      </c>
      <c r="Y126" t="e">
        <f>AND(#REF!,"AAAAAH///xg=")</f>
        <v>#REF!</v>
      </c>
      <c r="Z126" t="e">
        <f>AND(#REF!,"AAAAAH///xk=")</f>
        <v>#REF!</v>
      </c>
      <c r="AA126" t="e">
        <f>AND(#REF!,"AAAAAH///xo=")</f>
        <v>#REF!</v>
      </c>
      <c r="AB126" t="e">
        <f>AND(#REF!,"AAAAAH///xs=")</f>
        <v>#REF!</v>
      </c>
      <c r="AC126" t="e">
        <f>AND(#REF!,"AAAAAH///xw=")</f>
        <v>#REF!</v>
      </c>
      <c r="AD126" t="e">
        <f>AND(#REF!,"AAAAAH///x0=")</f>
        <v>#REF!</v>
      </c>
      <c r="AE126" t="e">
        <f>AND(#REF!,"AAAAAH///x4=")</f>
        <v>#REF!</v>
      </c>
      <c r="AF126" t="e">
        <f>AND(#REF!,"AAAAAH///x8=")</f>
        <v>#REF!</v>
      </c>
      <c r="AG126" t="e">
        <f>AND(#REF!,"AAAAAH///yA=")</f>
        <v>#REF!</v>
      </c>
      <c r="AH126" t="e">
        <f>AND(#REF!,"AAAAAH///yE=")</f>
        <v>#REF!</v>
      </c>
      <c r="AI126" t="e">
        <f>AND(#REF!,"AAAAAH///yI=")</f>
        <v>#REF!</v>
      </c>
      <c r="AJ126" t="e">
        <f>IF(#REF!,"AAAAAH///yM=",0)</f>
        <v>#REF!</v>
      </c>
      <c r="AK126" t="e">
        <f>AND(#REF!,"AAAAAH///yQ=")</f>
        <v>#REF!</v>
      </c>
      <c r="AL126" t="e">
        <f>AND(#REF!,"AAAAAH///yU=")</f>
        <v>#REF!</v>
      </c>
      <c r="AM126" t="e">
        <f>AND(#REF!,"AAAAAH///yY=")</f>
        <v>#REF!</v>
      </c>
      <c r="AN126" t="e">
        <f>AND(#REF!,"AAAAAH///yc=")</f>
        <v>#REF!</v>
      </c>
      <c r="AO126" t="e">
        <f>AND(#REF!,"AAAAAH///yg=")</f>
        <v>#REF!</v>
      </c>
      <c r="AP126" t="e">
        <f>AND(#REF!,"AAAAAH///yk=")</f>
        <v>#REF!</v>
      </c>
      <c r="AQ126" t="e">
        <f>AND(#REF!,"AAAAAH///yo=")</f>
        <v>#REF!</v>
      </c>
      <c r="AR126" t="e">
        <f>AND(#REF!,"AAAAAH///ys=")</f>
        <v>#REF!</v>
      </c>
      <c r="AS126" t="e">
        <f>AND(#REF!,"AAAAAH///yw=")</f>
        <v>#REF!</v>
      </c>
      <c r="AT126" t="e">
        <f>AND(#REF!,"AAAAAH///y0=")</f>
        <v>#REF!</v>
      </c>
      <c r="AU126" t="e">
        <f>AND(#REF!,"AAAAAH///y4=")</f>
        <v>#REF!</v>
      </c>
      <c r="AV126" t="e">
        <f>AND(#REF!,"AAAAAH///y8=")</f>
        <v>#REF!</v>
      </c>
      <c r="AW126" t="e">
        <f>AND(#REF!,"AAAAAH///zA=")</f>
        <v>#REF!</v>
      </c>
      <c r="AX126" t="e">
        <f>AND(#REF!,"AAAAAH///zE=")</f>
        <v>#REF!</v>
      </c>
      <c r="AY126" t="e">
        <f>AND(#REF!,"AAAAAH///zI=")</f>
        <v>#REF!</v>
      </c>
      <c r="AZ126" t="e">
        <f>AND(#REF!,"AAAAAH///zM=")</f>
        <v>#REF!</v>
      </c>
      <c r="BA126" t="e">
        <f>AND(#REF!,"AAAAAH///zQ=")</f>
        <v>#REF!</v>
      </c>
      <c r="BB126" t="e">
        <f>AND(#REF!,"AAAAAH///zU=")</f>
        <v>#REF!</v>
      </c>
      <c r="BC126" t="e">
        <f>AND(#REF!,"AAAAAH///zY=")</f>
        <v>#REF!</v>
      </c>
      <c r="BD126" t="e">
        <f>AND(#REF!,"AAAAAH///zc=")</f>
        <v>#REF!</v>
      </c>
      <c r="BE126" t="e">
        <f>AND(#REF!,"AAAAAH///zg=")</f>
        <v>#REF!</v>
      </c>
      <c r="BF126" t="e">
        <f>AND(#REF!,"AAAAAH///zk=")</f>
        <v>#REF!</v>
      </c>
      <c r="BG126" t="e">
        <f>AND(#REF!,"AAAAAH///zo=")</f>
        <v>#REF!</v>
      </c>
      <c r="BH126" t="e">
        <f>AND(#REF!,"AAAAAH///zs=")</f>
        <v>#REF!</v>
      </c>
      <c r="BI126" t="e">
        <f>IF(#REF!,"AAAAAH///zw=",0)</f>
        <v>#REF!</v>
      </c>
      <c r="BJ126" t="e">
        <f>AND(#REF!,"AAAAAH///z0=")</f>
        <v>#REF!</v>
      </c>
      <c r="BK126" t="e">
        <f>AND(#REF!,"AAAAAH///z4=")</f>
        <v>#REF!</v>
      </c>
      <c r="BL126" t="e">
        <f>AND(#REF!,"AAAAAH///z8=")</f>
        <v>#REF!</v>
      </c>
      <c r="BM126" t="e">
        <f>AND(#REF!,"AAAAAH///0A=")</f>
        <v>#REF!</v>
      </c>
      <c r="BN126" t="e">
        <f>AND(#REF!,"AAAAAH///0E=")</f>
        <v>#REF!</v>
      </c>
      <c r="BO126" t="e">
        <f>AND(#REF!,"AAAAAH///0I=")</f>
        <v>#REF!</v>
      </c>
      <c r="BP126" t="e">
        <f>AND(#REF!,"AAAAAH///0M=")</f>
        <v>#REF!</v>
      </c>
      <c r="BQ126" t="e">
        <f>AND(#REF!,"AAAAAH///0Q=")</f>
        <v>#REF!</v>
      </c>
      <c r="BR126" t="e">
        <f>AND(#REF!,"AAAAAH///0U=")</f>
        <v>#REF!</v>
      </c>
      <c r="BS126" t="e">
        <f>AND(#REF!,"AAAAAH///0Y=")</f>
        <v>#REF!</v>
      </c>
      <c r="BT126" t="e">
        <f>AND(#REF!,"AAAAAH///0c=")</f>
        <v>#REF!</v>
      </c>
      <c r="BU126" t="e">
        <f>AND(#REF!,"AAAAAH///0g=")</f>
        <v>#REF!</v>
      </c>
      <c r="BV126" t="e">
        <f>AND(#REF!,"AAAAAH///0k=")</f>
        <v>#REF!</v>
      </c>
      <c r="BW126" t="e">
        <f>AND(#REF!,"AAAAAH///0o=")</f>
        <v>#REF!</v>
      </c>
      <c r="BX126" t="e">
        <f>AND(#REF!,"AAAAAH///0s=")</f>
        <v>#REF!</v>
      </c>
      <c r="BY126" t="e">
        <f>AND(#REF!,"AAAAAH///0w=")</f>
        <v>#REF!</v>
      </c>
      <c r="BZ126" t="e">
        <f>AND(#REF!,"AAAAAH///00=")</f>
        <v>#REF!</v>
      </c>
      <c r="CA126" t="e">
        <f>AND(#REF!,"AAAAAH///04=")</f>
        <v>#REF!</v>
      </c>
      <c r="CB126" t="e">
        <f>AND(#REF!,"AAAAAH///08=")</f>
        <v>#REF!</v>
      </c>
      <c r="CC126" t="e">
        <f>AND(#REF!,"AAAAAH///1A=")</f>
        <v>#REF!</v>
      </c>
      <c r="CD126" t="e">
        <f>AND(#REF!,"AAAAAH///1E=")</f>
        <v>#REF!</v>
      </c>
      <c r="CE126" t="e">
        <f>AND(#REF!,"AAAAAH///1I=")</f>
        <v>#REF!</v>
      </c>
      <c r="CF126" t="e">
        <f>AND(#REF!,"AAAAAH///1M=")</f>
        <v>#REF!</v>
      </c>
      <c r="CG126" t="e">
        <f>AND(#REF!,"AAAAAH///1Q=")</f>
        <v>#REF!</v>
      </c>
      <c r="CH126" t="e">
        <f>IF(#REF!,"AAAAAH///1U=",0)</f>
        <v>#REF!</v>
      </c>
      <c r="CI126" t="e">
        <f>AND(#REF!,"AAAAAH///1Y=")</f>
        <v>#REF!</v>
      </c>
      <c r="CJ126" t="e">
        <f>AND(#REF!,"AAAAAH///1c=")</f>
        <v>#REF!</v>
      </c>
      <c r="CK126" t="e">
        <f>AND(#REF!,"AAAAAH///1g=")</f>
        <v>#REF!</v>
      </c>
      <c r="CL126" t="e">
        <f>AND(#REF!,"AAAAAH///1k=")</f>
        <v>#REF!</v>
      </c>
      <c r="CM126" t="e">
        <f>AND(#REF!,"AAAAAH///1o=")</f>
        <v>#REF!</v>
      </c>
      <c r="CN126" t="e">
        <f>AND(#REF!,"AAAAAH///1s=")</f>
        <v>#REF!</v>
      </c>
      <c r="CO126" t="e">
        <f>AND(#REF!,"AAAAAH///1w=")</f>
        <v>#REF!</v>
      </c>
      <c r="CP126" t="e">
        <f>AND(#REF!,"AAAAAH///10=")</f>
        <v>#REF!</v>
      </c>
      <c r="CQ126" t="e">
        <f>AND(#REF!,"AAAAAH///14=")</f>
        <v>#REF!</v>
      </c>
      <c r="CR126" t="e">
        <f>AND(#REF!,"AAAAAH///18=")</f>
        <v>#REF!</v>
      </c>
      <c r="CS126" t="e">
        <f>AND(#REF!,"AAAAAH///2A=")</f>
        <v>#REF!</v>
      </c>
      <c r="CT126" t="e">
        <f>AND(#REF!,"AAAAAH///2E=")</f>
        <v>#REF!</v>
      </c>
      <c r="CU126" t="e">
        <f>AND(#REF!,"AAAAAH///2I=")</f>
        <v>#REF!</v>
      </c>
      <c r="CV126" t="e">
        <f>AND(#REF!,"AAAAAH///2M=")</f>
        <v>#REF!</v>
      </c>
      <c r="CW126" t="e">
        <f>AND(#REF!,"AAAAAH///2Q=")</f>
        <v>#REF!</v>
      </c>
      <c r="CX126" t="e">
        <f>AND(#REF!,"AAAAAH///2U=")</f>
        <v>#REF!</v>
      </c>
      <c r="CY126" t="e">
        <f>AND(#REF!,"AAAAAH///2Y=")</f>
        <v>#REF!</v>
      </c>
      <c r="CZ126" t="e">
        <f>AND(#REF!,"AAAAAH///2c=")</f>
        <v>#REF!</v>
      </c>
      <c r="DA126" t="e">
        <f>AND(#REF!,"AAAAAH///2g=")</f>
        <v>#REF!</v>
      </c>
      <c r="DB126" t="e">
        <f>AND(#REF!,"AAAAAH///2k=")</f>
        <v>#REF!</v>
      </c>
      <c r="DC126" t="e">
        <f>AND(#REF!,"AAAAAH///2o=")</f>
        <v>#REF!</v>
      </c>
      <c r="DD126" t="e">
        <f>AND(#REF!,"AAAAAH///2s=")</f>
        <v>#REF!</v>
      </c>
      <c r="DE126" t="e">
        <f>AND(#REF!,"AAAAAH///2w=")</f>
        <v>#REF!</v>
      </c>
      <c r="DF126" t="e">
        <f>AND(#REF!,"AAAAAH///20=")</f>
        <v>#REF!</v>
      </c>
      <c r="DG126" t="e">
        <f>IF(#REF!,"AAAAAH///24=",0)</f>
        <v>#REF!</v>
      </c>
      <c r="DH126" t="e">
        <f>AND(#REF!,"AAAAAH///28=")</f>
        <v>#REF!</v>
      </c>
      <c r="DI126" t="e">
        <f>AND(#REF!,"AAAAAH///3A=")</f>
        <v>#REF!</v>
      </c>
      <c r="DJ126" t="e">
        <f>AND(#REF!,"AAAAAH///3E=")</f>
        <v>#REF!</v>
      </c>
      <c r="DK126" t="e">
        <f>AND(#REF!,"AAAAAH///3I=")</f>
        <v>#REF!</v>
      </c>
      <c r="DL126" t="e">
        <f>AND(#REF!,"AAAAAH///3M=")</f>
        <v>#REF!</v>
      </c>
      <c r="DM126" t="e">
        <f>AND(#REF!,"AAAAAH///3Q=")</f>
        <v>#REF!</v>
      </c>
      <c r="DN126" t="e">
        <f>AND(#REF!,"AAAAAH///3U=")</f>
        <v>#REF!</v>
      </c>
      <c r="DO126" t="e">
        <f>AND(#REF!,"AAAAAH///3Y=")</f>
        <v>#REF!</v>
      </c>
      <c r="DP126" t="e">
        <f>AND(#REF!,"AAAAAH///3c=")</f>
        <v>#REF!</v>
      </c>
      <c r="DQ126" t="e">
        <f>AND(#REF!,"AAAAAH///3g=")</f>
        <v>#REF!</v>
      </c>
      <c r="DR126" t="e">
        <f>AND(#REF!,"AAAAAH///3k=")</f>
        <v>#REF!</v>
      </c>
      <c r="DS126" t="e">
        <f>AND(#REF!,"AAAAAH///3o=")</f>
        <v>#REF!</v>
      </c>
      <c r="DT126" t="e">
        <f>AND(#REF!,"AAAAAH///3s=")</f>
        <v>#REF!</v>
      </c>
      <c r="DU126" t="e">
        <f>AND(#REF!,"AAAAAH///3w=")</f>
        <v>#REF!</v>
      </c>
      <c r="DV126" t="e">
        <f>AND(#REF!,"AAAAAH///30=")</f>
        <v>#REF!</v>
      </c>
      <c r="DW126" t="e">
        <f>AND(#REF!,"AAAAAH///34=")</f>
        <v>#REF!</v>
      </c>
      <c r="DX126" t="e">
        <f>AND(#REF!,"AAAAAH///38=")</f>
        <v>#REF!</v>
      </c>
      <c r="DY126" t="e">
        <f>AND(#REF!,"AAAAAH///4A=")</f>
        <v>#REF!</v>
      </c>
      <c r="DZ126" t="e">
        <f>AND(#REF!,"AAAAAH///4E=")</f>
        <v>#REF!</v>
      </c>
      <c r="EA126" t="e">
        <f>AND(#REF!,"AAAAAH///4I=")</f>
        <v>#REF!</v>
      </c>
      <c r="EB126" t="e">
        <f>AND(#REF!,"AAAAAH///4M=")</f>
        <v>#REF!</v>
      </c>
      <c r="EC126" t="e">
        <f>AND(#REF!,"AAAAAH///4Q=")</f>
        <v>#REF!</v>
      </c>
      <c r="ED126" t="e">
        <f>AND(#REF!,"AAAAAH///4U=")</f>
        <v>#REF!</v>
      </c>
      <c r="EE126" t="e">
        <f>AND(#REF!,"AAAAAH///4Y=")</f>
        <v>#REF!</v>
      </c>
      <c r="EF126" t="e">
        <f>IF(#REF!,"AAAAAH///4c=",0)</f>
        <v>#REF!</v>
      </c>
      <c r="EG126" t="e">
        <f>AND(#REF!,"AAAAAH///4g=")</f>
        <v>#REF!</v>
      </c>
      <c r="EH126" t="e">
        <f>AND(#REF!,"AAAAAH///4k=")</f>
        <v>#REF!</v>
      </c>
      <c r="EI126" t="e">
        <f>AND(#REF!,"AAAAAH///4o=")</f>
        <v>#REF!</v>
      </c>
      <c r="EJ126" t="e">
        <f>AND(#REF!,"AAAAAH///4s=")</f>
        <v>#REF!</v>
      </c>
      <c r="EK126" t="e">
        <f>AND(#REF!,"AAAAAH///4w=")</f>
        <v>#REF!</v>
      </c>
      <c r="EL126" t="e">
        <f>AND(#REF!,"AAAAAH///40=")</f>
        <v>#REF!</v>
      </c>
      <c r="EM126" t="e">
        <f>AND(#REF!,"AAAAAH///44=")</f>
        <v>#REF!</v>
      </c>
      <c r="EN126" t="e">
        <f>AND(#REF!,"AAAAAH///48=")</f>
        <v>#REF!</v>
      </c>
      <c r="EO126" t="e">
        <f>AND(#REF!,"AAAAAH///5A=")</f>
        <v>#REF!</v>
      </c>
      <c r="EP126" t="e">
        <f>AND(#REF!,"AAAAAH///5E=")</f>
        <v>#REF!</v>
      </c>
      <c r="EQ126" t="e">
        <f>AND(#REF!,"AAAAAH///5I=")</f>
        <v>#REF!</v>
      </c>
      <c r="ER126" t="e">
        <f>AND(#REF!,"AAAAAH///5M=")</f>
        <v>#REF!</v>
      </c>
      <c r="ES126" t="e">
        <f>AND(#REF!,"AAAAAH///5Q=")</f>
        <v>#REF!</v>
      </c>
      <c r="ET126" t="e">
        <f>AND(#REF!,"AAAAAH///5U=")</f>
        <v>#REF!</v>
      </c>
      <c r="EU126" t="e">
        <f>AND(#REF!,"AAAAAH///5Y=")</f>
        <v>#REF!</v>
      </c>
      <c r="EV126" t="e">
        <f>AND(#REF!,"AAAAAH///5c=")</f>
        <v>#REF!</v>
      </c>
      <c r="EW126" t="e">
        <f>AND(#REF!,"AAAAAH///5g=")</f>
        <v>#REF!</v>
      </c>
      <c r="EX126" t="e">
        <f>AND(#REF!,"AAAAAH///5k=")</f>
        <v>#REF!</v>
      </c>
      <c r="EY126" t="e">
        <f>AND(#REF!,"AAAAAH///5o=")</f>
        <v>#REF!</v>
      </c>
      <c r="EZ126" t="e">
        <f>AND(#REF!,"AAAAAH///5s=")</f>
        <v>#REF!</v>
      </c>
      <c r="FA126" t="e">
        <f>AND(#REF!,"AAAAAH///5w=")</f>
        <v>#REF!</v>
      </c>
      <c r="FB126" t="e">
        <f>AND(#REF!,"AAAAAH///50=")</f>
        <v>#REF!</v>
      </c>
      <c r="FC126" t="e">
        <f>AND(#REF!,"AAAAAH///54=")</f>
        <v>#REF!</v>
      </c>
      <c r="FD126" t="e">
        <f>AND(#REF!,"AAAAAH///58=")</f>
        <v>#REF!</v>
      </c>
      <c r="FE126" t="e">
        <f>IF(#REF!,"AAAAAH///6A=",0)</f>
        <v>#REF!</v>
      </c>
      <c r="FF126" t="e">
        <f>AND(#REF!,"AAAAAH///6E=")</f>
        <v>#REF!</v>
      </c>
      <c r="FG126" t="e">
        <f>AND(#REF!,"AAAAAH///6I=")</f>
        <v>#REF!</v>
      </c>
      <c r="FH126" t="e">
        <f>AND(#REF!,"AAAAAH///6M=")</f>
        <v>#REF!</v>
      </c>
      <c r="FI126" t="e">
        <f>AND(#REF!,"AAAAAH///6Q=")</f>
        <v>#REF!</v>
      </c>
      <c r="FJ126" t="e">
        <f>AND(#REF!,"AAAAAH///6U=")</f>
        <v>#REF!</v>
      </c>
      <c r="FK126" t="e">
        <f>AND(#REF!,"AAAAAH///6Y=")</f>
        <v>#REF!</v>
      </c>
      <c r="FL126" t="e">
        <f>AND(#REF!,"AAAAAH///6c=")</f>
        <v>#REF!</v>
      </c>
      <c r="FM126" t="e">
        <f>AND(#REF!,"AAAAAH///6g=")</f>
        <v>#REF!</v>
      </c>
      <c r="FN126" t="e">
        <f>AND(#REF!,"AAAAAH///6k=")</f>
        <v>#REF!</v>
      </c>
      <c r="FO126" t="e">
        <f>AND(#REF!,"AAAAAH///6o=")</f>
        <v>#REF!</v>
      </c>
      <c r="FP126" t="e">
        <f>AND(#REF!,"AAAAAH///6s=")</f>
        <v>#REF!</v>
      </c>
      <c r="FQ126" t="e">
        <f>AND(#REF!,"AAAAAH///6w=")</f>
        <v>#REF!</v>
      </c>
      <c r="FR126" t="e">
        <f>AND(#REF!,"AAAAAH///60=")</f>
        <v>#REF!</v>
      </c>
      <c r="FS126" t="e">
        <f>AND(#REF!,"AAAAAH///64=")</f>
        <v>#REF!</v>
      </c>
      <c r="FT126" t="e">
        <f>AND(#REF!,"AAAAAH///68=")</f>
        <v>#REF!</v>
      </c>
      <c r="FU126" t="e">
        <f>AND(#REF!,"AAAAAH///7A=")</f>
        <v>#REF!</v>
      </c>
      <c r="FV126" t="e">
        <f>AND(#REF!,"AAAAAH///7E=")</f>
        <v>#REF!</v>
      </c>
      <c r="FW126" t="e">
        <f>AND(#REF!,"AAAAAH///7I=")</f>
        <v>#REF!</v>
      </c>
      <c r="FX126" t="e">
        <f>AND(#REF!,"AAAAAH///7M=")</f>
        <v>#REF!</v>
      </c>
      <c r="FY126" t="e">
        <f>AND(#REF!,"AAAAAH///7Q=")</f>
        <v>#REF!</v>
      </c>
      <c r="FZ126" t="e">
        <f>AND(#REF!,"AAAAAH///7U=")</f>
        <v>#REF!</v>
      </c>
      <c r="GA126" t="e">
        <f>AND(#REF!,"AAAAAH///7Y=")</f>
        <v>#REF!</v>
      </c>
      <c r="GB126" t="e">
        <f>AND(#REF!,"AAAAAH///7c=")</f>
        <v>#REF!</v>
      </c>
      <c r="GC126" t="e">
        <f>AND(#REF!,"AAAAAH///7g=")</f>
        <v>#REF!</v>
      </c>
      <c r="GD126" t="e">
        <f>IF(#REF!,"AAAAAH///7k=",0)</f>
        <v>#REF!</v>
      </c>
      <c r="GE126" t="e">
        <f>AND(#REF!,"AAAAAH///7o=")</f>
        <v>#REF!</v>
      </c>
      <c r="GF126" t="e">
        <f>AND(#REF!,"AAAAAH///7s=")</f>
        <v>#REF!</v>
      </c>
      <c r="GG126" t="e">
        <f>AND(#REF!,"AAAAAH///7w=")</f>
        <v>#REF!</v>
      </c>
      <c r="GH126" t="e">
        <f>AND(#REF!,"AAAAAH///70=")</f>
        <v>#REF!</v>
      </c>
      <c r="GI126" t="e">
        <f>AND(#REF!,"AAAAAH///74=")</f>
        <v>#REF!</v>
      </c>
      <c r="GJ126" t="e">
        <f>AND(#REF!,"AAAAAH///78=")</f>
        <v>#REF!</v>
      </c>
      <c r="GK126" t="e">
        <f>AND(#REF!,"AAAAAH///8A=")</f>
        <v>#REF!</v>
      </c>
      <c r="GL126" t="e">
        <f>AND(#REF!,"AAAAAH///8E=")</f>
        <v>#REF!</v>
      </c>
      <c r="GM126" t="e">
        <f>AND(#REF!,"AAAAAH///8I=")</f>
        <v>#REF!</v>
      </c>
      <c r="GN126" t="e">
        <f>AND(#REF!,"AAAAAH///8M=")</f>
        <v>#REF!</v>
      </c>
      <c r="GO126" t="e">
        <f>AND(#REF!,"AAAAAH///8Q=")</f>
        <v>#REF!</v>
      </c>
      <c r="GP126" t="e">
        <f>AND(#REF!,"AAAAAH///8U=")</f>
        <v>#REF!</v>
      </c>
      <c r="GQ126" t="e">
        <f>AND(#REF!,"AAAAAH///8Y=")</f>
        <v>#REF!</v>
      </c>
      <c r="GR126" t="e">
        <f>AND(#REF!,"AAAAAH///8c=")</f>
        <v>#REF!</v>
      </c>
      <c r="GS126" t="e">
        <f>AND(#REF!,"AAAAAH///8g=")</f>
        <v>#REF!</v>
      </c>
      <c r="GT126" t="e">
        <f>AND(#REF!,"AAAAAH///8k=")</f>
        <v>#REF!</v>
      </c>
      <c r="GU126" t="e">
        <f>AND(#REF!,"AAAAAH///8o=")</f>
        <v>#REF!</v>
      </c>
      <c r="GV126" t="e">
        <f>AND(#REF!,"AAAAAH///8s=")</f>
        <v>#REF!</v>
      </c>
      <c r="GW126" t="e">
        <f>AND(#REF!,"AAAAAH///8w=")</f>
        <v>#REF!</v>
      </c>
      <c r="GX126" t="e">
        <f>AND(#REF!,"AAAAAH///80=")</f>
        <v>#REF!</v>
      </c>
      <c r="GY126" t="e">
        <f>AND(#REF!,"AAAAAH///84=")</f>
        <v>#REF!</v>
      </c>
      <c r="GZ126" t="e">
        <f>AND(#REF!,"AAAAAH///88=")</f>
        <v>#REF!</v>
      </c>
      <c r="HA126" t="e">
        <f>AND(#REF!,"AAAAAH///9A=")</f>
        <v>#REF!</v>
      </c>
      <c r="HB126" t="e">
        <f>AND(#REF!,"AAAAAH///9E=")</f>
        <v>#REF!</v>
      </c>
      <c r="HC126" t="e">
        <f>IF(#REF!,"AAAAAH///9I=",0)</f>
        <v>#REF!</v>
      </c>
      <c r="HD126" t="e">
        <f>AND(#REF!,"AAAAAH///9M=")</f>
        <v>#REF!</v>
      </c>
      <c r="HE126" t="e">
        <f>AND(#REF!,"AAAAAH///9Q=")</f>
        <v>#REF!</v>
      </c>
      <c r="HF126" t="e">
        <f>AND(#REF!,"AAAAAH///9U=")</f>
        <v>#REF!</v>
      </c>
      <c r="HG126" t="e">
        <f>AND(#REF!,"AAAAAH///9Y=")</f>
        <v>#REF!</v>
      </c>
      <c r="HH126" t="e">
        <f>AND(#REF!,"AAAAAH///9c=")</f>
        <v>#REF!</v>
      </c>
      <c r="HI126" t="e">
        <f>AND(#REF!,"AAAAAH///9g=")</f>
        <v>#REF!</v>
      </c>
      <c r="HJ126" t="e">
        <f>AND(#REF!,"AAAAAH///9k=")</f>
        <v>#REF!</v>
      </c>
      <c r="HK126" t="e">
        <f>AND(#REF!,"AAAAAH///9o=")</f>
        <v>#REF!</v>
      </c>
      <c r="HL126" t="e">
        <f>AND(#REF!,"AAAAAH///9s=")</f>
        <v>#REF!</v>
      </c>
      <c r="HM126" t="e">
        <f>AND(#REF!,"AAAAAH///9w=")</f>
        <v>#REF!</v>
      </c>
      <c r="HN126" t="e">
        <f>AND(#REF!,"AAAAAH///90=")</f>
        <v>#REF!</v>
      </c>
      <c r="HO126" t="e">
        <f>AND(#REF!,"AAAAAH///94=")</f>
        <v>#REF!</v>
      </c>
      <c r="HP126" t="e">
        <f>AND(#REF!,"AAAAAH///98=")</f>
        <v>#REF!</v>
      </c>
      <c r="HQ126" t="e">
        <f>AND(#REF!,"AAAAAH///+A=")</f>
        <v>#REF!</v>
      </c>
      <c r="HR126" t="e">
        <f>AND(#REF!,"AAAAAH///+E=")</f>
        <v>#REF!</v>
      </c>
      <c r="HS126" t="e">
        <f>AND(#REF!,"AAAAAH///+I=")</f>
        <v>#REF!</v>
      </c>
      <c r="HT126" t="e">
        <f>AND(#REF!,"AAAAAH///+M=")</f>
        <v>#REF!</v>
      </c>
      <c r="HU126" t="e">
        <f>AND(#REF!,"AAAAAH///+Q=")</f>
        <v>#REF!</v>
      </c>
      <c r="HV126" t="e">
        <f>AND(#REF!,"AAAAAH///+U=")</f>
        <v>#REF!</v>
      </c>
      <c r="HW126" t="e">
        <f>AND(#REF!,"AAAAAH///+Y=")</f>
        <v>#REF!</v>
      </c>
      <c r="HX126" t="e">
        <f>AND(#REF!,"AAAAAH///+c=")</f>
        <v>#REF!</v>
      </c>
      <c r="HY126" t="e">
        <f>AND(#REF!,"AAAAAH///+g=")</f>
        <v>#REF!</v>
      </c>
      <c r="HZ126" t="e">
        <f>AND(#REF!,"AAAAAH///+k=")</f>
        <v>#REF!</v>
      </c>
      <c r="IA126" t="e">
        <f>AND(#REF!,"AAAAAH///+o=")</f>
        <v>#REF!</v>
      </c>
      <c r="IB126" t="e">
        <f>IF(#REF!,"AAAAAH///+s=",0)</f>
        <v>#REF!</v>
      </c>
      <c r="IC126" t="e">
        <f>AND(#REF!,"AAAAAH///+w=")</f>
        <v>#REF!</v>
      </c>
      <c r="ID126" t="e">
        <f>AND(#REF!,"AAAAAH///+0=")</f>
        <v>#REF!</v>
      </c>
      <c r="IE126" t="e">
        <f>AND(#REF!,"AAAAAH///+4=")</f>
        <v>#REF!</v>
      </c>
      <c r="IF126" t="e">
        <f>AND(#REF!,"AAAAAH///+8=")</f>
        <v>#REF!</v>
      </c>
      <c r="IG126" t="e">
        <f>AND(#REF!,"AAAAAH////A=")</f>
        <v>#REF!</v>
      </c>
      <c r="IH126" t="e">
        <f>AND(#REF!,"AAAAAH////E=")</f>
        <v>#REF!</v>
      </c>
      <c r="II126" t="e">
        <f>AND(#REF!,"AAAAAH////I=")</f>
        <v>#REF!</v>
      </c>
      <c r="IJ126" t="e">
        <f>AND(#REF!,"AAAAAH////M=")</f>
        <v>#REF!</v>
      </c>
      <c r="IK126" t="e">
        <f>AND(#REF!,"AAAAAH////Q=")</f>
        <v>#REF!</v>
      </c>
      <c r="IL126" t="e">
        <f>AND(#REF!,"AAAAAH////U=")</f>
        <v>#REF!</v>
      </c>
      <c r="IM126" t="e">
        <f>AND(#REF!,"AAAAAH////Y=")</f>
        <v>#REF!</v>
      </c>
      <c r="IN126" t="e">
        <f>AND(#REF!,"AAAAAH////c=")</f>
        <v>#REF!</v>
      </c>
      <c r="IO126" t="e">
        <f>AND(#REF!,"AAAAAH////g=")</f>
        <v>#REF!</v>
      </c>
      <c r="IP126" t="e">
        <f>AND(#REF!,"AAAAAH////k=")</f>
        <v>#REF!</v>
      </c>
      <c r="IQ126" t="e">
        <f>AND(#REF!,"AAAAAH////o=")</f>
        <v>#REF!</v>
      </c>
      <c r="IR126" t="e">
        <f>AND(#REF!,"AAAAAH////s=")</f>
        <v>#REF!</v>
      </c>
      <c r="IS126" t="e">
        <f>AND(#REF!,"AAAAAH////w=")</f>
        <v>#REF!</v>
      </c>
      <c r="IT126" t="e">
        <f>AND(#REF!,"AAAAAH////0=")</f>
        <v>#REF!</v>
      </c>
      <c r="IU126" t="e">
        <f>AND(#REF!,"AAAAAH////4=")</f>
        <v>#REF!</v>
      </c>
      <c r="IV126" t="e">
        <f>AND(#REF!,"AAAAAH////8=")</f>
        <v>#REF!</v>
      </c>
    </row>
    <row r="127" spans="1:256">
      <c r="A127" t="e">
        <f>AND(#REF!,"AAAAAH//bwA=")</f>
        <v>#REF!</v>
      </c>
      <c r="B127" t="e">
        <f>AND(#REF!,"AAAAAH//bwE=")</f>
        <v>#REF!</v>
      </c>
      <c r="C127" t="e">
        <f>AND(#REF!,"AAAAAH//bwI=")</f>
        <v>#REF!</v>
      </c>
      <c r="D127" t="e">
        <f>AND(#REF!,"AAAAAH//bwM=")</f>
        <v>#REF!</v>
      </c>
      <c r="E127" t="e">
        <f>IF(#REF!,"AAAAAH//bwQ=",0)</f>
        <v>#REF!</v>
      </c>
      <c r="F127" t="e">
        <f>AND(#REF!,"AAAAAH//bwU=")</f>
        <v>#REF!</v>
      </c>
      <c r="G127" t="e">
        <f>AND(#REF!,"AAAAAH//bwY=")</f>
        <v>#REF!</v>
      </c>
      <c r="H127" t="e">
        <f>AND(#REF!,"AAAAAH//bwc=")</f>
        <v>#REF!</v>
      </c>
      <c r="I127" t="e">
        <f>AND(#REF!,"AAAAAH//bwg=")</f>
        <v>#REF!</v>
      </c>
      <c r="J127" t="e">
        <f>AND(#REF!,"AAAAAH//bwk=")</f>
        <v>#REF!</v>
      </c>
      <c r="K127" t="e">
        <f>AND(#REF!,"AAAAAH//bwo=")</f>
        <v>#REF!</v>
      </c>
      <c r="L127" t="e">
        <f>AND(#REF!,"AAAAAH//bws=")</f>
        <v>#REF!</v>
      </c>
      <c r="M127" t="e">
        <f>AND(#REF!,"AAAAAH//bww=")</f>
        <v>#REF!</v>
      </c>
      <c r="N127" t="e">
        <f>AND(#REF!,"AAAAAH//bw0=")</f>
        <v>#REF!</v>
      </c>
      <c r="O127" t="e">
        <f>AND(#REF!,"AAAAAH//bw4=")</f>
        <v>#REF!</v>
      </c>
      <c r="P127" t="e">
        <f>AND(#REF!,"AAAAAH//bw8=")</f>
        <v>#REF!</v>
      </c>
      <c r="Q127" t="e">
        <f>AND(#REF!,"AAAAAH//bxA=")</f>
        <v>#REF!</v>
      </c>
      <c r="R127" t="e">
        <f>AND(#REF!,"AAAAAH//bxE=")</f>
        <v>#REF!</v>
      </c>
      <c r="S127" t="e">
        <f>AND(#REF!,"AAAAAH//bxI=")</f>
        <v>#REF!</v>
      </c>
      <c r="T127" t="e">
        <f>AND(#REF!,"AAAAAH//bxM=")</f>
        <v>#REF!</v>
      </c>
      <c r="U127" t="e">
        <f>AND(#REF!,"AAAAAH//bxQ=")</f>
        <v>#REF!</v>
      </c>
      <c r="V127" t="e">
        <f>AND(#REF!,"AAAAAH//bxU=")</f>
        <v>#REF!</v>
      </c>
      <c r="W127" t="e">
        <f>AND(#REF!,"AAAAAH//bxY=")</f>
        <v>#REF!</v>
      </c>
      <c r="X127" t="e">
        <f>AND(#REF!,"AAAAAH//bxc=")</f>
        <v>#REF!</v>
      </c>
      <c r="Y127" t="e">
        <f>AND(#REF!,"AAAAAH//bxg=")</f>
        <v>#REF!</v>
      </c>
      <c r="Z127" t="e">
        <f>AND(#REF!,"AAAAAH//bxk=")</f>
        <v>#REF!</v>
      </c>
      <c r="AA127" t="e">
        <f>AND(#REF!,"AAAAAH//bxo=")</f>
        <v>#REF!</v>
      </c>
      <c r="AB127" t="e">
        <f>AND(#REF!,"AAAAAH//bxs=")</f>
        <v>#REF!</v>
      </c>
      <c r="AC127" t="e">
        <f>AND(#REF!,"AAAAAH//bxw=")</f>
        <v>#REF!</v>
      </c>
      <c r="AD127" t="e">
        <f>IF(#REF!,"AAAAAH//bx0=",0)</f>
        <v>#REF!</v>
      </c>
      <c r="AE127" t="e">
        <f>AND(#REF!,"AAAAAH//bx4=")</f>
        <v>#REF!</v>
      </c>
      <c r="AF127" t="e">
        <f>AND(#REF!,"AAAAAH//bx8=")</f>
        <v>#REF!</v>
      </c>
      <c r="AG127" t="e">
        <f>AND(#REF!,"AAAAAH//byA=")</f>
        <v>#REF!</v>
      </c>
      <c r="AH127" t="e">
        <f>AND(#REF!,"AAAAAH//byE=")</f>
        <v>#REF!</v>
      </c>
      <c r="AI127" t="e">
        <f>AND(#REF!,"AAAAAH//byI=")</f>
        <v>#REF!</v>
      </c>
      <c r="AJ127" t="e">
        <f>AND(#REF!,"AAAAAH//byM=")</f>
        <v>#REF!</v>
      </c>
      <c r="AK127" t="e">
        <f>AND(#REF!,"AAAAAH//byQ=")</f>
        <v>#REF!</v>
      </c>
      <c r="AL127" t="e">
        <f>AND(#REF!,"AAAAAH//byU=")</f>
        <v>#REF!</v>
      </c>
      <c r="AM127" t="e">
        <f>AND(#REF!,"AAAAAH//byY=")</f>
        <v>#REF!</v>
      </c>
      <c r="AN127" t="e">
        <f>AND(#REF!,"AAAAAH//byc=")</f>
        <v>#REF!</v>
      </c>
      <c r="AO127" t="e">
        <f>AND(#REF!,"AAAAAH//byg=")</f>
        <v>#REF!</v>
      </c>
      <c r="AP127" t="e">
        <f>AND(#REF!,"AAAAAH//byk=")</f>
        <v>#REF!</v>
      </c>
      <c r="AQ127" t="e">
        <f>AND(#REF!,"AAAAAH//byo=")</f>
        <v>#REF!</v>
      </c>
      <c r="AR127" t="e">
        <f>AND(#REF!,"AAAAAH//bys=")</f>
        <v>#REF!</v>
      </c>
      <c r="AS127" t="e">
        <f>AND(#REF!,"AAAAAH//byw=")</f>
        <v>#REF!</v>
      </c>
      <c r="AT127" t="e">
        <f>AND(#REF!,"AAAAAH//by0=")</f>
        <v>#REF!</v>
      </c>
      <c r="AU127" t="e">
        <f>AND(#REF!,"AAAAAH//by4=")</f>
        <v>#REF!</v>
      </c>
      <c r="AV127" t="e">
        <f>AND(#REF!,"AAAAAH//by8=")</f>
        <v>#REF!</v>
      </c>
      <c r="AW127" t="e">
        <f>AND(#REF!,"AAAAAH//bzA=")</f>
        <v>#REF!</v>
      </c>
      <c r="AX127" t="e">
        <f>AND(#REF!,"AAAAAH//bzE=")</f>
        <v>#REF!</v>
      </c>
      <c r="AY127" t="e">
        <f>AND(#REF!,"AAAAAH//bzI=")</f>
        <v>#REF!</v>
      </c>
      <c r="AZ127" t="e">
        <f>AND(#REF!,"AAAAAH//bzM=")</f>
        <v>#REF!</v>
      </c>
      <c r="BA127" t="e">
        <f>AND(#REF!,"AAAAAH//bzQ=")</f>
        <v>#REF!</v>
      </c>
      <c r="BB127" t="e">
        <f>AND(#REF!,"AAAAAH//bzU=")</f>
        <v>#REF!</v>
      </c>
      <c r="BC127" t="e">
        <f>IF(#REF!,"AAAAAH//bzY=",0)</f>
        <v>#REF!</v>
      </c>
      <c r="BD127" t="e">
        <f>AND(#REF!,"AAAAAH//bzc=")</f>
        <v>#REF!</v>
      </c>
      <c r="BE127" t="e">
        <f>AND(#REF!,"AAAAAH//bzg=")</f>
        <v>#REF!</v>
      </c>
      <c r="BF127" t="e">
        <f>AND(#REF!,"AAAAAH//bzk=")</f>
        <v>#REF!</v>
      </c>
      <c r="BG127" t="e">
        <f>AND(#REF!,"AAAAAH//bzo=")</f>
        <v>#REF!</v>
      </c>
      <c r="BH127" t="e">
        <f>AND(#REF!,"AAAAAH//bzs=")</f>
        <v>#REF!</v>
      </c>
      <c r="BI127" t="e">
        <f>AND(#REF!,"AAAAAH//bzw=")</f>
        <v>#REF!</v>
      </c>
      <c r="BJ127" t="e">
        <f>AND(#REF!,"AAAAAH//bz0=")</f>
        <v>#REF!</v>
      </c>
      <c r="BK127" t="e">
        <f>AND(#REF!,"AAAAAH//bz4=")</f>
        <v>#REF!</v>
      </c>
      <c r="BL127" t="e">
        <f>AND(#REF!,"AAAAAH//bz8=")</f>
        <v>#REF!</v>
      </c>
      <c r="BM127" t="e">
        <f>AND(#REF!,"AAAAAH//b0A=")</f>
        <v>#REF!</v>
      </c>
      <c r="BN127" t="e">
        <f>AND(#REF!,"AAAAAH//b0E=")</f>
        <v>#REF!</v>
      </c>
      <c r="BO127" t="e">
        <f>AND(#REF!,"AAAAAH//b0I=")</f>
        <v>#REF!</v>
      </c>
      <c r="BP127" t="e">
        <f>AND(#REF!,"AAAAAH//b0M=")</f>
        <v>#REF!</v>
      </c>
      <c r="BQ127" t="e">
        <f>AND(#REF!,"AAAAAH//b0Q=")</f>
        <v>#REF!</v>
      </c>
      <c r="BR127" t="e">
        <f>AND(#REF!,"AAAAAH//b0U=")</f>
        <v>#REF!</v>
      </c>
      <c r="BS127" t="e">
        <f>AND(#REF!,"AAAAAH//b0Y=")</f>
        <v>#REF!</v>
      </c>
      <c r="BT127" t="e">
        <f>AND(#REF!,"AAAAAH//b0c=")</f>
        <v>#REF!</v>
      </c>
      <c r="BU127" t="e">
        <f>AND(#REF!,"AAAAAH//b0g=")</f>
        <v>#REF!</v>
      </c>
      <c r="BV127" t="e">
        <f>AND(#REF!,"AAAAAH//b0k=")</f>
        <v>#REF!</v>
      </c>
      <c r="BW127" t="e">
        <f>AND(#REF!,"AAAAAH//b0o=")</f>
        <v>#REF!</v>
      </c>
      <c r="BX127" t="e">
        <f>AND(#REF!,"AAAAAH//b0s=")</f>
        <v>#REF!</v>
      </c>
      <c r="BY127" t="e">
        <f>AND(#REF!,"AAAAAH//b0w=")</f>
        <v>#REF!</v>
      </c>
      <c r="BZ127" t="e">
        <f>AND(#REF!,"AAAAAH//b00=")</f>
        <v>#REF!</v>
      </c>
      <c r="CA127" t="e">
        <f>AND(#REF!,"AAAAAH//b04=")</f>
        <v>#REF!</v>
      </c>
      <c r="CB127" t="e">
        <f>IF(#REF!,"AAAAAH//b08=",0)</f>
        <v>#REF!</v>
      </c>
      <c r="CC127" t="e">
        <f>AND(#REF!,"AAAAAH//b1A=")</f>
        <v>#REF!</v>
      </c>
      <c r="CD127" t="e">
        <f>AND(#REF!,"AAAAAH//b1E=")</f>
        <v>#REF!</v>
      </c>
      <c r="CE127" t="e">
        <f>AND(#REF!,"AAAAAH//b1I=")</f>
        <v>#REF!</v>
      </c>
      <c r="CF127" t="e">
        <f>AND(#REF!,"AAAAAH//b1M=")</f>
        <v>#REF!</v>
      </c>
      <c r="CG127" t="e">
        <f>AND(#REF!,"AAAAAH//b1Q=")</f>
        <v>#REF!</v>
      </c>
      <c r="CH127" t="e">
        <f>AND(#REF!,"AAAAAH//b1U=")</f>
        <v>#REF!</v>
      </c>
      <c r="CI127" t="e">
        <f>AND(#REF!,"AAAAAH//b1Y=")</f>
        <v>#REF!</v>
      </c>
      <c r="CJ127" t="e">
        <f>AND(#REF!,"AAAAAH//b1c=")</f>
        <v>#REF!</v>
      </c>
      <c r="CK127" t="e">
        <f>AND(#REF!,"AAAAAH//b1g=")</f>
        <v>#REF!</v>
      </c>
      <c r="CL127" t="e">
        <f>AND(#REF!,"AAAAAH//b1k=")</f>
        <v>#REF!</v>
      </c>
      <c r="CM127" t="e">
        <f>AND(#REF!,"AAAAAH//b1o=")</f>
        <v>#REF!</v>
      </c>
      <c r="CN127" t="e">
        <f>AND(#REF!,"AAAAAH//b1s=")</f>
        <v>#REF!</v>
      </c>
      <c r="CO127" t="e">
        <f>AND(#REF!,"AAAAAH//b1w=")</f>
        <v>#REF!</v>
      </c>
      <c r="CP127" t="e">
        <f>AND(#REF!,"AAAAAH//b10=")</f>
        <v>#REF!</v>
      </c>
      <c r="CQ127" t="e">
        <f>AND(#REF!,"AAAAAH//b14=")</f>
        <v>#REF!</v>
      </c>
      <c r="CR127" t="e">
        <f>AND(#REF!,"AAAAAH//b18=")</f>
        <v>#REF!</v>
      </c>
      <c r="CS127" t="e">
        <f>AND(#REF!,"AAAAAH//b2A=")</f>
        <v>#REF!</v>
      </c>
      <c r="CT127" t="e">
        <f>AND(#REF!,"AAAAAH//b2E=")</f>
        <v>#REF!</v>
      </c>
      <c r="CU127" t="e">
        <f>AND(#REF!,"AAAAAH//b2I=")</f>
        <v>#REF!</v>
      </c>
      <c r="CV127" t="e">
        <f>AND(#REF!,"AAAAAH//b2M=")</f>
        <v>#REF!</v>
      </c>
      <c r="CW127" t="e">
        <f>AND(#REF!,"AAAAAH//b2Q=")</f>
        <v>#REF!</v>
      </c>
      <c r="CX127" t="e">
        <f>AND(#REF!,"AAAAAH//b2U=")</f>
        <v>#REF!</v>
      </c>
      <c r="CY127" t="e">
        <f>AND(#REF!,"AAAAAH//b2Y=")</f>
        <v>#REF!</v>
      </c>
      <c r="CZ127" t="e">
        <f>AND(#REF!,"AAAAAH//b2c=")</f>
        <v>#REF!</v>
      </c>
      <c r="DA127" t="e">
        <f>IF(#REF!,"AAAAAH//b2g=",0)</f>
        <v>#REF!</v>
      </c>
      <c r="DB127" t="e">
        <f>AND(#REF!,"AAAAAH//b2k=")</f>
        <v>#REF!</v>
      </c>
      <c r="DC127" t="e">
        <f>AND(#REF!,"AAAAAH//b2o=")</f>
        <v>#REF!</v>
      </c>
      <c r="DD127" t="e">
        <f>AND(#REF!,"AAAAAH//b2s=")</f>
        <v>#REF!</v>
      </c>
      <c r="DE127" t="e">
        <f>AND(#REF!,"AAAAAH//b2w=")</f>
        <v>#REF!</v>
      </c>
      <c r="DF127" t="e">
        <f>AND(#REF!,"AAAAAH//b20=")</f>
        <v>#REF!</v>
      </c>
      <c r="DG127" t="e">
        <f>AND(#REF!,"AAAAAH//b24=")</f>
        <v>#REF!</v>
      </c>
      <c r="DH127" t="e">
        <f>AND(#REF!,"AAAAAH//b28=")</f>
        <v>#REF!</v>
      </c>
      <c r="DI127" t="e">
        <f>AND(#REF!,"AAAAAH//b3A=")</f>
        <v>#REF!</v>
      </c>
      <c r="DJ127" t="e">
        <f>AND(#REF!,"AAAAAH//b3E=")</f>
        <v>#REF!</v>
      </c>
      <c r="DK127" t="e">
        <f>AND(#REF!,"AAAAAH//b3I=")</f>
        <v>#REF!</v>
      </c>
      <c r="DL127" t="e">
        <f>AND(#REF!,"AAAAAH//b3M=")</f>
        <v>#REF!</v>
      </c>
      <c r="DM127" t="e">
        <f>AND(#REF!,"AAAAAH//b3Q=")</f>
        <v>#REF!</v>
      </c>
      <c r="DN127" t="e">
        <f>AND(#REF!,"AAAAAH//b3U=")</f>
        <v>#REF!</v>
      </c>
      <c r="DO127" t="e">
        <f>AND(#REF!,"AAAAAH//b3Y=")</f>
        <v>#REF!</v>
      </c>
      <c r="DP127" t="e">
        <f>AND(#REF!,"AAAAAH//b3c=")</f>
        <v>#REF!</v>
      </c>
      <c r="DQ127" t="e">
        <f>AND(#REF!,"AAAAAH//b3g=")</f>
        <v>#REF!</v>
      </c>
      <c r="DR127" t="e">
        <f>AND(#REF!,"AAAAAH//b3k=")</f>
        <v>#REF!</v>
      </c>
      <c r="DS127" t="e">
        <f>AND(#REF!,"AAAAAH//b3o=")</f>
        <v>#REF!</v>
      </c>
      <c r="DT127" t="e">
        <f>AND(#REF!,"AAAAAH//b3s=")</f>
        <v>#REF!</v>
      </c>
      <c r="DU127" t="e">
        <f>AND(#REF!,"AAAAAH//b3w=")</f>
        <v>#REF!</v>
      </c>
      <c r="DV127" t="e">
        <f>AND(#REF!,"AAAAAH//b30=")</f>
        <v>#REF!</v>
      </c>
      <c r="DW127" t="e">
        <f>AND(#REF!,"AAAAAH//b34=")</f>
        <v>#REF!</v>
      </c>
      <c r="DX127" t="e">
        <f>AND(#REF!,"AAAAAH//b38=")</f>
        <v>#REF!</v>
      </c>
      <c r="DY127" t="e">
        <f>AND(#REF!,"AAAAAH//b4A=")</f>
        <v>#REF!</v>
      </c>
      <c r="DZ127" t="e">
        <f>IF(#REF!,"AAAAAH//b4E=",0)</f>
        <v>#REF!</v>
      </c>
      <c r="EA127" t="e">
        <f>AND(#REF!,"AAAAAH//b4I=")</f>
        <v>#REF!</v>
      </c>
      <c r="EB127" t="e">
        <f>AND(#REF!,"AAAAAH//b4M=")</f>
        <v>#REF!</v>
      </c>
      <c r="EC127" t="e">
        <f>AND(#REF!,"AAAAAH//b4Q=")</f>
        <v>#REF!</v>
      </c>
      <c r="ED127" t="e">
        <f>AND(#REF!,"AAAAAH//b4U=")</f>
        <v>#REF!</v>
      </c>
      <c r="EE127" t="e">
        <f>AND(#REF!,"AAAAAH//b4Y=")</f>
        <v>#REF!</v>
      </c>
      <c r="EF127" t="e">
        <f>AND(#REF!,"AAAAAH//b4c=")</f>
        <v>#REF!</v>
      </c>
      <c r="EG127" t="e">
        <f>AND(#REF!,"AAAAAH//b4g=")</f>
        <v>#REF!</v>
      </c>
      <c r="EH127" t="e">
        <f>AND(#REF!,"AAAAAH//b4k=")</f>
        <v>#REF!</v>
      </c>
      <c r="EI127" t="e">
        <f>AND(#REF!,"AAAAAH//b4o=")</f>
        <v>#REF!</v>
      </c>
      <c r="EJ127" t="e">
        <f>AND(#REF!,"AAAAAH//b4s=")</f>
        <v>#REF!</v>
      </c>
      <c r="EK127" t="e">
        <f>AND(#REF!,"AAAAAH//b4w=")</f>
        <v>#REF!</v>
      </c>
      <c r="EL127" t="e">
        <f>AND(#REF!,"AAAAAH//b40=")</f>
        <v>#REF!</v>
      </c>
      <c r="EM127" t="e">
        <f>AND(#REF!,"AAAAAH//b44=")</f>
        <v>#REF!</v>
      </c>
      <c r="EN127" t="e">
        <f>AND(#REF!,"AAAAAH//b48=")</f>
        <v>#REF!</v>
      </c>
      <c r="EO127" t="e">
        <f>AND(#REF!,"AAAAAH//b5A=")</f>
        <v>#REF!</v>
      </c>
      <c r="EP127" t="e">
        <f>AND(#REF!,"AAAAAH//b5E=")</f>
        <v>#REF!</v>
      </c>
      <c r="EQ127" t="e">
        <f>AND(#REF!,"AAAAAH//b5I=")</f>
        <v>#REF!</v>
      </c>
      <c r="ER127" t="e">
        <f>AND(#REF!,"AAAAAH//b5M=")</f>
        <v>#REF!</v>
      </c>
      <c r="ES127" t="e">
        <f>AND(#REF!,"AAAAAH//b5Q=")</f>
        <v>#REF!</v>
      </c>
      <c r="ET127" t="e">
        <f>AND(#REF!,"AAAAAH//b5U=")</f>
        <v>#REF!</v>
      </c>
      <c r="EU127" t="e">
        <f>AND(#REF!,"AAAAAH//b5Y=")</f>
        <v>#REF!</v>
      </c>
      <c r="EV127" t="e">
        <f>AND(#REF!,"AAAAAH//b5c=")</f>
        <v>#REF!</v>
      </c>
      <c r="EW127" t="e">
        <f>AND(#REF!,"AAAAAH//b5g=")</f>
        <v>#REF!</v>
      </c>
      <c r="EX127" t="e">
        <f>AND(#REF!,"AAAAAH//b5k=")</f>
        <v>#REF!</v>
      </c>
      <c r="EY127" t="e">
        <f>IF(#REF!,"AAAAAH//b5o=",0)</f>
        <v>#REF!</v>
      </c>
      <c r="EZ127" t="e">
        <f>AND(#REF!,"AAAAAH//b5s=")</f>
        <v>#REF!</v>
      </c>
      <c r="FA127" t="e">
        <f>AND(#REF!,"AAAAAH//b5w=")</f>
        <v>#REF!</v>
      </c>
      <c r="FB127" t="e">
        <f>AND(#REF!,"AAAAAH//b50=")</f>
        <v>#REF!</v>
      </c>
      <c r="FC127" t="e">
        <f>AND(#REF!,"AAAAAH//b54=")</f>
        <v>#REF!</v>
      </c>
      <c r="FD127" t="e">
        <f>AND(#REF!,"AAAAAH//b58=")</f>
        <v>#REF!</v>
      </c>
      <c r="FE127" t="e">
        <f>AND(#REF!,"AAAAAH//b6A=")</f>
        <v>#REF!</v>
      </c>
      <c r="FF127" t="e">
        <f>AND(#REF!,"AAAAAH//b6E=")</f>
        <v>#REF!</v>
      </c>
      <c r="FG127" t="e">
        <f>AND(#REF!,"AAAAAH//b6I=")</f>
        <v>#REF!</v>
      </c>
      <c r="FH127" t="e">
        <f>AND(#REF!,"AAAAAH//b6M=")</f>
        <v>#REF!</v>
      </c>
      <c r="FI127" t="e">
        <f>AND(#REF!,"AAAAAH//b6Q=")</f>
        <v>#REF!</v>
      </c>
      <c r="FJ127" t="e">
        <f>AND(#REF!,"AAAAAH//b6U=")</f>
        <v>#REF!</v>
      </c>
      <c r="FK127" t="e">
        <f>AND(#REF!,"AAAAAH//b6Y=")</f>
        <v>#REF!</v>
      </c>
      <c r="FL127" t="e">
        <f>AND(#REF!,"AAAAAH//b6c=")</f>
        <v>#REF!</v>
      </c>
      <c r="FM127" t="e">
        <f>AND(#REF!,"AAAAAH//b6g=")</f>
        <v>#REF!</v>
      </c>
      <c r="FN127" t="e">
        <f>AND(#REF!,"AAAAAH//b6k=")</f>
        <v>#REF!</v>
      </c>
      <c r="FO127" t="e">
        <f>AND(#REF!,"AAAAAH//b6o=")</f>
        <v>#REF!</v>
      </c>
      <c r="FP127" t="e">
        <f>AND(#REF!,"AAAAAH//b6s=")</f>
        <v>#REF!</v>
      </c>
      <c r="FQ127" t="e">
        <f>AND(#REF!,"AAAAAH//b6w=")</f>
        <v>#REF!</v>
      </c>
      <c r="FR127" t="e">
        <f>AND(#REF!,"AAAAAH//b60=")</f>
        <v>#REF!</v>
      </c>
      <c r="FS127" t="e">
        <f>AND(#REF!,"AAAAAH//b64=")</f>
        <v>#REF!</v>
      </c>
      <c r="FT127" t="e">
        <f>AND(#REF!,"AAAAAH//b68=")</f>
        <v>#REF!</v>
      </c>
      <c r="FU127" t="e">
        <f>AND(#REF!,"AAAAAH//b7A=")</f>
        <v>#REF!</v>
      </c>
      <c r="FV127" t="e">
        <f>AND(#REF!,"AAAAAH//b7E=")</f>
        <v>#REF!</v>
      </c>
      <c r="FW127" t="e">
        <f>AND(#REF!,"AAAAAH//b7I=")</f>
        <v>#REF!</v>
      </c>
      <c r="FX127" t="e">
        <f>IF(#REF!,"AAAAAH//b7M=",0)</f>
        <v>#REF!</v>
      </c>
      <c r="FY127" t="e">
        <f>AND(#REF!,"AAAAAH//b7Q=")</f>
        <v>#REF!</v>
      </c>
      <c r="FZ127" t="e">
        <f>AND(#REF!,"AAAAAH//b7U=")</f>
        <v>#REF!</v>
      </c>
      <c r="GA127" t="e">
        <f>AND(#REF!,"AAAAAH//b7Y=")</f>
        <v>#REF!</v>
      </c>
      <c r="GB127" t="e">
        <f>AND(#REF!,"AAAAAH//b7c=")</f>
        <v>#REF!</v>
      </c>
      <c r="GC127" t="e">
        <f>AND(#REF!,"AAAAAH//b7g=")</f>
        <v>#REF!</v>
      </c>
      <c r="GD127" t="e">
        <f>AND(#REF!,"AAAAAH//b7k=")</f>
        <v>#REF!</v>
      </c>
      <c r="GE127" t="e">
        <f>AND(#REF!,"AAAAAH//b7o=")</f>
        <v>#REF!</v>
      </c>
      <c r="GF127" t="e">
        <f>AND(#REF!,"AAAAAH//b7s=")</f>
        <v>#REF!</v>
      </c>
      <c r="GG127" t="e">
        <f>AND(#REF!,"AAAAAH//b7w=")</f>
        <v>#REF!</v>
      </c>
      <c r="GH127" t="e">
        <f>AND(#REF!,"AAAAAH//b70=")</f>
        <v>#REF!</v>
      </c>
      <c r="GI127" t="e">
        <f>AND(#REF!,"AAAAAH//b74=")</f>
        <v>#REF!</v>
      </c>
      <c r="GJ127" t="e">
        <f>AND(#REF!,"AAAAAH//b78=")</f>
        <v>#REF!</v>
      </c>
      <c r="GK127" t="e">
        <f>AND(#REF!,"AAAAAH//b8A=")</f>
        <v>#REF!</v>
      </c>
      <c r="GL127" t="e">
        <f>AND(#REF!,"AAAAAH//b8E=")</f>
        <v>#REF!</v>
      </c>
      <c r="GM127" t="e">
        <f>AND(#REF!,"AAAAAH//b8I=")</f>
        <v>#REF!</v>
      </c>
      <c r="GN127" t="e">
        <f>AND(#REF!,"AAAAAH//b8M=")</f>
        <v>#REF!</v>
      </c>
      <c r="GO127" t="e">
        <f>AND(#REF!,"AAAAAH//b8Q=")</f>
        <v>#REF!</v>
      </c>
      <c r="GP127" t="e">
        <f>AND(#REF!,"AAAAAH//b8U=")</f>
        <v>#REF!</v>
      </c>
      <c r="GQ127" t="e">
        <f>AND(#REF!,"AAAAAH//b8Y=")</f>
        <v>#REF!</v>
      </c>
      <c r="GR127" t="e">
        <f>AND(#REF!,"AAAAAH//b8c=")</f>
        <v>#REF!</v>
      </c>
      <c r="GS127" t="e">
        <f>AND(#REF!,"AAAAAH//b8g=")</f>
        <v>#REF!</v>
      </c>
      <c r="GT127" t="e">
        <f>AND(#REF!,"AAAAAH//b8k=")</f>
        <v>#REF!</v>
      </c>
      <c r="GU127" t="e">
        <f>AND(#REF!,"AAAAAH//b8o=")</f>
        <v>#REF!</v>
      </c>
      <c r="GV127" t="e">
        <f>AND(#REF!,"AAAAAH//b8s=")</f>
        <v>#REF!</v>
      </c>
      <c r="GW127" t="e">
        <f>IF(#REF!,"AAAAAH//b8w=",0)</f>
        <v>#REF!</v>
      </c>
      <c r="GX127" t="e">
        <f>AND(#REF!,"AAAAAH//b80=")</f>
        <v>#REF!</v>
      </c>
      <c r="GY127" t="e">
        <f>AND(#REF!,"AAAAAH//b84=")</f>
        <v>#REF!</v>
      </c>
      <c r="GZ127" t="e">
        <f>AND(#REF!,"AAAAAH//b88=")</f>
        <v>#REF!</v>
      </c>
      <c r="HA127" t="e">
        <f>AND(#REF!,"AAAAAH//b9A=")</f>
        <v>#REF!</v>
      </c>
      <c r="HB127" t="e">
        <f>AND(#REF!,"AAAAAH//b9E=")</f>
        <v>#REF!</v>
      </c>
      <c r="HC127" t="e">
        <f>AND(#REF!,"AAAAAH//b9I=")</f>
        <v>#REF!</v>
      </c>
      <c r="HD127" t="e">
        <f>AND(#REF!,"AAAAAH//b9M=")</f>
        <v>#REF!</v>
      </c>
      <c r="HE127" t="e">
        <f>AND(#REF!,"AAAAAH//b9Q=")</f>
        <v>#REF!</v>
      </c>
      <c r="HF127" t="e">
        <f>AND(#REF!,"AAAAAH//b9U=")</f>
        <v>#REF!</v>
      </c>
      <c r="HG127" t="e">
        <f>AND(#REF!,"AAAAAH//b9Y=")</f>
        <v>#REF!</v>
      </c>
      <c r="HH127" t="e">
        <f>AND(#REF!,"AAAAAH//b9c=")</f>
        <v>#REF!</v>
      </c>
      <c r="HI127" t="e">
        <f>AND(#REF!,"AAAAAH//b9g=")</f>
        <v>#REF!</v>
      </c>
      <c r="HJ127" t="e">
        <f>AND(#REF!,"AAAAAH//b9k=")</f>
        <v>#REF!</v>
      </c>
      <c r="HK127" t="e">
        <f>AND(#REF!,"AAAAAH//b9o=")</f>
        <v>#REF!</v>
      </c>
      <c r="HL127" t="e">
        <f>AND(#REF!,"AAAAAH//b9s=")</f>
        <v>#REF!</v>
      </c>
      <c r="HM127" t="e">
        <f>AND(#REF!,"AAAAAH//b9w=")</f>
        <v>#REF!</v>
      </c>
      <c r="HN127" t="e">
        <f>AND(#REF!,"AAAAAH//b90=")</f>
        <v>#REF!</v>
      </c>
      <c r="HO127" t="e">
        <f>AND(#REF!,"AAAAAH//b94=")</f>
        <v>#REF!</v>
      </c>
      <c r="HP127" t="e">
        <f>AND(#REF!,"AAAAAH//b98=")</f>
        <v>#REF!</v>
      </c>
      <c r="HQ127" t="e">
        <f>AND(#REF!,"AAAAAH//b+A=")</f>
        <v>#REF!</v>
      </c>
      <c r="HR127" t="e">
        <f>AND(#REF!,"AAAAAH//b+E=")</f>
        <v>#REF!</v>
      </c>
      <c r="HS127" t="e">
        <f>AND(#REF!,"AAAAAH//b+I=")</f>
        <v>#REF!</v>
      </c>
      <c r="HT127" t="e">
        <f>AND(#REF!,"AAAAAH//b+M=")</f>
        <v>#REF!</v>
      </c>
      <c r="HU127" t="e">
        <f>AND(#REF!,"AAAAAH//b+Q=")</f>
        <v>#REF!</v>
      </c>
      <c r="HV127" t="e">
        <f>IF(#REF!,"AAAAAH//b+U=",0)</f>
        <v>#REF!</v>
      </c>
      <c r="HW127" t="e">
        <f>AND(#REF!,"AAAAAH//b+Y=")</f>
        <v>#REF!</v>
      </c>
      <c r="HX127" t="e">
        <f>AND(#REF!,"AAAAAH//b+c=")</f>
        <v>#REF!</v>
      </c>
      <c r="HY127" t="e">
        <f>AND(#REF!,"AAAAAH//b+g=")</f>
        <v>#REF!</v>
      </c>
      <c r="HZ127" t="e">
        <f>AND(#REF!,"AAAAAH//b+k=")</f>
        <v>#REF!</v>
      </c>
      <c r="IA127" t="e">
        <f>AND(#REF!,"AAAAAH//b+o=")</f>
        <v>#REF!</v>
      </c>
      <c r="IB127" t="e">
        <f>AND(#REF!,"AAAAAH//b+s=")</f>
        <v>#REF!</v>
      </c>
      <c r="IC127" t="e">
        <f>AND(#REF!,"AAAAAH//b+w=")</f>
        <v>#REF!</v>
      </c>
      <c r="ID127" t="e">
        <f>AND(#REF!,"AAAAAH//b+0=")</f>
        <v>#REF!</v>
      </c>
      <c r="IE127" t="e">
        <f>AND(#REF!,"AAAAAH//b+4=")</f>
        <v>#REF!</v>
      </c>
      <c r="IF127" t="e">
        <f>AND(#REF!,"AAAAAH//b+8=")</f>
        <v>#REF!</v>
      </c>
      <c r="IG127" t="e">
        <f>AND(#REF!,"AAAAAH//b/A=")</f>
        <v>#REF!</v>
      </c>
      <c r="IH127" t="e">
        <f>AND(#REF!,"AAAAAH//b/E=")</f>
        <v>#REF!</v>
      </c>
      <c r="II127" t="e">
        <f>AND(#REF!,"AAAAAH//b/I=")</f>
        <v>#REF!</v>
      </c>
      <c r="IJ127" t="e">
        <f>AND(#REF!,"AAAAAH//b/M=")</f>
        <v>#REF!</v>
      </c>
      <c r="IK127" t="e">
        <f>AND(#REF!,"AAAAAH//b/Q=")</f>
        <v>#REF!</v>
      </c>
      <c r="IL127" t="e">
        <f>AND(#REF!,"AAAAAH//b/U=")</f>
        <v>#REF!</v>
      </c>
      <c r="IM127" t="e">
        <f>AND(#REF!,"AAAAAH//b/Y=")</f>
        <v>#REF!</v>
      </c>
      <c r="IN127" t="e">
        <f>AND(#REF!,"AAAAAH//b/c=")</f>
        <v>#REF!</v>
      </c>
      <c r="IO127" t="e">
        <f>AND(#REF!,"AAAAAH//b/g=")</f>
        <v>#REF!</v>
      </c>
      <c r="IP127" t="e">
        <f>AND(#REF!,"AAAAAH//b/k=")</f>
        <v>#REF!</v>
      </c>
      <c r="IQ127" t="e">
        <f>AND(#REF!,"AAAAAH//b/o=")</f>
        <v>#REF!</v>
      </c>
      <c r="IR127" t="e">
        <f>AND(#REF!,"AAAAAH//b/s=")</f>
        <v>#REF!</v>
      </c>
      <c r="IS127" t="e">
        <f>AND(#REF!,"AAAAAH//b/w=")</f>
        <v>#REF!</v>
      </c>
      <c r="IT127" t="e">
        <f>AND(#REF!,"AAAAAH//b/0=")</f>
        <v>#REF!</v>
      </c>
      <c r="IU127" t="e">
        <f>IF(#REF!,"AAAAAH//b/4=",0)</f>
        <v>#REF!</v>
      </c>
      <c r="IV127" t="e">
        <f>AND(#REF!,"AAAAAH//b/8=")</f>
        <v>#REF!</v>
      </c>
    </row>
    <row r="128" spans="1:256">
      <c r="A128" t="e">
        <f>AND(#REF!,"AAAAAHt30wA=")</f>
        <v>#REF!</v>
      </c>
      <c r="B128" t="e">
        <f>AND(#REF!,"AAAAAHt30wE=")</f>
        <v>#REF!</v>
      </c>
      <c r="C128" t="e">
        <f>AND(#REF!,"AAAAAHt30wI=")</f>
        <v>#REF!</v>
      </c>
      <c r="D128" t="e">
        <f>AND(#REF!,"AAAAAHt30wM=")</f>
        <v>#REF!</v>
      </c>
      <c r="E128" t="e">
        <f>AND(#REF!,"AAAAAHt30wQ=")</f>
        <v>#REF!</v>
      </c>
      <c r="F128" t="e">
        <f>AND(#REF!,"AAAAAHt30wU=")</f>
        <v>#REF!</v>
      </c>
      <c r="G128" t="e">
        <f>AND(#REF!,"AAAAAHt30wY=")</f>
        <v>#REF!</v>
      </c>
      <c r="H128" t="e">
        <f>AND(#REF!,"AAAAAHt30wc=")</f>
        <v>#REF!</v>
      </c>
      <c r="I128" t="e">
        <f>AND(#REF!,"AAAAAHt30wg=")</f>
        <v>#REF!</v>
      </c>
      <c r="J128" t="e">
        <f>AND(#REF!,"AAAAAHt30wk=")</f>
        <v>#REF!</v>
      </c>
      <c r="K128" t="e">
        <f>AND(#REF!,"AAAAAHt30wo=")</f>
        <v>#REF!</v>
      </c>
      <c r="L128" t="e">
        <f>AND(#REF!,"AAAAAHt30ws=")</f>
        <v>#REF!</v>
      </c>
      <c r="M128" t="e">
        <f>AND(#REF!,"AAAAAHt30ww=")</f>
        <v>#REF!</v>
      </c>
      <c r="N128" t="e">
        <f>AND(#REF!,"AAAAAHt30w0=")</f>
        <v>#REF!</v>
      </c>
      <c r="O128" t="e">
        <f>AND(#REF!,"AAAAAHt30w4=")</f>
        <v>#REF!</v>
      </c>
      <c r="P128" t="e">
        <f>AND(#REF!,"AAAAAHt30w8=")</f>
        <v>#REF!</v>
      </c>
      <c r="Q128" t="e">
        <f>AND(#REF!,"AAAAAHt30xA=")</f>
        <v>#REF!</v>
      </c>
      <c r="R128" t="e">
        <f>AND(#REF!,"AAAAAHt30xE=")</f>
        <v>#REF!</v>
      </c>
      <c r="S128" t="e">
        <f>AND(#REF!,"AAAAAHt30xI=")</f>
        <v>#REF!</v>
      </c>
      <c r="T128" t="e">
        <f>AND(#REF!,"AAAAAHt30xM=")</f>
        <v>#REF!</v>
      </c>
      <c r="U128" t="e">
        <f>AND(#REF!,"AAAAAHt30xQ=")</f>
        <v>#REF!</v>
      </c>
      <c r="V128" t="e">
        <f>AND(#REF!,"AAAAAHt30xU=")</f>
        <v>#REF!</v>
      </c>
      <c r="W128" t="e">
        <f>AND(#REF!,"AAAAAHt30xY=")</f>
        <v>#REF!</v>
      </c>
      <c r="X128" t="e">
        <f>IF(#REF!,"AAAAAHt30xc=",0)</f>
        <v>#REF!</v>
      </c>
      <c r="Y128" t="e">
        <f>AND(#REF!,"AAAAAHt30xg=")</f>
        <v>#REF!</v>
      </c>
      <c r="Z128" t="e">
        <f>AND(#REF!,"AAAAAHt30xk=")</f>
        <v>#REF!</v>
      </c>
      <c r="AA128" t="e">
        <f>AND(#REF!,"AAAAAHt30xo=")</f>
        <v>#REF!</v>
      </c>
      <c r="AB128" t="e">
        <f>AND(#REF!,"AAAAAHt30xs=")</f>
        <v>#REF!</v>
      </c>
      <c r="AC128" t="e">
        <f>AND(#REF!,"AAAAAHt30xw=")</f>
        <v>#REF!</v>
      </c>
      <c r="AD128" t="e">
        <f>AND(#REF!,"AAAAAHt30x0=")</f>
        <v>#REF!</v>
      </c>
      <c r="AE128" t="e">
        <f>AND(#REF!,"AAAAAHt30x4=")</f>
        <v>#REF!</v>
      </c>
      <c r="AF128" t="e">
        <f>AND(#REF!,"AAAAAHt30x8=")</f>
        <v>#REF!</v>
      </c>
      <c r="AG128" t="e">
        <f>AND(#REF!,"AAAAAHt30yA=")</f>
        <v>#REF!</v>
      </c>
      <c r="AH128" t="e">
        <f>AND(#REF!,"AAAAAHt30yE=")</f>
        <v>#REF!</v>
      </c>
      <c r="AI128" t="e">
        <f>AND(#REF!,"AAAAAHt30yI=")</f>
        <v>#REF!</v>
      </c>
      <c r="AJ128" t="e">
        <f>AND(#REF!,"AAAAAHt30yM=")</f>
        <v>#REF!</v>
      </c>
      <c r="AK128" t="e">
        <f>AND(#REF!,"AAAAAHt30yQ=")</f>
        <v>#REF!</v>
      </c>
      <c r="AL128" t="e">
        <f>AND(#REF!,"AAAAAHt30yU=")</f>
        <v>#REF!</v>
      </c>
      <c r="AM128" t="e">
        <f>AND(#REF!,"AAAAAHt30yY=")</f>
        <v>#REF!</v>
      </c>
      <c r="AN128" t="e">
        <f>AND(#REF!,"AAAAAHt30yc=")</f>
        <v>#REF!</v>
      </c>
      <c r="AO128" t="e">
        <f>AND(#REF!,"AAAAAHt30yg=")</f>
        <v>#REF!</v>
      </c>
      <c r="AP128" t="e">
        <f>AND(#REF!,"AAAAAHt30yk=")</f>
        <v>#REF!</v>
      </c>
      <c r="AQ128" t="e">
        <f>AND(#REF!,"AAAAAHt30yo=")</f>
        <v>#REF!</v>
      </c>
      <c r="AR128" t="e">
        <f>AND(#REF!,"AAAAAHt30ys=")</f>
        <v>#REF!</v>
      </c>
      <c r="AS128" t="e">
        <f>AND(#REF!,"AAAAAHt30yw=")</f>
        <v>#REF!</v>
      </c>
      <c r="AT128" t="e">
        <f>AND(#REF!,"AAAAAHt30y0=")</f>
        <v>#REF!</v>
      </c>
      <c r="AU128" t="e">
        <f>AND(#REF!,"AAAAAHt30y4=")</f>
        <v>#REF!</v>
      </c>
      <c r="AV128" t="e">
        <f>AND(#REF!,"AAAAAHt30y8=")</f>
        <v>#REF!</v>
      </c>
      <c r="AW128" t="e">
        <f>IF(#REF!,"AAAAAHt30zA=",0)</f>
        <v>#REF!</v>
      </c>
      <c r="AX128" t="e">
        <f>AND(#REF!,"AAAAAHt30zE=")</f>
        <v>#REF!</v>
      </c>
      <c r="AY128" t="e">
        <f>AND(#REF!,"AAAAAHt30zI=")</f>
        <v>#REF!</v>
      </c>
      <c r="AZ128" t="e">
        <f>AND(#REF!,"AAAAAHt30zM=")</f>
        <v>#REF!</v>
      </c>
      <c r="BA128" t="e">
        <f>AND(#REF!,"AAAAAHt30zQ=")</f>
        <v>#REF!</v>
      </c>
      <c r="BB128" t="e">
        <f>AND(#REF!,"AAAAAHt30zU=")</f>
        <v>#REF!</v>
      </c>
      <c r="BC128" t="e">
        <f>AND(#REF!,"AAAAAHt30zY=")</f>
        <v>#REF!</v>
      </c>
      <c r="BD128" t="e">
        <f>AND(#REF!,"AAAAAHt30zc=")</f>
        <v>#REF!</v>
      </c>
      <c r="BE128" t="e">
        <f>AND(#REF!,"AAAAAHt30zg=")</f>
        <v>#REF!</v>
      </c>
      <c r="BF128" t="e">
        <f>AND(#REF!,"AAAAAHt30zk=")</f>
        <v>#REF!</v>
      </c>
      <c r="BG128" t="e">
        <f>AND(#REF!,"AAAAAHt30zo=")</f>
        <v>#REF!</v>
      </c>
      <c r="BH128" t="e">
        <f>AND(#REF!,"AAAAAHt30zs=")</f>
        <v>#REF!</v>
      </c>
      <c r="BI128" t="e">
        <f>AND(#REF!,"AAAAAHt30zw=")</f>
        <v>#REF!</v>
      </c>
      <c r="BJ128" t="e">
        <f>AND(#REF!,"AAAAAHt30z0=")</f>
        <v>#REF!</v>
      </c>
      <c r="BK128" t="e">
        <f>AND(#REF!,"AAAAAHt30z4=")</f>
        <v>#REF!</v>
      </c>
      <c r="BL128" t="e">
        <f>AND(#REF!,"AAAAAHt30z8=")</f>
        <v>#REF!</v>
      </c>
      <c r="BM128" t="e">
        <f>AND(#REF!,"AAAAAHt300A=")</f>
        <v>#REF!</v>
      </c>
      <c r="BN128" t="e">
        <f>AND(#REF!,"AAAAAHt300E=")</f>
        <v>#REF!</v>
      </c>
      <c r="BO128" t="e">
        <f>AND(#REF!,"AAAAAHt300I=")</f>
        <v>#REF!</v>
      </c>
      <c r="BP128" t="e">
        <f>AND(#REF!,"AAAAAHt300M=")</f>
        <v>#REF!</v>
      </c>
      <c r="BQ128" t="e">
        <f>AND(#REF!,"AAAAAHt300Q=")</f>
        <v>#REF!</v>
      </c>
      <c r="BR128" t="e">
        <f>AND(#REF!,"AAAAAHt300U=")</f>
        <v>#REF!</v>
      </c>
      <c r="BS128" t="e">
        <f>AND(#REF!,"AAAAAHt300Y=")</f>
        <v>#REF!</v>
      </c>
      <c r="BT128" t="e">
        <f>AND(#REF!,"AAAAAHt300c=")</f>
        <v>#REF!</v>
      </c>
      <c r="BU128" t="e">
        <f>AND(#REF!,"AAAAAHt300g=")</f>
        <v>#REF!</v>
      </c>
      <c r="BV128" t="e">
        <f>IF(#REF!,"AAAAAHt300k=",0)</f>
        <v>#REF!</v>
      </c>
      <c r="BW128" t="e">
        <f>AND(#REF!,"AAAAAHt300o=")</f>
        <v>#REF!</v>
      </c>
      <c r="BX128" t="e">
        <f>AND(#REF!,"AAAAAHt300s=")</f>
        <v>#REF!</v>
      </c>
      <c r="BY128" t="e">
        <f>AND(#REF!,"AAAAAHt300w=")</f>
        <v>#REF!</v>
      </c>
      <c r="BZ128" t="e">
        <f>AND(#REF!,"AAAAAHt3000=")</f>
        <v>#REF!</v>
      </c>
      <c r="CA128" t="e">
        <f>AND(#REF!,"AAAAAHt3004=")</f>
        <v>#REF!</v>
      </c>
      <c r="CB128" t="e">
        <f>AND(#REF!,"AAAAAHt3008=")</f>
        <v>#REF!</v>
      </c>
      <c r="CC128" t="e">
        <f>AND(#REF!,"AAAAAHt301A=")</f>
        <v>#REF!</v>
      </c>
      <c r="CD128" t="e">
        <f>AND(#REF!,"AAAAAHt301E=")</f>
        <v>#REF!</v>
      </c>
      <c r="CE128" t="e">
        <f>AND(#REF!,"AAAAAHt301I=")</f>
        <v>#REF!</v>
      </c>
      <c r="CF128" t="e">
        <f>AND(#REF!,"AAAAAHt301M=")</f>
        <v>#REF!</v>
      </c>
      <c r="CG128" t="e">
        <f>AND(#REF!,"AAAAAHt301Q=")</f>
        <v>#REF!</v>
      </c>
      <c r="CH128" t="e">
        <f>AND(#REF!,"AAAAAHt301U=")</f>
        <v>#REF!</v>
      </c>
      <c r="CI128" t="e">
        <f>AND(#REF!,"AAAAAHt301Y=")</f>
        <v>#REF!</v>
      </c>
      <c r="CJ128" t="e">
        <f>AND(#REF!,"AAAAAHt301c=")</f>
        <v>#REF!</v>
      </c>
      <c r="CK128" t="e">
        <f>AND(#REF!,"AAAAAHt301g=")</f>
        <v>#REF!</v>
      </c>
      <c r="CL128" t="e">
        <f>AND(#REF!,"AAAAAHt301k=")</f>
        <v>#REF!</v>
      </c>
      <c r="CM128" t="e">
        <f>AND(#REF!,"AAAAAHt301o=")</f>
        <v>#REF!</v>
      </c>
      <c r="CN128" t="e">
        <f>AND(#REF!,"AAAAAHt301s=")</f>
        <v>#REF!</v>
      </c>
      <c r="CO128" t="e">
        <f>AND(#REF!,"AAAAAHt301w=")</f>
        <v>#REF!</v>
      </c>
      <c r="CP128" t="e">
        <f>AND(#REF!,"AAAAAHt3010=")</f>
        <v>#REF!</v>
      </c>
      <c r="CQ128" t="e">
        <f>AND(#REF!,"AAAAAHt3014=")</f>
        <v>#REF!</v>
      </c>
      <c r="CR128" t="e">
        <f>AND(#REF!,"AAAAAHt3018=")</f>
        <v>#REF!</v>
      </c>
      <c r="CS128" t="e">
        <f>AND(#REF!,"AAAAAHt302A=")</f>
        <v>#REF!</v>
      </c>
      <c r="CT128" t="e">
        <f>AND(#REF!,"AAAAAHt302E=")</f>
        <v>#REF!</v>
      </c>
      <c r="CU128" t="e">
        <f>IF(#REF!,"AAAAAHt302I=",0)</f>
        <v>#REF!</v>
      </c>
      <c r="CV128" t="e">
        <f>AND(#REF!,"AAAAAHt302M=")</f>
        <v>#REF!</v>
      </c>
      <c r="CW128" t="e">
        <f>AND(#REF!,"AAAAAHt302Q=")</f>
        <v>#REF!</v>
      </c>
      <c r="CX128" t="e">
        <f>AND(#REF!,"AAAAAHt302U=")</f>
        <v>#REF!</v>
      </c>
      <c r="CY128" t="e">
        <f>AND(#REF!,"AAAAAHt302Y=")</f>
        <v>#REF!</v>
      </c>
      <c r="CZ128" t="e">
        <f>AND(#REF!,"AAAAAHt302c=")</f>
        <v>#REF!</v>
      </c>
      <c r="DA128" t="e">
        <f>AND(#REF!,"AAAAAHt302g=")</f>
        <v>#REF!</v>
      </c>
      <c r="DB128" t="e">
        <f>AND(#REF!,"AAAAAHt302k=")</f>
        <v>#REF!</v>
      </c>
      <c r="DC128" t="e">
        <f>AND(#REF!,"AAAAAHt302o=")</f>
        <v>#REF!</v>
      </c>
      <c r="DD128" t="e">
        <f>AND(#REF!,"AAAAAHt302s=")</f>
        <v>#REF!</v>
      </c>
      <c r="DE128" t="e">
        <f>AND(#REF!,"AAAAAHt302w=")</f>
        <v>#REF!</v>
      </c>
      <c r="DF128" t="e">
        <f>AND(#REF!,"AAAAAHt3020=")</f>
        <v>#REF!</v>
      </c>
      <c r="DG128" t="e">
        <f>AND(#REF!,"AAAAAHt3024=")</f>
        <v>#REF!</v>
      </c>
      <c r="DH128" t="e">
        <f>AND(#REF!,"AAAAAHt3028=")</f>
        <v>#REF!</v>
      </c>
      <c r="DI128" t="e">
        <f>AND(#REF!,"AAAAAHt303A=")</f>
        <v>#REF!</v>
      </c>
      <c r="DJ128" t="e">
        <f>AND(#REF!,"AAAAAHt303E=")</f>
        <v>#REF!</v>
      </c>
      <c r="DK128" t="e">
        <f>AND(#REF!,"AAAAAHt303I=")</f>
        <v>#REF!</v>
      </c>
      <c r="DL128" t="e">
        <f>AND(#REF!,"AAAAAHt303M=")</f>
        <v>#REF!</v>
      </c>
      <c r="DM128" t="e">
        <f>AND(#REF!,"AAAAAHt303Q=")</f>
        <v>#REF!</v>
      </c>
      <c r="DN128" t="e">
        <f>AND(#REF!,"AAAAAHt303U=")</f>
        <v>#REF!</v>
      </c>
      <c r="DO128" t="e">
        <f>AND(#REF!,"AAAAAHt303Y=")</f>
        <v>#REF!</v>
      </c>
      <c r="DP128" t="e">
        <f>AND(#REF!,"AAAAAHt303c=")</f>
        <v>#REF!</v>
      </c>
      <c r="DQ128" t="e">
        <f>AND(#REF!,"AAAAAHt303g=")</f>
        <v>#REF!</v>
      </c>
      <c r="DR128" t="e">
        <f>AND(#REF!,"AAAAAHt303k=")</f>
        <v>#REF!</v>
      </c>
      <c r="DS128" t="e">
        <f>AND(#REF!,"AAAAAHt303o=")</f>
        <v>#REF!</v>
      </c>
      <c r="DT128" t="e">
        <f>IF(#REF!,"AAAAAHt303s=",0)</f>
        <v>#REF!</v>
      </c>
      <c r="DU128" t="e">
        <f>AND(#REF!,"AAAAAHt303w=")</f>
        <v>#REF!</v>
      </c>
      <c r="DV128" t="e">
        <f>AND(#REF!,"AAAAAHt3030=")</f>
        <v>#REF!</v>
      </c>
      <c r="DW128" t="e">
        <f>AND(#REF!,"AAAAAHt3034=")</f>
        <v>#REF!</v>
      </c>
      <c r="DX128" t="e">
        <f>AND(#REF!,"AAAAAHt3038=")</f>
        <v>#REF!</v>
      </c>
      <c r="DY128" t="e">
        <f>AND(#REF!,"AAAAAHt304A=")</f>
        <v>#REF!</v>
      </c>
      <c r="DZ128" t="e">
        <f>AND(#REF!,"AAAAAHt304E=")</f>
        <v>#REF!</v>
      </c>
      <c r="EA128" t="e">
        <f>AND(#REF!,"AAAAAHt304I=")</f>
        <v>#REF!</v>
      </c>
      <c r="EB128" t="e">
        <f>AND(#REF!,"AAAAAHt304M=")</f>
        <v>#REF!</v>
      </c>
      <c r="EC128" t="e">
        <f>AND(#REF!,"AAAAAHt304Q=")</f>
        <v>#REF!</v>
      </c>
      <c r="ED128" t="e">
        <f>AND(#REF!,"AAAAAHt304U=")</f>
        <v>#REF!</v>
      </c>
      <c r="EE128" t="e">
        <f>AND(#REF!,"AAAAAHt304Y=")</f>
        <v>#REF!</v>
      </c>
      <c r="EF128" t="e">
        <f>AND(#REF!,"AAAAAHt304c=")</f>
        <v>#REF!</v>
      </c>
      <c r="EG128" t="e">
        <f>AND(#REF!,"AAAAAHt304g=")</f>
        <v>#REF!</v>
      </c>
      <c r="EH128" t="e">
        <f>AND(#REF!,"AAAAAHt304k=")</f>
        <v>#REF!</v>
      </c>
      <c r="EI128" t="e">
        <f>AND(#REF!,"AAAAAHt304o=")</f>
        <v>#REF!</v>
      </c>
      <c r="EJ128" t="e">
        <f>AND(#REF!,"AAAAAHt304s=")</f>
        <v>#REF!</v>
      </c>
      <c r="EK128" t="e">
        <f>AND(#REF!,"AAAAAHt304w=")</f>
        <v>#REF!</v>
      </c>
      <c r="EL128" t="e">
        <f>AND(#REF!,"AAAAAHt3040=")</f>
        <v>#REF!</v>
      </c>
      <c r="EM128" t="e">
        <f>AND(#REF!,"AAAAAHt3044=")</f>
        <v>#REF!</v>
      </c>
      <c r="EN128" t="e">
        <f>AND(#REF!,"AAAAAHt3048=")</f>
        <v>#REF!</v>
      </c>
      <c r="EO128" t="e">
        <f>AND(#REF!,"AAAAAHt305A=")</f>
        <v>#REF!</v>
      </c>
      <c r="EP128" t="e">
        <f>AND(#REF!,"AAAAAHt305E=")</f>
        <v>#REF!</v>
      </c>
      <c r="EQ128" t="e">
        <f>AND(#REF!,"AAAAAHt305I=")</f>
        <v>#REF!</v>
      </c>
      <c r="ER128" t="e">
        <f>AND(#REF!,"AAAAAHt305M=")</f>
        <v>#REF!</v>
      </c>
      <c r="ES128" t="e">
        <f>IF(#REF!,"AAAAAHt305Q=",0)</f>
        <v>#REF!</v>
      </c>
      <c r="ET128" t="e">
        <f>AND(#REF!,"AAAAAHt305U=")</f>
        <v>#REF!</v>
      </c>
      <c r="EU128" t="e">
        <f>AND(#REF!,"AAAAAHt305Y=")</f>
        <v>#REF!</v>
      </c>
      <c r="EV128" t="e">
        <f>AND(#REF!,"AAAAAHt305c=")</f>
        <v>#REF!</v>
      </c>
      <c r="EW128" t="e">
        <f>AND(#REF!,"AAAAAHt305g=")</f>
        <v>#REF!</v>
      </c>
      <c r="EX128" t="e">
        <f>AND(#REF!,"AAAAAHt305k=")</f>
        <v>#REF!</v>
      </c>
      <c r="EY128" t="e">
        <f>AND(#REF!,"AAAAAHt305o=")</f>
        <v>#REF!</v>
      </c>
      <c r="EZ128" t="e">
        <f>AND(#REF!,"AAAAAHt305s=")</f>
        <v>#REF!</v>
      </c>
      <c r="FA128" t="e">
        <f>AND(#REF!,"AAAAAHt305w=")</f>
        <v>#REF!</v>
      </c>
      <c r="FB128" t="e">
        <f>AND(#REF!,"AAAAAHt3050=")</f>
        <v>#REF!</v>
      </c>
      <c r="FC128" t="e">
        <f>AND(#REF!,"AAAAAHt3054=")</f>
        <v>#REF!</v>
      </c>
      <c r="FD128" t="e">
        <f>AND(#REF!,"AAAAAHt3058=")</f>
        <v>#REF!</v>
      </c>
      <c r="FE128" t="e">
        <f>AND(#REF!,"AAAAAHt306A=")</f>
        <v>#REF!</v>
      </c>
      <c r="FF128" t="e">
        <f>AND(#REF!,"AAAAAHt306E=")</f>
        <v>#REF!</v>
      </c>
      <c r="FG128" t="e">
        <f>AND(#REF!,"AAAAAHt306I=")</f>
        <v>#REF!</v>
      </c>
      <c r="FH128" t="e">
        <f>AND(#REF!,"AAAAAHt306M=")</f>
        <v>#REF!</v>
      </c>
      <c r="FI128" t="e">
        <f>AND(#REF!,"AAAAAHt306Q=")</f>
        <v>#REF!</v>
      </c>
      <c r="FJ128" t="e">
        <f>AND(#REF!,"AAAAAHt306U=")</f>
        <v>#REF!</v>
      </c>
      <c r="FK128" t="e">
        <f>AND(#REF!,"AAAAAHt306Y=")</f>
        <v>#REF!</v>
      </c>
      <c r="FL128" t="e">
        <f>AND(#REF!,"AAAAAHt306c=")</f>
        <v>#REF!</v>
      </c>
      <c r="FM128" t="e">
        <f>AND(#REF!,"AAAAAHt306g=")</f>
        <v>#REF!</v>
      </c>
      <c r="FN128" t="e">
        <f>AND(#REF!,"AAAAAHt306k=")</f>
        <v>#REF!</v>
      </c>
      <c r="FO128" t="e">
        <f>AND(#REF!,"AAAAAHt306o=")</f>
        <v>#REF!</v>
      </c>
      <c r="FP128" t="e">
        <f>AND(#REF!,"AAAAAHt306s=")</f>
        <v>#REF!</v>
      </c>
      <c r="FQ128" t="e">
        <f>AND(#REF!,"AAAAAHt306w=")</f>
        <v>#REF!</v>
      </c>
      <c r="FR128" t="e">
        <f>IF(#REF!,"AAAAAHt3060=",0)</f>
        <v>#REF!</v>
      </c>
      <c r="FS128" t="e">
        <f>AND(#REF!,"AAAAAHt3064=")</f>
        <v>#REF!</v>
      </c>
      <c r="FT128" t="e">
        <f>AND(#REF!,"AAAAAHt3068=")</f>
        <v>#REF!</v>
      </c>
      <c r="FU128" t="e">
        <f>AND(#REF!,"AAAAAHt307A=")</f>
        <v>#REF!</v>
      </c>
      <c r="FV128" t="e">
        <f>AND(#REF!,"AAAAAHt307E=")</f>
        <v>#REF!</v>
      </c>
      <c r="FW128" t="e">
        <f>AND(#REF!,"AAAAAHt307I=")</f>
        <v>#REF!</v>
      </c>
      <c r="FX128" t="e">
        <f>AND(#REF!,"AAAAAHt307M=")</f>
        <v>#REF!</v>
      </c>
      <c r="FY128" t="e">
        <f>AND(#REF!,"AAAAAHt307Q=")</f>
        <v>#REF!</v>
      </c>
      <c r="FZ128" t="e">
        <f>AND(#REF!,"AAAAAHt307U=")</f>
        <v>#REF!</v>
      </c>
      <c r="GA128" t="e">
        <f>AND(#REF!,"AAAAAHt307Y=")</f>
        <v>#REF!</v>
      </c>
      <c r="GB128" t="e">
        <f>AND(#REF!,"AAAAAHt307c=")</f>
        <v>#REF!</v>
      </c>
      <c r="GC128" t="e">
        <f>AND(#REF!,"AAAAAHt307g=")</f>
        <v>#REF!</v>
      </c>
      <c r="GD128" t="e">
        <f>AND(#REF!,"AAAAAHt307k=")</f>
        <v>#REF!</v>
      </c>
      <c r="GE128" t="e">
        <f>AND(#REF!,"AAAAAHt307o=")</f>
        <v>#REF!</v>
      </c>
      <c r="GF128" t="e">
        <f>AND(#REF!,"AAAAAHt307s=")</f>
        <v>#REF!</v>
      </c>
      <c r="GG128" t="e">
        <f>AND(#REF!,"AAAAAHt307w=")</f>
        <v>#REF!</v>
      </c>
      <c r="GH128" t="e">
        <f>AND(#REF!,"AAAAAHt3070=")</f>
        <v>#REF!</v>
      </c>
      <c r="GI128" t="e">
        <f>AND(#REF!,"AAAAAHt3074=")</f>
        <v>#REF!</v>
      </c>
      <c r="GJ128" t="e">
        <f>AND(#REF!,"AAAAAHt3078=")</f>
        <v>#REF!</v>
      </c>
      <c r="GK128" t="e">
        <f>AND(#REF!,"AAAAAHt308A=")</f>
        <v>#REF!</v>
      </c>
      <c r="GL128" t="e">
        <f>AND(#REF!,"AAAAAHt308E=")</f>
        <v>#REF!</v>
      </c>
      <c r="GM128" t="e">
        <f>AND(#REF!,"AAAAAHt308I=")</f>
        <v>#REF!</v>
      </c>
      <c r="GN128" t="e">
        <f>AND(#REF!,"AAAAAHt308M=")</f>
        <v>#REF!</v>
      </c>
      <c r="GO128" t="e">
        <f>AND(#REF!,"AAAAAHt308Q=")</f>
        <v>#REF!</v>
      </c>
      <c r="GP128" t="e">
        <f>AND(#REF!,"AAAAAHt308U=")</f>
        <v>#REF!</v>
      </c>
      <c r="GQ128" t="e">
        <f>IF(#REF!,"AAAAAHt308Y=",0)</f>
        <v>#REF!</v>
      </c>
      <c r="GR128" t="e">
        <f>AND(#REF!,"AAAAAHt308c=")</f>
        <v>#REF!</v>
      </c>
      <c r="GS128" t="e">
        <f>AND(#REF!,"AAAAAHt308g=")</f>
        <v>#REF!</v>
      </c>
      <c r="GT128" t="e">
        <f>AND(#REF!,"AAAAAHt308k=")</f>
        <v>#REF!</v>
      </c>
      <c r="GU128" t="e">
        <f>AND(#REF!,"AAAAAHt308o=")</f>
        <v>#REF!</v>
      </c>
      <c r="GV128" t="e">
        <f>AND(#REF!,"AAAAAHt308s=")</f>
        <v>#REF!</v>
      </c>
      <c r="GW128" t="e">
        <f>AND(#REF!,"AAAAAHt308w=")</f>
        <v>#REF!</v>
      </c>
      <c r="GX128" t="e">
        <f>AND(#REF!,"AAAAAHt3080=")</f>
        <v>#REF!</v>
      </c>
      <c r="GY128" t="e">
        <f>AND(#REF!,"AAAAAHt3084=")</f>
        <v>#REF!</v>
      </c>
      <c r="GZ128" t="e">
        <f>AND(#REF!,"AAAAAHt3088=")</f>
        <v>#REF!</v>
      </c>
      <c r="HA128" t="e">
        <f>AND(#REF!,"AAAAAHt309A=")</f>
        <v>#REF!</v>
      </c>
      <c r="HB128" t="e">
        <f>AND(#REF!,"AAAAAHt309E=")</f>
        <v>#REF!</v>
      </c>
      <c r="HC128" t="e">
        <f>AND(#REF!,"AAAAAHt309I=")</f>
        <v>#REF!</v>
      </c>
      <c r="HD128" t="e">
        <f>AND(#REF!,"AAAAAHt309M=")</f>
        <v>#REF!</v>
      </c>
      <c r="HE128" t="e">
        <f>AND(#REF!,"AAAAAHt309Q=")</f>
        <v>#REF!</v>
      </c>
      <c r="HF128" t="e">
        <f>AND(#REF!,"AAAAAHt309U=")</f>
        <v>#REF!</v>
      </c>
      <c r="HG128" t="e">
        <f>AND(#REF!,"AAAAAHt309Y=")</f>
        <v>#REF!</v>
      </c>
      <c r="HH128" t="e">
        <f>AND(#REF!,"AAAAAHt309c=")</f>
        <v>#REF!</v>
      </c>
      <c r="HI128" t="e">
        <f>AND(#REF!,"AAAAAHt309g=")</f>
        <v>#REF!</v>
      </c>
      <c r="HJ128" t="e">
        <f>AND(#REF!,"AAAAAHt309k=")</f>
        <v>#REF!</v>
      </c>
      <c r="HK128" t="e">
        <f>AND(#REF!,"AAAAAHt309o=")</f>
        <v>#REF!</v>
      </c>
      <c r="HL128" t="e">
        <f>AND(#REF!,"AAAAAHt309s=")</f>
        <v>#REF!</v>
      </c>
      <c r="HM128" t="e">
        <f>AND(#REF!,"AAAAAHt309w=")</f>
        <v>#REF!</v>
      </c>
      <c r="HN128" t="e">
        <f>AND(#REF!,"AAAAAHt3090=")</f>
        <v>#REF!</v>
      </c>
      <c r="HO128" t="e">
        <f>AND(#REF!,"AAAAAHt3094=")</f>
        <v>#REF!</v>
      </c>
      <c r="HP128" t="e">
        <f>IF(#REF!,"AAAAAHt3098=",0)</f>
        <v>#REF!</v>
      </c>
      <c r="HQ128" t="e">
        <f>AND(#REF!,"AAAAAHt30+A=")</f>
        <v>#REF!</v>
      </c>
      <c r="HR128" t="e">
        <f>AND(#REF!,"AAAAAHt30+E=")</f>
        <v>#REF!</v>
      </c>
      <c r="HS128" t="e">
        <f>AND(#REF!,"AAAAAHt30+I=")</f>
        <v>#REF!</v>
      </c>
      <c r="HT128" t="e">
        <f>AND(#REF!,"AAAAAHt30+M=")</f>
        <v>#REF!</v>
      </c>
      <c r="HU128" t="e">
        <f>AND(#REF!,"AAAAAHt30+Q=")</f>
        <v>#REF!</v>
      </c>
      <c r="HV128" t="e">
        <f>AND(#REF!,"AAAAAHt30+U=")</f>
        <v>#REF!</v>
      </c>
      <c r="HW128" t="e">
        <f>AND(#REF!,"AAAAAHt30+Y=")</f>
        <v>#REF!</v>
      </c>
      <c r="HX128" t="e">
        <f>AND(#REF!,"AAAAAHt30+c=")</f>
        <v>#REF!</v>
      </c>
      <c r="HY128" t="e">
        <f>AND(#REF!,"AAAAAHt30+g=")</f>
        <v>#REF!</v>
      </c>
      <c r="HZ128" t="e">
        <f>AND(#REF!,"AAAAAHt30+k=")</f>
        <v>#REF!</v>
      </c>
      <c r="IA128" t="e">
        <f>AND(#REF!,"AAAAAHt30+o=")</f>
        <v>#REF!</v>
      </c>
      <c r="IB128" t="e">
        <f>AND(#REF!,"AAAAAHt30+s=")</f>
        <v>#REF!</v>
      </c>
      <c r="IC128" t="e">
        <f>AND(#REF!,"AAAAAHt30+w=")</f>
        <v>#REF!</v>
      </c>
      <c r="ID128" t="e">
        <f>AND(#REF!,"AAAAAHt30+0=")</f>
        <v>#REF!</v>
      </c>
      <c r="IE128" t="e">
        <f>AND(#REF!,"AAAAAHt30+4=")</f>
        <v>#REF!</v>
      </c>
      <c r="IF128" t="e">
        <f>AND(#REF!,"AAAAAHt30+8=")</f>
        <v>#REF!</v>
      </c>
      <c r="IG128" t="e">
        <f>AND(#REF!,"AAAAAHt30/A=")</f>
        <v>#REF!</v>
      </c>
      <c r="IH128" t="e">
        <f>AND(#REF!,"AAAAAHt30/E=")</f>
        <v>#REF!</v>
      </c>
      <c r="II128" t="e">
        <f>AND(#REF!,"AAAAAHt30/I=")</f>
        <v>#REF!</v>
      </c>
      <c r="IJ128" t="e">
        <f>AND(#REF!,"AAAAAHt30/M=")</f>
        <v>#REF!</v>
      </c>
      <c r="IK128" t="e">
        <f>AND(#REF!,"AAAAAHt30/Q=")</f>
        <v>#REF!</v>
      </c>
      <c r="IL128" t="e">
        <f>AND(#REF!,"AAAAAHt30/U=")</f>
        <v>#REF!</v>
      </c>
      <c r="IM128" t="e">
        <f>AND(#REF!,"AAAAAHt30/Y=")</f>
        <v>#REF!</v>
      </c>
      <c r="IN128" t="e">
        <f>AND(#REF!,"AAAAAHt30/c=")</f>
        <v>#REF!</v>
      </c>
      <c r="IO128" t="e">
        <f>IF(#REF!,"AAAAAHt30/g=",0)</f>
        <v>#REF!</v>
      </c>
      <c r="IP128" t="e">
        <f>AND(#REF!,"AAAAAHt30/k=")</f>
        <v>#REF!</v>
      </c>
      <c r="IQ128" t="e">
        <f>AND(#REF!,"AAAAAHt30/o=")</f>
        <v>#REF!</v>
      </c>
      <c r="IR128" t="e">
        <f>AND(#REF!,"AAAAAHt30/s=")</f>
        <v>#REF!</v>
      </c>
      <c r="IS128" t="e">
        <f>AND(#REF!,"AAAAAHt30/w=")</f>
        <v>#REF!</v>
      </c>
      <c r="IT128" t="e">
        <f>AND(#REF!,"AAAAAHt30/0=")</f>
        <v>#REF!</v>
      </c>
      <c r="IU128" t="e">
        <f>AND(#REF!,"AAAAAHt30/4=")</f>
        <v>#REF!</v>
      </c>
      <c r="IV128" t="e">
        <f>AND(#REF!,"AAAAAHt30/8=")</f>
        <v>#REF!</v>
      </c>
    </row>
    <row r="129" spans="1:256">
      <c r="A129" t="e">
        <f>AND(#REF!,"AAAAAC1u3QA=")</f>
        <v>#REF!</v>
      </c>
      <c r="B129" t="e">
        <f>AND(#REF!,"AAAAAC1u3QE=")</f>
        <v>#REF!</v>
      </c>
      <c r="C129" t="e">
        <f>AND(#REF!,"AAAAAC1u3QI=")</f>
        <v>#REF!</v>
      </c>
      <c r="D129" t="e">
        <f>AND(#REF!,"AAAAAC1u3QM=")</f>
        <v>#REF!</v>
      </c>
      <c r="E129" t="e">
        <f>AND(#REF!,"AAAAAC1u3QQ=")</f>
        <v>#REF!</v>
      </c>
      <c r="F129" t="e">
        <f>AND(#REF!,"AAAAAC1u3QU=")</f>
        <v>#REF!</v>
      </c>
      <c r="G129" t="e">
        <f>AND(#REF!,"AAAAAC1u3QY=")</f>
        <v>#REF!</v>
      </c>
      <c r="H129" t="e">
        <f>AND(#REF!,"AAAAAC1u3Qc=")</f>
        <v>#REF!</v>
      </c>
      <c r="I129" t="e">
        <f>AND(#REF!,"AAAAAC1u3Qg=")</f>
        <v>#REF!</v>
      </c>
      <c r="J129" t="e">
        <f>AND(#REF!,"AAAAAC1u3Qk=")</f>
        <v>#REF!</v>
      </c>
      <c r="K129" t="e">
        <f>AND(#REF!,"AAAAAC1u3Qo=")</f>
        <v>#REF!</v>
      </c>
      <c r="L129" t="e">
        <f>AND(#REF!,"AAAAAC1u3Qs=")</f>
        <v>#REF!</v>
      </c>
      <c r="M129" t="e">
        <f>AND(#REF!,"AAAAAC1u3Qw=")</f>
        <v>#REF!</v>
      </c>
      <c r="N129" t="e">
        <f>AND(#REF!,"AAAAAC1u3Q0=")</f>
        <v>#REF!</v>
      </c>
      <c r="O129" t="e">
        <f>AND(#REF!,"AAAAAC1u3Q4=")</f>
        <v>#REF!</v>
      </c>
      <c r="P129" t="e">
        <f>AND(#REF!,"AAAAAC1u3Q8=")</f>
        <v>#REF!</v>
      </c>
      <c r="Q129" t="e">
        <f>AND(#REF!,"AAAAAC1u3RA=")</f>
        <v>#REF!</v>
      </c>
      <c r="R129" t="e">
        <f>IF(#REF!,"AAAAAC1u3RE=",0)</f>
        <v>#REF!</v>
      </c>
      <c r="S129" t="e">
        <f>AND(#REF!,"AAAAAC1u3RI=")</f>
        <v>#REF!</v>
      </c>
      <c r="T129" t="e">
        <f>AND(#REF!,"AAAAAC1u3RM=")</f>
        <v>#REF!</v>
      </c>
      <c r="U129" t="e">
        <f>AND(#REF!,"AAAAAC1u3RQ=")</f>
        <v>#REF!</v>
      </c>
      <c r="V129" t="e">
        <f>AND(#REF!,"AAAAAC1u3RU=")</f>
        <v>#REF!</v>
      </c>
      <c r="W129" t="e">
        <f>AND(#REF!,"AAAAAC1u3RY=")</f>
        <v>#REF!</v>
      </c>
      <c r="X129" t="e">
        <f>AND(#REF!,"AAAAAC1u3Rc=")</f>
        <v>#REF!</v>
      </c>
      <c r="Y129" t="e">
        <f>AND(#REF!,"AAAAAC1u3Rg=")</f>
        <v>#REF!</v>
      </c>
      <c r="Z129" t="e">
        <f>AND(#REF!,"AAAAAC1u3Rk=")</f>
        <v>#REF!</v>
      </c>
      <c r="AA129" t="e">
        <f>AND(#REF!,"AAAAAC1u3Ro=")</f>
        <v>#REF!</v>
      </c>
      <c r="AB129" t="e">
        <f>AND(#REF!,"AAAAAC1u3Rs=")</f>
        <v>#REF!</v>
      </c>
      <c r="AC129" t="e">
        <f>AND(#REF!,"AAAAAC1u3Rw=")</f>
        <v>#REF!</v>
      </c>
      <c r="AD129" t="e">
        <f>AND(#REF!,"AAAAAC1u3R0=")</f>
        <v>#REF!</v>
      </c>
      <c r="AE129" t="e">
        <f>AND(#REF!,"AAAAAC1u3R4=")</f>
        <v>#REF!</v>
      </c>
      <c r="AF129" t="e">
        <f>AND(#REF!,"AAAAAC1u3R8=")</f>
        <v>#REF!</v>
      </c>
      <c r="AG129" t="e">
        <f>AND(#REF!,"AAAAAC1u3SA=")</f>
        <v>#REF!</v>
      </c>
      <c r="AH129" t="e">
        <f>AND(#REF!,"AAAAAC1u3SE=")</f>
        <v>#REF!</v>
      </c>
      <c r="AI129" t="e">
        <f>AND(#REF!,"AAAAAC1u3SI=")</f>
        <v>#REF!</v>
      </c>
      <c r="AJ129" t="e">
        <f>AND(#REF!,"AAAAAC1u3SM=")</f>
        <v>#REF!</v>
      </c>
      <c r="AK129" t="e">
        <f>AND(#REF!,"AAAAAC1u3SQ=")</f>
        <v>#REF!</v>
      </c>
      <c r="AL129" t="e">
        <f>AND(#REF!,"AAAAAC1u3SU=")</f>
        <v>#REF!</v>
      </c>
      <c r="AM129" t="e">
        <f>AND(#REF!,"AAAAAC1u3SY=")</f>
        <v>#REF!</v>
      </c>
      <c r="AN129" t="e">
        <f>AND(#REF!,"AAAAAC1u3Sc=")</f>
        <v>#REF!</v>
      </c>
      <c r="AO129" t="e">
        <f>AND(#REF!,"AAAAAC1u3Sg=")</f>
        <v>#REF!</v>
      </c>
      <c r="AP129" t="e">
        <f>AND(#REF!,"AAAAAC1u3Sk=")</f>
        <v>#REF!</v>
      </c>
      <c r="AQ129" t="e">
        <f>IF(#REF!,"AAAAAC1u3So=",0)</f>
        <v>#REF!</v>
      </c>
      <c r="AR129" t="e">
        <f>AND(#REF!,"AAAAAC1u3Ss=")</f>
        <v>#REF!</v>
      </c>
      <c r="AS129" t="e">
        <f>AND(#REF!,"AAAAAC1u3Sw=")</f>
        <v>#REF!</v>
      </c>
      <c r="AT129" t="e">
        <f>AND(#REF!,"AAAAAC1u3S0=")</f>
        <v>#REF!</v>
      </c>
      <c r="AU129" t="e">
        <f>AND(#REF!,"AAAAAC1u3S4=")</f>
        <v>#REF!</v>
      </c>
      <c r="AV129" t="e">
        <f>AND(#REF!,"AAAAAC1u3S8=")</f>
        <v>#REF!</v>
      </c>
      <c r="AW129" t="e">
        <f>AND(#REF!,"AAAAAC1u3TA=")</f>
        <v>#REF!</v>
      </c>
      <c r="AX129" t="e">
        <f>AND(#REF!,"AAAAAC1u3TE=")</f>
        <v>#REF!</v>
      </c>
      <c r="AY129" t="e">
        <f>AND(#REF!,"AAAAAC1u3TI=")</f>
        <v>#REF!</v>
      </c>
      <c r="AZ129" t="e">
        <f>AND(#REF!,"AAAAAC1u3TM=")</f>
        <v>#REF!</v>
      </c>
      <c r="BA129" t="e">
        <f>AND(#REF!,"AAAAAC1u3TQ=")</f>
        <v>#REF!</v>
      </c>
      <c r="BB129" t="e">
        <f>AND(#REF!,"AAAAAC1u3TU=")</f>
        <v>#REF!</v>
      </c>
      <c r="BC129" t="e">
        <f>AND(#REF!,"AAAAAC1u3TY=")</f>
        <v>#REF!</v>
      </c>
      <c r="BD129" t="e">
        <f>AND(#REF!,"AAAAAC1u3Tc=")</f>
        <v>#REF!</v>
      </c>
      <c r="BE129" t="e">
        <f>AND(#REF!,"AAAAAC1u3Tg=")</f>
        <v>#REF!</v>
      </c>
      <c r="BF129" t="e">
        <f>AND(#REF!,"AAAAAC1u3Tk=")</f>
        <v>#REF!</v>
      </c>
      <c r="BG129" t="e">
        <f>AND(#REF!,"AAAAAC1u3To=")</f>
        <v>#REF!</v>
      </c>
      <c r="BH129" t="e">
        <f>AND(#REF!,"AAAAAC1u3Ts=")</f>
        <v>#REF!</v>
      </c>
      <c r="BI129" t="e">
        <f>AND(#REF!,"AAAAAC1u3Tw=")</f>
        <v>#REF!</v>
      </c>
      <c r="BJ129" t="e">
        <f>AND(#REF!,"AAAAAC1u3T0=")</f>
        <v>#REF!</v>
      </c>
      <c r="BK129" t="e">
        <f>AND(#REF!,"AAAAAC1u3T4=")</f>
        <v>#REF!</v>
      </c>
      <c r="BL129" t="e">
        <f>AND(#REF!,"AAAAAC1u3T8=")</f>
        <v>#REF!</v>
      </c>
      <c r="BM129" t="e">
        <f>AND(#REF!,"AAAAAC1u3UA=")</f>
        <v>#REF!</v>
      </c>
      <c r="BN129" t="e">
        <f>AND(#REF!,"AAAAAC1u3UE=")</f>
        <v>#REF!</v>
      </c>
      <c r="BO129" t="e">
        <f>AND(#REF!,"AAAAAC1u3UI=")</f>
        <v>#REF!</v>
      </c>
      <c r="BP129" t="e">
        <f>IF(#REF!,"AAAAAC1u3UM=",0)</f>
        <v>#REF!</v>
      </c>
      <c r="BQ129" t="e">
        <f>AND(#REF!,"AAAAAC1u3UQ=")</f>
        <v>#REF!</v>
      </c>
      <c r="BR129" t="e">
        <f>AND(#REF!,"AAAAAC1u3UU=")</f>
        <v>#REF!</v>
      </c>
      <c r="BS129" t="e">
        <f>AND(#REF!,"AAAAAC1u3UY=")</f>
        <v>#REF!</v>
      </c>
      <c r="BT129" t="e">
        <f>AND(#REF!,"AAAAAC1u3Uc=")</f>
        <v>#REF!</v>
      </c>
      <c r="BU129" t="e">
        <f>AND(#REF!,"AAAAAC1u3Ug=")</f>
        <v>#REF!</v>
      </c>
      <c r="BV129" t="e">
        <f>AND(#REF!,"AAAAAC1u3Uk=")</f>
        <v>#REF!</v>
      </c>
      <c r="BW129" t="e">
        <f>AND(#REF!,"AAAAAC1u3Uo=")</f>
        <v>#REF!</v>
      </c>
      <c r="BX129" t="e">
        <f>AND(#REF!,"AAAAAC1u3Us=")</f>
        <v>#REF!</v>
      </c>
      <c r="BY129" t="e">
        <f>AND(#REF!,"AAAAAC1u3Uw=")</f>
        <v>#REF!</v>
      </c>
      <c r="BZ129" t="e">
        <f>AND(#REF!,"AAAAAC1u3U0=")</f>
        <v>#REF!</v>
      </c>
      <c r="CA129" t="e">
        <f>AND(#REF!,"AAAAAC1u3U4=")</f>
        <v>#REF!</v>
      </c>
      <c r="CB129" t="e">
        <f>AND(#REF!,"AAAAAC1u3U8=")</f>
        <v>#REF!</v>
      </c>
      <c r="CC129" t="e">
        <f>AND(#REF!,"AAAAAC1u3VA=")</f>
        <v>#REF!</v>
      </c>
      <c r="CD129" t="e">
        <f>AND(#REF!,"AAAAAC1u3VE=")</f>
        <v>#REF!</v>
      </c>
      <c r="CE129" t="e">
        <f>AND(#REF!,"AAAAAC1u3VI=")</f>
        <v>#REF!</v>
      </c>
      <c r="CF129" t="e">
        <f>AND(#REF!,"AAAAAC1u3VM=")</f>
        <v>#REF!</v>
      </c>
      <c r="CG129" t="e">
        <f>AND(#REF!,"AAAAAC1u3VQ=")</f>
        <v>#REF!</v>
      </c>
      <c r="CH129" t="e">
        <f>AND(#REF!,"AAAAAC1u3VU=")</f>
        <v>#REF!</v>
      </c>
      <c r="CI129" t="e">
        <f>AND(#REF!,"AAAAAC1u3VY=")</f>
        <v>#REF!</v>
      </c>
      <c r="CJ129" t="e">
        <f>AND(#REF!,"AAAAAC1u3Vc=")</f>
        <v>#REF!</v>
      </c>
      <c r="CK129" t="e">
        <f>AND(#REF!,"AAAAAC1u3Vg=")</f>
        <v>#REF!</v>
      </c>
      <c r="CL129" t="e">
        <f>AND(#REF!,"AAAAAC1u3Vk=")</f>
        <v>#REF!</v>
      </c>
      <c r="CM129" t="e">
        <f>AND(#REF!,"AAAAAC1u3Vo=")</f>
        <v>#REF!</v>
      </c>
      <c r="CN129" t="e">
        <f>AND(#REF!,"AAAAAC1u3Vs=")</f>
        <v>#REF!</v>
      </c>
      <c r="CO129" t="e">
        <f>IF(#REF!,"AAAAAC1u3Vw=",0)</f>
        <v>#REF!</v>
      </c>
      <c r="CP129" t="e">
        <f>AND(#REF!,"AAAAAC1u3V0=")</f>
        <v>#REF!</v>
      </c>
      <c r="CQ129" t="e">
        <f>AND(#REF!,"AAAAAC1u3V4=")</f>
        <v>#REF!</v>
      </c>
      <c r="CR129" t="e">
        <f>AND(#REF!,"AAAAAC1u3V8=")</f>
        <v>#REF!</v>
      </c>
      <c r="CS129" t="e">
        <f>AND(#REF!,"AAAAAC1u3WA=")</f>
        <v>#REF!</v>
      </c>
      <c r="CT129" t="e">
        <f>AND(#REF!,"AAAAAC1u3WE=")</f>
        <v>#REF!</v>
      </c>
      <c r="CU129" t="e">
        <f>AND(#REF!,"AAAAAC1u3WI=")</f>
        <v>#REF!</v>
      </c>
      <c r="CV129" t="e">
        <f>AND(#REF!,"AAAAAC1u3WM=")</f>
        <v>#REF!</v>
      </c>
      <c r="CW129" t="e">
        <f>AND(#REF!,"AAAAAC1u3WQ=")</f>
        <v>#REF!</v>
      </c>
      <c r="CX129" t="e">
        <f>AND(#REF!,"AAAAAC1u3WU=")</f>
        <v>#REF!</v>
      </c>
      <c r="CY129" t="e">
        <f>AND(#REF!,"AAAAAC1u3WY=")</f>
        <v>#REF!</v>
      </c>
      <c r="CZ129" t="e">
        <f>AND(#REF!,"AAAAAC1u3Wc=")</f>
        <v>#REF!</v>
      </c>
      <c r="DA129" t="e">
        <f>AND(#REF!,"AAAAAC1u3Wg=")</f>
        <v>#REF!</v>
      </c>
      <c r="DB129" t="e">
        <f>AND(#REF!,"AAAAAC1u3Wk=")</f>
        <v>#REF!</v>
      </c>
      <c r="DC129" t="e">
        <f>AND(#REF!,"AAAAAC1u3Wo=")</f>
        <v>#REF!</v>
      </c>
      <c r="DD129" t="e">
        <f>AND(#REF!,"AAAAAC1u3Ws=")</f>
        <v>#REF!</v>
      </c>
      <c r="DE129" t="e">
        <f>AND(#REF!,"AAAAAC1u3Ww=")</f>
        <v>#REF!</v>
      </c>
      <c r="DF129" t="e">
        <f>AND(#REF!,"AAAAAC1u3W0=")</f>
        <v>#REF!</v>
      </c>
      <c r="DG129" t="e">
        <f>AND(#REF!,"AAAAAC1u3W4=")</f>
        <v>#REF!</v>
      </c>
      <c r="DH129" t="e">
        <f>AND(#REF!,"AAAAAC1u3W8=")</f>
        <v>#REF!</v>
      </c>
      <c r="DI129" t="e">
        <f>AND(#REF!,"AAAAAC1u3XA=")</f>
        <v>#REF!</v>
      </c>
      <c r="DJ129" t="e">
        <f>AND(#REF!,"AAAAAC1u3XE=")</f>
        <v>#REF!</v>
      </c>
      <c r="DK129" t="e">
        <f>AND(#REF!,"AAAAAC1u3XI=")</f>
        <v>#REF!</v>
      </c>
      <c r="DL129" t="e">
        <f>AND(#REF!,"AAAAAC1u3XM=")</f>
        <v>#REF!</v>
      </c>
      <c r="DM129" t="e">
        <f>AND(#REF!,"AAAAAC1u3XQ=")</f>
        <v>#REF!</v>
      </c>
      <c r="DN129" t="e">
        <f>IF(#REF!,"AAAAAC1u3XU=",0)</f>
        <v>#REF!</v>
      </c>
      <c r="DO129" t="e">
        <f>AND(#REF!,"AAAAAC1u3XY=")</f>
        <v>#REF!</v>
      </c>
      <c r="DP129" t="e">
        <f>AND(#REF!,"AAAAAC1u3Xc=")</f>
        <v>#REF!</v>
      </c>
      <c r="DQ129" t="e">
        <f>AND(#REF!,"AAAAAC1u3Xg=")</f>
        <v>#REF!</v>
      </c>
      <c r="DR129" t="e">
        <f>AND(#REF!,"AAAAAC1u3Xk=")</f>
        <v>#REF!</v>
      </c>
      <c r="DS129" t="e">
        <f>AND(#REF!,"AAAAAC1u3Xo=")</f>
        <v>#REF!</v>
      </c>
      <c r="DT129" t="e">
        <f>AND(#REF!,"AAAAAC1u3Xs=")</f>
        <v>#REF!</v>
      </c>
      <c r="DU129" t="e">
        <f>AND(#REF!,"AAAAAC1u3Xw=")</f>
        <v>#REF!</v>
      </c>
      <c r="DV129" t="e">
        <f>AND(#REF!,"AAAAAC1u3X0=")</f>
        <v>#REF!</v>
      </c>
      <c r="DW129" t="e">
        <f>AND(#REF!,"AAAAAC1u3X4=")</f>
        <v>#REF!</v>
      </c>
      <c r="DX129" t="e">
        <f>AND(#REF!,"AAAAAC1u3X8=")</f>
        <v>#REF!</v>
      </c>
      <c r="DY129" t="e">
        <f>AND(#REF!,"AAAAAC1u3YA=")</f>
        <v>#REF!</v>
      </c>
      <c r="DZ129" t="e">
        <f>AND(#REF!,"AAAAAC1u3YE=")</f>
        <v>#REF!</v>
      </c>
      <c r="EA129" t="e">
        <f>AND(#REF!,"AAAAAC1u3YI=")</f>
        <v>#REF!</v>
      </c>
      <c r="EB129" t="e">
        <f>AND(#REF!,"AAAAAC1u3YM=")</f>
        <v>#REF!</v>
      </c>
      <c r="EC129" t="e">
        <f>AND(#REF!,"AAAAAC1u3YQ=")</f>
        <v>#REF!</v>
      </c>
      <c r="ED129" t="e">
        <f>AND(#REF!,"AAAAAC1u3YU=")</f>
        <v>#REF!</v>
      </c>
      <c r="EE129" t="e">
        <f>AND(#REF!,"AAAAAC1u3YY=")</f>
        <v>#REF!</v>
      </c>
      <c r="EF129" t="e">
        <f>AND(#REF!,"AAAAAC1u3Yc=")</f>
        <v>#REF!</v>
      </c>
      <c r="EG129" t="e">
        <f>AND(#REF!,"AAAAAC1u3Yg=")</f>
        <v>#REF!</v>
      </c>
      <c r="EH129" t="e">
        <f>AND(#REF!,"AAAAAC1u3Yk=")</f>
        <v>#REF!</v>
      </c>
      <c r="EI129" t="e">
        <f>AND(#REF!,"AAAAAC1u3Yo=")</f>
        <v>#REF!</v>
      </c>
      <c r="EJ129" t="e">
        <f>AND(#REF!,"AAAAAC1u3Ys=")</f>
        <v>#REF!</v>
      </c>
      <c r="EK129" t="e">
        <f>AND(#REF!,"AAAAAC1u3Yw=")</f>
        <v>#REF!</v>
      </c>
      <c r="EL129" t="e">
        <f>AND(#REF!,"AAAAAC1u3Y0=")</f>
        <v>#REF!</v>
      </c>
      <c r="EM129" t="e">
        <f>IF(#REF!,"AAAAAC1u3Y4=",0)</f>
        <v>#REF!</v>
      </c>
      <c r="EN129" t="e">
        <f>AND(#REF!,"AAAAAC1u3Y8=")</f>
        <v>#REF!</v>
      </c>
      <c r="EO129" t="e">
        <f>AND(#REF!,"AAAAAC1u3ZA=")</f>
        <v>#REF!</v>
      </c>
      <c r="EP129" t="e">
        <f>AND(#REF!,"AAAAAC1u3ZE=")</f>
        <v>#REF!</v>
      </c>
      <c r="EQ129" t="e">
        <f>AND(#REF!,"AAAAAC1u3ZI=")</f>
        <v>#REF!</v>
      </c>
      <c r="ER129" t="e">
        <f>AND(#REF!,"AAAAAC1u3ZM=")</f>
        <v>#REF!</v>
      </c>
      <c r="ES129" t="e">
        <f>AND(#REF!,"AAAAAC1u3ZQ=")</f>
        <v>#REF!</v>
      </c>
      <c r="ET129" t="e">
        <f>AND(#REF!,"AAAAAC1u3ZU=")</f>
        <v>#REF!</v>
      </c>
      <c r="EU129" t="e">
        <f>AND(#REF!,"AAAAAC1u3ZY=")</f>
        <v>#REF!</v>
      </c>
      <c r="EV129" t="e">
        <f>AND(#REF!,"AAAAAC1u3Zc=")</f>
        <v>#REF!</v>
      </c>
      <c r="EW129" t="e">
        <f>AND(#REF!,"AAAAAC1u3Zg=")</f>
        <v>#REF!</v>
      </c>
      <c r="EX129" t="e">
        <f>AND(#REF!,"AAAAAC1u3Zk=")</f>
        <v>#REF!</v>
      </c>
      <c r="EY129" t="e">
        <f>AND(#REF!,"AAAAAC1u3Zo=")</f>
        <v>#REF!</v>
      </c>
      <c r="EZ129" t="e">
        <f>AND(#REF!,"AAAAAC1u3Zs=")</f>
        <v>#REF!</v>
      </c>
      <c r="FA129" t="e">
        <f>AND(#REF!,"AAAAAC1u3Zw=")</f>
        <v>#REF!</v>
      </c>
      <c r="FB129" t="e">
        <f>AND(#REF!,"AAAAAC1u3Z0=")</f>
        <v>#REF!</v>
      </c>
      <c r="FC129" t="e">
        <f>AND(#REF!,"AAAAAC1u3Z4=")</f>
        <v>#REF!</v>
      </c>
      <c r="FD129" t="e">
        <f>AND(#REF!,"AAAAAC1u3Z8=")</f>
        <v>#REF!</v>
      </c>
      <c r="FE129" t="e">
        <f>AND(#REF!,"AAAAAC1u3aA=")</f>
        <v>#REF!</v>
      </c>
      <c r="FF129" t="e">
        <f>AND(#REF!,"AAAAAC1u3aE=")</f>
        <v>#REF!</v>
      </c>
      <c r="FG129" t="e">
        <f>AND(#REF!,"AAAAAC1u3aI=")</f>
        <v>#REF!</v>
      </c>
      <c r="FH129" t="e">
        <f>AND(#REF!,"AAAAAC1u3aM=")</f>
        <v>#REF!</v>
      </c>
      <c r="FI129" t="e">
        <f>AND(#REF!,"AAAAAC1u3aQ=")</f>
        <v>#REF!</v>
      </c>
      <c r="FJ129" t="e">
        <f>AND(#REF!,"AAAAAC1u3aU=")</f>
        <v>#REF!</v>
      </c>
      <c r="FK129" t="e">
        <f>AND(#REF!,"AAAAAC1u3aY=")</f>
        <v>#REF!</v>
      </c>
      <c r="FL129" t="e">
        <f>IF(#REF!,"AAAAAC1u3ac=",0)</f>
        <v>#REF!</v>
      </c>
      <c r="FM129" t="e">
        <f>AND(#REF!,"AAAAAC1u3ag=")</f>
        <v>#REF!</v>
      </c>
      <c r="FN129" t="e">
        <f>AND(#REF!,"AAAAAC1u3ak=")</f>
        <v>#REF!</v>
      </c>
      <c r="FO129" t="e">
        <f>AND(#REF!,"AAAAAC1u3ao=")</f>
        <v>#REF!</v>
      </c>
      <c r="FP129" t="e">
        <f>AND(#REF!,"AAAAAC1u3as=")</f>
        <v>#REF!</v>
      </c>
      <c r="FQ129" t="e">
        <f>AND(#REF!,"AAAAAC1u3aw=")</f>
        <v>#REF!</v>
      </c>
      <c r="FR129" t="e">
        <f>AND(#REF!,"AAAAAC1u3a0=")</f>
        <v>#REF!</v>
      </c>
      <c r="FS129" t="e">
        <f>AND(#REF!,"AAAAAC1u3a4=")</f>
        <v>#REF!</v>
      </c>
      <c r="FT129" t="e">
        <f>AND(#REF!,"AAAAAC1u3a8=")</f>
        <v>#REF!</v>
      </c>
      <c r="FU129" t="e">
        <f>AND(#REF!,"AAAAAC1u3bA=")</f>
        <v>#REF!</v>
      </c>
      <c r="FV129" t="e">
        <f>AND(#REF!,"AAAAAC1u3bE=")</f>
        <v>#REF!</v>
      </c>
      <c r="FW129" t="e">
        <f>AND(#REF!,"AAAAAC1u3bI=")</f>
        <v>#REF!</v>
      </c>
      <c r="FX129" t="e">
        <f>AND(#REF!,"AAAAAC1u3bM=")</f>
        <v>#REF!</v>
      </c>
      <c r="FY129" t="e">
        <f>AND(#REF!,"AAAAAC1u3bQ=")</f>
        <v>#REF!</v>
      </c>
      <c r="FZ129" t="e">
        <f>AND(#REF!,"AAAAAC1u3bU=")</f>
        <v>#REF!</v>
      </c>
      <c r="GA129" t="e">
        <f>AND(#REF!,"AAAAAC1u3bY=")</f>
        <v>#REF!</v>
      </c>
      <c r="GB129" t="e">
        <f>AND(#REF!,"AAAAAC1u3bc=")</f>
        <v>#REF!</v>
      </c>
      <c r="GC129" t="e">
        <f>AND(#REF!,"AAAAAC1u3bg=")</f>
        <v>#REF!</v>
      </c>
      <c r="GD129" t="e">
        <f>AND(#REF!,"AAAAAC1u3bk=")</f>
        <v>#REF!</v>
      </c>
      <c r="GE129" t="e">
        <f>AND(#REF!,"AAAAAC1u3bo=")</f>
        <v>#REF!</v>
      </c>
      <c r="GF129" t="e">
        <f>AND(#REF!,"AAAAAC1u3bs=")</f>
        <v>#REF!</v>
      </c>
      <c r="GG129" t="e">
        <f>AND(#REF!,"AAAAAC1u3bw=")</f>
        <v>#REF!</v>
      </c>
      <c r="GH129" t="e">
        <f>AND(#REF!,"AAAAAC1u3b0=")</f>
        <v>#REF!</v>
      </c>
      <c r="GI129" t="e">
        <f>AND(#REF!,"AAAAAC1u3b4=")</f>
        <v>#REF!</v>
      </c>
      <c r="GJ129" t="e">
        <f>AND(#REF!,"AAAAAC1u3b8=")</f>
        <v>#REF!</v>
      </c>
      <c r="GK129" t="e">
        <f>IF(#REF!,"AAAAAC1u3cA=",0)</f>
        <v>#REF!</v>
      </c>
      <c r="GL129" t="e">
        <f>AND(#REF!,"AAAAAC1u3cE=")</f>
        <v>#REF!</v>
      </c>
      <c r="GM129" t="e">
        <f>AND(#REF!,"AAAAAC1u3cI=")</f>
        <v>#REF!</v>
      </c>
      <c r="GN129" t="e">
        <f>AND(#REF!,"AAAAAC1u3cM=")</f>
        <v>#REF!</v>
      </c>
      <c r="GO129" t="e">
        <f>AND(#REF!,"AAAAAC1u3cQ=")</f>
        <v>#REF!</v>
      </c>
      <c r="GP129" t="e">
        <f>AND(#REF!,"AAAAAC1u3cU=")</f>
        <v>#REF!</v>
      </c>
      <c r="GQ129" t="e">
        <f>AND(#REF!,"AAAAAC1u3cY=")</f>
        <v>#REF!</v>
      </c>
      <c r="GR129" t="e">
        <f>AND(#REF!,"AAAAAC1u3cc=")</f>
        <v>#REF!</v>
      </c>
      <c r="GS129" t="e">
        <f>AND(#REF!,"AAAAAC1u3cg=")</f>
        <v>#REF!</v>
      </c>
      <c r="GT129" t="e">
        <f>AND(#REF!,"AAAAAC1u3ck=")</f>
        <v>#REF!</v>
      </c>
      <c r="GU129" t="e">
        <f>AND(#REF!,"AAAAAC1u3co=")</f>
        <v>#REF!</v>
      </c>
      <c r="GV129" t="e">
        <f>AND(#REF!,"AAAAAC1u3cs=")</f>
        <v>#REF!</v>
      </c>
      <c r="GW129" t="e">
        <f>AND(#REF!,"AAAAAC1u3cw=")</f>
        <v>#REF!</v>
      </c>
      <c r="GX129" t="e">
        <f>AND(#REF!,"AAAAAC1u3c0=")</f>
        <v>#REF!</v>
      </c>
      <c r="GY129" t="e">
        <f>AND(#REF!,"AAAAAC1u3c4=")</f>
        <v>#REF!</v>
      </c>
      <c r="GZ129" t="e">
        <f>AND(#REF!,"AAAAAC1u3c8=")</f>
        <v>#REF!</v>
      </c>
      <c r="HA129" t="e">
        <f>AND(#REF!,"AAAAAC1u3dA=")</f>
        <v>#REF!</v>
      </c>
      <c r="HB129" t="e">
        <f>AND(#REF!,"AAAAAC1u3dE=")</f>
        <v>#REF!</v>
      </c>
      <c r="HC129" t="e">
        <f>AND(#REF!,"AAAAAC1u3dI=")</f>
        <v>#REF!</v>
      </c>
      <c r="HD129" t="e">
        <f>AND(#REF!,"AAAAAC1u3dM=")</f>
        <v>#REF!</v>
      </c>
      <c r="HE129" t="e">
        <f>AND(#REF!,"AAAAAC1u3dQ=")</f>
        <v>#REF!</v>
      </c>
      <c r="HF129" t="e">
        <f>AND(#REF!,"AAAAAC1u3dU=")</f>
        <v>#REF!</v>
      </c>
      <c r="HG129" t="e">
        <f>AND(#REF!,"AAAAAC1u3dY=")</f>
        <v>#REF!</v>
      </c>
      <c r="HH129" t="e">
        <f>AND(#REF!,"AAAAAC1u3dc=")</f>
        <v>#REF!</v>
      </c>
      <c r="HI129" t="e">
        <f>AND(#REF!,"AAAAAC1u3dg=")</f>
        <v>#REF!</v>
      </c>
      <c r="HJ129" t="e">
        <f>IF(#REF!,"AAAAAC1u3dk=",0)</f>
        <v>#REF!</v>
      </c>
      <c r="HK129" t="e">
        <f>AND(#REF!,"AAAAAC1u3do=")</f>
        <v>#REF!</v>
      </c>
      <c r="HL129" t="e">
        <f>AND(#REF!,"AAAAAC1u3ds=")</f>
        <v>#REF!</v>
      </c>
      <c r="HM129" t="e">
        <f>AND(#REF!,"AAAAAC1u3dw=")</f>
        <v>#REF!</v>
      </c>
      <c r="HN129" t="e">
        <f>AND(#REF!,"AAAAAC1u3d0=")</f>
        <v>#REF!</v>
      </c>
      <c r="HO129" t="e">
        <f>AND(#REF!,"AAAAAC1u3d4=")</f>
        <v>#REF!</v>
      </c>
      <c r="HP129" t="e">
        <f>AND(#REF!,"AAAAAC1u3d8=")</f>
        <v>#REF!</v>
      </c>
      <c r="HQ129" t="e">
        <f>AND(#REF!,"AAAAAC1u3eA=")</f>
        <v>#REF!</v>
      </c>
      <c r="HR129" t="e">
        <f>AND(#REF!,"AAAAAC1u3eE=")</f>
        <v>#REF!</v>
      </c>
      <c r="HS129" t="e">
        <f>AND(#REF!,"AAAAAC1u3eI=")</f>
        <v>#REF!</v>
      </c>
      <c r="HT129" t="e">
        <f>AND(#REF!,"AAAAAC1u3eM=")</f>
        <v>#REF!</v>
      </c>
      <c r="HU129" t="e">
        <f>AND(#REF!,"AAAAAC1u3eQ=")</f>
        <v>#REF!</v>
      </c>
      <c r="HV129" t="e">
        <f>AND(#REF!,"AAAAAC1u3eU=")</f>
        <v>#REF!</v>
      </c>
      <c r="HW129" t="e">
        <f>AND(#REF!,"AAAAAC1u3eY=")</f>
        <v>#REF!</v>
      </c>
      <c r="HX129" t="e">
        <f>AND(#REF!,"AAAAAC1u3ec=")</f>
        <v>#REF!</v>
      </c>
      <c r="HY129" t="e">
        <f>AND(#REF!,"AAAAAC1u3eg=")</f>
        <v>#REF!</v>
      </c>
      <c r="HZ129" t="e">
        <f>AND(#REF!,"AAAAAC1u3ek=")</f>
        <v>#REF!</v>
      </c>
      <c r="IA129" t="e">
        <f>AND(#REF!,"AAAAAC1u3eo=")</f>
        <v>#REF!</v>
      </c>
      <c r="IB129" t="e">
        <f>AND(#REF!,"AAAAAC1u3es=")</f>
        <v>#REF!</v>
      </c>
      <c r="IC129" t="e">
        <f>AND(#REF!,"AAAAAC1u3ew=")</f>
        <v>#REF!</v>
      </c>
      <c r="ID129" t="e">
        <f>AND(#REF!,"AAAAAC1u3e0=")</f>
        <v>#REF!</v>
      </c>
      <c r="IE129" t="e">
        <f>AND(#REF!,"AAAAAC1u3e4=")</f>
        <v>#REF!</v>
      </c>
      <c r="IF129" t="e">
        <f>AND(#REF!,"AAAAAC1u3e8=")</f>
        <v>#REF!</v>
      </c>
      <c r="IG129" t="e">
        <f>AND(#REF!,"AAAAAC1u3fA=")</f>
        <v>#REF!</v>
      </c>
      <c r="IH129" t="e">
        <f>AND(#REF!,"AAAAAC1u3fE=")</f>
        <v>#REF!</v>
      </c>
      <c r="II129" t="e">
        <f>IF(#REF!,"AAAAAC1u3fI=",0)</f>
        <v>#REF!</v>
      </c>
      <c r="IJ129" t="e">
        <f>AND(#REF!,"AAAAAC1u3fM=")</f>
        <v>#REF!</v>
      </c>
      <c r="IK129" t="e">
        <f>AND(#REF!,"AAAAAC1u3fQ=")</f>
        <v>#REF!</v>
      </c>
      <c r="IL129" t="e">
        <f>AND(#REF!,"AAAAAC1u3fU=")</f>
        <v>#REF!</v>
      </c>
      <c r="IM129" t="e">
        <f>AND(#REF!,"AAAAAC1u3fY=")</f>
        <v>#REF!</v>
      </c>
      <c r="IN129" t="e">
        <f>AND(#REF!,"AAAAAC1u3fc=")</f>
        <v>#REF!</v>
      </c>
      <c r="IO129" t="e">
        <f>AND(#REF!,"AAAAAC1u3fg=")</f>
        <v>#REF!</v>
      </c>
      <c r="IP129" t="e">
        <f>AND(#REF!,"AAAAAC1u3fk=")</f>
        <v>#REF!</v>
      </c>
      <c r="IQ129" t="e">
        <f>AND(#REF!,"AAAAAC1u3fo=")</f>
        <v>#REF!</v>
      </c>
      <c r="IR129" t="e">
        <f>AND(#REF!,"AAAAAC1u3fs=")</f>
        <v>#REF!</v>
      </c>
      <c r="IS129" t="e">
        <f>AND(#REF!,"AAAAAC1u3fw=")</f>
        <v>#REF!</v>
      </c>
      <c r="IT129" t="e">
        <f>AND(#REF!,"AAAAAC1u3f0=")</f>
        <v>#REF!</v>
      </c>
      <c r="IU129" t="e">
        <f>AND(#REF!,"AAAAAC1u3f4=")</f>
        <v>#REF!</v>
      </c>
      <c r="IV129" t="e">
        <f>AND(#REF!,"AAAAAC1u3f8=")</f>
        <v>#REF!</v>
      </c>
    </row>
    <row r="130" spans="1:256">
      <c r="A130" t="e">
        <f>AND(#REF!,"AAAAACe9GQA=")</f>
        <v>#REF!</v>
      </c>
      <c r="B130" t="e">
        <f>AND(#REF!,"AAAAACe9GQE=")</f>
        <v>#REF!</v>
      </c>
      <c r="C130" t="e">
        <f>AND(#REF!,"AAAAACe9GQI=")</f>
        <v>#REF!</v>
      </c>
      <c r="D130" t="e">
        <f>AND(#REF!,"AAAAACe9GQM=")</f>
        <v>#REF!</v>
      </c>
      <c r="E130" t="e">
        <f>AND(#REF!,"AAAAACe9GQQ=")</f>
        <v>#REF!</v>
      </c>
      <c r="F130" t="e">
        <f>AND(#REF!,"AAAAACe9GQU=")</f>
        <v>#REF!</v>
      </c>
      <c r="G130" t="e">
        <f>AND(#REF!,"AAAAACe9GQY=")</f>
        <v>#REF!</v>
      </c>
      <c r="H130" t="e">
        <f>AND(#REF!,"AAAAACe9GQc=")</f>
        <v>#REF!</v>
      </c>
      <c r="I130" t="e">
        <f>AND(#REF!,"AAAAACe9GQg=")</f>
        <v>#REF!</v>
      </c>
      <c r="J130" t="e">
        <f>AND(#REF!,"AAAAACe9GQk=")</f>
        <v>#REF!</v>
      </c>
      <c r="K130" t="e">
        <f>AND(#REF!,"AAAAACe9GQo=")</f>
        <v>#REF!</v>
      </c>
      <c r="L130" t="e">
        <f>IF(#REF!,"AAAAACe9GQs=",0)</f>
        <v>#REF!</v>
      </c>
      <c r="M130" t="e">
        <f>AND(#REF!,"AAAAACe9GQw=")</f>
        <v>#REF!</v>
      </c>
      <c r="N130" t="e">
        <f>AND(#REF!,"AAAAACe9GQ0=")</f>
        <v>#REF!</v>
      </c>
      <c r="O130" t="e">
        <f>AND(#REF!,"AAAAACe9GQ4=")</f>
        <v>#REF!</v>
      </c>
      <c r="P130" t="e">
        <f>AND(#REF!,"AAAAACe9GQ8=")</f>
        <v>#REF!</v>
      </c>
      <c r="Q130" t="e">
        <f>AND(#REF!,"AAAAACe9GRA=")</f>
        <v>#REF!</v>
      </c>
      <c r="R130" t="e">
        <f>AND(#REF!,"AAAAACe9GRE=")</f>
        <v>#REF!</v>
      </c>
      <c r="S130" t="e">
        <f>AND(#REF!,"AAAAACe9GRI=")</f>
        <v>#REF!</v>
      </c>
      <c r="T130" t="e">
        <f>AND(#REF!,"AAAAACe9GRM=")</f>
        <v>#REF!</v>
      </c>
      <c r="U130" t="e">
        <f>AND(#REF!,"AAAAACe9GRQ=")</f>
        <v>#REF!</v>
      </c>
      <c r="V130" t="e">
        <f>AND(#REF!,"AAAAACe9GRU=")</f>
        <v>#REF!</v>
      </c>
      <c r="W130" t="e">
        <f>AND(#REF!,"AAAAACe9GRY=")</f>
        <v>#REF!</v>
      </c>
      <c r="X130" t="e">
        <f>AND(#REF!,"AAAAACe9GRc=")</f>
        <v>#REF!</v>
      </c>
      <c r="Y130" t="e">
        <f>AND(#REF!,"AAAAACe9GRg=")</f>
        <v>#REF!</v>
      </c>
      <c r="Z130" t="e">
        <f>AND(#REF!,"AAAAACe9GRk=")</f>
        <v>#REF!</v>
      </c>
      <c r="AA130" t="e">
        <f>AND(#REF!,"AAAAACe9GRo=")</f>
        <v>#REF!</v>
      </c>
      <c r="AB130" t="e">
        <f>AND(#REF!,"AAAAACe9GRs=")</f>
        <v>#REF!</v>
      </c>
      <c r="AC130" t="e">
        <f>AND(#REF!,"AAAAACe9GRw=")</f>
        <v>#REF!</v>
      </c>
      <c r="AD130" t="e">
        <f>AND(#REF!,"AAAAACe9GR0=")</f>
        <v>#REF!</v>
      </c>
      <c r="AE130" t="e">
        <f>AND(#REF!,"AAAAACe9GR4=")</f>
        <v>#REF!</v>
      </c>
      <c r="AF130" t="e">
        <f>AND(#REF!,"AAAAACe9GR8=")</f>
        <v>#REF!</v>
      </c>
      <c r="AG130" t="e">
        <f>AND(#REF!,"AAAAACe9GSA=")</f>
        <v>#REF!</v>
      </c>
      <c r="AH130" t="e">
        <f>AND(#REF!,"AAAAACe9GSE=")</f>
        <v>#REF!</v>
      </c>
      <c r="AI130" t="e">
        <f>AND(#REF!,"AAAAACe9GSI=")</f>
        <v>#REF!</v>
      </c>
      <c r="AJ130" t="e">
        <f>AND(#REF!,"AAAAACe9GSM=")</f>
        <v>#REF!</v>
      </c>
      <c r="AK130" t="e">
        <f>IF(#REF!,"AAAAACe9GSQ=",0)</f>
        <v>#REF!</v>
      </c>
      <c r="AL130" t="e">
        <f>AND(#REF!,"AAAAACe9GSU=")</f>
        <v>#REF!</v>
      </c>
      <c r="AM130" t="e">
        <f>AND(#REF!,"AAAAACe9GSY=")</f>
        <v>#REF!</v>
      </c>
      <c r="AN130" t="e">
        <f>AND(#REF!,"AAAAACe9GSc=")</f>
        <v>#REF!</v>
      </c>
      <c r="AO130" t="e">
        <f>AND(#REF!,"AAAAACe9GSg=")</f>
        <v>#REF!</v>
      </c>
      <c r="AP130" t="e">
        <f>AND(#REF!,"AAAAACe9GSk=")</f>
        <v>#REF!</v>
      </c>
      <c r="AQ130" t="e">
        <f>AND(#REF!,"AAAAACe9GSo=")</f>
        <v>#REF!</v>
      </c>
      <c r="AR130" t="e">
        <f>AND(#REF!,"AAAAACe9GSs=")</f>
        <v>#REF!</v>
      </c>
      <c r="AS130" t="e">
        <f>AND(#REF!,"AAAAACe9GSw=")</f>
        <v>#REF!</v>
      </c>
      <c r="AT130" t="e">
        <f>AND(#REF!,"AAAAACe9GS0=")</f>
        <v>#REF!</v>
      </c>
      <c r="AU130" t="e">
        <f>AND(#REF!,"AAAAACe9GS4=")</f>
        <v>#REF!</v>
      </c>
      <c r="AV130" t="e">
        <f>AND(#REF!,"AAAAACe9GS8=")</f>
        <v>#REF!</v>
      </c>
      <c r="AW130" t="e">
        <f>AND(#REF!,"AAAAACe9GTA=")</f>
        <v>#REF!</v>
      </c>
      <c r="AX130" t="e">
        <f>AND(#REF!,"AAAAACe9GTE=")</f>
        <v>#REF!</v>
      </c>
      <c r="AY130" t="e">
        <f>AND(#REF!,"AAAAACe9GTI=")</f>
        <v>#REF!</v>
      </c>
      <c r="AZ130" t="e">
        <f>AND(#REF!,"AAAAACe9GTM=")</f>
        <v>#REF!</v>
      </c>
      <c r="BA130" t="e">
        <f>AND(#REF!,"AAAAACe9GTQ=")</f>
        <v>#REF!</v>
      </c>
      <c r="BB130" t="e">
        <f>AND(#REF!,"AAAAACe9GTU=")</f>
        <v>#REF!</v>
      </c>
      <c r="BC130" t="e">
        <f>AND(#REF!,"AAAAACe9GTY=")</f>
        <v>#REF!</v>
      </c>
      <c r="BD130" t="e">
        <f>AND(#REF!,"AAAAACe9GTc=")</f>
        <v>#REF!</v>
      </c>
      <c r="BE130" t="e">
        <f>AND(#REF!,"AAAAACe9GTg=")</f>
        <v>#REF!</v>
      </c>
      <c r="BF130" t="e">
        <f>AND(#REF!,"AAAAACe9GTk=")</f>
        <v>#REF!</v>
      </c>
      <c r="BG130" t="e">
        <f>AND(#REF!,"AAAAACe9GTo=")</f>
        <v>#REF!</v>
      </c>
      <c r="BH130" t="e">
        <f>AND(#REF!,"AAAAACe9GTs=")</f>
        <v>#REF!</v>
      </c>
      <c r="BI130" t="e">
        <f>AND(#REF!,"AAAAACe9GTw=")</f>
        <v>#REF!</v>
      </c>
      <c r="BJ130" t="e">
        <f>IF(#REF!,"AAAAACe9GT0=",0)</f>
        <v>#REF!</v>
      </c>
      <c r="BK130" t="e">
        <f>AND(#REF!,"AAAAACe9GT4=")</f>
        <v>#REF!</v>
      </c>
      <c r="BL130" t="e">
        <f>AND(#REF!,"AAAAACe9GT8=")</f>
        <v>#REF!</v>
      </c>
      <c r="BM130" t="e">
        <f>AND(#REF!,"AAAAACe9GUA=")</f>
        <v>#REF!</v>
      </c>
      <c r="BN130" t="e">
        <f>AND(#REF!,"AAAAACe9GUE=")</f>
        <v>#REF!</v>
      </c>
      <c r="BO130" t="e">
        <f>AND(#REF!,"AAAAACe9GUI=")</f>
        <v>#REF!</v>
      </c>
      <c r="BP130" t="e">
        <f>AND(#REF!,"AAAAACe9GUM=")</f>
        <v>#REF!</v>
      </c>
      <c r="BQ130" t="e">
        <f>AND(#REF!,"AAAAACe9GUQ=")</f>
        <v>#REF!</v>
      </c>
      <c r="BR130" t="e">
        <f>AND(#REF!,"AAAAACe9GUU=")</f>
        <v>#REF!</v>
      </c>
      <c r="BS130" t="e">
        <f>AND(#REF!,"AAAAACe9GUY=")</f>
        <v>#REF!</v>
      </c>
      <c r="BT130" t="e">
        <f>AND(#REF!,"AAAAACe9GUc=")</f>
        <v>#REF!</v>
      </c>
      <c r="BU130" t="e">
        <f>AND(#REF!,"AAAAACe9GUg=")</f>
        <v>#REF!</v>
      </c>
      <c r="BV130" t="e">
        <f>AND(#REF!,"AAAAACe9GUk=")</f>
        <v>#REF!</v>
      </c>
      <c r="BW130" t="e">
        <f>AND(#REF!,"AAAAACe9GUo=")</f>
        <v>#REF!</v>
      </c>
      <c r="BX130" t="e">
        <f>AND(#REF!,"AAAAACe9GUs=")</f>
        <v>#REF!</v>
      </c>
      <c r="BY130" t="e">
        <f>AND(#REF!,"AAAAACe9GUw=")</f>
        <v>#REF!</v>
      </c>
      <c r="BZ130" t="e">
        <f>AND(#REF!,"AAAAACe9GU0=")</f>
        <v>#REF!</v>
      </c>
      <c r="CA130" t="e">
        <f>AND(#REF!,"AAAAACe9GU4=")</f>
        <v>#REF!</v>
      </c>
      <c r="CB130" t="e">
        <f>AND(#REF!,"AAAAACe9GU8=")</f>
        <v>#REF!</v>
      </c>
      <c r="CC130" t="e">
        <f>AND(#REF!,"AAAAACe9GVA=")</f>
        <v>#REF!</v>
      </c>
      <c r="CD130" t="e">
        <f>AND(#REF!,"AAAAACe9GVE=")</f>
        <v>#REF!</v>
      </c>
      <c r="CE130" t="e">
        <f>AND(#REF!,"AAAAACe9GVI=")</f>
        <v>#REF!</v>
      </c>
      <c r="CF130" t="e">
        <f>AND(#REF!,"AAAAACe9GVM=")</f>
        <v>#REF!</v>
      </c>
      <c r="CG130" t="e">
        <f>AND(#REF!,"AAAAACe9GVQ=")</f>
        <v>#REF!</v>
      </c>
      <c r="CH130" t="e">
        <f>AND(#REF!,"AAAAACe9GVU=")</f>
        <v>#REF!</v>
      </c>
      <c r="CI130" t="e">
        <f>IF(#REF!,"AAAAACe9GVY=",0)</f>
        <v>#REF!</v>
      </c>
      <c r="CJ130" t="e">
        <f>AND(#REF!,"AAAAACe9GVc=")</f>
        <v>#REF!</v>
      </c>
      <c r="CK130" t="e">
        <f>AND(#REF!,"AAAAACe9GVg=")</f>
        <v>#REF!</v>
      </c>
      <c r="CL130" t="e">
        <f>AND(#REF!,"AAAAACe9GVk=")</f>
        <v>#REF!</v>
      </c>
      <c r="CM130" t="e">
        <f>AND(#REF!,"AAAAACe9GVo=")</f>
        <v>#REF!</v>
      </c>
      <c r="CN130" t="e">
        <f>AND(#REF!,"AAAAACe9GVs=")</f>
        <v>#REF!</v>
      </c>
      <c r="CO130" t="e">
        <f>AND(#REF!,"AAAAACe9GVw=")</f>
        <v>#REF!</v>
      </c>
      <c r="CP130" t="e">
        <f>AND(#REF!,"AAAAACe9GV0=")</f>
        <v>#REF!</v>
      </c>
      <c r="CQ130" t="e">
        <f>AND(#REF!,"AAAAACe9GV4=")</f>
        <v>#REF!</v>
      </c>
      <c r="CR130" t="e">
        <f>AND(#REF!,"AAAAACe9GV8=")</f>
        <v>#REF!</v>
      </c>
      <c r="CS130" t="e">
        <f>AND(#REF!,"AAAAACe9GWA=")</f>
        <v>#REF!</v>
      </c>
      <c r="CT130" t="e">
        <f>AND(#REF!,"AAAAACe9GWE=")</f>
        <v>#REF!</v>
      </c>
      <c r="CU130" t="e">
        <f>AND(#REF!,"AAAAACe9GWI=")</f>
        <v>#REF!</v>
      </c>
      <c r="CV130" t="e">
        <f>AND(#REF!,"AAAAACe9GWM=")</f>
        <v>#REF!</v>
      </c>
      <c r="CW130" t="e">
        <f>AND(#REF!,"AAAAACe9GWQ=")</f>
        <v>#REF!</v>
      </c>
      <c r="CX130" t="e">
        <f>AND(#REF!,"AAAAACe9GWU=")</f>
        <v>#REF!</v>
      </c>
      <c r="CY130" t="e">
        <f>AND(#REF!,"AAAAACe9GWY=")</f>
        <v>#REF!</v>
      </c>
      <c r="CZ130" t="e">
        <f>AND(#REF!,"AAAAACe9GWc=")</f>
        <v>#REF!</v>
      </c>
      <c r="DA130" t="e">
        <f>AND(#REF!,"AAAAACe9GWg=")</f>
        <v>#REF!</v>
      </c>
      <c r="DB130" t="e">
        <f>AND(#REF!,"AAAAACe9GWk=")</f>
        <v>#REF!</v>
      </c>
      <c r="DC130" t="e">
        <f>AND(#REF!,"AAAAACe9GWo=")</f>
        <v>#REF!</v>
      </c>
      <c r="DD130" t="e">
        <f>AND(#REF!,"AAAAACe9GWs=")</f>
        <v>#REF!</v>
      </c>
      <c r="DE130" t="e">
        <f>AND(#REF!,"AAAAACe9GWw=")</f>
        <v>#REF!</v>
      </c>
      <c r="DF130" t="e">
        <f>AND(#REF!,"AAAAACe9GW0=")</f>
        <v>#REF!</v>
      </c>
      <c r="DG130" t="e">
        <f>AND(#REF!,"AAAAACe9GW4=")</f>
        <v>#REF!</v>
      </c>
      <c r="DH130" t="e">
        <f>IF(#REF!,"AAAAACe9GW8=",0)</f>
        <v>#REF!</v>
      </c>
      <c r="DI130" t="e">
        <f>AND(#REF!,"AAAAACe9GXA=")</f>
        <v>#REF!</v>
      </c>
      <c r="DJ130" t="e">
        <f>AND(#REF!,"AAAAACe9GXE=")</f>
        <v>#REF!</v>
      </c>
      <c r="DK130" t="e">
        <f>AND(#REF!,"AAAAACe9GXI=")</f>
        <v>#REF!</v>
      </c>
      <c r="DL130" t="e">
        <f>AND(#REF!,"AAAAACe9GXM=")</f>
        <v>#REF!</v>
      </c>
      <c r="DM130" t="e">
        <f>AND(#REF!,"AAAAACe9GXQ=")</f>
        <v>#REF!</v>
      </c>
      <c r="DN130" t="e">
        <f>AND(#REF!,"AAAAACe9GXU=")</f>
        <v>#REF!</v>
      </c>
      <c r="DO130" t="e">
        <f>AND(#REF!,"AAAAACe9GXY=")</f>
        <v>#REF!</v>
      </c>
      <c r="DP130" t="e">
        <f>AND(#REF!,"AAAAACe9GXc=")</f>
        <v>#REF!</v>
      </c>
      <c r="DQ130" t="e">
        <f>AND(#REF!,"AAAAACe9GXg=")</f>
        <v>#REF!</v>
      </c>
      <c r="DR130" t="e">
        <f>AND(#REF!,"AAAAACe9GXk=")</f>
        <v>#REF!</v>
      </c>
      <c r="DS130" t="e">
        <f>AND(#REF!,"AAAAACe9GXo=")</f>
        <v>#REF!</v>
      </c>
      <c r="DT130" t="e">
        <f>AND(#REF!,"AAAAACe9GXs=")</f>
        <v>#REF!</v>
      </c>
      <c r="DU130" t="e">
        <f>AND(#REF!,"AAAAACe9GXw=")</f>
        <v>#REF!</v>
      </c>
      <c r="DV130" t="e">
        <f>AND(#REF!,"AAAAACe9GX0=")</f>
        <v>#REF!</v>
      </c>
      <c r="DW130" t="e">
        <f>AND(#REF!,"AAAAACe9GX4=")</f>
        <v>#REF!</v>
      </c>
      <c r="DX130" t="e">
        <f>AND(#REF!,"AAAAACe9GX8=")</f>
        <v>#REF!</v>
      </c>
      <c r="DY130" t="e">
        <f>AND(#REF!,"AAAAACe9GYA=")</f>
        <v>#REF!</v>
      </c>
      <c r="DZ130" t="e">
        <f>AND(#REF!,"AAAAACe9GYE=")</f>
        <v>#REF!</v>
      </c>
      <c r="EA130" t="e">
        <f>AND(#REF!,"AAAAACe9GYI=")</f>
        <v>#REF!</v>
      </c>
      <c r="EB130" t="e">
        <f>AND(#REF!,"AAAAACe9GYM=")</f>
        <v>#REF!</v>
      </c>
      <c r="EC130" t="e">
        <f>AND(#REF!,"AAAAACe9GYQ=")</f>
        <v>#REF!</v>
      </c>
      <c r="ED130" t="e">
        <f>AND(#REF!,"AAAAACe9GYU=")</f>
        <v>#REF!</v>
      </c>
      <c r="EE130" t="e">
        <f>AND(#REF!,"AAAAACe9GYY=")</f>
        <v>#REF!</v>
      </c>
      <c r="EF130" t="e">
        <f>AND(#REF!,"AAAAACe9GYc=")</f>
        <v>#REF!</v>
      </c>
      <c r="EG130" t="e">
        <f>IF(#REF!,"AAAAACe9GYg=",0)</f>
        <v>#REF!</v>
      </c>
      <c r="EH130" t="e">
        <f>AND(#REF!,"AAAAACe9GYk=")</f>
        <v>#REF!</v>
      </c>
      <c r="EI130" t="e">
        <f>AND(#REF!,"AAAAACe9GYo=")</f>
        <v>#REF!</v>
      </c>
      <c r="EJ130" t="e">
        <f>AND(#REF!,"AAAAACe9GYs=")</f>
        <v>#REF!</v>
      </c>
      <c r="EK130" t="e">
        <f>AND(#REF!,"AAAAACe9GYw=")</f>
        <v>#REF!</v>
      </c>
      <c r="EL130" t="e">
        <f>AND(#REF!,"AAAAACe9GY0=")</f>
        <v>#REF!</v>
      </c>
      <c r="EM130" t="e">
        <f>AND(#REF!,"AAAAACe9GY4=")</f>
        <v>#REF!</v>
      </c>
      <c r="EN130" t="e">
        <f>AND(#REF!,"AAAAACe9GY8=")</f>
        <v>#REF!</v>
      </c>
      <c r="EO130" t="e">
        <f>AND(#REF!,"AAAAACe9GZA=")</f>
        <v>#REF!</v>
      </c>
      <c r="EP130" t="e">
        <f>AND(#REF!,"AAAAACe9GZE=")</f>
        <v>#REF!</v>
      </c>
      <c r="EQ130" t="e">
        <f>AND(#REF!,"AAAAACe9GZI=")</f>
        <v>#REF!</v>
      </c>
      <c r="ER130" t="e">
        <f>AND(#REF!,"AAAAACe9GZM=")</f>
        <v>#REF!</v>
      </c>
      <c r="ES130" t="e">
        <f>AND(#REF!,"AAAAACe9GZQ=")</f>
        <v>#REF!</v>
      </c>
      <c r="ET130" t="e">
        <f>AND(#REF!,"AAAAACe9GZU=")</f>
        <v>#REF!</v>
      </c>
      <c r="EU130" t="e">
        <f>AND(#REF!,"AAAAACe9GZY=")</f>
        <v>#REF!</v>
      </c>
      <c r="EV130" t="e">
        <f>AND(#REF!,"AAAAACe9GZc=")</f>
        <v>#REF!</v>
      </c>
      <c r="EW130" t="e">
        <f>AND(#REF!,"AAAAACe9GZg=")</f>
        <v>#REF!</v>
      </c>
      <c r="EX130" t="e">
        <f>AND(#REF!,"AAAAACe9GZk=")</f>
        <v>#REF!</v>
      </c>
      <c r="EY130" t="e">
        <f>AND(#REF!,"AAAAACe9GZo=")</f>
        <v>#REF!</v>
      </c>
      <c r="EZ130" t="e">
        <f>AND(#REF!,"AAAAACe9GZs=")</f>
        <v>#REF!</v>
      </c>
      <c r="FA130" t="e">
        <f>AND(#REF!,"AAAAACe9GZw=")</f>
        <v>#REF!</v>
      </c>
      <c r="FB130" t="e">
        <f>AND(#REF!,"AAAAACe9GZ0=")</f>
        <v>#REF!</v>
      </c>
      <c r="FC130" t="e">
        <f>AND(#REF!,"AAAAACe9GZ4=")</f>
        <v>#REF!</v>
      </c>
      <c r="FD130" t="e">
        <f>AND(#REF!,"AAAAACe9GZ8=")</f>
        <v>#REF!</v>
      </c>
      <c r="FE130" t="e">
        <f>AND(#REF!,"AAAAACe9GaA=")</f>
        <v>#REF!</v>
      </c>
      <c r="FF130" t="e">
        <f>IF(#REF!,"AAAAACe9GaE=",0)</f>
        <v>#REF!</v>
      </c>
      <c r="FG130" t="e">
        <f>AND(#REF!,"AAAAACe9GaI=")</f>
        <v>#REF!</v>
      </c>
      <c r="FH130" t="e">
        <f>AND(#REF!,"AAAAACe9GaM=")</f>
        <v>#REF!</v>
      </c>
      <c r="FI130" t="e">
        <f>AND(#REF!,"AAAAACe9GaQ=")</f>
        <v>#REF!</v>
      </c>
      <c r="FJ130" t="e">
        <f>AND(#REF!,"AAAAACe9GaU=")</f>
        <v>#REF!</v>
      </c>
      <c r="FK130" t="e">
        <f>AND(#REF!,"AAAAACe9GaY=")</f>
        <v>#REF!</v>
      </c>
      <c r="FL130" t="e">
        <f>AND(#REF!,"AAAAACe9Gac=")</f>
        <v>#REF!</v>
      </c>
      <c r="FM130" t="e">
        <f>AND(#REF!,"AAAAACe9Gag=")</f>
        <v>#REF!</v>
      </c>
      <c r="FN130" t="e">
        <f>AND(#REF!,"AAAAACe9Gak=")</f>
        <v>#REF!</v>
      </c>
      <c r="FO130" t="e">
        <f>AND(#REF!,"AAAAACe9Gao=")</f>
        <v>#REF!</v>
      </c>
      <c r="FP130" t="e">
        <f>AND(#REF!,"AAAAACe9Gas=")</f>
        <v>#REF!</v>
      </c>
      <c r="FQ130" t="e">
        <f>AND(#REF!,"AAAAACe9Gaw=")</f>
        <v>#REF!</v>
      </c>
      <c r="FR130" t="e">
        <f>AND(#REF!,"AAAAACe9Ga0=")</f>
        <v>#REF!</v>
      </c>
      <c r="FS130" t="e">
        <f>AND(#REF!,"AAAAACe9Ga4=")</f>
        <v>#REF!</v>
      </c>
      <c r="FT130" t="e">
        <f>AND(#REF!,"AAAAACe9Ga8=")</f>
        <v>#REF!</v>
      </c>
      <c r="FU130" t="e">
        <f>AND(#REF!,"AAAAACe9GbA=")</f>
        <v>#REF!</v>
      </c>
      <c r="FV130" t="e">
        <f>AND(#REF!,"AAAAACe9GbE=")</f>
        <v>#REF!</v>
      </c>
      <c r="FW130" t="e">
        <f>AND(#REF!,"AAAAACe9GbI=")</f>
        <v>#REF!</v>
      </c>
      <c r="FX130" t="e">
        <f>AND(#REF!,"AAAAACe9GbM=")</f>
        <v>#REF!</v>
      </c>
      <c r="FY130" t="e">
        <f>AND(#REF!,"AAAAACe9GbQ=")</f>
        <v>#REF!</v>
      </c>
      <c r="FZ130" t="e">
        <f>AND(#REF!,"AAAAACe9GbU=")</f>
        <v>#REF!</v>
      </c>
      <c r="GA130" t="e">
        <f>AND(#REF!,"AAAAACe9GbY=")</f>
        <v>#REF!</v>
      </c>
      <c r="GB130" t="e">
        <f>AND(#REF!,"AAAAACe9Gbc=")</f>
        <v>#REF!</v>
      </c>
      <c r="GC130" t="e">
        <f>AND(#REF!,"AAAAACe9Gbg=")</f>
        <v>#REF!</v>
      </c>
      <c r="GD130" t="e">
        <f>AND(#REF!,"AAAAACe9Gbk=")</f>
        <v>#REF!</v>
      </c>
      <c r="GE130" t="e">
        <f>IF(#REF!,"AAAAACe9Gbo=",0)</f>
        <v>#REF!</v>
      </c>
      <c r="GF130" t="e">
        <f>AND(#REF!,"AAAAACe9Gbs=")</f>
        <v>#REF!</v>
      </c>
      <c r="GG130" t="e">
        <f>AND(#REF!,"AAAAACe9Gbw=")</f>
        <v>#REF!</v>
      </c>
      <c r="GH130" t="e">
        <f>AND(#REF!,"AAAAACe9Gb0=")</f>
        <v>#REF!</v>
      </c>
      <c r="GI130" t="e">
        <f>AND(#REF!,"AAAAACe9Gb4=")</f>
        <v>#REF!</v>
      </c>
      <c r="GJ130" t="e">
        <f>AND(#REF!,"AAAAACe9Gb8=")</f>
        <v>#REF!</v>
      </c>
      <c r="GK130" t="e">
        <f>AND(#REF!,"AAAAACe9GcA=")</f>
        <v>#REF!</v>
      </c>
      <c r="GL130" t="e">
        <f>AND(#REF!,"AAAAACe9GcE=")</f>
        <v>#REF!</v>
      </c>
      <c r="GM130" t="e">
        <f>AND(#REF!,"AAAAACe9GcI=")</f>
        <v>#REF!</v>
      </c>
      <c r="GN130" t="e">
        <f>AND(#REF!,"AAAAACe9GcM=")</f>
        <v>#REF!</v>
      </c>
      <c r="GO130" t="e">
        <f>AND(#REF!,"AAAAACe9GcQ=")</f>
        <v>#REF!</v>
      </c>
      <c r="GP130" t="e">
        <f>AND(#REF!,"AAAAACe9GcU=")</f>
        <v>#REF!</v>
      </c>
      <c r="GQ130" t="e">
        <f>AND(#REF!,"AAAAACe9GcY=")</f>
        <v>#REF!</v>
      </c>
      <c r="GR130" t="e">
        <f>AND(#REF!,"AAAAACe9Gcc=")</f>
        <v>#REF!</v>
      </c>
      <c r="GS130" t="e">
        <f>AND(#REF!,"AAAAACe9Gcg=")</f>
        <v>#REF!</v>
      </c>
      <c r="GT130" t="e">
        <f>AND(#REF!,"AAAAACe9Gck=")</f>
        <v>#REF!</v>
      </c>
      <c r="GU130" t="e">
        <f>AND(#REF!,"AAAAACe9Gco=")</f>
        <v>#REF!</v>
      </c>
      <c r="GV130" t="e">
        <f>AND(#REF!,"AAAAACe9Gcs=")</f>
        <v>#REF!</v>
      </c>
      <c r="GW130" t="e">
        <f>AND(#REF!,"AAAAACe9Gcw=")</f>
        <v>#REF!</v>
      </c>
      <c r="GX130" t="e">
        <f>AND(#REF!,"AAAAACe9Gc0=")</f>
        <v>#REF!</v>
      </c>
      <c r="GY130" t="e">
        <f>AND(#REF!,"AAAAACe9Gc4=")</f>
        <v>#REF!</v>
      </c>
      <c r="GZ130" t="e">
        <f>AND(#REF!,"AAAAACe9Gc8=")</f>
        <v>#REF!</v>
      </c>
      <c r="HA130" t="e">
        <f>AND(#REF!,"AAAAACe9GdA=")</f>
        <v>#REF!</v>
      </c>
      <c r="HB130" t="e">
        <f>AND(#REF!,"AAAAACe9GdE=")</f>
        <v>#REF!</v>
      </c>
      <c r="HC130" t="e">
        <f>AND(#REF!,"AAAAACe9GdI=")</f>
        <v>#REF!</v>
      </c>
      <c r="HD130" t="e">
        <f>IF(#REF!,"AAAAACe9GdM=",0)</f>
        <v>#REF!</v>
      </c>
      <c r="HE130" t="e">
        <f>AND(#REF!,"AAAAACe9GdQ=")</f>
        <v>#REF!</v>
      </c>
      <c r="HF130" t="e">
        <f>AND(#REF!,"AAAAACe9GdU=")</f>
        <v>#REF!</v>
      </c>
      <c r="HG130" t="e">
        <f>AND(#REF!,"AAAAACe9GdY=")</f>
        <v>#REF!</v>
      </c>
      <c r="HH130" t="e">
        <f>AND(#REF!,"AAAAACe9Gdc=")</f>
        <v>#REF!</v>
      </c>
      <c r="HI130" t="e">
        <f>AND(#REF!,"AAAAACe9Gdg=")</f>
        <v>#REF!</v>
      </c>
      <c r="HJ130" t="e">
        <f>AND(#REF!,"AAAAACe9Gdk=")</f>
        <v>#REF!</v>
      </c>
      <c r="HK130" t="e">
        <f>AND(#REF!,"AAAAACe9Gdo=")</f>
        <v>#REF!</v>
      </c>
      <c r="HL130" t="e">
        <f>AND(#REF!,"AAAAACe9Gds=")</f>
        <v>#REF!</v>
      </c>
      <c r="HM130" t="e">
        <f>AND(#REF!,"AAAAACe9Gdw=")</f>
        <v>#REF!</v>
      </c>
      <c r="HN130" t="e">
        <f>AND(#REF!,"AAAAACe9Gd0=")</f>
        <v>#REF!</v>
      </c>
      <c r="HO130" t="e">
        <f>AND(#REF!,"AAAAACe9Gd4=")</f>
        <v>#REF!</v>
      </c>
      <c r="HP130" t="e">
        <f>AND(#REF!,"AAAAACe9Gd8=")</f>
        <v>#REF!</v>
      </c>
      <c r="HQ130" t="e">
        <f>AND(#REF!,"AAAAACe9GeA=")</f>
        <v>#REF!</v>
      </c>
      <c r="HR130" t="e">
        <f>AND(#REF!,"AAAAACe9GeE=")</f>
        <v>#REF!</v>
      </c>
      <c r="HS130" t="e">
        <f>AND(#REF!,"AAAAACe9GeI=")</f>
        <v>#REF!</v>
      </c>
      <c r="HT130" t="e">
        <f>AND(#REF!,"AAAAACe9GeM=")</f>
        <v>#REF!</v>
      </c>
      <c r="HU130" t="e">
        <f>AND(#REF!,"AAAAACe9GeQ=")</f>
        <v>#REF!</v>
      </c>
      <c r="HV130" t="e">
        <f>AND(#REF!,"AAAAACe9GeU=")</f>
        <v>#REF!</v>
      </c>
      <c r="HW130" t="e">
        <f>AND(#REF!,"AAAAACe9GeY=")</f>
        <v>#REF!</v>
      </c>
      <c r="HX130" t="e">
        <f>AND(#REF!,"AAAAACe9Gec=")</f>
        <v>#REF!</v>
      </c>
      <c r="HY130" t="e">
        <f>AND(#REF!,"AAAAACe9Geg=")</f>
        <v>#REF!</v>
      </c>
      <c r="HZ130" t="e">
        <f>AND(#REF!,"AAAAACe9Gek=")</f>
        <v>#REF!</v>
      </c>
      <c r="IA130" t="e">
        <f>AND(#REF!,"AAAAACe9Geo=")</f>
        <v>#REF!</v>
      </c>
      <c r="IB130" t="e">
        <f>AND(#REF!,"AAAAACe9Ges=")</f>
        <v>#REF!</v>
      </c>
      <c r="IC130" t="e">
        <f>IF(#REF!,"AAAAACe9Gew=",0)</f>
        <v>#REF!</v>
      </c>
      <c r="ID130" t="e">
        <f>AND(#REF!,"AAAAACe9Ge0=")</f>
        <v>#REF!</v>
      </c>
      <c r="IE130" t="e">
        <f>AND(#REF!,"AAAAACe9Ge4=")</f>
        <v>#REF!</v>
      </c>
      <c r="IF130" t="e">
        <f>AND(#REF!,"AAAAACe9Ge8=")</f>
        <v>#REF!</v>
      </c>
      <c r="IG130" t="e">
        <f>AND(#REF!,"AAAAACe9GfA=")</f>
        <v>#REF!</v>
      </c>
      <c r="IH130" t="e">
        <f>AND(#REF!,"AAAAACe9GfE=")</f>
        <v>#REF!</v>
      </c>
      <c r="II130" t="e">
        <f>AND(#REF!,"AAAAACe9GfI=")</f>
        <v>#REF!</v>
      </c>
      <c r="IJ130" t="e">
        <f>AND(#REF!,"AAAAACe9GfM=")</f>
        <v>#REF!</v>
      </c>
      <c r="IK130" t="e">
        <f>AND(#REF!,"AAAAACe9GfQ=")</f>
        <v>#REF!</v>
      </c>
      <c r="IL130" t="e">
        <f>AND(#REF!,"AAAAACe9GfU=")</f>
        <v>#REF!</v>
      </c>
      <c r="IM130" t="e">
        <f>AND(#REF!,"AAAAACe9GfY=")</f>
        <v>#REF!</v>
      </c>
      <c r="IN130" t="e">
        <f>AND(#REF!,"AAAAACe9Gfc=")</f>
        <v>#REF!</v>
      </c>
      <c r="IO130" t="e">
        <f>AND(#REF!,"AAAAACe9Gfg=")</f>
        <v>#REF!</v>
      </c>
      <c r="IP130" t="e">
        <f>AND(#REF!,"AAAAACe9Gfk=")</f>
        <v>#REF!</v>
      </c>
      <c r="IQ130" t="e">
        <f>AND(#REF!,"AAAAACe9Gfo=")</f>
        <v>#REF!</v>
      </c>
      <c r="IR130" t="e">
        <f>AND(#REF!,"AAAAACe9Gfs=")</f>
        <v>#REF!</v>
      </c>
      <c r="IS130" t="e">
        <f>AND(#REF!,"AAAAACe9Gfw=")</f>
        <v>#REF!</v>
      </c>
      <c r="IT130" t="e">
        <f>AND(#REF!,"AAAAACe9Gf0=")</f>
        <v>#REF!</v>
      </c>
      <c r="IU130" t="e">
        <f>AND(#REF!,"AAAAACe9Gf4=")</f>
        <v>#REF!</v>
      </c>
      <c r="IV130" t="e">
        <f>AND(#REF!,"AAAAACe9Gf8=")</f>
        <v>#REF!</v>
      </c>
    </row>
    <row r="131" spans="1:256">
      <c r="A131" t="e">
        <f>AND(#REF!,"AAAAAHyrfwA=")</f>
        <v>#REF!</v>
      </c>
      <c r="B131" t="e">
        <f>AND(#REF!,"AAAAAHyrfwE=")</f>
        <v>#REF!</v>
      </c>
      <c r="C131" t="e">
        <f>AND(#REF!,"AAAAAHyrfwI=")</f>
        <v>#REF!</v>
      </c>
      <c r="D131" t="e">
        <f>AND(#REF!,"AAAAAHyrfwM=")</f>
        <v>#REF!</v>
      </c>
      <c r="E131" t="e">
        <f>AND(#REF!,"AAAAAHyrfwQ=")</f>
        <v>#REF!</v>
      </c>
      <c r="F131" t="e">
        <f>IF(#REF!,"AAAAAHyrfwU=",0)</f>
        <v>#REF!</v>
      </c>
      <c r="G131" t="e">
        <f>AND(#REF!,"AAAAAHyrfwY=")</f>
        <v>#REF!</v>
      </c>
      <c r="H131" t="e">
        <f>AND(#REF!,"AAAAAHyrfwc=")</f>
        <v>#REF!</v>
      </c>
      <c r="I131" t="e">
        <f>AND(#REF!,"AAAAAHyrfwg=")</f>
        <v>#REF!</v>
      </c>
      <c r="J131" t="e">
        <f>AND(#REF!,"AAAAAHyrfwk=")</f>
        <v>#REF!</v>
      </c>
      <c r="K131" t="e">
        <f>AND(#REF!,"AAAAAHyrfwo=")</f>
        <v>#REF!</v>
      </c>
      <c r="L131" t="e">
        <f>AND(#REF!,"AAAAAHyrfws=")</f>
        <v>#REF!</v>
      </c>
      <c r="M131" t="e">
        <f>AND(#REF!,"AAAAAHyrfww=")</f>
        <v>#REF!</v>
      </c>
      <c r="N131" t="e">
        <f>AND(#REF!,"AAAAAHyrfw0=")</f>
        <v>#REF!</v>
      </c>
      <c r="O131" t="e">
        <f>AND(#REF!,"AAAAAHyrfw4=")</f>
        <v>#REF!</v>
      </c>
      <c r="P131" t="e">
        <f>AND(#REF!,"AAAAAHyrfw8=")</f>
        <v>#REF!</v>
      </c>
      <c r="Q131" t="e">
        <f>AND(#REF!,"AAAAAHyrfxA=")</f>
        <v>#REF!</v>
      </c>
      <c r="R131" t="e">
        <f>AND(#REF!,"AAAAAHyrfxE=")</f>
        <v>#REF!</v>
      </c>
      <c r="S131" t="e">
        <f>AND(#REF!,"AAAAAHyrfxI=")</f>
        <v>#REF!</v>
      </c>
      <c r="T131" t="e">
        <f>AND(#REF!,"AAAAAHyrfxM=")</f>
        <v>#REF!</v>
      </c>
      <c r="U131" t="e">
        <f>AND(#REF!,"AAAAAHyrfxQ=")</f>
        <v>#REF!</v>
      </c>
      <c r="V131" t="e">
        <f>AND(#REF!,"AAAAAHyrfxU=")</f>
        <v>#REF!</v>
      </c>
      <c r="W131" t="e">
        <f>AND(#REF!,"AAAAAHyrfxY=")</f>
        <v>#REF!</v>
      </c>
      <c r="X131" t="e">
        <f>AND(#REF!,"AAAAAHyrfxc=")</f>
        <v>#REF!</v>
      </c>
      <c r="Y131" t="e">
        <f>AND(#REF!,"AAAAAHyrfxg=")</f>
        <v>#REF!</v>
      </c>
      <c r="Z131" t="e">
        <f>AND(#REF!,"AAAAAHyrfxk=")</f>
        <v>#REF!</v>
      </c>
      <c r="AA131" t="e">
        <f>AND(#REF!,"AAAAAHyrfxo=")</f>
        <v>#REF!</v>
      </c>
      <c r="AB131" t="e">
        <f>AND(#REF!,"AAAAAHyrfxs=")</f>
        <v>#REF!</v>
      </c>
      <c r="AC131" t="e">
        <f>AND(#REF!,"AAAAAHyrfxw=")</f>
        <v>#REF!</v>
      </c>
      <c r="AD131" t="e">
        <f>AND(#REF!,"AAAAAHyrfx0=")</f>
        <v>#REF!</v>
      </c>
      <c r="AE131" t="e">
        <f>IF(#REF!,"AAAAAHyrfx4=",0)</f>
        <v>#REF!</v>
      </c>
      <c r="AF131" t="e">
        <f>AND(#REF!,"AAAAAHyrfx8=")</f>
        <v>#REF!</v>
      </c>
      <c r="AG131" t="e">
        <f>AND(#REF!,"AAAAAHyrfyA=")</f>
        <v>#REF!</v>
      </c>
      <c r="AH131" t="e">
        <f>AND(#REF!,"AAAAAHyrfyE=")</f>
        <v>#REF!</v>
      </c>
      <c r="AI131" t="e">
        <f>AND(#REF!,"AAAAAHyrfyI=")</f>
        <v>#REF!</v>
      </c>
      <c r="AJ131" t="e">
        <f>AND(#REF!,"AAAAAHyrfyM=")</f>
        <v>#REF!</v>
      </c>
      <c r="AK131" t="e">
        <f>AND(#REF!,"AAAAAHyrfyQ=")</f>
        <v>#REF!</v>
      </c>
      <c r="AL131" t="e">
        <f>AND(#REF!,"AAAAAHyrfyU=")</f>
        <v>#REF!</v>
      </c>
      <c r="AM131" t="e">
        <f>AND(#REF!,"AAAAAHyrfyY=")</f>
        <v>#REF!</v>
      </c>
      <c r="AN131" t="e">
        <f>AND(#REF!,"AAAAAHyrfyc=")</f>
        <v>#REF!</v>
      </c>
      <c r="AO131" t="e">
        <f>AND(#REF!,"AAAAAHyrfyg=")</f>
        <v>#REF!</v>
      </c>
      <c r="AP131" t="e">
        <f>AND(#REF!,"AAAAAHyrfyk=")</f>
        <v>#REF!</v>
      </c>
      <c r="AQ131" t="e">
        <f>AND(#REF!,"AAAAAHyrfyo=")</f>
        <v>#REF!</v>
      </c>
      <c r="AR131" t="e">
        <f>AND(#REF!,"AAAAAHyrfys=")</f>
        <v>#REF!</v>
      </c>
      <c r="AS131" t="e">
        <f>AND(#REF!,"AAAAAHyrfyw=")</f>
        <v>#REF!</v>
      </c>
      <c r="AT131" t="e">
        <f>AND(#REF!,"AAAAAHyrfy0=")</f>
        <v>#REF!</v>
      </c>
      <c r="AU131" t="e">
        <f>AND(#REF!,"AAAAAHyrfy4=")</f>
        <v>#REF!</v>
      </c>
      <c r="AV131" t="e">
        <f>AND(#REF!,"AAAAAHyrfy8=")</f>
        <v>#REF!</v>
      </c>
      <c r="AW131" t="e">
        <f>AND(#REF!,"AAAAAHyrfzA=")</f>
        <v>#REF!</v>
      </c>
      <c r="AX131" t="e">
        <f>AND(#REF!,"AAAAAHyrfzE=")</f>
        <v>#REF!</v>
      </c>
      <c r="AY131" t="e">
        <f>AND(#REF!,"AAAAAHyrfzI=")</f>
        <v>#REF!</v>
      </c>
      <c r="AZ131" t="e">
        <f>AND(#REF!,"AAAAAHyrfzM=")</f>
        <v>#REF!</v>
      </c>
      <c r="BA131" t="e">
        <f>AND(#REF!,"AAAAAHyrfzQ=")</f>
        <v>#REF!</v>
      </c>
      <c r="BB131" t="e">
        <f>AND(#REF!,"AAAAAHyrfzU=")</f>
        <v>#REF!</v>
      </c>
      <c r="BC131" t="e">
        <f>AND(#REF!,"AAAAAHyrfzY=")</f>
        <v>#REF!</v>
      </c>
      <c r="BD131" t="e">
        <f>IF(#REF!,"AAAAAHyrfzc=",0)</f>
        <v>#REF!</v>
      </c>
      <c r="BE131" t="e">
        <f>AND(#REF!,"AAAAAHyrfzg=")</f>
        <v>#REF!</v>
      </c>
      <c r="BF131" t="e">
        <f>AND(#REF!,"AAAAAHyrfzk=")</f>
        <v>#REF!</v>
      </c>
      <c r="BG131" t="e">
        <f>AND(#REF!,"AAAAAHyrfzo=")</f>
        <v>#REF!</v>
      </c>
      <c r="BH131" t="e">
        <f>AND(#REF!,"AAAAAHyrfzs=")</f>
        <v>#REF!</v>
      </c>
      <c r="BI131" t="e">
        <f>AND(#REF!,"AAAAAHyrfzw=")</f>
        <v>#REF!</v>
      </c>
      <c r="BJ131" t="e">
        <f>AND(#REF!,"AAAAAHyrfz0=")</f>
        <v>#REF!</v>
      </c>
      <c r="BK131" t="e">
        <f>AND(#REF!,"AAAAAHyrfz4=")</f>
        <v>#REF!</v>
      </c>
      <c r="BL131" t="e">
        <f>AND(#REF!,"AAAAAHyrfz8=")</f>
        <v>#REF!</v>
      </c>
      <c r="BM131" t="e">
        <f>AND(#REF!,"AAAAAHyrf0A=")</f>
        <v>#REF!</v>
      </c>
      <c r="BN131" t="e">
        <f>AND(#REF!,"AAAAAHyrf0E=")</f>
        <v>#REF!</v>
      </c>
      <c r="BO131" t="e">
        <f>AND(#REF!,"AAAAAHyrf0I=")</f>
        <v>#REF!</v>
      </c>
      <c r="BP131" t="e">
        <f>AND(#REF!,"AAAAAHyrf0M=")</f>
        <v>#REF!</v>
      </c>
      <c r="BQ131" t="e">
        <f>AND(#REF!,"AAAAAHyrf0Q=")</f>
        <v>#REF!</v>
      </c>
      <c r="BR131" t="e">
        <f>AND(#REF!,"AAAAAHyrf0U=")</f>
        <v>#REF!</v>
      </c>
      <c r="BS131" t="e">
        <f>AND(#REF!,"AAAAAHyrf0Y=")</f>
        <v>#REF!</v>
      </c>
      <c r="BT131" t="e">
        <f>AND(#REF!,"AAAAAHyrf0c=")</f>
        <v>#REF!</v>
      </c>
      <c r="BU131" t="e">
        <f>AND(#REF!,"AAAAAHyrf0g=")</f>
        <v>#REF!</v>
      </c>
      <c r="BV131" t="e">
        <f>AND(#REF!,"AAAAAHyrf0k=")</f>
        <v>#REF!</v>
      </c>
      <c r="BW131" t="e">
        <f>AND(#REF!,"AAAAAHyrf0o=")</f>
        <v>#REF!</v>
      </c>
      <c r="BX131" t="e">
        <f>AND(#REF!,"AAAAAHyrf0s=")</f>
        <v>#REF!</v>
      </c>
      <c r="BY131" t="e">
        <f>AND(#REF!,"AAAAAHyrf0w=")</f>
        <v>#REF!</v>
      </c>
      <c r="BZ131" t="e">
        <f>AND(#REF!,"AAAAAHyrf00=")</f>
        <v>#REF!</v>
      </c>
      <c r="CA131" t="e">
        <f>AND(#REF!,"AAAAAHyrf04=")</f>
        <v>#REF!</v>
      </c>
      <c r="CB131" t="e">
        <f>AND(#REF!,"AAAAAHyrf08=")</f>
        <v>#REF!</v>
      </c>
      <c r="CC131" t="e">
        <f>IF(#REF!,"AAAAAHyrf1A=",0)</f>
        <v>#REF!</v>
      </c>
      <c r="CD131" t="e">
        <f>AND(#REF!,"AAAAAHyrf1E=")</f>
        <v>#REF!</v>
      </c>
      <c r="CE131" t="e">
        <f>AND(#REF!,"AAAAAHyrf1I=")</f>
        <v>#REF!</v>
      </c>
      <c r="CF131" t="e">
        <f>AND(#REF!,"AAAAAHyrf1M=")</f>
        <v>#REF!</v>
      </c>
      <c r="CG131" t="e">
        <f>AND(#REF!,"AAAAAHyrf1Q=")</f>
        <v>#REF!</v>
      </c>
      <c r="CH131" t="e">
        <f>AND(#REF!,"AAAAAHyrf1U=")</f>
        <v>#REF!</v>
      </c>
      <c r="CI131" t="e">
        <f>AND(#REF!,"AAAAAHyrf1Y=")</f>
        <v>#REF!</v>
      </c>
      <c r="CJ131" t="e">
        <f>AND(#REF!,"AAAAAHyrf1c=")</f>
        <v>#REF!</v>
      </c>
      <c r="CK131" t="e">
        <f>AND(#REF!,"AAAAAHyrf1g=")</f>
        <v>#REF!</v>
      </c>
      <c r="CL131" t="e">
        <f>AND(#REF!,"AAAAAHyrf1k=")</f>
        <v>#REF!</v>
      </c>
      <c r="CM131" t="e">
        <f>AND(#REF!,"AAAAAHyrf1o=")</f>
        <v>#REF!</v>
      </c>
      <c r="CN131" t="e">
        <f>AND(#REF!,"AAAAAHyrf1s=")</f>
        <v>#REF!</v>
      </c>
      <c r="CO131" t="e">
        <f>AND(#REF!,"AAAAAHyrf1w=")</f>
        <v>#REF!</v>
      </c>
      <c r="CP131" t="e">
        <f>AND(#REF!,"AAAAAHyrf10=")</f>
        <v>#REF!</v>
      </c>
      <c r="CQ131" t="e">
        <f>AND(#REF!,"AAAAAHyrf14=")</f>
        <v>#REF!</v>
      </c>
      <c r="CR131" t="e">
        <f>AND(#REF!,"AAAAAHyrf18=")</f>
        <v>#REF!</v>
      </c>
      <c r="CS131" t="e">
        <f>AND(#REF!,"AAAAAHyrf2A=")</f>
        <v>#REF!</v>
      </c>
      <c r="CT131" t="e">
        <f>AND(#REF!,"AAAAAHyrf2E=")</f>
        <v>#REF!</v>
      </c>
      <c r="CU131" t="e">
        <f>AND(#REF!,"AAAAAHyrf2I=")</f>
        <v>#REF!</v>
      </c>
      <c r="CV131" t="e">
        <f>AND(#REF!,"AAAAAHyrf2M=")</f>
        <v>#REF!</v>
      </c>
      <c r="CW131" t="e">
        <f>AND(#REF!,"AAAAAHyrf2Q=")</f>
        <v>#REF!</v>
      </c>
      <c r="CX131" t="e">
        <f>AND(#REF!,"AAAAAHyrf2U=")</f>
        <v>#REF!</v>
      </c>
      <c r="CY131" t="e">
        <f>AND(#REF!,"AAAAAHyrf2Y=")</f>
        <v>#REF!</v>
      </c>
      <c r="CZ131" t="e">
        <f>AND(#REF!,"AAAAAHyrf2c=")</f>
        <v>#REF!</v>
      </c>
      <c r="DA131" t="e">
        <f>AND(#REF!,"AAAAAHyrf2g=")</f>
        <v>#REF!</v>
      </c>
      <c r="DB131" t="e">
        <f>IF(#REF!,"AAAAAHyrf2k=",0)</f>
        <v>#REF!</v>
      </c>
      <c r="DC131" t="e">
        <f>AND(#REF!,"AAAAAHyrf2o=")</f>
        <v>#REF!</v>
      </c>
      <c r="DD131" t="e">
        <f>AND(#REF!,"AAAAAHyrf2s=")</f>
        <v>#REF!</v>
      </c>
      <c r="DE131" t="e">
        <f>AND(#REF!,"AAAAAHyrf2w=")</f>
        <v>#REF!</v>
      </c>
      <c r="DF131" t="e">
        <f>AND(#REF!,"AAAAAHyrf20=")</f>
        <v>#REF!</v>
      </c>
      <c r="DG131" t="e">
        <f>AND(#REF!,"AAAAAHyrf24=")</f>
        <v>#REF!</v>
      </c>
      <c r="DH131" t="e">
        <f>AND(#REF!,"AAAAAHyrf28=")</f>
        <v>#REF!</v>
      </c>
      <c r="DI131" t="e">
        <f>AND(#REF!,"AAAAAHyrf3A=")</f>
        <v>#REF!</v>
      </c>
      <c r="DJ131" t="e">
        <f>AND(#REF!,"AAAAAHyrf3E=")</f>
        <v>#REF!</v>
      </c>
      <c r="DK131" t="e">
        <f>AND(#REF!,"AAAAAHyrf3I=")</f>
        <v>#REF!</v>
      </c>
      <c r="DL131" t="e">
        <f>AND(#REF!,"AAAAAHyrf3M=")</f>
        <v>#REF!</v>
      </c>
      <c r="DM131" t="e">
        <f>AND(#REF!,"AAAAAHyrf3Q=")</f>
        <v>#REF!</v>
      </c>
      <c r="DN131" t="e">
        <f>AND(#REF!,"AAAAAHyrf3U=")</f>
        <v>#REF!</v>
      </c>
      <c r="DO131" t="e">
        <f>AND(#REF!,"AAAAAHyrf3Y=")</f>
        <v>#REF!</v>
      </c>
      <c r="DP131" t="e">
        <f>AND(#REF!,"AAAAAHyrf3c=")</f>
        <v>#REF!</v>
      </c>
      <c r="DQ131" t="e">
        <f>AND(#REF!,"AAAAAHyrf3g=")</f>
        <v>#REF!</v>
      </c>
      <c r="DR131" t="e">
        <f>AND(#REF!,"AAAAAHyrf3k=")</f>
        <v>#REF!</v>
      </c>
      <c r="DS131" t="e">
        <f>AND(#REF!,"AAAAAHyrf3o=")</f>
        <v>#REF!</v>
      </c>
      <c r="DT131" t="e">
        <f>AND(#REF!,"AAAAAHyrf3s=")</f>
        <v>#REF!</v>
      </c>
      <c r="DU131" t="e">
        <f>AND(#REF!,"AAAAAHyrf3w=")</f>
        <v>#REF!</v>
      </c>
      <c r="DV131" t="e">
        <f>AND(#REF!,"AAAAAHyrf30=")</f>
        <v>#REF!</v>
      </c>
      <c r="DW131" t="e">
        <f>AND(#REF!,"AAAAAHyrf34=")</f>
        <v>#REF!</v>
      </c>
      <c r="DX131" t="e">
        <f>AND(#REF!,"AAAAAHyrf38=")</f>
        <v>#REF!</v>
      </c>
      <c r="DY131" t="e">
        <f>AND(#REF!,"AAAAAHyrf4A=")</f>
        <v>#REF!</v>
      </c>
      <c r="DZ131" t="e">
        <f>AND(#REF!,"AAAAAHyrf4E=")</f>
        <v>#REF!</v>
      </c>
      <c r="EA131" t="e">
        <f>IF(#REF!,"AAAAAHyrf4I=",0)</f>
        <v>#REF!</v>
      </c>
      <c r="EB131" t="e">
        <f>AND(#REF!,"AAAAAHyrf4M=")</f>
        <v>#REF!</v>
      </c>
      <c r="EC131" t="e">
        <f>AND(#REF!,"AAAAAHyrf4Q=")</f>
        <v>#REF!</v>
      </c>
      <c r="ED131" t="e">
        <f>AND(#REF!,"AAAAAHyrf4U=")</f>
        <v>#REF!</v>
      </c>
      <c r="EE131" t="e">
        <f>AND(#REF!,"AAAAAHyrf4Y=")</f>
        <v>#REF!</v>
      </c>
      <c r="EF131" t="e">
        <f>AND(#REF!,"AAAAAHyrf4c=")</f>
        <v>#REF!</v>
      </c>
      <c r="EG131" t="e">
        <f>AND(#REF!,"AAAAAHyrf4g=")</f>
        <v>#REF!</v>
      </c>
      <c r="EH131" t="e">
        <f>AND(#REF!,"AAAAAHyrf4k=")</f>
        <v>#REF!</v>
      </c>
      <c r="EI131" t="e">
        <f>AND(#REF!,"AAAAAHyrf4o=")</f>
        <v>#REF!</v>
      </c>
      <c r="EJ131" t="e">
        <f>AND(#REF!,"AAAAAHyrf4s=")</f>
        <v>#REF!</v>
      </c>
      <c r="EK131" t="e">
        <f>AND(#REF!,"AAAAAHyrf4w=")</f>
        <v>#REF!</v>
      </c>
      <c r="EL131" t="e">
        <f>AND(#REF!,"AAAAAHyrf40=")</f>
        <v>#REF!</v>
      </c>
      <c r="EM131" t="e">
        <f>AND(#REF!,"AAAAAHyrf44=")</f>
        <v>#REF!</v>
      </c>
      <c r="EN131" t="e">
        <f>AND(#REF!,"AAAAAHyrf48=")</f>
        <v>#REF!</v>
      </c>
      <c r="EO131" t="e">
        <f>AND(#REF!,"AAAAAHyrf5A=")</f>
        <v>#REF!</v>
      </c>
      <c r="EP131" t="e">
        <f>AND(#REF!,"AAAAAHyrf5E=")</f>
        <v>#REF!</v>
      </c>
      <c r="EQ131" t="e">
        <f>AND(#REF!,"AAAAAHyrf5I=")</f>
        <v>#REF!</v>
      </c>
      <c r="ER131" t="e">
        <f>AND(#REF!,"AAAAAHyrf5M=")</f>
        <v>#REF!</v>
      </c>
      <c r="ES131" t="e">
        <f>AND(#REF!,"AAAAAHyrf5Q=")</f>
        <v>#REF!</v>
      </c>
      <c r="ET131" t="e">
        <f>AND(#REF!,"AAAAAHyrf5U=")</f>
        <v>#REF!</v>
      </c>
      <c r="EU131" t="e">
        <f>AND(#REF!,"AAAAAHyrf5Y=")</f>
        <v>#REF!</v>
      </c>
      <c r="EV131" t="e">
        <f>AND(#REF!,"AAAAAHyrf5c=")</f>
        <v>#REF!</v>
      </c>
      <c r="EW131" t="e">
        <f>AND(#REF!,"AAAAAHyrf5g=")</f>
        <v>#REF!</v>
      </c>
      <c r="EX131" t="e">
        <f>AND(#REF!,"AAAAAHyrf5k=")</f>
        <v>#REF!</v>
      </c>
      <c r="EY131" t="e">
        <f>AND(#REF!,"AAAAAHyrf5o=")</f>
        <v>#REF!</v>
      </c>
      <c r="EZ131" t="e">
        <f>IF(#REF!,"AAAAAHyrf5s=",0)</f>
        <v>#REF!</v>
      </c>
      <c r="FA131" t="e">
        <f>AND(#REF!,"AAAAAHyrf5w=")</f>
        <v>#REF!</v>
      </c>
      <c r="FB131" t="e">
        <f>AND(#REF!,"AAAAAHyrf50=")</f>
        <v>#REF!</v>
      </c>
      <c r="FC131" t="e">
        <f>AND(#REF!,"AAAAAHyrf54=")</f>
        <v>#REF!</v>
      </c>
      <c r="FD131" t="e">
        <f>AND(#REF!,"AAAAAHyrf58=")</f>
        <v>#REF!</v>
      </c>
      <c r="FE131" t="e">
        <f>AND(#REF!,"AAAAAHyrf6A=")</f>
        <v>#REF!</v>
      </c>
      <c r="FF131" t="e">
        <f>AND(#REF!,"AAAAAHyrf6E=")</f>
        <v>#REF!</v>
      </c>
      <c r="FG131" t="e">
        <f>AND(#REF!,"AAAAAHyrf6I=")</f>
        <v>#REF!</v>
      </c>
      <c r="FH131" t="e">
        <f>AND(#REF!,"AAAAAHyrf6M=")</f>
        <v>#REF!</v>
      </c>
      <c r="FI131" t="e">
        <f>AND(#REF!,"AAAAAHyrf6Q=")</f>
        <v>#REF!</v>
      </c>
      <c r="FJ131" t="e">
        <f>AND(#REF!,"AAAAAHyrf6U=")</f>
        <v>#REF!</v>
      </c>
      <c r="FK131" t="e">
        <f>AND(#REF!,"AAAAAHyrf6Y=")</f>
        <v>#REF!</v>
      </c>
      <c r="FL131" t="e">
        <f>AND(#REF!,"AAAAAHyrf6c=")</f>
        <v>#REF!</v>
      </c>
      <c r="FM131" t="e">
        <f>AND(#REF!,"AAAAAHyrf6g=")</f>
        <v>#REF!</v>
      </c>
      <c r="FN131" t="e">
        <f>AND(#REF!,"AAAAAHyrf6k=")</f>
        <v>#REF!</v>
      </c>
      <c r="FO131" t="e">
        <f>AND(#REF!,"AAAAAHyrf6o=")</f>
        <v>#REF!</v>
      </c>
      <c r="FP131" t="e">
        <f>AND(#REF!,"AAAAAHyrf6s=")</f>
        <v>#REF!</v>
      </c>
      <c r="FQ131" t="e">
        <f>AND(#REF!,"AAAAAHyrf6w=")</f>
        <v>#REF!</v>
      </c>
      <c r="FR131" t="e">
        <f>AND(#REF!,"AAAAAHyrf60=")</f>
        <v>#REF!</v>
      </c>
      <c r="FS131" t="e">
        <f>AND(#REF!,"AAAAAHyrf64=")</f>
        <v>#REF!</v>
      </c>
      <c r="FT131" t="e">
        <f>AND(#REF!,"AAAAAHyrf68=")</f>
        <v>#REF!</v>
      </c>
      <c r="FU131" t="e">
        <f>AND(#REF!,"AAAAAHyrf7A=")</f>
        <v>#REF!</v>
      </c>
      <c r="FV131" t="e">
        <f>AND(#REF!,"AAAAAHyrf7E=")</f>
        <v>#REF!</v>
      </c>
      <c r="FW131" t="e">
        <f>AND(#REF!,"AAAAAHyrf7I=")</f>
        <v>#REF!</v>
      </c>
      <c r="FX131" t="e">
        <f>AND(#REF!,"AAAAAHyrf7M=")</f>
        <v>#REF!</v>
      </c>
      <c r="FY131" t="e">
        <f>IF(#REF!,"AAAAAHyrf7Q=",0)</f>
        <v>#REF!</v>
      </c>
      <c r="FZ131" t="e">
        <f>AND(#REF!,"AAAAAHyrf7U=")</f>
        <v>#REF!</v>
      </c>
      <c r="GA131" t="e">
        <f>AND(#REF!,"AAAAAHyrf7Y=")</f>
        <v>#REF!</v>
      </c>
      <c r="GB131" t="e">
        <f>AND(#REF!,"AAAAAHyrf7c=")</f>
        <v>#REF!</v>
      </c>
      <c r="GC131" t="e">
        <f>AND(#REF!,"AAAAAHyrf7g=")</f>
        <v>#REF!</v>
      </c>
      <c r="GD131" t="e">
        <f>AND(#REF!,"AAAAAHyrf7k=")</f>
        <v>#REF!</v>
      </c>
      <c r="GE131" t="e">
        <f>AND(#REF!,"AAAAAHyrf7o=")</f>
        <v>#REF!</v>
      </c>
      <c r="GF131" t="e">
        <f>AND(#REF!,"AAAAAHyrf7s=")</f>
        <v>#REF!</v>
      </c>
      <c r="GG131" t="e">
        <f>AND(#REF!,"AAAAAHyrf7w=")</f>
        <v>#REF!</v>
      </c>
      <c r="GH131" t="e">
        <f>AND(#REF!,"AAAAAHyrf70=")</f>
        <v>#REF!</v>
      </c>
      <c r="GI131" t="e">
        <f>AND(#REF!,"AAAAAHyrf74=")</f>
        <v>#REF!</v>
      </c>
      <c r="GJ131" t="e">
        <f>AND(#REF!,"AAAAAHyrf78=")</f>
        <v>#REF!</v>
      </c>
      <c r="GK131" t="e">
        <f>AND(#REF!,"AAAAAHyrf8A=")</f>
        <v>#REF!</v>
      </c>
      <c r="GL131" t="e">
        <f>AND(#REF!,"AAAAAHyrf8E=")</f>
        <v>#REF!</v>
      </c>
      <c r="GM131" t="e">
        <f>AND(#REF!,"AAAAAHyrf8I=")</f>
        <v>#REF!</v>
      </c>
      <c r="GN131" t="e">
        <f>AND(#REF!,"AAAAAHyrf8M=")</f>
        <v>#REF!</v>
      </c>
      <c r="GO131" t="e">
        <f>AND(#REF!,"AAAAAHyrf8Q=")</f>
        <v>#REF!</v>
      </c>
      <c r="GP131" t="e">
        <f>AND(#REF!,"AAAAAHyrf8U=")</f>
        <v>#REF!</v>
      </c>
      <c r="GQ131" t="e">
        <f>AND(#REF!,"AAAAAHyrf8Y=")</f>
        <v>#REF!</v>
      </c>
      <c r="GR131" t="e">
        <f>AND(#REF!,"AAAAAHyrf8c=")</f>
        <v>#REF!</v>
      </c>
      <c r="GS131" t="e">
        <f>AND(#REF!,"AAAAAHyrf8g=")</f>
        <v>#REF!</v>
      </c>
      <c r="GT131" t="e">
        <f>AND(#REF!,"AAAAAHyrf8k=")</f>
        <v>#REF!</v>
      </c>
      <c r="GU131" t="e">
        <f>AND(#REF!,"AAAAAHyrf8o=")</f>
        <v>#REF!</v>
      </c>
      <c r="GV131" t="e">
        <f>AND(#REF!,"AAAAAHyrf8s=")</f>
        <v>#REF!</v>
      </c>
      <c r="GW131" t="e">
        <f>AND(#REF!,"AAAAAHyrf8w=")</f>
        <v>#REF!</v>
      </c>
      <c r="GX131" t="e">
        <f>IF(#REF!,"AAAAAHyrf80=",0)</f>
        <v>#REF!</v>
      </c>
      <c r="GY131" t="e">
        <f>AND(#REF!,"AAAAAHyrf84=")</f>
        <v>#REF!</v>
      </c>
      <c r="GZ131" t="e">
        <f>AND(#REF!,"AAAAAHyrf88=")</f>
        <v>#REF!</v>
      </c>
      <c r="HA131" t="e">
        <f>AND(#REF!,"AAAAAHyrf9A=")</f>
        <v>#REF!</v>
      </c>
      <c r="HB131" t="e">
        <f>AND(#REF!,"AAAAAHyrf9E=")</f>
        <v>#REF!</v>
      </c>
      <c r="HC131" t="e">
        <f>AND(#REF!,"AAAAAHyrf9I=")</f>
        <v>#REF!</v>
      </c>
      <c r="HD131" t="e">
        <f>AND(#REF!,"AAAAAHyrf9M=")</f>
        <v>#REF!</v>
      </c>
      <c r="HE131" t="e">
        <f>AND(#REF!,"AAAAAHyrf9Q=")</f>
        <v>#REF!</v>
      </c>
      <c r="HF131" t="e">
        <f>AND(#REF!,"AAAAAHyrf9U=")</f>
        <v>#REF!</v>
      </c>
      <c r="HG131" t="e">
        <f>AND(#REF!,"AAAAAHyrf9Y=")</f>
        <v>#REF!</v>
      </c>
      <c r="HH131" t="e">
        <f>AND(#REF!,"AAAAAHyrf9c=")</f>
        <v>#REF!</v>
      </c>
      <c r="HI131" t="e">
        <f>AND(#REF!,"AAAAAHyrf9g=")</f>
        <v>#REF!</v>
      </c>
      <c r="HJ131" t="e">
        <f>AND(#REF!,"AAAAAHyrf9k=")</f>
        <v>#REF!</v>
      </c>
      <c r="HK131" t="e">
        <f>AND(#REF!,"AAAAAHyrf9o=")</f>
        <v>#REF!</v>
      </c>
      <c r="HL131" t="e">
        <f>AND(#REF!,"AAAAAHyrf9s=")</f>
        <v>#REF!</v>
      </c>
      <c r="HM131" t="e">
        <f>AND(#REF!,"AAAAAHyrf9w=")</f>
        <v>#REF!</v>
      </c>
      <c r="HN131" t="e">
        <f>AND(#REF!,"AAAAAHyrf90=")</f>
        <v>#REF!</v>
      </c>
      <c r="HO131" t="e">
        <f>AND(#REF!,"AAAAAHyrf94=")</f>
        <v>#REF!</v>
      </c>
      <c r="HP131" t="e">
        <f>AND(#REF!,"AAAAAHyrf98=")</f>
        <v>#REF!</v>
      </c>
      <c r="HQ131" t="e">
        <f>AND(#REF!,"AAAAAHyrf+A=")</f>
        <v>#REF!</v>
      </c>
      <c r="HR131" t="e">
        <f>AND(#REF!,"AAAAAHyrf+E=")</f>
        <v>#REF!</v>
      </c>
      <c r="HS131" t="e">
        <f>AND(#REF!,"AAAAAHyrf+I=")</f>
        <v>#REF!</v>
      </c>
      <c r="HT131" t="e">
        <f>AND(#REF!,"AAAAAHyrf+M=")</f>
        <v>#REF!</v>
      </c>
      <c r="HU131" t="e">
        <f>AND(#REF!,"AAAAAHyrf+Q=")</f>
        <v>#REF!</v>
      </c>
      <c r="HV131" t="e">
        <f>AND(#REF!,"AAAAAHyrf+U=")</f>
        <v>#REF!</v>
      </c>
      <c r="HW131" t="e">
        <f>IF(#REF!,"AAAAAHyrf+Y=",0)</f>
        <v>#REF!</v>
      </c>
      <c r="HX131" t="e">
        <f>AND(#REF!,"AAAAAHyrf+c=")</f>
        <v>#REF!</v>
      </c>
      <c r="HY131" t="e">
        <f>AND(#REF!,"AAAAAHyrf+g=")</f>
        <v>#REF!</v>
      </c>
      <c r="HZ131" t="e">
        <f>AND(#REF!,"AAAAAHyrf+k=")</f>
        <v>#REF!</v>
      </c>
      <c r="IA131" t="e">
        <f>AND(#REF!,"AAAAAHyrf+o=")</f>
        <v>#REF!</v>
      </c>
      <c r="IB131" t="e">
        <f>AND(#REF!,"AAAAAHyrf+s=")</f>
        <v>#REF!</v>
      </c>
      <c r="IC131" t="e">
        <f>AND(#REF!,"AAAAAHyrf+w=")</f>
        <v>#REF!</v>
      </c>
      <c r="ID131" t="e">
        <f>AND(#REF!,"AAAAAHyrf+0=")</f>
        <v>#REF!</v>
      </c>
      <c r="IE131" t="e">
        <f>AND(#REF!,"AAAAAHyrf+4=")</f>
        <v>#REF!</v>
      </c>
      <c r="IF131" t="e">
        <f>AND(#REF!,"AAAAAHyrf+8=")</f>
        <v>#REF!</v>
      </c>
      <c r="IG131" t="e">
        <f>AND(#REF!,"AAAAAHyrf/A=")</f>
        <v>#REF!</v>
      </c>
      <c r="IH131" t="e">
        <f>AND(#REF!,"AAAAAHyrf/E=")</f>
        <v>#REF!</v>
      </c>
      <c r="II131" t="e">
        <f>AND(#REF!,"AAAAAHyrf/I=")</f>
        <v>#REF!</v>
      </c>
      <c r="IJ131" t="e">
        <f>AND(#REF!,"AAAAAHyrf/M=")</f>
        <v>#REF!</v>
      </c>
      <c r="IK131" t="e">
        <f>AND(#REF!,"AAAAAHyrf/Q=")</f>
        <v>#REF!</v>
      </c>
      <c r="IL131" t="e">
        <f>AND(#REF!,"AAAAAHyrf/U=")</f>
        <v>#REF!</v>
      </c>
      <c r="IM131" t="e">
        <f>AND(#REF!,"AAAAAHyrf/Y=")</f>
        <v>#REF!</v>
      </c>
      <c r="IN131" t="e">
        <f>AND(#REF!,"AAAAAHyrf/c=")</f>
        <v>#REF!</v>
      </c>
      <c r="IO131" t="e">
        <f>AND(#REF!,"AAAAAHyrf/g=")</f>
        <v>#REF!</v>
      </c>
      <c r="IP131" t="e">
        <f>AND(#REF!,"AAAAAHyrf/k=")</f>
        <v>#REF!</v>
      </c>
      <c r="IQ131" t="e">
        <f>AND(#REF!,"AAAAAHyrf/o=")</f>
        <v>#REF!</v>
      </c>
      <c r="IR131" t="e">
        <f>AND(#REF!,"AAAAAHyrf/s=")</f>
        <v>#REF!</v>
      </c>
      <c r="IS131" t="e">
        <f>AND(#REF!,"AAAAAHyrf/w=")</f>
        <v>#REF!</v>
      </c>
      <c r="IT131" t="e">
        <f>AND(#REF!,"AAAAAHyrf/0=")</f>
        <v>#REF!</v>
      </c>
      <c r="IU131" t="e">
        <f>AND(#REF!,"AAAAAHyrf/4=")</f>
        <v>#REF!</v>
      </c>
      <c r="IV131" t="e">
        <f>IF(#REF!,"AAAAAHyrf/8=",0)</f>
        <v>#REF!</v>
      </c>
    </row>
    <row r="132" spans="1:256">
      <c r="A132" t="e">
        <f>AND(#REF!,"AAAAAC//+gA=")</f>
        <v>#REF!</v>
      </c>
      <c r="B132" t="e">
        <f>AND(#REF!,"AAAAAC//+gE=")</f>
        <v>#REF!</v>
      </c>
      <c r="C132" t="e">
        <f>AND(#REF!,"AAAAAC//+gI=")</f>
        <v>#REF!</v>
      </c>
      <c r="D132" t="e">
        <f>AND(#REF!,"AAAAAC//+gM=")</f>
        <v>#REF!</v>
      </c>
      <c r="E132" t="e">
        <f>AND(#REF!,"AAAAAC//+gQ=")</f>
        <v>#REF!</v>
      </c>
      <c r="F132" t="e">
        <f>AND(#REF!,"AAAAAC//+gU=")</f>
        <v>#REF!</v>
      </c>
      <c r="G132" t="e">
        <f>AND(#REF!,"AAAAAC//+gY=")</f>
        <v>#REF!</v>
      </c>
      <c r="H132" t="e">
        <f>AND(#REF!,"AAAAAC//+gc=")</f>
        <v>#REF!</v>
      </c>
      <c r="I132" t="e">
        <f>AND(#REF!,"AAAAAC//+gg=")</f>
        <v>#REF!</v>
      </c>
      <c r="J132" t="e">
        <f>AND(#REF!,"AAAAAC//+gk=")</f>
        <v>#REF!</v>
      </c>
      <c r="K132" t="e">
        <f>AND(#REF!,"AAAAAC//+go=")</f>
        <v>#REF!</v>
      </c>
      <c r="L132" t="e">
        <f>AND(#REF!,"AAAAAC//+gs=")</f>
        <v>#REF!</v>
      </c>
      <c r="M132" t="e">
        <f>AND(#REF!,"AAAAAC//+gw=")</f>
        <v>#REF!</v>
      </c>
      <c r="N132" t="e">
        <f>AND(#REF!,"AAAAAC//+g0=")</f>
        <v>#REF!</v>
      </c>
      <c r="O132" t="e">
        <f>AND(#REF!,"AAAAAC//+g4=")</f>
        <v>#REF!</v>
      </c>
      <c r="P132" t="e">
        <f>AND(#REF!,"AAAAAC//+g8=")</f>
        <v>#REF!</v>
      </c>
      <c r="Q132" t="e">
        <f>AND(#REF!,"AAAAAC//+hA=")</f>
        <v>#REF!</v>
      </c>
      <c r="R132" t="e">
        <f>AND(#REF!,"AAAAAC//+hE=")</f>
        <v>#REF!</v>
      </c>
      <c r="S132" t="e">
        <f>AND(#REF!,"AAAAAC//+hI=")</f>
        <v>#REF!</v>
      </c>
      <c r="T132" t="e">
        <f>AND(#REF!,"AAAAAC//+hM=")</f>
        <v>#REF!</v>
      </c>
      <c r="U132" t="e">
        <f>AND(#REF!,"AAAAAC//+hQ=")</f>
        <v>#REF!</v>
      </c>
      <c r="V132" t="e">
        <f>AND(#REF!,"AAAAAC//+hU=")</f>
        <v>#REF!</v>
      </c>
      <c r="W132" t="e">
        <f>AND(#REF!,"AAAAAC//+hY=")</f>
        <v>#REF!</v>
      </c>
      <c r="X132" t="e">
        <f>AND(#REF!,"AAAAAC//+hc=")</f>
        <v>#REF!</v>
      </c>
      <c r="Y132" t="e">
        <f>IF(#REF!,"AAAAAC//+hg=",0)</f>
        <v>#REF!</v>
      </c>
      <c r="Z132" t="e">
        <f>AND(#REF!,"AAAAAC//+hk=")</f>
        <v>#REF!</v>
      </c>
      <c r="AA132" t="e">
        <f>AND(#REF!,"AAAAAC//+ho=")</f>
        <v>#REF!</v>
      </c>
      <c r="AB132" t="e">
        <f>AND(#REF!,"AAAAAC//+hs=")</f>
        <v>#REF!</v>
      </c>
      <c r="AC132" t="e">
        <f>AND(#REF!,"AAAAAC//+hw=")</f>
        <v>#REF!</v>
      </c>
      <c r="AD132" t="e">
        <f>AND(#REF!,"AAAAAC//+h0=")</f>
        <v>#REF!</v>
      </c>
      <c r="AE132" t="e">
        <f>AND(#REF!,"AAAAAC//+h4=")</f>
        <v>#REF!</v>
      </c>
      <c r="AF132" t="e">
        <f>AND(#REF!,"AAAAAC//+h8=")</f>
        <v>#REF!</v>
      </c>
      <c r="AG132" t="e">
        <f>AND(#REF!,"AAAAAC//+iA=")</f>
        <v>#REF!</v>
      </c>
      <c r="AH132" t="e">
        <f>AND(#REF!,"AAAAAC//+iE=")</f>
        <v>#REF!</v>
      </c>
      <c r="AI132" t="e">
        <f>AND(#REF!,"AAAAAC//+iI=")</f>
        <v>#REF!</v>
      </c>
      <c r="AJ132" t="e">
        <f>AND(#REF!,"AAAAAC//+iM=")</f>
        <v>#REF!</v>
      </c>
      <c r="AK132" t="e">
        <f>AND(#REF!,"AAAAAC//+iQ=")</f>
        <v>#REF!</v>
      </c>
      <c r="AL132" t="e">
        <f>AND(#REF!,"AAAAAC//+iU=")</f>
        <v>#REF!</v>
      </c>
      <c r="AM132" t="e">
        <f>AND(#REF!,"AAAAAC//+iY=")</f>
        <v>#REF!</v>
      </c>
      <c r="AN132" t="e">
        <f>AND(#REF!,"AAAAAC//+ic=")</f>
        <v>#REF!</v>
      </c>
      <c r="AO132" t="e">
        <f>AND(#REF!,"AAAAAC//+ig=")</f>
        <v>#REF!</v>
      </c>
      <c r="AP132" t="e">
        <f>AND(#REF!,"AAAAAC//+ik=")</f>
        <v>#REF!</v>
      </c>
      <c r="AQ132" t="e">
        <f>AND(#REF!,"AAAAAC//+io=")</f>
        <v>#REF!</v>
      </c>
      <c r="AR132" t="e">
        <f>AND(#REF!,"AAAAAC//+is=")</f>
        <v>#REF!</v>
      </c>
      <c r="AS132" t="e">
        <f>AND(#REF!,"AAAAAC//+iw=")</f>
        <v>#REF!</v>
      </c>
      <c r="AT132" t="e">
        <f>AND(#REF!,"AAAAAC//+i0=")</f>
        <v>#REF!</v>
      </c>
      <c r="AU132" t="e">
        <f>AND(#REF!,"AAAAAC//+i4=")</f>
        <v>#REF!</v>
      </c>
      <c r="AV132" t="e">
        <f>AND(#REF!,"AAAAAC//+i8=")</f>
        <v>#REF!</v>
      </c>
      <c r="AW132" t="e">
        <f>AND(#REF!,"AAAAAC//+jA=")</f>
        <v>#REF!</v>
      </c>
      <c r="AX132" t="e">
        <f>IF(#REF!,"AAAAAC//+jE=",0)</f>
        <v>#REF!</v>
      </c>
      <c r="AY132" t="e">
        <f>AND(#REF!,"AAAAAC//+jI=")</f>
        <v>#REF!</v>
      </c>
      <c r="AZ132" t="e">
        <f>AND(#REF!,"AAAAAC//+jM=")</f>
        <v>#REF!</v>
      </c>
      <c r="BA132" t="e">
        <f>AND(#REF!,"AAAAAC//+jQ=")</f>
        <v>#REF!</v>
      </c>
      <c r="BB132" t="e">
        <f>AND(#REF!,"AAAAAC//+jU=")</f>
        <v>#REF!</v>
      </c>
      <c r="BC132" t="e">
        <f>AND(#REF!,"AAAAAC//+jY=")</f>
        <v>#REF!</v>
      </c>
      <c r="BD132" t="e">
        <f>AND(#REF!,"AAAAAC//+jc=")</f>
        <v>#REF!</v>
      </c>
      <c r="BE132" t="e">
        <f>AND(#REF!,"AAAAAC//+jg=")</f>
        <v>#REF!</v>
      </c>
      <c r="BF132" t="e">
        <f>AND(#REF!,"AAAAAC//+jk=")</f>
        <v>#REF!</v>
      </c>
      <c r="BG132" t="e">
        <f>AND(#REF!,"AAAAAC//+jo=")</f>
        <v>#REF!</v>
      </c>
      <c r="BH132" t="e">
        <f>AND(#REF!,"AAAAAC//+js=")</f>
        <v>#REF!</v>
      </c>
      <c r="BI132" t="e">
        <f>AND(#REF!,"AAAAAC//+jw=")</f>
        <v>#REF!</v>
      </c>
      <c r="BJ132" t="e">
        <f>AND(#REF!,"AAAAAC//+j0=")</f>
        <v>#REF!</v>
      </c>
      <c r="BK132" t="e">
        <f>AND(#REF!,"AAAAAC//+j4=")</f>
        <v>#REF!</v>
      </c>
      <c r="BL132" t="e">
        <f>AND(#REF!,"AAAAAC//+j8=")</f>
        <v>#REF!</v>
      </c>
      <c r="BM132" t="e">
        <f>AND(#REF!,"AAAAAC//+kA=")</f>
        <v>#REF!</v>
      </c>
      <c r="BN132" t="e">
        <f>AND(#REF!,"AAAAAC//+kE=")</f>
        <v>#REF!</v>
      </c>
      <c r="BO132" t="e">
        <f>AND(#REF!,"AAAAAC//+kI=")</f>
        <v>#REF!</v>
      </c>
      <c r="BP132" t="e">
        <f>AND(#REF!,"AAAAAC//+kM=")</f>
        <v>#REF!</v>
      </c>
      <c r="BQ132" t="e">
        <f>AND(#REF!,"AAAAAC//+kQ=")</f>
        <v>#REF!</v>
      </c>
      <c r="BR132" t="e">
        <f>AND(#REF!,"AAAAAC//+kU=")</f>
        <v>#REF!</v>
      </c>
      <c r="BS132" t="e">
        <f>AND(#REF!,"AAAAAC//+kY=")</f>
        <v>#REF!</v>
      </c>
      <c r="BT132" t="e">
        <f>AND(#REF!,"AAAAAC//+kc=")</f>
        <v>#REF!</v>
      </c>
      <c r="BU132" t="e">
        <f>AND(#REF!,"AAAAAC//+kg=")</f>
        <v>#REF!</v>
      </c>
      <c r="BV132" t="e">
        <f>AND(#REF!,"AAAAAC//+kk=")</f>
        <v>#REF!</v>
      </c>
      <c r="BW132" t="e">
        <f>IF(#REF!,"AAAAAC//+ko=",0)</f>
        <v>#REF!</v>
      </c>
      <c r="BX132" t="e">
        <f>AND(#REF!,"AAAAAC//+ks=")</f>
        <v>#REF!</v>
      </c>
      <c r="BY132" t="e">
        <f>AND(#REF!,"AAAAAC//+kw=")</f>
        <v>#REF!</v>
      </c>
      <c r="BZ132" t="e">
        <f>AND(#REF!,"AAAAAC//+k0=")</f>
        <v>#REF!</v>
      </c>
      <c r="CA132" t="e">
        <f>AND(#REF!,"AAAAAC//+k4=")</f>
        <v>#REF!</v>
      </c>
      <c r="CB132" t="e">
        <f>AND(#REF!,"AAAAAC//+k8=")</f>
        <v>#REF!</v>
      </c>
      <c r="CC132" t="e">
        <f>AND(#REF!,"AAAAAC//+lA=")</f>
        <v>#REF!</v>
      </c>
      <c r="CD132" t="e">
        <f>AND(#REF!,"AAAAAC//+lE=")</f>
        <v>#REF!</v>
      </c>
      <c r="CE132" t="e">
        <f>AND(#REF!,"AAAAAC//+lI=")</f>
        <v>#REF!</v>
      </c>
      <c r="CF132" t="e">
        <f>AND(#REF!,"AAAAAC//+lM=")</f>
        <v>#REF!</v>
      </c>
      <c r="CG132" t="e">
        <f>AND(#REF!,"AAAAAC//+lQ=")</f>
        <v>#REF!</v>
      </c>
      <c r="CH132" t="e">
        <f>AND(#REF!,"AAAAAC//+lU=")</f>
        <v>#REF!</v>
      </c>
      <c r="CI132" t="e">
        <f>AND(#REF!,"AAAAAC//+lY=")</f>
        <v>#REF!</v>
      </c>
      <c r="CJ132" t="e">
        <f>AND(#REF!,"AAAAAC//+lc=")</f>
        <v>#REF!</v>
      </c>
      <c r="CK132" t="e">
        <f>AND(#REF!,"AAAAAC//+lg=")</f>
        <v>#REF!</v>
      </c>
      <c r="CL132" t="e">
        <f>AND(#REF!,"AAAAAC//+lk=")</f>
        <v>#REF!</v>
      </c>
      <c r="CM132" t="e">
        <f>AND(#REF!,"AAAAAC//+lo=")</f>
        <v>#REF!</v>
      </c>
      <c r="CN132" t="e">
        <f>AND(#REF!,"AAAAAC//+ls=")</f>
        <v>#REF!</v>
      </c>
      <c r="CO132" t="e">
        <f>AND(#REF!,"AAAAAC//+lw=")</f>
        <v>#REF!</v>
      </c>
      <c r="CP132" t="e">
        <f>AND(#REF!,"AAAAAC//+l0=")</f>
        <v>#REF!</v>
      </c>
      <c r="CQ132" t="e">
        <f>AND(#REF!,"AAAAAC//+l4=")</f>
        <v>#REF!</v>
      </c>
      <c r="CR132" t="e">
        <f>AND(#REF!,"AAAAAC//+l8=")</f>
        <v>#REF!</v>
      </c>
      <c r="CS132" t="e">
        <f>AND(#REF!,"AAAAAC//+mA=")</f>
        <v>#REF!</v>
      </c>
      <c r="CT132" t="e">
        <f>AND(#REF!,"AAAAAC//+mE=")</f>
        <v>#REF!</v>
      </c>
      <c r="CU132" t="e">
        <f>AND(#REF!,"AAAAAC//+mI=")</f>
        <v>#REF!</v>
      </c>
      <c r="CV132" t="e">
        <f>IF(#REF!,"AAAAAC//+mM=",0)</f>
        <v>#REF!</v>
      </c>
      <c r="CW132" t="e">
        <f>AND(#REF!,"AAAAAC//+mQ=")</f>
        <v>#REF!</v>
      </c>
      <c r="CX132" t="e">
        <f>AND(#REF!,"AAAAAC//+mU=")</f>
        <v>#REF!</v>
      </c>
      <c r="CY132" t="e">
        <f>AND(#REF!,"AAAAAC//+mY=")</f>
        <v>#REF!</v>
      </c>
      <c r="CZ132" t="e">
        <f>AND(#REF!,"AAAAAC//+mc=")</f>
        <v>#REF!</v>
      </c>
      <c r="DA132" t="e">
        <f>AND(#REF!,"AAAAAC//+mg=")</f>
        <v>#REF!</v>
      </c>
      <c r="DB132" t="e">
        <f>AND(#REF!,"AAAAAC//+mk=")</f>
        <v>#REF!</v>
      </c>
      <c r="DC132" t="e">
        <f>AND(#REF!,"AAAAAC//+mo=")</f>
        <v>#REF!</v>
      </c>
      <c r="DD132" t="e">
        <f>AND(#REF!,"AAAAAC//+ms=")</f>
        <v>#REF!</v>
      </c>
      <c r="DE132" t="e">
        <f>AND(#REF!,"AAAAAC//+mw=")</f>
        <v>#REF!</v>
      </c>
      <c r="DF132" t="e">
        <f>AND(#REF!,"AAAAAC//+m0=")</f>
        <v>#REF!</v>
      </c>
      <c r="DG132" t="e">
        <f>AND(#REF!,"AAAAAC//+m4=")</f>
        <v>#REF!</v>
      </c>
      <c r="DH132" t="e">
        <f>AND(#REF!,"AAAAAC//+m8=")</f>
        <v>#REF!</v>
      </c>
      <c r="DI132" t="e">
        <f>AND(#REF!,"AAAAAC//+nA=")</f>
        <v>#REF!</v>
      </c>
      <c r="DJ132" t="e">
        <f>AND(#REF!,"AAAAAC//+nE=")</f>
        <v>#REF!</v>
      </c>
      <c r="DK132" t="e">
        <f>AND(#REF!,"AAAAAC//+nI=")</f>
        <v>#REF!</v>
      </c>
      <c r="DL132" t="e">
        <f>AND(#REF!,"AAAAAC//+nM=")</f>
        <v>#REF!</v>
      </c>
      <c r="DM132" t="e">
        <f>AND(#REF!,"AAAAAC//+nQ=")</f>
        <v>#REF!</v>
      </c>
      <c r="DN132" t="e">
        <f>AND(#REF!,"AAAAAC//+nU=")</f>
        <v>#REF!</v>
      </c>
      <c r="DO132" t="e">
        <f>AND(#REF!,"AAAAAC//+nY=")</f>
        <v>#REF!</v>
      </c>
      <c r="DP132" t="e">
        <f>AND(#REF!,"AAAAAC//+nc=")</f>
        <v>#REF!</v>
      </c>
      <c r="DQ132" t="e">
        <f>AND(#REF!,"AAAAAC//+ng=")</f>
        <v>#REF!</v>
      </c>
      <c r="DR132" t="e">
        <f>AND(#REF!,"AAAAAC//+nk=")</f>
        <v>#REF!</v>
      </c>
      <c r="DS132" t="e">
        <f>AND(#REF!,"AAAAAC//+no=")</f>
        <v>#REF!</v>
      </c>
      <c r="DT132" t="e">
        <f>AND(#REF!,"AAAAAC//+ns=")</f>
        <v>#REF!</v>
      </c>
      <c r="DU132" t="e">
        <f>IF(#REF!,"AAAAAC//+nw=",0)</f>
        <v>#REF!</v>
      </c>
      <c r="DV132" t="e">
        <f>AND(#REF!,"AAAAAC//+n0=")</f>
        <v>#REF!</v>
      </c>
      <c r="DW132" t="e">
        <f>AND(#REF!,"AAAAAC//+n4=")</f>
        <v>#REF!</v>
      </c>
      <c r="DX132" t="e">
        <f>AND(#REF!,"AAAAAC//+n8=")</f>
        <v>#REF!</v>
      </c>
      <c r="DY132" t="e">
        <f>AND(#REF!,"AAAAAC//+oA=")</f>
        <v>#REF!</v>
      </c>
      <c r="DZ132" t="e">
        <f>AND(#REF!,"AAAAAC//+oE=")</f>
        <v>#REF!</v>
      </c>
      <c r="EA132" t="e">
        <f>AND(#REF!,"AAAAAC//+oI=")</f>
        <v>#REF!</v>
      </c>
      <c r="EB132" t="e">
        <f>AND(#REF!,"AAAAAC//+oM=")</f>
        <v>#REF!</v>
      </c>
      <c r="EC132" t="e">
        <f>AND(#REF!,"AAAAAC//+oQ=")</f>
        <v>#REF!</v>
      </c>
      <c r="ED132" t="e">
        <f>AND(#REF!,"AAAAAC//+oU=")</f>
        <v>#REF!</v>
      </c>
      <c r="EE132" t="e">
        <f>AND(#REF!,"AAAAAC//+oY=")</f>
        <v>#REF!</v>
      </c>
      <c r="EF132" t="e">
        <f>AND(#REF!,"AAAAAC//+oc=")</f>
        <v>#REF!</v>
      </c>
      <c r="EG132" t="e">
        <f>AND(#REF!,"AAAAAC//+og=")</f>
        <v>#REF!</v>
      </c>
      <c r="EH132" t="e">
        <f>AND(#REF!,"AAAAAC//+ok=")</f>
        <v>#REF!</v>
      </c>
      <c r="EI132" t="e">
        <f>AND(#REF!,"AAAAAC//+oo=")</f>
        <v>#REF!</v>
      </c>
      <c r="EJ132" t="e">
        <f>AND(#REF!,"AAAAAC//+os=")</f>
        <v>#REF!</v>
      </c>
      <c r="EK132" t="e">
        <f>AND(#REF!,"AAAAAC//+ow=")</f>
        <v>#REF!</v>
      </c>
      <c r="EL132" t="e">
        <f>AND(#REF!,"AAAAAC//+o0=")</f>
        <v>#REF!</v>
      </c>
      <c r="EM132" t="e">
        <f>AND(#REF!,"AAAAAC//+o4=")</f>
        <v>#REF!</v>
      </c>
      <c r="EN132" t="e">
        <f>AND(#REF!,"AAAAAC//+o8=")</f>
        <v>#REF!</v>
      </c>
      <c r="EO132" t="e">
        <f>AND(#REF!,"AAAAAC//+pA=")</f>
        <v>#REF!</v>
      </c>
      <c r="EP132" t="e">
        <f>AND(#REF!,"AAAAAC//+pE=")</f>
        <v>#REF!</v>
      </c>
      <c r="EQ132" t="e">
        <f>AND(#REF!,"AAAAAC//+pI=")</f>
        <v>#REF!</v>
      </c>
      <c r="ER132" t="e">
        <f>AND(#REF!,"AAAAAC//+pM=")</f>
        <v>#REF!</v>
      </c>
      <c r="ES132" t="e">
        <f>AND(#REF!,"AAAAAC//+pQ=")</f>
        <v>#REF!</v>
      </c>
      <c r="ET132" t="e">
        <f>IF(#REF!,"AAAAAC//+pU=",0)</f>
        <v>#REF!</v>
      </c>
      <c r="EU132" t="e">
        <f>AND(#REF!,"AAAAAC//+pY=")</f>
        <v>#REF!</v>
      </c>
      <c r="EV132" t="e">
        <f>AND(#REF!,"AAAAAC//+pc=")</f>
        <v>#REF!</v>
      </c>
      <c r="EW132" t="e">
        <f>AND(#REF!,"AAAAAC//+pg=")</f>
        <v>#REF!</v>
      </c>
      <c r="EX132" t="e">
        <f>AND(#REF!,"AAAAAC//+pk=")</f>
        <v>#REF!</v>
      </c>
      <c r="EY132" t="e">
        <f>AND(#REF!,"AAAAAC//+po=")</f>
        <v>#REF!</v>
      </c>
      <c r="EZ132" t="e">
        <f>AND(#REF!,"AAAAAC//+ps=")</f>
        <v>#REF!</v>
      </c>
      <c r="FA132" t="e">
        <f>AND(#REF!,"AAAAAC//+pw=")</f>
        <v>#REF!</v>
      </c>
      <c r="FB132" t="e">
        <f>AND(#REF!,"AAAAAC//+p0=")</f>
        <v>#REF!</v>
      </c>
      <c r="FC132" t="e">
        <f>AND(#REF!,"AAAAAC//+p4=")</f>
        <v>#REF!</v>
      </c>
      <c r="FD132" t="e">
        <f>AND(#REF!,"AAAAAC//+p8=")</f>
        <v>#REF!</v>
      </c>
      <c r="FE132" t="e">
        <f>AND(#REF!,"AAAAAC//+qA=")</f>
        <v>#REF!</v>
      </c>
      <c r="FF132" t="e">
        <f>AND(#REF!,"AAAAAC//+qE=")</f>
        <v>#REF!</v>
      </c>
      <c r="FG132" t="e">
        <f>AND(#REF!,"AAAAAC//+qI=")</f>
        <v>#REF!</v>
      </c>
      <c r="FH132" t="e">
        <f>AND(#REF!,"AAAAAC//+qM=")</f>
        <v>#REF!</v>
      </c>
      <c r="FI132" t="e">
        <f>AND(#REF!,"AAAAAC//+qQ=")</f>
        <v>#REF!</v>
      </c>
      <c r="FJ132" t="e">
        <f>AND(#REF!,"AAAAAC//+qU=")</f>
        <v>#REF!</v>
      </c>
      <c r="FK132" t="e">
        <f>AND(#REF!,"AAAAAC//+qY=")</f>
        <v>#REF!</v>
      </c>
      <c r="FL132" t="e">
        <f>AND(#REF!,"AAAAAC//+qc=")</f>
        <v>#REF!</v>
      </c>
      <c r="FM132" t="e">
        <f>AND(#REF!,"AAAAAC//+qg=")</f>
        <v>#REF!</v>
      </c>
      <c r="FN132" t="e">
        <f>AND(#REF!,"AAAAAC//+qk=")</f>
        <v>#REF!</v>
      </c>
      <c r="FO132" t="e">
        <f>AND(#REF!,"AAAAAC//+qo=")</f>
        <v>#REF!</v>
      </c>
      <c r="FP132" t="e">
        <f>AND(#REF!,"AAAAAC//+qs=")</f>
        <v>#REF!</v>
      </c>
      <c r="FQ132" t="e">
        <f>AND(#REF!,"AAAAAC//+qw=")</f>
        <v>#REF!</v>
      </c>
      <c r="FR132" t="e">
        <f>AND(#REF!,"AAAAAC//+q0=")</f>
        <v>#REF!</v>
      </c>
      <c r="FS132" t="e">
        <f>IF(#REF!,"AAAAAC//+q4=",0)</f>
        <v>#REF!</v>
      </c>
      <c r="FT132" t="e">
        <f>AND(#REF!,"AAAAAC//+q8=")</f>
        <v>#REF!</v>
      </c>
      <c r="FU132" t="e">
        <f>AND(#REF!,"AAAAAC//+rA=")</f>
        <v>#REF!</v>
      </c>
      <c r="FV132" t="e">
        <f>AND(#REF!,"AAAAAC//+rE=")</f>
        <v>#REF!</v>
      </c>
      <c r="FW132" t="e">
        <f>AND(#REF!,"AAAAAC//+rI=")</f>
        <v>#REF!</v>
      </c>
      <c r="FX132" t="e">
        <f>AND(#REF!,"AAAAAC//+rM=")</f>
        <v>#REF!</v>
      </c>
      <c r="FY132" t="e">
        <f>AND(#REF!,"AAAAAC//+rQ=")</f>
        <v>#REF!</v>
      </c>
      <c r="FZ132" t="e">
        <f>AND(#REF!,"AAAAAC//+rU=")</f>
        <v>#REF!</v>
      </c>
      <c r="GA132" t="e">
        <f>AND(#REF!,"AAAAAC//+rY=")</f>
        <v>#REF!</v>
      </c>
      <c r="GB132" t="e">
        <f>AND(#REF!,"AAAAAC//+rc=")</f>
        <v>#REF!</v>
      </c>
      <c r="GC132" t="e">
        <f>AND(#REF!,"AAAAAC//+rg=")</f>
        <v>#REF!</v>
      </c>
      <c r="GD132" t="e">
        <f>AND(#REF!,"AAAAAC//+rk=")</f>
        <v>#REF!</v>
      </c>
      <c r="GE132" t="e">
        <f>AND(#REF!,"AAAAAC//+ro=")</f>
        <v>#REF!</v>
      </c>
      <c r="GF132" t="e">
        <f>AND(#REF!,"AAAAAC//+rs=")</f>
        <v>#REF!</v>
      </c>
      <c r="GG132" t="e">
        <f>AND(#REF!,"AAAAAC//+rw=")</f>
        <v>#REF!</v>
      </c>
      <c r="GH132" t="e">
        <f>AND(#REF!,"AAAAAC//+r0=")</f>
        <v>#REF!</v>
      </c>
      <c r="GI132" t="e">
        <f>AND(#REF!,"AAAAAC//+r4=")</f>
        <v>#REF!</v>
      </c>
      <c r="GJ132" t="e">
        <f>AND(#REF!,"AAAAAC//+r8=")</f>
        <v>#REF!</v>
      </c>
      <c r="GK132" t="e">
        <f>AND(#REF!,"AAAAAC//+sA=")</f>
        <v>#REF!</v>
      </c>
      <c r="GL132" t="e">
        <f>AND(#REF!,"AAAAAC//+sE=")</f>
        <v>#REF!</v>
      </c>
      <c r="GM132" t="e">
        <f>AND(#REF!,"AAAAAC//+sI=")</f>
        <v>#REF!</v>
      </c>
      <c r="GN132" t="e">
        <f>AND(#REF!,"AAAAAC//+sM=")</f>
        <v>#REF!</v>
      </c>
      <c r="GO132" t="e">
        <f>AND(#REF!,"AAAAAC//+sQ=")</f>
        <v>#REF!</v>
      </c>
      <c r="GP132" t="e">
        <f>AND(#REF!,"AAAAAC//+sU=")</f>
        <v>#REF!</v>
      </c>
      <c r="GQ132" t="e">
        <f>AND(#REF!,"AAAAAC//+sY=")</f>
        <v>#REF!</v>
      </c>
      <c r="GR132" t="e">
        <f>IF(#REF!,"AAAAAC//+sc=",0)</f>
        <v>#REF!</v>
      </c>
      <c r="GS132" t="e">
        <f>AND(#REF!,"AAAAAC//+sg=")</f>
        <v>#REF!</v>
      </c>
      <c r="GT132" t="e">
        <f>AND(#REF!,"AAAAAC//+sk=")</f>
        <v>#REF!</v>
      </c>
      <c r="GU132" t="e">
        <f>AND(#REF!,"AAAAAC//+so=")</f>
        <v>#REF!</v>
      </c>
      <c r="GV132" t="e">
        <f>AND(#REF!,"AAAAAC//+ss=")</f>
        <v>#REF!</v>
      </c>
      <c r="GW132" t="e">
        <f>AND(#REF!,"AAAAAC//+sw=")</f>
        <v>#REF!</v>
      </c>
      <c r="GX132" t="e">
        <f>AND(#REF!,"AAAAAC//+s0=")</f>
        <v>#REF!</v>
      </c>
      <c r="GY132" t="e">
        <f>AND(#REF!,"AAAAAC//+s4=")</f>
        <v>#REF!</v>
      </c>
      <c r="GZ132" t="e">
        <f>AND(#REF!,"AAAAAC//+s8=")</f>
        <v>#REF!</v>
      </c>
      <c r="HA132" t="e">
        <f>AND(#REF!,"AAAAAC//+tA=")</f>
        <v>#REF!</v>
      </c>
      <c r="HB132" t="e">
        <f>AND(#REF!,"AAAAAC//+tE=")</f>
        <v>#REF!</v>
      </c>
      <c r="HC132" t="e">
        <f>AND(#REF!,"AAAAAC//+tI=")</f>
        <v>#REF!</v>
      </c>
      <c r="HD132" t="e">
        <f>AND(#REF!,"AAAAAC//+tM=")</f>
        <v>#REF!</v>
      </c>
      <c r="HE132" t="e">
        <f>AND(#REF!,"AAAAAC//+tQ=")</f>
        <v>#REF!</v>
      </c>
      <c r="HF132" t="e">
        <f>AND(#REF!,"AAAAAC//+tU=")</f>
        <v>#REF!</v>
      </c>
      <c r="HG132" t="e">
        <f>AND(#REF!,"AAAAAC//+tY=")</f>
        <v>#REF!</v>
      </c>
      <c r="HH132" t="e">
        <f>AND(#REF!,"AAAAAC//+tc=")</f>
        <v>#REF!</v>
      </c>
      <c r="HI132" t="e">
        <f>AND(#REF!,"AAAAAC//+tg=")</f>
        <v>#REF!</v>
      </c>
      <c r="HJ132" t="e">
        <f>AND(#REF!,"AAAAAC//+tk=")</f>
        <v>#REF!</v>
      </c>
      <c r="HK132" t="e">
        <f>AND(#REF!,"AAAAAC//+to=")</f>
        <v>#REF!</v>
      </c>
      <c r="HL132" t="e">
        <f>AND(#REF!,"AAAAAC//+ts=")</f>
        <v>#REF!</v>
      </c>
      <c r="HM132" t="e">
        <f>AND(#REF!,"AAAAAC//+tw=")</f>
        <v>#REF!</v>
      </c>
      <c r="HN132" t="e">
        <f>AND(#REF!,"AAAAAC//+t0=")</f>
        <v>#REF!</v>
      </c>
      <c r="HO132" t="e">
        <f>AND(#REF!,"AAAAAC//+t4=")</f>
        <v>#REF!</v>
      </c>
      <c r="HP132" t="e">
        <f>AND(#REF!,"AAAAAC//+t8=")</f>
        <v>#REF!</v>
      </c>
      <c r="HQ132" t="e">
        <f>IF(#REF!,"AAAAAC//+uA=",0)</f>
        <v>#REF!</v>
      </c>
      <c r="HR132" t="e">
        <f>AND(#REF!,"AAAAAC//+uE=")</f>
        <v>#REF!</v>
      </c>
      <c r="HS132" t="e">
        <f>AND(#REF!,"AAAAAC//+uI=")</f>
        <v>#REF!</v>
      </c>
      <c r="HT132" t="e">
        <f>AND(#REF!,"AAAAAC//+uM=")</f>
        <v>#REF!</v>
      </c>
      <c r="HU132" t="e">
        <f>AND(#REF!,"AAAAAC//+uQ=")</f>
        <v>#REF!</v>
      </c>
      <c r="HV132" t="e">
        <f>AND(#REF!,"AAAAAC//+uU=")</f>
        <v>#REF!</v>
      </c>
      <c r="HW132" t="e">
        <f>AND(#REF!,"AAAAAC//+uY=")</f>
        <v>#REF!</v>
      </c>
      <c r="HX132" t="e">
        <f>AND(#REF!,"AAAAAC//+uc=")</f>
        <v>#REF!</v>
      </c>
      <c r="HY132" t="e">
        <f>AND(#REF!,"AAAAAC//+ug=")</f>
        <v>#REF!</v>
      </c>
      <c r="HZ132" t="e">
        <f>AND(#REF!,"AAAAAC//+uk=")</f>
        <v>#REF!</v>
      </c>
      <c r="IA132" t="e">
        <f>AND(#REF!,"AAAAAC//+uo=")</f>
        <v>#REF!</v>
      </c>
      <c r="IB132" t="e">
        <f>AND(#REF!,"AAAAAC//+us=")</f>
        <v>#REF!</v>
      </c>
      <c r="IC132" t="e">
        <f>AND(#REF!,"AAAAAC//+uw=")</f>
        <v>#REF!</v>
      </c>
      <c r="ID132" t="e">
        <f>AND(#REF!,"AAAAAC//+u0=")</f>
        <v>#REF!</v>
      </c>
      <c r="IE132" t="e">
        <f>AND(#REF!,"AAAAAC//+u4=")</f>
        <v>#REF!</v>
      </c>
      <c r="IF132" t="e">
        <f>AND(#REF!,"AAAAAC//+u8=")</f>
        <v>#REF!</v>
      </c>
      <c r="IG132" t="e">
        <f>AND(#REF!,"AAAAAC//+vA=")</f>
        <v>#REF!</v>
      </c>
      <c r="IH132" t="e">
        <f>AND(#REF!,"AAAAAC//+vE=")</f>
        <v>#REF!</v>
      </c>
      <c r="II132" t="e">
        <f>AND(#REF!,"AAAAAC//+vI=")</f>
        <v>#REF!</v>
      </c>
      <c r="IJ132" t="e">
        <f>AND(#REF!,"AAAAAC//+vM=")</f>
        <v>#REF!</v>
      </c>
      <c r="IK132" t="e">
        <f>AND(#REF!,"AAAAAC//+vQ=")</f>
        <v>#REF!</v>
      </c>
      <c r="IL132" t="e">
        <f>AND(#REF!,"AAAAAC//+vU=")</f>
        <v>#REF!</v>
      </c>
      <c r="IM132" t="e">
        <f>AND(#REF!,"AAAAAC//+vY=")</f>
        <v>#REF!</v>
      </c>
      <c r="IN132" t="e">
        <f>AND(#REF!,"AAAAAC//+vc=")</f>
        <v>#REF!</v>
      </c>
      <c r="IO132" t="e">
        <f>AND(#REF!,"AAAAAC//+vg=")</f>
        <v>#REF!</v>
      </c>
      <c r="IP132" t="e">
        <f>IF(#REF!,"AAAAAC//+vk=",0)</f>
        <v>#REF!</v>
      </c>
      <c r="IQ132" t="e">
        <f>AND(#REF!,"AAAAAC//+vo=")</f>
        <v>#REF!</v>
      </c>
      <c r="IR132" t="e">
        <f>AND(#REF!,"AAAAAC//+vs=")</f>
        <v>#REF!</v>
      </c>
      <c r="IS132" t="e">
        <f>AND(#REF!,"AAAAAC//+vw=")</f>
        <v>#REF!</v>
      </c>
      <c r="IT132" t="e">
        <f>AND(#REF!,"AAAAAC//+v0=")</f>
        <v>#REF!</v>
      </c>
      <c r="IU132" t="e">
        <f>AND(#REF!,"AAAAAC//+v4=")</f>
        <v>#REF!</v>
      </c>
      <c r="IV132" t="e">
        <f>AND(#REF!,"AAAAAC//+v8=")</f>
        <v>#REF!</v>
      </c>
    </row>
    <row r="133" spans="1:256">
      <c r="A133" t="e">
        <f>AND(#REF!,"AAAAAFt+zwA=")</f>
        <v>#REF!</v>
      </c>
      <c r="B133" t="e">
        <f>AND(#REF!,"AAAAAFt+zwE=")</f>
        <v>#REF!</v>
      </c>
      <c r="C133" t="e">
        <f>AND(#REF!,"AAAAAFt+zwI=")</f>
        <v>#REF!</v>
      </c>
      <c r="D133" t="e">
        <f>AND(#REF!,"AAAAAFt+zwM=")</f>
        <v>#REF!</v>
      </c>
      <c r="E133" t="e">
        <f>AND(#REF!,"AAAAAFt+zwQ=")</f>
        <v>#REF!</v>
      </c>
      <c r="F133" t="e">
        <f>AND(#REF!,"AAAAAFt+zwU=")</f>
        <v>#REF!</v>
      </c>
      <c r="G133" t="e">
        <f>AND(#REF!,"AAAAAFt+zwY=")</f>
        <v>#REF!</v>
      </c>
      <c r="H133" t="e">
        <f>AND(#REF!,"AAAAAFt+zwc=")</f>
        <v>#REF!</v>
      </c>
      <c r="I133" t="e">
        <f>AND(#REF!,"AAAAAFt+zwg=")</f>
        <v>#REF!</v>
      </c>
      <c r="J133" t="e">
        <f>AND(#REF!,"AAAAAFt+zwk=")</f>
        <v>#REF!</v>
      </c>
      <c r="K133" t="e">
        <f>AND(#REF!,"AAAAAFt+zwo=")</f>
        <v>#REF!</v>
      </c>
      <c r="L133" t="e">
        <f>AND(#REF!,"AAAAAFt+zws=")</f>
        <v>#REF!</v>
      </c>
      <c r="M133" t="e">
        <f>AND(#REF!,"AAAAAFt+zww=")</f>
        <v>#REF!</v>
      </c>
      <c r="N133" t="e">
        <f>AND(#REF!,"AAAAAFt+zw0=")</f>
        <v>#REF!</v>
      </c>
      <c r="O133" t="e">
        <f>AND(#REF!,"AAAAAFt+zw4=")</f>
        <v>#REF!</v>
      </c>
      <c r="P133" t="e">
        <f>AND(#REF!,"AAAAAFt+zw8=")</f>
        <v>#REF!</v>
      </c>
      <c r="Q133" t="e">
        <f>AND(#REF!,"AAAAAFt+zxA=")</f>
        <v>#REF!</v>
      </c>
      <c r="R133" t="e">
        <f>AND(#REF!,"AAAAAFt+zxE=")</f>
        <v>#REF!</v>
      </c>
      <c r="S133" t="e">
        <f>IF(#REF!,"AAAAAFt+zxI=",0)</f>
        <v>#REF!</v>
      </c>
      <c r="T133" t="e">
        <f>AND(#REF!,"AAAAAFt+zxM=")</f>
        <v>#REF!</v>
      </c>
      <c r="U133" t="e">
        <f>AND(#REF!,"AAAAAFt+zxQ=")</f>
        <v>#REF!</v>
      </c>
      <c r="V133" t="e">
        <f>AND(#REF!,"AAAAAFt+zxU=")</f>
        <v>#REF!</v>
      </c>
      <c r="W133" t="e">
        <f>AND(#REF!,"AAAAAFt+zxY=")</f>
        <v>#REF!</v>
      </c>
      <c r="X133" t="e">
        <f>AND(#REF!,"AAAAAFt+zxc=")</f>
        <v>#REF!</v>
      </c>
      <c r="Y133" t="e">
        <f>AND(#REF!,"AAAAAFt+zxg=")</f>
        <v>#REF!</v>
      </c>
      <c r="Z133" t="e">
        <f>AND(#REF!,"AAAAAFt+zxk=")</f>
        <v>#REF!</v>
      </c>
      <c r="AA133" t="e">
        <f>AND(#REF!,"AAAAAFt+zxo=")</f>
        <v>#REF!</v>
      </c>
      <c r="AB133" t="e">
        <f>AND(#REF!,"AAAAAFt+zxs=")</f>
        <v>#REF!</v>
      </c>
      <c r="AC133" t="e">
        <f>AND(#REF!,"AAAAAFt+zxw=")</f>
        <v>#REF!</v>
      </c>
      <c r="AD133" t="e">
        <f>AND(#REF!,"AAAAAFt+zx0=")</f>
        <v>#REF!</v>
      </c>
      <c r="AE133" t="e">
        <f>AND(#REF!,"AAAAAFt+zx4=")</f>
        <v>#REF!</v>
      </c>
      <c r="AF133" t="e">
        <f>AND(#REF!,"AAAAAFt+zx8=")</f>
        <v>#REF!</v>
      </c>
      <c r="AG133" t="e">
        <f>AND(#REF!,"AAAAAFt+zyA=")</f>
        <v>#REF!</v>
      </c>
      <c r="AH133" t="e">
        <f>AND(#REF!,"AAAAAFt+zyE=")</f>
        <v>#REF!</v>
      </c>
      <c r="AI133" t="e">
        <f>AND(#REF!,"AAAAAFt+zyI=")</f>
        <v>#REF!</v>
      </c>
      <c r="AJ133" t="e">
        <f>AND(#REF!,"AAAAAFt+zyM=")</f>
        <v>#REF!</v>
      </c>
      <c r="AK133" t="e">
        <f>AND(#REF!,"AAAAAFt+zyQ=")</f>
        <v>#REF!</v>
      </c>
      <c r="AL133" t="e">
        <f>AND(#REF!,"AAAAAFt+zyU=")</f>
        <v>#REF!</v>
      </c>
      <c r="AM133" t="e">
        <f>AND(#REF!,"AAAAAFt+zyY=")</f>
        <v>#REF!</v>
      </c>
      <c r="AN133" t="e">
        <f>AND(#REF!,"AAAAAFt+zyc=")</f>
        <v>#REF!</v>
      </c>
      <c r="AO133" t="e">
        <f>AND(#REF!,"AAAAAFt+zyg=")</f>
        <v>#REF!</v>
      </c>
      <c r="AP133" t="e">
        <f>AND(#REF!,"AAAAAFt+zyk=")</f>
        <v>#REF!</v>
      </c>
      <c r="AQ133" t="e">
        <f>AND(#REF!,"AAAAAFt+zyo=")</f>
        <v>#REF!</v>
      </c>
      <c r="AR133" t="e">
        <f>IF(#REF!,"AAAAAFt+zys=",0)</f>
        <v>#REF!</v>
      </c>
      <c r="AS133" t="e">
        <f>AND(#REF!,"AAAAAFt+zyw=")</f>
        <v>#REF!</v>
      </c>
      <c r="AT133" t="e">
        <f>AND(#REF!,"AAAAAFt+zy0=")</f>
        <v>#REF!</v>
      </c>
      <c r="AU133" t="e">
        <f>AND(#REF!,"AAAAAFt+zy4=")</f>
        <v>#REF!</v>
      </c>
      <c r="AV133" t="e">
        <f>AND(#REF!,"AAAAAFt+zy8=")</f>
        <v>#REF!</v>
      </c>
      <c r="AW133" t="e">
        <f>AND(#REF!,"AAAAAFt+zzA=")</f>
        <v>#REF!</v>
      </c>
      <c r="AX133" t="e">
        <f>AND(#REF!,"AAAAAFt+zzE=")</f>
        <v>#REF!</v>
      </c>
      <c r="AY133" t="e">
        <f>AND(#REF!,"AAAAAFt+zzI=")</f>
        <v>#REF!</v>
      </c>
      <c r="AZ133" t="e">
        <f>AND(#REF!,"AAAAAFt+zzM=")</f>
        <v>#REF!</v>
      </c>
      <c r="BA133" t="e">
        <f>AND(#REF!,"AAAAAFt+zzQ=")</f>
        <v>#REF!</v>
      </c>
      <c r="BB133" t="e">
        <f>AND(#REF!,"AAAAAFt+zzU=")</f>
        <v>#REF!</v>
      </c>
      <c r="BC133" t="e">
        <f>AND(#REF!,"AAAAAFt+zzY=")</f>
        <v>#REF!</v>
      </c>
      <c r="BD133" t="e">
        <f>AND(#REF!,"AAAAAFt+zzc=")</f>
        <v>#REF!</v>
      </c>
      <c r="BE133" t="e">
        <f>AND(#REF!,"AAAAAFt+zzg=")</f>
        <v>#REF!</v>
      </c>
      <c r="BF133" t="e">
        <f>AND(#REF!,"AAAAAFt+zzk=")</f>
        <v>#REF!</v>
      </c>
      <c r="BG133" t="e">
        <f>AND(#REF!,"AAAAAFt+zzo=")</f>
        <v>#REF!</v>
      </c>
      <c r="BH133" t="e">
        <f>AND(#REF!,"AAAAAFt+zzs=")</f>
        <v>#REF!</v>
      </c>
      <c r="BI133" t="e">
        <f>AND(#REF!,"AAAAAFt+zzw=")</f>
        <v>#REF!</v>
      </c>
      <c r="BJ133" t="e">
        <f>AND(#REF!,"AAAAAFt+zz0=")</f>
        <v>#REF!</v>
      </c>
      <c r="BK133" t="e">
        <f>AND(#REF!,"AAAAAFt+zz4=")</f>
        <v>#REF!</v>
      </c>
      <c r="BL133" t="e">
        <f>AND(#REF!,"AAAAAFt+zz8=")</f>
        <v>#REF!</v>
      </c>
      <c r="BM133" t="e">
        <f>AND(#REF!,"AAAAAFt+z0A=")</f>
        <v>#REF!</v>
      </c>
      <c r="BN133" t="e">
        <f>AND(#REF!,"AAAAAFt+z0E=")</f>
        <v>#REF!</v>
      </c>
      <c r="BO133" t="e">
        <f>AND(#REF!,"AAAAAFt+z0I=")</f>
        <v>#REF!</v>
      </c>
      <c r="BP133" t="e">
        <f>AND(#REF!,"AAAAAFt+z0M=")</f>
        <v>#REF!</v>
      </c>
      <c r="BQ133" t="e">
        <f>IF(#REF!,"AAAAAFt+z0Q=",0)</f>
        <v>#REF!</v>
      </c>
      <c r="BR133" t="e">
        <f>AND(#REF!,"AAAAAFt+z0U=")</f>
        <v>#REF!</v>
      </c>
      <c r="BS133" t="e">
        <f>AND(#REF!,"AAAAAFt+z0Y=")</f>
        <v>#REF!</v>
      </c>
      <c r="BT133" t="e">
        <f>AND(#REF!,"AAAAAFt+z0c=")</f>
        <v>#REF!</v>
      </c>
      <c r="BU133" t="e">
        <f>AND(#REF!,"AAAAAFt+z0g=")</f>
        <v>#REF!</v>
      </c>
      <c r="BV133" t="e">
        <f>AND(#REF!,"AAAAAFt+z0k=")</f>
        <v>#REF!</v>
      </c>
      <c r="BW133" t="e">
        <f>AND(#REF!,"AAAAAFt+z0o=")</f>
        <v>#REF!</v>
      </c>
      <c r="BX133" t="e">
        <f>AND(#REF!,"AAAAAFt+z0s=")</f>
        <v>#REF!</v>
      </c>
      <c r="BY133" t="e">
        <f>AND(#REF!,"AAAAAFt+z0w=")</f>
        <v>#REF!</v>
      </c>
      <c r="BZ133" t="e">
        <f>AND(#REF!,"AAAAAFt+z00=")</f>
        <v>#REF!</v>
      </c>
      <c r="CA133" t="e">
        <f>AND(#REF!,"AAAAAFt+z04=")</f>
        <v>#REF!</v>
      </c>
      <c r="CB133" t="e">
        <f>AND(#REF!,"AAAAAFt+z08=")</f>
        <v>#REF!</v>
      </c>
      <c r="CC133" t="e">
        <f>AND(#REF!,"AAAAAFt+z1A=")</f>
        <v>#REF!</v>
      </c>
      <c r="CD133" t="e">
        <f>AND(#REF!,"AAAAAFt+z1E=")</f>
        <v>#REF!</v>
      </c>
      <c r="CE133" t="e">
        <f>AND(#REF!,"AAAAAFt+z1I=")</f>
        <v>#REF!</v>
      </c>
      <c r="CF133" t="e">
        <f>AND(#REF!,"AAAAAFt+z1M=")</f>
        <v>#REF!</v>
      </c>
      <c r="CG133" t="e">
        <f>AND(#REF!,"AAAAAFt+z1Q=")</f>
        <v>#REF!</v>
      </c>
      <c r="CH133" t="e">
        <f>AND(#REF!,"AAAAAFt+z1U=")</f>
        <v>#REF!</v>
      </c>
      <c r="CI133" t="e">
        <f>AND(#REF!,"AAAAAFt+z1Y=")</f>
        <v>#REF!</v>
      </c>
      <c r="CJ133" t="e">
        <f>AND(#REF!,"AAAAAFt+z1c=")</f>
        <v>#REF!</v>
      </c>
      <c r="CK133" t="e">
        <f>AND(#REF!,"AAAAAFt+z1g=")</f>
        <v>#REF!</v>
      </c>
      <c r="CL133" t="e">
        <f>AND(#REF!,"AAAAAFt+z1k=")</f>
        <v>#REF!</v>
      </c>
      <c r="CM133" t="e">
        <f>AND(#REF!,"AAAAAFt+z1o=")</f>
        <v>#REF!</v>
      </c>
      <c r="CN133" t="e">
        <f>AND(#REF!,"AAAAAFt+z1s=")</f>
        <v>#REF!</v>
      </c>
      <c r="CO133" t="e">
        <f>AND(#REF!,"AAAAAFt+z1w=")</f>
        <v>#REF!</v>
      </c>
      <c r="CP133" t="e">
        <f>IF(#REF!,"AAAAAFt+z10=",0)</f>
        <v>#REF!</v>
      </c>
      <c r="CQ133" t="e">
        <f>AND(#REF!,"AAAAAFt+z14=")</f>
        <v>#REF!</v>
      </c>
      <c r="CR133" t="e">
        <f>AND(#REF!,"AAAAAFt+z18=")</f>
        <v>#REF!</v>
      </c>
      <c r="CS133" t="e">
        <f>AND(#REF!,"AAAAAFt+z2A=")</f>
        <v>#REF!</v>
      </c>
      <c r="CT133" t="e">
        <f>AND(#REF!,"AAAAAFt+z2E=")</f>
        <v>#REF!</v>
      </c>
      <c r="CU133" t="e">
        <f>AND(#REF!,"AAAAAFt+z2I=")</f>
        <v>#REF!</v>
      </c>
      <c r="CV133" t="e">
        <f>AND(#REF!,"AAAAAFt+z2M=")</f>
        <v>#REF!</v>
      </c>
      <c r="CW133" t="e">
        <f>AND(#REF!,"AAAAAFt+z2Q=")</f>
        <v>#REF!</v>
      </c>
      <c r="CX133" t="e">
        <f>AND(#REF!,"AAAAAFt+z2U=")</f>
        <v>#REF!</v>
      </c>
      <c r="CY133" t="e">
        <f>AND(#REF!,"AAAAAFt+z2Y=")</f>
        <v>#REF!</v>
      </c>
      <c r="CZ133" t="e">
        <f>AND(#REF!,"AAAAAFt+z2c=")</f>
        <v>#REF!</v>
      </c>
      <c r="DA133" t="e">
        <f>AND(#REF!,"AAAAAFt+z2g=")</f>
        <v>#REF!</v>
      </c>
      <c r="DB133" t="e">
        <f>AND(#REF!,"AAAAAFt+z2k=")</f>
        <v>#REF!</v>
      </c>
      <c r="DC133" t="e">
        <f>AND(#REF!,"AAAAAFt+z2o=")</f>
        <v>#REF!</v>
      </c>
      <c r="DD133" t="e">
        <f>AND(#REF!,"AAAAAFt+z2s=")</f>
        <v>#REF!</v>
      </c>
      <c r="DE133" t="e">
        <f>AND(#REF!,"AAAAAFt+z2w=")</f>
        <v>#REF!</v>
      </c>
      <c r="DF133" t="e">
        <f>AND(#REF!,"AAAAAFt+z20=")</f>
        <v>#REF!</v>
      </c>
      <c r="DG133" t="e">
        <f>AND(#REF!,"AAAAAFt+z24=")</f>
        <v>#REF!</v>
      </c>
      <c r="DH133" t="e">
        <f>AND(#REF!,"AAAAAFt+z28=")</f>
        <v>#REF!</v>
      </c>
      <c r="DI133" t="e">
        <f>AND(#REF!,"AAAAAFt+z3A=")</f>
        <v>#REF!</v>
      </c>
      <c r="DJ133" t="e">
        <f>AND(#REF!,"AAAAAFt+z3E=")</f>
        <v>#REF!</v>
      </c>
      <c r="DK133" t="e">
        <f>AND(#REF!,"AAAAAFt+z3I=")</f>
        <v>#REF!</v>
      </c>
      <c r="DL133" t="e">
        <f>AND(#REF!,"AAAAAFt+z3M=")</f>
        <v>#REF!</v>
      </c>
      <c r="DM133" t="e">
        <f>AND(#REF!,"AAAAAFt+z3Q=")</f>
        <v>#REF!</v>
      </c>
      <c r="DN133" t="e">
        <f>AND(#REF!,"AAAAAFt+z3U=")</f>
        <v>#REF!</v>
      </c>
      <c r="DO133" t="e">
        <f>IF(#REF!,"AAAAAFt+z3Y=",0)</f>
        <v>#REF!</v>
      </c>
      <c r="DP133" t="e">
        <f>AND(#REF!,"AAAAAFt+z3c=")</f>
        <v>#REF!</v>
      </c>
      <c r="DQ133" t="e">
        <f>AND(#REF!,"AAAAAFt+z3g=")</f>
        <v>#REF!</v>
      </c>
      <c r="DR133" t="e">
        <f>AND(#REF!,"AAAAAFt+z3k=")</f>
        <v>#REF!</v>
      </c>
      <c r="DS133" t="e">
        <f>AND(#REF!,"AAAAAFt+z3o=")</f>
        <v>#REF!</v>
      </c>
      <c r="DT133" t="e">
        <f>AND(#REF!,"AAAAAFt+z3s=")</f>
        <v>#REF!</v>
      </c>
      <c r="DU133" t="e">
        <f>AND(#REF!,"AAAAAFt+z3w=")</f>
        <v>#REF!</v>
      </c>
      <c r="DV133" t="e">
        <f>AND(#REF!,"AAAAAFt+z30=")</f>
        <v>#REF!</v>
      </c>
      <c r="DW133" t="e">
        <f>AND(#REF!,"AAAAAFt+z34=")</f>
        <v>#REF!</v>
      </c>
      <c r="DX133" t="e">
        <f>AND(#REF!,"AAAAAFt+z38=")</f>
        <v>#REF!</v>
      </c>
      <c r="DY133" t="e">
        <f>AND(#REF!,"AAAAAFt+z4A=")</f>
        <v>#REF!</v>
      </c>
      <c r="DZ133" t="e">
        <f>AND(#REF!,"AAAAAFt+z4E=")</f>
        <v>#REF!</v>
      </c>
      <c r="EA133" t="e">
        <f>AND(#REF!,"AAAAAFt+z4I=")</f>
        <v>#REF!</v>
      </c>
      <c r="EB133" t="e">
        <f>AND(#REF!,"AAAAAFt+z4M=")</f>
        <v>#REF!</v>
      </c>
      <c r="EC133" t="e">
        <f>AND(#REF!,"AAAAAFt+z4Q=")</f>
        <v>#REF!</v>
      </c>
      <c r="ED133" t="e">
        <f>AND(#REF!,"AAAAAFt+z4U=")</f>
        <v>#REF!</v>
      </c>
      <c r="EE133" t="e">
        <f>AND(#REF!,"AAAAAFt+z4Y=")</f>
        <v>#REF!</v>
      </c>
      <c r="EF133" t="e">
        <f>AND(#REF!,"AAAAAFt+z4c=")</f>
        <v>#REF!</v>
      </c>
      <c r="EG133" t="e">
        <f>AND(#REF!,"AAAAAFt+z4g=")</f>
        <v>#REF!</v>
      </c>
      <c r="EH133" t="e">
        <f>AND(#REF!,"AAAAAFt+z4k=")</f>
        <v>#REF!</v>
      </c>
      <c r="EI133" t="e">
        <f>AND(#REF!,"AAAAAFt+z4o=")</f>
        <v>#REF!</v>
      </c>
      <c r="EJ133" t="e">
        <f>AND(#REF!,"AAAAAFt+z4s=")</f>
        <v>#REF!</v>
      </c>
      <c r="EK133" t="e">
        <f>AND(#REF!,"AAAAAFt+z4w=")</f>
        <v>#REF!</v>
      </c>
      <c r="EL133" t="e">
        <f>AND(#REF!,"AAAAAFt+z40=")</f>
        <v>#REF!</v>
      </c>
      <c r="EM133" t="e">
        <f>AND(#REF!,"AAAAAFt+z44=")</f>
        <v>#REF!</v>
      </c>
      <c r="EN133" t="e">
        <f>IF(#REF!,"AAAAAFt+z48=",0)</f>
        <v>#REF!</v>
      </c>
      <c r="EO133" t="e">
        <f>AND(#REF!,"AAAAAFt+z5A=")</f>
        <v>#REF!</v>
      </c>
      <c r="EP133" t="e">
        <f>AND(#REF!,"AAAAAFt+z5E=")</f>
        <v>#REF!</v>
      </c>
      <c r="EQ133" t="e">
        <f>AND(#REF!,"AAAAAFt+z5I=")</f>
        <v>#REF!</v>
      </c>
      <c r="ER133" t="e">
        <f>AND(#REF!,"AAAAAFt+z5M=")</f>
        <v>#REF!</v>
      </c>
      <c r="ES133" t="e">
        <f>AND(#REF!,"AAAAAFt+z5Q=")</f>
        <v>#REF!</v>
      </c>
      <c r="ET133" t="e">
        <f>AND(#REF!,"AAAAAFt+z5U=")</f>
        <v>#REF!</v>
      </c>
      <c r="EU133" t="e">
        <f>AND(#REF!,"AAAAAFt+z5Y=")</f>
        <v>#REF!</v>
      </c>
      <c r="EV133" t="e">
        <f>AND(#REF!,"AAAAAFt+z5c=")</f>
        <v>#REF!</v>
      </c>
      <c r="EW133" t="e">
        <f>AND(#REF!,"AAAAAFt+z5g=")</f>
        <v>#REF!</v>
      </c>
      <c r="EX133" t="e">
        <f>AND(#REF!,"AAAAAFt+z5k=")</f>
        <v>#REF!</v>
      </c>
      <c r="EY133" t="e">
        <f>AND(#REF!,"AAAAAFt+z5o=")</f>
        <v>#REF!</v>
      </c>
      <c r="EZ133" t="e">
        <f>AND(#REF!,"AAAAAFt+z5s=")</f>
        <v>#REF!</v>
      </c>
      <c r="FA133" t="e">
        <f>AND(#REF!,"AAAAAFt+z5w=")</f>
        <v>#REF!</v>
      </c>
      <c r="FB133" t="e">
        <f>AND(#REF!,"AAAAAFt+z50=")</f>
        <v>#REF!</v>
      </c>
      <c r="FC133" t="e">
        <f>AND(#REF!,"AAAAAFt+z54=")</f>
        <v>#REF!</v>
      </c>
      <c r="FD133" t="e">
        <f>AND(#REF!,"AAAAAFt+z58=")</f>
        <v>#REF!</v>
      </c>
      <c r="FE133" t="e">
        <f>AND(#REF!,"AAAAAFt+z6A=")</f>
        <v>#REF!</v>
      </c>
      <c r="FF133" t="e">
        <f>AND(#REF!,"AAAAAFt+z6E=")</f>
        <v>#REF!</v>
      </c>
      <c r="FG133" t="e">
        <f>AND(#REF!,"AAAAAFt+z6I=")</f>
        <v>#REF!</v>
      </c>
      <c r="FH133" t="e">
        <f>AND(#REF!,"AAAAAFt+z6M=")</f>
        <v>#REF!</v>
      </c>
      <c r="FI133" t="e">
        <f>AND(#REF!,"AAAAAFt+z6Q=")</f>
        <v>#REF!</v>
      </c>
      <c r="FJ133" t="e">
        <f>AND(#REF!,"AAAAAFt+z6U=")</f>
        <v>#REF!</v>
      </c>
      <c r="FK133" t="e">
        <f>AND(#REF!,"AAAAAFt+z6Y=")</f>
        <v>#REF!</v>
      </c>
      <c r="FL133" t="e">
        <f>AND(#REF!,"AAAAAFt+z6c=")</f>
        <v>#REF!</v>
      </c>
      <c r="FM133" t="e">
        <f>IF(#REF!,"AAAAAFt+z6g=",0)</f>
        <v>#REF!</v>
      </c>
      <c r="FN133" t="e">
        <f>AND(#REF!,"AAAAAFt+z6k=")</f>
        <v>#REF!</v>
      </c>
      <c r="FO133" t="e">
        <f>AND(#REF!,"AAAAAFt+z6o=")</f>
        <v>#REF!</v>
      </c>
      <c r="FP133" t="e">
        <f>AND(#REF!,"AAAAAFt+z6s=")</f>
        <v>#REF!</v>
      </c>
      <c r="FQ133" t="e">
        <f>AND(#REF!,"AAAAAFt+z6w=")</f>
        <v>#REF!</v>
      </c>
      <c r="FR133" t="e">
        <f>AND(#REF!,"AAAAAFt+z60=")</f>
        <v>#REF!</v>
      </c>
      <c r="FS133" t="e">
        <f>AND(#REF!,"AAAAAFt+z64=")</f>
        <v>#REF!</v>
      </c>
      <c r="FT133" t="e">
        <f>AND(#REF!,"AAAAAFt+z68=")</f>
        <v>#REF!</v>
      </c>
      <c r="FU133" t="e">
        <f>AND(#REF!,"AAAAAFt+z7A=")</f>
        <v>#REF!</v>
      </c>
      <c r="FV133" t="e">
        <f>AND(#REF!,"AAAAAFt+z7E=")</f>
        <v>#REF!</v>
      </c>
      <c r="FW133" t="e">
        <f>AND(#REF!,"AAAAAFt+z7I=")</f>
        <v>#REF!</v>
      </c>
      <c r="FX133" t="e">
        <f>AND(#REF!,"AAAAAFt+z7M=")</f>
        <v>#REF!</v>
      </c>
      <c r="FY133" t="e">
        <f>AND(#REF!,"AAAAAFt+z7Q=")</f>
        <v>#REF!</v>
      </c>
      <c r="FZ133" t="e">
        <f>AND(#REF!,"AAAAAFt+z7U=")</f>
        <v>#REF!</v>
      </c>
      <c r="GA133" t="e">
        <f>AND(#REF!,"AAAAAFt+z7Y=")</f>
        <v>#REF!</v>
      </c>
      <c r="GB133" t="e">
        <f>AND(#REF!,"AAAAAFt+z7c=")</f>
        <v>#REF!</v>
      </c>
      <c r="GC133" t="e">
        <f>AND(#REF!,"AAAAAFt+z7g=")</f>
        <v>#REF!</v>
      </c>
      <c r="GD133" t="e">
        <f>AND(#REF!,"AAAAAFt+z7k=")</f>
        <v>#REF!</v>
      </c>
      <c r="GE133" t="e">
        <f>AND(#REF!,"AAAAAFt+z7o=")</f>
        <v>#REF!</v>
      </c>
      <c r="GF133" t="e">
        <f>AND(#REF!,"AAAAAFt+z7s=")</f>
        <v>#REF!</v>
      </c>
      <c r="GG133" t="e">
        <f>AND(#REF!,"AAAAAFt+z7w=")</f>
        <v>#REF!</v>
      </c>
      <c r="GH133" t="e">
        <f>AND(#REF!,"AAAAAFt+z70=")</f>
        <v>#REF!</v>
      </c>
      <c r="GI133" t="e">
        <f>AND(#REF!,"AAAAAFt+z74=")</f>
        <v>#REF!</v>
      </c>
      <c r="GJ133" t="e">
        <f>AND(#REF!,"AAAAAFt+z78=")</f>
        <v>#REF!</v>
      </c>
      <c r="GK133" t="e">
        <f>AND(#REF!,"AAAAAFt+z8A=")</f>
        <v>#REF!</v>
      </c>
      <c r="GL133" t="e">
        <f>IF(#REF!,"AAAAAFt+z8E=",0)</f>
        <v>#REF!</v>
      </c>
      <c r="GM133" t="e">
        <f>AND(#REF!,"AAAAAFt+z8I=")</f>
        <v>#REF!</v>
      </c>
      <c r="GN133" t="e">
        <f>AND(#REF!,"AAAAAFt+z8M=")</f>
        <v>#REF!</v>
      </c>
      <c r="GO133" t="e">
        <f>AND(#REF!,"AAAAAFt+z8Q=")</f>
        <v>#REF!</v>
      </c>
      <c r="GP133" t="e">
        <f>AND(#REF!,"AAAAAFt+z8U=")</f>
        <v>#REF!</v>
      </c>
      <c r="GQ133" t="e">
        <f>AND(#REF!,"AAAAAFt+z8Y=")</f>
        <v>#REF!</v>
      </c>
      <c r="GR133" t="e">
        <f>AND(#REF!,"AAAAAFt+z8c=")</f>
        <v>#REF!</v>
      </c>
      <c r="GS133" t="e">
        <f>AND(#REF!,"AAAAAFt+z8g=")</f>
        <v>#REF!</v>
      </c>
      <c r="GT133" t="e">
        <f>AND(#REF!,"AAAAAFt+z8k=")</f>
        <v>#REF!</v>
      </c>
      <c r="GU133" t="e">
        <f>AND(#REF!,"AAAAAFt+z8o=")</f>
        <v>#REF!</v>
      </c>
      <c r="GV133" t="e">
        <f>AND(#REF!,"AAAAAFt+z8s=")</f>
        <v>#REF!</v>
      </c>
      <c r="GW133" t="e">
        <f>AND(#REF!,"AAAAAFt+z8w=")</f>
        <v>#REF!</v>
      </c>
      <c r="GX133" t="e">
        <f>AND(#REF!,"AAAAAFt+z80=")</f>
        <v>#REF!</v>
      </c>
      <c r="GY133" t="e">
        <f>AND(#REF!,"AAAAAFt+z84=")</f>
        <v>#REF!</v>
      </c>
      <c r="GZ133" t="e">
        <f>AND(#REF!,"AAAAAFt+z88=")</f>
        <v>#REF!</v>
      </c>
      <c r="HA133" t="e">
        <f>AND(#REF!,"AAAAAFt+z9A=")</f>
        <v>#REF!</v>
      </c>
      <c r="HB133" t="e">
        <f>AND(#REF!,"AAAAAFt+z9E=")</f>
        <v>#REF!</v>
      </c>
      <c r="HC133" t="e">
        <f>AND(#REF!,"AAAAAFt+z9I=")</f>
        <v>#REF!</v>
      </c>
      <c r="HD133" t="e">
        <f>AND(#REF!,"AAAAAFt+z9M=")</f>
        <v>#REF!</v>
      </c>
      <c r="HE133" t="e">
        <f>AND(#REF!,"AAAAAFt+z9Q=")</f>
        <v>#REF!</v>
      </c>
      <c r="HF133" t="e">
        <f>AND(#REF!,"AAAAAFt+z9U=")</f>
        <v>#REF!</v>
      </c>
      <c r="HG133" t="e">
        <f>AND(#REF!,"AAAAAFt+z9Y=")</f>
        <v>#REF!</v>
      </c>
      <c r="HH133" t="e">
        <f>AND(#REF!,"AAAAAFt+z9c=")</f>
        <v>#REF!</v>
      </c>
      <c r="HI133" t="e">
        <f>AND(#REF!,"AAAAAFt+z9g=")</f>
        <v>#REF!</v>
      </c>
      <c r="HJ133" t="e">
        <f>AND(#REF!,"AAAAAFt+z9k=")</f>
        <v>#REF!</v>
      </c>
      <c r="HK133" t="e">
        <f>IF(#REF!,"AAAAAFt+z9o=",0)</f>
        <v>#REF!</v>
      </c>
      <c r="HL133" t="e">
        <f>AND(#REF!,"AAAAAFt+z9s=")</f>
        <v>#REF!</v>
      </c>
      <c r="HM133" t="e">
        <f>AND(#REF!,"AAAAAFt+z9w=")</f>
        <v>#REF!</v>
      </c>
      <c r="HN133" t="e">
        <f>AND(#REF!,"AAAAAFt+z90=")</f>
        <v>#REF!</v>
      </c>
      <c r="HO133" t="e">
        <f>AND(#REF!,"AAAAAFt+z94=")</f>
        <v>#REF!</v>
      </c>
      <c r="HP133" t="e">
        <f>AND(#REF!,"AAAAAFt+z98=")</f>
        <v>#REF!</v>
      </c>
      <c r="HQ133" t="e">
        <f>AND(#REF!,"AAAAAFt+z+A=")</f>
        <v>#REF!</v>
      </c>
      <c r="HR133" t="e">
        <f>AND(#REF!,"AAAAAFt+z+E=")</f>
        <v>#REF!</v>
      </c>
      <c r="HS133" t="e">
        <f>AND(#REF!,"AAAAAFt+z+I=")</f>
        <v>#REF!</v>
      </c>
      <c r="HT133" t="e">
        <f>AND(#REF!,"AAAAAFt+z+M=")</f>
        <v>#REF!</v>
      </c>
      <c r="HU133" t="e">
        <f>AND(#REF!,"AAAAAFt+z+Q=")</f>
        <v>#REF!</v>
      </c>
      <c r="HV133" t="e">
        <f>AND(#REF!,"AAAAAFt+z+U=")</f>
        <v>#REF!</v>
      </c>
      <c r="HW133" t="e">
        <f>AND(#REF!,"AAAAAFt+z+Y=")</f>
        <v>#REF!</v>
      </c>
      <c r="HX133" t="e">
        <f>AND(#REF!,"AAAAAFt+z+c=")</f>
        <v>#REF!</v>
      </c>
      <c r="HY133" t="e">
        <f>AND(#REF!,"AAAAAFt+z+g=")</f>
        <v>#REF!</v>
      </c>
      <c r="HZ133" t="e">
        <f>AND(#REF!,"AAAAAFt+z+k=")</f>
        <v>#REF!</v>
      </c>
      <c r="IA133" t="e">
        <f>AND(#REF!,"AAAAAFt+z+o=")</f>
        <v>#REF!</v>
      </c>
      <c r="IB133" t="e">
        <f>AND(#REF!,"AAAAAFt+z+s=")</f>
        <v>#REF!</v>
      </c>
      <c r="IC133" t="e">
        <f>AND(#REF!,"AAAAAFt+z+w=")</f>
        <v>#REF!</v>
      </c>
      <c r="ID133" t="e">
        <f>AND(#REF!,"AAAAAFt+z+0=")</f>
        <v>#REF!</v>
      </c>
      <c r="IE133" t="e">
        <f>AND(#REF!,"AAAAAFt+z+4=")</f>
        <v>#REF!</v>
      </c>
      <c r="IF133" t="e">
        <f>AND(#REF!,"AAAAAFt+z+8=")</f>
        <v>#REF!</v>
      </c>
      <c r="IG133" t="e">
        <f>AND(#REF!,"AAAAAFt+z/A=")</f>
        <v>#REF!</v>
      </c>
      <c r="IH133" t="e">
        <f>AND(#REF!,"AAAAAFt+z/E=")</f>
        <v>#REF!</v>
      </c>
      <c r="II133" t="e">
        <f>AND(#REF!,"AAAAAFt+z/I=")</f>
        <v>#REF!</v>
      </c>
      <c r="IJ133" t="e">
        <f>IF(#REF!,"AAAAAFt+z/M=",0)</f>
        <v>#REF!</v>
      </c>
      <c r="IK133" t="e">
        <f>AND(#REF!,"AAAAAFt+z/Q=")</f>
        <v>#REF!</v>
      </c>
      <c r="IL133" t="e">
        <f>AND(#REF!,"AAAAAFt+z/U=")</f>
        <v>#REF!</v>
      </c>
      <c r="IM133" t="e">
        <f>AND(#REF!,"AAAAAFt+z/Y=")</f>
        <v>#REF!</v>
      </c>
      <c r="IN133" t="e">
        <f>AND(#REF!,"AAAAAFt+z/c=")</f>
        <v>#REF!</v>
      </c>
      <c r="IO133" t="e">
        <f>AND(#REF!,"AAAAAFt+z/g=")</f>
        <v>#REF!</v>
      </c>
      <c r="IP133" t="e">
        <f>AND(#REF!,"AAAAAFt+z/k=")</f>
        <v>#REF!</v>
      </c>
      <c r="IQ133" t="e">
        <f>AND(#REF!,"AAAAAFt+z/o=")</f>
        <v>#REF!</v>
      </c>
      <c r="IR133" t="e">
        <f>AND(#REF!,"AAAAAFt+z/s=")</f>
        <v>#REF!</v>
      </c>
      <c r="IS133" t="e">
        <f>AND(#REF!,"AAAAAFt+z/w=")</f>
        <v>#REF!</v>
      </c>
      <c r="IT133" t="e">
        <f>AND(#REF!,"AAAAAFt+z/0=")</f>
        <v>#REF!</v>
      </c>
      <c r="IU133" t="e">
        <f>AND(#REF!,"AAAAAFt+z/4=")</f>
        <v>#REF!</v>
      </c>
      <c r="IV133" t="e">
        <f>AND(#REF!,"AAAAAFt+z/8=")</f>
        <v>#REF!</v>
      </c>
    </row>
    <row r="134" spans="1:256">
      <c r="A134" t="e">
        <f>AND(#REF!,"AAAAAFc6fwA=")</f>
        <v>#REF!</v>
      </c>
      <c r="B134" t="e">
        <f>AND(#REF!,"AAAAAFc6fwE=")</f>
        <v>#REF!</v>
      </c>
      <c r="C134" t="e">
        <f>AND(#REF!,"AAAAAFc6fwI=")</f>
        <v>#REF!</v>
      </c>
      <c r="D134" t="e">
        <f>AND(#REF!,"AAAAAFc6fwM=")</f>
        <v>#REF!</v>
      </c>
      <c r="E134" t="e">
        <f>AND(#REF!,"AAAAAFc6fwQ=")</f>
        <v>#REF!</v>
      </c>
      <c r="F134" t="e">
        <f>AND(#REF!,"AAAAAFc6fwU=")</f>
        <v>#REF!</v>
      </c>
      <c r="G134" t="e">
        <f>AND(#REF!,"AAAAAFc6fwY=")</f>
        <v>#REF!</v>
      </c>
      <c r="H134" t="e">
        <f>AND(#REF!,"AAAAAFc6fwc=")</f>
        <v>#REF!</v>
      </c>
      <c r="I134" t="e">
        <f>AND(#REF!,"AAAAAFc6fwg=")</f>
        <v>#REF!</v>
      </c>
      <c r="J134" t="e">
        <f>AND(#REF!,"AAAAAFc6fwk=")</f>
        <v>#REF!</v>
      </c>
      <c r="K134" t="e">
        <f>AND(#REF!,"AAAAAFc6fwo=")</f>
        <v>#REF!</v>
      </c>
      <c r="L134" t="e">
        <f>AND(#REF!,"AAAAAFc6fws=")</f>
        <v>#REF!</v>
      </c>
      <c r="M134" t="e">
        <f>IF(#REF!,"AAAAAFc6fww=",0)</f>
        <v>#REF!</v>
      </c>
      <c r="N134" t="e">
        <f>AND(#REF!,"AAAAAFc6fw0=")</f>
        <v>#REF!</v>
      </c>
      <c r="O134" t="e">
        <f>AND(#REF!,"AAAAAFc6fw4=")</f>
        <v>#REF!</v>
      </c>
      <c r="P134" t="e">
        <f>AND(#REF!,"AAAAAFc6fw8=")</f>
        <v>#REF!</v>
      </c>
      <c r="Q134" t="e">
        <f>AND(#REF!,"AAAAAFc6fxA=")</f>
        <v>#REF!</v>
      </c>
      <c r="R134" t="e">
        <f>AND(#REF!,"AAAAAFc6fxE=")</f>
        <v>#REF!</v>
      </c>
      <c r="S134" t="e">
        <f>AND(#REF!,"AAAAAFc6fxI=")</f>
        <v>#REF!</v>
      </c>
      <c r="T134" t="e">
        <f>AND(#REF!,"AAAAAFc6fxM=")</f>
        <v>#REF!</v>
      </c>
      <c r="U134" t="e">
        <f>AND(#REF!,"AAAAAFc6fxQ=")</f>
        <v>#REF!</v>
      </c>
      <c r="V134" t="e">
        <f>AND(#REF!,"AAAAAFc6fxU=")</f>
        <v>#REF!</v>
      </c>
      <c r="W134" t="e">
        <f>AND(#REF!,"AAAAAFc6fxY=")</f>
        <v>#REF!</v>
      </c>
      <c r="X134" t="e">
        <f>AND(#REF!,"AAAAAFc6fxc=")</f>
        <v>#REF!</v>
      </c>
      <c r="Y134" t="e">
        <f>AND(#REF!,"AAAAAFc6fxg=")</f>
        <v>#REF!</v>
      </c>
      <c r="Z134" t="e">
        <f>AND(#REF!,"AAAAAFc6fxk=")</f>
        <v>#REF!</v>
      </c>
      <c r="AA134" t="e">
        <f>AND(#REF!,"AAAAAFc6fxo=")</f>
        <v>#REF!</v>
      </c>
      <c r="AB134" t="e">
        <f>AND(#REF!,"AAAAAFc6fxs=")</f>
        <v>#REF!</v>
      </c>
      <c r="AC134" t="e">
        <f>AND(#REF!,"AAAAAFc6fxw=")</f>
        <v>#REF!</v>
      </c>
      <c r="AD134" t="e">
        <f>AND(#REF!,"AAAAAFc6fx0=")</f>
        <v>#REF!</v>
      </c>
      <c r="AE134" t="e">
        <f>AND(#REF!,"AAAAAFc6fx4=")</f>
        <v>#REF!</v>
      </c>
      <c r="AF134" t="e">
        <f>AND(#REF!,"AAAAAFc6fx8=")</f>
        <v>#REF!</v>
      </c>
      <c r="AG134" t="e">
        <f>AND(#REF!,"AAAAAFc6fyA=")</f>
        <v>#REF!</v>
      </c>
      <c r="AH134" t="e">
        <f>AND(#REF!,"AAAAAFc6fyE=")</f>
        <v>#REF!</v>
      </c>
      <c r="AI134" t="e">
        <f>AND(#REF!,"AAAAAFc6fyI=")</f>
        <v>#REF!</v>
      </c>
      <c r="AJ134" t="e">
        <f>AND(#REF!,"AAAAAFc6fyM=")</f>
        <v>#REF!</v>
      </c>
      <c r="AK134" t="e">
        <f>AND(#REF!,"AAAAAFc6fyQ=")</f>
        <v>#REF!</v>
      </c>
      <c r="AL134" t="e">
        <f>IF(#REF!,"AAAAAFc6fyU=",0)</f>
        <v>#REF!</v>
      </c>
      <c r="AM134" t="e">
        <f>AND(#REF!,"AAAAAFc6fyY=")</f>
        <v>#REF!</v>
      </c>
      <c r="AN134" t="e">
        <f>AND(#REF!,"AAAAAFc6fyc=")</f>
        <v>#REF!</v>
      </c>
      <c r="AO134" t="e">
        <f>AND(#REF!,"AAAAAFc6fyg=")</f>
        <v>#REF!</v>
      </c>
      <c r="AP134" t="e">
        <f>AND(#REF!,"AAAAAFc6fyk=")</f>
        <v>#REF!</v>
      </c>
      <c r="AQ134" t="e">
        <f>AND(#REF!,"AAAAAFc6fyo=")</f>
        <v>#REF!</v>
      </c>
      <c r="AR134" t="e">
        <f>AND(#REF!,"AAAAAFc6fys=")</f>
        <v>#REF!</v>
      </c>
      <c r="AS134" t="e">
        <f>AND(#REF!,"AAAAAFc6fyw=")</f>
        <v>#REF!</v>
      </c>
      <c r="AT134" t="e">
        <f>AND(#REF!,"AAAAAFc6fy0=")</f>
        <v>#REF!</v>
      </c>
      <c r="AU134" t="e">
        <f>AND(#REF!,"AAAAAFc6fy4=")</f>
        <v>#REF!</v>
      </c>
      <c r="AV134" t="e">
        <f>AND(#REF!,"AAAAAFc6fy8=")</f>
        <v>#REF!</v>
      </c>
      <c r="AW134" t="e">
        <f>AND(#REF!,"AAAAAFc6fzA=")</f>
        <v>#REF!</v>
      </c>
      <c r="AX134" t="e">
        <f>AND(#REF!,"AAAAAFc6fzE=")</f>
        <v>#REF!</v>
      </c>
      <c r="AY134" t="e">
        <f>AND(#REF!,"AAAAAFc6fzI=")</f>
        <v>#REF!</v>
      </c>
      <c r="AZ134" t="e">
        <f>AND(#REF!,"AAAAAFc6fzM=")</f>
        <v>#REF!</v>
      </c>
      <c r="BA134" t="e">
        <f>AND(#REF!,"AAAAAFc6fzQ=")</f>
        <v>#REF!</v>
      </c>
      <c r="BB134" t="e">
        <f>AND(#REF!,"AAAAAFc6fzU=")</f>
        <v>#REF!</v>
      </c>
      <c r="BC134" t="e">
        <f>AND(#REF!,"AAAAAFc6fzY=")</f>
        <v>#REF!</v>
      </c>
      <c r="BD134" t="e">
        <f>AND(#REF!,"AAAAAFc6fzc=")</f>
        <v>#REF!</v>
      </c>
      <c r="BE134" t="e">
        <f>AND(#REF!,"AAAAAFc6fzg=")</f>
        <v>#REF!</v>
      </c>
      <c r="BF134" t="e">
        <f>AND(#REF!,"AAAAAFc6fzk=")</f>
        <v>#REF!</v>
      </c>
      <c r="BG134" t="e">
        <f>AND(#REF!,"AAAAAFc6fzo=")</f>
        <v>#REF!</v>
      </c>
      <c r="BH134" t="e">
        <f>AND(#REF!,"AAAAAFc6fzs=")</f>
        <v>#REF!</v>
      </c>
      <c r="BI134" t="e">
        <f>AND(#REF!,"AAAAAFc6fzw=")</f>
        <v>#REF!</v>
      </c>
      <c r="BJ134" t="e">
        <f>AND(#REF!,"AAAAAFc6fz0=")</f>
        <v>#REF!</v>
      </c>
      <c r="BK134" t="e">
        <f>IF(#REF!,"AAAAAFc6fz4=",0)</f>
        <v>#REF!</v>
      </c>
      <c r="BL134" t="e">
        <f>AND(#REF!,"AAAAAFc6fz8=")</f>
        <v>#REF!</v>
      </c>
      <c r="BM134" t="e">
        <f>AND(#REF!,"AAAAAFc6f0A=")</f>
        <v>#REF!</v>
      </c>
      <c r="BN134" t="e">
        <f>AND(#REF!,"AAAAAFc6f0E=")</f>
        <v>#REF!</v>
      </c>
      <c r="BO134" t="e">
        <f>AND(#REF!,"AAAAAFc6f0I=")</f>
        <v>#REF!</v>
      </c>
      <c r="BP134" t="e">
        <f>AND(#REF!,"AAAAAFc6f0M=")</f>
        <v>#REF!</v>
      </c>
      <c r="BQ134" t="e">
        <f>AND(#REF!,"AAAAAFc6f0Q=")</f>
        <v>#REF!</v>
      </c>
      <c r="BR134" t="e">
        <f>AND(#REF!,"AAAAAFc6f0U=")</f>
        <v>#REF!</v>
      </c>
      <c r="BS134" t="e">
        <f>AND(#REF!,"AAAAAFc6f0Y=")</f>
        <v>#REF!</v>
      </c>
      <c r="BT134" t="e">
        <f>AND(#REF!,"AAAAAFc6f0c=")</f>
        <v>#REF!</v>
      </c>
      <c r="BU134" t="e">
        <f>AND(#REF!,"AAAAAFc6f0g=")</f>
        <v>#REF!</v>
      </c>
      <c r="BV134" t="e">
        <f>AND(#REF!,"AAAAAFc6f0k=")</f>
        <v>#REF!</v>
      </c>
      <c r="BW134" t="e">
        <f>AND(#REF!,"AAAAAFc6f0o=")</f>
        <v>#REF!</v>
      </c>
      <c r="BX134" t="e">
        <f>AND(#REF!,"AAAAAFc6f0s=")</f>
        <v>#REF!</v>
      </c>
      <c r="BY134" t="e">
        <f>AND(#REF!,"AAAAAFc6f0w=")</f>
        <v>#REF!</v>
      </c>
      <c r="BZ134" t="e">
        <f>AND(#REF!,"AAAAAFc6f00=")</f>
        <v>#REF!</v>
      </c>
      <c r="CA134" t="e">
        <f>AND(#REF!,"AAAAAFc6f04=")</f>
        <v>#REF!</v>
      </c>
      <c r="CB134" t="e">
        <f>AND(#REF!,"AAAAAFc6f08=")</f>
        <v>#REF!</v>
      </c>
      <c r="CC134" t="e">
        <f>AND(#REF!,"AAAAAFc6f1A=")</f>
        <v>#REF!</v>
      </c>
      <c r="CD134" t="e">
        <f>AND(#REF!,"AAAAAFc6f1E=")</f>
        <v>#REF!</v>
      </c>
      <c r="CE134" t="e">
        <f>AND(#REF!,"AAAAAFc6f1I=")</f>
        <v>#REF!</v>
      </c>
      <c r="CF134" t="e">
        <f>AND(#REF!,"AAAAAFc6f1M=")</f>
        <v>#REF!</v>
      </c>
      <c r="CG134" t="e">
        <f>AND(#REF!,"AAAAAFc6f1Q=")</f>
        <v>#REF!</v>
      </c>
      <c r="CH134" t="e">
        <f>AND(#REF!,"AAAAAFc6f1U=")</f>
        <v>#REF!</v>
      </c>
      <c r="CI134" t="e">
        <f>AND(#REF!,"AAAAAFc6f1Y=")</f>
        <v>#REF!</v>
      </c>
      <c r="CJ134" t="e">
        <f>IF(#REF!,"AAAAAFc6f1c=",0)</f>
        <v>#REF!</v>
      </c>
      <c r="CK134" t="e">
        <f>AND(#REF!,"AAAAAFc6f1g=")</f>
        <v>#REF!</v>
      </c>
      <c r="CL134" t="e">
        <f>AND(#REF!,"AAAAAFc6f1k=")</f>
        <v>#REF!</v>
      </c>
      <c r="CM134" t="e">
        <f>AND(#REF!,"AAAAAFc6f1o=")</f>
        <v>#REF!</v>
      </c>
      <c r="CN134" t="e">
        <f>AND(#REF!,"AAAAAFc6f1s=")</f>
        <v>#REF!</v>
      </c>
      <c r="CO134" t="e">
        <f>AND(#REF!,"AAAAAFc6f1w=")</f>
        <v>#REF!</v>
      </c>
      <c r="CP134" t="e">
        <f>AND(#REF!,"AAAAAFc6f10=")</f>
        <v>#REF!</v>
      </c>
      <c r="CQ134" t="e">
        <f>AND(#REF!,"AAAAAFc6f14=")</f>
        <v>#REF!</v>
      </c>
      <c r="CR134" t="e">
        <f>AND(#REF!,"AAAAAFc6f18=")</f>
        <v>#REF!</v>
      </c>
      <c r="CS134" t="e">
        <f>AND(#REF!,"AAAAAFc6f2A=")</f>
        <v>#REF!</v>
      </c>
      <c r="CT134" t="e">
        <f>AND(#REF!,"AAAAAFc6f2E=")</f>
        <v>#REF!</v>
      </c>
      <c r="CU134" t="e">
        <f>AND(#REF!,"AAAAAFc6f2I=")</f>
        <v>#REF!</v>
      </c>
      <c r="CV134" t="e">
        <f>AND(#REF!,"AAAAAFc6f2M=")</f>
        <v>#REF!</v>
      </c>
      <c r="CW134" t="e">
        <f>AND(#REF!,"AAAAAFc6f2Q=")</f>
        <v>#REF!</v>
      </c>
      <c r="CX134" t="e">
        <f>AND(#REF!,"AAAAAFc6f2U=")</f>
        <v>#REF!</v>
      </c>
      <c r="CY134" t="e">
        <f>AND(#REF!,"AAAAAFc6f2Y=")</f>
        <v>#REF!</v>
      </c>
      <c r="CZ134" t="e">
        <f>AND(#REF!,"AAAAAFc6f2c=")</f>
        <v>#REF!</v>
      </c>
      <c r="DA134" t="e">
        <f>AND(#REF!,"AAAAAFc6f2g=")</f>
        <v>#REF!</v>
      </c>
      <c r="DB134" t="e">
        <f>AND(#REF!,"AAAAAFc6f2k=")</f>
        <v>#REF!</v>
      </c>
      <c r="DC134" t="e">
        <f>AND(#REF!,"AAAAAFc6f2o=")</f>
        <v>#REF!</v>
      </c>
      <c r="DD134" t="e">
        <f>AND(#REF!,"AAAAAFc6f2s=")</f>
        <v>#REF!</v>
      </c>
      <c r="DE134" t="e">
        <f>AND(#REF!,"AAAAAFc6f2w=")</f>
        <v>#REF!</v>
      </c>
      <c r="DF134" t="e">
        <f>AND(#REF!,"AAAAAFc6f20=")</f>
        <v>#REF!</v>
      </c>
      <c r="DG134" t="e">
        <f>AND(#REF!,"AAAAAFc6f24=")</f>
        <v>#REF!</v>
      </c>
      <c r="DH134" t="e">
        <f>AND(#REF!,"AAAAAFc6f28=")</f>
        <v>#REF!</v>
      </c>
      <c r="DI134" t="e">
        <f>IF(#REF!,"AAAAAFc6f3A=",0)</f>
        <v>#REF!</v>
      </c>
      <c r="DJ134" t="e">
        <f>AND(#REF!,"AAAAAFc6f3E=")</f>
        <v>#REF!</v>
      </c>
      <c r="DK134" t="e">
        <f>AND(#REF!,"AAAAAFc6f3I=")</f>
        <v>#REF!</v>
      </c>
      <c r="DL134" t="e">
        <f>AND(#REF!,"AAAAAFc6f3M=")</f>
        <v>#REF!</v>
      </c>
      <c r="DM134" t="e">
        <f>AND(#REF!,"AAAAAFc6f3Q=")</f>
        <v>#REF!</v>
      </c>
      <c r="DN134" t="e">
        <f>AND(#REF!,"AAAAAFc6f3U=")</f>
        <v>#REF!</v>
      </c>
      <c r="DO134" t="e">
        <f>AND(#REF!,"AAAAAFc6f3Y=")</f>
        <v>#REF!</v>
      </c>
      <c r="DP134" t="e">
        <f>AND(#REF!,"AAAAAFc6f3c=")</f>
        <v>#REF!</v>
      </c>
      <c r="DQ134" t="e">
        <f>AND(#REF!,"AAAAAFc6f3g=")</f>
        <v>#REF!</v>
      </c>
      <c r="DR134" t="e">
        <f>AND(#REF!,"AAAAAFc6f3k=")</f>
        <v>#REF!</v>
      </c>
      <c r="DS134" t="e">
        <f>AND(#REF!,"AAAAAFc6f3o=")</f>
        <v>#REF!</v>
      </c>
      <c r="DT134" t="e">
        <f>AND(#REF!,"AAAAAFc6f3s=")</f>
        <v>#REF!</v>
      </c>
      <c r="DU134" t="e">
        <f>AND(#REF!,"AAAAAFc6f3w=")</f>
        <v>#REF!</v>
      </c>
      <c r="DV134" t="e">
        <f>AND(#REF!,"AAAAAFc6f30=")</f>
        <v>#REF!</v>
      </c>
      <c r="DW134" t="e">
        <f>AND(#REF!,"AAAAAFc6f34=")</f>
        <v>#REF!</v>
      </c>
      <c r="DX134" t="e">
        <f>AND(#REF!,"AAAAAFc6f38=")</f>
        <v>#REF!</v>
      </c>
      <c r="DY134" t="e">
        <f>AND(#REF!,"AAAAAFc6f4A=")</f>
        <v>#REF!</v>
      </c>
      <c r="DZ134" t="e">
        <f>AND(#REF!,"AAAAAFc6f4E=")</f>
        <v>#REF!</v>
      </c>
      <c r="EA134" t="e">
        <f>AND(#REF!,"AAAAAFc6f4I=")</f>
        <v>#REF!</v>
      </c>
      <c r="EB134" t="e">
        <f>AND(#REF!,"AAAAAFc6f4M=")</f>
        <v>#REF!</v>
      </c>
      <c r="EC134" t="e">
        <f>AND(#REF!,"AAAAAFc6f4Q=")</f>
        <v>#REF!</v>
      </c>
      <c r="ED134" t="e">
        <f>AND(#REF!,"AAAAAFc6f4U=")</f>
        <v>#REF!</v>
      </c>
      <c r="EE134" t="e">
        <f>AND(#REF!,"AAAAAFc6f4Y=")</f>
        <v>#REF!</v>
      </c>
      <c r="EF134" t="e">
        <f>AND(#REF!,"AAAAAFc6f4c=")</f>
        <v>#REF!</v>
      </c>
      <c r="EG134" t="e">
        <f>AND(#REF!,"AAAAAFc6f4g=")</f>
        <v>#REF!</v>
      </c>
      <c r="EH134" t="e">
        <f>IF(#REF!,"AAAAAFc6f4k=",0)</f>
        <v>#REF!</v>
      </c>
      <c r="EI134" t="e">
        <f>AND(#REF!,"AAAAAFc6f4o=")</f>
        <v>#REF!</v>
      </c>
      <c r="EJ134" t="e">
        <f>AND(#REF!,"AAAAAFc6f4s=")</f>
        <v>#REF!</v>
      </c>
      <c r="EK134" t="e">
        <f>AND(#REF!,"AAAAAFc6f4w=")</f>
        <v>#REF!</v>
      </c>
      <c r="EL134" t="e">
        <f>AND(#REF!,"AAAAAFc6f40=")</f>
        <v>#REF!</v>
      </c>
      <c r="EM134" t="e">
        <f>AND(#REF!,"AAAAAFc6f44=")</f>
        <v>#REF!</v>
      </c>
      <c r="EN134" t="e">
        <f>AND(#REF!,"AAAAAFc6f48=")</f>
        <v>#REF!</v>
      </c>
      <c r="EO134" t="e">
        <f>AND(#REF!,"AAAAAFc6f5A=")</f>
        <v>#REF!</v>
      </c>
      <c r="EP134" t="e">
        <f>AND(#REF!,"AAAAAFc6f5E=")</f>
        <v>#REF!</v>
      </c>
      <c r="EQ134" t="e">
        <f>AND(#REF!,"AAAAAFc6f5I=")</f>
        <v>#REF!</v>
      </c>
      <c r="ER134" t="e">
        <f>AND(#REF!,"AAAAAFc6f5M=")</f>
        <v>#REF!</v>
      </c>
      <c r="ES134" t="e">
        <f>AND(#REF!,"AAAAAFc6f5Q=")</f>
        <v>#REF!</v>
      </c>
      <c r="ET134" t="e">
        <f>AND(#REF!,"AAAAAFc6f5U=")</f>
        <v>#REF!</v>
      </c>
      <c r="EU134" t="e">
        <f>AND(#REF!,"AAAAAFc6f5Y=")</f>
        <v>#REF!</v>
      </c>
      <c r="EV134" t="e">
        <f>AND(#REF!,"AAAAAFc6f5c=")</f>
        <v>#REF!</v>
      </c>
      <c r="EW134" t="e">
        <f>AND(#REF!,"AAAAAFc6f5g=")</f>
        <v>#REF!</v>
      </c>
      <c r="EX134" t="e">
        <f>AND(#REF!,"AAAAAFc6f5k=")</f>
        <v>#REF!</v>
      </c>
      <c r="EY134" t="e">
        <f>AND(#REF!,"AAAAAFc6f5o=")</f>
        <v>#REF!</v>
      </c>
      <c r="EZ134" t="e">
        <f>AND(#REF!,"AAAAAFc6f5s=")</f>
        <v>#REF!</v>
      </c>
      <c r="FA134" t="e">
        <f>AND(#REF!,"AAAAAFc6f5w=")</f>
        <v>#REF!</v>
      </c>
      <c r="FB134" t="e">
        <f>AND(#REF!,"AAAAAFc6f50=")</f>
        <v>#REF!</v>
      </c>
      <c r="FC134" t="e">
        <f>AND(#REF!,"AAAAAFc6f54=")</f>
        <v>#REF!</v>
      </c>
      <c r="FD134" t="e">
        <f>AND(#REF!,"AAAAAFc6f58=")</f>
        <v>#REF!</v>
      </c>
      <c r="FE134" t="e">
        <f>AND(#REF!,"AAAAAFc6f6A=")</f>
        <v>#REF!</v>
      </c>
      <c r="FF134" t="e">
        <f>AND(#REF!,"AAAAAFc6f6E=")</f>
        <v>#REF!</v>
      </c>
      <c r="FG134" t="e">
        <f>IF(#REF!,"AAAAAFc6f6I=",0)</f>
        <v>#REF!</v>
      </c>
      <c r="FH134" t="e">
        <f>AND(#REF!,"AAAAAFc6f6M=")</f>
        <v>#REF!</v>
      </c>
      <c r="FI134" t="e">
        <f>AND(#REF!,"AAAAAFc6f6Q=")</f>
        <v>#REF!</v>
      </c>
      <c r="FJ134" t="e">
        <f>AND(#REF!,"AAAAAFc6f6U=")</f>
        <v>#REF!</v>
      </c>
      <c r="FK134" t="e">
        <f>AND(#REF!,"AAAAAFc6f6Y=")</f>
        <v>#REF!</v>
      </c>
      <c r="FL134" t="e">
        <f>AND(#REF!,"AAAAAFc6f6c=")</f>
        <v>#REF!</v>
      </c>
      <c r="FM134" t="e">
        <f>AND(#REF!,"AAAAAFc6f6g=")</f>
        <v>#REF!</v>
      </c>
      <c r="FN134" t="e">
        <f>AND(#REF!,"AAAAAFc6f6k=")</f>
        <v>#REF!</v>
      </c>
      <c r="FO134" t="e">
        <f>AND(#REF!,"AAAAAFc6f6o=")</f>
        <v>#REF!</v>
      </c>
      <c r="FP134" t="e">
        <f>AND(#REF!,"AAAAAFc6f6s=")</f>
        <v>#REF!</v>
      </c>
      <c r="FQ134" t="e">
        <f>AND(#REF!,"AAAAAFc6f6w=")</f>
        <v>#REF!</v>
      </c>
      <c r="FR134" t="e">
        <f>AND(#REF!,"AAAAAFc6f60=")</f>
        <v>#REF!</v>
      </c>
      <c r="FS134" t="e">
        <f>AND(#REF!,"AAAAAFc6f64=")</f>
        <v>#REF!</v>
      </c>
      <c r="FT134" t="e">
        <f>AND(#REF!,"AAAAAFc6f68=")</f>
        <v>#REF!</v>
      </c>
      <c r="FU134" t="e">
        <f>AND(#REF!,"AAAAAFc6f7A=")</f>
        <v>#REF!</v>
      </c>
      <c r="FV134" t="e">
        <f>AND(#REF!,"AAAAAFc6f7E=")</f>
        <v>#REF!</v>
      </c>
      <c r="FW134" t="e">
        <f>AND(#REF!,"AAAAAFc6f7I=")</f>
        <v>#REF!</v>
      </c>
      <c r="FX134" t="e">
        <f>AND(#REF!,"AAAAAFc6f7M=")</f>
        <v>#REF!</v>
      </c>
      <c r="FY134" t="e">
        <f>AND(#REF!,"AAAAAFc6f7Q=")</f>
        <v>#REF!</v>
      </c>
      <c r="FZ134" t="e">
        <f>AND(#REF!,"AAAAAFc6f7U=")</f>
        <v>#REF!</v>
      </c>
      <c r="GA134" t="e">
        <f>AND(#REF!,"AAAAAFc6f7Y=")</f>
        <v>#REF!</v>
      </c>
      <c r="GB134" t="e">
        <f>AND(#REF!,"AAAAAFc6f7c=")</f>
        <v>#REF!</v>
      </c>
      <c r="GC134" t="e">
        <f>AND(#REF!,"AAAAAFc6f7g=")</f>
        <v>#REF!</v>
      </c>
      <c r="GD134" t="e">
        <f>AND(#REF!,"AAAAAFc6f7k=")</f>
        <v>#REF!</v>
      </c>
      <c r="GE134" t="e">
        <f>AND(#REF!,"AAAAAFc6f7o=")</f>
        <v>#REF!</v>
      </c>
      <c r="GF134" t="e">
        <f>IF(#REF!,"AAAAAFc6f7s=",0)</f>
        <v>#REF!</v>
      </c>
      <c r="GG134" t="e">
        <f>AND(#REF!,"AAAAAFc6f7w=")</f>
        <v>#REF!</v>
      </c>
      <c r="GH134" t="e">
        <f>AND(#REF!,"AAAAAFc6f70=")</f>
        <v>#REF!</v>
      </c>
      <c r="GI134" t="e">
        <f>AND(#REF!,"AAAAAFc6f74=")</f>
        <v>#REF!</v>
      </c>
      <c r="GJ134" t="e">
        <f>AND(#REF!,"AAAAAFc6f78=")</f>
        <v>#REF!</v>
      </c>
      <c r="GK134" t="e">
        <f>AND(#REF!,"AAAAAFc6f8A=")</f>
        <v>#REF!</v>
      </c>
      <c r="GL134" t="e">
        <f>AND(#REF!,"AAAAAFc6f8E=")</f>
        <v>#REF!</v>
      </c>
      <c r="GM134" t="e">
        <f>AND(#REF!,"AAAAAFc6f8I=")</f>
        <v>#REF!</v>
      </c>
      <c r="GN134" t="e">
        <f>AND(#REF!,"AAAAAFc6f8M=")</f>
        <v>#REF!</v>
      </c>
      <c r="GO134" t="e">
        <f>AND(#REF!,"AAAAAFc6f8Q=")</f>
        <v>#REF!</v>
      </c>
      <c r="GP134" t="e">
        <f>AND(#REF!,"AAAAAFc6f8U=")</f>
        <v>#REF!</v>
      </c>
      <c r="GQ134" t="e">
        <f>AND(#REF!,"AAAAAFc6f8Y=")</f>
        <v>#REF!</v>
      </c>
      <c r="GR134" t="e">
        <f>AND(#REF!,"AAAAAFc6f8c=")</f>
        <v>#REF!</v>
      </c>
      <c r="GS134" t="e">
        <f>AND(#REF!,"AAAAAFc6f8g=")</f>
        <v>#REF!</v>
      </c>
      <c r="GT134" t="e">
        <f>AND(#REF!,"AAAAAFc6f8k=")</f>
        <v>#REF!</v>
      </c>
      <c r="GU134" t="e">
        <f>AND(#REF!,"AAAAAFc6f8o=")</f>
        <v>#REF!</v>
      </c>
      <c r="GV134" t="e">
        <f>AND(#REF!,"AAAAAFc6f8s=")</f>
        <v>#REF!</v>
      </c>
      <c r="GW134" t="e">
        <f>AND(#REF!,"AAAAAFc6f8w=")</f>
        <v>#REF!</v>
      </c>
      <c r="GX134" t="e">
        <f>AND(#REF!,"AAAAAFc6f80=")</f>
        <v>#REF!</v>
      </c>
      <c r="GY134" t="e">
        <f>AND(#REF!,"AAAAAFc6f84=")</f>
        <v>#REF!</v>
      </c>
      <c r="GZ134" t="e">
        <f>AND(#REF!,"AAAAAFc6f88=")</f>
        <v>#REF!</v>
      </c>
      <c r="HA134" t="e">
        <f>AND(#REF!,"AAAAAFc6f9A=")</f>
        <v>#REF!</v>
      </c>
      <c r="HB134" t="e">
        <f>AND(#REF!,"AAAAAFc6f9E=")</f>
        <v>#REF!</v>
      </c>
      <c r="HC134" t="e">
        <f>AND(#REF!,"AAAAAFc6f9I=")</f>
        <v>#REF!</v>
      </c>
      <c r="HD134" t="e">
        <f>AND(#REF!,"AAAAAFc6f9M=")</f>
        <v>#REF!</v>
      </c>
      <c r="HE134" t="e">
        <f>IF(#REF!,"AAAAAFc6f9Q=",0)</f>
        <v>#REF!</v>
      </c>
      <c r="HF134" t="e">
        <f>AND(#REF!,"AAAAAFc6f9U=")</f>
        <v>#REF!</v>
      </c>
      <c r="HG134" t="e">
        <f>AND(#REF!,"AAAAAFc6f9Y=")</f>
        <v>#REF!</v>
      </c>
      <c r="HH134" t="e">
        <f>AND(#REF!,"AAAAAFc6f9c=")</f>
        <v>#REF!</v>
      </c>
      <c r="HI134" t="e">
        <f>AND(#REF!,"AAAAAFc6f9g=")</f>
        <v>#REF!</v>
      </c>
      <c r="HJ134" t="e">
        <f>AND(#REF!,"AAAAAFc6f9k=")</f>
        <v>#REF!</v>
      </c>
      <c r="HK134" t="e">
        <f>AND(#REF!,"AAAAAFc6f9o=")</f>
        <v>#REF!</v>
      </c>
      <c r="HL134" t="e">
        <f>AND(#REF!,"AAAAAFc6f9s=")</f>
        <v>#REF!</v>
      </c>
      <c r="HM134" t="e">
        <f>AND(#REF!,"AAAAAFc6f9w=")</f>
        <v>#REF!</v>
      </c>
      <c r="HN134" t="e">
        <f>AND(#REF!,"AAAAAFc6f90=")</f>
        <v>#REF!</v>
      </c>
      <c r="HO134" t="e">
        <f>AND(#REF!,"AAAAAFc6f94=")</f>
        <v>#REF!</v>
      </c>
      <c r="HP134" t="e">
        <f>AND(#REF!,"AAAAAFc6f98=")</f>
        <v>#REF!</v>
      </c>
      <c r="HQ134" t="e">
        <f>AND(#REF!,"AAAAAFc6f+A=")</f>
        <v>#REF!</v>
      </c>
      <c r="HR134" t="e">
        <f>AND(#REF!,"AAAAAFc6f+E=")</f>
        <v>#REF!</v>
      </c>
      <c r="HS134" t="e">
        <f>AND(#REF!,"AAAAAFc6f+I=")</f>
        <v>#REF!</v>
      </c>
      <c r="HT134" t="e">
        <f>AND(#REF!,"AAAAAFc6f+M=")</f>
        <v>#REF!</v>
      </c>
      <c r="HU134" t="e">
        <f>AND(#REF!,"AAAAAFc6f+Q=")</f>
        <v>#REF!</v>
      </c>
      <c r="HV134" t="e">
        <f>AND(#REF!,"AAAAAFc6f+U=")</f>
        <v>#REF!</v>
      </c>
      <c r="HW134" t="e">
        <f>AND(#REF!,"AAAAAFc6f+Y=")</f>
        <v>#REF!</v>
      </c>
      <c r="HX134" t="e">
        <f>AND(#REF!,"AAAAAFc6f+c=")</f>
        <v>#REF!</v>
      </c>
      <c r="HY134" t="e">
        <f>AND(#REF!,"AAAAAFc6f+g=")</f>
        <v>#REF!</v>
      </c>
      <c r="HZ134" t="e">
        <f>AND(#REF!,"AAAAAFc6f+k=")</f>
        <v>#REF!</v>
      </c>
      <c r="IA134" t="e">
        <f>AND(#REF!,"AAAAAFc6f+o=")</f>
        <v>#REF!</v>
      </c>
      <c r="IB134" t="e">
        <f>AND(#REF!,"AAAAAFc6f+s=")</f>
        <v>#REF!</v>
      </c>
      <c r="IC134" t="e">
        <f>AND(#REF!,"AAAAAFc6f+w=")</f>
        <v>#REF!</v>
      </c>
      <c r="ID134" t="e">
        <f>IF(#REF!,"AAAAAFc6f+0=",0)</f>
        <v>#REF!</v>
      </c>
      <c r="IE134" t="e">
        <f>AND(#REF!,"AAAAAFc6f+4=")</f>
        <v>#REF!</v>
      </c>
      <c r="IF134" t="e">
        <f>AND(#REF!,"AAAAAFc6f+8=")</f>
        <v>#REF!</v>
      </c>
      <c r="IG134" t="e">
        <f>AND(#REF!,"AAAAAFc6f/A=")</f>
        <v>#REF!</v>
      </c>
      <c r="IH134" t="e">
        <f>AND(#REF!,"AAAAAFc6f/E=")</f>
        <v>#REF!</v>
      </c>
      <c r="II134" t="e">
        <f>AND(#REF!,"AAAAAFc6f/I=")</f>
        <v>#REF!</v>
      </c>
      <c r="IJ134" t="e">
        <f>AND(#REF!,"AAAAAFc6f/M=")</f>
        <v>#REF!</v>
      </c>
      <c r="IK134" t="e">
        <f>AND(#REF!,"AAAAAFc6f/Q=")</f>
        <v>#REF!</v>
      </c>
      <c r="IL134" t="e">
        <f>AND(#REF!,"AAAAAFc6f/U=")</f>
        <v>#REF!</v>
      </c>
      <c r="IM134" t="e">
        <f>AND(#REF!,"AAAAAFc6f/Y=")</f>
        <v>#REF!</v>
      </c>
      <c r="IN134" t="e">
        <f>AND(#REF!,"AAAAAFc6f/c=")</f>
        <v>#REF!</v>
      </c>
      <c r="IO134" t="e">
        <f>AND(#REF!,"AAAAAFc6f/g=")</f>
        <v>#REF!</v>
      </c>
      <c r="IP134" t="e">
        <f>AND(#REF!,"AAAAAFc6f/k=")</f>
        <v>#REF!</v>
      </c>
      <c r="IQ134" t="e">
        <f>AND(#REF!,"AAAAAFc6f/o=")</f>
        <v>#REF!</v>
      </c>
      <c r="IR134" t="e">
        <f>AND(#REF!,"AAAAAFc6f/s=")</f>
        <v>#REF!</v>
      </c>
      <c r="IS134" t="e">
        <f>AND(#REF!,"AAAAAFc6f/w=")</f>
        <v>#REF!</v>
      </c>
      <c r="IT134" t="e">
        <f>AND(#REF!,"AAAAAFc6f/0=")</f>
        <v>#REF!</v>
      </c>
      <c r="IU134" t="e">
        <f>AND(#REF!,"AAAAAFc6f/4=")</f>
        <v>#REF!</v>
      </c>
      <c r="IV134" t="e">
        <f>AND(#REF!,"AAAAAFc6f/8=")</f>
        <v>#REF!</v>
      </c>
    </row>
    <row r="135" spans="1:256">
      <c r="A135" t="e">
        <f>AND(#REF!,"AAAAAHt8HQA=")</f>
        <v>#REF!</v>
      </c>
      <c r="B135" t="e">
        <f>AND(#REF!,"AAAAAHt8HQE=")</f>
        <v>#REF!</v>
      </c>
      <c r="C135" t="e">
        <f>AND(#REF!,"AAAAAHt8HQI=")</f>
        <v>#REF!</v>
      </c>
      <c r="D135" t="e">
        <f>AND(#REF!,"AAAAAHt8HQM=")</f>
        <v>#REF!</v>
      </c>
      <c r="E135" t="e">
        <f>AND(#REF!,"AAAAAHt8HQQ=")</f>
        <v>#REF!</v>
      </c>
      <c r="F135" t="e">
        <f>AND(#REF!,"AAAAAHt8HQU=")</f>
        <v>#REF!</v>
      </c>
      <c r="G135" t="e">
        <f>IF(#REF!,"AAAAAHt8HQY=",0)</f>
        <v>#REF!</v>
      </c>
      <c r="H135" t="e">
        <f>AND(#REF!,"AAAAAHt8HQc=")</f>
        <v>#REF!</v>
      </c>
      <c r="I135" t="e">
        <f>AND(#REF!,"AAAAAHt8HQg=")</f>
        <v>#REF!</v>
      </c>
      <c r="J135" t="e">
        <f>AND(#REF!,"AAAAAHt8HQk=")</f>
        <v>#REF!</v>
      </c>
      <c r="K135" t="e">
        <f>AND(#REF!,"AAAAAHt8HQo=")</f>
        <v>#REF!</v>
      </c>
      <c r="L135" t="e">
        <f>AND(#REF!,"AAAAAHt8HQs=")</f>
        <v>#REF!</v>
      </c>
      <c r="M135" t="e">
        <f>AND(#REF!,"AAAAAHt8HQw=")</f>
        <v>#REF!</v>
      </c>
      <c r="N135" t="e">
        <f>AND(#REF!,"AAAAAHt8HQ0=")</f>
        <v>#REF!</v>
      </c>
      <c r="O135" t="e">
        <f>AND(#REF!,"AAAAAHt8HQ4=")</f>
        <v>#REF!</v>
      </c>
      <c r="P135" t="e">
        <f>AND(#REF!,"AAAAAHt8HQ8=")</f>
        <v>#REF!</v>
      </c>
      <c r="Q135" t="e">
        <f>AND(#REF!,"AAAAAHt8HRA=")</f>
        <v>#REF!</v>
      </c>
      <c r="R135" t="e">
        <f>AND(#REF!,"AAAAAHt8HRE=")</f>
        <v>#REF!</v>
      </c>
      <c r="S135" t="e">
        <f>AND(#REF!,"AAAAAHt8HRI=")</f>
        <v>#REF!</v>
      </c>
      <c r="T135" t="e">
        <f>AND(#REF!,"AAAAAHt8HRM=")</f>
        <v>#REF!</v>
      </c>
      <c r="U135" t="e">
        <f>AND(#REF!,"AAAAAHt8HRQ=")</f>
        <v>#REF!</v>
      </c>
      <c r="V135" t="e">
        <f>AND(#REF!,"AAAAAHt8HRU=")</f>
        <v>#REF!</v>
      </c>
      <c r="W135" t="e">
        <f>AND(#REF!,"AAAAAHt8HRY=")</f>
        <v>#REF!</v>
      </c>
      <c r="X135" t="e">
        <f>AND(#REF!,"AAAAAHt8HRc=")</f>
        <v>#REF!</v>
      </c>
      <c r="Y135" t="e">
        <f>AND(#REF!,"AAAAAHt8HRg=")</f>
        <v>#REF!</v>
      </c>
      <c r="Z135" t="e">
        <f>AND(#REF!,"AAAAAHt8HRk=")</f>
        <v>#REF!</v>
      </c>
      <c r="AA135" t="e">
        <f>AND(#REF!,"AAAAAHt8HRo=")</f>
        <v>#REF!</v>
      </c>
      <c r="AB135" t="e">
        <f>AND(#REF!,"AAAAAHt8HRs=")</f>
        <v>#REF!</v>
      </c>
      <c r="AC135" t="e">
        <f>AND(#REF!,"AAAAAHt8HRw=")</f>
        <v>#REF!</v>
      </c>
      <c r="AD135" t="e">
        <f>AND(#REF!,"AAAAAHt8HR0=")</f>
        <v>#REF!</v>
      </c>
      <c r="AE135" t="e">
        <f>AND(#REF!,"AAAAAHt8HR4=")</f>
        <v>#REF!</v>
      </c>
      <c r="AF135" t="e">
        <f>IF(#REF!,"AAAAAHt8HR8=",0)</f>
        <v>#REF!</v>
      </c>
      <c r="AG135" t="e">
        <f>AND(#REF!,"AAAAAHt8HSA=")</f>
        <v>#REF!</v>
      </c>
      <c r="AH135" t="e">
        <f>AND(#REF!,"AAAAAHt8HSE=")</f>
        <v>#REF!</v>
      </c>
      <c r="AI135" t="e">
        <f>AND(#REF!,"AAAAAHt8HSI=")</f>
        <v>#REF!</v>
      </c>
      <c r="AJ135" t="e">
        <f>AND(#REF!,"AAAAAHt8HSM=")</f>
        <v>#REF!</v>
      </c>
      <c r="AK135" t="e">
        <f>AND(#REF!,"AAAAAHt8HSQ=")</f>
        <v>#REF!</v>
      </c>
      <c r="AL135" t="e">
        <f>AND(#REF!,"AAAAAHt8HSU=")</f>
        <v>#REF!</v>
      </c>
      <c r="AM135" t="e">
        <f>AND(#REF!,"AAAAAHt8HSY=")</f>
        <v>#REF!</v>
      </c>
      <c r="AN135" t="e">
        <f>AND(#REF!,"AAAAAHt8HSc=")</f>
        <v>#REF!</v>
      </c>
      <c r="AO135" t="e">
        <f>AND(#REF!,"AAAAAHt8HSg=")</f>
        <v>#REF!</v>
      </c>
      <c r="AP135" t="e">
        <f>AND(#REF!,"AAAAAHt8HSk=")</f>
        <v>#REF!</v>
      </c>
      <c r="AQ135" t="e">
        <f>AND(#REF!,"AAAAAHt8HSo=")</f>
        <v>#REF!</v>
      </c>
      <c r="AR135" t="e">
        <f>AND(#REF!,"AAAAAHt8HSs=")</f>
        <v>#REF!</v>
      </c>
      <c r="AS135" t="e">
        <f>AND(#REF!,"AAAAAHt8HSw=")</f>
        <v>#REF!</v>
      </c>
      <c r="AT135" t="e">
        <f>AND(#REF!,"AAAAAHt8HS0=")</f>
        <v>#REF!</v>
      </c>
      <c r="AU135" t="e">
        <f>AND(#REF!,"AAAAAHt8HS4=")</f>
        <v>#REF!</v>
      </c>
      <c r="AV135" t="e">
        <f>AND(#REF!,"AAAAAHt8HS8=")</f>
        <v>#REF!</v>
      </c>
      <c r="AW135" t="e">
        <f>AND(#REF!,"AAAAAHt8HTA=")</f>
        <v>#REF!</v>
      </c>
      <c r="AX135" t="e">
        <f>AND(#REF!,"AAAAAHt8HTE=")</f>
        <v>#REF!</v>
      </c>
      <c r="AY135" t="e">
        <f>AND(#REF!,"AAAAAHt8HTI=")</f>
        <v>#REF!</v>
      </c>
      <c r="AZ135" t="e">
        <f>AND(#REF!,"AAAAAHt8HTM=")</f>
        <v>#REF!</v>
      </c>
      <c r="BA135" t="e">
        <f>AND(#REF!,"AAAAAHt8HTQ=")</f>
        <v>#REF!</v>
      </c>
      <c r="BB135" t="e">
        <f>AND(#REF!,"AAAAAHt8HTU=")</f>
        <v>#REF!</v>
      </c>
      <c r="BC135" t="e">
        <f>AND(#REF!,"AAAAAHt8HTY=")</f>
        <v>#REF!</v>
      </c>
      <c r="BD135" t="e">
        <f>AND(#REF!,"AAAAAHt8HTc=")</f>
        <v>#REF!</v>
      </c>
      <c r="BE135" t="e">
        <f>IF(#REF!,"AAAAAHt8HTg=",0)</f>
        <v>#REF!</v>
      </c>
      <c r="BF135" t="e">
        <f>AND(#REF!,"AAAAAHt8HTk=")</f>
        <v>#REF!</v>
      </c>
      <c r="BG135" t="e">
        <f>AND(#REF!,"AAAAAHt8HTo=")</f>
        <v>#REF!</v>
      </c>
      <c r="BH135" t="e">
        <f>AND(#REF!,"AAAAAHt8HTs=")</f>
        <v>#REF!</v>
      </c>
      <c r="BI135" t="e">
        <f>AND(#REF!,"AAAAAHt8HTw=")</f>
        <v>#REF!</v>
      </c>
      <c r="BJ135" t="e">
        <f>AND(#REF!,"AAAAAHt8HT0=")</f>
        <v>#REF!</v>
      </c>
      <c r="BK135" t="e">
        <f>AND(#REF!,"AAAAAHt8HT4=")</f>
        <v>#REF!</v>
      </c>
      <c r="BL135" t="e">
        <f>AND(#REF!,"AAAAAHt8HT8=")</f>
        <v>#REF!</v>
      </c>
      <c r="BM135" t="e">
        <f>AND(#REF!,"AAAAAHt8HUA=")</f>
        <v>#REF!</v>
      </c>
      <c r="BN135" t="e">
        <f>AND(#REF!,"AAAAAHt8HUE=")</f>
        <v>#REF!</v>
      </c>
      <c r="BO135" t="e">
        <f>AND(#REF!,"AAAAAHt8HUI=")</f>
        <v>#REF!</v>
      </c>
      <c r="BP135" t="e">
        <f>AND(#REF!,"AAAAAHt8HUM=")</f>
        <v>#REF!</v>
      </c>
      <c r="BQ135" t="e">
        <f>AND(#REF!,"AAAAAHt8HUQ=")</f>
        <v>#REF!</v>
      </c>
      <c r="BR135" t="e">
        <f>AND(#REF!,"AAAAAHt8HUU=")</f>
        <v>#REF!</v>
      </c>
      <c r="BS135" t="e">
        <f>AND(#REF!,"AAAAAHt8HUY=")</f>
        <v>#REF!</v>
      </c>
      <c r="BT135" t="e">
        <f>AND(#REF!,"AAAAAHt8HUc=")</f>
        <v>#REF!</v>
      </c>
      <c r="BU135" t="e">
        <f>AND(#REF!,"AAAAAHt8HUg=")</f>
        <v>#REF!</v>
      </c>
      <c r="BV135" t="e">
        <f>AND(#REF!,"AAAAAHt8HUk=")</f>
        <v>#REF!</v>
      </c>
      <c r="BW135" t="e">
        <f>AND(#REF!,"AAAAAHt8HUo=")</f>
        <v>#REF!</v>
      </c>
      <c r="BX135" t="e">
        <f>AND(#REF!,"AAAAAHt8HUs=")</f>
        <v>#REF!</v>
      </c>
      <c r="BY135" t="e">
        <f>AND(#REF!,"AAAAAHt8HUw=")</f>
        <v>#REF!</v>
      </c>
      <c r="BZ135" t="e">
        <f>AND(#REF!,"AAAAAHt8HU0=")</f>
        <v>#REF!</v>
      </c>
      <c r="CA135" t="e">
        <f>AND(#REF!,"AAAAAHt8HU4=")</f>
        <v>#REF!</v>
      </c>
      <c r="CB135" t="e">
        <f>AND(#REF!,"AAAAAHt8HU8=")</f>
        <v>#REF!</v>
      </c>
      <c r="CC135" t="e">
        <f>AND(#REF!,"AAAAAHt8HVA=")</f>
        <v>#REF!</v>
      </c>
      <c r="CD135" t="e">
        <f>IF(#REF!,"AAAAAHt8HVE=",0)</f>
        <v>#REF!</v>
      </c>
      <c r="CE135" t="e">
        <f>AND(#REF!,"AAAAAHt8HVI=")</f>
        <v>#REF!</v>
      </c>
      <c r="CF135" t="e">
        <f>AND(#REF!,"AAAAAHt8HVM=")</f>
        <v>#REF!</v>
      </c>
      <c r="CG135" t="e">
        <f>AND(#REF!,"AAAAAHt8HVQ=")</f>
        <v>#REF!</v>
      </c>
      <c r="CH135" t="e">
        <f>AND(#REF!,"AAAAAHt8HVU=")</f>
        <v>#REF!</v>
      </c>
      <c r="CI135" t="e">
        <f>AND(#REF!,"AAAAAHt8HVY=")</f>
        <v>#REF!</v>
      </c>
      <c r="CJ135" t="e">
        <f>AND(#REF!,"AAAAAHt8HVc=")</f>
        <v>#REF!</v>
      </c>
      <c r="CK135" t="e">
        <f>AND(#REF!,"AAAAAHt8HVg=")</f>
        <v>#REF!</v>
      </c>
      <c r="CL135" t="e">
        <f>AND(#REF!,"AAAAAHt8HVk=")</f>
        <v>#REF!</v>
      </c>
      <c r="CM135" t="e">
        <f>AND(#REF!,"AAAAAHt8HVo=")</f>
        <v>#REF!</v>
      </c>
      <c r="CN135" t="e">
        <f>AND(#REF!,"AAAAAHt8HVs=")</f>
        <v>#REF!</v>
      </c>
      <c r="CO135" t="e">
        <f>AND(#REF!,"AAAAAHt8HVw=")</f>
        <v>#REF!</v>
      </c>
      <c r="CP135" t="e">
        <f>AND(#REF!,"AAAAAHt8HV0=")</f>
        <v>#REF!</v>
      </c>
      <c r="CQ135" t="e">
        <f>AND(#REF!,"AAAAAHt8HV4=")</f>
        <v>#REF!</v>
      </c>
      <c r="CR135" t="e">
        <f>AND(#REF!,"AAAAAHt8HV8=")</f>
        <v>#REF!</v>
      </c>
      <c r="CS135" t="e">
        <f>AND(#REF!,"AAAAAHt8HWA=")</f>
        <v>#REF!</v>
      </c>
      <c r="CT135" t="e">
        <f>AND(#REF!,"AAAAAHt8HWE=")</f>
        <v>#REF!</v>
      </c>
      <c r="CU135" t="e">
        <f>AND(#REF!,"AAAAAHt8HWI=")</f>
        <v>#REF!</v>
      </c>
      <c r="CV135" t="e">
        <f>AND(#REF!,"AAAAAHt8HWM=")</f>
        <v>#REF!</v>
      </c>
      <c r="CW135" t="e">
        <f>AND(#REF!,"AAAAAHt8HWQ=")</f>
        <v>#REF!</v>
      </c>
      <c r="CX135" t="e">
        <f>AND(#REF!,"AAAAAHt8HWU=")</f>
        <v>#REF!</v>
      </c>
      <c r="CY135" t="e">
        <f>AND(#REF!,"AAAAAHt8HWY=")</f>
        <v>#REF!</v>
      </c>
      <c r="CZ135" t="e">
        <f>AND(#REF!,"AAAAAHt8HWc=")</f>
        <v>#REF!</v>
      </c>
      <c r="DA135" t="e">
        <f>AND(#REF!,"AAAAAHt8HWg=")</f>
        <v>#REF!</v>
      </c>
      <c r="DB135" t="e">
        <f>AND(#REF!,"AAAAAHt8HWk=")</f>
        <v>#REF!</v>
      </c>
      <c r="DC135" t="e">
        <f>IF(#REF!,"AAAAAHt8HWo=",0)</f>
        <v>#REF!</v>
      </c>
      <c r="DD135" t="e">
        <f>AND(#REF!,"AAAAAHt8HWs=")</f>
        <v>#REF!</v>
      </c>
      <c r="DE135" t="e">
        <f>AND(#REF!,"AAAAAHt8HWw=")</f>
        <v>#REF!</v>
      </c>
      <c r="DF135" t="e">
        <f>AND(#REF!,"AAAAAHt8HW0=")</f>
        <v>#REF!</v>
      </c>
      <c r="DG135" t="e">
        <f>AND(#REF!,"AAAAAHt8HW4=")</f>
        <v>#REF!</v>
      </c>
      <c r="DH135" t="e">
        <f>AND(#REF!,"AAAAAHt8HW8=")</f>
        <v>#REF!</v>
      </c>
      <c r="DI135" t="e">
        <f>AND(#REF!,"AAAAAHt8HXA=")</f>
        <v>#REF!</v>
      </c>
      <c r="DJ135" t="e">
        <f>AND(#REF!,"AAAAAHt8HXE=")</f>
        <v>#REF!</v>
      </c>
      <c r="DK135" t="e">
        <f>AND(#REF!,"AAAAAHt8HXI=")</f>
        <v>#REF!</v>
      </c>
      <c r="DL135" t="e">
        <f>AND(#REF!,"AAAAAHt8HXM=")</f>
        <v>#REF!</v>
      </c>
      <c r="DM135" t="e">
        <f>AND(#REF!,"AAAAAHt8HXQ=")</f>
        <v>#REF!</v>
      </c>
      <c r="DN135" t="e">
        <f>AND(#REF!,"AAAAAHt8HXU=")</f>
        <v>#REF!</v>
      </c>
      <c r="DO135" t="e">
        <f>AND(#REF!,"AAAAAHt8HXY=")</f>
        <v>#REF!</v>
      </c>
      <c r="DP135" t="e">
        <f>AND(#REF!,"AAAAAHt8HXc=")</f>
        <v>#REF!</v>
      </c>
      <c r="DQ135" t="e">
        <f>AND(#REF!,"AAAAAHt8HXg=")</f>
        <v>#REF!</v>
      </c>
      <c r="DR135" t="e">
        <f>AND(#REF!,"AAAAAHt8HXk=")</f>
        <v>#REF!</v>
      </c>
      <c r="DS135" t="e">
        <f>AND(#REF!,"AAAAAHt8HXo=")</f>
        <v>#REF!</v>
      </c>
      <c r="DT135" t="e">
        <f>AND(#REF!,"AAAAAHt8HXs=")</f>
        <v>#REF!</v>
      </c>
      <c r="DU135" t="e">
        <f>AND(#REF!,"AAAAAHt8HXw=")</f>
        <v>#REF!</v>
      </c>
      <c r="DV135" t="e">
        <f>AND(#REF!,"AAAAAHt8HX0=")</f>
        <v>#REF!</v>
      </c>
      <c r="DW135" t="e">
        <f>AND(#REF!,"AAAAAHt8HX4=")</f>
        <v>#REF!</v>
      </c>
      <c r="DX135" t="e">
        <f>AND(#REF!,"AAAAAHt8HX8=")</f>
        <v>#REF!</v>
      </c>
      <c r="DY135" t="e">
        <f>AND(#REF!,"AAAAAHt8HYA=")</f>
        <v>#REF!</v>
      </c>
      <c r="DZ135" t="e">
        <f>AND(#REF!,"AAAAAHt8HYE=")</f>
        <v>#REF!</v>
      </c>
      <c r="EA135" t="e">
        <f>AND(#REF!,"AAAAAHt8HYI=")</f>
        <v>#REF!</v>
      </c>
      <c r="EB135" t="e">
        <f>IF(#REF!,"AAAAAHt8HYM=",0)</f>
        <v>#REF!</v>
      </c>
      <c r="EC135" t="e">
        <f>AND(#REF!,"AAAAAHt8HYQ=")</f>
        <v>#REF!</v>
      </c>
      <c r="ED135" t="e">
        <f>AND(#REF!,"AAAAAHt8HYU=")</f>
        <v>#REF!</v>
      </c>
      <c r="EE135" t="e">
        <f>AND(#REF!,"AAAAAHt8HYY=")</f>
        <v>#REF!</v>
      </c>
      <c r="EF135" t="e">
        <f>AND(#REF!,"AAAAAHt8HYc=")</f>
        <v>#REF!</v>
      </c>
      <c r="EG135" t="e">
        <f>AND(#REF!,"AAAAAHt8HYg=")</f>
        <v>#REF!</v>
      </c>
      <c r="EH135" t="e">
        <f>AND(#REF!,"AAAAAHt8HYk=")</f>
        <v>#REF!</v>
      </c>
      <c r="EI135" t="e">
        <f>AND(#REF!,"AAAAAHt8HYo=")</f>
        <v>#REF!</v>
      </c>
      <c r="EJ135" t="e">
        <f>AND(#REF!,"AAAAAHt8HYs=")</f>
        <v>#REF!</v>
      </c>
      <c r="EK135" t="e">
        <f>AND(#REF!,"AAAAAHt8HYw=")</f>
        <v>#REF!</v>
      </c>
      <c r="EL135" t="e">
        <f>AND(#REF!,"AAAAAHt8HY0=")</f>
        <v>#REF!</v>
      </c>
      <c r="EM135" t="e">
        <f>AND(#REF!,"AAAAAHt8HY4=")</f>
        <v>#REF!</v>
      </c>
      <c r="EN135" t="e">
        <f>AND(#REF!,"AAAAAHt8HY8=")</f>
        <v>#REF!</v>
      </c>
      <c r="EO135" t="e">
        <f>AND(#REF!,"AAAAAHt8HZA=")</f>
        <v>#REF!</v>
      </c>
      <c r="EP135" t="e">
        <f>AND(#REF!,"AAAAAHt8HZE=")</f>
        <v>#REF!</v>
      </c>
      <c r="EQ135" t="e">
        <f>AND(#REF!,"AAAAAHt8HZI=")</f>
        <v>#REF!</v>
      </c>
      <c r="ER135" t="e">
        <f>AND(#REF!,"AAAAAHt8HZM=")</f>
        <v>#REF!</v>
      </c>
      <c r="ES135" t="e">
        <f>AND(#REF!,"AAAAAHt8HZQ=")</f>
        <v>#REF!</v>
      </c>
      <c r="ET135" t="e">
        <f>AND(#REF!,"AAAAAHt8HZU=")</f>
        <v>#REF!</v>
      </c>
      <c r="EU135" t="e">
        <f>AND(#REF!,"AAAAAHt8HZY=")</f>
        <v>#REF!</v>
      </c>
      <c r="EV135" t="e">
        <f>AND(#REF!,"AAAAAHt8HZc=")</f>
        <v>#REF!</v>
      </c>
      <c r="EW135" t="e">
        <f>AND(#REF!,"AAAAAHt8HZg=")</f>
        <v>#REF!</v>
      </c>
      <c r="EX135" t="e">
        <f>AND(#REF!,"AAAAAHt8HZk=")</f>
        <v>#REF!</v>
      </c>
      <c r="EY135" t="e">
        <f>AND(#REF!,"AAAAAHt8HZo=")</f>
        <v>#REF!</v>
      </c>
      <c r="EZ135" t="e">
        <f>AND(#REF!,"AAAAAHt8HZs=")</f>
        <v>#REF!</v>
      </c>
      <c r="FA135" t="e">
        <f>IF(#REF!,"AAAAAHt8HZw=",0)</f>
        <v>#REF!</v>
      </c>
      <c r="FB135" t="e">
        <f>AND(#REF!,"AAAAAHt8HZ0=")</f>
        <v>#REF!</v>
      </c>
      <c r="FC135" t="e">
        <f>AND(#REF!,"AAAAAHt8HZ4=")</f>
        <v>#REF!</v>
      </c>
      <c r="FD135" t="e">
        <f>AND(#REF!,"AAAAAHt8HZ8=")</f>
        <v>#REF!</v>
      </c>
      <c r="FE135" t="e">
        <f>AND(#REF!,"AAAAAHt8HaA=")</f>
        <v>#REF!</v>
      </c>
      <c r="FF135" t="e">
        <f>AND(#REF!,"AAAAAHt8HaE=")</f>
        <v>#REF!</v>
      </c>
      <c r="FG135" t="e">
        <f>AND(#REF!,"AAAAAHt8HaI=")</f>
        <v>#REF!</v>
      </c>
      <c r="FH135" t="e">
        <f>AND(#REF!,"AAAAAHt8HaM=")</f>
        <v>#REF!</v>
      </c>
      <c r="FI135" t="e">
        <f>AND(#REF!,"AAAAAHt8HaQ=")</f>
        <v>#REF!</v>
      </c>
      <c r="FJ135" t="e">
        <f>AND(#REF!,"AAAAAHt8HaU=")</f>
        <v>#REF!</v>
      </c>
      <c r="FK135" t="e">
        <f>AND(#REF!,"AAAAAHt8HaY=")</f>
        <v>#REF!</v>
      </c>
      <c r="FL135" t="e">
        <f>AND(#REF!,"AAAAAHt8Hac=")</f>
        <v>#REF!</v>
      </c>
      <c r="FM135" t="e">
        <f>AND(#REF!,"AAAAAHt8Hag=")</f>
        <v>#REF!</v>
      </c>
      <c r="FN135" t="e">
        <f>AND(#REF!,"AAAAAHt8Hak=")</f>
        <v>#REF!</v>
      </c>
      <c r="FO135" t="e">
        <f>AND(#REF!,"AAAAAHt8Hao=")</f>
        <v>#REF!</v>
      </c>
      <c r="FP135" t="e">
        <f>AND(#REF!,"AAAAAHt8Has=")</f>
        <v>#REF!</v>
      </c>
      <c r="FQ135" t="e">
        <f>AND(#REF!,"AAAAAHt8Haw=")</f>
        <v>#REF!</v>
      </c>
      <c r="FR135" t="e">
        <f>AND(#REF!,"AAAAAHt8Ha0=")</f>
        <v>#REF!</v>
      </c>
      <c r="FS135" t="e">
        <f>AND(#REF!,"AAAAAHt8Ha4=")</f>
        <v>#REF!</v>
      </c>
      <c r="FT135" t="e">
        <f>AND(#REF!,"AAAAAHt8Ha8=")</f>
        <v>#REF!</v>
      </c>
      <c r="FU135" t="e">
        <f>AND(#REF!,"AAAAAHt8HbA=")</f>
        <v>#REF!</v>
      </c>
      <c r="FV135" t="e">
        <f>AND(#REF!,"AAAAAHt8HbE=")</f>
        <v>#REF!</v>
      </c>
      <c r="FW135" t="e">
        <f>AND(#REF!,"AAAAAHt8HbI=")</f>
        <v>#REF!</v>
      </c>
      <c r="FX135" t="e">
        <f>AND(#REF!,"AAAAAHt8HbM=")</f>
        <v>#REF!</v>
      </c>
      <c r="FY135" t="e">
        <f>AND(#REF!,"AAAAAHt8HbQ=")</f>
        <v>#REF!</v>
      </c>
      <c r="FZ135" t="e">
        <f>IF(#REF!,"AAAAAHt8HbU=",0)</f>
        <v>#REF!</v>
      </c>
      <c r="GA135" t="e">
        <f>AND(#REF!,"AAAAAHt8HbY=")</f>
        <v>#REF!</v>
      </c>
      <c r="GB135" t="e">
        <f>AND(#REF!,"AAAAAHt8Hbc=")</f>
        <v>#REF!</v>
      </c>
      <c r="GC135" t="e">
        <f>AND(#REF!,"AAAAAHt8Hbg=")</f>
        <v>#REF!</v>
      </c>
      <c r="GD135" t="e">
        <f>AND(#REF!,"AAAAAHt8Hbk=")</f>
        <v>#REF!</v>
      </c>
      <c r="GE135" t="e">
        <f>AND(#REF!,"AAAAAHt8Hbo=")</f>
        <v>#REF!</v>
      </c>
      <c r="GF135" t="e">
        <f>AND(#REF!,"AAAAAHt8Hbs=")</f>
        <v>#REF!</v>
      </c>
      <c r="GG135" t="e">
        <f>AND(#REF!,"AAAAAHt8Hbw=")</f>
        <v>#REF!</v>
      </c>
      <c r="GH135" t="e">
        <f>AND(#REF!,"AAAAAHt8Hb0=")</f>
        <v>#REF!</v>
      </c>
      <c r="GI135" t="e">
        <f>AND(#REF!,"AAAAAHt8Hb4=")</f>
        <v>#REF!</v>
      </c>
      <c r="GJ135" t="e">
        <f>AND(#REF!,"AAAAAHt8Hb8=")</f>
        <v>#REF!</v>
      </c>
      <c r="GK135" t="e">
        <f>AND(#REF!,"AAAAAHt8HcA=")</f>
        <v>#REF!</v>
      </c>
      <c r="GL135" t="e">
        <f>AND(#REF!,"AAAAAHt8HcE=")</f>
        <v>#REF!</v>
      </c>
      <c r="GM135" t="e">
        <f>AND(#REF!,"AAAAAHt8HcI=")</f>
        <v>#REF!</v>
      </c>
      <c r="GN135" t="e">
        <f>AND(#REF!,"AAAAAHt8HcM=")</f>
        <v>#REF!</v>
      </c>
      <c r="GO135" t="e">
        <f>AND(#REF!,"AAAAAHt8HcQ=")</f>
        <v>#REF!</v>
      </c>
      <c r="GP135" t="e">
        <f>AND(#REF!,"AAAAAHt8HcU=")</f>
        <v>#REF!</v>
      </c>
      <c r="GQ135" t="e">
        <f>AND(#REF!,"AAAAAHt8HcY=")</f>
        <v>#REF!</v>
      </c>
      <c r="GR135" t="e">
        <f>AND(#REF!,"AAAAAHt8Hcc=")</f>
        <v>#REF!</v>
      </c>
      <c r="GS135" t="e">
        <f>AND(#REF!,"AAAAAHt8Hcg=")</f>
        <v>#REF!</v>
      </c>
      <c r="GT135" t="e">
        <f>AND(#REF!,"AAAAAHt8Hck=")</f>
        <v>#REF!</v>
      </c>
      <c r="GU135" t="e">
        <f>AND(#REF!,"AAAAAHt8Hco=")</f>
        <v>#REF!</v>
      </c>
      <c r="GV135" t="e">
        <f>AND(#REF!,"AAAAAHt8Hcs=")</f>
        <v>#REF!</v>
      </c>
      <c r="GW135" t="e">
        <f>AND(#REF!,"AAAAAHt8Hcw=")</f>
        <v>#REF!</v>
      </c>
      <c r="GX135" t="e">
        <f>AND(#REF!,"AAAAAHt8Hc0=")</f>
        <v>#REF!</v>
      </c>
      <c r="GY135" t="e">
        <f>IF(#REF!,"AAAAAHt8Hc4=",0)</f>
        <v>#REF!</v>
      </c>
      <c r="GZ135" t="e">
        <f>AND(#REF!,"AAAAAHt8Hc8=")</f>
        <v>#REF!</v>
      </c>
      <c r="HA135" t="e">
        <f>AND(#REF!,"AAAAAHt8HdA=")</f>
        <v>#REF!</v>
      </c>
      <c r="HB135" t="e">
        <f>AND(#REF!,"AAAAAHt8HdE=")</f>
        <v>#REF!</v>
      </c>
      <c r="HC135" t="e">
        <f>AND(#REF!,"AAAAAHt8HdI=")</f>
        <v>#REF!</v>
      </c>
      <c r="HD135" t="e">
        <f>AND(#REF!,"AAAAAHt8HdM=")</f>
        <v>#REF!</v>
      </c>
      <c r="HE135" t="e">
        <f>AND(#REF!,"AAAAAHt8HdQ=")</f>
        <v>#REF!</v>
      </c>
      <c r="HF135" t="e">
        <f>AND(#REF!,"AAAAAHt8HdU=")</f>
        <v>#REF!</v>
      </c>
      <c r="HG135" t="e">
        <f>AND(#REF!,"AAAAAHt8HdY=")</f>
        <v>#REF!</v>
      </c>
      <c r="HH135" t="e">
        <f>AND(#REF!,"AAAAAHt8Hdc=")</f>
        <v>#REF!</v>
      </c>
      <c r="HI135" t="e">
        <f>AND(#REF!,"AAAAAHt8Hdg=")</f>
        <v>#REF!</v>
      </c>
      <c r="HJ135" t="e">
        <f>AND(#REF!,"AAAAAHt8Hdk=")</f>
        <v>#REF!</v>
      </c>
      <c r="HK135" t="e">
        <f>AND(#REF!,"AAAAAHt8Hdo=")</f>
        <v>#REF!</v>
      </c>
      <c r="HL135" t="e">
        <f>AND(#REF!,"AAAAAHt8Hds=")</f>
        <v>#REF!</v>
      </c>
      <c r="HM135" t="e">
        <f>AND(#REF!,"AAAAAHt8Hdw=")</f>
        <v>#REF!</v>
      </c>
      <c r="HN135" t="e">
        <f>AND(#REF!,"AAAAAHt8Hd0=")</f>
        <v>#REF!</v>
      </c>
      <c r="HO135" t="e">
        <f>AND(#REF!,"AAAAAHt8Hd4=")</f>
        <v>#REF!</v>
      </c>
      <c r="HP135" t="e">
        <f>AND(#REF!,"AAAAAHt8Hd8=")</f>
        <v>#REF!</v>
      </c>
      <c r="HQ135" t="e">
        <f>AND(#REF!,"AAAAAHt8HeA=")</f>
        <v>#REF!</v>
      </c>
      <c r="HR135" t="e">
        <f>AND(#REF!,"AAAAAHt8HeE=")</f>
        <v>#REF!</v>
      </c>
      <c r="HS135" t="e">
        <f>AND(#REF!,"AAAAAHt8HeI=")</f>
        <v>#REF!</v>
      </c>
      <c r="HT135" t="e">
        <f>AND(#REF!,"AAAAAHt8HeM=")</f>
        <v>#REF!</v>
      </c>
      <c r="HU135" t="e">
        <f>AND(#REF!,"AAAAAHt8HeQ=")</f>
        <v>#REF!</v>
      </c>
      <c r="HV135" t="e">
        <f>AND(#REF!,"AAAAAHt8HeU=")</f>
        <v>#REF!</v>
      </c>
      <c r="HW135" t="e">
        <f>AND(#REF!,"AAAAAHt8HeY=")</f>
        <v>#REF!</v>
      </c>
      <c r="HX135" t="e">
        <f>IF(#REF!,"AAAAAHt8Hec=",0)</f>
        <v>#REF!</v>
      </c>
      <c r="HY135" t="e">
        <f>AND(#REF!,"AAAAAHt8Heg=")</f>
        <v>#REF!</v>
      </c>
      <c r="HZ135" t="e">
        <f>AND(#REF!,"AAAAAHt8Hek=")</f>
        <v>#REF!</v>
      </c>
      <c r="IA135" t="e">
        <f>AND(#REF!,"AAAAAHt8Heo=")</f>
        <v>#REF!</v>
      </c>
      <c r="IB135" t="e">
        <f>AND(#REF!,"AAAAAHt8Hes=")</f>
        <v>#REF!</v>
      </c>
      <c r="IC135" t="e">
        <f>AND(#REF!,"AAAAAHt8Hew=")</f>
        <v>#REF!</v>
      </c>
      <c r="ID135" t="e">
        <f>AND(#REF!,"AAAAAHt8He0=")</f>
        <v>#REF!</v>
      </c>
      <c r="IE135" t="e">
        <f>AND(#REF!,"AAAAAHt8He4=")</f>
        <v>#REF!</v>
      </c>
      <c r="IF135" t="e">
        <f>AND(#REF!,"AAAAAHt8He8=")</f>
        <v>#REF!</v>
      </c>
      <c r="IG135" t="e">
        <f>AND(#REF!,"AAAAAHt8HfA=")</f>
        <v>#REF!</v>
      </c>
      <c r="IH135" t="e">
        <f>AND(#REF!,"AAAAAHt8HfE=")</f>
        <v>#REF!</v>
      </c>
      <c r="II135" t="e">
        <f>AND(#REF!,"AAAAAHt8HfI=")</f>
        <v>#REF!</v>
      </c>
      <c r="IJ135" t="e">
        <f>AND(#REF!,"AAAAAHt8HfM=")</f>
        <v>#REF!</v>
      </c>
      <c r="IK135" t="e">
        <f>AND(#REF!,"AAAAAHt8HfQ=")</f>
        <v>#REF!</v>
      </c>
      <c r="IL135" t="e">
        <f>AND(#REF!,"AAAAAHt8HfU=")</f>
        <v>#REF!</v>
      </c>
      <c r="IM135" t="e">
        <f>AND(#REF!,"AAAAAHt8HfY=")</f>
        <v>#REF!</v>
      </c>
      <c r="IN135" t="e">
        <f>AND(#REF!,"AAAAAHt8Hfc=")</f>
        <v>#REF!</v>
      </c>
      <c r="IO135" t="e">
        <f>AND(#REF!,"AAAAAHt8Hfg=")</f>
        <v>#REF!</v>
      </c>
      <c r="IP135" t="e">
        <f>AND(#REF!,"AAAAAHt8Hfk=")</f>
        <v>#REF!</v>
      </c>
      <c r="IQ135" t="e">
        <f>AND(#REF!,"AAAAAHt8Hfo=")</f>
        <v>#REF!</v>
      </c>
      <c r="IR135" t="e">
        <f>AND(#REF!,"AAAAAHt8Hfs=")</f>
        <v>#REF!</v>
      </c>
      <c r="IS135" t="e">
        <f>AND(#REF!,"AAAAAHt8Hfw=")</f>
        <v>#REF!</v>
      </c>
      <c r="IT135" t="e">
        <f>AND(#REF!,"AAAAAHt8Hf0=")</f>
        <v>#REF!</v>
      </c>
      <c r="IU135" t="e">
        <f>AND(#REF!,"AAAAAHt8Hf4=")</f>
        <v>#REF!</v>
      </c>
      <c r="IV135" t="e">
        <f>AND(#REF!,"AAAAAHt8Hf8=")</f>
        <v>#REF!</v>
      </c>
    </row>
    <row r="136" spans="1:256">
      <c r="A136" t="e">
        <f>IF(#REF!,"AAAAAH9pPwA=",0)</f>
        <v>#REF!</v>
      </c>
      <c r="B136" t="e">
        <f>AND(#REF!,"AAAAAH9pPwE=")</f>
        <v>#REF!</v>
      </c>
      <c r="C136" t="e">
        <f>AND(#REF!,"AAAAAH9pPwI=")</f>
        <v>#REF!</v>
      </c>
      <c r="D136" t="e">
        <f>AND(#REF!,"AAAAAH9pPwM=")</f>
        <v>#REF!</v>
      </c>
      <c r="E136" t="e">
        <f>AND(#REF!,"AAAAAH9pPwQ=")</f>
        <v>#REF!</v>
      </c>
      <c r="F136" t="e">
        <f>AND(#REF!,"AAAAAH9pPwU=")</f>
        <v>#REF!</v>
      </c>
      <c r="G136" t="e">
        <f>AND(#REF!,"AAAAAH9pPwY=")</f>
        <v>#REF!</v>
      </c>
      <c r="H136" t="e">
        <f>AND(#REF!,"AAAAAH9pPwc=")</f>
        <v>#REF!</v>
      </c>
      <c r="I136" t="e">
        <f>AND(#REF!,"AAAAAH9pPwg=")</f>
        <v>#REF!</v>
      </c>
      <c r="J136" t="e">
        <f>AND(#REF!,"AAAAAH9pPwk=")</f>
        <v>#REF!</v>
      </c>
      <c r="K136" t="e">
        <f>AND(#REF!,"AAAAAH9pPwo=")</f>
        <v>#REF!</v>
      </c>
      <c r="L136" t="e">
        <f>AND(#REF!,"AAAAAH9pPws=")</f>
        <v>#REF!</v>
      </c>
      <c r="M136" t="e">
        <f>AND(#REF!,"AAAAAH9pPww=")</f>
        <v>#REF!</v>
      </c>
      <c r="N136" t="e">
        <f>AND(#REF!,"AAAAAH9pPw0=")</f>
        <v>#REF!</v>
      </c>
      <c r="O136" t="e">
        <f>AND(#REF!,"AAAAAH9pPw4=")</f>
        <v>#REF!</v>
      </c>
      <c r="P136" t="e">
        <f>AND(#REF!,"AAAAAH9pPw8=")</f>
        <v>#REF!</v>
      </c>
      <c r="Q136" t="e">
        <f>AND(#REF!,"AAAAAH9pPxA=")</f>
        <v>#REF!</v>
      </c>
      <c r="R136" t="e">
        <f>AND(#REF!,"AAAAAH9pPxE=")</f>
        <v>#REF!</v>
      </c>
      <c r="S136" t="e">
        <f>AND(#REF!,"AAAAAH9pPxI=")</f>
        <v>#REF!</v>
      </c>
      <c r="T136" t="e">
        <f>AND(#REF!,"AAAAAH9pPxM=")</f>
        <v>#REF!</v>
      </c>
      <c r="U136" t="e">
        <f>AND(#REF!,"AAAAAH9pPxQ=")</f>
        <v>#REF!</v>
      </c>
      <c r="V136" t="e">
        <f>AND(#REF!,"AAAAAH9pPxU=")</f>
        <v>#REF!</v>
      </c>
      <c r="W136" t="e">
        <f>AND(#REF!,"AAAAAH9pPxY=")</f>
        <v>#REF!</v>
      </c>
      <c r="X136" t="e">
        <f>AND(#REF!,"AAAAAH9pPxc=")</f>
        <v>#REF!</v>
      </c>
      <c r="Y136" t="e">
        <f>AND(#REF!,"AAAAAH9pPxg=")</f>
        <v>#REF!</v>
      </c>
      <c r="Z136" t="e">
        <f>IF(#REF!,"AAAAAH9pPxk=",0)</f>
        <v>#REF!</v>
      </c>
      <c r="AA136" t="e">
        <f>AND(#REF!,"AAAAAH9pPxo=")</f>
        <v>#REF!</v>
      </c>
      <c r="AB136" t="e">
        <f>AND(#REF!,"AAAAAH9pPxs=")</f>
        <v>#REF!</v>
      </c>
      <c r="AC136" t="e">
        <f>AND(#REF!,"AAAAAH9pPxw=")</f>
        <v>#REF!</v>
      </c>
      <c r="AD136" t="e">
        <f>AND(#REF!,"AAAAAH9pPx0=")</f>
        <v>#REF!</v>
      </c>
      <c r="AE136" t="e">
        <f>AND(#REF!,"AAAAAH9pPx4=")</f>
        <v>#REF!</v>
      </c>
      <c r="AF136" t="e">
        <f>AND(#REF!,"AAAAAH9pPx8=")</f>
        <v>#REF!</v>
      </c>
      <c r="AG136" t="e">
        <f>AND(#REF!,"AAAAAH9pPyA=")</f>
        <v>#REF!</v>
      </c>
      <c r="AH136" t="e">
        <f>AND(#REF!,"AAAAAH9pPyE=")</f>
        <v>#REF!</v>
      </c>
      <c r="AI136" t="e">
        <f>AND(#REF!,"AAAAAH9pPyI=")</f>
        <v>#REF!</v>
      </c>
      <c r="AJ136" t="e">
        <f>AND(#REF!,"AAAAAH9pPyM=")</f>
        <v>#REF!</v>
      </c>
      <c r="AK136" t="e">
        <f>AND(#REF!,"AAAAAH9pPyQ=")</f>
        <v>#REF!</v>
      </c>
      <c r="AL136" t="e">
        <f>AND(#REF!,"AAAAAH9pPyU=")</f>
        <v>#REF!</v>
      </c>
      <c r="AM136" t="e">
        <f>AND(#REF!,"AAAAAH9pPyY=")</f>
        <v>#REF!</v>
      </c>
      <c r="AN136" t="e">
        <f>AND(#REF!,"AAAAAH9pPyc=")</f>
        <v>#REF!</v>
      </c>
      <c r="AO136" t="e">
        <f>AND(#REF!,"AAAAAH9pPyg=")</f>
        <v>#REF!</v>
      </c>
      <c r="AP136" t="e">
        <f>AND(#REF!,"AAAAAH9pPyk=")</f>
        <v>#REF!</v>
      </c>
      <c r="AQ136" t="e">
        <f>AND(#REF!,"AAAAAH9pPyo=")</f>
        <v>#REF!</v>
      </c>
      <c r="AR136" t="e">
        <f>AND(#REF!,"AAAAAH9pPys=")</f>
        <v>#REF!</v>
      </c>
      <c r="AS136" t="e">
        <f>AND(#REF!,"AAAAAH9pPyw=")</f>
        <v>#REF!</v>
      </c>
      <c r="AT136" t="e">
        <f>AND(#REF!,"AAAAAH9pPy0=")</f>
        <v>#REF!</v>
      </c>
      <c r="AU136" t="e">
        <f>AND(#REF!,"AAAAAH9pPy4=")</f>
        <v>#REF!</v>
      </c>
      <c r="AV136" t="e">
        <f>AND(#REF!,"AAAAAH9pPy8=")</f>
        <v>#REF!</v>
      </c>
      <c r="AW136" t="e">
        <f>AND(#REF!,"AAAAAH9pPzA=")</f>
        <v>#REF!</v>
      </c>
      <c r="AX136" t="e">
        <f>AND(#REF!,"AAAAAH9pPzE=")</f>
        <v>#REF!</v>
      </c>
      <c r="AY136" t="e">
        <f>IF(#REF!,"AAAAAH9pPzI=",0)</f>
        <v>#REF!</v>
      </c>
      <c r="AZ136" t="e">
        <f>AND(#REF!,"AAAAAH9pPzM=")</f>
        <v>#REF!</v>
      </c>
      <c r="BA136" t="e">
        <f>AND(#REF!,"AAAAAH9pPzQ=")</f>
        <v>#REF!</v>
      </c>
      <c r="BB136" t="e">
        <f>AND(#REF!,"AAAAAH9pPzU=")</f>
        <v>#REF!</v>
      </c>
      <c r="BC136" t="e">
        <f>AND(#REF!,"AAAAAH9pPzY=")</f>
        <v>#REF!</v>
      </c>
      <c r="BD136" t="e">
        <f>AND(#REF!,"AAAAAH9pPzc=")</f>
        <v>#REF!</v>
      </c>
      <c r="BE136" t="e">
        <f>AND(#REF!,"AAAAAH9pPzg=")</f>
        <v>#REF!</v>
      </c>
      <c r="BF136" t="e">
        <f>AND(#REF!,"AAAAAH9pPzk=")</f>
        <v>#REF!</v>
      </c>
      <c r="BG136" t="e">
        <f>AND(#REF!,"AAAAAH9pPzo=")</f>
        <v>#REF!</v>
      </c>
      <c r="BH136" t="e">
        <f>AND(#REF!,"AAAAAH9pPzs=")</f>
        <v>#REF!</v>
      </c>
      <c r="BI136" t="e">
        <f>AND(#REF!,"AAAAAH9pPzw=")</f>
        <v>#REF!</v>
      </c>
      <c r="BJ136" t="e">
        <f>AND(#REF!,"AAAAAH9pPz0=")</f>
        <v>#REF!</v>
      </c>
      <c r="BK136" t="e">
        <f>AND(#REF!,"AAAAAH9pPz4=")</f>
        <v>#REF!</v>
      </c>
      <c r="BL136" t="e">
        <f>AND(#REF!,"AAAAAH9pPz8=")</f>
        <v>#REF!</v>
      </c>
      <c r="BM136" t="e">
        <f>AND(#REF!,"AAAAAH9pP0A=")</f>
        <v>#REF!</v>
      </c>
      <c r="BN136" t="e">
        <f>AND(#REF!,"AAAAAH9pP0E=")</f>
        <v>#REF!</v>
      </c>
      <c r="BO136" t="e">
        <f>AND(#REF!,"AAAAAH9pP0I=")</f>
        <v>#REF!</v>
      </c>
      <c r="BP136" t="e">
        <f>AND(#REF!,"AAAAAH9pP0M=")</f>
        <v>#REF!</v>
      </c>
      <c r="BQ136" t="e">
        <f>AND(#REF!,"AAAAAH9pP0Q=")</f>
        <v>#REF!</v>
      </c>
      <c r="BR136" t="e">
        <f>AND(#REF!,"AAAAAH9pP0U=")</f>
        <v>#REF!</v>
      </c>
      <c r="BS136" t="e">
        <f>AND(#REF!,"AAAAAH9pP0Y=")</f>
        <v>#REF!</v>
      </c>
      <c r="BT136" t="e">
        <f>AND(#REF!,"AAAAAH9pP0c=")</f>
        <v>#REF!</v>
      </c>
      <c r="BU136" t="e">
        <f>AND(#REF!,"AAAAAH9pP0g=")</f>
        <v>#REF!</v>
      </c>
      <c r="BV136" t="e">
        <f>AND(#REF!,"AAAAAH9pP0k=")</f>
        <v>#REF!</v>
      </c>
      <c r="BW136" t="e">
        <f>AND(#REF!,"AAAAAH9pP0o=")</f>
        <v>#REF!</v>
      </c>
      <c r="BX136" t="e">
        <f>IF(#REF!,"AAAAAH9pP0s=",0)</f>
        <v>#REF!</v>
      </c>
      <c r="BY136" t="e">
        <f>AND(#REF!,"AAAAAH9pP0w=")</f>
        <v>#REF!</v>
      </c>
      <c r="BZ136" t="e">
        <f>AND(#REF!,"AAAAAH9pP00=")</f>
        <v>#REF!</v>
      </c>
      <c r="CA136" t="e">
        <f>AND(#REF!,"AAAAAH9pP04=")</f>
        <v>#REF!</v>
      </c>
      <c r="CB136" t="e">
        <f>AND(#REF!,"AAAAAH9pP08=")</f>
        <v>#REF!</v>
      </c>
      <c r="CC136" t="e">
        <f>AND(#REF!,"AAAAAH9pP1A=")</f>
        <v>#REF!</v>
      </c>
      <c r="CD136" t="e">
        <f>AND(#REF!,"AAAAAH9pP1E=")</f>
        <v>#REF!</v>
      </c>
      <c r="CE136" t="e">
        <f>AND(#REF!,"AAAAAH9pP1I=")</f>
        <v>#REF!</v>
      </c>
      <c r="CF136" t="e">
        <f>AND(#REF!,"AAAAAH9pP1M=")</f>
        <v>#REF!</v>
      </c>
      <c r="CG136" t="e">
        <f>AND(#REF!,"AAAAAH9pP1Q=")</f>
        <v>#REF!</v>
      </c>
      <c r="CH136" t="e">
        <f>AND(#REF!,"AAAAAH9pP1U=")</f>
        <v>#REF!</v>
      </c>
      <c r="CI136" t="e">
        <f>AND(#REF!,"AAAAAH9pP1Y=")</f>
        <v>#REF!</v>
      </c>
      <c r="CJ136" t="e">
        <f>AND(#REF!,"AAAAAH9pP1c=")</f>
        <v>#REF!</v>
      </c>
      <c r="CK136" t="e">
        <f>AND(#REF!,"AAAAAH9pP1g=")</f>
        <v>#REF!</v>
      </c>
      <c r="CL136" t="e">
        <f>AND(#REF!,"AAAAAH9pP1k=")</f>
        <v>#REF!</v>
      </c>
      <c r="CM136" t="e">
        <f>AND(#REF!,"AAAAAH9pP1o=")</f>
        <v>#REF!</v>
      </c>
      <c r="CN136" t="e">
        <f>AND(#REF!,"AAAAAH9pP1s=")</f>
        <v>#REF!</v>
      </c>
      <c r="CO136" t="e">
        <f>AND(#REF!,"AAAAAH9pP1w=")</f>
        <v>#REF!</v>
      </c>
      <c r="CP136" t="e">
        <f>AND(#REF!,"AAAAAH9pP10=")</f>
        <v>#REF!</v>
      </c>
      <c r="CQ136" t="e">
        <f>AND(#REF!,"AAAAAH9pP14=")</f>
        <v>#REF!</v>
      </c>
      <c r="CR136" t="e">
        <f>AND(#REF!,"AAAAAH9pP18=")</f>
        <v>#REF!</v>
      </c>
      <c r="CS136" t="e">
        <f>AND(#REF!,"AAAAAH9pP2A=")</f>
        <v>#REF!</v>
      </c>
      <c r="CT136" t="e">
        <f>AND(#REF!,"AAAAAH9pP2E=")</f>
        <v>#REF!</v>
      </c>
      <c r="CU136" t="e">
        <f>AND(#REF!,"AAAAAH9pP2I=")</f>
        <v>#REF!</v>
      </c>
      <c r="CV136" t="e">
        <f>AND(#REF!,"AAAAAH9pP2M=")</f>
        <v>#REF!</v>
      </c>
      <c r="CW136" t="e">
        <f>IF(#REF!,"AAAAAH9pP2Q=",0)</f>
        <v>#REF!</v>
      </c>
      <c r="CX136" t="e">
        <f>AND(#REF!,"AAAAAH9pP2U=")</f>
        <v>#REF!</v>
      </c>
      <c r="CY136" t="e">
        <f>AND(#REF!,"AAAAAH9pP2Y=")</f>
        <v>#REF!</v>
      </c>
      <c r="CZ136" t="e">
        <f>AND(#REF!,"AAAAAH9pP2c=")</f>
        <v>#REF!</v>
      </c>
      <c r="DA136" t="e">
        <f>AND(#REF!,"AAAAAH9pP2g=")</f>
        <v>#REF!</v>
      </c>
      <c r="DB136" t="e">
        <f>AND(#REF!,"AAAAAH9pP2k=")</f>
        <v>#REF!</v>
      </c>
      <c r="DC136" t="e">
        <f>AND(#REF!,"AAAAAH9pP2o=")</f>
        <v>#REF!</v>
      </c>
      <c r="DD136" t="e">
        <f>AND(#REF!,"AAAAAH9pP2s=")</f>
        <v>#REF!</v>
      </c>
      <c r="DE136" t="e">
        <f>AND(#REF!,"AAAAAH9pP2w=")</f>
        <v>#REF!</v>
      </c>
      <c r="DF136" t="e">
        <f>AND(#REF!,"AAAAAH9pP20=")</f>
        <v>#REF!</v>
      </c>
      <c r="DG136" t="e">
        <f>AND(#REF!,"AAAAAH9pP24=")</f>
        <v>#REF!</v>
      </c>
      <c r="DH136" t="e">
        <f>AND(#REF!,"AAAAAH9pP28=")</f>
        <v>#REF!</v>
      </c>
      <c r="DI136" t="e">
        <f>AND(#REF!,"AAAAAH9pP3A=")</f>
        <v>#REF!</v>
      </c>
      <c r="DJ136" t="e">
        <f>AND(#REF!,"AAAAAH9pP3E=")</f>
        <v>#REF!</v>
      </c>
      <c r="DK136" t="e">
        <f>AND(#REF!,"AAAAAH9pP3I=")</f>
        <v>#REF!</v>
      </c>
      <c r="DL136" t="e">
        <f>AND(#REF!,"AAAAAH9pP3M=")</f>
        <v>#REF!</v>
      </c>
      <c r="DM136" t="e">
        <f>AND(#REF!,"AAAAAH9pP3Q=")</f>
        <v>#REF!</v>
      </c>
      <c r="DN136" t="e">
        <f>AND(#REF!,"AAAAAH9pP3U=")</f>
        <v>#REF!</v>
      </c>
      <c r="DO136" t="e">
        <f>AND(#REF!,"AAAAAH9pP3Y=")</f>
        <v>#REF!</v>
      </c>
      <c r="DP136" t="e">
        <f>AND(#REF!,"AAAAAH9pP3c=")</f>
        <v>#REF!</v>
      </c>
      <c r="DQ136" t="e">
        <f>AND(#REF!,"AAAAAH9pP3g=")</f>
        <v>#REF!</v>
      </c>
      <c r="DR136" t="e">
        <f>AND(#REF!,"AAAAAH9pP3k=")</f>
        <v>#REF!</v>
      </c>
      <c r="DS136" t="e">
        <f>AND(#REF!,"AAAAAH9pP3o=")</f>
        <v>#REF!</v>
      </c>
      <c r="DT136" t="e">
        <f>AND(#REF!,"AAAAAH9pP3s=")</f>
        <v>#REF!</v>
      </c>
      <c r="DU136" t="e">
        <f>AND(#REF!,"AAAAAH9pP3w=")</f>
        <v>#REF!</v>
      </c>
      <c r="DV136" t="e">
        <f>IF(#REF!,"AAAAAH9pP30=",0)</f>
        <v>#REF!</v>
      </c>
      <c r="DW136" t="e">
        <f>AND(#REF!,"AAAAAH9pP34=")</f>
        <v>#REF!</v>
      </c>
      <c r="DX136" t="e">
        <f>AND(#REF!,"AAAAAH9pP38=")</f>
        <v>#REF!</v>
      </c>
      <c r="DY136" t="e">
        <f>AND(#REF!,"AAAAAH9pP4A=")</f>
        <v>#REF!</v>
      </c>
      <c r="DZ136" t="e">
        <f>AND(#REF!,"AAAAAH9pP4E=")</f>
        <v>#REF!</v>
      </c>
      <c r="EA136" t="e">
        <f>AND(#REF!,"AAAAAH9pP4I=")</f>
        <v>#REF!</v>
      </c>
      <c r="EB136" t="e">
        <f>AND(#REF!,"AAAAAH9pP4M=")</f>
        <v>#REF!</v>
      </c>
      <c r="EC136" t="e">
        <f>AND(#REF!,"AAAAAH9pP4Q=")</f>
        <v>#REF!</v>
      </c>
      <c r="ED136" t="e">
        <f>AND(#REF!,"AAAAAH9pP4U=")</f>
        <v>#REF!</v>
      </c>
      <c r="EE136" t="e">
        <f>AND(#REF!,"AAAAAH9pP4Y=")</f>
        <v>#REF!</v>
      </c>
      <c r="EF136" t="e">
        <f>AND(#REF!,"AAAAAH9pP4c=")</f>
        <v>#REF!</v>
      </c>
      <c r="EG136" t="e">
        <f>AND(#REF!,"AAAAAH9pP4g=")</f>
        <v>#REF!</v>
      </c>
      <c r="EH136" t="e">
        <f>AND(#REF!,"AAAAAH9pP4k=")</f>
        <v>#REF!</v>
      </c>
      <c r="EI136" t="e">
        <f>AND(#REF!,"AAAAAH9pP4o=")</f>
        <v>#REF!</v>
      </c>
      <c r="EJ136" t="e">
        <f>AND(#REF!,"AAAAAH9pP4s=")</f>
        <v>#REF!</v>
      </c>
      <c r="EK136" t="e">
        <f>AND(#REF!,"AAAAAH9pP4w=")</f>
        <v>#REF!</v>
      </c>
      <c r="EL136" t="e">
        <f>AND(#REF!,"AAAAAH9pP40=")</f>
        <v>#REF!</v>
      </c>
      <c r="EM136" t="e">
        <f>AND(#REF!,"AAAAAH9pP44=")</f>
        <v>#REF!</v>
      </c>
      <c r="EN136" t="e">
        <f>AND(#REF!,"AAAAAH9pP48=")</f>
        <v>#REF!</v>
      </c>
      <c r="EO136" t="e">
        <f>AND(#REF!,"AAAAAH9pP5A=")</f>
        <v>#REF!</v>
      </c>
      <c r="EP136" t="e">
        <f>AND(#REF!,"AAAAAH9pP5E=")</f>
        <v>#REF!</v>
      </c>
      <c r="EQ136" t="e">
        <f>AND(#REF!,"AAAAAH9pP5I=")</f>
        <v>#REF!</v>
      </c>
      <c r="ER136" t="e">
        <f>AND(#REF!,"AAAAAH9pP5M=")</f>
        <v>#REF!</v>
      </c>
      <c r="ES136" t="e">
        <f>AND(#REF!,"AAAAAH9pP5Q=")</f>
        <v>#REF!</v>
      </c>
      <c r="ET136" t="e">
        <f>AND(#REF!,"AAAAAH9pP5U=")</f>
        <v>#REF!</v>
      </c>
      <c r="EU136" t="e">
        <f>IF(#REF!,"AAAAAH9pP5Y=",0)</f>
        <v>#REF!</v>
      </c>
      <c r="EV136" t="e">
        <f>AND(#REF!,"AAAAAH9pP5c=")</f>
        <v>#REF!</v>
      </c>
      <c r="EW136" t="e">
        <f>AND(#REF!,"AAAAAH9pP5g=")</f>
        <v>#REF!</v>
      </c>
      <c r="EX136" t="e">
        <f>AND(#REF!,"AAAAAH9pP5k=")</f>
        <v>#REF!</v>
      </c>
      <c r="EY136" t="e">
        <f>AND(#REF!,"AAAAAH9pP5o=")</f>
        <v>#REF!</v>
      </c>
      <c r="EZ136" t="e">
        <f>AND(#REF!,"AAAAAH9pP5s=")</f>
        <v>#REF!</v>
      </c>
      <c r="FA136" t="e">
        <f>AND(#REF!,"AAAAAH9pP5w=")</f>
        <v>#REF!</v>
      </c>
      <c r="FB136" t="e">
        <f>AND(#REF!,"AAAAAH9pP50=")</f>
        <v>#REF!</v>
      </c>
      <c r="FC136" t="e">
        <f>AND(#REF!,"AAAAAH9pP54=")</f>
        <v>#REF!</v>
      </c>
      <c r="FD136" t="e">
        <f>AND(#REF!,"AAAAAH9pP58=")</f>
        <v>#REF!</v>
      </c>
      <c r="FE136" t="e">
        <f>AND(#REF!,"AAAAAH9pP6A=")</f>
        <v>#REF!</v>
      </c>
      <c r="FF136" t="e">
        <f>AND(#REF!,"AAAAAH9pP6E=")</f>
        <v>#REF!</v>
      </c>
      <c r="FG136" t="e">
        <f>AND(#REF!,"AAAAAH9pP6I=")</f>
        <v>#REF!</v>
      </c>
      <c r="FH136" t="e">
        <f>AND(#REF!,"AAAAAH9pP6M=")</f>
        <v>#REF!</v>
      </c>
      <c r="FI136" t="e">
        <f>AND(#REF!,"AAAAAH9pP6Q=")</f>
        <v>#REF!</v>
      </c>
      <c r="FJ136" t="e">
        <f>AND(#REF!,"AAAAAH9pP6U=")</f>
        <v>#REF!</v>
      </c>
      <c r="FK136" t="e">
        <f>AND(#REF!,"AAAAAH9pP6Y=")</f>
        <v>#REF!</v>
      </c>
      <c r="FL136" t="e">
        <f>AND(#REF!,"AAAAAH9pP6c=")</f>
        <v>#REF!</v>
      </c>
      <c r="FM136" t="e">
        <f>AND(#REF!,"AAAAAH9pP6g=")</f>
        <v>#REF!</v>
      </c>
      <c r="FN136" t="e">
        <f>AND(#REF!,"AAAAAH9pP6k=")</f>
        <v>#REF!</v>
      </c>
      <c r="FO136" t="e">
        <f>AND(#REF!,"AAAAAH9pP6o=")</f>
        <v>#REF!</v>
      </c>
      <c r="FP136" t="e">
        <f>AND(#REF!,"AAAAAH9pP6s=")</f>
        <v>#REF!</v>
      </c>
      <c r="FQ136" t="e">
        <f>AND(#REF!,"AAAAAH9pP6w=")</f>
        <v>#REF!</v>
      </c>
      <c r="FR136" t="e">
        <f>AND(#REF!,"AAAAAH9pP60=")</f>
        <v>#REF!</v>
      </c>
      <c r="FS136" t="e">
        <f>AND(#REF!,"AAAAAH9pP64=")</f>
        <v>#REF!</v>
      </c>
      <c r="FT136" t="e">
        <f>IF(#REF!,"AAAAAH9pP68=",0)</f>
        <v>#REF!</v>
      </c>
      <c r="FU136" t="e">
        <f>AND(#REF!,"AAAAAH9pP7A=")</f>
        <v>#REF!</v>
      </c>
      <c r="FV136" t="e">
        <f>AND(#REF!,"AAAAAH9pP7E=")</f>
        <v>#REF!</v>
      </c>
      <c r="FW136" t="e">
        <f>AND(#REF!,"AAAAAH9pP7I=")</f>
        <v>#REF!</v>
      </c>
      <c r="FX136" t="e">
        <f>AND(#REF!,"AAAAAH9pP7M=")</f>
        <v>#REF!</v>
      </c>
      <c r="FY136" t="e">
        <f>AND(#REF!,"AAAAAH9pP7Q=")</f>
        <v>#REF!</v>
      </c>
      <c r="FZ136" t="e">
        <f>AND(#REF!,"AAAAAH9pP7U=")</f>
        <v>#REF!</v>
      </c>
      <c r="GA136" t="e">
        <f>AND(#REF!,"AAAAAH9pP7Y=")</f>
        <v>#REF!</v>
      </c>
      <c r="GB136" t="e">
        <f>AND(#REF!,"AAAAAH9pP7c=")</f>
        <v>#REF!</v>
      </c>
      <c r="GC136" t="e">
        <f>AND(#REF!,"AAAAAH9pP7g=")</f>
        <v>#REF!</v>
      </c>
      <c r="GD136" t="e">
        <f>AND(#REF!,"AAAAAH9pP7k=")</f>
        <v>#REF!</v>
      </c>
      <c r="GE136" t="e">
        <f>AND(#REF!,"AAAAAH9pP7o=")</f>
        <v>#REF!</v>
      </c>
      <c r="GF136" t="e">
        <f>AND(#REF!,"AAAAAH9pP7s=")</f>
        <v>#REF!</v>
      </c>
      <c r="GG136" t="e">
        <f>AND(#REF!,"AAAAAH9pP7w=")</f>
        <v>#REF!</v>
      </c>
      <c r="GH136" t="e">
        <f>AND(#REF!,"AAAAAH9pP70=")</f>
        <v>#REF!</v>
      </c>
      <c r="GI136" t="e">
        <f>AND(#REF!,"AAAAAH9pP74=")</f>
        <v>#REF!</v>
      </c>
      <c r="GJ136" t="e">
        <f>AND(#REF!,"AAAAAH9pP78=")</f>
        <v>#REF!</v>
      </c>
      <c r="GK136" t="e">
        <f>AND(#REF!,"AAAAAH9pP8A=")</f>
        <v>#REF!</v>
      </c>
      <c r="GL136" t="e">
        <f>AND(#REF!,"AAAAAH9pP8E=")</f>
        <v>#REF!</v>
      </c>
      <c r="GM136" t="e">
        <f>AND(#REF!,"AAAAAH9pP8I=")</f>
        <v>#REF!</v>
      </c>
      <c r="GN136" t="e">
        <f>AND(#REF!,"AAAAAH9pP8M=")</f>
        <v>#REF!</v>
      </c>
      <c r="GO136" t="e">
        <f>AND(#REF!,"AAAAAH9pP8Q=")</f>
        <v>#REF!</v>
      </c>
      <c r="GP136" t="e">
        <f>AND(#REF!,"AAAAAH9pP8U=")</f>
        <v>#REF!</v>
      </c>
      <c r="GQ136" t="e">
        <f>AND(#REF!,"AAAAAH9pP8Y=")</f>
        <v>#REF!</v>
      </c>
      <c r="GR136" t="e">
        <f>AND(#REF!,"AAAAAH9pP8c=")</f>
        <v>#REF!</v>
      </c>
      <c r="GS136" t="e">
        <f>IF(#REF!,"AAAAAH9pP8g=",0)</f>
        <v>#REF!</v>
      </c>
      <c r="GT136" t="e">
        <f>AND(#REF!,"AAAAAH9pP8k=")</f>
        <v>#REF!</v>
      </c>
      <c r="GU136" t="e">
        <f>AND(#REF!,"AAAAAH9pP8o=")</f>
        <v>#REF!</v>
      </c>
      <c r="GV136" t="e">
        <f>AND(#REF!,"AAAAAH9pP8s=")</f>
        <v>#REF!</v>
      </c>
      <c r="GW136" t="e">
        <f>AND(#REF!,"AAAAAH9pP8w=")</f>
        <v>#REF!</v>
      </c>
      <c r="GX136" t="e">
        <f>AND(#REF!,"AAAAAH9pP80=")</f>
        <v>#REF!</v>
      </c>
      <c r="GY136" t="e">
        <f>AND(#REF!,"AAAAAH9pP84=")</f>
        <v>#REF!</v>
      </c>
      <c r="GZ136" t="e">
        <f>AND(#REF!,"AAAAAH9pP88=")</f>
        <v>#REF!</v>
      </c>
      <c r="HA136" t="e">
        <f>AND(#REF!,"AAAAAH9pP9A=")</f>
        <v>#REF!</v>
      </c>
      <c r="HB136" t="e">
        <f>AND(#REF!,"AAAAAH9pP9E=")</f>
        <v>#REF!</v>
      </c>
      <c r="HC136" t="e">
        <f>AND(#REF!,"AAAAAH9pP9I=")</f>
        <v>#REF!</v>
      </c>
      <c r="HD136" t="e">
        <f>AND(#REF!,"AAAAAH9pP9M=")</f>
        <v>#REF!</v>
      </c>
      <c r="HE136" t="e">
        <f>AND(#REF!,"AAAAAH9pP9Q=")</f>
        <v>#REF!</v>
      </c>
      <c r="HF136" t="e">
        <f>AND(#REF!,"AAAAAH9pP9U=")</f>
        <v>#REF!</v>
      </c>
      <c r="HG136" t="e">
        <f>AND(#REF!,"AAAAAH9pP9Y=")</f>
        <v>#REF!</v>
      </c>
      <c r="HH136" t="e">
        <f>AND(#REF!,"AAAAAH9pP9c=")</f>
        <v>#REF!</v>
      </c>
      <c r="HI136" t="e">
        <f>AND(#REF!,"AAAAAH9pP9g=")</f>
        <v>#REF!</v>
      </c>
      <c r="HJ136" t="e">
        <f>AND(#REF!,"AAAAAH9pP9k=")</f>
        <v>#REF!</v>
      </c>
      <c r="HK136" t="e">
        <f>AND(#REF!,"AAAAAH9pP9o=")</f>
        <v>#REF!</v>
      </c>
      <c r="HL136" t="e">
        <f>AND(#REF!,"AAAAAH9pP9s=")</f>
        <v>#REF!</v>
      </c>
      <c r="HM136" t="e">
        <f>AND(#REF!,"AAAAAH9pP9w=")</f>
        <v>#REF!</v>
      </c>
      <c r="HN136" t="e">
        <f>AND(#REF!,"AAAAAH9pP90=")</f>
        <v>#REF!</v>
      </c>
      <c r="HO136" t="e">
        <f>AND(#REF!,"AAAAAH9pP94=")</f>
        <v>#REF!</v>
      </c>
      <c r="HP136" t="e">
        <f>AND(#REF!,"AAAAAH9pP98=")</f>
        <v>#REF!</v>
      </c>
      <c r="HQ136" t="e">
        <f>AND(#REF!,"AAAAAH9pP+A=")</f>
        <v>#REF!</v>
      </c>
      <c r="HR136" t="e">
        <f>IF(#REF!,"AAAAAH9pP+E=",0)</f>
        <v>#REF!</v>
      </c>
      <c r="HS136" t="e">
        <f>AND(#REF!,"AAAAAH9pP+I=")</f>
        <v>#REF!</v>
      </c>
      <c r="HT136" t="e">
        <f>AND(#REF!,"AAAAAH9pP+M=")</f>
        <v>#REF!</v>
      </c>
      <c r="HU136" t="e">
        <f>AND(#REF!,"AAAAAH9pP+Q=")</f>
        <v>#REF!</v>
      </c>
      <c r="HV136" t="e">
        <f>AND(#REF!,"AAAAAH9pP+U=")</f>
        <v>#REF!</v>
      </c>
      <c r="HW136" t="e">
        <f>AND(#REF!,"AAAAAH9pP+Y=")</f>
        <v>#REF!</v>
      </c>
      <c r="HX136" t="e">
        <f>AND(#REF!,"AAAAAH9pP+c=")</f>
        <v>#REF!</v>
      </c>
      <c r="HY136" t="e">
        <f>AND(#REF!,"AAAAAH9pP+g=")</f>
        <v>#REF!</v>
      </c>
      <c r="HZ136" t="e">
        <f>AND(#REF!,"AAAAAH9pP+k=")</f>
        <v>#REF!</v>
      </c>
      <c r="IA136" t="e">
        <f>AND(#REF!,"AAAAAH9pP+o=")</f>
        <v>#REF!</v>
      </c>
      <c r="IB136" t="e">
        <f>AND(#REF!,"AAAAAH9pP+s=")</f>
        <v>#REF!</v>
      </c>
      <c r="IC136" t="e">
        <f>AND(#REF!,"AAAAAH9pP+w=")</f>
        <v>#REF!</v>
      </c>
      <c r="ID136" t="e">
        <f>AND(#REF!,"AAAAAH9pP+0=")</f>
        <v>#REF!</v>
      </c>
      <c r="IE136" t="e">
        <f>AND(#REF!,"AAAAAH9pP+4=")</f>
        <v>#REF!</v>
      </c>
      <c r="IF136" t="e">
        <f>AND(#REF!,"AAAAAH9pP+8=")</f>
        <v>#REF!</v>
      </c>
      <c r="IG136" t="e">
        <f>AND(#REF!,"AAAAAH9pP/A=")</f>
        <v>#REF!</v>
      </c>
      <c r="IH136" t="e">
        <f>AND(#REF!,"AAAAAH9pP/E=")</f>
        <v>#REF!</v>
      </c>
      <c r="II136" t="e">
        <f>AND(#REF!,"AAAAAH9pP/I=")</f>
        <v>#REF!</v>
      </c>
      <c r="IJ136" t="e">
        <f>AND(#REF!,"AAAAAH9pP/M=")</f>
        <v>#REF!</v>
      </c>
      <c r="IK136" t="e">
        <f>AND(#REF!,"AAAAAH9pP/Q=")</f>
        <v>#REF!</v>
      </c>
      <c r="IL136" t="e">
        <f>AND(#REF!,"AAAAAH9pP/U=")</f>
        <v>#REF!</v>
      </c>
      <c r="IM136" t="e">
        <f>AND(#REF!,"AAAAAH9pP/Y=")</f>
        <v>#REF!</v>
      </c>
      <c r="IN136" t="e">
        <f>AND(#REF!,"AAAAAH9pP/c=")</f>
        <v>#REF!</v>
      </c>
      <c r="IO136" t="e">
        <f>AND(#REF!,"AAAAAH9pP/g=")</f>
        <v>#REF!</v>
      </c>
      <c r="IP136" t="e">
        <f>AND(#REF!,"AAAAAH9pP/k=")</f>
        <v>#REF!</v>
      </c>
      <c r="IQ136" t="e">
        <f>IF(#REF!,"AAAAAH9pP/o=",0)</f>
        <v>#REF!</v>
      </c>
      <c r="IR136" t="e">
        <f>AND(#REF!,"AAAAAH9pP/s=")</f>
        <v>#REF!</v>
      </c>
      <c r="IS136" t="e">
        <f>AND(#REF!,"AAAAAH9pP/w=")</f>
        <v>#REF!</v>
      </c>
      <c r="IT136" t="e">
        <f>AND(#REF!,"AAAAAH9pP/0=")</f>
        <v>#REF!</v>
      </c>
      <c r="IU136" t="e">
        <f>AND(#REF!,"AAAAAH9pP/4=")</f>
        <v>#REF!</v>
      </c>
      <c r="IV136" t="e">
        <f>AND(#REF!,"AAAAAH9pP/8=")</f>
        <v>#REF!</v>
      </c>
    </row>
    <row r="137" spans="1:256">
      <c r="A137" t="e">
        <f>AND(#REF!,"AAAAAEHvfwA=")</f>
        <v>#REF!</v>
      </c>
      <c r="B137" t="e">
        <f>AND(#REF!,"AAAAAEHvfwE=")</f>
        <v>#REF!</v>
      </c>
      <c r="C137" t="e">
        <f>AND(#REF!,"AAAAAEHvfwI=")</f>
        <v>#REF!</v>
      </c>
      <c r="D137" t="e">
        <f>AND(#REF!,"AAAAAEHvfwM=")</f>
        <v>#REF!</v>
      </c>
      <c r="E137" t="e">
        <f>AND(#REF!,"AAAAAEHvfwQ=")</f>
        <v>#REF!</v>
      </c>
      <c r="F137" t="e">
        <f>AND(#REF!,"AAAAAEHvfwU=")</f>
        <v>#REF!</v>
      </c>
      <c r="G137" t="e">
        <f>AND(#REF!,"AAAAAEHvfwY=")</f>
        <v>#REF!</v>
      </c>
      <c r="H137" t="e">
        <f>AND(#REF!,"AAAAAEHvfwc=")</f>
        <v>#REF!</v>
      </c>
      <c r="I137" t="e">
        <f>AND(#REF!,"AAAAAEHvfwg=")</f>
        <v>#REF!</v>
      </c>
      <c r="J137" t="e">
        <f>AND(#REF!,"AAAAAEHvfwk=")</f>
        <v>#REF!</v>
      </c>
      <c r="K137" t="e">
        <f>AND(#REF!,"AAAAAEHvfwo=")</f>
        <v>#REF!</v>
      </c>
      <c r="L137" t="e">
        <f>AND(#REF!,"AAAAAEHvfws=")</f>
        <v>#REF!</v>
      </c>
      <c r="M137" t="e">
        <f>AND(#REF!,"AAAAAEHvfww=")</f>
        <v>#REF!</v>
      </c>
      <c r="N137" t="e">
        <f>AND(#REF!,"AAAAAEHvfw0=")</f>
        <v>#REF!</v>
      </c>
      <c r="O137" t="e">
        <f>AND(#REF!,"AAAAAEHvfw4=")</f>
        <v>#REF!</v>
      </c>
      <c r="P137" t="e">
        <f>AND(#REF!,"AAAAAEHvfw8=")</f>
        <v>#REF!</v>
      </c>
      <c r="Q137" t="e">
        <f>AND(#REF!,"AAAAAEHvfxA=")</f>
        <v>#REF!</v>
      </c>
      <c r="R137" t="e">
        <f>AND(#REF!,"AAAAAEHvfxE=")</f>
        <v>#REF!</v>
      </c>
      <c r="S137" t="e">
        <f>AND(#REF!,"AAAAAEHvfxI=")</f>
        <v>#REF!</v>
      </c>
      <c r="T137" t="e">
        <f>IF(#REF!,"AAAAAEHvfxM=",0)</f>
        <v>#REF!</v>
      </c>
      <c r="U137" t="e">
        <f>AND(#REF!,"AAAAAEHvfxQ=")</f>
        <v>#REF!</v>
      </c>
      <c r="V137" t="e">
        <f>AND(#REF!,"AAAAAEHvfxU=")</f>
        <v>#REF!</v>
      </c>
      <c r="W137" t="e">
        <f>AND(#REF!,"AAAAAEHvfxY=")</f>
        <v>#REF!</v>
      </c>
      <c r="X137" t="e">
        <f>AND(#REF!,"AAAAAEHvfxc=")</f>
        <v>#REF!</v>
      </c>
      <c r="Y137" t="e">
        <f>AND(#REF!,"AAAAAEHvfxg=")</f>
        <v>#REF!</v>
      </c>
      <c r="Z137" t="e">
        <f>AND(#REF!,"AAAAAEHvfxk=")</f>
        <v>#REF!</v>
      </c>
      <c r="AA137" t="e">
        <f>AND(#REF!,"AAAAAEHvfxo=")</f>
        <v>#REF!</v>
      </c>
      <c r="AB137" t="e">
        <f>AND(#REF!,"AAAAAEHvfxs=")</f>
        <v>#REF!</v>
      </c>
      <c r="AC137" t="e">
        <f>AND(#REF!,"AAAAAEHvfxw=")</f>
        <v>#REF!</v>
      </c>
      <c r="AD137" t="e">
        <f>AND(#REF!,"AAAAAEHvfx0=")</f>
        <v>#REF!</v>
      </c>
      <c r="AE137" t="e">
        <f>AND(#REF!,"AAAAAEHvfx4=")</f>
        <v>#REF!</v>
      </c>
      <c r="AF137" t="e">
        <f>AND(#REF!,"AAAAAEHvfx8=")</f>
        <v>#REF!</v>
      </c>
      <c r="AG137" t="e">
        <f>AND(#REF!,"AAAAAEHvfyA=")</f>
        <v>#REF!</v>
      </c>
      <c r="AH137" t="e">
        <f>AND(#REF!,"AAAAAEHvfyE=")</f>
        <v>#REF!</v>
      </c>
      <c r="AI137" t="e">
        <f>AND(#REF!,"AAAAAEHvfyI=")</f>
        <v>#REF!</v>
      </c>
      <c r="AJ137" t="e">
        <f>AND(#REF!,"AAAAAEHvfyM=")</f>
        <v>#REF!</v>
      </c>
      <c r="AK137" t="e">
        <f>AND(#REF!,"AAAAAEHvfyQ=")</f>
        <v>#REF!</v>
      </c>
      <c r="AL137" t="e">
        <f>AND(#REF!,"AAAAAEHvfyU=")</f>
        <v>#REF!</v>
      </c>
      <c r="AM137" t="e">
        <f>AND(#REF!,"AAAAAEHvfyY=")</f>
        <v>#REF!</v>
      </c>
      <c r="AN137" t="e">
        <f>AND(#REF!,"AAAAAEHvfyc=")</f>
        <v>#REF!</v>
      </c>
      <c r="AO137" t="e">
        <f>AND(#REF!,"AAAAAEHvfyg=")</f>
        <v>#REF!</v>
      </c>
      <c r="AP137" t="e">
        <f>AND(#REF!,"AAAAAEHvfyk=")</f>
        <v>#REF!</v>
      </c>
      <c r="AQ137" t="e">
        <f>AND(#REF!,"AAAAAEHvfyo=")</f>
        <v>#REF!</v>
      </c>
      <c r="AR137" t="e">
        <f>AND(#REF!,"AAAAAEHvfys=")</f>
        <v>#REF!</v>
      </c>
      <c r="AS137" t="e">
        <f>IF(#REF!,"AAAAAEHvfyw=",0)</f>
        <v>#REF!</v>
      </c>
      <c r="AT137" t="e">
        <f>AND(#REF!,"AAAAAEHvfy0=")</f>
        <v>#REF!</v>
      </c>
      <c r="AU137" t="e">
        <f>AND(#REF!,"AAAAAEHvfy4=")</f>
        <v>#REF!</v>
      </c>
      <c r="AV137" t="e">
        <f>AND(#REF!,"AAAAAEHvfy8=")</f>
        <v>#REF!</v>
      </c>
      <c r="AW137" t="e">
        <f>AND(#REF!,"AAAAAEHvfzA=")</f>
        <v>#REF!</v>
      </c>
      <c r="AX137" t="e">
        <f>AND(#REF!,"AAAAAEHvfzE=")</f>
        <v>#REF!</v>
      </c>
      <c r="AY137" t="e">
        <f>AND(#REF!,"AAAAAEHvfzI=")</f>
        <v>#REF!</v>
      </c>
      <c r="AZ137" t="e">
        <f>AND(#REF!,"AAAAAEHvfzM=")</f>
        <v>#REF!</v>
      </c>
      <c r="BA137" t="e">
        <f>AND(#REF!,"AAAAAEHvfzQ=")</f>
        <v>#REF!</v>
      </c>
      <c r="BB137" t="e">
        <f>AND(#REF!,"AAAAAEHvfzU=")</f>
        <v>#REF!</v>
      </c>
      <c r="BC137" t="e">
        <f>AND(#REF!,"AAAAAEHvfzY=")</f>
        <v>#REF!</v>
      </c>
      <c r="BD137" t="e">
        <f>AND(#REF!,"AAAAAEHvfzc=")</f>
        <v>#REF!</v>
      </c>
      <c r="BE137" t="e">
        <f>AND(#REF!,"AAAAAEHvfzg=")</f>
        <v>#REF!</v>
      </c>
      <c r="BF137" t="e">
        <f>AND(#REF!,"AAAAAEHvfzk=")</f>
        <v>#REF!</v>
      </c>
      <c r="BG137" t="e">
        <f>AND(#REF!,"AAAAAEHvfzo=")</f>
        <v>#REF!</v>
      </c>
      <c r="BH137" t="e">
        <f>AND(#REF!,"AAAAAEHvfzs=")</f>
        <v>#REF!</v>
      </c>
      <c r="BI137" t="e">
        <f>AND(#REF!,"AAAAAEHvfzw=")</f>
        <v>#REF!</v>
      </c>
      <c r="BJ137" t="e">
        <f>AND(#REF!,"AAAAAEHvfz0=")</f>
        <v>#REF!</v>
      </c>
      <c r="BK137" t="e">
        <f>AND(#REF!,"AAAAAEHvfz4=")</f>
        <v>#REF!</v>
      </c>
      <c r="BL137" t="e">
        <f>AND(#REF!,"AAAAAEHvfz8=")</f>
        <v>#REF!</v>
      </c>
      <c r="BM137" t="e">
        <f>AND(#REF!,"AAAAAEHvf0A=")</f>
        <v>#REF!</v>
      </c>
      <c r="BN137" t="e">
        <f>AND(#REF!,"AAAAAEHvf0E=")</f>
        <v>#REF!</v>
      </c>
      <c r="BO137" t="e">
        <f>AND(#REF!,"AAAAAEHvf0I=")</f>
        <v>#REF!</v>
      </c>
      <c r="BP137" t="e">
        <f>AND(#REF!,"AAAAAEHvf0M=")</f>
        <v>#REF!</v>
      </c>
      <c r="BQ137" t="e">
        <f>AND(#REF!,"AAAAAEHvf0Q=")</f>
        <v>#REF!</v>
      </c>
      <c r="BR137" t="e">
        <f>IF(#REF!,"AAAAAEHvf0U=",0)</f>
        <v>#REF!</v>
      </c>
      <c r="BS137" t="e">
        <f>AND(#REF!,"AAAAAEHvf0Y=")</f>
        <v>#REF!</v>
      </c>
      <c r="BT137" t="e">
        <f>AND(#REF!,"AAAAAEHvf0c=")</f>
        <v>#REF!</v>
      </c>
      <c r="BU137" t="e">
        <f>AND(#REF!,"AAAAAEHvf0g=")</f>
        <v>#REF!</v>
      </c>
      <c r="BV137" t="e">
        <f>AND(#REF!,"AAAAAEHvf0k=")</f>
        <v>#REF!</v>
      </c>
      <c r="BW137" t="e">
        <f>AND(#REF!,"AAAAAEHvf0o=")</f>
        <v>#REF!</v>
      </c>
      <c r="BX137" t="e">
        <f>AND(#REF!,"AAAAAEHvf0s=")</f>
        <v>#REF!</v>
      </c>
      <c r="BY137" t="e">
        <f>AND(#REF!,"AAAAAEHvf0w=")</f>
        <v>#REF!</v>
      </c>
      <c r="BZ137" t="e">
        <f>AND(#REF!,"AAAAAEHvf00=")</f>
        <v>#REF!</v>
      </c>
      <c r="CA137" t="e">
        <f>AND(#REF!,"AAAAAEHvf04=")</f>
        <v>#REF!</v>
      </c>
      <c r="CB137" t="e">
        <f>AND(#REF!,"AAAAAEHvf08=")</f>
        <v>#REF!</v>
      </c>
      <c r="CC137" t="e">
        <f>AND(#REF!,"AAAAAEHvf1A=")</f>
        <v>#REF!</v>
      </c>
      <c r="CD137" t="e">
        <f>AND(#REF!,"AAAAAEHvf1E=")</f>
        <v>#REF!</v>
      </c>
      <c r="CE137" t="e">
        <f>AND(#REF!,"AAAAAEHvf1I=")</f>
        <v>#REF!</v>
      </c>
      <c r="CF137" t="e">
        <f>AND(#REF!,"AAAAAEHvf1M=")</f>
        <v>#REF!</v>
      </c>
      <c r="CG137" t="e">
        <f>AND(#REF!,"AAAAAEHvf1Q=")</f>
        <v>#REF!</v>
      </c>
      <c r="CH137" t="e">
        <f>AND(#REF!,"AAAAAEHvf1U=")</f>
        <v>#REF!</v>
      </c>
      <c r="CI137" t="e">
        <f>AND(#REF!,"AAAAAEHvf1Y=")</f>
        <v>#REF!</v>
      </c>
      <c r="CJ137" t="e">
        <f>AND(#REF!,"AAAAAEHvf1c=")</f>
        <v>#REF!</v>
      </c>
      <c r="CK137" t="e">
        <f>AND(#REF!,"AAAAAEHvf1g=")</f>
        <v>#REF!</v>
      </c>
      <c r="CL137" t="e">
        <f>AND(#REF!,"AAAAAEHvf1k=")</f>
        <v>#REF!</v>
      </c>
      <c r="CM137" t="e">
        <f>AND(#REF!,"AAAAAEHvf1o=")</f>
        <v>#REF!</v>
      </c>
      <c r="CN137" t="e">
        <f>AND(#REF!,"AAAAAEHvf1s=")</f>
        <v>#REF!</v>
      </c>
      <c r="CO137" t="e">
        <f>AND(#REF!,"AAAAAEHvf1w=")</f>
        <v>#REF!</v>
      </c>
      <c r="CP137" t="e">
        <f>AND(#REF!,"AAAAAEHvf10=")</f>
        <v>#REF!</v>
      </c>
      <c r="CQ137" t="e">
        <f>IF(#REF!,"AAAAAEHvf14=",0)</f>
        <v>#REF!</v>
      </c>
      <c r="CR137" t="e">
        <f>AND(#REF!,"AAAAAEHvf18=")</f>
        <v>#REF!</v>
      </c>
      <c r="CS137" t="e">
        <f>AND(#REF!,"AAAAAEHvf2A=")</f>
        <v>#REF!</v>
      </c>
      <c r="CT137" t="e">
        <f>AND(#REF!,"AAAAAEHvf2E=")</f>
        <v>#REF!</v>
      </c>
      <c r="CU137" t="e">
        <f>AND(#REF!,"AAAAAEHvf2I=")</f>
        <v>#REF!</v>
      </c>
      <c r="CV137" t="e">
        <f>AND(#REF!,"AAAAAEHvf2M=")</f>
        <v>#REF!</v>
      </c>
      <c r="CW137" t="e">
        <f>AND(#REF!,"AAAAAEHvf2Q=")</f>
        <v>#REF!</v>
      </c>
      <c r="CX137" t="e">
        <f>AND(#REF!,"AAAAAEHvf2U=")</f>
        <v>#REF!</v>
      </c>
      <c r="CY137" t="e">
        <f>AND(#REF!,"AAAAAEHvf2Y=")</f>
        <v>#REF!</v>
      </c>
      <c r="CZ137" t="e">
        <f>AND(#REF!,"AAAAAEHvf2c=")</f>
        <v>#REF!</v>
      </c>
      <c r="DA137" t="e">
        <f>AND(#REF!,"AAAAAEHvf2g=")</f>
        <v>#REF!</v>
      </c>
      <c r="DB137" t="e">
        <f>AND(#REF!,"AAAAAEHvf2k=")</f>
        <v>#REF!</v>
      </c>
      <c r="DC137" t="e">
        <f>AND(#REF!,"AAAAAEHvf2o=")</f>
        <v>#REF!</v>
      </c>
      <c r="DD137" t="e">
        <f>AND(#REF!,"AAAAAEHvf2s=")</f>
        <v>#REF!</v>
      </c>
      <c r="DE137" t="e">
        <f>AND(#REF!,"AAAAAEHvf2w=")</f>
        <v>#REF!</v>
      </c>
      <c r="DF137" t="e">
        <f>AND(#REF!,"AAAAAEHvf20=")</f>
        <v>#REF!</v>
      </c>
      <c r="DG137" t="e">
        <f>AND(#REF!,"AAAAAEHvf24=")</f>
        <v>#REF!</v>
      </c>
      <c r="DH137" t="e">
        <f>AND(#REF!,"AAAAAEHvf28=")</f>
        <v>#REF!</v>
      </c>
      <c r="DI137" t="e">
        <f>AND(#REF!,"AAAAAEHvf3A=")</f>
        <v>#REF!</v>
      </c>
      <c r="DJ137" t="e">
        <f>AND(#REF!,"AAAAAEHvf3E=")</f>
        <v>#REF!</v>
      </c>
      <c r="DK137" t="e">
        <f>AND(#REF!,"AAAAAEHvf3I=")</f>
        <v>#REF!</v>
      </c>
      <c r="DL137" t="e">
        <f>AND(#REF!,"AAAAAEHvf3M=")</f>
        <v>#REF!</v>
      </c>
      <c r="DM137" t="e">
        <f>AND(#REF!,"AAAAAEHvf3Q=")</f>
        <v>#REF!</v>
      </c>
      <c r="DN137" t="e">
        <f>AND(#REF!,"AAAAAEHvf3U=")</f>
        <v>#REF!</v>
      </c>
      <c r="DO137" t="e">
        <f>AND(#REF!,"AAAAAEHvf3Y=")</f>
        <v>#REF!</v>
      </c>
      <c r="DP137" t="e">
        <f>IF(#REF!,"AAAAAEHvf3c=",0)</f>
        <v>#REF!</v>
      </c>
      <c r="DQ137" t="e">
        <f>AND(#REF!,"AAAAAEHvf3g=")</f>
        <v>#REF!</v>
      </c>
      <c r="DR137" t="e">
        <f>AND(#REF!,"AAAAAEHvf3k=")</f>
        <v>#REF!</v>
      </c>
      <c r="DS137" t="e">
        <f>AND(#REF!,"AAAAAEHvf3o=")</f>
        <v>#REF!</v>
      </c>
      <c r="DT137" t="e">
        <f>AND(#REF!,"AAAAAEHvf3s=")</f>
        <v>#REF!</v>
      </c>
      <c r="DU137" t="e">
        <f>AND(#REF!,"AAAAAEHvf3w=")</f>
        <v>#REF!</v>
      </c>
      <c r="DV137" t="e">
        <f>AND(#REF!,"AAAAAEHvf30=")</f>
        <v>#REF!</v>
      </c>
      <c r="DW137" t="e">
        <f>AND(#REF!,"AAAAAEHvf34=")</f>
        <v>#REF!</v>
      </c>
      <c r="DX137" t="e">
        <f>AND(#REF!,"AAAAAEHvf38=")</f>
        <v>#REF!</v>
      </c>
      <c r="DY137" t="e">
        <f>AND(#REF!,"AAAAAEHvf4A=")</f>
        <v>#REF!</v>
      </c>
      <c r="DZ137" t="e">
        <f>AND(#REF!,"AAAAAEHvf4E=")</f>
        <v>#REF!</v>
      </c>
      <c r="EA137" t="e">
        <f>AND(#REF!,"AAAAAEHvf4I=")</f>
        <v>#REF!</v>
      </c>
      <c r="EB137" t="e">
        <f>AND(#REF!,"AAAAAEHvf4M=")</f>
        <v>#REF!</v>
      </c>
      <c r="EC137" t="e">
        <f>AND(#REF!,"AAAAAEHvf4Q=")</f>
        <v>#REF!</v>
      </c>
      <c r="ED137" t="e">
        <f>AND(#REF!,"AAAAAEHvf4U=")</f>
        <v>#REF!</v>
      </c>
      <c r="EE137" t="e">
        <f>AND(#REF!,"AAAAAEHvf4Y=")</f>
        <v>#REF!</v>
      </c>
      <c r="EF137" t="e">
        <f>AND(#REF!,"AAAAAEHvf4c=")</f>
        <v>#REF!</v>
      </c>
      <c r="EG137" t="e">
        <f>AND(#REF!,"AAAAAEHvf4g=")</f>
        <v>#REF!</v>
      </c>
      <c r="EH137" t="e">
        <f>AND(#REF!,"AAAAAEHvf4k=")</f>
        <v>#REF!</v>
      </c>
      <c r="EI137" t="e">
        <f>AND(#REF!,"AAAAAEHvf4o=")</f>
        <v>#REF!</v>
      </c>
      <c r="EJ137" t="e">
        <f>AND(#REF!,"AAAAAEHvf4s=")</f>
        <v>#REF!</v>
      </c>
      <c r="EK137" t="e">
        <f>AND(#REF!,"AAAAAEHvf4w=")</f>
        <v>#REF!</v>
      </c>
      <c r="EL137" t="e">
        <f>AND(#REF!,"AAAAAEHvf40=")</f>
        <v>#REF!</v>
      </c>
      <c r="EM137" t="e">
        <f>AND(#REF!,"AAAAAEHvf44=")</f>
        <v>#REF!</v>
      </c>
      <c r="EN137" t="e">
        <f>AND(#REF!,"AAAAAEHvf48=")</f>
        <v>#REF!</v>
      </c>
      <c r="EO137" t="e">
        <f>IF(#REF!,"AAAAAEHvf5A=",0)</f>
        <v>#REF!</v>
      </c>
      <c r="EP137" t="e">
        <f>AND(#REF!,"AAAAAEHvf5E=")</f>
        <v>#REF!</v>
      </c>
      <c r="EQ137" t="e">
        <f>AND(#REF!,"AAAAAEHvf5I=")</f>
        <v>#REF!</v>
      </c>
      <c r="ER137" t="e">
        <f>AND(#REF!,"AAAAAEHvf5M=")</f>
        <v>#REF!</v>
      </c>
      <c r="ES137" t="e">
        <f>AND(#REF!,"AAAAAEHvf5Q=")</f>
        <v>#REF!</v>
      </c>
      <c r="ET137" t="e">
        <f>AND(#REF!,"AAAAAEHvf5U=")</f>
        <v>#REF!</v>
      </c>
      <c r="EU137" t="e">
        <f>AND(#REF!,"AAAAAEHvf5Y=")</f>
        <v>#REF!</v>
      </c>
      <c r="EV137" t="e">
        <f>AND(#REF!,"AAAAAEHvf5c=")</f>
        <v>#REF!</v>
      </c>
      <c r="EW137" t="e">
        <f>AND(#REF!,"AAAAAEHvf5g=")</f>
        <v>#REF!</v>
      </c>
      <c r="EX137" t="e">
        <f>AND(#REF!,"AAAAAEHvf5k=")</f>
        <v>#REF!</v>
      </c>
      <c r="EY137" t="e">
        <f>AND(#REF!,"AAAAAEHvf5o=")</f>
        <v>#REF!</v>
      </c>
      <c r="EZ137" t="e">
        <f>AND(#REF!,"AAAAAEHvf5s=")</f>
        <v>#REF!</v>
      </c>
      <c r="FA137" t="e">
        <f>AND(#REF!,"AAAAAEHvf5w=")</f>
        <v>#REF!</v>
      </c>
      <c r="FB137" t="e">
        <f>AND(#REF!,"AAAAAEHvf50=")</f>
        <v>#REF!</v>
      </c>
      <c r="FC137" t="e">
        <f>AND(#REF!,"AAAAAEHvf54=")</f>
        <v>#REF!</v>
      </c>
      <c r="FD137" t="e">
        <f>AND(#REF!,"AAAAAEHvf58=")</f>
        <v>#REF!</v>
      </c>
      <c r="FE137" t="e">
        <f>AND(#REF!,"AAAAAEHvf6A=")</f>
        <v>#REF!</v>
      </c>
      <c r="FF137" t="e">
        <f>AND(#REF!,"AAAAAEHvf6E=")</f>
        <v>#REF!</v>
      </c>
      <c r="FG137" t="e">
        <f>AND(#REF!,"AAAAAEHvf6I=")</f>
        <v>#REF!</v>
      </c>
      <c r="FH137" t="e">
        <f>AND(#REF!,"AAAAAEHvf6M=")</f>
        <v>#REF!</v>
      </c>
      <c r="FI137" t="e">
        <f>AND(#REF!,"AAAAAEHvf6Q=")</f>
        <v>#REF!</v>
      </c>
      <c r="FJ137" t="e">
        <f>AND(#REF!,"AAAAAEHvf6U=")</f>
        <v>#REF!</v>
      </c>
      <c r="FK137" t="e">
        <f>AND(#REF!,"AAAAAEHvf6Y=")</f>
        <v>#REF!</v>
      </c>
      <c r="FL137" t="e">
        <f>AND(#REF!,"AAAAAEHvf6c=")</f>
        <v>#REF!</v>
      </c>
      <c r="FM137" t="e">
        <f>AND(#REF!,"AAAAAEHvf6g=")</f>
        <v>#REF!</v>
      </c>
      <c r="FN137" t="e">
        <f>IF(#REF!,"AAAAAEHvf6k=",0)</f>
        <v>#REF!</v>
      </c>
      <c r="FO137" t="e">
        <f>AND(#REF!,"AAAAAEHvf6o=")</f>
        <v>#REF!</v>
      </c>
      <c r="FP137" t="e">
        <f>AND(#REF!,"AAAAAEHvf6s=")</f>
        <v>#REF!</v>
      </c>
      <c r="FQ137" t="e">
        <f>AND(#REF!,"AAAAAEHvf6w=")</f>
        <v>#REF!</v>
      </c>
      <c r="FR137" t="e">
        <f>AND(#REF!,"AAAAAEHvf60=")</f>
        <v>#REF!</v>
      </c>
      <c r="FS137" t="e">
        <f>AND(#REF!,"AAAAAEHvf64=")</f>
        <v>#REF!</v>
      </c>
      <c r="FT137" t="e">
        <f>AND(#REF!,"AAAAAEHvf68=")</f>
        <v>#REF!</v>
      </c>
      <c r="FU137" t="e">
        <f>AND(#REF!,"AAAAAEHvf7A=")</f>
        <v>#REF!</v>
      </c>
      <c r="FV137" t="e">
        <f>AND(#REF!,"AAAAAEHvf7E=")</f>
        <v>#REF!</v>
      </c>
      <c r="FW137" t="e">
        <f>AND(#REF!,"AAAAAEHvf7I=")</f>
        <v>#REF!</v>
      </c>
      <c r="FX137" t="e">
        <f>AND(#REF!,"AAAAAEHvf7M=")</f>
        <v>#REF!</v>
      </c>
      <c r="FY137" t="e">
        <f>AND(#REF!,"AAAAAEHvf7Q=")</f>
        <v>#REF!</v>
      </c>
      <c r="FZ137" t="e">
        <f>AND(#REF!,"AAAAAEHvf7U=")</f>
        <v>#REF!</v>
      </c>
      <c r="GA137" t="e">
        <f>AND(#REF!,"AAAAAEHvf7Y=")</f>
        <v>#REF!</v>
      </c>
      <c r="GB137" t="e">
        <f>AND(#REF!,"AAAAAEHvf7c=")</f>
        <v>#REF!</v>
      </c>
      <c r="GC137" t="e">
        <f>AND(#REF!,"AAAAAEHvf7g=")</f>
        <v>#REF!</v>
      </c>
      <c r="GD137" t="e">
        <f>AND(#REF!,"AAAAAEHvf7k=")</f>
        <v>#REF!</v>
      </c>
      <c r="GE137" t="e">
        <f>AND(#REF!,"AAAAAEHvf7o=")</f>
        <v>#REF!</v>
      </c>
      <c r="GF137" t="e">
        <f>AND(#REF!,"AAAAAEHvf7s=")</f>
        <v>#REF!</v>
      </c>
      <c r="GG137" t="e">
        <f>AND(#REF!,"AAAAAEHvf7w=")</f>
        <v>#REF!</v>
      </c>
      <c r="GH137" t="e">
        <f>AND(#REF!,"AAAAAEHvf70=")</f>
        <v>#REF!</v>
      </c>
      <c r="GI137" t="e">
        <f>AND(#REF!,"AAAAAEHvf74=")</f>
        <v>#REF!</v>
      </c>
      <c r="GJ137" t="e">
        <f>AND(#REF!,"AAAAAEHvf78=")</f>
        <v>#REF!</v>
      </c>
      <c r="GK137" t="e">
        <f>AND(#REF!,"AAAAAEHvf8A=")</f>
        <v>#REF!</v>
      </c>
      <c r="GL137" t="e">
        <f>AND(#REF!,"AAAAAEHvf8E=")</f>
        <v>#REF!</v>
      </c>
      <c r="GM137" t="e">
        <f>IF(#REF!,"AAAAAEHvf8I=",0)</f>
        <v>#REF!</v>
      </c>
      <c r="GN137" t="e">
        <f>AND(#REF!,"AAAAAEHvf8M=")</f>
        <v>#REF!</v>
      </c>
      <c r="GO137" t="e">
        <f>AND(#REF!,"AAAAAEHvf8Q=")</f>
        <v>#REF!</v>
      </c>
      <c r="GP137" t="e">
        <f>AND(#REF!,"AAAAAEHvf8U=")</f>
        <v>#REF!</v>
      </c>
      <c r="GQ137" t="e">
        <f>AND(#REF!,"AAAAAEHvf8Y=")</f>
        <v>#REF!</v>
      </c>
      <c r="GR137" t="e">
        <f>AND(#REF!,"AAAAAEHvf8c=")</f>
        <v>#REF!</v>
      </c>
      <c r="GS137" t="e">
        <f>AND(#REF!,"AAAAAEHvf8g=")</f>
        <v>#REF!</v>
      </c>
      <c r="GT137" t="e">
        <f>AND(#REF!,"AAAAAEHvf8k=")</f>
        <v>#REF!</v>
      </c>
      <c r="GU137" t="e">
        <f>AND(#REF!,"AAAAAEHvf8o=")</f>
        <v>#REF!</v>
      </c>
      <c r="GV137" t="e">
        <f>AND(#REF!,"AAAAAEHvf8s=")</f>
        <v>#REF!</v>
      </c>
      <c r="GW137" t="e">
        <f>AND(#REF!,"AAAAAEHvf8w=")</f>
        <v>#REF!</v>
      </c>
      <c r="GX137" t="e">
        <f>AND(#REF!,"AAAAAEHvf80=")</f>
        <v>#REF!</v>
      </c>
      <c r="GY137" t="e">
        <f>AND(#REF!,"AAAAAEHvf84=")</f>
        <v>#REF!</v>
      </c>
      <c r="GZ137" t="e">
        <f>AND(#REF!,"AAAAAEHvf88=")</f>
        <v>#REF!</v>
      </c>
      <c r="HA137" t="e">
        <f>AND(#REF!,"AAAAAEHvf9A=")</f>
        <v>#REF!</v>
      </c>
      <c r="HB137" t="e">
        <f>AND(#REF!,"AAAAAEHvf9E=")</f>
        <v>#REF!</v>
      </c>
      <c r="HC137" t="e">
        <f>AND(#REF!,"AAAAAEHvf9I=")</f>
        <v>#REF!</v>
      </c>
      <c r="HD137" t="e">
        <f>AND(#REF!,"AAAAAEHvf9M=")</f>
        <v>#REF!</v>
      </c>
      <c r="HE137" t="e">
        <f>AND(#REF!,"AAAAAEHvf9Q=")</f>
        <v>#REF!</v>
      </c>
      <c r="HF137" t="e">
        <f>AND(#REF!,"AAAAAEHvf9U=")</f>
        <v>#REF!</v>
      </c>
      <c r="HG137" t="e">
        <f>AND(#REF!,"AAAAAEHvf9Y=")</f>
        <v>#REF!</v>
      </c>
      <c r="HH137" t="e">
        <f>AND(#REF!,"AAAAAEHvf9c=")</f>
        <v>#REF!</v>
      </c>
      <c r="HI137" t="e">
        <f>AND(#REF!,"AAAAAEHvf9g=")</f>
        <v>#REF!</v>
      </c>
      <c r="HJ137" t="e">
        <f>AND(#REF!,"AAAAAEHvf9k=")</f>
        <v>#REF!</v>
      </c>
      <c r="HK137" t="e">
        <f>AND(#REF!,"AAAAAEHvf9o=")</f>
        <v>#REF!</v>
      </c>
      <c r="HL137" t="e">
        <f>IF(#REF!,"AAAAAEHvf9s=",0)</f>
        <v>#REF!</v>
      </c>
      <c r="HM137" t="e">
        <f>AND(#REF!,"AAAAAEHvf9w=")</f>
        <v>#REF!</v>
      </c>
      <c r="HN137" t="e">
        <f>AND(#REF!,"AAAAAEHvf90=")</f>
        <v>#REF!</v>
      </c>
      <c r="HO137" t="e">
        <f>AND(#REF!,"AAAAAEHvf94=")</f>
        <v>#REF!</v>
      </c>
      <c r="HP137" t="e">
        <f>AND(#REF!,"AAAAAEHvf98=")</f>
        <v>#REF!</v>
      </c>
      <c r="HQ137" t="e">
        <f>AND(#REF!,"AAAAAEHvf+A=")</f>
        <v>#REF!</v>
      </c>
      <c r="HR137" t="e">
        <f>AND(#REF!,"AAAAAEHvf+E=")</f>
        <v>#REF!</v>
      </c>
      <c r="HS137" t="e">
        <f>AND(#REF!,"AAAAAEHvf+I=")</f>
        <v>#REF!</v>
      </c>
      <c r="HT137" t="e">
        <f>AND(#REF!,"AAAAAEHvf+M=")</f>
        <v>#REF!</v>
      </c>
      <c r="HU137" t="e">
        <f>AND(#REF!,"AAAAAEHvf+Q=")</f>
        <v>#REF!</v>
      </c>
      <c r="HV137" t="e">
        <f>AND(#REF!,"AAAAAEHvf+U=")</f>
        <v>#REF!</v>
      </c>
      <c r="HW137" t="e">
        <f>AND(#REF!,"AAAAAEHvf+Y=")</f>
        <v>#REF!</v>
      </c>
      <c r="HX137" t="e">
        <f>AND(#REF!,"AAAAAEHvf+c=")</f>
        <v>#REF!</v>
      </c>
      <c r="HY137" t="e">
        <f>AND(#REF!,"AAAAAEHvf+g=")</f>
        <v>#REF!</v>
      </c>
      <c r="HZ137" t="e">
        <f>AND(#REF!,"AAAAAEHvf+k=")</f>
        <v>#REF!</v>
      </c>
      <c r="IA137" t="e">
        <f>AND(#REF!,"AAAAAEHvf+o=")</f>
        <v>#REF!</v>
      </c>
      <c r="IB137" t="e">
        <f>AND(#REF!,"AAAAAEHvf+s=")</f>
        <v>#REF!</v>
      </c>
      <c r="IC137" t="e">
        <f>AND(#REF!,"AAAAAEHvf+w=")</f>
        <v>#REF!</v>
      </c>
      <c r="ID137" t="e">
        <f>AND(#REF!,"AAAAAEHvf+0=")</f>
        <v>#REF!</v>
      </c>
      <c r="IE137" t="e">
        <f>AND(#REF!,"AAAAAEHvf+4=")</f>
        <v>#REF!</v>
      </c>
      <c r="IF137" t="e">
        <f>AND(#REF!,"AAAAAEHvf+8=")</f>
        <v>#REF!</v>
      </c>
      <c r="IG137" t="e">
        <f>AND(#REF!,"AAAAAEHvf/A=")</f>
        <v>#REF!</v>
      </c>
      <c r="IH137" t="e">
        <f>AND(#REF!,"AAAAAEHvf/E=")</f>
        <v>#REF!</v>
      </c>
      <c r="II137" t="e">
        <f>AND(#REF!,"AAAAAEHvf/I=")</f>
        <v>#REF!</v>
      </c>
      <c r="IJ137" t="e">
        <f>AND(#REF!,"AAAAAEHvf/M=")</f>
        <v>#REF!</v>
      </c>
      <c r="IK137" t="e">
        <f>IF(#REF!,"AAAAAEHvf/Q=",0)</f>
        <v>#REF!</v>
      </c>
      <c r="IL137" t="e">
        <f>AND(#REF!,"AAAAAEHvf/U=")</f>
        <v>#REF!</v>
      </c>
      <c r="IM137" t="e">
        <f>AND(#REF!,"AAAAAEHvf/Y=")</f>
        <v>#REF!</v>
      </c>
      <c r="IN137" t="e">
        <f>AND(#REF!,"AAAAAEHvf/c=")</f>
        <v>#REF!</v>
      </c>
      <c r="IO137" t="e">
        <f>AND(#REF!,"AAAAAEHvf/g=")</f>
        <v>#REF!</v>
      </c>
      <c r="IP137" t="e">
        <f>AND(#REF!,"AAAAAEHvf/k=")</f>
        <v>#REF!</v>
      </c>
      <c r="IQ137" t="e">
        <f>AND(#REF!,"AAAAAEHvf/o=")</f>
        <v>#REF!</v>
      </c>
      <c r="IR137" t="e">
        <f>AND(#REF!,"AAAAAEHvf/s=")</f>
        <v>#REF!</v>
      </c>
      <c r="IS137" t="e">
        <f>AND(#REF!,"AAAAAEHvf/w=")</f>
        <v>#REF!</v>
      </c>
      <c r="IT137" t="e">
        <f>AND(#REF!,"AAAAAEHvf/0=")</f>
        <v>#REF!</v>
      </c>
      <c r="IU137" t="e">
        <f>AND(#REF!,"AAAAAEHvf/4=")</f>
        <v>#REF!</v>
      </c>
      <c r="IV137" t="e">
        <f>AND(#REF!,"AAAAAEHvf/8=")</f>
        <v>#REF!</v>
      </c>
    </row>
    <row r="138" spans="1:256">
      <c r="A138" t="e">
        <f>AND(#REF!,"AAAAADvz+QA=")</f>
        <v>#REF!</v>
      </c>
      <c r="B138" t="e">
        <f>AND(#REF!,"AAAAADvz+QE=")</f>
        <v>#REF!</v>
      </c>
      <c r="C138" t="e">
        <f>AND(#REF!,"AAAAADvz+QI=")</f>
        <v>#REF!</v>
      </c>
      <c r="D138" t="e">
        <f>AND(#REF!,"AAAAADvz+QM=")</f>
        <v>#REF!</v>
      </c>
      <c r="E138" t="e">
        <f>AND(#REF!,"AAAAADvz+QQ=")</f>
        <v>#REF!</v>
      </c>
      <c r="F138" t="e">
        <f>AND(#REF!,"AAAAADvz+QU=")</f>
        <v>#REF!</v>
      </c>
      <c r="G138" t="e">
        <f>AND(#REF!,"AAAAADvz+QY=")</f>
        <v>#REF!</v>
      </c>
      <c r="H138" t="e">
        <f>AND(#REF!,"AAAAADvz+Qc=")</f>
        <v>#REF!</v>
      </c>
      <c r="I138" t="e">
        <f>AND(#REF!,"AAAAADvz+Qg=")</f>
        <v>#REF!</v>
      </c>
      <c r="J138" t="e">
        <f>AND(#REF!,"AAAAADvz+Qk=")</f>
        <v>#REF!</v>
      </c>
      <c r="K138" t="e">
        <f>AND(#REF!,"AAAAADvz+Qo=")</f>
        <v>#REF!</v>
      </c>
      <c r="L138" t="e">
        <f>AND(#REF!,"AAAAADvz+Qs=")</f>
        <v>#REF!</v>
      </c>
      <c r="M138" t="e">
        <f>AND(#REF!,"AAAAADvz+Qw=")</f>
        <v>#REF!</v>
      </c>
      <c r="N138" t="e">
        <f>IF(#REF!,"AAAAADvz+Q0=",0)</f>
        <v>#REF!</v>
      </c>
      <c r="O138" t="e">
        <f>AND(#REF!,"AAAAADvz+Q4=")</f>
        <v>#REF!</v>
      </c>
      <c r="P138" t="e">
        <f>AND(#REF!,"AAAAADvz+Q8=")</f>
        <v>#REF!</v>
      </c>
      <c r="Q138" t="e">
        <f>AND(#REF!,"AAAAADvz+RA=")</f>
        <v>#REF!</v>
      </c>
      <c r="R138" t="e">
        <f>AND(#REF!,"AAAAADvz+RE=")</f>
        <v>#REF!</v>
      </c>
      <c r="S138" t="e">
        <f>AND(#REF!,"AAAAADvz+RI=")</f>
        <v>#REF!</v>
      </c>
      <c r="T138" t="e">
        <f>AND(#REF!,"AAAAADvz+RM=")</f>
        <v>#REF!</v>
      </c>
      <c r="U138" t="e">
        <f>AND(#REF!,"AAAAADvz+RQ=")</f>
        <v>#REF!</v>
      </c>
      <c r="V138" t="e">
        <f>AND(#REF!,"AAAAADvz+RU=")</f>
        <v>#REF!</v>
      </c>
      <c r="W138" t="e">
        <f>AND(#REF!,"AAAAADvz+RY=")</f>
        <v>#REF!</v>
      </c>
      <c r="X138" t="e">
        <f>AND(#REF!,"AAAAADvz+Rc=")</f>
        <v>#REF!</v>
      </c>
      <c r="Y138" t="e">
        <f>AND(#REF!,"AAAAADvz+Rg=")</f>
        <v>#REF!</v>
      </c>
      <c r="Z138" t="e">
        <f>AND(#REF!,"AAAAADvz+Rk=")</f>
        <v>#REF!</v>
      </c>
      <c r="AA138" t="e">
        <f>AND(#REF!,"AAAAADvz+Ro=")</f>
        <v>#REF!</v>
      </c>
      <c r="AB138" t="e">
        <f>AND(#REF!,"AAAAADvz+Rs=")</f>
        <v>#REF!</v>
      </c>
      <c r="AC138" t="e">
        <f>AND(#REF!,"AAAAADvz+Rw=")</f>
        <v>#REF!</v>
      </c>
      <c r="AD138" t="e">
        <f>AND(#REF!,"AAAAADvz+R0=")</f>
        <v>#REF!</v>
      </c>
      <c r="AE138" t="e">
        <f>AND(#REF!,"AAAAADvz+R4=")</f>
        <v>#REF!</v>
      </c>
      <c r="AF138" t="e">
        <f>AND(#REF!,"AAAAADvz+R8=")</f>
        <v>#REF!</v>
      </c>
      <c r="AG138" t="e">
        <f>AND(#REF!,"AAAAADvz+SA=")</f>
        <v>#REF!</v>
      </c>
      <c r="AH138" t="e">
        <f>AND(#REF!,"AAAAADvz+SE=")</f>
        <v>#REF!</v>
      </c>
      <c r="AI138" t="e">
        <f>AND(#REF!,"AAAAADvz+SI=")</f>
        <v>#REF!</v>
      </c>
      <c r="AJ138" t="e">
        <f>AND(#REF!,"AAAAADvz+SM=")</f>
        <v>#REF!</v>
      </c>
      <c r="AK138" t="e">
        <f>AND(#REF!,"AAAAADvz+SQ=")</f>
        <v>#REF!</v>
      </c>
      <c r="AL138" t="e">
        <f>AND(#REF!,"AAAAADvz+SU=")</f>
        <v>#REF!</v>
      </c>
      <c r="AM138" t="e">
        <f>IF(#REF!,"AAAAADvz+SY=",0)</f>
        <v>#REF!</v>
      </c>
      <c r="AN138" t="e">
        <f>AND(#REF!,"AAAAADvz+Sc=")</f>
        <v>#REF!</v>
      </c>
      <c r="AO138" t="e">
        <f>AND(#REF!,"AAAAADvz+Sg=")</f>
        <v>#REF!</v>
      </c>
      <c r="AP138" t="e">
        <f>AND(#REF!,"AAAAADvz+Sk=")</f>
        <v>#REF!</v>
      </c>
      <c r="AQ138" t="e">
        <f>AND(#REF!,"AAAAADvz+So=")</f>
        <v>#REF!</v>
      </c>
      <c r="AR138" t="e">
        <f>AND(#REF!,"AAAAADvz+Ss=")</f>
        <v>#REF!</v>
      </c>
      <c r="AS138" t="e">
        <f>AND(#REF!,"AAAAADvz+Sw=")</f>
        <v>#REF!</v>
      </c>
      <c r="AT138" t="e">
        <f>AND(#REF!,"AAAAADvz+S0=")</f>
        <v>#REF!</v>
      </c>
      <c r="AU138" t="e">
        <f>AND(#REF!,"AAAAADvz+S4=")</f>
        <v>#REF!</v>
      </c>
      <c r="AV138" t="e">
        <f>AND(#REF!,"AAAAADvz+S8=")</f>
        <v>#REF!</v>
      </c>
      <c r="AW138" t="e">
        <f>AND(#REF!,"AAAAADvz+TA=")</f>
        <v>#REF!</v>
      </c>
      <c r="AX138" t="e">
        <f>AND(#REF!,"AAAAADvz+TE=")</f>
        <v>#REF!</v>
      </c>
      <c r="AY138" t="e">
        <f>AND(#REF!,"AAAAADvz+TI=")</f>
        <v>#REF!</v>
      </c>
      <c r="AZ138" t="e">
        <f>AND(#REF!,"AAAAADvz+TM=")</f>
        <v>#REF!</v>
      </c>
      <c r="BA138" t="e">
        <f>AND(#REF!,"AAAAADvz+TQ=")</f>
        <v>#REF!</v>
      </c>
      <c r="BB138" t="e">
        <f>AND(#REF!,"AAAAADvz+TU=")</f>
        <v>#REF!</v>
      </c>
      <c r="BC138" t="e">
        <f>AND(#REF!,"AAAAADvz+TY=")</f>
        <v>#REF!</v>
      </c>
      <c r="BD138" t="e">
        <f>AND(#REF!,"AAAAADvz+Tc=")</f>
        <v>#REF!</v>
      </c>
      <c r="BE138" t="e">
        <f>AND(#REF!,"AAAAADvz+Tg=")</f>
        <v>#REF!</v>
      </c>
      <c r="BF138" t="e">
        <f>AND(#REF!,"AAAAADvz+Tk=")</f>
        <v>#REF!</v>
      </c>
      <c r="BG138" t="e">
        <f>AND(#REF!,"AAAAADvz+To=")</f>
        <v>#REF!</v>
      </c>
      <c r="BH138" t="e">
        <f>AND(#REF!,"AAAAADvz+Ts=")</f>
        <v>#REF!</v>
      </c>
      <c r="BI138" t="e">
        <f>AND(#REF!,"AAAAADvz+Tw=")</f>
        <v>#REF!</v>
      </c>
      <c r="BJ138" t="e">
        <f>AND(#REF!,"AAAAADvz+T0=")</f>
        <v>#REF!</v>
      </c>
      <c r="BK138" t="e">
        <f>AND(#REF!,"AAAAADvz+T4=")</f>
        <v>#REF!</v>
      </c>
      <c r="BL138" t="e">
        <f>IF(#REF!,"AAAAADvz+T8=",0)</f>
        <v>#REF!</v>
      </c>
      <c r="BM138" t="e">
        <f>AND(#REF!,"AAAAADvz+UA=")</f>
        <v>#REF!</v>
      </c>
      <c r="BN138" t="e">
        <f>AND(#REF!,"AAAAADvz+UE=")</f>
        <v>#REF!</v>
      </c>
      <c r="BO138" t="e">
        <f>AND(#REF!,"AAAAADvz+UI=")</f>
        <v>#REF!</v>
      </c>
      <c r="BP138" t="e">
        <f>AND(#REF!,"AAAAADvz+UM=")</f>
        <v>#REF!</v>
      </c>
      <c r="BQ138" t="e">
        <f>AND(#REF!,"AAAAADvz+UQ=")</f>
        <v>#REF!</v>
      </c>
      <c r="BR138" t="e">
        <f>AND(#REF!,"AAAAADvz+UU=")</f>
        <v>#REF!</v>
      </c>
      <c r="BS138" t="e">
        <f>AND(#REF!,"AAAAADvz+UY=")</f>
        <v>#REF!</v>
      </c>
      <c r="BT138" t="e">
        <f>AND(#REF!,"AAAAADvz+Uc=")</f>
        <v>#REF!</v>
      </c>
      <c r="BU138" t="e">
        <f>AND(#REF!,"AAAAADvz+Ug=")</f>
        <v>#REF!</v>
      </c>
      <c r="BV138" t="e">
        <f>AND(#REF!,"AAAAADvz+Uk=")</f>
        <v>#REF!</v>
      </c>
      <c r="BW138" t="e">
        <f>AND(#REF!,"AAAAADvz+Uo=")</f>
        <v>#REF!</v>
      </c>
      <c r="BX138" t="e">
        <f>AND(#REF!,"AAAAADvz+Us=")</f>
        <v>#REF!</v>
      </c>
      <c r="BY138" t="e">
        <f>AND(#REF!,"AAAAADvz+Uw=")</f>
        <v>#REF!</v>
      </c>
      <c r="BZ138" t="e">
        <f>AND(#REF!,"AAAAADvz+U0=")</f>
        <v>#REF!</v>
      </c>
      <c r="CA138" t="e">
        <f>AND(#REF!,"AAAAADvz+U4=")</f>
        <v>#REF!</v>
      </c>
      <c r="CB138" t="e">
        <f>AND(#REF!,"AAAAADvz+U8=")</f>
        <v>#REF!</v>
      </c>
      <c r="CC138" t="e">
        <f>AND(#REF!,"AAAAADvz+VA=")</f>
        <v>#REF!</v>
      </c>
      <c r="CD138" t="e">
        <f>AND(#REF!,"AAAAADvz+VE=")</f>
        <v>#REF!</v>
      </c>
      <c r="CE138" t="e">
        <f>AND(#REF!,"AAAAADvz+VI=")</f>
        <v>#REF!</v>
      </c>
      <c r="CF138" t="e">
        <f>AND(#REF!,"AAAAADvz+VM=")</f>
        <v>#REF!</v>
      </c>
      <c r="CG138" t="e">
        <f>AND(#REF!,"AAAAADvz+VQ=")</f>
        <v>#REF!</v>
      </c>
      <c r="CH138" t="e">
        <f>AND(#REF!,"AAAAADvz+VU=")</f>
        <v>#REF!</v>
      </c>
      <c r="CI138" t="e">
        <f>AND(#REF!,"AAAAADvz+VY=")</f>
        <v>#REF!</v>
      </c>
      <c r="CJ138" t="e">
        <f>AND(#REF!,"AAAAADvz+Vc=")</f>
        <v>#REF!</v>
      </c>
      <c r="CK138" t="e">
        <f>IF(#REF!,"AAAAADvz+Vg=",0)</f>
        <v>#REF!</v>
      </c>
      <c r="CL138" t="e">
        <f>AND(#REF!,"AAAAADvz+Vk=")</f>
        <v>#REF!</v>
      </c>
      <c r="CM138" t="e">
        <f>AND(#REF!,"AAAAADvz+Vo=")</f>
        <v>#REF!</v>
      </c>
      <c r="CN138" t="e">
        <f>AND(#REF!,"AAAAADvz+Vs=")</f>
        <v>#REF!</v>
      </c>
      <c r="CO138" t="e">
        <f>AND(#REF!,"AAAAADvz+Vw=")</f>
        <v>#REF!</v>
      </c>
      <c r="CP138" t="e">
        <f>AND(#REF!,"AAAAADvz+V0=")</f>
        <v>#REF!</v>
      </c>
      <c r="CQ138" t="e">
        <f>AND(#REF!,"AAAAADvz+V4=")</f>
        <v>#REF!</v>
      </c>
      <c r="CR138" t="e">
        <f>AND(#REF!,"AAAAADvz+V8=")</f>
        <v>#REF!</v>
      </c>
      <c r="CS138" t="e">
        <f>AND(#REF!,"AAAAADvz+WA=")</f>
        <v>#REF!</v>
      </c>
      <c r="CT138" t="e">
        <f>AND(#REF!,"AAAAADvz+WE=")</f>
        <v>#REF!</v>
      </c>
      <c r="CU138" t="e">
        <f>AND(#REF!,"AAAAADvz+WI=")</f>
        <v>#REF!</v>
      </c>
      <c r="CV138" t="e">
        <f>AND(#REF!,"AAAAADvz+WM=")</f>
        <v>#REF!</v>
      </c>
      <c r="CW138" t="e">
        <f>AND(#REF!,"AAAAADvz+WQ=")</f>
        <v>#REF!</v>
      </c>
      <c r="CX138" t="e">
        <f>AND(#REF!,"AAAAADvz+WU=")</f>
        <v>#REF!</v>
      </c>
      <c r="CY138" t="e">
        <f>AND(#REF!,"AAAAADvz+WY=")</f>
        <v>#REF!</v>
      </c>
      <c r="CZ138" t="e">
        <f>AND(#REF!,"AAAAADvz+Wc=")</f>
        <v>#REF!</v>
      </c>
      <c r="DA138" t="e">
        <f>AND(#REF!,"AAAAADvz+Wg=")</f>
        <v>#REF!</v>
      </c>
      <c r="DB138" t="e">
        <f>AND(#REF!,"AAAAADvz+Wk=")</f>
        <v>#REF!</v>
      </c>
      <c r="DC138" t="e">
        <f>AND(#REF!,"AAAAADvz+Wo=")</f>
        <v>#REF!</v>
      </c>
      <c r="DD138" t="e">
        <f>AND(#REF!,"AAAAADvz+Ws=")</f>
        <v>#REF!</v>
      </c>
      <c r="DE138" t="e">
        <f>AND(#REF!,"AAAAADvz+Ww=")</f>
        <v>#REF!</v>
      </c>
      <c r="DF138" t="e">
        <f>AND(#REF!,"AAAAADvz+W0=")</f>
        <v>#REF!</v>
      </c>
      <c r="DG138" t="e">
        <f>AND(#REF!,"AAAAADvz+W4=")</f>
        <v>#REF!</v>
      </c>
      <c r="DH138" t="e">
        <f>AND(#REF!,"AAAAADvz+W8=")</f>
        <v>#REF!</v>
      </c>
      <c r="DI138" t="e">
        <f>AND(#REF!,"AAAAADvz+XA=")</f>
        <v>#REF!</v>
      </c>
      <c r="DJ138" t="e">
        <f>IF(#REF!,"AAAAADvz+XE=",0)</f>
        <v>#REF!</v>
      </c>
      <c r="DK138" t="e">
        <f>AND(#REF!,"AAAAADvz+XI=")</f>
        <v>#REF!</v>
      </c>
      <c r="DL138" t="e">
        <f>AND(#REF!,"AAAAADvz+XM=")</f>
        <v>#REF!</v>
      </c>
      <c r="DM138" t="e">
        <f>AND(#REF!,"AAAAADvz+XQ=")</f>
        <v>#REF!</v>
      </c>
      <c r="DN138" t="e">
        <f>AND(#REF!,"AAAAADvz+XU=")</f>
        <v>#REF!</v>
      </c>
      <c r="DO138" t="e">
        <f>AND(#REF!,"AAAAADvz+XY=")</f>
        <v>#REF!</v>
      </c>
      <c r="DP138" t="e">
        <f>AND(#REF!,"AAAAADvz+Xc=")</f>
        <v>#REF!</v>
      </c>
      <c r="DQ138" t="e">
        <f>AND(#REF!,"AAAAADvz+Xg=")</f>
        <v>#REF!</v>
      </c>
      <c r="DR138" t="e">
        <f>AND(#REF!,"AAAAADvz+Xk=")</f>
        <v>#REF!</v>
      </c>
      <c r="DS138" t="e">
        <f>AND(#REF!,"AAAAADvz+Xo=")</f>
        <v>#REF!</v>
      </c>
      <c r="DT138" t="e">
        <f>AND(#REF!,"AAAAADvz+Xs=")</f>
        <v>#REF!</v>
      </c>
      <c r="DU138" t="e">
        <f>AND(#REF!,"AAAAADvz+Xw=")</f>
        <v>#REF!</v>
      </c>
      <c r="DV138" t="e">
        <f>AND(#REF!,"AAAAADvz+X0=")</f>
        <v>#REF!</v>
      </c>
      <c r="DW138" t="e">
        <f>AND(#REF!,"AAAAADvz+X4=")</f>
        <v>#REF!</v>
      </c>
      <c r="DX138" t="e">
        <f>AND(#REF!,"AAAAADvz+X8=")</f>
        <v>#REF!</v>
      </c>
      <c r="DY138" t="e">
        <f>AND(#REF!,"AAAAADvz+YA=")</f>
        <v>#REF!</v>
      </c>
      <c r="DZ138" t="e">
        <f>AND(#REF!,"AAAAADvz+YE=")</f>
        <v>#REF!</v>
      </c>
      <c r="EA138" t="e">
        <f>AND(#REF!,"AAAAADvz+YI=")</f>
        <v>#REF!</v>
      </c>
      <c r="EB138" t="e">
        <f>AND(#REF!,"AAAAADvz+YM=")</f>
        <v>#REF!</v>
      </c>
      <c r="EC138" t="e">
        <f>AND(#REF!,"AAAAADvz+YQ=")</f>
        <v>#REF!</v>
      </c>
      <c r="ED138" t="e">
        <f>AND(#REF!,"AAAAADvz+YU=")</f>
        <v>#REF!</v>
      </c>
      <c r="EE138" t="e">
        <f>AND(#REF!,"AAAAADvz+YY=")</f>
        <v>#REF!</v>
      </c>
      <c r="EF138" t="e">
        <f>AND(#REF!,"AAAAADvz+Yc=")</f>
        <v>#REF!</v>
      </c>
      <c r="EG138" t="e">
        <f>AND(#REF!,"AAAAADvz+Yg=")</f>
        <v>#REF!</v>
      </c>
      <c r="EH138" t="e">
        <f>AND(#REF!,"AAAAADvz+Yk=")</f>
        <v>#REF!</v>
      </c>
      <c r="EI138" t="e">
        <f>IF(#REF!,"AAAAADvz+Yo=",0)</f>
        <v>#REF!</v>
      </c>
      <c r="EJ138" t="e">
        <f>AND(#REF!,"AAAAADvz+Ys=")</f>
        <v>#REF!</v>
      </c>
      <c r="EK138" t="e">
        <f>AND(#REF!,"AAAAADvz+Yw=")</f>
        <v>#REF!</v>
      </c>
      <c r="EL138" t="e">
        <f>AND(#REF!,"AAAAADvz+Y0=")</f>
        <v>#REF!</v>
      </c>
      <c r="EM138" t="e">
        <f>AND(#REF!,"AAAAADvz+Y4=")</f>
        <v>#REF!</v>
      </c>
      <c r="EN138" t="e">
        <f>AND(#REF!,"AAAAADvz+Y8=")</f>
        <v>#REF!</v>
      </c>
      <c r="EO138" t="e">
        <f>AND(#REF!,"AAAAADvz+ZA=")</f>
        <v>#REF!</v>
      </c>
      <c r="EP138" t="e">
        <f>AND(#REF!,"AAAAADvz+ZE=")</f>
        <v>#REF!</v>
      </c>
      <c r="EQ138" t="e">
        <f>AND(#REF!,"AAAAADvz+ZI=")</f>
        <v>#REF!</v>
      </c>
      <c r="ER138" t="e">
        <f>AND(#REF!,"AAAAADvz+ZM=")</f>
        <v>#REF!</v>
      </c>
      <c r="ES138" t="e">
        <f>AND(#REF!,"AAAAADvz+ZQ=")</f>
        <v>#REF!</v>
      </c>
      <c r="ET138" t="e">
        <f>AND(#REF!,"AAAAADvz+ZU=")</f>
        <v>#REF!</v>
      </c>
      <c r="EU138" t="e">
        <f>AND(#REF!,"AAAAADvz+ZY=")</f>
        <v>#REF!</v>
      </c>
      <c r="EV138" t="e">
        <f>AND(#REF!,"AAAAADvz+Zc=")</f>
        <v>#REF!</v>
      </c>
      <c r="EW138" t="e">
        <f>AND(#REF!,"AAAAADvz+Zg=")</f>
        <v>#REF!</v>
      </c>
      <c r="EX138" t="e">
        <f>AND(#REF!,"AAAAADvz+Zk=")</f>
        <v>#REF!</v>
      </c>
      <c r="EY138" t="e">
        <f>AND(#REF!,"AAAAADvz+Zo=")</f>
        <v>#REF!</v>
      </c>
      <c r="EZ138" t="e">
        <f>AND(#REF!,"AAAAADvz+Zs=")</f>
        <v>#REF!</v>
      </c>
      <c r="FA138" t="e">
        <f>AND(#REF!,"AAAAADvz+Zw=")</f>
        <v>#REF!</v>
      </c>
      <c r="FB138" t="e">
        <f>AND(#REF!,"AAAAADvz+Z0=")</f>
        <v>#REF!</v>
      </c>
      <c r="FC138" t="e">
        <f>AND(#REF!,"AAAAADvz+Z4=")</f>
        <v>#REF!</v>
      </c>
      <c r="FD138" t="e">
        <f>AND(#REF!,"AAAAADvz+Z8=")</f>
        <v>#REF!</v>
      </c>
      <c r="FE138" t="e">
        <f>AND(#REF!,"AAAAADvz+aA=")</f>
        <v>#REF!</v>
      </c>
      <c r="FF138" t="e">
        <f>AND(#REF!,"AAAAADvz+aE=")</f>
        <v>#REF!</v>
      </c>
      <c r="FG138" t="e">
        <f>AND(#REF!,"AAAAADvz+aI=")</f>
        <v>#REF!</v>
      </c>
      <c r="FH138" t="e">
        <f>IF(#REF!,"AAAAADvz+aM=",0)</f>
        <v>#REF!</v>
      </c>
      <c r="FI138" t="e">
        <f>AND(#REF!,"AAAAADvz+aQ=")</f>
        <v>#REF!</v>
      </c>
      <c r="FJ138" t="e">
        <f>AND(#REF!,"AAAAADvz+aU=")</f>
        <v>#REF!</v>
      </c>
      <c r="FK138" t="e">
        <f>AND(#REF!,"AAAAADvz+aY=")</f>
        <v>#REF!</v>
      </c>
      <c r="FL138" t="e">
        <f>AND(#REF!,"AAAAADvz+ac=")</f>
        <v>#REF!</v>
      </c>
      <c r="FM138" t="e">
        <f>AND(#REF!,"AAAAADvz+ag=")</f>
        <v>#REF!</v>
      </c>
      <c r="FN138" t="e">
        <f>AND(#REF!,"AAAAADvz+ak=")</f>
        <v>#REF!</v>
      </c>
      <c r="FO138" t="e">
        <f>AND(#REF!,"AAAAADvz+ao=")</f>
        <v>#REF!</v>
      </c>
      <c r="FP138" t="e">
        <f>AND(#REF!,"AAAAADvz+as=")</f>
        <v>#REF!</v>
      </c>
      <c r="FQ138" t="e">
        <f>AND(#REF!,"AAAAADvz+aw=")</f>
        <v>#REF!</v>
      </c>
      <c r="FR138" t="e">
        <f>AND(#REF!,"AAAAADvz+a0=")</f>
        <v>#REF!</v>
      </c>
      <c r="FS138" t="e">
        <f>AND(#REF!,"AAAAADvz+a4=")</f>
        <v>#REF!</v>
      </c>
      <c r="FT138" t="e">
        <f>AND(#REF!,"AAAAADvz+a8=")</f>
        <v>#REF!</v>
      </c>
      <c r="FU138" t="e">
        <f>AND(#REF!,"AAAAADvz+bA=")</f>
        <v>#REF!</v>
      </c>
      <c r="FV138" t="e">
        <f>AND(#REF!,"AAAAADvz+bE=")</f>
        <v>#REF!</v>
      </c>
      <c r="FW138" t="e">
        <f>AND(#REF!,"AAAAADvz+bI=")</f>
        <v>#REF!</v>
      </c>
      <c r="FX138" t="e">
        <f>AND(#REF!,"AAAAADvz+bM=")</f>
        <v>#REF!</v>
      </c>
      <c r="FY138" t="e">
        <f>AND(#REF!,"AAAAADvz+bQ=")</f>
        <v>#REF!</v>
      </c>
      <c r="FZ138" t="e">
        <f>AND(#REF!,"AAAAADvz+bU=")</f>
        <v>#REF!</v>
      </c>
      <c r="GA138" t="e">
        <f>AND(#REF!,"AAAAADvz+bY=")</f>
        <v>#REF!</v>
      </c>
      <c r="GB138" t="e">
        <f>AND(#REF!,"AAAAADvz+bc=")</f>
        <v>#REF!</v>
      </c>
      <c r="GC138" t="e">
        <f>AND(#REF!,"AAAAADvz+bg=")</f>
        <v>#REF!</v>
      </c>
      <c r="GD138" t="e">
        <f>AND(#REF!,"AAAAADvz+bk=")</f>
        <v>#REF!</v>
      </c>
      <c r="GE138" t="e">
        <f>AND(#REF!,"AAAAADvz+bo=")</f>
        <v>#REF!</v>
      </c>
      <c r="GF138" t="e">
        <f>AND(#REF!,"AAAAADvz+bs=")</f>
        <v>#REF!</v>
      </c>
      <c r="GG138" t="e">
        <f>IF(#REF!,"AAAAADvz+bw=",0)</f>
        <v>#REF!</v>
      </c>
      <c r="GH138" t="e">
        <f>AND(#REF!,"AAAAADvz+b0=")</f>
        <v>#REF!</v>
      </c>
      <c r="GI138" t="e">
        <f>AND(#REF!,"AAAAADvz+b4=")</f>
        <v>#REF!</v>
      </c>
      <c r="GJ138" t="e">
        <f>AND(#REF!,"AAAAADvz+b8=")</f>
        <v>#REF!</v>
      </c>
      <c r="GK138" t="e">
        <f>AND(#REF!,"AAAAADvz+cA=")</f>
        <v>#REF!</v>
      </c>
      <c r="GL138" t="e">
        <f>AND(#REF!,"AAAAADvz+cE=")</f>
        <v>#REF!</v>
      </c>
      <c r="GM138" t="e">
        <f>AND(#REF!,"AAAAADvz+cI=")</f>
        <v>#REF!</v>
      </c>
      <c r="GN138" t="e">
        <f>AND(#REF!,"AAAAADvz+cM=")</f>
        <v>#REF!</v>
      </c>
      <c r="GO138" t="e">
        <f>AND(#REF!,"AAAAADvz+cQ=")</f>
        <v>#REF!</v>
      </c>
      <c r="GP138" t="e">
        <f>AND(#REF!,"AAAAADvz+cU=")</f>
        <v>#REF!</v>
      </c>
      <c r="GQ138" t="e">
        <f>AND(#REF!,"AAAAADvz+cY=")</f>
        <v>#REF!</v>
      </c>
      <c r="GR138" t="e">
        <f>AND(#REF!,"AAAAADvz+cc=")</f>
        <v>#REF!</v>
      </c>
      <c r="GS138" t="e">
        <f>AND(#REF!,"AAAAADvz+cg=")</f>
        <v>#REF!</v>
      </c>
      <c r="GT138" t="e">
        <f>AND(#REF!,"AAAAADvz+ck=")</f>
        <v>#REF!</v>
      </c>
      <c r="GU138" t="e">
        <f>AND(#REF!,"AAAAADvz+co=")</f>
        <v>#REF!</v>
      </c>
      <c r="GV138" t="e">
        <f>AND(#REF!,"AAAAADvz+cs=")</f>
        <v>#REF!</v>
      </c>
      <c r="GW138" t="e">
        <f>AND(#REF!,"AAAAADvz+cw=")</f>
        <v>#REF!</v>
      </c>
      <c r="GX138" t="e">
        <f>AND(#REF!,"AAAAADvz+c0=")</f>
        <v>#REF!</v>
      </c>
      <c r="GY138" t="e">
        <f>AND(#REF!,"AAAAADvz+c4=")</f>
        <v>#REF!</v>
      </c>
      <c r="GZ138" t="e">
        <f>AND(#REF!,"AAAAADvz+c8=")</f>
        <v>#REF!</v>
      </c>
      <c r="HA138" t="e">
        <f>AND(#REF!,"AAAAADvz+dA=")</f>
        <v>#REF!</v>
      </c>
      <c r="HB138" t="e">
        <f>AND(#REF!,"AAAAADvz+dE=")</f>
        <v>#REF!</v>
      </c>
      <c r="HC138" t="e">
        <f>AND(#REF!,"AAAAADvz+dI=")</f>
        <v>#REF!</v>
      </c>
      <c r="HD138" t="e">
        <f>AND(#REF!,"AAAAADvz+dM=")</f>
        <v>#REF!</v>
      </c>
      <c r="HE138" t="e">
        <f>AND(#REF!,"AAAAADvz+dQ=")</f>
        <v>#REF!</v>
      </c>
      <c r="HF138" t="e">
        <f>IF(#REF!,"AAAAADvz+dU=",0)</f>
        <v>#REF!</v>
      </c>
      <c r="HG138" t="e">
        <f>AND(#REF!,"AAAAADvz+dY=")</f>
        <v>#REF!</v>
      </c>
      <c r="HH138" t="e">
        <f>AND(#REF!,"AAAAADvz+dc=")</f>
        <v>#REF!</v>
      </c>
      <c r="HI138" t="e">
        <f>AND(#REF!,"AAAAADvz+dg=")</f>
        <v>#REF!</v>
      </c>
      <c r="HJ138" t="e">
        <f>AND(#REF!,"AAAAADvz+dk=")</f>
        <v>#REF!</v>
      </c>
      <c r="HK138" t="e">
        <f>AND(#REF!,"AAAAADvz+do=")</f>
        <v>#REF!</v>
      </c>
      <c r="HL138" t="e">
        <f>AND(#REF!,"AAAAADvz+ds=")</f>
        <v>#REF!</v>
      </c>
      <c r="HM138" t="e">
        <f>AND(#REF!,"AAAAADvz+dw=")</f>
        <v>#REF!</v>
      </c>
      <c r="HN138" t="e">
        <f>AND(#REF!,"AAAAADvz+d0=")</f>
        <v>#REF!</v>
      </c>
      <c r="HO138" t="e">
        <f>AND(#REF!,"AAAAADvz+d4=")</f>
        <v>#REF!</v>
      </c>
      <c r="HP138" t="e">
        <f>AND(#REF!,"AAAAADvz+d8=")</f>
        <v>#REF!</v>
      </c>
      <c r="HQ138" t="e">
        <f>AND(#REF!,"AAAAADvz+eA=")</f>
        <v>#REF!</v>
      </c>
      <c r="HR138" t="e">
        <f>AND(#REF!,"AAAAADvz+eE=")</f>
        <v>#REF!</v>
      </c>
      <c r="HS138" t="e">
        <f>AND(#REF!,"AAAAADvz+eI=")</f>
        <v>#REF!</v>
      </c>
      <c r="HT138" t="e">
        <f>AND(#REF!,"AAAAADvz+eM=")</f>
        <v>#REF!</v>
      </c>
      <c r="HU138" t="e">
        <f>AND(#REF!,"AAAAADvz+eQ=")</f>
        <v>#REF!</v>
      </c>
      <c r="HV138" t="e">
        <f>AND(#REF!,"AAAAADvz+eU=")</f>
        <v>#REF!</v>
      </c>
      <c r="HW138" t="e">
        <f>AND(#REF!,"AAAAADvz+eY=")</f>
        <v>#REF!</v>
      </c>
      <c r="HX138" t="e">
        <f>AND(#REF!,"AAAAADvz+ec=")</f>
        <v>#REF!</v>
      </c>
      <c r="HY138" t="e">
        <f>AND(#REF!,"AAAAADvz+eg=")</f>
        <v>#REF!</v>
      </c>
      <c r="HZ138" t="e">
        <f>AND(#REF!,"AAAAADvz+ek=")</f>
        <v>#REF!</v>
      </c>
      <c r="IA138" t="e">
        <f>AND(#REF!,"AAAAADvz+eo=")</f>
        <v>#REF!</v>
      </c>
      <c r="IB138" t="e">
        <f>AND(#REF!,"AAAAADvz+es=")</f>
        <v>#REF!</v>
      </c>
      <c r="IC138" t="e">
        <f>AND(#REF!,"AAAAADvz+ew=")</f>
        <v>#REF!</v>
      </c>
      <c r="ID138" t="e">
        <f>AND(#REF!,"AAAAADvz+e0=")</f>
        <v>#REF!</v>
      </c>
      <c r="IE138" t="e">
        <f>IF(#REF!,"AAAAADvz+e4=",0)</f>
        <v>#REF!</v>
      </c>
      <c r="IF138" t="e">
        <f>AND(#REF!,"AAAAADvz+e8=")</f>
        <v>#REF!</v>
      </c>
      <c r="IG138" t="e">
        <f>AND(#REF!,"AAAAADvz+fA=")</f>
        <v>#REF!</v>
      </c>
      <c r="IH138" t="e">
        <f>AND(#REF!,"AAAAADvz+fE=")</f>
        <v>#REF!</v>
      </c>
      <c r="II138" t="e">
        <f>AND(#REF!,"AAAAADvz+fI=")</f>
        <v>#REF!</v>
      </c>
      <c r="IJ138" t="e">
        <f>AND(#REF!,"AAAAADvz+fM=")</f>
        <v>#REF!</v>
      </c>
      <c r="IK138" t="e">
        <f>AND(#REF!,"AAAAADvz+fQ=")</f>
        <v>#REF!</v>
      </c>
      <c r="IL138" t="e">
        <f>AND(#REF!,"AAAAADvz+fU=")</f>
        <v>#REF!</v>
      </c>
      <c r="IM138" t="e">
        <f>AND(#REF!,"AAAAADvz+fY=")</f>
        <v>#REF!</v>
      </c>
      <c r="IN138" t="e">
        <f>AND(#REF!,"AAAAADvz+fc=")</f>
        <v>#REF!</v>
      </c>
      <c r="IO138" t="e">
        <f>AND(#REF!,"AAAAADvz+fg=")</f>
        <v>#REF!</v>
      </c>
      <c r="IP138" t="e">
        <f>AND(#REF!,"AAAAADvz+fk=")</f>
        <v>#REF!</v>
      </c>
      <c r="IQ138" t="e">
        <f>AND(#REF!,"AAAAADvz+fo=")</f>
        <v>#REF!</v>
      </c>
      <c r="IR138" t="e">
        <f>AND(#REF!,"AAAAADvz+fs=")</f>
        <v>#REF!</v>
      </c>
      <c r="IS138" t="e">
        <f>AND(#REF!,"AAAAADvz+fw=")</f>
        <v>#REF!</v>
      </c>
      <c r="IT138" t="e">
        <f>AND(#REF!,"AAAAADvz+f0=")</f>
        <v>#REF!</v>
      </c>
      <c r="IU138" t="e">
        <f>AND(#REF!,"AAAAADvz+f4=")</f>
        <v>#REF!</v>
      </c>
      <c r="IV138" t="e">
        <f>AND(#REF!,"AAAAADvz+f8=")</f>
        <v>#REF!</v>
      </c>
    </row>
    <row r="139" spans="1:256">
      <c r="A139" t="e">
        <f>AND(#REF!,"AAAAAB1CqQA=")</f>
        <v>#REF!</v>
      </c>
      <c r="B139" t="e">
        <f>AND(#REF!,"AAAAAB1CqQE=")</f>
        <v>#REF!</v>
      </c>
      <c r="C139" t="e">
        <f>AND(#REF!,"AAAAAB1CqQI=")</f>
        <v>#REF!</v>
      </c>
      <c r="D139" t="e">
        <f>AND(#REF!,"AAAAAB1CqQM=")</f>
        <v>#REF!</v>
      </c>
      <c r="E139" t="e">
        <f>AND(#REF!,"AAAAAB1CqQQ=")</f>
        <v>#REF!</v>
      </c>
      <c r="F139" t="e">
        <f>AND(#REF!,"AAAAAB1CqQU=")</f>
        <v>#REF!</v>
      </c>
      <c r="G139" t="e">
        <f>AND(#REF!,"AAAAAB1CqQY=")</f>
        <v>#REF!</v>
      </c>
      <c r="H139" t="e">
        <f>IF(#REF!,"AAAAAB1CqQc=",0)</f>
        <v>#REF!</v>
      </c>
      <c r="I139" t="e">
        <f>AND(#REF!,"AAAAAB1CqQg=")</f>
        <v>#REF!</v>
      </c>
      <c r="J139" t="e">
        <f>AND(#REF!,"AAAAAB1CqQk=")</f>
        <v>#REF!</v>
      </c>
      <c r="K139" t="e">
        <f>AND(#REF!,"AAAAAB1CqQo=")</f>
        <v>#REF!</v>
      </c>
      <c r="L139" t="e">
        <f>AND(#REF!,"AAAAAB1CqQs=")</f>
        <v>#REF!</v>
      </c>
      <c r="M139" t="e">
        <f>AND(#REF!,"AAAAAB1CqQw=")</f>
        <v>#REF!</v>
      </c>
      <c r="N139" t="e">
        <f>AND(#REF!,"AAAAAB1CqQ0=")</f>
        <v>#REF!</v>
      </c>
      <c r="O139" t="e">
        <f>AND(#REF!,"AAAAAB1CqQ4=")</f>
        <v>#REF!</v>
      </c>
      <c r="P139" t="e">
        <f>AND(#REF!,"AAAAAB1CqQ8=")</f>
        <v>#REF!</v>
      </c>
      <c r="Q139" t="e">
        <f>AND(#REF!,"AAAAAB1CqRA=")</f>
        <v>#REF!</v>
      </c>
      <c r="R139" t="e">
        <f>AND(#REF!,"AAAAAB1CqRE=")</f>
        <v>#REF!</v>
      </c>
      <c r="S139" t="e">
        <f>AND(#REF!,"AAAAAB1CqRI=")</f>
        <v>#REF!</v>
      </c>
      <c r="T139" t="e">
        <f>AND(#REF!,"AAAAAB1CqRM=")</f>
        <v>#REF!</v>
      </c>
      <c r="U139" t="e">
        <f>AND(#REF!,"AAAAAB1CqRQ=")</f>
        <v>#REF!</v>
      </c>
      <c r="V139" t="e">
        <f>AND(#REF!,"AAAAAB1CqRU=")</f>
        <v>#REF!</v>
      </c>
      <c r="W139" t="e">
        <f>AND(#REF!,"AAAAAB1CqRY=")</f>
        <v>#REF!</v>
      </c>
      <c r="X139" t="e">
        <f>AND(#REF!,"AAAAAB1CqRc=")</f>
        <v>#REF!</v>
      </c>
      <c r="Y139" t="e">
        <f>AND(#REF!,"AAAAAB1CqRg=")</f>
        <v>#REF!</v>
      </c>
      <c r="Z139" t="e">
        <f>AND(#REF!,"AAAAAB1CqRk=")</f>
        <v>#REF!</v>
      </c>
      <c r="AA139" t="e">
        <f>AND(#REF!,"AAAAAB1CqRo=")</f>
        <v>#REF!</v>
      </c>
      <c r="AB139" t="e">
        <f>AND(#REF!,"AAAAAB1CqRs=")</f>
        <v>#REF!</v>
      </c>
      <c r="AC139" t="e">
        <f>AND(#REF!,"AAAAAB1CqRw=")</f>
        <v>#REF!</v>
      </c>
      <c r="AD139" t="e">
        <f>AND(#REF!,"AAAAAB1CqR0=")</f>
        <v>#REF!</v>
      </c>
      <c r="AE139" t="e">
        <f>AND(#REF!,"AAAAAB1CqR4=")</f>
        <v>#REF!</v>
      </c>
      <c r="AF139" t="e">
        <f>AND(#REF!,"AAAAAB1CqR8=")</f>
        <v>#REF!</v>
      </c>
      <c r="AG139" t="e">
        <f>IF(#REF!,"AAAAAB1CqSA=",0)</f>
        <v>#REF!</v>
      </c>
      <c r="AH139" t="e">
        <f>AND(#REF!,"AAAAAB1CqSE=")</f>
        <v>#REF!</v>
      </c>
      <c r="AI139" t="e">
        <f>AND(#REF!,"AAAAAB1CqSI=")</f>
        <v>#REF!</v>
      </c>
      <c r="AJ139" t="e">
        <f>AND(#REF!,"AAAAAB1CqSM=")</f>
        <v>#REF!</v>
      </c>
      <c r="AK139" t="e">
        <f>AND(#REF!,"AAAAAB1CqSQ=")</f>
        <v>#REF!</v>
      </c>
      <c r="AL139" t="e">
        <f>AND(#REF!,"AAAAAB1CqSU=")</f>
        <v>#REF!</v>
      </c>
      <c r="AM139" t="e">
        <f>AND(#REF!,"AAAAAB1CqSY=")</f>
        <v>#REF!</v>
      </c>
      <c r="AN139" t="e">
        <f>AND(#REF!,"AAAAAB1CqSc=")</f>
        <v>#REF!</v>
      </c>
      <c r="AO139" t="e">
        <f>AND(#REF!,"AAAAAB1CqSg=")</f>
        <v>#REF!</v>
      </c>
      <c r="AP139" t="e">
        <f>AND(#REF!,"AAAAAB1CqSk=")</f>
        <v>#REF!</v>
      </c>
      <c r="AQ139" t="e">
        <f>AND(#REF!,"AAAAAB1CqSo=")</f>
        <v>#REF!</v>
      </c>
      <c r="AR139" t="e">
        <f>AND(#REF!,"AAAAAB1CqSs=")</f>
        <v>#REF!</v>
      </c>
      <c r="AS139" t="e">
        <f>AND(#REF!,"AAAAAB1CqSw=")</f>
        <v>#REF!</v>
      </c>
      <c r="AT139" t="e">
        <f>AND(#REF!,"AAAAAB1CqS0=")</f>
        <v>#REF!</v>
      </c>
      <c r="AU139" t="e">
        <f>AND(#REF!,"AAAAAB1CqS4=")</f>
        <v>#REF!</v>
      </c>
      <c r="AV139" t="e">
        <f>AND(#REF!,"AAAAAB1CqS8=")</f>
        <v>#REF!</v>
      </c>
      <c r="AW139" t="e">
        <f>AND(#REF!,"AAAAAB1CqTA=")</f>
        <v>#REF!</v>
      </c>
      <c r="AX139" t="e">
        <f>AND(#REF!,"AAAAAB1CqTE=")</f>
        <v>#REF!</v>
      </c>
      <c r="AY139" t="e">
        <f>AND(#REF!,"AAAAAB1CqTI=")</f>
        <v>#REF!</v>
      </c>
      <c r="AZ139" t="e">
        <f>AND(#REF!,"AAAAAB1CqTM=")</f>
        <v>#REF!</v>
      </c>
      <c r="BA139" t="e">
        <f>AND(#REF!,"AAAAAB1CqTQ=")</f>
        <v>#REF!</v>
      </c>
      <c r="BB139" t="e">
        <f>AND(#REF!,"AAAAAB1CqTU=")</f>
        <v>#REF!</v>
      </c>
      <c r="BC139" t="e">
        <f>AND(#REF!,"AAAAAB1CqTY=")</f>
        <v>#REF!</v>
      </c>
      <c r="BD139" t="e">
        <f>AND(#REF!,"AAAAAB1CqTc=")</f>
        <v>#REF!</v>
      </c>
      <c r="BE139" t="e">
        <f>AND(#REF!,"AAAAAB1CqTg=")</f>
        <v>#REF!</v>
      </c>
      <c r="BF139" t="e">
        <f>IF(#REF!,"AAAAAB1CqTk=",0)</f>
        <v>#REF!</v>
      </c>
      <c r="BG139" t="e">
        <f>AND(#REF!,"AAAAAB1CqTo=")</f>
        <v>#REF!</v>
      </c>
      <c r="BH139" t="e">
        <f>AND(#REF!,"AAAAAB1CqTs=")</f>
        <v>#REF!</v>
      </c>
      <c r="BI139" t="e">
        <f>AND(#REF!,"AAAAAB1CqTw=")</f>
        <v>#REF!</v>
      </c>
      <c r="BJ139" t="e">
        <f>AND(#REF!,"AAAAAB1CqT0=")</f>
        <v>#REF!</v>
      </c>
      <c r="BK139" t="e">
        <f>AND(#REF!,"AAAAAB1CqT4=")</f>
        <v>#REF!</v>
      </c>
      <c r="BL139" t="e">
        <f>AND(#REF!,"AAAAAB1CqT8=")</f>
        <v>#REF!</v>
      </c>
      <c r="BM139" t="e">
        <f>AND(#REF!,"AAAAAB1CqUA=")</f>
        <v>#REF!</v>
      </c>
      <c r="BN139" t="e">
        <f>AND(#REF!,"AAAAAB1CqUE=")</f>
        <v>#REF!</v>
      </c>
      <c r="BO139" t="e">
        <f>AND(#REF!,"AAAAAB1CqUI=")</f>
        <v>#REF!</v>
      </c>
      <c r="BP139" t="e">
        <f>AND(#REF!,"AAAAAB1CqUM=")</f>
        <v>#REF!</v>
      </c>
      <c r="BQ139" t="e">
        <f>AND(#REF!,"AAAAAB1CqUQ=")</f>
        <v>#REF!</v>
      </c>
      <c r="BR139" t="e">
        <f>AND(#REF!,"AAAAAB1CqUU=")</f>
        <v>#REF!</v>
      </c>
      <c r="BS139" t="e">
        <f>AND(#REF!,"AAAAAB1CqUY=")</f>
        <v>#REF!</v>
      </c>
      <c r="BT139" t="e">
        <f>AND(#REF!,"AAAAAB1CqUc=")</f>
        <v>#REF!</v>
      </c>
      <c r="BU139" t="e">
        <f>AND(#REF!,"AAAAAB1CqUg=")</f>
        <v>#REF!</v>
      </c>
      <c r="BV139" t="e">
        <f>AND(#REF!,"AAAAAB1CqUk=")</f>
        <v>#REF!</v>
      </c>
      <c r="BW139" t="e">
        <f>AND(#REF!,"AAAAAB1CqUo=")</f>
        <v>#REF!</v>
      </c>
      <c r="BX139" t="e">
        <f>AND(#REF!,"AAAAAB1CqUs=")</f>
        <v>#REF!</v>
      </c>
      <c r="BY139" t="e">
        <f>AND(#REF!,"AAAAAB1CqUw=")</f>
        <v>#REF!</v>
      </c>
      <c r="BZ139" t="e">
        <f>AND(#REF!,"AAAAAB1CqU0=")</f>
        <v>#REF!</v>
      </c>
      <c r="CA139" t="e">
        <f>AND(#REF!,"AAAAAB1CqU4=")</f>
        <v>#REF!</v>
      </c>
      <c r="CB139" t="e">
        <f>AND(#REF!,"AAAAAB1CqU8=")</f>
        <v>#REF!</v>
      </c>
      <c r="CC139" t="e">
        <f>AND(#REF!,"AAAAAB1CqVA=")</f>
        <v>#REF!</v>
      </c>
      <c r="CD139" t="e">
        <f>AND(#REF!,"AAAAAB1CqVE=")</f>
        <v>#REF!</v>
      </c>
      <c r="CE139" t="e">
        <f>IF(#REF!,"AAAAAB1CqVI=",0)</f>
        <v>#REF!</v>
      </c>
      <c r="CF139" t="e">
        <f>AND(#REF!,"AAAAAB1CqVM=")</f>
        <v>#REF!</v>
      </c>
      <c r="CG139" t="e">
        <f>AND(#REF!,"AAAAAB1CqVQ=")</f>
        <v>#REF!</v>
      </c>
      <c r="CH139" t="e">
        <f>AND(#REF!,"AAAAAB1CqVU=")</f>
        <v>#REF!</v>
      </c>
      <c r="CI139" t="e">
        <f>AND(#REF!,"AAAAAB1CqVY=")</f>
        <v>#REF!</v>
      </c>
      <c r="CJ139" t="e">
        <f>AND(#REF!,"AAAAAB1CqVc=")</f>
        <v>#REF!</v>
      </c>
      <c r="CK139" t="e">
        <f>AND(#REF!,"AAAAAB1CqVg=")</f>
        <v>#REF!</v>
      </c>
      <c r="CL139" t="e">
        <f>AND(#REF!,"AAAAAB1CqVk=")</f>
        <v>#REF!</v>
      </c>
      <c r="CM139" t="e">
        <f>AND(#REF!,"AAAAAB1CqVo=")</f>
        <v>#REF!</v>
      </c>
      <c r="CN139" t="e">
        <f>AND(#REF!,"AAAAAB1CqVs=")</f>
        <v>#REF!</v>
      </c>
      <c r="CO139" t="e">
        <f>AND(#REF!,"AAAAAB1CqVw=")</f>
        <v>#REF!</v>
      </c>
      <c r="CP139" t="e">
        <f>AND(#REF!,"AAAAAB1CqV0=")</f>
        <v>#REF!</v>
      </c>
      <c r="CQ139" t="e">
        <f>AND(#REF!,"AAAAAB1CqV4=")</f>
        <v>#REF!</v>
      </c>
      <c r="CR139" t="e">
        <f>AND(#REF!,"AAAAAB1CqV8=")</f>
        <v>#REF!</v>
      </c>
      <c r="CS139" t="e">
        <f>AND(#REF!,"AAAAAB1CqWA=")</f>
        <v>#REF!</v>
      </c>
      <c r="CT139" t="e">
        <f>AND(#REF!,"AAAAAB1CqWE=")</f>
        <v>#REF!</v>
      </c>
      <c r="CU139" t="e">
        <f>AND(#REF!,"AAAAAB1CqWI=")</f>
        <v>#REF!</v>
      </c>
      <c r="CV139" t="e">
        <f>AND(#REF!,"AAAAAB1CqWM=")</f>
        <v>#REF!</v>
      </c>
      <c r="CW139" t="e">
        <f>AND(#REF!,"AAAAAB1CqWQ=")</f>
        <v>#REF!</v>
      </c>
      <c r="CX139" t="e">
        <f>AND(#REF!,"AAAAAB1CqWU=")</f>
        <v>#REF!</v>
      </c>
      <c r="CY139" t="e">
        <f>AND(#REF!,"AAAAAB1CqWY=")</f>
        <v>#REF!</v>
      </c>
      <c r="CZ139" t="e">
        <f>AND(#REF!,"AAAAAB1CqWc=")</f>
        <v>#REF!</v>
      </c>
      <c r="DA139" t="e">
        <f>AND(#REF!,"AAAAAB1CqWg=")</f>
        <v>#REF!</v>
      </c>
      <c r="DB139" t="e">
        <f>AND(#REF!,"AAAAAB1CqWk=")</f>
        <v>#REF!</v>
      </c>
      <c r="DC139" t="e">
        <f>AND(#REF!,"AAAAAB1CqWo=")</f>
        <v>#REF!</v>
      </c>
      <c r="DD139" t="e">
        <f>IF(#REF!,"AAAAAB1CqWs=",0)</f>
        <v>#REF!</v>
      </c>
      <c r="DE139" t="e">
        <f>AND(#REF!,"AAAAAB1CqWw=")</f>
        <v>#REF!</v>
      </c>
      <c r="DF139" t="e">
        <f>AND(#REF!,"AAAAAB1CqW0=")</f>
        <v>#REF!</v>
      </c>
      <c r="DG139" t="e">
        <f>AND(#REF!,"AAAAAB1CqW4=")</f>
        <v>#REF!</v>
      </c>
      <c r="DH139" t="e">
        <f>AND(#REF!,"AAAAAB1CqW8=")</f>
        <v>#REF!</v>
      </c>
      <c r="DI139" t="e">
        <f>AND(#REF!,"AAAAAB1CqXA=")</f>
        <v>#REF!</v>
      </c>
      <c r="DJ139" t="e">
        <f>AND(#REF!,"AAAAAB1CqXE=")</f>
        <v>#REF!</v>
      </c>
      <c r="DK139" t="e">
        <f>AND(#REF!,"AAAAAB1CqXI=")</f>
        <v>#REF!</v>
      </c>
      <c r="DL139" t="e">
        <f>AND(#REF!,"AAAAAB1CqXM=")</f>
        <v>#REF!</v>
      </c>
      <c r="DM139" t="e">
        <f>AND(#REF!,"AAAAAB1CqXQ=")</f>
        <v>#REF!</v>
      </c>
      <c r="DN139" t="e">
        <f>AND(#REF!,"AAAAAB1CqXU=")</f>
        <v>#REF!</v>
      </c>
      <c r="DO139" t="e">
        <f>AND(#REF!,"AAAAAB1CqXY=")</f>
        <v>#REF!</v>
      </c>
      <c r="DP139" t="e">
        <f>AND(#REF!,"AAAAAB1CqXc=")</f>
        <v>#REF!</v>
      </c>
      <c r="DQ139" t="e">
        <f>AND(#REF!,"AAAAAB1CqXg=")</f>
        <v>#REF!</v>
      </c>
      <c r="DR139" t="e">
        <f>AND(#REF!,"AAAAAB1CqXk=")</f>
        <v>#REF!</v>
      </c>
      <c r="DS139" t="e">
        <f>AND(#REF!,"AAAAAB1CqXo=")</f>
        <v>#REF!</v>
      </c>
      <c r="DT139" t="e">
        <f>AND(#REF!,"AAAAAB1CqXs=")</f>
        <v>#REF!</v>
      </c>
      <c r="DU139" t="e">
        <f>AND(#REF!,"AAAAAB1CqXw=")</f>
        <v>#REF!</v>
      </c>
      <c r="DV139" t="e">
        <f>AND(#REF!,"AAAAAB1CqX0=")</f>
        <v>#REF!</v>
      </c>
      <c r="DW139" t="e">
        <f>AND(#REF!,"AAAAAB1CqX4=")</f>
        <v>#REF!</v>
      </c>
      <c r="DX139" t="e">
        <f>AND(#REF!,"AAAAAB1CqX8=")</f>
        <v>#REF!</v>
      </c>
      <c r="DY139" t="e">
        <f>AND(#REF!,"AAAAAB1CqYA=")</f>
        <v>#REF!</v>
      </c>
      <c r="DZ139" t="e">
        <f>AND(#REF!,"AAAAAB1CqYE=")</f>
        <v>#REF!</v>
      </c>
      <c r="EA139" t="e">
        <f>AND(#REF!,"AAAAAB1CqYI=")</f>
        <v>#REF!</v>
      </c>
      <c r="EB139" t="e">
        <f>AND(#REF!,"AAAAAB1CqYM=")</f>
        <v>#REF!</v>
      </c>
      <c r="EC139" t="e">
        <f>IF(#REF!,"AAAAAB1CqYQ=",0)</f>
        <v>#REF!</v>
      </c>
      <c r="ED139" t="e">
        <f>AND(#REF!,"AAAAAB1CqYU=")</f>
        <v>#REF!</v>
      </c>
      <c r="EE139" t="e">
        <f>AND(#REF!,"AAAAAB1CqYY=")</f>
        <v>#REF!</v>
      </c>
      <c r="EF139" t="e">
        <f>AND(#REF!,"AAAAAB1CqYc=")</f>
        <v>#REF!</v>
      </c>
      <c r="EG139" t="e">
        <f>AND(#REF!,"AAAAAB1CqYg=")</f>
        <v>#REF!</v>
      </c>
      <c r="EH139" t="e">
        <f>AND(#REF!,"AAAAAB1CqYk=")</f>
        <v>#REF!</v>
      </c>
      <c r="EI139" t="e">
        <f>AND(#REF!,"AAAAAB1CqYo=")</f>
        <v>#REF!</v>
      </c>
      <c r="EJ139" t="e">
        <f>AND(#REF!,"AAAAAB1CqYs=")</f>
        <v>#REF!</v>
      </c>
      <c r="EK139" t="e">
        <f>AND(#REF!,"AAAAAB1CqYw=")</f>
        <v>#REF!</v>
      </c>
      <c r="EL139" t="e">
        <f>AND(#REF!,"AAAAAB1CqY0=")</f>
        <v>#REF!</v>
      </c>
      <c r="EM139" t="e">
        <f>AND(#REF!,"AAAAAB1CqY4=")</f>
        <v>#REF!</v>
      </c>
      <c r="EN139" t="e">
        <f>AND(#REF!,"AAAAAB1CqY8=")</f>
        <v>#REF!</v>
      </c>
      <c r="EO139" t="e">
        <f>AND(#REF!,"AAAAAB1CqZA=")</f>
        <v>#REF!</v>
      </c>
      <c r="EP139" t="e">
        <f>AND(#REF!,"AAAAAB1CqZE=")</f>
        <v>#REF!</v>
      </c>
      <c r="EQ139" t="e">
        <f>AND(#REF!,"AAAAAB1CqZI=")</f>
        <v>#REF!</v>
      </c>
      <c r="ER139" t="e">
        <f>AND(#REF!,"AAAAAB1CqZM=")</f>
        <v>#REF!</v>
      </c>
      <c r="ES139" t="e">
        <f>AND(#REF!,"AAAAAB1CqZQ=")</f>
        <v>#REF!</v>
      </c>
      <c r="ET139" t="e">
        <f>AND(#REF!,"AAAAAB1CqZU=")</f>
        <v>#REF!</v>
      </c>
      <c r="EU139" t="e">
        <f>AND(#REF!,"AAAAAB1CqZY=")</f>
        <v>#REF!</v>
      </c>
      <c r="EV139" t="e">
        <f>AND(#REF!,"AAAAAB1CqZc=")</f>
        <v>#REF!</v>
      </c>
      <c r="EW139" t="e">
        <f>AND(#REF!,"AAAAAB1CqZg=")</f>
        <v>#REF!</v>
      </c>
      <c r="EX139" t="e">
        <f>AND(#REF!,"AAAAAB1CqZk=")</f>
        <v>#REF!</v>
      </c>
      <c r="EY139" t="e">
        <f>AND(#REF!,"AAAAAB1CqZo=")</f>
        <v>#REF!</v>
      </c>
      <c r="EZ139" t="e">
        <f>AND(#REF!,"AAAAAB1CqZs=")</f>
        <v>#REF!</v>
      </c>
      <c r="FA139" t="e">
        <f>AND(#REF!,"AAAAAB1CqZw=")</f>
        <v>#REF!</v>
      </c>
      <c r="FB139" t="e">
        <f>IF(#REF!,"AAAAAB1CqZ0=",0)</f>
        <v>#REF!</v>
      </c>
      <c r="FC139" t="e">
        <f>AND(#REF!,"AAAAAB1CqZ4=")</f>
        <v>#REF!</v>
      </c>
      <c r="FD139" t="e">
        <f>AND(#REF!,"AAAAAB1CqZ8=")</f>
        <v>#REF!</v>
      </c>
      <c r="FE139" t="e">
        <f>AND(#REF!,"AAAAAB1CqaA=")</f>
        <v>#REF!</v>
      </c>
      <c r="FF139" t="e">
        <f>AND(#REF!,"AAAAAB1CqaE=")</f>
        <v>#REF!</v>
      </c>
      <c r="FG139" t="e">
        <f>AND(#REF!,"AAAAAB1CqaI=")</f>
        <v>#REF!</v>
      </c>
      <c r="FH139" t="e">
        <f>AND(#REF!,"AAAAAB1CqaM=")</f>
        <v>#REF!</v>
      </c>
      <c r="FI139" t="e">
        <f>AND(#REF!,"AAAAAB1CqaQ=")</f>
        <v>#REF!</v>
      </c>
      <c r="FJ139" t="e">
        <f>AND(#REF!,"AAAAAB1CqaU=")</f>
        <v>#REF!</v>
      </c>
      <c r="FK139" t="e">
        <f>AND(#REF!,"AAAAAB1CqaY=")</f>
        <v>#REF!</v>
      </c>
      <c r="FL139" t="e">
        <f>AND(#REF!,"AAAAAB1Cqac=")</f>
        <v>#REF!</v>
      </c>
      <c r="FM139" t="e">
        <f>AND(#REF!,"AAAAAB1Cqag=")</f>
        <v>#REF!</v>
      </c>
      <c r="FN139" t="e">
        <f>AND(#REF!,"AAAAAB1Cqak=")</f>
        <v>#REF!</v>
      </c>
      <c r="FO139" t="e">
        <f>AND(#REF!,"AAAAAB1Cqao=")</f>
        <v>#REF!</v>
      </c>
      <c r="FP139" t="e">
        <f>AND(#REF!,"AAAAAB1Cqas=")</f>
        <v>#REF!</v>
      </c>
      <c r="FQ139" t="e">
        <f>AND(#REF!,"AAAAAB1Cqaw=")</f>
        <v>#REF!</v>
      </c>
      <c r="FR139" t="e">
        <f>AND(#REF!,"AAAAAB1Cqa0=")</f>
        <v>#REF!</v>
      </c>
      <c r="FS139" t="e">
        <f>AND(#REF!,"AAAAAB1Cqa4=")</f>
        <v>#REF!</v>
      </c>
      <c r="FT139" t="e">
        <f>AND(#REF!,"AAAAAB1Cqa8=")</f>
        <v>#REF!</v>
      </c>
      <c r="FU139" t="e">
        <f>AND(#REF!,"AAAAAB1CqbA=")</f>
        <v>#REF!</v>
      </c>
      <c r="FV139" t="e">
        <f>AND(#REF!,"AAAAAB1CqbE=")</f>
        <v>#REF!</v>
      </c>
      <c r="FW139" t="e">
        <f>AND(#REF!,"AAAAAB1CqbI=")</f>
        <v>#REF!</v>
      </c>
      <c r="FX139" t="e">
        <f>AND(#REF!,"AAAAAB1CqbM=")</f>
        <v>#REF!</v>
      </c>
      <c r="FY139" t="e">
        <f>AND(#REF!,"AAAAAB1CqbQ=")</f>
        <v>#REF!</v>
      </c>
      <c r="FZ139" t="e">
        <f>AND(#REF!,"AAAAAB1CqbU=")</f>
        <v>#REF!</v>
      </c>
      <c r="GA139" t="e">
        <f>IF(#REF!,"AAAAAB1CqbY=",0)</f>
        <v>#REF!</v>
      </c>
      <c r="GB139" t="e">
        <f>AND(#REF!,"AAAAAB1Cqbc=")</f>
        <v>#REF!</v>
      </c>
      <c r="GC139" t="e">
        <f>AND(#REF!,"AAAAAB1Cqbg=")</f>
        <v>#REF!</v>
      </c>
      <c r="GD139" t="e">
        <f>AND(#REF!,"AAAAAB1Cqbk=")</f>
        <v>#REF!</v>
      </c>
      <c r="GE139" t="e">
        <f>AND(#REF!,"AAAAAB1Cqbo=")</f>
        <v>#REF!</v>
      </c>
      <c r="GF139" t="e">
        <f>AND(#REF!,"AAAAAB1Cqbs=")</f>
        <v>#REF!</v>
      </c>
      <c r="GG139" t="e">
        <f>AND(#REF!,"AAAAAB1Cqbw=")</f>
        <v>#REF!</v>
      </c>
      <c r="GH139" t="e">
        <f>AND(#REF!,"AAAAAB1Cqb0=")</f>
        <v>#REF!</v>
      </c>
      <c r="GI139" t="e">
        <f>AND(#REF!,"AAAAAB1Cqb4=")</f>
        <v>#REF!</v>
      </c>
      <c r="GJ139" t="e">
        <f>AND(#REF!,"AAAAAB1Cqb8=")</f>
        <v>#REF!</v>
      </c>
      <c r="GK139" t="e">
        <f>AND(#REF!,"AAAAAB1CqcA=")</f>
        <v>#REF!</v>
      </c>
      <c r="GL139" t="e">
        <f>AND(#REF!,"AAAAAB1CqcE=")</f>
        <v>#REF!</v>
      </c>
      <c r="GM139" t="e">
        <f>AND(#REF!,"AAAAAB1CqcI=")</f>
        <v>#REF!</v>
      </c>
      <c r="GN139" t="e">
        <f>AND(#REF!,"AAAAAB1CqcM=")</f>
        <v>#REF!</v>
      </c>
      <c r="GO139" t="e">
        <f>AND(#REF!,"AAAAAB1CqcQ=")</f>
        <v>#REF!</v>
      </c>
      <c r="GP139" t="e">
        <f>AND(#REF!,"AAAAAB1CqcU=")</f>
        <v>#REF!</v>
      </c>
      <c r="GQ139" t="e">
        <f>AND(#REF!,"AAAAAB1CqcY=")</f>
        <v>#REF!</v>
      </c>
      <c r="GR139" t="e">
        <f>AND(#REF!,"AAAAAB1Cqcc=")</f>
        <v>#REF!</v>
      </c>
      <c r="GS139" t="e">
        <f>AND(#REF!,"AAAAAB1Cqcg=")</f>
        <v>#REF!</v>
      </c>
      <c r="GT139" t="e">
        <f>AND(#REF!,"AAAAAB1Cqck=")</f>
        <v>#REF!</v>
      </c>
      <c r="GU139" t="e">
        <f>AND(#REF!,"AAAAAB1Cqco=")</f>
        <v>#REF!</v>
      </c>
      <c r="GV139" t="e">
        <f>AND(#REF!,"AAAAAB1Cqcs=")</f>
        <v>#REF!</v>
      </c>
      <c r="GW139" t="e">
        <f>AND(#REF!,"AAAAAB1Cqcw=")</f>
        <v>#REF!</v>
      </c>
      <c r="GX139" t="e">
        <f>AND(#REF!,"AAAAAB1Cqc0=")</f>
        <v>#REF!</v>
      </c>
      <c r="GY139" t="e">
        <f>AND(#REF!,"AAAAAB1Cqc4=")</f>
        <v>#REF!</v>
      </c>
      <c r="GZ139" t="e">
        <f>IF(#REF!,"AAAAAB1Cqc8=",0)</f>
        <v>#REF!</v>
      </c>
      <c r="HA139" t="e">
        <f>AND(#REF!,"AAAAAB1CqdA=")</f>
        <v>#REF!</v>
      </c>
      <c r="HB139" t="e">
        <f>AND(#REF!,"AAAAAB1CqdE=")</f>
        <v>#REF!</v>
      </c>
      <c r="HC139" t="e">
        <f>AND(#REF!,"AAAAAB1CqdI=")</f>
        <v>#REF!</v>
      </c>
      <c r="HD139" t="e">
        <f>AND(#REF!,"AAAAAB1CqdM=")</f>
        <v>#REF!</v>
      </c>
      <c r="HE139" t="e">
        <f>AND(#REF!,"AAAAAB1CqdQ=")</f>
        <v>#REF!</v>
      </c>
      <c r="HF139" t="e">
        <f>AND(#REF!,"AAAAAB1CqdU=")</f>
        <v>#REF!</v>
      </c>
      <c r="HG139" t="e">
        <f>AND(#REF!,"AAAAAB1CqdY=")</f>
        <v>#REF!</v>
      </c>
      <c r="HH139" t="e">
        <f>AND(#REF!,"AAAAAB1Cqdc=")</f>
        <v>#REF!</v>
      </c>
      <c r="HI139" t="e">
        <f>AND(#REF!,"AAAAAB1Cqdg=")</f>
        <v>#REF!</v>
      </c>
      <c r="HJ139" t="e">
        <f>AND(#REF!,"AAAAAB1Cqdk=")</f>
        <v>#REF!</v>
      </c>
      <c r="HK139" t="e">
        <f>AND(#REF!,"AAAAAB1Cqdo=")</f>
        <v>#REF!</v>
      </c>
      <c r="HL139" t="e">
        <f>AND(#REF!,"AAAAAB1Cqds=")</f>
        <v>#REF!</v>
      </c>
      <c r="HM139" t="e">
        <f>AND(#REF!,"AAAAAB1Cqdw=")</f>
        <v>#REF!</v>
      </c>
      <c r="HN139" t="e">
        <f>AND(#REF!,"AAAAAB1Cqd0=")</f>
        <v>#REF!</v>
      </c>
      <c r="HO139" t="e">
        <f>AND(#REF!,"AAAAAB1Cqd4=")</f>
        <v>#REF!</v>
      </c>
      <c r="HP139" t="e">
        <f>AND(#REF!,"AAAAAB1Cqd8=")</f>
        <v>#REF!</v>
      </c>
      <c r="HQ139" t="e">
        <f>AND(#REF!,"AAAAAB1CqeA=")</f>
        <v>#REF!</v>
      </c>
      <c r="HR139" t="e">
        <f>AND(#REF!,"AAAAAB1CqeE=")</f>
        <v>#REF!</v>
      </c>
      <c r="HS139" t="e">
        <f>AND(#REF!,"AAAAAB1CqeI=")</f>
        <v>#REF!</v>
      </c>
      <c r="HT139" t="e">
        <f>AND(#REF!,"AAAAAB1CqeM=")</f>
        <v>#REF!</v>
      </c>
      <c r="HU139" t="e">
        <f>AND(#REF!,"AAAAAB1CqeQ=")</f>
        <v>#REF!</v>
      </c>
      <c r="HV139" t="e">
        <f>AND(#REF!,"AAAAAB1CqeU=")</f>
        <v>#REF!</v>
      </c>
      <c r="HW139" t="e">
        <f>AND(#REF!,"AAAAAB1CqeY=")</f>
        <v>#REF!</v>
      </c>
      <c r="HX139" t="e">
        <f>AND(#REF!,"AAAAAB1Cqec=")</f>
        <v>#REF!</v>
      </c>
      <c r="HY139" t="e">
        <f>IF(#REF!,"AAAAAB1Cqeg=",0)</f>
        <v>#REF!</v>
      </c>
      <c r="HZ139" t="e">
        <f>AND(#REF!,"AAAAAB1Cqek=")</f>
        <v>#REF!</v>
      </c>
      <c r="IA139" t="e">
        <f>AND(#REF!,"AAAAAB1Cqeo=")</f>
        <v>#REF!</v>
      </c>
      <c r="IB139" t="e">
        <f>AND(#REF!,"AAAAAB1Cqes=")</f>
        <v>#REF!</v>
      </c>
      <c r="IC139" t="e">
        <f>AND(#REF!,"AAAAAB1Cqew=")</f>
        <v>#REF!</v>
      </c>
      <c r="ID139" t="e">
        <f>AND(#REF!,"AAAAAB1Cqe0=")</f>
        <v>#REF!</v>
      </c>
      <c r="IE139" t="e">
        <f>AND(#REF!,"AAAAAB1Cqe4=")</f>
        <v>#REF!</v>
      </c>
      <c r="IF139" t="e">
        <f>AND(#REF!,"AAAAAB1Cqe8=")</f>
        <v>#REF!</v>
      </c>
      <c r="IG139" t="e">
        <f>AND(#REF!,"AAAAAB1CqfA=")</f>
        <v>#REF!</v>
      </c>
      <c r="IH139" t="e">
        <f>AND(#REF!,"AAAAAB1CqfE=")</f>
        <v>#REF!</v>
      </c>
      <c r="II139" t="e">
        <f>AND(#REF!,"AAAAAB1CqfI=")</f>
        <v>#REF!</v>
      </c>
      <c r="IJ139" t="e">
        <f>AND(#REF!,"AAAAAB1CqfM=")</f>
        <v>#REF!</v>
      </c>
      <c r="IK139" t="e">
        <f>AND(#REF!,"AAAAAB1CqfQ=")</f>
        <v>#REF!</v>
      </c>
      <c r="IL139" t="e">
        <f>AND(#REF!,"AAAAAB1CqfU=")</f>
        <v>#REF!</v>
      </c>
      <c r="IM139" t="e">
        <f>AND(#REF!,"AAAAAB1CqfY=")</f>
        <v>#REF!</v>
      </c>
      <c r="IN139" t="e">
        <f>AND(#REF!,"AAAAAB1Cqfc=")</f>
        <v>#REF!</v>
      </c>
      <c r="IO139" t="e">
        <f>AND(#REF!,"AAAAAB1Cqfg=")</f>
        <v>#REF!</v>
      </c>
      <c r="IP139" t="e">
        <f>AND(#REF!,"AAAAAB1Cqfk=")</f>
        <v>#REF!</v>
      </c>
      <c r="IQ139" t="e">
        <f>AND(#REF!,"AAAAAB1Cqfo=")</f>
        <v>#REF!</v>
      </c>
      <c r="IR139" t="e">
        <f>AND(#REF!,"AAAAAB1Cqfs=")</f>
        <v>#REF!</v>
      </c>
      <c r="IS139" t="e">
        <f>AND(#REF!,"AAAAAB1Cqfw=")</f>
        <v>#REF!</v>
      </c>
      <c r="IT139" t="e">
        <f>AND(#REF!,"AAAAAB1Cqf0=")</f>
        <v>#REF!</v>
      </c>
      <c r="IU139" t="e">
        <f>AND(#REF!,"AAAAAB1Cqf4=")</f>
        <v>#REF!</v>
      </c>
      <c r="IV139" t="e">
        <f>AND(#REF!,"AAAAAB1Cqf8=")</f>
        <v>#REF!</v>
      </c>
    </row>
    <row r="140" spans="1:256">
      <c r="A140" t="e">
        <f>AND(#REF!,"AAAAAHn9XwA=")</f>
        <v>#REF!</v>
      </c>
      <c r="B140" t="e">
        <f>IF(#REF!,"AAAAAHn9XwE=",0)</f>
        <v>#REF!</v>
      </c>
      <c r="C140" t="e">
        <f>AND(#REF!,"AAAAAHn9XwI=")</f>
        <v>#REF!</v>
      </c>
      <c r="D140" t="e">
        <f>AND(#REF!,"AAAAAHn9XwM=")</f>
        <v>#REF!</v>
      </c>
      <c r="E140" t="e">
        <f>AND(#REF!,"AAAAAHn9XwQ=")</f>
        <v>#REF!</v>
      </c>
      <c r="F140" t="e">
        <f>AND(#REF!,"AAAAAHn9XwU=")</f>
        <v>#REF!</v>
      </c>
      <c r="G140" t="e">
        <f>AND(#REF!,"AAAAAHn9XwY=")</f>
        <v>#REF!</v>
      </c>
      <c r="H140" t="e">
        <f>AND(#REF!,"AAAAAHn9Xwc=")</f>
        <v>#REF!</v>
      </c>
      <c r="I140" t="e">
        <f>AND(#REF!,"AAAAAHn9Xwg=")</f>
        <v>#REF!</v>
      </c>
      <c r="J140" t="e">
        <f>AND(#REF!,"AAAAAHn9Xwk=")</f>
        <v>#REF!</v>
      </c>
      <c r="K140" t="e">
        <f>AND(#REF!,"AAAAAHn9Xwo=")</f>
        <v>#REF!</v>
      </c>
      <c r="L140" t="e">
        <f>AND(#REF!,"AAAAAHn9Xws=")</f>
        <v>#REF!</v>
      </c>
      <c r="M140" t="e">
        <f>AND(#REF!,"AAAAAHn9Xww=")</f>
        <v>#REF!</v>
      </c>
      <c r="N140" t="e">
        <f>AND(#REF!,"AAAAAHn9Xw0=")</f>
        <v>#REF!</v>
      </c>
      <c r="O140" t="e">
        <f>AND(#REF!,"AAAAAHn9Xw4=")</f>
        <v>#REF!</v>
      </c>
      <c r="P140" t="e">
        <f>AND(#REF!,"AAAAAHn9Xw8=")</f>
        <v>#REF!</v>
      </c>
      <c r="Q140" t="e">
        <f>AND(#REF!,"AAAAAHn9XxA=")</f>
        <v>#REF!</v>
      </c>
      <c r="R140" t="e">
        <f>AND(#REF!,"AAAAAHn9XxE=")</f>
        <v>#REF!</v>
      </c>
      <c r="S140" t="e">
        <f>AND(#REF!,"AAAAAHn9XxI=")</f>
        <v>#REF!</v>
      </c>
      <c r="T140" t="e">
        <f>AND(#REF!,"AAAAAHn9XxM=")</f>
        <v>#REF!</v>
      </c>
      <c r="U140" t="e">
        <f>AND(#REF!,"AAAAAHn9XxQ=")</f>
        <v>#REF!</v>
      </c>
      <c r="V140" t="e">
        <f>AND(#REF!,"AAAAAHn9XxU=")</f>
        <v>#REF!</v>
      </c>
      <c r="W140" t="e">
        <f>AND(#REF!,"AAAAAHn9XxY=")</f>
        <v>#REF!</v>
      </c>
      <c r="X140" t="e">
        <f>AND(#REF!,"AAAAAHn9Xxc=")</f>
        <v>#REF!</v>
      </c>
      <c r="Y140" t="e">
        <f>AND(#REF!,"AAAAAHn9Xxg=")</f>
        <v>#REF!</v>
      </c>
      <c r="Z140" t="e">
        <f>AND(#REF!,"AAAAAHn9Xxk=")</f>
        <v>#REF!</v>
      </c>
      <c r="AA140" t="e">
        <f>IF(#REF!,"AAAAAHn9Xxo=",0)</f>
        <v>#REF!</v>
      </c>
      <c r="AB140" t="e">
        <f>AND(#REF!,"AAAAAHn9Xxs=")</f>
        <v>#REF!</v>
      </c>
      <c r="AC140" t="e">
        <f>AND(#REF!,"AAAAAHn9Xxw=")</f>
        <v>#REF!</v>
      </c>
      <c r="AD140" t="e">
        <f>AND(#REF!,"AAAAAHn9Xx0=")</f>
        <v>#REF!</v>
      </c>
      <c r="AE140" t="e">
        <f>AND(#REF!,"AAAAAHn9Xx4=")</f>
        <v>#REF!</v>
      </c>
      <c r="AF140" t="e">
        <f>AND(#REF!,"AAAAAHn9Xx8=")</f>
        <v>#REF!</v>
      </c>
      <c r="AG140" t="e">
        <f>AND(#REF!,"AAAAAHn9XyA=")</f>
        <v>#REF!</v>
      </c>
      <c r="AH140" t="e">
        <f>AND(#REF!,"AAAAAHn9XyE=")</f>
        <v>#REF!</v>
      </c>
      <c r="AI140" t="e">
        <f>AND(#REF!,"AAAAAHn9XyI=")</f>
        <v>#REF!</v>
      </c>
      <c r="AJ140" t="e">
        <f>AND(#REF!,"AAAAAHn9XyM=")</f>
        <v>#REF!</v>
      </c>
      <c r="AK140" t="e">
        <f>AND(#REF!,"AAAAAHn9XyQ=")</f>
        <v>#REF!</v>
      </c>
      <c r="AL140" t="e">
        <f>AND(#REF!,"AAAAAHn9XyU=")</f>
        <v>#REF!</v>
      </c>
      <c r="AM140" t="e">
        <f>AND(#REF!,"AAAAAHn9XyY=")</f>
        <v>#REF!</v>
      </c>
      <c r="AN140" t="e">
        <f>AND(#REF!,"AAAAAHn9Xyc=")</f>
        <v>#REF!</v>
      </c>
      <c r="AO140" t="e">
        <f>AND(#REF!,"AAAAAHn9Xyg=")</f>
        <v>#REF!</v>
      </c>
      <c r="AP140" t="e">
        <f>AND(#REF!,"AAAAAHn9Xyk=")</f>
        <v>#REF!</v>
      </c>
      <c r="AQ140" t="e">
        <f>AND(#REF!,"AAAAAHn9Xyo=")</f>
        <v>#REF!</v>
      </c>
      <c r="AR140" t="e">
        <f>AND(#REF!,"AAAAAHn9Xys=")</f>
        <v>#REF!</v>
      </c>
      <c r="AS140" t="e">
        <f>AND(#REF!,"AAAAAHn9Xyw=")</f>
        <v>#REF!</v>
      </c>
      <c r="AT140" t="e">
        <f>AND(#REF!,"AAAAAHn9Xy0=")</f>
        <v>#REF!</v>
      </c>
      <c r="AU140" t="e">
        <f>AND(#REF!,"AAAAAHn9Xy4=")</f>
        <v>#REF!</v>
      </c>
      <c r="AV140" t="e">
        <f>AND(#REF!,"AAAAAHn9Xy8=")</f>
        <v>#REF!</v>
      </c>
      <c r="AW140" t="e">
        <f>AND(#REF!,"AAAAAHn9XzA=")</f>
        <v>#REF!</v>
      </c>
      <c r="AX140" t="e">
        <f>AND(#REF!,"AAAAAHn9XzE=")</f>
        <v>#REF!</v>
      </c>
      <c r="AY140" t="e">
        <f>AND(#REF!,"AAAAAHn9XzI=")</f>
        <v>#REF!</v>
      </c>
      <c r="AZ140" t="e">
        <f>IF(#REF!,"AAAAAHn9XzM=",0)</f>
        <v>#REF!</v>
      </c>
      <c r="BA140" t="e">
        <f>AND(#REF!,"AAAAAHn9XzQ=")</f>
        <v>#REF!</v>
      </c>
      <c r="BB140" t="e">
        <f>AND(#REF!,"AAAAAHn9XzU=")</f>
        <v>#REF!</v>
      </c>
      <c r="BC140" t="e">
        <f>AND(#REF!,"AAAAAHn9XzY=")</f>
        <v>#REF!</v>
      </c>
      <c r="BD140" t="e">
        <f>AND(#REF!,"AAAAAHn9Xzc=")</f>
        <v>#REF!</v>
      </c>
      <c r="BE140" t="e">
        <f>AND(#REF!,"AAAAAHn9Xzg=")</f>
        <v>#REF!</v>
      </c>
      <c r="BF140" t="e">
        <f>AND(#REF!,"AAAAAHn9Xzk=")</f>
        <v>#REF!</v>
      </c>
      <c r="BG140" t="e">
        <f>AND(#REF!,"AAAAAHn9Xzo=")</f>
        <v>#REF!</v>
      </c>
      <c r="BH140" t="e">
        <f>AND(#REF!,"AAAAAHn9Xzs=")</f>
        <v>#REF!</v>
      </c>
      <c r="BI140" t="e">
        <f>AND(#REF!,"AAAAAHn9Xzw=")</f>
        <v>#REF!</v>
      </c>
      <c r="BJ140" t="e">
        <f>AND(#REF!,"AAAAAHn9Xz0=")</f>
        <v>#REF!</v>
      </c>
      <c r="BK140" t="e">
        <f>AND(#REF!,"AAAAAHn9Xz4=")</f>
        <v>#REF!</v>
      </c>
      <c r="BL140" t="e">
        <f>AND(#REF!,"AAAAAHn9Xz8=")</f>
        <v>#REF!</v>
      </c>
      <c r="BM140" t="e">
        <f>AND(#REF!,"AAAAAHn9X0A=")</f>
        <v>#REF!</v>
      </c>
      <c r="BN140" t="e">
        <f>AND(#REF!,"AAAAAHn9X0E=")</f>
        <v>#REF!</v>
      </c>
      <c r="BO140" t="e">
        <f>AND(#REF!,"AAAAAHn9X0I=")</f>
        <v>#REF!</v>
      </c>
      <c r="BP140" t="e">
        <f>AND(#REF!,"AAAAAHn9X0M=")</f>
        <v>#REF!</v>
      </c>
      <c r="BQ140" t="e">
        <f>AND(#REF!,"AAAAAHn9X0Q=")</f>
        <v>#REF!</v>
      </c>
      <c r="BR140" t="e">
        <f>AND(#REF!,"AAAAAHn9X0U=")</f>
        <v>#REF!</v>
      </c>
      <c r="BS140" t="e">
        <f>AND(#REF!,"AAAAAHn9X0Y=")</f>
        <v>#REF!</v>
      </c>
      <c r="BT140" t="e">
        <f>AND(#REF!,"AAAAAHn9X0c=")</f>
        <v>#REF!</v>
      </c>
      <c r="BU140" t="e">
        <f>AND(#REF!,"AAAAAHn9X0g=")</f>
        <v>#REF!</v>
      </c>
      <c r="BV140" t="e">
        <f>AND(#REF!,"AAAAAHn9X0k=")</f>
        <v>#REF!</v>
      </c>
      <c r="BW140" t="e">
        <f>AND(#REF!,"AAAAAHn9X0o=")</f>
        <v>#REF!</v>
      </c>
      <c r="BX140" t="e">
        <f>AND(#REF!,"AAAAAHn9X0s=")</f>
        <v>#REF!</v>
      </c>
      <c r="BY140" t="e">
        <f>IF(#REF!,"AAAAAHn9X0w=",0)</f>
        <v>#REF!</v>
      </c>
      <c r="BZ140" t="e">
        <f>AND(#REF!,"AAAAAHn9X00=")</f>
        <v>#REF!</v>
      </c>
      <c r="CA140" t="e">
        <f>AND(#REF!,"AAAAAHn9X04=")</f>
        <v>#REF!</v>
      </c>
      <c r="CB140" t="e">
        <f>AND(#REF!,"AAAAAHn9X08=")</f>
        <v>#REF!</v>
      </c>
      <c r="CC140" t="e">
        <f>AND(#REF!,"AAAAAHn9X1A=")</f>
        <v>#REF!</v>
      </c>
      <c r="CD140" t="e">
        <f>AND(#REF!,"AAAAAHn9X1E=")</f>
        <v>#REF!</v>
      </c>
      <c r="CE140" t="e">
        <f>AND(#REF!,"AAAAAHn9X1I=")</f>
        <v>#REF!</v>
      </c>
      <c r="CF140" t="e">
        <f>AND(#REF!,"AAAAAHn9X1M=")</f>
        <v>#REF!</v>
      </c>
      <c r="CG140" t="e">
        <f>AND(#REF!,"AAAAAHn9X1Q=")</f>
        <v>#REF!</v>
      </c>
      <c r="CH140" t="e">
        <f>AND(#REF!,"AAAAAHn9X1U=")</f>
        <v>#REF!</v>
      </c>
      <c r="CI140" t="e">
        <f>AND(#REF!,"AAAAAHn9X1Y=")</f>
        <v>#REF!</v>
      </c>
      <c r="CJ140" t="e">
        <f>AND(#REF!,"AAAAAHn9X1c=")</f>
        <v>#REF!</v>
      </c>
      <c r="CK140" t="e">
        <f>AND(#REF!,"AAAAAHn9X1g=")</f>
        <v>#REF!</v>
      </c>
      <c r="CL140" t="e">
        <f>AND(#REF!,"AAAAAHn9X1k=")</f>
        <v>#REF!</v>
      </c>
      <c r="CM140" t="e">
        <f>AND(#REF!,"AAAAAHn9X1o=")</f>
        <v>#REF!</v>
      </c>
      <c r="CN140" t="e">
        <f>AND(#REF!,"AAAAAHn9X1s=")</f>
        <v>#REF!</v>
      </c>
      <c r="CO140" t="e">
        <f>AND(#REF!,"AAAAAHn9X1w=")</f>
        <v>#REF!</v>
      </c>
      <c r="CP140" t="e">
        <f>AND(#REF!,"AAAAAHn9X10=")</f>
        <v>#REF!</v>
      </c>
      <c r="CQ140" t="e">
        <f>AND(#REF!,"AAAAAHn9X14=")</f>
        <v>#REF!</v>
      </c>
      <c r="CR140" t="e">
        <f>AND(#REF!,"AAAAAHn9X18=")</f>
        <v>#REF!</v>
      </c>
      <c r="CS140" t="e">
        <f>AND(#REF!,"AAAAAHn9X2A=")</f>
        <v>#REF!</v>
      </c>
      <c r="CT140" t="e">
        <f>AND(#REF!,"AAAAAHn9X2E=")</f>
        <v>#REF!</v>
      </c>
      <c r="CU140" t="e">
        <f>AND(#REF!,"AAAAAHn9X2I=")</f>
        <v>#REF!</v>
      </c>
      <c r="CV140" t="e">
        <f>AND(#REF!,"AAAAAHn9X2M=")</f>
        <v>#REF!</v>
      </c>
      <c r="CW140" t="e">
        <f>AND(#REF!,"AAAAAHn9X2Q=")</f>
        <v>#REF!</v>
      </c>
      <c r="CX140" t="e">
        <f>IF(#REF!,"AAAAAHn9X2U=",0)</f>
        <v>#REF!</v>
      </c>
      <c r="CY140" t="e">
        <f>AND(#REF!,"AAAAAHn9X2Y=")</f>
        <v>#REF!</v>
      </c>
      <c r="CZ140" t="e">
        <f>AND(#REF!,"AAAAAHn9X2c=")</f>
        <v>#REF!</v>
      </c>
      <c r="DA140" t="e">
        <f>AND(#REF!,"AAAAAHn9X2g=")</f>
        <v>#REF!</v>
      </c>
      <c r="DB140" t="e">
        <f>AND(#REF!,"AAAAAHn9X2k=")</f>
        <v>#REF!</v>
      </c>
      <c r="DC140" t="e">
        <f>AND(#REF!,"AAAAAHn9X2o=")</f>
        <v>#REF!</v>
      </c>
      <c r="DD140" t="e">
        <f>AND(#REF!,"AAAAAHn9X2s=")</f>
        <v>#REF!</v>
      </c>
      <c r="DE140" t="e">
        <f>AND(#REF!,"AAAAAHn9X2w=")</f>
        <v>#REF!</v>
      </c>
      <c r="DF140" t="e">
        <f>AND(#REF!,"AAAAAHn9X20=")</f>
        <v>#REF!</v>
      </c>
      <c r="DG140" t="e">
        <f>AND(#REF!,"AAAAAHn9X24=")</f>
        <v>#REF!</v>
      </c>
      <c r="DH140" t="e">
        <f>AND(#REF!,"AAAAAHn9X28=")</f>
        <v>#REF!</v>
      </c>
      <c r="DI140" t="e">
        <f>AND(#REF!,"AAAAAHn9X3A=")</f>
        <v>#REF!</v>
      </c>
      <c r="DJ140" t="e">
        <f>AND(#REF!,"AAAAAHn9X3E=")</f>
        <v>#REF!</v>
      </c>
      <c r="DK140" t="e">
        <f>AND(#REF!,"AAAAAHn9X3I=")</f>
        <v>#REF!</v>
      </c>
      <c r="DL140" t="e">
        <f>AND(#REF!,"AAAAAHn9X3M=")</f>
        <v>#REF!</v>
      </c>
      <c r="DM140" t="e">
        <f>AND(#REF!,"AAAAAHn9X3Q=")</f>
        <v>#REF!</v>
      </c>
      <c r="DN140" t="e">
        <f>AND(#REF!,"AAAAAHn9X3U=")</f>
        <v>#REF!</v>
      </c>
      <c r="DO140" t="e">
        <f>AND(#REF!,"AAAAAHn9X3Y=")</f>
        <v>#REF!</v>
      </c>
      <c r="DP140" t="e">
        <f>AND(#REF!,"AAAAAHn9X3c=")</f>
        <v>#REF!</v>
      </c>
      <c r="DQ140" t="e">
        <f>AND(#REF!,"AAAAAHn9X3g=")</f>
        <v>#REF!</v>
      </c>
      <c r="DR140" t="e">
        <f>AND(#REF!,"AAAAAHn9X3k=")</f>
        <v>#REF!</v>
      </c>
      <c r="DS140" t="e">
        <f>AND(#REF!,"AAAAAHn9X3o=")</f>
        <v>#REF!</v>
      </c>
      <c r="DT140" t="e">
        <f>AND(#REF!,"AAAAAHn9X3s=")</f>
        <v>#REF!</v>
      </c>
      <c r="DU140" t="e">
        <f>AND(#REF!,"AAAAAHn9X3w=")</f>
        <v>#REF!</v>
      </c>
      <c r="DV140" t="e">
        <f>AND(#REF!,"AAAAAHn9X30=")</f>
        <v>#REF!</v>
      </c>
      <c r="DW140" t="e">
        <f>IF(#REF!,"AAAAAHn9X34=",0)</f>
        <v>#REF!</v>
      </c>
      <c r="DX140" t="e">
        <f>AND(#REF!,"AAAAAHn9X38=")</f>
        <v>#REF!</v>
      </c>
      <c r="DY140" t="e">
        <f>AND(#REF!,"AAAAAHn9X4A=")</f>
        <v>#REF!</v>
      </c>
      <c r="DZ140" t="e">
        <f>AND(#REF!,"AAAAAHn9X4E=")</f>
        <v>#REF!</v>
      </c>
      <c r="EA140" t="e">
        <f>AND(#REF!,"AAAAAHn9X4I=")</f>
        <v>#REF!</v>
      </c>
      <c r="EB140" t="e">
        <f>AND(#REF!,"AAAAAHn9X4M=")</f>
        <v>#REF!</v>
      </c>
      <c r="EC140" t="e">
        <f>AND(#REF!,"AAAAAHn9X4Q=")</f>
        <v>#REF!</v>
      </c>
      <c r="ED140" t="e">
        <f>AND(#REF!,"AAAAAHn9X4U=")</f>
        <v>#REF!</v>
      </c>
      <c r="EE140" t="e">
        <f>AND(#REF!,"AAAAAHn9X4Y=")</f>
        <v>#REF!</v>
      </c>
      <c r="EF140" t="e">
        <f>AND(#REF!,"AAAAAHn9X4c=")</f>
        <v>#REF!</v>
      </c>
      <c r="EG140" t="e">
        <f>AND(#REF!,"AAAAAHn9X4g=")</f>
        <v>#REF!</v>
      </c>
      <c r="EH140" t="e">
        <f>AND(#REF!,"AAAAAHn9X4k=")</f>
        <v>#REF!</v>
      </c>
      <c r="EI140" t="e">
        <f>AND(#REF!,"AAAAAHn9X4o=")</f>
        <v>#REF!</v>
      </c>
      <c r="EJ140" t="e">
        <f>AND(#REF!,"AAAAAHn9X4s=")</f>
        <v>#REF!</v>
      </c>
      <c r="EK140" t="e">
        <f>AND(#REF!,"AAAAAHn9X4w=")</f>
        <v>#REF!</v>
      </c>
      <c r="EL140" t="e">
        <f>AND(#REF!,"AAAAAHn9X40=")</f>
        <v>#REF!</v>
      </c>
      <c r="EM140" t="e">
        <f>AND(#REF!,"AAAAAHn9X44=")</f>
        <v>#REF!</v>
      </c>
      <c r="EN140" t="e">
        <f>AND(#REF!,"AAAAAHn9X48=")</f>
        <v>#REF!</v>
      </c>
      <c r="EO140" t="e">
        <f>AND(#REF!,"AAAAAHn9X5A=")</f>
        <v>#REF!</v>
      </c>
      <c r="EP140" t="e">
        <f>AND(#REF!,"AAAAAHn9X5E=")</f>
        <v>#REF!</v>
      </c>
      <c r="EQ140" t="e">
        <f>AND(#REF!,"AAAAAHn9X5I=")</f>
        <v>#REF!</v>
      </c>
      <c r="ER140" t="e">
        <f>AND(#REF!,"AAAAAHn9X5M=")</f>
        <v>#REF!</v>
      </c>
      <c r="ES140" t="e">
        <f>AND(#REF!,"AAAAAHn9X5Q=")</f>
        <v>#REF!</v>
      </c>
      <c r="ET140" t="e">
        <f>AND(#REF!,"AAAAAHn9X5U=")</f>
        <v>#REF!</v>
      </c>
      <c r="EU140" t="e">
        <f>AND(#REF!,"AAAAAHn9X5Y=")</f>
        <v>#REF!</v>
      </c>
      <c r="EV140" t="e">
        <f>IF(#REF!,"AAAAAHn9X5c=",0)</f>
        <v>#REF!</v>
      </c>
      <c r="EW140" t="e">
        <f>AND(#REF!,"AAAAAHn9X5g=")</f>
        <v>#REF!</v>
      </c>
      <c r="EX140" t="e">
        <f>AND(#REF!,"AAAAAHn9X5k=")</f>
        <v>#REF!</v>
      </c>
      <c r="EY140" t="e">
        <f>AND(#REF!,"AAAAAHn9X5o=")</f>
        <v>#REF!</v>
      </c>
      <c r="EZ140" t="e">
        <f>AND(#REF!,"AAAAAHn9X5s=")</f>
        <v>#REF!</v>
      </c>
      <c r="FA140" t="e">
        <f>AND(#REF!,"AAAAAHn9X5w=")</f>
        <v>#REF!</v>
      </c>
      <c r="FB140" t="e">
        <f>AND(#REF!,"AAAAAHn9X50=")</f>
        <v>#REF!</v>
      </c>
      <c r="FC140" t="e">
        <f>AND(#REF!,"AAAAAHn9X54=")</f>
        <v>#REF!</v>
      </c>
      <c r="FD140" t="e">
        <f>AND(#REF!,"AAAAAHn9X58=")</f>
        <v>#REF!</v>
      </c>
      <c r="FE140" t="e">
        <f>AND(#REF!,"AAAAAHn9X6A=")</f>
        <v>#REF!</v>
      </c>
      <c r="FF140" t="e">
        <f>AND(#REF!,"AAAAAHn9X6E=")</f>
        <v>#REF!</v>
      </c>
      <c r="FG140" t="e">
        <f>AND(#REF!,"AAAAAHn9X6I=")</f>
        <v>#REF!</v>
      </c>
      <c r="FH140" t="e">
        <f>AND(#REF!,"AAAAAHn9X6M=")</f>
        <v>#REF!</v>
      </c>
      <c r="FI140" t="e">
        <f>AND(#REF!,"AAAAAHn9X6Q=")</f>
        <v>#REF!</v>
      </c>
      <c r="FJ140" t="e">
        <f>AND(#REF!,"AAAAAHn9X6U=")</f>
        <v>#REF!</v>
      </c>
      <c r="FK140" t="e">
        <f>AND(#REF!,"AAAAAHn9X6Y=")</f>
        <v>#REF!</v>
      </c>
      <c r="FL140" t="e">
        <f>AND(#REF!,"AAAAAHn9X6c=")</f>
        <v>#REF!</v>
      </c>
      <c r="FM140" t="e">
        <f>AND(#REF!,"AAAAAHn9X6g=")</f>
        <v>#REF!</v>
      </c>
      <c r="FN140" t="e">
        <f>AND(#REF!,"AAAAAHn9X6k=")</f>
        <v>#REF!</v>
      </c>
      <c r="FO140" t="e">
        <f>AND(#REF!,"AAAAAHn9X6o=")</f>
        <v>#REF!</v>
      </c>
      <c r="FP140" t="e">
        <f>AND(#REF!,"AAAAAHn9X6s=")</f>
        <v>#REF!</v>
      </c>
      <c r="FQ140" t="e">
        <f>AND(#REF!,"AAAAAHn9X6w=")</f>
        <v>#REF!</v>
      </c>
      <c r="FR140" t="e">
        <f>AND(#REF!,"AAAAAHn9X60=")</f>
        <v>#REF!</v>
      </c>
      <c r="FS140" t="e">
        <f>AND(#REF!,"AAAAAHn9X64=")</f>
        <v>#REF!</v>
      </c>
      <c r="FT140" t="e">
        <f>AND(#REF!,"AAAAAHn9X68=")</f>
        <v>#REF!</v>
      </c>
      <c r="FU140" t="e">
        <f>IF(#REF!,"AAAAAHn9X7A=",0)</f>
        <v>#REF!</v>
      </c>
      <c r="FV140" t="e">
        <f>AND(#REF!,"AAAAAHn9X7E=")</f>
        <v>#REF!</v>
      </c>
      <c r="FW140" t="e">
        <f>AND(#REF!,"AAAAAHn9X7I=")</f>
        <v>#REF!</v>
      </c>
      <c r="FX140" t="e">
        <f>AND(#REF!,"AAAAAHn9X7M=")</f>
        <v>#REF!</v>
      </c>
      <c r="FY140" t="e">
        <f>AND(#REF!,"AAAAAHn9X7Q=")</f>
        <v>#REF!</v>
      </c>
      <c r="FZ140" t="e">
        <f>AND(#REF!,"AAAAAHn9X7U=")</f>
        <v>#REF!</v>
      </c>
      <c r="GA140" t="e">
        <f>AND(#REF!,"AAAAAHn9X7Y=")</f>
        <v>#REF!</v>
      </c>
      <c r="GB140" t="e">
        <f>AND(#REF!,"AAAAAHn9X7c=")</f>
        <v>#REF!</v>
      </c>
      <c r="GC140" t="e">
        <f>AND(#REF!,"AAAAAHn9X7g=")</f>
        <v>#REF!</v>
      </c>
      <c r="GD140" t="e">
        <f>AND(#REF!,"AAAAAHn9X7k=")</f>
        <v>#REF!</v>
      </c>
      <c r="GE140" t="e">
        <f>AND(#REF!,"AAAAAHn9X7o=")</f>
        <v>#REF!</v>
      </c>
      <c r="GF140" t="e">
        <f>AND(#REF!,"AAAAAHn9X7s=")</f>
        <v>#REF!</v>
      </c>
      <c r="GG140" t="e">
        <f>AND(#REF!,"AAAAAHn9X7w=")</f>
        <v>#REF!</v>
      </c>
      <c r="GH140" t="e">
        <f>AND(#REF!,"AAAAAHn9X70=")</f>
        <v>#REF!</v>
      </c>
      <c r="GI140" t="e">
        <f>AND(#REF!,"AAAAAHn9X74=")</f>
        <v>#REF!</v>
      </c>
      <c r="GJ140" t="e">
        <f>AND(#REF!,"AAAAAHn9X78=")</f>
        <v>#REF!</v>
      </c>
      <c r="GK140" t="e">
        <f>AND(#REF!,"AAAAAHn9X8A=")</f>
        <v>#REF!</v>
      </c>
      <c r="GL140" t="e">
        <f>AND(#REF!,"AAAAAHn9X8E=")</f>
        <v>#REF!</v>
      </c>
      <c r="GM140" t="e">
        <f>AND(#REF!,"AAAAAHn9X8I=")</f>
        <v>#REF!</v>
      </c>
      <c r="GN140" t="e">
        <f>AND(#REF!,"AAAAAHn9X8M=")</f>
        <v>#REF!</v>
      </c>
      <c r="GO140" t="e">
        <f>AND(#REF!,"AAAAAHn9X8Q=")</f>
        <v>#REF!</v>
      </c>
      <c r="GP140" t="e">
        <f>AND(#REF!,"AAAAAHn9X8U=")</f>
        <v>#REF!</v>
      </c>
      <c r="GQ140" t="e">
        <f>AND(#REF!,"AAAAAHn9X8Y=")</f>
        <v>#REF!</v>
      </c>
      <c r="GR140" t="e">
        <f>AND(#REF!,"AAAAAHn9X8c=")</f>
        <v>#REF!</v>
      </c>
      <c r="GS140" t="e">
        <f>AND(#REF!,"AAAAAHn9X8g=")</f>
        <v>#REF!</v>
      </c>
      <c r="GT140" t="e">
        <f>IF(#REF!,"AAAAAHn9X8k=",0)</f>
        <v>#REF!</v>
      </c>
      <c r="GU140" t="e">
        <f>AND(#REF!,"AAAAAHn9X8o=")</f>
        <v>#REF!</v>
      </c>
      <c r="GV140" t="e">
        <f>AND(#REF!,"AAAAAHn9X8s=")</f>
        <v>#REF!</v>
      </c>
      <c r="GW140" t="e">
        <f>AND(#REF!,"AAAAAHn9X8w=")</f>
        <v>#REF!</v>
      </c>
      <c r="GX140" t="e">
        <f>AND(#REF!,"AAAAAHn9X80=")</f>
        <v>#REF!</v>
      </c>
      <c r="GY140" t="e">
        <f>AND(#REF!,"AAAAAHn9X84=")</f>
        <v>#REF!</v>
      </c>
      <c r="GZ140" t="e">
        <f>AND(#REF!,"AAAAAHn9X88=")</f>
        <v>#REF!</v>
      </c>
      <c r="HA140" t="e">
        <f>AND(#REF!,"AAAAAHn9X9A=")</f>
        <v>#REF!</v>
      </c>
      <c r="HB140" t="e">
        <f>AND(#REF!,"AAAAAHn9X9E=")</f>
        <v>#REF!</v>
      </c>
      <c r="HC140" t="e">
        <f>AND(#REF!,"AAAAAHn9X9I=")</f>
        <v>#REF!</v>
      </c>
      <c r="HD140" t="e">
        <f>AND(#REF!,"AAAAAHn9X9M=")</f>
        <v>#REF!</v>
      </c>
      <c r="HE140" t="e">
        <f>AND(#REF!,"AAAAAHn9X9Q=")</f>
        <v>#REF!</v>
      </c>
      <c r="HF140" t="e">
        <f>AND(#REF!,"AAAAAHn9X9U=")</f>
        <v>#REF!</v>
      </c>
      <c r="HG140" t="e">
        <f>AND(#REF!,"AAAAAHn9X9Y=")</f>
        <v>#REF!</v>
      </c>
      <c r="HH140" t="e">
        <f>AND(#REF!,"AAAAAHn9X9c=")</f>
        <v>#REF!</v>
      </c>
      <c r="HI140" t="e">
        <f>AND(#REF!,"AAAAAHn9X9g=")</f>
        <v>#REF!</v>
      </c>
      <c r="HJ140" t="e">
        <f>AND(#REF!,"AAAAAHn9X9k=")</f>
        <v>#REF!</v>
      </c>
      <c r="HK140" t="e">
        <f>AND(#REF!,"AAAAAHn9X9o=")</f>
        <v>#REF!</v>
      </c>
      <c r="HL140" t="e">
        <f>AND(#REF!,"AAAAAHn9X9s=")</f>
        <v>#REF!</v>
      </c>
      <c r="HM140" t="e">
        <f>AND(#REF!,"AAAAAHn9X9w=")</f>
        <v>#REF!</v>
      </c>
      <c r="HN140" t="e">
        <f>AND(#REF!,"AAAAAHn9X90=")</f>
        <v>#REF!</v>
      </c>
      <c r="HO140" t="e">
        <f>AND(#REF!,"AAAAAHn9X94=")</f>
        <v>#REF!</v>
      </c>
      <c r="HP140" t="e">
        <f>AND(#REF!,"AAAAAHn9X98=")</f>
        <v>#REF!</v>
      </c>
      <c r="HQ140" t="e">
        <f>AND(#REF!,"AAAAAHn9X+A=")</f>
        <v>#REF!</v>
      </c>
      <c r="HR140" t="e">
        <f>AND(#REF!,"AAAAAHn9X+E=")</f>
        <v>#REF!</v>
      </c>
      <c r="HS140" t="e">
        <f>IF(#REF!,"AAAAAHn9X+I=",0)</f>
        <v>#REF!</v>
      </c>
      <c r="HT140" t="e">
        <f>AND(#REF!,"AAAAAHn9X+M=")</f>
        <v>#REF!</v>
      </c>
      <c r="HU140" t="e">
        <f>AND(#REF!,"AAAAAHn9X+Q=")</f>
        <v>#REF!</v>
      </c>
      <c r="HV140" t="e">
        <f>AND(#REF!,"AAAAAHn9X+U=")</f>
        <v>#REF!</v>
      </c>
      <c r="HW140" t="e">
        <f>AND(#REF!,"AAAAAHn9X+Y=")</f>
        <v>#REF!</v>
      </c>
      <c r="HX140" t="e">
        <f>AND(#REF!,"AAAAAHn9X+c=")</f>
        <v>#REF!</v>
      </c>
      <c r="HY140" t="e">
        <f>AND(#REF!,"AAAAAHn9X+g=")</f>
        <v>#REF!</v>
      </c>
      <c r="HZ140" t="e">
        <f>AND(#REF!,"AAAAAHn9X+k=")</f>
        <v>#REF!</v>
      </c>
      <c r="IA140" t="e">
        <f>AND(#REF!,"AAAAAHn9X+o=")</f>
        <v>#REF!</v>
      </c>
      <c r="IB140" t="e">
        <f>AND(#REF!,"AAAAAHn9X+s=")</f>
        <v>#REF!</v>
      </c>
      <c r="IC140" t="e">
        <f>AND(#REF!,"AAAAAHn9X+w=")</f>
        <v>#REF!</v>
      </c>
      <c r="ID140" t="e">
        <f>AND(#REF!,"AAAAAHn9X+0=")</f>
        <v>#REF!</v>
      </c>
      <c r="IE140" t="e">
        <f>AND(#REF!,"AAAAAHn9X+4=")</f>
        <v>#REF!</v>
      </c>
      <c r="IF140" t="e">
        <f>AND(#REF!,"AAAAAHn9X+8=")</f>
        <v>#REF!</v>
      </c>
      <c r="IG140" t="e">
        <f>AND(#REF!,"AAAAAHn9X/A=")</f>
        <v>#REF!</v>
      </c>
      <c r="IH140" t="e">
        <f>AND(#REF!,"AAAAAHn9X/E=")</f>
        <v>#REF!</v>
      </c>
      <c r="II140" t="e">
        <f>AND(#REF!,"AAAAAHn9X/I=")</f>
        <v>#REF!</v>
      </c>
      <c r="IJ140" t="e">
        <f>AND(#REF!,"AAAAAHn9X/M=")</f>
        <v>#REF!</v>
      </c>
      <c r="IK140" t="e">
        <f>AND(#REF!,"AAAAAHn9X/Q=")</f>
        <v>#REF!</v>
      </c>
      <c r="IL140" t="e">
        <f>AND(#REF!,"AAAAAHn9X/U=")</f>
        <v>#REF!</v>
      </c>
      <c r="IM140" t="e">
        <f>AND(#REF!,"AAAAAHn9X/Y=")</f>
        <v>#REF!</v>
      </c>
      <c r="IN140" t="e">
        <f>AND(#REF!,"AAAAAHn9X/c=")</f>
        <v>#REF!</v>
      </c>
      <c r="IO140" t="e">
        <f>AND(#REF!,"AAAAAHn9X/g=")</f>
        <v>#REF!</v>
      </c>
      <c r="IP140" t="e">
        <f>AND(#REF!,"AAAAAHn9X/k=")</f>
        <v>#REF!</v>
      </c>
      <c r="IQ140" t="e">
        <f>AND(#REF!,"AAAAAHn9X/o=")</f>
        <v>#REF!</v>
      </c>
      <c r="IR140" t="e">
        <f>IF(#REF!,"AAAAAHn9X/s=",0)</f>
        <v>#REF!</v>
      </c>
      <c r="IS140" t="e">
        <f>AND(#REF!,"AAAAAHn9X/w=")</f>
        <v>#REF!</v>
      </c>
      <c r="IT140" t="e">
        <f>AND(#REF!,"AAAAAHn9X/0=")</f>
        <v>#REF!</v>
      </c>
      <c r="IU140" t="e">
        <f>AND(#REF!,"AAAAAHn9X/4=")</f>
        <v>#REF!</v>
      </c>
      <c r="IV140" t="e">
        <f>AND(#REF!,"AAAAAHn9X/8=")</f>
        <v>#REF!</v>
      </c>
    </row>
    <row r="141" spans="1:256">
      <c r="A141" t="e">
        <f>AND(#REF!,"AAAAAFf//wA=")</f>
        <v>#REF!</v>
      </c>
      <c r="B141" t="e">
        <f>AND(#REF!,"AAAAAFf//wE=")</f>
        <v>#REF!</v>
      </c>
      <c r="C141" t="e">
        <f>AND(#REF!,"AAAAAFf//wI=")</f>
        <v>#REF!</v>
      </c>
      <c r="D141" t="e">
        <f>AND(#REF!,"AAAAAFf//wM=")</f>
        <v>#REF!</v>
      </c>
      <c r="E141" t="e">
        <f>AND(#REF!,"AAAAAFf//wQ=")</f>
        <v>#REF!</v>
      </c>
      <c r="F141" t="e">
        <f>AND(#REF!,"AAAAAFf//wU=")</f>
        <v>#REF!</v>
      </c>
      <c r="G141" t="e">
        <f>AND(#REF!,"AAAAAFf//wY=")</f>
        <v>#REF!</v>
      </c>
      <c r="H141" t="e">
        <f>AND(#REF!,"AAAAAFf//wc=")</f>
        <v>#REF!</v>
      </c>
      <c r="I141" t="e">
        <f>AND(#REF!,"AAAAAFf//wg=")</f>
        <v>#REF!</v>
      </c>
      <c r="J141" t="e">
        <f>AND(#REF!,"AAAAAFf//wk=")</f>
        <v>#REF!</v>
      </c>
      <c r="K141" t="e">
        <f>AND(#REF!,"AAAAAFf//wo=")</f>
        <v>#REF!</v>
      </c>
      <c r="L141" t="e">
        <f>AND(#REF!,"AAAAAFf//ws=")</f>
        <v>#REF!</v>
      </c>
      <c r="M141" t="e">
        <f>AND(#REF!,"AAAAAFf//ww=")</f>
        <v>#REF!</v>
      </c>
      <c r="N141" t="e">
        <f>AND(#REF!,"AAAAAFf//w0=")</f>
        <v>#REF!</v>
      </c>
      <c r="O141" t="e">
        <f>AND(#REF!,"AAAAAFf//w4=")</f>
        <v>#REF!</v>
      </c>
      <c r="P141" t="e">
        <f>AND(#REF!,"AAAAAFf//w8=")</f>
        <v>#REF!</v>
      </c>
      <c r="Q141" t="e">
        <f>AND(#REF!,"AAAAAFf//xA=")</f>
        <v>#REF!</v>
      </c>
      <c r="R141" t="e">
        <f>AND(#REF!,"AAAAAFf//xE=")</f>
        <v>#REF!</v>
      </c>
      <c r="S141" t="e">
        <f>AND(#REF!,"AAAAAFf//xI=")</f>
        <v>#REF!</v>
      </c>
      <c r="T141" t="e">
        <f>AND(#REF!,"AAAAAFf//xM=")</f>
        <v>#REF!</v>
      </c>
      <c r="U141" t="e">
        <f>IF(#REF!,"AAAAAFf//xQ=",0)</f>
        <v>#REF!</v>
      </c>
      <c r="V141" t="e">
        <f>AND(#REF!,"AAAAAFf//xU=")</f>
        <v>#REF!</v>
      </c>
      <c r="W141" t="e">
        <f>AND(#REF!,"AAAAAFf//xY=")</f>
        <v>#REF!</v>
      </c>
      <c r="X141" t="e">
        <f>AND(#REF!,"AAAAAFf//xc=")</f>
        <v>#REF!</v>
      </c>
      <c r="Y141" t="e">
        <f>AND(#REF!,"AAAAAFf//xg=")</f>
        <v>#REF!</v>
      </c>
      <c r="Z141" t="e">
        <f>AND(#REF!,"AAAAAFf//xk=")</f>
        <v>#REF!</v>
      </c>
      <c r="AA141" t="e">
        <f>AND(#REF!,"AAAAAFf//xo=")</f>
        <v>#REF!</v>
      </c>
      <c r="AB141" t="e">
        <f>AND(#REF!,"AAAAAFf//xs=")</f>
        <v>#REF!</v>
      </c>
      <c r="AC141" t="e">
        <f>AND(#REF!,"AAAAAFf//xw=")</f>
        <v>#REF!</v>
      </c>
      <c r="AD141" t="e">
        <f>AND(#REF!,"AAAAAFf//x0=")</f>
        <v>#REF!</v>
      </c>
      <c r="AE141" t="e">
        <f>AND(#REF!,"AAAAAFf//x4=")</f>
        <v>#REF!</v>
      </c>
      <c r="AF141" t="e">
        <f>AND(#REF!,"AAAAAFf//x8=")</f>
        <v>#REF!</v>
      </c>
      <c r="AG141" t="e">
        <f>AND(#REF!,"AAAAAFf//yA=")</f>
        <v>#REF!</v>
      </c>
      <c r="AH141" t="e">
        <f>AND(#REF!,"AAAAAFf//yE=")</f>
        <v>#REF!</v>
      </c>
      <c r="AI141" t="e">
        <f>AND(#REF!,"AAAAAFf//yI=")</f>
        <v>#REF!</v>
      </c>
      <c r="AJ141" t="e">
        <f>AND(#REF!,"AAAAAFf//yM=")</f>
        <v>#REF!</v>
      </c>
      <c r="AK141" t="e">
        <f>AND(#REF!,"AAAAAFf//yQ=")</f>
        <v>#REF!</v>
      </c>
      <c r="AL141" t="e">
        <f>AND(#REF!,"AAAAAFf//yU=")</f>
        <v>#REF!</v>
      </c>
      <c r="AM141" t="e">
        <f>AND(#REF!,"AAAAAFf//yY=")</f>
        <v>#REF!</v>
      </c>
      <c r="AN141" t="e">
        <f>AND(#REF!,"AAAAAFf//yc=")</f>
        <v>#REF!</v>
      </c>
      <c r="AO141" t="e">
        <f>AND(#REF!,"AAAAAFf//yg=")</f>
        <v>#REF!</v>
      </c>
      <c r="AP141" t="e">
        <f>AND(#REF!,"AAAAAFf//yk=")</f>
        <v>#REF!</v>
      </c>
      <c r="AQ141" t="e">
        <f>AND(#REF!,"AAAAAFf//yo=")</f>
        <v>#REF!</v>
      </c>
      <c r="AR141" t="e">
        <f>AND(#REF!,"AAAAAFf//ys=")</f>
        <v>#REF!</v>
      </c>
      <c r="AS141" t="e">
        <f>AND(#REF!,"AAAAAFf//yw=")</f>
        <v>#REF!</v>
      </c>
      <c r="AT141" t="e">
        <f>IF(#REF!,"AAAAAFf//y0=",0)</f>
        <v>#REF!</v>
      </c>
      <c r="AU141" t="e">
        <f>AND(#REF!,"AAAAAFf//y4=")</f>
        <v>#REF!</v>
      </c>
      <c r="AV141" t="e">
        <f>AND(#REF!,"AAAAAFf//y8=")</f>
        <v>#REF!</v>
      </c>
      <c r="AW141" t="e">
        <f>AND(#REF!,"AAAAAFf//zA=")</f>
        <v>#REF!</v>
      </c>
      <c r="AX141" t="e">
        <f>AND(#REF!,"AAAAAFf//zE=")</f>
        <v>#REF!</v>
      </c>
      <c r="AY141" t="e">
        <f>AND(#REF!,"AAAAAFf//zI=")</f>
        <v>#REF!</v>
      </c>
      <c r="AZ141" t="e">
        <f>AND(#REF!,"AAAAAFf//zM=")</f>
        <v>#REF!</v>
      </c>
      <c r="BA141" t="e">
        <f>AND(#REF!,"AAAAAFf//zQ=")</f>
        <v>#REF!</v>
      </c>
      <c r="BB141" t="e">
        <f>AND(#REF!,"AAAAAFf//zU=")</f>
        <v>#REF!</v>
      </c>
      <c r="BC141" t="e">
        <f>AND(#REF!,"AAAAAFf//zY=")</f>
        <v>#REF!</v>
      </c>
      <c r="BD141" t="e">
        <f>AND(#REF!,"AAAAAFf//zc=")</f>
        <v>#REF!</v>
      </c>
      <c r="BE141" t="e">
        <f>AND(#REF!,"AAAAAFf//zg=")</f>
        <v>#REF!</v>
      </c>
      <c r="BF141" t="e">
        <f>AND(#REF!,"AAAAAFf//zk=")</f>
        <v>#REF!</v>
      </c>
      <c r="BG141" t="e">
        <f>AND(#REF!,"AAAAAFf//zo=")</f>
        <v>#REF!</v>
      </c>
      <c r="BH141" t="e">
        <f>AND(#REF!,"AAAAAFf//zs=")</f>
        <v>#REF!</v>
      </c>
      <c r="BI141" t="e">
        <f>AND(#REF!,"AAAAAFf//zw=")</f>
        <v>#REF!</v>
      </c>
      <c r="BJ141" t="e">
        <f>AND(#REF!,"AAAAAFf//z0=")</f>
        <v>#REF!</v>
      </c>
      <c r="BK141" t="e">
        <f>AND(#REF!,"AAAAAFf//z4=")</f>
        <v>#REF!</v>
      </c>
      <c r="BL141" t="e">
        <f>AND(#REF!,"AAAAAFf//z8=")</f>
        <v>#REF!</v>
      </c>
      <c r="BM141" t="e">
        <f>AND(#REF!,"AAAAAFf//0A=")</f>
        <v>#REF!</v>
      </c>
      <c r="BN141" t="e">
        <f>AND(#REF!,"AAAAAFf//0E=")</f>
        <v>#REF!</v>
      </c>
      <c r="BO141" t="e">
        <f>AND(#REF!,"AAAAAFf//0I=")</f>
        <v>#REF!</v>
      </c>
      <c r="BP141" t="e">
        <f>AND(#REF!,"AAAAAFf//0M=")</f>
        <v>#REF!</v>
      </c>
      <c r="BQ141" t="e">
        <f>AND(#REF!,"AAAAAFf//0Q=")</f>
        <v>#REF!</v>
      </c>
      <c r="BR141" t="e">
        <f>AND(#REF!,"AAAAAFf//0U=")</f>
        <v>#REF!</v>
      </c>
      <c r="BS141" t="e">
        <f>IF(#REF!,"AAAAAFf//0Y=",0)</f>
        <v>#REF!</v>
      </c>
      <c r="BT141" t="e">
        <f>AND(#REF!,"AAAAAFf//0c=")</f>
        <v>#REF!</v>
      </c>
      <c r="BU141" t="e">
        <f>AND(#REF!,"AAAAAFf//0g=")</f>
        <v>#REF!</v>
      </c>
      <c r="BV141" t="e">
        <f>AND(#REF!,"AAAAAFf//0k=")</f>
        <v>#REF!</v>
      </c>
      <c r="BW141" t="e">
        <f>AND(#REF!,"AAAAAFf//0o=")</f>
        <v>#REF!</v>
      </c>
      <c r="BX141" t="e">
        <f>AND(#REF!,"AAAAAFf//0s=")</f>
        <v>#REF!</v>
      </c>
      <c r="BY141" t="e">
        <f>AND(#REF!,"AAAAAFf//0w=")</f>
        <v>#REF!</v>
      </c>
      <c r="BZ141" t="e">
        <f>AND(#REF!,"AAAAAFf//00=")</f>
        <v>#REF!</v>
      </c>
      <c r="CA141" t="e">
        <f>AND(#REF!,"AAAAAFf//04=")</f>
        <v>#REF!</v>
      </c>
      <c r="CB141" t="e">
        <f>AND(#REF!,"AAAAAFf//08=")</f>
        <v>#REF!</v>
      </c>
      <c r="CC141" t="e">
        <f>AND(#REF!,"AAAAAFf//1A=")</f>
        <v>#REF!</v>
      </c>
      <c r="CD141" t="e">
        <f>AND(#REF!,"AAAAAFf//1E=")</f>
        <v>#REF!</v>
      </c>
      <c r="CE141" t="e">
        <f>AND(#REF!,"AAAAAFf//1I=")</f>
        <v>#REF!</v>
      </c>
      <c r="CF141" t="e">
        <f>AND(#REF!,"AAAAAFf//1M=")</f>
        <v>#REF!</v>
      </c>
      <c r="CG141" t="e">
        <f>AND(#REF!,"AAAAAFf//1Q=")</f>
        <v>#REF!</v>
      </c>
      <c r="CH141" t="e">
        <f>AND(#REF!,"AAAAAFf//1U=")</f>
        <v>#REF!</v>
      </c>
      <c r="CI141" t="e">
        <f>AND(#REF!,"AAAAAFf//1Y=")</f>
        <v>#REF!</v>
      </c>
      <c r="CJ141" t="e">
        <f>AND(#REF!,"AAAAAFf//1c=")</f>
        <v>#REF!</v>
      </c>
      <c r="CK141" t="e">
        <f>AND(#REF!,"AAAAAFf//1g=")</f>
        <v>#REF!</v>
      </c>
      <c r="CL141" t="e">
        <f>AND(#REF!,"AAAAAFf//1k=")</f>
        <v>#REF!</v>
      </c>
      <c r="CM141" t="e">
        <f>AND(#REF!,"AAAAAFf//1o=")</f>
        <v>#REF!</v>
      </c>
      <c r="CN141" t="e">
        <f>AND(#REF!,"AAAAAFf//1s=")</f>
        <v>#REF!</v>
      </c>
      <c r="CO141" t="e">
        <f>AND(#REF!,"AAAAAFf//1w=")</f>
        <v>#REF!</v>
      </c>
      <c r="CP141" t="e">
        <f>AND(#REF!,"AAAAAFf//10=")</f>
        <v>#REF!</v>
      </c>
      <c r="CQ141" t="e">
        <f>AND(#REF!,"AAAAAFf//14=")</f>
        <v>#REF!</v>
      </c>
      <c r="CR141" t="e">
        <f>IF(#REF!,"AAAAAFf//18=",0)</f>
        <v>#REF!</v>
      </c>
      <c r="CS141" t="e">
        <f>AND(#REF!,"AAAAAFf//2A=")</f>
        <v>#REF!</v>
      </c>
      <c r="CT141" t="e">
        <f>AND(#REF!,"AAAAAFf//2E=")</f>
        <v>#REF!</v>
      </c>
      <c r="CU141" t="e">
        <f>AND(#REF!,"AAAAAFf//2I=")</f>
        <v>#REF!</v>
      </c>
      <c r="CV141" t="e">
        <f>AND(#REF!,"AAAAAFf//2M=")</f>
        <v>#REF!</v>
      </c>
      <c r="CW141" t="e">
        <f>AND(#REF!,"AAAAAFf//2Q=")</f>
        <v>#REF!</v>
      </c>
      <c r="CX141" t="e">
        <f>AND(#REF!,"AAAAAFf//2U=")</f>
        <v>#REF!</v>
      </c>
      <c r="CY141" t="e">
        <f>AND(#REF!,"AAAAAFf//2Y=")</f>
        <v>#REF!</v>
      </c>
      <c r="CZ141" t="e">
        <f>AND(#REF!,"AAAAAFf//2c=")</f>
        <v>#REF!</v>
      </c>
      <c r="DA141" t="e">
        <f>AND(#REF!,"AAAAAFf//2g=")</f>
        <v>#REF!</v>
      </c>
      <c r="DB141" t="e">
        <f>AND(#REF!,"AAAAAFf//2k=")</f>
        <v>#REF!</v>
      </c>
      <c r="DC141" t="e">
        <f>AND(#REF!,"AAAAAFf//2o=")</f>
        <v>#REF!</v>
      </c>
      <c r="DD141" t="e">
        <f>AND(#REF!,"AAAAAFf//2s=")</f>
        <v>#REF!</v>
      </c>
      <c r="DE141" t="e">
        <f>AND(#REF!,"AAAAAFf//2w=")</f>
        <v>#REF!</v>
      </c>
      <c r="DF141" t="e">
        <f>AND(#REF!,"AAAAAFf//20=")</f>
        <v>#REF!</v>
      </c>
      <c r="DG141" t="e">
        <f>AND(#REF!,"AAAAAFf//24=")</f>
        <v>#REF!</v>
      </c>
      <c r="DH141" t="e">
        <f>AND(#REF!,"AAAAAFf//28=")</f>
        <v>#REF!</v>
      </c>
      <c r="DI141" t="e">
        <f>AND(#REF!,"AAAAAFf//3A=")</f>
        <v>#REF!</v>
      </c>
      <c r="DJ141" t="e">
        <f>AND(#REF!,"AAAAAFf//3E=")</f>
        <v>#REF!</v>
      </c>
      <c r="DK141" t="e">
        <f>AND(#REF!,"AAAAAFf//3I=")</f>
        <v>#REF!</v>
      </c>
      <c r="DL141" t="e">
        <f>AND(#REF!,"AAAAAFf//3M=")</f>
        <v>#REF!</v>
      </c>
      <c r="DM141" t="e">
        <f>AND(#REF!,"AAAAAFf//3Q=")</f>
        <v>#REF!</v>
      </c>
      <c r="DN141" t="e">
        <f>AND(#REF!,"AAAAAFf//3U=")</f>
        <v>#REF!</v>
      </c>
      <c r="DO141" t="e">
        <f>AND(#REF!,"AAAAAFf//3Y=")</f>
        <v>#REF!</v>
      </c>
      <c r="DP141" t="e">
        <f>AND(#REF!,"AAAAAFf//3c=")</f>
        <v>#REF!</v>
      </c>
      <c r="DQ141" t="e">
        <f>IF(#REF!,"AAAAAFf//3g=",0)</f>
        <v>#REF!</v>
      </c>
      <c r="DR141" t="e">
        <f>AND(#REF!,"AAAAAFf//3k=")</f>
        <v>#REF!</v>
      </c>
      <c r="DS141" t="e">
        <f>AND(#REF!,"AAAAAFf//3o=")</f>
        <v>#REF!</v>
      </c>
      <c r="DT141" t="e">
        <f>AND(#REF!,"AAAAAFf//3s=")</f>
        <v>#REF!</v>
      </c>
      <c r="DU141" t="e">
        <f>AND(#REF!,"AAAAAFf//3w=")</f>
        <v>#REF!</v>
      </c>
      <c r="DV141" t="e">
        <f>AND(#REF!,"AAAAAFf//30=")</f>
        <v>#REF!</v>
      </c>
      <c r="DW141" t="e">
        <f>AND(#REF!,"AAAAAFf//34=")</f>
        <v>#REF!</v>
      </c>
      <c r="DX141" t="e">
        <f>AND(#REF!,"AAAAAFf//38=")</f>
        <v>#REF!</v>
      </c>
      <c r="DY141" t="e">
        <f>AND(#REF!,"AAAAAFf//4A=")</f>
        <v>#REF!</v>
      </c>
      <c r="DZ141" t="e">
        <f>AND(#REF!,"AAAAAFf//4E=")</f>
        <v>#REF!</v>
      </c>
      <c r="EA141" t="e">
        <f>AND(#REF!,"AAAAAFf//4I=")</f>
        <v>#REF!</v>
      </c>
      <c r="EB141" t="e">
        <f>AND(#REF!,"AAAAAFf//4M=")</f>
        <v>#REF!</v>
      </c>
      <c r="EC141" t="e">
        <f>AND(#REF!,"AAAAAFf//4Q=")</f>
        <v>#REF!</v>
      </c>
      <c r="ED141" t="e">
        <f>AND(#REF!,"AAAAAFf//4U=")</f>
        <v>#REF!</v>
      </c>
      <c r="EE141" t="e">
        <f>AND(#REF!,"AAAAAFf//4Y=")</f>
        <v>#REF!</v>
      </c>
      <c r="EF141" t="e">
        <f>AND(#REF!,"AAAAAFf//4c=")</f>
        <v>#REF!</v>
      </c>
      <c r="EG141" t="e">
        <f>AND(#REF!,"AAAAAFf//4g=")</f>
        <v>#REF!</v>
      </c>
      <c r="EH141" t="e">
        <f>AND(#REF!,"AAAAAFf//4k=")</f>
        <v>#REF!</v>
      </c>
      <c r="EI141" t="e">
        <f>AND(#REF!,"AAAAAFf//4o=")</f>
        <v>#REF!</v>
      </c>
      <c r="EJ141" t="e">
        <f>AND(#REF!,"AAAAAFf//4s=")</f>
        <v>#REF!</v>
      </c>
      <c r="EK141" t="e">
        <f>AND(#REF!,"AAAAAFf//4w=")</f>
        <v>#REF!</v>
      </c>
      <c r="EL141" t="e">
        <f>AND(#REF!,"AAAAAFf//40=")</f>
        <v>#REF!</v>
      </c>
      <c r="EM141" t="e">
        <f>AND(#REF!,"AAAAAFf//44=")</f>
        <v>#REF!</v>
      </c>
      <c r="EN141" t="e">
        <f>AND(#REF!,"AAAAAFf//48=")</f>
        <v>#REF!</v>
      </c>
      <c r="EO141" t="e">
        <f>AND(#REF!,"AAAAAFf//5A=")</f>
        <v>#REF!</v>
      </c>
      <c r="EP141" t="e">
        <f>IF(#REF!,"AAAAAFf//5E=",0)</f>
        <v>#REF!</v>
      </c>
      <c r="EQ141" t="e">
        <f>AND(#REF!,"AAAAAFf//5I=")</f>
        <v>#REF!</v>
      </c>
      <c r="ER141" t="e">
        <f>AND(#REF!,"AAAAAFf//5M=")</f>
        <v>#REF!</v>
      </c>
      <c r="ES141" t="e">
        <f>AND(#REF!,"AAAAAFf//5Q=")</f>
        <v>#REF!</v>
      </c>
      <c r="ET141" t="e">
        <f>AND(#REF!,"AAAAAFf//5U=")</f>
        <v>#REF!</v>
      </c>
      <c r="EU141" t="e">
        <f>AND(#REF!,"AAAAAFf//5Y=")</f>
        <v>#REF!</v>
      </c>
      <c r="EV141" t="e">
        <f>AND(#REF!,"AAAAAFf//5c=")</f>
        <v>#REF!</v>
      </c>
      <c r="EW141" t="e">
        <f>AND(#REF!,"AAAAAFf//5g=")</f>
        <v>#REF!</v>
      </c>
      <c r="EX141" t="e">
        <f>AND(#REF!,"AAAAAFf//5k=")</f>
        <v>#REF!</v>
      </c>
      <c r="EY141" t="e">
        <f>AND(#REF!,"AAAAAFf//5o=")</f>
        <v>#REF!</v>
      </c>
      <c r="EZ141" t="e">
        <f>AND(#REF!,"AAAAAFf//5s=")</f>
        <v>#REF!</v>
      </c>
      <c r="FA141" t="e">
        <f>AND(#REF!,"AAAAAFf//5w=")</f>
        <v>#REF!</v>
      </c>
      <c r="FB141" t="e">
        <f>AND(#REF!,"AAAAAFf//50=")</f>
        <v>#REF!</v>
      </c>
      <c r="FC141" t="e">
        <f>AND(#REF!,"AAAAAFf//54=")</f>
        <v>#REF!</v>
      </c>
      <c r="FD141" t="e">
        <f>AND(#REF!,"AAAAAFf//58=")</f>
        <v>#REF!</v>
      </c>
      <c r="FE141" t="e">
        <f>AND(#REF!,"AAAAAFf//6A=")</f>
        <v>#REF!</v>
      </c>
      <c r="FF141" t="e">
        <f>AND(#REF!,"AAAAAFf//6E=")</f>
        <v>#REF!</v>
      </c>
      <c r="FG141" t="e">
        <f>AND(#REF!,"AAAAAFf//6I=")</f>
        <v>#REF!</v>
      </c>
      <c r="FH141" t="e">
        <f>AND(#REF!,"AAAAAFf//6M=")</f>
        <v>#REF!</v>
      </c>
      <c r="FI141" t="e">
        <f>AND(#REF!,"AAAAAFf//6Q=")</f>
        <v>#REF!</v>
      </c>
      <c r="FJ141" t="e">
        <f>AND(#REF!,"AAAAAFf//6U=")</f>
        <v>#REF!</v>
      </c>
      <c r="FK141" t="e">
        <f>AND(#REF!,"AAAAAFf//6Y=")</f>
        <v>#REF!</v>
      </c>
      <c r="FL141" t="e">
        <f>AND(#REF!,"AAAAAFf//6c=")</f>
        <v>#REF!</v>
      </c>
      <c r="FM141" t="e">
        <f>AND(#REF!,"AAAAAFf//6g=")</f>
        <v>#REF!</v>
      </c>
      <c r="FN141" t="e">
        <f>AND(#REF!,"AAAAAFf//6k=")</f>
        <v>#REF!</v>
      </c>
      <c r="FO141" t="e">
        <f>IF(#REF!,"AAAAAFf//6o=",0)</f>
        <v>#REF!</v>
      </c>
      <c r="FP141" t="e">
        <f>AND(#REF!,"AAAAAFf//6s=")</f>
        <v>#REF!</v>
      </c>
      <c r="FQ141" t="e">
        <f>AND(#REF!,"AAAAAFf//6w=")</f>
        <v>#REF!</v>
      </c>
      <c r="FR141" t="e">
        <f>AND(#REF!,"AAAAAFf//60=")</f>
        <v>#REF!</v>
      </c>
      <c r="FS141" t="e">
        <f>AND(#REF!,"AAAAAFf//64=")</f>
        <v>#REF!</v>
      </c>
      <c r="FT141" t="e">
        <f>AND(#REF!,"AAAAAFf//68=")</f>
        <v>#REF!</v>
      </c>
      <c r="FU141" t="e">
        <f>AND(#REF!,"AAAAAFf//7A=")</f>
        <v>#REF!</v>
      </c>
      <c r="FV141" t="e">
        <f>AND(#REF!,"AAAAAFf//7E=")</f>
        <v>#REF!</v>
      </c>
      <c r="FW141" t="e">
        <f>AND(#REF!,"AAAAAFf//7I=")</f>
        <v>#REF!</v>
      </c>
      <c r="FX141" t="e">
        <f>AND(#REF!,"AAAAAFf//7M=")</f>
        <v>#REF!</v>
      </c>
      <c r="FY141" t="e">
        <f>AND(#REF!,"AAAAAFf//7Q=")</f>
        <v>#REF!</v>
      </c>
      <c r="FZ141" t="e">
        <f>AND(#REF!,"AAAAAFf//7U=")</f>
        <v>#REF!</v>
      </c>
      <c r="GA141" t="e">
        <f>AND(#REF!,"AAAAAFf//7Y=")</f>
        <v>#REF!</v>
      </c>
      <c r="GB141" t="e">
        <f>AND(#REF!,"AAAAAFf//7c=")</f>
        <v>#REF!</v>
      </c>
      <c r="GC141" t="e">
        <f>AND(#REF!,"AAAAAFf//7g=")</f>
        <v>#REF!</v>
      </c>
      <c r="GD141" t="e">
        <f>AND(#REF!,"AAAAAFf//7k=")</f>
        <v>#REF!</v>
      </c>
      <c r="GE141" t="e">
        <f>AND(#REF!,"AAAAAFf//7o=")</f>
        <v>#REF!</v>
      </c>
      <c r="GF141" t="e">
        <f>AND(#REF!,"AAAAAFf//7s=")</f>
        <v>#REF!</v>
      </c>
      <c r="GG141" t="e">
        <f>AND(#REF!,"AAAAAFf//7w=")</f>
        <v>#REF!</v>
      </c>
      <c r="GH141" t="e">
        <f>AND(#REF!,"AAAAAFf//70=")</f>
        <v>#REF!</v>
      </c>
      <c r="GI141" t="e">
        <f>AND(#REF!,"AAAAAFf//74=")</f>
        <v>#REF!</v>
      </c>
      <c r="GJ141" t="e">
        <f>AND(#REF!,"AAAAAFf//78=")</f>
        <v>#REF!</v>
      </c>
      <c r="GK141" t="e">
        <f>AND(#REF!,"AAAAAFf//8A=")</f>
        <v>#REF!</v>
      </c>
      <c r="GL141" t="e">
        <f>AND(#REF!,"AAAAAFf//8E=")</f>
        <v>#REF!</v>
      </c>
      <c r="GM141" t="e">
        <f>AND(#REF!,"AAAAAFf//8I=")</f>
        <v>#REF!</v>
      </c>
      <c r="GN141" t="e">
        <f>IF(#REF!,"AAAAAFf//8M=",0)</f>
        <v>#REF!</v>
      </c>
      <c r="GO141" t="e">
        <f>AND(#REF!,"AAAAAFf//8Q=")</f>
        <v>#REF!</v>
      </c>
      <c r="GP141" t="e">
        <f>AND(#REF!,"AAAAAFf//8U=")</f>
        <v>#REF!</v>
      </c>
      <c r="GQ141" t="e">
        <f>AND(#REF!,"AAAAAFf//8Y=")</f>
        <v>#REF!</v>
      </c>
      <c r="GR141" t="e">
        <f>AND(#REF!,"AAAAAFf//8c=")</f>
        <v>#REF!</v>
      </c>
      <c r="GS141" t="e">
        <f>AND(#REF!,"AAAAAFf//8g=")</f>
        <v>#REF!</v>
      </c>
      <c r="GT141" t="e">
        <f>AND(#REF!,"AAAAAFf//8k=")</f>
        <v>#REF!</v>
      </c>
      <c r="GU141" t="e">
        <f>AND(#REF!,"AAAAAFf//8o=")</f>
        <v>#REF!</v>
      </c>
      <c r="GV141" t="e">
        <f>AND(#REF!,"AAAAAFf//8s=")</f>
        <v>#REF!</v>
      </c>
      <c r="GW141" t="e">
        <f>AND(#REF!,"AAAAAFf//8w=")</f>
        <v>#REF!</v>
      </c>
      <c r="GX141" t="e">
        <f>AND(#REF!,"AAAAAFf//80=")</f>
        <v>#REF!</v>
      </c>
      <c r="GY141" t="e">
        <f>AND(#REF!,"AAAAAFf//84=")</f>
        <v>#REF!</v>
      </c>
      <c r="GZ141" t="e">
        <f>AND(#REF!,"AAAAAFf//88=")</f>
        <v>#REF!</v>
      </c>
      <c r="HA141" t="e">
        <f>AND(#REF!,"AAAAAFf//9A=")</f>
        <v>#REF!</v>
      </c>
      <c r="HB141" t="e">
        <f>AND(#REF!,"AAAAAFf//9E=")</f>
        <v>#REF!</v>
      </c>
      <c r="HC141" t="e">
        <f>AND(#REF!,"AAAAAFf//9I=")</f>
        <v>#REF!</v>
      </c>
      <c r="HD141" t="e">
        <f>AND(#REF!,"AAAAAFf//9M=")</f>
        <v>#REF!</v>
      </c>
      <c r="HE141" t="e">
        <f>AND(#REF!,"AAAAAFf//9Q=")</f>
        <v>#REF!</v>
      </c>
      <c r="HF141" t="e">
        <f>AND(#REF!,"AAAAAFf//9U=")</f>
        <v>#REF!</v>
      </c>
      <c r="HG141" t="e">
        <f>AND(#REF!,"AAAAAFf//9Y=")</f>
        <v>#REF!</v>
      </c>
      <c r="HH141" t="e">
        <f>AND(#REF!,"AAAAAFf//9c=")</f>
        <v>#REF!</v>
      </c>
      <c r="HI141" t="e">
        <f>AND(#REF!,"AAAAAFf//9g=")</f>
        <v>#REF!</v>
      </c>
      <c r="HJ141" t="e">
        <f>AND(#REF!,"AAAAAFf//9k=")</f>
        <v>#REF!</v>
      </c>
      <c r="HK141" t="e">
        <f>AND(#REF!,"AAAAAFf//9o=")</f>
        <v>#REF!</v>
      </c>
      <c r="HL141" t="e">
        <f>AND(#REF!,"AAAAAFf//9s=")</f>
        <v>#REF!</v>
      </c>
      <c r="HM141" t="e">
        <f>IF(#REF!,"AAAAAFf//9w=",0)</f>
        <v>#REF!</v>
      </c>
      <c r="HN141" t="e">
        <f>AND(#REF!,"AAAAAFf//90=")</f>
        <v>#REF!</v>
      </c>
      <c r="HO141" t="e">
        <f>AND(#REF!,"AAAAAFf//94=")</f>
        <v>#REF!</v>
      </c>
      <c r="HP141" t="e">
        <f>AND(#REF!,"AAAAAFf//98=")</f>
        <v>#REF!</v>
      </c>
      <c r="HQ141" t="e">
        <f>AND(#REF!,"AAAAAFf//+A=")</f>
        <v>#REF!</v>
      </c>
      <c r="HR141" t="e">
        <f>AND(#REF!,"AAAAAFf//+E=")</f>
        <v>#REF!</v>
      </c>
      <c r="HS141" t="e">
        <f>AND(#REF!,"AAAAAFf//+I=")</f>
        <v>#REF!</v>
      </c>
      <c r="HT141" t="e">
        <f>AND(#REF!,"AAAAAFf//+M=")</f>
        <v>#REF!</v>
      </c>
      <c r="HU141" t="e">
        <f>AND(#REF!,"AAAAAFf//+Q=")</f>
        <v>#REF!</v>
      </c>
      <c r="HV141" t="e">
        <f>AND(#REF!,"AAAAAFf//+U=")</f>
        <v>#REF!</v>
      </c>
      <c r="HW141" t="e">
        <f>AND(#REF!,"AAAAAFf//+Y=")</f>
        <v>#REF!</v>
      </c>
      <c r="HX141" t="e">
        <f>AND(#REF!,"AAAAAFf//+c=")</f>
        <v>#REF!</v>
      </c>
      <c r="HY141" t="e">
        <f>AND(#REF!,"AAAAAFf//+g=")</f>
        <v>#REF!</v>
      </c>
      <c r="HZ141" t="e">
        <f>AND(#REF!,"AAAAAFf//+k=")</f>
        <v>#REF!</v>
      </c>
      <c r="IA141" t="e">
        <f>AND(#REF!,"AAAAAFf//+o=")</f>
        <v>#REF!</v>
      </c>
      <c r="IB141" t="e">
        <f>AND(#REF!,"AAAAAFf//+s=")</f>
        <v>#REF!</v>
      </c>
      <c r="IC141" t="e">
        <f>AND(#REF!,"AAAAAFf//+w=")</f>
        <v>#REF!</v>
      </c>
      <c r="ID141" t="e">
        <f>AND(#REF!,"AAAAAFf//+0=")</f>
        <v>#REF!</v>
      </c>
      <c r="IE141" t="e">
        <f>AND(#REF!,"AAAAAFf//+4=")</f>
        <v>#REF!</v>
      </c>
      <c r="IF141" t="e">
        <f>AND(#REF!,"AAAAAFf//+8=")</f>
        <v>#REF!</v>
      </c>
      <c r="IG141" t="e">
        <f>AND(#REF!,"AAAAAFf///A=")</f>
        <v>#REF!</v>
      </c>
      <c r="IH141" t="e">
        <f>AND(#REF!,"AAAAAFf///E=")</f>
        <v>#REF!</v>
      </c>
      <c r="II141" t="e">
        <f>AND(#REF!,"AAAAAFf///I=")</f>
        <v>#REF!</v>
      </c>
      <c r="IJ141" t="e">
        <f>AND(#REF!,"AAAAAFf///M=")</f>
        <v>#REF!</v>
      </c>
      <c r="IK141" t="e">
        <f>AND(#REF!,"AAAAAFf///Q=")</f>
        <v>#REF!</v>
      </c>
      <c r="IL141" t="e">
        <f>IF(#REF!,"AAAAAFf///U=",0)</f>
        <v>#REF!</v>
      </c>
      <c r="IM141" t="e">
        <f>AND(#REF!,"AAAAAFf///Y=")</f>
        <v>#REF!</v>
      </c>
      <c r="IN141" t="e">
        <f>AND(#REF!,"AAAAAFf///c=")</f>
        <v>#REF!</v>
      </c>
      <c r="IO141" t="e">
        <f>AND(#REF!,"AAAAAFf///g=")</f>
        <v>#REF!</v>
      </c>
      <c r="IP141" t="e">
        <f>AND(#REF!,"AAAAAFf///k=")</f>
        <v>#REF!</v>
      </c>
      <c r="IQ141" t="e">
        <f>AND(#REF!,"AAAAAFf///o=")</f>
        <v>#REF!</v>
      </c>
      <c r="IR141" t="e">
        <f>AND(#REF!,"AAAAAFf///s=")</f>
        <v>#REF!</v>
      </c>
      <c r="IS141" t="e">
        <f>AND(#REF!,"AAAAAFf///w=")</f>
        <v>#REF!</v>
      </c>
      <c r="IT141" t="e">
        <f>AND(#REF!,"AAAAAFf///0=")</f>
        <v>#REF!</v>
      </c>
      <c r="IU141" t="e">
        <f>AND(#REF!,"AAAAAFf///4=")</f>
        <v>#REF!</v>
      </c>
      <c r="IV141" t="e">
        <f>AND(#REF!,"AAAAAFf///8=")</f>
        <v>#REF!</v>
      </c>
    </row>
    <row r="142" spans="1:256">
      <c r="A142" t="e">
        <f>AND(#REF!,"AAAAAH/N+QA=")</f>
        <v>#REF!</v>
      </c>
      <c r="B142" t="e">
        <f>AND(#REF!,"AAAAAH/N+QE=")</f>
        <v>#REF!</v>
      </c>
      <c r="C142" t="e">
        <f>AND(#REF!,"AAAAAH/N+QI=")</f>
        <v>#REF!</v>
      </c>
      <c r="D142" t="e">
        <f>AND(#REF!,"AAAAAH/N+QM=")</f>
        <v>#REF!</v>
      </c>
      <c r="E142" t="e">
        <f>AND(#REF!,"AAAAAH/N+QQ=")</f>
        <v>#REF!</v>
      </c>
      <c r="F142" t="e">
        <f>AND(#REF!,"AAAAAH/N+QU=")</f>
        <v>#REF!</v>
      </c>
      <c r="G142" t="e">
        <f>AND(#REF!,"AAAAAH/N+QY=")</f>
        <v>#REF!</v>
      </c>
      <c r="H142" t="e">
        <f>AND(#REF!,"AAAAAH/N+Qc=")</f>
        <v>#REF!</v>
      </c>
      <c r="I142" t="e">
        <f>AND(#REF!,"AAAAAH/N+Qg=")</f>
        <v>#REF!</v>
      </c>
      <c r="J142" t="e">
        <f>AND(#REF!,"AAAAAH/N+Qk=")</f>
        <v>#REF!</v>
      </c>
      <c r="K142" t="e">
        <f>AND(#REF!,"AAAAAH/N+Qo=")</f>
        <v>#REF!</v>
      </c>
      <c r="L142" t="e">
        <f>AND(#REF!,"AAAAAH/N+Qs=")</f>
        <v>#REF!</v>
      </c>
      <c r="M142" t="e">
        <f>AND(#REF!,"AAAAAH/N+Qw=")</f>
        <v>#REF!</v>
      </c>
      <c r="N142" t="e">
        <f>AND(#REF!,"AAAAAH/N+Q0=")</f>
        <v>#REF!</v>
      </c>
      <c r="O142" t="e">
        <f>IF(#REF!,"AAAAAH/N+Q4=",0)</f>
        <v>#REF!</v>
      </c>
      <c r="P142" t="e">
        <f>AND(#REF!,"AAAAAH/N+Q8=")</f>
        <v>#REF!</v>
      </c>
      <c r="Q142" t="e">
        <f>AND(#REF!,"AAAAAH/N+RA=")</f>
        <v>#REF!</v>
      </c>
      <c r="R142" t="e">
        <f>AND(#REF!,"AAAAAH/N+RE=")</f>
        <v>#REF!</v>
      </c>
      <c r="S142" t="e">
        <f>AND(#REF!,"AAAAAH/N+RI=")</f>
        <v>#REF!</v>
      </c>
      <c r="T142" t="e">
        <f>AND(#REF!,"AAAAAH/N+RM=")</f>
        <v>#REF!</v>
      </c>
      <c r="U142" t="e">
        <f>AND(#REF!,"AAAAAH/N+RQ=")</f>
        <v>#REF!</v>
      </c>
      <c r="V142" t="e">
        <f>AND(#REF!,"AAAAAH/N+RU=")</f>
        <v>#REF!</v>
      </c>
      <c r="W142" t="e">
        <f>AND(#REF!,"AAAAAH/N+RY=")</f>
        <v>#REF!</v>
      </c>
      <c r="X142" t="e">
        <f>AND(#REF!,"AAAAAH/N+Rc=")</f>
        <v>#REF!</v>
      </c>
      <c r="Y142" t="e">
        <f>AND(#REF!,"AAAAAH/N+Rg=")</f>
        <v>#REF!</v>
      </c>
      <c r="Z142" t="e">
        <f>AND(#REF!,"AAAAAH/N+Rk=")</f>
        <v>#REF!</v>
      </c>
      <c r="AA142" t="e">
        <f>AND(#REF!,"AAAAAH/N+Ro=")</f>
        <v>#REF!</v>
      </c>
      <c r="AB142" t="e">
        <f>AND(#REF!,"AAAAAH/N+Rs=")</f>
        <v>#REF!</v>
      </c>
      <c r="AC142" t="e">
        <f>AND(#REF!,"AAAAAH/N+Rw=")</f>
        <v>#REF!</v>
      </c>
      <c r="AD142" t="e">
        <f>AND(#REF!,"AAAAAH/N+R0=")</f>
        <v>#REF!</v>
      </c>
      <c r="AE142" t="e">
        <f>AND(#REF!,"AAAAAH/N+R4=")</f>
        <v>#REF!</v>
      </c>
      <c r="AF142" t="e">
        <f>AND(#REF!,"AAAAAH/N+R8=")</f>
        <v>#REF!</v>
      </c>
      <c r="AG142" t="e">
        <f>AND(#REF!,"AAAAAH/N+SA=")</f>
        <v>#REF!</v>
      </c>
      <c r="AH142" t="e">
        <f>AND(#REF!,"AAAAAH/N+SE=")</f>
        <v>#REF!</v>
      </c>
      <c r="AI142" t="e">
        <f>AND(#REF!,"AAAAAH/N+SI=")</f>
        <v>#REF!</v>
      </c>
      <c r="AJ142" t="e">
        <f>AND(#REF!,"AAAAAH/N+SM=")</f>
        <v>#REF!</v>
      </c>
      <c r="AK142" t="e">
        <f>AND(#REF!,"AAAAAH/N+SQ=")</f>
        <v>#REF!</v>
      </c>
      <c r="AL142" t="e">
        <f>AND(#REF!,"AAAAAH/N+SU=")</f>
        <v>#REF!</v>
      </c>
      <c r="AM142" t="e">
        <f>AND(#REF!,"AAAAAH/N+SY=")</f>
        <v>#REF!</v>
      </c>
      <c r="AN142" t="e">
        <f>IF(#REF!,"AAAAAH/N+Sc=",0)</f>
        <v>#REF!</v>
      </c>
      <c r="AO142" t="e">
        <f>AND(#REF!,"AAAAAH/N+Sg=")</f>
        <v>#REF!</v>
      </c>
      <c r="AP142" t="e">
        <f>AND(#REF!,"AAAAAH/N+Sk=")</f>
        <v>#REF!</v>
      </c>
      <c r="AQ142" t="e">
        <f>AND(#REF!,"AAAAAH/N+So=")</f>
        <v>#REF!</v>
      </c>
      <c r="AR142" t="e">
        <f>AND(#REF!,"AAAAAH/N+Ss=")</f>
        <v>#REF!</v>
      </c>
      <c r="AS142" t="e">
        <f>AND(#REF!,"AAAAAH/N+Sw=")</f>
        <v>#REF!</v>
      </c>
      <c r="AT142" t="e">
        <f>AND(#REF!,"AAAAAH/N+S0=")</f>
        <v>#REF!</v>
      </c>
      <c r="AU142" t="e">
        <f>AND(#REF!,"AAAAAH/N+S4=")</f>
        <v>#REF!</v>
      </c>
      <c r="AV142" t="e">
        <f>AND(#REF!,"AAAAAH/N+S8=")</f>
        <v>#REF!</v>
      </c>
      <c r="AW142" t="e">
        <f>AND(#REF!,"AAAAAH/N+TA=")</f>
        <v>#REF!</v>
      </c>
      <c r="AX142" t="e">
        <f>AND(#REF!,"AAAAAH/N+TE=")</f>
        <v>#REF!</v>
      </c>
      <c r="AY142" t="e">
        <f>AND(#REF!,"AAAAAH/N+TI=")</f>
        <v>#REF!</v>
      </c>
      <c r="AZ142" t="e">
        <f>AND(#REF!,"AAAAAH/N+TM=")</f>
        <v>#REF!</v>
      </c>
      <c r="BA142" t="e">
        <f>AND(#REF!,"AAAAAH/N+TQ=")</f>
        <v>#REF!</v>
      </c>
      <c r="BB142" t="e">
        <f>AND(#REF!,"AAAAAH/N+TU=")</f>
        <v>#REF!</v>
      </c>
      <c r="BC142" t="e">
        <f>AND(#REF!,"AAAAAH/N+TY=")</f>
        <v>#REF!</v>
      </c>
      <c r="BD142" t="e">
        <f>AND(#REF!,"AAAAAH/N+Tc=")</f>
        <v>#REF!</v>
      </c>
      <c r="BE142" t="e">
        <f>AND(#REF!,"AAAAAH/N+Tg=")</f>
        <v>#REF!</v>
      </c>
      <c r="BF142" t="e">
        <f>AND(#REF!,"AAAAAH/N+Tk=")</f>
        <v>#REF!</v>
      </c>
      <c r="BG142" t="e">
        <f>AND(#REF!,"AAAAAH/N+To=")</f>
        <v>#REF!</v>
      </c>
      <c r="BH142" t="e">
        <f>AND(#REF!,"AAAAAH/N+Ts=")</f>
        <v>#REF!</v>
      </c>
      <c r="BI142" t="e">
        <f>AND(#REF!,"AAAAAH/N+Tw=")</f>
        <v>#REF!</v>
      </c>
      <c r="BJ142" t="e">
        <f>AND(#REF!,"AAAAAH/N+T0=")</f>
        <v>#REF!</v>
      </c>
      <c r="BK142" t="e">
        <f>AND(#REF!,"AAAAAH/N+T4=")</f>
        <v>#REF!</v>
      </c>
      <c r="BL142" t="e">
        <f>AND(#REF!,"AAAAAH/N+T8=")</f>
        <v>#REF!</v>
      </c>
      <c r="BM142" t="e">
        <f>IF(#REF!,"AAAAAH/N+UA=",0)</f>
        <v>#REF!</v>
      </c>
      <c r="BN142" t="e">
        <f>AND(#REF!,"AAAAAH/N+UE=")</f>
        <v>#REF!</v>
      </c>
      <c r="BO142" t="e">
        <f>AND(#REF!,"AAAAAH/N+UI=")</f>
        <v>#REF!</v>
      </c>
      <c r="BP142" t="e">
        <f>AND(#REF!,"AAAAAH/N+UM=")</f>
        <v>#REF!</v>
      </c>
      <c r="BQ142" t="e">
        <f>AND(#REF!,"AAAAAH/N+UQ=")</f>
        <v>#REF!</v>
      </c>
      <c r="BR142" t="e">
        <f>AND(#REF!,"AAAAAH/N+UU=")</f>
        <v>#REF!</v>
      </c>
      <c r="BS142" t="e">
        <f>AND(#REF!,"AAAAAH/N+UY=")</f>
        <v>#REF!</v>
      </c>
      <c r="BT142" t="e">
        <f>AND(#REF!,"AAAAAH/N+Uc=")</f>
        <v>#REF!</v>
      </c>
      <c r="BU142" t="e">
        <f>AND(#REF!,"AAAAAH/N+Ug=")</f>
        <v>#REF!</v>
      </c>
      <c r="BV142" t="e">
        <f>AND(#REF!,"AAAAAH/N+Uk=")</f>
        <v>#REF!</v>
      </c>
      <c r="BW142" t="e">
        <f>AND(#REF!,"AAAAAH/N+Uo=")</f>
        <v>#REF!</v>
      </c>
      <c r="BX142" t="e">
        <f>AND(#REF!,"AAAAAH/N+Us=")</f>
        <v>#REF!</v>
      </c>
      <c r="BY142" t="e">
        <f>AND(#REF!,"AAAAAH/N+Uw=")</f>
        <v>#REF!</v>
      </c>
      <c r="BZ142" t="e">
        <f>AND(#REF!,"AAAAAH/N+U0=")</f>
        <v>#REF!</v>
      </c>
      <c r="CA142" t="e">
        <f>AND(#REF!,"AAAAAH/N+U4=")</f>
        <v>#REF!</v>
      </c>
      <c r="CB142" t="e">
        <f>AND(#REF!,"AAAAAH/N+U8=")</f>
        <v>#REF!</v>
      </c>
      <c r="CC142" t="e">
        <f>AND(#REF!,"AAAAAH/N+VA=")</f>
        <v>#REF!</v>
      </c>
      <c r="CD142" t="e">
        <f>AND(#REF!,"AAAAAH/N+VE=")</f>
        <v>#REF!</v>
      </c>
      <c r="CE142" t="e">
        <f>AND(#REF!,"AAAAAH/N+VI=")</f>
        <v>#REF!</v>
      </c>
      <c r="CF142" t="e">
        <f>AND(#REF!,"AAAAAH/N+VM=")</f>
        <v>#REF!</v>
      </c>
      <c r="CG142" t="e">
        <f>AND(#REF!,"AAAAAH/N+VQ=")</f>
        <v>#REF!</v>
      </c>
      <c r="CH142" t="e">
        <f>AND(#REF!,"AAAAAH/N+VU=")</f>
        <v>#REF!</v>
      </c>
      <c r="CI142" t="e">
        <f>AND(#REF!,"AAAAAH/N+VY=")</f>
        <v>#REF!</v>
      </c>
      <c r="CJ142" t="e">
        <f>AND(#REF!,"AAAAAH/N+Vc=")</f>
        <v>#REF!</v>
      </c>
      <c r="CK142" t="e">
        <f>AND(#REF!,"AAAAAH/N+Vg=")</f>
        <v>#REF!</v>
      </c>
      <c r="CL142" t="e">
        <f>IF(#REF!,"AAAAAH/N+Vk=",0)</f>
        <v>#REF!</v>
      </c>
      <c r="CM142" t="e">
        <f>AND(#REF!,"AAAAAH/N+Vo=")</f>
        <v>#REF!</v>
      </c>
      <c r="CN142" t="e">
        <f>AND(#REF!,"AAAAAH/N+Vs=")</f>
        <v>#REF!</v>
      </c>
      <c r="CO142" t="e">
        <f>AND(#REF!,"AAAAAH/N+Vw=")</f>
        <v>#REF!</v>
      </c>
      <c r="CP142" t="e">
        <f>AND(#REF!,"AAAAAH/N+V0=")</f>
        <v>#REF!</v>
      </c>
      <c r="CQ142" t="e">
        <f>AND(#REF!,"AAAAAH/N+V4=")</f>
        <v>#REF!</v>
      </c>
      <c r="CR142" t="e">
        <f>AND(#REF!,"AAAAAH/N+V8=")</f>
        <v>#REF!</v>
      </c>
      <c r="CS142" t="e">
        <f>AND(#REF!,"AAAAAH/N+WA=")</f>
        <v>#REF!</v>
      </c>
      <c r="CT142" t="e">
        <f>AND(#REF!,"AAAAAH/N+WE=")</f>
        <v>#REF!</v>
      </c>
      <c r="CU142" t="e">
        <f>AND(#REF!,"AAAAAH/N+WI=")</f>
        <v>#REF!</v>
      </c>
      <c r="CV142" t="e">
        <f>AND(#REF!,"AAAAAH/N+WM=")</f>
        <v>#REF!</v>
      </c>
      <c r="CW142" t="e">
        <f>AND(#REF!,"AAAAAH/N+WQ=")</f>
        <v>#REF!</v>
      </c>
      <c r="CX142" t="e">
        <f>AND(#REF!,"AAAAAH/N+WU=")</f>
        <v>#REF!</v>
      </c>
      <c r="CY142" t="e">
        <f>AND(#REF!,"AAAAAH/N+WY=")</f>
        <v>#REF!</v>
      </c>
      <c r="CZ142" t="e">
        <f>AND(#REF!,"AAAAAH/N+Wc=")</f>
        <v>#REF!</v>
      </c>
      <c r="DA142" t="e">
        <f>AND(#REF!,"AAAAAH/N+Wg=")</f>
        <v>#REF!</v>
      </c>
      <c r="DB142" t="e">
        <f>AND(#REF!,"AAAAAH/N+Wk=")</f>
        <v>#REF!</v>
      </c>
      <c r="DC142" t="e">
        <f>AND(#REF!,"AAAAAH/N+Wo=")</f>
        <v>#REF!</v>
      </c>
      <c r="DD142" t="e">
        <f>AND(#REF!,"AAAAAH/N+Ws=")</f>
        <v>#REF!</v>
      </c>
      <c r="DE142" t="e">
        <f>AND(#REF!,"AAAAAH/N+Ww=")</f>
        <v>#REF!</v>
      </c>
      <c r="DF142" t="e">
        <f>AND(#REF!,"AAAAAH/N+W0=")</f>
        <v>#REF!</v>
      </c>
      <c r="DG142" t="e">
        <f>AND(#REF!,"AAAAAH/N+W4=")</f>
        <v>#REF!</v>
      </c>
      <c r="DH142" t="e">
        <f>AND(#REF!,"AAAAAH/N+W8=")</f>
        <v>#REF!</v>
      </c>
      <c r="DI142" t="e">
        <f>AND(#REF!,"AAAAAH/N+XA=")</f>
        <v>#REF!</v>
      </c>
      <c r="DJ142" t="e">
        <f>AND(#REF!,"AAAAAH/N+XE=")</f>
        <v>#REF!</v>
      </c>
      <c r="DK142" t="e">
        <f>IF(#REF!,"AAAAAH/N+XI=",0)</f>
        <v>#REF!</v>
      </c>
      <c r="DL142" t="e">
        <f>AND(#REF!,"AAAAAH/N+XM=")</f>
        <v>#REF!</v>
      </c>
      <c r="DM142" t="e">
        <f>AND(#REF!,"AAAAAH/N+XQ=")</f>
        <v>#REF!</v>
      </c>
      <c r="DN142" t="e">
        <f>AND(#REF!,"AAAAAH/N+XU=")</f>
        <v>#REF!</v>
      </c>
      <c r="DO142" t="e">
        <f>AND(#REF!,"AAAAAH/N+XY=")</f>
        <v>#REF!</v>
      </c>
      <c r="DP142" t="e">
        <f>AND(#REF!,"AAAAAH/N+Xc=")</f>
        <v>#REF!</v>
      </c>
      <c r="DQ142" t="e">
        <f>AND(#REF!,"AAAAAH/N+Xg=")</f>
        <v>#REF!</v>
      </c>
      <c r="DR142" t="e">
        <f>AND(#REF!,"AAAAAH/N+Xk=")</f>
        <v>#REF!</v>
      </c>
      <c r="DS142" t="e">
        <f>AND(#REF!,"AAAAAH/N+Xo=")</f>
        <v>#REF!</v>
      </c>
      <c r="DT142" t="e">
        <f>AND(#REF!,"AAAAAH/N+Xs=")</f>
        <v>#REF!</v>
      </c>
      <c r="DU142" t="e">
        <f>AND(#REF!,"AAAAAH/N+Xw=")</f>
        <v>#REF!</v>
      </c>
      <c r="DV142" t="e">
        <f>AND(#REF!,"AAAAAH/N+X0=")</f>
        <v>#REF!</v>
      </c>
      <c r="DW142" t="e">
        <f>AND(#REF!,"AAAAAH/N+X4=")</f>
        <v>#REF!</v>
      </c>
      <c r="DX142" t="e">
        <f>AND(#REF!,"AAAAAH/N+X8=")</f>
        <v>#REF!</v>
      </c>
      <c r="DY142" t="e">
        <f>AND(#REF!,"AAAAAH/N+YA=")</f>
        <v>#REF!</v>
      </c>
      <c r="DZ142" t="e">
        <f>AND(#REF!,"AAAAAH/N+YE=")</f>
        <v>#REF!</v>
      </c>
      <c r="EA142" t="e">
        <f>AND(#REF!,"AAAAAH/N+YI=")</f>
        <v>#REF!</v>
      </c>
      <c r="EB142" t="e">
        <f>AND(#REF!,"AAAAAH/N+YM=")</f>
        <v>#REF!</v>
      </c>
      <c r="EC142" t="e">
        <f>AND(#REF!,"AAAAAH/N+YQ=")</f>
        <v>#REF!</v>
      </c>
      <c r="ED142" t="e">
        <f>AND(#REF!,"AAAAAH/N+YU=")</f>
        <v>#REF!</v>
      </c>
      <c r="EE142" t="e">
        <f>AND(#REF!,"AAAAAH/N+YY=")</f>
        <v>#REF!</v>
      </c>
      <c r="EF142" t="e">
        <f>AND(#REF!,"AAAAAH/N+Yc=")</f>
        <v>#REF!</v>
      </c>
      <c r="EG142" t="e">
        <f>AND(#REF!,"AAAAAH/N+Yg=")</f>
        <v>#REF!</v>
      </c>
      <c r="EH142" t="e">
        <f>AND(#REF!,"AAAAAH/N+Yk=")</f>
        <v>#REF!</v>
      </c>
      <c r="EI142" t="e">
        <f>AND(#REF!,"AAAAAH/N+Yo=")</f>
        <v>#REF!</v>
      </c>
      <c r="EJ142" t="e">
        <f>IF(#REF!,"AAAAAH/N+Ys=",0)</f>
        <v>#REF!</v>
      </c>
      <c r="EK142" t="e">
        <f>AND(#REF!,"AAAAAH/N+Yw=")</f>
        <v>#REF!</v>
      </c>
      <c r="EL142" t="e">
        <f>AND(#REF!,"AAAAAH/N+Y0=")</f>
        <v>#REF!</v>
      </c>
      <c r="EM142" t="e">
        <f>AND(#REF!,"AAAAAH/N+Y4=")</f>
        <v>#REF!</v>
      </c>
      <c r="EN142" t="e">
        <f>AND(#REF!,"AAAAAH/N+Y8=")</f>
        <v>#REF!</v>
      </c>
      <c r="EO142" t="e">
        <f>AND(#REF!,"AAAAAH/N+ZA=")</f>
        <v>#REF!</v>
      </c>
      <c r="EP142" t="e">
        <f>AND(#REF!,"AAAAAH/N+ZE=")</f>
        <v>#REF!</v>
      </c>
      <c r="EQ142" t="e">
        <f>AND(#REF!,"AAAAAH/N+ZI=")</f>
        <v>#REF!</v>
      </c>
      <c r="ER142" t="e">
        <f>AND(#REF!,"AAAAAH/N+ZM=")</f>
        <v>#REF!</v>
      </c>
      <c r="ES142" t="e">
        <f>AND(#REF!,"AAAAAH/N+ZQ=")</f>
        <v>#REF!</v>
      </c>
      <c r="ET142" t="e">
        <f>AND(#REF!,"AAAAAH/N+ZU=")</f>
        <v>#REF!</v>
      </c>
      <c r="EU142" t="e">
        <f>AND(#REF!,"AAAAAH/N+ZY=")</f>
        <v>#REF!</v>
      </c>
      <c r="EV142" t="e">
        <f>AND(#REF!,"AAAAAH/N+Zc=")</f>
        <v>#REF!</v>
      </c>
      <c r="EW142" t="e">
        <f>AND(#REF!,"AAAAAH/N+Zg=")</f>
        <v>#REF!</v>
      </c>
      <c r="EX142" t="e">
        <f>AND(#REF!,"AAAAAH/N+Zk=")</f>
        <v>#REF!</v>
      </c>
      <c r="EY142" t="e">
        <f>AND(#REF!,"AAAAAH/N+Zo=")</f>
        <v>#REF!</v>
      </c>
      <c r="EZ142" t="e">
        <f>AND(#REF!,"AAAAAH/N+Zs=")</f>
        <v>#REF!</v>
      </c>
      <c r="FA142" t="e">
        <f>AND(#REF!,"AAAAAH/N+Zw=")</f>
        <v>#REF!</v>
      </c>
      <c r="FB142" t="e">
        <f>AND(#REF!,"AAAAAH/N+Z0=")</f>
        <v>#REF!</v>
      </c>
      <c r="FC142" t="e">
        <f>AND(#REF!,"AAAAAH/N+Z4=")</f>
        <v>#REF!</v>
      </c>
      <c r="FD142" t="e">
        <f>AND(#REF!,"AAAAAH/N+Z8=")</f>
        <v>#REF!</v>
      </c>
      <c r="FE142" t="e">
        <f>AND(#REF!,"AAAAAH/N+aA=")</f>
        <v>#REF!</v>
      </c>
      <c r="FF142" t="e">
        <f>AND(#REF!,"AAAAAH/N+aE=")</f>
        <v>#REF!</v>
      </c>
      <c r="FG142" t="e">
        <f>AND(#REF!,"AAAAAH/N+aI=")</f>
        <v>#REF!</v>
      </c>
      <c r="FH142" t="e">
        <f>AND(#REF!,"AAAAAH/N+aM=")</f>
        <v>#REF!</v>
      </c>
      <c r="FI142" t="e">
        <f>IF(#REF!,"AAAAAH/N+aQ=",0)</f>
        <v>#REF!</v>
      </c>
      <c r="FJ142" t="e">
        <f>AND(#REF!,"AAAAAH/N+aU=")</f>
        <v>#REF!</v>
      </c>
      <c r="FK142" t="e">
        <f>AND(#REF!,"AAAAAH/N+aY=")</f>
        <v>#REF!</v>
      </c>
      <c r="FL142" t="e">
        <f>AND(#REF!,"AAAAAH/N+ac=")</f>
        <v>#REF!</v>
      </c>
      <c r="FM142" t="e">
        <f>AND(#REF!,"AAAAAH/N+ag=")</f>
        <v>#REF!</v>
      </c>
      <c r="FN142" t="e">
        <f>AND(#REF!,"AAAAAH/N+ak=")</f>
        <v>#REF!</v>
      </c>
      <c r="FO142" t="e">
        <f>AND(#REF!,"AAAAAH/N+ao=")</f>
        <v>#REF!</v>
      </c>
      <c r="FP142" t="e">
        <f>AND(#REF!,"AAAAAH/N+as=")</f>
        <v>#REF!</v>
      </c>
      <c r="FQ142" t="e">
        <f>AND(#REF!,"AAAAAH/N+aw=")</f>
        <v>#REF!</v>
      </c>
      <c r="FR142" t="e">
        <f>AND(#REF!,"AAAAAH/N+a0=")</f>
        <v>#REF!</v>
      </c>
      <c r="FS142" t="e">
        <f>AND(#REF!,"AAAAAH/N+a4=")</f>
        <v>#REF!</v>
      </c>
      <c r="FT142" t="e">
        <f>AND(#REF!,"AAAAAH/N+a8=")</f>
        <v>#REF!</v>
      </c>
      <c r="FU142" t="e">
        <f>AND(#REF!,"AAAAAH/N+bA=")</f>
        <v>#REF!</v>
      </c>
      <c r="FV142" t="e">
        <f>AND(#REF!,"AAAAAH/N+bE=")</f>
        <v>#REF!</v>
      </c>
      <c r="FW142" t="e">
        <f>AND(#REF!,"AAAAAH/N+bI=")</f>
        <v>#REF!</v>
      </c>
      <c r="FX142" t="e">
        <f>AND(#REF!,"AAAAAH/N+bM=")</f>
        <v>#REF!</v>
      </c>
      <c r="FY142" t="e">
        <f>AND(#REF!,"AAAAAH/N+bQ=")</f>
        <v>#REF!</v>
      </c>
      <c r="FZ142" t="e">
        <f>AND(#REF!,"AAAAAH/N+bU=")</f>
        <v>#REF!</v>
      </c>
      <c r="GA142" t="e">
        <f>AND(#REF!,"AAAAAH/N+bY=")</f>
        <v>#REF!</v>
      </c>
      <c r="GB142" t="e">
        <f>AND(#REF!,"AAAAAH/N+bc=")</f>
        <v>#REF!</v>
      </c>
      <c r="GC142" t="e">
        <f>AND(#REF!,"AAAAAH/N+bg=")</f>
        <v>#REF!</v>
      </c>
      <c r="GD142" t="e">
        <f>AND(#REF!,"AAAAAH/N+bk=")</f>
        <v>#REF!</v>
      </c>
      <c r="GE142" t="e">
        <f>AND(#REF!,"AAAAAH/N+bo=")</f>
        <v>#REF!</v>
      </c>
      <c r="GF142" t="e">
        <f>AND(#REF!,"AAAAAH/N+bs=")</f>
        <v>#REF!</v>
      </c>
      <c r="GG142" t="e">
        <f>AND(#REF!,"AAAAAH/N+bw=")</f>
        <v>#REF!</v>
      </c>
      <c r="GH142" t="e">
        <f>IF(#REF!,"AAAAAH/N+b0=",0)</f>
        <v>#REF!</v>
      </c>
      <c r="GI142" t="e">
        <f>AND(#REF!,"AAAAAH/N+b4=")</f>
        <v>#REF!</v>
      </c>
      <c r="GJ142" t="e">
        <f>AND(#REF!,"AAAAAH/N+b8=")</f>
        <v>#REF!</v>
      </c>
      <c r="GK142" t="e">
        <f>AND(#REF!,"AAAAAH/N+cA=")</f>
        <v>#REF!</v>
      </c>
      <c r="GL142" t="e">
        <f>AND(#REF!,"AAAAAH/N+cE=")</f>
        <v>#REF!</v>
      </c>
      <c r="GM142" t="e">
        <f>AND(#REF!,"AAAAAH/N+cI=")</f>
        <v>#REF!</v>
      </c>
      <c r="GN142" t="e">
        <f>AND(#REF!,"AAAAAH/N+cM=")</f>
        <v>#REF!</v>
      </c>
      <c r="GO142" t="e">
        <f>AND(#REF!,"AAAAAH/N+cQ=")</f>
        <v>#REF!</v>
      </c>
      <c r="GP142" t="e">
        <f>AND(#REF!,"AAAAAH/N+cU=")</f>
        <v>#REF!</v>
      </c>
      <c r="GQ142" t="e">
        <f>AND(#REF!,"AAAAAH/N+cY=")</f>
        <v>#REF!</v>
      </c>
      <c r="GR142" t="e">
        <f>AND(#REF!,"AAAAAH/N+cc=")</f>
        <v>#REF!</v>
      </c>
      <c r="GS142" t="e">
        <f>AND(#REF!,"AAAAAH/N+cg=")</f>
        <v>#REF!</v>
      </c>
      <c r="GT142" t="e">
        <f>AND(#REF!,"AAAAAH/N+ck=")</f>
        <v>#REF!</v>
      </c>
      <c r="GU142" t="e">
        <f>AND(#REF!,"AAAAAH/N+co=")</f>
        <v>#REF!</v>
      </c>
      <c r="GV142" t="e">
        <f>AND(#REF!,"AAAAAH/N+cs=")</f>
        <v>#REF!</v>
      </c>
      <c r="GW142" t="e">
        <f>AND(#REF!,"AAAAAH/N+cw=")</f>
        <v>#REF!</v>
      </c>
      <c r="GX142" t="e">
        <f>AND(#REF!,"AAAAAH/N+c0=")</f>
        <v>#REF!</v>
      </c>
      <c r="GY142" t="e">
        <f>AND(#REF!,"AAAAAH/N+c4=")</f>
        <v>#REF!</v>
      </c>
      <c r="GZ142" t="e">
        <f>AND(#REF!,"AAAAAH/N+c8=")</f>
        <v>#REF!</v>
      </c>
      <c r="HA142" t="e">
        <f>AND(#REF!,"AAAAAH/N+dA=")</f>
        <v>#REF!</v>
      </c>
      <c r="HB142" t="e">
        <f>AND(#REF!,"AAAAAH/N+dE=")</f>
        <v>#REF!</v>
      </c>
      <c r="HC142" t="e">
        <f>AND(#REF!,"AAAAAH/N+dI=")</f>
        <v>#REF!</v>
      </c>
      <c r="HD142" t="e">
        <f>AND(#REF!,"AAAAAH/N+dM=")</f>
        <v>#REF!</v>
      </c>
      <c r="HE142" t="e">
        <f>AND(#REF!,"AAAAAH/N+dQ=")</f>
        <v>#REF!</v>
      </c>
      <c r="HF142" t="e">
        <f>AND(#REF!,"AAAAAH/N+dU=")</f>
        <v>#REF!</v>
      </c>
      <c r="HG142" t="e">
        <f>IF(#REF!,"AAAAAH/N+dY=",0)</f>
        <v>#REF!</v>
      </c>
      <c r="HH142" t="e">
        <f>AND(#REF!,"AAAAAH/N+dc=")</f>
        <v>#REF!</v>
      </c>
      <c r="HI142" t="e">
        <f>AND(#REF!,"AAAAAH/N+dg=")</f>
        <v>#REF!</v>
      </c>
      <c r="HJ142" t="e">
        <f>AND(#REF!,"AAAAAH/N+dk=")</f>
        <v>#REF!</v>
      </c>
      <c r="HK142" t="e">
        <f>AND(#REF!,"AAAAAH/N+do=")</f>
        <v>#REF!</v>
      </c>
      <c r="HL142" t="e">
        <f>AND(#REF!,"AAAAAH/N+ds=")</f>
        <v>#REF!</v>
      </c>
      <c r="HM142" t="e">
        <f>AND(#REF!,"AAAAAH/N+dw=")</f>
        <v>#REF!</v>
      </c>
      <c r="HN142" t="e">
        <f>AND(#REF!,"AAAAAH/N+d0=")</f>
        <v>#REF!</v>
      </c>
      <c r="HO142" t="e">
        <f>AND(#REF!,"AAAAAH/N+d4=")</f>
        <v>#REF!</v>
      </c>
      <c r="HP142" t="e">
        <f>AND(#REF!,"AAAAAH/N+d8=")</f>
        <v>#REF!</v>
      </c>
      <c r="HQ142" t="e">
        <f>AND(#REF!,"AAAAAH/N+eA=")</f>
        <v>#REF!</v>
      </c>
      <c r="HR142" t="e">
        <f>AND(#REF!,"AAAAAH/N+eE=")</f>
        <v>#REF!</v>
      </c>
      <c r="HS142" t="e">
        <f>AND(#REF!,"AAAAAH/N+eI=")</f>
        <v>#REF!</v>
      </c>
      <c r="HT142" t="e">
        <f>AND(#REF!,"AAAAAH/N+eM=")</f>
        <v>#REF!</v>
      </c>
      <c r="HU142" t="e">
        <f>AND(#REF!,"AAAAAH/N+eQ=")</f>
        <v>#REF!</v>
      </c>
      <c r="HV142" t="e">
        <f>AND(#REF!,"AAAAAH/N+eU=")</f>
        <v>#REF!</v>
      </c>
      <c r="HW142" t="e">
        <f>AND(#REF!,"AAAAAH/N+eY=")</f>
        <v>#REF!</v>
      </c>
      <c r="HX142" t="e">
        <f>AND(#REF!,"AAAAAH/N+ec=")</f>
        <v>#REF!</v>
      </c>
      <c r="HY142" t="e">
        <f>AND(#REF!,"AAAAAH/N+eg=")</f>
        <v>#REF!</v>
      </c>
      <c r="HZ142" t="e">
        <f>AND(#REF!,"AAAAAH/N+ek=")</f>
        <v>#REF!</v>
      </c>
      <c r="IA142" t="e">
        <f>AND(#REF!,"AAAAAH/N+eo=")</f>
        <v>#REF!</v>
      </c>
      <c r="IB142" t="e">
        <f>AND(#REF!,"AAAAAH/N+es=")</f>
        <v>#REF!</v>
      </c>
      <c r="IC142" t="e">
        <f>AND(#REF!,"AAAAAH/N+ew=")</f>
        <v>#REF!</v>
      </c>
      <c r="ID142" t="e">
        <f>AND(#REF!,"AAAAAH/N+e0=")</f>
        <v>#REF!</v>
      </c>
      <c r="IE142" t="e">
        <f>AND(#REF!,"AAAAAH/N+e4=")</f>
        <v>#REF!</v>
      </c>
      <c r="IF142" t="e">
        <f>IF(#REF!,"AAAAAH/N+e8=",0)</f>
        <v>#REF!</v>
      </c>
      <c r="IG142" t="e">
        <f>AND(#REF!,"AAAAAH/N+fA=")</f>
        <v>#REF!</v>
      </c>
      <c r="IH142" t="e">
        <f>AND(#REF!,"AAAAAH/N+fE=")</f>
        <v>#REF!</v>
      </c>
      <c r="II142" t="e">
        <f>AND(#REF!,"AAAAAH/N+fI=")</f>
        <v>#REF!</v>
      </c>
      <c r="IJ142" t="e">
        <f>AND(#REF!,"AAAAAH/N+fM=")</f>
        <v>#REF!</v>
      </c>
      <c r="IK142" t="e">
        <f>AND(#REF!,"AAAAAH/N+fQ=")</f>
        <v>#REF!</v>
      </c>
      <c r="IL142" t="e">
        <f>AND(#REF!,"AAAAAH/N+fU=")</f>
        <v>#REF!</v>
      </c>
      <c r="IM142" t="e">
        <f>AND(#REF!,"AAAAAH/N+fY=")</f>
        <v>#REF!</v>
      </c>
      <c r="IN142" t="e">
        <f>AND(#REF!,"AAAAAH/N+fc=")</f>
        <v>#REF!</v>
      </c>
      <c r="IO142" t="e">
        <f>AND(#REF!,"AAAAAH/N+fg=")</f>
        <v>#REF!</v>
      </c>
      <c r="IP142" t="e">
        <f>AND(#REF!,"AAAAAH/N+fk=")</f>
        <v>#REF!</v>
      </c>
      <c r="IQ142" t="e">
        <f>AND(#REF!,"AAAAAH/N+fo=")</f>
        <v>#REF!</v>
      </c>
      <c r="IR142" t="e">
        <f>AND(#REF!,"AAAAAH/N+fs=")</f>
        <v>#REF!</v>
      </c>
      <c r="IS142" t="e">
        <f>AND(#REF!,"AAAAAH/N+fw=")</f>
        <v>#REF!</v>
      </c>
      <c r="IT142" t="e">
        <f>AND(#REF!,"AAAAAH/N+f0=")</f>
        <v>#REF!</v>
      </c>
      <c r="IU142" t="e">
        <f>AND(#REF!,"AAAAAH/N+f4=")</f>
        <v>#REF!</v>
      </c>
      <c r="IV142" t="e">
        <f>AND(#REF!,"AAAAAH/N+f8=")</f>
        <v>#REF!</v>
      </c>
    </row>
    <row r="143" spans="1:256">
      <c r="A143" t="e">
        <f>AND(#REF!,"AAAAADo1rwA=")</f>
        <v>#REF!</v>
      </c>
      <c r="B143" t="e">
        <f>AND(#REF!,"AAAAADo1rwE=")</f>
        <v>#REF!</v>
      </c>
      <c r="C143" t="e">
        <f>AND(#REF!,"AAAAADo1rwI=")</f>
        <v>#REF!</v>
      </c>
      <c r="D143" t="e">
        <f>AND(#REF!,"AAAAADo1rwM=")</f>
        <v>#REF!</v>
      </c>
      <c r="E143" t="e">
        <f>AND(#REF!,"AAAAADo1rwQ=")</f>
        <v>#REF!</v>
      </c>
      <c r="F143" t="e">
        <f>AND(#REF!,"AAAAADo1rwU=")</f>
        <v>#REF!</v>
      </c>
      <c r="G143" t="e">
        <f>AND(#REF!,"AAAAADo1rwY=")</f>
        <v>#REF!</v>
      </c>
      <c r="H143" t="e">
        <f>AND(#REF!,"AAAAADo1rwc=")</f>
        <v>#REF!</v>
      </c>
      <c r="I143" t="e">
        <f>IF(#REF!,"AAAAADo1rwg=",0)</f>
        <v>#REF!</v>
      </c>
      <c r="J143" t="e">
        <f>AND(#REF!,"AAAAADo1rwk=")</f>
        <v>#REF!</v>
      </c>
      <c r="K143" t="e">
        <f>AND(#REF!,"AAAAADo1rwo=")</f>
        <v>#REF!</v>
      </c>
      <c r="L143" t="e">
        <f>AND(#REF!,"AAAAADo1rws=")</f>
        <v>#REF!</v>
      </c>
      <c r="M143" t="e">
        <f>AND(#REF!,"AAAAADo1rww=")</f>
        <v>#REF!</v>
      </c>
      <c r="N143" t="e">
        <f>AND(#REF!,"AAAAADo1rw0=")</f>
        <v>#REF!</v>
      </c>
      <c r="O143" t="e">
        <f>AND(#REF!,"AAAAADo1rw4=")</f>
        <v>#REF!</v>
      </c>
      <c r="P143" t="e">
        <f>AND(#REF!,"AAAAADo1rw8=")</f>
        <v>#REF!</v>
      </c>
      <c r="Q143" t="e">
        <f>AND(#REF!,"AAAAADo1rxA=")</f>
        <v>#REF!</v>
      </c>
      <c r="R143" t="e">
        <f>AND(#REF!,"AAAAADo1rxE=")</f>
        <v>#REF!</v>
      </c>
      <c r="S143" t="e">
        <f>AND(#REF!,"AAAAADo1rxI=")</f>
        <v>#REF!</v>
      </c>
      <c r="T143" t="e">
        <f>AND(#REF!,"AAAAADo1rxM=")</f>
        <v>#REF!</v>
      </c>
      <c r="U143" t="e">
        <f>AND(#REF!,"AAAAADo1rxQ=")</f>
        <v>#REF!</v>
      </c>
      <c r="V143" t="e">
        <f>AND(#REF!,"AAAAADo1rxU=")</f>
        <v>#REF!</v>
      </c>
      <c r="W143" t="e">
        <f>AND(#REF!,"AAAAADo1rxY=")</f>
        <v>#REF!</v>
      </c>
      <c r="X143" t="e">
        <f>AND(#REF!,"AAAAADo1rxc=")</f>
        <v>#REF!</v>
      </c>
      <c r="Y143" t="e">
        <f>AND(#REF!,"AAAAADo1rxg=")</f>
        <v>#REF!</v>
      </c>
      <c r="Z143" t="e">
        <f>AND(#REF!,"AAAAADo1rxk=")</f>
        <v>#REF!</v>
      </c>
      <c r="AA143" t="e">
        <f>AND(#REF!,"AAAAADo1rxo=")</f>
        <v>#REF!</v>
      </c>
      <c r="AB143" t="e">
        <f>AND(#REF!,"AAAAADo1rxs=")</f>
        <v>#REF!</v>
      </c>
      <c r="AC143" t="e">
        <f>AND(#REF!,"AAAAADo1rxw=")</f>
        <v>#REF!</v>
      </c>
      <c r="AD143" t="e">
        <f>AND(#REF!,"AAAAADo1rx0=")</f>
        <v>#REF!</v>
      </c>
      <c r="AE143" t="e">
        <f>AND(#REF!,"AAAAADo1rx4=")</f>
        <v>#REF!</v>
      </c>
      <c r="AF143" t="e">
        <f>AND(#REF!,"AAAAADo1rx8=")</f>
        <v>#REF!</v>
      </c>
      <c r="AG143" t="e">
        <f>AND(#REF!,"AAAAADo1ryA=")</f>
        <v>#REF!</v>
      </c>
      <c r="AH143" t="e">
        <f>IF(#REF!,"AAAAADo1ryE=",0)</f>
        <v>#REF!</v>
      </c>
      <c r="AI143" t="e">
        <f>AND(#REF!,"AAAAADo1ryI=")</f>
        <v>#REF!</v>
      </c>
      <c r="AJ143" t="e">
        <f>AND(#REF!,"AAAAADo1ryM=")</f>
        <v>#REF!</v>
      </c>
      <c r="AK143" t="e">
        <f>AND(#REF!,"AAAAADo1ryQ=")</f>
        <v>#REF!</v>
      </c>
      <c r="AL143" t="e">
        <f>AND(#REF!,"AAAAADo1ryU=")</f>
        <v>#REF!</v>
      </c>
      <c r="AM143" t="e">
        <f>AND(#REF!,"AAAAADo1ryY=")</f>
        <v>#REF!</v>
      </c>
      <c r="AN143" t="e">
        <f>AND(#REF!,"AAAAADo1ryc=")</f>
        <v>#REF!</v>
      </c>
      <c r="AO143" t="e">
        <f>AND(#REF!,"AAAAADo1ryg=")</f>
        <v>#REF!</v>
      </c>
      <c r="AP143" t="e">
        <f>AND(#REF!,"AAAAADo1ryk=")</f>
        <v>#REF!</v>
      </c>
      <c r="AQ143" t="e">
        <f>AND(#REF!,"AAAAADo1ryo=")</f>
        <v>#REF!</v>
      </c>
      <c r="AR143" t="e">
        <f>AND(#REF!,"AAAAADo1rys=")</f>
        <v>#REF!</v>
      </c>
      <c r="AS143" t="e">
        <f>AND(#REF!,"AAAAADo1ryw=")</f>
        <v>#REF!</v>
      </c>
      <c r="AT143" t="e">
        <f>AND(#REF!,"AAAAADo1ry0=")</f>
        <v>#REF!</v>
      </c>
      <c r="AU143" t="e">
        <f>AND(#REF!,"AAAAADo1ry4=")</f>
        <v>#REF!</v>
      </c>
      <c r="AV143" t="e">
        <f>AND(#REF!,"AAAAADo1ry8=")</f>
        <v>#REF!</v>
      </c>
      <c r="AW143" t="e">
        <f>AND(#REF!,"AAAAADo1rzA=")</f>
        <v>#REF!</v>
      </c>
      <c r="AX143" t="e">
        <f>AND(#REF!,"AAAAADo1rzE=")</f>
        <v>#REF!</v>
      </c>
      <c r="AY143" t="e">
        <f>AND(#REF!,"AAAAADo1rzI=")</f>
        <v>#REF!</v>
      </c>
      <c r="AZ143" t="e">
        <f>AND(#REF!,"AAAAADo1rzM=")</f>
        <v>#REF!</v>
      </c>
      <c r="BA143" t="e">
        <f>AND(#REF!,"AAAAADo1rzQ=")</f>
        <v>#REF!</v>
      </c>
      <c r="BB143" t="e">
        <f>AND(#REF!,"AAAAADo1rzU=")</f>
        <v>#REF!</v>
      </c>
      <c r="BC143" t="e">
        <f>AND(#REF!,"AAAAADo1rzY=")</f>
        <v>#REF!</v>
      </c>
      <c r="BD143" t="e">
        <f>AND(#REF!,"AAAAADo1rzc=")</f>
        <v>#REF!</v>
      </c>
      <c r="BE143" t="e">
        <f>AND(#REF!,"AAAAADo1rzg=")</f>
        <v>#REF!</v>
      </c>
      <c r="BF143" t="e">
        <f>AND(#REF!,"AAAAADo1rzk=")</f>
        <v>#REF!</v>
      </c>
      <c r="BG143" t="e">
        <f>IF(#REF!,"AAAAADo1rzo=",0)</f>
        <v>#REF!</v>
      </c>
      <c r="BH143" t="e">
        <f>AND(#REF!,"AAAAADo1rzs=")</f>
        <v>#REF!</v>
      </c>
      <c r="BI143" t="e">
        <f>AND(#REF!,"AAAAADo1rzw=")</f>
        <v>#REF!</v>
      </c>
      <c r="BJ143" t="e">
        <f>AND(#REF!,"AAAAADo1rz0=")</f>
        <v>#REF!</v>
      </c>
      <c r="BK143" t="e">
        <f>AND(#REF!,"AAAAADo1rz4=")</f>
        <v>#REF!</v>
      </c>
      <c r="BL143" t="e">
        <f>AND(#REF!,"AAAAADo1rz8=")</f>
        <v>#REF!</v>
      </c>
      <c r="BM143" t="e">
        <f>AND(#REF!,"AAAAADo1r0A=")</f>
        <v>#REF!</v>
      </c>
      <c r="BN143" t="e">
        <f>AND(#REF!,"AAAAADo1r0E=")</f>
        <v>#REF!</v>
      </c>
      <c r="BO143" t="e">
        <f>AND(#REF!,"AAAAADo1r0I=")</f>
        <v>#REF!</v>
      </c>
      <c r="BP143" t="e">
        <f>AND(#REF!,"AAAAADo1r0M=")</f>
        <v>#REF!</v>
      </c>
      <c r="BQ143" t="e">
        <f>AND(#REF!,"AAAAADo1r0Q=")</f>
        <v>#REF!</v>
      </c>
      <c r="BR143" t="e">
        <f>AND(#REF!,"AAAAADo1r0U=")</f>
        <v>#REF!</v>
      </c>
      <c r="BS143" t="e">
        <f>AND(#REF!,"AAAAADo1r0Y=")</f>
        <v>#REF!</v>
      </c>
      <c r="BT143" t="e">
        <f>AND(#REF!,"AAAAADo1r0c=")</f>
        <v>#REF!</v>
      </c>
      <c r="BU143" t="e">
        <f>AND(#REF!,"AAAAADo1r0g=")</f>
        <v>#REF!</v>
      </c>
      <c r="BV143" t="e">
        <f>AND(#REF!,"AAAAADo1r0k=")</f>
        <v>#REF!</v>
      </c>
      <c r="BW143" t="e">
        <f>AND(#REF!,"AAAAADo1r0o=")</f>
        <v>#REF!</v>
      </c>
      <c r="BX143" t="e">
        <f>AND(#REF!,"AAAAADo1r0s=")</f>
        <v>#REF!</v>
      </c>
      <c r="BY143" t="e">
        <f>AND(#REF!,"AAAAADo1r0w=")</f>
        <v>#REF!</v>
      </c>
      <c r="BZ143" t="e">
        <f>AND(#REF!,"AAAAADo1r00=")</f>
        <v>#REF!</v>
      </c>
      <c r="CA143" t="e">
        <f>AND(#REF!,"AAAAADo1r04=")</f>
        <v>#REF!</v>
      </c>
      <c r="CB143" t="e">
        <f>AND(#REF!,"AAAAADo1r08=")</f>
        <v>#REF!</v>
      </c>
      <c r="CC143" t="e">
        <f>AND(#REF!,"AAAAADo1r1A=")</f>
        <v>#REF!</v>
      </c>
      <c r="CD143" t="e">
        <f>AND(#REF!,"AAAAADo1r1E=")</f>
        <v>#REF!</v>
      </c>
      <c r="CE143" t="e">
        <f>AND(#REF!,"AAAAADo1r1I=")</f>
        <v>#REF!</v>
      </c>
      <c r="CF143" t="e">
        <f>IF(#REF!,"AAAAADo1r1M=",0)</f>
        <v>#REF!</v>
      </c>
      <c r="CG143" t="e">
        <f>AND(#REF!,"AAAAADo1r1Q=")</f>
        <v>#REF!</v>
      </c>
      <c r="CH143" t="e">
        <f>AND(#REF!,"AAAAADo1r1U=")</f>
        <v>#REF!</v>
      </c>
      <c r="CI143" t="e">
        <f>AND(#REF!,"AAAAADo1r1Y=")</f>
        <v>#REF!</v>
      </c>
      <c r="CJ143" t="e">
        <f>AND(#REF!,"AAAAADo1r1c=")</f>
        <v>#REF!</v>
      </c>
      <c r="CK143" t="e">
        <f>AND(#REF!,"AAAAADo1r1g=")</f>
        <v>#REF!</v>
      </c>
      <c r="CL143" t="e">
        <f>AND(#REF!,"AAAAADo1r1k=")</f>
        <v>#REF!</v>
      </c>
      <c r="CM143" t="e">
        <f>AND(#REF!,"AAAAADo1r1o=")</f>
        <v>#REF!</v>
      </c>
      <c r="CN143" t="e">
        <f>AND(#REF!,"AAAAADo1r1s=")</f>
        <v>#REF!</v>
      </c>
      <c r="CO143" t="e">
        <f>AND(#REF!,"AAAAADo1r1w=")</f>
        <v>#REF!</v>
      </c>
      <c r="CP143" t="e">
        <f>AND(#REF!,"AAAAADo1r10=")</f>
        <v>#REF!</v>
      </c>
      <c r="CQ143" t="e">
        <f>AND(#REF!,"AAAAADo1r14=")</f>
        <v>#REF!</v>
      </c>
      <c r="CR143" t="e">
        <f>AND(#REF!,"AAAAADo1r18=")</f>
        <v>#REF!</v>
      </c>
      <c r="CS143" t="e">
        <f>AND(#REF!,"AAAAADo1r2A=")</f>
        <v>#REF!</v>
      </c>
      <c r="CT143" t="e">
        <f>AND(#REF!,"AAAAADo1r2E=")</f>
        <v>#REF!</v>
      </c>
      <c r="CU143" t="e">
        <f>AND(#REF!,"AAAAADo1r2I=")</f>
        <v>#REF!</v>
      </c>
      <c r="CV143" t="e">
        <f>AND(#REF!,"AAAAADo1r2M=")</f>
        <v>#REF!</v>
      </c>
      <c r="CW143" t="e">
        <f>AND(#REF!,"AAAAADo1r2Q=")</f>
        <v>#REF!</v>
      </c>
      <c r="CX143" t="e">
        <f>AND(#REF!,"AAAAADo1r2U=")</f>
        <v>#REF!</v>
      </c>
      <c r="CY143" t="e">
        <f>AND(#REF!,"AAAAADo1r2Y=")</f>
        <v>#REF!</v>
      </c>
      <c r="CZ143" t="e">
        <f>AND(#REF!,"AAAAADo1r2c=")</f>
        <v>#REF!</v>
      </c>
      <c r="DA143" t="e">
        <f>AND(#REF!,"AAAAADo1r2g=")</f>
        <v>#REF!</v>
      </c>
      <c r="DB143" t="e">
        <f>AND(#REF!,"AAAAADo1r2k=")</f>
        <v>#REF!</v>
      </c>
      <c r="DC143" t="e">
        <f>AND(#REF!,"AAAAADo1r2o=")</f>
        <v>#REF!</v>
      </c>
      <c r="DD143" t="e">
        <f>AND(#REF!,"AAAAADo1r2s=")</f>
        <v>#REF!</v>
      </c>
      <c r="DE143" t="e">
        <f>IF(#REF!,"AAAAADo1r2w=",0)</f>
        <v>#REF!</v>
      </c>
      <c r="DF143" t="e">
        <f>AND(#REF!,"AAAAADo1r20=")</f>
        <v>#REF!</v>
      </c>
      <c r="DG143" t="e">
        <f>AND(#REF!,"AAAAADo1r24=")</f>
        <v>#REF!</v>
      </c>
      <c r="DH143" t="e">
        <f>AND(#REF!,"AAAAADo1r28=")</f>
        <v>#REF!</v>
      </c>
      <c r="DI143" t="e">
        <f>AND(#REF!,"AAAAADo1r3A=")</f>
        <v>#REF!</v>
      </c>
      <c r="DJ143" t="e">
        <f>AND(#REF!,"AAAAADo1r3E=")</f>
        <v>#REF!</v>
      </c>
      <c r="DK143" t="e">
        <f>AND(#REF!,"AAAAADo1r3I=")</f>
        <v>#REF!</v>
      </c>
      <c r="DL143" t="e">
        <f>AND(#REF!,"AAAAADo1r3M=")</f>
        <v>#REF!</v>
      </c>
      <c r="DM143" t="e">
        <f>AND(#REF!,"AAAAADo1r3Q=")</f>
        <v>#REF!</v>
      </c>
      <c r="DN143" t="e">
        <f>AND(#REF!,"AAAAADo1r3U=")</f>
        <v>#REF!</v>
      </c>
      <c r="DO143" t="e">
        <f>AND(#REF!,"AAAAADo1r3Y=")</f>
        <v>#REF!</v>
      </c>
      <c r="DP143" t="e">
        <f>AND(#REF!,"AAAAADo1r3c=")</f>
        <v>#REF!</v>
      </c>
      <c r="DQ143" t="e">
        <f>AND(#REF!,"AAAAADo1r3g=")</f>
        <v>#REF!</v>
      </c>
      <c r="DR143" t="e">
        <f>AND(#REF!,"AAAAADo1r3k=")</f>
        <v>#REF!</v>
      </c>
      <c r="DS143" t="e">
        <f>AND(#REF!,"AAAAADo1r3o=")</f>
        <v>#REF!</v>
      </c>
      <c r="DT143" t="e">
        <f>AND(#REF!,"AAAAADo1r3s=")</f>
        <v>#REF!</v>
      </c>
      <c r="DU143" t="e">
        <f>AND(#REF!,"AAAAADo1r3w=")</f>
        <v>#REF!</v>
      </c>
      <c r="DV143" t="e">
        <f>AND(#REF!,"AAAAADo1r30=")</f>
        <v>#REF!</v>
      </c>
      <c r="DW143" t="e">
        <f>AND(#REF!,"AAAAADo1r34=")</f>
        <v>#REF!</v>
      </c>
      <c r="DX143" t="e">
        <f>AND(#REF!,"AAAAADo1r38=")</f>
        <v>#REF!</v>
      </c>
      <c r="DY143" t="e">
        <f>AND(#REF!,"AAAAADo1r4A=")</f>
        <v>#REF!</v>
      </c>
      <c r="DZ143" t="e">
        <f>AND(#REF!,"AAAAADo1r4E=")</f>
        <v>#REF!</v>
      </c>
      <c r="EA143" t="e">
        <f>AND(#REF!,"AAAAADo1r4I=")</f>
        <v>#REF!</v>
      </c>
      <c r="EB143" t="e">
        <f>AND(#REF!,"AAAAADo1r4M=")</f>
        <v>#REF!</v>
      </c>
      <c r="EC143" t="e">
        <f>AND(#REF!,"AAAAADo1r4Q=")</f>
        <v>#REF!</v>
      </c>
      <c r="ED143" t="e">
        <f>IF(#REF!,"AAAAADo1r4U=",0)</f>
        <v>#REF!</v>
      </c>
      <c r="EE143" t="e">
        <f>AND(#REF!,"AAAAADo1r4Y=")</f>
        <v>#REF!</v>
      </c>
      <c r="EF143" t="e">
        <f>AND(#REF!,"AAAAADo1r4c=")</f>
        <v>#REF!</v>
      </c>
      <c r="EG143" t="e">
        <f>AND(#REF!,"AAAAADo1r4g=")</f>
        <v>#REF!</v>
      </c>
      <c r="EH143" t="e">
        <f>AND(#REF!,"AAAAADo1r4k=")</f>
        <v>#REF!</v>
      </c>
      <c r="EI143" t="e">
        <f>AND(#REF!,"AAAAADo1r4o=")</f>
        <v>#REF!</v>
      </c>
      <c r="EJ143" t="e">
        <f>AND(#REF!,"AAAAADo1r4s=")</f>
        <v>#REF!</v>
      </c>
      <c r="EK143" t="e">
        <f>AND(#REF!,"AAAAADo1r4w=")</f>
        <v>#REF!</v>
      </c>
      <c r="EL143" t="e">
        <f>AND(#REF!,"AAAAADo1r40=")</f>
        <v>#REF!</v>
      </c>
      <c r="EM143" t="e">
        <f>AND(#REF!,"AAAAADo1r44=")</f>
        <v>#REF!</v>
      </c>
      <c r="EN143" t="e">
        <f>AND(#REF!,"AAAAADo1r48=")</f>
        <v>#REF!</v>
      </c>
      <c r="EO143" t="e">
        <f>AND(#REF!,"AAAAADo1r5A=")</f>
        <v>#REF!</v>
      </c>
      <c r="EP143" t="e">
        <f>AND(#REF!,"AAAAADo1r5E=")</f>
        <v>#REF!</v>
      </c>
      <c r="EQ143" t="e">
        <f>AND(#REF!,"AAAAADo1r5I=")</f>
        <v>#REF!</v>
      </c>
      <c r="ER143" t="e">
        <f>AND(#REF!,"AAAAADo1r5M=")</f>
        <v>#REF!</v>
      </c>
      <c r="ES143" t="e">
        <f>AND(#REF!,"AAAAADo1r5Q=")</f>
        <v>#REF!</v>
      </c>
      <c r="ET143" t="e">
        <f>AND(#REF!,"AAAAADo1r5U=")</f>
        <v>#REF!</v>
      </c>
      <c r="EU143" t="e">
        <f>AND(#REF!,"AAAAADo1r5Y=")</f>
        <v>#REF!</v>
      </c>
      <c r="EV143" t="e">
        <f>AND(#REF!,"AAAAADo1r5c=")</f>
        <v>#REF!</v>
      </c>
      <c r="EW143" t="e">
        <f>AND(#REF!,"AAAAADo1r5g=")</f>
        <v>#REF!</v>
      </c>
      <c r="EX143" t="e">
        <f>AND(#REF!,"AAAAADo1r5k=")</f>
        <v>#REF!</v>
      </c>
      <c r="EY143" t="e">
        <f>AND(#REF!,"AAAAADo1r5o=")</f>
        <v>#REF!</v>
      </c>
      <c r="EZ143" t="e">
        <f>AND(#REF!,"AAAAADo1r5s=")</f>
        <v>#REF!</v>
      </c>
      <c r="FA143" t="e">
        <f>AND(#REF!,"AAAAADo1r5w=")</f>
        <v>#REF!</v>
      </c>
      <c r="FB143" t="e">
        <f>AND(#REF!,"AAAAADo1r50=")</f>
        <v>#REF!</v>
      </c>
      <c r="FC143" t="e">
        <f>IF(#REF!,"AAAAADo1r54=",0)</f>
        <v>#REF!</v>
      </c>
      <c r="FD143" t="e">
        <f>AND(#REF!,"AAAAADo1r58=")</f>
        <v>#REF!</v>
      </c>
      <c r="FE143" t="e">
        <f>AND(#REF!,"AAAAADo1r6A=")</f>
        <v>#REF!</v>
      </c>
      <c r="FF143" t="e">
        <f>AND(#REF!,"AAAAADo1r6E=")</f>
        <v>#REF!</v>
      </c>
      <c r="FG143" t="e">
        <f>AND(#REF!,"AAAAADo1r6I=")</f>
        <v>#REF!</v>
      </c>
      <c r="FH143" t="e">
        <f>AND(#REF!,"AAAAADo1r6M=")</f>
        <v>#REF!</v>
      </c>
      <c r="FI143" t="e">
        <f>AND(#REF!,"AAAAADo1r6Q=")</f>
        <v>#REF!</v>
      </c>
      <c r="FJ143" t="e">
        <f>AND(#REF!,"AAAAADo1r6U=")</f>
        <v>#REF!</v>
      </c>
      <c r="FK143" t="e">
        <f>AND(#REF!,"AAAAADo1r6Y=")</f>
        <v>#REF!</v>
      </c>
      <c r="FL143" t="e">
        <f>AND(#REF!,"AAAAADo1r6c=")</f>
        <v>#REF!</v>
      </c>
      <c r="FM143" t="e">
        <f>AND(#REF!,"AAAAADo1r6g=")</f>
        <v>#REF!</v>
      </c>
      <c r="FN143" t="e">
        <f>AND(#REF!,"AAAAADo1r6k=")</f>
        <v>#REF!</v>
      </c>
      <c r="FO143" t="e">
        <f>AND(#REF!,"AAAAADo1r6o=")</f>
        <v>#REF!</v>
      </c>
      <c r="FP143" t="e">
        <f>AND(#REF!,"AAAAADo1r6s=")</f>
        <v>#REF!</v>
      </c>
      <c r="FQ143" t="e">
        <f>AND(#REF!,"AAAAADo1r6w=")</f>
        <v>#REF!</v>
      </c>
      <c r="FR143" t="e">
        <f>AND(#REF!,"AAAAADo1r60=")</f>
        <v>#REF!</v>
      </c>
      <c r="FS143" t="e">
        <f>AND(#REF!,"AAAAADo1r64=")</f>
        <v>#REF!</v>
      </c>
      <c r="FT143" t="e">
        <f>AND(#REF!,"AAAAADo1r68=")</f>
        <v>#REF!</v>
      </c>
      <c r="FU143" t="e">
        <f>AND(#REF!,"AAAAADo1r7A=")</f>
        <v>#REF!</v>
      </c>
      <c r="FV143" t="e">
        <f>AND(#REF!,"AAAAADo1r7E=")</f>
        <v>#REF!</v>
      </c>
      <c r="FW143" t="e">
        <f>AND(#REF!,"AAAAADo1r7I=")</f>
        <v>#REF!</v>
      </c>
      <c r="FX143" t="e">
        <f>AND(#REF!,"AAAAADo1r7M=")</f>
        <v>#REF!</v>
      </c>
      <c r="FY143" t="e">
        <f>AND(#REF!,"AAAAADo1r7Q=")</f>
        <v>#REF!</v>
      </c>
      <c r="FZ143" t="e">
        <f>AND(#REF!,"AAAAADo1r7U=")</f>
        <v>#REF!</v>
      </c>
      <c r="GA143" t="e">
        <f>AND(#REF!,"AAAAADo1r7Y=")</f>
        <v>#REF!</v>
      </c>
      <c r="GB143" t="e">
        <f>IF(#REF!,"AAAAADo1r7c=",0)</f>
        <v>#REF!</v>
      </c>
      <c r="GC143" t="e">
        <f>AND(#REF!,"AAAAADo1r7g=")</f>
        <v>#REF!</v>
      </c>
      <c r="GD143" t="e">
        <f>AND(#REF!,"AAAAADo1r7k=")</f>
        <v>#REF!</v>
      </c>
      <c r="GE143" t="e">
        <f>AND(#REF!,"AAAAADo1r7o=")</f>
        <v>#REF!</v>
      </c>
      <c r="GF143" t="e">
        <f>AND(#REF!,"AAAAADo1r7s=")</f>
        <v>#REF!</v>
      </c>
      <c r="GG143" t="e">
        <f>AND(#REF!,"AAAAADo1r7w=")</f>
        <v>#REF!</v>
      </c>
      <c r="GH143" t="e">
        <f>AND(#REF!,"AAAAADo1r70=")</f>
        <v>#REF!</v>
      </c>
      <c r="GI143" t="e">
        <f>AND(#REF!,"AAAAADo1r74=")</f>
        <v>#REF!</v>
      </c>
      <c r="GJ143" t="e">
        <f>AND(#REF!,"AAAAADo1r78=")</f>
        <v>#REF!</v>
      </c>
      <c r="GK143" t="e">
        <f>AND(#REF!,"AAAAADo1r8A=")</f>
        <v>#REF!</v>
      </c>
      <c r="GL143" t="e">
        <f>AND(#REF!,"AAAAADo1r8E=")</f>
        <v>#REF!</v>
      </c>
      <c r="GM143" t="e">
        <f>AND(#REF!,"AAAAADo1r8I=")</f>
        <v>#REF!</v>
      </c>
      <c r="GN143" t="e">
        <f>AND(#REF!,"AAAAADo1r8M=")</f>
        <v>#REF!</v>
      </c>
      <c r="GO143" t="e">
        <f>AND(#REF!,"AAAAADo1r8Q=")</f>
        <v>#REF!</v>
      </c>
      <c r="GP143" t="e">
        <f>AND(#REF!,"AAAAADo1r8U=")</f>
        <v>#REF!</v>
      </c>
      <c r="GQ143" t="e">
        <f>AND(#REF!,"AAAAADo1r8Y=")</f>
        <v>#REF!</v>
      </c>
      <c r="GR143" t="e">
        <f>AND(#REF!,"AAAAADo1r8c=")</f>
        <v>#REF!</v>
      </c>
      <c r="GS143" t="e">
        <f>AND(#REF!,"AAAAADo1r8g=")</f>
        <v>#REF!</v>
      </c>
      <c r="GT143" t="e">
        <f>AND(#REF!,"AAAAADo1r8k=")</f>
        <v>#REF!</v>
      </c>
      <c r="GU143" t="e">
        <f>AND(#REF!,"AAAAADo1r8o=")</f>
        <v>#REF!</v>
      </c>
      <c r="GV143" t="e">
        <f>AND(#REF!,"AAAAADo1r8s=")</f>
        <v>#REF!</v>
      </c>
      <c r="GW143" t="e">
        <f>AND(#REF!,"AAAAADo1r8w=")</f>
        <v>#REF!</v>
      </c>
      <c r="GX143" t="e">
        <f>AND(#REF!,"AAAAADo1r80=")</f>
        <v>#REF!</v>
      </c>
      <c r="GY143" t="e">
        <f>AND(#REF!,"AAAAADo1r84=")</f>
        <v>#REF!</v>
      </c>
      <c r="GZ143" t="e">
        <f>AND(#REF!,"AAAAADo1r88=")</f>
        <v>#REF!</v>
      </c>
      <c r="HA143" t="e">
        <f>IF(#REF!,"AAAAADo1r9A=",0)</f>
        <v>#REF!</v>
      </c>
      <c r="HB143" t="e">
        <f>AND(#REF!,"AAAAADo1r9E=")</f>
        <v>#REF!</v>
      </c>
      <c r="HC143" t="e">
        <f>AND(#REF!,"AAAAADo1r9I=")</f>
        <v>#REF!</v>
      </c>
      <c r="HD143" t="e">
        <f>AND(#REF!,"AAAAADo1r9M=")</f>
        <v>#REF!</v>
      </c>
      <c r="HE143" t="e">
        <f>AND(#REF!,"AAAAADo1r9Q=")</f>
        <v>#REF!</v>
      </c>
      <c r="HF143" t="e">
        <f>AND(#REF!,"AAAAADo1r9U=")</f>
        <v>#REF!</v>
      </c>
      <c r="HG143" t="e">
        <f>AND(#REF!,"AAAAADo1r9Y=")</f>
        <v>#REF!</v>
      </c>
      <c r="HH143" t="e">
        <f>AND(#REF!,"AAAAADo1r9c=")</f>
        <v>#REF!</v>
      </c>
      <c r="HI143" t="e">
        <f>AND(#REF!,"AAAAADo1r9g=")</f>
        <v>#REF!</v>
      </c>
      <c r="HJ143" t="e">
        <f>AND(#REF!,"AAAAADo1r9k=")</f>
        <v>#REF!</v>
      </c>
      <c r="HK143" t="e">
        <f>AND(#REF!,"AAAAADo1r9o=")</f>
        <v>#REF!</v>
      </c>
      <c r="HL143" t="e">
        <f>AND(#REF!,"AAAAADo1r9s=")</f>
        <v>#REF!</v>
      </c>
      <c r="HM143" t="e">
        <f>AND(#REF!,"AAAAADo1r9w=")</f>
        <v>#REF!</v>
      </c>
      <c r="HN143" t="e">
        <f>AND(#REF!,"AAAAADo1r90=")</f>
        <v>#REF!</v>
      </c>
      <c r="HO143" t="e">
        <f>AND(#REF!,"AAAAADo1r94=")</f>
        <v>#REF!</v>
      </c>
      <c r="HP143" t="e">
        <f>AND(#REF!,"AAAAADo1r98=")</f>
        <v>#REF!</v>
      </c>
      <c r="HQ143" t="e">
        <f>AND(#REF!,"AAAAADo1r+A=")</f>
        <v>#REF!</v>
      </c>
      <c r="HR143" t="e">
        <f>AND(#REF!,"AAAAADo1r+E=")</f>
        <v>#REF!</v>
      </c>
      <c r="HS143" t="e">
        <f>AND(#REF!,"AAAAADo1r+I=")</f>
        <v>#REF!</v>
      </c>
      <c r="HT143" t="e">
        <f>AND(#REF!,"AAAAADo1r+M=")</f>
        <v>#REF!</v>
      </c>
      <c r="HU143" t="e">
        <f>AND(#REF!,"AAAAADo1r+Q=")</f>
        <v>#REF!</v>
      </c>
      <c r="HV143" t="e">
        <f>AND(#REF!,"AAAAADo1r+U=")</f>
        <v>#REF!</v>
      </c>
      <c r="HW143" t="e">
        <f>AND(#REF!,"AAAAADo1r+Y=")</f>
        <v>#REF!</v>
      </c>
      <c r="HX143" t="e">
        <f>AND(#REF!,"AAAAADo1r+c=")</f>
        <v>#REF!</v>
      </c>
      <c r="HY143" t="e">
        <f>AND(#REF!,"AAAAADo1r+g=")</f>
        <v>#REF!</v>
      </c>
      <c r="HZ143" t="e">
        <f>IF(#REF!,"AAAAADo1r+k=",0)</f>
        <v>#REF!</v>
      </c>
      <c r="IA143" t="e">
        <f>AND(#REF!,"AAAAADo1r+o=")</f>
        <v>#REF!</v>
      </c>
      <c r="IB143" t="e">
        <f>AND(#REF!,"AAAAADo1r+s=")</f>
        <v>#REF!</v>
      </c>
      <c r="IC143" t="e">
        <f>AND(#REF!,"AAAAADo1r+w=")</f>
        <v>#REF!</v>
      </c>
      <c r="ID143" t="e">
        <f>AND(#REF!,"AAAAADo1r+0=")</f>
        <v>#REF!</v>
      </c>
      <c r="IE143" t="e">
        <f>AND(#REF!,"AAAAADo1r+4=")</f>
        <v>#REF!</v>
      </c>
      <c r="IF143" t="e">
        <f>AND(#REF!,"AAAAADo1r+8=")</f>
        <v>#REF!</v>
      </c>
      <c r="IG143" t="e">
        <f>AND(#REF!,"AAAAADo1r/A=")</f>
        <v>#REF!</v>
      </c>
      <c r="IH143" t="e">
        <f>AND(#REF!,"AAAAADo1r/E=")</f>
        <v>#REF!</v>
      </c>
      <c r="II143" t="e">
        <f>AND(#REF!,"AAAAADo1r/I=")</f>
        <v>#REF!</v>
      </c>
      <c r="IJ143" t="e">
        <f>AND(#REF!,"AAAAADo1r/M=")</f>
        <v>#REF!</v>
      </c>
      <c r="IK143" t="e">
        <f>AND(#REF!,"AAAAADo1r/Q=")</f>
        <v>#REF!</v>
      </c>
      <c r="IL143" t="e">
        <f>AND(#REF!,"AAAAADo1r/U=")</f>
        <v>#REF!</v>
      </c>
      <c r="IM143" t="e">
        <f>AND(#REF!,"AAAAADo1r/Y=")</f>
        <v>#REF!</v>
      </c>
      <c r="IN143" t="e">
        <f>AND(#REF!,"AAAAADo1r/c=")</f>
        <v>#REF!</v>
      </c>
      <c r="IO143" t="e">
        <f>AND(#REF!,"AAAAADo1r/g=")</f>
        <v>#REF!</v>
      </c>
      <c r="IP143" t="e">
        <f>AND(#REF!,"AAAAADo1r/k=")</f>
        <v>#REF!</v>
      </c>
      <c r="IQ143" t="e">
        <f>AND(#REF!,"AAAAADo1r/o=")</f>
        <v>#REF!</v>
      </c>
      <c r="IR143" t="e">
        <f>AND(#REF!,"AAAAADo1r/s=")</f>
        <v>#REF!</v>
      </c>
      <c r="IS143" t="e">
        <f>AND(#REF!,"AAAAADo1r/w=")</f>
        <v>#REF!</v>
      </c>
      <c r="IT143" t="e">
        <f>AND(#REF!,"AAAAADo1r/0=")</f>
        <v>#REF!</v>
      </c>
      <c r="IU143" t="e">
        <f>AND(#REF!,"AAAAADo1r/4=")</f>
        <v>#REF!</v>
      </c>
      <c r="IV143" t="e">
        <f>AND(#REF!,"AAAAADo1r/8=")</f>
        <v>#REF!</v>
      </c>
    </row>
    <row r="144" spans="1:256">
      <c r="A144" t="e">
        <f>AND(#REF!,"AAAAAHP1XwA=")</f>
        <v>#REF!</v>
      </c>
      <c r="B144" t="e">
        <f>AND(#REF!,"AAAAAHP1XwE=")</f>
        <v>#REF!</v>
      </c>
      <c r="C144" t="e">
        <f>IF(#REF!,"AAAAAHP1XwI=",0)</f>
        <v>#REF!</v>
      </c>
      <c r="D144" t="e">
        <f>AND(#REF!,"AAAAAHP1XwM=")</f>
        <v>#REF!</v>
      </c>
      <c r="E144" t="e">
        <f>AND(#REF!,"AAAAAHP1XwQ=")</f>
        <v>#REF!</v>
      </c>
      <c r="F144" t="e">
        <f>AND(#REF!,"AAAAAHP1XwU=")</f>
        <v>#REF!</v>
      </c>
      <c r="G144" t="e">
        <f>AND(#REF!,"AAAAAHP1XwY=")</f>
        <v>#REF!</v>
      </c>
      <c r="H144" t="e">
        <f>AND(#REF!,"AAAAAHP1Xwc=")</f>
        <v>#REF!</v>
      </c>
      <c r="I144" t="e">
        <f>AND(#REF!,"AAAAAHP1Xwg=")</f>
        <v>#REF!</v>
      </c>
      <c r="J144" t="e">
        <f>AND(#REF!,"AAAAAHP1Xwk=")</f>
        <v>#REF!</v>
      </c>
      <c r="K144" t="e">
        <f>AND(#REF!,"AAAAAHP1Xwo=")</f>
        <v>#REF!</v>
      </c>
      <c r="L144" t="e">
        <f>AND(#REF!,"AAAAAHP1Xws=")</f>
        <v>#REF!</v>
      </c>
      <c r="M144" t="e">
        <f>AND(#REF!,"AAAAAHP1Xww=")</f>
        <v>#REF!</v>
      </c>
      <c r="N144" t="e">
        <f>AND(#REF!,"AAAAAHP1Xw0=")</f>
        <v>#REF!</v>
      </c>
      <c r="O144" t="e">
        <f>AND(#REF!,"AAAAAHP1Xw4=")</f>
        <v>#REF!</v>
      </c>
      <c r="P144" t="e">
        <f>AND(#REF!,"AAAAAHP1Xw8=")</f>
        <v>#REF!</v>
      </c>
      <c r="Q144" t="e">
        <f>AND(#REF!,"AAAAAHP1XxA=")</f>
        <v>#REF!</v>
      </c>
      <c r="R144" t="e">
        <f>AND(#REF!,"AAAAAHP1XxE=")</f>
        <v>#REF!</v>
      </c>
      <c r="S144" t="e">
        <f>AND(#REF!,"AAAAAHP1XxI=")</f>
        <v>#REF!</v>
      </c>
      <c r="T144" t="e">
        <f>AND(#REF!,"AAAAAHP1XxM=")</f>
        <v>#REF!</v>
      </c>
      <c r="U144" t="e">
        <f>AND(#REF!,"AAAAAHP1XxQ=")</f>
        <v>#REF!</v>
      </c>
      <c r="V144" t="e">
        <f>AND(#REF!,"AAAAAHP1XxU=")</f>
        <v>#REF!</v>
      </c>
      <c r="W144" t="e">
        <f>AND(#REF!,"AAAAAHP1XxY=")</f>
        <v>#REF!</v>
      </c>
      <c r="X144" t="e">
        <f>AND(#REF!,"AAAAAHP1Xxc=")</f>
        <v>#REF!</v>
      </c>
      <c r="Y144" t="e">
        <f>AND(#REF!,"AAAAAHP1Xxg=")</f>
        <v>#REF!</v>
      </c>
      <c r="Z144" t="e">
        <f>AND(#REF!,"AAAAAHP1Xxk=")</f>
        <v>#REF!</v>
      </c>
      <c r="AA144" t="e">
        <f>AND(#REF!,"AAAAAHP1Xxo=")</f>
        <v>#REF!</v>
      </c>
      <c r="AB144" t="e">
        <f>IF(#REF!,"AAAAAHP1Xxs=",0)</f>
        <v>#REF!</v>
      </c>
      <c r="AC144" t="e">
        <f>AND(#REF!,"AAAAAHP1Xxw=")</f>
        <v>#REF!</v>
      </c>
      <c r="AD144" t="e">
        <f>AND(#REF!,"AAAAAHP1Xx0=")</f>
        <v>#REF!</v>
      </c>
      <c r="AE144" t="e">
        <f>AND(#REF!,"AAAAAHP1Xx4=")</f>
        <v>#REF!</v>
      </c>
      <c r="AF144" t="e">
        <f>AND(#REF!,"AAAAAHP1Xx8=")</f>
        <v>#REF!</v>
      </c>
      <c r="AG144" t="e">
        <f>AND(#REF!,"AAAAAHP1XyA=")</f>
        <v>#REF!</v>
      </c>
      <c r="AH144" t="e">
        <f>AND(#REF!,"AAAAAHP1XyE=")</f>
        <v>#REF!</v>
      </c>
      <c r="AI144" t="e">
        <f>AND(#REF!,"AAAAAHP1XyI=")</f>
        <v>#REF!</v>
      </c>
      <c r="AJ144" t="e">
        <f>AND(#REF!,"AAAAAHP1XyM=")</f>
        <v>#REF!</v>
      </c>
      <c r="AK144" t="e">
        <f>AND(#REF!,"AAAAAHP1XyQ=")</f>
        <v>#REF!</v>
      </c>
      <c r="AL144" t="e">
        <f>AND(#REF!,"AAAAAHP1XyU=")</f>
        <v>#REF!</v>
      </c>
      <c r="AM144" t="e">
        <f>AND(#REF!,"AAAAAHP1XyY=")</f>
        <v>#REF!</v>
      </c>
      <c r="AN144" t="e">
        <f>AND(#REF!,"AAAAAHP1Xyc=")</f>
        <v>#REF!</v>
      </c>
      <c r="AO144" t="e">
        <f>AND(#REF!,"AAAAAHP1Xyg=")</f>
        <v>#REF!</v>
      </c>
      <c r="AP144" t="e">
        <f>AND(#REF!,"AAAAAHP1Xyk=")</f>
        <v>#REF!</v>
      </c>
      <c r="AQ144" t="e">
        <f>AND(#REF!,"AAAAAHP1Xyo=")</f>
        <v>#REF!</v>
      </c>
      <c r="AR144" t="e">
        <f>AND(#REF!,"AAAAAHP1Xys=")</f>
        <v>#REF!</v>
      </c>
      <c r="AS144" t="e">
        <f>AND(#REF!,"AAAAAHP1Xyw=")</f>
        <v>#REF!</v>
      </c>
      <c r="AT144" t="e">
        <f>AND(#REF!,"AAAAAHP1Xy0=")</f>
        <v>#REF!</v>
      </c>
      <c r="AU144" t="e">
        <f>AND(#REF!,"AAAAAHP1Xy4=")</f>
        <v>#REF!</v>
      </c>
      <c r="AV144" t="e">
        <f>AND(#REF!,"AAAAAHP1Xy8=")</f>
        <v>#REF!</v>
      </c>
      <c r="AW144" t="e">
        <f>AND(#REF!,"AAAAAHP1XzA=")</f>
        <v>#REF!</v>
      </c>
      <c r="AX144" t="e">
        <f>AND(#REF!,"AAAAAHP1XzE=")</f>
        <v>#REF!</v>
      </c>
      <c r="AY144" t="e">
        <f>AND(#REF!,"AAAAAHP1XzI=")</f>
        <v>#REF!</v>
      </c>
      <c r="AZ144" t="e">
        <f>AND(#REF!,"AAAAAHP1XzM=")</f>
        <v>#REF!</v>
      </c>
      <c r="BA144" t="e">
        <f>IF(#REF!,"AAAAAHP1XzQ=",0)</f>
        <v>#REF!</v>
      </c>
      <c r="BB144" t="e">
        <f>AND(#REF!,"AAAAAHP1XzU=")</f>
        <v>#REF!</v>
      </c>
      <c r="BC144" t="e">
        <f>AND(#REF!,"AAAAAHP1XzY=")</f>
        <v>#REF!</v>
      </c>
      <c r="BD144" t="e">
        <f>AND(#REF!,"AAAAAHP1Xzc=")</f>
        <v>#REF!</v>
      </c>
      <c r="BE144" t="e">
        <f>AND(#REF!,"AAAAAHP1Xzg=")</f>
        <v>#REF!</v>
      </c>
      <c r="BF144" t="e">
        <f>AND(#REF!,"AAAAAHP1Xzk=")</f>
        <v>#REF!</v>
      </c>
      <c r="BG144" t="e">
        <f>AND(#REF!,"AAAAAHP1Xzo=")</f>
        <v>#REF!</v>
      </c>
      <c r="BH144" t="e">
        <f>AND(#REF!,"AAAAAHP1Xzs=")</f>
        <v>#REF!</v>
      </c>
      <c r="BI144" t="e">
        <f>AND(#REF!,"AAAAAHP1Xzw=")</f>
        <v>#REF!</v>
      </c>
      <c r="BJ144" t="e">
        <f>AND(#REF!,"AAAAAHP1Xz0=")</f>
        <v>#REF!</v>
      </c>
      <c r="BK144" t="e">
        <f>AND(#REF!,"AAAAAHP1Xz4=")</f>
        <v>#REF!</v>
      </c>
      <c r="BL144" t="e">
        <f>AND(#REF!,"AAAAAHP1Xz8=")</f>
        <v>#REF!</v>
      </c>
      <c r="BM144" t="e">
        <f>AND(#REF!,"AAAAAHP1X0A=")</f>
        <v>#REF!</v>
      </c>
      <c r="BN144" t="e">
        <f>AND(#REF!,"AAAAAHP1X0E=")</f>
        <v>#REF!</v>
      </c>
      <c r="BO144" t="e">
        <f>AND(#REF!,"AAAAAHP1X0I=")</f>
        <v>#REF!</v>
      </c>
      <c r="BP144" t="e">
        <f>AND(#REF!,"AAAAAHP1X0M=")</f>
        <v>#REF!</v>
      </c>
      <c r="BQ144" t="e">
        <f>AND(#REF!,"AAAAAHP1X0Q=")</f>
        <v>#REF!</v>
      </c>
      <c r="BR144" t="e">
        <f>AND(#REF!,"AAAAAHP1X0U=")</f>
        <v>#REF!</v>
      </c>
      <c r="BS144" t="e">
        <f>AND(#REF!,"AAAAAHP1X0Y=")</f>
        <v>#REF!</v>
      </c>
      <c r="BT144" t="e">
        <f>AND(#REF!,"AAAAAHP1X0c=")</f>
        <v>#REF!</v>
      </c>
      <c r="BU144" t="e">
        <f>AND(#REF!,"AAAAAHP1X0g=")</f>
        <v>#REF!</v>
      </c>
      <c r="BV144" t="e">
        <f>AND(#REF!,"AAAAAHP1X0k=")</f>
        <v>#REF!</v>
      </c>
      <c r="BW144" t="e">
        <f>AND(#REF!,"AAAAAHP1X0o=")</f>
        <v>#REF!</v>
      </c>
      <c r="BX144" t="e">
        <f>AND(#REF!,"AAAAAHP1X0s=")</f>
        <v>#REF!</v>
      </c>
      <c r="BY144" t="e">
        <f>AND(#REF!,"AAAAAHP1X0w=")</f>
        <v>#REF!</v>
      </c>
      <c r="BZ144" t="e">
        <f>IF(#REF!,"AAAAAHP1X00=",0)</f>
        <v>#REF!</v>
      </c>
      <c r="CA144" t="e">
        <f>AND(#REF!,"AAAAAHP1X04=")</f>
        <v>#REF!</v>
      </c>
      <c r="CB144" t="e">
        <f>AND(#REF!,"AAAAAHP1X08=")</f>
        <v>#REF!</v>
      </c>
      <c r="CC144" t="e">
        <f>AND(#REF!,"AAAAAHP1X1A=")</f>
        <v>#REF!</v>
      </c>
      <c r="CD144" t="e">
        <f>AND(#REF!,"AAAAAHP1X1E=")</f>
        <v>#REF!</v>
      </c>
      <c r="CE144" t="e">
        <f>AND(#REF!,"AAAAAHP1X1I=")</f>
        <v>#REF!</v>
      </c>
      <c r="CF144" t="e">
        <f>AND(#REF!,"AAAAAHP1X1M=")</f>
        <v>#REF!</v>
      </c>
      <c r="CG144" t="e">
        <f>AND(#REF!,"AAAAAHP1X1Q=")</f>
        <v>#REF!</v>
      </c>
      <c r="CH144" t="e">
        <f>AND(#REF!,"AAAAAHP1X1U=")</f>
        <v>#REF!</v>
      </c>
      <c r="CI144" t="e">
        <f>AND(#REF!,"AAAAAHP1X1Y=")</f>
        <v>#REF!</v>
      </c>
      <c r="CJ144" t="e">
        <f>AND(#REF!,"AAAAAHP1X1c=")</f>
        <v>#REF!</v>
      </c>
      <c r="CK144" t="e">
        <f>AND(#REF!,"AAAAAHP1X1g=")</f>
        <v>#REF!</v>
      </c>
      <c r="CL144" t="e">
        <f>AND(#REF!,"AAAAAHP1X1k=")</f>
        <v>#REF!</v>
      </c>
      <c r="CM144" t="e">
        <f>AND(#REF!,"AAAAAHP1X1o=")</f>
        <v>#REF!</v>
      </c>
      <c r="CN144" t="e">
        <f>AND(#REF!,"AAAAAHP1X1s=")</f>
        <v>#REF!</v>
      </c>
      <c r="CO144" t="e">
        <f>AND(#REF!,"AAAAAHP1X1w=")</f>
        <v>#REF!</v>
      </c>
      <c r="CP144" t="e">
        <f>AND(#REF!,"AAAAAHP1X10=")</f>
        <v>#REF!</v>
      </c>
      <c r="CQ144" t="e">
        <f>AND(#REF!,"AAAAAHP1X14=")</f>
        <v>#REF!</v>
      </c>
      <c r="CR144" t="e">
        <f>AND(#REF!,"AAAAAHP1X18=")</f>
        <v>#REF!</v>
      </c>
      <c r="CS144" t="e">
        <f>AND(#REF!,"AAAAAHP1X2A=")</f>
        <v>#REF!</v>
      </c>
      <c r="CT144" t="e">
        <f>AND(#REF!,"AAAAAHP1X2E=")</f>
        <v>#REF!</v>
      </c>
      <c r="CU144" t="e">
        <f>AND(#REF!,"AAAAAHP1X2I=")</f>
        <v>#REF!</v>
      </c>
      <c r="CV144" t="e">
        <f>AND(#REF!,"AAAAAHP1X2M=")</f>
        <v>#REF!</v>
      </c>
      <c r="CW144" t="e">
        <f>AND(#REF!,"AAAAAHP1X2Q=")</f>
        <v>#REF!</v>
      </c>
      <c r="CX144" t="e">
        <f>AND(#REF!,"AAAAAHP1X2U=")</f>
        <v>#REF!</v>
      </c>
      <c r="CY144" t="e">
        <f>IF(#REF!,"AAAAAHP1X2Y=",0)</f>
        <v>#REF!</v>
      </c>
      <c r="CZ144" t="e">
        <f>AND(#REF!,"AAAAAHP1X2c=")</f>
        <v>#REF!</v>
      </c>
      <c r="DA144" t="e">
        <f>AND(#REF!,"AAAAAHP1X2g=")</f>
        <v>#REF!</v>
      </c>
      <c r="DB144" t="e">
        <f>AND(#REF!,"AAAAAHP1X2k=")</f>
        <v>#REF!</v>
      </c>
      <c r="DC144" t="e">
        <f>AND(#REF!,"AAAAAHP1X2o=")</f>
        <v>#REF!</v>
      </c>
      <c r="DD144" t="e">
        <f>AND(#REF!,"AAAAAHP1X2s=")</f>
        <v>#REF!</v>
      </c>
      <c r="DE144" t="e">
        <f>AND(#REF!,"AAAAAHP1X2w=")</f>
        <v>#REF!</v>
      </c>
      <c r="DF144" t="e">
        <f>AND(#REF!,"AAAAAHP1X20=")</f>
        <v>#REF!</v>
      </c>
      <c r="DG144" t="e">
        <f>AND(#REF!,"AAAAAHP1X24=")</f>
        <v>#REF!</v>
      </c>
      <c r="DH144" t="e">
        <f>AND(#REF!,"AAAAAHP1X28=")</f>
        <v>#REF!</v>
      </c>
      <c r="DI144" t="e">
        <f>AND(#REF!,"AAAAAHP1X3A=")</f>
        <v>#REF!</v>
      </c>
      <c r="DJ144" t="e">
        <f>AND(#REF!,"AAAAAHP1X3E=")</f>
        <v>#REF!</v>
      </c>
      <c r="DK144" t="e">
        <f>AND(#REF!,"AAAAAHP1X3I=")</f>
        <v>#REF!</v>
      </c>
      <c r="DL144" t="e">
        <f>AND(#REF!,"AAAAAHP1X3M=")</f>
        <v>#REF!</v>
      </c>
      <c r="DM144" t="e">
        <f>AND(#REF!,"AAAAAHP1X3Q=")</f>
        <v>#REF!</v>
      </c>
      <c r="DN144" t="e">
        <f>AND(#REF!,"AAAAAHP1X3U=")</f>
        <v>#REF!</v>
      </c>
      <c r="DO144" t="e">
        <f>AND(#REF!,"AAAAAHP1X3Y=")</f>
        <v>#REF!</v>
      </c>
      <c r="DP144" t="e">
        <f>AND(#REF!,"AAAAAHP1X3c=")</f>
        <v>#REF!</v>
      </c>
      <c r="DQ144" t="e">
        <f>AND(#REF!,"AAAAAHP1X3g=")</f>
        <v>#REF!</v>
      </c>
      <c r="DR144" t="e">
        <f>AND(#REF!,"AAAAAHP1X3k=")</f>
        <v>#REF!</v>
      </c>
      <c r="DS144" t="e">
        <f>AND(#REF!,"AAAAAHP1X3o=")</f>
        <v>#REF!</v>
      </c>
      <c r="DT144" t="e">
        <f>AND(#REF!,"AAAAAHP1X3s=")</f>
        <v>#REF!</v>
      </c>
      <c r="DU144" t="e">
        <f>AND(#REF!,"AAAAAHP1X3w=")</f>
        <v>#REF!</v>
      </c>
      <c r="DV144" t="e">
        <f>AND(#REF!,"AAAAAHP1X30=")</f>
        <v>#REF!</v>
      </c>
      <c r="DW144" t="e">
        <f>AND(#REF!,"AAAAAHP1X34=")</f>
        <v>#REF!</v>
      </c>
      <c r="DX144" t="e">
        <f>IF(#REF!,"AAAAAHP1X38=",0)</f>
        <v>#REF!</v>
      </c>
      <c r="DY144" t="e">
        <f>AND(#REF!,"AAAAAHP1X4A=")</f>
        <v>#REF!</v>
      </c>
      <c r="DZ144" t="e">
        <f>AND(#REF!,"AAAAAHP1X4E=")</f>
        <v>#REF!</v>
      </c>
      <c r="EA144" t="e">
        <f>AND(#REF!,"AAAAAHP1X4I=")</f>
        <v>#REF!</v>
      </c>
      <c r="EB144" t="e">
        <f>AND(#REF!,"AAAAAHP1X4M=")</f>
        <v>#REF!</v>
      </c>
      <c r="EC144" t="e">
        <f>AND(#REF!,"AAAAAHP1X4Q=")</f>
        <v>#REF!</v>
      </c>
      <c r="ED144" t="e">
        <f>AND(#REF!,"AAAAAHP1X4U=")</f>
        <v>#REF!</v>
      </c>
      <c r="EE144" t="e">
        <f>AND(#REF!,"AAAAAHP1X4Y=")</f>
        <v>#REF!</v>
      </c>
      <c r="EF144" t="e">
        <f>AND(#REF!,"AAAAAHP1X4c=")</f>
        <v>#REF!</v>
      </c>
      <c r="EG144" t="e">
        <f>AND(#REF!,"AAAAAHP1X4g=")</f>
        <v>#REF!</v>
      </c>
      <c r="EH144" t="e">
        <f>AND(#REF!,"AAAAAHP1X4k=")</f>
        <v>#REF!</v>
      </c>
      <c r="EI144" t="e">
        <f>AND(#REF!,"AAAAAHP1X4o=")</f>
        <v>#REF!</v>
      </c>
      <c r="EJ144" t="e">
        <f>AND(#REF!,"AAAAAHP1X4s=")</f>
        <v>#REF!</v>
      </c>
      <c r="EK144" t="e">
        <f>AND(#REF!,"AAAAAHP1X4w=")</f>
        <v>#REF!</v>
      </c>
      <c r="EL144" t="e">
        <f>AND(#REF!,"AAAAAHP1X40=")</f>
        <v>#REF!</v>
      </c>
      <c r="EM144" t="e">
        <f>AND(#REF!,"AAAAAHP1X44=")</f>
        <v>#REF!</v>
      </c>
      <c r="EN144" t="e">
        <f>AND(#REF!,"AAAAAHP1X48=")</f>
        <v>#REF!</v>
      </c>
      <c r="EO144" t="e">
        <f>AND(#REF!,"AAAAAHP1X5A=")</f>
        <v>#REF!</v>
      </c>
      <c r="EP144" t="e">
        <f>AND(#REF!,"AAAAAHP1X5E=")</f>
        <v>#REF!</v>
      </c>
      <c r="EQ144" t="e">
        <f>AND(#REF!,"AAAAAHP1X5I=")</f>
        <v>#REF!</v>
      </c>
      <c r="ER144" t="e">
        <f>AND(#REF!,"AAAAAHP1X5M=")</f>
        <v>#REF!</v>
      </c>
      <c r="ES144" t="e">
        <f>AND(#REF!,"AAAAAHP1X5Q=")</f>
        <v>#REF!</v>
      </c>
      <c r="ET144" t="e">
        <f>AND(#REF!,"AAAAAHP1X5U=")</f>
        <v>#REF!</v>
      </c>
      <c r="EU144" t="e">
        <f>AND(#REF!,"AAAAAHP1X5Y=")</f>
        <v>#REF!</v>
      </c>
      <c r="EV144" t="e">
        <f>AND(#REF!,"AAAAAHP1X5c=")</f>
        <v>#REF!</v>
      </c>
      <c r="EW144" t="e">
        <f>IF(#REF!,"AAAAAHP1X5g=",0)</f>
        <v>#REF!</v>
      </c>
      <c r="EX144" t="e">
        <f>AND(#REF!,"AAAAAHP1X5k=")</f>
        <v>#REF!</v>
      </c>
      <c r="EY144" t="e">
        <f>AND(#REF!,"AAAAAHP1X5o=")</f>
        <v>#REF!</v>
      </c>
      <c r="EZ144" t="e">
        <f>AND(#REF!,"AAAAAHP1X5s=")</f>
        <v>#REF!</v>
      </c>
      <c r="FA144" t="e">
        <f>AND(#REF!,"AAAAAHP1X5w=")</f>
        <v>#REF!</v>
      </c>
      <c r="FB144" t="e">
        <f>AND(#REF!,"AAAAAHP1X50=")</f>
        <v>#REF!</v>
      </c>
      <c r="FC144" t="e">
        <f>AND(#REF!,"AAAAAHP1X54=")</f>
        <v>#REF!</v>
      </c>
      <c r="FD144" t="e">
        <f>AND(#REF!,"AAAAAHP1X58=")</f>
        <v>#REF!</v>
      </c>
      <c r="FE144" t="e">
        <f>AND(#REF!,"AAAAAHP1X6A=")</f>
        <v>#REF!</v>
      </c>
      <c r="FF144" t="e">
        <f>AND(#REF!,"AAAAAHP1X6E=")</f>
        <v>#REF!</v>
      </c>
      <c r="FG144" t="e">
        <f>AND(#REF!,"AAAAAHP1X6I=")</f>
        <v>#REF!</v>
      </c>
      <c r="FH144" t="e">
        <f>AND(#REF!,"AAAAAHP1X6M=")</f>
        <v>#REF!</v>
      </c>
      <c r="FI144" t="e">
        <f>AND(#REF!,"AAAAAHP1X6Q=")</f>
        <v>#REF!</v>
      </c>
      <c r="FJ144" t="e">
        <f>AND(#REF!,"AAAAAHP1X6U=")</f>
        <v>#REF!</v>
      </c>
      <c r="FK144" t="e">
        <f>AND(#REF!,"AAAAAHP1X6Y=")</f>
        <v>#REF!</v>
      </c>
      <c r="FL144" t="e">
        <f>AND(#REF!,"AAAAAHP1X6c=")</f>
        <v>#REF!</v>
      </c>
      <c r="FM144" t="e">
        <f>AND(#REF!,"AAAAAHP1X6g=")</f>
        <v>#REF!</v>
      </c>
      <c r="FN144" t="e">
        <f>AND(#REF!,"AAAAAHP1X6k=")</f>
        <v>#REF!</v>
      </c>
      <c r="FO144" t="e">
        <f>AND(#REF!,"AAAAAHP1X6o=")</f>
        <v>#REF!</v>
      </c>
      <c r="FP144" t="e">
        <f>AND(#REF!,"AAAAAHP1X6s=")</f>
        <v>#REF!</v>
      </c>
      <c r="FQ144" t="e">
        <f>AND(#REF!,"AAAAAHP1X6w=")</f>
        <v>#REF!</v>
      </c>
      <c r="FR144" t="e">
        <f>AND(#REF!,"AAAAAHP1X60=")</f>
        <v>#REF!</v>
      </c>
      <c r="FS144" t="e">
        <f>AND(#REF!,"AAAAAHP1X64=")</f>
        <v>#REF!</v>
      </c>
      <c r="FT144" t="e">
        <f>AND(#REF!,"AAAAAHP1X68=")</f>
        <v>#REF!</v>
      </c>
      <c r="FU144" t="e">
        <f>AND(#REF!,"AAAAAHP1X7A=")</f>
        <v>#REF!</v>
      </c>
      <c r="FV144" t="e">
        <f>IF(#REF!,"AAAAAHP1X7E=",0)</f>
        <v>#REF!</v>
      </c>
      <c r="FW144" t="e">
        <f>AND(#REF!,"AAAAAHP1X7I=")</f>
        <v>#REF!</v>
      </c>
      <c r="FX144" t="e">
        <f>AND(#REF!,"AAAAAHP1X7M=")</f>
        <v>#REF!</v>
      </c>
      <c r="FY144" t="e">
        <f>AND(#REF!,"AAAAAHP1X7Q=")</f>
        <v>#REF!</v>
      </c>
      <c r="FZ144" t="e">
        <f>AND(#REF!,"AAAAAHP1X7U=")</f>
        <v>#REF!</v>
      </c>
      <c r="GA144" t="e">
        <f>AND(#REF!,"AAAAAHP1X7Y=")</f>
        <v>#REF!</v>
      </c>
      <c r="GB144" t="e">
        <f>AND(#REF!,"AAAAAHP1X7c=")</f>
        <v>#REF!</v>
      </c>
      <c r="GC144" t="e">
        <f>AND(#REF!,"AAAAAHP1X7g=")</f>
        <v>#REF!</v>
      </c>
      <c r="GD144" t="e">
        <f>AND(#REF!,"AAAAAHP1X7k=")</f>
        <v>#REF!</v>
      </c>
      <c r="GE144" t="e">
        <f>AND(#REF!,"AAAAAHP1X7o=")</f>
        <v>#REF!</v>
      </c>
      <c r="GF144" t="e">
        <f>AND(#REF!,"AAAAAHP1X7s=")</f>
        <v>#REF!</v>
      </c>
      <c r="GG144" t="e">
        <f>AND(#REF!,"AAAAAHP1X7w=")</f>
        <v>#REF!</v>
      </c>
      <c r="GH144" t="e">
        <f>AND(#REF!,"AAAAAHP1X70=")</f>
        <v>#REF!</v>
      </c>
      <c r="GI144" t="e">
        <f>AND(#REF!,"AAAAAHP1X74=")</f>
        <v>#REF!</v>
      </c>
      <c r="GJ144" t="e">
        <f>AND(#REF!,"AAAAAHP1X78=")</f>
        <v>#REF!</v>
      </c>
      <c r="GK144" t="e">
        <f>AND(#REF!,"AAAAAHP1X8A=")</f>
        <v>#REF!</v>
      </c>
      <c r="GL144" t="e">
        <f>AND(#REF!,"AAAAAHP1X8E=")</f>
        <v>#REF!</v>
      </c>
      <c r="GM144" t="e">
        <f>AND(#REF!,"AAAAAHP1X8I=")</f>
        <v>#REF!</v>
      </c>
      <c r="GN144" t="e">
        <f>AND(#REF!,"AAAAAHP1X8M=")</f>
        <v>#REF!</v>
      </c>
      <c r="GO144" t="e">
        <f>AND(#REF!,"AAAAAHP1X8Q=")</f>
        <v>#REF!</v>
      </c>
      <c r="GP144" t="e">
        <f>AND(#REF!,"AAAAAHP1X8U=")</f>
        <v>#REF!</v>
      </c>
      <c r="GQ144" t="e">
        <f>AND(#REF!,"AAAAAHP1X8Y=")</f>
        <v>#REF!</v>
      </c>
      <c r="GR144" t="e">
        <f>AND(#REF!,"AAAAAHP1X8c=")</f>
        <v>#REF!</v>
      </c>
      <c r="GS144" t="e">
        <f>AND(#REF!,"AAAAAHP1X8g=")</f>
        <v>#REF!</v>
      </c>
      <c r="GT144" t="e">
        <f>AND(#REF!,"AAAAAHP1X8k=")</f>
        <v>#REF!</v>
      </c>
      <c r="GU144" t="e">
        <f>IF(#REF!,"AAAAAHP1X8o=",0)</f>
        <v>#REF!</v>
      </c>
      <c r="GV144" t="e">
        <f>AND(#REF!,"AAAAAHP1X8s=")</f>
        <v>#REF!</v>
      </c>
      <c r="GW144" t="e">
        <f>AND(#REF!,"AAAAAHP1X8w=")</f>
        <v>#REF!</v>
      </c>
      <c r="GX144" t="e">
        <f>AND(#REF!,"AAAAAHP1X80=")</f>
        <v>#REF!</v>
      </c>
      <c r="GY144" t="e">
        <f>AND(#REF!,"AAAAAHP1X84=")</f>
        <v>#REF!</v>
      </c>
      <c r="GZ144" t="e">
        <f>AND(#REF!,"AAAAAHP1X88=")</f>
        <v>#REF!</v>
      </c>
      <c r="HA144" t="e">
        <f>AND(#REF!,"AAAAAHP1X9A=")</f>
        <v>#REF!</v>
      </c>
      <c r="HB144" t="e">
        <f>AND(#REF!,"AAAAAHP1X9E=")</f>
        <v>#REF!</v>
      </c>
      <c r="HC144" t="e">
        <f>AND(#REF!,"AAAAAHP1X9I=")</f>
        <v>#REF!</v>
      </c>
      <c r="HD144" t="e">
        <f>AND(#REF!,"AAAAAHP1X9M=")</f>
        <v>#REF!</v>
      </c>
      <c r="HE144" t="e">
        <f>AND(#REF!,"AAAAAHP1X9Q=")</f>
        <v>#REF!</v>
      </c>
      <c r="HF144" t="e">
        <f>AND(#REF!,"AAAAAHP1X9U=")</f>
        <v>#REF!</v>
      </c>
      <c r="HG144" t="e">
        <f>AND(#REF!,"AAAAAHP1X9Y=")</f>
        <v>#REF!</v>
      </c>
      <c r="HH144" t="e">
        <f>AND(#REF!,"AAAAAHP1X9c=")</f>
        <v>#REF!</v>
      </c>
      <c r="HI144" t="e">
        <f>AND(#REF!,"AAAAAHP1X9g=")</f>
        <v>#REF!</v>
      </c>
      <c r="HJ144" t="e">
        <f>AND(#REF!,"AAAAAHP1X9k=")</f>
        <v>#REF!</v>
      </c>
      <c r="HK144" t="e">
        <f>AND(#REF!,"AAAAAHP1X9o=")</f>
        <v>#REF!</v>
      </c>
      <c r="HL144" t="e">
        <f>AND(#REF!,"AAAAAHP1X9s=")</f>
        <v>#REF!</v>
      </c>
      <c r="HM144" t="e">
        <f>AND(#REF!,"AAAAAHP1X9w=")</f>
        <v>#REF!</v>
      </c>
      <c r="HN144" t="e">
        <f>AND(#REF!,"AAAAAHP1X90=")</f>
        <v>#REF!</v>
      </c>
      <c r="HO144" t="e">
        <f>AND(#REF!,"AAAAAHP1X94=")</f>
        <v>#REF!</v>
      </c>
      <c r="HP144" t="e">
        <f>AND(#REF!,"AAAAAHP1X98=")</f>
        <v>#REF!</v>
      </c>
      <c r="HQ144" t="e">
        <f>AND(#REF!,"AAAAAHP1X+A=")</f>
        <v>#REF!</v>
      </c>
      <c r="HR144" t="e">
        <f>AND(#REF!,"AAAAAHP1X+E=")</f>
        <v>#REF!</v>
      </c>
      <c r="HS144" t="e">
        <f>AND(#REF!,"AAAAAHP1X+I=")</f>
        <v>#REF!</v>
      </c>
      <c r="HT144" t="e">
        <f>IF(#REF!,"AAAAAHP1X+M=",0)</f>
        <v>#REF!</v>
      </c>
      <c r="HU144" t="e">
        <f>AND(#REF!,"AAAAAHP1X+Q=")</f>
        <v>#REF!</v>
      </c>
      <c r="HV144" t="e">
        <f>AND(#REF!,"AAAAAHP1X+U=")</f>
        <v>#REF!</v>
      </c>
      <c r="HW144" t="e">
        <f>AND(#REF!,"AAAAAHP1X+Y=")</f>
        <v>#REF!</v>
      </c>
      <c r="HX144" t="e">
        <f>AND(#REF!,"AAAAAHP1X+c=")</f>
        <v>#REF!</v>
      </c>
      <c r="HY144" t="e">
        <f>AND(#REF!,"AAAAAHP1X+g=")</f>
        <v>#REF!</v>
      </c>
      <c r="HZ144" t="e">
        <f>AND(#REF!,"AAAAAHP1X+k=")</f>
        <v>#REF!</v>
      </c>
      <c r="IA144" t="e">
        <f>AND(#REF!,"AAAAAHP1X+o=")</f>
        <v>#REF!</v>
      </c>
      <c r="IB144" t="e">
        <f>AND(#REF!,"AAAAAHP1X+s=")</f>
        <v>#REF!</v>
      </c>
      <c r="IC144" t="e">
        <f>AND(#REF!,"AAAAAHP1X+w=")</f>
        <v>#REF!</v>
      </c>
      <c r="ID144" t="e">
        <f>AND(#REF!,"AAAAAHP1X+0=")</f>
        <v>#REF!</v>
      </c>
      <c r="IE144" t="e">
        <f>AND(#REF!,"AAAAAHP1X+4=")</f>
        <v>#REF!</v>
      </c>
      <c r="IF144" t="e">
        <f>AND(#REF!,"AAAAAHP1X+8=")</f>
        <v>#REF!</v>
      </c>
      <c r="IG144" t="e">
        <f>AND(#REF!,"AAAAAHP1X/A=")</f>
        <v>#REF!</v>
      </c>
      <c r="IH144" t="e">
        <f>AND(#REF!,"AAAAAHP1X/E=")</f>
        <v>#REF!</v>
      </c>
      <c r="II144" t="e">
        <f>AND(#REF!,"AAAAAHP1X/I=")</f>
        <v>#REF!</v>
      </c>
      <c r="IJ144" t="e">
        <f>AND(#REF!,"AAAAAHP1X/M=")</f>
        <v>#REF!</v>
      </c>
      <c r="IK144" t="e">
        <f>AND(#REF!,"AAAAAHP1X/Q=")</f>
        <v>#REF!</v>
      </c>
      <c r="IL144" t="e">
        <f>AND(#REF!,"AAAAAHP1X/U=")</f>
        <v>#REF!</v>
      </c>
      <c r="IM144" t="e">
        <f>AND(#REF!,"AAAAAHP1X/Y=")</f>
        <v>#REF!</v>
      </c>
      <c r="IN144" t="e">
        <f>AND(#REF!,"AAAAAHP1X/c=")</f>
        <v>#REF!</v>
      </c>
      <c r="IO144" t="e">
        <f>AND(#REF!,"AAAAAHP1X/g=")</f>
        <v>#REF!</v>
      </c>
      <c r="IP144" t="e">
        <f>AND(#REF!,"AAAAAHP1X/k=")</f>
        <v>#REF!</v>
      </c>
      <c r="IQ144" t="e">
        <f>AND(#REF!,"AAAAAHP1X/o=")</f>
        <v>#REF!</v>
      </c>
      <c r="IR144" t="e">
        <f>AND(#REF!,"AAAAAHP1X/s=")</f>
        <v>#REF!</v>
      </c>
      <c r="IS144" t="e">
        <f>IF(#REF!,"AAAAAHP1X/w=",0)</f>
        <v>#REF!</v>
      </c>
      <c r="IT144" t="e">
        <f>AND(#REF!,"AAAAAHP1X/0=")</f>
        <v>#REF!</v>
      </c>
      <c r="IU144" t="e">
        <f>AND(#REF!,"AAAAAHP1X/4=")</f>
        <v>#REF!</v>
      </c>
      <c r="IV144" t="e">
        <f>AND(#REF!,"AAAAAHP1X/8=")</f>
        <v>#REF!</v>
      </c>
    </row>
    <row r="145" spans="1:256">
      <c r="A145" t="e">
        <f>AND(#REF!,"AAAAAGv75wA=")</f>
        <v>#REF!</v>
      </c>
      <c r="B145" t="e">
        <f>AND(#REF!,"AAAAAGv75wE=")</f>
        <v>#REF!</v>
      </c>
      <c r="C145" t="e">
        <f>AND(#REF!,"AAAAAGv75wI=")</f>
        <v>#REF!</v>
      </c>
      <c r="D145" t="e">
        <f>AND(#REF!,"AAAAAGv75wM=")</f>
        <v>#REF!</v>
      </c>
      <c r="E145" t="e">
        <f>AND(#REF!,"AAAAAGv75wQ=")</f>
        <v>#REF!</v>
      </c>
      <c r="F145" t="e">
        <f>AND(#REF!,"AAAAAGv75wU=")</f>
        <v>#REF!</v>
      </c>
      <c r="G145" t="e">
        <f>AND(#REF!,"AAAAAGv75wY=")</f>
        <v>#REF!</v>
      </c>
      <c r="H145" t="e">
        <f>AND(#REF!,"AAAAAGv75wc=")</f>
        <v>#REF!</v>
      </c>
      <c r="I145" t="e">
        <f>AND(#REF!,"AAAAAGv75wg=")</f>
        <v>#REF!</v>
      </c>
      <c r="J145" t="e">
        <f>AND(#REF!,"AAAAAGv75wk=")</f>
        <v>#REF!</v>
      </c>
      <c r="K145" t="e">
        <f>AND(#REF!,"AAAAAGv75wo=")</f>
        <v>#REF!</v>
      </c>
      <c r="L145" t="e">
        <f>AND(#REF!,"AAAAAGv75ws=")</f>
        <v>#REF!</v>
      </c>
      <c r="M145" t="e">
        <f>AND(#REF!,"AAAAAGv75ww=")</f>
        <v>#REF!</v>
      </c>
      <c r="N145" t="e">
        <f>AND(#REF!,"AAAAAGv75w0=")</f>
        <v>#REF!</v>
      </c>
      <c r="O145" t="e">
        <f>AND(#REF!,"AAAAAGv75w4=")</f>
        <v>#REF!</v>
      </c>
      <c r="P145" t="e">
        <f>AND(#REF!,"AAAAAGv75w8=")</f>
        <v>#REF!</v>
      </c>
      <c r="Q145" t="e">
        <f>AND(#REF!,"AAAAAGv75xA=")</f>
        <v>#REF!</v>
      </c>
      <c r="R145" t="e">
        <f>AND(#REF!,"AAAAAGv75xE=")</f>
        <v>#REF!</v>
      </c>
      <c r="S145" t="e">
        <f>AND(#REF!,"AAAAAGv75xI=")</f>
        <v>#REF!</v>
      </c>
      <c r="T145" t="e">
        <f>AND(#REF!,"AAAAAGv75xM=")</f>
        <v>#REF!</v>
      </c>
      <c r="U145" t="e">
        <f>AND(#REF!,"AAAAAGv75xQ=")</f>
        <v>#REF!</v>
      </c>
      <c r="V145" t="e">
        <f>IF(#REF!,"AAAAAGv75xU=",0)</f>
        <v>#REF!</v>
      </c>
      <c r="W145" t="e">
        <f>AND(#REF!,"AAAAAGv75xY=")</f>
        <v>#REF!</v>
      </c>
      <c r="X145" t="e">
        <f>AND(#REF!,"AAAAAGv75xc=")</f>
        <v>#REF!</v>
      </c>
      <c r="Y145" t="e">
        <f>AND(#REF!,"AAAAAGv75xg=")</f>
        <v>#REF!</v>
      </c>
      <c r="Z145" t="e">
        <f>AND(#REF!,"AAAAAGv75xk=")</f>
        <v>#REF!</v>
      </c>
      <c r="AA145" t="e">
        <f>AND(#REF!,"AAAAAGv75xo=")</f>
        <v>#REF!</v>
      </c>
      <c r="AB145" t="e">
        <f>AND(#REF!,"AAAAAGv75xs=")</f>
        <v>#REF!</v>
      </c>
      <c r="AC145" t="e">
        <f>AND(#REF!,"AAAAAGv75xw=")</f>
        <v>#REF!</v>
      </c>
      <c r="AD145" t="e">
        <f>AND(#REF!,"AAAAAGv75x0=")</f>
        <v>#REF!</v>
      </c>
      <c r="AE145" t="e">
        <f>AND(#REF!,"AAAAAGv75x4=")</f>
        <v>#REF!</v>
      </c>
      <c r="AF145" t="e">
        <f>AND(#REF!,"AAAAAGv75x8=")</f>
        <v>#REF!</v>
      </c>
      <c r="AG145" t="e">
        <f>AND(#REF!,"AAAAAGv75yA=")</f>
        <v>#REF!</v>
      </c>
      <c r="AH145" t="e">
        <f>AND(#REF!,"AAAAAGv75yE=")</f>
        <v>#REF!</v>
      </c>
      <c r="AI145" t="e">
        <f>AND(#REF!,"AAAAAGv75yI=")</f>
        <v>#REF!</v>
      </c>
      <c r="AJ145" t="e">
        <f>AND(#REF!,"AAAAAGv75yM=")</f>
        <v>#REF!</v>
      </c>
      <c r="AK145" t="e">
        <f>AND(#REF!,"AAAAAGv75yQ=")</f>
        <v>#REF!</v>
      </c>
      <c r="AL145" t="e">
        <f>AND(#REF!,"AAAAAGv75yU=")</f>
        <v>#REF!</v>
      </c>
      <c r="AM145" t="e">
        <f>AND(#REF!,"AAAAAGv75yY=")</f>
        <v>#REF!</v>
      </c>
      <c r="AN145" t="e">
        <f>AND(#REF!,"AAAAAGv75yc=")</f>
        <v>#REF!</v>
      </c>
      <c r="AO145" t="e">
        <f>AND(#REF!,"AAAAAGv75yg=")</f>
        <v>#REF!</v>
      </c>
      <c r="AP145" t="e">
        <f>AND(#REF!,"AAAAAGv75yk=")</f>
        <v>#REF!</v>
      </c>
      <c r="AQ145" t="e">
        <f>AND(#REF!,"AAAAAGv75yo=")</f>
        <v>#REF!</v>
      </c>
      <c r="AR145" t="e">
        <f>AND(#REF!,"AAAAAGv75ys=")</f>
        <v>#REF!</v>
      </c>
      <c r="AS145" t="e">
        <f>AND(#REF!,"AAAAAGv75yw=")</f>
        <v>#REF!</v>
      </c>
      <c r="AT145" t="e">
        <f>AND(#REF!,"AAAAAGv75y0=")</f>
        <v>#REF!</v>
      </c>
      <c r="AU145" t="e">
        <f>IF(#REF!,"AAAAAGv75y4=",0)</f>
        <v>#REF!</v>
      </c>
      <c r="AV145" t="e">
        <f>AND(#REF!,"AAAAAGv75y8=")</f>
        <v>#REF!</v>
      </c>
      <c r="AW145" t="e">
        <f>AND(#REF!,"AAAAAGv75zA=")</f>
        <v>#REF!</v>
      </c>
      <c r="AX145" t="e">
        <f>AND(#REF!,"AAAAAGv75zE=")</f>
        <v>#REF!</v>
      </c>
      <c r="AY145" t="e">
        <f>AND(#REF!,"AAAAAGv75zI=")</f>
        <v>#REF!</v>
      </c>
      <c r="AZ145" t="e">
        <f>AND(#REF!,"AAAAAGv75zM=")</f>
        <v>#REF!</v>
      </c>
      <c r="BA145" t="e">
        <f>AND(#REF!,"AAAAAGv75zQ=")</f>
        <v>#REF!</v>
      </c>
      <c r="BB145" t="e">
        <f>AND(#REF!,"AAAAAGv75zU=")</f>
        <v>#REF!</v>
      </c>
      <c r="BC145" t="e">
        <f>AND(#REF!,"AAAAAGv75zY=")</f>
        <v>#REF!</v>
      </c>
      <c r="BD145" t="e">
        <f>AND(#REF!,"AAAAAGv75zc=")</f>
        <v>#REF!</v>
      </c>
      <c r="BE145" t="e">
        <f>AND(#REF!,"AAAAAGv75zg=")</f>
        <v>#REF!</v>
      </c>
      <c r="BF145" t="e">
        <f>AND(#REF!,"AAAAAGv75zk=")</f>
        <v>#REF!</v>
      </c>
      <c r="BG145" t="e">
        <f>AND(#REF!,"AAAAAGv75zo=")</f>
        <v>#REF!</v>
      </c>
      <c r="BH145" t="e">
        <f>AND(#REF!,"AAAAAGv75zs=")</f>
        <v>#REF!</v>
      </c>
      <c r="BI145" t="e">
        <f>AND(#REF!,"AAAAAGv75zw=")</f>
        <v>#REF!</v>
      </c>
      <c r="BJ145" t="e">
        <f>AND(#REF!,"AAAAAGv75z0=")</f>
        <v>#REF!</v>
      </c>
      <c r="BK145" t="e">
        <f>AND(#REF!,"AAAAAGv75z4=")</f>
        <v>#REF!</v>
      </c>
      <c r="BL145" t="e">
        <f>AND(#REF!,"AAAAAGv75z8=")</f>
        <v>#REF!</v>
      </c>
      <c r="BM145" t="e">
        <f>AND(#REF!,"AAAAAGv750A=")</f>
        <v>#REF!</v>
      </c>
      <c r="BN145" t="e">
        <f>AND(#REF!,"AAAAAGv750E=")</f>
        <v>#REF!</v>
      </c>
      <c r="BO145" t="e">
        <f>AND(#REF!,"AAAAAGv750I=")</f>
        <v>#REF!</v>
      </c>
      <c r="BP145" t="e">
        <f>AND(#REF!,"AAAAAGv750M=")</f>
        <v>#REF!</v>
      </c>
      <c r="BQ145" t="e">
        <f>AND(#REF!,"AAAAAGv750Q=")</f>
        <v>#REF!</v>
      </c>
      <c r="BR145" t="e">
        <f>AND(#REF!,"AAAAAGv750U=")</f>
        <v>#REF!</v>
      </c>
      <c r="BS145" t="e">
        <f>AND(#REF!,"AAAAAGv750Y=")</f>
        <v>#REF!</v>
      </c>
      <c r="BT145" t="e">
        <f>IF(#REF!,"AAAAAGv750c=",0)</f>
        <v>#REF!</v>
      </c>
      <c r="BU145" t="e">
        <f>AND(#REF!,"AAAAAGv750g=")</f>
        <v>#REF!</v>
      </c>
      <c r="BV145" t="e">
        <f>AND(#REF!,"AAAAAGv750k=")</f>
        <v>#REF!</v>
      </c>
      <c r="BW145" t="e">
        <f>AND(#REF!,"AAAAAGv750o=")</f>
        <v>#REF!</v>
      </c>
      <c r="BX145" t="e">
        <f>AND(#REF!,"AAAAAGv750s=")</f>
        <v>#REF!</v>
      </c>
      <c r="BY145" t="e">
        <f>AND(#REF!,"AAAAAGv750w=")</f>
        <v>#REF!</v>
      </c>
      <c r="BZ145" t="e">
        <f>AND(#REF!,"AAAAAGv7500=")</f>
        <v>#REF!</v>
      </c>
      <c r="CA145" t="e">
        <f>AND(#REF!,"AAAAAGv7504=")</f>
        <v>#REF!</v>
      </c>
      <c r="CB145" t="e">
        <f>AND(#REF!,"AAAAAGv7508=")</f>
        <v>#REF!</v>
      </c>
      <c r="CC145" t="e">
        <f>AND(#REF!,"AAAAAGv751A=")</f>
        <v>#REF!</v>
      </c>
      <c r="CD145" t="e">
        <f>AND(#REF!,"AAAAAGv751E=")</f>
        <v>#REF!</v>
      </c>
      <c r="CE145" t="e">
        <f>AND(#REF!,"AAAAAGv751I=")</f>
        <v>#REF!</v>
      </c>
      <c r="CF145" t="e">
        <f>AND(#REF!,"AAAAAGv751M=")</f>
        <v>#REF!</v>
      </c>
      <c r="CG145" t="e">
        <f>AND(#REF!,"AAAAAGv751Q=")</f>
        <v>#REF!</v>
      </c>
      <c r="CH145" t="e">
        <f>AND(#REF!,"AAAAAGv751U=")</f>
        <v>#REF!</v>
      </c>
      <c r="CI145" t="e">
        <f>AND(#REF!,"AAAAAGv751Y=")</f>
        <v>#REF!</v>
      </c>
      <c r="CJ145" t="e">
        <f>AND(#REF!,"AAAAAGv751c=")</f>
        <v>#REF!</v>
      </c>
      <c r="CK145" t="e">
        <f>AND(#REF!,"AAAAAGv751g=")</f>
        <v>#REF!</v>
      </c>
      <c r="CL145" t="e">
        <f>AND(#REF!,"AAAAAGv751k=")</f>
        <v>#REF!</v>
      </c>
      <c r="CM145" t="e">
        <f>AND(#REF!,"AAAAAGv751o=")</f>
        <v>#REF!</v>
      </c>
      <c r="CN145" t="e">
        <f>AND(#REF!,"AAAAAGv751s=")</f>
        <v>#REF!</v>
      </c>
      <c r="CO145" t="e">
        <f>AND(#REF!,"AAAAAGv751w=")</f>
        <v>#REF!</v>
      </c>
      <c r="CP145" t="e">
        <f>AND(#REF!,"AAAAAGv7510=")</f>
        <v>#REF!</v>
      </c>
      <c r="CQ145" t="e">
        <f>AND(#REF!,"AAAAAGv7514=")</f>
        <v>#REF!</v>
      </c>
      <c r="CR145" t="e">
        <f>AND(#REF!,"AAAAAGv7518=")</f>
        <v>#REF!</v>
      </c>
      <c r="CS145" t="e">
        <f>IF(#REF!,"AAAAAGv752A=",0)</f>
        <v>#REF!</v>
      </c>
      <c r="CT145" t="e">
        <f>AND(#REF!,"AAAAAGv752E=")</f>
        <v>#REF!</v>
      </c>
      <c r="CU145" t="e">
        <f>AND(#REF!,"AAAAAGv752I=")</f>
        <v>#REF!</v>
      </c>
      <c r="CV145" t="e">
        <f>AND(#REF!,"AAAAAGv752M=")</f>
        <v>#REF!</v>
      </c>
      <c r="CW145" t="e">
        <f>AND(#REF!,"AAAAAGv752Q=")</f>
        <v>#REF!</v>
      </c>
      <c r="CX145" t="e">
        <f>AND(#REF!,"AAAAAGv752U=")</f>
        <v>#REF!</v>
      </c>
      <c r="CY145" t="e">
        <f>AND(#REF!,"AAAAAGv752Y=")</f>
        <v>#REF!</v>
      </c>
      <c r="CZ145" t="e">
        <f>AND(#REF!,"AAAAAGv752c=")</f>
        <v>#REF!</v>
      </c>
      <c r="DA145" t="e">
        <f>AND(#REF!,"AAAAAGv752g=")</f>
        <v>#REF!</v>
      </c>
      <c r="DB145" t="e">
        <f>AND(#REF!,"AAAAAGv752k=")</f>
        <v>#REF!</v>
      </c>
      <c r="DC145" t="e">
        <f>AND(#REF!,"AAAAAGv752o=")</f>
        <v>#REF!</v>
      </c>
      <c r="DD145" t="e">
        <f>AND(#REF!,"AAAAAGv752s=")</f>
        <v>#REF!</v>
      </c>
      <c r="DE145" t="e">
        <f>AND(#REF!,"AAAAAGv752w=")</f>
        <v>#REF!</v>
      </c>
      <c r="DF145" t="e">
        <f>AND(#REF!,"AAAAAGv7520=")</f>
        <v>#REF!</v>
      </c>
      <c r="DG145" t="e">
        <f>AND(#REF!,"AAAAAGv7524=")</f>
        <v>#REF!</v>
      </c>
      <c r="DH145" t="e">
        <f>AND(#REF!,"AAAAAGv7528=")</f>
        <v>#REF!</v>
      </c>
      <c r="DI145" t="e">
        <f>AND(#REF!,"AAAAAGv753A=")</f>
        <v>#REF!</v>
      </c>
      <c r="DJ145" t="e">
        <f>AND(#REF!,"AAAAAGv753E=")</f>
        <v>#REF!</v>
      </c>
      <c r="DK145" t="e">
        <f>AND(#REF!,"AAAAAGv753I=")</f>
        <v>#REF!</v>
      </c>
      <c r="DL145" t="e">
        <f>AND(#REF!,"AAAAAGv753M=")</f>
        <v>#REF!</v>
      </c>
      <c r="DM145" t="e">
        <f>AND(#REF!,"AAAAAGv753Q=")</f>
        <v>#REF!</v>
      </c>
      <c r="DN145" t="e">
        <f>AND(#REF!,"AAAAAGv753U=")</f>
        <v>#REF!</v>
      </c>
      <c r="DO145" t="e">
        <f>AND(#REF!,"AAAAAGv753Y=")</f>
        <v>#REF!</v>
      </c>
      <c r="DP145" t="e">
        <f>AND(#REF!,"AAAAAGv753c=")</f>
        <v>#REF!</v>
      </c>
      <c r="DQ145" t="e">
        <f>AND(#REF!,"AAAAAGv753g=")</f>
        <v>#REF!</v>
      </c>
      <c r="DR145" t="e">
        <f>IF(#REF!,"AAAAAGv753k=",0)</f>
        <v>#REF!</v>
      </c>
      <c r="DS145" t="e">
        <f>AND(#REF!,"AAAAAGv753o=")</f>
        <v>#REF!</v>
      </c>
      <c r="DT145" t="e">
        <f>AND(#REF!,"AAAAAGv753s=")</f>
        <v>#REF!</v>
      </c>
      <c r="DU145" t="e">
        <f>AND(#REF!,"AAAAAGv753w=")</f>
        <v>#REF!</v>
      </c>
      <c r="DV145" t="e">
        <f>AND(#REF!,"AAAAAGv7530=")</f>
        <v>#REF!</v>
      </c>
      <c r="DW145" t="e">
        <f>AND(#REF!,"AAAAAGv7534=")</f>
        <v>#REF!</v>
      </c>
      <c r="DX145" t="e">
        <f>AND(#REF!,"AAAAAGv7538=")</f>
        <v>#REF!</v>
      </c>
      <c r="DY145" t="e">
        <f>AND(#REF!,"AAAAAGv754A=")</f>
        <v>#REF!</v>
      </c>
      <c r="DZ145" t="e">
        <f>AND(#REF!,"AAAAAGv754E=")</f>
        <v>#REF!</v>
      </c>
      <c r="EA145" t="e">
        <f>AND(#REF!,"AAAAAGv754I=")</f>
        <v>#REF!</v>
      </c>
      <c r="EB145" t="e">
        <f>AND(#REF!,"AAAAAGv754M=")</f>
        <v>#REF!</v>
      </c>
      <c r="EC145" t="e">
        <f>AND(#REF!,"AAAAAGv754Q=")</f>
        <v>#REF!</v>
      </c>
      <c r="ED145" t="e">
        <f>AND(#REF!,"AAAAAGv754U=")</f>
        <v>#REF!</v>
      </c>
      <c r="EE145" t="e">
        <f>AND(#REF!,"AAAAAGv754Y=")</f>
        <v>#REF!</v>
      </c>
      <c r="EF145" t="e">
        <f>AND(#REF!,"AAAAAGv754c=")</f>
        <v>#REF!</v>
      </c>
      <c r="EG145" t="e">
        <f>AND(#REF!,"AAAAAGv754g=")</f>
        <v>#REF!</v>
      </c>
      <c r="EH145" t="e">
        <f>AND(#REF!,"AAAAAGv754k=")</f>
        <v>#REF!</v>
      </c>
      <c r="EI145" t="e">
        <f>AND(#REF!,"AAAAAGv754o=")</f>
        <v>#REF!</v>
      </c>
      <c r="EJ145" t="e">
        <f>AND(#REF!,"AAAAAGv754s=")</f>
        <v>#REF!</v>
      </c>
      <c r="EK145" t="e">
        <f>AND(#REF!,"AAAAAGv754w=")</f>
        <v>#REF!</v>
      </c>
      <c r="EL145" t="e">
        <f>AND(#REF!,"AAAAAGv7540=")</f>
        <v>#REF!</v>
      </c>
      <c r="EM145" t="e">
        <f>AND(#REF!,"AAAAAGv7544=")</f>
        <v>#REF!</v>
      </c>
      <c r="EN145" t="e">
        <f>AND(#REF!,"AAAAAGv7548=")</f>
        <v>#REF!</v>
      </c>
      <c r="EO145" t="e">
        <f>AND(#REF!,"AAAAAGv755A=")</f>
        <v>#REF!</v>
      </c>
      <c r="EP145" t="e">
        <f>AND(#REF!,"AAAAAGv755E=")</f>
        <v>#REF!</v>
      </c>
      <c r="EQ145" t="e">
        <f>IF(#REF!,"AAAAAGv755I=",0)</f>
        <v>#REF!</v>
      </c>
      <c r="ER145" t="e">
        <f>AND(#REF!,"AAAAAGv755M=")</f>
        <v>#REF!</v>
      </c>
      <c r="ES145" t="e">
        <f>AND(#REF!,"AAAAAGv755Q=")</f>
        <v>#REF!</v>
      </c>
      <c r="ET145" t="e">
        <f>AND(#REF!,"AAAAAGv755U=")</f>
        <v>#REF!</v>
      </c>
      <c r="EU145" t="e">
        <f>AND(#REF!,"AAAAAGv755Y=")</f>
        <v>#REF!</v>
      </c>
      <c r="EV145" t="e">
        <f>AND(#REF!,"AAAAAGv755c=")</f>
        <v>#REF!</v>
      </c>
      <c r="EW145" t="e">
        <f>AND(#REF!,"AAAAAGv755g=")</f>
        <v>#REF!</v>
      </c>
      <c r="EX145" t="e">
        <f>AND(#REF!,"AAAAAGv755k=")</f>
        <v>#REF!</v>
      </c>
      <c r="EY145" t="e">
        <f>AND(#REF!,"AAAAAGv755o=")</f>
        <v>#REF!</v>
      </c>
      <c r="EZ145" t="e">
        <f>AND(#REF!,"AAAAAGv755s=")</f>
        <v>#REF!</v>
      </c>
      <c r="FA145" t="e">
        <f>AND(#REF!,"AAAAAGv755w=")</f>
        <v>#REF!</v>
      </c>
      <c r="FB145" t="e">
        <f>AND(#REF!,"AAAAAGv7550=")</f>
        <v>#REF!</v>
      </c>
      <c r="FC145" t="e">
        <f>AND(#REF!,"AAAAAGv7554=")</f>
        <v>#REF!</v>
      </c>
      <c r="FD145" t="e">
        <f>AND(#REF!,"AAAAAGv7558=")</f>
        <v>#REF!</v>
      </c>
      <c r="FE145" t="e">
        <f>AND(#REF!,"AAAAAGv756A=")</f>
        <v>#REF!</v>
      </c>
      <c r="FF145" t="e">
        <f>AND(#REF!,"AAAAAGv756E=")</f>
        <v>#REF!</v>
      </c>
      <c r="FG145" t="e">
        <f>AND(#REF!,"AAAAAGv756I=")</f>
        <v>#REF!</v>
      </c>
      <c r="FH145" t="e">
        <f>AND(#REF!,"AAAAAGv756M=")</f>
        <v>#REF!</v>
      </c>
      <c r="FI145" t="e">
        <f>AND(#REF!,"AAAAAGv756Q=")</f>
        <v>#REF!</v>
      </c>
      <c r="FJ145" t="e">
        <f>AND(#REF!,"AAAAAGv756U=")</f>
        <v>#REF!</v>
      </c>
      <c r="FK145" t="e">
        <f>AND(#REF!,"AAAAAGv756Y=")</f>
        <v>#REF!</v>
      </c>
      <c r="FL145" t="e">
        <f>AND(#REF!,"AAAAAGv756c=")</f>
        <v>#REF!</v>
      </c>
      <c r="FM145" t="e">
        <f>AND(#REF!,"AAAAAGv756g=")</f>
        <v>#REF!</v>
      </c>
      <c r="FN145" t="e">
        <f>AND(#REF!,"AAAAAGv756k=")</f>
        <v>#REF!</v>
      </c>
      <c r="FO145" t="e">
        <f>AND(#REF!,"AAAAAGv756o=")</f>
        <v>#REF!</v>
      </c>
      <c r="FP145" t="e">
        <f>IF(#REF!,"AAAAAGv756s=",0)</f>
        <v>#REF!</v>
      </c>
      <c r="FQ145" t="e">
        <f>AND(#REF!,"AAAAAGv756w=")</f>
        <v>#REF!</v>
      </c>
      <c r="FR145" t="e">
        <f>AND(#REF!,"AAAAAGv7560=")</f>
        <v>#REF!</v>
      </c>
      <c r="FS145" t="e">
        <f>AND(#REF!,"AAAAAGv7564=")</f>
        <v>#REF!</v>
      </c>
      <c r="FT145" t="e">
        <f>AND(#REF!,"AAAAAGv7568=")</f>
        <v>#REF!</v>
      </c>
      <c r="FU145" t="e">
        <f>AND(#REF!,"AAAAAGv757A=")</f>
        <v>#REF!</v>
      </c>
      <c r="FV145" t="e">
        <f>AND(#REF!,"AAAAAGv757E=")</f>
        <v>#REF!</v>
      </c>
      <c r="FW145" t="e">
        <f>AND(#REF!,"AAAAAGv757I=")</f>
        <v>#REF!</v>
      </c>
      <c r="FX145" t="e">
        <f>AND(#REF!,"AAAAAGv757M=")</f>
        <v>#REF!</v>
      </c>
      <c r="FY145" t="e">
        <f>AND(#REF!,"AAAAAGv757Q=")</f>
        <v>#REF!</v>
      </c>
      <c r="FZ145" t="e">
        <f>AND(#REF!,"AAAAAGv757U=")</f>
        <v>#REF!</v>
      </c>
      <c r="GA145" t="e">
        <f>AND(#REF!,"AAAAAGv757Y=")</f>
        <v>#REF!</v>
      </c>
      <c r="GB145" t="e">
        <f>AND(#REF!,"AAAAAGv757c=")</f>
        <v>#REF!</v>
      </c>
      <c r="GC145" t="e">
        <f>AND(#REF!,"AAAAAGv757g=")</f>
        <v>#REF!</v>
      </c>
      <c r="GD145" t="e">
        <f>AND(#REF!,"AAAAAGv757k=")</f>
        <v>#REF!</v>
      </c>
      <c r="GE145" t="e">
        <f>AND(#REF!,"AAAAAGv757o=")</f>
        <v>#REF!</v>
      </c>
      <c r="GF145" t="e">
        <f>AND(#REF!,"AAAAAGv757s=")</f>
        <v>#REF!</v>
      </c>
      <c r="GG145" t="e">
        <f>AND(#REF!,"AAAAAGv757w=")</f>
        <v>#REF!</v>
      </c>
      <c r="GH145" t="e">
        <f>AND(#REF!,"AAAAAGv7570=")</f>
        <v>#REF!</v>
      </c>
      <c r="GI145" t="e">
        <f>AND(#REF!,"AAAAAGv7574=")</f>
        <v>#REF!</v>
      </c>
      <c r="GJ145" t="e">
        <f>AND(#REF!,"AAAAAGv7578=")</f>
        <v>#REF!</v>
      </c>
      <c r="GK145" t="e">
        <f>AND(#REF!,"AAAAAGv758A=")</f>
        <v>#REF!</v>
      </c>
      <c r="GL145" t="e">
        <f>AND(#REF!,"AAAAAGv758E=")</f>
        <v>#REF!</v>
      </c>
      <c r="GM145" t="e">
        <f>AND(#REF!,"AAAAAGv758I=")</f>
        <v>#REF!</v>
      </c>
      <c r="GN145" t="e">
        <f>AND(#REF!,"AAAAAGv758M=")</f>
        <v>#REF!</v>
      </c>
      <c r="GO145" t="e">
        <f>IF(#REF!,"AAAAAGv758Q=",0)</f>
        <v>#REF!</v>
      </c>
      <c r="GP145" t="e">
        <f>AND(#REF!,"AAAAAGv758U=")</f>
        <v>#REF!</v>
      </c>
      <c r="GQ145" t="e">
        <f>AND(#REF!,"AAAAAGv758Y=")</f>
        <v>#REF!</v>
      </c>
      <c r="GR145" t="e">
        <f>AND(#REF!,"AAAAAGv758c=")</f>
        <v>#REF!</v>
      </c>
      <c r="GS145" t="e">
        <f>AND(#REF!,"AAAAAGv758g=")</f>
        <v>#REF!</v>
      </c>
      <c r="GT145" t="e">
        <f>AND(#REF!,"AAAAAGv758k=")</f>
        <v>#REF!</v>
      </c>
      <c r="GU145" t="e">
        <f>AND(#REF!,"AAAAAGv758o=")</f>
        <v>#REF!</v>
      </c>
      <c r="GV145" t="e">
        <f>AND(#REF!,"AAAAAGv758s=")</f>
        <v>#REF!</v>
      </c>
      <c r="GW145" t="e">
        <f>AND(#REF!,"AAAAAGv758w=")</f>
        <v>#REF!</v>
      </c>
      <c r="GX145" t="e">
        <f>AND(#REF!,"AAAAAGv7580=")</f>
        <v>#REF!</v>
      </c>
      <c r="GY145" t="e">
        <f>AND(#REF!,"AAAAAGv7584=")</f>
        <v>#REF!</v>
      </c>
      <c r="GZ145" t="e">
        <f>AND(#REF!,"AAAAAGv7588=")</f>
        <v>#REF!</v>
      </c>
      <c r="HA145" t="e">
        <f>AND(#REF!,"AAAAAGv759A=")</f>
        <v>#REF!</v>
      </c>
      <c r="HB145" t="e">
        <f>AND(#REF!,"AAAAAGv759E=")</f>
        <v>#REF!</v>
      </c>
      <c r="HC145" t="e">
        <f>AND(#REF!,"AAAAAGv759I=")</f>
        <v>#REF!</v>
      </c>
      <c r="HD145" t="e">
        <f>AND(#REF!,"AAAAAGv759M=")</f>
        <v>#REF!</v>
      </c>
      <c r="HE145" t="e">
        <f>AND(#REF!,"AAAAAGv759Q=")</f>
        <v>#REF!</v>
      </c>
      <c r="HF145" t="e">
        <f>AND(#REF!,"AAAAAGv759U=")</f>
        <v>#REF!</v>
      </c>
      <c r="HG145" t="e">
        <f>AND(#REF!,"AAAAAGv759Y=")</f>
        <v>#REF!</v>
      </c>
      <c r="HH145" t="e">
        <f>AND(#REF!,"AAAAAGv759c=")</f>
        <v>#REF!</v>
      </c>
      <c r="HI145" t="e">
        <f>AND(#REF!,"AAAAAGv759g=")</f>
        <v>#REF!</v>
      </c>
      <c r="HJ145" t="e">
        <f>AND(#REF!,"AAAAAGv759k=")</f>
        <v>#REF!</v>
      </c>
      <c r="HK145" t="e">
        <f>AND(#REF!,"AAAAAGv759o=")</f>
        <v>#REF!</v>
      </c>
      <c r="HL145" t="e">
        <f>AND(#REF!,"AAAAAGv759s=")</f>
        <v>#REF!</v>
      </c>
      <c r="HM145" t="e">
        <f>AND(#REF!,"AAAAAGv759w=")</f>
        <v>#REF!</v>
      </c>
      <c r="HN145" t="e">
        <f>IF(#REF!,"AAAAAGv7590=",0)</f>
        <v>#REF!</v>
      </c>
      <c r="HO145" t="e">
        <f>AND(#REF!,"AAAAAGv7594=")</f>
        <v>#REF!</v>
      </c>
      <c r="HP145" t="e">
        <f>AND(#REF!,"AAAAAGv7598=")</f>
        <v>#REF!</v>
      </c>
      <c r="HQ145" t="e">
        <f>AND(#REF!,"AAAAAGv75+A=")</f>
        <v>#REF!</v>
      </c>
      <c r="HR145" t="e">
        <f>AND(#REF!,"AAAAAGv75+E=")</f>
        <v>#REF!</v>
      </c>
      <c r="HS145" t="e">
        <f>AND(#REF!,"AAAAAGv75+I=")</f>
        <v>#REF!</v>
      </c>
      <c r="HT145" t="e">
        <f>AND(#REF!,"AAAAAGv75+M=")</f>
        <v>#REF!</v>
      </c>
      <c r="HU145" t="e">
        <f>AND(#REF!,"AAAAAGv75+Q=")</f>
        <v>#REF!</v>
      </c>
      <c r="HV145" t="e">
        <f>AND(#REF!,"AAAAAGv75+U=")</f>
        <v>#REF!</v>
      </c>
      <c r="HW145" t="e">
        <f>AND(#REF!,"AAAAAGv75+Y=")</f>
        <v>#REF!</v>
      </c>
      <c r="HX145" t="e">
        <f>AND(#REF!,"AAAAAGv75+c=")</f>
        <v>#REF!</v>
      </c>
      <c r="HY145" t="e">
        <f>AND(#REF!,"AAAAAGv75+g=")</f>
        <v>#REF!</v>
      </c>
      <c r="HZ145" t="e">
        <f>AND(#REF!,"AAAAAGv75+k=")</f>
        <v>#REF!</v>
      </c>
      <c r="IA145" t="e">
        <f>AND(#REF!,"AAAAAGv75+o=")</f>
        <v>#REF!</v>
      </c>
      <c r="IB145" t="e">
        <f>AND(#REF!,"AAAAAGv75+s=")</f>
        <v>#REF!</v>
      </c>
      <c r="IC145" t="e">
        <f>AND(#REF!,"AAAAAGv75+w=")</f>
        <v>#REF!</v>
      </c>
      <c r="ID145" t="e">
        <f>AND(#REF!,"AAAAAGv75+0=")</f>
        <v>#REF!</v>
      </c>
      <c r="IE145" t="e">
        <f>AND(#REF!,"AAAAAGv75+4=")</f>
        <v>#REF!</v>
      </c>
      <c r="IF145" t="e">
        <f>AND(#REF!,"AAAAAGv75+8=")</f>
        <v>#REF!</v>
      </c>
      <c r="IG145" t="e">
        <f>AND(#REF!,"AAAAAGv75/A=")</f>
        <v>#REF!</v>
      </c>
      <c r="IH145" t="e">
        <f>AND(#REF!,"AAAAAGv75/E=")</f>
        <v>#REF!</v>
      </c>
      <c r="II145" t="e">
        <f>AND(#REF!,"AAAAAGv75/I=")</f>
        <v>#REF!</v>
      </c>
      <c r="IJ145" t="e">
        <f>AND(#REF!,"AAAAAGv75/M=")</f>
        <v>#REF!</v>
      </c>
      <c r="IK145" t="e">
        <f>AND(#REF!,"AAAAAGv75/Q=")</f>
        <v>#REF!</v>
      </c>
      <c r="IL145" t="e">
        <f>AND(#REF!,"AAAAAGv75/U=")</f>
        <v>#REF!</v>
      </c>
      <c r="IM145" t="e">
        <f>IF(#REF!,"AAAAAGv75/Y=",0)</f>
        <v>#REF!</v>
      </c>
      <c r="IN145" t="e">
        <f>AND(#REF!,"AAAAAGv75/c=")</f>
        <v>#REF!</v>
      </c>
      <c r="IO145" t="e">
        <f>AND(#REF!,"AAAAAGv75/g=")</f>
        <v>#REF!</v>
      </c>
      <c r="IP145" t="e">
        <f>AND(#REF!,"AAAAAGv75/k=")</f>
        <v>#REF!</v>
      </c>
      <c r="IQ145" t="e">
        <f>AND(#REF!,"AAAAAGv75/o=")</f>
        <v>#REF!</v>
      </c>
      <c r="IR145" t="e">
        <f>AND(#REF!,"AAAAAGv75/s=")</f>
        <v>#REF!</v>
      </c>
      <c r="IS145" t="e">
        <f>AND(#REF!,"AAAAAGv75/w=")</f>
        <v>#REF!</v>
      </c>
      <c r="IT145" t="e">
        <f>AND(#REF!,"AAAAAGv75/0=")</f>
        <v>#REF!</v>
      </c>
      <c r="IU145" t="e">
        <f>AND(#REF!,"AAAAAGv75/4=")</f>
        <v>#REF!</v>
      </c>
      <c r="IV145" t="e">
        <f>AND(#REF!,"AAAAAGv75/8=")</f>
        <v>#REF!</v>
      </c>
    </row>
    <row r="146" spans="1:256">
      <c r="A146" t="e">
        <f>AND(#REF!,"AAAAAF993wA=")</f>
        <v>#REF!</v>
      </c>
      <c r="B146" t="e">
        <f>AND(#REF!,"AAAAAF993wE=")</f>
        <v>#REF!</v>
      </c>
      <c r="C146" t="e">
        <f>AND(#REF!,"AAAAAF993wI=")</f>
        <v>#REF!</v>
      </c>
      <c r="D146" t="e">
        <f>AND(#REF!,"AAAAAF993wM=")</f>
        <v>#REF!</v>
      </c>
      <c r="E146" t="e">
        <f>AND(#REF!,"AAAAAF993wQ=")</f>
        <v>#REF!</v>
      </c>
      <c r="F146" t="e">
        <f>AND(#REF!,"AAAAAF993wU=")</f>
        <v>#REF!</v>
      </c>
      <c r="G146" t="e">
        <f>AND(#REF!,"AAAAAF993wY=")</f>
        <v>#REF!</v>
      </c>
      <c r="H146" t="e">
        <f>AND(#REF!,"AAAAAF993wc=")</f>
        <v>#REF!</v>
      </c>
      <c r="I146" t="e">
        <f>AND(#REF!,"AAAAAF993wg=")</f>
        <v>#REF!</v>
      </c>
      <c r="J146" t="e">
        <f>AND(#REF!,"AAAAAF993wk=")</f>
        <v>#REF!</v>
      </c>
      <c r="K146" t="e">
        <f>AND(#REF!,"AAAAAF993wo=")</f>
        <v>#REF!</v>
      </c>
      <c r="L146" t="e">
        <f>AND(#REF!,"AAAAAF993ws=")</f>
        <v>#REF!</v>
      </c>
      <c r="M146" t="e">
        <f>AND(#REF!,"AAAAAF993ww=")</f>
        <v>#REF!</v>
      </c>
      <c r="N146" t="e">
        <f>AND(#REF!,"AAAAAF993w0=")</f>
        <v>#REF!</v>
      </c>
      <c r="O146" t="e">
        <f>AND(#REF!,"AAAAAF993w4=")</f>
        <v>#REF!</v>
      </c>
      <c r="P146" t="e">
        <f>IF(#REF!,"AAAAAF993w8=",0)</f>
        <v>#REF!</v>
      </c>
      <c r="Q146" t="e">
        <f>AND(#REF!,"AAAAAF993xA=")</f>
        <v>#REF!</v>
      </c>
      <c r="R146" t="e">
        <f>AND(#REF!,"AAAAAF993xE=")</f>
        <v>#REF!</v>
      </c>
      <c r="S146" t="e">
        <f>AND(#REF!,"AAAAAF993xI=")</f>
        <v>#REF!</v>
      </c>
      <c r="T146" t="e">
        <f>AND(#REF!,"AAAAAF993xM=")</f>
        <v>#REF!</v>
      </c>
      <c r="U146" t="e">
        <f>AND(#REF!,"AAAAAF993xQ=")</f>
        <v>#REF!</v>
      </c>
      <c r="V146" t="e">
        <f>AND(#REF!,"AAAAAF993xU=")</f>
        <v>#REF!</v>
      </c>
      <c r="W146" t="e">
        <f>AND(#REF!,"AAAAAF993xY=")</f>
        <v>#REF!</v>
      </c>
      <c r="X146" t="e">
        <f>AND(#REF!,"AAAAAF993xc=")</f>
        <v>#REF!</v>
      </c>
      <c r="Y146" t="e">
        <f>AND(#REF!,"AAAAAF993xg=")</f>
        <v>#REF!</v>
      </c>
      <c r="Z146" t="e">
        <f>AND(#REF!,"AAAAAF993xk=")</f>
        <v>#REF!</v>
      </c>
      <c r="AA146" t="e">
        <f>AND(#REF!,"AAAAAF993xo=")</f>
        <v>#REF!</v>
      </c>
      <c r="AB146" t="e">
        <f>AND(#REF!,"AAAAAF993xs=")</f>
        <v>#REF!</v>
      </c>
      <c r="AC146" t="e">
        <f>AND(#REF!,"AAAAAF993xw=")</f>
        <v>#REF!</v>
      </c>
      <c r="AD146" t="e">
        <f>AND(#REF!,"AAAAAF993x0=")</f>
        <v>#REF!</v>
      </c>
      <c r="AE146" t="e">
        <f>AND(#REF!,"AAAAAF993x4=")</f>
        <v>#REF!</v>
      </c>
      <c r="AF146" t="e">
        <f>AND(#REF!,"AAAAAF993x8=")</f>
        <v>#REF!</v>
      </c>
      <c r="AG146" t="e">
        <f>AND(#REF!,"AAAAAF993yA=")</f>
        <v>#REF!</v>
      </c>
      <c r="AH146" t="e">
        <f>AND(#REF!,"AAAAAF993yE=")</f>
        <v>#REF!</v>
      </c>
      <c r="AI146" t="e">
        <f>AND(#REF!,"AAAAAF993yI=")</f>
        <v>#REF!</v>
      </c>
      <c r="AJ146" t="e">
        <f>AND(#REF!,"AAAAAF993yM=")</f>
        <v>#REF!</v>
      </c>
      <c r="AK146" t="e">
        <f>AND(#REF!,"AAAAAF993yQ=")</f>
        <v>#REF!</v>
      </c>
      <c r="AL146" t="e">
        <f>AND(#REF!,"AAAAAF993yU=")</f>
        <v>#REF!</v>
      </c>
      <c r="AM146" t="e">
        <f>AND(#REF!,"AAAAAF993yY=")</f>
        <v>#REF!</v>
      </c>
      <c r="AN146" t="e">
        <f>AND(#REF!,"AAAAAF993yc=")</f>
        <v>#REF!</v>
      </c>
      <c r="AO146" t="e">
        <f>IF(#REF!,"AAAAAF993yg=",0)</f>
        <v>#REF!</v>
      </c>
      <c r="AP146" t="e">
        <f>AND(#REF!,"AAAAAF993yk=")</f>
        <v>#REF!</v>
      </c>
      <c r="AQ146" t="e">
        <f>AND(#REF!,"AAAAAF993yo=")</f>
        <v>#REF!</v>
      </c>
      <c r="AR146" t="e">
        <f>AND(#REF!,"AAAAAF993ys=")</f>
        <v>#REF!</v>
      </c>
      <c r="AS146" t="e">
        <f>AND(#REF!,"AAAAAF993yw=")</f>
        <v>#REF!</v>
      </c>
      <c r="AT146" t="e">
        <f>AND(#REF!,"AAAAAF993y0=")</f>
        <v>#REF!</v>
      </c>
      <c r="AU146" t="e">
        <f>AND(#REF!,"AAAAAF993y4=")</f>
        <v>#REF!</v>
      </c>
      <c r="AV146" t="e">
        <f>AND(#REF!,"AAAAAF993y8=")</f>
        <v>#REF!</v>
      </c>
      <c r="AW146" t="e">
        <f>AND(#REF!,"AAAAAF993zA=")</f>
        <v>#REF!</v>
      </c>
      <c r="AX146" t="e">
        <f>AND(#REF!,"AAAAAF993zE=")</f>
        <v>#REF!</v>
      </c>
      <c r="AY146" t="e">
        <f>AND(#REF!,"AAAAAF993zI=")</f>
        <v>#REF!</v>
      </c>
      <c r="AZ146" t="e">
        <f>AND(#REF!,"AAAAAF993zM=")</f>
        <v>#REF!</v>
      </c>
      <c r="BA146" t="e">
        <f>AND(#REF!,"AAAAAF993zQ=")</f>
        <v>#REF!</v>
      </c>
      <c r="BB146" t="e">
        <f>AND(#REF!,"AAAAAF993zU=")</f>
        <v>#REF!</v>
      </c>
      <c r="BC146" t="e">
        <f>AND(#REF!,"AAAAAF993zY=")</f>
        <v>#REF!</v>
      </c>
      <c r="BD146" t="e">
        <f>AND(#REF!,"AAAAAF993zc=")</f>
        <v>#REF!</v>
      </c>
      <c r="BE146" t="e">
        <f>AND(#REF!,"AAAAAF993zg=")</f>
        <v>#REF!</v>
      </c>
      <c r="BF146" t="e">
        <f>AND(#REF!,"AAAAAF993zk=")</f>
        <v>#REF!</v>
      </c>
      <c r="BG146" t="e">
        <f>AND(#REF!,"AAAAAF993zo=")</f>
        <v>#REF!</v>
      </c>
      <c r="BH146" t="e">
        <f>AND(#REF!,"AAAAAF993zs=")</f>
        <v>#REF!</v>
      </c>
      <c r="BI146" t="e">
        <f>AND(#REF!,"AAAAAF993zw=")</f>
        <v>#REF!</v>
      </c>
      <c r="BJ146" t="e">
        <f>AND(#REF!,"AAAAAF993z0=")</f>
        <v>#REF!</v>
      </c>
      <c r="BK146" t="e">
        <f>AND(#REF!,"AAAAAF993z4=")</f>
        <v>#REF!</v>
      </c>
      <c r="BL146" t="e">
        <f>AND(#REF!,"AAAAAF993z8=")</f>
        <v>#REF!</v>
      </c>
      <c r="BM146" t="e">
        <f>AND(#REF!,"AAAAAF9930A=")</f>
        <v>#REF!</v>
      </c>
      <c r="BN146" t="e">
        <f>IF(#REF!,"AAAAAF9930E=",0)</f>
        <v>#REF!</v>
      </c>
      <c r="BO146" t="e">
        <f>AND(#REF!,"AAAAAF9930I=")</f>
        <v>#REF!</v>
      </c>
      <c r="BP146" t="e">
        <f>AND(#REF!,"AAAAAF9930M=")</f>
        <v>#REF!</v>
      </c>
      <c r="BQ146" t="e">
        <f>AND(#REF!,"AAAAAF9930Q=")</f>
        <v>#REF!</v>
      </c>
      <c r="BR146" t="e">
        <f>AND(#REF!,"AAAAAF9930U=")</f>
        <v>#REF!</v>
      </c>
      <c r="BS146" t="e">
        <f>AND(#REF!,"AAAAAF9930Y=")</f>
        <v>#REF!</v>
      </c>
      <c r="BT146" t="e">
        <f>AND(#REF!,"AAAAAF9930c=")</f>
        <v>#REF!</v>
      </c>
      <c r="BU146" t="e">
        <f>AND(#REF!,"AAAAAF9930g=")</f>
        <v>#REF!</v>
      </c>
      <c r="BV146" t="e">
        <f>AND(#REF!,"AAAAAF9930k=")</f>
        <v>#REF!</v>
      </c>
      <c r="BW146" t="e">
        <f>AND(#REF!,"AAAAAF9930o=")</f>
        <v>#REF!</v>
      </c>
      <c r="BX146" t="e">
        <f>AND(#REF!,"AAAAAF9930s=")</f>
        <v>#REF!</v>
      </c>
      <c r="BY146" t="e">
        <f>AND(#REF!,"AAAAAF9930w=")</f>
        <v>#REF!</v>
      </c>
      <c r="BZ146" t="e">
        <f>AND(#REF!,"AAAAAF99300=")</f>
        <v>#REF!</v>
      </c>
      <c r="CA146" t="e">
        <f>AND(#REF!,"AAAAAF99304=")</f>
        <v>#REF!</v>
      </c>
      <c r="CB146" t="e">
        <f>AND(#REF!,"AAAAAF99308=")</f>
        <v>#REF!</v>
      </c>
      <c r="CC146" t="e">
        <f>AND(#REF!,"AAAAAF9931A=")</f>
        <v>#REF!</v>
      </c>
      <c r="CD146" t="e">
        <f>AND(#REF!,"AAAAAF9931E=")</f>
        <v>#REF!</v>
      </c>
      <c r="CE146" t="e">
        <f>AND(#REF!,"AAAAAF9931I=")</f>
        <v>#REF!</v>
      </c>
      <c r="CF146" t="e">
        <f>AND(#REF!,"AAAAAF9931M=")</f>
        <v>#REF!</v>
      </c>
      <c r="CG146" t="e">
        <f>AND(#REF!,"AAAAAF9931Q=")</f>
        <v>#REF!</v>
      </c>
      <c r="CH146" t="e">
        <f>AND(#REF!,"AAAAAF9931U=")</f>
        <v>#REF!</v>
      </c>
      <c r="CI146" t="e">
        <f>AND(#REF!,"AAAAAF9931Y=")</f>
        <v>#REF!</v>
      </c>
      <c r="CJ146" t="e">
        <f>AND(#REF!,"AAAAAF9931c=")</f>
        <v>#REF!</v>
      </c>
      <c r="CK146" t="e">
        <f>AND(#REF!,"AAAAAF9931g=")</f>
        <v>#REF!</v>
      </c>
      <c r="CL146" t="e">
        <f>AND(#REF!,"AAAAAF9931k=")</f>
        <v>#REF!</v>
      </c>
      <c r="CM146" t="e">
        <f>IF(#REF!,"AAAAAF9931o=",0)</f>
        <v>#REF!</v>
      </c>
      <c r="CN146" t="e">
        <f>AND(#REF!,"AAAAAF9931s=")</f>
        <v>#REF!</v>
      </c>
      <c r="CO146" t="e">
        <f>AND(#REF!,"AAAAAF9931w=")</f>
        <v>#REF!</v>
      </c>
      <c r="CP146" t="e">
        <f>AND(#REF!,"AAAAAF99310=")</f>
        <v>#REF!</v>
      </c>
      <c r="CQ146" t="e">
        <f>AND(#REF!,"AAAAAF99314=")</f>
        <v>#REF!</v>
      </c>
      <c r="CR146" t="e">
        <f>AND(#REF!,"AAAAAF99318=")</f>
        <v>#REF!</v>
      </c>
      <c r="CS146" t="e">
        <f>AND(#REF!,"AAAAAF9932A=")</f>
        <v>#REF!</v>
      </c>
      <c r="CT146" t="e">
        <f>AND(#REF!,"AAAAAF9932E=")</f>
        <v>#REF!</v>
      </c>
      <c r="CU146" t="e">
        <f>AND(#REF!,"AAAAAF9932I=")</f>
        <v>#REF!</v>
      </c>
      <c r="CV146" t="e">
        <f>AND(#REF!,"AAAAAF9932M=")</f>
        <v>#REF!</v>
      </c>
      <c r="CW146" t="e">
        <f>AND(#REF!,"AAAAAF9932Q=")</f>
        <v>#REF!</v>
      </c>
      <c r="CX146" t="e">
        <f>AND(#REF!,"AAAAAF9932U=")</f>
        <v>#REF!</v>
      </c>
      <c r="CY146" t="e">
        <f>AND(#REF!,"AAAAAF9932Y=")</f>
        <v>#REF!</v>
      </c>
      <c r="CZ146" t="e">
        <f>AND(#REF!,"AAAAAF9932c=")</f>
        <v>#REF!</v>
      </c>
      <c r="DA146" t="e">
        <f>AND(#REF!,"AAAAAF9932g=")</f>
        <v>#REF!</v>
      </c>
      <c r="DB146" t="e">
        <f>AND(#REF!,"AAAAAF9932k=")</f>
        <v>#REF!</v>
      </c>
      <c r="DC146" t="e">
        <f>AND(#REF!,"AAAAAF9932o=")</f>
        <v>#REF!</v>
      </c>
      <c r="DD146" t="e">
        <f>AND(#REF!,"AAAAAF9932s=")</f>
        <v>#REF!</v>
      </c>
      <c r="DE146" t="e">
        <f>AND(#REF!,"AAAAAF9932w=")</f>
        <v>#REF!</v>
      </c>
      <c r="DF146" t="e">
        <f>AND(#REF!,"AAAAAF99320=")</f>
        <v>#REF!</v>
      </c>
      <c r="DG146" t="e">
        <f>AND(#REF!,"AAAAAF99324=")</f>
        <v>#REF!</v>
      </c>
      <c r="DH146" t="e">
        <f>AND(#REF!,"AAAAAF99328=")</f>
        <v>#REF!</v>
      </c>
      <c r="DI146" t="e">
        <f>AND(#REF!,"AAAAAF9933A=")</f>
        <v>#REF!</v>
      </c>
      <c r="DJ146" t="e">
        <f>AND(#REF!,"AAAAAF9933E=")</f>
        <v>#REF!</v>
      </c>
      <c r="DK146" t="e">
        <f>AND(#REF!,"AAAAAF9933I=")</f>
        <v>#REF!</v>
      </c>
      <c r="DL146" t="e">
        <f>IF(#REF!,"AAAAAF9933M=",0)</f>
        <v>#REF!</v>
      </c>
      <c r="DM146" t="e">
        <f>AND(#REF!,"AAAAAF9933Q=")</f>
        <v>#REF!</v>
      </c>
      <c r="DN146" t="e">
        <f>AND(#REF!,"AAAAAF9933U=")</f>
        <v>#REF!</v>
      </c>
      <c r="DO146" t="e">
        <f>AND(#REF!,"AAAAAF9933Y=")</f>
        <v>#REF!</v>
      </c>
      <c r="DP146" t="e">
        <f>AND(#REF!,"AAAAAF9933c=")</f>
        <v>#REF!</v>
      </c>
      <c r="DQ146" t="e">
        <f>AND(#REF!,"AAAAAF9933g=")</f>
        <v>#REF!</v>
      </c>
      <c r="DR146" t="e">
        <f>AND(#REF!,"AAAAAF9933k=")</f>
        <v>#REF!</v>
      </c>
      <c r="DS146" t="e">
        <f>AND(#REF!,"AAAAAF9933o=")</f>
        <v>#REF!</v>
      </c>
      <c r="DT146" t="e">
        <f>AND(#REF!,"AAAAAF9933s=")</f>
        <v>#REF!</v>
      </c>
      <c r="DU146" t="e">
        <f>AND(#REF!,"AAAAAF9933w=")</f>
        <v>#REF!</v>
      </c>
      <c r="DV146" t="e">
        <f>AND(#REF!,"AAAAAF99330=")</f>
        <v>#REF!</v>
      </c>
      <c r="DW146" t="e">
        <f>AND(#REF!,"AAAAAF99334=")</f>
        <v>#REF!</v>
      </c>
      <c r="DX146" t="e">
        <f>AND(#REF!,"AAAAAF99338=")</f>
        <v>#REF!</v>
      </c>
      <c r="DY146" t="e">
        <f>AND(#REF!,"AAAAAF9934A=")</f>
        <v>#REF!</v>
      </c>
      <c r="DZ146" t="e">
        <f>AND(#REF!,"AAAAAF9934E=")</f>
        <v>#REF!</v>
      </c>
      <c r="EA146" t="e">
        <f>AND(#REF!,"AAAAAF9934I=")</f>
        <v>#REF!</v>
      </c>
      <c r="EB146" t="e">
        <f>AND(#REF!,"AAAAAF9934M=")</f>
        <v>#REF!</v>
      </c>
      <c r="EC146" t="e">
        <f>AND(#REF!,"AAAAAF9934Q=")</f>
        <v>#REF!</v>
      </c>
      <c r="ED146" t="e">
        <f>AND(#REF!,"AAAAAF9934U=")</f>
        <v>#REF!</v>
      </c>
      <c r="EE146" t="e">
        <f>AND(#REF!,"AAAAAF9934Y=")</f>
        <v>#REF!</v>
      </c>
      <c r="EF146" t="e">
        <f>AND(#REF!,"AAAAAF9934c=")</f>
        <v>#REF!</v>
      </c>
      <c r="EG146" t="e">
        <f>AND(#REF!,"AAAAAF9934g=")</f>
        <v>#REF!</v>
      </c>
      <c r="EH146" t="e">
        <f>AND(#REF!,"AAAAAF9934k=")</f>
        <v>#REF!</v>
      </c>
      <c r="EI146" t="e">
        <f>AND(#REF!,"AAAAAF9934o=")</f>
        <v>#REF!</v>
      </c>
      <c r="EJ146" t="e">
        <f>AND(#REF!,"AAAAAF9934s=")</f>
        <v>#REF!</v>
      </c>
      <c r="EK146" t="e">
        <f>IF(#REF!,"AAAAAF9934w=",0)</f>
        <v>#REF!</v>
      </c>
      <c r="EL146" t="e">
        <f>AND(#REF!,"AAAAAF99340=")</f>
        <v>#REF!</v>
      </c>
      <c r="EM146" t="e">
        <f>AND(#REF!,"AAAAAF99344=")</f>
        <v>#REF!</v>
      </c>
      <c r="EN146" t="e">
        <f>AND(#REF!,"AAAAAF99348=")</f>
        <v>#REF!</v>
      </c>
      <c r="EO146" t="e">
        <f>AND(#REF!,"AAAAAF9935A=")</f>
        <v>#REF!</v>
      </c>
      <c r="EP146" t="e">
        <f>AND(#REF!,"AAAAAF9935E=")</f>
        <v>#REF!</v>
      </c>
      <c r="EQ146" t="e">
        <f>AND(#REF!,"AAAAAF9935I=")</f>
        <v>#REF!</v>
      </c>
      <c r="ER146" t="e">
        <f>AND(#REF!,"AAAAAF9935M=")</f>
        <v>#REF!</v>
      </c>
      <c r="ES146" t="e">
        <f>AND(#REF!,"AAAAAF9935Q=")</f>
        <v>#REF!</v>
      </c>
      <c r="ET146" t="e">
        <f>AND(#REF!,"AAAAAF9935U=")</f>
        <v>#REF!</v>
      </c>
      <c r="EU146" t="e">
        <f>AND(#REF!,"AAAAAF9935Y=")</f>
        <v>#REF!</v>
      </c>
      <c r="EV146" t="e">
        <f>AND(#REF!,"AAAAAF9935c=")</f>
        <v>#REF!</v>
      </c>
      <c r="EW146" t="e">
        <f>AND(#REF!,"AAAAAF9935g=")</f>
        <v>#REF!</v>
      </c>
      <c r="EX146" t="e">
        <f>AND(#REF!,"AAAAAF9935k=")</f>
        <v>#REF!</v>
      </c>
      <c r="EY146" t="e">
        <f>AND(#REF!,"AAAAAF9935o=")</f>
        <v>#REF!</v>
      </c>
      <c r="EZ146" t="e">
        <f>AND(#REF!,"AAAAAF9935s=")</f>
        <v>#REF!</v>
      </c>
      <c r="FA146" t="e">
        <f>AND(#REF!,"AAAAAF9935w=")</f>
        <v>#REF!</v>
      </c>
      <c r="FB146" t="e">
        <f>AND(#REF!,"AAAAAF99350=")</f>
        <v>#REF!</v>
      </c>
      <c r="FC146" t="e">
        <f>AND(#REF!,"AAAAAF99354=")</f>
        <v>#REF!</v>
      </c>
      <c r="FD146" t="e">
        <f>AND(#REF!,"AAAAAF99358=")</f>
        <v>#REF!</v>
      </c>
      <c r="FE146" t="e">
        <f>AND(#REF!,"AAAAAF9936A=")</f>
        <v>#REF!</v>
      </c>
      <c r="FF146" t="e">
        <f>AND(#REF!,"AAAAAF9936E=")</f>
        <v>#REF!</v>
      </c>
      <c r="FG146" t="e">
        <f>AND(#REF!,"AAAAAF9936I=")</f>
        <v>#REF!</v>
      </c>
      <c r="FH146" t="e">
        <f>AND(#REF!,"AAAAAF9936M=")</f>
        <v>#REF!</v>
      </c>
      <c r="FI146" t="e">
        <f>AND(#REF!,"AAAAAF9936Q=")</f>
        <v>#REF!</v>
      </c>
      <c r="FJ146" t="e">
        <f>IF(#REF!,"AAAAAF9936U=",0)</f>
        <v>#REF!</v>
      </c>
      <c r="FK146" t="e">
        <f>AND(#REF!,"AAAAAF9936Y=")</f>
        <v>#REF!</v>
      </c>
      <c r="FL146" t="e">
        <f>AND(#REF!,"AAAAAF9936c=")</f>
        <v>#REF!</v>
      </c>
      <c r="FM146" t="e">
        <f>AND(#REF!,"AAAAAF9936g=")</f>
        <v>#REF!</v>
      </c>
      <c r="FN146" t="e">
        <f>AND(#REF!,"AAAAAF9936k=")</f>
        <v>#REF!</v>
      </c>
      <c r="FO146" t="e">
        <f>AND(#REF!,"AAAAAF9936o=")</f>
        <v>#REF!</v>
      </c>
      <c r="FP146" t="e">
        <f>AND(#REF!,"AAAAAF9936s=")</f>
        <v>#REF!</v>
      </c>
      <c r="FQ146" t="e">
        <f>AND(#REF!,"AAAAAF9936w=")</f>
        <v>#REF!</v>
      </c>
      <c r="FR146" t="e">
        <f>AND(#REF!,"AAAAAF99360=")</f>
        <v>#REF!</v>
      </c>
      <c r="FS146" t="e">
        <f>AND(#REF!,"AAAAAF99364=")</f>
        <v>#REF!</v>
      </c>
      <c r="FT146" t="e">
        <f>AND(#REF!,"AAAAAF99368=")</f>
        <v>#REF!</v>
      </c>
      <c r="FU146" t="e">
        <f>AND(#REF!,"AAAAAF9937A=")</f>
        <v>#REF!</v>
      </c>
      <c r="FV146" t="e">
        <f>AND(#REF!,"AAAAAF9937E=")</f>
        <v>#REF!</v>
      </c>
      <c r="FW146" t="e">
        <f>AND(#REF!,"AAAAAF9937I=")</f>
        <v>#REF!</v>
      </c>
      <c r="FX146" t="e">
        <f>AND(#REF!,"AAAAAF9937M=")</f>
        <v>#REF!</v>
      </c>
      <c r="FY146" t="e">
        <f>AND(#REF!,"AAAAAF9937Q=")</f>
        <v>#REF!</v>
      </c>
      <c r="FZ146" t="e">
        <f>AND(#REF!,"AAAAAF9937U=")</f>
        <v>#REF!</v>
      </c>
      <c r="GA146" t="e">
        <f>AND(#REF!,"AAAAAF9937Y=")</f>
        <v>#REF!</v>
      </c>
      <c r="GB146" t="e">
        <f>AND(#REF!,"AAAAAF9937c=")</f>
        <v>#REF!</v>
      </c>
      <c r="GC146" t="e">
        <f>AND(#REF!,"AAAAAF9937g=")</f>
        <v>#REF!</v>
      </c>
      <c r="GD146" t="e">
        <f>AND(#REF!,"AAAAAF9937k=")</f>
        <v>#REF!</v>
      </c>
      <c r="GE146" t="e">
        <f>AND(#REF!,"AAAAAF9937o=")</f>
        <v>#REF!</v>
      </c>
      <c r="GF146" t="e">
        <f>AND(#REF!,"AAAAAF9937s=")</f>
        <v>#REF!</v>
      </c>
      <c r="GG146" t="e">
        <f>AND(#REF!,"AAAAAF9937w=")</f>
        <v>#REF!</v>
      </c>
      <c r="GH146" t="e">
        <f>AND(#REF!,"AAAAAF99370=")</f>
        <v>#REF!</v>
      </c>
      <c r="GI146" t="e">
        <f>IF(#REF!,"AAAAAF99374=",0)</f>
        <v>#REF!</v>
      </c>
      <c r="GJ146" t="e">
        <f>AND(#REF!,"AAAAAF99378=")</f>
        <v>#REF!</v>
      </c>
      <c r="GK146" t="e">
        <f>AND(#REF!,"AAAAAF9938A=")</f>
        <v>#REF!</v>
      </c>
      <c r="GL146" t="e">
        <f>AND(#REF!,"AAAAAF9938E=")</f>
        <v>#REF!</v>
      </c>
      <c r="GM146" t="e">
        <f>AND(#REF!,"AAAAAF9938I=")</f>
        <v>#REF!</v>
      </c>
      <c r="GN146" t="e">
        <f>AND(#REF!,"AAAAAF9938M=")</f>
        <v>#REF!</v>
      </c>
      <c r="GO146" t="e">
        <f>AND(#REF!,"AAAAAF9938Q=")</f>
        <v>#REF!</v>
      </c>
      <c r="GP146" t="e">
        <f>AND(#REF!,"AAAAAF9938U=")</f>
        <v>#REF!</v>
      </c>
      <c r="GQ146" t="e">
        <f>AND(#REF!,"AAAAAF9938Y=")</f>
        <v>#REF!</v>
      </c>
      <c r="GR146" t="e">
        <f>AND(#REF!,"AAAAAF9938c=")</f>
        <v>#REF!</v>
      </c>
      <c r="GS146" t="e">
        <f>AND(#REF!,"AAAAAF9938g=")</f>
        <v>#REF!</v>
      </c>
      <c r="GT146" t="e">
        <f>AND(#REF!,"AAAAAF9938k=")</f>
        <v>#REF!</v>
      </c>
      <c r="GU146" t="e">
        <f>AND(#REF!,"AAAAAF9938o=")</f>
        <v>#REF!</v>
      </c>
      <c r="GV146" t="e">
        <f>AND(#REF!,"AAAAAF9938s=")</f>
        <v>#REF!</v>
      </c>
      <c r="GW146" t="e">
        <f>AND(#REF!,"AAAAAF9938w=")</f>
        <v>#REF!</v>
      </c>
      <c r="GX146" t="e">
        <f>AND(#REF!,"AAAAAF99380=")</f>
        <v>#REF!</v>
      </c>
      <c r="GY146" t="e">
        <f>AND(#REF!,"AAAAAF99384=")</f>
        <v>#REF!</v>
      </c>
      <c r="GZ146" t="e">
        <f>AND(#REF!,"AAAAAF99388=")</f>
        <v>#REF!</v>
      </c>
      <c r="HA146" t="e">
        <f>AND(#REF!,"AAAAAF9939A=")</f>
        <v>#REF!</v>
      </c>
      <c r="HB146" t="e">
        <f>AND(#REF!,"AAAAAF9939E=")</f>
        <v>#REF!</v>
      </c>
      <c r="HC146" t="e">
        <f>AND(#REF!,"AAAAAF9939I=")</f>
        <v>#REF!</v>
      </c>
      <c r="HD146" t="e">
        <f>AND(#REF!,"AAAAAF9939M=")</f>
        <v>#REF!</v>
      </c>
      <c r="HE146" t="e">
        <f>AND(#REF!,"AAAAAF9939Q=")</f>
        <v>#REF!</v>
      </c>
      <c r="HF146" t="e">
        <f>AND(#REF!,"AAAAAF9939U=")</f>
        <v>#REF!</v>
      </c>
      <c r="HG146" t="e">
        <f>AND(#REF!,"AAAAAF9939Y=")</f>
        <v>#REF!</v>
      </c>
      <c r="HH146" t="e">
        <f>IF(#REF!,"AAAAAF9939c=",0)</f>
        <v>#REF!</v>
      </c>
      <c r="HI146" t="e">
        <f>AND(#REF!,"AAAAAF9939g=")</f>
        <v>#REF!</v>
      </c>
      <c r="HJ146" t="e">
        <f>AND(#REF!,"AAAAAF9939k=")</f>
        <v>#REF!</v>
      </c>
      <c r="HK146" t="e">
        <f>AND(#REF!,"AAAAAF9939o=")</f>
        <v>#REF!</v>
      </c>
      <c r="HL146" t="e">
        <f>AND(#REF!,"AAAAAF9939s=")</f>
        <v>#REF!</v>
      </c>
      <c r="HM146" t="e">
        <f>AND(#REF!,"AAAAAF9939w=")</f>
        <v>#REF!</v>
      </c>
      <c r="HN146" t="e">
        <f>AND(#REF!,"AAAAAF99390=")</f>
        <v>#REF!</v>
      </c>
      <c r="HO146" t="e">
        <f>AND(#REF!,"AAAAAF99394=")</f>
        <v>#REF!</v>
      </c>
      <c r="HP146" t="e">
        <f>AND(#REF!,"AAAAAF99398=")</f>
        <v>#REF!</v>
      </c>
      <c r="HQ146" t="e">
        <f>AND(#REF!,"AAAAAF993+A=")</f>
        <v>#REF!</v>
      </c>
      <c r="HR146" t="e">
        <f>AND(#REF!,"AAAAAF993+E=")</f>
        <v>#REF!</v>
      </c>
      <c r="HS146" t="e">
        <f>AND(#REF!,"AAAAAF993+I=")</f>
        <v>#REF!</v>
      </c>
      <c r="HT146" t="e">
        <f>AND(#REF!,"AAAAAF993+M=")</f>
        <v>#REF!</v>
      </c>
      <c r="HU146" t="e">
        <f>AND(#REF!,"AAAAAF993+Q=")</f>
        <v>#REF!</v>
      </c>
      <c r="HV146" t="e">
        <f>AND(#REF!,"AAAAAF993+U=")</f>
        <v>#REF!</v>
      </c>
      <c r="HW146" t="e">
        <f>AND(#REF!,"AAAAAF993+Y=")</f>
        <v>#REF!</v>
      </c>
      <c r="HX146" t="e">
        <f>AND(#REF!,"AAAAAF993+c=")</f>
        <v>#REF!</v>
      </c>
      <c r="HY146" t="e">
        <f>AND(#REF!,"AAAAAF993+g=")</f>
        <v>#REF!</v>
      </c>
      <c r="HZ146" t="e">
        <f>AND(#REF!,"AAAAAF993+k=")</f>
        <v>#REF!</v>
      </c>
      <c r="IA146" t="e">
        <f>AND(#REF!,"AAAAAF993+o=")</f>
        <v>#REF!</v>
      </c>
      <c r="IB146" t="e">
        <f>AND(#REF!,"AAAAAF993+s=")</f>
        <v>#REF!</v>
      </c>
      <c r="IC146" t="e">
        <f>AND(#REF!,"AAAAAF993+w=")</f>
        <v>#REF!</v>
      </c>
      <c r="ID146" t="e">
        <f>AND(#REF!,"AAAAAF993+0=")</f>
        <v>#REF!</v>
      </c>
      <c r="IE146" t="e">
        <f>AND(#REF!,"AAAAAF993+4=")</f>
        <v>#REF!</v>
      </c>
      <c r="IF146" t="e">
        <f>AND(#REF!,"AAAAAF993+8=")</f>
        <v>#REF!</v>
      </c>
      <c r="IG146" t="e">
        <f>IF(#REF!,"AAAAAF993/A=",0)</f>
        <v>#REF!</v>
      </c>
      <c r="IH146" t="e">
        <f>AND(#REF!,"AAAAAF993/E=")</f>
        <v>#REF!</v>
      </c>
      <c r="II146" t="e">
        <f>AND(#REF!,"AAAAAF993/I=")</f>
        <v>#REF!</v>
      </c>
      <c r="IJ146" t="e">
        <f>AND(#REF!,"AAAAAF993/M=")</f>
        <v>#REF!</v>
      </c>
      <c r="IK146" t="e">
        <f>AND(#REF!,"AAAAAF993/Q=")</f>
        <v>#REF!</v>
      </c>
      <c r="IL146" t="e">
        <f>AND(#REF!,"AAAAAF993/U=")</f>
        <v>#REF!</v>
      </c>
      <c r="IM146" t="e">
        <f>AND(#REF!,"AAAAAF993/Y=")</f>
        <v>#REF!</v>
      </c>
      <c r="IN146" t="e">
        <f>AND(#REF!,"AAAAAF993/c=")</f>
        <v>#REF!</v>
      </c>
      <c r="IO146" t="e">
        <f>AND(#REF!,"AAAAAF993/g=")</f>
        <v>#REF!</v>
      </c>
      <c r="IP146" t="e">
        <f>AND(#REF!,"AAAAAF993/k=")</f>
        <v>#REF!</v>
      </c>
      <c r="IQ146" t="e">
        <f>AND(#REF!,"AAAAAF993/o=")</f>
        <v>#REF!</v>
      </c>
      <c r="IR146" t="e">
        <f>AND(#REF!,"AAAAAF993/s=")</f>
        <v>#REF!</v>
      </c>
      <c r="IS146" t="e">
        <f>AND(#REF!,"AAAAAF993/w=")</f>
        <v>#REF!</v>
      </c>
      <c r="IT146" t="e">
        <f>AND(#REF!,"AAAAAF993/0=")</f>
        <v>#REF!</v>
      </c>
      <c r="IU146" t="e">
        <f>AND(#REF!,"AAAAAF993/4=")</f>
        <v>#REF!</v>
      </c>
      <c r="IV146" t="e">
        <f>AND(#REF!,"AAAAAF993/8=")</f>
        <v>#REF!</v>
      </c>
    </row>
    <row r="147" spans="1:256">
      <c r="A147" t="e">
        <f>AND(#REF!,"AAAAAH732wA=")</f>
        <v>#REF!</v>
      </c>
      <c r="B147" t="e">
        <f>AND(#REF!,"AAAAAH732wE=")</f>
        <v>#REF!</v>
      </c>
      <c r="C147" t="e">
        <f>AND(#REF!,"AAAAAH732wI=")</f>
        <v>#REF!</v>
      </c>
      <c r="D147" t="e">
        <f>AND(#REF!,"AAAAAH732wM=")</f>
        <v>#REF!</v>
      </c>
      <c r="E147" t="e">
        <f>AND(#REF!,"AAAAAH732wQ=")</f>
        <v>#REF!</v>
      </c>
      <c r="F147" t="e">
        <f>AND(#REF!,"AAAAAH732wU=")</f>
        <v>#REF!</v>
      </c>
      <c r="G147" t="e">
        <f>AND(#REF!,"AAAAAH732wY=")</f>
        <v>#REF!</v>
      </c>
      <c r="H147" t="e">
        <f>AND(#REF!,"AAAAAH732wc=")</f>
        <v>#REF!</v>
      </c>
      <c r="I147" t="e">
        <f>AND(#REF!,"AAAAAH732wg=")</f>
        <v>#REF!</v>
      </c>
      <c r="J147" t="e">
        <f>IF(#REF!,"AAAAAH732wk=",0)</f>
        <v>#REF!</v>
      </c>
      <c r="K147" t="e">
        <f>AND(#REF!,"AAAAAH732wo=")</f>
        <v>#REF!</v>
      </c>
      <c r="L147" t="e">
        <f>AND(#REF!,"AAAAAH732ws=")</f>
        <v>#REF!</v>
      </c>
      <c r="M147" t="e">
        <f>AND(#REF!,"AAAAAH732ww=")</f>
        <v>#REF!</v>
      </c>
      <c r="N147" t="e">
        <f>AND(#REF!,"AAAAAH732w0=")</f>
        <v>#REF!</v>
      </c>
      <c r="O147" t="e">
        <f>AND(#REF!,"AAAAAH732w4=")</f>
        <v>#REF!</v>
      </c>
      <c r="P147" t="e">
        <f>AND(#REF!,"AAAAAH732w8=")</f>
        <v>#REF!</v>
      </c>
      <c r="Q147" t="e">
        <f>AND(#REF!,"AAAAAH732xA=")</f>
        <v>#REF!</v>
      </c>
      <c r="R147" t="e">
        <f>AND(#REF!,"AAAAAH732xE=")</f>
        <v>#REF!</v>
      </c>
      <c r="S147" t="e">
        <f>AND(#REF!,"AAAAAH732xI=")</f>
        <v>#REF!</v>
      </c>
      <c r="T147" t="e">
        <f>AND(#REF!,"AAAAAH732xM=")</f>
        <v>#REF!</v>
      </c>
      <c r="U147" t="e">
        <f>AND(#REF!,"AAAAAH732xQ=")</f>
        <v>#REF!</v>
      </c>
      <c r="V147" t="e">
        <f>AND(#REF!,"AAAAAH732xU=")</f>
        <v>#REF!</v>
      </c>
      <c r="W147" t="e">
        <f>AND(#REF!,"AAAAAH732xY=")</f>
        <v>#REF!</v>
      </c>
      <c r="X147" t="e">
        <f>AND(#REF!,"AAAAAH732xc=")</f>
        <v>#REF!</v>
      </c>
      <c r="Y147" t="e">
        <f>AND(#REF!,"AAAAAH732xg=")</f>
        <v>#REF!</v>
      </c>
      <c r="Z147" t="e">
        <f>AND(#REF!,"AAAAAH732xk=")</f>
        <v>#REF!</v>
      </c>
      <c r="AA147" t="e">
        <f>AND(#REF!,"AAAAAH732xo=")</f>
        <v>#REF!</v>
      </c>
      <c r="AB147" t="e">
        <f>AND(#REF!,"AAAAAH732xs=")</f>
        <v>#REF!</v>
      </c>
      <c r="AC147" t="e">
        <f>AND(#REF!,"AAAAAH732xw=")</f>
        <v>#REF!</v>
      </c>
      <c r="AD147" t="e">
        <f>AND(#REF!,"AAAAAH732x0=")</f>
        <v>#REF!</v>
      </c>
      <c r="AE147" t="e">
        <f>AND(#REF!,"AAAAAH732x4=")</f>
        <v>#REF!</v>
      </c>
      <c r="AF147" t="e">
        <f>AND(#REF!,"AAAAAH732x8=")</f>
        <v>#REF!</v>
      </c>
      <c r="AG147" t="e">
        <f>AND(#REF!,"AAAAAH732yA=")</f>
        <v>#REF!</v>
      </c>
      <c r="AH147" t="e">
        <f>AND(#REF!,"AAAAAH732yE=")</f>
        <v>#REF!</v>
      </c>
      <c r="AI147" t="e">
        <f>IF(#REF!,"AAAAAH732yI=",0)</f>
        <v>#REF!</v>
      </c>
      <c r="AJ147" t="e">
        <f>AND(#REF!,"AAAAAH732yM=")</f>
        <v>#REF!</v>
      </c>
      <c r="AK147" t="e">
        <f>AND(#REF!,"AAAAAH732yQ=")</f>
        <v>#REF!</v>
      </c>
      <c r="AL147" t="e">
        <f>AND(#REF!,"AAAAAH732yU=")</f>
        <v>#REF!</v>
      </c>
      <c r="AM147" t="e">
        <f>AND(#REF!,"AAAAAH732yY=")</f>
        <v>#REF!</v>
      </c>
      <c r="AN147" t="e">
        <f>AND(#REF!,"AAAAAH732yc=")</f>
        <v>#REF!</v>
      </c>
      <c r="AO147" t="e">
        <f>AND(#REF!,"AAAAAH732yg=")</f>
        <v>#REF!</v>
      </c>
      <c r="AP147" t="e">
        <f>AND(#REF!,"AAAAAH732yk=")</f>
        <v>#REF!</v>
      </c>
      <c r="AQ147" t="e">
        <f>AND(#REF!,"AAAAAH732yo=")</f>
        <v>#REF!</v>
      </c>
      <c r="AR147" t="e">
        <f>AND(#REF!,"AAAAAH732ys=")</f>
        <v>#REF!</v>
      </c>
      <c r="AS147" t="e">
        <f>AND(#REF!,"AAAAAH732yw=")</f>
        <v>#REF!</v>
      </c>
      <c r="AT147" t="e">
        <f>AND(#REF!,"AAAAAH732y0=")</f>
        <v>#REF!</v>
      </c>
      <c r="AU147" t="e">
        <f>AND(#REF!,"AAAAAH732y4=")</f>
        <v>#REF!</v>
      </c>
      <c r="AV147" t="e">
        <f>AND(#REF!,"AAAAAH732y8=")</f>
        <v>#REF!</v>
      </c>
      <c r="AW147" t="e">
        <f>AND(#REF!,"AAAAAH732zA=")</f>
        <v>#REF!</v>
      </c>
      <c r="AX147" t="e">
        <f>AND(#REF!,"AAAAAH732zE=")</f>
        <v>#REF!</v>
      </c>
      <c r="AY147" t="e">
        <f>AND(#REF!,"AAAAAH732zI=")</f>
        <v>#REF!</v>
      </c>
      <c r="AZ147" t="e">
        <f>AND(#REF!,"AAAAAH732zM=")</f>
        <v>#REF!</v>
      </c>
      <c r="BA147" t="e">
        <f>AND(#REF!,"AAAAAH732zQ=")</f>
        <v>#REF!</v>
      </c>
      <c r="BB147" t="e">
        <f>AND(#REF!,"AAAAAH732zU=")</f>
        <v>#REF!</v>
      </c>
      <c r="BC147" t="e">
        <f>AND(#REF!,"AAAAAH732zY=")</f>
        <v>#REF!</v>
      </c>
      <c r="BD147" t="e">
        <f>AND(#REF!,"AAAAAH732zc=")</f>
        <v>#REF!</v>
      </c>
      <c r="BE147" t="e">
        <f>AND(#REF!,"AAAAAH732zg=")</f>
        <v>#REF!</v>
      </c>
      <c r="BF147" t="e">
        <f>AND(#REF!,"AAAAAH732zk=")</f>
        <v>#REF!</v>
      </c>
      <c r="BG147" t="e">
        <f>AND(#REF!,"AAAAAH732zo=")</f>
        <v>#REF!</v>
      </c>
      <c r="BH147" t="e">
        <f>IF(#REF!,"AAAAAH732zs=",0)</f>
        <v>#REF!</v>
      </c>
      <c r="BI147" t="e">
        <f>AND(#REF!,"AAAAAH732zw=")</f>
        <v>#REF!</v>
      </c>
      <c r="BJ147" t="e">
        <f>AND(#REF!,"AAAAAH732z0=")</f>
        <v>#REF!</v>
      </c>
      <c r="BK147" t="e">
        <f>AND(#REF!,"AAAAAH732z4=")</f>
        <v>#REF!</v>
      </c>
      <c r="BL147" t="e">
        <f>AND(#REF!,"AAAAAH732z8=")</f>
        <v>#REF!</v>
      </c>
      <c r="BM147" t="e">
        <f>AND(#REF!,"AAAAAH7320A=")</f>
        <v>#REF!</v>
      </c>
      <c r="BN147" t="e">
        <f>AND(#REF!,"AAAAAH7320E=")</f>
        <v>#REF!</v>
      </c>
      <c r="BO147" t="e">
        <f>AND(#REF!,"AAAAAH7320I=")</f>
        <v>#REF!</v>
      </c>
      <c r="BP147" t="e">
        <f>AND(#REF!,"AAAAAH7320M=")</f>
        <v>#REF!</v>
      </c>
      <c r="BQ147" t="e">
        <f>AND(#REF!,"AAAAAH7320Q=")</f>
        <v>#REF!</v>
      </c>
      <c r="BR147" t="e">
        <f>AND(#REF!,"AAAAAH7320U=")</f>
        <v>#REF!</v>
      </c>
      <c r="BS147" t="e">
        <f>AND(#REF!,"AAAAAH7320Y=")</f>
        <v>#REF!</v>
      </c>
      <c r="BT147" t="e">
        <f>AND(#REF!,"AAAAAH7320c=")</f>
        <v>#REF!</v>
      </c>
      <c r="BU147" t="e">
        <f>AND(#REF!,"AAAAAH7320g=")</f>
        <v>#REF!</v>
      </c>
      <c r="BV147" t="e">
        <f>AND(#REF!,"AAAAAH7320k=")</f>
        <v>#REF!</v>
      </c>
      <c r="BW147" t="e">
        <f>AND(#REF!,"AAAAAH7320o=")</f>
        <v>#REF!</v>
      </c>
      <c r="BX147" t="e">
        <f>AND(#REF!,"AAAAAH7320s=")</f>
        <v>#REF!</v>
      </c>
      <c r="BY147" t="e">
        <f>AND(#REF!,"AAAAAH7320w=")</f>
        <v>#REF!</v>
      </c>
      <c r="BZ147" t="e">
        <f>AND(#REF!,"AAAAAH73200=")</f>
        <v>#REF!</v>
      </c>
      <c r="CA147" t="e">
        <f>AND(#REF!,"AAAAAH73204=")</f>
        <v>#REF!</v>
      </c>
      <c r="CB147" t="e">
        <f>AND(#REF!,"AAAAAH73208=")</f>
        <v>#REF!</v>
      </c>
      <c r="CC147" t="e">
        <f>AND(#REF!,"AAAAAH7321A=")</f>
        <v>#REF!</v>
      </c>
      <c r="CD147" t="e">
        <f>AND(#REF!,"AAAAAH7321E=")</f>
        <v>#REF!</v>
      </c>
      <c r="CE147" t="e">
        <f>AND(#REF!,"AAAAAH7321I=")</f>
        <v>#REF!</v>
      </c>
      <c r="CF147" t="e">
        <f>AND(#REF!,"AAAAAH7321M=")</f>
        <v>#REF!</v>
      </c>
      <c r="CG147" t="e">
        <f>IF(#REF!,"AAAAAH7321Q=",0)</f>
        <v>#REF!</v>
      </c>
      <c r="CH147" t="e">
        <f>AND(#REF!,"AAAAAH7321U=")</f>
        <v>#REF!</v>
      </c>
      <c r="CI147" t="e">
        <f>AND(#REF!,"AAAAAH7321Y=")</f>
        <v>#REF!</v>
      </c>
      <c r="CJ147" t="e">
        <f>AND(#REF!,"AAAAAH7321c=")</f>
        <v>#REF!</v>
      </c>
      <c r="CK147" t="e">
        <f>AND(#REF!,"AAAAAH7321g=")</f>
        <v>#REF!</v>
      </c>
      <c r="CL147" t="e">
        <f>AND(#REF!,"AAAAAH7321k=")</f>
        <v>#REF!</v>
      </c>
      <c r="CM147" t="e">
        <f>AND(#REF!,"AAAAAH7321o=")</f>
        <v>#REF!</v>
      </c>
      <c r="CN147" t="e">
        <f>AND(#REF!,"AAAAAH7321s=")</f>
        <v>#REF!</v>
      </c>
      <c r="CO147" t="e">
        <f>AND(#REF!,"AAAAAH7321w=")</f>
        <v>#REF!</v>
      </c>
      <c r="CP147" t="e">
        <f>AND(#REF!,"AAAAAH73210=")</f>
        <v>#REF!</v>
      </c>
      <c r="CQ147" t="e">
        <f>AND(#REF!,"AAAAAH73214=")</f>
        <v>#REF!</v>
      </c>
      <c r="CR147" t="e">
        <f>AND(#REF!,"AAAAAH73218=")</f>
        <v>#REF!</v>
      </c>
      <c r="CS147" t="e">
        <f>AND(#REF!,"AAAAAH7322A=")</f>
        <v>#REF!</v>
      </c>
      <c r="CT147" t="e">
        <f>AND(#REF!,"AAAAAH7322E=")</f>
        <v>#REF!</v>
      </c>
      <c r="CU147" t="e">
        <f>AND(#REF!,"AAAAAH7322I=")</f>
        <v>#REF!</v>
      </c>
      <c r="CV147" t="e">
        <f>AND(#REF!,"AAAAAH7322M=")</f>
        <v>#REF!</v>
      </c>
      <c r="CW147" t="e">
        <f>AND(#REF!,"AAAAAH7322Q=")</f>
        <v>#REF!</v>
      </c>
      <c r="CX147" t="e">
        <f>AND(#REF!,"AAAAAH7322U=")</f>
        <v>#REF!</v>
      </c>
      <c r="CY147" t="e">
        <f>AND(#REF!,"AAAAAH7322Y=")</f>
        <v>#REF!</v>
      </c>
      <c r="CZ147" t="e">
        <f>AND(#REF!,"AAAAAH7322c=")</f>
        <v>#REF!</v>
      </c>
      <c r="DA147" t="e">
        <f>AND(#REF!,"AAAAAH7322g=")</f>
        <v>#REF!</v>
      </c>
      <c r="DB147" t="e">
        <f>AND(#REF!,"AAAAAH7322k=")</f>
        <v>#REF!</v>
      </c>
      <c r="DC147" t="e">
        <f>AND(#REF!,"AAAAAH7322o=")</f>
        <v>#REF!</v>
      </c>
      <c r="DD147" t="e">
        <f>AND(#REF!,"AAAAAH7322s=")</f>
        <v>#REF!</v>
      </c>
      <c r="DE147" t="e">
        <f>AND(#REF!,"AAAAAH7322w=")</f>
        <v>#REF!</v>
      </c>
      <c r="DF147" t="e">
        <f>IF(#REF!,"AAAAAH73220=",0)</f>
        <v>#REF!</v>
      </c>
      <c r="DG147" t="e">
        <f>AND(#REF!,"AAAAAH73224=")</f>
        <v>#REF!</v>
      </c>
      <c r="DH147" t="e">
        <f>AND(#REF!,"AAAAAH73228=")</f>
        <v>#REF!</v>
      </c>
      <c r="DI147" t="e">
        <f>AND(#REF!,"AAAAAH7323A=")</f>
        <v>#REF!</v>
      </c>
      <c r="DJ147" t="e">
        <f>AND(#REF!,"AAAAAH7323E=")</f>
        <v>#REF!</v>
      </c>
      <c r="DK147" t="e">
        <f>AND(#REF!,"AAAAAH7323I=")</f>
        <v>#REF!</v>
      </c>
      <c r="DL147" t="e">
        <f>AND(#REF!,"AAAAAH7323M=")</f>
        <v>#REF!</v>
      </c>
      <c r="DM147" t="e">
        <f>AND(#REF!,"AAAAAH7323Q=")</f>
        <v>#REF!</v>
      </c>
      <c r="DN147" t="e">
        <f>AND(#REF!,"AAAAAH7323U=")</f>
        <v>#REF!</v>
      </c>
      <c r="DO147" t="e">
        <f>AND(#REF!,"AAAAAH7323Y=")</f>
        <v>#REF!</v>
      </c>
      <c r="DP147" t="e">
        <f>AND(#REF!,"AAAAAH7323c=")</f>
        <v>#REF!</v>
      </c>
      <c r="DQ147" t="e">
        <f>AND(#REF!,"AAAAAH7323g=")</f>
        <v>#REF!</v>
      </c>
      <c r="DR147" t="e">
        <f>AND(#REF!,"AAAAAH7323k=")</f>
        <v>#REF!</v>
      </c>
      <c r="DS147" t="e">
        <f>AND(#REF!,"AAAAAH7323o=")</f>
        <v>#REF!</v>
      </c>
      <c r="DT147" t="e">
        <f>AND(#REF!,"AAAAAH7323s=")</f>
        <v>#REF!</v>
      </c>
      <c r="DU147" t="e">
        <f>AND(#REF!,"AAAAAH7323w=")</f>
        <v>#REF!</v>
      </c>
      <c r="DV147" t="e">
        <f>AND(#REF!,"AAAAAH73230=")</f>
        <v>#REF!</v>
      </c>
      <c r="DW147" t="e">
        <f>AND(#REF!,"AAAAAH73234=")</f>
        <v>#REF!</v>
      </c>
      <c r="DX147" t="e">
        <f>AND(#REF!,"AAAAAH73238=")</f>
        <v>#REF!</v>
      </c>
      <c r="DY147" t="e">
        <f>AND(#REF!,"AAAAAH7324A=")</f>
        <v>#REF!</v>
      </c>
      <c r="DZ147" t="e">
        <f>AND(#REF!,"AAAAAH7324E=")</f>
        <v>#REF!</v>
      </c>
      <c r="EA147" t="e">
        <f>AND(#REF!,"AAAAAH7324I=")</f>
        <v>#REF!</v>
      </c>
      <c r="EB147" t="e">
        <f>AND(#REF!,"AAAAAH7324M=")</f>
        <v>#REF!</v>
      </c>
      <c r="EC147" t="e">
        <f>AND(#REF!,"AAAAAH7324Q=")</f>
        <v>#REF!</v>
      </c>
      <c r="ED147" t="e">
        <f>AND(#REF!,"AAAAAH7324U=")</f>
        <v>#REF!</v>
      </c>
      <c r="EE147" t="e">
        <f>IF(#REF!,"AAAAAH7324Y=",0)</f>
        <v>#REF!</v>
      </c>
      <c r="EF147" t="e">
        <f>AND(#REF!,"AAAAAH7324c=")</f>
        <v>#REF!</v>
      </c>
      <c r="EG147" t="e">
        <f>AND(#REF!,"AAAAAH7324g=")</f>
        <v>#REF!</v>
      </c>
      <c r="EH147" t="e">
        <f>AND(#REF!,"AAAAAH7324k=")</f>
        <v>#REF!</v>
      </c>
      <c r="EI147" t="e">
        <f>AND(#REF!,"AAAAAH7324o=")</f>
        <v>#REF!</v>
      </c>
      <c r="EJ147" t="e">
        <f>AND(#REF!,"AAAAAH7324s=")</f>
        <v>#REF!</v>
      </c>
      <c r="EK147" t="e">
        <f>AND(#REF!,"AAAAAH7324w=")</f>
        <v>#REF!</v>
      </c>
      <c r="EL147" t="e">
        <f>AND(#REF!,"AAAAAH73240=")</f>
        <v>#REF!</v>
      </c>
      <c r="EM147" t="e">
        <f>AND(#REF!,"AAAAAH73244=")</f>
        <v>#REF!</v>
      </c>
      <c r="EN147" t="e">
        <f>AND(#REF!,"AAAAAH73248=")</f>
        <v>#REF!</v>
      </c>
      <c r="EO147" t="e">
        <f>AND(#REF!,"AAAAAH7325A=")</f>
        <v>#REF!</v>
      </c>
      <c r="EP147" t="e">
        <f>AND(#REF!,"AAAAAH7325E=")</f>
        <v>#REF!</v>
      </c>
      <c r="EQ147" t="e">
        <f>AND(#REF!,"AAAAAH7325I=")</f>
        <v>#REF!</v>
      </c>
      <c r="ER147" t="e">
        <f>AND(#REF!,"AAAAAH7325M=")</f>
        <v>#REF!</v>
      </c>
      <c r="ES147" t="e">
        <f>AND(#REF!,"AAAAAH7325Q=")</f>
        <v>#REF!</v>
      </c>
      <c r="ET147" t="e">
        <f>AND(#REF!,"AAAAAH7325U=")</f>
        <v>#REF!</v>
      </c>
      <c r="EU147" t="e">
        <f>AND(#REF!,"AAAAAH7325Y=")</f>
        <v>#REF!</v>
      </c>
      <c r="EV147" t="e">
        <f>AND(#REF!,"AAAAAH7325c=")</f>
        <v>#REF!</v>
      </c>
      <c r="EW147" t="e">
        <f>AND(#REF!,"AAAAAH7325g=")</f>
        <v>#REF!</v>
      </c>
      <c r="EX147" t="e">
        <f>AND(#REF!,"AAAAAH7325k=")</f>
        <v>#REF!</v>
      </c>
      <c r="EY147" t="e">
        <f>AND(#REF!,"AAAAAH7325o=")</f>
        <v>#REF!</v>
      </c>
      <c r="EZ147" t="e">
        <f>AND(#REF!,"AAAAAH7325s=")</f>
        <v>#REF!</v>
      </c>
      <c r="FA147" t="e">
        <f>AND(#REF!,"AAAAAH7325w=")</f>
        <v>#REF!</v>
      </c>
      <c r="FB147" t="e">
        <f>AND(#REF!,"AAAAAH73250=")</f>
        <v>#REF!</v>
      </c>
      <c r="FC147" t="e">
        <f>AND(#REF!,"AAAAAH73254=")</f>
        <v>#REF!</v>
      </c>
      <c r="FD147" t="e">
        <f>IF(#REF!,"AAAAAH73258=",0)</f>
        <v>#REF!</v>
      </c>
      <c r="FE147" t="e">
        <f>AND(#REF!,"AAAAAH7326A=")</f>
        <v>#REF!</v>
      </c>
      <c r="FF147" t="e">
        <f>AND(#REF!,"AAAAAH7326E=")</f>
        <v>#REF!</v>
      </c>
      <c r="FG147" t="e">
        <f>AND(#REF!,"AAAAAH7326I=")</f>
        <v>#REF!</v>
      </c>
      <c r="FH147" t="e">
        <f>AND(#REF!,"AAAAAH7326M=")</f>
        <v>#REF!</v>
      </c>
      <c r="FI147" t="e">
        <f>AND(#REF!,"AAAAAH7326Q=")</f>
        <v>#REF!</v>
      </c>
      <c r="FJ147" t="e">
        <f>AND(#REF!,"AAAAAH7326U=")</f>
        <v>#REF!</v>
      </c>
      <c r="FK147" t="e">
        <f>AND(#REF!,"AAAAAH7326Y=")</f>
        <v>#REF!</v>
      </c>
      <c r="FL147" t="e">
        <f>AND(#REF!,"AAAAAH7326c=")</f>
        <v>#REF!</v>
      </c>
      <c r="FM147" t="e">
        <f>AND(#REF!,"AAAAAH7326g=")</f>
        <v>#REF!</v>
      </c>
      <c r="FN147" t="e">
        <f>AND(#REF!,"AAAAAH7326k=")</f>
        <v>#REF!</v>
      </c>
      <c r="FO147" t="e">
        <f>AND(#REF!,"AAAAAH7326o=")</f>
        <v>#REF!</v>
      </c>
      <c r="FP147" t="e">
        <f>AND(#REF!,"AAAAAH7326s=")</f>
        <v>#REF!</v>
      </c>
      <c r="FQ147" t="e">
        <f>AND(#REF!,"AAAAAH7326w=")</f>
        <v>#REF!</v>
      </c>
      <c r="FR147" t="e">
        <f>AND(#REF!,"AAAAAH73260=")</f>
        <v>#REF!</v>
      </c>
      <c r="FS147" t="e">
        <f>AND(#REF!,"AAAAAH73264=")</f>
        <v>#REF!</v>
      </c>
      <c r="FT147" t="e">
        <f>AND(#REF!,"AAAAAH73268=")</f>
        <v>#REF!</v>
      </c>
      <c r="FU147" t="e">
        <f>AND(#REF!,"AAAAAH7327A=")</f>
        <v>#REF!</v>
      </c>
      <c r="FV147" t="e">
        <f>AND(#REF!,"AAAAAH7327E=")</f>
        <v>#REF!</v>
      </c>
      <c r="FW147" t="e">
        <f>AND(#REF!,"AAAAAH7327I=")</f>
        <v>#REF!</v>
      </c>
      <c r="FX147" t="e">
        <f>AND(#REF!,"AAAAAH7327M=")</f>
        <v>#REF!</v>
      </c>
      <c r="FY147" t="e">
        <f>AND(#REF!,"AAAAAH7327Q=")</f>
        <v>#REF!</v>
      </c>
      <c r="FZ147" t="e">
        <f>AND(#REF!,"AAAAAH7327U=")</f>
        <v>#REF!</v>
      </c>
      <c r="GA147" t="e">
        <f>AND(#REF!,"AAAAAH7327Y=")</f>
        <v>#REF!</v>
      </c>
      <c r="GB147" t="e">
        <f>AND(#REF!,"AAAAAH7327c=")</f>
        <v>#REF!</v>
      </c>
      <c r="GC147" t="e">
        <f>IF(#REF!,"AAAAAH7327g=",0)</f>
        <v>#REF!</v>
      </c>
      <c r="GD147" t="e">
        <f>AND(#REF!,"AAAAAH7327k=")</f>
        <v>#REF!</v>
      </c>
      <c r="GE147" t="e">
        <f>AND(#REF!,"AAAAAH7327o=")</f>
        <v>#REF!</v>
      </c>
      <c r="GF147" t="e">
        <f>AND(#REF!,"AAAAAH7327s=")</f>
        <v>#REF!</v>
      </c>
      <c r="GG147" t="e">
        <f>AND(#REF!,"AAAAAH7327w=")</f>
        <v>#REF!</v>
      </c>
      <c r="GH147" t="e">
        <f>AND(#REF!,"AAAAAH73270=")</f>
        <v>#REF!</v>
      </c>
      <c r="GI147" t="e">
        <f>AND(#REF!,"AAAAAH73274=")</f>
        <v>#REF!</v>
      </c>
      <c r="GJ147" t="e">
        <f>AND(#REF!,"AAAAAH73278=")</f>
        <v>#REF!</v>
      </c>
      <c r="GK147" t="e">
        <f>AND(#REF!,"AAAAAH7328A=")</f>
        <v>#REF!</v>
      </c>
      <c r="GL147" t="e">
        <f>AND(#REF!,"AAAAAH7328E=")</f>
        <v>#REF!</v>
      </c>
      <c r="GM147" t="e">
        <f>AND(#REF!,"AAAAAH7328I=")</f>
        <v>#REF!</v>
      </c>
      <c r="GN147" t="e">
        <f>AND(#REF!,"AAAAAH7328M=")</f>
        <v>#REF!</v>
      </c>
      <c r="GO147" t="e">
        <f>AND(#REF!,"AAAAAH7328Q=")</f>
        <v>#REF!</v>
      </c>
      <c r="GP147" t="e">
        <f>AND(#REF!,"AAAAAH7328U=")</f>
        <v>#REF!</v>
      </c>
      <c r="GQ147" t="e">
        <f>AND(#REF!,"AAAAAH7328Y=")</f>
        <v>#REF!</v>
      </c>
      <c r="GR147" t="e">
        <f>AND(#REF!,"AAAAAH7328c=")</f>
        <v>#REF!</v>
      </c>
      <c r="GS147" t="e">
        <f>AND(#REF!,"AAAAAH7328g=")</f>
        <v>#REF!</v>
      </c>
      <c r="GT147" t="e">
        <f>AND(#REF!,"AAAAAH7328k=")</f>
        <v>#REF!</v>
      </c>
      <c r="GU147" t="e">
        <f>AND(#REF!,"AAAAAH7328o=")</f>
        <v>#REF!</v>
      </c>
      <c r="GV147" t="e">
        <f>AND(#REF!,"AAAAAH7328s=")</f>
        <v>#REF!</v>
      </c>
      <c r="GW147" t="e">
        <f>AND(#REF!,"AAAAAH7328w=")</f>
        <v>#REF!</v>
      </c>
      <c r="GX147" t="e">
        <f>AND(#REF!,"AAAAAH73280=")</f>
        <v>#REF!</v>
      </c>
      <c r="GY147" t="e">
        <f>AND(#REF!,"AAAAAH73284=")</f>
        <v>#REF!</v>
      </c>
      <c r="GZ147" t="e">
        <f>AND(#REF!,"AAAAAH73288=")</f>
        <v>#REF!</v>
      </c>
      <c r="HA147" t="e">
        <f>AND(#REF!,"AAAAAH7329A=")</f>
        <v>#REF!</v>
      </c>
      <c r="HB147" t="e">
        <f>IF(#REF!,"AAAAAH7329E=",0)</f>
        <v>#REF!</v>
      </c>
      <c r="HC147" t="e">
        <f>AND(#REF!,"AAAAAH7329I=")</f>
        <v>#REF!</v>
      </c>
      <c r="HD147" t="e">
        <f>AND(#REF!,"AAAAAH7329M=")</f>
        <v>#REF!</v>
      </c>
      <c r="HE147" t="e">
        <f>AND(#REF!,"AAAAAH7329Q=")</f>
        <v>#REF!</v>
      </c>
      <c r="HF147" t="e">
        <f>AND(#REF!,"AAAAAH7329U=")</f>
        <v>#REF!</v>
      </c>
      <c r="HG147" t="e">
        <f>AND(#REF!,"AAAAAH7329Y=")</f>
        <v>#REF!</v>
      </c>
      <c r="HH147" t="e">
        <f>AND(#REF!,"AAAAAH7329c=")</f>
        <v>#REF!</v>
      </c>
      <c r="HI147" t="e">
        <f>AND(#REF!,"AAAAAH7329g=")</f>
        <v>#REF!</v>
      </c>
      <c r="HJ147" t="e">
        <f>AND(#REF!,"AAAAAH7329k=")</f>
        <v>#REF!</v>
      </c>
      <c r="HK147" t="e">
        <f>AND(#REF!,"AAAAAH7329o=")</f>
        <v>#REF!</v>
      </c>
      <c r="HL147" t="e">
        <f>AND(#REF!,"AAAAAH7329s=")</f>
        <v>#REF!</v>
      </c>
      <c r="HM147" t="e">
        <f>AND(#REF!,"AAAAAH7329w=")</f>
        <v>#REF!</v>
      </c>
      <c r="HN147" t="e">
        <f>AND(#REF!,"AAAAAH73290=")</f>
        <v>#REF!</v>
      </c>
      <c r="HO147" t="e">
        <f>AND(#REF!,"AAAAAH73294=")</f>
        <v>#REF!</v>
      </c>
      <c r="HP147" t="e">
        <f>AND(#REF!,"AAAAAH73298=")</f>
        <v>#REF!</v>
      </c>
      <c r="HQ147" t="e">
        <f>AND(#REF!,"AAAAAH732+A=")</f>
        <v>#REF!</v>
      </c>
      <c r="HR147" t="e">
        <f>AND(#REF!,"AAAAAH732+E=")</f>
        <v>#REF!</v>
      </c>
      <c r="HS147" t="e">
        <f>AND(#REF!,"AAAAAH732+I=")</f>
        <v>#REF!</v>
      </c>
      <c r="HT147" t="e">
        <f>AND(#REF!,"AAAAAH732+M=")</f>
        <v>#REF!</v>
      </c>
      <c r="HU147" t="e">
        <f>AND(#REF!,"AAAAAH732+Q=")</f>
        <v>#REF!</v>
      </c>
      <c r="HV147" t="e">
        <f>AND(#REF!,"AAAAAH732+U=")</f>
        <v>#REF!</v>
      </c>
      <c r="HW147" t="e">
        <f>AND(#REF!,"AAAAAH732+Y=")</f>
        <v>#REF!</v>
      </c>
      <c r="HX147" t="e">
        <f>AND(#REF!,"AAAAAH732+c=")</f>
        <v>#REF!</v>
      </c>
      <c r="HY147" t="e">
        <f>AND(#REF!,"AAAAAH732+g=")</f>
        <v>#REF!</v>
      </c>
      <c r="HZ147" t="e">
        <f>AND(#REF!,"AAAAAH732+k=")</f>
        <v>#REF!</v>
      </c>
      <c r="IA147" t="e">
        <f>IF(#REF!,"AAAAAH732+o=",0)</f>
        <v>#REF!</v>
      </c>
      <c r="IB147" t="e">
        <f>AND(#REF!,"AAAAAH732+s=")</f>
        <v>#REF!</v>
      </c>
      <c r="IC147" t="e">
        <f>AND(#REF!,"AAAAAH732+w=")</f>
        <v>#REF!</v>
      </c>
      <c r="ID147" t="e">
        <f>AND(#REF!,"AAAAAH732+0=")</f>
        <v>#REF!</v>
      </c>
      <c r="IE147" t="e">
        <f>AND(#REF!,"AAAAAH732+4=")</f>
        <v>#REF!</v>
      </c>
      <c r="IF147" t="e">
        <f>AND(#REF!,"AAAAAH732+8=")</f>
        <v>#REF!</v>
      </c>
      <c r="IG147" t="e">
        <f>AND(#REF!,"AAAAAH732/A=")</f>
        <v>#REF!</v>
      </c>
      <c r="IH147" t="e">
        <f>AND(#REF!,"AAAAAH732/E=")</f>
        <v>#REF!</v>
      </c>
      <c r="II147" t="e">
        <f>AND(#REF!,"AAAAAH732/I=")</f>
        <v>#REF!</v>
      </c>
      <c r="IJ147" t="e">
        <f>AND(#REF!,"AAAAAH732/M=")</f>
        <v>#REF!</v>
      </c>
      <c r="IK147" t="e">
        <f>AND(#REF!,"AAAAAH732/Q=")</f>
        <v>#REF!</v>
      </c>
      <c r="IL147" t="e">
        <f>AND(#REF!,"AAAAAH732/U=")</f>
        <v>#REF!</v>
      </c>
      <c r="IM147" t="e">
        <f>AND(#REF!,"AAAAAH732/Y=")</f>
        <v>#REF!</v>
      </c>
      <c r="IN147" t="e">
        <f>AND(#REF!,"AAAAAH732/c=")</f>
        <v>#REF!</v>
      </c>
      <c r="IO147" t="e">
        <f>AND(#REF!,"AAAAAH732/g=")</f>
        <v>#REF!</v>
      </c>
      <c r="IP147" t="e">
        <f>AND(#REF!,"AAAAAH732/k=")</f>
        <v>#REF!</v>
      </c>
      <c r="IQ147" t="e">
        <f>AND(#REF!,"AAAAAH732/o=")</f>
        <v>#REF!</v>
      </c>
      <c r="IR147" t="e">
        <f>AND(#REF!,"AAAAAH732/s=")</f>
        <v>#REF!</v>
      </c>
      <c r="IS147" t="e">
        <f>AND(#REF!,"AAAAAH732/w=")</f>
        <v>#REF!</v>
      </c>
      <c r="IT147" t="e">
        <f>AND(#REF!,"AAAAAH732/0=")</f>
        <v>#REF!</v>
      </c>
      <c r="IU147" t="e">
        <f>AND(#REF!,"AAAAAH732/4=")</f>
        <v>#REF!</v>
      </c>
      <c r="IV147" t="e">
        <f>AND(#REF!,"AAAAAH732/8=")</f>
        <v>#REF!</v>
      </c>
    </row>
    <row r="148" spans="1:256">
      <c r="A148" t="e">
        <f>AND(#REF!,"AAAAAG/7kwA=")</f>
        <v>#REF!</v>
      </c>
      <c r="B148" t="e">
        <f>AND(#REF!,"AAAAAG/7kwE=")</f>
        <v>#REF!</v>
      </c>
      <c r="C148" t="e">
        <f>AND(#REF!,"AAAAAG/7kwI=")</f>
        <v>#REF!</v>
      </c>
      <c r="D148" t="e">
        <f>IF(#REF!,"AAAAAG/7kwM=",0)</f>
        <v>#REF!</v>
      </c>
      <c r="E148" t="e">
        <f>AND(#REF!,"AAAAAG/7kwQ=")</f>
        <v>#REF!</v>
      </c>
      <c r="F148" t="e">
        <f>AND(#REF!,"AAAAAG/7kwU=")</f>
        <v>#REF!</v>
      </c>
      <c r="G148" t="e">
        <f>AND(#REF!,"AAAAAG/7kwY=")</f>
        <v>#REF!</v>
      </c>
      <c r="H148" t="e">
        <f>AND(#REF!,"AAAAAG/7kwc=")</f>
        <v>#REF!</v>
      </c>
      <c r="I148" t="e">
        <f>AND(#REF!,"AAAAAG/7kwg=")</f>
        <v>#REF!</v>
      </c>
      <c r="J148" t="e">
        <f>AND(#REF!,"AAAAAG/7kwk=")</f>
        <v>#REF!</v>
      </c>
      <c r="K148" t="e">
        <f>AND(#REF!,"AAAAAG/7kwo=")</f>
        <v>#REF!</v>
      </c>
      <c r="L148" t="e">
        <f>AND(#REF!,"AAAAAG/7kws=")</f>
        <v>#REF!</v>
      </c>
      <c r="M148" t="e">
        <f>AND(#REF!,"AAAAAG/7kww=")</f>
        <v>#REF!</v>
      </c>
      <c r="N148" t="e">
        <f>AND(#REF!,"AAAAAG/7kw0=")</f>
        <v>#REF!</v>
      </c>
      <c r="O148" t="e">
        <f>AND(#REF!,"AAAAAG/7kw4=")</f>
        <v>#REF!</v>
      </c>
      <c r="P148" t="e">
        <f>AND(#REF!,"AAAAAG/7kw8=")</f>
        <v>#REF!</v>
      </c>
      <c r="Q148" t="e">
        <f>AND(#REF!,"AAAAAG/7kxA=")</f>
        <v>#REF!</v>
      </c>
      <c r="R148" t="e">
        <f>AND(#REF!,"AAAAAG/7kxE=")</f>
        <v>#REF!</v>
      </c>
      <c r="S148" t="e">
        <f>AND(#REF!,"AAAAAG/7kxI=")</f>
        <v>#REF!</v>
      </c>
      <c r="T148" t="e">
        <f>AND(#REF!,"AAAAAG/7kxM=")</f>
        <v>#REF!</v>
      </c>
      <c r="U148" t="e">
        <f>AND(#REF!,"AAAAAG/7kxQ=")</f>
        <v>#REF!</v>
      </c>
      <c r="V148" t="e">
        <f>AND(#REF!,"AAAAAG/7kxU=")</f>
        <v>#REF!</v>
      </c>
      <c r="W148" t="e">
        <f>AND(#REF!,"AAAAAG/7kxY=")</f>
        <v>#REF!</v>
      </c>
      <c r="X148" t="e">
        <f>AND(#REF!,"AAAAAG/7kxc=")</f>
        <v>#REF!</v>
      </c>
      <c r="Y148" t="e">
        <f>AND(#REF!,"AAAAAG/7kxg=")</f>
        <v>#REF!</v>
      </c>
      <c r="Z148" t="e">
        <f>AND(#REF!,"AAAAAG/7kxk=")</f>
        <v>#REF!</v>
      </c>
      <c r="AA148" t="e">
        <f>AND(#REF!,"AAAAAG/7kxo=")</f>
        <v>#REF!</v>
      </c>
      <c r="AB148" t="e">
        <f>AND(#REF!,"AAAAAG/7kxs=")</f>
        <v>#REF!</v>
      </c>
      <c r="AC148" t="e">
        <f>IF(#REF!,"AAAAAG/7kxw=",0)</f>
        <v>#REF!</v>
      </c>
      <c r="AD148" t="e">
        <f>AND(#REF!,"AAAAAG/7kx0=")</f>
        <v>#REF!</v>
      </c>
      <c r="AE148" t="e">
        <f>AND(#REF!,"AAAAAG/7kx4=")</f>
        <v>#REF!</v>
      </c>
      <c r="AF148" t="e">
        <f>AND(#REF!,"AAAAAG/7kx8=")</f>
        <v>#REF!</v>
      </c>
      <c r="AG148" t="e">
        <f>AND(#REF!,"AAAAAG/7kyA=")</f>
        <v>#REF!</v>
      </c>
      <c r="AH148" t="e">
        <f>AND(#REF!,"AAAAAG/7kyE=")</f>
        <v>#REF!</v>
      </c>
      <c r="AI148" t="e">
        <f>AND(#REF!,"AAAAAG/7kyI=")</f>
        <v>#REF!</v>
      </c>
      <c r="AJ148" t="e">
        <f>AND(#REF!,"AAAAAG/7kyM=")</f>
        <v>#REF!</v>
      </c>
      <c r="AK148" t="e">
        <f>AND(#REF!,"AAAAAG/7kyQ=")</f>
        <v>#REF!</v>
      </c>
      <c r="AL148" t="e">
        <f>AND(#REF!,"AAAAAG/7kyU=")</f>
        <v>#REF!</v>
      </c>
      <c r="AM148" t="e">
        <f>AND(#REF!,"AAAAAG/7kyY=")</f>
        <v>#REF!</v>
      </c>
      <c r="AN148" t="e">
        <f>AND(#REF!,"AAAAAG/7kyc=")</f>
        <v>#REF!</v>
      </c>
      <c r="AO148" t="e">
        <f>AND(#REF!,"AAAAAG/7kyg=")</f>
        <v>#REF!</v>
      </c>
      <c r="AP148" t="e">
        <f>AND(#REF!,"AAAAAG/7kyk=")</f>
        <v>#REF!</v>
      </c>
      <c r="AQ148" t="e">
        <f>AND(#REF!,"AAAAAG/7kyo=")</f>
        <v>#REF!</v>
      </c>
      <c r="AR148" t="e">
        <f>AND(#REF!,"AAAAAG/7kys=")</f>
        <v>#REF!</v>
      </c>
      <c r="AS148" t="e">
        <f>AND(#REF!,"AAAAAG/7kyw=")</f>
        <v>#REF!</v>
      </c>
      <c r="AT148" t="e">
        <f>AND(#REF!,"AAAAAG/7ky0=")</f>
        <v>#REF!</v>
      </c>
      <c r="AU148" t="e">
        <f>AND(#REF!,"AAAAAG/7ky4=")</f>
        <v>#REF!</v>
      </c>
      <c r="AV148" t="e">
        <f>AND(#REF!,"AAAAAG/7ky8=")</f>
        <v>#REF!</v>
      </c>
      <c r="AW148" t="e">
        <f>AND(#REF!,"AAAAAG/7kzA=")</f>
        <v>#REF!</v>
      </c>
      <c r="AX148" t="e">
        <f>AND(#REF!,"AAAAAG/7kzE=")</f>
        <v>#REF!</v>
      </c>
      <c r="AY148" t="e">
        <f>AND(#REF!,"AAAAAG/7kzI=")</f>
        <v>#REF!</v>
      </c>
      <c r="AZ148" t="e">
        <f>AND(#REF!,"AAAAAG/7kzM=")</f>
        <v>#REF!</v>
      </c>
      <c r="BA148" t="e">
        <f>AND(#REF!,"AAAAAG/7kzQ=")</f>
        <v>#REF!</v>
      </c>
      <c r="BB148" t="e">
        <f>IF(#REF!,"AAAAAG/7kzU=",0)</f>
        <v>#REF!</v>
      </c>
      <c r="BC148" t="e">
        <f>AND(#REF!,"AAAAAG/7kzY=")</f>
        <v>#REF!</v>
      </c>
      <c r="BD148" t="e">
        <f>AND(#REF!,"AAAAAG/7kzc=")</f>
        <v>#REF!</v>
      </c>
      <c r="BE148" t="e">
        <f>AND(#REF!,"AAAAAG/7kzg=")</f>
        <v>#REF!</v>
      </c>
      <c r="BF148" t="e">
        <f>AND(#REF!,"AAAAAG/7kzk=")</f>
        <v>#REF!</v>
      </c>
      <c r="BG148" t="e">
        <f>AND(#REF!,"AAAAAG/7kzo=")</f>
        <v>#REF!</v>
      </c>
      <c r="BH148" t="e">
        <f>AND(#REF!,"AAAAAG/7kzs=")</f>
        <v>#REF!</v>
      </c>
      <c r="BI148" t="e">
        <f>AND(#REF!,"AAAAAG/7kzw=")</f>
        <v>#REF!</v>
      </c>
      <c r="BJ148" t="e">
        <f>AND(#REF!,"AAAAAG/7kz0=")</f>
        <v>#REF!</v>
      </c>
      <c r="BK148" t="e">
        <f>AND(#REF!,"AAAAAG/7kz4=")</f>
        <v>#REF!</v>
      </c>
      <c r="BL148" t="e">
        <f>AND(#REF!,"AAAAAG/7kz8=")</f>
        <v>#REF!</v>
      </c>
      <c r="BM148" t="e">
        <f>AND(#REF!,"AAAAAG/7k0A=")</f>
        <v>#REF!</v>
      </c>
      <c r="BN148" t="e">
        <f>AND(#REF!,"AAAAAG/7k0E=")</f>
        <v>#REF!</v>
      </c>
      <c r="BO148" t="e">
        <f>AND(#REF!,"AAAAAG/7k0I=")</f>
        <v>#REF!</v>
      </c>
      <c r="BP148" t="e">
        <f>AND(#REF!,"AAAAAG/7k0M=")</f>
        <v>#REF!</v>
      </c>
      <c r="BQ148" t="e">
        <f>AND(#REF!,"AAAAAG/7k0Q=")</f>
        <v>#REF!</v>
      </c>
      <c r="BR148" t="e">
        <f>AND(#REF!,"AAAAAG/7k0U=")</f>
        <v>#REF!</v>
      </c>
      <c r="BS148" t="e">
        <f>AND(#REF!,"AAAAAG/7k0Y=")</f>
        <v>#REF!</v>
      </c>
      <c r="BT148" t="e">
        <f>AND(#REF!,"AAAAAG/7k0c=")</f>
        <v>#REF!</v>
      </c>
      <c r="BU148" t="e">
        <f>AND(#REF!,"AAAAAG/7k0g=")</f>
        <v>#REF!</v>
      </c>
      <c r="BV148" t="e">
        <f>AND(#REF!,"AAAAAG/7k0k=")</f>
        <v>#REF!</v>
      </c>
      <c r="BW148" t="e">
        <f>AND(#REF!,"AAAAAG/7k0o=")</f>
        <v>#REF!</v>
      </c>
      <c r="BX148" t="e">
        <f>AND(#REF!,"AAAAAG/7k0s=")</f>
        <v>#REF!</v>
      </c>
      <c r="BY148" t="e">
        <f>AND(#REF!,"AAAAAG/7k0w=")</f>
        <v>#REF!</v>
      </c>
      <c r="BZ148" t="e">
        <f>AND(#REF!,"AAAAAG/7k00=")</f>
        <v>#REF!</v>
      </c>
      <c r="CA148" t="e">
        <f>IF(#REF!,"AAAAAG/7k04=",0)</f>
        <v>#REF!</v>
      </c>
      <c r="CB148" t="e">
        <f>AND(#REF!,"AAAAAG/7k08=")</f>
        <v>#REF!</v>
      </c>
      <c r="CC148" t="e">
        <f>AND(#REF!,"AAAAAG/7k1A=")</f>
        <v>#REF!</v>
      </c>
      <c r="CD148" t="e">
        <f>AND(#REF!,"AAAAAG/7k1E=")</f>
        <v>#REF!</v>
      </c>
      <c r="CE148" t="e">
        <f>AND(#REF!,"AAAAAG/7k1I=")</f>
        <v>#REF!</v>
      </c>
      <c r="CF148" t="e">
        <f>AND(#REF!,"AAAAAG/7k1M=")</f>
        <v>#REF!</v>
      </c>
      <c r="CG148" t="e">
        <f>AND(#REF!,"AAAAAG/7k1Q=")</f>
        <v>#REF!</v>
      </c>
      <c r="CH148" t="e">
        <f>AND(#REF!,"AAAAAG/7k1U=")</f>
        <v>#REF!</v>
      </c>
      <c r="CI148" t="e">
        <f>AND(#REF!,"AAAAAG/7k1Y=")</f>
        <v>#REF!</v>
      </c>
      <c r="CJ148" t="e">
        <f>AND(#REF!,"AAAAAG/7k1c=")</f>
        <v>#REF!</v>
      </c>
      <c r="CK148" t="e">
        <f>AND(#REF!,"AAAAAG/7k1g=")</f>
        <v>#REF!</v>
      </c>
      <c r="CL148" t="e">
        <f>AND(#REF!,"AAAAAG/7k1k=")</f>
        <v>#REF!</v>
      </c>
      <c r="CM148" t="e">
        <f>AND(#REF!,"AAAAAG/7k1o=")</f>
        <v>#REF!</v>
      </c>
      <c r="CN148" t="e">
        <f>AND(#REF!,"AAAAAG/7k1s=")</f>
        <v>#REF!</v>
      </c>
      <c r="CO148" t="e">
        <f>AND(#REF!,"AAAAAG/7k1w=")</f>
        <v>#REF!</v>
      </c>
      <c r="CP148" t="e">
        <f>AND(#REF!,"AAAAAG/7k10=")</f>
        <v>#REF!</v>
      </c>
      <c r="CQ148" t="e">
        <f>AND(#REF!,"AAAAAG/7k14=")</f>
        <v>#REF!</v>
      </c>
      <c r="CR148" t="e">
        <f>AND(#REF!,"AAAAAG/7k18=")</f>
        <v>#REF!</v>
      </c>
      <c r="CS148" t="e">
        <f>AND(#REF!,"AAAAAG/7k2A=")</f>
        <v>#REF!</v>
      </c>
      <c r="CT148" t="e">
        <f>AND(#REF!,"AAAAAG/7k2E=")</f>
        <v>#REF!</v>
      </c>
      <c r="CU148" t="e">
        <f>AND(#REF!,"AAAAAG/7k2I=")</f>
        <v>#REF!</v>
      </c>
      <c r="CV148" t="e">
        <f>AND(#REF!,"AAAAAG/7k2M=")</f>
        <v>#REF!</v>
      </c>
      <c r="CW148" t="e">
        <f>AND(#REF!,"AAAAAG/7k2Q=")</f>
        <v>#REF!</v>
      </c>
      <c r="CX148" t="e">
        <f>AND(#REF!,"AAAAAG/7k2U=")</f>
        <v>#REF!</v>
      </c>
      <c r="CY148" t="e">
        <f>AND(#REF!,"AAAAAG/7k2Y=")</f>
        <v>#REF!</v>
      </c>
      <c r="CZ148" t="e">
        <f>IF(#REF!,"AAAAAG/7k2c=",0)</f>
        <v>#REF!</v>
      </c>
      <c r="DA148" t="e">
        <f>AND(#REF!,"AAAAAG/7k2g=")</f>
        <v>#REF!</v>
      </c>
      <c r="DB148" t="e">
        <f>AND(#REF!,"AAAAAG/7k2k=")</f>
        <v>#REF!</v>
      </c>
      <c r="DC148" t="e">
        <f>AND(#REF!,"AAAAAG/7k2o=")</f>
        <v>#REF!</v>
      </c>
      <c r="DD148" t="e">
        <f>AND(#REF!,"AAAAAG/7k2s=")</f>
        <v>#REF!</v>
      </c>
      <c r="DE148" t="e">
        <f>AND(#REF!,"AAAAAG/7k2w=")</f>
        <v>#REF!</v>
      </c>
      <c r="DF148" t="e">
        <f>AND(#REF!,"AAAAAG/7k20=")</f>
        <v>#REF!</v>
      </c>
      <c r="DG148" t="e">
        <f>AND(#REF!,"AAAAAG/7k24=")</f>
        <v>#REF!</v>
      </c>
      <c r="DH148" t="e">
        <f>AND(#REF!,"AAAAAG/7k28=")</f>
        <v>#REF!</v>
      </c>
      <c r="DI148" t="e">
        <f>AND(#REF!,"AAAAAG/7k3A=")</f>
        <v>#REF!</v>
      </c>
      <c r="DJ148" t="e">
        <f>AND(#REF!,"AAAAAG/7k3E=")</f>
        <v>#REF!</v>
      </c>
      <c r="DK148" t="e">
        <f>AND(#REF!,"AAAAAG/7k3I=")</f>
        <v>#REF!</v>
      </c>
      <c r="DL148" t="e">
        <f>AND(#REF!,"AAAAAG/7k3M=")</f>
        <v>#REF!</v>
      </c>
      <c r="DM148" t="e">
        <f>AND(#REF!,"AAAAAG/7k3Q=")</f>
        <v>#REF!</v>
      </c>
      <c r="DN148" t="e">
        <f>AND(#REF!,"AAAAAG/7k3U=")</f>
        <v>#REF!</v>
      </c>
      <c r="DO148" t="e">
        <f>AND(#REF!,"AAAAAG/7k3Y=")</f>
        <v>#REF!</v>
      </c>
      <c r="DP148" t="e">
        <f>AND(#REF!,"AAAAAG/7k3c=")</f>
        <v>#REF!</v>
      </c>
      <c r="DQ148" t="e">
        <f>AND(#REF!,"AAAAAG/7k3g=")</f>
        <v>#REF!</v>
      </c>
      <c r="DR148" t="e">
        <f>AND(#REF!,"AAAAAG/7k3k=")</f>
        <v>#REF!</v>
      </c>
      <c r="DS148" t="e">
        <f>AND(#REF!,"AAAAAG/7k3o=")</f>
        <v>#REF!</v>
      </c>
      <c r="DT148" t="e">
        <f>AND(#REF!,"AAAAAG/7k3s=")</f>
        <v>#REF!</v>
      </c>
      <c r="DU148" t="e">
        <f>AND(#REF!,"AAAAAG/7k3w=")</f>
        <v>#REF!</v>
      </c>
      <c r="DV148" t="e">
        <f>AND(#REF!,"AAAAAG/7k30=")</f>
        <v>#REF!</v>
      </c>
      <c r="DW148" t="e">
        <f>AND(#REF!,"AAAAAG/7k34=")</f>
        <v>#REF!</v>
      </c>
      <c r="DX148" t="e">
        <f>AND(#REF!,"AAAAAG/7k38=")</f>
        <v>#REF!</v>
      </c>
      <c r="DY148" t="e">
        <f>IF(#REF!,"AAAAAG/7k4A=",0)</f>
        <v>#REF!</v>
      </c>
      <c r="DZ148" t="e">
        <f>AND(#REF!,"AAAAAG/7k4E=")</f>
        <v>#REF!</v>
      </c>
      <c r="EA148" t="e">
        <f>AND(#REF!,"AAAAAG/7k4I=")</f>
        <v>#REF!</v>
      </c>
      <c r="EB148" t="e">
        <f>AND(#REF!,"AAAAAG/7k4M=")</f>
        <v>#REF!</v>
      </c>
      <c r="EC148" t="e">
        <f>AND(#REF!,"AAAAAG/7k4Q=")</f>
        <v>#REF!</v>
      </c>
      <c r="ED148" t="e">
        <f>AND(#REF!,"AAAAAG/7k4U=")</f>
        <v>#REF!</v>
      </c>
      <c r="EE148" t="e">
        <f>AND(#REF!,"AAAAAG/7k4Y=")</f>
        <v>#REF!</v>
      </c>
      <c r="EF148" t="e">
        <f>AND(#REF!,"AAAAAG/7k4c=")</f>
        <v>#REF!</v>
      </c>
      <c r="EG148" t="e">
        <f>AND(#REF!,"AAAAAG/7k4g=")</f>
        <v>#REF!</v>
      </c>
      <c r="EH148" t="e">
        <f>AND(#REF!,"AAAAAG/7k4k=")</f>
        <v>#REF!</v>
      </c>
      <c r="EI148" t="e">
        <f>AND(#REF!,"AAAAAG/7k4o=")</f>
        <v>#REF!</v>
      </c>
      <c r="EJ148" t="e">
        <f>AND(#REF!,"AAAAAG/7k4s=")</f>
        <v>#REF!</v>
      </c>
      <c r="EK148" t="e">
        <f>AND(#REF!,"AAAAAG/7k4w=")</f>
        <v>#REF!</v>
      </c>
      <c r="EL148" t="e">
        <f>AND(#REF!,"AAAAAG/7k40=")</f>
        <v>#REF!</v>
      </c>
      <c r="EM148" t="e">
        <f>AND(#REF!,"AAAAAG/7k44=")</f>
        <v>#REF!</v>
      </c>
      <c r="EN148" t="e">
        <f>AND(#REF!,"AAAAAG/7k48=")</f>
        <v>#REF!</v>
      </c>
      <c r="EO148" t="e">
        <f>AND(#REF!,"AAAAAG/7k5A=")</f>
        <v>#REF!</v>
      </c>
      <c r="EP148" t="e">
        <f>AND(#REF!,"AAAAAG/7k5E=")</f>
        <v>#REF!</v>
      </c>
      <c r="EQ148" t="e">
        <f>AND(#REF!,"AAAAAG/7k5I=")</f>
        <v>#REF!</v>
      </c>
      <c r="ER148" t="e">
        <f>AND(#REF!,"AAAAAG/7k5M=")</f>
        <v>#REF!</v>
      </c>
      <c r="ES148" t="e">
        <f>AND(#REF!,"AAAAAG/7k5Q=")</f>
        <v>#REF!</v>
      </c>
      <c r="ET148" t="e">
        <f>AND(#REF!,"AAAAAG/7k5U=")</f>
        <v>#REF!</v>
      </c>
      <c r="EU148" t="e">
        <f>AND(#REF!,"AAAAAG/7k5Y=")</f>
        <v>#REF!</v>
      </c>
      <c r="EV148" t="e">
        <f>AND(#REF!,"AAAAAG/7k5c=")</f>
        <v>#REF!</v>
      </c>
      <c r="EW148" t="e">
        <f>AND(#REF!,"AAAAAG/7k5g=")</f>
        <v>#REF!</v>
      </c>
      <c r="EX148" t="e">
        <f>IF(#REF!,"AAAAAG/7k5k=",0)</f>
        <v>#REF!</v>
      </c>
      <c r="EY148" t="e">
        <f>AND(#REF!,"AAAAAG/7k5o=")</f>
        <v>#REF!</v>
      </c>
      <c r="EZ148" t="e">
        <f>AND(#REF!,"AAAAAG/7k5s=")</f>
        <v>#REF!</v>
      </c>
      <c r="FA148" t="e">
        <f>AND(#REF!,"AAAAAG/7k5w=")</f>
        <v>#REF!</v>
      </c>
      <c r="FB148" t="e">
        <f>AND(#REF!,"AAAAAG/7k50=")</f>
        <v>#REF!</v>
      </c>
      <c r="FC148" t="e">
        <f>AND(#REF!,"AAAAAG/7k54=")</f>
        <v>#REF!</v>
      </c>
      <c r="FD148" t="e">
        <f>AND(#REF!,"AAAAAG/7k58=")</f>
        <v>#REF!</v>
      </c>
      <c r="FE148" t="e">
        <f>AND(#REF!,"AAAAAG/7k6A=")</f>
        <v>#REF!</v>
      </c>
      <c r="FF148" t="e">
        <f>AND(#REF!,"AAAAAG/7k6E=")</f>
        <v>#REF!</v>
      </c>
      <c r="FG148" t="e">
        <f>AND(#REF!,"AAAAAG/7k6I=")</f>
        <v>#REF!</v>
      </c>
      <c r="FH148" t="e">
        <f>AND(#REF!,"AAAAAG/7k6M=")</f>
        <v>#REF!</v>
      </c>
      <c r="FI148" t="e">
        <f>AND(#REF!,"AAAAAG/7k6Q=")</f>
        <v>#REF!</v>
      </c>
      <c r="FJ148" t="e">
        <f>AND(#REF!,"AAAAAG/7k6U=")</f>
        <v>#REF!</v>
      </c>
      <c r="FK148" t="e">
        <f>AND(#REF!,"AAAAAG/7k6Y=")</f>
        <v>#REF!</v>
      </c>
      <c r="FL148" t="e">
        <f>AND(#REF!,"AAAAAG/7k6c=")</f>
        <v>#REF!</v>
      </c>
      <c r="FM148" t="e">
        <f>AND(#REF!,"AAAAAG/7k6g=")</f>
        <v>#REF!</v>
      </c>
      <c r="FN148" t="e">
        <f>AND(#REF!,"AAAAAG/7k6k=")</f>
        <v>#REF!</v>
      </c>
      <c r="FO148" t="e">
        <f>AND(#REF!,"AAAAAG/7k6o=")</f>
        <v>#REF!</v>
      </c>
      <c r="FP148" t="e">
        <f>AND(#REF!,"AAAAAG/7k6s=")</f>
        <v>#REF!</v>
      </c>
      <c r="FQ148" t="e">
        <f>AND(#REF!,"AAAAAG/7k6w=")</f>
        <v>#REF!</v>
      </c>
      <c r="FR148" t="e">
        <f>AND(#REF!,"AAAAAG/7k60=")</f>
        <v>#REF!</v>
      </c>
      <c r="FS148" t="e">
        <f>AND(#REF!,"AAAAAG/7k64=")</f>
        <v>#REF!</v>
      </c>
      <c r="FT148" t="e">
        <f>AND(#REF!,"AAAAAG/7k68=")</f>
        <v>#REF!</v>
      </c>
      <c r="FU148" t="e">
        <f>AND(#REF!,"AAAAAG/7k7A=")</f>
        <v>#REF!</v>
      </c>
      <c r="FV148" t="e">
        <f>AND(#REF!,"AAAAAG/7k7E=")</f>
        <v>#REF!</v>
      </c>
      <c r="FW148" t="e">
        <f>IF(#REF!,"AAAAAG/7k7I=",0)</f>
        <v>#REF!</v>
      </c>
      <c r="FX148" t="e">
        <f>AND(#REF!,"AAAAAG/7k7M=")</f>
        <v>#REF!</v>
      </c>
      <c r="FY148" t="e">
        <f>AND(#REF!,"AAAAAG/7k7Q=")</f>
        <v>#REF!</v>
      </c>
      <c r="FZ148" t="e">
        <f>AND(#REF!,"AAAAAG/7k7U=")</f>
        <v>#REF!</v>
      </c>
      <c r="GA148" t="e">
        <f>AND(#REF!,"AAAAAG/7k7Y=")</f>
        <v>#REF!</v>
      </c>
      <c r="GB148" t="e">
        <f>AND(#REF!,"AAAAAG/7k7c=")</f>
        <v>#REF!</v>
      </c>
      <c r="GC148" t="e">
        <f>AND(#REF!,"AAAAAG/7k7g=")</f>
        <v>#REF!</v>
      </c>
      <c r="GD148" t="e">
        <f>AND(#REF!,"AAAAAG/7k7k=")</f>
        <v>#REF!</v>
      </c>
      <c r="GE148" t="e">
        <f>AND(#REF!,"AAAAAG/7k7o=")</f>
        <v>#REF!</v>
      </c>
      <c r="GF148" t="e">
        <f>AND(#REF!,"AAAAAG/7k7s=")</f>
        <v>#REF!</v>
      </c>
      <c r="GG148" t="e">
        <f>AND(#REF!,"AAAAAG/7k7w=")</f>
        <v>#REF!</v>
      </c>
      <c r="GH148" t="e">
        <f>AND(#REF!,"AAAAAG/7k70=")</f>
        <v>#REF!</v>
      </c>
      <c r="GI148" t="e">
        <f>AND(#REF!,"AAAAAG/7k74=")</f>
        <v>#REF!</v>
      </c>
      <c r="GJ148" t="e">
        <f>AND(#REF!,"AAAAAG/7k78=")</f>
        <v>#REF!</v>
      </c>
      <c r="GK148" t="e">
        <f>AND(#REF!,"AAAAAG/7k8A=")</f>
        <v>#REF!</v>
      </c>
      <c r="GL148" t="e">
        <f>AND(#REF!,"AAAAAG/7k8E=")</f>
        <v>#REF!</v>
      </c>
      <c r="GM148" t="e">
        <f>AND(#REF!,"AAAAAG/7k8I=")</f>
        <v>#REF!</v>
      </c>
      <c r="GN148" t="e">
        <f>AND(#REF!,"AAAAAG/7k8M=")</f>
        <v>#REF!</v>
      </c>
      <c r="GO148" t="e">
        <f>AND(#REF!,"AAAAAG/7k8Q=")</f>
        <v>#REF!</v>
      </c>
      <c r="GP148" t="e">
        <f>AND(#REF!,"AAAAAG/7k8U=")</f>
        <v>#REF!</v>
      </c>
      <c r="GQ148" t="e">
        <f>AND(#REF!,"AAAAAG/7k8Y=")</f>
        <v>#REF!</v>
      </c>
      <c r="GR148" t="e">
        <f>AND(#REF!,"AAAAAG/7k8c=")</f>
        <v>#REF!</v>
      </c>
      <c r="GS148" t="e">
        <f>AND(#REF!,"AAAAAG/7k8g=")</f>
        <v>#REF!</v>
      </c>
      <c r="GT148" t="e">
        <f>AND(#REF!,"AAAAAG/7k8k=")</f>
        <v>#REF!</v>
      </c>
      <c r="GU148" t="e">
        <f>AND(#REF!,"AAAAAG/7k8o=")</f>
        <v>#REF!</v>
      </c>
      <c r="GV148" t="e">
        <f>IF(#REF!,"AAAAAG/7k8s=",0)</f>
        <v>#REF!</v>
      </c>
      <c r="GW148" t="e">
        <f>AND(#REF!,"AAAAAG/7k8w=")</f>
        <v>#REF!</v>
      </c>
      <c r="GX148" t="e">
        <f>AND(#REF!,"AAAAAG/7k80=")</f>
        <v>#REF!</v>
      </c>
      <c r="GY148" t="e">
        <f>AND(#REF!,"AAAAAG/7k84=")</f>
        <v>#REF!</v>
      </c>
      <c r="GZ148" t="e">
        <f>AND(#REF!,"AAAAAG/7k88=")</f>
        <v>#REF!</v>
      </c>
      <c r="HA148" t="e">
        <f>AND(#REF!,"AAAAAG/7k9A=")</f>
        <v>#REF!</v>
      </c>
      <c r="HB148" t="e">
        <f>AND(#REF!,"AAAAAG/7k9E=")</f>
        <v>#REF!</v>
      </c>
      <c r="HC148" t="e">
        <f>AND(#REF!,"AAAAAG/7k9I=")</f>
        <v>#REF!</v>
      </c>
      <c r="HD148" t="e">
        <f>AND(#REF!,"AAAAAG/7k9M=")</f>
        <v>#REF!</v>
      </c>
      <c r="HE148" t="e">
        <f>AND(#REF!,"AAAAAG/7k9Q=")</f>
        <v>#REF!</v>
      </c>
      <c r="HF148" t="e">
        <f>AND(#REF!,"AAAAAG/7k9U=")</f>
        <v>#REF!</v>
      </c>
      <c r="HG148" t="e">
        <f>AND(#REF!,"AAAAAG/7k9Y=")</f>
        <v>#REF!</v>
      </c>
      <c r="HH148" t="e">
        <f>AND(#REF!,"AAAAAG/7k9c=")</f>
        <v>#REF!</v>
      </c>
      <c r="HI148" t="e">
        <f>AND(#REF!,"AAAAAG/7k9g=")</f>
        <v>#REF!</v>
      </c>
      <c r="HJ148" t="e">
        <f>AND(#REF!,"AAAAAG/7k9k=")</f>
        <v>#REF!</v>
      </c>
      <c r="HK148" t="e">
        <f>AND(#REF!,"AAAAAG/7k9o=")</f>
        <v>#REF!</v>
      </c>
      <c r="HL148" t="e">
        <f>AND(#REF!,"AAAAAG/7k9s=")</f>
        <v>#REF!</v>
      </c>
      <c r="HM148" t="e">
        <f>AND(#REF!,"AAAAAG/7k9w=")</f>
        <v>#REF!</v>
      </c>
      <c r="HN148" t="e">
        <f>AND(#REF!,"AAAAAG/7k90=")</f>
        <v>#REF!</v>
      </c>
      <c r="HO148" t="e">
        <f>AND(#REF!,"AAAAAG/7k94=")</f>
        <v>#REF!</v>
      </c>
      <c r="HP148" t="e">
        <f>AND(#REF!,"AAAAAG/7k98=")</f>
        <v>#REF!</v>
      </c>
      <c r="HQ148" t="e">
        <f>AND(#REF!,"AAAAAG/7k+A=")</f>
        <v>#REF!</v>
      </c>
      <c r="HR148" t="e">
        <f>AND(#REF!,"AAAAAG/7k+E=")</f>
        <v>#REF!</v>
      </c>
      <c r="HS148" t="e">
        <f>AND(#REF!,"AAAAAG/7k+I=")</f>
        <v>#REF!</v>
      </c>
      <c r="HT148" t="e">
        <f>AND(#REF!,"AAAAAG/7k+M=")</f>
        <v>#REF!</v>
      </c>
      <c r="HU148" t="e">
        <f>IF(#REF!,"AAAAAG/7k+Q=",0)</f>
        <v>#REF!</v>
      </c>
      <c r="HV148" t="e">
        <f>AND(#REF!,"AAAAAG/7k+U=")</f>
        <v>#REF!</v>
      </c>
      <c r="HW148" t="e">
        <f>AND(#REF!,"AAAAAG/7k+Y=")</f>
        <v>#REF!</v>
      </c>
      <c r="HX148" t="e">
        <f>AND(#REF!,"AAAAAG/7k+c=")</f>
        <v>#REF!</v>
      </c>
      <c r="HY148" t="e">
        <f>AND(#REF!,"AAAAAG/7k+g=")</f>
        <v>#REF!</v>
      </c>
      <c r="HZ148" t="e">
        <f>AND(#REF!,"AAAAAG/7k+k=")</f>
        <v>#REF!</v>
      </c>
      <c r="IA148" t="e">
        <f>AND(#REF!,"AAAAAG/7k+o=")</f>
        <v>#REF!</v>
      </c>
      <c r="IB148" t="e">
        <f>AND(#REF!,"AAAAAG/7k+s=")</f>
        <v>#REF!</v>
      </c>
      <c r="IC148" t="e">
        <f>AND(#REF!,"AAAAAG/7k+w=")</f>
        <v>#REF!</v>
      </c>
      <c r="ID148" t="e">
        <f>AND(#REF!,"AAAAAG/7k+0=")</f>
        <v>#REF!</v>
      </c>
      <c r="IE148" t="e">
        <f>AND(#REF!,"AAAAAG/7k+4=")</f>
        <v>#REF!</v>
      </c>
      <c r="IF148" t="e">
        <f>AND(#REF!,"AAAAAG/7k+8=")</f>
        <v>#REF!</v>
      </c>
      <c r="IG148" t="e">
        <f>AND(#REF!,"AAAAAG/7k/A=")</f>
        <v>#REF!</v>
      </c>
      <c r="IH148" t="e">
        <f>AND(#REF!,"AAAAAG/7k/E=")</f>
        <v>#REF!</v>
      </c>
      <c r="II148" t="e">
        <f>AND(#REF!,"AAAAAG/7k/I=")</f>
        <v>#REF!</v>
      </c>
      <c r="IJ148" t="e">
        <f>AND(#REF!,"AAAAAG/7k/M=")</f>
        <v>#REF!</v>
      </c>
      <c r="IK148" t="e">
        <f>AND(#REF!,"AAAAAG/7k/Q=")</f>
        <v>#REF!</v>
      </c>
      <c r="IL148" t="e">
        <f>AND(#REF!,"AAAAAG/7k/U=")</f>
        <v>#REF!</v>
      </c>
      <c r="IM148" t="e">
        <f>AND(#REF!,"AAAAAG/7k/Y=")</f>
        <v>#REF!</v>
      </c>
      <c r="IN148" t="e">
        <f>AND(#REF!,"AAAAAG/7k/c=")</f>
        <v>#REF!</v>
      </c>
      <c r="IO148" t="e">
        <f>AND(#REF!,"AAAAAG/7k/g=")</f>
        <v>#REF!</v>
      </c>
      <c r="IP148" t="e">
        <f>AND(#REF!,"AAAAAG/7k/k=")</f>
        <v>#REF!</v>
      </c>
      <c r="IQ148" t="e">
        <f>AND(#REF!,"AAAAAG/7k/o=")</f>
        <v>#REF!</v>
      </c>
      <c r="IR148" t="e">
        <f>AND(#REF!,"AAAAAG/7k/s=")</f>
        <v>#REF!</v>
      </c>
      <c r="IS148" t="e">
        <f>AND(#REF!,"AAAAAG/7k/w=")</f>
        <v>#REF!</v>
      </c>
      <c r="IT148" t="e">
        <f>IF(#REF!,"AAAAAG/7k/0=",0)</f>
        <v>#REF!</v>
      </c>
      <c r="IU148" t="e">
        <f>AND(#REF!,"AAAAAG/7k/4=")</f>
        <v>#REF!</v>
      </c>
      <c r="IV148" t="e">
        <f>AND(#REF!,"AAAAAG/7k/8=")</f>
        <v>#REF!</v>
      </c>
    </row>
    <row r="149" spans="1:256">
      <c r="A149" t="e">
        <f>AND(#REF!,"AAAAAC33fwA=")</f>
        <v>#REF!</v>
      </c>
      <c r="B149" t="e">
        <f>AND(#REF!,"AAAAAC33fwE=")</f>
        <v>#REF!</v>
      </c>
      <c r="C149" t="e">
        <f>AND(#REF!,"AAAAAC33fwI=")</f>
        <v>#REF!</v>
      </c>
      <c r="D149" t="e">
        <f>AND(#REF!,"AAAAAC33fwM=")</f>
        <v>#REF!</v>
      </c>
      <c r="E149" t="e">
        <f>AND(#REF!,"AAAAAC33fwQ=")</f>
        <v>#REF!</v>
      </c>
      <c r="F149" t="e">
        <f>AND(#REF!,"AAAAAC33fwU=")</f>
        <v>#REF!</v>
      </c>
      <c r="G149" t="e">
        <f>AND(#REF!,"AAAAAC33fwY=")</f>
        <v>#REF!</v>
      </c>
      <c r="H149" t="e">
        <f>AND(#REF!,"AAAAAC33fwc=")</f>
        <v>#REF!</v>
      </c>
      <c r="I149" t="e">
        <f>AND(#REF!,"AAAAAC33fwg=")</f>
        <v>#REF!</v>
      </c>
      <c r="J149" t="e">
        <f>AND(#REF!,"AAAAAC33fwk=")</f>
        <v>#REF!</v>
      </c>
      <c r="K149" t="e">
        <f>AND(#REF!,"AAAAAC33fwo=")</f>
        <v>#REF!</v>
      </c>
      <c r="L149" t="e">
        <f>AND(#REF!,"AAAAAC33fws=")</f>
        <v>#REF!</v>
      </c>
      <c r="M149" t="e">
        <f>AND(#REF!,"AAAAAC33fww=")</f>
        <v>#REF!</v>
      </c>
      <c r="N149" t="e">
        <f>AND(#REF!,"AAAAAC33fw0=")</f>
        <v>#REF!</v>
      </c>
      <c r="O149" t="e">
        <f>AND(#REF!,"AAAAAC33fw4=")</f>
        <v>#REF!</v>
      </c>
      <c r="P149" t="e">
        <f>AND(#REF!,"AAAAAC33fw8=")</f>
        <v>#REF!</v>
      </c>
      <c r="Q149" t="e">
        <f>AND(#REF!,"AAAAAC33fxA=")</f>
        <v>#REF!</v>
      </c>
      <c r="R149" t="e">
        <f>AND(#REF!,"AAAAAC33fxE=")</f>
        <v>#REF!</v>
      </c>
      <c r="S149" t="e">
        <f>AND(#REF!,"AAAAAC33fxI=")</f>
        <v>#REF!</v>
      </c>
      <c r="T149" t="e">
        <f>AND(#REF!,"AAAAAC33fxM=")</f>
        <v>#REF!</v>
      </c>
      <c r="U149" t="e">
        <f>AND(#REF!,"AAAAAC33fxQ=")</f>
        <v>#REF!</v>
      </c>
      <c r="V149" t="e">
        <f>AND(#REF!,"AAAAAC33fxU=")</f>
        <v>#REF!</v>
      </c>
      <c r="W149" t="e">
        <f>IF(#REF!,"AAAAAC33fxY=",0)</f>
        <v>#REF!</v>
      </c>
      <c r="X149" t="e">
        <f>AND(#REF!,"AAAAAC33fxc=")</f>
        <v>#REF!</v>
      </c>
      <c r="Y149" t="e">
        <f>AND(#REF!,"AAAAAC33fxg=")</f>
        <v>#REF!</v>
      </c>
      <c r="Z149" t="e">
        <f>AND(#REF!,"AAAAAC33fxk=")</f>
        <v>#REF!</v>
      </c>
      <c r="AA149" t="e">
        <f>AND(#REF!,"AAAAAC33fxo=")</f>
        <v>#REF!</v>
      </c>
      <c r="AB149" t="e">
        <f>AND(#REF!,"AAAAAC33fxs=")</f>
        <v>#REF!</v>
      </c>
      <c r="AC149" t="e">
        <f>AND(#REF!,"AAAAAC33fxw=")</f>
        <v>#REF!</v>
      </c>
      <c r="AD149" t="e">
        <f>AND(#REF!,"AAAAAC33fx0=")</f>
        <v>#REF!</v>
      </c>
      <c r="AE149" t="e">
        <f>AND(#REF!,"AAAAAC33fx4=")</f>
        <v>#REF!</v>
      </c>
      <c r="AF149" t="e">
        <f>AND(#REF!,"AAAAAC33fx8=")</f>
        <v>#REF!</v>
      </c>
      <c r="AG149" t="e">
        <f>AND(#REF!,"AAAAAC33fyA=")</f>
        <v>#REF!</v>
      </c>
      <c r="AH149" t="e">
        <f>AND(#REF!,"AAAAAC33fyE=")</f>
        <v>#REF!</v>
      </c>
      <c r="AI149" t="e">
        <f>AND(#REF!,"AAAAAC33fyI=")</f>
        <v>#REF!</v>
      </c>
      <c r="AJ149" t="e">
        <f>AND(#REF!,"AAAAAC33fyM=")</f>
        <v>#REF!</v>
      </c>
      <c r="AK149" t="e">
        <f>AND(#REF!,"AAAAAC33fyQ=")</f>
        <v>#REF!</v>
      </c>
      <c r="AL149" t="e">
        <f>AND(#REF!,"AAAAAC33fyU=")</f>
        <v>#REF!</v>
      </c>
      <c r="AM149" t="e">
        <f>AND(#REF!,"AAAAAC33fyY=")</f>
        <v>#REF!</v>
      </c>
      <c r="AN149" t="e">
        <f>AND(#REF!,"AAAAAC33fyc=")</f>
        <v>#REF!</v>
      </c>
      <c r="AO149" t="e">
        <f>AND(#REF!,"AAAAAC33fyg=")</f>
        <v>#REF!</v>
      </c>
      <c r="AP149" t="e">
        <f>AND(#REF!,"AAAAAC33fyk=")</f>
        <v>#REF!</v>
      </c>
      <c r="AQ149" t="e">
        <f>AND(#REF!,"AAAAAC33fyo=")</f>
        <v>#REF!</v>
      </c>
      <c r="AR149" t="e">
        <f>AND(#REF!,"AAAAAC33fys=")</f>
        <v>#REF!</v>
      </c>
      <c r="AS149" t="e">
        <f>AND(#REF!,"AAAAAC33fyw=")</f>
        <v>#REF!</v>
      </c>
      <c r="AT149" t="e">
        <f>AND(#REF!,"AAAAAC33fy0=")</f>
        <v>#REF!</v>
      </c>
      <c r="AU149" t="e">
        <f>AND(#REF!,"AAAAAC33fy4=")</f>
        <v>#REF!</v>
      </c>
      <c r="AV149" t="e">
        <f>IF(#REF!,"AAAAAC33fy8=",0)</f>
        <v>#REF!</v>
      </c>
      <c r="AW149" t="e">
        <f>AND(#REF!,"AAAAAC33fzA=")</f>
        <v>#REF!</v>
      </c>
      <c r="AX149" t="e">
        <f>AND(#REF!,"AAAAAC33fzE=")</f>
        <v>#REF!</v>
      </c>
      <c r="AY149" t="e">
        <f>AND(#REF!,"AAAAAC33fzI=")</f>
        <v>#REF!</v>
      </c>
      <c r="AZ149" t="e">
        <f>AND(#REF!,"AAAAAC33fzM=")</f>
        <v>#REF!</v>
      </c>
      <c r="BA149" t="e">
        <f>AND(#REF!,"AAAAAC33fzQ=")</f>
        <v>#REF!</v>
      </c>
      <c r="BB149" t="e">
        <f>AND(#REF!,"AAAAAC33fzU=")</f>
        <v>#REF!</v>
      </c>
      <c r="BC149" t="e">
        <f>AND(#REF!,"AAAAAC33fzY=")</f>
        <v>#REF!</v>
      </c>
      <c r="BD149" t="e">
        <f>AND(#REF!,"AAAAAC33fzc=")</f>
        <v>#REF!</v>
      </c>
      <c r="BE149" t="e">
        <f>AND(#REF!,"AAAAAC33fzg=")</f>
        <v>#REF!</v>
      </c>
      <c r="BF149" t="e">
        <f>AND(#REF!,"AAAAAC33fzk=")</f>
        <v>#REF!</v>
      </c>
      <c r="BG149" t="e">
        <f>AND(#REF!,"AAAAAC33fzo=")</f>
        <v>#REF!</v>
      </c>
      <c r="BH149" t="e">
        <f>AND(#REF!,"AAAAAC33fzs=")</f>
        <v>#REF!</v>
      </c>
      <c r="BI149" t="e">
        <f>AND(#REF!,"AAAAAC33fzw=")</f>
        <v>#REF!</v>
      </c>
      <c r="BJ149" t="e">
        <f>AND(#REF!,"AAAAAC33fz0=")</f>
        <v>#REF!</v>
      </c>
      <c r="BK149" t="e">
        <f>AND(#REF!,"AAAAAC33fz4=")</f>
        <v>#REF!</v>
      </c>
      <c r="BL149" t="e">
        <f>AND(#REF!,"AAAAAC33fz8=")</f>
        <v>#REF!</v>
      </c>
      <c r="BM149" t="e">
        <f>AND(#REF!,"AAAAAC33f0A=")</f>
        <v>#REF!</v>
      </c>
      <c r="BN149" t="e">
        <f>AND(#REF!,"AAAAAC33f0E=")</f>
        <v>#REF!</v>
      </c>
      <c r="BO149" t="e">
        <f>AND(#REF!,"AAAAAC33f0I=")</f>
        <v>#REF!</v>
      </c>
      <c r="BP149" t="e">
        <f>AND(#REF!,"AAAAAC33f0M=")</f>
        <v>#REF!</v>
      </c>
      <c r="BQ149" t="e">
        <f>AND(#REF!,"AAAAAC33f0Q=")</f>
        <v>#REF!</v>
      </c>
      <c r="BR149" t="e">
        <f>AND(#REF!,"AAAAAC33f0U=")</f>
        <v>#REF!</v>
      </c>
      <c r="BS149" t="e">
        <f>AND(#REF!,"AAAAAC33f0Y=")</f>
        <v>#REF!</v>
      </c>
      <c r="BT149" t="e">
        <f>AND(#REF!,"AAAAAC33f0c=")</f>
        <v>#REF!</v>
      </c>
      <c r="BU149" t="e">
        <f>IF(#REF!,"AAAAAC33f0g=",0)</f>
        <v>#REF!</v>
      </c>
      <c r="BV149" t="e">
        <f>AND(#REF!,"AAAAAC33f0k=")</f>
        <v>#REF!</v>
      </c>
      <c r="BW149" t="e">
        <f>AND(#REF!,"AAAAAC33f0o=")</f>
        <v>#REF!</v>
      </c>
      <c r="BX149" t="e">
        <f>AND(#REF!,"AAAAAC33f0s=")</f>
        <v>#REF!</v>
      </c>
      <c r="BY149" t="e">
        <f>AND(#REF!,"AAAAAC33f0w=")</f>
        <v>#REF!</v>
      </c>
      <c r="BZ149" t="e">
        <f>AND(#REF!,"AAAAAC33f00=")</f>
        <v>#REF!</v>
      </c>
      <c r="CA149" t="e">
        <f>AND(#REF!,"AAAAAC33f04=")</f>
        <v>#REF!</v>
      </c>
      <c r="CB149" t="e">
        <f>AND(#REF!,"AAAAAC33f08=")</f>
        <v>#REF!</v>
      </c>
      <c r="CC149" t="e">
        <f>AND(#REF!,"AAAAAC33f1A=")</f>
        <v>#REF!</v>
      </c>
      <c r="CD149" t="e">
        <f>AND(#REF!,"AAAAAC33f1E=")</f>
        <v>#REF!</v>
      </c>
      <c r="CE149" t="e">
        <f>AND(#REF!,"AAAAAC33f1I=")</f>
        <v>#REF!</v>
      </c>
      <c r="CF149" t="e">
        <f>AND(#REF!,"AAAAAC33f1M=")</f>
        <v>#REF!</v>
      </c>
      <c r="CG149" t="e">
        <f>AND(#REF!,"AAAAAC33f1Q=")</f>
        <v>#REF!</v>
      </c>
      <c r="CH149" t="e">
        <f>AND(#REF!,"AAAAAC33f1U=")</f>
        <v>#REF!</v>
      </c>
      <c r="CI149" t="e">
        <f>AND(#REF!,"AAAAAC33f1Y=")</f>
        <v>#REF!</v>
      </c>
      <c r="CJ149" t="e">
        <f>AND(#REF!,"AAAAAC33f1c=")</f>
        <v>#REF!</v>
      </c>
      <c r="CK149" t="e">
        <f>AND(#REF!,"AAAAAC33f1g=")</f>
        <v>#REF!</v>
      </c>
      <c r="CL149" t="e">
        <f>AND(#REF!,"AAAAAC33f1k=")</f>
        <v>#REF!</v>
      </c>
      <c r="CM149" t="e">
        <f>AND(#REF!,"AAAAAC33f1o=")</f>
        <v>#REF!</v>
      </c>
      <c r="CN149" t="e">
        <f>AND(#REF!,"AAAAAC33f1s=")</f>
        <v>#REF!</v>
      </c>
      <c r="CO149" t="e">
        <f>AND(#REF!,"AAAAAC33f1w=")</f>
        <v>#REF!</v>
      </c>
      <c r="CP149" t="e">
        <f>AND(#REF!,"AAAAAC33f10=")</f>
        <v>#REF!</v>
      </c>
      <c r="CQ149" t="e">
        <f>AND(#REF!,"AAAAAC33f14=")</f>
        <v>#REF!</v>
      </c>
      <c r="CR149" t="e">
        <f>AND(#REF!,"AAAAAC33f18=")</f>
        <v>#REF!</v>
      </c>
      <c r="CS149" t="e">
        <f>AND(#REF!,"AAAAAC33f2A=")</f>
        <v>#REF!</v>
      </c>
      <c r="CT149" t="e">
        <f>IF(#REF!,"AAAAAC33f2E=",0)</f>
        <v>#REF!</v>
      </c>
      <c r="CU149" t="e">
        <f>AND(#REF!,"AAAAAC33f2I=")</f>
        <v>#REF!</v>
      </c>
      <c r="CV149" t="e">
        <f>AND(#REF!,"AAAAAC33f2M=")</f>
        <v>#REF!</v>
      </c>
      <c r="CW149" t="e">
        <f>AND(#REF!,"AAAAAC33f2Q=")</f>
        <v>#REF!</v>
      </c>
      <c r="CX149" t="e">
        <f>AND(#REF!,"AAAAAC33f2U=")</f>
        <v>#REF!</v>
      </c>
      <c r="CY149" t="e">
        <f>AND(#REF!,"AAAAAC33f2Y=")</f>
        <v>#REF!</v>
      </c>
      <c r="CZ149" t="e">
        <f>AND(#REF!,"AAAAAC33f2c=")</f>
        <v>#REF!</v>
      </c>
      <c r="DA149" t="e">
        <f>AND(#REF!,"AAAAAC33f2g=")</f>
        <v>#REF!</v>
      </c>
      <c r="DB149" t="e">
        <f>AND(#REF!,"AAAAAC33f2k=")</f>
        <v>#REF!</v>
      </c>
      <c r="DC149" t="e">
        <f>AND(#REF!,"AAAAAC33f2o=")</f>
        <v>#REF!</v>
      </c>
      <c r="DD149" t="e">
        <f>AND(#REF!,"AAAAAC33f2s=")</f>
        <v>#REF!</v>
      </c>
      <c r="DE149" t="e">
        <f>AND(#REF!,"AAAAAC33f2w=")</f>
        <v>#REF!</v>
      </c>
      <c r="DF149" t="e">
        <f>AND(#REF!,"AAAAAC33f20=")</f>
        <v>#REF!</v>
      </c>
      <c r="DG149" t="e">
        <f>AND(#REF!,"AAAAAC33f24=")</f>
        <v>#REF!</v>
      </c>
      <c r="DH149" t="e">
        <f>AND(#REF!,"AAAAAC33f28=")</f>
        <v>#REF!</v>
      </c>
      <c r="DI149" t="e">
        <f>AND(#REF!,"AAAAAC33f3A=")</f>
        <v>#REF!</v>
      </c>
      <c r="DJ149" t="e">
        <f>AND(#REF!,"AAAAAC33f3E=")</f>
        <v>#REF!</v>
      </c>
      <c r="DK149" t="e">
        <f>AND(#REF!,"AAAAAC33f3I=")</f>
        <v>#REF!</v>
      </c>
      <c r="DL149" t="e">
        <f>AND(#REF!,"AAAAAC33f3M=")</f>
        <v>#REF!</v>
      </c>
      <c r="DM149" t="e">
        <f>AND(#REF!,"AAAAAC33f3Q=")</f>
        <v>#REF!</v>
      </c>
      <c r="DN149" t="e">
        <f>AND(#REF!,"AAAAAC33f3U=")</f>
        <v>#REF!</v>
      </c>
      <c r="DO149" t="e">
        <f>AND(#REF!,"AAAAAC33f3Y=")</f>
        <v>#REF!</v>
      </c>
      <c r="DP149" t="e">
        <f>AND(#REF!,"AAAAAC33f3c=")</f>
        <v>#REF!</v>
      </c>
      <c r="DQ149" t="e">
        <f>AND(#REF!,"AAAAAC33f3g=")</f>
        <v>#REF!</v>
      </c>
      <c r="DR149" t="e">
        <f>AND(#REF!,"AAAAAC33f3k=")</f>
        <v>#REF!</v>
      </c>
      <c r="DS149" t="e">
        <f>IF(#REF!,"AAAAAC33f3o=",0)</f>
        <v>#REF!</v>
      </c>
      <c r="DT149" t="e">
        <f>AND(#REF!,"AAAAAC33f3s=")</f>
        <v>#REF!</v>
      </c>
      <c r="DU149" t="e">
        <f>AND(#REF!,"AAAAAC33f3w=")</f>
        <v>#REF!</v>
      </c>
      <c r="DV149" t="e">
        <f>AND(#REF!,"AAAAAC33f30=")</f>
        <v>#REF!</v>
      </c>
      <c r="DW149" t="e">
        <f>AND(#REF!,"AAAAAC33f34=")</f>
        <v>#REF!</v>
      </c>
      <c r="DX149" t="e">
        <f>AND(#REF!,"AAAAAC33f38=")</f>
        <v>#REF!</v>
      </c>
      <c r="DY149" t="e">
        <f>AND(#REF!,"AAAAAC33f4A=")</f>
        <v>#REF!</v>
      </c>
      <c r="DZ149" t="e">
        <f>AND(#REF!,"AAAAAC33f4E=")</f>
        <v>#REF!</v>
      </c>
      <c r="EA149" t="e">
        <f>AND(#REF!,"AAAAAC33f4I=")</f>
        <v>#REF!</v>
      </c>
      <c r="EB149" t="e">
        <f>AND(#REF!,"AAAAAC33f4M=")</f>
        <v>#REF!</v>
      </c>
      <c r="EC149" t="e">
        <f>AND(#REF!,"AAAAAC33f4Q=")</f>
        <v>#REF!</v>
      </c>
      <c r="ED149" t="e">
        <f>AND(#REF!,"AAAAAC33f4U=")</f>
        <v>#REF!</v>
      </c>
      <c r="EE149" t="e">
        <f>AND(#REF!,"AAAAAC33f4Y=")</f>
        <v>#REF!</v>
      </c>
      <c r="EF149" t="e">
        <f>AND(#REF!,"AAAAAC33f4c=")</f>
        <v>#REF!</v>
      </c>
      <c r="EG149" t="e">
        <f>AND(#REF!,"AAAAAC33f4g=")</f>
        <v>#REF!</v>
      </c>
      <c r="EH149" t="e">
        <f>AND(#REF!,"AAAAAC33f4k=")</f>
        <v>#REF!</v>
      </c>
      <c r="EI149" t="e">
        <f>AND(#REF!,"AAAAAC33f4o=")</f>
        <v>#REF!</v>
      </c>
      <c r="EJ149" t="e">
        <f>AND(#REF!,"AAAAAC33f4s=")</f>
        <v>#REF!</v>
      </c>
      <c r="EK149" t="e">
        <f>AND(#REF!,"AAAAAC33f4w=")</f>
        <v>#REF!</v>
      </c>
      <c r="EL149" t="e">
        <f>AND(#REF!,"AAAAAC33f40=")</f>
        <v>#REF!</v>
      </c>
      <c r="EM149" t="e">
        <f>AND(#REF!,"AAAAAC33f44=")</f>
        <v>#REF!</v>
      </c>
      <c r="EN149" t="e">
        <f>AND(#REF!,"AAAAAC33f48=")</f>
        <v>#REF!</v>
      </c>
      <c r="EO149" t="e">
        <f>AND(#REF!,"AAAAAC33f5A=")</f>
        <v>#REF!</v>
      </c>
      <c r="EP149" t="e">
        <f>AND(#REF!,"AAAAAC33f5E=")</f>
        <v>#REF!</v>
      </c>
      <c r="EQ149" t="e">
        <f>AND(#REF!,"AAAAAC33f5I=")</f>
        <v>#REF!</v>
      </c>
      <c r="ER149" t="e">
        <f>IF(#REF!,"AAAAAC33f5M=",0)</f>
        <v>#REF!</v>
      </c>
      <c r="ES149" t="e">
        <f>AND(#REF!,"AAAAAC33f5Q=")</f>
        <v>#REF!</v>
      </c>
      <c r="ET149" t="e">
        <f>AND(#REF!,"AAAAAC33f5U=")</f>
        <v>#REF!</v>
      </c>
      <c r="EU149" t="e">
        <f>AND(#REF!,"AAAAAC33f5Y=")</f>
        <v>#REF!</v>
      </c>
      <c r="EV149" t="e">
        <f>AND(#REF!,"AAAAAC33f5c=")</f>
        <v>#REF!</v>
      </c>
      <c r="EW149" t="e">
        <f>AND(#REF!,"AAAAAC33f5g=")</f>
        <v>#REF!</v>
      </c>
      <c r="EX149" t="e">
        <f>AND(#REF!,"AAAAAC33f5k=")</f>
        <v>#REF!</v>
      </c>
      <c r="EY149" t="e">
        <f>AND(#REF!,"AAAAAC33f5o=")</f>
        <v>#REF!</v>
      </c>
      <c r="EZ149" t="e">
        <f>AND(#REF!,"AAAAAC33f5s=")</f>
        <v>#REF!</v>
      </c>
      <c r="FA149" t="e">
        <f>AND(#REF!,"AAAAAC33f5w=")</f>
        <v>#REF!</v>
      </c>
      <c r="FB149" t="e">
        <f>AND(#REF!,"AAAAAC33f50=")</f>
        <v>#REF!</v>
      </c>
      <c r="FC149" t="e">
        <f>AND(#REF!,"AAAAAC33f54=")</f>
        <v>#REF!</v>
      </c>
      <c r="FD149" t="e">
        <f>AND(#REF!,"AAAAAC33f58=")</f>
        <v>#REF!</v>
      </c>
      <c r="FE149" t="e">
        <f>AND(#REF!,"AAAAAC33f6A=")</f>
        <v>#REF!</v>
      </c>
      <c r="FF149" t="e">
        <f>AND(#REF!,"AAAAAC33f6E=")</f>
        <v>#REF!</v>
      </c>
      <c r="FG149" t="e">
        <f>AND(#REF!,"AAAAAC33f6I=")</f>
        <v>#REF!</v>
      </c>
      <c r="FH149" t="e">
        <f>AND(#REF!,"AAAAAC33f6M=")</f>
        <v>#REF!</v>
      </c>
      <c r="FI149" t="e">
        <f>AND(#REF!,"AAAAAC33f6Q=")</f>
        <v>#REF!</v>
      </c>
      <c r="FJ149" t="e">
        <f>AND(#REF!,"AAAAAC33f6U=")</f>
        <v>#REF!</v>
      </c>
      <c r="FK149" t="e">
        <f>AND(#REF!,"AAAAAC33f6Y=")</f>
        <v>#REF!</v>
      </c>
      <c r="FL149" t="e">
        <f>AND(#REF!,"AAAAAC33f6c=")</f>
        <v>#REF!</v>
      </c>
      <c r="FM149" t="e">
        <f>AND(#REF!,"AAAAAC33f6g=")</f>
        <v>#REF!</v>
      </c>
      <c r="FN149" t="e">
        <f>AND(#REF!,"AAAAAC33f6k=")</f>
        <v>#REF!</v>
      </c>
      <c r="FO149" t="e">
        <f>AND(#REF!,"AAAAAC33f6o=")</f>
        <v>#REF!</v>
      </c>
      <c r="FP149" t="e">
        <f>AND(#REF!,"AAAAAC33f6s=")</f>
        <v>#REF!</v>
      </c>
      <c r="FQ149" t="e">
        <f>IF(#REF!,"AAAAAC33f6w=",0)</f>
        <v>#REF!</v>
      </c>
      <c r="FR149" t="e">
        <f>AND(#REF!,"AAAAAC33f60=")</f>
        <v>#REF!</v>
      </c>
      <c r="FS149" t="e">
        <f>AND(#REF!,"AAAAAC33f64=")</f>
        <v>#REF!</v>
      </c>
      <c r="FT149" t="e">
        <f>AND(#REF!,"AAAAAC33f68=")</f>
        <v>#REF!</v>
      </c>
      <c r="FU149" t="e">
        <f>AND(#REF!,"AAAAAC33f7A=")</f>
        <v>#REF!</v>
      </c>
      <c r="FV149" t="e">
        <f>AND(#REF!,"AAAAAC33f7E=")</f>
        <v>#REF!</v>
      </c>
      <c r="FW149" t="e">
        <f>AND(#REF!,"AAAAAC33f7I=")</f>
        <v>#REF!</v>
      </c>
      <c r="FX149" t="e">
        <f>AND(#REF!,"AAAAAC33f7M=")</f>
        <v>#REF!</v>
      </c>
      <c r="FY149" t="e">
        <f>AND(#REF!,"AAAAAC33f7Q=")</f>
        <v>#REF!</v>
      </c>
      <c r="FZ149" t="e">
        <f>AND(#REF!,"AAAAAC33f7U=")</f>
        <v>#REF!</v>
      </c>
      <c r="GA149" t="e">
        <f>AND(#REF!,"AAAAAC33f7Y=")</f>
        <v>#REF!</v>
      </c>
      <c r="GB149" t="e">
        <f>AND(#REF!,"AAAAAC33f7c=")</f>
        <v>#REF!</v>
      </c>
      <c r="GC149" t="e">
        <f>AND(#REF!,"AAAAAC33f7g=")</f>
        <v>#REF!</v>
      </c>
      <c r="GD149" t="e">
        <f>AND(#REF!,"AAAAAC33f7k=")</f>
        <v>#REF!</v>
      </c>
      <c r="GE149" t="e">
        <f>AND(#REF!,"AAAAAC33f7o=")</f>
        <v>#REF!</v>
      </c>
      <c r="GF149" t="e">
        <f>AND(#REF!,"AAAAAC33f7s=")</f>
        <v>#REF!</v>
      </c>
      <c r="GG149" t="e">
        <f>AND(#REF!,"AAAAAC33f7w=")</f>
        <v>#REF!</v>
      </c>
      <c r="GH149" t="e">
        <f>AND(#REF!,"AAAAAC33f70=")</f>
        <v>#REF!</v>
      </c>
      <c r="GI149" t="e">
        <f>AND(#REF!,"AAAAAC33f74=")</f>
        <v>#REF!</v>
      </c>
      <c r="GJ149" t="e">
        <f>AND(#REF!,"AAAAAC33f78=")</f>
        <v>#REF!</v>
      </c>
      <c r="GK149" t="e">
        <f>AND(#REF!,"AAAAAC33f8A=")</f>
        <v>#REF!</v>
      </c>
      <c r="GL149" t="e">
        <f>AND(#REF!,"AAAAAC33f8E=")</f>
        <v>#REF!</v>
      </c>
      <c r="GM149" t="e">
        <f>AND(#REF!,"AAAAAC33f8I=")</f>
        <v>#REF!</v>
      </c>
      <c r="GN149" t="e">
        <f>AND(#REF!,"AAAAAC33f8M=")</f>
        <v>#REF!</v>
      </c>
      <c r="GO149" t="e">
        <f>AND(#REF!,"AAAAAC33f8Q=")</f>
        <v>#REF!</v>
      </c>
      <c r="GP149" t="e">
        <f>IF(#REF!,"AAAAAC33f8U=",0)</f>
        <v>#REF!</v>
      </c>
      <c r="GQ149" t="e">
        <f>AND(#REF!,"AAAAAC33f8Y=")</f>
        <v>#REF!</v>
      </c>
      <c r="GR149" t="e">
        <f>AND(#REF!,"AAAAAC33f8c=")</f>
        <v>#REF!</v>
      </c>
      <c r="GS149" t="e">
        <f>AND(#REF!,"AAAAAC33f8g=")</f>
        <v>#REF!</v>
      </c>
      <c r="GT149" t="e">
        <f>AND(#REF!,"AAAAAC33f8k=")</f>
        <v>#REF!</v>
      </c>
      <c r="GU149" t="e">
        <f>AND(#REF!,"AAAAAC33f8o=")</f>
        <v>#REF!</v>
      </c>
      <c r="GV149" t="e">
        <f>AND(#REF!,"AAAAAC33f8s=")</f>
        <v>#REF!</v>
      </c>
      <c r="GW149" t="e">
        <f>AND(#REF!,"AAAAAC33f8w=")</f>
        <v>#REF!</v>
      </c>
      <c r="GX149" t="e">
        <f>AND(#REF!,"AAAAAC33f80=")</f>
        <v>#REF!</v>
      </c>
      <c r="GY149" t="e">
        <f>AND(#REF!,"AAAAAC33f84=")</f>
        <v>#REF!</v>
      </c>
      <c r="GZ149" t="e">
        <f>AND(#REF!,"AAAAAC33f88=")</f>
        <v>#REF!</v>
      </c>
      <c r="HA149" t="e">
        <f>AND(#REF!,"AAAAAC33f9A=")</f>
        <v>#REF!</v>
      </c>
      <c r="HB149" t="e">
        <f>AND(#REF!,"AAAAAC33f9E=")</f>
        <v>#REF!</v>
      </c>
      <c r="HC149" t="e">
        <f>AND(#REF!,"AAAAAC33f9I=")</f>
        <v>#REF!</v>
      </c>
      <c r="HD149" t="e">
        <f>AND(#REF!,"AAAAAC33f9M=")</f>
        <v>#REF!</v>
      </c>
      <c r="HE149" t="e">
        <f>AND(#REF!,"AAAAAC33f9Q=")</f>
        <v>#REF!</v>
      </c>
      <c r="HF149" t="e">
        <f>AND(#REF!,"AAAAAC33f9U=")</f>
        <v>#REF!</v>
      </c>
      <c r="HG149" t="e">
        <f>AND(#REF!,"AAAAAC33f9Y=")</f>
        <v>#REF!</v>
      </c>
      <c r="HH149" t="e">
        <f>AND(#REF!,"AAAAAC33f9c=")</f>
        <v>#REF!</v>
      </c>
      <c r="HI149" t="e">
        <f>AND(#REF!,"AAAAAC33f9g=")</f>
        <v>#REF!</v>
      </c>
      <c r="HJ149" t="e">
        <f>AND(#REF!,"AAAAAC33f9k=")</f>
        <v>#REF!</v>
      </c>
      <c r="HK149" t="e">
        <f>AND(#REF!,"AAAAAC33f9o=")</f>
        <v>#REF!</v>
      </c>
      <c r="HL149" t="e">
        <f>AND(#REF!,"AAAAAC33f9s=")</f>
        <v>#REF!</v>
      </c>
      <c r="HM149" t="e">
        <f>AND(#REF!,"AAAAAC33f9w=")</f>
        <v>#REF!</v>
      </c>
      <c r="HN149" t="e">
        <f>AND(#REF!,"AAAAAC33f90=")</f>
        <v>#REF!</v>
      </c>
      <c r="HO149" t="e">
        <f>IF(#REF!,"AAAAAC33f94=",0)</f>
        <v>#REF!</v>
      </c>
      <c r="HP149" t="e">
        <f>AND(#REF!,"AAAAAC33f98=")</f>
        <v>#REF!</v>
      </c>
      <c r="HQ149" t="e">
        <f>AND(#REF!,"AAAAAC33f+A=")</f>
        <v>#REF!</v>
      </c>
      <c r="HR149" t="e">
        <f>AND(#REF!,"AAAAAC33f+E=")</f>
        <v>#REF!</v>
      </c>
      <c r="HS149" t="e">
        <f>AND(#REF!,"AAAAAC33f+I=")</f>
        <v>#REF!</v>
      </c>
      <c r="HT149" t="e">
        <f>AND(#REF!,"AAAAAC33f+M=")</f>
        <v>#REF!</v>
      </c>
      <c r="HU149" t="e">
        <f>AND(#REF!,"AAAAAC33f+Q=")</f>
        <v>#REF!</v>
      </c>
      <c r="HV149" t="e">
        <f>AND(#REF!,"AAAAAC33f+U=")</f>
        <v>#REF!</v>
      </c>
      <c r="HW149" t="e">
        <f>AND(#REF!,"AAAAAC33f+Y=")</f>
        <v>#REF!</v>
      </c>
      <c r="HX149" t="e">
        <f>AND(#REF!,"AAAAAC33f+c=")</f>
        <v>#REF!</v>
      </c>
      <c r="HY149" t="e">
        <f>AND(#REF!,"AAAAAC33f+g=")</f>
        <v>#REF!</v>
      </c>
      <c r="HZ149" t="e">
        <f>AND(#REF!,"AAAAAC33f+k=")</f>
        <v>#REF!</v>
      </c>
      <c r="IA149" t="e">
        <f>AND(#REF!,"AAAAAC33f+o=")</f>
        <v>#REF!</v>
      </c>
      <c r="IB149" t="e">
        <f>AND(#REF!,"AAAAAC33f+s=")</f>
        <v>#REF!</v>
      </c>
      <c r="IC149" t="e">
        <f>AND(#REF!,"AAAAAC33f+w=")</f>
        <v>#REF!</v>
      </c>
      <c r="ID149" t="e">
        <f>AND(#REF!,"AAAAAC33f+0=")</f>
        <v>#REF!</v>
      </c>
      <c r="IE149" t="e">
        <f>AND(#REF!,"AAAAAC33f+4=")</f>
        <v>#REF!</v>
      </c>
      <c r="IF149" t="e">
        <f>AND(#REF!,"AAAAAC33f+8=")</f>
        <v>#REF!</v>
      </c>
      <c r="IG149" t="e">
        <f>AND(#REF!,"AAAAAC33f/A=")</f>
        <v>#REF!</v>
      </c>
      <c r="IH149" t="e">
        <f>AND(#REF!,"AAAAAC33f/E=")</f>
        <v>#REF!</v>
      </c>
      <c r="II149" t="e">
        <f>AND(#REF!,"AAAAAC33f/I=")</f>
        <v>#REF!</v>
      </c>
      <c r="IJ149" t="e">
        <f>AND(#REF!,"AAAAAC33f/M=")</f>
        <v>#REF!</v>
      </c>
      <c r="IK149" t="e">
        <f>AND(#REF!,"AAAAAC33f/Q=")</f>
        <v>#REF!</v>
      </c>
      <c r="IL149" t="e">
        <f>AND(#REF!,"AAAAAC33f/U=")</f>
        <v>#REF!</v>
      </c>
      <c r="IM149" t="e">
        <f>AND(#REF!,"AAAAAC33f/Y=")</f>
        <v>#REF!</v>
      </c>
      <c r="IN149" t="e">
        <f>IF(#REF!,"AAAAAC33f/c=",0)</f>
        <v>#REF!</v>
      </c>
      <c r="IO149" t="e">
        <f>AND(#REF!,"AAAAAC33f/g=")</f>
        <v>#REF!</v>
      </c>
      <c r="IP149" t="e">
        <f>AND(#REF!,"AAAAAC33f/k=")</f>
        <v>#REF!</v>
      </c>
      <c r="IQ149" t="e">
        <f>AND(#REF!,"AAAAAC33f/o=")</f>
        <v>#REF!</v>
      </c>
      <c r="IR149" t="e">
        <f>AND(#REF!,"AAAAAC33f/s=")</f>
        <v>#REF!</v>
      </c>
      <c r="IS149" t="e">
        <f>AND(#REF!,"AAAAAC33f/w=")</f>
        <v>#REF!</v>
      </c>
      <c r="IT149" t="e">
        <f>AND(#REF!,"AAAAAC33f/0=")</f>
        <v>#REF!</v>
      </c>
      <c r="IU149" t="e">
        <f>AND(#REF!,"AAAAAC33f/4=")</f>
        <v>#REF!</v>
      </c>
      <c r="IV149" t="e">
        <f>AND(#REF!,"AAAAAC33f/8=")</f>
        <v>#REF!</v>
      </c>
    </row>
    <row r="150" spans="1:256">
      <c r="A150" t="e">
        <f>AND(#REF!,"AAAAAGfyvgA=")</f>
        <v>#REF!</v>
      </c>
      <c r="B150" t="e">
        <f>AND(#REF!,"AAAAAGfyvgE=")</f>
        <v>#REF!</v>
      </c>
      <c r="C150" t="e">
        <f>AND(#REF!,"AAAAAGfyvgI=")</f>
        <v>#REF!</v>
      </c>
      <c r="D150" t="e">
        <f>AND(#REF!,"AAAAAGfyvgM=")</f>
        <v>#REF!</v>
      </c>
      <c r="E150" t="e">
        <f>AND(#REF!,"AAAAAGfyvgQ=")</f>
        <v>#REF!</v>
      </c>
      <c r="F150" t="e">
        <f>AND(#REF!,"AAAAAGfyvgU=")</f>
        <v>#REF!</v>
      </c>
      <c r="G150" t="e">
        <f>AND(#REF!,"AAAAAGfyvgY=")</f>
        <v>#REF!</v>
      </c>
      <c r="H150" t="e">
        <f>AND(#REF!,"AAAAAGfyvgc=")</f>
        <v>#REF!</v>
      </c>
      <c r="I150" t="e">
        <f>AND(#REF!,"AAAAAGfyvgg=")</f>
        <v>#REF!</v>
      </c>
      <c r="J150" t="e">
        <f>AND(#REF!,"AAAAAGfyvgk=")</f>
        <v>#REF!</v>
      </c>
      <c r="K150" t="e">
        <f>AND(#REF!,"AAAAAGfyvgo=")</f>
        <v>#REF!</v>
      </c>
      <c r="L150" t="e">
        <f>AND(#REF!,"AAAAAGfyvgs=")</f>
        <v>#REF!</v>
      </c>
      <c r="M150" t="e">
        <f>AND(#REF!,"AAAAAGfyvgw=")</f>
        <v>#REF!</v>
      </c>
      <c r="N150" t="e">
        <f>AND(#REF!,"AAAAAGfyvg0=")</f>
        <v>#REF!</v>
      </c>
      <c r="O150" t="e">
        <f>AND(#REF!,"AAAAAGfyvg4=")</f>
        <v>#REF!</v>
      </c>
      <c r="P150" t="e">
        <f>AND(#REF!,"AAAAAGfyvg8=")</f>
        <v>#REF!</v>
      </c>
      <c r="Q150" t="e">
        <f>IF(#REF!,"AAAAAGfyvhA=",0)</f>
        <v>#REF!</v>
      </c>
      <c r="R150" t="e">
        <f>AND(#REF!,"AAAAAGfyvhE=")</f>
        <v>#REF!</v>
      </c>
      <c r="S150" t="e">
        <f>AND(#REF!,"AAAAAGfyvhI=")</f>
        <v>#REF!</v>
      </c>
      <c r="T150" t="e">
        <f>AND(#REF!,"AAAAAGfyvhM=")</f>
        <v>#REF!</v>
      </c>
      <c r="U150" t="e">
        <f>AND(#REF!,"AAAAAGfyvhQ=")</f>
        <v>#REF!</v>
      </c>
      <c r="V150" t="e">
        <f>AND(#REF!,"AAAAAGfyvhU=")</f>
        <v>#REF!</v>
      </c>
      <c r="W150" t="e">
        <f>AND(#REF!,"AAAAAGfyvhY=")</f>
        <v>#REF!</v>
      </c>
      <c r="X150" t="e">
        <f>AND(#REF!,"AAAAAGfyvhc=")</f>
        <v>#REF!</v>
      </c>
      <c r="Y150" t="e">
        <f>AND(#REF!,"AAAAAGfyvhg=")</f>
        <v>#REF!</v>
      </c>
      <c r="Z150" t="e">
        <f>AND(#REF!,"AAAAAGfyvhk=")</f>
        <v>#REF!</v>
      </c>
      <c r="AA150" t="e">
        <f>AND(#REF!,"AAAAAGfyvho=")</f>
        <v>#REF!</v>
      </c>
      <c r="AB150" t="e">
        <f>AND(#REF!,"AAAAAGfyvhs=")</f>
        <v>#REF!</v>
      </c>
      <c r="AC150" t="e">
        <f>AND(#REF!,"AAAAAGfyvhw=")</f>
        <v>#REF!</v>
      </c>
      <c r="AD150" t="e">
        <f>AND(#REF!,"AAAAAGfyvh0=")</f>
        <v>#REF!</v>
      </c>
      <c r="AE150" t="e">
        <f>AND(#REF!,"AAAAAGfyvh4=")</f>
        <v>#REF!</v>
      </c>
      <c r="AF150" t="e">
        <f>AND(#REF!,"AAAAAGfyvh8=")</f>
        <v>#REF!</v>
      </c>
      <c r="AG150" t="e">
        <f>AND(#REF!,"AAAAAGfyviA=")</f>
        <v>#REF!</v>
      </c>
      <c r="AH150" t="e">
        <f>AND(#REF!,"AAAAAGfyviE=")</f>
        <v>#REF!</v>
      </c>
      <c r="AI150" t="e">
        <f>AND(#REF!,"AAAAAGfyviI=")</f>
        <v>#REF!</v>
      </c>
      <c r="AJ150" t="e">
        <f>AND(#REF!,"AAAAAGfyviM=")</f>
        <v>#REF!</v>
      </c>
      <c r="AK150" t="e">
        <f>AND(#REF!,"AAAAAGfyviQ=")</f>
        <v>#REF!</v>
      </c>
      <c r="AL150" t="e">
        <f>AND(#REF!,"AAAAAGfyviU=")</f>
        <v>#REF!</v>
      </c>
      <c r="AM150" t="e">
        <f>AND(#REF!,"AAAAAGfyviY=")</f>
        <v>#REF!</v>
      </c>
      <c r="AN150" t="e">
        <f>AND(#REF!,"AAAAAGfyvic=")</f>
        <v>#REF!</v>
      </c>
      <c r="AO150" t="e">
        <f>AND(#REF!,"AAAAAGfyvig=")</f>
        <v>#REF!</v>
      </c>
      <c r="AP150" t="e">
        <f>IF(#REF!,"AAAAAGfyvik=",0)</f>
        <v>#REF!</v>
      </c>
      <c r="AQ150" t="e">
        <f>AND(#REF!,"AAAAAGfyvio=")</f>
        <v>#REF!</v>
      </c>
      <c r="AR150" t="e">
        <f>AND(#REF!,"AAAAAGfyvis=")</f>
        <v>#REF!</v>
      </c>
      <c r="AS150" t="e">
        <f>AND(#REF!,"AAAAAGfyviw=")</f>
        <v>#REF!</v>
      </c>
      <c r="AT150" t="e">
        <f>AND(#REF!,"AAAAAGfyvi0=")</f>
        <v>#REF!</v>
      </c>
      <c r="AU150" t="e">
        <f>AND(#REF!,"AAAAAGfyvi4=")</f>
        <v>#REF!</v>
      </c>
      <c r="AV150" t="e">
        <f>AND(#REF!,"AAAAAGfyvi8=")</f>
        <v>#REF!</v>
      </c>
      <c r="AW150" t="e">
        <f>AND(#REF!,"AAAAAGfyvjA=")</f>
        <v>#REF!</v>
      </c>
      <c r="AX150" t="e">
        <f>AND(#REF!,"AAAAAGfyvjE=")</f>
        <v>#REF!</v>
      </c>
      <c r="AY150" t="e">
        <f>AND(#REF!,"AAAAAGfyvjI=")</f>
        <v>#REF!</v>
      </c>
      <c r="AZ150" t="e">
        <f>AND(#REF!,"AAAAAGfyvjM=")</f>
        <v>#REF!</v>
      </c>
      <c r="BA150" t="e">
        <f>AND(#REF!,"AAAAAGfyvjQ=")</f>
        <v>#REF!</v>
      </c>
      <c r="BB150" t="e">
        <f>AND(#REF!,"AAAAAGfyvjU=")</f>
        <v>#REF!</v>
      </c>
      <c r="BC150" t="e">
        <f>AND(#REF!,"AAAAAGfyvjY=")</f>
        <v>#REF!</v>
      </c>
      <c r="BD150" t="e">
        <f>AND(#REF!,"AAAAAGfyvjc=")</f>
        <v>#REF!</v>
      </c>
      <c r="BE150" t="e">
        <f>AND(#REF!,"AAAAAGfyvjg=")</f>
        <v>#REF!</v>
      </c>
      <c r="BF150" t="e">
        <f>AND(#REF!,"AAAAAGfyvjk=")</f>
        <v>#REF!</v>
      </c>
      <c r="BG150" t="e">
        <f>AND(#REF!,"AAAAAGfyvjo=")</f>
        <v>#REF!</v>
      </c>
      <c r="BH150" t="e">
        <f>AND(#REF!,"AAAAAGfyvjs=")</f>
        <v>#REF!</v>
      </c>
      <c r="BI150" t="e">
        <f>AND(#REF!,"AAAAAGfyvjw=")</f>
        <v>#REF!</v>
      </c>
      <c r="BJ150" t="e">
        <f>AND(#REF!,"AAAAAGfyvj0=")</f>
        <v>#REF!</v>
      </c>
      <c r="BK150" t="e">
        <f>AND(#REF!,"AAAAAGfyvj4=")</f>
        <v>#REF!</v>
      </c>
      <c r="BL150" t="e">
        <f>AND(#REF!,"AAAAAGfyvj8=")</f>
        <v>#REF!</v>
      </c>
      <c r="BM150" t="e">
        <f>AND(#REF!,"AAAAAGfyvkA=")</f>
        <v>#REF!</v>
      </c>
      <c r="BN150" t="e">
        <f>AND(#REF!,"AAAAAGfyvkE=")</f>
        <v>#REF!</v>
      </c>
      <c r="BO150" t="e">
        <f>IF(#REF!,"AAAAAGfyvkI=",0)</f>
        <v>#REF!</v>
      </c>
      <c r="BP150" t="e">
        <f>AND(#REF!,"AAAAAGfyvkM=")</f>
        <v>#REF!</v>
      </c>
      <c r="BQ150" t="e">
        <f>AND(#REF!,"AAAAAGfyvkQ=")</f>
        <v>#REF!</v>
      </c>
      <c r="BR150" t="e">
        <f>AND(#REF!,"AAAAAGfyvkU=")</f>
        <v>#REF!</v>
      </c>
      <c r="BS150" t="e">
        <f>AND(#REF!,"AAAAAGfyvkY=")</f>
        <v>#REF!</v>
      </c>
      <c r="BT150" t="e">
        <f>AND(#REF!,"AAAAAGfyvkc=")</f>
        <v>#REF!</v>
      </c>
      <c r="BU150" t="e">
        <f>AND(#REF!,"AAAAAGfyvkg=")</f>
        <v>#REF!</v>
      </c>
      <c r="BV150" t="e">
        <f>AND(#REF!,"AAAAAGfyvkk=")</f>
        <v>#REF!</v>
      </c>
      <c r="BW150" t="e">
        <f>AND(#REF!,"AAAAAGfyvko=")</f>
        <v>#REF!</v>
      </c>
      <c r="BX150" t="e">
        <f>AND(#REF!,"AAAAAGfyvks=")</f>
        <v>#REF!</v>
      </c>
      <c r="BY150" t="e">
        <f>AND(#REF!,"AAAAAGfyvkw=")</f>
        <v>#REF!</v>
      </c>
      <c r="BZ150" t="e">
        <f>AND(#REF!,"AAAAAGfyvk0=")</f>
        <v>#REF!</v>
      </c>
      <c r="CA150" t="e">
        <f>AND(#REF!,"AAAAAGfyvk4=")</f>
        <v>#REF!</v>
      </c>
      <c r="CB150" t="e">
        <f>AND(#REF!,"AAAAAGfyvk8=")</f>
        <v>#REF!</v>
      </c>
      <c r="CC150" t="e">
        <f>AND(#REF!,"AAAAAGfyvlA=")</f>
        <v>#REF!</v>
      </c>
      <c r="CD150" t="e">
        <f>AND(#REF!,"AAAAAGfyvlE=")</f>
        <v>#REF!</v>
      </c>
      <c r="CE150" t="e">
        <f>AND(#REF!,"AAAAAGfyvlI=")</f>
        <v>#REF!</v>
      </c>
      <c r="CF150" t="e">
        <f>AND(#REF!,"AAAAAGfyvlM=")</f>
        <v>#REF!</v>
      </c>
      <c r="CG150" t="e">
        <f>AND(#REF!,"AAAAAGfyvlQ=")</f>
        <v>#REF!</v>
      </c>
      <c r="CH150" t="e">
        <f>AND(#REF!,"AAAAAGfyvlU=")</f>
        <v>#REF!</v>
      </c>
      <c r="CI150" t="e">
        <f>AND(#REF!,"AAAAAGfyvlY=")</f>
        <v>#REF!</v>
      </c>
      <c r="CJ150" t="e">
        <f>AND(#REF!,"AAAAAGfyvlc=")</f>
        <v>#REF!</v>
      </c>
      <c r="CK150" t="e">
        <f>AND(#REF!,"AAAAAGfyvlg=")</f>
        <v>#REF!</v>
      </c>
      <c r="CL150" t="e">
        <f>AND(#REF!,"AAAAAGfyvlk=")</f>
        <v>#REF!</v>
      </c>
      <c r="CM150" t="e">
        <f>AND(#REF!,"AAAAAGfyvlo=")</f>
        <v>#REF!</v>
      </c>
      <c r="CN150" t="e">
        <f>IF(#REF!,"AAAAAGfyvls=",0)</f>
        <v>#REF!</v>
      </c>
      <c r="CO150" t="e">
        <f>AND(#REF!,"AAAAAGfyvlw=")</f>
        <v>#REF!</v>
      </c>
      <c r="CP150" t="e">
        <f>AND(#REF!,"AAAAAGfyvl0=")</f>
        <v>#REF!</v>
      </c>
      <c r="CQ150" t="e">
        <f>AND(#REF!,"AAAAAGfyvl4=")</f>
        <v>#REF!</v>
      </c>
      <c r="CR150" t="e">
        <f>AND(#REF!,"AAAAAGfyvl8=")</f>
        <v>#REF!</v>
      </c>
      <c r="CS150" t="e">
        <f>AND(#REF!,"AAAAAGfyvmA=")</f>
        <v>#REF!</v>
      </c>
      <c r="CT150" t="e">
        <f>AND(#REF!,"AAAAAGfyvmE=")</f>
        <v>#REF!</v>
      </c>
      <c r="CU150" t="e">
        <f>AND(#REF!,"AAAAAGfyvmI=")</f>
        <v>#REF!</v>
      </c>
      <c r="CV150" t="e">
        <f>AND(#REF!,"AAAAAGfyvmM=")</f>
        <v>#REF!</v>
      </c>
      <c r="CW150" t="e">
        <f>AND(#REF!,"AAAAAGfyvmQ=")</f>
        <v>#REF!</v>
      </c>
      <c r="CX150" t="e">
        <f>AND(#REF!,"AAAAAGfyvmU=")</f>
        <v>#REF!</v>
      </c>
      <c r="CY150" t="e">
        <f>AND(#REF!,"AAAAAGfyvmY=")</f>
        <v>#REF!</v>
      </c>
      <c r="CZ150" t="e">
        <f>AND(#REF!,"AAAAAGfyvmc=")</f>
        <v>#REF!</v>
      </c>
      <c r="DA150" t="e">
        <f>AND(#REF!,"AAAAAGfyvmg=")</f>
        <v>#REF!</v>
      </c>
      <c r="DB150" t="e">
        <f>AND(#REF!,"AAAAAGfyvmk=")</f>
        <v>#REF!</v>
      </c>
      <c r="DC150" t="e">
        <f>AND(#REF!,"AAAAAGfyvmo=")</f>
        <v>#REF!</v>
      </c>
      <c r="DD150" t="e">
        <f>AND(#REF!,"AAAAAGfyvms=")</f>
        <v>#REF!</v>
      </c>
      <c r="DE150" t="e">
        <f>AND(#REF!,"AAAAAGfyvmw=")</f>
        <v>#REF!</v>
      </c>
      <c r="DF150" t="e">
        <f>AND(#REF!,"AAAAAGfyvm0=")</f>
        <v>#REF!</v>
      </c>
      <c r="DG150" t="e">
        <f>AND(#REF!,"AAAAAGfyvm4=")</f>
        <v>#REF!</v>
      </c>
      <c r="DH150" t="e">
        <f>AND(#REF!,"AAAAAGfyvm8=")</f>
        <v>#REF!</v>
      </c>
      <c r="DI150" t="e">
        <f>AND(#REF!,"AAAAAGfyvnA=")</f>
        <v>#REF!</v>
      </c>
      <c r="DJ150" t="e">
        <f>AND(#REF!,"AAAAAGfyvnE=")</f>
        <v>#REF!</v>
      </c>
      <c r="DK150" t="e">
        <f>AND(#REF!,"AAAAAGfyvnI=")</f>
        <v>#REF!</v>
      </c>
      <c r="DL150" t="e">
        <f>AND(#REF!,"AAAAAGfyvnM=")</f>
        <v>#REF!</v>
      </c>
      <c r="DM150" t="e">
        <f>IF(#REF!,"AAAAAGfyvnQ=",0)</f>
        <v>#REF!</v>
      </c>
      <c r="DN150" t="e">
        <f>AND(#REF!,"AAAAAGfyvnU=")</f>
        <v>#REF!</v>
      </c>
      <c r="DO150" t="e">
        <f>AND(#REF!,"AAAAAGfyvnY=")</f>
        <v>#REF!</v>
      </c>
      <c r="DP150" t="e">
        <f>AND(#REF!,"AAAAAGfyvnc=")</f>
        <v>#REF!</v>
      </c>
      <c r="DQ150" t="e">
        <f>AND(#REF!,"AAAAAGfyvng=")</f>
        <v>#REF!</v>
      </c>
      <c r="DR150" t="e">
        <f>AND(#REF!,"AAAAAGfyvnk=")</f>
        <v>#REF!</v>
      </c>
      <c r="DS150" t="e">
        <f>AND(#REF!,"AAAAAGfyvno=")</f>
        <v>#REF!</v>
      </c>
      <c r="DT150" t="e">
        <f>AND(#REF!,"AAAAAGfyvns=")</f>
        <v>#REF!</v>
      </c>
      <c r="DU150" t="e">
        <f>AND(#REF!,"AAAAAGfyvnw=")</f>
        <v>#REF!</v>
      </c>
      <c r="DV150" t="e">
        <f>AND(#REF!,"AAAAAGfyvn0=")</f>
        <v>#REF!</v>
      </c>
      <c r="DW150" t="e">
        <f>AND(#REF!,"AAAAAGfyvn4=")</f>
        <v>#REF!</v>
      </c>
      <c r="DX150" t="e">
        <f>AND(#REF!,"AAAAAGfyvn8=")</f>
        <v>#REF!</v>
      </c>
      <c r="DY150" t="e">
        <f>AND(#REF!,"AAAAAGfyvoA=")</f>
        <v>#REF!</v>
      </c>
      <c r="DZ150" t="e">
        <f>AND(#REF!,"AAAAAGfyvoE=")</f>
        <v>#REF!</v>
      </c>
      <c r="EA150" t="e">
        <f>AND(#REF!,"AAAAAGfyvoI=")</f>
        <v>#REF!</v>
      </c>
      <c r="EB150" t="e">
        <f>AND(#REF!,"AAAAAGfyvoM=")</f>
        <v>#REF!</v>
      </c>
      <c r="EC150" t="e">
        <f>AND(#REF!,"AAAAAGfyvoQ=")</f>
        <v>#REF!</v>
      </c>
      <c r="ED150" t="e">
        <f>AND(#REF!,"AAAAAGfyvoU=")</f>
        <v>#REF!</v>
      </c>
      <c r="EE150" t="e">
        <f>AND(#REF!,"AAAAAGfyvoY=")</f>
        <v>#REF!</v>
      </c>
      <c r="EF150" t="e">
        <f>AND(#REF!,"AAAAAGfyvoc=")</f>
        <v>#REF!</v>
      </c>
      <c r="EG150" t="e">
        <f>AND(#REF!,"AAAAAGfyvog=")</f>
        <v>#REF!</v>
      </c>
      <c r="EH150" t="e">
        <f>AND(#REF!,"AAAAAGfyvok=")</f>
        <v>#REF!</v>
      </c>
      <c r="EI150" t="e">
        <f>AND(#REF!,"AAAAAGfyvoo=")</f>
        <v>#REF!</v>
      </c>
      <c r="EJ150" t="e">
        <f>AND(#REF!,"AAAAAGfyvos=")</f>
        <v>#REF!</v>
      </c>
      <c r="EK150" t="e">
        <f>AND(#REF!,"AAAAAGfyvow=")</f>
        <v>#REF!</v>
      </c>
      <c r="EL150" t="e">
        <f>IF(#REF!,"AAAAAGfyvo0=",0)</f>
        <v>#REF!</v>
      </c>
      <c r="EM150" t="e">
        <f>AND(#REF!,"AAAAAGfyvo4=")</f>
        <v>#REF!</v>
      </c>
      <c r="EN150" t="e">
        <f>AND(#REF!,"AAAAAGfyvo8=")</f>
        <v>#REF!</v>
      </c>
      <c r="EO150" t="e">
        <f>AND(#REF!,"AAAAAGfyvpA=")</f>
        <v>#REF!</v>
      </c>
      <c r="EP150" t="e">
        <f>AND(#REF!,"AAAAAGfyvpE=")</f>
        <v>#REF!</v>
      </c>
      <c r="EQ150" t="e">
        <f>AND(#REF!,"AAAAAGfyvpI=")</f>
        <v>#REF!</v>
      </c>
      <c r="ER150" t="e">
        <f>AND(#REF!,"AAAAAGfyvpM=")</f>
        <v>#REF!</v>
      </c>
      <c r="ES150" t="e">
        <f>AND(#REF!,"AAAAAGfyvpQ=")</f>
        <v>#REF!</v>
      </c>
      <c r="ET150" t="e">
        <f>AND(#REF!,"AAAAAGfyvpU=")</f>
        <v>#REF!</v>
      </c>
      <c r="EU150" t="e">
        <f>AND(#REF!,"AAAAAGfyvpY=")</f>
        <v>#REF!</v>
      </c>
      <c r="EV150" t="e">
        <f>AND(#REF!,"AAAAAGfyvpc=")</f>
        <v>#REF!</v>
      </c>
      <c r="EW150" t="e">
        <f>AND(#REF!,"AAAAAGfyvpg=")</f>
        <v>#REF!</v>
      </c>
      <c r="EX150" t="e">
        <f>AND(#REF!,"AAAAAGfyvpk=")</f>
        <v>#REF!</v>
      </c>
      <c r="EY150" t="e">
        <f>AND(#REF!,"AAAAAGfyvpo=")</f>
        <v>#REF!</v>
      </c>
      <c r="EZ150" t="e">
        <f>AND(#REF!,"AAAAAGfyvps=")</f>
        <v>#REF!</v>
      </c>
      <c r="FA150" t="e">
        <f>AND(#REF!,"AAAAAGfyvpw=")</f>
        <v>#REF!</v>
      </c>
      <c r="FB150" t="e">
        <f>AND(#REF!,"AAAAAGfyvp0=")</f>
        <v>#REF!</v>
      </c>
      <c r="FC150" t="e">
        <f>AND(#REF!,"AAAAAGfyvp4=")</f>
        <v>#REF!</v>
      </c>
      <c r="FD150" t="e">
        <f>AND(#REF!,"AAAAAGfyvp8=")</f>
        <v>#REF!</v>
      </c>
      <c r="FE150" t="e">
        <f>AND(#REF!,"AAAAAGfyvqA=")</f>
        <v>#REF!</v>
      </c>
      <c r="FF150" t="e">
        <f>AND(#REF!,"AAAAAGfyvqE=")</f>
        <v>#REF!</v>
      </c>
      <c r="FG150" t="e">
        <f>AND(#REF!,"AAAAAGfyvqI=")</f>
        <v>#REF!</v>
      </c>
      <c r="FH150" t="e">
        <f>AND(#REF!,"AAAAAGfyvqM=")</f>
        <v>#REF!</v>
      </c>
      <c r="FI150" t="e">
        <f>AND(#REF!,"AAAAAGfyvqQ=")</f>
        <v>#REF!</v>
      </c>
      <c r="FJ150" t="e">
        <f>AND(#REF!,"AAAAAGfyvqU=")</f>
        <v>#REF!</v>
      </c>
      <c r="FK150" t="e">
        <f>IF(#REF!,"AAAAAGfyvqY=",0)</f>
        <v>#REF!</v>
      </c>
      <c r="FL150" t="e">
        <f>AND(#REF!,"AAAAAGfyvqc=")</f>
        <v>#REF!</v>
      </c>
      <c r="FM150" t="e">
        <f>AND(#REF!,"AAAAAGfyvqg=")</f>
        <v>#REF!</v>
      </c>
      <c r="FN150" t="e">
        <f>AND(#REF!,"AAAAAGfyvqk=")</f>
        <v>#REF!</v>
      </c>
      <c r="FO150" t="e">
        <f>AND(#REF!,"AAAAAGfyvqo=")</f>
        <v>#REF!</v>
      </c>
      <c r="FP150" t="e">
        <f>AND(#REF!,"AAAAAGfyvqs=")</f>
        <v>#REF!</v>
      </c>
      <c r="FQ150" t="e">
        <f>AND(#REF!,"AAAAAGfyvqw=")</f>
        <v>#REF!</v>
      </c>
      <c r="FR150" t="e">
        <f>AND(#REF!,"AAAAAGfyvq0=")</f>
        <v>#REF!</v>
      </c>
      <c r="FS150" t="e">
        <f>AND(#REF!,"AAAAAGfyvq4=")</f>
        <v>#REF!</v>
      </c>
      <c r="FT150" t="e">
        <f>AND(#REF!,"AAAAAGfyvq8=")</f>
        <v>#REF!</v>
      </c>
      <c r="FU150" t="e">
        <f>AND(#REF!,"AAAAAGfyvrA=")</f>
        <v>#REF!</v>
      </c>
      <c r="FV150" t="e">
        <f>AND(#REF!,"AAAAAGfyvrE=")</f>
        <v>#REF!</v>
      </c>
      <c r="FW150" t="e">
        <f>AND(#REF!,"AAAAAGfyvrI=")</f>
        <v>#REF!</v>
      </c>
      <c r="FX150" t="e">
        <f>AND(#REF!,"AAAAAGfyvrM=")</f>
        <v>#REF!</v>
      </c>
      <c r="FY150" t="e">
        <f>AND(#REF!,"AAAAAGfyvrQ=")</f>
        <v>#REF!</v>
      </c>
      <c r="FZ150" t="e">
        <f>AND(#REF!,"AAAAAGfyvrU=")</f>
        <v>#REF!</v>
      </c>
      <c r="GA150" t="e">
        <f>AND(#REF!,"AAAAAGfyvrY=")</f>
        <v>#REF!</v>
      </c>
      <c r="GB150" t="e">
        <f>AND(#REF!,"AAAAAGfyvrc=")</f>
        <v>#REF!</v>
      </c>
      <c r="GC150" t="e">
        <f>AND(#REF!,"AAAAAGfyvrg=")</f>
        <v>#REF!</v>
      </c>
      <c r="GD150" t="e">
        <f>AND(#REF!,"AAAAAGfyvrk=")</f>
        <v>#REF!</v>
      </c>
      <c r="GE150" t="e">
        <f>AND(#REF!,"AAAAAGfyvro=")</f>
        <v>#REF!</v>
      </c>
      <c r="GF150" t="e">
        <f>AND(#REF!,"AAAAAGfyvrs=")</f>
        <v>#REF!</v>
      </c>
      <c r="GG150" t="e">
        <f>AND(#REF!,"AAAAAGfyvrw=")</f>
        <v>#REF!</v>
      </c>
      <c r="GH150" t="e">
        <f>AND(#REF!,"AAAAAGfyvr0=")</f>
        <v>#REF!</v>
      </c>
      <c r="GI150" t="e">
        <f>AND(#REF!,"AAAAAGfyvr4=")</f>
        <v>#REF!</v>
      </c>
      <c r="GJ150" t="e">
        <f>IF(#REF!,"AAAAAGfyvr8=",0)</f>
        <v>#REF!</v>
      </c>
      <c r="GK150" t="e">
        <f>AND(#REF!,"AAAAAGfyvsA=")</f>
        <v>#REF!</v>
      </c>
      <c r="GL150" t="e">
        <f>AND(#REF!,"AAAAAGfyvsE=")</f>
        <v>#REF!</v>
      </c>
      <c r="GM150" t="e">
        <f>AND(#REF!,"AAAAAGfyvsI=")</f>
        <v>#REF!</v>
      </c>
      <c r="GN150" t="e">
        <f>AND(#REF!,"AAAAAGfyvsM=")</f>
        <v>#REF!</v>
      </c>
      <c r="GO150" t="e">
        <f>AND(#REF!,"AAAAAGfyvsQ=")</f>
        <v>#REF!</v>
      </c>
      <c r="GP150" t="e">
        <f>AND(#REF!,"AAAAAGfyvsU=")</f>
        <v>#REF!</v>
      </c>
      <c r="GQ150" t="e">
        <f>AND(#REF!,"AAAAAGfyvsY=")</f>
        <v>#REF!</v>
      </c>
      <c r="GR150" t="e">
        <f>AND(#REF!,"AAAAAGfyvsc=")</f>
        <v>#REF!</v>
      </c>
      <c r="GS150" t="e">
        <f>AND(#REF!,"AAAAAGfyvsg=")</f>
        <v>#REF!</v>
      </c>
      <c r="GT150" t="e">
        <f>AND(#REF!,"AAAAAGfyvsk=")</f>
        <v>#REF!</v>
      </c>
      <c r="GU150" t="e">
        <f>AND(#REF!,"AAAAAGfyvso=")</f>
        <v>#REF!</v>
      </c>
      <c r="GV150" t="e">
        <f>AND(#REF!,"AAAAAGfyvss=")</f>
        <v>#REF!</v>
      </c>
      <c r="GW150" t="e">
        <f>AND(#REF!,"AAAAAGfyvsw=")</f>
        <v>#REF!</v>
      </c>
      <c r="GX150" t="e">
        <f>AND(#REF!,"AAAAAGfyvs0=")</f>
        <v>#REF!</v>
      </c>
      <c r="GY150" t="e">
        <f>AND(#REF!,"AAAAAGfyvs4=")</f>
        <v>#REF!</v>
      </c>
      <c r="GZ150" t="e">
        <f>AND(#REF!,"AAAAAGfyvs8=")</f>
        <v>#REF!</v>
      </c>
      <c r="HA150" t="e">
        <f>AND(#REF!,"AAAAAGfyvtA=")</f>
        <v>#REF!</v>
      </c>
      <c r="HB150" t="e">
        <f>AND(#REF!,"AAAAAGfyvtE=")</f>
        <v>#REF!</v>
      </c>
      <c r="HC150" t="e">
        <f>AND(#REF!,"AAAAAGfyvtI=")</f>
        <v>#REF!</v>
      </c>
      <c r="HD150" t="e">
        <f>AND(#REF!,"AAAAAGfyvtM=")</f>
        <v>#REF!</v>
      </c>
      <c r="HE150" t="e">
        <f>AND(#REF!,"AAAAAGfyvtQ=")</f>
        <v>#REF!</v>
      </c>
      <c r="HF150" t="e">
        <f>AND(#REF!,"AAAAAGfyvtU=")</f>
        <v>#REF!</v>
      </c>
      <c r="HG150" t="e">
        <f>AND(#REF!,"AAAAAGfyvtY=")</f>
        <v>#REF!</v>
      </c>
      <c r="HH150" t="e">
        <f>AND(#REF!,"AAAAAGfyvtc=")</f>
        <v>#REF!</v>
      </c>
      <c r="HI150" t="e">
        <f>IF(#REF!,"AAAAAGfyvtg=",0)</f>
        <v>#REF!</v>
      </c>
      <c r="HJ150" t="e">
        <f>AND(#REF!,"AAAAAGfyvtk=")</f>
        <v>#REF!</v>
      </c>
      <c r="HK150" t="e">
        <f>AND(#REF!,"AAAAAGfyvto=")</f>
        <v>#REF!</v>
      </c>
      <c r="HL150" t="e">
        <f>AND(#REF!,"AAAAAGfyvts=")</f>
        <v>#REF!</v>
      </c>
      <c r="HM150" t="e">
        <f>AND(#REF!,"AAAAAGfyvtw=")</f>
        <v>#REF!</v>
      </c>
      <c r="HN150" t="e">
        <f>AND(#REF!,"AAAAAGfyvt0=")</f>
        <v>#REF!</v>
      </c>
      <c r="HO150" t="e">
        <f>AND(#REF!,"AAAAAGfyvt4=")</f>
        <v>#REF!</v>
      </c>
      <c r="HP150" t="e">
        <f>AND(#REF!,"AAAAAGfyvt8=")</f>
        <v>#REF!</v>
      </c>
      <c r="HQ150" t="e">
        <f>AND(#REF!,"AAAAAGfyvuA=")</f>
        <v>#REF!</v>
      </c>
      <c r="HR150" t="e">
        <f>AND(#REF!,"AAAAAGfyvuE=")</f>
        <v>#REF!</v>
      </c>
      <c r="HS150" t="e">
        <f>AND(#REF!,"AAAAAGfyvuI=")</f>
        <v>#REF!</v>
      </c>
      <c r="HT150" t="e">
        <f>AND(#REF!,"AAAAAGfyvuM=")</f>
        <v>#REF!</v>
      </c>
      <c r="HU150" t="e">
        <f>AND(#REF!,"AAAAAGfyvuQ=")</f>
        <v>#REF!</v>
      </c>
      <c r="HV150" t="e">
        <f>AND(#REF!,"AAAAAGfyvuU=")</f>
        <v>#REF!</v>
      </c>
      <c r="HW150" t="e">
        <f>AND(#REF!,"AAAAAGfyvuY=")</f>
        <v>#REF!</v>
      </c>
      <c r="HX150" t="e">
        <f>AND(#REF!,"AAAAAGfyvuc=")</f>
        <v>#REF!</v>
      </c>
      <c r="HY150" t="e">
        <f>AND(#REF!,"AAAAAGfyvug=")</f>
        <v>#REF!</v>
      </c>
      <c r="HZ150" t="e">
        <f>AND(#REF!,"AAAAAGfyvuk=")</f>
        <v>#REF!</v>
      </c>
      <c r="IA150" t="e">
        <f>AND(#REF!,"AAAAAGfyvuo=")</f>
        <v>#REF!</v>
      </c>
      <c r="IB150" t="e">
        <f>AND(#REF!,"AAAAAGfyvus=")</f>
        <v>#REF!</v>
      </c>
      <c r="IC150" t="e">
        <f>AND(#REF!,"AAAAAGfyvuw=")</f>
        <v>#REF!</v>
      </c>
      <c r="ID150" t="e">
        <f>AND(#REF!,"AAAAAGfyvu0=")</f>
        <v>#REF!</v>
      </c>
      <c r="IE150" t="e">
        <f>AND(#REF!,"AAAAAGfyvu4=")</f>
        <v>#REF!</v>
      </c>
      <c r="IF150" t="e">
        <f>AND(#REF!,"AAAAAGfyvu8=")</f>
        <v>#REF!</v>
      </c>
      <c r="IG150" t="e">
        <f>AND(#REF!,"AAAAAGfyvvA=")</f>
        <v>#REF!</v>
      </c>
      <c r="IH150" t="e">
        <f>IF(#REF!,"AAAAAGfyvvE=",0)</f>
        <v>#REF!</v>
      </c>
      <c r="II150" t="e">
        <f>AND(#REF!,"AAAAAGfyvvI=")</f>
        <v>#REF!</v>
      </c>
      <c r="IJ150" t="e">
        <f>AND(#REF!,"AAAAAGfyvvM=")</f>
        <v>#REF!</v>
      </c>
      <c r="IK150" t="e">
        <f>AND(#REF!,"AAAAAGfyvvQ=")</f>
        <v>#REF!</v>
      </c>
      <c r="IL150" t="e">
        <f>AND(#REF!,"AAAAAGfyvvU=")</f>
        <v>#REF!</v>
      </c>
      <c r="IM150" t="e">
        <f>AND(#REF!,"AAAAAGfyvvY=")</f>
        <v>#REF!</v>
      </c>
      <c r="IN150" t="e">
        <f>AND(#REF!,"AAAAAGfyvvc=")</f>
        <v>#REF!</v>
      </c>
      <c r="IO150" t="e">
        <f>AND(#REF!,"AAAAAGfyvvg=")</f>
        <v>#REF!</v>
      </c>
      <c r="IP150" t="e">
        <f>AND(#REF!,"AAAAAGfyvvk=")</f>
        <v>#REF!</v>
      </c>
      <c r="IQ150" t="e">
        <f>AND(#REF!,"AAAAAGfyvvo=")</f>
        <v>#REF!</v>
      </c>
      <c r="IR150" t="e">
        <f>AND(#REF!,"AAAAAGfyvvs=")</f>
        <v>#REF!</v>
      </c>
      <c r="IS150" t="e">
        <f>AND(#REF!,"AAAAAGfyvvw=")</f>
        <v>#REF!</v>
      </c>
      <c r="IT150" t="e">
        <f>AND(#REF!,"AAAAAGfyvv0=")</f>
        <v>#REF!</v>
      </c>
      <c r="IU150" t="e">
        <f>AND(#REF!,"AAAAAGfyvv4=")</f>
        <v>#REF!</v>
      </c>
      <c r="IV150" t="e">
        <f>AND(#REF!,"AAAAAGfyvv8=")</f>
        <v>#REF!</v>
      </c>
    </row>
    <row r="151" spans="1:256">
      <c r="A151" t="e">
        <f>AND(#REF!,"AAAAAH/1fwA=")</f>
        <v>#REF!</v>
      </c>
      <c r="B151" t="e">
        <f>AND(#REF!,"AAAAAH/1fwE=")</f>
        <v>#REF!</v>
      </c>
      <c r="C151" t="e">
        <f>AND(#REF!,"AAAAAH/1fwI=")</f>
        <v>#REF!</v>
      </c>
      <c r="D151" t="e">
        <f>AND(#REF!,"AAAAAH/1fwM=")</f>
        <v>#REF!</v>
      </c>
      <c r="E151" t="e">
        <f>AND(#REF!,"AAAAAH/1fwQ=")</f>
        <v>#REF!</v>
      </c>
      <c r="F151" t="e">
        <f>AND(#REF!,"AAAAAH/1fwU=")</f>
        <v>#REF!</v>
      </c>
      <c r="G151" t="e">
        <f>AND(#REF!,"AAAAAH/1fwY=")</f>
        <v>#REF!</v>
      </c>
      <c r="H151" t="e">
        <f>AND(#REF!,"AAAAAH/1fwc=")</f>
        <v>#REF!</v>
      </c>
      <c r="I151" t="e">
        <f>AND(#REF!,"AAAAAH/1fwg=")</f>
        <v>#REF!</v>
      </c>
      <c r="J151" t="e">
        <f>AND(#REF!,"AAAAAH/1fwk=")</f>
        <v>#REF!</v>
      </c>
      <c r="K151" t="e">
        <f>IF(#REF!,"AAAAAH/1fwo=",0)</f>
        <v>#REF!</v>
      </c>
      <c r="L151" t="e">
        <f>AND(#REF!,"AAAAAH/1fws=")</f>
        <v>#REF!</v>
      </c>
      <c r="M151" t="e">
        <f>AND(#REF!,"AAAAAH/1fww=")</f>
        <v>#REF!</v>
      </c>
      <c r="N151" t="e">
        <f>AND(#REF!,"AAAAAH/1fw0=")</f>
        <v>#REF!</v>
      </c>
      <c r="O151" t="e">
        <f>AND(#REF!,"AAAAAH/1fw4=")</f>
        <v>#REF!</v>
      </c>
      <c r="P151" t="e">
        <f>AND(#REF!,"AAAAAH/1fw8=")</f>
        <v>#REF!</v>
      </c>
      <c r="Q151" t="e">
        <f>AND(#REF!,"AAAAAH/1fxA=")</f>
        <v>#REF!</v>
      </c>
      <c r="R151" t="e">
        <f>AND(#REF!,"AAAAAH/1fxE=")</f>
        <v>#REF!</v>
      </c>
      <c r="S151" t="e">
        <f>AND(#REF!,"AAAAAH/1fxI=")</f>
        <v>#REF!</v>
      </c>
      <c r="T151" t="e">
        <f>AND(#REF!,"AAAAAH/1fxM=")</f>
        <v>#REF!</v>
      </c>
      <c r="U151" t="e">
        <f>AND(#REF!,"AAAAAH/1fxQ=")</f>
        <v>#REF!</v>
      </c>
      <c r="V151" t="e">
        <f>AND(#REF!,"AAAAAH/1fxU=")</f>
        <v>#REF!</v>
      </c>
      <c r="W151" t="e">
        <f>AND(#REF!,"AAAAAH/1fxY=")</f>
        <v>#REF!</v>
      </c>
      <c r="X151" t="e">
        <f>AND(#REF!,"AAAAAH/1fxc=")</f>
        <v>#REF!</v>
      </c>
      <c r="Y151" t="e">
        <f>AND(#REF!,"AAAAAH/1fxg=")</f>
        <v>#REF!</v>
      </c>
      <c r="Z151" t="e">
        <f>AND(#REF!,"AAAAAH/1fxk=")</f>
        <v>#REF!</v>
      </c>
      <c r="AA151" t="e">
        <f>AND(#REF!,"AAAAAH/1fxo=")</f>
        <v>#REF!</v>
      </c>
      <c r="AB151" t="e">
        <f>AND(#REF!,"AAAAAH/1fxs=")</f>
        <v>#REF!</v>
      </c>
      <c r="AC151" t="e">
        <f>AND(#REF!,"AAAAAH/1fxw=")</f>
        <v>#REF!</v>
      </c>
      <c r="AD151" t="e">
        <f>AND(#REF!,"AAAAAH/1fx0=")</f>
        <v>#REF!</v>
      </c>
      <c r="AE151" t="e">
        <f>AND(#REF!,"AAAAAH/1fx4=")</f>
        <v>#REF!</v>
      </c>
      <c r="AF151" t="e">
        <f>AND(#REF!,"AAAAAH/1fx8=")</f>
        <v>#REF!</v>
      </c>
      <c r="AG151" t="e">
        <f>AND(#REF!,"AAAAAH/1fyA=")</f>
        <v>#REF!</v>
      </c>
      <c r="AH151" t="e">
        <f>AND(#REF!,"AAAAAH/1fyE=")</f>
        <v>#REF!</v>
      </c>
      <c r="AI151" t="e">
        <f>AND(#REF!,"AAAAAH/1fyI=")</f>
        <v>#REF!</v>
      </c>
      <c r="AJ151" t="e">
        <f>IF(#REF!,"AAAAAH/1fyM=",0)</f>
        <v>#REF!</v>
      </c>
      <c r="AK151" t="e">
        <f>AND(#REF!,"AAAAAH/1fyQ=")</f>
        <v>#REF!</v>
      </c>
      <c r="AL151" t="e">
        <f>AND(#REF!,"AAAAAH/1fyU=")</f>
        <v>#REF!</v>
      </c>
      <c r="AM151" t="e">
        <f>AND(#REF!,"AAAAAH/1fyY=")</f>
        <v>#REF!</v>
      </c>
      <c r="AN151" t="e">
        <f>AND(#REF!,"AAAAAH/1fyc=")</f>
        <v>#REF!</v>
      </c>
      <c r="AO151" t="e">
        <f>AND(#REF!,"AAAAAH/1fyg=")</f>
        <v>#REF!</v>
      </c>
      <c r="AP151" t="e">
        <f>AND(#REF!,"AAAAAH/1fyk=")</f>
        <v>#REF!</v>
      </c>
      <c r="AQ151" t="e">
        <f>AND(#REF!,"AAAAAH/1fyo=")</f>
        <v>#REF!</v>
      </c>
      <c r="AR151" t="e">
        <f>AND(#REF!,"AAAAAH/1fys=")</f>
        <v>#REF!</v>
      </c>
      <c r="AS151" t="e">
        <f>AND(#REF!,"AAAAAH/1fyw=")</f>
        <v>#REF!</v>
      </c>
      <c r="AT151" t="e">
        <f>AND(#REF!,"AAAAAH/1fy0=")</f>
        <v>#REF!</v>
      </c>
      <c r="AU151" t="e">
        <f>AND(#REF!,"AAAAAH/1fy4=")</f>
        <v>#REF!</v>
      </c>
      <c r="AV151" t="e">
        <f>AND(#REF!,"AAAAAH/1fy8=")</f>
        <v>#REF!</v>
      </c>
      <c r="AW151" t="e">
        <f>AND(#REF!,"AAAAAH/1fzA=")</f>
        <v>#REF!</v>
      </c>
      <c r="AX151" t="e">
        <f>AND(#REF!,"AAAAAH/1fzE=")</f>
        <v>#REF!</v>
      </c>
      <c r="AY151" t="e">
        <f>AND(#REF!,"AAAAAH/1fzI=")</f>
        <v>#REF!</v>
      </c>
      <c r="AZ151" t="e">
        <f>AND(#REF!,"AAAAAH/1fzM=")</f>
        <v>#REF!</v>
      </c>
      <c r="BA151" t="e">
        <f>AND(#REF!,"AAAAAH/1fzQ=")</f>
        <v>#REF!</v>
      </c>
      <c r="BB151" t="e">
        <f>AND(#REF!,"AAAAAH/1fzU=")</f>
        <v>#REF!</v>
      </c>
      <c r="BC151" t="e">
        <f>AND(#REF!,"AAAAAH/1fzY=")</f>
        <v>#REF!</v>
      </c>
      <c r="BD151" t="e">
        <f>AND(#REF!,"AAAAAH/1fzc=")</f>
        <v>#REF!</v>
      </c>
      <c r="BE151" t="e">
        <f>AND(#REF!,"AAAAAH/1fzg=")</f>
        <v>#REF!</v>
      </c>
      <c r="BF151" t="e">
        <f>AND(#REF!,"AAAAAH/1fzk=")</f>
        <v>#REF!</v>
      </c>
      <c r="BG151" t="e">
        <f>AND(#REF!,"AAAAAH/1fzo=")</f>
        <v>#REF!</v>
      </c>
      <c r="BH151" t="e">
        <f>AND(#REF!,"AAAAAH/1fzs=")</f>
        <v>#REF!</v>
      </c>
      <c r="BI151" t="e">
        <f>IF(#REF!,"AAAAAH/1fzw=",0)</f>
        <v>#REF!</v>
      </c>
      <c r="BJ151" t="e">
        <f>AND(#REF!,"AAAAAH/1fz0=")</f>
        <v>#REF!</v>
      </c>
      <c r="BK151" t="e">
        <f>AND(#REF!,"AAAAAH/1fz4=")</f>
        <v>#REF!</v>
      </c>
      <c r="BL151" t="e">
        <f>AND(#REF!,"AAAAAH/1fz8=")</f>
        <v>#REF!</v>
      </c>
      <c r="BM151" t="e">
        <f>AND(#REF!,"AAAAAH/1f0A=")</f>
        <v>#REF!</v>
      </c>
      <c r="BN151" t="e">
        <f>AND(#REF!,"AAAAAH/1f0E=")</f>
        <v>#REF!</v>
      </c>
      <c r="BO151" t="e">
        <f>AND(#REF!,"AAAAAH/1f0I=")</f>
        <v>#REF!</v>
      </c>
      <c r="BP151" t="e">
        <f>AND(#REF!,"AAAAAH/1f0M=")</f>
        <v>#REF!</v>
      </c>
      <c r="BQ151" t="e">
        <f>AND(#REF!,"AAAAAH/1f0Q=")</f>
        <v>#REF!</v>
      </c>
      <c r="BR151" t="e">
        <f>AND(#REF!,"AAAAAH/1f0U=")</f>
        <v>#REF!</v>
      </c>
      <c r="BS151" t="e">
        <f>AND(#REF!,"AAAAAH/1f0Y=")</f>
        <v>#REF!</v>
      </c>
      <c r="BT151" t="e">
        <f>AND(#REF!,"AAAAAH/1f0c=")</f>
        <v>#REF!</v>
      </c>
      <c r="BU151" t="e">
        <f>AND(#REF!,"AAAAAH/1f0g=")</f>
        <v>#REF!</v>
      </c>
      <c r="BV151" t="e">
        <f>AND(#REF!,"AAAAAH/1f0k=")</f>
        <v>#REF!</v>
      </c>
      <c r="BW151" t="e">
        <f>AND(#REF!,"AAAAAH/1f0o=")</f>
        <v>#REF!</v>
      </c>
      <c r="BX151" t="e">
        <f>AND(#REF!,"AAAAAH/1f0s=")</f>
        <v>#REF!</v>
      </c>
      <c r="BY151" t="e">
        <f>AND(#REF!,"AAAAAH/1f0w=")</f>
        <v>#REF!</v>
      </c>
      <c r="BZ151" t="e">
        <f>AND(#REF!,"AAAAAH/1f00=")</f>
        <v>#REF!</v>
      </c>
      <c r="CA151" t="e">
        <f>AND(#REF!,"AAAAAH/1f04=")</f>
        <v>#REF!</v>
      </c>
      <c r="CB151" t="e">
        <f>AND(#REF!,"AAAAAH/1f08=")</f>
        <v>#REF!</v>
      </c>
      <c r="CC151" t="e">
        <f>AND(#REF!,"AAAAAH/1f1A=")</f>
        <v>#REF!</v>
      </c>
      <c r="CD151" t="e">
        <f>AND(#REF!,"AAAAAH/1f1E=")</f>
        <v>#REF!</v>
      </c>
      <c r="CE151" t="e">
        <f>AND(#REF!,"AAAAAH/1f1I=")</f>
        <v>#REF!</v>
      </c>
      <c r="CF151" t="e">
        <f>AND(#REF!,"AAAAAH/1f1M=")</f>
        <v>#REF!</v>
      </c>
      <c r="CG151" t="e">
        <f>AND(#REF!,"AAAAAH/1f1Q=")</f>
        <v>#REF!</v>
      </c>
      <c r="CH151" t="e">
        <f>IF(#REF!,"AAAAAH/1f1U=",0)</f>
        <v>#REF!</v>
      </c>
      <c r="CI151" t="e">
        <f>AND(#REF!,"AAAAAH/1f1Y=")</f>
        <v>#REF!</v>
      </c>
      <c r="CJ151" t="e">
        <f>AND(#REF!,"AAAAAH/1f1c=")</f>
        <v>#REF!</v>
      </c>
      <c r="CK151" t="e">
        <f>AND(#REF!,"AAAAAH/1f1g=")</f>
        <v>#REF!</v>
      </c>
      <c r="CL151" t="e">
        <f>AND(#REF!,"AAAAAH/1f1k=")</f>
        <v>#REF!</v>
      </c>
      <c r="CM151" t="e">
        <f>AND(#REF!,"AAAAAH/1f1o=")</f>
        <v>#REF!</v>
      </c>
      <c r="CN151" t="e">
        <f>AND(#REF!,"AAAAAH/1f1s=")</f>
        <v>#REF!</v>
      </c>
      <c r="CO151" t="e">
        <f>AND(#REF!,"AAAAAH/1f1w=")</f>
        <v>#REF!</v>
      </c>
      <c r="CP151" t="e">
        <f>AND(#REF!,"AAAAAH/1f10=")</f>
        <v>#REF!</v>
      </c>
      <c r="CQ151" t="e">
        <f>AND(#REF!,"AAAAAH/1f14=")</f>
        <v>#REF!</v>
      </c>
      <c r="CR151" t="e">
        <f>AND(#REF!,"AAAAAH/1f18=")</f>
        <v>#REF!</v>
      </c>
      <c r="CS151" t="e">
        <f>AND(#REF!,"AAAAAH/1f2A=")</f>
        <v>#REF!</v>
      </c>
      <c r="CT151" t="e">
        <f>AND(#REF!,"AAAAAH/1f2E=")</f>
        <v>#REF!</v>
      </c>
      <c r="CU151" t="e">
        <f>AND(#REF!,"AAAAAH/1f2I=")</f>
        <v>#REF!</v>
      </c>
      <c r="CV151" t="e">
        <f>AND(#REF!,"AAAAAH/1f2M=")</f>
        <v>#REF!</v>
      </c>
      <c r="CW151" t="e">
        <f>AND(#REF!,"AAAAAH/1f2Q=")</f>
        <v>#REF!</v>
      </c>
      <c r="CX151" t="e">
        <f>AND(#REF!,"AAAAAH/1f2U=")</f>
        <v>#REF!</v>
      </c>
      <c r="CY151" t="e">
        <f>AND(#REF!,"AAAAAH/1f2Y=")</f>
        <v>#REF!</v>
      </c>
      <c r="CZ151" t="e">
        <f>AND(#REF!,"AAAAAH/1f2c=")</f>
        <v>#REF!</v>
      </c>
      <c r="DA151" t="e">
        <f>AND(#REF!,"AAAAAH/1f2g=")</f>
        <v>#REF!</v>
      </c>
      <c r="DB151" t="e">
        <f>AND(#REF!,"AAAAAH/1f2k=")</f>
        <v>#REF!</v>
      </c>
      <c r="DC151" t="e">
        <f>AND(#REF!,"AAAAAH/1f2o=")</f>
        <v>#REF!</v>
      </c>
      <c r="DD151" t="e">
        <f>AND(#REF!,"AAAAAH/1f2s=")</f>
        <v>#REF!</v>
      </c>
      <c r="DE151" t="e">
        <f>AND(#REF!,"AAAAAH/1f2w=")</f>
        <v>#REF!</v>
      </c>
      <c r="DF151" t="e">
        <f>AND(#REF!,"AAAAAH/1f20=")</f>
        <v>#REF!</v>
      </c>
      <c r="DG151" t="e">
        <f>IF(#REF!,"AAAAAH/1f24=",0)</f>
        <v>#REF!</v>
      </c>
      <c r="DH151" t="e">
        <f>AND(#REF!,"AAAAAH/1f28=")</f>
        <v>#REF!</v>
      </c>
      <c r="DI151" t="e">
        <f>AND(#REF!,"AAAAAH/1f3A=")</f>
        <v>#REF!</v>
      </c>
      <c r="DJ151" t="e">
        <f>AND(#REF!,"AAAAAH/1f3E=")</f>
        <v>#REF!</v>
      </c>
      <c r="DK151" t="e">
        <f>AND(#REF!,"AAAAAH/1f3I=")</f>
        <v>#REF!</v>
      </c>
      <c r="DL151" t="e">
        <f>AND(#REF!,"AAAAAH/1f3M=")</f>
        <v>#REF!</v>
      </c>
      <c r="DM151" t="e">
        <f>AND(#REF!,"AAAAAH/1f3Q=")</f>
        <v>#REF!</v>
      </c>
      <c r="DN151" t="e">
        <f>AND(#REF!,"AAAAAH/1f3U=")</f>
        <v>#REF!</v>
      </c>
      <c r="DO151" t="e">
        <f>AND(#REF!,"AAAAAH/1f3Y=")</f>
        <v>#REF!</v>
      </c>
      <c r="DP151" t="e">
        <f>AND(#REF!,"AAAAAH/1f3c=")</f>
        <v>#REF!</v>
      </c>
      <c r="DQ151" t="e">
        <f>AND(#REF!,"AAAAAH/1f3g=")</f>
        <v>#REF!</v>
      </c>
      <c r="DR151" t="e">
        <f>AND(#REF!,"AAAAAH/1f3k=")</f>
        <v>#REF!</v>
      </c>
      <c r="DS151" t="e">
        <f>AND(#REF!,"AAAAAH/1f3o=")</f>
        <v>#REF!</v>
      </c>
      <c r="DT151" t="e">
        <f>AND(#REF!,"AAAAAH/1f3s=")</f>
        <v>#REF!</v>
      </c>
      <c r="DU151" t="e">
        <f>AND(#REF!,"AAAAAH/1f3w=")</f>
        <v>#REF!</v>
      </c>
      <c r="DV151" t="e">
        <f>AND(#REF!,"AAAAAH/1f30=")</f>
        <v>#REF!</v>
      </c>
      <c r="DW151" t="e">
        <f>AND(#REF!,"AAAAAH/1f34=")</f>
        <v>#REF!</v>
      </c>
      <c r="DX151" t="e">
        <f>AND(#REF!,"AAAAAH/1f38=")</f>
        <v>#REF!</v>
      </c>
      <c r="DY151" t="e">
        <f>AND(#REF!,"AAAAAH/1f4A=")</f>
        <v>#REF!</v>
      </c>
      <c r="DZ151" t="e">
        <f>AND(#REF!,"AAAAAH/1f4E=")</f>
        <v>#REF!</v>
      </c>
      <c r="EA151" t="e">
        <f>AND(#REF!,"AAAAAH/1f4I=")</f>
        <v>#REF!</v>
      </c>
      <c r="EB151" t="e">
        <f>AND(#REF!,"AAAAAH/1f4M=")</f>
        <v>#REF!</v>
      </c>
      <c r="EC151" t="e">
        <f>AND(#REF!,"AAAAAH/1f4Q=")</f>
        <v>#REF!</v>
      </c>
      <c r="ED151" t="e">
        <f>AND(#REF!,"AAAAAH/1f4U=")</f>
        <v>#REF!</v>
      </c>
      <c r="EE151" t="e">
        <f>AND(#REF!,"AAAAAH/1f4Y=")</f>
        <v>#REF!</v>
      </c>
      <c r="EF151" t="e">
        <f>IF(#REF!,"AAAAAH/1f4c=",0)</f>
        <v>#REF!</v>
      </c>
      <c r="EG151" t="e">
        <f>AND(#REF!,"AAAAAH/1f4g=")</f>
        <v>#REF!</v>
      </c>
      <c r="EH151" t="e">
        <f>AND(#REF!,"AAAAAH/1f4k=")</f>
        <v>#REF!</v>
      </c>
      <c r="EI151" t="e">
        <f>AND(#REF!,"AAAAAH/1f4o=")</f>
        <v>#REF!</v>
      </c>
      <c r="EJ151" t="e">
        <f>AND(#REF!,"AAAAAH/1f4s=")</f>
        <v>#REF!</v>
      </c>
      <c r="EK151" t="e">
        <f>AND(#REF!,"AAAAAH/1f4w=")</f>
        <v>#REF!</v>
      </c>
      <c r="EL151" t="e">
        <f>AND(#REF!,"AAAAAH/1f40=")</f>
        <v>#REF!</v>
      </c>
      <c r="EM151" t="e">
        <f>AND(#REF!,"AAAAAH/1f44=")</f>
        <v>#REF!</v>
      </c>
      <c r="EN151" t="e">
        <f>AND(#REF!,"AAAAAH/1f48=")</f>
        <v>#REF!</v>
      </c>
      <c r="EO151" t="e">
        <f>AND(#REF!,"AAAAAH/1f5A=")</f>
        <v>#REF!</v>
      </c>
      <c r="EP151" t="e">
        <f>AND(#REF!,"AAAAAH/1f5E=")</f>
        <v>#REF!</v>
      </c>
      <c r="EQ151" t="e">
        <f>AND(#REF!,"AAAAAH/1f5I=")</f>
        <v>#REF!</v>
      </c>
      <c r="ER151" t="e">
        <f>AND(#REF!,"AAAAAH/1f5M=")</f>
        <v>#REF!</v>
      </c>
      <c r="ES151" t="e">
        <f>AND(#REF!,"AAAAAH/1f5Q=")</f>
        <v>#REF!</v>
      </c>
      <c r="ET151" t="e">
        <f>AND(#REF!,"AAAAAH/1f5U=")</f>
        <v>#REF!</v>
      </c>
      <c r="EU151" t="e">
        <f>AND(#REF!,"AAAAAH/1f5Y=")</f>
        <v>#REF!</v>
      </c>
      <c r="EV151" t="e">
        <f>AND(#REF!,"AAAAAH/1f5c=")</f>
        <v>#REF!</v>
      </c>
      <c r="EW151" t="e">
        <f>AND(#REF!,"AAAAAH/1f5g=")</f>
        <v>#REF!</v>
      </c>
      <c r="EX151" t="e">
        <f>AND(#REF!,"AAAAAH/1f5k=")</f>
        <v>#REF!</v>
      </c>
      <c r="EY151" t="e">
        <f>AND(#REF!,"AAAAAH/1f5o=")</f>
        <v>#REF!</v>
      </c>
      <c r="EZ151" t="e">
        <f>AND(#REF!,"AAAAAH/1f5s=")</f>
        <v>#REF!</v>
      </c>
      <c r="FA151" t="e">
        <f>AND(#REF!,"AAAAAH/1f5w=")</f>
        <v>#REF!</v>
      </c>
      <c r="FB151" t="e">
        <f>AND(#REF!,"AAAAAH/1f50=")</f>
        <v>#REF!</v>
      </c>
      <c r="FC151" t="e">
        <f>AND(#REF!,"AAAAAH/1f54=")</f>
        <v>#REF!</v>
      </c>
      <c r="FD151" t="e">
        <f>AND(#REF!,"AAAAAH/1f58=")</f>
        <v>#REF!</v>
      </c>
      <c r="FE151" t="e">
        <f>IF(#REF!,"AAAAAH/1f6A=",0)</f>
        <v>#REF!</v>
      </c>
      <c r="FF151" t="e">
        <f>AND(#REF!,"AAAAAH/1f6E=")</f>
        <v>#REF!</v>
      </c>
      <c r="FG151" t="e">
        <f>AND(#REF!,"AAAAAH/1f6I=")</f>
        <v>#REF!</v>
      </c>
      <c r="FH151" t="e">
        <f>AND(#REF!,"AAAAAH/1f6M=")</f>
        <v>#REF!</v>
      </c>
      <c r="FI151" t="e">
        <f>AND(#REF!,"AAAAAH/1f6Q=")</f>
        <v>#REF!</v>
      </c>
      <c r="FJ151" t="e">
        <f>AND(#REF!,"AAAAAH/1f6U=")</f>
        <v>#REF!</v>
      </c>
      <c r="FK151" t="e">
        <f>AND(#REF!,"AAAAAH/1f6Y=")</f>
        <v>#REF!</v>
      </c>
      <c r="FL151" t="e">
        <f>AND(#REF!,"AAAAAH/1f6c=")</f>
        <v>#REF!</v>
      </c>
      <c r="FM151" t="e">
        <f>AND(#REF!,"AAAAAH/1f6g=")</f>
        <v>#REF!</v>
      </c>
      <c r="FN151" t="e">
        <f>AND(#REF!,"AAAAAH/1f6k=")</f>
        <v>#REF!</v>
      </c>
      <c r="FO151" t="e">
        <f>AND(#REF!,"AAAAAH/1f6o=")</f>
        <v>#REF!</v>
      </c>
      <c r="FP151" t="e">
        <f>AND(#REF!,"AAAAAH/1f6s=")</f>
        <v>#REF!</v>
      </c>
      <c r="FQ151" t="e">
        <f>AND(#REF!,"AAAAAH/1f6w=")</f>
        <v>#REF!</v>
      </c>
      <c r="FR151" t="e">
        <f>AND(#REF!,"AAAAAH/1f60=")</f>
        <v>#REF!</v>
      </c>
      <c r="FS151" t="e">
        <f>AND(#REF!,"AAAAAH/1f64=")</f>
        <v>#REF!</v>
      </c>
      <c r="FT151" t="e">
        <f>AND(#REF!,"AAAAAH/1f68=")</f>
        <v>#REF!</v>
      </c>
      <c r="FU151" t="e">
        <f>AND(#REF!,"AAAAAH/1f7A=")</f>
        <v>#REF!</v>
      </c>
      <c r="FV151" t="e">
        <f>AND(#REF!,"AAAAAH/1f7E=")</f>
        <v>#REF!</v>
      </c>
      <c r="FW151" t="e">
        <f>AND(#REF!,"AAAAAH/1f7I=")</f>
        <v>#REF!</v>
      </c>
      <c r="FX151" t="e">
        <f>AND(#REF!,"AAAAAH/1f7M=")</f>
        <v>#REF!</v>
      </c>
      <c r="FY151" t="e">
        <f>AND(#REF!,"AAAAAH/1f7Q=")</f>
        <v>#REF!</v>
      </c>
      <c r="FZ151" t="e">
        <f>AND(#REF!,"AAAAAH/1f7U=")</f>
        <v>#REF!</v>
      </c>
      <c r="GA151" t="e">
        <f>AND(#REF!,"AAAAAH/1f7Y=")</f>
        <v>#REF!</v>
      </c>
      <c r="GB151" t="e">
        <f>AND(#REF!,"AAAAAH/1f7c=")</f>
        <v>#REF!</v>
      </c>
      <c r="GC151" t="e">
        <f>AND(#REF!,"AAAAAH/1f7g=")</f>
        <v>#REF!</v>
      </c>
      <c r="GD151" t="e">
        <f>IF(#REF!,"AAAAAH/1f7k=",0)</f>
        <v>#REF!</v>
      </c>
      <c r="GE151" t="e">
        <f>AND(#REF!,"AAAAAH/1f7o=")</f>
        <v>#REF!</v>
      </c>
      <c r="GF151" t="e">
        <f>AND(#REF!,"AAAAAH/1f7s=")</f>
        <v>#REF!</v>
      </c>
      <c r="GG151" t="e">
        <f>AND(#REF!,"AAAAAH/1f7w=")</f>
        <v>#REF!</v>
      </c>
      <c r="GH151" t="e">
        <f>AND(#REF!,"AAAAAH/1f70=")</f>
        <v>#REF!</v>
      </c>
      <c r="GI151" t="e">
        <f>AND(#REF!,"AAAAAH/1f74=")</f>
        <v>#REF!</v>
      </c>
      <c r="GJ151" t="e">
        <f>AND(#REF!,"AAAAAH/1f78=")</f>
        <v>#REF!</v>
      </c>
      <c r="GK151" t="e">
        <f>AND(#REF!,"AAAAAH/1f8A=")</f>
        <v>#REF!</v>
      </c>
      <c r="GL151" t="e">
        <f>AND(#REF!,"AAAAAH/1f8E=")</f>
        <v>#REF!</v>
      </c>
      <c r="GM151" t="e">
        <f>AND(#REF!,"AAAAAH/1f8I=")</f>
        <v>#REF!</v>
      </c>
      <c r="GN151" t="e">
        <f>AND(#REF!,"AAAAAH/1f8M=")</f>
        <v>#REF!</v>
      </c>
      <c r="GO151" t="e">
        <f>AND(#REF!,"AAAAAH/1f8Q=")</f>
        <v>#REF!</v>
      </c>
      <c r="GP151" t="e">
        <f>AND(#REF!,"AAAAAH/1f8U=")</f>
        <v>#REF!</v>
      </c>
      <c r="GQ151" t="e">
        <f>AND(#REF!,"AAAAAH/1f8Y=")</f>
        <v>#REF!</v>
      </c>
      <c r="GR151" t="e">
        <f>AND(#REF!,"AAAAAH/1f8c=")</f>
        <v>#REF!</v>
      </c>
      <c r="GS151" t="e">
        <f>AND(#REF!,"AAAAAH/1f8g=")</f>
        <v>#REF!</v>
      </c>
      <c r="GT151" t="e">
        <f>AND(#REF!,"AAAAAH/1f8k=")</f>
        <v>#REF!</v>
      </c>
      <c r="GU151" t="e">
        <f>AND(#REF!,"AAAAAH/1f8o=")</f>
        <v>#REF!</v>
      </c>
      <c r="GV151" t="e">
        <f>AND(#REF!,"AAAAAH/1f8s=")</f>
        <v>#REF!</v>
      </c>
      <c r="GW151" t="e">
        <f>AND(#REF!,"AAAAAH/1f8w=")</f>
        <v>#REF!</v>
      </c>
      <c r="GX151" t="e">
        <f>AND(#REF!,"AAAAAH/1f80=")</f>
        <v>#REF!</v>
      </c>
      <c r="GY151" t="e">
        <f>AND(#REF!,"AAAAAH/1f84=")</f>
        <v>#REF!</v>
      </c>
      <c r="GZ151" t="e">
        <f>AND(#REF!,"AAAAAH/1f88=")</f>
        <v>#REF!</v>
      </c>
      <c r="HA151" t="e">
        <f>AND(#REF!,"AAAAAH/1f9A=")</f>
        <v>#REF!</v>
      </c>
      <c r="HB151" t="e">
        <f>AND(#REF!,"AAAAAH/1f9E=")</f>
        <v>#REF!</v>
      </c>
      <c r="HC151" t="e">
        <f>IF(#REF!,"AAAAAH/1f9I=",0)</f>
        <v>#REF!</v>
      </c>
      <c r="HD151" t="e">
        <f>AND(#REF!,"AAAAAH/1f9M=")</f>
        <v>#REF!</v>
      </c>
      <c r="HE151" t="e">
        <f>AND(#REF!,"AAAAAH/1f9Q=")</f>
        <v>#REF!</v>
      </c>
      <c r="HF151" t="e">
        <f>AND(#REF!,"AAAAAH/1f9U=")</f>
        <v>#REF!</v>
      </c>
      <c r="HG151" t="e">
        <f>AND(#REF!,"AAAAAH/1f9Y=")</f>
        <v>#REF!</v>
      </c>
      <c r="HH151" t="e">
        <f>AND(#REF!,"AAAAAH/1f9c=")</f>
        <v>#REF!</v>
      </c>
      <c r="HI151" t="e">
        <f>AND(#REF!,"AAAAAH/1f9g=")</f>
        <v>#REF!</v>
      </c>
      <c r="HJ151" t="e">
        <f>AND(#REF!,"AAAAAH/1f9k=")</f>
        <v>#REF!</v>
      </c>
      <c r="HK151" t="e">
        <f>AND(#REF!,"AAAAAH/1f9o=")</f>
        <v>#REF!</v>
      </c>
      <c r="HL151" t="e">
        <f>AND(#REF!,"AAAAAH/1f9s=")</f>
        <v>#REF!</v>
      </c>
      <c r="HM151" t="e">
        <f>AND(#REF!,"AAAAAH/1f9w=")</f>
        <v>#REF!</v>
      </c>
      <c r="HN151" t="e">
        <f>AND(#REF!,"AAAAAH/1f90=")</f>
        <v>#REF!</v>
      </c>
      <c r="HO151" t="e">
        <f>AND(#REF!,"AAAAAH/1f94=")</f>
        <v>#REF!</v>
      </c>
      <c r="HP151" t="e">
        <f>AND(#REF!,"AAAAAH/1f98=")</f>
        <v>#REF!</v>
      </c>
      <c r="HQ151" t="e">
        <f>AND(#REF!,"AAAAAH/1f+A=")</f>
        <v>#REF!</v>
      </c>
      <c r="HR151" t="e">
        <f>AND(#REF!,"AAAAAH/1f+E=")</f>
        <v>#REF!</v>
      </c>
      <c r="HS151" t="e">
        <f>AND(#REF!,"AAAAAH/1f+I=")</f>
        <v>#REF!</v>
      </c>
      <c r="HT151" t="e">
        <f>AND(#REF!,"AAAAAH/1f+M=")</f>
        <v>#REF!</v>
      </c>
      <c r="HU151" t="e">
        <f>AND(#REF!,"AAAAAH/1f+Q=")</f>
        <v>#REF!</v>
      </c>
      <c r="HV151" t="e">
        <f>AND(#REF!,"AAAAAH/1f+U=")</f>
        <v>#REF!</v>
      </c>
      <c r="HW151" t="e">
        <f>AND(#REF!,"AAAAAH/1f+Y=")</f>
        <v>#REF!</v>
      </c>
      <c r="HX151" t="e">
        <f>AND(#REF!,"AAAAAH/1f+c=")</f>
        <v>#REF!</v>
      </c>
      <c r="HY151" t="e">
        <f>AND(#REF!,"AAAAAH/1f+g=")</f>
        <v>#REF!</v>
      </c>
      <c r="HZ151" t="e">
        <f>AND(#REF!,"AAAAAH/1f+k=")</f>
        <v>#REF!</v>
      </c>
      <c r="IA151" t="e">
        <f>AND(#REF!,"AAAAAH/1f+o=")</f>
        <v>#REF!</v>
      </c>
      <c r="IB151" t="e">
        <f>IF(#REF!,"AAAAAH/1f+s=",0)</f>
        <v>#REF!</v>
      </c>
      <c r="IC151" t="e">
        <f>AND(#REF!,"AAAAAH/1f+w=")</f>
        <v>#REF!</v>
      </c>
      <c r="ID151" t="e">
        <f>AND(#REF!,"AAAAAH/1f+0=")</f>
        <v>#REF!</v>
      </c>
      <c r="IE151" t="e">
        <f>AND(#REF!,"AAAAAH/1f+4=")</f>
        <v>#REF!</v>
      </c>
      <c r="IF151" t="e">
        <f>AND(#REF!,"AAAAAH/1f+8=")</f>
        <v>#REF!</v>
      </c>
      <c r="IG151" t="e">
        <f>AND(#REF!,"AAAAAH/1f/A=")</f>
        <v>#REF!</v>
      </c>
      <c r="IH151" t="e">
        <f>AND(#REF!,"AAAAAH/1f/E=")</f>
        <v>#REF!</v>
      </c>
      <c r="II151" t="e">
        <f>AND(#REF!,"AAAAAH/1f/I=")</f>
        <v>#REF!</v>
      </c>
      <c r="IJ151" t="e">
        <f>AND(#REF!,"AAAAAH/1f/M=")</f>
        <v>#REF!</v>
      </c>
      <c r="IK151" t="e">
        <f>AND(#REF!,"AAAAAH/1f/Q=")</f>
        <v>#REF!</v>
      </c>
      <c r="IL151" t="e">
        <f>AND(#REF!,"AAAAAH/1f/U=")</f>
        <v>#REF!</v>
      </c>
      <c r="IM151" t="e">
        <f>AND(#REF!,"AAAAAH/1f/Y=")</f>
        <v>#REF!</v>
      </c>
      <c r="IN151" t="e">
        <f>AND(#REF!,"AAAAAH/1f/c=")</f>
        <v>#REF!</v>
      </c>
      <c r="IO151" t="e">
        <f>AND(#REF!,"AAAAAH/1f/g=")</f>
        <v>#REF!</v>
      </c>
      <c r="IP151" t="e">
        <f>AND(#REF!,"AAAAAH/1f/k=")</f>
        <v>#REF!</v>
      </c>
      <c r="IQ151" t="e">
        <f>AND(#REF!,"AAAAAH/1f/o=")</f>
        <v>#REF!</v>
      </c>
      <c r="IR151" t="e">
        <f>AND(#REF!,"AAAAAH/1f/s=")</f>
        <v>#REF!</v>
      </c>
      <c r="IS151" t="e">
        <f>AND(#REF!,"AAAAAH/1f/w=")</f>
        <v>#REF!</v>
      </c>
      <c r="IT151" t="e">
        <f>AND(#REF!,"AAAAAH/1f/0=")</f>
        <v>#REF!</v>
      </c>
      <c r="IU151" t="e">
        <f>AND(#REF!,"AAAAAH/1f/4=")</f>
        <v>#REF!</v>
      </c>
      <c r="IV151" t="e">
        <f>AND(#REF!,"AAAAAH/1f/8=")</f>
        <v>#REF!</v>
      </c>
    </row>
    <row r="152" spans="1:256">
      <c r="A152" t="e">
        <f>AND(#REF!,"AAAAAFu37QA=")</f>
        <v>#REF!</v>
      </c>
      <c r="B152" t="e">
        <f>AND(#REF!,"AAAAAFu37QE=")</f>
        <v>#REF!</v>
      </c>
      <c r="C152" t="e">
        <f>AND(#REF!,"AAAAAFu37QI=")</f>
        <v>#REF!</v>
      </c>
      <c r="D152" t="e">
        <f>AND(#REF!,"AAAAAFu37QM=")</f>
        <v>#REF!</v>
      </c>
      <c r="E152" t="e">
        <f>IF(#REF!,"AAAAAFu37QQ=",0)</f>
        <v>#REF!</v>
      </c>
      <c r="F152" t="e">
        <f>AND(#REF!,"AAAAAFu37QU=")</f>
        <v>#REF!</v>
      </c>
      <c r="G152" t="e">
        <f>AND(#REF!,"AAAAAFu37QY=")</f>
        <v>#REF!</v>
      </c>
      <c r="H152" t="e">
        <f>AND(#REF!,"AAAAAFu37Qc=")</f>
        <v>#REF!</v>
      </c>
      <c r="I152" t="e">
        <f>AND(#REF!,"AAAAAFu37Qg=")</f>
        <v>#REF!</v>
      </c>
      <c r="J152" t="e">
        <f>AND(#REF!,"AAAAAFu37Qk=")</f>
        <v>#REF!</v>
      </c>
      <c r="K152" t="e">
        <f>AND(#REF!,"AAAAAFu37Qo=")</f>
        <v>#REF!</v>
      </c>
      <c r="L152" t="e">
        <f>AND(#REF!,"AAAAAFu37Qs=")</f>
        <v>#REF!</v>
      </c>
      <c r="M152" t="e">
        <f>AND(#REF!,"AAAAAFu37Qw=")</f>
        <v>#REF!</v>
      </c>
      <c r="N152" t="e">
        <f>AND(#REF!,"AAAAAFu37Q0=")</f>
        <v>#REF!</v>
      </c>
      <c r="O152" t="e">
        <f>AND(#REF!,"AAAAAFu37Q4=")</f>
        <v>#REF!</v>
      </c>
      <c r="P152" t="e">
        <f>AND(#REF!,"AAAAAFu37Q8=")</f>
        <v>#REF!</v>
      </c>
      <c r="Q152" t="e">
        <f>AND(#REF!,"AAAAAFu37RA=")</f>
        <v>#REF!</v>
      </c>
      <c r="R152" t="e">
        <f>AND(#REF!,"AAAAAFu37RE=")</f>
        <v>#REF!</v>
      </c>
      <c r="S152" t="e">
        <f>AND(#REF!,"AAAAAFu37RI=")</f>
        <v>#REF!</v>
      </c>
      <c r="T152" t="e">
        <f>AND(#REF!,"AAAAAFu37RM=")</f>
        <v>#REF!</v>
      </c>
      <c r="U152" t="e">
        <f>AND(#REF!,"AAAAAFu37RQ=")</f>
        <v>#REF!</v>
      </c>
      <c r="V152" t="e">
        <f>AND(#REF!,"AAAAAFu37RU=")</f>
        <v>#REF!</v>
      </c>
      <c r="W152" t="e">
        <f>AND(#REF!,"AAAAAFu37RY=")</f>
        <v>#REF!</v>
      </c>
      <c r="X152" t="e">
        <f>AND(#REF!,"AAAAAFu37Rc=")</f>
        <v>#REF!</v>
      </c>
      <c r="Y152" t="e">
        <f>AND(#REF!,"AAAAAFu37Rg=")</f>
        <v>#REF!</v>
      </c>
      <c r="Z152" t="e">
        <f>AND(#REF!,"AAAAAFu37Rk=")</f>
        <v>#REF!</v>
      </c>
      <c r="AA152" t="e">
        <f>AND(#REF!,"AAAAAFu37Ro=")</f>
        <v>#REF!</v>
      </c>
      <c r="AB152" t="e">
        <f>AND(#REF!,"AAAAAFu37Rs=")</f>
        <v>#REF!</v>
      </c>
      <c r="AC152" t="e">
        <f>AND(#REF!,"AAAAAFu37Rw=")</f>
        <v>#REF!</v>
      </c>
      <c r="AD152" t="e">
        <f>IF(#REF!,"AAAAAFu37R0=",0)</f>
        <v>#REF!</v>
      </c>
      <c r="AE152" t="e">
        <f>AND(#REF!,"AAAAAFu37R4=")</f>
        <v>#REF!</v>
      </c>
      <c r="AF152" t="e">
        <f>AND(#REF!,"AAAAAFu37R8=")</f>
        <v>#REF!</v>
      </c>
      <c r="AG152" t="e">
        <f>AND(#REF!,"AAAAAFu37SA=")</f>
        <v>#REF!</v>
      </c>
      <c r="AH152" t="e">
        <f>AND(#REF!,"AAAAAFu37SE=")</f>
        <v>#REF!</v>
      </c>
      <c r="AI152" t="e">
        <f>AND(#REF!,"AAAAAFu37SI=")</f>
        <v>#REF!</v>
      </c>
      <c r="AJ152" t="e">
        <f>AND(#REF!,"AAAAAFu37SM=")</f>
        <v>#REF!</v>
      </c>
      <c r="AK152" t="e">
        <f>AND(#REF!,"AAAAAFu37SQ=")</f>
        <v>#REF!</v>
      </c>
      <c r="AL152" t="e">
        <f>AND(#REF!,"AAAAAFu37SU=")</f>
        <v>#REF!</v>
      </c>
      <c r="AM152" t="e">
        <f>AND(#REF!,"AAAAAFu37SY=")</f>
        <v>#REF!</v>
      </c>
      <c r="AN152" t="e">
        <f>AND(#REF!,"AAAAAFu37Sc=")</f>
        <v>#REF!</v>
      </c>
      <c r="AO152" t="e">
        <f>AND(#REF!,"AAAAAFu37Sg=")</f>
        <v>#REF!</v>
      </c>
      <c r="AP152" t="e">
        <f>AND(#REF!,"AAAAAFu37Sk=")</f>
        <v>#REF!</v>
      </c>
      <c r="AQ152" t="e">
        <f>AND(#REF!,"AAAAAFu37So=")</f>
        <v>#REF!</v>
      </c>
      <c r="AR152" t="e">
        <f>AND(#REF!,"AAAAAFu37Ss=")</f>
        <v>#REF!</v>
      </c>
      <c r="AS152" t="e">
        <f>AND(#REF!,"AAAAAFu37Sw=")</f>
        <v>#REF!</v>
      </c>
      <c r="AT152" t="e">
        <f>AND(#REF!,"AAAAAFu37S0=")</f>
        <v>#REF!</v>
      </c>
      <c r="AU152" t="e">
        <f>AND(#REF!,"AAAAAFu37S4=")</f>
        <v>#REF!</v>
      </c>
      <c r="AV152" t="e">
        <f>AND(#REF!,"AAAAAFu37S8=")</f>
        <v>#REF!</v>
      </c>
      <c r="AW152" t="e">
        <f>AND(#REF!,"AAAAAFu37TA=")</f>
        <v>#REF!</v>
      </c>
      <c r="AX152" t="e">
        <f>AND(#REF!,"AAAAAFu37TE=")</f>
        <v>#REF!</v>
      </c>
      <c r="AY152" t="e">
        <f>AND(#REF!,"AAAAAFu37TI=")</f>
        <v>#REF!</v>
      </c>
      <c r="AZ152" t="e">
        <f>AND(#REF!,"AAAAAFu37TM=")</f>
        <v>#REF!</v>
      </c>
      <c r="BA152" t="e">
        <f>AND(#REF!,"AAAAAFu37TQ=")</f>
        <v>#REF!</v>
      </c>
      <c r="BB152" t="e">
        <f>AND(#REF!,"AAAAAFu37TU=")</f>
        <v>#REF!</v>
      </c>
      <c r="BC152" t="e">
        <f>IF(#REF!,"AAAAAFu37TY=",0)</f>
        <v>#REF!</v>
      </c>
      <c r="BD152" t="e">
        <f>AND(#REF!,"AAAAAFu37Tc=")</f>
        <v>#REF!</v>
      </c>
      <c r="BE152" t="e">
        <f>AND(#REF!,"AAAAAFu37Tg=")</f>
        <v>#REF!</v>
      </c>
      <c r="BF152" t="e">
        <f>AND(#REF!,"AAAAAFu37Tk=")</f>
        <v>#REF!</v>
      </c>
      <c r="BG152" t="e">
        <f>AND(#REF!,"AAAAAFu37To=")</f>
        <v>#REF!</v>
      </c>
      <c r="BH152" t="e">
        <f>AND(#REF!,"AAAAAFu37Ts=")</f>
        <v>#REF!</v>
      </c>
      <c r="BI152" t="e">
        <f>AND(#REF!,"AAAAAFu37Tw=")</f>
        <v>#REF!</v>
      </c>
      <c r="BJ152" t="e">
        <f>AND(#REF!,"AAAAAFu37T0=")</f>
        <v>#REF!</v>
      </c>
      <c r="BK152" t="e">
        <f>AND(#REF!,"AAAAAFu37T4=")</f>
        <v>#REF!</v>
      </c>
      <c r="BL152" t="e">
        <f>AND(#REF!,"AAAAAFu37T8=")</f>
        <v>#REF!</v>
      </c>
      <c r="BM152" t="e">
        <f>AND(#REF!,"AAAAAFu37UA=")</f>
        <v>#REF!</v>
      </c>
      <c r="BN152" t="e">
        <f>AND(#REF!,"AAAAAFu37UE=")</f>
        <v>#REF!</v>
      </c>
      <c r="BO152" t="e">
        <f>AND(#REF!,"AAAAAFu37UI=")</f>
        <v>#REF!</v>
      </c>
      <c r="BP152" t="e">
        <f>AND(#REF!,"AAAAAFu37UM=")</f>
        <v>#REF!</v>
      </c>
      <c r="BQ152" t="e">
        <f>AND(#REF!,"AAAAAFu37UQ=")</f>
        <v>#REF!</v>
      </c>
      <c r="BR152" t="e">
        <f>AND(#REF!,"AAAAAFu37UU=")</f>
        <v>#REF!</v>
      </c>
      <c r="BS152" t="e">
        <f>AND(#REF!,"AAAAAFu37UY=")</f>
        <v>#REF!</v>
      </c>
      <c r="BT152" t="e">
        <f>AND(#REF!,"AAAAAFu37Uc=")</f>
        <v>#REF!</v>
      </c>
      <c r="BU152" t="e">
        <f>AND(#REF!,"AAAAAFu37Ug=")</f>
        <v>#REF!</v>
      </c>
      <c r="BV152" t="e">
        <f>AND(#REF!,"AAAAAFu37Uk=")</f>
        <v>#REF!</v>
      </c>
      <c r="BW152" t="e">
        <f>AND(#REF!,"AAAAAFu37Uo=")</f>
        <v>#REF!</v>
      </c>
      <c r="BX152" t="e">
        <f>AND(#REF!,"AAAAAFu37Us=")</f>
        <v>#REF!</v>
      </c>
      <c r="BY152" t="e">
        <f>AND(#REF!,"AAAAAFu37Uw=")</f>
        <v>#REF!</v>
      </c>
      <c r="BZ152" t="e">
        <f>AND(#REF!,"AAAAAFu37U0=")</f>
        <v>#REF!</v>
      </c>
      <c r="CA152" t="e">
        <f>AND(#REF!,"AAAAAFu37U4=")</f>
        <v>#REF!</v>
      </c>
      <c r="CB152" t="e">
        <f>IF(#REF!,"AAAAAFu37U8=",0)</f>
        <v>#REF!</v>
      </c>
      <c r="CC152" t="e">
        <f>AND(#REF!,"AAAAAFu37VA=")</f>
        <v>#REF!</v>
      </c>
      <c r="CD152" t="e">
        <f>AND(#REF!,"AAAAAFu37VE=")</f>
        <v>#REF!</v>
      </c>
      <c r="CE152" t="e">
        <f>AND(#REF!,"AAAAAFu37VI=")</f>
        <v>#REF!</v>
      </c>
      <c r="CF152" t="e">
        <f>AND(#REF!,"AAAAAFu37VM=")</f>
        <v>#REF!</v>
      </c>
      <c r="CG152" t="e">
        <f>AND(#REF!,"AAAAAFu37VQ=")</f>
        <v>#REF!</v>
      </c>
      <c r="CH152" t="e">
        <f>AND(#REF!,"AAAAAFu37VU=")</f>
        <v>#REF!</v>
      </c>
      <c r="CI152" t="e">
        <f>AND(#REF!,"AAAAAFu37VY=")</f>
        <v>#REF!</v>
      </c>
      <c r="CJ152" t="e">
        <f>AND(#REF!,"AAAAAFu37Vc=")</f>
        <v>#REF!</v>
      </c>
      <c r="CK152" t="e">
        <f>AND(#REF!,"AAAAAFu37Vg=")</f>
        <v>#REF!</v>
      </c>
      <c r="CL152" t="e">
        <f>AND(#REF!,"AAAAAFu37Vk=")</f>
        <v>#REF!</v>
      </c>
      <c r="CM152" t="e">
        <f>AND(#REF!,"AAAAAFu37Vo=")</f>
        <v>#REF!</v>
      </c>
      <c r="CN152" t="e">
        <f>AND(#REF!,"AAAAAFu37Vs=")</f>
        <v>#REF!</v>
      </c>
      <c r="CO152" t="e">
        <f>AND(#REF!,"AAAAAFu37Vw=")</f>
        <v>#REF!</v>
      </c>
      <c r="CP152" t="e">
        <f>AND(#REF!,"AAAAAFu37V0=")</f>
        <v>#REF!</v>
      </c>
      <c r="CQ152" t="e">
        <f>AND(#REF!,"AAAAAFu37V4=")</f>
        <v>#REF!</v>
      </c>
      <c r="CR152" t="e">
        <f>AND(#REF!,"AAAAAFu37V8=")</f>
        <v>#REF!</v>
      </c>
      <c r="CS152" t="e">
        <f>AND(#REF!,"AAAAAFu37WA=")</f>
        <v>#REF!</v>
      </c>
      <c r="CT152" t="e">
        <f>AND(#REF!,"AAAAAFu37WE=")</f>
        <v>#REF!</v>
      </c>
      <c r="CU152" t="e">
        <f>AND(#REF!,"AAAAAFu37WI=")</f>
        <v>#REF!</v>
      </c>
      <c r="CV152" t="e">
        <f>AND(#REF!,"AAAAAFu37WM=")</f>
        <v>#REF!</v>
      </c>
      <c r="CW152" t="e">
        <f>AND(#REF!,"AAAAAFu37WQ=")</f>
        <v>#REF!</v>
      </c>
      <c r="CX152" t="e">
        <f>AND(#REF!,"AAAAAFu37WU=")</f>
        <v>#REF!</v>
      </c>
      <c r="CY152" t="e">
        <f>AND(#REF!,"AAAAAFu37WY=")</f>
        <v>#REF!</v>
      </c>
      <c r="CZ152" t="e">
        <f>AND(#REF!,"AAAAAFu37Wc=")</f>
        <v>#REF!</v>
      </c>
      <c r="DA152" t="e">
        <f>IF(#REF!,"AAAAAFu37Wg=",0)</f>
        <v>#REF!</v>
      </c>
      <c r="DB152" t="e">
        <f>AND(#REF!,"AAAAAFu37Wk=")</f>
        <v>#REF!</v>
      </c>
      <c r="DC152" t="e">
        <f>AND(#REF!,"AAAAAFu37Wo=")</f>
        <v>#REF!</v>
      </c>
      <c r="DD152" t="e">
        <f>AND(#REF!,"AAAAAFu37Ws=")</f>
        <v>#REF!</v>
      </c>
      <c r="DE152" t="e">
        <f>AND(#REF!,"AAAAAFu37Ww=")</f>
        <v>#REF!</v>
      </c>
      <c r="DF152" t="e">
        <f>AND(#REF!,"AAAAAFu37W0=")</f>
        <v>#REF!</v>
      </c>
      <c r="DG152" t="e">
        <f>AND(#REF!,"AAAAAFu37W4=")</f>
        <v>#REF!</v>
      </c>
      <c r="DH152" t="e">
        <f>AND(#REF!,"AAAAAFu37W8=")</f>
        <v>#REF!</v>
      </c>
      <c r="DI152" t="e">
        <f>AND(#REF!,"AAAAAFu37XA=")</f>
        <v>#REF!</v>
      </c>
      <c r="DJ152" t="e">
        <f>AND(#REF!,"AAAAAFu37XE=")</f>
        <v>#REF!</v>
      </c>
      <c r="DK152" t="e">
        <f>AND(#REF!,"AAAAAFu37XI=")</f>
        <v>#REF!</v>
      </c>
      <c r="DL152" t="e">
        <f>AND(#REF!,"AAAAAFu37XM=")</f>
        <v>#REF!</v>
      </c>
      <c r="DM152" t="e">
        <f>AND(#REF!,"AAAAAFu37XQ=")</f>
        <v>#REF!</v>
      </c>
      <c r="DN152" t="e">
        <f>AND(#REF!,"AAAAAFu37XU=")</f>
        <v>#REF!</v>
      </c>
      <c r="DO152" t="e">
        <f>AND(#REF!,"AAAAAFu37XY=")</f>
        <v>#REF!</v>
      </c>
      <c r="DP152" t="e">
        <f>AND(#REF!,"AAAAAFu37Xc=")</f>
        <v>#REF!</v>
      </c>
      <c r="DQ152" t="e">
        <f>AND(#REF!,"AAAAAFu37Xg=")</f>
        <v>#REF!</v>
      </c>
      <c r="DR152" t="e">
        <f>AND(#REF!,"AAAAAFu37Xk=")</f>
        <v>#REF!</v>
      </c>
      <c r="DS152" t="e">
        <f>AND(#REF!,"AAAAAFu37Xo=")</f>
        <v>#REF!</v>
      </c>
      <c r="DT152" t="e">
        <f>AND(#REF!,"AAAAAFu37Xs=")</f>
        <v>#REF!</v>
      </c>
      <c r="DU152" t="e">
        <f>AND(#REF!,"AAAAAFu37Xw=")</f>
        <v>#REF!</v>
      </c>
      <c r="DV152" t="e">
        <f>AND(#REF!,"AAAAAFu37X0=")</f>
        <v>#REF!</v>
      </c>
      <c r="DW152" t="e">
        <f>AND(#REF!,"AAAAAFu37X4=")</f>
        <v>#REF!</v>
      </c>
      <c r="DX152" t="e">
        <f>AND(#REF!,"AAAAAFu37X8=")</f>
        <v>#REF!</v>
      </c>
      <c r="DY152" t="e">
        <f>AND(#REF!,"AAAAAFu37YA=")</f>
        <v>#REF!</v>
      </c>
      <c r="DZ152" t="e">
        <f>IF(#REF!,"AAAAAFu37YE=",0)</f>
        <v>#REF!</v>
      </c>
      <c r="EA152" t="e">
        <f>AND(#REF!,"AAAAAFu37YI=")</f>
        <v>#REF!</v>
      </c>
      <c r="EB152" t="e">
        <f>AND(#REF!,"AAAAAFu37YM=")</f>
        <v>#REF!</v>
      </c>
      <c r="EC152" t="e">
        <f>AND(#REF!,"AAAAAFu37YQ=")</f>
        <v>#REF!</v>
      </c>
      <c r="ED152" t="e">
        <f>AND(#REF!,"AAAAAFu37YU=")</f>
        <v>#REF!</v>
      </c>
      <c r="EE152" t="e">
        <f>AND(#REF!,"AAAAAFu37YY=")</f>
        <v>#REF!</v>
      </c>
      <c r="EF152" t="e">
        <f>AND(#REF!,"AAAAAFu37Yc=")</f>
        <v>#REF!</v>
      </c>
      <c r="EG152" t="e">
        <f>AND(#REF!,"AAAAAFu37Yg=")</f>
        <v>#REF!</v>
      </c>
      <c r="EH152" t="e">
        <f>AND(#REF!,"AAAAAFu37Yk=")</f>
        <v>#REF!</v>
      </c>
      <c r="EI152" t="e">
        <f>AND(#REF!,"AAAAAFu37Yo=")</f>
        <v>#REF!</v>
      </c>
      <c r="EJ152" t="e">
        <f>AND(#REF!,"AAAAAFu37Ys=")</f>
        <v>#REF!</v>
      </c>
      <c r="EK152" t="e">
        <f>AND(#REF!,"AAAAAFu37Yw=")</f>
        <v>#REF!</v>
      </c>
      <c r="EL152" t="e">
        <f>AND(#REF!,"AAAAAFu37Y0=")</f>
        <v>#REF!</v>
      </c>
      <c r="EM152" t="e">
        <f>AND(#REF!,"AAAAAFu37Y4=")</f>
        <v>#REF!</v>
      </c>
      <c r="EN152" t="e">
        <f>AND(#REF!,"AAAAAFu37Y8=")</f>
        <v>#REF!</v>
      </c>
      <c r="EO152" t="e">
        <f>AND(#REF!,"AAAAAFu37ZA=")</f>
        <v>#REF!</v>
      </c>
      <c r="EP152" t="e">
        <f>AND(#REF!,"AAAAAFu37ZE=")</f>
        <v>#REF!</v>
      </c>
      <c r="EQ152" t="e">
        <f>AND(#REF!,"AAAAAFu37ZI=")</f>
        <v>#REF!</v>
      </c>
      <c r="ER152" t="e">
        <f>AND(#REF!,"AAAAAFu37ZM=")</f>
        <v>#REF!</v>
      </c>
      <c r="ES152" t="e">
        <f>AND(#REF!,"AAAAAFu37ZQ=")</f>
        <v>#REF!</v>
      </c>
      <c r="ET152" t="e">
        <f>AND(#REF!,"AAAAAFu37ZU=")</f>
        <v>#REF!</v>
      </c>
      <c r="EU152" t="e">
        <f>AND(#REF!,"AAAAAFu37ZY=")</f>
        <v>#REF!</v>
      </c>
      <c r="EV152" t="e">
        <f>AND(#REF!,"AAAAAFu37Zc=")</f>
        <v>#REF!</v>
      </c>
      <c r="EW152" t="e">
        <f>AND(#REF!,"AAAAAFu37Zg=")</f>
        <v>#REF!</v>
      </c>
      <c r="EX152" t="e">
        <f>AND(#REF!,"AAAAAFu37Zk=")</f>
        <v>#REF!</v>
      </c>
      <c r="EY152" t="e">
        <f>IF(#REF!,"AAAAAFu37Zo=",0)</f>
        <v>#REF!</v>
      </c>
      <c r="EZ152" t="e">
        <f>AND(#REF!,"AAAAAFu37Zs=")</f>
        <v>#REF!</v>
      </c>
      <c r="FA152" t="e">
        <f>AND(#REF!,"AAAAAFu37Zw=")</f>
        <v>#REF!</v>
      </c>
      <c r="FB152" t="e">
        <f>AND(#REF!,"AAAAAFu37Z0=")</f>
        <v>#REF!</v>
      </c>
      <c r="FC152" t="e">
        <f>AND(#REF!,"AAAAAFu37Z4=")</f>
        <v>#REF!</v>
      </c>
      <c r="FD152" t="e">
        <f>AND(#REF!,"AAAAAFu37Z8=")</f>
        <v>#REF!</v>
      </c>
      <c r="FE152" t="e">
        <f>AND(#REF!,"AAAAAFu37aA=")</f>
        <v>#REF!</v>
      </c>
      <c r="FF152" t="e">
        <f>AND(#REF!,"AAAAAFu37aE=")</f>
        <v>#REF!</v>
      </c>
      <c r="FG152" t="e">
        <f>AND(#REF!,"AAAAAFu37aI=")</f>
        <v>#REF!</v>
      </c>
      <c r="FH152" t="e">
        <f>AND(#REF!,"AAAAAFu37aM=")</f>
        <v>#REF!</v>
      </c>
      <c r="FI152" t="e">
        <f>AND(#REF!,"AAAAAFu37aQ=")</f>
        <v>#REF!</v>
      </c>
      <c r="FJ152" t="e">
        <f>AND(#REF!,"AAAAAFu37aU=")</f>
        <v>#REF!</v>
      </c>
      <c r="FK152" t="e">
        <f>AND(#REF!,"AAAAAFu37aY=")</f>
        <v>#REF!</v>
      </c>
      <c r="FL152" t="e">
        <f>AND(#REF!,"AAAAAFu37ac=")</f>
        <v>#REF!</v>
      </c>
      <c r="FM152" t="e">
        <f>AND(#REF!,"AAAAAFu37ag=")</f>
        <v>#REF!</v>
      </c>
      <c r="FN152" t="e">
        <f>AND(#REF!,"AAAAAFu37ak=")</f>
        <v>#REF!</v>
      </c>
      <c r="FO152" t="e">
        <f>AND(#REF!,"AAAAAFu37ao=")</f>
        <v>#REF!</v>
      </c>
      <c r="FP152" t="e">
        <f>AND(#REF!,"AAAAAFu37as=")</f>
        <v>#REF!</v>
      </c>
      <c r="FQ152" t="e">
        <f>AND(#REF!,"AAAAAFu37aw=")</f>
        <v>#REF!</v>
      </c>
      <c r="FR152" t="e">
        <f>AND(#REF!,"AAAAAFu37a0=")</f>
        <v>#REF!</v>
      </c>
      <c r="FS152" t="e">
        <f>AND(#REF!,"AAAAAFu37a4=")</f>
        <v>#REF!</v>
      </c>
      <c r="FT152" t="e">
        <f>AND(#REF!,"AAAAAFu37a8=")</f>
        <v>#REF!</v>
      </c>
      <c r="FU152" t="e">
        <f>AND(#REF!,"AAAAAFu37bA=")</f>
        <v>#REF!</v>
      </c>
      <c r="FV152" t="e">
        <f>AND(#REF!,"AAAAAFu37bE=")</f>
        <v>#REF!</v>
      </c>
      <c r="FW152" t="e">
        <f>AND(#REF!,"AAAAAFu37bI=")</f>
        <v>#REF!</v>
      </c>
      <c r="FX152" t="e">
        <f>IF(#REF!,"AAAAAFu37bM=",0)</f>
        <v>#REF!</v>
      </c>
      <c r="FY152" t="e">
        <f>AND(#REF!,"AAAAAFu37bQ=")</f>
        <v>#REF!</v>
      </c>
      <c r="FZ152" t="e">
        <f>AND(#REF!,"AAAAAFu37bU=")</f>
        <v>#REF!</v>
      </c>
      <c r="GA152" t="e">
        <f>AND(#REF!,"AAAAAFu37bY=")</f>
        <v>#REF!</v>
      </c>
      <c r="GB152" t="e">
        <f>AND(#REF!,"AAAAAFu37bc=")</f>
        <v>#REF!</v>
      </c>
      <c r="GC152" t="e">
        <f>AND(#REF!,"AAAAAFu37bg=")</f>
        <v>#REF!</v>
      </c>
      <c r="GD152" t="e">
        <f>AND(#REF!,"AAAAAFu37bk=")</f>
        <v>#REF!</v>
      </c>
      <c r="GE152" t="e">
        <f>AND(#REF!,"AAAAAFu37bo=")</f>
        <v>#REF!</v>
      </c>
      <c r="GF152" t="e">
        <f>AND(#REF!,"AAAAAFu37bs=")</f>
        <v>#REF!</v>
      </c>
      <c r="GG152" t="e">
        <f>AND(#REF!,"AAAAAFu37bw=")</f>
        <v>#REF!</v>
      </c>
      <c r="GH152" t="e">
        <f>AND(#REF!,"AAAAAFu37b0=")</f>
        <v>#REF!</v>
      </c>
      <c r="GI152" t="e">
        <f>AND(#REF!,"AAAAAFu37b4=")</f>
        <v>#REF!</v>
      </c>
      <c r="GJ152" t="e">
        <f>AND(#REF!,"AAAAAFu37b8=")</f>
        <v>#REF!</v>
      </c>
      <c r="GK152" t="e">
        <f>AND(#REF!,"AAAAAFu37cA=")</f>
        <v>#REF!</v>
      </c>
      <c r="GL152" t="e">
        <f>AND(#REF!,"AAAAAFu37cE=")</f>
        <v>#REF!</v>
      </c>
      <c r="GM152" t="e">
        <f>AND(#REF!,"AAAAAFu37cI=")</f>
        <v>#REF!</v>
      </c>
      <c r="GN152" t="e">
        <f>AND(#REF!,"AAAAAFu37cM=")</f>
        <v>#REF!</v>
      </c>
      <c r="GO152" t="e">
        <f>AND(#REF!,"AAAAAFu37cQ=")</f>
        <v>#REF!</v>
      </c>
      <c r="GP152" t="e">
        <f>AND(#REF!,"AAAAAFu37cU=")</f>
        <v>#REF!</v>
      </c>
      <c r="GQ152" t="e">
        <f>AND(#REF!,"AAAAAFu37cY=")</f>
        <v>#REF!</v>
      </c>
      <c r="GR152" t="e">
        <f>AND(#REF!,"AAAAAFu37cc=")</f>
        <v>#REF!</v>
      </c>
      <c r="GS152" t="e">
        <f>AND(#REF!,"AAAAAFu37cg=")</f>
        <v>#REF!</v>
      </c>
      <c r="GT152" t="e">
        <f>AND(#REF!,"AAAAAFu37ck=")</f>
        <v>#REF!</v>
      </c>
      <c r="GU152" t="e">
        <f>AND(#REF!,"AAAAAFu37co=")</f>
        <v>#REF!</v>
      </c>
      <c r="GV152" t="e">
        <f>AND(#REF!,"AAAAAFu37cs=")</f>
        <v>#REF!</v>
      </c>
      <c r="GW152" t="e">
        <f>IF(#REF!,"AAAAAFu37cw=",0)</f>
        <v>#REF!</v>
      </c>
      <c r="GX152" t="e">
        <f>AND(#REF!,"AAAAAFu37c0=")</f>
        <v>#REF!</v>
      </c>
      <c r="GY152" t="e">
        <f>AND(#REF!,"AAAAAFu37c4=")</f>
        <v>#REF!</v>
      </c>
      <c r="GZ152" t="e">
        <f>AND(#REF!,"AAAAAFu37c8=")</f>
        <v>#REF!</v>
      </c>
      <c r="HA152" t="e">
        <f>AND(#REF!,"AAAAAFu37dA=")</f>
        <v>#REF!</v>
      </c>
      <c r="HB152" t="e">
        <f>AND(#REF!,"AAAAAFu37dE=")</f>
        <v>#REF!</v>
      </c>
      <c r="HC152" t="e">
        <f>AND(#REF!,"AAAAAFu37dI=")</f>
        <v>#REF!</v>
      </c>
      <c r="HD152" t="e">
        <f>AND(#REF!,"AAAAAFu37dM=")</f>
        <v>#REF!</v>
      </c>
      <c r="HE152" t="e">
        <f>AND(#REF!,"AAAAAFu37dQ=")</f>
        <v>#REF!</v>
      </c>
      <c r="HF152" t="e">
        <f>AND(#REF!,"AAAAAFu37dU=")</f>
        <v>#REF!</v>
      </c>
      <c r="HG152" t="e">
        <f>AND(#REF!,"AAAAAFu37dY=")</f>
        <v>#REF!</v>
      </c>
      <c r="HH152" t="e">
        <f>AND(#REF!,"AAAAAFu37dc=")</f>
        <v>#REF!</v>
      </c>
      <c r="HI152" t="e">
        <f>AND(#REF!,"AAAAAFu37dg=")</f>
        <v>#REF!</v>
      </c>
      <c r="HJ152" t="e">
        <f>AND(#REF!,"AAAAAFu37dk=")</f>
        <v>#REF!</v>
      </c>
      <c r="HK152" t="e">
        <f>AND(#REF!,"AAAAAFu37do=")</f>
        <v>#REF!</v>
      </c>
      <c r="HL152" t="e">
        <f>AND(#REF!,"AAAAAFu37ds=")</f>
        <v>#REF!</v>
      </c>
      <c r="HM152" t="e">
        <f>AND(#REF!,"AAAAAFu37dw=")</f>
        <v>#REF!</v>
      </c>
      <c r="HN152" t="e">
        <f>AND(#REF!,"AAAAAFu37d0=")</f>
        <v>#REF!</v>
      </c>
      <c r="HO152" t="e">
        <f>AND(#REF!,"AAAAAFu37d4=")</f>
        <v>#REF!</v>
      </c>
      <c r="HP152" t="e">
        <f>AND(#REF!,"AAAAAFu37d8=")</f>
        <v>#REF!</v>
      </c>
      <c r="HQ152" t="e">
        <f>AND(#REF!,"AAAAAFu37eA=")</f>
        <v>#REF!</v>
      </c>
      <c r="HR152" t="e">
        <f>AND(#REF!,"AAAAAFu37eE=")</f>
        <v>#REF!</v>
      </c>
      <c r="HS152" t="e">
        <f>AND(#REF!,"AAAAAFu37eI=")</f>
        <v>#REF!</v>
      </c>
      <c r="HT152" t="e">
        <f>AND(#REF!,"AAAAAFu37eM=")</f>
        <v>#REF!</v>
      </c>
      <c r="HU152" t="e">
        <f>AND(#REF!,"AAAAAFu37eQ=")</f>
        <v>#REF!</v>
      </c>
      <c r="HV152" t="e">
        <f>IF(#REF!,"AAAAAFu37eU=",0)</f>
        <v>#REF!</v>
      </c>
      <c r="HW152" t="e">
        <f>AND(#REF!,"AAAAAFu37eY=")</f>
        <v>#REF!</v>
      </c>
      <c r="HX152" t="e">
        <f>AND(#REF!,"AAAAAFu37ec=")</f>
        <v>#REF!</v>
      </c>
      <c r="HY152" t="e">
        <f>AND(#REF!,"AAAAAFu37eg=")</f>
        <v>#REF!</v>
      </c>
      <c r="HZ152" t="e">
        <f>AND(#REF!,"AAAAAFu37ek=")</f>
        <v>#REF!</v>
      </c>
      <c r="IA152" t="e">
        <f>AND(#REF!,"AAAAAFu37eo=")</f>
        <v>#REF!</v>
      </c>
      <c r="IB152" t="e">
        <f>AND(#REF!,"AAAAAFu37es=")</f>
        <v>#REF!</v>
      </c>
      <c r="IC152" t="e">
        <f>AND(#REF!,"AAAAAFu37ew=")</f>
        <v>#REF!</v>
      </c>
      <c r="ID152" t="e">
        <f>AND(#REF!,"AAAAAFu37e0=")</f>
        <v>#REF!</v>
      </c>
      <c r="IE152" t="e">
        <f>AND(#REF!,"AAAAAFu37e4=")</f>
        <v>#REF!</v>
      </c>
      <c r="IF152" t="e">
        <f>AND(#REF!,"AAAAAFu37e8=")</f>
        <v>#REF!</v>
      </c>
      <c r="IG152" t="e">
        <f>AND(#REF!,"AAAAAFu37fA=")</f>
        <v>#REF!</v>
      </c>
      <c r="IH152" t="e">
        <f>AND(#REF!,"AAAAAFu37fE=")</f>
        <v>#REF!</v>
      </c>
      <c r="II152" t="e">
        <f>AND(#REF!,"AAAAAFu37fI=")</f>
        <v>#REF!</v>
      </c>
      <c r="IJ152" t="e">
        <f>AND(#REF!,"AAAAAFu37fM=")</f>
        <v>#REF!</v>
      </c>
      <c r="IK152" t="e">
        <f>AND(#REF!,"AAAAAFu37fQ=")</f>
        <v>#REF!</v>
      </c>
      <c r="IL152" t="e">
        <f>AND(#REF!,"AAAAAFu37fU=")</f>
        <v>#REF!</v>
      </c>
      <c r="IM152" t="e">
        <f>AND(#REF!,"AAAAAFu37fY=")</f>
        <v>#REF!</v>
      </c>
      <c r="IN152" t="e">
        <f>AND(#REF!,"AAAAAFu37fc=")</f>
        <v>#REF!</v>
      </c>
      <c r="IO152" t="e">
        <f>AND(#REF!,"AAAAAFu37fg=")</f>
        <v>#REF!</v>
      </c>
      <c r="IP152" t="e">
        <f>AND(#REF!,"AAAAAFu37fk=")</f>
        <v>#REF!</v>
      </c>
      <c r="IQ152" t="e">
        <f>AND(#REF!,"AAAAAFu37fo=")</f>
        <v>#REF!</v>
      </c>
      <c r="IR152" t="e">
        <f>AND(#REF!,"AAAAAFu37fs=")</f>
        <v>#REF!</v>
      </c>
      <c r="IS152" t="e">
        <f>AND(#REF!,"AAAAAFu37fw=")</f>
        <v>#REF!</v>
      </c>
      <c r="IT152" t="e">
        <f>AND(#REF!,"AAAAAFu37f0=")</f>
        <v>#REF!</v>
      </c>
      <c r="IU152" t="e">
        <f>IF(#REF!,"AAAAAFu37f4=",0)</f>
        <v>#REF!</v>
      </c>
      <c r="IV152" t="e">
        <f>AND(#REF!,"AAAAAFu37f8=")</f>
        <v>#REF!</v>
      </c>
    </row>
    <row r="153" spans="1:256">
      <c r="A153" t="e">
        <f>AND(#REF!,"AAAAAD62/QA=")</f>
        <v>#REF!</v>
      </c>
      <c r="B153" t="e">
        <f>AND(#REF!,"AAAAAD62/QE=")</f>
        <v>#REF!</v>
      </c>
      <c r="C153" t="e">
        <f>AND(#REF!,"AAAAAD62/QI=")</f>
        <v>#REF!</v>
      </c>
      <c r="D153" t="e">
        <f>AND(#REF!,"AAAAAD62/QM=")</f>
        <v>#REF!</v>
      </c>
      <c r="E153" t="e">
        <f>AND(#REF!,"AAAAAD62/QQ=")</f>
        <v>#REF!</v>
      </c>
      <c r="F153" t="e">
        <f>AND(#REF!,"AAAAAD62/QU=")</f>
        <v>#REF!</v>
      </c>
      <c r="G153" t="e">
        <f>AND(#REF!,"AAAAAD62/QY=")</f>
        <v>#REF!</v>
      </c>
      <c r="H153" t="e">
        <f>AND(#REF!,"AAAAAD62/Qc=")</f>
        <v>#REF!</v>
      </c>
      <c r="I153" t="e">
        <f>AND(#REF!,"AAAAAD62/Qg=")</f>
        <v>#REF!</v>
      </c>
      <c r="J153" t="e">
        <f>AND(#REF!,"AAAAAD62/Qk=")</f>
        <v>#REF!</v>
      </c>
      <c r="K153" t="e">
        <f>AND(#REF!,"AAAAAD62/Qo=")</f>
        <v>#REF!</v>
      </c>
      <c r="L153" t="e">
        <f>AND(#REF!,"AAAAAD62/Qs=")</f>
        <v>#REF!</v>
      </c>
      <c r="M153" t="e">
        <f>AND(#REF!,"AAAAAD62/Qw=")</f>
        <v>#REF!</v>
      </c>
      <c r="N153" t="e">
        <f>AND(#REF!,"AAAAAD62/Q0=")</f>
        <v>#REF!</v>
      </c>
      <c r="O153" t="e">
        <f>AND(#REF!,"AAAAAD62/Q4=")</f>
        <v>#REF!</v>
      </c>
      <c r="P153" t="e">
        <f>AND(#REF!,"AAAAAD62/Q8=")</f>
        <v>#REF!</v>
      </c>
      <c r="Q153" t="e">
        <f>AND(#REF!,"AAAAAD62/RA=")</f>
        <v>#REF!</v>
      </c>
      <c r="R153" t="e">
        <f>AND(#REF!,"AAAAAD62/RE=")</f>
        <v>#REF!</v>
      </c>
      <c r="S153" t="e">
        <f>AND(#REF!,"AAAAAD62/RI=")</f>
        <v>#REF!</v>
      </c>
      <c r="T153" t="e">
        <f>AND(#REF!,"AAAAAD62/RM=")</f>
        <v>#REF!</v>
      </c>
      <c r="U153" t="e">
        <f>AND(#REF!,"AAAAAD62/RQ=")</f>
        <v>#REF!</v>
      </c>
      <c r="V153" t="e">
        <f>AND(#REF!,"AAAAAD62/RU=")</f>
        <v>#REF!</v>
      </c>
      <c r="W153" t="e">
        <f>AND(#REF!,"AAAAAD62/RY=")</f>
        <v>#REF!</v>
      </c>
      <c r="X153" t="e">
        <f>IF(#REF!,"AAAAAD62/Rc=",0)</f>
        <v>#REF!</v>
      </c>
      <c r="Y153" t="e">
        <f>AND(#REF!,"AAAAAD62/Rg=")</f>
        <v>#REF!</v>
      </c>
      <c r="Z153" t="e">
        <f>AND(#REF!,"AAAAAD62/Rk=")</f>
        <v>#REF!</v>
      </c>
      <c r="AA153" t="e">
        <f>AND(#REF!,"AAAAAD62/Ro=")</f>
        <v>#REF!</v>
      </c>
      <c r="AB153" t="e">
        <f>AND(#REF!,"AAAAAD62/Rs=")</f>
        <v>#REF!</v>
      </c>
      <c r="AC153" t="e">
        <f>AND(#REF!,"AAAAAD62/Rw=")</f>
        <v>#REF!</v>
      </c>
      <c r="AD153" t="e">
        <f>AND(#REF!,"AAAAAD62/R0=")</f>
        <v>#REF!</v>
      </c>
      <c r="AE153" t="e">
        <f>AND(#REF!,"AAAAAD62/R4=")</f>
        <v>#REF!</v>
      </c>
      <c r="AF153" t="e">
        <f>AND(#REF!,"AAAAAD62/R8=")</f>
        <v>#REF!</v>
      </c>
      <c r="AG153" t="e">
        <f>AND(#REF!,"AAAAAD62/SA=")</f>
        <v>#REF!</v>
      </c>
      <c r="AH153" t="e">
        <f>AND(#REF!,"AAAAAD62/SE=")</f>
        <v>#REF!</v>
      </c>
      <c r="AI153" t="e">
        <f>AND(#REF!,"AAAAAD62/SI=")</f>
        <v>#REF!</v>
      </c>
      <c r="AJ153" t="e">
        <f>AND(#REF!,"AAAAAD62/SM=")</f>
        <v>#REF!</v>
      </c>
      <c r="AK153" t="e">
        <f>AND(#REF!,"AAAAAD62/SQ=")</f>
        <v>#REF!</v>
      </c>
      <c r="AL153" t="e">
        <f>AND(#REF!,"AAAAAD62/SU=")</f>
        <v>#REF!</v>
      </c>
      <c r="AM153" t="e">
        <f>AND(#REF!,"AAAAAD62/SY=")</f>
        <v>#REF!</v>
      </c>
      <c r="AN153" t="e">
        <f>AND(#REF!,"AAAAAD62/Sc=")</f>
        <v>#REF!</v>
      </c>
      <c r="AO153" t="e">
        <f>AND(#REF!,"AAAAAD62/Sg=")</f>
        <v>#REF!</v>
      </c>
      <c r="AP153" t="e">
        <f>AND(#REF!,"AAAAAD62/Sk=")</f>
        <v>#REF!</v>
      </c>
      <c r="AQ153" t="e">
        <f>AND(#REF!,"AAAAAD62/So=")</f>
        <v>#REF!</v>
      </c>
      <c r="AR153" t="e">
        <f>AND(#REF!,"AAAAAD62/Ss=")</f>
        <v>#REF!</v>
      </c>
      <c r="AS153" t="e">
        <f>AND(#REF!,"AAAAAD62/Sw=")</f>
        <v>#REF!</v>
      </c>
      <c r="AT153" t="e">
        <f>AND(#REF!,"AAAAAD62/S0=")</f>
        <v>#REF!</v>
      </c>
      <c r="AU153" t="e">
        <f>AND(#REF!,"AAAAAD62/S4=")</f>
        <v>#REF!</v>
      </c>
      <c r="AV153" t="e">
        <f>AND(#REF!,"AAAAAD62/S8=")</f>
        <v>#REF!</v>
      </c>
      <c r="AW153" t="e">
        <f>IF(#REF!,"AAAAAD62/TA=",0)</f>
        <v>#REF!</v>
      </c>
      <c r="AX153" t="e">
        <f>AND(#REF!,"AAAAAD62/TE=")</f>
        <v>#REF!</v>
      </c>
      <c r="AY153" t="e">
        <f>AND(#REF!,"AAAAAD62/TI=")</f>
        <v>#REF!</v>
      </c>
      <c r="AZ153" t="e">
        <f>AND(#REF!,"AAAAAD62/TM=")</f>
        <v>#REF!</v>
      </c>
      <c r="BA153" t="e">
        <f>AND(#REF!,"AAAAAD62/TQ=")</f>
        <v>#REF!</v>
      </c>
      <c r="BB153" t="e">
        <f>AND(#REF!,"AAAAAD62/TU=")</f>
        <v>#REF!</v>
      </c>
      <c r="BC153" t="e">
        <f>AND(#REF!,"AAAAAD62/TY=")</f>
        <v>#REF!</v>
      </c>
      <c r="BD153" t="e">
        <f>AND(#REF!,"AAAAAD62/Tc=")</f>
        <v>#REF!</v>
      </c>
      <c r="BE153" t="e">
        <f>AND(#REF!,"AAAAAD62/Tg=")</f>
        <v>#REF!</v>
      </c>
      <c r="BF153" t="e">
        <f>AND(#REF!,"AAAAAD62/Tk=")</f>
        <v>#REF!</v>
      </c>
      <c r="BG153" t="e">
        <f>AND(#REF!,"AAAAAD62/To=")</f>
        <v>#REF!</v>
      </c>
      <c r="BH153" t="e">
        <f>AND(#REF!,"AAAAAD62/Ts=")</f>
        <v>#REF!</v>
      </c>
      <c r="BI153" t="e">
        <f>AND(#REF!,"AAAAAD62/Tw=")</f>
        <v>#REF!</v>
      </c>
      <c r="BJ153" t="e">
        <f>AND(#REF!,"AAAAAD62/T0=")</f>
        <v>#REF!</v>
      </c>
      <c r="BK153" t="e">
        <f>AND(#REF!,"AAAAAD62/T4=")</f>
        <v>#REF!</v>
      </c>
      <c r="BL153" t="e">
        <f>AND(#REF!,"AAAAAD62/T8=")</f>
        <v>#REF!</v>
      </c>
      <c r="BM153" t="e">
        <f>AND(#REF!,"AAAAAD62/UA=")</f>
        <v>#REF!</v>
      </c>
      <c r="BN153" t="e">
        <f>AND(#REF!,"AAAAAD62/UE=")</f>
        <v>#REF!</v>
      </c>
      <c r="BO153" t="e">
        <f>AND(#REF!,"AAAAAD62/UI=")</f>
        <v>#REF!</v>
      </c>
      <c r="BP153" t="e">
        <f>AND(#REF!,"AAAAAD62/UM=")</f>
        <v>#REF!</v>
      </c>
      <c r="BQ153" t="e">
        <f>AND(#REF!,"AAAAAD62/UQ=")</f>
        <v>#REF!</v>
      </c>
      <c r="BR153" t="e">
        <f>AND(#REF!,"AAAAAD62/UU=")</f>
        <v>#REF!</v>
      </c>
      <c r="BS153" t="e">
        <f>AND(#REF!,"AAAAAD62/UY=")</f>
        <v>#REF!</v>
      </c>
      <c r="BT153" t="e">
        <f>AND(#REF!,"AAAAAD62/Uc=")</f>
        <v>#REF!</v>
      </c>
      <c r="BU153" t="e">
        <f>AND(#REF!,"AAAAAD62/Ug=")</f>
        <v>#REF!</v>
      </c>
      <c r="BV153" t="e">
        <f>IF(#REF!,"AAAAAD62/Uk=",0)</f>
        <v>#REF!</v>
      </c>
      <c r="BW153" t="e">
        <f>AND(#REF!,"AAAAAD62/Uo=")</f>
        <v>#REF!</v>
      </c>
      <c r="BX153" t="e">
        <f>AND(#REF!,"AAAAAD62/Us=")</f>
        <v>#REF!</v>
      </c>
      <c r="BY153" t="e">
        <f>AND(#REF!,"AAAAAD62/Uw=")</f>
        <v>#REF!</v>
      </c>
      <c r="BZ153" t="e">
        <f>AND(#REF!,"AAAAAD62/U0=")</f>
        <v>#REF!</v>
      </c>
      <c r="CA153" t="e">
        <f>AND(#REF!,"AAAAAD62/U4=")</f>
        <v>#REF!</v>
      </c>
      <c r="CB153" t="e">
        <f>AND(#REF!,"AAAAAD62/U8=")</f>
        <v>#REF!</v>
      </c>
      <c r="CC153" t="e">
        <f>AND(#REF!,"AAAAAD62/VA=")</f>
        <v>#REF!</v>
      </c>
      <c r="CD153" t="e">
        <f>AND(#REF!,"AAAAAD62/VE=")</f>
        <v>#REF!</v>
      </c>
      <c r="CE153" t="e">
        <f>AND(#REF!,"AAAAAD62/VI=")</f>
        <v>#REF!</v>
      </c>
      <c r="CF153" t="e">
        <f>AND(#REF!,"AAAAAD62/VM=")</f>
        <v>#REF!</v>
      </c>
      <c r="CG153" t="e">
        <f>AND(#REF!,"AAAAAD62/VQ=")</f>
        <v>#REF!</v>
      </c>
      <c r="CH153" t="e">
        <f>AND(#REF!,"AAAAAD62/VU=")</f>
        <v>#REF!</v>
      </c>
      <c r="CI153" t="e">
        <f>AND(#REF!,"AAAAAD62/VY=")</f>
        <v>#REF!</v>
      </c>
      <c r="CJ153" t="e">
        <f>AND(#REF!,"AAAAAD62/Vc=")</f>
        <v>#REF!</v>
      </c>
      <c r="CK153" t="e">
        <f>AND(#REF!,"AAAAAD62/Vg=")</f>
        <v>#REF!</v>
      </c>
      <c r="CL153" t="e">
        <f>AND(#REF!,"AAAAAD62/Vk=")</f>
        <v>#REF!</v>
      </c>
      <c r="CM153" t="e">
        <f>AND(#REF!,"AAAAAD62/Vo=")</f>
        <v>#REF!</v>
      </c>
      <c r="CN153" t="e">
        <f>AND(#REF!,"AAAAAD62/Vs=")</f>
        <v>#REF!</v>
      </c>
      <c r="CO153" t="e">
        <f>AND(#REF!,"AAAAAD62/Vw=")</f>
        <v>#REF!</v>
      </c>
      <c r="CP153" t="e">
        <f>AND(#REF!,"AAAAAD62/V0=")</f>
        <v>#REF!</v>
      </c>
      <c r="CQ153" t="e">
        <f>AND(#REF!,"AAAAAD62/V4=")</f>
        <v>#REF!</v>
      </c>
      <c r="CR153" t="e">
        <f>AND(#REF!,"AAAAAD62/V8=")</f>
        <v>#REF!</v>
      </c>
      <c r="CS153" t="e">
        <f>AND(#REF!,"AAAAAD62/WA=")</f>
        <v>#REF!</v>
      </c>
      <c r="CT153" t="e">
        <f>AND(#REF!,"AAAAAD62/WE=")</f>
        <v>#REF!</v>
      </c>
      <c r="CU153" t="e">
        <f>IF(#REF!,"AAAAAD62/WI=",0)</f>
        <v>#REF!</v>
      </c>
      <c r="CV153" t="e">
        <f>AND(#REF!,"AAAAAD62/WM=")</f>
        <v>#REF!</v>
      </c>
      <c r="CW153" t="e">
        <f>AND(#REF!,"AAAAAD62/WQ=")</f>
        <v>#REF!</v>
      </c>
      <c r="CX153" t="e">
        <f>AND(#REF!,"AAAAAD62/WU=")</f>
        <v>#REF!</v>
      </c>
      <c r="CY153" t="e">
        <f>AND(#REF!,"AAAAAD62/WY=")</f>
        <v>#REF!</v>
      </c>
      <c r="CZ153" t="e">
        <f>AND(#REF!,"AAAAAD62/Wc=")</f>
        <v>#REF!</v>
      </c>
      <c r="DA153" t="e">
        <f>AND(#REF!,"AAAAAD62/Wg=")</f>
        <v>#REF!</v>
      </c>
      <c r="DB153" t="e">
        <f>AND(#REF!,"AAAAAD62/Wk=")</f>
        <v>#REF!</v>
      </c>
      <c r="DC153" t="e">
        <f>AND(#REF!,"AAAAAD62/Wo=")</f>
        <v>#REF!</v>
      </c>
      <c r="DD153" t="e">
        <f>AND(#REF!,"AAAAAD62/Ws=")</f>
        <v>#REF!</v>
      </c>
      <c r="DE153" t="e">
        <f>AND(#REF!,"AAAAAD62/Ww=")</f>
        <v>#REF!</v>
      </c>
      <c r="DF153" t="e">
        <f>AND(#REF!,"AAAAAD62/W0=")</f>
        <v>#REF!</v>
      </c>
      <c r="DG153" t="e">
        <f>AND(#REF!,"AAAAAD62/W4=")</f>
        <v>#REF!</v>
      </c>
      <c r="DH153" t="e">
        <f>AND(#REF!,"AAAAAD62/W8=")</f>
        <v>#REF!</v>
      </c>
      <c r="DI153" t="e">
        <f>AND(#REF!,"AAAAAD62/XA=")</f>
        <v>#REF!</v>
      </c>
      <c r="DJ153" t="e">
        <f>AND(#REF!,"AAAAAD62/XE=")</f>
        <v>#REF!</v>
      </c>
      <c r="DK153" t="e">
        <f>AND(#REF!,"AAAAAD62/XI=")</f>
        <v>#REF!</v>
      </c>
      <c r="DL153" t="e">
        <f>AND(#REF!,"AAAAAD62/XM=")</f>
        <v>#REF!</v>
      </c>
      <c r="DM153" t="e">
        <f>AND(#REF!,"AAAAAD62/XQ=")</f>
        <v>#REF!</v>
      </c>
      <c r="DN153" t="e">
        <f>AND(#REF!,"AAAAAD62/XU=")</f>
        <v>#REF!</v>
      </c>
      <c r="DO153" t="e">
        <f>AND(#REF!,"AAAAAD62/XY=")</f>
        <v>#REF!</v>
      </c>
      <c r="DP153" t="e">
        <f>AND(#REF!,"AAAAAD62/Xc=")</f>
        <v>#REF!</v>
      </c>
      <c r="DQ153" t="e">
        <f>AND(#REF!,"AAAAAD62/Xg=")</f>
        <v>#REF!</v>
      </c>
      <c r="DR153" t="e">
        <f>AND(#REF!,"AAAAAD62/Xk=")</f>
        <v>#REF!</v>
      </c>
      <c r="DS153" t="e">
        <f>AND(#REF!,"AAAAAD62/Xo=")</f>
        <v>#REF!</v>
      </c>
      <c r="DT153" t="e">
        <f>IF(#REF!,"AAAAAD62/Xs=",0)</f>
        <v>#REF!</v>
      </c>
      <c r="DU153" t="e">
        <f>AND(#REF!,"AAAAAD62/Xw=")</f>
        <v>#REF!</v>
      </c>
      <c r="DV153" t="e">
        <f>AND(#REF!,"AAAAAD62/X0=")</f>
        <v>#REF!</v>
      </c>
      <c r="DW153" t="e">
        <f>AND(#REF!,"AAAAAD62/X4=")</f>
        <v>#REF!</v>
      </c>
      <c r="DX153" t="e">
        <f>AND(#REF!,"AAAAAD62/X8=")</f>
        <v>#REF!</v>
      </c>
      <c r="DY153" t="e">
        <f>AND(#REF!,"AAAAAD62/YA=")</f>
        <v>#REF!</v>
      </c>
      <c r="DZ153" t="e">
        <f>AND(#REF!,"AAAAAD62/YE=")</f>
        <v>#REF!</v>
      </c>
      <c r="EA153" t="e">
        <f>AND(#REF!,"AAAAAD62/YI=")</f>
        <v>#REF!</v>
      </c>
      <c r="EB153" t="e">
        <f>AND(#REF!,"AAAAAD62/YM=")</f>
        <v>#REF!</v>
      </c>
      <c r="EC153" t="e">
        <f>AND(#REF!,"AAAAAD62/YQ=")</f>
        <v>#REF!</v>
      </c>
      <c r="ED153" t="e">
        <f>AND(#REF!,"AAAAAD62/YU=")</f>
        <v>#REF!</v>
      </c>
      <c r="EE153" t="e">
        <f>AND(#REF!,"AAAAAD62/YY=")</f>
        <v>#REF!</v>
      </c>
      <c r="EF153" t="e">
        <f>AND(#REF!,"AAAAAD62/Yc=")</f>
        <v>#REF!</v>
      </c>
      <c r="EG153" t="e">
        <f>AND(#REF!,"AAAAAD62/Yg=")</f>
        <v>#REF!</v>
      </c>
      <c r="EH153" t="e">
        <f>AND(#REF!,"AAAAAD62/Yk=")</f>
        <v>#REF!</v>
      </c>
      <c r="EI153" t="e">
        <f>AND(#REF!,"AAAAAD62/Yo=")</f>
        <v>#REF!</v>
      </c>
      <c r="EJ153" t="e">
        <f>AND(#REF!,"AAAAAD62/Ys=")</f>
        <v>#REF!</v>
      </c>
      <c r="EK153" t="e">
        <f>AND(#REF!,"AAAAAD62/Yw=")</f>
        <v>#REF!</v>
      </c>
      <c r="EL153" t="e">
        <f>AND(#REF!,"AAAAAD62/Y0=")</f>
        <v>#REF!</v>
      </c>
      <c r="EM153" t="e">
        <f>AND(#REF!,"AAAAAD62/Y4=")</f>
        <v>#REF!</v>
      </c>
      <c r="EN153" t="e">
        <f>AND(#REF!,"AAAAAD62/Y8=")</f>
        <v>#REF!</v>
      </c>
      <c r="EO153" t="e">
        <f>AND(#REF!,"AAAAAD62/ZA=")</f>
        <v>#REF!</v>
      </c>
      <c r="EP153" t="e">
        <f>AND(#REF!,"AAAAAD62/ZE=")</f>
        <v>#REF!</v>
      </c>
      <c r="EQ153" t="e">
        <f>AND(#REF!,"AAAAAD62/ZI=")</f>
        <v>#REF!</v>
      </c>
      <c r="ER153" t="e">
        <f>AND(#REF!,"AAAAAD62/ZM=")</f>
        <v>#REF!</v>
      </c>
      <c r="ES153" t="e">
        <f>IF(#REF!,"AAAAAD62/ZQ=",0)</f>
        <v>#REF!</v>
      </c>
      <c r="ET153" t="e">
        <f>AND(#REF!,"AAAAAD62/ZU=")</f>
        <v>#REF!</v>
      </c>
      <c r="EU153" t="e">
        <f>AND(#REF!,"AAAAAD62/ZY=")</f>
        <v>#REF!</v>
      </c>
      <c r="EV153" t="e">
        <f>AND(#REF!,"AAAAAD62/Zc=")</f>
        <v>#REF!</v>
      </c>
      <c r="EW153" t="e">
        <f>AND(#REF!,"AAAAAD62/Zg=")</f>
        <v>#REF!</v>
      </c>
      <c r="EX153" t="e">
        <f>AND(#REF!,"AAAAAD62/Zk=")</f>
        <v>#REF!</v>
      </c>
      <c r="EY153" t="e">
        <f>AND(#REF!,"AAAAAD62/Zo=")</f>
        <v>#REF!</v>
      </c>
      <c r="EZ153" t="e">
        <f>AND(#REF!,"AAAAAD62/Zs=")</f>
        <v>#REF!</v>
      </c>
      <c r="FA153" t="e">
        <f>AND(#REF!,"AAAAAD62/Zw=")</f>
        <v>#REF!</v>
      </c>
      <c r="FB153" t="e">
        <f>AND(#REF!,"AAAAAD62/Z0=")</f>
        <v>#REF!</v>
      </c>
      <c r="FC153" t="e">
        <f>AND(#REF!,"AAAAAD62/Z4=")</f>
        <v>#REF!</v>
      </c>
      <c r="FD153" t="e">
        <f>AND(#REF!,"AAAAAD62/Z8=")</f>
        <v>#REF!</v>
      </c>
      <c r="FE153" t="e">
        <f>AND(#REF!,"AAAAAD62/aA=")</f>
        <v>#REF!</v>
      </c>
      <c r="FF153" t="e">
        <f>AND(#REF!,"AAAAAD62/aE=")</f>
        <v>#REF!</v>
      </c>
      <c r="FG153" t="e">
        <f>AND(#REF!,"AAAAAD62/aI=")</f>
        <v>#REF!</v>
      </c>
      <c r="FH153" t="e">
        <f>AND(#REF!,"AAAAAD62/aM=")</f>
        <v>#REF!</v>
      </c>
      <c r="FI153" t="e">
        <f>AND(#REF!,"AAAAAD62/aQ=")</f>
        <v>#REF!</v>
      </c>
      <c r="FJ153" t="e">
        <f>AND(#REF!,"AAAAAD62/aU=")</f>
        <v>#REF!</v>
      </c>
      <c r="FK153" t="e">
        <f>AND(#REF!,"AAAAAD62/aY=")</f>
        <v>#REF!</v>
      </c>
      <c r="FL153" t="e">
        <f>AND(#REF!,"AAAAAD62/ac=")</f>
        <v>#REF!</v>
      </c>
      <c r="FM153" t="e">
        <f>AND(#REF!,"AAAAAD62/ag=")</f>
        <v>#REF!</v>
      </c>
      <c r="FN153" t="e">
        <f>AND(#REF!,"AAAAAD62/ak=")</f>
        <v>#REF!</v>
      </c>
      <c r="FO153" t="e">
        <f>AND(#REF!,"AAAAAD62/ao=")</f>
        <v>#REF!</v>
      </c>
      <c r="FP153" t="e">
        <f>AND(#REF!,"AAAAAD62/as=")</f>
        <v>#REF!</v>
      </c>
      <c r="FQ153" t="e">
        <f>AND(#REF!,"AAAAAD62/aw=")</f>
        <v>#REF!</v>
      </c>
      <c r="FR153" t="e">
        <f>IF(#REF!,"AAAAAD62/a0=",0)</f>
        <v>#REF!</v>
      </c>
      <c r="FS153" t="e">
        <f>AND(#REF!,"AAAAAD62/a4=")</f>
        <v>#REF!</v>
      </c>
      <c r="FT153" t="e">
        <f>AND(#REF!,"AAAAAD62/a8=")</f>
        <v>#REF!</v>
      </c>
      <c r="FU153" t="e">
        <f>AND(#REF!,"AAAAAD62/bA=")</f>
        <v>#REF!</v>
      </c>
      <c r="FV153" t="e">
        <f>AND(#REF!,"AAAAAD62/bE=")</f>
        <v>#REF!</v>
      </c>
      <c r="FW153" t="e">
        <f>AND(#REF!,"AAAAAD62/bI=")</f>
        <v>#REF!</v>
      </c>
      <c r="FX153" t="e">
        <f>AND(#REF!,"AAAAAD62/bM=")</f>
        <v>#REF!</v>
      </c>
      <c r="FY153" t="e">
        <f>AND(#REF!,"AAAAAD62/bQ=")</f>
        <v>#REF!</v>
      </c>
      <c r="FZ153" t="e">
        <f>AND(#REF!,"AAAAAD62/bU=")</f>
        <v>#REF!</v>
      </c>
      <c r="GA153" t="e">
        <f>AND(#REF!,"AAAAAD62/bY=")</f>
        <v>#REF!</v>
      </c>
      <c r="GB153" t="e">
        <f>AND(#REF!,"AAAAAD62/bc=")</f>
        <v>#REF!</v>
      </c>
      <c r="GC153" t="e">
        <f>AND(#REF!,"AAAAAD62/bg=")</f>
        <v>#REF!</v>
      </c>
      <c r="GD153" t="e">
        <f>AND(#REF!,"AAAAAD62/bk=")</f>
        <v>#REF!</v>
      </c>
      <c r="GE153" t="e">
        <f>AND(#REF!,"AAAAAD62/bo=")</f>
        <v>#REF!</v>
      </c>
      <c r="GF153" t="e">
        <f>AND(#REF!,"AAAAAD62/bs=")</f>
        <v>#REF!</v>
      </c>
      <c r="GG153" t="e">
        <f>AND(#REF!,"AAAAAD62/bw=")</f>
        <v>#REF!</v>
      </c>
      <c r="GH153" t="e">
        <f>AND(#REF!,"AAAAAD62/b0=")</f>
        <v>#REF!</v>
      </c>
      <c r="GI153" t="e">
        <f>AND(#REF!,"AAAAAD62/b4=")</f>
        <v>#REF!</v>
      </c>
      <c r="GJ153" t="e">
        <f>AND(#REF!,"AAAAAD62/b8=")</f>
        <v>#REF!</v>
      </c>
      <c r="GK153" t="e">
        <f>AND(#REF!,"AAAAAD62/cA=")</f>
        <v>#REF!</v>
      </c>
      <c r="GL153" t="e">
        <f>AND(#REF!,"AAAAAD62/cE=")</f>
        <v>#REF!</v>
      </c>
      <c r="GM153" t="e">
        <f>AND(#REF!,"AAAAAD62/cI=")</f>
        <v>#REF!</v>
      </c>
      <c r="GN153" t="e">
        <f>AND(#REF!,"AAAAAD62/cM=")</f>
        <v>#REF!</v>
      </c>
      <c r="GO153" t="e">
        <f>AND(#REF!,"AAAAAD62/cQ=")</f>
        <v>#REF!</v>
      </c>
      <c r="GP153" t="e">
        <f>AND(#REF!,"AAAAAD62/cU=")</f>
        <v>#REF!</v>
      </c>
      <c r="GQ153" t="e">
        <f>IF(#REF!,"AAAAAD62/cY=",0)</f>
        <v>#REF!</v>
      </c>
      <c r="GR153" t="e">
        <f>AND(#REF!,"AAAAAD62/cc=")</f>
        <v>#REF!</v>
      </c>
      <c r="GS153" t="e">
        <f>AND(#REF!,"AAAAAD62/cg=")</f>
        <v>#REF!</v>
      </c>
      <c r="GT153" t="e">
        <f>AND(#REF!,"AAAAAD62/ck=")</f>
        <v>#REF!</v>
      </c>
      <c r="GU153" t="e">
        <f>AND(#REF!,"AAAAAD62/co=")</f>
        <v>#REF!</v>
      </c>
      <c r="GV153" t="e">
        <f>AND(#REF!,"AAAAAD62/cs=")</f>
        <v>#REF!</v>
      </c>
      <c r="GW153" t="e">
        <f>AND(#REF!,"AAAAAD62/cw=")</f>
        <v>#REF!</v>
      </c>
      <c r="GX153" t="e">
        <f>AND(#REF!,"AAAAAD62/c0=")</f>
        <v>#REF!</v>
      </c>
      <c r="GY153" t="e">
        <f>AND(#REF!,"AAAAAD62/c4=")</f>
        <v>#REF!</v>
      </c>
      <c r="GZ153" t="e">
        <f>AND(#REF!,"AAAAAD62/c8=")</f>
        <v>#REF!</v>
      </c>
      <c r="HA153" t="e">
        <f>AND(#REF!,"AAAAAD62/dA=")</f>
        <v>#REF!</v>
      </c>
      <c r="HB153" t="e">
        <f>AND(#REF!,"AAAAAD62/dE=")</f>
        <v>#REF!</v>
      </c>
      <c r="HC153" t="e">
        <f>AND(#REF!,"AAAAAD62/dI=")</f>
        <v>#REF!</v>
      </c>
      <c r="HD153" t="e">
        <f>AND(#REF!,"AAAAAD62/dM=")</f>
        <v>#REF!</v>
      </c>
      <c r="HE153" t="e">
        <f>AND(#REF!,"AAAAAD62/dQ=")</f>
        <v>#REF!</v>
      </c>
      <c r="HF153" t="e">
        <f>AND(#REF!,"AAAAAD62/dU=")</f>
        <v>#REF!</v>
      </c>
      <c r="HG153" t="e">
        <f>AND(#REF!,"AAAAAD62/dY=")</f>
        <v>#REF!</v>
      </c>
      <c r="HH153" t="e">
        <f>AND(#REF!,"AAAAAD62/dc=")</f>
        <v>#REF!</v>
      </c>
      <c r="HI153" t="e">
        <f>AND(#REF!,"AAAAAD62/dg=")</f>
        <v>#REF!</v>
      </c>
      <c r="HJ153" t="e">
        <f>AND(#REF!,"AAAAAD62/dk=")</f>
        <v>#REF!</v>
      </c>
      <c r="HK153" t="e">
        <f>AND(#REF!,"AAAAAD62/do=")</f>
        <v>#REF!</v>
      </c>
      <c r="HL153" t="e">
        <f>AND(#REF!,"AAAAAD62/ds=")</f>
        <v>#REF!</v>
      </c>
      <c r="HM153" t="e">
        <f>AND(#REF!,"AAAAAD62/dw=")</f>
        <v>#REF!</v>
      </c>
      <c r="HN153" t="e">
        <f>AND(#REF!,"AAAAAD62/d0=")</f>
        <v>#REF!</v>
      </c>
      <c r="HO153" t="e">
        <f>AND(#REF!,"AAAAAD62/d4=")</f>
        <v>#REF!</v>
      </c>
      <c r="HP153" t="e">
        <f>IF(#REF!,"AAAAAD62/d8=",0)</f>
        <v>#REF!</v>
      </c>
      <c r="HQ153" t="e">
        <f>AND(#REF!,"AAAAAD62/eA=")</f>
        <v>#REF!</v>
      </c>
      <c r="HR153" t="e">
        <f>AND(#REF!,"AAAAAD62/eE=")</f>
        <v>#REF!</v>
      </c>
      <c r="HS153" t="e">
        <f>AND(#REF!,"AAAAAD62/eI=")</f>
        <v>#REF!</v>
      </c>
      <c r="HT153" t="e">
        <f>AND(#REF!,"AAAAAD62/eM=")</f>
        <v>#REF!</v>
      </c>
      <c r="HU153" t="e">
        <f>AND(#REF!,"AAAAAD62/eQ=")</f>
        <v>#REF!</v>
      </c>
      <c r="HV153" t="e">
        <f>AND(#REF!,"AAAAAD62/eU=")</f>
        <v>#REF!</v>
      </c>
      <c r="HW153" t="e">
        <f>AND(#REF!,"AAAAAD62/eY=")</f>
        <v>#REF!</v>
      </c>
      <c r="HX153" t="e">
        <f>AND(#REF!,"AAAAAD62/ec=")</f>
        <v>#REF!</v>
      </c>
      <c r="HY153" t="e">
        <f>AND(#REF!,"AAAAAD62/eg=")</f>
        <v>#REF!</v>
      </c>
      <c r="HZ153" t="e">
        <f>AND(#REF!,"AAAAAD62/ek=")</f>
        <v>#REF!</v>
      </c>
      <c r="IA153" t="e">
        <f>AND(#REF!,"AAAAAD62/eo=")</f>
        <v>#REF!</v>
      </c>
      <c r="IB153" t="e">
        <f>AND(#REF!,"AAAAAD62/es=")</f>
        <v>#REF!</v>
      </c>
      <c r="IC153" t="e">
        <f>AND(#REF!,"AAAAAD62/ew=")</f>
        <v>#REF!</v>
      </c>
      <c r="ID153" t="e">
        <f>AND(#REF!,"AAAAAD62/e0=")</f>
        <v>#REF!</v>
      </c>
      <c r="IE153" t="e">
        <f>AND(#REF!,"AAAAAD62/e4=")</f>
        <v>#REF!</v>
      </c>
      <c r="IF153" t="e">
        <f>AND(#REF!,"AAAAAD62/e8=")</f>
        <v>#REF!</v>
      </c>
      <c r="IG153" t="e">
        <f>AND(#REF!,"AAAAAD62/fA=")</f>
        <v>#REF!</v>
      </c>
      <c r="IH153" t="e">
        <f>AND(#REF!,"AAAAAD62/fE=")</f>
        <v>#REF!</v>
      </c>
      <c r="II153" t="e">
        <f>AND(#REF!,"AAAAAD62/fI=")</f>
        <v>#REF!</v>
      </c>
      <c r="IJ153" t="e">
        <f>AND(#REF!,"AAAAAD62/fM=")</f>
        <v>#REF!</v>
      </c>
      <c r="IK153" t="e">
        <f>AND(#REF!,"AAAAAD62/fQ=")</f>
        <v>#REF!</v>
      </c>
      <c r="IL153" t="e">
        <f>AND(#REF!,"AAAAAD62/fU=")</f>
        <v>#REF!</v>
      </c>
      <c r="IM153" t="e">
        <f>AND(#REF!,"AAAAAD62/fY=")</f>
        <v>#REF!</v>
      </c>
      <c r="IN153" t="e">
        <f>AND(#REF!,"AAAAAD62/fc=")</f>
        <v>#REF!</v>
      </c>
      <c r="IO153" t="e">
        <f>IF(#REF!,"AAAAAD62/fg=",0)</f>
        <v>#REF!</v>
      </c>
      <c r="IP153" t="e">
        <f>AND(#REF!,"AAAAAD62/fk=")</f>
        <v>#REF!</v>
      </c>
      <c r="IQ153" t="e">
        <f>AND(#REF!,"AAAAAD62/fo=")</f>
        <v>#REF!</v>
      </c>
      <c r="IR153" t="e">
        <f>AND(#REF!,"AAAAAD62/fs=")</f>
        <v>#REF!</v>
      </c>
      <c r="IS153" t="e">
        <f>AND(#REF!,"AAAAAD62/fw=")</f>
        <v>#REF!</v>
      </c>
      <c r="IT153" t="e">
        <f>AND(#REF!,"AAAAAD62/f0=")</f>
        <v>#REF!</v>
      </c>
      <c r="IU153" t="e">
        <f>AND(#REF!,"AAAAAD62/f4=")</f>
        <v>#REF!</v>
      </c>
      <c r="IV153" t="e">
        <f>AND(#REF!,"AAAAAD62/f8=")</f>
        <v>#REF!</v>
      </c>
    </row>
    <row r="154" spans="1:256">
      <c r="A154" t="e">
        <f>AND(#REF!,"AAAAAC7S/wA=")</f>
        <v>#REF!</v>
      </c>
      <c r="B154" t="e">
        <f>AND(#REF!,"AAAAAC7S/wE=")</f>
        <v>#REF!</v>
      </c>
      <c r="C154" t="e">
        <f>AND(#REF!,"AAAAAC7S/wI=")</f>
        <v>#REF!</v>
      </c>
      <c r="D154" t="e">
        <f>AND(#REF!,"AAAAAC7S/wM=")</f>
        <v>#REF!</v>
      </c>
      <c r="E154" t="e">
        <f>AND(#REF!,"AAAAAC7S/wQ=")</f>
        <v>#REF!</v>
      </c>
      <c r="F154" t="e">
        <f>AND(#REF!,"AAAAAC7S/wU=")</f>
        <v>#REF!</v>
      </c>
      <c r="G154" t="e">
        <f>AND(#REF!,"AAAAAC7S/wY=")</f>
        <v>#REF!</v>
      </c>
      <c r="H154" t="e">
        <f>AND(#REF!,"AAAAAC7S/wc=")</f>
        <v>#REF!</v>
      </c>
      <c r="I154" t="e">
        <f>AND(#REF!,"AAAAAC7S/wg=")</f>
        <v>#REF!</v>
      </c>
      <c r="J154" t="e">
        <f>AND(#REF!,"AAAAAC7S/wk=")</f>
        <v>#REF!</v>
      </c>
      <c r="K154" t="e">
        <f>AND(#REF!,"AAAAAC7S/wo=")</f>
        <v>#REF!</v>
      </c>
      <c r="L154" t="e">
        <f>AND(#REF!,"AAAAAC7S/ws=")</f>
        <v>#REF!</v>
      </c>
      <c r="M154" t="e">
        <f>AND(#REF!,"AAAAAC7S/ww=")</f>
        <v>#REF!</v>
      </c>
      <c r="N154" t="e">
        <f>AND(#REF!,"AAAAAC7S/w0=")</f>
        <v>#REF!</v>
      </c>
      <c r="O154" t="e">
        <f>AND(#REF!,"AAAAAC7S/w4=")</f>
        <v>#REF!</v>
      </c>
      <c r="P154" t="e">
        <f>AND(#REF!,"AAAAAC7S/w8=")</f>
        <v>#REF!</v>
      </c>
      <c r="Q154" t="e">
        <f>AND(#REF!,"AAAAAC7S/xA=")</f>
        <v>#REF!</v>
      </c>
      <c r="R154" t="e">
        <f>IF(#REF!,"AAAAAC7S/xE=",0)</f>
        <v>#REF!</v>
      </c>
      <c r="S154" t="e">
        <f>AND(#REF!,"AAAAAC7S/xI=")</f>
        <v>#REF!</v>
      </c>
      <c r="T154" t="e">
        <f>AND(#REF!,"AAAAAC7S/xM=")</f>
        <v>#REF!</v>
      </c>
      <c r="U154" t="e">
        <f>AND(#REF!,"AAAAAC7S/xQ=")</f>
        <v>#REF!</v>
      </c>
      <c r="V154" t="e">
        <f>AND(#REF!,"AAAAAC7S/xU=")</f>
        <v>#REF!</v>
      </c>
      <c r="W154" t="e">
        <f>AND(#REF!,"AAAAAC7S/xY=")</f>
        <v>#REF!</v>
      </c>
      <c r="X154" t="e">
        <f>AND(#REF!,"AAAAAC7S/xc=")</f>
        <v>#REF!</v>
      </c>
      <c r="Y154" t="e">
        <f>AND(#REF!,"AAAAAC7S/xg=")</f>
        <v>#REF!</v>
      </c>
      <c r="Z154" t="e">
        <f>AND(#REF!,"AAAAAC7S/xk=")</f>
        <v>#REF!</v>
      </c>
      <c r="AA154" t="e">
        <f>AND(#REF!,"AAAAAC7S/xo=")</f>
        <v>#REF!</v>
      </c>
      <c r="AB154" t="e">
        <f>AND(#REF!,"AAAAAC7S/xs=")</f>
        <v>#REF!</v>
      </c>
      <c r="AC154" t="e">
        <f>AND(#REF!,"AAAAAC7S/xw=")</f>
        <v>#REF!</v>
      </c>
      <c r="AD154" t="e">
        <f>AND(#REF!,"AAAAAC7S/x0=")</f>
        <v>#REF!</v>
      </c>
      <c r="AE154" t="e">
        <f>AND(#REF!,"AAAAAC7S/x4=")</f>
        <v>#REF!</v>
      </c>
      <c r="AF154" t="e">
        <f>AND(#REF!,"AAAAAC7S/x8=")</f>
        <v>#REF!</v>
      </c>
      <c r="AG154" t="e">
        <f>AND(#REF!,"AAAAAC7S/yA=")</f>
        <v>#REF!</v>
      </c>
      <c r="AH154" t="e">
        <f>AND(#REF!,"AAAAAC7S/yE=")</f>
        <v>#REF!</v>
      </c>
      <c r="AI154" t="e">
        <f>AND(#REF!,"AAAAAC7S/yI=")</f>
        <v>#REF!</v>
      </c>
      <c r="AJ154" t="e">
        <f>AND(#REF!,"AAAAAC7S/yM=")</f>
        <v>#REF!</v>
      </c>
      <c r="AK154" t="e">
        <f>AND(#REF!,"AAAAAC7S/yQ=")</f>
        <v>#REF!</v>
      </c>
      <c r="AL154" t="e">
        <f>AND(#REF!,"AAAAAC7S/yU=")</f>
        <v>#REF!</v>
      </c>
      <c r="AM154" t="e">
        <f>AND(#REF!,"AAAAAC7S/yY=")</f>
        <v>#REF!</v>
      </c>
      <c r="AN154" t="e">
        <f>AND(#REF!,"AAAAAC7S/yc=")</f>
        <v>#REF!</v>
      </c>
      <c r="AO154" t="e">
        <f>AND(#REF!,"AAAAAC7S/yg=")</f>
        <v>#REF!</v>
      </c>
      <c r="AP154" t="e">
        <f>AND(#REF!,"AAAAAC7S/yk=")</f>
        <v>#REF!</v>
      </c>
      <c r="AQ154" t="e">
        <f>IF(#REF!,"AAAAAC7S/yo=",0)</f>
        <v>#REF!</v>
      </c>
      <c r="AR154" t="e">
        <f>AND(#REF!,"AAAAAC7S/ys=")</f>
        <v>#REF!</v>
      </c>
      <c r="AS154" t="e">
        <f>AND(#REF!,"AAAAAC7S/yw=")</f>
        <v>#REF!</v>
      </c>
      <c r="AT154" t="e">
        <f>AND(#REF!,"AAAAAC7S/y0=")</f>
        <v>#REF!</v>
      </c>
      <c r="AU154" t="e">
        <f>AND(#REF!,"AAAAAC7S/y4=")</f>
        <v>#REF!</v>
      </c>
      <c r="AV154" t="e">
        <f>AND(#REF!,"AAAAAC7S/y8=")</f>
        <v>#REF!</v>
      </c>
      <c r="AW154" t="e">
        <f>AND(#REF!,"AAAAAC7S/zA=")</f>
        <v>#REF!</v>
      </c>
      <c r="AX154" t="e">
        <f>AND(#REF!,"AAAAAC7S/zE=")</f>
        <v>#REF!</v>
      </c>
      <c r="AY154" t="e">
        <f>AND(#REF!,"AAAAAC7S/zI=")</f>
        <v>#REF!</v>
      </c>
      <c r="AZ154" t="e">
        <f>AND(#REF!,"AAAAAC7S/zM=")</f>
        <v>#REF!</v>
      </c>
      <c r="BA154" t="e">
        <f>AND(#REF!,"AAAAAC7S/zQ=")</f>
        <v>#REF!</v>
      </c>
      <c r="BB154" t="e">
        <f>AND(#REF!,"AAAAAC7S/zU=")</f>
        <v>#REF!</v>
      </c>
      <c r="BC154" t="e">
        <f>AND(#REF!,"AAAAAC7S/zY=")</f>
        <v>#REF!</v>
      </c>
      <c r="BD154" t="e">
        <f>AND(#REF!,"AAAAAC7S/zc=")</f>
        <v>#REF!</v>
      </c>
      <c r="BE154" t="e">
        <f>AND(#REF!,"AAAAAC7S/zg=")</f>
        <v>#REF!</v>
      </c>
      <c r="BF154" t="e">
        <f>AND(#REF!,"AAAAAC7S/zk=")</f>
        <v>#REF!</v>
      </c>
      <c r="BG154" t="e">
        <f>AND(#REF!,"AAAAAC7S/zo=")</f>
        <v>#REF!</v>
      </c>
      <c r="BH154" t="e">
        <f>AND(#REF!,"AAAAAC7S/zs=")</f>
        <v>#REF!</v>
      </c>
      <c r="BI154" t="e">
        <f>AND(#REF!,"AAAAAC7S/zw=")</f>
        <v>#REF!</v>
      </c>
      <c r="BJ154" t="e">
        <f>AND(#REF!,"AAAAAC7S/z0=")</f>
        <v>#REF!</v>
      </c>
      <c r="BK154" t="e">
        <f>AND(#REF!,"AAAAAC7S/z4=")</f>
        <v>#REF!</v>
      </c>
      <c r="BL154" t="e">
        <f>AND(#REF!,"AAAAAC7S/z8=")</f>
        <v>#REF!</v>
      </c>
      <c r="BM154" t="e">
        <f>AND(#REF!,"AAAAAC7S/0A=")</f>
        <v>#REF!</v>
      </c>
      <c r="BN154" t="e">
        <f>AND(#REF!,"AAAAAC7S/0E=")</f>
        <v>#REF!</v>
      </c>
      <c r="BO154" t="e">
        <f>AND(#REF!,"AAAAAC7S/0I=")</f>
        <v>#REF!</v>
      </c>
      <c r="BP154" t="e">
        <f>IF(#REF!,"AAAAAC7S/0M=",0)</f>
        <v>#REF!</v>
      </c>
      <c r="BQ154" t="e">
        <f>AND(#REF!,"AAAAAC7S/0Q=")</f>
        <v>#REF!</v>
      </c>
      <c r="BR154" t="e">
        <f>AND(#REF!,"AAAAAC7S/0U=")</f>
        <v>#REF!</v>
      </c>
      <c r="BS154" t="e">
        <f>AND(#REF!,"AAAAAC7S/0Y=")</f>
        <v>#REF!</v>
      </c>
      <c r="BT154" t="e">
        <f>AND(#REF!,"AAAAAC7S/0c=")</f>
        <v>#REF!</v>
      </c>
      <c r="BU154" t="e">
        <f>AND(#REF!,"AAAAAC7S/0g=")</f>
        <v>#REF!</v>
      </c>
      <c r="BV154" t="e">
        <f>AND(#REF!,"AAAAAC7S/0k=")</f>
        <v>#REF!</v>
      </c>
      <c r="BW154" t="e">
        <f>AND(#REF!,"AAAAAC7S/0o=")</f>
        <v>#REF!</v>
      </c>
      <c r="BX154" t="e">
        <f>AND(#REF!,"AAAAAC7S/0s=")</f>
        <v>#REF!</v>
      </c>
      <c r="BY154" t="e">
        <f>AND(#REF!,"AAAAAC7S/0w=")</f>
        <v>#REF!</v>
      </c>
      <c r="BZ154" t="e">
        <f>AND(#REF!,"AAAAAC7S/00=")</f>
        <v>#REF!</v>
      </c>
      <c r="CA154" t="e">
        <f>AND(#REF!,"AAAAAC7S/04=")</f>
        <v>#REF!</v>
      </c>
      <c r="CB154" t="e">
        <f>AND(#REF!,"AAAAAC7S/08=")</f>
        <v>#REF!</v>
      </c>
      <c r="CC154" t="e">
        <f>AND(#REF!,"AAAAAC7S/1A=")</f>
        <v>#REF!</v>
      </c>
      <c r="CD154" t="e">
        <f>AND(#REF!,"AAAAAC7S/1E=")</f>
        <v>#REF!</v>
      </c>
      <c r="CE154" t="e">
        <f>AND(#REF!,"AAAAAC7S/1I=")</f>
        <v>#REF!</v>
      </c>
      <c r="CF154" t="e">
        <f>AND(#REF!,"AAAAAC7S/1M=")</f>
        <v>#REF!</v>
      </c>
      <c r="CG154" t="e">
        <f>AND(#REF!,"AAAAAC7S/1Q=")</f>
        <v>#REF!</v>
      </c>
      <c r="CH154" t="e">
        <f>AND(#REF!,"AAAAAC7S/1U=")</f>
        <v>#REF!</v>
      </c>
      <c r="CI154" t="e">
        <f>AND(#REF!,"AAAAAC7S/1Y=")</f>
        <v>#REF!</v>
      </c>
      <c r="CJ154" t="e">
        <f>AND(#REF!,"AAAAAC7S/1c=")</f>
        <v>#REF!</v>
      </c>
      <c r="CK154" t="e">
        <f>AND(#REF!,"AAAAAC7S/1g=")</f>
        <v>#REF!</v>
      </c>
      <c r="CL154" t="e">
        <f>AND(#REF!,"AAAAAC7S/1k=")</f>
        <v>#REF!</v>
      </c>
      <c r="CM154" t="e">
        <f>AND(#REF!,"AAAAAC7S/1o=")</f>
        <v>#REF!</v>
      </c>
      <c r="CN154" t="e">
        <f>AND(#REF!,"AAAAAC7S/1s=")</f>
        <v>#REF!</v>
      </c>
      <c r="CO154" t="e">
        <f>IF(#REF!,"AAAAAC7S/1w=",0)</f>
        <v>#REF!</v>
      </c>
      <c r="CP154" t="e">
        <f>AND(#REF!,"AAAAAC7S/10=")</f>
        <v>#REF!</v>
      </c>
      <c r="CQ154" t="e">
        <f>AND(#REF!,"AAAAAC7S/14=")</f>
        <v>#REF!</v>
      </c>
      <c r="CR154" t="e">
        <f>AND(#REF!,"AAAAAC7S/18=")</f>
        <v>#REF!</v>
      </c>
      <c r="CS154" t="e">
        <f>AND(#REF!,"AAAAAC7S/2A=")</f>
        <v>#REF!</v>
      </c>
      <c r="CT154" t="e">
        <f>AND(#REF!,"AAAAAC7S/2E=")</f>
        <v>#REF!</v>
      </c>
      <c r="CU154" t="e">
        <f>AND(#REF!,"AAAAAC7S/2I=")</f>
        <v>#REF!</v>
      </c>
      <c r="CV154" t="e">
        <f>AND(#REF!,"AAAAAC7S/2M=")</f>
        <v>#REF!</v>
      </c>
      <c r="CW154" t="e">
        <f>AND(#REF!,"AAAAAC7S/2Q=")</f>
        <v>#REF!</v>
      </c>
      <c r="CX154" t="e">
        <f>AND(#REF!,"AAAAAC7S/2U=")</f>
        <v>#REF!</v>
      </c>
      <c r="CY154" t="e">
        <f>AND(#REF!,"AAAAAC7S/2Y=")</f>
        <v>#REF!</v>
      </c>
      <c r="CZ154" t="e">
        <f>AND(#REF!,"AAAAAC7S/2c=")</f>
        <v>#REF!</v>
      </c>
      <c r="DA154" t="e">
        <f>AND(#REF!,"AAAAAC7S/2g=")</f>
        <v>#REF!</v>
      </c>
      <c r="DB154" t="e">
        <f>AND(#REF!,"AAAAAC7S/2k=")</f>
        <v>#REF!</v>
      </c>
      <c r="DC154" t="e">
        <f>AND(#REF!,"AAAAAC7S/2o=")</f>
        <v>#REF!</v>
      </c>
      <c r="DD154" t="e">
        <f>AND(#REF!,"AAAAAC7S/2s=")</f>
        <v>#REF!</v>
      </c>
      <c r="DE154" t="e">
        <f>AND(#REF!,"AAAAAC7S/2w=")</f>
        <v>#REF!</v>
      </c>
      <c r="DF154" t="e">
        <f>AND(#REF!,"AAAAAC7S/20=")</f>
        <v>#REF!</v>
      </c>
      <c r="DG154" t="e">
        <f>AND(#REF!,"AAAAAC7S/24=")</f>
        <v>#REF!</v>
      </c>
      <c r="DH154" t="e">
        <f>AND(#REF!,"AAAAAC7S/28=")</f>
        <v>#REF!</v>
      </c>
      <c r="DI154" t="e">
        <f>AND(#REF!,"AAAAAC7S/3A=")</f>
        <v>#REF!</v>
      </c>
      <c r="DJ154" t="e">
        <f>AND(#REF!,"AAAAAC7S/3E=")</f>
        <v>#REF!</v>
      </c>
      <c r="DK154" t="e">
        <f>AND(#REF!,"AAAAAC7S/3I=")</f>
        <v>#REF!</v>
      </c>
      <c r="DL154" t="e">
        <f>AND(#REF!,"AAAAAC7S/3M=")</f>
        <v>#REF!</v>
      </c>
      <c r="DM154" t="e">
        <f>AND(#REF!,"AAAAAC7S/3Q=")</f>
        <v>#REF!</v>
      </c>
      <c r="DN154" t="e">
        <f>IF(#REF!,"AAAAAC7S/3U=",0)</f>
        <v>#REF!</v>
      </c>
      <c r="DO154" t="e">
        <f>AND(#REF!,"AAAAAC7S/3Y=")</f>
        <v>#REF!</v>
      </c>
      <c r="DP154" t="e">
        <f>AND(#REF!,"AAAAAC7S/3c=")</f>
        <v>#REF!</v>
      </c>
      <c r="DQ154" t="e">
        <f>AND(#REF!,"AAAAAC7S/3g=")</f>
        <v>#REF!</v>
      </c>
      <c r="DR154" t="e">
        <f>AND(#REF!,"AAAAAC7S/3k=")</f>
        <v>#REF!</v>
      </c>
      <c r="DS154" t="e">
        <f>AND(#REF!,"AAAAAC7S/3o=")</f>
        <v>#REF!</v>
      </c>
      <c r="DT154" t="e">
        <f>AND(#REF!,"AAAAAC7S/3s=")</f>
        <v>#REF!</v>
      </c>
      <c r="DU154" t="e">
        <f>AND(#REF!,"AAAAAC7S/3w=")</f>
        <v>#REF!</v>
      </c>
      <c r="DV154" t="e">
        <f>AND(#REF!,"AAAAAC7S/30=")</f>
        <v>#REF!</v>
      </c>
      <c r="DW154" t="e">
        <f>AND(#REF!,"AAAAAC7S/34=")</f>
        <v>#REF!</v>
      </c>
      <c r="DX154" t="e">
        <f>AND(#REF!,"AAAAAC7S/38=")</f>
        <v>#REF!</v>
      </c>
      <c r="DY154" t="e">
        <f>AND(#REF!,"AAAAAC7S/4A=")</f>
        <v>#REF!</v>
      </c>
      <c r="DZ154" t="e">
        <f>AND(#REF!,"AAAAAC7S/4E=")</f>
        <v>#REF!</v>
      </c>
      <c r="EA154" t="e">
        <f>AND(#REF!,"AAAAAC7S/4I=")</f>
        <v>#REF!</v>
      </c>
      <c r="EB154" t="e">
        <f>AND(#REF!,"AAAAAC7S/4M=")</f>
        <v>#REF!</v>
      </c>
      <c r="EC154" t="e">
        <f>AND(#REF!,"AAAAAC7S/4Q=")</f>
        <v>#REF!</v>
      </c>
      <c r="ED154" t="e">
        <f>AND(#REF!,"AAAAAC7S/4U=")</f>
        <v>#REF!</v>
      </c>
      <c r="EE154" t="e">
        <f>AND(#REF!,"AAAAAC7S/4Y=")</f>
        <v>#REF!</v>
      </c>
      <c r="EF154" t="e">
        <f>AND(#REF!,"AAAAAC7S/4c=")</f>
        <v>#REF!</v>
      </c>
      <c r="EG154" t="e">
        <f>AND(#REF!,"AAAAAC7S/4g=")</f>
        <v>#REF!</v>
      </c>
      <c r="EH154" t="e">
        <f>AND(#REF!,"AAAAAC7S/4k=")</f>
        <v>#REF!</v>
      </c>
      <c r="EI154" t="e">
        <f>AND(#REF!,"AAAAAC7S/4o=")</f>
        <v>#REF!</v>
      </c>
      <c r="EJ154" t="e">
        <f>AND(#REF!,"AAAAAC7S/4s=")</f>
        <v>#REF!</v>
      </c>
      <c r="EK154" t="e">
        <f>AND(#REF!,"AAAAAC7S/4w=")</f>
        <v>#REF!</v>
      </c>
      <c r="EL154" t="e">
        <f>AND(#REF!,"AAAAAC7S/40=")</f>
        <v>#REF!</v>
      </c>
      <c r="EM154" t="e">
        <f>IF(#REF!,"AAAAAC7S/44=",0)</f>
        <v>#REF!</v>
      </c>
      <c r="EN154" t="e">
        <f>AND(#REF!,"AAAAAC7S/48=")</f>
        <v>#REF!</v>
      </c>
      <c r="EO154" t="e">
        <f>AND(#REF!,"AAAAAC7S/5A=")</f>
        <v>#REF!</v>
      </c>
      <c r="EP154" t="e">
        <f>AND(#REF!,"AAAAAC7S/5E=")</f>
        <v>#REF!</v>
      </c>
      <c r="EQ154" t="e">
        <f>AND(#REF!,"AAAAAC7S/5I=")</f>
        <v>#REF!</v>
      </c>
      <c r="ER154" t="e">
        <f>AND(#REF!,"AAAAAC7S/5M=")</f>
        <v>#REF!</v>
      </c>
      <c r="ES154" t="e">
        <f>AND(#REF!,"AAAAAC7S/5Q=")</f>
        <v>#REF!</v>
      </c>
      <c r="ET154" t="e">
        <f>AND(#REF!,"AAAAAC7S/5U=")</f>
        <v>#REF!</v>
      </c>
      <c r="EU154" t="e">
        <f>AND(#REF!,"AAAAAC7S/5Y=")</f>
        <v>#REF!</v>
      </c>
      <c r="EV154" t="e">
        <f>AND(#REF!,"AAAAAC7S/5c=")</f>
        <v>#REF!</v>
      </c>
      <c r="EW154" t="e">
        <f>AND(#REF!,"AAAAAC7S/5g=")</f>
        <v>#REF!</v>
      </c>
      <c r="EX154" t="e">
        <f>AND(#REF!,"AAAAAC7S/5k=")</f>
        <v>#REF!</v>
      </c>
      <c r="EY154" t="e">
        <f>AND(#REF!,"AAAAAC7S/5o=")</f>
        <v>#REF!</v>
      </c>
      <c r="EZ154" t="e">
        <f>AND(#REF!,"AAAAAC7S/5s=")</f>
        <v>#REF!</v>
      </c>
      <c r="FA154" t="e">
        <f>AND(#REF!,"AAAAAC7S/5w=")</f>
        <v>#REF!</v>
      </c>
      <c r="FB154" t="e">
        <f>AND(#REF!,"AAAAAC7S/50=")</f>
        <v>#REF!</v>
      </c>
      <c r="FC154" t="e">
        <f>AND(#REF!,"AAAAAC7S/54=")</f>
        <v>#REF!</v>
      </c>
      <c r="FD154" t="e">
        <f>AND(#REF!,"AAAAAC7S/58=")</f>
        <v>#REF!</v>
      </c>
      <c r="FE154" t="e">
        <f>AND(#REF!,"AAAAAC7S/6A=")</f>
        <v>#REF!</v>
      </c>
      <c r="FF154" t="e">
        <f>AND(#REF!,"AAAAAC7S/6E=")</f>
        <v>#REF!</v>
      </c>
      <c r="FG154" t="e">
        <f>AND(#REF!,"AAAAAC7S/6I=")</f>
        <v>#REF!</v>
      </c>
      <c r="FH154" t="e">
        <f>AND(#REF!,"AAAAAC7S/6M=")</f>
        <v>#REF!</v>
      </c>
      <c r="FI154" t="e">
        <f>AND(#REF!,"AAAAAC7S/6Q=")</f>
        <v>#REF!</v>
      </c>
      <c r="FJ154" t="e">
        <f>AND(#REF!,"AAAAAC7S/6U=")</f>
        <v>#REF!</v>
      </c>
      <c r="FK154" t="e">
        <f>AND(#REF!,"AAAAAC7S/6Y=")</f>
        <v>#REF!</v>
      </c>
      <c r="FL154" t="e">
        <f>IF(#REF!,"AAAAAC7S/6c=",0)</f>
        <v>#REF!</v>
      </c>
      <c r="FM154" t="e">
        <f>AND(#REF!,"AAAAAC7S/6g=")</f>
        <v>#REF!</v>
      </c>
      <c r="FN154" t="e">
        <f>AND(#REF!,"AAAAAC7S/6k=")</f>
        <v>#REF!</v>
      </c>
      <c r="FO154" t="e">
        <f>AND(#REF!,"AAAAAC7S/6o=")</f>
        <v>#REF!</v>
      </c>
      <c r="FP154" t="e">
        <f>AND(#REF!,"AAAAAC7S/6s=")</f>
        <v>#REF!</v>
      </c>
      <c r="FQ154" t="e">
        <f>AND(#REF!,"AAAAAC7S/6w=")</f>
        <v>#REF!</v>
      </c>
      <c r="FR154" t="e">
        <f>AND(#REF!,"AAAAAC7S/60=")</f>
        <v>#REF!</v>
      </c>
      <c r="FS154" t="e">
        <f>AND(#REF!,"AAAAAC7S/64=")</f>
        <v>#REF!</v>
      </c>
      <c r="FT154" t="e">
        <f>AND(#REF!,"AAAAAC7S/68=")</f>
        <v>#REF!</v>
      </c>
      <c r="FU154" t="e">
        <f>AND(#REF!,"AAAAAC7S/7A=")</f>
        <v>#REF!</v>
      </c>
      <c r="FV154" t="e">
        <f>AND(#REF!,"AAAAAC7S/7E=")</f>
        <v>#REF!</v>
      </c>
      <c r="FW154" t="e">
        <f>AND(#REF!,"AAAAAC7S/7I=")</f>
        <v>#REF!</v>
      </c>
      <c r="FX154" t="e">
        <f>AND(#REF!,"AAAAAC7S/7M=")</f>
        <v>#REF!</v>
      </c>
      <c r="FY154" t="e">
        <f>AND(#REF!,"AAAAAC7S/7Q=")</f>
        <v>#REF!</v>
      </c>
      <c r="FZ154" t="e">
        <f>AND(#REF!,"AAAAAC7S/7U=")</f>
        <v>#REF!</v>
      </c>
      <c r="GA154" t="e">
        <f>AND(#REF!,"AAAAAC7S/7Y=")</f>
        <v>#REF!</v>
      </c>
      <c r="GB154" t="e">
        <f>AND(#REF!,"AAAAAC7S/7c=")</f>
        <v>#REF!</v>
      </c>
      <c r="GC154" t="e">
        <f>AND(#REF!,"AAAAAC7S/7g=")</f>
        <v>#REF!</v>
      </c>
      <c r="GD154" t="e">
        <f>AND(#REF!,"AAAAAC7S/7k=")</f>
        <v>#REF!</v>
      </c>
      <c r="GE154" t="e">
        <f>AND(#REF!,"AAAAAC7S/7o=")</f>
        <v>#REF!</v>
      </c>
      <c r="GF154" t="e">
        <f>AND(#REF!,"AAAAAC7S/7s=")</f>
        <v>#REF!</v>
      </c>
      <c r="GG154" t="e">
        <f>AND(#REF!,"AAAAAC7S/7w=")</f>
        <v>#REF!</v>
      </c>
      <c r="GH154" t="e">
        <f>AND(#REF!,"AAAAAC7S/70=")</f>
        <v>#REF!</v>
      </c>
      <c r="GI154" t="e">
        <f>AND(#REF!,"AAAAAC7S/74=")</f>
        <v>#REF!</v>
      </c>
      <c r="GJ154" t="e">
        <f>AND(#REF!,"AAAAAC7S/78=")</f>
        <v>#REF!</v>
      </c>
      <c r="GK154" t="e">
        <f>IF(#REF!,"AAAAAC7S/8A=",0)</f>
        <v>#REF!</v>
      </c>
      <c r="GL154" t="e">
        <f>AND(#REF!,"AAAAAC7S/8E=")</f>
        <v>#REF!</v>
      </c>
      <c r="GM154" t="e">
        <f>AND(#REF!,"AAAAAC7S/8I=")</f>
        <v>#REF!</v>
      </c>
      <c r="GN154" t="e">
        <f>AND(#REF!,"AAAAAC7S/8M=")</f>
        <v>#REF!</v>
      </c>
      <c r="GO154" t="e">
        <f>AND(#REF!,"AAAAAC7S/8Q=")</f>
        <v>#REF!</v>
      </c>
      <c r="GP154" t="e">
        <f>AND(#REF!,"AAAAAC7S/8U=")</f>
        <v>#REF!</v>
      </c>
      <c r="GQ154" t="e">
        <f>AND(#REF!,"AAAAAC7S/8Y=")</f>
        <v>#REF!</v>
      </c>
      <c r="GR154" t="e">
        <f>AND(#REF!,"AAAAAC7S/8c=")</f>
        <v>#REF!</v>
      </c>
      <c r="GS154" t="e">
        <f>AND(#REF!,"AAAAAC7S/8g=")</f>
        <v>#REF!</v>
      </c>
      <c r="GT154" t="e">
        <f>AND(#REF!,"AAAAAC7S/8k=")</f>
        <v>#REF!</v>
      </c>
      <c r="GU154" t="e">
        <f>AND(#REF!,"AAAAAC7S/8o=")</f>
        <v>#REF!</v>
      </c>
      <c r="GV154" t="e">
        <f>AND(#REF!,"AAAAAC7S/8s=")</f>
        <v>#REF!</v>
      </c>
      <c r="GW154" t="e">
        <f>AND(#REF!,"AAAAAC7S/8w=")</f>
        <v>#REF!</v>
      </c>
      <c r="GX154" t="e">
        <f>AND(#REF!,"AAAAAC7S/80=")</f>
        <v>#REF!</v>
      </c>
      <c r="GY154" t="e">
        <f>AND(#REF!,"AAAAAC7S/84=")</f>
        <v>#REF!</v>
      </c>
      <c r="GZ154" t="e">
        <f>AND(#REF!,"AAAAAC7S/88=")</f>
        <v>#REF!</v>
      </c>
      <c r="HA154" t="e">
        <f>AND(#REF!,"AAAAAC7S/9A=")</f>
        <v>#REF!</v>
      </c>
      <c r="HB154" t="e">
        <f>AND(#REF!,"AAAAAC7S/9E=")</f>
        <v>#REF!</v>
      </c>
      <c r="HC154" t="e">
        <f>AND(#REF!,"AAAAAC7S/9I=")</f>
        <v>#REF!</v>
      </c>
      <c r="HD154" t="e">
        <f>AND(#REF!,"AAAAAC7S/9M=")</f>
        <v>#REF!</v>
      </c>
      <c r="HE154" t="e">
        <f>AND(#REF!,"AAAAAC7S/9Q=")</f>
        <v>#REF!</v>
      </c>
      <c r="HF154" t="e">
        <f>AND(#REF!,"AAAAAC7S/9U=")</f>
        <v>#REF!</v>
      </c>
      <c r="HG154" t="e">
        <f>AND(#REF!,"AAAAAC7S/9Y=")</f>
        <v>#REF!</v>
      </c>
      <c r="HH154" t="e">
        <f>AND(#REF!,"AAAAAC7S/9c=")</f>
        <v>#REF!</v>
      </c>
      <c r="HI154" t="e">
        <f>AND(#REF!,"AAAAAC7S/9g=")</f>
        <v>#REF!</v>
      </c>
      <c r="HJ154" t="e">
        <f>IF(#REF!,"AAAAAC7S/9k=",0)</f>
        <v>#REF!</v>
      </c>
      <c r="HK154" t="e">
        <f>AND(#REF!,"AAAAAC7S/9o=")</f>
        <v>#REF!</v>
      </c>
      <c r="HL154" t="e">
        <f>AND(#REF!,"AAAAAC7S/9s=")</f>
        <v>#REF!</v>
      </c>
      <c r="HM154" t="e">
        <f>AND(#REF!,"AAAAAC7S/9w=")</f>
        <v>#REF!</v>
      </c>
      <c r="HN154" t="e">
        <f>AND(#REF!,"AAAAAC7S/90=")</f>
        <v>#REF!</v>
      </c>
      <c r="HO154" t="e">
        <f>AND(#REF!,"AAAAAC7S/94=")</f>
        <v>#REF!</v>
      </c>
      <c r="HP154" t="e">
        <f>AND(#REF!,"AAAAAC7S/98=")</f>
        <v>#REF!</v>
      </c>
      <c r="HQ154" t="e">
        <f>AND(#REF!,"AAAAAC7S/+A=")</f>
        <v>#REF!</v>
      </c>
      <c r="HR154" t="e">
        <f>AND(#REF!,"AAAAAC7S/+E=")</f>
        <v>#REF!</v>
      </c>
      <c r="HS154" t="e">
        <f>AND(#REF!,"AAAAAC7S/+I=")</f>
        <v>#REF!</v>
      </c>
      <c r="HT154" t="e">
        <f>AND(#REF!,"AAAAAC7S/+M=")</f>
        <v>#REF!</v>
      </c>
      <c r="HU154" t="e">
        <f>AND(#REF!,"AAAAAC7S/+Q=")</f>
        <v>#REF!</v>
      </c>
      <c r="HV154" t="e">
        <f>AND(#REF!,"AAAAAC7S/+U=")</f>
        <v>#REF!</v>
      </c>
      <c r="HW154" t="e">
        <f>AND(#REF!,"AAAAAC7S/+Y=")</f>
        <v>#REF!</v>
      </c>
      <c r="HX154" t="e">
        <f>AND(#REF!,"AAAAAC7S/+c=")</f>
        <v>#REF!</v>
      </c>
      <c r="HY154" t="e">
        <f>AND(#REF!,"AAAAAC7S/+g=")</f>
        <v>#REF!</v>
      </c>
      <c r="HZ154" t="e">
        <f>AND(#REF!,"AAAAAC7S/+k=")</f>
        <v>#REF!</v>
      </c>
      <c r="IA154" t="e">
        <f>AND(#REF!,"AAAAAC7S/+o=")</f>
        <v>#REF!</v>
      </c>
      <c r="IB154" t="e">
        <f>AND(#REF!,"AAAAAC7S/+s=")</f>
        <v>#REF!</v>
      </c>
      <c r="IC154" t="e">
        <f>AND(#REF!,"AAAAAC7S/+w=")</f>
        <v>#REF!</v>
      </c>
      <c r="ID154" t="e">
        <f>AND(#REF!,"AAAAAC7S/+0=")</f>
        <v>#REF!</v>
      </c>
      <c r="IE154" t="e">
        <f>AND(#REF!,"AAAAAC7S/+4=")</f>
        <v>#REF!</v>
      </c>
      <c r="IF154" t="e">
        <f>AND(#REF!,"AAAAAC7S/+8=")</f>
        <v>#REF!</v>
      </c>
      <c r="IG154" t="e">
        <f>AND(#REF!,"AAAAAC7S//A=")</f>
        <v>#REF!</v>
      </c>
      <c r="IH154" t="e">
        <f>AND(#REF!,"AAAAAC7S//E=")</f>
        <v>#REF!</v>
      </c>
      <c r="II154" t="e">
        <f>IF(#REF!,"AAAAAC7S//I=",0)</f>
        <v>#REF!</v>
      </c>
      <c r="IJ154" t="e">
        <f>AND(#REF!,"AAAAAC7S//M=")</f>
        <v>#REF!</v>
      </c>
      <c r="IK154" t="e">
        <f>AND(#REF!,"AAAAAC7S//Q=")</f>
        <v>#REF!</v>
      </c>
      <c r="IL154" t="e">
        <f>AND(#REF!,"AAAAAC7S//U=")</f>
        <v>#REF!</v>
      </c>
      <c r="IM154" t="e">
        <f>AND(#REF!,"AAAAAC7S//Y=")</f>
        <v>#REF!</v>
      </c>
      <c r="IN154" t="e">
        <f>AND(#REF!,"AAAAAC7S//c=")</f>
        <v>#REF!</v>
      </c>
      <c r="IO154" t="e">
        <f>AND(#REF!,"AAAAAC7S//g=")</f>
        <v>#REF!</v>
      </c>
      <c r="IP154" t="e">
        <f>AND(#REF!,"AAAAAC7S//k=")</f>
        <v>#REF!</v>
      </c>
      <c r="IQ154" t="e">
        <f>AND(#REF!,"AAAAAC7S//o=")</f>
        <v>#REF!</v>
      </c>
      <c r="IR154" t="e">
        <f>AND(#REF!,"AAAAAC7S//s=")</f>
        <v>#REF!</v>
      </c>
      <c r="IS154" t="e">
        <f>AND(#REF!,"AAAAAC7S//w=")</f>
        <v>#REF!</v>
      </c>
      <c r="IT154" t="e">
        <f>AND(#REF!,"AAAAAC7S//0=")</f>
        <v>#REF!</v>
      </c>
      <c r="IU154" t="e">
        <f>AND(#REF!,"AAAAAC7S//4=")</f>
        <v>#REF!</v>
      </c>
      <c r="IV154" t="e">
        <f>AND(#REF!,"AAAAAC7S//8=")</f>
        <v>#REF!</v>
      </c>
    </row>
    <row r="155" spans="1:256">
      <c r="A155" t="e">
        <f>AND(#REF!,"AAAAAH//vwA=")</f>
        <v>#REF!</v>
      </c>
      <c r="B155" t="e">
        <f>AND(#REF!,"AAAAAH//vwE=")</f>
        <v>#REF!</v>
      </c>
      <c r="C155" t="e">
        <f>AND(#REF!,"AAAAAH//vwI=")</f>
        <v>#REF!</v>
      </c>
      <c r="D155" t="e">
        <f>AND(#REF!,"AAAAAH//vwM=")</f>
        <v>#REF!</v>
      </c>
      <c r="E155" t="e">
        <f>AND(#REF!,"AAAAAH//vwQ=")</f>
        <v>#REF!</v>
      </c>
      <c r="F155" t="e">
        <f>AND(#REF!,"AAAAAH//vwU=")</f>
        <v>#REF!</v>
      </c>
      <c r="G155" t="e">
        <f>AND(#REF!,"AAAAAH//vwY=")</f>
        <v>#REF!</v>
      </c>
      <c r="H155" t="e">
        <f>AND(#REF!,"AAAAAH//vwc=")</f>
        <v>#REF!</v>
      </c>
      <c r="I155" t="e">
        <f>AND(#REF!,"AAAAAH//vwg=")</f>
        <v>#REF!</v>
      </c>
      <c r="J155" t="e">
        <f>AND(#REF!,"AAAAAH//vwk=")</f>
        <v>#REF!</v>
      </c>
      <c r="K155" t="e">
        <f>AND(#REF!,"AAAAAH//vwo=")</f>
        <v>#REF!</v>
      </c>
      <c r="L155" t="e">
        <f>IF(#REF!,"AAAAAH//vws=",0)</f>
        <v>#REF!</v>
      </c>
      <c r="M155" t="e">
        <f>AND(#REF!,"AAAAAH//vww=")</f>
        <v>#REF!</v>
      </c>
      <c r="N155" t="e">
        <f>AND(#REF!,"AAAAAH//vw0=")</f>
        <v>#REF!</v>
      </c>
      <c r="O155" t="e">
        <f>AND(#REF!,"AAAAAH//vw4=")</f>
        <v>#REF!</v>
      </c>
      <c r="P155" t="e">
        <f>AND(#REF!,"AAAAAH//vw8=")</f>
        <v>#REF!</v>
      </c>
      <c r="Q155" t="e">
        <f>AND(#REF!,"AAAAAH//vxA=")</f>
        <v>#REF!</v>
      </c>
      <c r="R155" t="e">
        <f>AND(#REF!,"AAAAAH//vxE=")</f>
        <v>#REF!</v>
      </c>
      <c r="S155" t="e">
        <f>AND(#REF!,"AAAAAH//vxI=")</f>
        <v>#REF!</v>
      </c>
      <c r="T155" t="e">
        <f>AND(#REF!,"AAAAAH//vxM=")</f>
        <v>#REF!</v>
      </c>
      <c r="U155" t="e">
        <f>AND(#REF!,"AAAAAH//vxQ=")</f>
        <v>#REF!</v>
      </c>
      <c r="V155" t="e">
        <f>AND(#REF!,"AAAAAH//vxU=")</f>
        <v>#REF!</v>
      </c>
      <c r="W155" t="e">
        <f>AND(#REF!,"AAAAAH//vxY=")</f>
        <v>#REF!</v>
      </c>
      <c r="X155" t="e">
        <f>AND(#REF!,"AAAAAH//vxc=")</f>
        <v>#REF!</v>
      </c>
      <c r="Y155" t="e">
        <f>AND(#REF!,"AAAAAH//vxg=")</f>
        <v>#REF!</v>
      </c>
      <c r="Z155" t="e">
        <f>AND(#REF!,"AAAAAH//vxk=")</f>
        <v>#REF!</v>
      </c>
      <c r="AA155" t="e">
        <f>AND(#REF!,"AAAAAH//vxo=")</f>
        <v>#REF!</v>
      </c>
      <c r="AB155" t="e">
        <f>AND(#REF!,"AAAAAH//vxs=")</f>
        <v>#REF!</v>
      </c>
      <c r="AC155" t="e">
        <f>AND(#REF!,"AAAAAH//vxw=")</f>
        <v>#REF!</v>
      </c>
      <c r="AD155" t="e">
        <f>AND(#REF!,"AAAAAH//vx0=")</f>
        <v>#REF!</v>
      </c>
      <c r="AE155" t="e">
        <f>AND(#REF!,"AAAAAH//vx4=")</f>
        <v>#REF!</v>
      </c>
      <c r="AF155" t="e">
        <f>AND(#REF!,"AAAAAH//vx8=")</f>
        <v>#REF!</v>
      </c>
      <c r="AG155" t="e">
        <f>AND(#REF!,"AAAAAH//vyA=")</f>
        <v>#REF!</v>
      </c>
      <c r="AH155" t="e">
        <f>AND(#REF!,"AAAAAH//vyE=")</f>
        <v>#REF!</v>
      </c>
      <c r="AI155" t="e">
        <f>AND(#REF!,"AAAAAH//vyI=")</f>
        <v>#REF!</v>
      </c>
      <c r="AJ155" t="e">
        <f>AND(#REF!,"AAAAAH//vyM=")</f>
        <v>#REF!</v>
      </c>
      <c r="AK155" t="e">
        <f>IF(#REF!,"AAAAAH//vyQ=",0)</f>
        <v>#REF!</v>
      </c>
      <c r="AL155" t="e">
        <f>AND(#REF!,"AAAAAH//vyU=")</f>
        <v>#REF!</v>
      </c>
      <c r="AM155" t="e">
        <f>AND(#REF!,"AAAAAH//vyY=")</f>
        <v>#REF!</v>
      </c>
      <c r="AN155" t="e">
        <f>AND(#REF!,"AAAAAH//vyc=")</f>
        <v>#REF!</v>
      </c>
      <c r="AO155" t="e">
        <f>AND(#REF!,"AAAAAH//vyg=")</f>
        <v>#REF!</v>
      </c>
      <c r="AP155" t="e">
        <f>AND(#REF!,"AAAAAH//vyk=")</f>
        <v>#REF!</v>
      </c>
      <c r="AQ155" t="e">
        <f>AND(#REF!,"AAAAAH//vyo=")</f>
        <v>#REF!</v>
      </c>
      <c r="AR155" t="e">
        <f>AND(#REF!,"AAAAAH//vys=")</f>
        <v>#REF!</v>
      </c>
      <c r="AS155" t="e">
        <f>AND(#REF!,"AAAAAH//vyw=")</f>
        <v>#REF!</v>
      </c>
      <c r="AT155" t="e">
        <f>AND(#REF!,"AAAAAH//vy0=")</f>
        <v>#REF!</v>
      </c>
      <c r="AU155" t="e">
        <f>AND(#REF!,"AAAAAH//vy4=")</f>
        <v>#REF!</v>
      </c>
      <c r="AV155" t="e">
        <f>AND(#REF!,"AAAAAH//vy8=")</f>
        <v>#REF!</v>
      </c>
      <c r="AW155" t="e">
        <f>AND(#REF!,"AAAAAH//vzA=")</f>
        <v>#REF!</v>
      </c>
      <c r="AX155" t="e">
        <f>AND(#REF!,"AAAAAH//vzE=")</f>
        <v>#REF!</v>
      </c>
      <c r="AY155" t="e">
        <f>AND(#REF!,"AAAAAH//vzI=")</f>
        <v>#REF!</v>
      </c>
      <c r="AZ155" t="e">
        <f>AND(#REF!,"AAAAAH//vzM=")</f>
        <v>#REF!</v>
      </c>
      <c r="BA155" t="e">
        <f>AND(#REF!,"AAAAAH//vzQ=")</f>
        <v>#REF!</v>
      </c>
      <c r="BB155" t="e">
        <f>AND(#REF!,"AAAAAH//vzU=")</f>
        <v>#REF!</v>
      </c>
      <c r="BC155" t="e">
        <f>AND(#REF!,"AAAAAH//vzY=")</f>
        <v>#REF!</v>
      </c>
      <c r="BD155" t="e">
        <f>AND(#REF!,"AAAAAH//vzc=")</f>
        <v>#REF!</v>
      </c>
      <c r="BE155" t="e">
        <f>AND(#REF!,"AAAAAH//vzg=")</f>
        <v>#REF!</v>
      </c>
      <c r="BF155" t="e">
        <f>AND(#REF!,"AAAAAH//vzk=")</f>
        <v>#REF!</v>
      </c>
      <c r="BG155" t="e">
        <f>AND(#REF!,"AAAAAH//vzo=")</f>
        <v>#REF!</v>
      </c>
      <c r="BH155" t="e">
        <f>AND(#REF!,"AAAAAH//vzs=")</f>
        <v>#REF!</v>
      </c>
      <c r="BI155" t="e">
        <f>AND(#REF!,"AAAAAH//vzw=")</f>
        <v>#REF!</v>
      </c>
      <c r="BJ155" t="e">
        <f>IF(#REF!,"AAAAAH//vz0=",0)</f>
        <v>#REF!</v>
      </c>
      <c r="BK155" t="e">
        <f>AND(#REF!,"AAAAAH//vz4=")</f>
        <v>#REF!</v>
      </c>
      <c r="BL155" t="e">
        <f>AND(#REF!,"AAAAAH//vz8=")</f>
        <v>#REF!</v>
      </c>
      <c r="BM155" t="e">
        <f>AND(#REF!,"AAAAAH//v0A=")</f>
        <v>#REF!</v>
      </c>
      <c r="BN155" t="e">
        <f>AND(#REF!,"AAAAAH//v0E=")</f>
        <v>#REF!</v>
      </c>
      <c r="BO155" t="e">
        <f>AND(#REF!,"AAAAAH//v0I=")</f>
        <v>#REF!</v>
      </c>
      <c r="BP155" t="e">
        <f>AND(#REF!,"AAAAAH//v0M=")</f>
        <v>#REF!</v>
      </c>
      <c r="BQ155" t="e">
        <f>AND(#REF!,"AAAAAH//v0Q=")</f>
        <v>#REF!</v>
      </c>
      <c r="BR155" t="e">
        <f>AND(#REF!,"AAAAAH//v0U=")</f>
        <v>#REF!</v>
      </c>
      <c r="BS155" t="e">
        <f>AND(#REF!,"AAAAAH//v0Y=")</f>
        <v>#REF!</v>
      </c>
      <c r="BT155" t="e">
        <f>AND(#REF!,"AAAAAH//v0c=")</f>
        <v>#REF!</v>
      </c>
      <c r="BU155" t="e">
        <f>AND(#REF!,"AAAAAH//v0g=")</f>
        <v>#REF!</v>
      </c>
      <c r="BV155" t="e">
        <f>AND(#REF!,"AAAAAH//v0k=")</f>
        <v>#REF!</v>
      </c>
      <c r="BW155" t="e">
        <f>AND(#REF!,"AAAAAH//v0o=")</f>
        <v>#REF!</v>
      </c>
      <c r="BX155" t="e">
        <f>AND(#REF!,"AAAAAH//v0s=")</f>
        <v>#REF!</v>
      </c>
      <c r="BY155" t="e">
        <f>AND(#REF!,"AAAAAH//v0w=")</f>
        <v>#REF!</v>
      </c>
      <c r="BZ155" t="e">
        <f>AND(#REF!,"AAAAAH//v00=")</f>
        <v>#REF!</v>
      </c>
      <c r="CA155" t="e">
        <f>AND(#REF!,"AAAAAH//v04=")</f>
        <v>#REF!</v>
      </c>
      <c r="CB155" t="e">
        <f>AND(#REF!,"AAAAAH//v08=")</f>
        <v>#REF!</v>
      </c>
      <c r="CC155" t="e">
        <f>AND(#REF!,"AAAAAH//v1A=")</f>
        <v>#REF!</v>
      </c>
      <c r="CD155" t="e">
        <f>AND(#REF!,"AAAAAH//v1E=")</f>
        <v>#REF!</v>
      </c>
      <c r="CE155" t="e">
        <f>AND(#REF!,"AAAAAH//v1I=")</f>
        <v>#REF!</v>
      </c>
      <c r="CF155" t="e">
        <f>AND(#REF!,"AAAAAH//v1M=")</f>
        <v>#REF!</v>
      </c>
      <c r="CG155" t="e">
        <f>AND(#REF!,"AAAAAH//v1Q=")</f>
        <v>#REF!</v>
      </c>
      <c r="CH155" t="e">
        <f>AND(#REF!,"AAAAAH//v1U=")</f>
        <v>#REF!</v>
      </c>
      <c r="CI155" t="e">
        <f>IF(#REF!,"AAAAAH//v1Y=",0)</f>
        <v>#REF!</v>
      </c>
      <c r="CJ155" t="e">
        <f>AND(#REF!,"AAAAAH//v1c=")</f>
        <v>#REF!</v>
      </c>
      <c r="CK155" t="e">
        <f>AND(#REF!,"AAAAAH//v1g=")</f>
        <v>#REF!</v>
      </c>
      <c r="CL155" t="e">
        <f>AND(#REF!,"AAAAAH//v1k=")</f>
        <v>#REF!</v>
      </c>
      <c r="CM155" t="e">
        <f>AND(#REF!,"AAAAAH//v1o=")</f>
        <v>#REF!</v>
      </c>
      <c r="CN155" t="e">
        <f>AND(#REF!,"AAAAAH//v1s=")</f>
        <v>#REF!</v>
      </c>
      <c r="CO155" t="e">
        <f>AND(#REF!,"AAAAAH//v1w=")</f>
        <v>#REF!</v>
      </c>
      <c r="CP155" t="e">
        <f>AND(#REF!,"AAAAAH//v10=")</f>
        <v>#REF!</v>
      </c>
      <c r="CQ155" t="e">
        <f>AND(#REF!,"AAAAAH//v14=")</f>
        <v>#REF!</v>
      </c>
      <c r="CR155" t="e">
        <f>AND(#REF!,"AAAAAH//v18=")</f>
        <v>#REF!</v>
      </c>
      <c r="CS155" t="e">
        <f>AND(#REF!,"AAAAAH//v2A=")</f>
        <v>#REF!</v>
      </c>
      <c r="CT155" t="e">
        <f>AND(#REF!,"AAAAAH//v2E=")</f>
        <v>#REF!</v>
      </c>
      <c r="CU155" t="e">
        <f>AND(#REF!,"AAAAAH//v2I=")</f>
        <v>#REF!</v>
      </c>
      <c r="CV155" t="e">
        <f>AND(#REF!,"AAAAAH//v2M=")</f>
        <v>#REF!</v>
      </c>
      <c r="CW155" t="e">
        <f>AND(#REF!,"AAAAAH//v2Q=")</f>
        <v>#REF!</v>
      </c>
      <c r="CX155" t="e">
        <f>AND(#REF!,"AAAAAH//v2U=")</f>
        <v>#REF!</v>
      </c>
      <c r="CY155" t="e">
        <f>AND(#REF!,"AAAAAH//v2Y=")</f>
        <v>#REF!</v>
      </c>
      <c r="CZ155" t="e">
        <f>AND(#REF!,"AAAAAH//v2c=")</f>
        <v>#REF!</v>
      </c>
      <c r="DA155" t="e">
        <f>AND(#REF!,"AAAAAH//v2g=")</f>
        <v>#REF!</v>
      </c>
      <c r="DB155" t="e">
        <f>AND(#REF!,"AAAAAH//v2k=")</f>
        <v>#REF!</v>
      </c>
      <c r="DC155" t="e">
        <f>AND(#REF!,"AAAAAH//v2o=")</f>
        <v>#REF!</v>
      </c>
      <c r="DD155" t="e">
        <f>AND(#REF!,"AAAAAH//v2s=")</f>
        <v>#REF!</v>
      </c>
      <c r="DE155" t="e">
        <f>AND(#REF!,"AAAAAH//v2w=")</f>
        <v>#REF!</v>
      </c>
      <c r="DF155" t="e">
        <f>AND(#REF!,"AAAAAH//v20=")</f>
        <v>#REF!</v>
      </c>
      <c r="DG155" t="e">
        <f>AND(#REF!,"AAAAAH//v24=")</f>
        <v>#REF!</v>
      </c>
      <c r="DH155" t="e">
        <f>IF(#REF!,"AAAAAH//v28=",0)</f>
        <v>#REF!</v>
      </c>
      <c r="DI155" t="e">
        <f>AND(#REF!,"AAAAAH//v3A=")</f>
        <v>#REF!</v>
      </c>
      <c r="DJ155" t="e">
        <f>AND(#REF!,"AAAAAH//v3E=")</f>
        <v>#REF!</v>
      </c>
      <c r="DK155" t="e">
        <f>AND(#REF!,"AAAAAH//v3I=")</f>
        <v>#REF!</v>
      </c>
      <c r="DL155" t="e">
        <f>AND(#REF!,"AAAAAH//v3M=")</f>
        <v>#REF!</v>
      </c>
      <c r="DM155" t="e">
        <f>AND(#REF!,"AAAAAH//v3Q=")</f>
        <v>#REF!</v>
      </c>
      <c r="DN155" t="e">
        <f>AND(#REF!,"AAAAAH//v3U=")</f>
        <v>#REF!</v>
      </c>
      <c r="DO155" t="e">
        <f>AND(#REF!,"AAAAAH//v3Y=")</f>
        <v>#REF!</v>
      </c>
      <c r="DP155" t="e">
        <f>AND(#REF!,"AAAAAH//v3c=")</f>
        <v>#REF!</v>
      </c>
      <c r="DQ155" t="e">
        <f>AND(#REF!,"AAAAAH//v3g=")</f>
        <v>#REF!</v>
      </c>
      <c r="DR155" t="e">
        <f>AND(#REF!,"AAAAAH//v3k=")</f>
        <v>#REF!</v>
      </c>
      <c r="DS155" t="e">
        <f>AND(#REF!,"AAAAAH//v3o=")</f>
        <v>#REF!</v>
      </c>
      <c r="DT155" t="e">
        <f>AND(#REF!,"AAAAAH//v3s=")</f>
        <v>#REF!</v>
      </c>
      <c r="DU155" t="e">
        <f>AND(#REF!,"AAAAAH//v3w=")</f>
        <v>#REF!</v>
      </c>
      <c r="DV155" t="e">
        <f>AND(#REF!,"AAAAAH//v30=")</f>
        <v>#REF!</v>
      </c>
      <c r="DW155" t="e">
        <f>AND(#REF!,"AAAAAH//v34=")</f>
        <v>#REF!</v>
      </c>
      <c r="DX155" t="e">
        <f>AND(#REF!,"AAAAAH//v38=")</f>
        <v>#REF!</v>
      </c>
      <c r="DY155" t="e">
        <f>AND(#REF!,"AAAAAH//v4A=")</f>
        <v>#REF!</v>
      </c>
      <c r="DZ155" t="e">
        <f>AND(#REF!,"AAAAAH//v4E=")</f>
        <v>#REF!</v>
      </c>
      <c r="EA155" t="e">
        <f>AND(#REF!,"AAAAAH//v4I=")</f>
        <v>#REF!</v>
      </c>
      <c r="EB155" t="e">
        <f>AND(#REF!,"AAAAAH//v4M=")</f>
        <v>#REF!</v>
      </c>
      <c r="EC155" t="e">
        <f>AND(#REF!,"AAAAAH//v4Q=")</f>
        <v>#REF!</v>
      </c>
      <c r="ED155" t="e">
        <f>AND(#REF!,"AAAAAH//v4U=")</f>
        <v>#REF!</v>
      </c>
      <c r="EE155" t="e">
        <f>AND(#REF!,"AAAAAH//v4Y=")</f>
        <v>#REF!</v>
      </c>
      <c r="EF155" t="e">
        <f>AND(#REF!,"AAAAAH//v4c=")</f>
        <v>#REF!</v>
      </c>
      <c r="EG155" t="e">
        <f>IF(#REF!,"AAAAAH//v4g=",0)</f>
        <v>#REF!</v>
      </c>
      <c r="EH155" t="e">
        <f>AND(#REF!,"AAAAAH//v4k=")</f>
        <v>#REF!</v>
      </c>
      <c r="EI155" t="e">
        <f>AND(#REF!,"AAAAAH//v4o=")</f>
        <v>#REF!</v>
      </c>
      <c r="EJ155" t="e">
        <f>AND(#REF!,"AAAAAH//v4s=")</f>
        <v>#REF!</v>
      </c>
      <c r="EK155" t="e">
        <f>AND(#REF!,"AAAAAH//v4w=")</f>
        <v>#REF!</v>
      </c>
      <c r="EL155" t="e">
        <f>AND(#REF!,"AAAAAH//v40=")</f>
        <v>#REF!</v>
      </c>
      <c r="EM155" t="e">
        <f>AND(#REF!,"AAAAAH//v44=")</f>
        <v>#REF!</v>
      </c>
      <c r="EN155" t="e">
        <f>AND(#REF!,"AAAAAH//v48=")</f>
        <v>#REF!</v>
      </c>
      <c r="EO155" t="e">
        <f>AND(#REF!,"AAAAAH//v5A=")</f>
        <v>#REF!</v>
      </c>
      <c r="EP155" t="e">
        <f>AND(#REF!,"AAAAAH//v5E=")</f>
        <v>#REF!</v>
      </c>
      <c r="EQ155" t="e">
        <f>AND(#REF!,"AAAAAH//v5I=")</f>
        <v>#REF!</v>
      </c>
      <c r="ER155" t="e">
        <f>AND(#REF!,"AAAAAH//v5M=")</f>
        <v>#REF!</v>
      </c>
      <c r="ES155" t="e">
        <f>AND(#REF!,"AAAAAH//v5Q=")</f>
        <v>#REF!</v>
      </c>
      <c r="ET155" t="e">
        <f>AND(#REF!,"AAAAAH//v5U=")</f>
        <v>#REF!</v>
      </c>
      <c r="EU155" t="e">
        <f>AND(#REF!,"AAAAAH//v5Y=")</f>
        <v>#REF!</v>
      </c>
      <c r="EV155" t="e">
        <f>AND(#REF!,"AAAAAH//v5c=")</f>
        <v>#REF!</v>
      </c>
      <c r="EW155" t="e">
        <f>AND(#REF!,"AAAAAH//v5g=")</f>
        <v>#REF!</v>
      </c>
      <c r="EX155" t="e">
        <f>AND(#REF!,"AAAAAH//v5k=")</f>
        <v>#REF!</v>
      </c>
      <c r="EY155" t="e">
        <f>AND(#REF!,"AAAAAH//v5o=")</f>
        <v>#REF!</v>
      </c>
      <c r="EZ155" t="e">
        <f>AND(#REF!,"AAAAAH//v5s=")</f>
        <v>#REF!</v>
      </c>
      <c r="FA155" t="e">
        <f>AND(#REF!,"AAAAAH//v5w=")</f>
        <v>#REF!</v>
      </c>
      <c r="FB155" t="e">
        <f>AND(#REF!,"AAAAAH//v50=")</f>
        <v>#REF!</v>
      </c>
      <c r="FC155" t="e">
        <f>AND(#REF!,"AAAAAH//v54=")</f>
        <v>#REF!</v>
      </c>
      <c r="FD155" t="e">
        <f>AND(#REF!,"AAAAAH//v58=")</f>
        <v>#REF!</v>
      </c>
      <c r="FE155" t="e">
        <f>AND(#REF!,"AAAAAH//v6A=")</f>
        <v>#REF!</v>
      </c>
      <c r="FF155" t="e">
        <f>IF(#REF!,"AAAAAH//v6E=",0)</f>
        <v>#REF!</v>
      </c>
      <c r="FG155" t="e">
        <f>AND(#REF!,"AAAAAH//v6I=")</f>
        <v>#REF!</v>
      </c>
      <c r="FH155" t="e">
        <f>AND(#REF!,"AAAAAH//v6M=")</f>
        <v>#REF!</v>
      </c>
      <c r="FI155" t="e">
        <f>AND(#REF!,"AAAAAH//v6Q=")</f>
        <v>#REF!</v>
      </c>
      <c r="FJ155" t="e">
        <f>AND(#REF!,"AAAAAH//v6U=")</f>
        <v>#REF!</v>
      </c>
      <c r="FK155" t="e">
        <f>AND(#REF!,"AAAAAH//v6Y=")</f>
        <v>#REF!</v>
      </c>
      <c r="FL155" t="e">
        <f>AND(#REF!,"AAAAAH//v6c=")</f>
        <v>#REF!</v>
      </c>
      <c r="FM155" t="e">
        <f>AND(#REF!,"AAAAAH//v6g=")</f>
        <v>#REF!</v>
      </c>
      <c r="FN155" t="e">
        <f>AND(#REF!,"AAAAAH//v6k=")</f>
        <v>#REF!</v>
      </c>
      <c r="FO155" t="e">
        <f>AND(#REF!,"AAAAAH//v6o=")</f>
        <v>#REF!</v>
      </c>
      <c r="FP155" t="e">
        <f>AND(#REF!,"AAAAAH//v6s=")</f>
        <v>#REF!</v>
      </c>
      <c r="FQ155" t="e">
        <f>AND(#REF!,"AAAAAH//v6w=")</f>
        <v>#REF!</v>
      </c>
      <c r="FR155" t="e">
        <f>AND(#REF!,"AAAAAH//v60=")</f>
        <v>#REF!</v>
      </c>
      <c r="FS155" t="e">
        <f>AND(#REF!,"AAAAAH//v64=")</f>
        <v>#REF!</v>
      </c>
      <c r="FT155" t="e">
        <f>AND(#REF!,"AAAAAH//v68=")</f>
        <v>#REF!</v>
      </c>
      <c r="FU155" t="e">
        <f>AND(#REF!,"AAAAAH//v7A=")</f>
        <v>#REF!</v>
      </c>
      <c r="FV155" t="e">
        <f>AND(#REF!,"AAAAAH//v7E=")</f>
        <v>#REF!</v>
      </c>
      <c r="FW155" t="e">
        <f>AND(#REF!,"AAAAAH//v7I=")</f>
        <v>#REF!</v>
      </c>
      <c r="FX155" t="e">
        <f>AND(#REF!,"AAAAAH//v7M=")</f>
        <v>#REF!</v>
      </c>
      <c r="FY155" t="e">
        <f>AND(#REF!,"AAAAAH//v7Q=")</f>
        <v>#REF!</v>
      </c>
      <c r="FZ155" t="e">
        <f>AND(#REF!,"AAAAAH//v7U=")</f>
        <v>#REF!</v>
      </c>
      <c r="GA155" t="e">
        <f>AND(#REF!,"AAAAAH//v7Y=")</f>
        <v>#REF!</v>
      </c>
      <c r="GB155" t="e">
        <f>AND(#REF!,"AAAAAH//v7c=")</f>
        <v>#REF!</v>
      </c>
      <c r="GC155" t="e">
        <f>AND(#REF!,"AAAAAH//v7g=")</f>
        <v>#REF!</v>
      </c>
      <c r="GD155" t="e">
        <f>AND(#REF!,"AAAAAH//v7k=")</f>
        <v>#REF!</v>
      </c>
      <c r="GE155" t="e">
        <f>IF(#REF!,"AAAAAH//v7o=",0)</f>
        <v>#REF!</v>
      </c>
      <c r="GF155" t="e">
        <f>AND(#REF!,"AAAAAH//v7s=")</f>
        <v>#REF!</v>
      </c>
      <c r="GG155" t="e">
        <f>AND(#REF!,"AAAAAH//v7w=")</f>
        <v>#REF!</v>
      </c>
      <c r="GH155" t="e">
        <f>AND(#REF!,"AAAAAH//v70=")</f>
        <v>#REF!</v>
      </c>
      <c r="GI155" t="e">
        <f>AND(#REF!,"AAAAAH//v74=")</f>
        <v>#REF!</v>
      </c>
      <c r="GJ155" t="e">
        <f>AND(#REF!,"AAAAAH//v78=")</f>
        <v>#REF!</v>
      </c>
      <c r="GK155" t="e">
        <f>AND(#REF!,"AAAAAH//v8A=")</f>
        <v>#REF!</v>
      </c>
      <c r="GL155" t="e">
        <f>AND(#REF!,"AAAAAH//v8E=")</f>
        <v>#REF!</v>
      </c>
      <c r="GM155" t="e">
        <f>AND(#REF!,"AAAAAH//v8I=")</f>
        <v>#REF!</v>
      </c>
      <c r="GN155" t="e">
        <f>AND(#REF!,"AAAAAH//v8M=")</f>
        <v>#REF!</v>
      </c>
      <c r="GO155" t="e">
        <f>AND(#REF!,"AAAAAH//v8Q=")</f>
        <v>#REF!</v>
      </c>
      <c r="GP155" t="e">
        <f>AND(#REF!,"AAAAAH//v8U=")</f>
        <v>#REF!</v>
      </c>
      <c r="GQ155" t="e">
        <f>AND(#REF!,"AAAAAH//v8Y=")</f>
        <v>#REF!</v>
      </c>
      <c r="GR155" t="e">
        <f>AND(#REF!,"AAAAAH//v8c=")</f>
        <v>#REF!</v>
      </c>
      <c r="GS155" t="e">
        <f>AND(#REF!,"AAAAAH//v8g=")</f>
        <v>#REF!</v>
      </c>
      <c r="GT155" t="e">
        <f>AND(#REF!,"AAAAAH//v8k=")</f>
        <v>#REF!</v>
      </c>
      <c r="GU155" t="e">
        <f>AND(#REF!,"AAAAAH//v8o=")</f>
        <v>#REF!</v>
      </c>
      <c r="GV155" t="e">
        <f>AND(#REF!,"AAAAAH//v8s=")</f>
        <v>#REF!</v>
      </c>
      <c r="GW155" t="e">
        <f>AND(#REF!,"AAAAAH//v8w=")</f>
        <v>#REF!</v>
      </c>
      <c r="GX155" t="e">
        <f>AND(#REF!,"AAAAAH//v80=")</f>
        <v>#REF!</v>
      </c>
      <c r="GY155" t="e">
        <f>AND(#REF!,"AAAAAH//v84=")</f>
        <v>#REF!</v>
      </c>
      <c r="GZ155" t="e">
        <f>AND(#REF!,"AAAAAH//v88=")</f>
        <v>#REF!</v>
      </c>
      <c r="HA155" t="e">
        <f>AND(#REF!,"AAAAAH//v9A=")</f>
        <v>#REF!</v>
      </c>
      <c r="HB155" t="e">
        <f>AND(#REF!,"AAAAAH//v9E=")</f>
        <v>#REF!</v>
      </c>
      <c r="HC155" t="e">
        <f>AND(#REF!,"AAAAAH//v9I=")</f>
        <v>#REF!</v>
      </c>
      <c r="HD155" t="e">
        <f>IF(#REF!,"AAAAAH//v9M=",0)</f>
        <v>#REF!</v>
      </c>
      <c r="HE155" t="e">
        <f>AND(#REF!,"AAAAAH//v9Q=")</f>
        <v>#REF!</v>
      </c>
      <c r="HF155" t="e">
        <f>AND(#REF!,"AAAAAH//v9U=")</f>
        <v>#REF!</v>
      </c>
      <c r="HG155" t="e">
        <f>AND(#REF!,"AAAAAH//v9Y=")</f>
        <v>#REF!</v>
      </c>
      <c r="HH155" t="e">
        <f>AND(#REF!,"AAAAAH//v9c=")</f>
        <v>#REF!</v>
      </c>
      <c r="HI155" t="e">
        <f>AND(#REF!,"AAAAAH//v9g=")</f>
        <v>#REF!</v>
      </c>
      <c r="HJ155" t="e">
        <f>AND(#REF!,"AAAAAH//v9k=")</f>
        <v>#REF!</v>
      </c>
      <c r="HK155" t="e">
        <f>AND(#REF!,"AAAAAH//v9o=")</f>
        <v>#REF!</v>
      </c>
      <c r="HL155" t="e">
        <f>AND(#REF!,"AAAAAH//v9s=")</f>
        <v>#REF!</v>
      </c>
      <c r="HM155" t="e">
        <f>AND(#REF!,"AAAAAH//v9w=")</f>
        <v>#REF!</v>
      </c>
      <c r="HN155" t="e">
        <f>AND(#REF!,"AAAAAH//v90=")</f>
        <v>#REF!</v>
      </c>
      <c r="HO155" t="e">
        <f>AND(#REF!,"AAAAAH//v94=")</f>
        <v>#REF!</v>
      </c>
      <c r="HP155" t="e">
        <f>AND(#REF!,"AAAAAH//v98=")</f>
        <v>#REF!</v>
      </c>
      <c r="HQ155" t="e">
        <f>AND(#REF!,"AAAAAH//v+A=")</f>
        <v>#REF!</v>
      </c>
      <c r="HR155" t="e">
        <f>AND(#REF!,"AAAAAH//v+E=")</f>
        <v>#REF!</v>
      </c>
      <c r="HS155" t="e">
        <f>AND(#REF!,"AAAAAH//v+I=")</f>
        <v>#REF!</v>
      </c>
      <c r="HT155" t="e">
        <f>AND(#REF!,"AAAAAH//v+M=")</f>
        <v>#REF!</v>
      </c>
      <c r="HU155" t="e">
        <f>AND(#REF!,"AAAAAH//v+Q=")</f>
        <v>#REF!</v>
      </c>
      <c r="HV155" t="e">
        <f>AND(#REF!,"AAAAAH//v+U=")</f>
        <v>#REF!</v>
      </c>
      <c r="HW155" t="e">
        <f>AND(#REF!,"AAAAAH//v+Y=")</f>
        <v>#REF!</v>
      </c>
      <c r="HX155" t="e">
        <f>AND(#REF!,"AAAAAH//v+c=")</f>
        <v>#REF!</v>
      </c>
      <c r="HY155" t="e">
        <f>AND(#REF!,"AAAAAH//v+g=")</f>
        <v>#REF!</v>
      </c>
      <c r="HZ155" t="e">
        <f>AND(#REF!,"AAAAAH//v+k=")</f>
        <v>#REF!</v>
      </c>
      <c r="IA155" t="e">
        <f>AND(#REF!,"AAAAAH//v+o=")</f>
        <v>#REF!</v>
      </c>
      <c r="IB155" t="e">
        <f>AND(#REF!,"AAAAAH//v+s=")</f>
        <v>#REF!</v>
      </c>
      <c r="IC155" t="e">
        <f>IF(#REF!,"AAAAAH//v+w=",0)</f>
        <v>#REF!</v>
      </c>
      <c r="ID155" t="e">
        <f>AND(#REF!,"AAAAAH//v+0=")</f>
        <v>#REF!</v>
      </c>
      <c r="IE155" t="e">
        <f>AND(#REF!,"AAAAAH//v+4=")</f>
        <v>#REF!</v>
      </c>
      <c r="IF155" t="e">
        <f>AND(#REF!,"AAAAAH//v+8=")</f>
        <v>#REF!</v>
      </c>
      <c r="IG155" t="e">
        <f>AND(#REF!,"AAAAAH//v/A=")</f>
        <v>#REF!</v>
      </c>
      <c r="IH155" t="e">
        <f>AND(#REF!,"AAAAAH//v/E=")</f>
        <v>#REF!</v>
      </c>
      <c r="II155" t="e">
        <f>AND(#REF!,"AAAAAH//v/I=")</f>
        <v>#REF!</v>
      </c>
      <c r="IJ155" t="e">
        <f>AND(#REF!,"AAAAAH//v/M=")</f>
        <v>#REF!</v>
      </c>
      <c r="IK155" t="e">
        <f>AND(#REF!,"AAAAAH//v/Q=")</f>
        <v>#REF!</v>
      </c>
      <c r="IL155" t="e">
        <f>AND(#REF!,"AAAAAH//v/U=")</f>
        <v>#REF!</v>
      </c>
      <c r="IM155" t="e">
        <f>AND(#REF!,"AAAAAH//v/Y=")</f>
        <v>#REF!</v>
      </c>
      <c r="IN155" t="e">
        <f>AND(#REF!,"AAAAAH//v/c=")</f>
        <v>#REF!</v>
      </c>
      <c r="IO155" t="e">
        <f>AND(#REF!,"AAAAAH//v/g=")</f>
        <v>#REF!</v>
      </c>
      <c r="IP155" t="e">
        <f>AND(#REF!,"AAAAAH//v/k=")</f>
        <v>#REF!</v>
      </c>
      <c r="IQ155" t="e">
        <f>AND(#REF!,"AAAAAH//v/o=")</f>
        <v>#REF!</v>
      </c>
      <c r="IR155" t="e">
        <f>AND(#REF!,"AAAAAH//v/s=")</f>
        <v>#REF!</v>
      </c>
      <c r="IS155" t="e">
        <f>AND(#REF!,"AAAAAH//v/w=")</f>
        <v>#REF!</v>
      </c>
      <c r="IT155" t="e">
        <f>AND(#REF!,"AAAAAH//v/0=")</f>
        <v>#REF!</v>
      </c>
      <c r="IU155" t="e">
        <f>AND(#REF!,"AAAAAH//v/4=")</f>
        <v>#REF!</v>
      </c>
      <c r="IV155" t="e">
        <f>AND(#REF!,"AAAAAH//v/8=")</f>
        <v>#REF!</v>
      </c>
    </row>
    <row r="156" spans="1:256">
      <c r="A156" t="e">
        <f>AND(#REF!,"AAAAAA91twA=")</f>
        <v>#REF!</v>
      </c>
      <c r="B156" t="e">
        <f>AND(#REF!,"AAAAAA91twE=")</f>
        <v>#REF!</v>
      </c>
      <c r="C156" t="e">
        <f>AND(#REF!,"AAAAAA91twI=")</f>
        <v>#REF!</v>
      </c>
      <c r="D156" t="e">
        <f>AND(#REF!,"AAAAAA91twM=")</f>
        <v>#REF!</v>
      </c>
      <c r="E156" t="e">
        <f>AND(#REF!,"AAAAAA91twQ=")</f>
        <v>#REF!</v>
      </c>
      <c r="F156" t="e">
        <f>IF(#REF!,"AAAAAA91twU=",0)</f>
        <v>#REF!</v>
      </c>
      <c r="G156" t="e">
        <f>AND(#REF!,"AAAAAA91twY=")</f>
        <v>#REF!</v>
      </c>
      <c r="H156" t="e">
        <f>AND(#REF!,"AAAAAA91twc=")</f>
        <v>#REF!</v>
      </c>
      <c r="I156" t="e">
        <f>AND(#REF!,"AAAAAA91twg=")</f>
        <v>#REF!</v>
      </c>
      <c r="J156" t="e">
        <f>AND(#REF!,"AAAAAA91twk=")</f>
        <v>#REF!</v>
      </c>
      <c r="K156" t="e">
        <f>AND(#REF!,"AAAAAA91two=")</f>
        <v>#REF!</v>
      </c>
      <c r="L156" t="e">
        <f>AND(#REF!,"AAAAAA91tws=")</f>
        <v>#REF!</v>
      </c>
      <c r="M156" t="e">
        <f>AND(#REF!,"AAAAAA91tww=")</f>
        <v>#REF!</v>
      </c>
      <c r="N156" t="e">
        <f>AND(#REF!,"AAAAAA91tw0=")</f>
        <v>#REF!</v>
      </c>
      <c r="O156" t="e">
        <f>AND(#REF!,"AAAAAA91tw4=")</f>
        <v>#REF!</v>
      </c>
      <c r="P156" t="e">
        <f>AND(#REF!,"AAAAAA91tw8=")</f>
        <v>#REF!</v>
      </c>
      <c r="Q156" t="e">
        <f>AND(#REF!,"AAAAAA91txA=")</f>
        <v>#REF!</v>
      </c>
      <c r="R156" t="e">
        <f>AND(#REF!,"AAAAAA91txE=")</f>
        <v>#REF!</v>
      </c>
      <c r="S156" t="e">
        <f>AND(#REF!,"AAAAAA91txI=")</f>
        <v>#REF!</v>
      </c>
      <c r="T156" t="e">
        <f>AND(#REF!,"AAAAAA91txM=")</f>
        <v>#REF!</v>
      </c>
      <c r="U156" t="e">
        <f>AND(#REF!,"AAAAAA91txQ=")</f>
        <v>#REF!</v>
      </c>
      <c r="V156" t="e">
        <f>AND(#REF!,"AAAAAA91txU=")</f>
        <v>#REF!</v>
      </c>
      <c r="W156" t="e">
        <f>AND(#REF!,"AAAAAA91txY=")</f>
        <v>#REF!</v>
      </c>
      <c r="X156" t="e">
        <f>AND(#REF!,"AAAAAA91txc=")</f>
        <v>#REF!</v>
      </c>
      <c r="Y156" t="e">
        <f>AND(#REF!,"AAAAAA91txg=")</f>
        <v>#REF!</v>
      </c>
      <c r="Z156" t="e">
        <f>AND(#REF!,"AAAAAA91txk=")</f>
        <v>#REF!</v>
      </c>
      <c r="AA156" t="e">
        <f>AND(#REF!,"AAAAAA91txo=")</f>
        <v>#REF!</v>
      </c>
      <c r="AB156" t="e">
        <f>AND(#REF!,"AAAAAA91txs=")</f>
        <v>#REF!</v>
      </c>
      <c r="AC156" t="e">
        <f>AND(#REF!,"AAAAAA91txw=")</f>
        <v>#REF!</v>
      </c>
      <c r="AD156" t="e">
        <f>AND(#REF!,"AAAAAA91tx0=")</f>
        <v>#REF!</v>
      </c>
      <c r="AE156" t="e">
        <f>IF(#REF!,"AAAAAA91tx4=",0)</f>
        <v>#REF!</v>
      </c>
      <c r="AF156" t="e">
        <f>AND(#REF!,"AAAAAA91tx8=")</f>
        <v>#REF!</v>
      </c>
      <c r="AG156" t="e">
        <f>AND(#REF!,"AAAAAA91tyA=")</f>
        <v>#REF!</v>
      </c>
      <c r="AH156" t="e">
        <f>AND(#REF!,"AAAAAA91tyE=")</f>
        <v>#REF!</v>
      </c>
      <c r="AI156" t="e">
        <f>AND(#REF!,"AAAAAA91tyI=")</f>
        <v>#REF!</v>
      </c>
      <c r="AJ156" t="e">
        <f>AND(#REF!,"AAAAAA91tyM=")</f>
        <v>#REF!</v>
      </c>
      <c r="AK156" t="e">
        <f>AND(#REF!,"AAAAAA91tyQ=")</f>
        <v>#REF!</v>
      </c>
      <c r="AL156" t="e">
        <f>AND(#REF!,"AAAAAA91tyU=")</f>
        <v>#REF!</v>
      </c>
      <c r="AM156" t="e">
        <f>AND(#REF!,"AAAAAA91tyY=")</f>
        <v>#REF!</v>
      </c>
      <c r="AN156" t="e">
        <f>AND(#REF!,"AAAAAA91tyc=")</f>
        <v>#REF!</v>
      </c>
      <c r="AO156" t="e">
        <f>AND(#REF!,"AAAAAA91tyg=")</f>
        <v>#REF!</v>
      </c>
      <c r="AP156" t="e">
        <f>AND(#REF!,"AAAAAA91tyk=")</f>
        <v>#REF!</v>
      </c>
      <c r="AQ156" t="e">
        <f>AND(#REF!,"AAAAAA91tyo=")</f>
        <v>#REF!</v>
      </c>
      <c r="AR156" t="e">
        <f>AND(#REF!,"AAAAAA91tys=")</f>
        <v>#REF!</v>
      </c>
      <c r="AS156" t="e">
        <f>AND(#REF!,"AAAAAA91tyw=")</f>
        <v>#REF!</v>
      </c>
      <c r="AT156" t="e">
        <f>AND(#REF!,"AAAAAA91ty0=")</f>
        <v>#REF!</v>
      </c>
      <c r="AU156" t="e">
        <f>AND(#REF!,"AAAAAA91ty4=")</f>
        <v>#REF!</v>
      </c>
      <c r="AV156" t="e">
        <f>AND(#REF!,"AAAAAA91ty8=")</f>
        <v>#REF!</v>
      </c>
      <c r="AW156" t="e">
        <f>AND(#REF!,"AAAAAA91tzA=")</f>
        <v>#REF!</v>
      </c>
      <c r="AX156" t="e">
        <f>AND(#REF!,"AAAAAA91tzE=")</f>
        <v>#REF!</v>
      </c>
      <c r="AY156" t="e">
        <f>AND(#REF!,"AAAAAA91tzI=")</f>
        <v>#REF!</v>
      </c>
      <c r="AZ156" t="e">
        <f>AND(#REF!,"AAAAAA91tzM=")</f>
        <v>#REF!</v>
      </c>
      <c r="BA156" t="e">
        <f>AND(#REF!,"AAAAAA91tzQ=")</f>
        <v>#REF!</v>
      </c>
      <c r="BB156" t="e">
        <f>AND(#REF!,"AAAAAA91tzU=")</f>
        <v>#REF!</v>
      </c>
      <c r="BC156" t="e">
        <f>AND(#REF!,"AAAAAA91tzY=")</f>
        <v>#REF!</v>
      </c>
      <c r="BD156" t="e">
        <f>IF(#REF!,"AAAAAA91tzc=",0)</f>
        <v>#REF!</v>
      </c>
      <c r="BE156" t="e">
        <f>AND(#REF!,"AAAAAA91tzg=")</f>
        <v>#REF!</v>
      </c>
      <c r="BF156" t="e">
        <f>AND(#REF!,"AAAAAA91tzk=")</f>
        <v>#REF!</v>
      </c>
      <c r="BG156" t="e">
        <f>AND(#REF!,"AAAAAA91tzo=")</f>
        <v>#REF!</v>
      </c>
      <c r="BH156" t="e">
        <f>AND(#REF!,"AAAAAA91tzs=")</f>
        <v>#REF!</v>
      </c>
      <c r="BI156" t="e">
        <f>AND(#REF!,"AAAAAA91tzw=")</f>
        <v>#REF!</v>
      </c>
      <c r="BJ156" t="e">
        <f>AND(#REF!,"AAAAAA91tz0=")</f>
        <v>#REF!</v>
      </c>
      <c r="BK156" t="e">
        <f>AND(#REF!,"AAAAAA91tz4=")</f>
        <v>#REF!</v>
      </c>
      <c r="BL156" t="e">
        <f>AND(#REF!,"AAAAAA91tz8=")</f>
        <v>#REF!</v>
      </c>
      <c r="BM156" t="e">
        <f>AND(#REF!,"AAAAAA91t0A=")</f>
        <v>#REF!</v>
      </c>
      <c r="BN156" t="e">
        <f>AND(#REF!,"AAAAAA91t0E=")</f>
        <v>#REF!</v>
      </c>
      <c r="BO156" t="e">
        <f>AND(#REF!,"AAAAAA91t0I=")</f>
        <v>#REF!</v>
      </c>
      <c r="BP156" t="e">
        <f>AND(#REF!,"AAAAAA91t0M=")</f>
        <v>#REF!</v>
      </c>
      <c r="BQ156" t="e">
        <f>AND(#REF!,"AAAAAA91t0Q=")</f>
        <v>#REF!</v>
      </c>
      <c r="BR156" t="e">
        <f>AND(#REF!,"AAAAAA91t0U=")</f>
        <v>#REF!</v>
      </c>
      <c r="BS156" t="e">
        <f>AND(#REF!,"AAAAAA91t0Y=")</f>
        <v>#REF!</v>
      </c>
      <c r="BT156" t="e">
        <f>AND(#REF!,"AAAAAA91t0c=")</f>
        <v>#REF!</v>
      </c>
      <c r="BU156" t="e">
        <f>AND(#REF!,"AAAAAA91t0g=")</f>
        <v>#REF!</v>
      </c>
      <c r="BV156" t="e">
        <f>AND(#REF!,"AAAAAA91t0k=")</f>
        <v>#REF!</v>
      </c>
      <c r="BW156" t="e">
        <f>AND(#REF!,"AAAAAA91t0o=")</f>
        <v>#REF!</v>
      </c>
      <c r="BX156" t="e">
        <f>AND(#REF!,"AAAAAA91t0s=")</f>
        <v>#REF!</v>
      </c>
      <c r="BY156" t="e">
        <f>AND(#REF!,"AAAAAA91t0w=")</f>
        <v>#REF!</v>
      </c>
      <c r="BZ156" t="e">
        <f>AND(#REF!,"AAAAAA91t00=")</f>
        <v>#REF!</v>
      </c>
      <c r="CA156" t="e">
        <f>AND(#REF!,"AAAAAA91t04=")</f>
        <v>#REF!</v>
      </c>
      <c r="CB156" t="e">
        <f>AND(#REF!,"AAAAAA91t08=")</f>
        <v>#REF!</v>
      </c>
      <c r="CC156" t="e">
        <f>IF(#REF!,"AAAAAA91t1A=",0)</f>
        <v>#REF!</v>
      </c>
      <c r="CD156" t="e">
        <f>AND(#REF!,"AAAAAA91t1E=")</f>
        <v>#REF!</v>
      </c>
      <c r="CE156" t="e">
        <f>AND(#REF!,"AAAAAA91t1I=")</f>
        <v>#REF!</v>
      </c>
      <c r="CF156" t="e">
        <f>AND(#REF!,"AAAAAA91t1M=")</f>
        <v>#REF!</v>
      </c>
      <c r="CG156" t="e">
        <f>AND(#REF!,"AAAAAA91t1Q=")</f>
        <v>#REF!</v>
      </c>
      <c r="CH156" t="e">
        <f>AND(#REF!,"AAAAAA91t1U=")</f>
        <v>#REF!</v>
      </c>
      <c r="CI156" t="e">
        <f>AND(#REF!,"AAAAAA91t1Y=")</f>
        <v>#REF!</v>
      </c>
      <c r="CJ156" t="e">
        <f>AND(#REF!,"AAAAAA91t1c=")</f>
        <v>#REF!</v>
      </c>
      <c r="CK156" t="e">
        <f>AND(#REF!,"AAAAAA91t1g=")</f>
        <v>#REF!</v>
      </c>
      <c r="CL156" t="e">
        <f>AND(#REF!,"AAAAAA91t1k=")</f>
        <v>#REF!</v>
      </c>
      <c r="CM156" t="e">
        <f>AND(#REF!,"AAAAAA91t1o=")</f>
        <v>#REF!</v>
      </c>
      <c r="CN156" t="e">
        <f>AND(#REF!,"AAAAAA91t1s=")</f>
        <v>#REF!</v>
      </c>
      <c r="CO156" t="e">
        <f>AND(#REF!,"AAAAAA91t1w=")</f>
        <v>#REF!</v>
      </c>
      <c r="CP156" t="e">
        <f>AND(#REF!,"AAAAAA91t10=")</f>
        <v>#REF!</v>
      </c>
      <c r="CQ156" t="e">
        <f>AND(#REF!,"AAAAAA91t14=")</f>
        <v>#REF!</v>
      </c>
      <c r="CR156" t="e">
        <f>AND(#REF!,"AAAAAA91t18=")</f>
        <v>#REF!</v>
      </c>
      <c r="CS156" t="e">
        <f>AND(#REF!,"AAAAAA91t2A=")</f>
        <v>#REF!</v>
      </c>
      <c r="CT156" t="e">
        <f>AND(#REF!,"AAAAAA91t2E=")</f>
        <v>#REF!</v>
      </c>
      <c r="CU156" t="e">
        <f>AND(#REF!,"AAAAAA91t2I=")</f>
        <v>#REF!</v>
      </c>
      <c r="CV156" t="e">
        <f>AND(#REF!,"AAAAAA91t2M=")</f>
        <v>#REF!</v>
      </c>
      <c r="CW156" t="e">
        <f>AND(#REF!,"AAAAAA91t2Q=")</f>
        <v>#REF!</v>
      </c>
      <c r="CX156" t="e">
        <f>AND(#REF!,"AAAAAA91t2U=")</f>
        <v>#REF!</v>
      </c>
      <c r="CY156" t="e">
        <f>AND(#REF!,"AAAAAA91t2Y=")</f>
        <v>#REF!</v>
      </c>
      <c r="CZ156" t="e">
        <f>AND(#REF!,"AAAAAA91t2c=")</f>
        <v>#REF!</v>
      </c>
      <c r="DA156" t="e">
        <f>AND(#REF!,"AAAAAA91t2g=")</f>
        <v>#REF!</v>
      </c>
      <c r="DB156" t="e">
        <f>IF(#REF!,"AAAAAA91t2k=",0)</f>
        <v>#REF!</v>
      </c>
      <c r="DC156" t="e">
        <f>AND(#REF!,"AAAAAA91t2o=")</f>
        <v>#REF!</v>
      </c>
      <c r="DD156" t="e">
        <f>AND(#REF!,"AAAAAA91t2s=")</f>
        <v>#REF!</v>
      </c>
      <c r="DE156" t="e">
        <f>AND(#REF!,"AAAAAA91t2w=")</f>
        <v>#REF!</v>
      </c>
      <c r="DF156" t="e">
        <f>AND(#REF!,"AAAAAA91t20=")</f>
        <v>#REF!</v>
      </c>
      <c r="DG156" t="e">
        <f>AND(#REF!,"AAAAAA91t24=")</f>
        <v>#REF!</v>
      </c>
      <c r="DH156" t="e">
        <f>AND(#REF!,"AAAAAA91t28=")</f>
        <v>#REF!</v>
      </c>
      <c r="DI156" t="e">
        <f>AND(#REF!,"AAAAAA91t3A=")</f>
        <v>#REF!</v>
      </c>
      <c r="DJ156" t="e">
        <f>AND(#REF!,"AAAAAA91t3E=")</f>
        <v>#REF!</v>
      </c>
      <c r="DK156" t="e">
        <f>AND(#REF!,"AAAAAA91t3I=")</f>
        <v>#REF!</v>
      </c>
      <c r="DL156" t="e">
        <f>AND(#REF!,"AAAAAA91t3M=")</f>
        <v>#REF!</v>
      </c>
      <c r="DM156" t="e">
        <f>AND(#REF!,"AAAAAA91t3Q=")</f>
        <v>#REF!</v>
      </c>
      <c r="DN156" t="e">
        <f>AND(#REF!,"AAAAAA91t3U=")</f>
        <v>#REF!</v>
      </c>
      <c r="DO156" t="e">
        <f>AND(#REF!,"AAAAAA91t3Y=")</f>
        <v>#REF!</v>
      </c>
      <c r="DP156" t="e">
        <f>AND(#REF!,"AAAAAA91t3c=")</f>
        <v>#REF!</v>
      </c>
      <c r="DQ156" t="e">
        <f>AND(#REF!,"AAAAAA91t3g=")</f>
        <v>#REF!</v>
      </c>
      <c r="DR156" t="e">
        <f>AND(#REF!,"AAAAAA91t3k=")</f>
        <v>#REF!</v>
      </c>
      <c r="DS156" t="e">
        <f>AND(#REF!,"AAAAAA91t3o=")</f>
        <v>#REF!</v>
      </c>
      <c r="DT156" t="e">
        <f>AND(#REF!,"AAAAAA91t3s=")</f>
        <v>#REF!</v>
      </c>
      <c r="DU156" t="e">
        <f>AND(#REF!,"AAAAAA91t3w=")</f>
        <v>#REF!</v>
      </c>
      <c r="DV156" t="e">
        <f>AND(#REF!,"AAAAAA91t30=")</f>
        <v>#REF!</v>
      </c>
      <c r="DW156" t="e">
        <f>AND(#REF!,"AAAAAA91t34=")</f>
        <v>#REF!</v>
      </c>
      <c r="DX156" t="e">
        <f>AND(#REF!,"AAAAAA91t38=")</f>
        <v>#REF!</v>
      </c>
      <c r="DY156" t="e">
        <f>AND(#REF!,"AAAAAA91t4A=")</f>
        <v>#REF!</v>
      </c>
      <c r="DZ156" t="e">
        <f>AND(#REF!,"AAAAAA91t4E=")</f>
        <v>#REF!</v>
      </c>
      <c r="EA156" t="e">
        <f>IF(#REF!,"AAAAAA91t4I=",0)</f>
        <v>#REF!</v>
      </c>
      <c r="EB156" t="e">
        <f>AND(#REF!,"AAAAAA91t4M=")</f>
        <v>#REF!</v>
      </c>
      <c r="EC156" t="e">
        <f>AND(#REF!,"AAAAAA91t4Q=")</f>
        <v>#REF!</v>
      </c>
      <c r="ED156" t="e">
        <f>AND(#REF!,"AAAAAA91t4U=")</f>
        <v>#REF!</v>
      </c>
      <c r="EE156" t="e">
        <f>AND(#REF!,"AAAAAA91t4Y=")</f>
        <v>#REF!</v>
      </c>
      <c r="EF156" t="e">
        <f>AND(#REF!,"AAAAAA91t4c=")</f>
        <v>#REF!</v>
      </c>
      <c r="EG156" t="e">
        <f>AND(#REF!,"AAAAAA91t4g=")</f>
        <v>#REF!</v>
      </c>
      <c r="EH156" t="e">
        <f>AND(#REF!,"AAAAAA91t4k=")</f>
        <v>#REF!</v>
      </c>
      <c r="EI156" t="e">
        <f>AND(#REF!,"AAAAAA91t4o=")</f>
        <v>#REF!</v>
      </c>
      <c r="EJ156" t="e">
        <f>AND(#REF!,"AAAAAA91t4s=")</f>
        <v>#REF!</v>
      </c>
      <c r="EK156" t="e">
        <f>AND(#REF!,"AAAAAA91t4w=")</f>
        <v>#REF!</v>
      </c>
      <c r="EL156" t="e">
        <f>AND(#REF!,"AAAAAA91t40=")</f>
        <v>#REF!</v>
      </c>
      <c r="EM156" t="e">
        <f>AND(#REF!,"AAAAAA91t44=")</f>
        <v>#REF!</v>
      </c>
      <c r="EN156" t="e">
        <f>AND(#REF!,"AAAAAA91t48=")</f>
        <v>#REF!</v>
      </c>
      <c r="EO156" t="e">
        <f>AND(#REF!,"AAAAAA91t5A=")</f>
        <v>#REF!</v>
      </c>
      <c r="EP156" t="e">
        <f>AND(#REF!,"AAAAAA91t5E=")</f>
        <v>#REF!</v>
      </c>
      <c r="EQ156" t="e">
        <f>AND(#REF!,"AAAAAA91t5I=")</f>
        <v>#REF!</v>
      </c>
      <c r="ER156" t="e">
        <f>AND(#REF!,"AAAAAA91t5M=")</f>
        <v>#REF!</v>
      </c>
      <c r="ES156" t="e">
        <f>AND(#REF!,"AAAAAA91t5Q=")</f>
        <v>#REF!</v>
      </c>
      <c r="ET156" t="e">
        <f>AND(#REF!,"AAAAAA91t5U=")</f>
        <v>#REF!</v>
      </c>
      <c r="EU156" t="e">
        <f>AND(#REF!,"AAAAAA91t5Y=")</f>
        <v>#REF!</v>
      </c>
      <c r="EV156" t="e">
        <f>AND(#REF!,"AAAAAA91t5c=")</f>
        <v>#REF!</v>
      </c>
      <c r="EW156" t="e">
        <f>AND(#REF!,"AAAAAA91t5g=")</f>
        <v>#REF!</v>
      </c>
      <c r="EX156" t="e">
        <f>AND(#REF!,"AAAAAA91t5k=")</f>
        <v>#REF!</v>
      </c>
      <c r="EY156" t="e">
        <f>AND(#REF!,"AAAAAA91t5o=")</f>
        <v>#REF!</v>
      </c>
      <c r="EZ156" t="e">
        <f>IF(#REF!,"AAAAAA91t5s=",0)</f>
        <v>#REF!</v>
      </c>
      <c r="FA156" t="e">
        <f>AND(#REF!,"AAAAAA91t5w=")</f>
        <v>#REF!</v>
      </c>
      <c r="FB156" t="e">
        <f>AND(#REF!,"AAAAAA91t50=")</f>
        <v>#REF!</v>
      </c>
      <c r="FC156" t="e">
        <f>AND(#REF!,"AAAAAA91t54=")</f>
        <v>#REF!</v>
      </c>
      <c r="FD156" t="e">
        <f>AND(#REF!,"AAAAAA91t58=")</f>
        <v>#REF!</v>
      </c>
      <c r="FE156" t="e">
        <f>AND(#REF!,"AAAAAA91t6A=")</f>
        <v>#REF!</v>
      </c>
      <c r="FF156" t="e">
        <f>AND(#REF!,"AAAAAA91t6E=")</f>
        <v>#REF!</v>
      </c>
      <c r="FG156" t="e">
        <f>AND(#REF!,"AAAAAA91t6I=")</f>
        <v>#REF!</v>
      </c>
      <c r="FH156" t="e">
        <f>AND(#REF!,"AAAAAA91t6M=")</f>
        <v>#REF!</v>
      </c>
      <c r="FI156" t="e">
        <f>AND(#REF!,"AAAAAA91t6Q=")</f>
        <v>#REF!</v>
      </c>
      <c r="FJ156" t="e">
        <f>AND(#REF!,"AAAAAA91t6U=")</f>
        <v>#REF!</v>
      </c>
      <c r="FK156" t="e">
        <f>AND(#REF!,"AAAAAA91t6Y=")</f>
        <v>#REF!</v>
      </c>
      <c r="FL156" t="e">
        <f>AND(#REF!,"AAAAAA91t6c=")</f>
        <v>#REF!</v>
      </c>
      <c r="FM156" t="e">
        <f>AND(#REF!,"AAAAAA91t6g=")</f>
        <v>#REF!</v>
      </c>
      <c r="FN156" t="e">
        <f>AND(#REF!,"AAAAAA91t6k=")</f>
        <v>#REF!</v>
      </c>
      <c r="FO156" t="e">
        <f>AND(#REF!,"AAAAAA91t6o=")</f>
        <v>#REF!</v>
      </c>
      <c r="FP156" t="e">
        <f>AND(#REF!,"AAAAAA91t6s=")</f>
        <v>#REF!</v>
      </c>
      <c r="FQ156" t="e">
        <f>AND(#REF!,"AAAAAA91t6w=")</f>
        <v>#REF!</v>
      </c>
      <c r="FR156" t="e">
        <f>AND(#REF!,"AAAAAA91t60=")</f>
        <v>#REF!</v>
      </c>
      <c r="FS156" t="e">
        <f>AND(#REF!,"AAAAAA91t64=")</f>
        <v>#REF!</v>
      </c>
      <c r="FT156" t="e">
        <f>AND(#REF!,"AAAAAA91t68=")</f>
        <v>#REF!</v>
      </c>
      <c r="FU156" t="e">
        <f>AND(#REF!,"AAAAAA91t7A=")</f>
        <v>#REF!</v>
      </c>
      <c r="FV156" t="e">
        <f>AND(#REF!,"AAAAAA91t7E=")</f>
        <v>#REF!</v>
      </c>
      <c r="FW156" t="e">
        <f>AND(#REF!,"AAAAAA91t7I=")</f>
        <v>#REF!</v>
      </c>
      <c r="FX156" t="e">
        <f>AND(#REF!,"AAAAAA91t7M=")</f>
        <v>#REF!</v>
      </c>
      <c r="FY156" t="e">
        <f>IF(#REF!,"AAAAAA91t7Q=",0)</f>
        <v>#REF!</v>
      </c>
      <c r="FZ156" t="e">
        <f>AND(#REF!,"AAAAAA91t7U=")</f>
        <v>#REF!</v>
      </c>
      <c r="GA156" t="e">
        <f>AND(#REF!,"AAAAAA91t7Y=")</f>
        <v>#REF!</v>
      </c>
      <c r="GB156" t="e">
        <f>AND(#REF!,"AAAAAA91t7c=")</f>
        <v>#REF!</v>
      </c>
      <c r="GC156" t="e">
        <f>AND(#REF!,"AAAAAA91t7g=")</f>
        <v>#REF!</v>
      </c>
      <c r="GD156" t="e">
        <f>AND(#REF!,"AAAAAA91t7k=")</f>
        <v>#REF!</v>
      </c>
      <c r="GE156" t="e">
        <f>AND(#REF!,"AAAAAA91t7o=")</f>
        <v>#REF!</v>
      </c>
      <c r="GF156" t="e">
        <f>AND(#REF!,"AAAAAA91t7s=")</f>
        <v>#REF!</v>
      </c>
      <c r="GG156" t="e">
        <f>AND(#REF!,"AAAAAA91t7w=")</f>
        <v>#REF!</v>
      </c>
      <c r="GH156" t="e">
        <f>AND(#REF!,"AAAAAA91t70=")</f>
        <v>#REF!</v>
      </c>
      <c r="GI156" t="e">
        <f>AND(#REF!,"AAAAAA91t74=")</f>
        <v>#REF!</v>
      </c>
      <c r="GJ156" t="e">
        <f>AND(#REF!,"AAAAAA91t78=")</f>
        <v>#REF!</v>
      </c>
      <c r="GK156" t="e">
        <f>AND(#REF!,"AAAAAA91t8A=")</f>
        <v>#REF!</v>
      </c>
      <c r="GL156" t="e">
        <f>AND(#REF!,"AAAAAA91t8E=")</f>
        <v>#REF!</v>
      </c>
      <c r="GM156" t="e">
        <f>AND(#REF!,"AAAAAA91t8I=")</f>
        <v>#REF!</v>
      </c>
      <c r="GN156" t="e">
        <f>AND(#REF!,"AAAAAA91t8M=")</f>
        <v>#REF!</v>
      </c>
      <c r="GO156" t="e">
        <f>AND(#REF!,"AAAAAA91t8Q=")</f>
        <v>#REF!</v>
      </c>
      <c r="GP156" t="e">
        <f>AND(#REF!,"AAAAAA91t8U=")</f>
        <v>#REF!</v>
      </c>
      <c r="GQ156" t="e">
        <f>AND(#REF!,"AAAAAA91t8Y=")</f>
        <v>#REF!</v>
      </c>
      <c r="GR156" t="e">
        <f>AND(#REF!,"AAAAAA91t8c=")</f>
        <v>#REF!</v>
      </c>
      <c r="GS156" t="e">
        <f>AND(#REF!,"AAAAAA91t8g=")</f>
        <v>#REF!</v>
      </c>
      <c r="GT156" t="e">
        <f>AND(#REF!,"AAAAAA91t8k=")</f>
        <v>#REF!</v>
      </c>
      <c r="GU156" t="e">
        <f>AND(#REF!,"AAAAAA91t8o=")</f>
        <v>#REF!</v>
      </c>
      <c r="GV156" t="e">
        <f>AND(#REF!,"AAAAAA91t8s=")</f>
        <v>#REF!</v>
      </c>
      <c r="GW156" t="e">
        <f>AND(#REF!,"AAAAAA91t8w=")</f>
        <v>#REF!</v>
      </c>
      <c r="GX156" t="e">
        <f>IF(#REF!,"AAAAAA91t80=",0)</f>
        <v>#REF!</v>
      </c>
      <c r="GY156" t="e">
        <f>AND(#REF!,"AAAAAA91t84=")</f>
        <v>#REF!</v>
      </c>
      <c r="GZ156" t="e">
        <f>AND(#REF!,"AAAAAA91t88=")</f>
        <v>#REF!</v>
      </c>
      <c r="HA156" t="e">
        <f>AND(#REF!,"AAAAAA91t9A=")</f>
        <v>#REF!</v>
      </c>
      <c r="HB156" t="e">
        <f>AND(#REF!,"AAAAAA91t9E=")</f>
        <v>#REF!</v>
      </c>
      <c r="HC156" t="e">
        <f>AND(#REF!,"AAAAAA91t9I=")</f>
        <v>#REF!</v>
      </c>
      <c r="HD156" t="e">
        <f>AND(#REF!,"AAAAAA91t9M=")</f>
        <v>#REF!</v>
      </c>
      <c r="HE156" t="e">
        <f>AND(#REF!,"AAAAAA91t9Q=")</f>
        <v>#REF!</v>
      </c>
      <c r="HF156" t="e">
        <f>AND(#REF!,"AAAAAA91t9U=")</f>
        <v>#REF!</v>
      </c>
      <c r="HG156" t="e">
        <f>AND(#REF!,"AAAAAA91t9Y=")</f>
        <v>#REF!</v>
      </c>
      <c r="HH156" t="e">
        <f>AND(#REF!,"AAAAAA91t9c=")</f>
        <v>#REF!</v>
      </c>
      <c r="HI156" t="e">
        <f>AND(#REF!,"AAAAAA91t9g=")</f>
        <v>#REF!</v>
      </c>
      <c r="HJ156" t="e">
        <f>AND(#REF!,"AAAAAA91t9k=")</f>
        <v>#REF!</v>
      </c>
      <c r="HK156" t="e">
        <f>AND(#REF!,"AAAAAA91t9o=")</f>
        <v>#REF!</v>
      </c>
      <c r="HL156" t="e">
        <f>AND(#REF!,"AAAAAA91t9s=")</f>
        <v>#REF!</v>
      </c>
      <c r="HM156" t="e">
        <f>AND(#REF!,"AAAAAA91t9w=")</f>
        <v>#REF!</v>
      </c>
      <c r="HN156" t="e">
        <f>AND(#REF!,"AAAAAA91t90=")</f>
        <v>#REF!</v>
      </c>
      <c r="HO156" t="e">
        <f>AND(#REF!,"AAAAAA91t94=")</f>
        <v>#REF!</v>
      </c>
      <c r="HP156" t="e">
        <f>AND(#REF!,"AAAAAA91t98=")</f>
        <v>#REF!</v>
      </c>
      <c r="HQ156" t="e">
        <f>AND(#REF!,"AAAAAA91t+A=")</f>
        <v>#REF!</v>
      </c>
      <c r="HR156" t="e">
        <f>AND(#REF!,"AAAAAA91t+E=")</f>
        <v>#REF!</v>
      </c>
      <c r="HS156" t="e">
        <f>AND(#REF!,"AAAAAA91t+I=")</f>
        <v>#REF!</v>
      </c>
      <c r="HT156" t="e">
        <f>AND(#REF!,"AAAAAA91t+M=")</f>
        <v>#REF!</v>
      </c>
      <c r="HU156" t="e">
        <f>AND(#REF!,"AAAAAA91t+Q=")</f>
        <v>#REF!</v>
      </c>
      <c r="HV156" t="e">
        <f>AND(#REF!,"AAAAAA91t+U=")</f>
        <v>#REF!</v>
      </c>
      <c r="HW156" t="e">
        <f>IF(#REF!,"AAAAAA91t+Y=",0)</f>
        <v>#REF!</v>
      </c>
      <c r="HX156" t="e">
        <f>AND(#REF!,"AAAAAA91t+c=")</f>
        <v>#REF!</v>
      </c>
      <c r="HY156" t="e">
        <f>AND(#REF!,"AAAAAA91t+g=")</f>
        <v>#REF!</v>
      </c>
      <c r="HZ156" t="e">
        <f>AND(#REF!,"AAAAAA91t+k=")</f>
        <v>#REF!</v>
      </c>
      <c r="IA156" t="e">
        <f>AND(#REF!,"AAAAAA91t+o=")</f>
        <v>#REF!</v>
      </c>
      <c r="IB156" t="e">
        <f>AND(#REF!,"AAAAAA91t+s=")</f>
        <v>#REF!</v>
      </c>
      <c r="IC156" t="e">
        <f>AND(#REF!,"AAAAAA91t+w=")</f>
        <v>#REF!</v>
      </c>
      <c r="ID156" t="e">
        <f>AND(#REF!,"AAAAAA91t+0=")</f>
        <v>#REF!</v>
      </c>
      <c r="IE156" t="e">
        <f>AND(#REF!,"AAAAAA91t+4=")</f>
        <v>#REF!</v>
      </c>
      <c r="IF156" t="e">
        <f>AND(#REF!,"AAAAAA91t+8=")</f>
        <v>#REF!</v>
      </c>
      <c r="IG156" t="e">
        <f>AND(#REF!,"AAAAAA91t/A=")</f>
        <v>#REF!</v>
      </c>
      <c r="IH156" t="e">
        <f>AND(#REF!,"AAAAAA91t/E=")</f>
        <v>#REF!</v>
      </c>
      <c r="II156" t="e">
        <f>AND(#REF!,"AAAAAA91t/I=")</f>
        <v>#REF!</v>
      </c>
      <c r="IJ156" t="e">
        <f>AND(#REF!,"AAAAAA91t/M=")</f>
        <v>#REF!</v>
      </c>
      <c r="IK156" t="e">
        <f>AND(#REF!,"AAAAAA91t/Q=")</f>
        <v>#REF!</v>
      </c>
      <c r="IL156" t="e">
        <f>AND(#REF!,"AAAAAA91t/U=")</f>
        <v>#REF!</v>
      </c>
      <c r="IM156" t="e">
        <f>AND(#REF!,"AAAAAA91t/Y=")</f>
        <v>#REF!</v>
      </c>
      <c r="IN156" t="e">
        <f>AND(#REF!,"AAAAAA91t/c=")</f>
        <v>#REF!</v>
      </c>
      <c r="IO156" t="e">
        <f>AND(#REF!,"AAAAAA91t/g=")</f>
        <v>#REF!</v>
      </c>
      <c r="IP156" t="e">
        <f>AND(#REF!,"AAAAAA91t/k=")</f>
        <v>#REF!</v>
      </c>
      <c r="IQ156" t="e">
        <f>AND(#REF!,"AAAAAA91t/o=")</f>
        <v>#REF!</v>
      </c>
      <c r="IR156" t="e">
        <f>AND(#REF!,"AAAAAA91t/s=")</f>
        <v>#REF!</v>
      </c>
      <c r="IS156" t="e">
        <f>AND(#REF!,"AAAAAA91t/w=")</f>
        <v>#REF!</v>
      </c>
      <c r="IT156" t="e">
        <f>AND(#REF!,"AAAAAA91t/0=")</f>
        <v>#REF!</v>
      </c>
      <c r="IU156" t="e">
        <f>AND(#REF!,"AAAAAA91t/4=")</f>
        <v>#REF!</v>
      </c>
      <c r="IV156" t="e">
        <f>IF(#REF!,"AAAAAA91t/8=",0)</f>
        <v>#REF!</v>
      </c>
    </row>
    <row r="157" spans="1:256">
      <c r="A157" t="e">
        <f>AND(#REF!,"AAAAAH17/QA=")</f>
        <v>#REF!</v>
      </c>
      <c r="B157" t="e">
        <f>AND(#REF!,"AAAAAH17/QE=")</f>
        <v>#REF!</v>
      </c>
      <c r="C157" t="e">
        <f>AND(#REF!,"AAAAAH17/QI=")</f>
        <v>#REF!</v>
      </c>
      <c r="D157" t="e">
        <f>AND(#REF!,"AAAAAH17/QM=")</f>
        <v>#REF!</v>
      </c>
      <c r="E157" t="e">
        <f>AND(#REF!,"AAAAAH17/QQ=")</f>
        <v>#REF!</v>
      </c>
      <c r="F157" t="e">
        <f>AND(#REF!,"AAAAAH17/QU=")</f>
        <v>#REF!</v>
      </c>
      <c r="G157" t="e">
        <f>AND(#REF!,"AAAAAH17/QY=")</f>
        <v>#REF!</v>
      </c>
      <c r="H157" t="e">
        <f>AND(#REF!,"AAAAAH17/Qc=")</f>
        <v>#REF!</v>
      </c>
      <c r="I157" t="e">
        <f>AND(#REF!,"AAAAAH17/Qg=")</f>
        <v>#REF!</v>
      </c>
      <c r="J157" t="e">
        <f>AND(#REF!,"AAAAAH17/Qk=")</f>
        <v>#REF!</v>
      </c>
      <c r="K157" t="e">
        <f>AND(#REF!,"AAAAAH17/Qo=")</f>
        <v>#REF!</v>
      </c>
      <c r="L157" t="e">
        <f>AND(#REF!,"AAAAAH17/Qs=")</f>
        <v>#REF!</v>
      </c>
      <c r="M157" t="e">
        <f>AND(#REF!,"AAAAAH17/Qw=")</f>
        <v>#REF!</v>
      </c>
      <c r="N157" t="e">
        <f>AND(#REF!,"AAAAAH17/Q0=")</f>
        <v>#REF!</v>
      </c>
      <c r="O157" t="e">
        <f>AND(#REF!,"AAAAAH17/Q4=")</f>
        <v>#REF!</v>
      </c>
      <c r="P157" t="e">
        <f>AND(#REF!,"AAAAAH17/Q8=")</f>
        <v>#REF!</v>
      </c>
      <c r="Q157" t="e">
        <f>AND(#REF!,"AAAAAH17/RA=")</f>
        <v>#REF!</v>
      </c>
      <c r="R157" t="e">
        <f>AND(#REF!,"AAAAAH17/RE=")</f>
        <v>#REF!</v>
      </c>
      <c r="S157" t="e">
        <f>AND(#REF!,"AAAAAH17/RI=")</f>
        <v>#REF!</v>
      </c>
      <c r="T157" t="e">
        <f>AND(#REF!,"AAAAAH17/RM=")</f>
        <v>#REF!</v>
      </c>
      <c r="U157" t="e">
        <f>AND(#REF!,"AAAAAH17/RQ=")</f>
        <v>#REF!</v>
      </c>
      <c r="V157" t="e">
        <f>AND(#REF!,"AAAAAH17/RU=")</f>
        <v>#REF!</v>
      </c>
      <c r="W157" t="e">
        <f>AND(#REF!,"AAAAAH17/RY=")</f>
        <v>#REF!</v>
      </c>
      <c r="X157" t="e">
        <f>AND(#REF!,"AAAAAH17/Rc=")</f>
        <v>#REF!</v>
      </c>
      <c r="Y157" t="e">
        <f>IF(#REF!,"AAAAAH17/Rg=",0)</f>
        <v>#REF!</v>
      </c>
      <c r="Z157" t="e">
        <f>AND(#REF!,"AAAAAH17/Rk=")</f>
        <v>#REF!</v>
      </c>
      <c r="AA157" t="e">
        <f>AND(#REF!,"AAAAAH17/Ro=")</f>
        <v>#REF!</v>
      </c>
      <c r="AB157" t="e">
        <f>AND(#REF!,"AAAAAH17/Rs=")</f>
        <v>#REF!</v>
      </c>
      <c r="AC157" t="e">
        <f>AND(#REF!,"AAAAAH17/Rw=")</f>
        <v>#REF!</v>
      </c>
      <c r="AD157" t="e">
        <f>AND(#REF!,"AAAAAH17/R0=")</f>
        <v>#REF!</v>
      </c>
      <c r="AE157" t="e">
        <f>AND(#REF!,"AAAAAH17/R4=")</f>
        <v>#REF!</v>
      </c>
      <c r="AF157" t="e">
        <f>AND(#REF!,"AAAAAH17/R8=")</f>
        <v>#REF!</v>
      </c>
      <c r="AG157" t="e">
        <f>AND(#REF!,"AAAAAH17/SA=")</f>
        <v>#REF!</v>
      </c>
      <c r="AH157" t="e">
        <f>AND(#REF!,"AAAAAH17/SE=")</f>
        <v>#REF!</v>
      </c>
      <c r="AI157" t="e">
        <f>AND(#REF!,"AAAAAH17/SI=")</f>
        <v>#REF!</v>
      </c>
      <c r="AJ157" t="e">
        <f>AND(#REF!,"AAAAAH17/SM=")</f>
        <v>#REF!</v>
      </c>
      <c r="AK157" t="e">
        <f>AND(#REF!,"AAAAAH17/SQ=")</f>
        <v>#REF!</v>
      </c>
      <c r="AL157" t="e">
        <f>AND(#REF!,"AAAAAH17/SU=")</f>
        <v>#REF!</v>
      </c>
      <c r="AM157" t="e">
        <f>AND(#REF!,"AAAAAH17/SY=")</f>
        <v>#REF!</v>
      </c>
      <c r="AN157" t="e">
        <f>AND(#REF!,"AAAAAH17/Sc=")</f>
        <v>#REF!</v>
      </c>
      <c r="AO157" t="e">
        <f>AND(#REF!,"AAAAAH17/Sg=")</f>
        <v>#REF!</v>
      </c>
      <c r="AP157" t="e">
        <f>AND(#REF!,"AAAAAH17/Sk=")</f>
        <v>#REF!</v>
      </c>
      <c r="AQ157" t="e">
        <f>AND(#REF!,"AAAAAH17/So=")</f>
        <v>#REF!</v>
      </c>
      <c r="AR157" t="e">
        <f>AND(#REF!,"AAAAAH17/Ss=")</f>
        <v>#REF!</v>
      </c>
      <c r="AS157" t="e">
        <f>AND(#REF!,"AAAAAH17/Sw=")</f>
        <v>#REF!</v>
      </c>
      <c r="AT157" t="e">
        <f>AND(#REF!,"AAAAAH17/S0=")</f>
        <v>#REF!</v>
      </c>
      <c r="AU157" t="e">
        <f>AND(#REF!,"AAAAAH17/S4=")</f>
        <v>#REF!</v>
      </c>
      <c r="AV157" t="e">
        <f>AND(#REF!,"AAAAAH17/S8=")</f>
        <v>#REF!</v>
      </c>
      <c r="AW157" t="e">
        <f>AND(#REF!,"AAAAAH17/TA=")</f>
        <v>#REF!</v>
      </c>
      <c r="AX157" t="e">
        <f>IF(#REF!,"AAAAAH17/TE=",0)</f>
        <v>#REF!</v>
      </c>
      <c r="AY157" t="e">
        <f>AND(#REF!,"AAAAAH17/TI=")</f>
        <v>#REF!</v>
      </c>
      <c r="AZ157" t="e">
        <f>AND(#REF!,"AAAAAH17/TM=")</f>
        <v>#REF!</v>
      </c>
      <c r="BA157" t="e">
        <f>AND(#REF!,"AAAAAH17/TQ=")</f>
        <v>#REF!</v>
      </c>
      <c r="BB157" t="e">
        <f>AND(#REF!,"AAAAAH17/TU=")</f>
        <v>#REF!</v>
      </c>
      <c r="BC157" t="e">
        <f>AND(#REF!,"AAAAAH17/TY=")</f>
        <v>#REF!</v>
      </c>
      <c r="BD157" t="e">
        <f>AND(#REF!,"AAAAAH17/Tc=")</f>
        <v>#REF!</v>
      </c>
      <c r="BE157" t="e">
        <f>AND(#REF!,"AAAAAH17/Tg=")</f>
        <v>#REF!</v>
      </c>
      <c r="BF157" t="e">
        <f>AND(#REF!,"AAAAAH17/Tk=")</f>
        <v>#REF!</v>
      </c>
      <c r="BG157" t="e">
        <f>AND(#REF!,"AAAAAH17/To=")</f>
        <v>#REF!</v>
      </c>
      <c r="BH157" t="e">
        <f>AND(#REF!,"AAAAAH17/Ts=")</f>
        <v>#REF!</v>
      </c>
      <c r="BI157" t="e">
        <f>AND(#REF!,"AAAAAH17/Tw=")</f>
        <v>#REF!</v>
      </c>
      <c r="BJ157" t="e">
        <f>AND(#REF!,"AAAAAH17/T0=")</f>
        <v>#REF!</v>
      </c>
      <c r="BK157" t="e">
        <f>AND(#REF!,"AAAAAH17/T4=")</f>
        <v>#REF!</v>
      </c>
      <c r="BL157" t="e">
        <f>AND(#REF!,"AAAAAH17/T8=")</f>
        <v>#REF!</v>
      </c>
      <c r="BM157" t="e">
        <f>AND(#REF!,"AAAAAH17/UA=")</f>
        <v>#REF!</v>
      </c>
      <c r="BN157" t="e">
        <f>AND(#REF!,"AAAAAH17/UE=")</f>
        <v>#REF!</v>
      </c>
      <c r="BO157" t="e">
        <f>AND(#REF!,"AAAAAH17/UI=")</f>
        <v>#REF!</v>
      </c>
      <c r="BP157" t="e">
        <f>AND(#REF!,"AAAAAH17/UM=")</f>
        <v>#REF!</v>
      </c>
      <c r="BQ157" t="e">
        <f>AND(#REF!,"AAAAAH17/UQ=")</f>
        <v>#REF!</v>
      </c>
      <c r="BR157" t="e">
        <f>AND(#REF!,"AAAAAH17/UU=")</f>
        <v>#REF!</v>
      </c>
      <c r="BS157" t="e">
        <f>AND(#REF!,"AAAAAH17/UY=")</f>
        <v>#REF!</v>
      </c>
      <c r="BT157" t="e">
        <f>AND(#REF!,"AAAAAH17/Uc=")</f>
        <v>#REF!</v>
      </c>
      <c r="BU157" t="e">
        <f>AND(#REF!,"AAAAAH17/Ug=")</f>
        <v>#REF!</v>
      </c>
      <c r="BV157" t="e">
        <f>AND(#REF!,"AAAAAH17/Uk=")</f>
        <v>#REF!</v>
      </c>
      <c r="BW157" t="e">
        <f>IF(#REF!,"AAAAAH17/Uo=",0)</f>
        <v>#REF!</v>
      </c>
      <c r="BX157" t="e">
        <f>AND(#REF!,"AAAAAH17/Us=")</f>
        <v>#REF!</v>
      </c>
      <c r="BY157" t="e">
        <f>AND(#REF!,"AAAAAH17/Uw=")</f>
        <v>#REF!</v>
      </c>
      <c r="BZ157" t="e">
        <f>AND(#REF!,"AAAAAH17/U0=")</f>
        <v>#REF!</v>
      </c>
      <c r="CA157" t="e">
        <f>AND(#REF!,"AAAAAH17/U4=")</f>
        <v>#REF!</v>
      </c>
      <c r="CB157" t="e">
        <f>AND(#REF!,"AAAAAH17/U8=")</f>
        <v>#REF!</v>
      </c>
      <c r="CC157" t="e">
        <f>AND(#REF!,"AAAAAH17/VA=")</f>
        <v>#REF!</v>
      </c>
      <c r="CD157" t="e">
        <f>AND(#REF!,"AAAAAH17/VE=")</f>
        <v>#REF!</v>
      </c>
      <c r="CE157" t="e">
        <f>AND(#REF!,"AAAAAH17/VI=")</f>
        <v>#REF!</v>
      </c>
      <c r="CF157" t="e">
        <f>AND(#REF!,"AAAAAH17/VM=")</f>
        <v>#REF!</v>
      </c>
      <c r="CG157" t="e">
        <f>AND(#REF!,"AAAAAH17/VQ=")</f>
        <v>#REF!</v>
      </c>
      <c r="CH157" t="e">
        <f>AND(#REF!,"AAAAAH17/VU=")</f>
        <v>#REF!</v>
      </c>
      <c r="CI157" t="e">
        <f>AND(#REF!,"AAAAAH17/VY=")</f>
        <v>#REF!</v>
      </c>
      <c r="CJ157" t="e">
        <f>AND(#REF!,"AAAAAH17/Vc=")</f>
        <v>#REF!</v>
      </c>
      <c r="CK157" t="e">
        <f>AND(#REF!,"AAAAAH17/Vg=")</f>
        <v>#REF!</v>
      </c>
      <c r="CL157" t="e">
        <f>AND(#REF!,"AAAAAH17/Vk=")</f>
        <v>#REF!</v>
      </c>
      <c r="CM157" t="e">
        <f>AND(#REF!,"AAAAAH17/Vo=")</f>
        <v>#REF!</v>
      </c>
      <c r="CN157" t="e">
        <f>AND(#REF!,"AAAAAH17/Vs=")</f>
        <v>#REF!</v>
      </c>
      <c r="CO157" t="e">
        <f>AND(#REF!,"AAAAAH17/Vw=")</f>
        <v>#REF!</v>
      </c>
      <c r="CP157" t="e">
        <f>AND(#REF!,"AAAAAH17/V0=")</f>
        <v>#REF!</v>
      </c>
      <c r="CQ157" t="e">
        <f>AND(#REF!,"AAAAAH17/V4=")</f>
        <v>#REF!</v>
      </c>
      <c r="CR157" t="e">
        <f>AND(#REF!,"AAAAAH17/V8=")</f>
        <v>#REF!</v>
      </c>
      <c r="CS157" t="e">
        <f>AND(#REF!,"AAAAAH17/WA=")</f>
        <v>#REF!</v>
      </c>
      <c r="CT157" t="e">
        <f>AND(#REF!,"AAAAAH17/WE=")</f>
        <v>#REF!</v>
      </c>
      <c r="CU157" t="e">
        <f>AND(#REF!,"AAAAAH17/WI=")</f>
        <v>#REF!</v>
      </c>
      <c r="CV157" t="e">
        <f>IF(#REF!,"AAAAAH17/WM=",0)</f>
        <v>#REF!</v>
      </c>
      <c r="CW157" t="e">
        <f>AND(#REF!,"AAAAAH17/WQ=")</f>
        <v>#REF!</v>
      </c>
      <c r="CX157" t="e">
        <f>AND(#REF!,"AAAAAH17/WU=")</f>
        <v>#REF!</v>
      </c>
      <c r="CY157" t="e">
        <f>AND(#REF!,"AAAAAH17/WY=")</f>
        <v>#REF!</v>
      </c>
      <c r="CZ157" t="e">
        <f>AND(#REF!,"AAAAAH17/Wc=")</f>
        <v>#REF!</v>
      </c>
      <c r="DA157" t="e">
        <f>AND(#REF!,"AAAAAH17/Wg=")</f>
        <v>#REF!</v>
      </c>
      <c r="DB157" t="e">
        <f>AND(#REF!,"AAAAAH17/Wk=")</f>
        <v>#REF!</v>
      </c>
      <c r="DC157" t="e">
        <f>AND(#REF!,"AAAAAH17/Wo=")</f>
        <v>#REF!</v>
      </c>
      <c r="DD157" t="e">
        <f>AND(#REF!,"AAAAAH17/Ws=")</f>
        <v>#REF!</v>
      </c>
      <c r="DE157" t="e">
        <f>AND(#REF!,"AAAAAH17/Ww=")</f>
        <v>#REF!</v>
      </c>
      <c r="DF157" t="e">
        <f>AND(#REF!,"AAAAAH17/W0=")</f>
        <v>#REF!</v>
      </c>
      <c r="DG157" t="e">
        <f>AND(#REF!,"AAAAAH17/W4=")</f>
        <v>#REF!</v>
      </c>
      <c r="DH157" t="e">
        <f>AND(#REF!,"AAAAAH17/W8=")</f>
        <v>#REF!</v>
      </c>
      <c r="DI157" t="e">
        <f>AND(#REF!,"AAAAAH17/XA=")</f>
        <v>#REF!</v>
      </c>
      <c r="DJ157" t="e">
        <f>AND(#REF!,"AAAAAH17/XE=")</f>
        <v>#REF!</v>
      </c>
      <c r="DK157" t="e">
        <f>AND(#REF!,"AAAAAH17/XI=")</f>
        <v>#REF!</v>
      </c>
      <c r="DL157" t="e">
        <f>AND(#REF!,"AAAAAH17/XM=")</f>
        <v>#REF!</v>
      </c>
      <c r="DM157" t="e">
        <f>AND(#REF!,"AAAAAH17/XQ=")</f>
        <v>#REF!</v>
      </c>
      <c r="DN157" t="e">
        <f>AND(#REF!,"AAAAAH17/XU=")</f>
        <v>#REF!</v>
      </c>
      <c r="DO157" t="e">
        <f>AND(#REF!,"AAAAAH17/XY=")</f>
        <v>#REF!</v>
      </c>
      <c r="DP157" t="e">
        <f>AND(#REF!,"AAAAAH17/Xc=")</f>
        <v>#REF!</v>
      </c>
      <c r="DQ157" t="e">
        <f>AND(#REF!,"AAAAAH17/Xg=")</f>
        <v>#REF!</v>
      </c>
      <c r="DR157" t="e">
        <f>AND(#REF!,"AAAAAH17/Xk=")</f>
        <v>#REF!</v>
      </c>
      <c r="DS157" t="e">
        <f>AND(#REF!,"AAAAAH17/Xo=")</f>
        <v>#REF!</v>
      </c>
      <c r="DT157" t="e">
        <f>AND(#REF!,"AAAAAH17/Xs=")</f>
        <v>#REF!</v>
      </c>
      <c r="DU157" t="e">
        <f>IF(#REF!,"AAAAAH17/Xw=",0)</f>
        <v>#REF!</v>
      </c>
      <c r="DV157" t="e">
        <f>AND(#REF!,"AAAAAH17/X0=")</f>
        <v>#REF!</v>
      </c>
      <c r="DW157" t="e">
        <f>AND(#REF!,"AAAAAH17/X4=")</f>
        <v>#REF!</v>
      </c>
      <c r="DX157" t="e">
        <f>AND(#REF!,"AAAAAH17/X8=")</f>
        <v>#REF!</v>
      </c>
      <c r="DY157" t="e">
        <f>AND(#REF!,"AAAAAH17/YA=")</f>
        <v>#REF!</v>
      </c>
      <c r="DZ157" t="e">
        <f>AND(#REF!,"AAAAAH17/YE=")</f>
        <v>#REF!</v>
      </c>
      <c r="EA157" t="e">
        <f>AND(#REF!,"AAAAAH17/YI=")</f>
        <v>#REF!</v>
      </c>
      <c r="EB157" t="e">
        <f>AND(#REF!,"AAAAAH17/YM=")</f>
        <v>#REF!</v>
      </c>
      <c r="EC157" t="e">
        <f>AND(#REF!,"AAAAAH17/YQ=")</f>
        <v>#REF!</v>
      </c>
      <c r="ED157" t="e">
        <f>AND(#REF!,"AAAAAH17/YU=")</f>
        <v>#REF!</v>
      </c>
      <c r="EE157" t="e">
        <f>AND(#REF!,"AAAAAH17/YY=")</f>
        <v>#REF!</v>
      </c>
      <c r="EF157" t="e">
        <f>AND(#REF!,"AAAAAH17/Yc=")</f>
        <v>#REF!</v>
      </c>
      <c r="EG157" t="e">
        <f>AND(#REF!,"AAAAAH17/Yg=")</f>
        <v>#REF!</v>
      </c>
      <c r="EH157" t="e">
        <f>AND(#REF!,"AAAAAH17/Yk=")</f>
        <v>#REF!</v>
      </c>
      <c r="EI157" t="e">
        <f>AND(#REF!,"AAAAAH17/Yo=")</f>
        <v>#REF!</v>
      </c>
      <c r="EJ157" t="e">
        <f>AND(#REF!,"AAAAAH17/Ys=")</f>
        <v>#REF!</v>
      </c>
      <c r="EK157" t="e">
        <f>AND(#REF!,"AAAAAH17/Yw=")</f>
        <v>#REF!</v>
      </c>
      <c r="EL157" t="e">
        <f>AND(#REF!,"AAAAAH17/Y0=")</f>
        <v>#REF!</v>
      </c>
      <c r="EM157" t="e">
        <f>AND(#REF!,"AAAAAH17/Y4=")</f>
        <v>#REF!</v>
      </c>
      <c r="EN157" t="e">
        <f>AND(#REF!,"AAAAAH17/Y8=")</f>
        <v>#REF!</v>
      </c>
      <c r="EO157" t="e">
        <f>AND(#REF!,"AAAAAH17/ZA=")</f>
        <v>#REF!</v>
      </c>
      <c r="EP157" t="e">
        <f>AND(#REF!,"AAAAAH17/ZE=")</f>
        <v>#REF!</v>
      </c>
      <c r="EQ157" t="e">
        <f>AND(#REF!,"AAAAAH17/ZI=")</f>
        <v>#REF!</v>
      </c>
      <c r="ER157" t="e">
        <f>AND(#REF!,"AAAAAH17/ZM=")</f>
        <v>#REF!</v>
      </c>
      <c r="ES157" t="e">
        <f>AND(#REF!,"AAAAAH17/ZQ=")</f>
        <v>#REF!</v>
      </c>
      <c r="ET157" t="e">
        <f>IF(#REF!,"AAAAAH17/ZU=",0)</f>
        <v>#REF!</v>
      </c>
      <c r="EU157" t="e">
        <f>AND(#REF!,"AAAAAH17/ZY=")</f>
        <v>#REF!</v>
      </c>
      <c r="EV157" t="e">
        <f>AND(#REF!,"AAAAAH17/Zc=")</f>
        <v>#REF!</v>
      </c>
      <c r="EW157" t="e">
        <f>AND(#REF!,"AAAAAH17/Zg=")</f>
        <v>#REF!</v>
      </c>
      <c r="EX157" t="e">
        <f>AND(#REF!,"AAAAAH17/Zk=")</f>
        <v>#REF!</v>
      </c>
      <c r="EY157" t="e">
        <f>AND(#REF!,"AAAAAH17/Zo=")</f>
        <v>#REF!</v>
      </c>
      <c r="EZ157" t="e">
        <f>AND(#REF!,"AAAAAH17/Zs=")</f>
        <v>#REF!</v>
      </c>
      <c r="FA157" t="e">
        <f>AND(#REF!,"AAAAAH17/Zw=")</f>
        <v>#REF!</v>
      </c>
      <c r="FB157" t="e">
        <f>AND(#REF!,"AAAAAH17/Z0=")</f>
        <v>#REF!</v>
      </c>
      <c r="FC157" t="e">
        <f>AND(#REF!,"AAAAAH17/Z4=")</f>
        <v>#REF!</v>
      </c>
      <c r="FD157" t="e">
        <f>AND(#REF!,"AAAAAH17/Z8=")</f>
        <v>#REF!</v>
      </c>
      <c r="FE157" t="e">
        <f>AND(#REF!,"AAAAAH17/aA=")</f>
        <v>#REF!</v>
      </c>
      <c r="FF157" t="e">
        <f>AND(#REF!,"AAAAAH17/aE=")</f>
        <v>#REF!</v>
      </c>
      <c r="FG157" t="e">
        <f>AND(#REF!,"AAAAAH17/aI=")</f>
        <v>#REF!</v>
      </c>
      <c r="FH157" t="e">
        <f>AND(#REF!,"AAAAAH17/aM=")</f>
        <v>#REF!</v>
      </c>
      <c r="FI157" t="e">
        <f>AND(#REF!,"AAAAAH17/aQ=")</f>
        <v>#REF!</v>
      </c>
      <c r="FJ157" t="e">
        <f>AND(#REF!,"AAAAAH17/aU=")</f>
        <v>#REF!</v>
      </c>
      <c r="FK157" t="e">
        <f>AND(#REF!,"AAAAAH17/aY=")</f>
        <v>#REF!</v>
      </c>
      <c r="FL157" t="e">
        <f>AND(#REF!,"AAAAAH17/ac=")</f>
        <v>#REF!</v>
      </c>
      <c r="FM157" t="e">
        <f>AND(#REF!,"AAAAAH17/ag=")</f>
        <v>#REF!</v>
      </c>
      <c r="FN157" t="e">
        <f>AND(#REF!,"AAAAAH17/ak=")</f>
        <v>#REF!</v>
      </c>
      <c r="FO157" t="e">
        <f>AND(#REF!,"AAAAAH17/ao=")</f>
        <v>#REF!</v>
      </c>
      <c r="FP157" t="e">
        <f>AND(#REF!,"AAAAAH17/as=")</f>
        <v>#REF!</v>
      </c>
      <c r="FQ157" t="e">
        <f>AND(#REF!,"AAAAAH17/aw=")</f>
        <v>#REF!</v>
      </c>
      <c r="FR157" t="e">
        <f>AND(#REF!,"AAAAAH17/a0=")</f>
        <v>#REF!</v>
      </c>
      <c r="FS157" t="e">
        <f>IF(#REF!,"AAAAAH17/a4=",0)</f>
        <v>#REF!</v>
      </c>
      <c r="FT157" t="e">
        <f>AND(#REF!,"AAAAAH17/a8=")</f>
        <v>#REF!</v>
      </c>
      <c r="FU157" t="e">
        <f>AND(#REF!,"AAAAAH17/bA=")</f>
        <v>#REF!</v>
      </c>
      <c r="FV157" t="e">
        <f>AND(#REF!,"AAAAAH17/bE=")</f>
        <v>#REF!</v>
      </c>
      <c r="FW157" t="e">
        <f>AND(#REF!,"AAAAAH17/bI=")</f>
        <v>#REF!</v>
      </c>
      <c r="FX157" t="e">
        <f>AND(#REF!,"AAAAAH17/bM=")</f>
        <v>#REF!</v>
      </c>
      <c r="FY157" t="e">
        <f>AND(#REF!,"AAAAAH17/bQ=")</f>
        <v>#REF!</v>
      </c>
      <c r="FZ157" t="e">
        <f>AND(#REF!,"AAAAAH17/bU=")</f>
        <v>#REF!</v>
      </c>
      <c r="GA157" t="e">
        <f>AND(#REF!,"AAAAAH17/bY=")</f>
        <v>#REF!</v>
      </c>
      <c r="GB157" t="e">
        <f>AND(#REF!,"AAAAAH17/bc=")</f>
        <v>#REF!</v>
      </c>
      <c r="GC157" t="e">
        <f>AND(#REF!,"AAAAAH17/bg=")</f>
        <v>#REF!</v>
      </c>
      <c r="GD157" t="e">
        <f>AND(#REF!,"AAAAAH17/bk=")</f>
        <v>#REF!</v>
      </c>
      <c r="GE157" t="e">
        <f>AND(#REF!,"AAAAAH17/bo=")</f>
        <v>#REF!</v>
      </c>
      <c r="GF157" t="e">
        <f>AND(#REF!,"AAAAAH17/bs=")</f>
        <v>#REF!</v>
      </c>
      <c r="GG157" t="e">
        <f>AND(#REF!,"AAAAAH17/bw=")</f>
        <v>#REF!</v>
      </c>
      <c r="GH157" t="e">
        <f>AND(#REF!,"AAAAAH17/b0=")</f>
        <v>#REF!</v>
      </c>
      <c r="GI157" t="e">
        <f>AND(#REF!,"AAAAAH17/b4=")</f>
        <v>#REF!</v>
      </c>
      <c r="GJ157" t="e">
        <f>AND(#REF!,"AAAAAH17/b8=")</f>
        <v>#REF!</v>
      </c>
      <c r="GK157" t="e">
        <f>AND(#REF!,"AAAAAH17/cA=")</f>
        <v>#REF!</v>
      </c>
      <c r="GL157" t="e">
        <f>AND(#REF!,"AAAAAH17/cE=")</f>
        <v>#REF!</v>
      </c>
      <c r="GM157" t="e">
        <f>AND(#REF!,"AAAAAH17/cI=")</f>
        <v>#REF!</v>
      </c>
      <c r="GN157" t="e">
        <f>AND(#REF!,"AAAAAH17/cM=")</f>
        <v>#REF!</v>
      </c>
      <c r="GO157" t="e">
        <f>AND(#REF!,"AAAAAH17/cQ=")</f>
        <v>#REF!</v>
      </c>
      <c r="GP157" t="e">
        <f>AND(#REF!,"AAAAAH17/cU=")</f>
        <v>#REF!</v>
      </c>
      <c r="GQ157" t="e">
        <f>AND(#REF!,"AAAAAH17/cY=")</f>
        <v>#REF!</v>
      </c>
      <c r="GR157" t="e">
        <f>IF(#REF!,"AAAAAH17/cc=",0)</f>
        <v>#REF!</v>
      </c>
      <c r="GS157" t="e">
        <f>AND(#REF!,"AAAAAH17/cg=")</f>
        <v>#REF!</v>
      </c>
      <c r="GT157" t="e">
        <f>AND(#REF!,"AAAAAH17/ck=")</f>
        <v>#REF!</v>
      </c>
      <c r="GU157" t="e">
        <f>AND(#REF!,"AAAAAH17/co=")</f>
        <v>#REF!</v>
      </c>
      <c r="GV157" t="e">
        <f>AND(#REF!,"AAAAAH17/cs=")</f>
        <v>#REF!</v>
      </c>
      <c r="GW157" t="e">
        <f>AND(#REF!,"AAAAAH17/cw=")</f>
        <v>#REF!</v>
      </c>
      <c r="GX157" t="e">
        <f>AND(#REF!,"AAAAAH17/c0=")</f>
        <v>#REF!</v>
      </c>
      <c r="GY157" t="e">
        <f>AND(#REF!,"AAAAAH17/c4=")</f>
        <v>#REF!</v>
      </c>
      <c r="GZ157" t="e">
        <f>AND(#REF!,"AAAAAH17/c8=")</f>
        <v>#REF!</v>
      </c>
      <c r="HA157" t="e">
        <f>AND(#REF!,"AAAAAH17/dA=")</f>
        <v>#REF!</v>
      </c>
      <c r="HB157" t="e">
        <f>AND(#REF!,"AAAAAH17/dE=")</f>
        <v>#REF!</v>
      </c>
      <c r="HC157" t="e">
        <f>AND(#REF!,"AAAAAH17/dI=")</f>
        <v>#REF!</v>
      </c>
      <c r="HD157" t="e">
        <f>AND(#REF!,"AAAAAH17/dM=")</f>
        <v>#REF!</v>
      </c>
      <c r="HE157" t="e">
        <f>AND(#REF!,"AAAAAH17/dQ=")</f>
        <v>#REF!</v>
      </c>
      <c r="HF157" t="e">
        <f>AND(#REF!,"AAAAAH17/dU=")</f>
        <v>#REF!</v>
      </c>
      <c r="HG157" t="e">
        <f>AND(#REF!,"AAAAAH17/dY=")</f>
        <v>#REF!</v>
      </c>
      <c r="HH157" t="e">
        <f>AND(#REF!,"AAAAAH17/dc=")</f>
        <v>#REF!</v>
      </c>
      <c r="HI157" t="e">
        <f>AND(#REF!,"AAAAAH17/dg=")</f>
        <v>#REF!</v>
      </c>
      <c r="HJ157" t="e">
        <f>AND(#REF!,"AAAAAH17/dk=")</f>
        <v>#REF!</v>
      </c>
      <c r="HK157" t="e">
        <f>AND(#REF!,"AAAAAH17/do=")</f>
        <v>#REF!</v>
      </c>
      <c r="HL157" t="e">
        <f>AND(#REF!,"AAAAAH17/ds=")</f>
        <v>#REF!</v>
      </c>
      <c r="HM157" t="e">
        <f>AND(#REF!,"AAAAAH17/dw=")</f>
        <v>#REF!</v>
      </c>
      <c r="HN157" t="e">
        <f>AND(#REF!,"AAAAAH17/d0=")</f>
        <v>#REF!</v>
      </c>
      <c r="HO157" t="e">
        <f>AND(#REF!,"AAAAAH17/d4=")</f>
        <v>#REF!</v>
      </c>
      <c r="HP157" t="e">
        <f>AND(#REF!,"AAAAAH17/d8=")</f>
        <v>#REF!</v>
      </c>
      <c r="HQ157" t="e">
        <f>IF(#REF!,"AAAAAH17/eA=",0)</f>
        <v>#REF!</v>
      </c>
      <c r="HR157" t="e">
        <f>AND(#REF!,"AAAAAH17/eE=")</f>
        <v>#REF!</v>
      </c>
      <c r="HS157" t="e">
        <f>AND(#REF!,"AAAAAH17/eI=")</f>
        <v>#REF!</v>
      </c>
      <c r="HT157" t="e">
        <f>AND(#REF!,"AAAAAH17/eM=")</f>
        <v>#REF!</v>
      </c>
      <c r="HU157" t="e">
        <f>AND(#REF!,"AAAAAH17/eQ=")</f>
        <v>#REF!</v>
      </c>
      <c r="HV157" t="e">
        <f>AND(#REF!,"AAAAAH17/eU=")</f>
        <v>#REF!</v>
      </c>
      <c r="HW157" t="e">
        <f>AND(#REF!,"AAAAAH17/eY=")</f>
        <v>#REF!</v>
      </c>
      <c r="HX157" t="e">
        <f>AND(#REF!,"AAAAAH17/ec=")</f>
        <v>#REF!</v>
      </c>
      <c r="HY157" t="e">
        <f>AND(#REF!,"AAAAAH17/eg=")</f>
        <v>#REF!</v>
      </c>
      <c r="HZ157" t="e">
        <f>AND(#REF!,"AAAAAH17/ek=")</f>
        <v>#REF!</v>
      </c>
      <c r="IA157" t="e">
        <f>AND(#REF!,"AAAAAH17/eo=")</f>
        <v>#REF!</v>
      </c>
      <c r="IB157" t="e">
        <f>AND(#REF!,"AAAAAH17/es=")</f>
        <v>#REF!</v>
      </c>
      <c r="IC157" t="e">
        <f>AND(#REF!,"AAAAAH17/ew=")</f>
        <v>#REF!</v>
      </c>
      <c r="ID157" t="e">
        <f>AND(#REF!,"AAAAAH17/e0=")</f>
        <v>#REF!</v>
      </c>
      <c r="IE157" t="e">
        <f>AND(#REF!,"AAAAAH17/e4=")</f>
        <v>#REF!</v>
      </c>
      <c r="IF157" t="e">
        <f>AND(#REF!,"AAAAAH17/e8=")</f>
        <v>#REF!</v>
      </c>
      <c r="IG157" t="e">
        <f>AND(#REF!,"AAAAAH17/fA=")</f>
        <v>#REF!</v>
      </c>
      <c r="IH157" t="e">
        <f>AND(#REF!,"AAAAAH17/fE=")</f>
        <v>#REF!</v>
      </c>
      <c r="II157" t="e">
        <f>AND(#REF!,"AAAAAH17/fI=")</f>
        <v>#REF!</v>
      </c>
      <c r="IJ157" t="e">
        <f>AND(#REF!,"AAAAAH17/fM=")</f>
        <v>#REF!</v>
      </c>
      <c r="IK157" t="e">
        <f>AND(#REF!,"AAAAAH17/fQ=")</f>
        <v>#REF!</v>
      </c>
      <c r="IL157" t="e">
        <f>AND(#REF!,"AAAAAH17/fU=")</f>
        <v>#REF!</v>
      </c>
      <c r="IM157" t="e">
        <f>AND(#REF!,"AAAAAH17/fY=")</f>
        <v>#REF!</v>
      </c>
      <c r="IN157" t="e">
        <f>AND(#REF!,"AAAAAH17/fc=")</f>
        <v>#REF!</v>
      </c>
      <c r="IO157" t="e">
        <f>AND(#REF!,"AAAAAH17/fg=")</f>
        <v>#REF!</v>
      </c>
      <c r="IP157" t="e">
        <f>IF(#REF!,"AAAAAH17/fk=",0)</f>
        <v>#REF!</v>
      </c>
      <c r="IQ157" t="e">
        <f>AND(#REF!,"AAAAAH17/fo=")</f>
        <v>#REF!</v>
      </c>
      <c r="IR157" t="e">
        <f>AND(#REF!,"AAAAAH17/fs=")</f>
        <v>#REF!</v>
      </c>
      <c r="IS157" t="e">
        <f>AND(#REF!,"AAAAAH17/fw=")</f>
        <v>#REF!</v>
      </c>
      <c r="IT157" t="e">
        <f>AND(#REF!,"AAAAAH17/f0=")</f>
        <v>#REF!</v>
      </c>
      <c r="IU157" t="e">
        <f>AND(#REF!,"AAAAAH17/f4=")</f>
        <v>#REF!</v>
      </c>
      <c r="IV157" t="e">
        <f>AND(#REF!,"AAAAAH17/f8=")</f>
        <v>#REF!</v>
      </c>
    </row>
    <row r="158" spans="1:256">
      <c r="A158" t="e">
        <f>AND(#REF!,"AAAAABk19wA=")</f>
        <v>#REF!</v>
      </c>
      <c r="B158" t="e">
        <f>AND(#REF!,"AAAAABk19wE=")</f>
        <v>#REF!</v>
      </c>
      <c r="C158" t="e">
        <f>AND(#REF!,"AAAAABk19wI=")</f>
        <v>#REF!</v>
      </c>
      <c r="D158" t="e">
        <f>AND(#REF!,"AAAAABk19wM=")</f>
        <v>#REF!</v>
      </c>
      <c r="E158" t="e">
        <f>AND(#REF!,"AAAAABk19wQ=")</f>
        <v>#REF!</v>
      </c>
      <c r="F158" t="e">
        <f>AND(#REF!,"AAAAABk19wU=")</f>
        <v>#REF!</v>
      </c>
      <c r="G158" t="e">
        <f>AND(#REF!,"AAAAABk19wY=")</f>
        <v>#REF!</v>
      </c>
      <c r="H158" t="e">
        <f>AND(#REF!,"AAAAABk19wc=")</f>
        <v>#REF!</v>
      </c>
      <c r="I158" t="e">
        <f>AND(#REF!,"AAAAABk19wg=")</f>
        <v>#REF!</v>
      </c>
      <c r="J158" t="e">
        <f>AND(#REF!,"AAAAABk19wk=")</f>
        <v>#REF!</v>
      </c>
      <c r="K158" t="e">
        <f>AND(#REF!,"AAAAABk19wo=")</f>
        <v>#REF!</v>
      </c>
      <c r="L158" t="e">
        <f>AND(#REF!,"AAAAABk19ws=")</f>
        <v>#REF!</v>
      </c>
      <c r="M158" t="e">
        <f>AND(#REF!,"AAAAABk19ww=")</f>
        <v>#REF!</v>
      </c>
      <c r="N158" t="e">
        <f>AND(#REF!,"AAAAABk19w0=")</f>
        <v>#REF!</v>
      </c>
      <c r="O158" t="e">
        <f>AND(#REF!,"AAAAABk19w4=")</f>
        <v>#REF!</v>
      </c>
      <c r="P158" t="e">
        <f>AND(#REF!,"AAAAABk19w8=")</f>
        <v>#REF!</v>
      </c>
      <c r="Q158" t="e">
        <f>AND(#REF!,"AAAAABk19xA=")</f>
        <v>#REF!</v>
      </c>
      <c r="R158" t="e">
        <f>AND(#REF!,"AAAAABk19xE=")</f>
        <v>#REF!</v>
      </c>
      <c r="S158" t="e">
        <f>IF(#REF!,"AAAAABk19xI=",0)</f>
        <v>#REF!</v>
      </c>
      <c r="T158" t="e">
        <f>AND(#REF!,"AAAAABk19xM=")</f>
        <v>#REF!</v>
      </c>
      <c r="U158" t="e">
        <f>AND(#REF!,"AAAAABk19xQ=")</f>
        <v>#REF!</v>
      </c>
      <c r="V158" t="e">
        <f>AND(#REF!,"AAAAABk19xU=")</f>
        <v>#REF!</v>
      </c>
      <c r="W158" t="e">
        <f>AND(#REF!,"AAAAABk19xY=")</f>
        <v>#REF!</v>
      </c>
      <c r="X158" t="e">
        <f>AND(#REF!,"AAAAABk19xc=")</f>
        <v>#REF!</v>
      </c>
      <c r="Y158" t="e">
        <f>AND(#REF!,"AAAAABk19xg=")</f>
        <v>#REF!</v>
      </c>
      <c r="Z158" t="e">
        <f>AND(#REF!,"AAAAABk19xk=")</f>
        <v>#REF!</v>
      </c>
      <c r="AA158" t="e">
        <f>AND(#REF!,"AAAAABk19xo=")</f>
        <v>#REF!</v>
      </c>
      <c r="AB158" t="e">
        <f>AND(#REF!,"AAAAABk19xs=")</f>
        <v>#REF!</v>
      </c>
      <c r="AC158" t="e">
        <f>AND(#REF!,"AAAAABk19xw=")</f>
        <v>#REF!</v>
      </c>
      <c r="AD158" t="e">
        <f>AND(#REF!,"AAAAABk19x0=")</f>
        <v>#REF!</v>
      </c>
      <c r="AE158" t="e">
        <f>AND(#REF!,"AAAAABk19x4=")</f>
        <v>#REF!</v>
      </c>
      <c r="AF158" t="e">
        <f>AND(#REF!,"AAAAABk19x8=")</f>
        <v>#REF!</v>
      </c>
      <c r="AG158" t="e">
        <f>AND(#REF!,"AAAAABk19yA=")</f>
        <v>#REF!</v>
      </c>
      <c r="AH158" t="e">
        <f>AND(#REF!,"AAAAABk19yE=")</f>
        <v>#REF!</v>
      </c>
      <c r="AI158" t="e">
        <f>AND(#REF!,"AAAAABk19yI=")</f>
        <v>#REF!</v>
      </c>
      <c r="AJ158" t="e">
        <f>AND(#REF!,"AAAAABk19yM=")</f>
        <v>#REF!</v>
      </c>
      <c r="AK158" t="e">
        <f>AND(#REF!,"AAAAABk19yQ=")</f>
        <v>#REF!</v>
      </c>
      <c r="AL158" t="e">
        <f>AND(#REF!,"AAAAABk19yU=")</f>
        <v>#REF!</v>
      </c>
      <c r="AM158" t="e">
        <f>AND(#REF!,"AAAAABk19yY=")</f>
        <v>#REF!</v>
      </c>
      <c r="AN158" t="e">
        <f>AND(#REF!,"AAAAABk19yc=")</f>
        <v>#REF!</v>
      </c>
      <c r="AO158" t="e">
        <f>AND(#REF!,"AAAAABk19yg=")</f>
        <v>#REF!</v>
      </c>
      <c r="AP158" t="e">
        <f>AND(#REF!,"AAAAABk19yk=")</f>
        <v>#REF!</v>
      </c>
      <c r="AQ158" t="e">
        <f>AND(#REF!,"AAAAABk19yo=")</f>
        <v>#REF!</v>
      </c>
      <c r="AR158" t="e">
        <f>IF(#REF!,"AAAAABk19ys=",0)</f>
        <v>#REF!</v>
      </c>
      <c r="AS158" t="e">
        <f>AND(#REF!,"AAAAABk19yw=")</f>
        <v>#REF!</v>
      </c>
      <c r="AT158" t="e">
        <f>AND(#REF!,"AAAAABk19y0=")</f>
        <v>#REF!</v>
      </c>
      <c r="AU158" t="e">
        <f>AND(#REF!,"AAAAABk19y4=")</f>
        <v>#REF!</v>
      </c>
      <c r="AV158" t="e">
        <f>AND(#REF!,"AAAAABk19y8=")</f>
        <v>#REF!</v>
      </c>
      <c r="AW158" t="e">
        <f>AND(#REF!,"AAAAABk19zA=")</f>
        <v>#REF!</v>
      </c>
      <c r="AX158" t="e">
        <f>AND(#REF!,"AAAAABk19zE=")</f>
        <v>#REF!</v>
      </c>
      <c r="AY158" t="e">
        <f>AND(#REF!,"AAAAABk19zI=")</f>
        <v>#REF!</v>
      </c>
      <c r="AZ158" t="e">
        <f>AND(#REF!,"AAAAABk19zM=")</f>
        <v>#REF!</v>
      </c>
      <c r="BA158" t="e">
        <f>AND(#REF!,"AAAAABk19zQ=")</f>
        <v>#REF!</v>
      </c>
      <c r="BB158" t="e">
        <f>AND(#REF!,"AAAAABk19zU=")</f>
        <v>#REF!</v>
      </c>
      <c r="BC158" t="e">
        <f>AND(#REF!,"AAAAABk19zY=")</f>
        <v>#REF!</v>
      </c>
      <c r="BD158" t="e">
        <f>AND(#REF!,"AAAAABk19zc=")</f>
        <v>#REF!</v>
      </c>
      <c r="BE158" t="e">
        <f>AND(#REF!,"AAAAABk19zg=")</f>
        <v>#REF!</v>
      </c>
      <c r="BF158" t="e">
        <f>AND(#REF!,"AAAAABk19zk=")</f>
        <v>#REF!</v>
      </c>
      <c r="BG158" t="e">
        <f>AND(#REF!,"AAAAABk19zo=")</f>
        <v>#REF!</v>
      </c>
      <c r="BH158" t="e">
        <f>AND(#REF!,"AAAAABk19zs=")</f>
        <v>#REF!</v>
      </c>
      <c r="BI158" t="e">
        <f>AND(#REF!,"AAAAABk19zw=")</f>
        <v>#REF!</v>
      </c>
      <c r="BJ158" t="e">
        <f>AND(#REF!,"AAAAABk19z0=")</f>
        <v>#REF!</v>
      </c>
      <c r="BK158" t="e">
        <f>AND(#REF!,"AAAAABk19z4=")</f>
        <v>#REF!</v>
      </c>
      <c r="BL158" t="e">
        <f>AND(#REF!,"AAAAABk19z8=")</f>
        <v>#REF!</v>
      </c>
      <c r="BM158" t="e">
        <f>AND(#REF!,"AAAAABk190A=")</f>
        <v>#REF!</v>
      </c>
      <c r="BN158" t="e">
        <f>AND(#REF!,"AAAAABk190E=")</f>
        <v>#REF!</v>
      </c>
      <c r="BO158" t="e">
        <f>AND(#REF!,"AAAAABk190I=")</f>
        <v>#REF!</v>
      </c>
      <c r="BP158" t="e">
        <f>AND(#REF!,"AAAAABk190M=")</f>
        <v>#REF!</v>
      </c>
      <c r="BQ158" t="e">
        <f>IF(#REF!,"AAAAABk190Q=",0)</f>
        <v>#REF!</v>
      </c>
      <c r="BR158" t="e">
        <f>AND(#REF!,"AAAAABk190U=")</f>
        <v>#REF!</v>
      </c>
      <c r="BS158" t="e">
        <f>AND(#REF!,"AAAAABk190Y=")</f>
        <v>#REF!</v>
      </c>
      <c r="BT158" t="e">
        <f>AND(#REF!,"AAAAABk190c=")</f>
        <v>#REF!</v>
      </c>
      <c r="BU158" t="e">
        <f>AND(#REF!,"AAAAABk190g=")</f>
        <v>#REF!</v>
      </c>
      <c r="BV158" t="e">
        <f>AND(#REF!,"AAAAABk190k=")</f>
        <v>#REF!</v>
      </c>
      <c r="BW158" t="e">
        <f>AND(#REF!,"AAAAABk190o=")</f>
        <v>#REF!</v>
      </c>
      <c r="BX158" t="e">
        <f>AND(#REF!,"AAAAABk190s=")</f>
        <v>#REF!</v>
      </c>
      <c r="BY158" t="e">
        <f>AND(#REF!,"AAAAABk190w=")</f>
        <v>#REF!</v>
      </c>
      <c r="BZ158" t="e">
        <f>AND(#REF!,"AAAAABk1900=")</f>
        <v>#REF!</v>
      </c>
      <c r="CA158" t="e">
        <f>AND(#REF!,"AAAAABk1904=")</f>
        <v>#REF!</v>
      </c>
      <c r="CB158" t="e">
        <f>AND(#REF!,"AAAAABk1908=")</f>
        <v>#REF!</v>
      </c>
      <c r="CC158" t="e">
        <f>AND(#REF!,"AAAAABk191A=")</f>
        <v>#REF!</v>
      </c>
      <c r="CD158" t="e">
        <f>AND(#REF!,"AAAAABk191E=")</f>
        <v>#REF!</v>
      </c>
      <c r="CE158" t="e">
        <f>AND(#REF!,"AAAAABk191I=")</f>
        <v>#REF!</v>
      </c>
      <c r="CF158" t="e">
        <f>AND(#REF!,"AAAAABk191M=")</f>
        <v>#REF!</v>
      </c>
      <c r="CG158" t="e">
        <f>AND(#REF!,"AAAAABk191Q=")</f>
        <v>#REF!</v>
      </c>
      <c r="CH158" t="e">
        <f>AND(#REF!,"AAAAABk191U=")</f>
        <v>#REF!</v>
      </c>
      <c r="CI158" t="e">
        <f>AND(#REF!,"AAAAABk191Y=")</f>
        <v>#REF!</v>
      </c>
      <c r="CJ158" t="e">
        <f>AND(#REF!,"AAAAABk191c=")</f>
        <v>#REF!</v>
      </c>
      <c r="CK158" t="e">
        <f>AND(#REF!,"AAAAABk191g=")</f>
        <v>#REF!</v>
      </c>
      <c r="CL158" t="e">
        <f>AND(#REF!,"AAAAABk191k=")</f>
        <v>#REF!</v>
      </c>
      <c r="CM158" t="e">
        <f>AND(#REF!,"AAAAABk191o=")</f>
        <v>#REF!</v>
      </c>
      <c r="CN158" t="e">
        <f>AND(#REF!,"AAAAABk191s=")</f>
        <v>#REF!</v>
      </c>
      <c r="CO158" t="e">
        <f>AND(#REF!,"AAAAABk191w=")</f>
        <v>#REF!</v>
      </c>
      <c r="CP158" t="e">
        <f>IF(#REF!,"AAAAABk1910=",0)</f>
        <v>#REF!</v>
      </c>
      <c r="CQ158" t="e">
        <f>AND(#REF!,"AAAAABk1914=")</f>
        <v>#REF!</v>
      </c>
      <c r="CR158" t="e">
        <f>AND(#REF!,"AAAAABk1918=")</f>
        <v>#REF!</v>
      </c>
      <c r="CS158" t="e">
        <f>AND(#REF!,"AAAAABk192A=")</f>
        <v>#REF!</v>
      </c>
      <c r="CT158" t="e">
        <f>AND(#REF!,"AAAAABk192E=")</f>
        <v>#REF!</v>
      </c>
      <c r="CU158" t="e">
        <f>AND(#REF!,"AAAAABk192I=")</f>
        <v>#REF!</v>
      </c>
      <c r="CV158" t="e">
        <f>AND(#REF!,"AAAAABk192M=")</f>
        <v>#REF!</v>
      </c>
      <c r="CW158" t="e">
        <f>AND(#REF!,"AAAAABk192Q=")</f>
        <v>#REF!</v>
      </c>
      <c r="CX158" t="e">
        <f>AND(#REF!,"AAAAABk192U=")</f>
        <v>#REF!</v>
      </c>
      <c r="CY158" t="e">
        <f>AND(#REF!,"AAAAABk192Y=")</f>
        <v>#REF!</v>
      </c>
      <c r="CZ158" t="e">
        <f>AND(#REF!,"AAAAABk192c=")</f>
        <v>#REF!</v>
      </c>
      <c r="DA158" t="e">
        <f>AND(#REF!,"AAAAABk192g=")</f>
        <v>#REF!</v>
      </c>
      <c r="DB158" t="e">
        <f>AND(#REF!,"AAAAABk192k=")</f>
        <v>#REF!</v>
      </c>
      <c r="DC158" t="e">
        <f>AND(#REF!,"AAAAABk192o=")</f>
        <v>#REF!</v>
      </c>
      <c r="DD158" t="e">
        <f>AND(#REF!,"AAAAABk192s=")</f>
        <v>#REF!</v>
      </c>
      <c r="DE158" t="e">
        <f>AND(#REF!,"AAAAABk192w=")</f>
        <v>#REF!</v>
      </c>
      <c r="DF158" t="e">
        <f>AND(#REF!,"AAAAABk1920=")</f>
        <v>#REF!</v>
      </c>
      <c r="DG158" t="e">
        <f>AND(#REF!,"AAAAABk1924=")</f>
        <v>#REF!</v>
      </c>
      <c r="DH158" t="e">
        <f>AND(#REF!,"AAAAABk1928=")</f>
        <v>#REF!</v>
      </c>
      <c r="DI158" t="e">
        <f>AND(#REF!,"AAAAABk193A=")</f>
        <v>#REF!</v>
      </c>
      <c r="DJ158" t="e">
        <f>AND(#REF!,"AAAAABk193E=")</f>
        <v>#REF!</v>
      </c>
      <c r="DK158" t="e">
        <f>AND(#REF!,"AAAAABk193I=")</f>
        <v>#REF!</v>
      </c>
      <c r="DL158" t="e">
        <f>AND(#REF!,"AAAAABk193M=")</f>
        <v>#REF!</v>
      </c>
      <c r="DM158" t="e">
        <f>AND(#REF!,"AAAAABk193Q=")</f>
        <v>#REF!</v>
      </c>
      <c r="DN158" t="e">
        <f>AND(#REF!,"AAAAABk193U=")</f>
        <v>#REF!</v>
      </c>
      <c r="DO158" t="e">
        <f>IF(#REF!,"AAAAABk193Y=",0)</f>
        <v>#REF!</v>
      </c>
      <c r="DP158" t="e">
        <f>AND(#REF!,"AAAAABk193c=")</f>
        <v>#REF!</v>
      </c>
      <c r="DQ158" t="e">
        <f>AND(#REF!,"AAAAABk193g=")</f>
        <v>#REF!</v>
      </c>
      <c r="DR158" t="e">
        <f>AND(#REF!,"AAAAABk193k=")</f>
        <v>#REF!</v>
      </c>
      <c r="DS158" t="e">
        <f>AND(#REF!,"AAAAABk193o=")</f>
        <v>#REF!</v>
      </c>
      <c r="DT158" t="e">
        <f>AND(#REF!,"AAAAABk193s=")</f>
        <v>#REF!</v>
      </c>
      <c r="DU158" t="e">
        <f>AND(#REF!,"AAAAABk193w=")</f>
        <v>#REF!</v>
      </c>
      <c r="DV158" t="e">
        <f>AND(#REF!,"AAAAABk1930=")</f>
        <v>#REF!</v>
      </c>
      <c r="DW158" t="e">
        <f>AND(#REF!,"AAAAABk1934=")</f>
        <v>#REF!</v>
      </c>
      <c r="DX158" t="e">
        <f>AND(#REF!,"AAAAABk1938=")</f>
        <v>#REF!</v>
      </c>
      <c r="DY158" t="e">
        <f>AND(#REF!,"AAAAABk194A=")</f>
        <v>#REF!</v>
      </c>
      <c r="DZ158" t="e">
        <f>AND(#REF!,"AAAAABk194E=")</f>
        <v>#REF!</v>
      </c>
      <c r="EA158" t="e">
        <f>AND(#REF!,"AAAAABk194I=")</f>
        <v>#REF!</v>
      </c>
      <c r="EB158" t="e">
        <f>AND(#REF!,"AAAAABk194M=")</f>
        <v>#REF!</v>
      </c>
      <c r="EC158" t="e">
        <f>AND(#REF!,"AAAAABk194Q=")</f>
        <v>#REF!</v>
      </c>
      <c r="ED158" t="e">
        <f>AND(#REF!,"AAAAABk194U=")</f>
        <v>#REF!</v>
      </c>
      <c r="EE158" t="e">
        <f>AND(#REF!,"AAAAABk194Y=")</f>
        <v>#REF!</v>
      </c>
      <c r="EF158" t="e">
        <f>AND(#REF!,"AAAAABk194c=")</f>
        <v>#REF!</v>
      </c>
      <c r="EG158" t="e">
        <f>AND(#REF!,"AAAAABk194g=")</f>
        <v>#REF!</v>
      </c>
      <c r="EH158" t="e">
        <f>AND(#REF!,"AAAAABk194k=")</f>
        <v>#REF!</v>
      </c>
      <c r="EI158" t="e">
        <f>AND(#REF!,"AAAAABk194o=")</f>
        <v>#REF!</v>
      </c>
      <c r="EJ158" t="e">
        <f>AND(#REF!,"AAAAABk194s=")</f>
        <v>#REF!</v>
      </c>
      <c r="EK158" t="e">
        <f>AND(#REF!,"AAAAABk194w=")</f>
        <v>#REF!</v>
      </c>
      <c r="EL158" t="e">
        <f>AND(#REF!,"AAAAABk1940=")</f>
        <v>#REF!</v>
      </c>
      <c r="EM158" t="e">
        <f>AND(#REF!,"AAAAABk1944=")</f>
        <v>#REF!</v>
      </c>
      <c r="EN158" t="e">
        <f>IF(#REF!,"AAAAABk1948=",0)</f>
        <v>#REF!</v>
      </c>
      <c r="EO158" t="e">
        <f>AND(#REF!,"AAAAABk195A=")</f>
        <v>#REF!</v>
      </c>
      <c r="EP158" t="e">
        <f>AND(#REF!,"AAAAABk195E=")</f>
        <v>#REF!</v>
      </c>
      <c r="EQ158" t="e">
        <f>AND(#REF!,"AAAAABk195I=")</f>
        <v>#REF!</v>
      </c>
      <c r="ER158" t="e">
        <f>AND(#REF!,"AAAAABk195M=")</f>
        <v>#REF!</v>
      </c>
      <c r="ES158" t="e">
        <f>AND(#REF!,"AAAAABk195Q=")</f>
        <v>#REF!</v>
      </c>
      <c r="ET158" t="e">
        <f>AND(#REF!,"AAAAABk195U=")</f>
        <v>#REF!</v>
      </c>
      <c r="EU158" t="e">
        <f>AND(#REF!,"AAAAABk195Y=")</f>
        <v>#REF!</v>
      </c>
      <c r="EV158" t="e">
        <f>AND(#REF!,"AAAAABk195c=")</f>
        <v>#REF!</v>
      </c>
      <c r="EW158" t="e">
        <f>AND(#REF!,"AAAAABk195g=")</f>
        <v>#REF!</v>
      </c>
      <c r="EX158" t="e">
        <f>AND(#REF!,"AAAAABk195k=")</f>
        <v>#REF!</v>
      </c>
      <c r="EY158" t="e">
        <f>AND(#REF!,"AAAAABk195o=")</f>
        <v>#REF!</v>
      </c>
      <c r="EZ158" t="e">
        <f>AND(#REF!,"AAAAABk195s=")</f>
        <v>#REF!</v>
      </c>
      <c r="FA158" t="e">
        <f>AND(#REF!,"AAAAABk195w=")</f>
        <v>#REF!</v>
      </c>
      <c r="FB158" t="e">
        <f>AND(#REF!,"AAAAABk1950=")</f>
        <v>#REF!</v>
      </c>
      <c r="FC158" t="e">
        <f>AND(#REF!,"AAAAABk1954=")</f>
        <v>#REF!</v>
      </c>
      <c r="FD158" t="e">
        <f>AND(#REF!,"AAAAABk1958=")</f>
        <v>#REF!</v>
      </c>
      <c r="FE158" t="e">
        <f>AND(#REF!,"AAAAABk196A=")</f>
        <v>#REF!</v>
      </c>
      <c r="FF158" t="e">
        <f>AND(#REF!,"AAAAABk196E=")</f>
        <v>#REF!</v>
      </c>
      <c r="FG158" t="e">
        <f>AND(#REF!,"AAAAABk196I=")</f>
        <v>#REF!</v>
      </c>
      <c r="FH158" t="e">
        <f>AND(#REF!,"AAAAABk196M=")</f>
        <v>#REF!</v>
      </c>
      <c r="FI158" t="e">
        <f>AND(#REF!,"AAAAABk196Q=")</f>
        <v>#REF!</v>
      </c>
      <c r="FJ158" t="e">
        <f>AND(#REF!,"AAAAABk196U=")</f>
        <v>#REF!</v>
      </c>
      <c r="FK158" t="e">
        <f>AND(#REF!,"AAAAABk196Y=")</f>
        <v>#REF!</v>
      </c>
      <c r="FL158" t="e">
        <f>AND(#REF!,"AAAAABk196c=")</f>
        <v>#REF!</v>
      </c>
      <c r="FM158" t="e">
        <f>IF(#REF!,"AAAAABk196g=",0)</f>
        <v>#REF!</v>
      </c>
      <c r="FN158" t="e">
        <f>AND(#REF!,"AAAAABk196k=")</f>
        <v>#REF!</v>
      </c>
      <c r="FO158" t="e">
        <f>AND(#REF!,"AAAAABk196o=")</f>
        <v>#REF!</v>
      </c>
      <c r="FP158" t="e">
        <f>AND(#REF!,"AAAAABk196s=")</f>
        <v>#REF!</v>
      </c>
      <c r="FQ158" t="e">
        <f>AND(#REF!,"AAAAABk196w=")</f>
        <v>#REF!</v>
      </c>
      <c r="FR158" t="e">
        <f>AND(#REF!,"AAAAABk1960=")</f>
        <v>#REF!</v>
      </c>
      <c r="FS158" t="e">
        <f>AND(#REF!,"AAAAABk1964=")</f>
        <v>#REF!</v>
      </c>
      <c r="FT158" t="e">
        <f>AND(#REF!,"AAAAABk1968=")</f>
        <v>#REF!</v>
      </c>
      <c r="FU158" t="e">
        <f>AND(#REF!,"AAAAABk197A=")</f>
        <v>#REF!</v>
      </c>
      <c r="FV158" t="e">
        <f>AND(#REF!,"AAAAABk197E=")</f>
        <v>#REF!</v>
      </c>
      <c r="FW158" t="e">
        <f>AND(#REF!,"AAAAABk197I=")</f>
        <v>#REF!</v>
      </c>
      <c r="FX158" t="e">
        <f>AND(#REF!,"AAAAABk197M=")</f>
        <v>#REF!</v>
      </c>
      <c r="FY158" t="e">
        <f>AND(#REF!,"AAAAABk197Q=")</f>
        <v>#REF!</v>
      </c>
      <c r="FZ158" t="e">
        <f>AND(#REF!,"AAAAABk197U=")</f>
        <v>#REF!</v>
      </c>
      <c r="GA158" t="e">
        <f>AND(#REF!,"AAAAABk197Y=")</f>
        <v>#REF!</v>
      </c>
      <c r="GB158" t="e">
        <f>AND(#REF!,"AAAAABk197c=")</f>
        <v>#REF!</v>
      </c>
      <c r="GC158" t="e">
        <f>AND(#REF!,"AAAAABk197g=")</f>
        <v>#REF!</v>
      </c>
      <c r="GD158" t="e">
        <f>AND(#REF!,"AAAAABk197k=")</f>
        <v>#REF!</v>
      </c>
      <c r="GE158" t="e">
        <f>AND(#REF!,"AAAAABk197o=")</f>
        <v>#REF!</v>
      </c>
      <c r="GF158" t="e">
        <f>AND(#REF!,"AAAAABk197s=")</f>
        <v>#REF!</v>
      </c>
      <c r="GG158" t="e">
        <f>AND(#REF!,"AAAAABk197w=")</f>
        <v>#REF!</v>
      </c>
      <c r="GH158" t="e">
        <f>AND(#REF!,"AAAAABk1970=")</f>
        <v>#REF!</v>
      </c>
      <c r="GI158" t="e">
        <f>AND(#REF!,"AAAAABk1974=")</f>
        <v>#REF!</v>
      </c>
      <c r="GJ158" t="e">
        <f>AND(#REF!,"AAAAABk1978=")</f>
        <v>#REF!</v>
      </c>
      <c r="GK158" t="e">
        <f>AND(#REF!,"AAAAABk198A=")</f>
        <v>#REF!</v>
      </c>
      <c r="GL158" t="e">
        <f>IF(#REF!,"AAAAABk198E=",0)</f>
        <v>#REF!</v>
      </c>
      <c r="GM158" t="e">
        <f>AND(#REF!,"AAAAABk198I=")</f>
        <v>#REF!</v>
      </c>
      <c r="GN158" t="e">
        <f>AND(#REF!,"AAAAABk198M=")</f>
        <v>#REF!</v>
      </c>
      <c r="GO158" t="e">
        <f>AND(#REF!,"AAAAABk198Q=")</f>
        <v>#REF!</v>
      </c>
      <c r="GP158" t="e">
        <f>AND(#REF!,"AAAAABk198U=")</f>
        <v>#REF!</v>
      </c>
      <c r="GQ158" t="e">
        <f>AND(#REF!,"AAAAABk198Y=")</f>
        <v>#REF!</v>
      </c>
      <c r="GR158" t="e">
        <f>AND(#REF!,"AAAAABk198c=")</f>
        <v>#REF!</v>
      </c>
      <c r="GS158" t="e">
        <f>AND(#REF!,"AAAAABk198g=")</f>
        <v>#REF!</v>
      </c>
      <c r="GT158" t="e">
        <f>AND(#REF!,"AAAAABk198k=")</f>
        <v>#REF!</v>
      </c>
      <c r="GU158" t="e">
        <f>AND(#REF!,"AAAAABk198o=")</f>
        <v>#REF!</v>
      </c>
      <c r="GV158" t="e">
        <f>AND(#REF!,"AAAAABk198s=")</f>
        <v>#REF!</v>
      </c>
      <c r="GW158" t="e">
        <f>AND(#REF!,"AAAAABk198w=")</f>
        <v>#REF!</v>
      </c>
      <c r="GX158" t="e">
        <f>AND(#REF!,"AAAAABk1980=")</f>
        <v>#REF!</v>
      </c>
      <c r="GY158" t="e">
        <f>AND(#REF!,"AAAAABk1984=")</f>
        <v>#REF!</v>
      </c>
      <c r="GZ158" t="e">
        <f>AND(#REF!,"AAAAABk1988=")</f>
        <v>#REF!</v>
      </c>
      <c r="HA158" t="e">
        <f>AND(#REF!,"AAAAABk199A=")</f>
        <v>#REF!</v>
      </c>
      <c r="HB158" t="e">
        <f>AND(#REF!,"AAAAABk199E=")</f>
        <v>#REF!</v>
      </c>
      <c r="HC158" t="e">
        <f>AND(#REF!,"AAAAABk199I=")</f>
        <v>#REF!</v>
      </c>
      <c r="HD158" t="e">
        <f>AND(#REF!,"AAAAABk199M=")</f>
        <v>#REF!</v>
      </c>
      <c r="HE158" t="e">
        <f>AND(#REF!,"AAAAABk199Q=")</f>
        <v>#REF!</v>
      </c>
      <c r="HF158" t="e">
        <f>AND(#REF!,"AAAAABk199U=")</f>
        <v>#REF!</v>
      </c>
      <c r="HG158" t="e">
        <f>AND(#REF!,"AAAAABk199Y=")</f>
        <v>#REF!</v>
      </c>
      <c r="HH158" t="e">
        <f>AND(#REF!,"AAAAABk199c=")</f>
        <v>#REF!</v>
      </c>
      <c r="HI158" t="e">
        <f>AND(#REF!,"AAAAABk199g=")</f>
        <v>#REF!</v>
      </c>
      <c r="HJ158" t="e">
        <f>AND(#REF!,"AAAAABk199k=")</f>
        <v>#REF!</v>
      </c>
      <c r="HK158" t="e">
        <f>IF(#REF!,"AAAAABk199o=",0)</f>
        <v>#REF!</v>
      </c>
      <c r="HL158" t="e">
        <f>AND(#REF!,"AAAAABk199s=")</f>
        <v>#REF!</v>
      </c>
      <c r="HM158" t="e">
        <f>AND(#REF!,"AAAAABk199w=")</f>
        <v>#REF!</v>
      </c>
      <c r="HN158" t="e">
        <f>AND(#REF!,"AAAAABk1990=")</f>
        <v>#REF!</v>
      </c>
      <c r="HO158" t="e">
        <f>AND(#REF!,"AAAAABk1994=")</f>
        <v>#REF!</v>
      </c>
      <c r="HP158" t="e">
        <f>AND(#REF!,"AAAAABk1998=")</f>
        <v>#REF!</v>
      </c>
      <c r="HQ158" t="e">
        <f>AND(#REF!,"AAAAABk19+A=")</f>
        <v>#REF!</v>
      </c>
      <c r="HR158" t="e">
        <f>AND(#REF!,"AAAAABk19+E=")</f>
        <v>#REF!</v>
      </c>
      <c r="HS158" t="e">
        <f>AND(#REF!,"AAAAABk19+I=")</f>
        <v>#REF!</v>
      </c>
      <c r="HT158" t="e">
        <f>AND(#REF!,"AAAAABk19+M=")</f>
        <v>#REF!</v>
      </c>
      <c r="HU158" t="e">
        <f>AND(#REF!,"AAAAABk19+Q=")</f>
        <v>#REF!</v>
      </c>
      <c r="HV158" t="e">
        <f>AND(#REF!,"AAAAABk19+U=")</f>
        <v>#REF!</v>
      </c>
      <c r="HW158" t="e">
        <f>AND(#REF!,"AAAAABk19+Y=")</f>
        <v>#REF!</v>
      </c>
      <c r="HX158" t="e">
        <f>AND(#REF!,"AAAAABk19+c=")</f>
        <v>#REF!</v>
      </c>
      <c r="HY158" t="e">
        <f>AND(#REF!,"AAAAABk19+g=")</f>
        <v>#REF!</v>
      </c>
      <c r="HZ158" t="e">
        <f>AND(#REF!,"AAAAABk19+k=")</f>
        <v>#REF!</v>
      </c>
      <c r="IA158" t="e">
        <f>AND(#REF!,"AAAAABk19+o=")</f>
        <v>#REF!</v>
      </c>
      <c r="IB158" t="e">
        <f>AND(#REF!,"AAAAABk19+s=")</f>
        <v>#REF!</v>
      </c>
      <c r="IC158" t="e">
        <f>AND(#REF!,"AAAAABk19+w=")</f>
        <v>#REF!</v>
      </c>
      <c r="ID158" t="e">
        <f>AND(#REF!,"AAAAABk19+0=")</f>
        <v>#REF!</v>
      </c>
      <c r="IE158" t="e">
        <f>AND(#REF!,"AAAAABk19+4=")</f>
        <v>#REF!</v>
      </c>
      <c r="IF158" t="e">
        <f>AND(#REF!,"AAAAABk19+8=")</f>
        <v>#REF!</v>
      </c>
      <c r="IG158" t="e">
        <f>AND(#REF!,"AAAAABk19/A=")</f>
        <v>#REF!</v>
      </c>
      <c r="IH158" t="e">
        <f>AND(#REF!,"AAAAABk19/E=")</f>
        <v>#REF!</v>
      </c>
      <c r="II158" t="e">
        <f>AND(#REF!,"AAAAABk19/I=")</f>
        <v>#REF!</v>
      </c>
      <c r="IJ158" t="e">
        <f>IF(#REF!,"AAAAABk19/M=",0)</f>
        <v>#REF!</v>
      </c>
      <c r="IK158" t="e">
        <f>AND(#REF!,"AAAAABk19/Q=")</f>
        <v>#REF!</v>
      </c>
      <c r="IL158" t="e">
        <f>AND(#REF!,"AAAAABk19/U=")</f>
        <v>#REF!</v>
      </c>
      <c r="IM158" t="e">
        <f>AND(#REF!,"AAAAABk19/Y=")</f>
        <v>#REF!</v>
      </c>
      <c r="IN158" t="e">
        <f>AND(#REF!,"AAAAABk19/c=")</f>
        <v>#REF!</v>
      </c>
      <c r="IO158" t="e">
        <f>AND(#REF!,"AAAAABk19/g=")</f>
        <v>#REF!</v>
      </c>
      <c r="IP158" t="e">
        <f>AND(#REF!,"AAAAABk19/k=")</f>
        <v>#REF!</v>
      </c>
      <c r="IQ158" t="e">
        <f>AND(#REF!,"AAAAABk19/o=")</f>
        <v>#REF!</v>
      </c>
      <c r="IR158" t="e">
        <f>AND(#REF!,"AAAAABk19/s=")</f>
        <v>#REF!</v>
      </c>
      <c r="IS158" t="e">
        <f>AND(#REF!,"AAAAABk19/w=")</f>
        <v>#REF!</v>
      </c>
      <c r="IT158" t="e">
        <f>AND(#REF!,"AAAAABk19/0=")</f>
        <v>#REF!</v>
      </c>
      <c r="IU158" t="e">
        <f>AND(#REF!,"AAAAABk19/4=")</f>
        <v>#REF!</v>
      </c>
      <c r="IV158" t="e">
        <f>AND(#REF!,"AAAAABk19/8=")</f>
        <v>#REF!</v>
      </c>
    </row>
    <row r="159" spans="1:256">
      <c r="A159" t="e">
        <f>AND(#REF!,"AAAAAA/33wA=")</f>
        <v>#REF!</v>
      </c>
      <c r="B159" t="e">
        <f>AND(#REF!,"AAAAAA/33wE=")</f>
        <v>#REF!</v>
      </c>
      <c r="C159" t="e">
        <f>AND(#REF!,"AAAAAA/33wI=")</f>
        <v>#REF!</v>
      </c>
      <c r="D159" t="e">
        <f>AND(#REF!,"AAAAAA/33wM=")</f>
        <v>#REF!</v>
      </c>
      <c r="E159" t="e">
        <f>AND(#REF!,"AAAAAA/33wQ=")</f>
        <v>#REF!</v>
      </c>
      <c r="F159" t="e">
        <f>AND(#REF!,"AAAAAA/33wU=")</f>
        <v>#REF!</v>
      </c>
      <c r="G159" t="e">
        <f>AND(#REF!,"AAAAAA/33wY=")</f>
        <v>#REF!</v>
      </c>
      <c r="H159" t="e">
        <f>AND(#REF!,"AAAAAA/33wc=")</f>
        <v>#REF!</v>
      </c>
      <c r="I159" t="e">
        <f>AND(#REF!,"AAAAAA/33wg=")</f>
        <v>#REF!</v>
      </c>
      <c r="J159" t="e">
        <f>AND(#REF!,"AAAAAA/33wk=")</f>
        <v>#REF!</v>
      </c>
      <c r="K159" t="e">
        <f>AND(#REF!,"AAAAAA/33wo=")</f>
        <v>#REF!</v>
      </c>
      <c r="L159" t="e">
        <f>AND(#REF!,"AAAAAA/33ws=")</f>
        <v>#REF!</v>
      </c>
      <c r="M159" t="e">
        <f>IF(#REF!,"AAAAAA/33ww=",0)</f>
        <v>#REF!</v>
      </c>
      <c r="N159" t="e">
        <f>AND(#REF!,"AAAAAA/33w0=")</f>
        <v>#REF!</v>
      </c>
      <c r="O159" t="e">
        <f>AND(#REF!,"AAAAAA/33w4=")</f>
        <v>#REF!</v>
      </c>
      <c r="P159" t="e">
        <f>AND(#REF!,"AAAAAA/33w8=")</f>
        <v>#REF!</v>
      </c>
      <c r="Q159" t="e">
        <f>AND(#REF!,"AAAAAA/33xA=")</f>
        <v>#REF!</v>
      </c>
      <c r="R159" t="e">
        <f>AND(#REF!,"AAAAAA/33xE=")</f>
        <v>#REF!</v>
      </c>
      <c r="S159" t="e">
        <f>AND(#REF!,"AAAAAA/33xI=")</f>
        <v>#REF!</v>
      </c>
      <c r="T159" t="e">
        <f>AND(#REF!,"AAAAAA/33xM=")</f>
        <v>#REF!</v>
      </c>
      <c r="U159" t="e">
        <f>AND(#REF!,"AAAAAA/33xQ=")</f>
        <v>#REF!</v>
      </c>
      <c r="V159" t="e">
        <f>AND(#REF!,"AAAAAA/33xU=")</f>
        <v>#REF!</v>
      </c>
      <c r="W159" t="e">
        <f>AND(#REF!,"AAAAAA/33xY=")</f>
        <v>#REF!</v>
      </c>
      <c r="X159" t="e">
        <f>AND(#REF!,"AAAAAA/33xc=")</f>
        <v>#REF!</v>
      </c>
      <c r="Y159" t="e">
        <f>AND(#REF!,"AAAAAA/33xg=")</f>
        <v>#REF!</v>
      </c>
      <c r="Z159" t="e">
        <f>AND(#REF!,"AAAAAA/33xk=")</f>
        <v>#REF!</v>
      </c>
      <c r="AA159" t="e">
        <f>AND(#REF!,"AAAAAA/33xo=")</f>
        <v>#REF!</v>
      </c>
      <c r="AB159" t="e">
        <f>AND(#REF!,"AAAAAA/33xs=")</f>
        <v>#REF!</v>
      </c>
      <c r="AC159" t="e">
        <f>AND(#REF!,"AAAAAA/33xw=")</f>
        <v>#REF!</v>
      </c>
      <c r="AD159" t="e">
        <f>AND(#REF!,"AAAAAA/33x0=")</f>
        <v>#REF!</v>
      </c>
      <c r="AE159" t="e">
        <f>AND(#REF!,"AAAAAA/33x4=")</f>
        <v>#REF!</v>
      </c>
      <c r="AF159" t="e">
        <f>AND(#REF!,"AAAAAA/33x8=")</f>
        <v>#REF!</v>
      </c>
      <c r="AG159" t="e">
        <f>AND(#REF!,"AAAAAA/33yA=")</f>
        <v>#REF!</v>
      </c>
      <c r="AH159" t="e">
        <f>AND(#REF!,"AAAAAA/33yE=")</f>
        <v>#REF!</v>
      </c>
      <c r="AI159" t="e">
        <f>AND(#REF!,"AAAAAA/33yI=")</f>
        <v>#REF!</v>
      </c>
      <c r="AJ159" t="e">
        <f>AND(#REF!,"AAAAAA/33yM=")</f>
        <v>#REF!</v>
      </c>
      <c r="AK159" t="e">
        <f>AND(#REF!,"AAAAAA/33yQ=")</f>
        <v>#REF!</v>
      </c>
      <c r="AL159" t="e">
        <f>IF(#REF!,"AAAAAA/33yU=",0)</f>
        <v>#REF!</v>
      </c>
      <c r="AM159" t="e">
        <f>AND(#REF!,"AAAAAA/33yY=")</f>
        <v>#REF!</v>
      </c>
      <c r="AN159" t="e">
        <f>AND(#REF!,"AAAAAA/33yc=")</f>
        <v>#REF!</v>
      </c>
      <c r="AO159" t="e">
        <f>AND(#REF!,"AAAAAA/33yg=")</f>
        <v>#REF!</v>
      </c>
      <c r="AP159" t="e">
        <f>AND(#REF!,"AAAAAA/33yk=")</f>
        <v>#REF!</v>
      </c>
      <c r="AQ159" t="e">
        <f>AND(#REF!,"AAAAAA/33yo=")</f>
        <v>#REF!</v>
      </c>
      <c r="AR159" t="e">
        <f>AND(#REF!,"AAAAAA/33ys=")</f>
        <v>#REF!</v>
      </c>
      <c r="AS159" t="e">
        <f>AND(#REF!,"AAAAAA/33yw=")</f>
        <v>#REF!</v>
      </c>
      <c r="AT159" t="e">
        <f>AND(#REF!,"AAAAAA/33y0=")</f>
        <v>#REF!</v>
      </c>
      <c r="AU159" t="e">
        <f>AND(#REF!,"AAAAAA/33y4=")</f>
        <v>#REF!</v>
      </c>
      <c r="AV159" t="e">
        <f>AND(#REF!,"AAAAAA/33y8=")</f>
        <v>#REF!</v>
      </c>
      <c r="AW159" t="e">
        <f>AND(#REF!,"AAAAAA/33zA=")</f>
        <v>#REF!</v>
      </c>
      <c r="AX159" t="e">
        <f>AND(#REF!,"AAAAAA/33zE=")</f>
        <v>#REF!</v>
      </c>
      <c r="AY159" t="e">
        <f>AND(#REF!,"AAAAAA/33zI=")</f>
        <v>#REF!</v>
      </c>
      <c r="AZ159" t="e">
        <f>AND(#REF!,"AAAAAA/33zM=")</f>
        <v>#REF!</v>
      </c>
      <c r="BA159" t="e">
        <f>AND(#REF!,"AAAAAA/33zQ=")</f>
        <v>#REF!</v>
      </c>
      <c r="BB159" t="e">
        <f>AND(#REF!,"AAAAAA/33zU=")</f>
        <v>#REF!</v>
      </c>
      <c r="BC159" t="e">
        <f>AND(#REF!,"AAAAAA/33zY=")</f>
        <v>#REF!</v>
      </c>
      <c r="BD159" t="e">
        <f>AND(#REF!,"AAAAAA/33zc=")</f>
        <v>#REF!</v>
      </c>
      <c r="BE159" t="e">
        <f>AND(#REF!,"AAAAAA/33zg=")</f>
        <v>#REF!</v>
      </c>
      <c r="BF159" t="e">
        <f>AND(#REF!,"AAAAAA/33zk=")</f>
        <v>#REF!</v>
      </c>
      <c r="BG159" t="e">
        <f>AND(#REF!,"AAAAAA/33zo=")</f>
        <v>#REF!</v>
      </c>
      <c r="BH159" t="e">
        <f>AND(#REF!,"AAAAAA/33zs=")</f>
        <v>#REF!</v>
      </c>
      <c r="BI159" t="e">
        <f>AND(#REF!,"AAAAAA/33zw=")</f>
        <v>#REF!</v>
      </c>
      <c r="BJ159" t="e">
        <f>AND(#REF!,"AAAAAA/33z0=")</f>
        <v>#REF!</v>
      </c>
      <c r="BK159" t="e">
        <f>IF(#REF!,"AAAAAA/33z4=",0)</f>
        <v>#REF!</v>
      </c>
      <c r="BL159" t="e">
        <f>AND(#REF!,"AAAAAA/33z8=")</f>
        <v>#REF!</v>
      </c>
      <c r="BM159" t="e">
        <f>AND(#REF!,"AAAAAA/330A=")</f>
        <v>#REF!</v>
      </c>
      <c r="BN159" t="e">
        <f>AND(#REF!,"AAAAAA/330E=")</f>
        <v>#REF!</v>
      </c>
      <c r="BO159" t="e">
        <f>AND(#REF!,"AAAAAA/330I=")</f>
        <v>#REF!</v>
      </c>
      <c r="BP159" t="e">
        <f>AND(#REF!,"AAAAAA/330M=")</f>
        <v>#REF!</v>
      </c>
      <c r="BQ159" t="e">
        <f>AND(#REF!,"AAAAAA/330Q=")</f>
        <v>#REF!</v>
      </c>
      <c r="BR159" t="e">
        <f>AND(#REF!,"AAAAAA/330U=")</f>
        <v>#REF!</v>
      </c>
      <c r="BS159" t="e">
        <f>AND(#REF!,"AAAAAA/330Y=")</f>
        <v>#REF!</v>
      </c>
      <c r="BT159" t="e">
        <f>AND(#REF!,"AAAAAA/330c=")</f>
        <v>#REF!</v>
      </c>
      <c r="BU159" t="e">
        <f>AND(#REF!,"AAAAAA/330g=")</f>
        <v>#REF!</v>
      </c>
      <c r="BV159" t="e">
        <f>AND(#REF!,"AAAAAA/330k=")</f>
        <v>#REF!</v>
      </c>
      <c r="BW159" t="e">
        <f>AND(#REF!,"AAAAAA/330o=")</f>
        <v>#REF!</v>
      </c>
      <c r="BX159" t="e">
        <f>AND(#REF!,"AAAAAA/330s=")</f>
        <v>#REF!</v>
      </c>
      <c r="BY159" t="e">
        <f>AND(#REF!,"AAAAAA/330w=")</f>
        <v>#REF!</v>
      </c>
      <c r="BZ159" t="e">
        <f>AND(#REF!,"AAAAAA/3300=")</f>
        <v>#REF!</v>
      </c>
      <c r="CA159" t="e">
        <f>AND(#REF!,"AAAAAA/3304=")</f>
        <v>#REF!</v>
      </c>
      <c r="CB159" t="e">
        <f>AND(#REF!,"AAAAAA/3308=")</f>
        <v>#REF!</v>
      </c>
      <c r="CC159" t="e">
        <f>AND(#REF!,"AAAAAA/331A=")</f>
        <v>#REF!</v>
      </c>
      <c r="CD159" t="e">
        <f>AND(#REF!,"AAAAAA/331E=")</f>
        <v>#REF!</v>
      </c>
      <c r="CE159" t="e">
        <f>AND(#REF!,"AAAAAA/331I=")</f>
        <v>#REF!</v>
      </c>
      <c r="CF159" t="e">
        <f>AND(#REF!,"AAAAAA/331M=")</f>
        <v>#REF!</v>
      </c>
      <c r="CG159" t="e">
        <f>AND(#REF!,"AAAAAA/331Q=")</f>
        <v>#REF!</v>
      </c>
      <c r="CH159" t="e">
        <f>AND(#REF!,"AAAAAA/331U=")</f>
        <v>#REF!</v>
      </c>
      <c r="CI159" t="e">
        <f>AND(#REF!,"AAAAAA/331Y=")</f>
        <v>#REF!</v>
      </c>
      <c r="CJ159" t="e">
        <f>IF(#REF!,"AAAAAA/331c=",0)</f>
        <v>#REF!</v>
      </c>
      <c r="CK159" t="e">
        <f>AND(#REF!,"AAAAAA/331g=")</f>
        <v>#REF!</v>
      </c>
      <c r="CL159" t="e">
        <f>AND(#REF!,"AAAAAA/331k=")</f>
        <v>#REF!</v>
      </c>
      <c r="CM159" t="e">
        <f>AND(#REF!,"AAAAAA/331o=")</f>
        <v>#REF!</v>
      </c>
      <c r="CN159" t="e">
        <f>AND(#REF!,"AAAAAA/331s=")</f>
        <v>#REF!</v>
      </c>
      <c r="CO159" t="e">
        <f>AND(#REF!,"AAAAAA/331w=")</f>
        <v>#REF!</v>
      </c>
      <c r="CP159" t="e">
        <f>AND(#REF!,"AAAAAA/3310=")</f>
        <v>#REF!</v>
      </c>
      <c r="CQ159" t="e">
        <f>AND(#REF!,"AAAAAA/3314=")</f>
        <v>#REF!</v>
      </c>
      <c r="CR159" t="e">
        <f>AND(#REF!,"AAAAAA/3318=")</f>
        <v>#REF!</v>
      </c>
      <c r="CS159" t="e">
        <f>AND(#REF!,"AAAAAA/332A=")</f>
        <v>#REF!</v>
      </c>
      <c r="CT159" t="e">
        <f>AND(#REF!,"AAAAAA/332E=")</f>
        <v>#REF!</v>
      </c>
      <c r="CU159" t="e">
        <f>AND(#REF!,"AAAAAA/332I=")</f>
        <v>#REF!</v>
      </c>
      <c r="CV159" t="e">
        <f>AND(#REF!,"AAAAAA/332M=")</f>
        <v>#REF!</v>
      </c>
      <c r="CW159" t="e">
        <f>AND(#REF!,"AAAAAA/332Q=")</f>
        <v>#REF!</v>
      </c>
      <c r="CX159" t="e">
        <f>AND(#REF!,"AAAAAA/332U=")</f>
        <v>#REF!</v>
      </c>
      <c r="CY159" t="e">
        <f>AND(#REF!,"AAAAAA/332Y=")</f>
        <v>#REF!</v>
      </c>
      <c r="CZ159" t="e">
        <f>AND(#REF!,"AAAAAA/332c=")</f>
        <v>#REF!</v>
      </c>
      <c r="DA159" t="e">
        <f>AND(#REF!,"AAAAAA/332g=")</f>
        <v>#REF!</v>
      </c>
      <c r="DB159" t="e">
        <f>AND(#REF!,"AAAAAA/332k=")</f>
        <v>#REF!</v>
      </c>
      <c r="DC159" t="e">
        <f>AND(#REF!,"AAAAAA/332o=")</f>
        <v>#REF!</v>
      </c>
      <c r="DD159" t="e">
        <f>AND(#REF!,"AAAAAA/332s=")</f>
        <v>#REF!</v>
      </c>
      <c r="DE159" t="e">
        <f>AND(#REF!,"AAAAAA/332w=")</f>
        <v>#REF!</v>
      </c>
      <c r="DF159" t="e">
        <f>AND(#REF!,"AAAAAA/3320=")</f>
        <v>#REF!</v>
      </c>
      <c r="DG159" t="e">
        <f>AND(#REF!,"AAAAAA/3324=")</f>
        <v>#REF!</v>
      </c>
      <c r="DH159" t="e">
        <f>AND(#REF!,"AAAAAA/3328=")</f>
        <v>#REF!</v>
      </c>
      <c r="DI159" t="e">
        <f>IF(#REF!,"AAAAAA/333A=",0)</f>
        <v>#REF!</v>
      </c>
      <c r="DJ159" t="e">
        <f>AND(#REF!,"AAAAAA/333E=")</f>
        <v>#REF!</v>
      </c>
      <c r="DK159" t="e">
        <f>AND(#REF!,"AAAAAA/333I=")</f>
        <v>#REF!</v>
      </c>
      <c r="DL159" t="e">
        <f>AND(#REF!,"AAAAAA/333M=")</f>
        <v>#REF!</v>
      </c>
      <c r="DM159" t="e">
        <f>AND(#REF!,"AAAAAA/333Q=")</f>
        <v>#REF!</v>
      </c>
      <c r="DN159" t="e">
        <f>AND(#REF!,"AAAAAA/333U=")</f>
        <v>#REF!</v>
      </c>
      <c r="DO159" t="e">
        <f>AND(#REF!,"AAAAAA/333Y=")</f>
        <v>#REF!</v>
      </c>
      <c r="DP159" t="e">
        <f>AND(#REF!,"AAAAAA/333c=")</f>
        <v>#REF!</v>
      </c>
      <c r="DQ159" t="e">
        <f>AND(#REF!,"AAAAAA/333g=")</f>
        <v>#REF!</v>
      </c>
      <c r="DR159" t="e">
        <f>AND(#REF!,"AAAAAA/333k=")</f>
        <v>#REF!</v>
      </c>
      <c r="DS159" t="e">
        <f>AND(#REF!,"AAAAAA/333o=")</f>
        <v>#REF!</v>
      </c>
      <c r="DT159" t="e">
        <f>AND(#REF!,"AAAAAA/333s=")</f>
        <v>#REF!</v>
      </c>
      <c r="DU159" t="e">
        <f>AND(#REF!,"AAAAAA/333w=")</f>
        <v>#REF!</v>
      </c>
      <c r="DV159" t="e">
        <f>AND(#REF!,"AAAAAA/3330=")</f>
        <v>#REF!</v>
      </c>
      <c r="DW159" t="e">
        <f>AND(#REF!,"AAAAAA/3334=")</f>
        <v>#REF!</v>
      </c>
      <c r="DX159" t="e">
        <f>AND(#REF!,"AAAAAA/3338=")</f>
        <v>#REF!</v>
      </c>
      <c r="DY159" t="e">
        <f>AND(#REF!,"AAAAAA/334A=")</f>
        <v>#REF!</v>
      </c>
      <c r="DZ159" t="e">
        <f>AND(#REF!,"AAAAAA/334E=")</f>
        <v>#REF!</v>
      </c>
      <c r="EA159" t="e">
        <f>AND(#REF!,"AAAAAA/334I=")</f>
        <v>#REF!</v>
      </c>
      <c r="EB159" t="e">
        <f>AND(#REF!,"AAAAAA/334M=")</f>
        <v>#REF!</v>
      </c>
      <c r="EC159" t="e">
        <f>AND(#REF!,"AAAAAA/334Q=")</f>
        <v>#REF!</v>
      </c>
      <c r="ED159" t="e">
        <f>AND(#REF!,"AAAAAA/334U=")</f>
        <v>#REF!</v>
      </c>
      <c r="EE159" t="e">
        <f>AND(#REF!,"AAAAAA/334Y=")</f>
        <v>#REF!</v>
      </c>
      <c r="EF159" t="e">
        <f>AND(#REF!,"AAAAAA/334c=")</f>
        <v>#REF!</v>
      </c>
      <c r="EG159" t="e">
        <f>AND(#REF!,"AAAAAA/334g=")</f>
        <v>#REF!</v>
      </c>
      <c r="EH159" t="e">
        <f>IF(#REF!,"AAAAAA/334k=",0)</f>
        <v>#REF!</v>
      </c>
      <c r="EI159" t="e">
        <f>AND(#REF!,"AAAAAA/334o=")</f>
        <v>#REF!</v>
      </c>
      <c r="EJ159" t="e">
        <f>AND(#REF!,"AAAAAA/334s=")</f>
        <v>#REF!</v>
      </c>
      <c r="EK159" t="e">
        <f>AND(#REF!,"AAAAAA/334w=")</f>
        <v>#REF!</v>
      </c>
      <c r="EL159" t="e">
        <f>AND(#REF!,"AAAAAA/3340=")</f>
        <v>#REF!</v>
      </c>
      <c r="EM159" t="e">
        <f>AND(#REF!,"AAAAAA/3344=")</f>
        <v>#REF!</v>
      </c>
      <c r="EN159" t="e">
        <f>AND(#REF!,"AAAAAA/3348=")</f>
        <v>#REF!</v>
      </c>
      <c r="EO159" t="e">
        <f>AND(#REF!,"AAAAAA/335A=")</f>
        <v>#REF!</v>
      </c>
      <c r="EP159" t="e">
        <f>AND(#REF!,"AAAAAA/335E=")</f>
        <v>#REF!</v>
      </c>
      <c r="EQ159" t="e">
        <f>AND(#REF!,"AAAAAA/335I=")</f>
        <v>#REF!</v>
      </c>
      <c r="ER159" t="e">
        <f>AND(#REF!,"AAAAAA/335M=")</f>
        <v>#REF!</v>
      </c>
      <c r="ES159" t="e">
        <f>AND(#REF!,"AAAAAA/335Q=")</f>
        <v>#REF!</v>
      </c>
      <c r="ET159" t="e">
        <f>AND(#REF!,"AAAAAA/335U=")</f>
        <v>#REF!</v>
      </c>
      <c r="EU159" t="e">
        <f>AND(#REF!,"AAAAAA/335Y=")</f>
        <v>#REF!</v>
      </c>
      <c r="EV159" t="e">
        <f>AND(#REF!,"AAAAAA/335c=")</f>
        <v>#REF!</v>
      </c>
      <c r="EW159" t="e">
        <f>AND(#REF!,"AAAAAA/335g=")</f>
        <v>#REF!</v>
      </c>
      <c r="EX159" t="e">
        <f>AND(#REF!,"AAAAAA/335k=")</f>
        <v>#REF!</v>
      </c>
      <c r="EY159" t="e">
        <f>AND(#REF!,"AAAAAA/335o=")</f>
        <v>#REF!</v>
      </c>
      <c r="EZ159" t="e">
        <f>AND(#REF!,"AAAAAA/335s=")</f>
        <v>#REF!</v>
      </c>
      <c r="FA159" t="e">
        <f>AND(#REF!,"AAAAAA/335w=")</f>
        <v>#REF!</v>
      </c>
      <c r="FB159" t="e">
        <f>AND(#REF!,"AAAAAA/3350=")</f>
        <v>#REF!</v>
      </c>
      <c r="FC159" t="e">
        <f>AND(#REF!,"AAAAAA/3354=")</f>
        <v>#REF!</v>
      </c>
      <c r="FD159" t="e">
        <f>AND(#REF!,"AAAAAA/3358=")</f>
        <v>#REF!</v>
      </c>
      <c r="FE159" t="e">
        <f>AND(#REF!,"AAAAAA/336A=")</f>
        <v>#REF!</v>
      </c>
      <c r="FF159" t="e">
        <f>AND(#REF!,"AAAAAA/336E=")</f>
        <v>#REF!</v>
      </c>
      <c r="FG159" t="e">
        <f>IF(#REF!,"AAAAAA/336I=",0)</f>
        <v>#REF!</v>
      </c>
      <c r="FH159" t="e">
        <f>AND(#REF!,"AAAAAA/336M=")</f>
        <v>#REF!</v>
      </c>
      <c r="FI159" t="e">
        <f>AND(#REF!,"AAAAAA/336Q=")</f>
        <v>#REF!</v>
      </c>
      <c r="FJ159" t="e">
        <f>AND(#REF!,"AAAAAA/336U=")</f>
        <v>#REF!</v>
      </c>
      <c r="FK159" t="e">
        <f>AND(#REF!,"AAAAAA/336Y=")</f>
        <v>#REF!</v>
      </c>
      <c r="FL159" t="e">
        <f>AND(#REF!,"AAAAAA/336c=")</f>
        <v>#REF!</v>
      </c>
      <c r="FM159" t="e">
        <f>AND(#REF!,"AAAAAA/336g=")</f>
        <v>#REF!</v>
      </c>
      <c r="FN159" t="e">
        <f>AND(#REF!,"AAAAAA/336k=")</f>
        <v>#REF!</v>
      </c>
      <c r="FO159" t="e">
        <f>AND(#REF!,"AAAAAA/336o=")</f>
        <v>#REF!</v>
      </c>
      <c r="FP159" t="e">
        <f>AND(#REF!,"AAAAAA/336s=")</f>
        <v>#REF!</v>
      </c>
      <c r="FQ159" t="e">
        <f>AND(#REF!,"AAAAAA/336w=")</f>
        <v>#REF!</v>
      </c>
      <c r="FR159" t="e">
        <f>AND(#REF!,"AAAAAA/3360=")</f>
        <v>#REF!</v>
      </c>
      <c r="FS159" t="e">
        <f>AND(#REF!,"AAAAAA/3364=")</f>
        <v>#REF!</v>
      </c>
      <c r="FT159" t="e">
        <f>AND(#REF!,"AAAAAA/3368=")</f>
        <v>#REF!</v>
      </c>
      <c r="FU159" t="e">
        <f>AND(#REF!,"AAAAAA/337A=")</f>
        <v>#REF!</v>
      </c>
      <c r="FV159" t="e">
        <f>AND(#REF!,"AAAAAA/337E=")</f>
        <v>#REF!</v>
      </c>
      <c r="FW159" t="e">
        <f>AND(#REF!,"AAAAAA/337I=")</f>
        <v>#REF!</v>
      </c>
      <c r="FX159" t="e">
        <f>AND(#REF!,"AAAAAA/337M=")</f>
        <v>#REF!</v>
      </c>
      <c r="FY159" t="e">
        <f>AND(#REF!,"AAAAAA/337Q=")</f>
        <v>#REF!</v>
      </c>
      <c r="FZ159" t="e">
        <f>AND(#REF!,"AAAAAA/337U=")</f>
        <v>#REF!</v>
      </c>
      <c r="GA159" t="e">
        <f>AND(#REF!,"AAAAAA/337Y=")</f>
        <v>#REF!</v>
      </c>
      <c r="GB159" t="e">
        <f>AND(#REF!,"AAAAAA/337c=")</f>
        <v>#REF!</v>
      </c>
      <c r="GC159" t="e">
        <f>AND(#REF!,"AAAAAA/337g=")</f>
        <v>#REF!</v>
      </c>
      <c r="GD159" t="e">
        <f>AND(#REF!,"AAAAAA/337k=")</f>
        <v>#REF!</v>
      </c>
      <c r="GE159" t="e">
        <f>AND(#REF!,"AAAAAA/337o=")</f>
        <v>#REF!</v>
      </c>
      <c r="GF159" t="e">
        <f>IF(#REF!,"AAAAAA/337s=",0)</f>
        <v>#REF!</v>
      </c>
      <c r="GG159" t="e">
        <f>AND(#REF!,"AAAAAA/337w=")</f>
        <v>#REF!</v>
      </c>
      <c r="GH159" t="e">
        <f>AND(#REF!,"AAAAAA/3370=")</f>
        <v>#REF!</v>
      </c>
      <c r="GI159" t="e">
        <f>AND(#REF!,"AAAAAA/3374=")</f>
        <v>#REF!</v>
      </c>
      <c r="GJ159" t="e">
        <f>AND(#REF!,"AAAAAA/3378=")</f>
        <v>#REF!</v>
      </c>
      <c r="GK159" t="e">
        <f>AND(#REF!,"AAAAAA/338A=")</f>
        <v>#REF!</v>
      </c>
      <c r="GL159" t="e">
        <f>AND(#REF!,"AAAAAA/338E=")</f>
        <v>#REF!</v>
      </c>
      <c r="GM159" t="e">
        <f>AND(#REF!,"AAAAAA/338I=")</f>
        <v>#REF!</v>
      </c>
      <c r="GN159" t="e">
        <f>AND(#REF!,"AAAAAA/338M=")</f>
        <v>#REF!</v>
      </c>
      <c r="GO159" t="e">
        <f>AND(#REF!,"AAAAAA/338Q=")</f>
        <v>#REF!</v>
      </c>
      <c r="GP159" t="e">
        <f>AND(#REF!,"AAAAAA/338U=")</f>
        <v>#REF!</v>
      </c>
      <c r="GQ159" t="e">
        <f>AND(#REF!,"AAAAAA/338Y=")</f>
        <v>#REF!</v>
      </c>
      <c r="GR159" t="e">
        <f>AND(#REF!,"AAAAAA/338c=")</f>
        <v>#REF!</v>
      </c>
      <c r="GS159" t="e">
        <f>AND(#REF!,"AAAAAA/338g=")</f>
        <v>#REF!</v>
      </c>
      <c r="GT159" t="e">
        <f>AND(#REF!,"AAAAAA/338k=")</f>
        <v>#REF!</v>
      </c>
      <c r="GU159" t="e">
        <f>AND(#REF!,"AAAAAA/338o=")</f>
        <v>#REF!</v>
      </c>
      <c r="GV159" t="e">
        <f>AND(#REF!,"AAAAAA/338s=")</f>
        <v>#REF!</v>
      </c>
      <c r="GW159" t="e">
        <f>AND(#REF!,"AAAAAA/338w=")</f>
        <v>#REF!</v>
      </c>
      <c r="GX159" t="e">
        <f>AND(#REF!,"AAAAAA/3380=")</f>
        <v>#REF!</v>
      </c>
      <c r="GY159" t="e">
        <f>AND(#REF!,"AAAAAA/3384=")</f>
        <v>#REF!</v>
      </c>
      <c r="GZ159" t="e">
        <f>AND(#REF!,"AAAAAA/3388=")</f>
        <v>#REF!</v>
      </c>
      <c r="HA159" t="e">
        <f>AND(#REF!,"AAAAAA/339A=")</f>
        <v>#REF!</v>
      </c>
      <c r="HB159" t="e">
        <f>AND(#REF!,"AAAAAA/339E=")</f>
        <v>#REF!</v>
      </c>
      <c r="HC159" t="e">
        <f>AND(#REF!,"AAAAAA/339I=")</f>
        <v>#REF!</v>
      </c>
      <c r="HD159" t="e">
        <f>AND(#REF!,"AAAAAA/339M=")</f>
        <v>#REF!</v>
      </c>
      <c r="HE159" t="e">
        <f>IF(#REF!,"AAAAAA/339Q=",0)</f>
        <v>#REF!</v>
      </c>
      <c r="HF159" t="e">
        <f>AND(#REF!,"AAAAAA/339U=")</f>
        <v>#REF!</v>
      </c>
      <c r="HG159" t="e">
        <f>AND(#REF!,"AAAAAA/339Y=")</f>
        <v>#REF!</v>
      </c>
      <c r="HH159" t="e">
        <f>AND(#REF!,"AAAAAA/339c=")</f>
        <v>#REF!</v>
      </c>
      <c r="HI159" t="e">
        <f>AND(#REF!,"AAAAAA/339g=")</f>
        <v>#REF!</v>
      </c>
      <c r="HJ159" t="e">
        <f>AND(#REF!,"AAAAAA/339k=")</f>
        <v>#REF!</v>
      </c>
      <c r="HK159" t="e">
        <f>AND(#REF!,"AAAAAA/339o=")</f>
        <v>#REF!</v>
      </c>
      <c r="HL159" t="e">
        <f>AND(#REF!,"AAAAAA/339s=")</f>
        <v>#REF!</v>
      </c>
      <c r="HM159" t="e">
        <f>AND(#REF!,"AAAAAA/339w=")</f>
        <v>#REF!</v>
      </c>
      <c r="HN159" t="e">
        <f>AND(#REF!,"AAAAAA/3390=")</f>
        <v>#REF!</v>
      </c>
      <c r="HO159" t="e">
        <f>AND(#REF!,"AAAAAA/3394=")</f>
        <v>#REF!</v>
      </c>
      <c r="HP159" t="e">
        <f>AND(#REF!,"AAAAAA/3398=")</f>
        <v>#REF!</v>
      </c>
      <c r="HQ159" t="e">
        <f>AND(#REF!,"AAAAAA/33+A=")</f>
        <v>#REF!</v>
      </c>
      <c r="HR159" t="e">
        <f>AND(#REF!,"AAAAAA/33+E=")</f>
        <v>#REF!</v>
      </c>
      <c r="HS159" t="e">
        <f>AND(#REF!,"AAAAAA/33+I=")</f>
        <v>#REF!</v>
      </c>
      <c r="HT159" t="e">
        <f>AND(#REF!,"AAAAAA/33+M=")</f>
        <v>#REF!</v>
      </c>
      <c r="HU159" t="e">
        <f>AND(#REF!,"AAAAAA/33+Q=")</f>
        <v>#REF!</v>
      </c>
      <c r="HV159" t="e">
        <f>AND(#REF!,"AAAAAA/33+U=")</f>
        <v>#REF!</v>
      </c>
      <c r="HW159" t="e">
        <f>AND(#REF!,"AAAAAA/33+Y=")</f>
        <v>#REF!</v>
      </c>
      <c r="HX159" t="e">
        <f>AND(#REF!,"AAAAAA/33+c=")</f>
        <v>#REF!</v>
      </c>
      <c r="HY159" t="e">
        <f>AND(#REF!,"AAAAAA/33+g=")</f>
        <v>#REF!</v>
      </c>
      <c r="HZ159" t="e">
        <f>AND(#REF!,"AAAAAA/33+k=")</f>
        <v>#REF!</v>
      </c>
      <c r="IA159" t="e">
        <f>AND(#REF!,"AAAAAA/33+o=")</f>
        <v>#REF!</v>
      </c>
      <c r="IB159" t="e">
        <f>AND(#REF!,"AAAAAA/33+s=")</f>
        <v>#REF!</v>
      </c>
      <c r="IC159" t="e">
        <f>AND(#REF!,"AAAAAA/33+w=")</f>
        <v>#REF!</v>
      </c>
      <c r="ID159" t="e">
        <f>IF(#REF!,"AAAAAA/33+0=",0)</f>
        <v>#REF!</v>
      </c>
      <c r="IE159" t="e">
        <f>AND(#REF!,"AAAAAA/33+4=")</f>
        <v>#REF!</v>
      </c>
      <c r="IF159" t="e">
        <f>AND(#REF!,"AAAAAA/33+8=")</f>
        <v>#REF!</v>
      </c>
      <c r="IG159" t="e">
        <f>AND(#REF!,"AAAAAA/33/A=")</f>
        <v>#REF!</v>
      </c>
      <c r="IH159" t="e">
        <f>AND(#REF!,"AAAAAA/33/E=")</f>
        <v>#REF!</v>
      </c>
      <c r="II159" t="e">
        <f>AND(#REF!,"AAAAAA/33/I=")</f>
        <v>#REF!</v>
      </c>
      <c r="IJ159" t="e">
        <f>AND(#REF!,"AAAAAA/33/M=")</f>
        <v>#REF!</v>
      </c>
      <c r="IK159" t="e">
        <f>AND(#REF!,"AAAAAA/33/Q=")</f>
        <v>#REF!</v>
      </c>
      <c r="IL159" t="e">
        <f>AND(#REF!,"AAAAAA/33/U=")</f>
        <v>#REF!</v>
      </c>
      <c r="IM159" t="e">
        <f>AND(#REF!,"AAAAAA/33/Y=")</f>
        <v>#REF!</v>
      </c>
      <c r="IN159" t="e">
        <f>AND(#REF!,"AAAAAA/33/c=")</f>
        <v>#REF!</v>
      </c>
      <c r="IO159" t="e">
        <f>AND(#REF!,"AAAAAA/33/g=")</f>
        <v>#REF!</v>
      </c>
      <c r="IP159" t="e">
        <f>AND(#REF!,"AAAAAA/33/k=")</f>
        <v>#REF!</v>
      </c>
      <c r="IQ159" t="e">
        <f>AND(#REF!,"AAAAAA/33/o=")</f>
        <v>#REF!</v>
      </c>
      <c r="IR159" t="e">
        <f>AND(#REF!,"AAAAAA/33/s=")</f>
        <v>#REF!</v>
      </c>
      <c r="IS159" t="e">
        <f>AND(#REF!,"AAAAAA/33/w=")</f>
        <v>#REF!</v>
      </c>
      <c r="IT159" t="e">
        <f>AND(#REF!,"AAAAAA/33/0=")</f>
        <v>#REF!</v>
      </c>
      <c r="IU159" t="e">
        <f>AND(#REF!,"AAAAAA/33/4=")</f>
        <v>#REF!</v>
      </c>
      <c r="IV159" t="e">
        <f>AND(#REF!,"AAAAAA/33/8=")</f>
        <v>#REF!</v>
      </c>
    </row>
    <row r="160" spans="1:256">
      <c r="A160" t="e">
        <f>AND(#REF!,"AAAAACHf+wA=")</f>
        <v>#REF!</v>
      </c>
      <c r="B160" t="e">
        <f>AND(#REF!,"AAAAACHf+wE=")</f>
        <v>#REF!</v>
      </c>
      <c r="C160" t="e">
        <f>AND(#REF!,"AAAAACHf+wI=")</f>
        <v>#REF!</v>
      </c>
      <c r="D160" t="e">
        <f>AND(#REF!,"AAAAACHf+wM=")</f>
        <v>#REF!</v>
      </c>
      <c r="E160" t="e">
        <f>AND(#REF!,"AAAAACHf+wQ=")</f>
        <v>#REF!</v>
      </c>
      <c r="F160" t="e">
        <f>AND(#REF!,"AAAAACHf+wU=")</f>
        <v>#REF!</v>
      </c>
      <c r="G160" t="e">
        <f>IF(#REF!,"AAAAACHf+wY=",0)</f>
        <v>#REF!</v>
      </c>
      <c r="H160" t="e">
        <f>AND(#REF!,"AAAAACHf+wc=")</f>
        <v>#REF!</v>
      </c>
      <c r="I160" t="e">
        <f>AND(#REF!,"AAAAACHf+wg=")</f>
        <v>#REF!</v>
      </c>
      <c r="J160" t="e">
        <f>AND(#REF!,"AAAAACHf+wk=")</f>
        <v>#REF!</v>
      </c>
      <c r="K160" t="e">
        <f>AND(#REF!,"AAAAACHf+wo=")</f>
        <v>#REF!</v>
      </c>
      <c r="L160" t="e">
        <f>AND(#REF!,"AAAAACHf+ws=")</f>
        <v>#REF!</v>
      </c>
      <c r="M160" t="e">
        <f>AND(#REF!,"AAAAACHf+ww=")</f>
        <v>#REF!</v>
      </c>
      <c r="N160" t="e">
        <f>AND(#REF!,"AAAAACHf+w0=")</f>
        <v>#REF!</v>
      </c>
      <c r="O160" t="e">
        <f>AND(#REF!,"AAAAACHf+w4=")</f>
        <v>#REF!</v>
      </c>
      <c r="P160" t="e">
        <f>AND(#REF!,"AAAAACHf+w8=")</f>
        <v>#REF!</v>
      </c>
      <c r="Q160" t="e">
        <f>AND(#REF!,"AAAAACHf+xA=")</f>
        <v>#REF!</v>
      </c>
      <c r="R160" t="e">
        <f>AND(#REF!,"AAAAACHf+xE=")</f>
        <v>#REF!</v>
      </c>
      <c r="S160" t="e">
        <f>AND(#REF!,"AAAAACHf+xI=")</f>
        <v>#REF!</v>
      </c>
      <c r="T160" t="e">
        <f>AND(#REF!,"AAAAACHf+xM=")</f>
        <v>#REF!</v>
      </c>
      <c r="U160" t="e">
        <f>AND(#REF!,"AAAAACHf+xQ=")</f>
        <v>#REF!</v>
      </c>
      <c r="V160" t="e">
        <f>AND(#REF!,"AAAAACHf+xU=")</f>
        <v>#REF!</v>
      </c>
      <c r="W160" t="e">
        <f>AND(#REF!,"AAAAACHf+xY=")</f>
        <v>#REF!</v>
      </c>
      <c r="X160" t="e">
        <f>AND(#REF!,"AAAAACHf+xc=")</f>
        <v>#REF!</v>
      </c>
      <c r="Y160" t="e">
        <f>AND(#REF!,"AAAAACHf+xg=")</f>
        <v>#REF!</v>
      </c>
      <c r="Z160" t="e">
        <f>AND(#REF!,"AAAAACHf+xk=")</f>
        <v>#REF!</v>
      </c>
      <c r="AA160" t="e">
        <f>AND(#REF!,"AAAAACHf+xo=")</f>
        <v>#REF!</v>
      </c>
      <c r="AB160" t="e">
        <f>AND(#REF!,"AAAAACHf+xs=")</f>
        <v>#REF!</v>
      </c>
      <c r="AC160" t="e">
        <f>AND(#REF!,"AAAAACHf+xw=")</f>
        <v>#REF!</v>
      </c>
      <c r="AD160" t="e">
        <f>AND(#REF!,"AAAAACHf+x0=")</f>
        <v>#REF!</v>
      </c>
      <c r="AE160" t="e">
        <f>AND(#REF!,"AAAAACHf+x4=")</f>
        <v>#REF!</v>
      </c>
      <c r="AF160" t="e">
        <f>IF(#REF!,"AAAAACHf+x8=",0)</f>
        <v>#REF!</v>
      </c>
      <c r="AG160" t="e">
        <f>AND(#REF!,"AAAAACHf+yA=")</f>
        <v>#REF!</v>
      </c>
      <c r="AH160" t="e">
        <f>AND(#REF!,"AAAAACHf+yE=")</f>
        <v>#REF!</v>
      </c>
      <c r="AI160" t="e">
        <f>AND(#REF!,"AAAAACHf+yI=")</f>
        <v>#REF!</v>
      </c>
      <c r="AJ160" t="e">
        <f>AND(#REF!,"AAAAACHf+yM=")</f>
        <v>#REF!</v>
      </c>
      <c r="AK160" t="e">
        <f>AND(#REF!,"AAAAACHf+yQ=")</f>
        <v>#REF!</v>
      </c>
      <c r="AL160" t="e">
        <f>AND(#REF!,"AAAAACHf+yU=")</f>
        <v>#REF!</v>
      </c>
      <c r="AM160" t="e">
        <f>AND(#REF!,"AAAAACHf+yY=")</f>
        <v>#REF!</v>
      </c>
      <c r="AN160" t="e">
        <f>AND(#REF!,"AAAAACHf+yc=")</f>
        <v>#REF!</v>
      </c>
      <c r="AO160" t="e">
        <f>AND(#REF!,"AAAAACHf+yg=")</f>
        <v>#REF!</v>
      </c>
      <c r="AP160" t="e">
        <f>AND(#REF!,"AAAAACHf+yk=")</f>
        <v>#REF!</v>
      </c>
      <c r="AQ160" t="e">
        <f>AND(#REF!,"AAAAACHf+yo=")</f>
        <v>#REF!</v>
      </c>
      <c r="AR160" t="e">
        <f>AND(#REF!,"AAAAACHf+ys=")</f>
        <v>#REF!</v>
      </c>
      <c r="AS160" t="e">
        <f>AND(#REF!,"AAAAACHf+yw=")</f>
        <v>#REF!</v>
      </c>
      <c r="AT160" t="e">
        <f>AND(#REF!,"AAAAACHf+y0=")</f>
        <v>#REF!</v>
      </c>
      <c r="AU160" t="e">
        <f>AND(#REF!,"AAAAACHf+y4=")</f>
        <v>#REF!</v>
      </c>
      <c r="AV160" t="e">
        <f>AND(#REF!,"AAAAACHf+y8=")</f>
        <v>#REF!</v>
      </c>
      <c r="AW160" t="e">
        <f>AND(#REF!,"AAAAACHf+zA=")</f>
        <v>#REF!</v>
      </c>
      <c r="AX160" t="e">
        <f>AND(#REF!,"AAAAACHf+zE=")</f>
        <v>#REF!</v>
      </c>
      <c r="AY160" t="e">
        <f>AND(#REF!,"AAAAACHf+zI=")</f>
        <v>#REF!</v>
      </c>
      <c r="AZ160" t="e">
        <f>AND(#REF!,"AAAAACHf+zM=")</f>
        <v>#REF!</v>
      </c>
      <c r="BA160" t="e">
        <f>AND(#REF!,"AAAAACHf+zQ=")</f>
        <v>#REF!</v>
      </c>
      <c r="BB160" t="e">
        <f>AND(#REF!,"AAAAACHf+zU=")</f>
        <v>#REF!</v>
      </c>
      <c r="BC160" t="e">
        <f>AND(#REF!,"AAAAACHf+zY=")</f>
        <v>#REF!</v>
      </c>
      <c r="BD160" t="e">
        <f>AND(#REF!,"AAAAACHf+zc=")</f>
        <v>#REF!</v>
      </c>
      <c r="BE160" t="e">
        <f>IF(#REF!,"AAAAACHf+zg=",0)</f>
        <v>#REF!</v>
      </c>
      <c r="BF160" t="e">
        <f>AND(#REF!,"AAAAACHf+zk=")</f>
        <v>#REF!</v>
      </c>
      <c r="BG160" t="e">
        <f>AND(#REF!,"AAAAACHf+zo=")</f>
        <v>#REF!</v>
      </c>
      <c r="BH160" t="e">
        <f>AND(#REF!,"AAAAACHf+zs=")</f>
        <v>#REF!</v>
      </c>
      <c r="BI160" t="e">
        <f>AND(#REF!,"AAAAACHf+zw=")</f>
        <v>#REF!</v>
      </c>
      <c r="BJ160" t="e">
        <f>AND(#REF!,"AAAAACHf+z0=")</f>
        <v>#REF!</v>
      </c>
      <c r="BK160" t="e">
        <f>AND(#REF!,"AAAAACHf+z4=")</f>
        <v>#REF!</v>
      </c>
      <c r="BL160" t="e">
        <f>AND(#REF!,"AAAAACHf+z8=")</f>
        <v>#REF!</v>
      </c>
      <c r="BM160" t="e">
        <f>AND(#REF!,"AAAAACHf+0A=")</f>
        <v>#REF!</v>
      </c>
      <c r="BN160" t="e">
        <f>AND(#REF!,"AAAAACHf+0E=")</f>
        <v>#REF!</v>
      </c>
      <c r="BO160" t="e">
        <f>AND(#REF!,"AAAAACHf+0I=")</f>
        <v>#REF!</v>
      </c>
      <c r="BP160" t="e">
        <f>AND(#REF!,"AAAAACHf+0M=")</f>
        <v>#REF!</v>
      </c>
      <c r="BQ160" t="e">
        <f>AND(#REF!,"AAAAACHf+0Q=")</f>
        <v>#REF!</v>
      </c>
      <c r="BR160" t="e">
        <f>AND(#REF!,"AAAAACHf+0U=")</f>
        <v>#REF!</v>
      </c>
      <c r="BS160" t="e">
        <f>AND(#REF!,"AAAAACHf+0Y=")</f>
        <v>#REF!</v>
      </c>
      <c r="BT160" t="e">
        <f>AND(#REF!,"AAAAACHf+0c=")</f>
        <v>#REF!</v>
      </c>
      <c r="BU160" t="e">
        <f>AND(#REF!,"AAAAACHf+0g=")</f>
        <v>#REF!</v>
      </c>
      <c r="BV160" t="e">
        <f>AND(#REF!,"AAAAACHf+0k=")</f>
        <v>#REF!</v>
      </c>
      <c r="BW160" t="e">
        <f>AND(#REF!,"AAAAACHf+0o=")</f>
        <v>#REF!</v>
      </c>
      <c r="BX160" t="e">
        <f>AND(#REF!,"AAAAACHf+0s=")</f>
        <v>#REF!</v>
      </c>
      <c r="BY160" t="e">
        <f>AND(#REF!,"AAAAACHf+0w=")</f>
        <v>#REF!</v>
      </c>
      <c r="BZ160" t="e">
        <f>AND(#REF!,"AAAAACHf+00=")</f>
        <v>#REF!</v>
      </c>
      <c r="CA160" t="e">
        <f>AND(#REF!,"AAAAACHf+04=")</f>
        <v>#REF!</v>
      </c>
      <c r="CB160" t="e">
        <f>AND(#REF!,"AAAAACHf+08=")</f>
        <v>#REF!</v>
      </c>
      <c r="CC160" t="e">
        <f>AND(#REF!,"AAAAACHf+1A=")</f>
        <v>#REF!</v>
      </c>
      <c r="CD160" t="e">
        <f>IF(#REF!,"AAAAACHf+1E=",0)</f>
        <v>#REF!</v>
      </c>
      <c r="CE160" t="e">
        <f>AND(#REF!,"AAAAACHf+1I=")</f>
        <v>#REF!</v>
      </c>
      <c r="CF160" t="e">
        <f>AND(#REF!,"AAAAACHf+1M=")</f>
        <v>#REF!</v>
      </c>
      <c r="CG160" t="e">
        <f>AND(#REF!,"AAAAACHf+1Q=")</f>
        <v>#REF!</v>
      </c>
      <c r="CH160" t="e">
        <f>AND(#REF!,"AAAAACHf+1U=")</f>
        <v>#REF!</v>
      </c>
      <c r="CI160" t="e">
        <f>AND(#REF!,"AAAAACHf+1Y=")</f>
        <v>#REF!</v>
      </c>
      <c r="CJ160" t="e">
        <f>AND(#REF!,"AAAAACHf+1c=")</f>
        <v>#REF!</v>
      </c>
      <c r="CK160" t="e">
        <f>AND(#REF!,"AAAAACHf+1g=")</f>
        <v>#REF!</v>
      </c>
      <c r="CL160" t="e">
        <f>AND(#REF!,"AAAAACHf+1k=")</f>
        <v>#REF!</v>
      </c>
      <c r="CM160" t="e">
        <f>AND(#REF!,"AAAAACHf+1o=")</f>
        <v>#REF!</v>
      </c>
      <c r="CN160" t="e">
        <f>AND(#REF!,"AAAAACHf+1s=")</f>
        <v>#REF!</v>
      </c>
      <c r="CO160" t="e">
        <f>AND(#REF!,"AAAAACHf+1w=")</f>
        <v>#REF!</v>
      </c>
      <c r="CP160" t="e">
        <f>AND(#REF!,"AAAAACHf+10=")</f>
        <v>#REF!</v>
      </c>
      <c r="CQ160" t="e">
        <f>AND(#REF!,"AAAAACHf+14=")</f>
        <v>#REF!</v>
      </c>
      <c r="CR160" t="e">
        <f>AND(#REF!,"AAAAACHf+18=")</f>
        <v>#REF!</v>
      </c>
      <c r="CS160" t="e">
        <f>AND(#REF!,"AAAAACHf+2A=")</f>
        <v>#REF!</v>
      </c>
      <c r="CT160" t="e">
        <f>AND(#REF!,"AAAAACHf+2E=")</f>
        <v>#REF!</v>
      </c>
      <c r="CU160" t="e">
        <f>AND(#REF!,"AAAAACHf+2I=")</f>
        <v>#REF!</v>
      </c>
      <c r="CV160" t="e">
        <f>AND(#REF!,"AAAAACHf+2M=")</f>
        <v>#REF!</v>
      </c>
      <c r="CW160" t="e">
        <f>AND(#REF!,"AAAAACHf+2Q=")</f>
        <v>#REF!</v>
      </c>
      <c r="CX160" t="e">
        <f>AND(#REF!,"AAAAACHf+2U=")</f>
        <v>#REF!</v>
      </c>
      <c r="CY160" t="e">
        <f>AND(#REF!,"AAAAACHf+2Y=")</f>
        <v>#REF!</v>
      </c>
      <c r="CZ160" t="e">
        <f>AND(#REF!,"AAAAACHf+2c=")</f>
        <v>#REF!</v>
      </c>
      <c r="DA160" t="e">
        <f>AND(#REF!,"AAAAACHf+2g=")</f>
        <v>#REF!</v>
      </c>
      <c r="DB160" t="e">
        <f>AND(#REF!,"AAAAACHf+2k=")</f>
        <v>#REF!</v>
      </c>
      <c r="DC160" t="e">
        <f>IF(#REF!,"AAAAACHf+2o=",0)</f>
        <v>#REF!</v>
      </c>
      <c r="DD160" t="e">
        <f>AND(#REF!,"AAAAACHf+2s=")</f>
        <v>#REF!</v>
      </c>
      <c r="DE160" t="e">
        <f>AND(#REF!,"AAAAACHf+2w=")</f>
        <v>#REF!</v>
      </c>
      <c r="DF160" t="e">
        <f>AND(#REF!,"AAAAACHf+20=")</f>
        <v>#REF!</v>
      </c>
      <c r="DG160" t="e">
        <f>AND(#REF!,"AAAAACHf+24=")</f>
        <v>#REF!</v>
      </c>
      <c r="DH160" t="e">
        <f>AND(#REF!,"AAAAACHf+28=")</f>
        <v>#REF!</v>
      </c>
      <c r="DI160" t="e">
        <f>AND(#REF!,"AAAAACHf+3A=")</f>
        <v>#REF!</v>
      </c>
      <c r="DJ160" t="e">
        <f>AND(#REF!,"AAAAACHf+3E=")</f>
        <v>#REF!</v>
      </c>
      <c r="DK160" t="e">
        <f>AND(#REF!,"AAAAACHf+3I=")</f>
        <v>#REF!</v>
      </c>
      <c r="DL160" t="e">
        <f>AND(#REF!,"AAAAACHf+3M=")</f>
        <v>#REF!</v>
      </c>
      <c r="DM160" t="e">
        <f>AND(#REF!,"AAAAACHf+3Q=")</f>
        <v>#REF!</v>
      </c>
      <c r="DN160" t="e">
        <f>AND(#REF!,"AAAAACHf+3U=")</f>
        <v>#REF!</v>
      </c>
      <c r="DO160" t="e">
        <f>AND(#REF!,"AAAAACHf+3Y=")</f>
        <v>#REF!</v>
      </c>
      <c r="DP160" t="e">
        <f>AND(#REF!,"AAAAACHf+3c=")</f>
        <v>#REF!</v>
      </c>
      <c r="DQ160" t="e">
        <f>AND(#REF!,"AAAAACHf+3g=")</f>
        <v>#REF!</v>
      </c>
      <c r="DR160" t="e">
        <f>AND(#REF!,"AAAAACHf+3k=")</f>
        <v>#REF!</v>
      </c>
      <c r="DS160" t="e">
        <f>AND(#REF!,"AAAAACHf+3o=")</f>
        <v>#REF!</v>
      </c>
      <c r="DT160" t="e">
        <f>AND(#REF!,"AAAAACHf+3s=")</f>
        <v>#REF!</v>
      </c>
      <c r="DU160" t="e">
        <f>AND(#REF!,"AAAAACHf+3w=")</f>
        <v>#REF!</v>
      </c>
      <c r="DV160" t="e">
        <f>AND(#REF!,"AAAAACHf+30=")</f>
        <v>#REF!</v>
      </c>
      <c r="DW160" t="e">
        <f>AND(#REF!,"AAAAACHf+34=")</f>
        <v>#REF!</v>
      </c>
      <c r="DX160" t="e">
        <f>AND(#REF!,"AAAAACHf+38=")</f>
        <v>#REF!</v>
      </c>
      <c r="DY160" t="e">
        <f>AND(#REF!,"AAAAACHf+4A=")</f>
        <v>#REF!</v>
      </c>
      <c r="DZ160" t="e">
        <f>AND(#REF!,"AAAAACHf+4E=")</f>
        <v>#REF!</v>
      </c>
      <c r="EA160" t="e">
        <f>AND(#REF!,"AAAAACHf+4I=")</f>
        <v>#REF!</v>
      </c>
      <c r="EB160" t="e">
        <f>IF(#REF!,"AAAAACHf+4M=",0)</f>
        <v>#REF!</v>
      </c>
      <c r="EC160" t="e">
        <f>AND(#REF!,"AAAAACHf+4Q=")</f>
        <v>#REF!</v>
      </c>
      <c r="ED160" t="e">
        <f>AND(#REF!,"AAAAACHf+4U=")</f>
        <v>#REF!</v>
      </c>
      <c r="EE160" t="e">
        <f>AND(#REF!,"AAAAACHf+4Y=")</f>
        <v>#REF!</v>
      </c>
      <c r="EF160" t="e">
        <f>AND(#REF!,"AAAAACHf+4c=")</f>
        <v>#REF!</v>
      </c>
      <c r="EG160" t="e">
        <f>AND(#REF!,"AAAAACHf+4g=")</f>
        <v>#REF!</v>
      </c>
      <c r="EH160" t="e">
        <f>AND(#REF!,"AAAAACHf+4k=")</f>
        <v>#REF!</v>
      </c>
      <c r="EI160" t="e">
        <f>AND(#REF!,"AAAAACHf+4o=")</f>
        <v>#REF!</v>
      </c>
      <c r="EJ160" t="e">
        <f>AND(#REF!,"AAAAACHf+4s=")</f>
        <v>#REF!</v>
      </c>
      <c r="EK160" t="e">
        <f>AND(#REF!,"AAAAACHf+4w=")</f>
        <v>#REF!</v>
      </c>
      <c r="EL160" t="e">
        <f>AND(#REF!,"AAAAACHf+40=")</f>
        <v>#REF!</v>
      </c>
      <c r="EM160" t="e">
        <f>AND(#REF!,"AAAAACHf+44=")</f>
        <v>#REF!</v>
      </c>
      <c r="EN160" t="e">
        <f>AND(#REF!,"AAAAACHf+48=")</f>
        <v>#REF!</v>
      </c>
      <c r="EO160" t="e">
        <f>AND(#REF!,"AAAAACHf+5A=")</f>
        <v>#REF!</v>
      </c>
      <c r="EP160" t="e">
        <f>AND(#REF!,"AAAAACHf+5E=")</f>
        <v>#REF!</v>
      </c>
      <c r="EQ160" t="e">
        <f>AND(#REF!,"AAAAACHf+5I=")</f>
        <v>#REF!</v>
      </c>
      <c r="ER160" t="e">
        <f>AND(#REF!,"AAAAACHf+5M=")</f>
        <v>#REF!</v>
      </c>
      <c r="ES160" t="e">
        <f>AND(#REF!,"AAAAACHf+5Q=")</f>
        <v>#REF!</v>
      </c>
      <c r="ET160" t="e">
        <f>AND(#REF!,"AAAAACHf+5U=")</f>
        <v>#REF!</v>
      </c>
      <c r="EU160" t="e">
        <f>AND(#REF!,"AAAAACHf+5Y=")</f>
        <v>#REF!</v>
      </c>
      <c r="EV160" t="e">
        <f>AND(#REF!,"AAAAACHf+5c=")</f>
        <v>#REF!</v>
      </c>
      <c r="EW160" t="e">
        <f>AND(#REF!,"AAAAACHf+5g=")</f>
        <v>#REF!</v>
      </c>
      <c r="EX160" t="e">
        <f>AND(#REF!,"AAAAACHf+5k=")</f>
        <v>#REF!</v>
      </c>
      <c r="EY160" t="e">
        <f>AND(#REF!,"AAAAACHf+5o=")</f>
        <v>#REF!</v>
      </c>
      <c r="EZ160" t="e">
        <f>AND(#REF!,"AAAAACHf+5s=")</f>
        <v>#REF!</v>
      </c>
      <c r="FA160" t="e">
        <f>IF(#REF!,"AAAAACHf+5w=",0)</f>
        <v>#REF!</v>
      </c>
      <c r="FB160" t="e">
        <f>AND(#REF!,"AAAAACHf+50=")</f>
        <v>#REF!</v>
      </c>
      <c r="FC160" t="e">
        <f>AND(#REF!,"AAAAACHf+54=")</f>
        <v>#REF!</v>
      </c>
      <c r="FD160" t="e">
        <f>AND(#REF!,"AAAAACHf+58=")</f>
        <v>#REF!</v>
      </c>
      <c r="FE160" t="e">
        <f>AND(#REF!,"AAAAACHf+6A=")</f>
        <v>#REF!</v>
      </c>
      <c r="FF160" t="e">
        <f>AND(#REF!,"AAAAACHf+6E=")</f>
        <v>#REF!</v>
      </c>
      <c r="FG160" t="e">
        <f>AND(#REF!,"AAAAACHf+6I=")</f>
        <v>#REF!</v>
      </c>
      <c r="FH160" t="e">
        <f>AND(#REF!,"AAAAACHf+6M=")</f>
        <v>#REF!</v>
      </c>
      <c r="FI160" t="e">
        <f>AND(#REF!,"AAAAACHf+6Q=")</f>
        <v>#REF!</v>
      </c>
      <c r="FJ160" t="e">
        <f>AND(#REF!,"AAAAACHf+6U=")</f>
        <v>#REF!</v>
      </c>
      <c r="FK160" t="e">
        <f>AND(#REF!,"AAAAACHf+6Y=")</f>
        <v>#REF!</v>
      </c>
      <c r="FL160" t="e">
        <f>AND(#REF!,"AAAAACHf+6c=")</f>
        <v>#REF!</v>
      </c>
      <c r="FM160" t="e">
        <f>AND(#REF!,"AAAAACHf+6g=")</f>
        <v>#REF!</v>
      </c>
      <c r="FN160" t="e">
        <f>AND(#REF!,"AAAAACHf+6k=")</f>
        <v>#REF!</v>
      </c>
      <c r="FO160" t="e">
        <f>AND(#REF!,"AAAAACHf+6o=")</f>
        <v>#REF!</v>
      </c>
      <c r="FP160" t="e">
        <f>AND(#REF!,"AAAAACHf+6s=")</f>
        <v>#REF!</v>
      </c>
      <c r="FQ160" t="e">
        <f>AND(#REF!,"AAAAACHf+6w=")</f>
        <v>#REF!</v>
      </c>
      <c r="FR160" t="e">
        <f>AND(#REF!,"AAAAACHf+60=")</f>
        <v>#REF!</v>
      </c>
      <c r="FS160" t="e">
        <f>AND(#REF!,"AAAAACHf+64=")</f>
        <v>#REF!</v>
      </c>
      <c r="FT160" t="e">
        <f>AND(#REF!,"AAAAACHf+68=")</f>
        <v>#REF!</v>
      </c>
      <c r="FU160" t="e">
        <f>AND(#REF!,"AAAAACHf+7A=")</f>
        <v>#REF!</v>
      </c>
      <c r="FV160" t="e">
        <f>AND(#REF!,"AAAAACHf+7E=")</f>
        <v>#REF!</v>
      </c>
      <c r="FW160" t="e">
        <f>AND(#REF!,"AAAAACHf+7I=")</f>
        <v>#REF!</v>
      </c>
      <c r="FX160" t="e">
        <f>AND(#REF!,"AAAAACHf+7M=")</f>
        <v>#REF!</v>
      </c>
      <c r="FY160" t="e">
        <f>AND(#REF!,"AAAAACHf+7Q=")</f>
        <v>#REF!</v>
      </c>
      <c r="FZ160" t="e">
        <f>IF(#REF!,"AAAAACHf+7U=",0)</f>
        <v>#REF!</v>
      </c>
      <c r="GA160" t="e">
        <f>AND(#REF!,"AAAAACHf+7Y=")</f>
        <v>#REF!</v>
      </c>
      <c r="GB160" t="e">
        <f>AND(#REF!,"AAAAACHf+7c=")</f>
        <v>#REF!</v>
      </c>
      <c r="GC160" t="e">
        <f>AND(#REF!,"AAAAACHf+7g=")</f>
        <v>#REF!</v>
      </c>
      <c r="GD160" t="e">
        <f>AND(#REF!,"AAAAACHf+7k=")</f>
        <v>#REF!</v>
      </c>
      <c r="GE160" t="e">
        <f>AND(#REF!,"AAAAACHf+7o=")</f>
        <v>#REF!</v>
      </c>
      <c r="GF160" t="e">
        <f>AND(#REF!,"AAAAACHf+7s=")</f>
        <v>#REF!</v>
      </c>
      <c r="GG160" t="e">
        <f>AND(#REF!,"AAAAACHf+7w=")</f>
        <v>#REF!</v>
      </c>
      <c r="GH160" t="e">
        <f>AND(#REF!,"AAAAACHf+70=")</f>
        <v>#REF!</v>
      </c>
      <c r="GI160" t="e">
        <f>AND(#REF!,"AAAAACHf+74=")</f>
        <v>#REF!</v>
      </c>
      <c r="GJ160" t="e">
        <f>AND(#REF!,"AAAAACHf+78=")</f>
        <v>#REF!</v>
      </c>
      <c r="GK160" t="e">
        <f>AND(#REF!,"AAAAACHf+8A=")</f>
        <v>#REF!</v>
      </c>
      <c r="GL160" t="e">
        <f>AND(#REF!,"AAAAACHf+8E=")</f>
        <v>#REF!</v>
      </c>
      <c r="GM160" t="e">
        <f>AND(#REF!,"AAAAACHf+8I=")</f>
        <v>#REF!</v>
      </c>
      <c r="GN160" t="e">
        <f>AND(#REF!,"AAAAACHf+8M=")</f>
        <v>#REF!</v>
      </c>
      <c r="GO160" t="e">
        <f>AND(#REF!,"AAAAACHf+8Q=")</f>
        <v>#REF!</v>
      </c>
      <c r="GP160" t="e">
        <f>AND(#REF!,"AAAAACHf+8U=")</f>
        <v>#REF!</v>
      </c>
      <c r="GQ160" t="e">
        <f>AND(#REF!,"AAAAACHf+8Y=")</f>
        <v>#REF!</v>
      </c>
      <c r="GR160" t="e">
        <f>AND(#REF!,"AAAAACHf+8c=")</f>
        <v>#REF!</v>
      </c>
      <c r="GS160" t="e">
        <f>AND(#REF!,"AAAAACHf+8g=")</f>
        <v>#REF!</v>
      </c>
      <c r="GT160" t="e">
        <f>AND(#REF!,"AAAAACHf+8k=")</f>
        <v>#REF!</v>
      </c>
      <c r="GU160" t="e">
        <f>AND(#REF!,"AAAAACHf+8o=")</f>
        <v>#REF!</v>
      </c>
      <c r="GV160" t="e">
        <f>AND(#REF!,"AAAAACHf+8s=")</f>
        <v>#REF!</v>
      </c>
      <c r="GW160" t="e">
        <f>AND(#REF!,"AAAAACHf+8w=")</f>
        <v>#REF!</v>
      </c>
      <c r="GX160" t="e">
        <f>AND(#REF!,"AAAAACHf+80=")</f>
        <v>#REF!</v>
      </c>
      <c r="GY160" t="e">
        <f>IF(#REF!,"AAAAACHf+84=",0)</f>
        <v>#REF!</v>
      </c>
      <c r="GZ160" t="e">
        <f>AND(#REF!,"AAAAACHf+88=")</f>
        <v>#REF!</v>
      </c>
      <c r="HA160" t="e">
        <f>AND(#REF!,"AAAAACHf+9A=")</f>
        <v>#REF!</v>
      </c>
      <c r="HB160" t="e">
        <f>AND(#REF!,"AAAAACHf+9E=")</f>
        <v>#REF!</v>
      </c>
      <c r="HC160" t="e">
        <f>AND(#REF!,"AAAAACHf+9I=")</f>
        <v>#REF!</v>
      </c>
      <c r="HD160" t="e">
        <f>AND(#REF!,"AAAAACHf+9M=")</f>
        <v>#REF!</v>
      </c>
      <c r="HE160" t="e">
        <f>AND(#REF!,"AAAAACHf+9Q=")</f>
        <v>#REF!</v>
      </c>
      <c r="HF160" t="e">
        <f>AND(#REF!,"AAAAACHf+9U=")</f>
        <v>#REF!</v>
      </c>
      <c r="HG160" t="e">
        <f>AND(#REF!,"AAAAACHf+9Y=")</f>
        <v>#REF!</v>
      </c>
      <c r="HH160" t="e">
        <f>AND(#REF!,"AAAAACHf+9c=")</f>
        <v>#REF!</v>
      </c>
      <c r="HI160" t="e">
        <f>AND(#REF!,"AAAAACHf+9g=")</f>
        <v>#REF!</v>
      </c>
      <c r="HJ160" t="e">
        <f>AND(#REF!,"AAAAACHf+9k=")</f>
        <v>#REF!</v>
      </c>
      <c r="HK160" t="e">
        <f>AND(#REF!,"AAAAACHf+9o=")</f>
        <v>#REF!</v>
      </c>
      <c r="HL160" t="e">
        <f>AND(#REF!,"AAAAACHf+9s=")</f>
        <v>#REF!</v>
      </c>
      <c r="HM160" t="e">
        <f>AND(#REF!,"AAAAACHf+9w=")</f>
        <v>#REF!</v>
      </c>
      <c r="HN160" t="e">
        <f>AND(#REF!,"AAAAACHf+90=")</f>
        <v>#REF!</v>
      </c>
      <c r="HO160" t="e">
        <f>AND(#REF!,"AAAAACHf+94=")</f>
        <v>#REF!</v>
      </c>
      <c r="HP160" t="e">
        <f>AND(#REF!,"AAAAACHf+98=")</f>
        <v>#REF!</v>
      </c>
      <c r="HQ160" t="e">
        <f>AND(#REF!,"AAAAACHf++A=")</f>
        <v>#REF!</v>
      </c>
      <c r="HR160" t="e">
        <f>AND(#REF!,"AAAAACHf++E=")</f>
        <v>#REF!</v>
      </c>
      <c r="HS160" t="e">
        <f>AND(#REF!,"AAAAACHf++I=")</f>
        <v>#REF!</v>
      </c>
      <c r="HT160" t="e">
        <f>AND(#REF!,"AAAAACHf++M=")</f>
        <v>#REF!</v>
      </c>
      <c r="HU160" t="e">
        <f>AND(#REF!,"AAAAACHf++Q=")</f>
        <v>#REF!</v>
      </c>
      <c r="HV160" t="e">
        <f>AND(#REF!,"AAAAACHf++U=")</f>
        <v>#REF!</v>
      </c>
      <c r="HW160" t="e">
        <f>AND(#REF!,"AAAAACHf++Y=")</f>
        <v>#REF!</v>
      </c>
      <c r="HX160" t="e">
        <f>IF(#REF!,"AAAAACHf++c=",0)</f>
        <v>#REF!</v>
      </c>
      <c r="HY160" t="e">
        <f>AND(#REF!,"AAAAACHf++g=")</f>
        <v>#REF!</v>
      </c>
      <c r="HZ160" t="e">
        <f>AND(#REF!,"AAAAACHf++k=")</f>
        <v>#REF!</v>
      </c>
      <c r="IA160" t="e">
        <f>AND(#REF!,"AAAAACHf++o=")</f>
        <v>#REF!</v>
      </c>
      <c r="IB160" t="e">
        <f>AND(#REF!,"AAAAACHf++s=")</f>
        <v>#REF!</v>
      </c>
      <c r="IC160" t="e">
        <f>AND(#REF!,"AAAAACHf++w=")</f>
        <v>#REF!</v>
      </c>
      <c r="ID160" t="e">
        <f>AND(#REF!,"AAAAACHf++0=")</f>
        <v>#REF!</v>
      </c>
      <c r="IE160" t="e">
        <f>AND(#REF!,"AAAAACHf++4=")</f>
        <v>#REF!</v>
      </c>
      <c r="IF160" t="e">
        <f>AND(#REF!,"AAAAACHf++8=")</f>
        <v>#REF!</v>
      </c>
      <c r="IG160" t="e">
        <f>AND(#REF!,"AAAAACHf+/A=")</f>
        <v>#REF!</v>
      </c>
      <c r="IH160" t="e">
        <f>AND(#REF!,"AAAAACHf+/E=")</f>
        <v>#REF!</v>
      </c>
      <c r="II160" t="e">
        <f>AND(#REF!,"AAAAACHf+/I=")</f>
        <v>#REF!</v>
      </c>
      <c r="IJ160" t="e">
        <f>AND(#REF!,"AAAAACHf+/M=")</f>
        <v>#REF!</v>
      </c>
      <c r="IK160" t="e">
        <f>AND(#REF!,"AAAAACHf+/Q=")</f>
        <v>#REF!</v>
      </c>
      <c r="IL160" t="e">
        <f>AND(#REF!,"AAAAACHf+/U=")</f>
        <v>#REF!</v>
      </c>
      <c r="IM160" t="e">
        <f>AND(#REF!,"AAAAACHf+/Y=")</f>
        <v>#REF!</v>
      </c>
      <c r="IN160" t="e">
        <f>AND(#REF!,"AAAAACHf+/c=")</f>
        <v>#REF!</v>
      </c>
      <c r="IO160" t="e">
        <f>AND(#REF!,"AAAAACHf+/g=")</f>
        <v>#REF!</v>
      </c>
      <c r="IP160" t="e">
        <f>AND(#REF!,"AAAAACHf+/k=")</f>
        <v>#REF!</v>
      </c>
      <c r="IQ160" t="e">
        <f>AND(#REF!,"AAAAACHf+/o=")</f>
        <v>#REF!</v>
      </c>
      <c r="IR160" t="e">
        <f>AND(#REF!,"AAAAACHf+/s=")</f>
        <v>#REF!</v>
      </c>
      <c r="IS160" t="e">
        <f>AND(#REF!,"AAAAACHf+/w=")</f>
        <v>#REF!</v>
      </c>
      <c r="IT160" t="e">
        <f>AND(#REF!,"AAAAACHf+/0=")</f>
        <v>#REF!</v>
      </c>
      <c r="IU160" t="e">
        <f>AND(#REF!,"AAAAACHf+/4=")</f>
        <v>#REF!</v>
      </c>
      <c r="IV160" t="e">
        <f>AND(#REF!,"AAAAACHf+/8=")</f>
        <v>#REF!</v>
      </c>
    </row>
    <row r="161" spans="1:256">
      <c r="A161" t="e">
        <f>IF(#REF!,"AAAAAG9pswA=",0)</f>
        <v>#REF!</v>
      </c>
      <c r="B161" t="e">
        <f>AND(#REF!,"AAAAAG9pswE=")</f>
        <v>#REF!</v>
      </c>
      <c r="C161" t="e">
        <f>AND(#REF!,"AAAAAG9pswI=")</f>
        <v>#REF!</v>
      </c>
      <c r="D161" t="e">
        <f>AND(#REF!,"AAAAAG9pswM=")</f>
        <v>#REF!</v>
      </c>
      <c r="E161" t="e">
        <f>AND(#REF!,"AAAAAG9pswQ=")</f>
        <v>#REF!</v>
      </c>
      <c r="F161" t="e">
        <f>AND(#REF!,"AAAAAG9pswU=")</f>
        <v>#REF!</v>
      </c>
      <c r="G161" t="e">
        <f>AND(#REF!,"AAAAAG9pswY=")</f>
        <v>#REF!</v>
      </c>
      <c r="H161" t="e">
        <f>AND(#REF!,"AAAAAG9pswc=")</f>
        <v>#REF!</v>
      </c>
      <c r="I161" t="e">
        <f>AND(#REF!,"AAAAAG9pswg=")</f>
        <v>#REF!</v>
      </c>
      <c r="J161" t="e">
        <f>AND(#REF!,"AAAAAG9pswk=")</f>
        <v>#REF!</v>
      </c>
      <c r="K161" t="e">
        <f>AND(#REF!,"AAAAAG9pswo=")</f>
        <v>#REF!</v>
      </c>
      <c r="L161" t="e">
        <f>AND(#REF!,"AAAAAG9psws=")</f>
        <v>#REF!</v>
      </c>
      <c r="M161" t="e">
        <f>AND(#REF!,"AAAAAG9psww=")</f>
        <v>#REF!</v>
      </c>
      <c r="N161" t="e">
        <f>AND(#REF!,"AAAAAG9psw0=")</f>
        <v>#REF!</v>
      </c>
      <c r="O161" t="e">
        <f>AND(#REF!,"AAAAAG9psw4=")</f>
        <v>#REF!</v>
      </c>
      <c r="P161" t="e">
        <f>AND(#REF!,"AAAAAG9psw8=")</f>
        <v>#REF!</v>
      </c>
      <c r="Q161" t="e">
        <f>AND(#REF!,"AAAAAG9psxA=")</f>
        <v>#REF!</v>
      </c>
      <c r="R161" t="e">
        <f>AND(#REF!,"AAAAAG9psxE=")</f>
        <v>#REF!</v>
      </c>
      <c r="S161" t="e">
        <f>AND(#REF!,"AAAAAG9psxI=")</f>
        <v>#REF!</v>
      </c>
      <c r="T161" t="e">
        <f>AND(#REF!,"AAAAAG9psxM=")</f>
        <v>#REF!</v>
      </c>
      <c r="U161" t="e">
        <f>AND(#REF!,"AAAAAG9psxQ=")</f>
        <v>#REF!</v>
      </c>
      <c r="V161" t="e">
        <f>AND(#REF!,"AAAAAG9psxU=")</f>
        <v>#REF!</v>
      </c>
      <c r="W161" t="e">
        <f>AND(#REF!,"AAAAAG9psxY=")</f>
        <v>#REF!</v>
      </c>
      <c r="X161" t="e">
        <f>AND(#REF!,"AAAAAG9psxc=")</f>
        <v>#REF!</v>
      </c>
      <c r="Y161" t="e">
        <f>AND(#REF!,"AAAAAG9psxg=")</f>
        <v>#REF!</v>
      </c>
      <c r="Z161" t="e">
        <f>IF(#REF!,"AAAAAG9psxk=",0)</f>
        <v>#REF!</v>
      </c>
      <c r="AA161" t="e">
        <f>AND(#REF!,"AAAAAG9psxo=")</f>
        <v>#REF!</v>
      </c>
      <c r="AB161" t="e">
        <f>AND(#REF!,"AAAAAG9psxs=")</f>
        <v>#REF!</v>
      </c>
      <c r="AC161" t="e">
        <f>AND(#REF!,"AAAAAG9psxw=")</f>
        <v>#REF!</v>
      </c>
      <c r="AD161" t="e">
        <f>AND(#REF!,"AAAAAG9psx0=")</f>
        <v>#REF!</v>
      </c>
      <c r="AE161" t="e">
        <f>AND(#REF!,"AAAAAG9psx4=")</f>
        <v>#REF!</v>
      </c>
      <c r="AF161" t="e">
        <f>AND(#REF!,"AAAAAG9psx8=")</f>
        <v>#REF!</v>
      </c>
      <c r="AG161" t="e">
        <f>AND(#REF!,"AAAAAG9psyA=")</f>
        <v>#REF!</v>
      </c>
      <c r="AH161" t="e">
        <f>AND(#REF!,"AAAAAG9psyE=")</f>
        <v>#REF!</v>
      </c>
      <c r="AI161" t="e">
        <f>AND(#REF!,"AAAAAG9psyI=")</f>
        <v>#REF!</v>
      </c>
      <c r="AJ161" t="e">
        <f>AND(#REF!,"AAAAAG9psyM=")</f>
        <v>#REF!</v>
      </c>
      <c r="AK161" t="e">
        <f>AND(#REF!,"AAAAAG9psyQ=")</f>
        <v>#REF!</v>
      </c>
      <c r="AL161" t="e">
        <f>AND(#REF!,"AAAAAG9psyU=")</f>
        <v>#REF!</v>
      </c>
      <c r="AM161" t="e">
        <f>AND(#REF!,"AAAAAG9psyY=")</f>
        <v>#REF!</v>
      </c>
      <c r="AN161" t="e">
        <f>AND(#REF!,"AAAAAG9psyc=")</f>
        <v>#REF!</v>
      </c>
      <c r="AO161" t="e">
        <f>AND(#REF!,"AAAAAG9psyg=")</f>
        <v>#REF!</v>
      </c>
      <c r="AP161" t="e">
        <f>AND(#REF!,"AAAAAG9psyk=")</f>
        <v>#REF!</v>
      </c>
      <c r="AQ161" t="e">
        <f>AND(#REF!,"AAAAAG9psyo=")</f>
        <v>#REF!</v>
      </c>
      <c r="AR161" t="e">
        <f>AND(#REF!,"AAAAAG9psys=")</f>
        <v>#REF!</v>
      </c>
      <c r="AS161" t="e">
        <f>AND(#REF!,"AAAAAG9psyw=")</f>
        <v>#REF!</v>
      </c>
      <c r="AT161" t="e">
        <f>AND(#REF!,"AAAAAG9psy0=")</f>
        <v>#REF!</v>
      </c>
      <c r="AU161" t="e">
        <f>AND(#REF!,"AAAAAG9psy4=")</f>
        <v>#REF!</v>
      </c>
      <c r="AV161" t="e">
        <f>AND(#REF!,"AAAAAG9psy8=")</f>
        <v>#REF!</v>
      </c>
      <c r="AW161" t="e">
        <f>AND(#REF!,"AAAAAG9pszA=")</f>
        <v>#REF!</v>
      </c>
      <c r="AX161" t="e">
        <f>AND(#REF!,"AAAAAG9pszE=")</f>
        <v>#REF!</v>
      </c>
      <c r="AY161" t="e">
        <f>IF(#REF!,"AAAAAG9pszI=",0)</f>
        <v>#REF!</v>
      </c>
      <c r="AZ161" t="e">
        <f>AND(#REF!,"AAAAAG9pszM=")</f>
        <v>#REF!</v>
      </c>
      <c r="BA161" t="e">
        <f>AND(#REF!,"AAAAAG9pszQ=")</f>
        <v>#REF!</v>
      </c>
      <c r="BB161" t="e">
        <f>AND(#REF!,"AAAAAG9pszU=")</f>
        <v>#REF!</v>
      </c>
      <c r="BC161" t="e">
        <f>AND(#REF!,"AAAAAG9pszY=")</f>
        <v>#REF!</v>
      </c>
      <c r="BD161" t="e">
        <f>AND(#REF!,"AAAAAG9pszc=")</f>
        <v>#REF!</v>
      </c>
      <c r="BE161" t="e">
        <f>AND(#REF!,"AAAAAG9pszg=")</f>
        <v>#REF!</v>
      </c>
      <c r="BF161" t="e">
        <f>AND(#REF!,"AAAAAG9pszk=")</f>
        <v>#REF!</v>
      </c>
      <c r="BG161" t="e">
        <f>AND(#REF!,"AAAAAG9pszo=")</f>
        <v>#REF!</v>
      </c>
      <c r="BH161" t="e">
        <f>AND(#REF!,"AAAAAG9pszs=")</f>
        <v>#REF!</v>
      </c>
      <c r="BI161" t="e">
        <f>AND(#REF!,"AAAAAG9pszw=")</f>
        <v>#REF!</v>
      </c>
      <c r="BJ161" t="e">
        <f>AND(#REF!,"AAAAAG9psz0=")</f>
        <v>#REF!</v>
      </c>
      <c r="BK161" t="e">
        <f>AND(#REF!,"AAAAAG9psz4=")</f>
        <v>#REF!</v>
      </c>
      <c r="BL161" t="e">
        <f>AND(#REF!,"AAAAAG9psz8=")</f>
        <v>#REF!</v>
      </c>
      <c r="BM161" t="e">
        <f>AND(#REF!,"AAAAAG9ps0A=")</f>
        <v>#REF!</v>
      </c>
      <c r="BN161" t="e">
        <f>AND(#REF!,"AAAAAG9ps0E=")</f>
        <v>#REF!</v>
      </c>
      <c r="BO161" t="e">
        <f>AND(#REF!,"AAAAAG9ps0I=")</f>
        <v>#REF!</v>
      </c>
      <c r="BP161" t="e">
        <f>AND(#REF!,"AAAAAG9ps0M=")</f>
        <v>#REF!</v>
      </c>
      <c r="BQ161" t="e">
        <f>AND(#REF!,"AAAAAG9ps0Q=")</f>
        <v>#REF!</v>
      </c>
      <c r="BR161" t="e">
        <f>AND(#REF!,"AAAAAG9ps0U=")</f>
        <v>#REF!</v>
      </c>
      <c r="BS161" t="e">
        <f>AND(#REF!,"AAAAAG9ps0Y=")</f>
        <v>#REF!</v>
      </c>
      <c r="BT161" t="e">
        <f>AND(#REF!,"AAAAAG9ps0c=")</f>
        <v>#REF!</v>
      </c>
      <c r="BU161" t="e">
        <f>AND(#REF!,"AAAAAG9ps0g=")</f>
        <v>#REF!</v>
      </c>
      <c r="BV161" t="e">
        <f>AND(#REF!,"AAAAAG9ps0k=")</f>
        <v>#REF!</v>
      </c>
      <c r="BW161" t="e">
        <f>AND(#REF!,"AAAAAG9ps0o=")</f>
        <v>#REF!</v>
      </c>
      <c r="BX161" t="e">
        <f>IF(#REF!,"AAAAAG9ps0s=",0)</f>
        <v>#REF!</v>
      </c>
      <c r="BY161" t="e">
        <f>AND(#REF!,"AAAAAG9ps0w=")</f>
        <v>#REF!</v>
      </c>
      <c r="BZ161" t="e">
        <f>AND(#REF!,"AAAAAG9ps00=")</f>
        <v>#REF!</v>
      </c>
      <c r="CA161" t="e">
        <f>AND(#REF!,"AAAAAG9ps04=")</f>
        <v>#REF!</v>
      </c>
      <c r="CB161" t="e">
        <f>AND(#REF!,"AAAAAG9ps08=")</f>
        <v>#REF!</v>
      </c>
      <c r="CC161" t="e">
        <f>AND(#REF!,"AAAAAG9ps1A=")</f>
        <v>#REF!</v>
      </c>
      <c r="CD161" t="e">
        <f>AND(#REF!,"AAAAAG9ps1E=")</f>
        <v>#REF!</v>
      </c>
      <c r="CE161" t="e">
        <f>AND(#REF!,"AAAAAG9ps1I=")</f>
        <v>#REF!</v>
      </c>
      <c r="CF161" t="e">
        <f>AND(#REF!,"AAAAAG9ps1M=")</f>
        <v>#REF!</v>
      </c>
      <c r="CG161" t="e">
        <f>AND(#REF!,"AAAAAG9ps1Q=")</f>
        <v>#REF!</v>
      </c>
      <c r="CH161" t="e">
        <f>AND(#REF!,"AAAAAG9ps1U=")</f>
        <v>#REF!</v>
      </c>
      <c r="CI161" t="e">
        <f>AND(#REF!,"AAAAAG9ps1Y=")</f>
        <v>#REF!</v>
      </c>
      <c r="CJ161" t="e">
        <f>AND(#REF!,"AAAAAG9ps1c=")</f>
        <v>#REF!</v>
      </c>
      <c r="CK161" t="e">
        <f>AND(#REF!,"AAAAAG9ps1g=")</f>
        <v>#REF!</v>
      </c>
      <c r="CL161" t="e">
        <f>AND(#REF!,"AAAAAG9ps1k=")</f>
        <v>#REF!</v>
      </c>
      <c r="CM161" t="e">
        <f>AND(#REF!,"AAAAAG9ps1o=")</f>
        <v>#REF!</v>
      </c>
      <c r="CN161" t="e">
        <f>AND(#REF!,"AAAAAG9ps1s=")</f>
        <v>#REF!</v>
      </c>
      <c r="CO161" t="e">
        <f>AND(#REF!,"AAAAAG9ps1w=")</f>
        <v>#REF!</v>
      </c>
      <c r="CP161" t="e">
        <f>AND(#REF!,"AAAAAG9ps10=")</f>
        <v>#REF!</v>
      </c>
      <c r="CQ161" t="e">
        <f>AND(#REF!,"AAAAAG9ps14=")</f>
        <v>#REF!</v>
      </c>
      <c r="CR161" t="e">
        <f>AND(#REF!,"AAAAAG9ps18=")</f>
        <v>#REF!</v>
      </c>
      <c r="CS161" t="e">
        <f>AND(#REF!,"AAAAAG9ps2A=")</f>
        <v>#REF!</v>
      </c>
      <c r="CT161" t="e">
        <f>AND(#REF!,"AAAAAG9ps2E=")</f>
        <v>#REF!</v>
      </c>
      <c r="CU161" t="e">
        <f>AND(#REF!,"AAAAAG9ps2I=")</f>
        <v>#REF!</v>
      </c>
      <c r="CV161" t="e">
        <f>AND(#REF!,"AAAAAG9ps2M=")</f>
        <v>#REF!</v>
      </c>
      <c r="CW161" t="e">
        <f>IF(#REF!,"AAAAAG9ps2Q=",0)</f>
        <v>#REF!</v>
      </c>
      <c r="CX161" t="e">
        <f>AND(#REF!,"AAAAAG9ps2U=")</f>
        <v>#REF!</v>
      </c>
      <c r="CY161" t="e">
        <f>AND(#REF!,"AAAAAG9ps2Y=")</f>
        <v>#REF!</v>
      </c>
      <c r="CZ161" t="e">
        <f>AND(#REF!,"AAAAAG9ps2c=")</f>
        <v>#REF!</v>
      </c>
      <c r="DA161" t="e">
        <f>AND(#REF!,"AAAAAG9ps2g=")</f>
        <v>#REF!</v>
      </c>
      <c r="DB161" t="e">
        <f>AND(#REF!,"AAAAAG9ps2k=")</f>
        <v>#REF!</v>
      </c>
      <c r="DC161" t="e">
        <f>AND(#REF!,"AAAAAG9ps2o=")</f>
        <v>#REF!</v>
      </c>
      <c r="DD161" t="e">
        <f>AND(#REF!,"AAAAAG9ps2s=")</f>
        <v>#REF!</v>
      </c>
      <c r="DE161" t="e">
        <f>AND(#REF!,"AAAAAG9ps2w=")</f>
        <v>#REF!</v>
      </c>
      <c r="DF161" t="e">
        <f>AND(#REF!,"AAAAAG9ps20=")</f>
        <v>#REF!</v>
      </c>
      <c r="DG161" t="e">
        <f>AND(#REF!,"AAAAAG9ps24=")</f>
        <v>#REF!</v>
      </c>
      <c r="DH161" t="e">
        <f>AND(#REF!,"AAAAAG9ps28=")</f>
        <v>#REF!</v>
      </c>
      <c r="DI161" t="e">
        <f>AND(#REF!,"AAAAAG9ps3A=")</f>
        <v>#REF!</v>
      </c>
      <c r="DJ161" t="e">
        <f>AND(#REF!,"AAAAAG9ps3E=")</f>
        <v>#REF!</v>
      </c>
      <c r="DK161" t="e">
        <f>AND(#REF!,"AAAAAG9ps3I=")</f>
        <v>#REF!</v>
      </c>
      <c r="DL161" t="e">
        <f>AND(#REF!,"AAAAAG9ps3M=")</f>
        <v>#REF!</v>
      </c>
      <c r="DM161" t="e">
        <f>AND(#REF!,"AAAAAG9ps3Q=")</f>
        <v>#REF!</v>
      </c>
      <c r="DN161" t="e">
        <f>AND(#REF!,"AAAAAG9ps3U=")</f>
        <v>#REF!</v>
      </c>
      <c r="DO161" t="e">
        <f>AND(#REF!,"AAAAAG9ps3Y=")</f>
        <v>#REF!</v>
      </c>
      <c r="DP161" t="e">
        <f>AND(#REF!,"AAAAAG9ps3c=")</f>
        <v>#REF!</v>
      </c>
      <c r="DQ161" t="e">
        <f>AND(#REF!,"AAAAAG9ps3g=")</f>
        <v>#REF!</v>
      </c>
      <c r="DR161" t="e">
        <f>AND(#REF!,"AAAAAG9ps3k=")</f>
        <v>#REF!</v>
      </c>
      <c r="DS161" t="e">
        <f>AND(#REF!,"AAAAAG9ps3o=")</f>
        <v>#REF!</v>
      </c>
      <c r="DT161" t="e">
        <f>AND(#REF!,"AAAAAG9ps3s=")</f>
        <v>#REF!</v>
      </c>
      <c r="DU161" t="e">
        <f>AND(#REF!,"AAAAAG9ps3w=")</f>
        <v>#REF!</v>
      </c>
      <c r="DV161" t="e">
        <f>IF(#REF!,"AAAAAG9ps30=",0)</f>
        <v>#REF!</v>
      </c>
      <c r="DW161" t="e">
        <f>AND(#REF!,"AAAAAG9ps34=")</f>
        <v>#REF!</v>
      </c>
      <c r="DX161" t="e">
        <f>AND(#REF!,"AAAAAG9ps38=")</f>
        <v>#REF!</v>
      </c>
      <c r="DY161" t="e">
        <f>AND(#REF!,"AAAAAG9ps4A=")</f>
        <v>#REF!</v>
      </c>
      <c r="DZ161" t="e">
        <f>AND(#REF!,"AAAAAG9ps4E=")</f>
        <v>#REF!</v>
      </c>
      <c r="EA161" t="e">
        <f>AND(#REF!,"AAAAAG9ps4I=")</f>
        <v>#REF!</v>
      </c>
      <c r="EB161" t="e">
        <f>AND(#REF!,"AAAAAG9ps4M=")</f>
        <v>#REF!</v>
      </c>
      <c r="EC161" t="e">
        <f>AND(#REF!,"AAAAAG9ps4Q=")</f>
        <v>#REF!</v>
      </c>
      <c r="ED161" t="e">
        <f>AND(#REF!,"AAAAAG9ps4U=")</f>
        <v>#REF!</v>
      </c>
      <c r="EE161" t="e">
        <f>AND(#REF!,"AAAAAG9ps4Y=")</f>
        <v>#REF!</v>
      </c>
      <c r="EF161" t="e">
        <f>AND(#REF!,"AAAAAG9ps4c=")</f>
        <v>#REF!</v>
      </c>
      <c r="EG161" t="e">
        <f>AND(#REF!,"AAAAAG9ps4g=")</f>
        <v>#REF!</v>
      </c>
      <c r="EH161" t="e">
        <f>AND(#REF!,"AAAAAG9ps4k=")</f>
        <v>#REF!</v>
      </c>
      <c r="EI161" t="e">
        <f>AND(#REF!,"AAAAAG9ps4o=")</f>
        <v>#REF!</v>
      </c>
      <c r="EJ161" t="e">
        <f>AND(#REF!,"AAAAAG9ps4s=")</f>
        <v>#REF!</v>
      </c>
      <c r="EK161" t="e">
        <f>AND(#REF!,"AAAAAG9ps4w=")</f>
        <v>#REF!</v>
      </c>
      <c r="EL161" t="e">
        <f>AND(#REF!,"AAAAAG9ps40=")</f>
        <v>#REF!</v>
      </c>
      <c r="EM161" t="e">
        <f>AND(#REF!,"AAAAAG9ps44=")</f>
        <v>#REF!</v>
      </c>
      <c r="EN161" t="e">
        <f>AND(#REF!,"AAAAAG9ps48=")</f>
        <v>#REF!</v>
      </c>
      <c r="EO161" t="e">
        <f>AND(#REF!,"AAAAAG9ps5A=")</f>
        <v>#REF!</v>
      </c>
      <c r="EP161" t="e">
        <f>AND(#REF!,"AAAAAG9ps5E=")</f>
        <v>#REF!</v>
      </c>
      <c r="EQ161" t="e">
        <f>AND(#REF!,"AAAAAG9ps5I=")</f>
        <v>#REF!</v>
      </c>
      <c r="ER161" t="e">
        <f>AND(#REF!,"AAAAAG9ps5M=")</f>
        <v>#REF!</v>
      </c>
      <c r="ES161" t="e">
        <f>AND(#REF!,"AAAAAG9ps5Q=")</f>
        <v>#REF!</v>
      </c>
      <c r="ET161" t="e">
        <f>AND(#REF!,"AAAAAG9ps5U=")</f>
        <v>#REF!</v>
      </c>
      <c r="EU161" t="e">
        <f>IF(#REF!,"AAAAAG9ps5Y=",0)</f>
        <v>#REF!</v>
      </c>
      <c r="EV161" t="e">
        <f>AND(#REF!,"AAAAAG9ps5c=")</f>
        <v>#REF!</v>
      </c>
      <c r="EW161" t="e">
        <f>AND(#REF!,"AAAAAG9ps5g=")</f>
        <v>#REF!</v>
      </c>
      <c r="EX161" t="e">
        <f>AND(#REF!,"AAAAAG9ps5k=")</f>
        <v>#REF!</v>
      </c>
      <c r="EY161" t="e">
        <f>AND(#REF!,"AAAAAG9ps5o=")</f>
        <v>#REF!</v>
      </c>
      <c r="EZ161" t="e">
        <f>AND(#REF!,"AAAAAG9ps5s=")</f>
        <v>#REF!</v>
      </c>
      <c r="FA161" t="e">
        <f>AND(#REF!,"AAAAAG9ps5w=")</f>
        <v>#REF!</v>
      </c>
      <c r="FB161" t="e">
        <f>AND(#REF!,"AAAAAG9ps50=")</f>
        <v>#REF!</v>
      </c>
      <c r="FC161" t="e">
        <f>AND(#REF!,"AAAAAG9ps54=")</f>
        <v>#REF!</v>
      </c>
      <c r="FD161" t="e">
        <f>AND(#REF!,"AAAAAG9ps58=")</f>
        <v>#REF!</v>
      </c>
      <c r="FE161" t="e">
        <f>AND(#REF!,"AAAAAG9ps6A=")</f>
        <v>#REF!</v>
      </c>
      <c r="FF161" t="e">
        <f>AND(#REF!,"AAAAAG9ps6E=")</f>
        <v>#REF!</v>
      </c>
      <c r="FG161" t="e">
        <f>AND(#REF!,"AAAAAG9ps6I=")</f>
        <v>#REF!</v>
      </c>
      <c r="FH161" t="e">
        <f>AND(#REF!,"AAAAAG9ps6M=")</f>
        <v>#REF!</v>
      </c>
      <c r="FI161" t="e">
        <f>AND(#REF!,"AAAAAG9ps6Q=")</f>
        <v>#REF!</v>
      </c>
      <c r="FJ161" t="e">
        <f>AND(#REF!,"AAAAAG9ps6U=")</f>
        <v>#REF!</v>
      </c>
      <c r="FK161" t="e">
        <f>AND(#REF!,"AAAAAG9ps6Y=")</f>
        <v>#REF!</v>
      </c>
      <c r="FL161" t="e">
        <f>AND(#REF!,"AAAAAG9ps6c=")</f>
        <v>#REF!</v>
      </c>
      <c r="FM161" t="e">
        <f>AND(#REF!,"AAAAAG9ps6g=")</f>
        <v>#REF!</v>
      </c>
      <c r="FN161" t="e">
        <f>AND(#REF!,"AAAAAG9ps6k=")</f>
        <v>#REF!</v>
      </c>
      <c r="FO161" t="e">
        <f>AND(#REF!,"AAAAAG9ps6o=")</f>
        <v>#REF!</v>
      </c>
      <c r="FP161" t="e">
        <f>AND(#REF!,"AAAAAG9ps6s=")</f>
        <v>#REF!</v>
      </c>
      <c r="FQ161" t="e">
        <f>AND(#REF!,"AAAAAG9ps6w=")</f>
        <v>#REF!</v>
      </c>
      <c r="FR161" t="e">
        <f>AND(#REF!,"AAAAAG9ps60=")</f>
        <v>#REF!</v>
      </c>
      <c r="FS161" t="e">
        <f>AND(#REF!,"AAAAAG9ps64=")</f>
        <v>#REF!</v>
      </c>
      <c r="FT161" t="e">
        <f>IF(#REF!,"AAAAAG9ps68=",0)</f>
        <v>#REF!</v>
      </c>
      <c r="FU161" t="e">
        <f>AND(#REF!,"AAAAAG9ps7A=")</f>
        <v>#REF!</v>
      </c>
      <c r="FV161" t="e">
        <f>AND(#REF!,"AAAAAG9ps7E=")</f>
        <v>#REF!</v>
      </c>
      <c r="FW161" t="e">
        <f>AND(#REF!,"AAAAAG9ps7I=")</f>
        <v>#REF!</v>
      </c>
      <c r="FX161" t="e">
        <f>AND(#REF!,"AAAAAG9ps7M=")</f>
        <v>#REF!</v>
      </c>
      <c r="FY161" t="e">
        <f>AND(#REF!,"AAAAAG9ps7Q=")</f>
        <v>#REF!</v>
      </c>
      <c r="FZ161" t="e">
        <f>AND(#REF!,"AAAAAG9ps7U=")</f>
        <v>#REF!</v>
      </c>
      <c r="GA161" t="e">
        <f>AND(#REF!,"AAAAAG9ps7Y=")</f>
        <v>#REF!</v>
      </c>
      <c r="GB161" t="e">
        <f>AND(#REF!,"AAAAAG9ps7c=")</f>
        <v>#REF!</v>
      </c>
      <c r="GC161" t="e">
        <f>AND(#REF!,"AAAAAG9ps7g=")</f>
        <v>#REF!</v>
      </c>
      <c r="GD161" t="e">
        <f>AND(#REF!,"AAAAAG9ps7k=")</f>
        <v>#REF!</v>
      </c>
      <c r="GE161" t="e">
        <f>AND(#REF!,"AAAAAG9ps7o=")</f>
        <v>#REF!</v>
      </c>
      <c r="GF161" t="e">
        <f>AND(#REF!,"AAAAAG9ps7s=")</f>
        <v>#REF!</v>
      </c>
      <c r="GG161" t="e">
        <f>AND(#REF!,"AAAAAG9ps7w=")</f>
        <v>#REF!</v>
      </c>
      <c r="GH161" t="e">
        <f>AND(#REF!,"AAAAAG9ps70=")</f>
        <v>#REF!</v>
      </c>
      <c r="GI161" t="e">
        <f>AND(#REF!,"AAAAAG9ps74=")</f>
        <v>#REF!</v>
      </c>
      <c r="GJ161" t="e">
        <f>AND(#REF!,"AAAAAG9ps78=")</f>
        <v>#REF!</v>
      </c>
      <c r="GK161" t="e">
        <f>AND(#REF!,"AAAAAG9ps8A=")</f>
        <v>#REF!</v>
      </c>
      <c r="GL161" t="e">
        <f>AND(#REF!,"AAAAAG9ps8E=")</f>
        <v>#REF!</v>
      </c>
      <c r="GM161" t="e">
        <f>AND(#REF!,"AAAAAG9ps8I=")</f>
        <v>#REF!</v>
      </c>
      <c r="GN161" t="e">
        <f>AND(#REF!,"AAAAAG9ps8M=")</f>
        <v>#REF!</v>
      </c>
      <c r="GO161" t="e">
        <f>AND(#REF!,"AAAAAG9ps8Q=")</f>
        <v>#REF!</v>
      </c>
      <c r="GP161" t="e">
        <f>AND(#REF!,"AAAAAG9ps8U=")</f>
        <v>#REF!</v>
      </c>
      <c r="GQ161" t="e">
        <f>AND(#REF!,"AAAAAG9ps8Y=")</f>
        <v>#REF!</v>
      </c>
      <c r="GR161" t="e">
        <f>AND(#REF!,"AAAAAG9ps8c=")</f>
        <v>#REF!</v>
      </c>
      <c r="GS161" t="e">
        <f>IF(#REF!,"AAAAAG9ps8g=",0)</f>
        <v>#REF!</v>
      </c>
      <c r="GT161" t="e">
        <f>AND(#REF!,"AAAAAG9ps8k=")</f>
        <v>#REF!</v>
      </c>
      <c r="GU161" t="e">
        <f>AND(#REF!,"AAAAAG9ps8o=")</f>
        <v>#REF!</v>
      </c>
      <c r="GV161" t="e">
        <f>AND(#REF!,"AAAAAG9ps8s=")</f>
        <v>#REF!</v>
      </c>
      <c r="GW161" t="e">
        <f>AND(#REF!,"AAAAAG9ps8w=")</f>
        <v>#REF!</v>
      </c>
      <c r="GX161" t="e">
        <f>AND(#REF!,"AAAAAG9ps80=")</f>
        <v>#REF!</v>
      </c>
      <c r="GY161" t="e">
        <f>AND(#REF!,"AAAAAG9ps84=")</f>
        <v>#REF!</v>
      </c>
      <c r="GZ161" t="e">
        <f>AND(#REF!,"AAAAAG9ps88=")</f>
        <v>#REF!</v>
      </c>
      <c r="HA161" t="e">
        <f>AND(#REF!,"AAAAAG9ps9A=")</f>
        <v>#REF!</v>
      </c>
      <c r="HB161" t="e">
        <f>AND(#REF!,"AAAAAG9ps9E=")</f>
        <v>#REF!</v>
      </c>
      <c r="HC161" t="e">
        <f>AND(#REF!,"AAAAAG9ps9I=")</f>
        <v>#REF!</v>
      </c>
      <c r="HD161" t="e">
        <f>AND(#REF!,"AAAAAG9ps9M=")</f>
        <v>#REF!</v>
      </c>
      <c r="HE161" t="e">
        <f>AND(#REF!,"AAAAAG9ps9Q=")</f>
        <v>#REF!</v>
      </c>
      <c r="HF161" t="e">
        <f>AND(#REF!,"AAAAAG9ps9U=")</f>
        <v>#REF!</v>
      </c>
      <c r="HG161" t="e">
        <f>AND(#REF!,"AAAAAG9ps9Y=")</f>
        <v>#REF!</v>
      </c>
      <c r="HH161" t="e">
        <f>AND(#REF!,"AAAAAG9ps9c=")</f>
        <v>#REF!</v>
      </c>
      <c r="HI161" t="e">
        <f>AND(#REF!,"AAAAAG9ps9g=")</f>
        <v>#REF!</v>
      </c>
      <c r="HJ161" t="e">
        <f>AND(#REF!,"AAAAAG9ps9k=")</f>
        <v>#REF!</v>
      </c>
      <c r="HK161" t="e">
        <f>AND(#REF!,"AAAAAG9ps9o=")</f>
        <v>#REF!</v>
      </c>
      <c r="HL161" t="e">
        <f>AND(#REF!,"AAAAAG9ps9s=")</f>
        <v>#REF!</v>
      </c>
      <c r="HM161" t="e">
        <f>AND(#REF!,"AAAAAG9ps9w=")</f>
        <v>#REF!</v>
      </c>
      <c r="HN161" t="e">
        <f>AND(#REF!,"AAAAAG9ps90=")</f>
        <v>#REF!</v>
      </c>
      <c r="HO161" t="e">
        <f>AND(#REF!,"AAAAAG9ps94=")</f>
        <v>#REF!</v>
      </c>
      <c r="HP161" t="e">
        <f>AND(#REF!,"AAAAAG9ps98=")</f>
        <v>#REF!</v>
      </c>
      <c r="HQ161" t="e">
        <f>AND(#REF!,"AAAAAG9ps+A=")</f>
        <v>#REF!</v>
      </c>
      <c r="HR161" t="e">
        <f>IF(#REF!,"AAAAAG9ps+E=",0)</f>
        <v>#REF!</v>
      </c>
      <c r="HS161" t="e">
        <f>AND(#REF!,"AAAAAG9ps+I=")</f>
        <v>#REF!</v>
      </c>
      <c r="HT161" t="e">
        <f>AND(#REF!,"AAAAAG9ps+M=")</f>
        <v>#REF!</v>
      </c>
      <c r="HU161" t="e">
        <f>AND(#REF!,"AAAAAG9ps+Q=")</f>
        <v>#REF!</v>
      </c>
      <c r="HV161" t="e">
        <f>AND(#REF!,"AAAAAG9ps+U=")</f>
        <v>#REF!</v>
      </c>
      <c r="HW161" t="e">
        <f>AND(#REF!,"AAAAAG9ps+Y=")</f>
        <v>#REF!</v>
      </c>
      <c r="HX161" t="e">
        <f>AND(#REF!,"AAAAAG9ps+c=")</f>
        <v>#REF!</v>
      </c>
      <c r="HY161" t="e">
        <f>AND(#REF!,"AAAAAG9ps+g=")</f>
        <v>#REF!</v>
      </c>
      <c r="HZ161" t="e">
        <f>AND(#REF!,"AAAAAG9ps+k=")</f>
        <v>#REF!</v>
      </c>
      <c r="IA161" t="e">
        <f>AND(#REF!,"AAAAAG9ps+o=")</f>
        <v>#REF!</v>
      </c>
      <c r="IB161" t="e">
        <f>AND(#REF!,"AAAAAG9ps+s=")</f>
        <v>#REF!</v>
      </c>
      <c r="IC161" t="e">
        <f>AND(#REF!,"AAAAAG9ps+w=")</f>
        <v>#REF!</v>
      </c>
      <c r="ID161" t="e">
        <f>AND(#REF!,"AAAAAG9ps+0=")</f>
        <v>#REF!</v>
      </c>
      <c r="IE161" t="e">
        <f>AND(#REF!,"AAAAAG9ps+4=")</f>
        <v>#REF!</v>
      </c>
      <c r="IF161" t="e">
        <f>AND(#REF!,"AAAAAG9ps+8=")</f>
        <v>#REF!</v>
      </c>
      <c r="IG161" t="e">
        <f>AND(#REF!,"AAAAAG9ps/A=")</f>
        <v>#REF!</v>
      </c>
      <c r="IH161" t="e">
        <f>AND(#REF!,"AAAAAG9ps/E=")</f>
        <v>#REF!</v>
      </c>
      <c r="II161" t="e">
        <f>AND(#REF!,"AAAAAG9ps/I=")</f>
        <v>#REF!</v>
      </c>
      <c r="IJ161" t="e">
        <f>AND(#REF!,"AAAAAG9ps/M=")</f>
        <v>#REF!</v>
      </c>
      <c r="IK161" t="e">
        <f>AND(#REF!,"AAAAAG9ps/Q=")</f>
        <v>#REF!</v>
      </c>
      <c r="IL161" t="e">
        <f>AND(#REF!,"AAAAAG9ps/U=")</f>
        <v>#REF!</v>
      </c>
      <c r="IM161" t="e">
        <f>AND(#REF!,"AAAAAG9ps/Y=")</f>
        <v>#REF!</v>
      </c>
      <c r="IN161" t="e">
        <f>AND(#REF!,"AAAAAG9ps/c=")</f>
        <v>#REF!</v>
      </c>
      <c r="IO161" t="e">
        <f>AND(#REF!,"AAAAAG9ps/g=")</f>
        <v>#REF!</v>
      </c>
      <c r="IP161" t="e">
        <f>AND(#REF!,"AAAAAG9ps/k=")</f>
        <v>#REF!</v>
      </c>
      <c r="IQ161" t="e">
        <f>IF(#REF!,"AAAAAG9ps/o=",0)</f>
        <v>#REF!</v>
      </c>
      <c r="IR161" t="e">
        <f>AND(#REF!,"AAAAAG9ps/s=")</f>
        <v>#REF!</v>
      </c>
      <c r="IS161" t="e">
        <f>AND(#REF!,"AAAAAG9ps/w=")</f>
        <v>#REF!</v>
      </c>
      <c r="IT161" t="e">
        <f>AND(#REF!,"AAAAAG9ps/0=")</f>
        <v>#REF!</v>
      </c>
      <c r="IU161" t="e">
        <f>AND(#REF!,"AAAAAG9ps/4=")</f>
        <v>#REF!</v>
      </c>
      <c r="IV161" t="e">
        <f>AND(#REF!,"AAAAAG9ps/8=")</f>
        <v>#REF!</v>
      </c>
    </row>
    <row r="162" spans="1:256">
      <c r="A162" t="e">
        <f>AND(#REF!,"AAAAADCn+wA=")</f>
        <v>#REF!</v>
      </c>
      <c r="B162" t="e">
        <f>AND(#REF!,"AAAAADCn+wE=")</f>
        <v>#REF!</v>
      </c>
      <c r="C162" t="e">
        <f>AND(#REF!,"AAAAADCn+wI=")</f>
        <v>#REF!</v>
      </c>
      <c r="D162" t="e">
        <f>AND(#REF!,"AAAAADCn+wM=")</f>
        <v>#REF!</v>
      </c>
      <c r="E162" t="e">
        <f>AND(#REF!,"AAAAADCn+wQ=")</f>
        <v>#REF!</v>
      </c>
      <c r="F162" t="e">
        <f>AND(#REF!,"AAAAADCn+wU=")</f>
        <v>#REF!</v>
      </c>
      <c r="G162" t="e">
        <f>AND(#REF!,"AAAAADCn+wY=")</f>
        <v>#REF!</v>
      </c>
      <c r="H162" t="e">
        <f>AND(#REF!,"AAAAADCn+wc=")</f>
        <v>#REF!</v>
      </c>
      <c r="I162" t="e">
        <f>AND(#REF!,"AAAAADCn+wg=")</f>
        <v>#REF!</v>
      </c>
      <c r="J162" t="e">
        <f>AND(#REF!,"AAAAADCn+wk=")</f>
        <v>#REF!</v>
      </c>
      <c r="K162" t="e">
        <f>AND(#REF!,"AAAAADCn+wo=")</f>
        <v>#REF!</v>
      </c>
      <c r="L162" t="e">
        <f>AND(#REF!,"AAAAADCn+ws=")</f>
        <v>#REF!</v>
      </c>
      <c r="M162" t="e">
        <f>AND(#REF!,"AAAAADCn+ww=")</f>
        <v>#REF!</v>
      </c>
      <c r="N162" t="e">
        <f>AND(#REF!,"AAAAADCn+w0=")</f>
        <v>#REF!</v>
      </c>
      <c r="O162" t="e">
        <f>AND(#REF!,"AAAAADCn+w4=")</f>
        <v>#REF!</v>
      </c>
      <c r="P162" t="e">
        <f>AND(#REF!,"AAAAADCn+w8=")</f>
        <v>#REF!</v>
      </c>
      <c r="Q162" t="e">
        <f>AND(#REF!,"AAAAADCn+xA=")</f>
        <v>#REF!</v>
      </c>
      <c r="R162" t="e">
        <f>AND(#REF!,"AAAAADCn+xE=")</f>
        <v>#REF!</v>
      </c>
      <c r="S162" t="e">
        <f>AND(#REF!,"AAAAADCn+xI=")</f>
        <v>#REF!</v>
      </c>
      <c r="T162" t="e">
        <f>IF(#REF!,"AAAAADCn+xM=",0)</f>
        <v>#REF!</v>
      </c>
      <c r="U162" t="e">
        <f>AND(#REF!,"AAAAADCn+xQ=")</f>
        <v>#REF!</v>
      </c>
      <c r="V162" t="e">
        <f>AND(#REF!,"AAAAADCn+xU=")</f>
        <v>#REF!</v>
      </c>
      <c r="W162" t="e">
        <f>AND(#REF!,"AAAAADCn+xY=")</f>
        <v>#REF!</v>
      </c>
      <c r="X162" t="e">
        <f>AND(#REF!,"AAAAADCn+xc=")</f>
        <v>#REF!</v>
      </c>
      <c r="Y162" t="e">
        <f>AND(#REF!,"AAAAADCn+xg=")</f>
        <v>#REF!</v>
      </c>
      <c r="Z162" t="e">
        <f>AND(#REF!,"AAAAADCn+xk=")</f>
        <v>#REF!</v>
      </c>
      <c r="AA162" t="e">
        <f>AND(#REF!,"AAAAADCn+xo=")</f>
        <v>#REF!</v>
      </c>
      <c r="AB162" t="e">
        <f>AND(#REF!,"AAAAADCn+xs=")</f>
        <v>#REF!</v>
      </c>
      <c r="AC162" t="e">
        <f>AND(#REF!,"AAAAADCn+xw=")</f>
        <v>#REF!</v>
      </c>
      <c r="AD162" t="e">
        <f>AND(#REF!,"AAAAADCn+x0=")</f>
        <v>#REF!</v>
      </c>
      <c r="AE162" t="e">
        <f>AND(#REF!,"AAAAADCn+x4=")</f>
        <v>#REF!</v>
      </c>
      <c r="AF162" t="e">
        <f>AND(#REF!,"AAAAADCn+x8=")</f>
        <v>#REF!</v>
      </c>
      <c r="AG162" t="e">
        <f>AND(#REF!,"AAAAADCn+yA=")</f>
        <v>#REF!</v>
      </c>
      <c r="AH162" t="e">
        <f>AND(#REF!,"AAAAADCn+yE=")</f>
        <v>#REF!</v>
      </c>
      <c r="AI162" t="e">
        <f>AND(#REF!,"AAAAADCn+yI=")</f>
        <v>#REF!</v>
      </c>
      <c r="AJ162" t="e">
        <f>AND(#REF!,"AAAAADCn+yM=")</f>
        <v>#REF!</v>
      </c>
      <c r="AK162" t="e">
        <f>AND(#REF!,"AAAAADCn+yQ=")</f>
        <v>#REF!</v>
      </c>
      <c r="AL162" t="e">
        <f>AND(#REF!,"AAAAADCn+yU=")</f>
        <v>#REF!</v>
      </c>
      <c r="AM162" t="e">
        <f>AND(#REF!,"AAAAADCn+yY=")</f>
        <v>#REF!</v>
      </c>
      <c r="AN162" t="e">
        <f>AND(#REF!,"AAAAADCn+yc=")</f>
        <v>#REF!</v>
      </c>
      <c r="AO162" t="e">
        <f>AND(#REF!,"AAAAADCn+yg=")</f>
        <v>#REF!</v>
      </c>
      <c r="AP162" t="e">
        <f>AND(#REF!,"AAAAADCn+yk=")</f>
        <v>#REF!</v>
      </c>
      <c r="AQ162" t="e">
        <f>AND(#REF!,"AAAAADCn+yo=")</f>
        <v>#REF!</v>
      </c>
      <c r="AR162" t="e">
        <f>AND(#REF!,"AAAAADCn+ys=")</f>
        <v>#REF!</v>
      </c>
      <c r="AS162" t="e">
        <f>IF(#REF!,"AAAAADCn+yw=",0)</f>
        <v>#REF!</v>
      </c>
      <c r="AT162" t="e">
        <f>AND(#REF!,"AAAAADCn+y0=")</f>
        <v>#REF!</v>
      </c>
      <c r="AU162" t="e">
        <f>AND(#REF!,"AAAAADCn+y4=")</f>
        <v>#REF!</v>
      </c>
      <c r="AV162" t="e">
        <f>AND(#REF!,"AAAAADCn+y8=")</f>
        <v>#REF!</v>
      </c>
      <c r="AW162" t="e">
        <f>AND(#REF!,"AAAAADCn+zA=")</f>
        <v>#REF!</v>
      </c>
      <c r="AX162" t="e">
        <f>AND(#REF!,"AAAAADCn+zE=")</f>
        <v>#REF!</v>
      </c>
      <c r="AY162" t="e">
        <f>AND(#REF!,"AAAAADCn+zI=")</f>
        <v>#REF!</v>
      </c>
      <c r="AZ162" t="e">
        <f>AND(#REF!,"AAAAADCn+zM=")</f>
        <v>#REF!</v>
      </c>
      <c r="BA162" t="e">
        <f>AND(#REF!,"AAAAADCn+zQ=")</f>
        <v>#REF!</v>
      </c>
      <c r="BB162" t="e">
        <f>AND(#REF!,"AAAAADCn+zU=")</f>
        <v>#REF!</v>
      </c>
      <c r="BC162" t="e">
        <f>AND(#REF!,"AAAAADCn+zY=")</f>
        <v>#REF!</v>
      </c>
      <c r="BD162" t="e">
        <f>AND(#REF!,"AAAAADCn+zc=")</f>
        <v>#REF!</v>
      </c>
      <c r="BE162" t="e">
        <f>AND(#REF!,"AAAAADCn+zg=")</f>
        <v>#REF!</v>
      </c>
      <c r="BF162" t="e">
        <f>AND(#REF!,"AAAAADCn+zk=")</f>
        <v>#REF!</v>
      </c>
      <c r="BG162" t="e">
        <f>AND(#REF!,"AAAAADCn+zo=")</f>
        <v>#REF!</v>
      </c>
      <c r="BH162" t="e">
        <f>AND(#REF!,"AAAAADCn+zs=")</f>
        <v>#REF!</v>
      </c>
      <c r="BI162" t="e">
        <f>AND(#REF!,"AAAAADCn+zw=")</f>
        <v>#REF!</v>
      </c>
      <c r="BJ162" t="e">
        <f>AND(#REF!,"AAAAADCn+z0=")</f>
        <v>#REF!</v>
      </c>
      <c r="BK162" t="e">
        <f>AND(#REF!,"AAAAADCn+z4=")</f>
        <v>#REF!</v>
      </c>
      <c r="BL162" t="e">
        <f>AND(#REF!,"AAAAADCn+z8=")</f>
        <v>#REF!</v>
      </c>
      <c r="BM162" t="e">
        <f>AND(#REF!,"AAAAADCn+0A=")</f>
        <v>#REF!</v>
      </c>
      <c r="BN162" t="e">
        <f>AND(#REF!,"AAAAADCn+0E=")</f>
        <v>#REF!</v>
      </c>
      <c r="BO162" t="e">
        <f>AND(#REF!,"AAAAADCn+0I=")</f>
        <v>#REF!</v>
      </c>
      <c r="BP162" t="e">
        <f>AND(#REF!,"AAAAADCn+0M=")</f>
        <v>#REF!</v>
      </c>
      <c r="BQ162" t="e">
        <f>AND(#REF!,"AAAAADCn+0Q=")</f>
        <v>#REF!</v>
      </c>
      <c r="BR162" t="e">
        <f>IF(#REF!,"AAAAADCn+0U=",0)</f>
        <v>#REF!</v>
      </c>
      <c r="BS162" t="e">
        <f>AND(#REF!,"AAAAADCn+0Y=")</f>
        <v>#REF!</v>
      </c>
      <c r="BT162" t="e">
        <f>AND(#REF!,"AAAAADCn+0c=")</f>
        <v>#REF!</v>
      </c>
      <c r="BU162" t="e">
        <f>AND(#REF!,"AAAAADCn+0g=")</f>
        <v>#REF!</v>
      </c>
      <c r="BV162" t="e">
        <f>AND(#REF!,"AAAAADCn+0k=")</f>
        <v>#REF!</v>
      </c>
      <c r="BW162" t="e">
        <f>AND(#REF!,"AAAAADCn+0o=")</f>
        <v>#REF!</v>
      </c>
      <c r="BX162" t="e">
        <f>AND(#REF!,"AAAAADCn+0s=")</f>
        <v>#REF!</v>
      </c>
      <c r="BY162" t="e">
        <f>AND(#REF!,"AAAAADCn+0w=")</f>
        <v>#REF!</v>
      </c>
      <c r="BZ162" t="e">
        <f>AND(#REF!,"AAAAADCn+00=")</f>
        <v>#REF!</v>
      </c>
      <c r="CA162" t="e">
        <f>AND(#REF!,"AAAAADCn+04=")</f>
        <v>#REF!</v>
      </c>
      <c r="CB162" t="e">
        <f>AND(#REF!,"AAAAADCn+08=")</f>
        <v>#REF!</v>
      </c>
      <c r="CC162" t="e">
        <f>AND(#REF!,"AAAAADCn+1A=")</f>
        <v>#REF!</v>
      </c>
      <c r="CD162" t="e">
        <f>AND(#REF!,"AAAAADCn+1E=")</f>
        <v>#REF!</v>
      </c>
      <c r="CE162" t="e">
        <f>AND(#REF!,"AAAAADCn+1I=")</f>
        <v>#REF!</v>
      </c>
      <c r="CF162" t="e">
        <f>AND(#REF!,"AAAAADCn+1M=")</f>
        <v>#REF!</v>
      </c>
      <c r="CG162" t="e">
        <f>AND(#REF!,"AAAAADCn+1Q=")</f>
        <v>#REF!</v>
      </c>
      <c r="CH162" t="e">
        <f>AND(#REF!,"AAAAADCn+1U=")</f>
        <v>#REF!</v>
      </c>
      <c r="CI162" t="e">
        <f>AND(#REF!,"AAAAADCn+1Y=")</f>
        <v>#REF!</v>
      </c>
      <c r="CJ162" t="e">
        <f>AND(#REF!,"AAAAADCn+1c=")</f>
        <v>#REF!</v>
      </c>
      <c r="CK162" t="e">
        <f>AND(#REF!,"AAAAADCn+1g=")</f>
        <v>#REF!</v>
      </c>
      <c r="CL162" t="e">
        <f>AND(#REF!,"AAAAADCn+1k=")</f>
        <v>#REF!</v>
      </c>
      <c r="CM162" t="e">
        <f>AND(#REF!,"AAAAADCn+1o=")</f>
        <v>#REF!</v>
      </c>
      <c r="CN162" t="e">
        <f>AND(#REF!,"AAAAADCn+1s=")</f>
        <v>#REF!</v>
      </c>
      <c r="CO162" t="e">
        <f>AND(#REF!,"AAAAADCn+1w=")</f>
        <v>#REF!</v>
      </c>
      <c r="CP162" t="e">
        <f>AND(#REF!,"AAAAADCn+10=")</f>
        <v>#REF!</v>
      </c>
      <c r="CQ162" t="e">
        <f>IF(#REF!,"AAAAADCn+14=",0)</f>
        <v>#REF!</v>
      </c>
      <c r="CR162" t="e">
        <f>AND(#REF!,"AAAAADCn+18=")</f>
        <v>#REF!</v>
      </c>
      <c r="CS162" t="e">
        <f>AND(#REF!,"AAAAADCn+2A=")</f>
        <v>#REF!</v>
      </c>
      <c r="CT162" t="e">
        <f>AND(#REF!,"AAAAADCn+2E=")</f>
        <v>#REF!</v>
      </c>
      <c r="CU162" t="e">
        <f>AND(#REF!,"AAAAADCn+2I=")</f>
        <v>#REF!</v>
      </c>
      <c r="CV162" t="e">
        <f>AND(#REF!,"AAAAADCn+2M=")</f>
        <v>#REF!</v>
      </c>
      <c r="CW162" t="e">
        <f>AND(#REF!,"AAAAADCn+2Q=")</f>
        <v>#REF!</v>
      </c>
      <c r="CX162" t="e">
        <f>AND(#REF!,"AAAAADCn+2U=")</f>
        <v>#REF!</v>
      </c>
      <c r="CY162" t="e">
        <f>AND(#REF!,"AAAAADCn+2Y=")</f>
        <v>#REF!</v>
      </c>
      <c r="CZ162" t="e">
        <f>AND(#REF!,"AAAAADCn+2c=")</f>
        <v>#REF!</v>
      </c>
      <c r="DA162" t="e">
        <f>AND(#REF!,"AAAAADCn+2g=")</f>
        <v>#REF!</v>
      </c>
      <c r="DB162" t="e">
        <f>AND(#REF!,"AAAAADCn+2k=")</f>
        <v>#REF!</v>
      </c>
      <c r="DC162" t="e">
        <f>AND(#REF!,"AAAAADCn+2o=")</f>
        <v>#REF!</v>
      </c>
      <c r="DD162" t="e">
        <f>AND(#REF!,"AAAAADCn+2s=")</f>
        <v>#REF!</v>
      </c>
      <c r="DE162" t="e">
        <f>AND(#REF!,"AAAAADCn+2w=")</f>
        <v>#REF!</v>
      </c>
      <c r="DF162" t="e">
        <f>AND(#REF!,"AAAAADCn+20=")</f>
        <v>#REF!</v>
      </c>
      <c r="DG162" t="e">
        <f>AND(#REF!,"AAAAADCn+24=")</f>
        <v>#REF!</v>
      </c>
      <c r="DH162" t="e">
        <f>AND(#REF!,"AAAAADCn+28=")</f>
        <v>#REF!</v>
      </c>
      <c r="DI162" t="e">
        <f>AND(#REF!,"AAAAADCn+3A=")</f>
        <v>#REF!</v>
      </c>
      <c r="DJ162" t="e">
        <f>AND(#REF!,"AAAAADCn+3E=")</f>
        <v>#REF!</v>
      </c>
      <c r="DK162" t="e">
        <f>AND(#REF!,"AAAAADCn+3I=")</f>
        <v>#REF!</v>
      </c>
      <c r="DL162" t="e">
        <f>AND(#REF!,"AAAAADCn+3M=")</f>
        <v>#REF!</v>
      </c>
      <c r="DM162" t="e">
        <f>AND(#REF!,"AAAAADCn+3Q=")</f>
        <v>#REF!</v>
      </c>
      <c r="DN162" t="e">
        <f>AND(#REF!,"AAAAADCn+3U=")</f>
        <v>#REF!</v>
      </c>
      <c r="DO162" t="e">
        <f>AND(#REF!,"AAAAADCn+3Y=")</f>
        <v>#REF!</v>
      </c>
      <c r="DP162" t="e">
        <f>IF(#REF!,"AAAAADCn+3c=",0)</f>
        <v>#REF!</v>
      </c>
      <c r="DQ162" t="e">
        <f>AND(#REF!,"AAAAADCn+3g=")</f>
        <v>#REF!</v>
      </c>
      <c r="DR162" t="e">
        <f>AND(#REF!,"AAAAADCn+3k=")</f>
        <v>#REF!</v>
      </c>
      <c r="DS162" t="e">
        <f>AND(#REF!,"AAAAADCn+3o=")</f>
        <v>#REF!</v>
      </c>
      <c r="DT162" t="e">
        <f>AND(#REF!,"AAAAADCn+3s=")</f>
        <v>#REF!</v>
      </c>
      <c r="DU162" t="e">
        <f>AND(#REF!,"AAAAADCn+3w=")</f>
        <v>#REF!</v>
      </c>
      <c r="DV162" t="e">
        <f>AND(#REF!,"AAAAADCn+30=")</f>
        <v>#REF!</v>
      </c>
      <c r="DW162" t="e">
        <f>AND(#REF!,"AAAAADCn+34=")</f>
        <v>#REF!</v>
      </c>
      <c r="DX162" t="e">
        <f>AND(#REF!,"AAAAADCn+38=")</f>
        <v>#REF!</v>
      </c>
      <c r="DY162" t="e">
        <f>AND(#REF!,"AAAAADCn+4A=")</f>
        <v>#REF!</v>
      </c>
      <c r="DZ162" t="e">
        <f>AND(#REF!,"AAAAADCn+4E=")</f>
        <v>#REF!</v>
      </c>
      <c r="EA162" t="e">
        <f>AND(#REF!,"AAAAADCn+4I=")</f>
        <v>#REF!</v>
      </c>
      <c r="EB162" t="e">
        <f>AND(#REF!,"AAAAADCn+4M=")</f>
        <v>#REF!</v>
      </c>
      <c r="EC162" t="e">
        <f>AND(#REF!,"AAAAADCn+4Q=")</f>
        <v>#REF!</v>
      </c>
      <c r="ED162" t="e">
        <f>AND(#REF!,"AAAAADCn+4U=")</f>
        <v>#REF!</v>
      </c>
      <c r="EE162" t="e">
        <f>AND(#REF!,"AAAAADCn+4Y=")</f>
        <v>#REF!</v>
      </c>
      <c r="EF162" t="e">
        <f>AND(#REF!,"AAAAADCn+4c=")</f>
        <v>#REF!</v>
      </c>
      <c r="EG162" t="e">
        <f>AND(#REF!,"AAAAADCn+4g=")</f>
        <v>#REF!</v>
      </c>
      <c r="EH162" t="e">
        <f>AND(#REF!,"AAAAADCn+4k=")</f>
        <v>#REF!</v>
      </c>
      <c r="EI162" t="e">
        <f>AND(#REF!,"AAAAADCn+4o=")</f>
        <v>#REF!</v>
      </c>
      <c r="EJ162" t="e">
        <f>AND(#REF!,"AAAAADCn+4s=")</f>
        <v>#REF!</v>
      </c>
      <c r="EK162" t="e">
        <f>AND(#REF!,"AAAAADCn+4w=")</f>
        <v>#REF!</v>
      </c>
      <c r="EL162" t="e">
        <f>AND(#REF!,"AAAAADCn+40=")</f>
        <v>#REF!</v>
      </c>
      <c r="EM162" t="e">
        <f>AND(#REF!,"AAAAADCn+44=")</f>
        <v>#REF!</v>
      </c>
      <c r="EN162" t="e">
        <f>AND(#REF!,"AAAAADCn+48=")</f>
        <v>#REF!</v>
      </c>
      <c r="EO162" t="e">
        <f>IF(#REF!,"AAAAADCn+5A=",0)</f>
        <v>#REF!</v>
      </c>
      <c r="EP162" t="e">
        <f>AND(#REF!,"AAAAADCn+5E=")</f>
        <v>#REF!</v>
      </c>
      <c r="EQ162" t="e">
        <f>AND(#REF!,"AAAAADCn+5I=")</f>
        <v>#REF!</v>
      </c>
      <c r="ER162" t="e">
        <f>AND(#REF!,"AAAAADCn+5M=")</f>
        <v>#REF!</v>
      </c>
      <c r="ES162" t="e">
        <f>AND(#REF!,"AAAAADCn+5Q=")</f>
        <v>#REF!</v>
      </c>
      <c r="ET162" t="e">
        <f>AND(#REF!,"AAAAADCn+5U=")</f>
        <v>#REF!</v>
      </c>
      <c r="EU162" t="e">
        <f>AND(#REF!,"AAAAADCn+5Y=")</f>
        <v>#REF!</v>
      </c>
      <c r="EV162" t="e">
        <f>AND(#REF!,"AAAAADCn+5c=")</f>
        <v>#REF!</v>
      </c>
      <c r="EW162" t="e">
        <f>AND(#REF!,"AAAAADCn+5g=")</f>
        <v>#REF!</v>
      </c>
      <c r="EX162" t="e">
        <f>AND(#REF!,"AAAAADCn+5k=")</f>
        <v>#REF!</v>
      </c>
      <c r="EY162" t="e">
        <f>AND(#REF!,"AAAAADCn+5o=")</f>
        <v>#REF!</v>
      </c>
      <c r="EZ162" t="e">
        <f>AND(#REF!,"AAAAADCn+5s=")</f>
        <v>#REF!</v>
      </c>
      <c r="FA162" t="e">
        <f>AND(#REF!,"AAAAADCn+5w=")</f>
        <v>#REF!</v>
      </c>
      <c r="FB162" t="e">
        <f>AND(#REF!,"AAAAADCn+50=")</f>
        <v>#REF!</v>
      </c>
      <c r="FC162" t="e">
        <f>AND(#REF!,"AAAAADCn+54=")</f>
        <v>#REF!</v>
      </c>
      <c r="FD162" t="e">
        <f>AND(#REF!,"AAAAADCn+58=")</f>
        <v>#REF!</v>
      </c>
      <c r="FE162" t="e">
        <f>AND(#REF!,"AAAAADCn+6A=")</f>
        <v>#REF!</v>
      </c>
      <c r="FF162" t="e">
        <f>AND(#REF!,"AAAAADCn+6E=")</f>
        <v>#REF!</v>
      </c>
      <c r="FG162" t="e">
        <f>AND(#REF!,"AAAAADCn+6I=")</f>
        <v>#REF!</v>
      </c>
      <c r="FH162" t="e">
        <f>AND(#REF!,"AAAAADCn+6M=")</f>
        <v>#REF!</v>
      </c>
      <c r="FI162" t="e">
        <f>AND(#REF!,"AAAAADCn+6Q=")</f>
        <v>#REF!</v>
      </c>
      <c r="FJ162" t="e">
        <f>AND(#REF!,"AAAAADCn+6U=")</f>
        <v>#REF!</v>
      </c>
      <c r="FK162" t="e">
        <f>AND(#REF!,"AAAAADCn+6Y=")</f>
        <v>#REF!</v>
      </c>
      <c r="FL162" t="e">
        <f>AND(#REF!,"AAAAADCn+6c=")</f>
        <v>#REF!</v>
      </c>
      <c r="FM162" t="e">
        <f>AND(#REF!,"AAAAADCn+6g=")</f>
        <v>#REF!</v>
      </c>
      <c r="FN162" t="e">
        <f>IF(#REF!,"AAAAADCn+6k=",0)</f>
        <v>#REF!</v>
      </c>
      <c r="FO162" t="e">
        <f>AND(#REF!,"AAAAADCn+6o=")</f>
        <v>#REF!</v>
      </c>
      <c r="FP162" t="e">
        <f>AND(#REF!,"AAAAADCn+6s=")</f>
        <v>#REF!</v>
      </c>
      <c r="FQ162" t="e">
        <f>AND(#REF!,"AAAAADCn+6w=")</f>
        <v>#REF!</v>
      </c>
      <c r="FR162" t="e">
        <f>AND(#REF!,"AAAAADCn+60=")</f>
        <v>#REF!</v>
      </c>
      <c r="FS162" t="e">
        <f>AND(#REF!,"AAAAADCn+64=")</f>
        <v>#REF!</v>
      </c>
      <c r="FT162" t="e">
        <f>AND(#REF!,"AAAAADCn+68=")</f>
        <v>#REF!</v>
      </c>
      <c r="FU162" t="e">
        <f>AND(#REF!,"AAAAADCn+7A=")</f>
        <v>#REF!</v>
      </c>
      <c r="FV162" t="e">
        <f>AND(#REF!,"AAAAADCn+7E=")</f>
        <v>#REF!</v>
      </c>
      <c r="FW162" t="e">
        <f>AND(#REF!,"AAAAADCn+7I=")</f>
        <v>#REF!</v>
      </c>
      <c r="FX162" t="e">
        <f>AND(#REF!,"AAAAADCn+7M=")</f>
        <v>#REF!</v>
      </c>
      <c r="FY162" t="e">
        <f>AND(#REF!,"AAAAADCn+7Q=")</f>
        <v>#REF!</v>
      </c>
      <c r="FZ162" t="e">
        <f>AND(#REF!,"AAAAADCn+7U=")</f>
        <v>#REF!</v>
      </c>
      <c r="GA162" t="e">
        <f>AND(#REF!,"AAAAADCn+7Y=")</f>
        <v>#REF!</v>
      </c>
      <c r="GB162" t="e">
        <f>AND(#REF!,"AAAAADCn+7c=")</f>
        <v>#REF!</v>
      </c>
      <c r="GC162" t="e">
        <f>AND(#REF!,"AAAAADCn+7g=")</f>
        <v>#REF!</v>
      </c>
      <c r="GD162" t="e">
        <f>AND(#REF!,"AAAAADCn+7k=")</f>
        <v>#REF!</v>
      </c>
      <c r="GE162" t="e">
        <f>AND(#REF!,"AAAAADCn+7o=")</f>
        <v>#REF!</v>
      </c>
      <c r="GF162" t="e">
        <f>AND(#REF!,"AAAAADCn+7s=")</f>
        <v>#REF!</v>
      </c>
      <c r="GG162" t="e">
        <f>AND(#REF!,"AAAAADCn+7w=")</f>
        <v>#REF!</v>
      </c>
      <c r="GH162" t="e">
        <f>AND(#REF!,"AAAAADCn+70=")</f>
        <v>#REF!</v>
      </c>
      <c r="GI162" t="e">
        <f>AND(#REF!,"AAAAADCn+74=")</f>
        <v>#REF!</v>
      </c>
      <c r="GJ162" t="e">
        <f>AND(#REF!,"AAAAADCn+78=")</f>
        <v>#REF!</v>
      </c>
      <c r="GK162" t="e">
        <f>AND(#REF!,"AAAAADCn+8A=")</f>
        <v>#REF!</v>
      </c>
      <c r="GL162" t="e">
        <f>AND(#REF!,"AAAAADCn+8E=")</f>
        <v>#REF!</v>
      </c>
      <c r="GM162" t="e">
        <f>IF(#REF!,"AAAAADCn+8I=",0)</f>
        <v>#REF!</v>
      </c>
      <c r="GN162" t="e">
        <f>AND(#REF!,"AAAAADCn+8M=")</f>
        <v>#REF!</v>
      </c>
      <c r="GO162" t="e">
        <f>AND(#REF!,"AAAAADCn+8Q=")</f>
        <v>#REF!</v>
      </c>
      <c r="GP162" t="e">
        <f>AND(#REF!,"AAAAADCn+8U=")</f>
        <v>#REF!</v>
      </c>
      <c r="GQ162" t="e">
        <f>AND(#REF!,"AAAAADCn+8Y=")</f>
        <v>#REF!</v>
      </c>
      <c r="GR162" t="e">
        <f>AND(#REF!,"AAAAADCn+8c=")</f>
        <v>#REF!</v>
      </c>
      <c r="GS162" t="e">
        <f>AND(#REF!,"AAAAADCn+8g=")</f>
        <v>#REF!</v>
      </c>
      <c r="GT162" t="e">
        <f>AND(#REF!,"AAAAADCn+8k=")</f>
        <v>#REF!</v>
      </c>
      <c r="GU162" t="e">
        <f>AND(#REF!,"AAAAADCn+8o=")</f>
        <v>#REF!</v>
      </c>
      <c r="GV162" t="e">
        <f>AND(#REF!,"AAAAADCn+8s=")</f>
        <v>#REF!</v>
      </c>
      <c r="GW162" t="e">
        <f>AND(#REF!,"AAAAADCn+8w=")</f>
        <v>#REF!</v>
      </c>
      <c r="GX162" t="e">
        <f>AND(#REF!,"AAAAADCn+80=")</f>
        <v>#REF!</v>
      </c>
      <c r="GY162" t="e">
        <f>AND(#REF!,"AAAAADCn+84=")</f>
        <v>#REF!</v>
      </c>
      <c r="GZ162" t="e">
        <f>AND(#REF!,"AAAAADCn+88=")</f>
        <v>#REF!</v>
      </c>
      <c r="HA162" t="e">
        <f>AND(#REF!,"AAAAADCn+9A=")</f>
        <v>#REF!</v>
      </c>
      <c r="HB162" t="e">
        <f>AND(#REF!,"AAAAADCn+9E=")</f>
        <v>#REF!</v>
      </c>
      <c r="HC162" t="e">
        <f>AND(#REF!,"AAAAADCn+9I=")</f>
        <v>#REF!</v>
      </c>
      <c r="HD162" t="e">
        <f>AND(#REF!,"AAAAADCn+9M=")</f>
        <v>#REF!</v>
      </c>
      <c r="HE162" t="e">
        <f>AND(#REF!,"AAAAADCn+9Q=")</f>
        <v>#REF!</v>
      </c>
      <c r="HF162" t="e">
        <f>AND(#REF!,"AAAAADCn+9U=")</f>
        <v>#REF!</v>
      </c>
      <c r="HG162" t="e">
        <f>AND(#REF!,"AAAAADCn+9Y=")</f>
        <v>#REF!</v>
      </c>
      <c r="HH162" t="e">
        <f>AND(#REF!,"AAAAADCn+9c=")</f>
        <v>#REF!</v>
      </c>
      <c r="HI162" t="e">
        <f>AND(#REF!,"AAAAADCn+9g=")</f>
        <v>#REF!</v>
      </c>
      <c r="HJ162" t="e">
        <f>AND(#REF!,"AAAAADCn+9k=")</f>
        <v>#REF!</v>
      </c>
      <c r="HK162" t="e">
        <f>AND(#REF!,"AAAAADCn+9o=")</f>
        <v>#REF!</v>
      </c>
      <c r="HL162" t="e">
        <f>IF(#REF!,"AAAAADCn+9s=",0)</f>
        <v>#REF!</v>
      </c>
      <c r="HM162" t="e">
        <f>AND(#REF!,"AAAAADCn+9w=")</f>
        <v>#REF!</v>
      </c>
      <c r="HN162" t="e">
        <f>AND(#REF!,"AAAAADCn+90=")</f>
        <v>#REF!</v>
      </c>
      <c r="HO162" t="e">
        <f>AND(#REF!,"AAAAADCn+94=")</f>
        <v>#REF!</v>
      </c>
      <c r="HP162" t="e">
        <f>AND(#REF!,"AAAAADCn+98=")</f>
        <v>#REF!</v>
      </c>
      <c r="HQ162" t="e">
        <f>AND(#REF!,"AAAAADCn++A=")</f>
        <v>#REF!</v>
      </c>
      <c r="HR162" t="e">
        <f>AND(#REF!,"AAAAADCn++E=")</f>
        <v>#REF!</v>
      </c>
      <c r="HS162" t="e">
        <f>AND(#REF!,"AAAAADCn++I=")</f>
        <v>#REF!</v>
      </c>
      <c r="HT162" t="e">
        <f>AND(#REF!,"AAAAADCn++M=")</f>
        <v>#REF!</v>
      </c>
      <c r="HU162" t="e">
        <f>AND(#REF!,"AAAAADCn++Q=")</f>
        <v>#REF!</v>
      </c>
      <c r="HV162" t="e">
        <f>AND(#REF!,"AAAAADCn++U=")</f>
        <v>#REF!</v>
      </c>
      <c r="HW162" t="e">
        <f>AND(#REF!,"AAAAADCn++Y=")</f>
        <v>#REF!</v>
      </c>
      <c r="HX162" t="e">
        <f>AND(#REF!,"AAAAADCn++c=")</f>
        <v>#REF!</v>
      </c>
      <c r="HY162" t="e">
        <f>AND(#REF!,"AAAAADCn++g=")</f>
        <v>#REF!</v>
      </c>
      <c r="HZ162" t="e">
        <f>AND(#REF!,"AAAAADCn++k=")</f>
        <v>#REF!</v>
      </c>
      <c r="IA162" t="e">
        <f>AND(#REF!,"AAAAADCn++o=")</f>
        <v>#REF!</v>
      </c>
      <c r="IB162" t="e">
        <f>AND(#REF!,"AAAAADCn++s=")</f>
        <v>#REF!</v>
      </c>
      <c r="IC162" t="e">
        <f>AND(#REF!,"AAAAADCn++w=")</f>
        <v>#REF!</v>
      </c>
      <c r="ID162" t="e">
        <f>AND(#REF!,"AAAAADCn++0=")</f>
        <v>#REF!</v>
      </c>
      <c r="IE162" t="e">
        <f>AND(#REF!,"AAAAADCn++4=")</f>
        <v>#REF!</v>
      </c>
      <c r="IF162" t="e">
        <f>AND(#REF!,"AAAAADCn++8=")</f>
        <v>#REF!</v>
      </c>
      <c r="IG162" t="e">
        <f>AND(#REF!,"AAAAADCn+/A=")</f>
        <v>#REF!</v>
      </c>
      <c r="IH162" t="e">
        <f>AND(#REF!,"AAAAADCn+/E=")</f>
        <v>#REF!</v>
      </c>
      <c r="II162" t="e">
        <f>AND(#REF!,"AAAAADCn+/I=")</f>
        <v>#REF!</v>
      </c>
      <c r="IJ162" t="e">
        <f>AND(#REF!,"AAAAADCn+/M=")</f>
        <v>#REF!</v>
      </c>
      <c r="IK162" t="e">
        <f>IF(#REF!,"AAAAADCn+/Q=",0)</f>
        <v>#REF!</v>
      </c>
      <c r="IL162" t="e">
        <f>AND(#REF!,"AAAAADCn+/U=")</f>
        <v>#REF!</v>
      </c>
      <c r="IM162" t="e">
        <f>AND(#REF!,"AAAAADCn+/Y=")</f>
        <v>#REF!</v>
      </c>
      <c r="IN162" t="e">
        <f>AND(#REF!,"AAAAADCn+/c=")</f>
        <v>#REF!</v>
      </c>
      <c r="IO162" t="e">
        <f>AND(#REF!,"AAAAADCn+/g=")</f>
        <v>#REF!</v>
      </c>
      <c r="IP162" t="e">
        <f>AND(#REF!,"AAAAADCn+/k=")</f>
        <v>#REF!</v>
      </c>
      <c r="IQ162" t="e">
        <f>AND(#REF!,"AAAAADCn+/o=")</f>
        <v>#REF!</v>
      </c>
      <c r="IR162" t="e">
        <f>AND(#REF!,"AAAAADCn+/s=")</f>
        <v>#REF!</v>
      </c>
      <c r="IS162" t="e">
        <f>AND(#REF!,"AAAAADCn+/w=")</f>
        <v>#REF!</v>
      </c>
      <c r="IT162" t="e">
        <f>AND(#REF!,"AAAAADCn+/0=")</f>
        <v>#REF!</v>
      </c>
      <c r="IU162" t="e">
        <f>AND(#REF!,"AAAAADCn+/4=")</f>
        <v>#REF!</v>
      </c>
      <c r="IV162" t="e">
        <f>AND(#REF!,"AAAAADCn+/8=")</f>
        <v>#REF!</v>
      </c>
    </row>
    <row r="163" spans="1:256">
      <c r="A163" t="e">
        <f>AND(#REF!,"AAAAAH7f2wA=")</f>
        <v>#REF!</v>
      </c>
      <c r="B163" t="e">
        <f>AND(#REF!,"AAAAAH7f2wE=")</f>
        <v>#REF!</v>
      </c>
      <c r="C163" t="e">
        <f>AND(#REF!,"AAAAAH7f2wI=")</f>
        <v>#REF!</v>
      </c>
      <c r="D163" t="e">
        <f>AND(#REF!,"AAAAAH7f2wM=")</f>
        <v>#REF!</v>
      </c>
      <c r="E163" t="e">
        <f>AND(#REF!,"AAAAAH7f2wQ=")</f>
        <v>#REF!</v>
      </c>
      <c r="F163" t="e">
        <f>AND(#REF!,"AAAAAH7f2wU=")</f>
        <v>#REF!</v>
      </c>
      <c r="G163" t="e">
        <f>AND(#REF!,"AAAAAH7f2wY=")</f>
        <v>#REF!</v>
      </c>
      <c r="H163" t="e">
        <f>AND(#REF!,"AAAAAH7f2wc=")</f>
        <v>#REF!</v>
      </c>
      <c r="I163" t="e">
        <f>AND(#REF!,"AAAAAH7f2wg=")</f>
        <v>#REF!</v>
      </c>
      <c r="J163" t="e">
        <f>AND(#REF!,"AAAAAH7f2wk=")</f>
        <v>#REF!</v>
      </c>
      <c r="K163" t="e">
        <f>AND(#REF!,"AAAAAH7f2wo=")</f>
        <v>#REF!</v>
      </c>
      <c r="L163" t="e">
        <f>AND(#REF!,"AAAAAH7f2ws=")</f>
        <v>#REF!</v>
      </c>
      <c r="M163" t="e">
        <f>AND(#REF!,"AAAAAH7f2ww=")</f>
        <v>#REF!</v>
      </c>
      <c r="N163" t="e">
        <f>IF(#REF!,"AAAAAH7f2w0=",0)</f>
        <v>#REF!</v>
      </c>
      <c r="O163" t="e">
        <f>AND(#REF!,"AAAAAH7f2w4=")</f>
        <v>#REF!</v>
      </c>
      <c r="P163" t="e">
        <f>AND(#REF!,"AAAAAH7f2w8=")</f>
        <v>#REF!</v>
      </c>
      <c r="Q163" t="e">
        <f>AND(#REF!,"AAAAAH7f2xA=")</f>
        <v>#REF!</v>
      </c>
      <c r="R163" t="e">
        <f>AND(#REF!,"AAAAAH7f2xE=")</f>
        <v>#REF!</v>
      </c>
      <c r="S163" t="e">
        <f>AND(#REF!,"AAAAAH7f2xI=")</f>
        <v>#REF!</v>
      </c>
      <c r="T163" t="e">
        <f>AND(#REF!,"AAAAAH7f2xM=")</f>
        <v>#REF!</v>
      </c>
      <c r="U163" t="e">
        <f>AND(#REF!,"AAAAAH7f2xQ=")</f>
        <v>#REF!</v>
      </c>
      <c r="V163" t="e">
        <f>AND(#REF!,"AAAAAH7f2xU=")</f>
        <v>#REF!</v>
      </c>
      <c r="W163" t="e">
        <f>AND(#REF!,"AAAAAH7f2xY=")</f>
        <v>#REF!</v>
      </c>
      <c r="X163" t="e">
        <f>AND(#REF!,"AAAAAH7f2xc=")</f>
        <v>#REF!</v>
      </c>
      <c r="Y163" t="e">
        <f>AND(#REF!,"AAAAAH7f2xg=")</f>
        <v>#REF!</v>
      </c>
      <c r="Z163" t="e">
        <f>AND(#REF!,"AAAAAH7f2xk=")</f>
        <v>#REF!</v>
      </c>
      <c r="AA163" t="e">
        <f>AND(#REF!,"AAAAAH7f2xo=")</f>
        <v>#REF!</v>
      </c>
      <c r="AB163" t="e">
        <f>AND(#REF!,"AAAAAH7f2xs=")</f>
        <v>#REF!</v>
      </c>
      <c r="AC163" t="e">
        <f>AND(#REF!,"AAAAAH7f2xw=")</f>
        <v>#REF!</v>
      </c>
      <c r="AD163" t="e">
        <f>AND(#REF!,"AAAAAH7f2x0=")</f>
        <v>#REF!</v>
      </c>
      <c r="AE163" t="e">
        <f>AND(#REF!,"AAAAAH7f2x4=")</f>
        <v>#REF!</v>
      </c>
      <c r="AF163" t="e">
        <f>AND(#REF!,"AAAAAH7f2x8=")</f>
        <v>#REF!</v>
      </c>
      <c r="AG163" t="e">
        <f>AND(#REF!,"AAAAAH7f2yA=")</f>
        <v>#REF!</v>
      </c>
      <c r="AH163" t="e">
        <f>AND(#REF!,"AAAAAH7f2yE=")</f>
        <v>#REF!</v>
      </c>
      <c r="AI163" t="e">
        <f>AND(#REF!,"AAAAAH7f2yI=")</f>
        <v>#REF!</v>
      </c>
      <c r="AJ163" t="e">
        <f>AND(#REF!,"AAAAAH7f2yM=")</f>
        <v>#REF!</v>
      </c>
      <c r="AK163" t="e">
        <f>AND(#REF!,"AAAAAH7f2yQ=")</f>
        <v>#REF!</v>
      </c>
      <c r="AL163" t="e">
        <f>AND(#REF!,"AAAAAH7f2yU=")</f>
        <v>#REF!</v>
      </c>
      <c r="AM163" t="e">
        <f>IF(#REF!,"AAAAAH7f2yY=",0)</f>
        <v>#REF!</v>
      </c>
      <c r="AN163" t="e">
        <f>AND(#REF!,"AAAAAH7f2yc=")</f>
        <v>#REF!</v>
      </c>
      <c r="AO163" t="e">
        <f>AND(#REF!,"AAAAAH7f2yg=")</f>
        <v>#REF!</v>
      </c>
      <c r="AP163" t="e">
        <f>AND(#REF!,"AAAAAH7f2yk=")</f>
        <v>#REF!</v>
      </c>
      <c r="AQ163" t="e">
        <f>AND(#REF!,"AAAAAH7f2yo=")</f>
        <v>#REF!</v>
      </c>
      <c r="AR163" t="e">
        <f>AND(#REF!,"AAAAAH7f2ys=")</f>
        <v>#REF!</v>
      </c>
      <c r="AS163" t="e">
        <f>AND(#REF!,"AAAAAH7f2yw=")</f>
        <v>#REF!</v>
      </c>
      <c r="AT163" t="e">
        <f>AND(#REF!,"AAAAAH7f2y0=")</f>
        <v>#REF!</v>
      </c>
      <c r="AU163" t="e">
        <f>AND(#REF!,"AAAAAH7f2y4=")</f>
        <v>#REF!</v>
      </c>
      <c r="AV163" t="e">
        <f>AND(#REF!,"AAAAAH7f2y8=")</f>
        <v>#REF!</v>
      </c>
      <c r="AW163" t="e">
        <f>AND(#REF!,"AAAAAH7f2zA=")</f>
        <v>#REF!</v>
      </c>
      <c r="AX163" t="e">
        <f>AND(#REF!,"AAAAAH7f2zE=")</f>
        <v>#REF!</v>
      </c>
      <c r="AY163" t="e">
        <f>AND(#REF!,"AAAAAH7f2zI=")</f>
        <v>#REF!</v>
      </c>
      <c r="AZ163" t="e">
        <f>AND(#REF!,"AAAAAH7f2zM=")</f>
        <v>#REF!</v>
      </c>
      <c r="BA163" t="e">
        <f>AND(#REF!,"AAAAAH7f2zQ=")</f>
        <v>#REF!</v>
      </c>
      <c r="BB163" t="e">
        <f>AND(#REF!,"AAAAAH7f2zU=")</f>
        <v>#REF!</v>
      </c>
      <c r="BC163" t="e">
        <f>AND(#REF!,"AAAAAH7f2zY=")</f>
        <v>#REF!</v>
      </c>
      <c r="BD163" t="e">
        <f>AND(#REF!,"AAAAAH7f2zc=")</f>
        <v>#REF!</v>
      </c>
      <c r="BE163" t="e">
        <f>AND(#REF!,"AAAAAH7f2zg=")</f>
        <v>#REF!</v>
      </c>
      <c r="BF163" t="e">
        <f>AND(#REF!,"AAAAAH7f2zk=")</f>
        <v>#REF!</v>
      </c>
      <c r="BG163" t="e">
        <f>AND(#REF!,"AAAAAH7f2zo=")</f>
        <v>#REF!</v>
      </c>
      <c r="BH163" t="e">
        <f>AND(#REF!,"AAAAAH7f2zs=")</f>
        <v>#REF!</v>
      </c>
      <c r="BI163" t="e">
        <f>AND(#REF!,"AAAAAH7f2zw=")</f>
        <v>#REF!</v>
      </c>
      <c r="BJ163" t="e">
        <f>AND(#REF!,"AAAAAH7f2z0=")</f>
        <v>#REF!</v>
      </c>
      <c r="BK163" t="e">
        <f>AND(#REF!,"AAAAAH7f2z4=")</f>
        <v>#REF!</v>
      </c>
      <c r="BL163" t="e">
        <f>IF(#REF!,"AAAAAH7f2z8=",0)</f>
        <v>#REF!</v>
      </c>
      <c r="BM163" t="e">
        <f>AND(#REF!,"AAAAAH7f20A=")</f>
        <v>#REF!</v>
      </c>
      <c r="BN163" t="e">
        <f>AND(#REF!,"AAAAAH7f20E=")</f>
        <v>#REF!</v>
      </c>
      <c r="BO163" t="e">
        <f>AND(#REF!,"AAAAAH7f20I=")</f>
        <v>#REF!</v>
      </c>
      <c r="BP163" t="e">
        <f>AND(#REF!,"AAAAAH7f20M=")</f>
        <v>#REF!</v>
      </c>
      <c r="BQ163" t="e">
        <f>AND(#REF!,"AAAAAH7f20Q=")</f>
        <v>#REF!</v>
      </c>
      <c r="BR163" t="e">
        <f>AND(#REF!,"AAAAAH7f20U=")</f>
        <v>#REF!</v>
      </c>
      <c r="BS163" t="e">
        <f>AND(#REF!,"AAAAAH7f20Y=")</f>
        <v>#REF!</v>
      </c>
      <c r="BT163" t="e">
        <f>AND(#REF!,"AAAAAH7f20c=")</f>
        <v>#REF!</v>
      </c>
      <c r="BU163" t="e">
        <f>AND(#REF!,"AAAAAH7f20g=")</f>
        <v>#REF!</v>
      </c>
      <c r="BV163" t="e">
        <f>AND(#REF!,"AAAAAH7f20k=")</f>
        <v>#REF!</v>
      </c>
      <c r="BW163" t="e">
        <f>AND(#REF!,"AAAAAH7f20o=")</f>
        <v>#REF!</v>
      </c>
      <c r="BX163" t="e">
        <f>AND(#REF!,"AAAAAH7f20s=")</f>
        <v>#REF!</v>
      </c>
      <c r="BY163" t="e">
        <f>AND(#REF!,"AAAAAH7f20w=")</f>
        <v>#REF!</v>
      </c>
      <c r="BZ163" t="e">
        <f>AND(#REF!,"AAAAAH7f200=")</f>
        <v>#REF!</v>
      </c>
      <c r="CA163" t="e">
        <f>AND(#REF!,"AAAAAH7f204=")</f>
        <v>#REF!</v>
      </c>
      <c r="CB163" t="e">
        <f>AND(#REF!,"AAAAAH7f208=")</f>
        <v>#REF!</v>
      </c>
      <c r="CC163" t="e">
        <f>AND(#REF!,"AAAAAH7f21A=")</f>
        <v>#REF!</v>
      </c>
      <c r="CD163" t="e">
        <f>AND(#REF!,"AAAAAH7f21E=")</f>
        <v>#REF!</v>
      </c>
      <c r="CE163" t="e">
        <f>AND(#REF!,"AAAAAH7f21I=")</f>
        <v>#REF!</v>
      </c>
      <c r="CF163" t="e">
        <f>AND(#REF!,"AAAAAH7f21M=")</f>
        <v>#REF!</v>
      </c>
      <c r="CG163" t="e">
        <f>AND(#REF!,"AAAAAH7f21Q=")</f>
        <v>#REF!</v>
      </c>
      <c r="CH163" t="e">
        <f>AND(#REF!,"AAAAAH7f21U=")</f>
        <v>#REF!</v>
      </c>
      <c r="CI163" t="e">
        <f>AND(#REF!,"AAAAAH7f21Y=")</f>
        <v>#REF!</v>
      </c>
      <c r="CJ163" t="e">
        <f>AND(#REF!,"AAAAAH7f21c=")</f>
        <v>#REF!</v>
      </c>
      <c r="CK163" t="e">
        <f>IF(#REF!,"AAAAAH7f21g=",0)</f>
        <v>#REF!</v>
      </c>
      <c r="CL163" t="e">
        <f>AND(#REF!,"AAAAAH7f21k=")</f>
        <v>#REF!</v>
      </c>
      <c r="CM163" t="e">
        <f>AND(#REF!,"AAAAAH7f21o=")</f>
        <v>#REF!</v>
      </c>
      <c r="CN163" t="e">
        <f>AND(#REF!,"AAAAAH7f21s=")</f>
        <v>#REF!</v>
      </c>
      <c r="CO163" t="e">
        <f>AND(#REF!,"AAAAAH7f21w=")</f>
        <v>#REF!</v>
      </c>
      <c r="CP163" t="e">
        <f>AND(#REF!,"AAAAAH7f210=")</f>
        <v>#REF!</v>
      </c>
      <c r="CQ163" t="e">
        <f>AND(#REF!,"AAAAAH7f214=")</f>
        <v>#REF!</v>
      </c>
      <c r="CR163" t="e">
        <f>AND(#REF!,"AAAAAH7f218=")</f>
        <v>#REF!</v>
      </c>
      <c r="CS163" t="e">
        <f>AND(#REF!,"AAAAAH7f22A=")</f>
        <v>#REF!</v>
      </c>
      <c r="CT163" t="e">
        <f>AND(#REF!,"AAAAAH7f22E=")</f>
        <v>#REF!</v>
      </c>
      <c r="CU163" t="e">
        <f>AND(#REF!,"AAAAAH7f22I=")</f>
        <v>#REF!</v>
      </c>
      <c r="CV163" t="e">
        <f>AND(#REF!,"AAAAAH7f22M=")</f>
        <v>#REF!</v>
      </c>
      <c r="CW163" t="e">
        <f>AND(#REF!,"AAAAAH7f22Q=")</f>
        <v>#REF!</v>
      </c>
      <c r="CX163" t="e">
        <f>AND(#REF!,"AAAAAH7f22U=")</f>
        <v>#REF!</v>
      </c>
      <c r="CY163" t="e">
        <f>AND(#REF!,"AAAAAH7f22Y=")</f>
        <v>#REF!</v>
      </c>
      <c r="CZ163" t="e">
        <f>AND(#REF!,"AAAAAH7f22c=")</f>
        <v>#REF!</v>
      </c>
      <c r="DA163" t="e">
        <f>AND(#REF!,"AAAAAH7f22g=")</f>
        <v>#REF!</v>
      </c>
      <c r="DB163" t="e">
        <f>AND(#REF!,"AAAAAH7f22k=")</f>
        <v>#REF!</v>
      </c>
      <c r="DC163" t="e">
        <f>AND(#REF!,"AAAAAH7f22o=")</f>
        <v>#REF!</v>
      </c>
      <c r="DD163" t="e">
        <f>AND(#REF!,"AAAAAH7f22s=")</f>
        <v>#REF!</v>
      </c>
      <c r="DE163" t="e">
        <f>AND(#REF!,"AAAAAH7f22w=")</f>
        <v>#REF!</v>
      </c>
      <c r="DF163" t="e">
        <f>AND(#REF!,"AAAAAH7f220=")</f>
        <v>#REF!</v>
      </c>
      <c r="DG163" t="e">
        <f>AND(#REF!,"AAAAAH7f224=")</f>
        <v>#REF!</v>
      </c>
      <c r="DH163" t="e">
        <f>AND(#REF!,"AAAAAH7f228=")</f>
        <v>#REF!</v>
      </c>
      <c r="DI163" t="e">
        <f>AND(#REF!,"AAAAAH7f23A=")</f>
        <v>#REF!</v>
      </c>
      <c r="DJ163" t="e">
        <f>IF(#REF!,"AAAAAH7f23E=",0)</f>
        <v>#REF!</v>
      </c>
      <c r="DK163" t="e">
        <f>AND(#REF!,"AAAAAH7f23I=")</f>
        <v>#REF!</v>
      </c>
      <c r="DL163" t="e">
        <f>AND(#REF!,"AAAAAH7f23M=")</f>
        <v>#REF!</v>
      </c>
      <c r="DM163" t="e">
        <f>AND(#REF!,"AAAAAH7f23Q=")</f>
        <v>#REF!</v>
      </c>
      <c r="DN163" t="e">
        <f>AND(#REF!,"AAAAAH7f23U=")</f>
        <v>#REF!</v>
      </c>
      <c r="DO163" t="e">
        <f>AND(#REF!,"AAAAAH7f23Y=")</f>
        <v>#REF!</v>
      </c>
      <c r="DP163" t="e">
        <f>AND(#REF!,"AAAAAH7f23c=")</f>
        <v>#REF!</v>
      </c>
      <c r="DQ163" t="e">
        <f>AND(#REF!,"AAAAAH7f23g=")</f>
        <v>#REF!</v>
      </c>
      <c r="DR163" t="e">
        <f>AND(#REF!,"AAAAAH7f23k=")</f>
        <v>#REF!</v>
      </c>
      <c r="DS163" t="e">
        <f>AND(#REF!,"AAAAAH7f23o=")</f>
        <v>#REF!</v>
      </c>
      <c r="DT163" t="e">
        <f>AND(#REF!,"AAAAAH7f23s=")</f>
        <v>#REF!</v>
      </c>
      <c r="DU163" t="e">
        <f>AND(#REF!,"AAAAAH7f23w=")</f>
        <v>#REF!</v>
      </c>
      <c r="DV163" t="e">
        <f>AND(#REF!,"AAAAAH7f230=")</f>
        <v>#REF!</v>
      </c>
      <c r="DW163" t="e">
        <f>AND(#REF!,"AAAAAH7f234=")</f>
        <v>#REF!</v>
      </c>
      <c r="DX163" t="e">
        <f>AND(#REF!,"AAAAAH7f238=")</f>
        <v>#REF!</v>
      </c>
      <c r="DY163" t="e">
        <f>AND(#REF!,"AAAAAH7f24A=")</f>
        <v>#REF!</v>
      </c>
      <c r="DZ163" t="e">
        <f>AND(#REF!,"AAAAAH7f24E=")</f>
        <v>#REF!</v>
      </c>
      <c r="EA163" t="e">
        <f>AND(#REF!,"AAAAAH7f24I=")</f>
        <v>#REF!</v>
      </c>
      <c r="EB163" t="e">
        <f>AND(#REF!,"AAAAAH7f24M=")</f>
        <v>#REF!</v>
      </c>
      <c r="EC163" t="e">
        <f>AND(#REF!,"AAAAAH7f24Q=")</f>
        <v>#REF!</v>
      </c>
      <c r="ED163" t="e">
        <f>AND(#REF!,"AAAAAH7f24U=")</f>
        <v>#REF!</v>
      </c>
      <c r="EE163" t="e">
        <f>AND(#REF!,"AAAAAH7f24Y=")</f>
        <v>#REF!</v>
      </c>
      <c r="EF163" t="e">
        <f>AND(#REF!,"AAAAAH7f24c=")</f>
        <v>#REF!</v>
      </c>
      <c r="EG163" t="e">
        <f>AND(#REF!,"AAAAAH7f24g=")</f>
        <v>#REF!</v>
      </c>
      <c r="EH163" t="e">
        <f>AND(#REF!,"AAAAAH7f24k=")</f>
        <v>#REF!</v>
      </c>
      <c r="EI163" t="e">
        <f>IF(#REF!,"AAAAAH7f24o=",0)</f>
        <v>#REF!</v>
      </c>
      <c r="EJ163" t="e">
        <f>AND(#REF!,"AAAAAH7f24s=")</f>
        <v>#REF!</v>
      </c>
      <c r="EK163" t="e">
        <f>AND(#REF!,"AAAAAH7f24w=")</f>
        <v>#REF!</v>
      </c>
      <c r="EL163" t="e">
        <f>AND(#REF!,"AAAAAH7f240=")</f>
        <v>#REF!</v>
      </c>
      <c r="EM163" t="e">
        <f>AND(#REF!,"AAAAAH7f244=")</f>
        <v>#REF!</v>
      </c>
      <c r="EN163" t="e">
        <f>AND(#REF!,"AAAAAH7f248=")</f>
        <v>#REF!</v>
      </c>
      <c r="EO163" t="e">
        <f>AND(#REF!,"AAAAAH7f25A=")</f>
        <v>#REF!</v>
      </c>
      <c r="EP163" t="e">
        <f>AND(#REF!,"AAAAAH7f25E=")</f>
        <v>#REF!</v>
      </c>
      <c r="EQ163" t="e">
        <f>AND(#REF!,"AAAAAH7f25I=")</f>
        <v>#REF!</v>
      </c>
      <c r="ER163" t="e">
        <f>AND(#REF!,"AAAAAH7f25M=")</f>
        <v>#REF!</v>
      </c>
      <c r="ES163" t="e">
        <f>AND(#REF!,"AAAAAH7f25Q=")</f>
        <v>#REF!</v>
      </c>
      <c r="ET163" t="e">
        <f>AND(#REF!,"AAAAAH7f25U=")</f>
        <v>#REF!</v>
      </c>
      <c r="EU163" t="e">
        <f>AND(#REF!,"AAAAAH7f25Y=")</f>
        <v>#REF!</v>
      </c>
      <c r="EV163" t="e">
        <f>AND(#REF!,"AAAAAH7f25c=")</f>
        <v>#REF!</v>
      </c>
      <c r="EW163" t="e">
        <f>AND(#REF!,"AAAAAH7f25g=")</f>
        <v>#REF!</v>
      </c>
      <c r="EX163" t="e">
        <f>AND(#REF!,"AAAAAH7f25k=")</f>
        <v>#REF!</v>
      </c>
      <c r="EY163" t="e">
        <f>AND(#REF!,"AAAAAH7f25o=")</f>
        <v>#REF!</v>
      </c>
      <c r="EZ163" t="e">
        <f>AND(#REF!,"AAAAAH7f25s=")</f>
        <v>#REF!</v>
      </c>
      <c r="FA163" t="e">
        <f>AND(#REF!,"AAAAAH7f25w=")</f>
        <v>#REF!</v>
      </c>
      <c r="FB163" t="e">
        <f>AND(#REF!,"AAAAAH7f250=")</f>
        <v>#REF!</v>
      </c>
      <c r="FC163" t="e">
        <f>AND(#REF!,"AAAAAH7f254=")</f>
        <v>#REF!</v>
      </c>
      <c r="FD163" t="e">
        <f>AND(#REF!,"AAAAAH7f258=")</f>
        <v>#REF!</v>
      </c>
      <c r="FE163" t="e">
        <f>AND(#REF!,"AAAAAH7f26A=")</f>
        <v>#REF!</v>
      </c>
      <c r="FF163" t="e">
        <f>AND(#REF!,"AAAAAH7f26E=")</f>
        <v>#REF!</v>
      </c>
      <c r="FG163" t="e">
        <f>AND(#REF!,"AAAAAH7f26I=")</f>
        <v>#REF!</v>
      </c>
      <c r="FH163" t="e">
        <f>IF(#REF!,"AAAAAH7f26M=",0)</f>
        <v>#REF!</v>
      </c>
      <c r="FI163" t="e">
        <f>AND(#REF!,"AAAAAH7f26Q=")</f>
        <v>#REF!</v>
      </c>
      <c r="FJ163" t="e">
        <f>AND(#REF!,"AAAAAH7f26U=")</f>
        <v>#REF!</v>
      </c>
      <c r="FK163" t="e">
        <f>AND(#REF!,"AAAAAH7f26Y=")</f>
        <v>#REF!</v>
      </c>
      <c r="FL163" t="e">
        <f>AND(#REF!,"AAAAAH7f26c=")</f>
        <v>#REF!</v>
      </c>
      <c r="FM163" t="e">
        <f>AND(#REF!,"AAAAAH7f26g=")</f>
        <v>#REF!</v>
      </c>
      <c r="FN163" t="e">
        <f>AND(#REF!,"AAAAAH7f26k=")</f>
        <v>#REF!</v>
      </c>
      <c r="FO163" t="e">
        <f>AND(#REF!,"AAAAAH7f26o=")</f>
        <v>#REF!</v>
      </c>
      <c r="FP163" t="e">
        <f>AND(#REF!,"AAAAAH7f26s=")</f>
        <v>#REF!</v>
      </c>
      <c r="FQ163" t="e">
        <f>AND(#REF!,"AAAAAH7f26w=")</f>
        <v>#REF!</v>
      </c>
      <c r="FR163" t="e">
        <f>AND(#REF!,"AAAAAH7f260=")</f>
        <v>#REF!</v>
      </c>
      <c r="FS163" t="e">
        <f>AND(#REF!,"AAAAAH7f264=")</f>
        <v>#REF!</v>
      </c>
      <c r="FT163" t="e">
        <f>AND(#REF!,"AAAAAH7f268=")</f>
        <v>#REF!</v>
      </c>
      <c r="FU163" t="e">
        <f>AND(#REF!,"AAAAAH7f27A=")</f>
        <v>#REF!</v>
      </c>
      <c r="FV163" t="e">
        <f>AND(#REF!,"AAAAAH7f27E=")</f>
        <v>#REF!</v>
      </c>
      <c r="FW163" t="e">
        <f>AND(#REF!,"AAAAAH7f27I=")</f>
        <v>#REF!</v>
      </c>
      <c r="FX163" t="e">
        <f>AND(#REF!,"AAAAAH7f27M=")</f>
        <v>#REF!</v>
      </c>
      <c r="FY163" t="e">
        <f>AND(#REF!,"AAAAAH7f27Q=")</f>
        <v>#REF!</v>
      </c>
      <c r="FZ163" t="e">
        <f>AND(#REF!,"AAAAAH7f27U=")</f>
        <v>#REF!</v>
      </c>
      <c r="GA163" t="e">
        <f>AND(#REF!,"AAAAAH7f27Y=")</f>
        <v>#REF!</v>
      </c>
      <c r="GB163" t="e">
        <f>AND(#REF!,"AAAAAH7f27c=")</f>
        <v>#REF!</v>
      </c>
      <c r="GC163" t="e">
        <f>AND(#REF!,"AAAAAH7f27g=")</f>
        <v>#REF!</v>
      </c>
      <c r="GD163" t="e">
        <f>AND(#REF!,"AAAAAH7f27k=")</f>
        <v>#REF!</v>
      </c>
      <c r="GE163" t="e">
        <f>AND(#REF!,"AAAAAH7f27o=")</f>
        <v>#REF!</v>
      </c>
      <c r="GF163" t="e">
        <f>AND(#REF!,"AAAAAH7f27s=")</f>
        <v>#REF!</v>
      </c>
      <c r="GG163" t="e">
        <f>IF(#REF!,"AAAAAH7f27w=",0)</f>
        <v>#REF!</v>
      </c>
      <c r="GH163" t="e">
        <f>AND(#REF!,"AAAAAH7f270=")</f>
        <v>#REF!</v>
      </c>
      <c r="GI163" t="e">
        <f>AND(#REF!,"AAAAAH7f274=")</f>
        <v>#REF!</v>
      </c>
      <c r="GJ163" t="e">
        <f>AND(#REF!,"AAAAAH7f278=")</f>
        <v>#REF!</v>
      </c>
      <c r="GK163" t="e">
        <f>AND(#REF!,"AAAAAH7f28A=")</f>
        <v>#REF!</v>
      </c>
      <c r="GL163" t="e">
        <f>AND(#REF!,"AAAAAH7f28E=")</f>
        <v>#REF!</v>
      </c>
      <c r="GM163" t="e">
        <f>AND(#REF!,"AAAAAH7f28I=")</f>
        <v>#REF!</v>
      </c>
      <c r="GN163" t="e">
        <f>AND(#REF!,"AAAAAH7f28M=")</f>
        <v>#REF!</v>
      </c>
      <c r="GO163" t="e">
        <f>AND(#REF!,"AAAAAH7f28Q=")</f>
        <v>#REF!</v>
      </c>
      <c r="GP163" t="e">
        <f>AND(#REF!,"AAAAAH7f28U=")</f>
        <v>#REF!</v>
      </c>
      <c r="GQ163" t="e">
        <f>AND(#REF!,"AAAAAH7f28Y=")</f>
        <v>#REF!</v>
      </c>
      <c r="GR163" t="e">
        <f>AND(#REF!,"AAAAAH7f28c=")</f>
        <v>#REF!</v>
      </c>
      <c r="GS163" t="e">
        <f>AND(#REF!,"AAAAAH7f28g=")</f>
        <v>#REF!</v>
      </c>
      <c r="GT163" t="e">
        <f>AND(#REF!,"AAAAAH7f28k=")</f>
        <v>#REF!</v>
      </c>
      <c r="GU163" t="e">
        <f>AND(#REF!,"AAAAAH7f28o=")</f>
        <v>#REF!</v>
      </c>
      <c r="GV163" t="e">
        <f>AND(#REF!,"AAAAAH7f28s=")</f>
        <v>#REF!</v>
      </c>
      <c r="GW163" t="e">
        <f>AND(#REF!,"AAAAAH7f28w=")</f>
        <v>#REF!</v>
      </c>
      <c r="GX163" t="e">
        <f>AND(#REF!,"AAAAAH7f280=")</f>
        <v>#REF!</v>
      </c>
      <c r="GY163" t="e">
        <f>AND(#REF!,"AAAAAH7f284=")</f>
        <v>#REF!</v>
      </c>
      <c r="GZ163" t="e">
        <f>AND(#REF!,"AAAAAH7f288=")</f>
        <v>#REF!</v>
      </c>
      <c r="HA163" t="e">
        <f>AND(#REF!,"AAAAAH7f29A=")</f>
        <v>#REF!</v>
      </c>
      <c r="HB163" t="e">
        <f>AND(#REF!,"AAAAAH7f29E=")</f>
        <v>#REF!</v>
      </c>
      <c r="HC163" t="e">
        <f>AND(#REF!,"AAAAAH7f29I=")</f>
        <v>#REF!</v>
      </c>
      <c r="HD163" t="e">
        <f>AND(#REF!,"AAAAAH7f29M=")</f>
        <v>#REF!</v>
      </c>
      <c r="HE163" t="e">
        <f>AND(#REF!,"AAAAAH7f29Q=")</f>
        <v>#REF!</v>
      </c>
      <c r="HF163" t="e">
        <f>IF(#REF!,"AAAAAH7f29U=",0)</f>
        <v>#REF!</v>
      </c>
      <c r="HG163" t="e">
        <f>AND(#REF!,"AAAAAH7f29Y=")</f>
        <v>#REF!</v>
      </c>
      <c r="HH163" t="e">
        <f>AND(#REF!,"AAAAAH7f29c=")</f>
        <v>#REF!</v>
      </c>
      <c r="HI163" t="e">
        <f>AND(#REF!,"AAAAAH7f29g=")</f>
        <v>#REF!</v>
      </c>
      <c r="HJ163" t="e">
        <f>AND(#REF!,"AAAAAH7f29k=")</f>
        <v>#REF!</v>
      </c>
      <c r="HK163" t="e">
        <f>AND(#REF!,"AAAAAH7f29o=")</f>
        <v>#REF!</v>
      </c>
      <c r="HL163" t="e">
        <f>AND(#REF!,"AAAAAH7f29s=")</f>
        <v>#REF!</v>
      </c>
      <c r="HM163" t="e">
        <f>AND(#REF!,"AAAAAH7f29w=")</f>
        <v>#REF!</v>
      </c>
      <c r="HN163" t="e">
        <f>AND(#REF!,"AAAAAH7f290=")</f>
        <v>#REF!</v>
      </c>
      <c r="HO163" t="e">
        <f>AND(#REF!,"AAAAAH7f294=")</f>
        <v>#REF!</v>
      </c>
      <c r="HP163" t="e">
        <f>AND(#REF!,"AAAAAH7f298=")</f>
        <v>#REF!</v>
      </c>
      <c r="HQ163" t="e">
        <f>AND(#REF!,"AAAAAH7f2+A=")</f>
        <v>#REF!</v>
      </c>
      <c r="HR163" t="e">
        <f>AND(#REF!,"AAAAAH7f2+E=")</f>
        <v>#REF!</v>
      </c>
      <c r="HS163" t="e">
        <f>AND(#REF!,"AAAAAH7f2+I=")</f>
        <v>#REF!</v>
      </c>
      <c r="HT163" t="e">
        <f>AND(#REF!,"AAAAAH7f2+M=")</f>
        <v>#REF!</v>
      </c>
      <c r="HU163" t="e">
        <f>AND(#REF!,"AAAAAH7f2+Q=")</f>
        <v>#REF!</v>
      </c>
      <c r="HV163" t="e">
        <f>AND(#REF!,"AAAAAH7f2+U=")</f>
        <v>#REF!</v>
      </c>
      <c r="HW163" t="e">
        <f>AND(#REF!,"AAAAAH7f2+Y=")</f>
        <v>#REF!</v>
      </c>
      <c r="HX163" t="e">
        <f>AND(#REF!,"AAAAAH7f2+c=")</f>
        <v>#REF!</v>
      </c>
      <c r="HY163" t="e">
        <f>AND(#REF!,"AAAAAH7f2+g=")</f>
        <v>#REF!</v>
      </c>
      <c r="HZ163" t="e">
        <f>AND(#REF!,"AAAAAH7f2+k=")</f>
        <v>#REF!</v>
      </c>
      <c r="IA163" t="e">
        <f>AND(#REF!,"AAAAAH7f2+o=")</f>
        <v>#REF!</v>
      </c>
      <c r="IB163" t="e">
        <f>AND(#REF!,"AAAAAH7f2+s=")</f>
        <v>#REF!</v>
      </c>
      <c r="IC163" t="e">
        <f>AND(#REF!,"AAAAAH7f2+w=")</f>
        <v>#REF!</v>
      </c>
      <c r="ID163" t="e">
        <f>AND(#REF!,"AAAAAH7f2+0=")</f>
        <v>#REF!</v>
      </c>
      <c r="IE163" t="e">
        <f>IF(#REF!,"AAAAAH7f2+4=",0)</f>
        <v>#REF!</v>
      </c>
      <c r="IF163" t="e">
        <f>AND(#REF!,"AAAAAH7f2+8=")</f>
        <v>#REF!</v>
      </c>
      <c r="IG163" t="e">
        <f>AND(#REF!,"AAAAAH7f2/A=")</f>
        <v>#REF!</v>
      </c>
      <c r="IH163" t="e">
        <f>AND(#REF!,"AAAAAH7f2/E=")</f>
        <v>#REF!</v>
      </c>
      <c r="II163" t="e">
        <f>AND(#REF!,"AAAAAH7f2/I=")</f>
        <v>#REF!</v>
      </c>
      <c r="IJ163" t="e">
        <f>AND(#REF!,"AAAAAH7f2/M=")</f>
        <v>#REF!</v>
      </c>
      <c r="IK163" t="e">
        <f>AND(#REF!,"AAAAAH7f2/Q=")</f>
        <v>#REF!</v>
      </c>
      <c r="IL163" t="e">
        <f>AND(#REF!,"AAAAAH7f2/U=")</f>
        <v>#REF!</v>
      </c>
      <c r="IM163" t="e">
        <f>AND(#REF!,"AAAAAH7f2/Y=")</f>
        <v>#REF!</v>
      </c>
      <c r="IN163" t="e">
        <f>AND(#REF!,"AAAAAH7f2/c=")</f>
        <v>#REF!</v>
      </c>
      <c r="IO163" t="e">
        <f>AND(#REF!,"AAAAAH7f2/g=")</f>
        <v>#REF!</v>
      </c>
      <c r="IP163" t="e">
        <f>AND(#REF!,"AAAAAH7f2/k=")</f>
        <v>#REF!</v>
      </c>
      <c r="IQ163" t="e">
        <f>AND(#REF!,"AAAAAH7f2/o=")</f>
        <v>#REF!</v>
      </c>
      <c r="IR163" t="e">
        <f>AND(#REF!,"AAAAAH7f2/s=")</f>
        <v>#REF!</v>
      </c>
      <c r="IS163" t="e">
        <f>AND(#REF!,"AAAAAH7f2/w=")</f>
        <v>#REF!</v>
      </c>
      <c r="IT163" t="e">
        <f>AND(#REF!,"AAAAAH7f2/0=")</f>
        <v>#REF!</v>
      </c>
      <c r="IU163" t="e">
        <f>AND(#REF!,"AAAAAH7f2/4=")</f>
        <v>#REF!</v>
      </c>
      <c r="IV163" t="e">
        <f>AND(#REF!,"AAAAAH7f2/8=")</f>
        <v>#REF!</v>
      </c>
    </row>
    <row r="164" spans="1:256">
      <c r="A164" t="e">
        <f>AND(#REF!,"AAAAAF26LwA=")</f>
        <v>#REF!</v>
      </c>
      <c r="B164" t="e">
        <f>AND(#REF!,"AAAAAF26LwE=")</f>
        <v>#REF!</v>
      </c>
      <c r="C164" t="e">
        <f>AND(#REF!,"AAAAAF26LwI=")</f>
        <v>#REF!</v>
      </c>
      <c r="D164" t="e">
        <f>AND(#REF!,"AAAAAF26LwM=")</f>
        <v>#REF!</v>
      </c>
      <c r="E164" t="e">
        <f>AND(#REF!,"AAAAAF26LwQ=")</f>
        <v>#REF!</v>
      </c>
      <c r="F164" t="e">
        <f>AND(#REF!,"AAAAAF26LwU=")</f>
        <v>#REF!</v>
      </c>
      <c r="G164" t="e">
        <f>AND(#REF!,"AAAAAF26LwY=")</f>
        <v>#REF!</v>
      </c>
      <c r="H164" t="e">
        <f>IF(#REF!,"AAAAAF26Lwc=",0)</f>
        <v>#REF!</v>
      </c>
      <c r="I164" t="e">
        <f>AND(#REF!,"AAAAAF26Lwg=")</f>
        <v>#REF!</v>
      </c>
      <c r="J164" t="e">
        <f>AND(#REF!,"AAAAAF26Lwk=")</f>
        <v>#REF!</v>
      </c>
      <c r="K164" t="e">
        <f>AND(#REF!,"AAAAAF26Lwo=")</f>
        <v>#REF!</v>
      </c>
      <c r="L164" t="e">
        <f>AND(#REF!,"AAAAAF26Lws=")</f>
        <v>#REF!</v>
      </c>
      <c r="M164" t="e">
        <f>AND(#REF!,"AAAAAF26Lww=")</f>
        <v>#REF!</v>
      </c>
      <c r="N164" t="e">
        <f>AND(#REF!,"AAAAAF26Lw0=")</f>
        <v>#REF!</v>
      </c>
      <c r="O164" t="e">
        <f>AND(#REF!,"AAAAAF26Lw4=")</f>
        <v>#REF!</v>
      </c>
      <c r="P164" t="e">
        <f>AND(#REF!,"AAAAAF26Lw8=")</f>
        <v>#REF!</v>
      </c>
      <c r="Q164" t="e">
        <f>AND(#REF!,"AAAAAF26LxA=")</f>
        <v>#REF!</v>
      </c>
      <c r="R164" t="e">
        <f>AND(#REF!,"AAAAAF26LxE=")</f>
        <v>#REF!</v>
      </c>
      <c r="S164" t="e">
        <f>AND(#REF!,"AAAAAF26LxI=")</f>
        <v>#REF!</v>
      </c>
      <c r="T164" t="e">
        <f>AND(#REF!,"AAAAAF26LxM=")</f>
        <v>#REF!</v>
      </c>
      <c r="U164" t="e">
        <f>AND(#REF!,"AAAAAF26LxQ=")</f>
        <v>#REF!</v>
      </c>
      <c r="V164" t="e">
        <f>AND(#REF!,"AAAAAF26LxU=")</f>
        <v>#REF!</v>
      </c>
      <c r="W164" t="e">
        <f>AND(#REF!,"AAAAAF26LxY=")</f>
        <v>#REF!</v>
      </c>
      <c r="X164" t="e">
        <f>AND(#REF!,"AAAAAF26Lxc=")</f>
        <v>#REF!</v>
      </c>
      <c r="Y164" t="e">
        <f>AND(#REF!,"AAAAAF26Lxg=")</f>
        <v>#REF!</v>
      </c>
      <c r="Z164" t="e">
        <f>AND(#REF!,"AAAAAF26Lxk=")</f>
        <v>#REF!</v>
      </c>
      <c r="AA164" t="e">
        <f>AND(#REF!,"AAAAAF26Lxo=")</f>
        <v>#REF!</v>
      </c>
      <c r="AB164" t="e">
        <f>AND(#REF!,"AAAAAF26Lxs=")</f>
        <v>#REF!</v>
      </c>
      <c r="AC164" t="e">
        <f>AND(#REF!,"AAAAAF26Lxw=")</f>
        <v>#REF!</v>
      </c>
      <c r="AD164" t="e">
        <f>AND(#REF!,"AAAAAF26Lx0=")</f>
        <v>#REF!</v>
      </c>
      <c r="AE164" t="e">
        <f>AND(#REF!,"AAAAAF26Lx4=")</f>
        <v>#REF!</v>
      </c>
      <c r="AF164" t="e">
        <f>AND(#REF!,"AAAAAF26Lx8=")</f>
        <v>#REF!</v>
      </c>
      <c r="AG164" t="e">
        <f>IF(#REF!,"AAAAAF26LyA=",0)</f>
        <v>#REF!</v>
      </c>
      <c r="AH164" t="e">
        <f>AND(#REF!,"AAAAAF26LyE=")</f>
        <v>#REF!</v>
      </c>
      <c r="AI164" t="e">
        <f>AND(#REF!,"AAAAAF26LyI=")</f>
        <v>#REF!</v>
      </c>
      <c r="AJ164" t="e">
        <f>AND(#REF!,"AAAAAF26LyM=")</f>
        <v>#REF!</v>
      </c>
      <c r="AK164" t="e">
        <f>AND(#REF!,"AAAAAF26LyQ=")</f>
        <v>#REF!</v>
      </c>
      <c r="AL164" t="e">
        <f>AND(#REF!,"AAAAAF26LyU=")</f>
        <v>#REF!</v>
      </c>
      <c r="AM164" t="e">
        <f>AND(#REF!,"AAAAAF26LyY=")</f>
        <v>#REF!</v>
      </c>
      <c r="AN164" t="e">
        <f>AND(#REF!,"AAAAAF26Lyc=")</f>
        <v>#REF!</v>
      </c>
      <c r="AO164" t="e">
        <f>AND(#REF!,"AAAAAF26Lyg=")</f>
        <v>#REF!</v>
      </c>
      <c r="AP164" t="e">
        <f>AND(#REF!,"AAAAAF26Lyk=")</f>
        <v>#REF!</v>
      </c>
      <c r="AQ164" t="e">
        <f>AND(#REF!,"AAAAAF26Lyo=")</f>
        <v>#REF!</v>
      </c>
      <c r="AR164" t="e">
        <f>AND(#REF!,"AAAAAF26Lys=")</f>
        <v>#REF!</v>
      </c>
      <c r="AS164" t="e">
        <f>AND(#REF!,"AAAAAF26Lyw=")</f>
        <v>#REF!</v>
      </c>
      <c r="AT164" t="e">
        <f>AND(#REF!,"AAAAAF26Ly0=")</f>
        <v>#REF!</v>
      </c>
      <c r="AU164" t="e">
        <f>AND(#REF!,"AAAAAF26Ly4=")</f>
        <v>#REF!</v>
      </c>
      <c r="AV164" t="e">
        <f>AND(#REF!,"AAAAAF26Ly8=")</f>
        <v>#REF!</v>
      </c>
      <c r="AW164" t="e">
        <f>AND(#REF!,"AAAAAF26LzA=")</f>
        <v>#REF!</v>
      </c>
      <c r="AX164" t="e">
        <f>AND(#REF!,"AAAAAF26LzE=")</f>
        <v>#REF!</v>
      </c>
      <c r="AY164" t="e">
        <f>AND(#REF!,"AAAAAF26LzI=")</f>
        <v>#REF!</v>
      </c>
      <c r="AZ164" t="e">
        <f>AND(#REF!,"AAAAAF26LzM=")</f>
        <v>#REF!</v>
      </c>
      <c r="BA164" t="e">
        <f>AND(#REF!,"AAAAAF26LzQ=")</f>
        <v>#REF!</v>
      </c>
      <c r="BB164" t="e">
        <f>AND(#REF!,"AAAAAF26LzU=")</f>
        <v>#REF!</v>
      </c>
      <c r="BC164" t="e">
        <f>AND(#REF!,"AAAAAF26LzY=")</f>
        <v>#REF!</v>
      </c>
      <c r="BD164" t="e">
        <f>AND(#REF!,"AAAAAF26Lzc=")</f>
        <v>#REF!</v>
      </c>
      <c r="BE164" t="e">
        <f>AND(#REF!,"AAAAAF26Lzg=")</f>
        <v>#REF!</v>
      </c>
      <c r="BF164" t="e">
        <f>IF(#REF!,"AAAAAF26Lzk=",0)</f>
        <v>#REF!</v>
      </c>
      <c r="BG164" t="e">
        <f>AND(#REF!,"AAAAAF26Lzo=")</f>
        <v>#REF!</v>
      </c>
      <c r="BH164" t="e">
        <f>AND(#REF!,"AAAAAF26Lzs=")</f>
        <v>#REF!</v>
      </c>
      <c r="BI164" t="e">
        <f>AND(#REF!,"AAAAAF26Lzw=")</f>
        <v>#REF!</v>
      </c>
      <c r="BJ164" t="e">
        <f>AND(#REF!,"AAAAAF26Lz0=")</f>
        <v>#REF!</v>
      </c>
      <c r="BK164" t="e">
        <f>AND(#REF!,"AAAAAF26Lz4=")</f>
        <v>#REF!</v>
      </c>
      <c r="BL164" t="e">
        <f>AND(#REF!,"AAAAAF26Lz8=")</f>
        <v>#REF!</v>
      </c>
      <c r="BM164" t="e">
        <f>AND(#REF!,"AAAAAF26L0A=")</f>
        <v>#REF!</v>
      </c>
      <c r="BN164" t="e">
        <f>AND(#REF!,"AAAAAF26L0E=")</f>
        <v>#REF!</v>
      </c>
      <c r="BO164" t="e">
        <f>AND(#REF!,"AAAAAF26L0I=")</f>
        <v>#REF!</v>
      </c>
      <c r="BP164" t="e">
        <f>AND(#REF!,"AAAAAF26L0M=")</f>
        <v>#REF!</v>
      </c>
      <c r="BQ164" t="e">
        <f>AND(#REF!,"AAAAAF26L0Q=")</f>
        <v>#REF!</v>
      </c>
      <c r="BR164" t="e">
        <f>AND(#REF!,"AAAAAF26L0U=")</f>
        <v>#REF!</v>
      </c>
      <c r="BS164" t="e">
        <f>AND(#REF!,"AAAAAF26L0Y=")</f>
        <v>#REF!</v>
      </c>
      <c r="BT164" t="e">
        <f>AND(#REF!,"AAAAAF26L0c=")</f>
        <v>#REF!</v>
      </c>
      <c r="BU164" t="e">
        <f>AND(#REF!,"AAAAAF26L0g=")</f>
        <v>#REF!</v>
      </c>
      <c r="BV164" t="e">
        <f>AND(#REF!,"AAAAAF26L0k=")</f>
        <v>#REF!</v>
      </c>
      <c r="BW164" t="e">
        <f>AND(#REF!,"AAAAAF26L0o=")</f>
        <v>#REF!</v>
      </c>
      <c r="BX164" t="e">
        <f>AND(#REF!,"AAAAAF26L0s=")</f>
        <v>#REF!</v>
      </c>
      <c r="BY164" t="e">
        <f>AND(#REF!,"AAAAAF26L0w=")</f>
        <v>#REF!</v>
      </c>
      <c r="BZ164" t="e">
        <f>AND(#REF!,"AAAAAF26L00=")</f>
        <v>#REF!</v>
      </c>
      <c r="CA164" t="e">
        <f>AND(#REF!,"AAAAAF26L04=")</f>
        <v>#REF!</v>
      </c>
      <c r="CB164" t="e">
        <f>AND(#REF!,"AAAAAF26L08=")</f>
        <v>#REF!</v>
      </c>
      <c r="CC164" t="e">
        <f>AND(#REF!,"AAAAAF26L1A=")</f>
        <v>#REF!</v>
      </c>
      <c r="CD164" t="e">
        <f>AND(#REF!,"AAAAAF26L1E=")</f>
        <v>#REF!</v>
      </c>
      <c r="CE164" t="e">
        <f>IF(#REF!,"AAAAAF26L1I=",0)</f>
        <v>#REF!</v>
      </c>
      <c r="CF164" t="e">
        <f>AND(#REF!,"AAAAAF26L1M=")</f>
        <v>#REF!</v>
      </c>
      <c r="CG164" t="e">
        <f>AND(#REF!,"AAAAAF26L1Q=")</f>
        <v>#REF!</v>
      </c>
      <c r="CH164" t="e">
        <f>AND(#REF!,"AAAAAF26L1U=")</f>
        <v>#REF!</v>
      </c>
      <c r="CI164" t="e">
        <f>AND(#REF!,"AAAAAF26L1Y=")</f>
        <v>#REF!</v>
      </c>
      <c r="CJ164" t="e">
        <f>AND(#REF!,"AAAAAF26L1c=")</f>
        <v>#REF!</v>
      </c>
      <c r="CK164" t="e">
        <f>AND(#REF!,"AAAAAF26L1g=")</f>
        <v>#REF!</v>
      </c>
      <c r="CL164" t="e">
        <f>AND(#REF!,"AAAAAF26L1k=")</f>
        <v>#REF!</v>
      </c>
      <c r="CM164" t="e">
        <f>AND(#REF!,"AAAAAF26L1o=")</f>
        <v>#REF!</v>
      </c>
      <c r="CN164" t="e">
        <f>AND(#REF!,"AAAAAF26L1s=")</f>
        <v>#REF!</v>
      </c>
      <c r="CO164" t="e">
        <f>AND(#REF!,"AAAAAF26L1w=")</f>
        <v>#REF!</v>
      </c>
      <c r="CP164" t="e">
        <f>AND(#REF!,"AAAAAF26L10=")</f>
        <v>#REF!</v>
      </c>
      <c r="CQ164" t="e">
        <f>AND(#REF!,"AAAAAF26L14=")</f>
        <v>#REF!</v>
      </c>
      <c r="CR164" t="e">
        <f>AND(#REF!,"AAAAAF26L18=")</f>
        <v>#REF!</v>
      </c>
      <c r="CS164" t="e">
        <f>AND(#REF!,"AAAAAF26L2A=")</f>
        <v>#REF!</v>
      </c>
      <c r="CT164" t="e">
        <f>AND(#REF!,"AAAAAF26L2E=")</f>
        <v>#REF!</v>
      </c>
      <c r="CU164" t="e">
        <f>AND(#REF!,"AAAAAF26L2I=")</f>
        <v>#REF!</v>
      </c>
      <c r="CV164" t="e">
        <f>AND(#REF!,"AAAAAF26L2M=")</f>
        <v>#REF!</v>
      </c>
      <c r="CW164" t="e">
        <f>AND(#REF!,"AAAAAF26L2Q=")</f>
        <v>#REF!</v>
      </c>
      <c r="CX164" t="e">
        <f>AND(#REF!,"AAAAAF26L2U=")</f>
        <v>#REF!</v>
      </c>
      <c r="CY164" t="e">
        <f>AND(#REF!,"AAAAAF26L2Y=")</f>
        <v>#REF!</v>
      </c>
      <c r="CZ164" t="e">
        <f>AND(#REF!,"AAAAAF26L2c=")</f>
        <v>#REF!</v>
      </c>
      <c r="DA164" t="e">
        <f>AND(#REF!,"AAAAAF26L2g=")</f>
        <v>#REF!</v>
      </c>
      <c r="DB164" t="e">
        <f>AND(#REF!,"AAAAAF26L2k=")</f>
        <v>#REF!</v>
      </c>
      <c r="DC164" t="e">
        <f>AND(#REF!,"AAAAAF26L2o=")</f>
        <v>#REF!</v>
      </c>
      <c r="DD164" t="e">
        <f>IF(#REF!,"AAAAAF26L2s=",0)</f>
        <v>#REF!</v>
      </c>
      <c r="DE164" t="e">
        <f>AND(#REF!,"AAAAAF26L2w=")</f>
        <v>#REF!</v>
      </c>
      <c r="DF164" t="e">
        <f>AND(#REF!,"AAAAAF26L20=")</f>
        <v>#REF!</v>
      </c>
      <c r="DG164" t="e">
        <f>AND(#REF!,"AAAAAF26L24=")</f>
        <v>#REF!</v>
      </c>
      <c r="DH164" t="e">
        <f>AND(#REF!,"AAAAAF26L28=")</f>
        <v>#REF!</v>
      </c>
      <c r="DI164" t="e">
        <f>AND(#REF!,"AAAAAF26L3A=")</f>
        <v>#REF!</v>
      </c>
      <c r="DJ164" t="e">
        <f>AND(#REF!,"AAAAAF26L3E=")</f>
        <v>#REF!</v>
      </c>
      <c r="DK164" t="e">
        <f>AND(#REF!,"AAAAAF26L3I=")</f>
        <v>#REF!</v>
      </c>
      <c r="DL164" t="e">
        <f>AND(#REF!,"AAAAAF26L3M=")</f>
        <v>#REF!</v>
      </c>
      <c r="DM164" t="e">
        <f>AND(#REF!,"AAAAAF26L3Q=")</f>
        <v>#REF!</v>
      </c>
      <c r="DN164" t="e">
        <f>AND(#REF!,"AAAAAF26L3U=")</f>
        <v>#REF!</v>
      </c>
      <c r="DO164" t="e">
        <f>AND(#REF!,"AAAAAF26L3Y=")</f>
        <v>#REF!</v>
      </c>
      <c r="DP164" t="e">
        <f>AND(#REF!,"AAAAAF26L3c=")</f>
        <v>#REF!</v>
      </c>
      <c r="DQ164" t="e">
        <f>AND(#REF!,"AAAAAF26L3g=")</f>
        <v>#REF!</v>
      </c>
      <c r="DR164" t="e">
        <f>AND(#REF!,"AAAAAF26L3k=")</f>
        <v>#REF!</v>
      </c>
      <c r="DS164" t="e">
        <f>AND(#REF!,"AAAAAF26L3o=")</f>
        <v>#REF!</v>
      </c>
      <c r="DT164" t="e">
        <f>AND(#REF!,"AAAAAF26L3s=")</f>
        <v>#REF!</v>
      </c>
      <c r="DU164" t="e">
        <f>AND(#REF!,"AAAAAF26L3w=")</f>
        <v>#REF!</v>
      </c>
      <c r="DV164" t="e">
        <f>AND(#REF!,"AAAAAF26L30=")</f>
        <v>#REF!</v>
      </c>
      <c r="DW164" t="e">
        <f>AND(#REF!,"AAAAAF26L34=")</f>
        <v>#REF!</v>
      </c>
      <c r="DX164" t="e">
        <f>AND(#REF!,"AAAAAF26L38=")</f>
        <v>#REF!</v>
      </c>
      <c r="DY164" t="e">
        <f>AND(#REF!,"AAAAAF26L4A=")</f>
        <v>#REF!</v>
      </c>
      <c r="DZ164" t="e">
        <f>AND(#REF!,"AAAAAF26L4E=")</f>
        <v>#REF!</v>
      </c>
      <c r="EA164" t="e">
        <f>AND(#REF!,"AAAAAF26L4I=")</f>
        <v>#REF!</v>
      </c>
      <c r="EB164" t="e">
        <f>AND(#REF!,"AAAAAF26L4M=")</f>
        <v>#REF!</v>
      </c>
      <c r="EC164" t="e">
        <f>IF(#REF!,"AAAAAF26L4Q=",0)</f>
        <v>#REF!</v>
      </c>
      <c r="ED164" t="e">
        <f>AND(#REF!,"AAAAAF26L4U=")</f>
        <v>#REF!</v>
      </c>
      <c r="EE164" t="e">
        <f>AND(#REF!,"AAAAAF26L4Y=")</f>
        <v>#REF!</v>
      </c>
      <c r="EF164" t="e">
        <f>AND(#REF!,"AAAAAF26L4c=")</f>
        <v>#REF!</v>
      </c>
      <c r="EG164" t="e">
        <f>AND(#REF!,"AAAAAF26L4g=")</f>
        <v>#REF!</v>
      </c>
      <c r="EH164" t="e">
        <f>AND(#REF!,"AAAAAF26L4k=")</f>
        <v>#REF!</v>
      </c>
      <c r="EI164" t="e">
        <f>AND(#REF!,"AAAAAF26L4o=")</f>
        <v>#REF!</v>
      </c>
      <c r="EJ164" t="e">
        <f>AND(#REF!,"AAAAAF26L4s=")</f>
        <v>#REF!</v>
      </c>
      <c r="EK164" t="e">
        <f>AND(#REF!,"AAAAAF26L4w=")</f>
        <v>#REF!</v>
      </c>
      <c r="EL164" t="e">
        <f>AND(#REF!,"AAAAAF26L40=")</f>
        <v>#REF!</v>
      </c>
      <c r="EM164" t="e">
        <f>AND(#REF!,"AAAAAF26L44=")</f>
        <v>#REF!</v>
      </c>
      <c r="EN164" t="e">
        <f>AND(#REF!,"AAAAAF26L48=")</f>
        <v>#REF!</v>
      </c>
      <c r="EO164" t="e">
        <f>AND(#REF!,"AAAAAF26L5A=")</f>
        <v>#REF!</v>
      </c>
      <c r="EP164" t="e">
        <f>AND(#REF!,"AAAAAF26L5E=")</f>
        <v>#REF!</v>
      </c>
      <c r="EQ164" t="e">
        <f>AND(#REF!,"AAAAAF26L5I=")</f>
        <v>#REF!</v>
      </c>
      <c r="ER164" t="e">
        <f>AND(#REF!,"AAAAAF26L5M=")</f>
        <v>#REF!</v>
      </c>
      <c r="ES164" t="e">
        <f>AND(#REF!,"AAAAAF26L5Q=")</f>
        <v>#REF!</v>
      </c>
      <c r="ET164" t="e">
        <f>AND(#REF!,"AAAAAF26L5U=")</f>
        <v>#REF!</v>
      </c>
      <c r="EU164" t="e">
        <f>AND(#REF!,"AAAAAF26L5Y=")</f>
        <v>#REF!</v>
      </c>
      <c r="EV164" t="e">
        <f>AND(#REF!,"AAAAAF26L5c=")</f>
        <v>#REF!</v>
      </c>
      <c r="EW164" t="e">
        <f>AND(#REF!,"AAAAAF26L5g=")</f>
        <v>#REF!</v>
      </c>
      <c r="EX164" t="e">
        <f>AND(#REF!,"AAAAAF26L5k=")</f>
        <v>#REF!</v>
      </c>
      <c r="EY164" t="e">
        <f>AND(#REF!,"AAAAAF26L5o=")</f>
        <v>#REF!</v>
      </c>
      <c r="EZ164" t="e">
        <f>AND(#REF!,"AAAAAF26L5s=")</f>
        <v>#REF!</v>
      </c>
      <c r="FA164" t="e">
        <f>AND(#REF!,"AAAAAF26L5w=")</f>
        <v>#REF!</v>
      </c>
      <c r="FB164" t="e">
        <f>IF(#REF!,"AAAAAF26L50=",0)</f>
        <v>#REF!</v>
      </c>
      <c r="FC164" t="e">
        <f>AND(#REF!,"AAAAAF26L54=")</f>
        <v>#REF!</v>
      </c>
      <c r="FD164" t="e">
        <f>AND(#REF!,"AAAAAF26L58=")</f>
        <v>#REF!</v>
      </c>
      <c r="FE164" t="e">
        <f>AND(#REF!,"AAAAAF26L6A=")</f>
        <v>#REF!</v>
      </c>
      <c r="FF164" t="e">
        <f>AND(#REF!,"AAAAAF26L6E=")</f>
        <v>#REF!</v>
      </c>
      <c r="FG164" t="e">
        <f>AND(#REF!,"AAAAAF26L6I=")</f>
        <v>#REF!</v>
      </c>
      <c r="FH164" t="e">
        <f>AND(#REF!,"AAAAAF26L6M=")</f>
        <v>#REF!</v>
      </c>
      <c r="FI164" t="e">
        <f>AND(#REF!,"AAAAAF26L6Q=")</f>
        <v>#REF!</v>
      </c>
      <c r="FJ164" t="e">
        <f>AND(#REF!,"AAAAAF26L6U=")</f>
        <v>#REF!</v>
      </c>
      <c r="FK164" t="e">
        <f>AND(#REF!,"AAAAAF26L6Y=")</f>
        <v>#REF!</v>
      </c>
      <c r="FL164" t="e">
        <f>AND(#REF!,"AAAAAF26L6c=")</f>
        <v>#REF!</v>
      </c>
      <c r="FM164" t="e">
        <f>AND(#REF!,"AAAAAF26L6g=")</f>
        <v>#REF!</v>
      </c>
      <c r="FN164" t="e">
        <f>AND(#REF!,"AAAAAF26L6k=")</f>
        <v>#REF!</v>
      </c>
      <c r="FO164" t="e">
        <f>AND(#REF!,"AAAAAF26L6o=")</f>
        <v>#REF!</v>
      </c>
      <c r="FP164" t="e">
        <f>AND(#REF!,"AAAAAF26L6s=")</f>
        <v>#REF!</v>
      </c>
      <c r="FQ164" t="e">
        <f>AND(#REF!,"AAAAAF26L6w=")</f>
        <v>#REF!</v>
      </c>
      <c r="FR164" t="e">
        <f>AND(#REF!,"AAAAAF26L60=")</f>
        <v>#REF!</v>
      </c>
      <c r="FS164" t="e">
        <f>AND(#REF!,"AAAAAF26L64=")</f>
        <v>#REF!</v>
      </c>
      <c r="FT164" t="e">
        <f>AND(#REF!,"AAAAAF26L68=")</f>
        <v>#REF!</v>
      </c>
      <c r="FU164" t="e">
        <f>AND(#REF!,"AAAAAF26L7A=")</f>
        <v>#REF!</v>
      </c>
      <c r="FV164" t="e">
        <f>AND(#REF!,"AAAAAF26L7E=")</f>
        <v>#REF!</v>
      </c>
      <c r="FW164" t="e">
        <f>AND(#REF!,"AAAAAF26L7I=")</f>
        <v>#REF!</v>
      </c>
      <c r="FX164" t="e">
        <f>AND(#REF!,"AAAAAF26L7M=")</f>
        <v>#REF!</v>
      </c>
      <c r="FY164" t="e">
        <f>AND(#REF!,"AAAAAF26L7Q=")</f>
        <v>#REF!</v>
      </c>
      <c r="FZ164" t="e">
        <f>AND(#REF!,"AAAAAF26L7U=")</f>
        <v>#REF!</v>
      </c>
      <c r="GA164" t="e">
        <f>IF(#REF!,"AAAAAF26L7Y=",0)</f>
        <v>#REF!</v>
      </c>
      <c r="GB164" t="e">
        <f>AND(#REF!,"AAAAAF26L7c=")</f>
        <v>#REF!</v>
      </c>
      <c r="GC164" t="e">
        <f>AND(#REF!,"AAAAAF26L7g=")</f>
        <v>#REF!</v>
      </c>
      <c r="GD164" t="e">
        <f>AND(#REF!,"AAAAAF26L7k=")</f>
        <v>#REF!</v>
      </c>
      <c r="GE164" t="e">
        <f>AND(#REF!,"AAAAAF26L7o=")</f>
        <v>#REF!</v>
      </c>
      <c r="GF164" t="e">
        <f>AND(#REF!,"AAAAAF26L7s=")</f>
        <v>#REF!</v>
      </c>
      <c r="GG164" t="e">
        <f>AND(#REF!,"AAAAAF26L7w=")</f>
        <v>#REF!</v>
      </c>
      <c r="GH164" t="e">
        <f>AND(#REF!,"AAAAAF26L70=")</f>
        <v>#REF!</v>
      </c>
      <c r="GI164" t="e">
        <f>AND(#REF!,"AAAAAF26L74=")</f>
        <v>#REF!</v>
      </c>
      <c r="GJ164" t="e">
        <f>AND(#REF!,"AAAAAF26L78=")</f>
        <v>#REF!</v>
      </c>
      <c r="GK164" t="e">
        <f>AND(#REF!,"AAAAAF26L8A=")</f>
        <v>#REF!</v>
      </c>
      <c r="GL164" t="e">
        <f>AND(#REF!,"AAAAAF26L8E=")</f>
        <v>#REF!</v>
      </c>
      <c r="GM164" t="e">
        <f>AND(#REF!,"AAAAAF26L8I=")</f>
        <v>#REF!</v>
      </c>
      <c r="GN164" t="e">
        <f>AND(#REF!,"AAAAAF26L8M=")</f>
        <v>#REF!</v>
      </c>
      <c r="GO164" t="e">
        <f>AND(#REF!,"AAAAAF26L8Q=")</f>
        <v>#REF!</v>
      </c>
      <c r="GP164" t="e">
        <f>AND(#REF!,"AAAAAF26L8U=")</f>
        <v>#REF!</v>
      </c>
      <c r="GQ164" t="e">
        <f>AND(#REF!,"AAAAAF26L8Y=")</f>
        <v>#REF!</v>
      </c>
      <c r="GR164" t="e">
        <f>AND(#REF!,"AAAAAF26L8c=")</f>
        <v>#REF!</v>
      </c>
      <c r="GS164" t="e">
        <f>AND(#REF!,"AAAAAF26L8g=")</f>
        <v>#REF!</v>
      </c>
      <c r="GT164" t="e">
        <f>AND(#REF!,"AAAAAF26L8k=")</f>
        <v>#REF!</v>
      </c>
      <c r="GU164" t="e">
        <f>AND(#REF!,"AAAAAF26L8o=")</f>
        <v>#REF!</v>
      </c>
      <c r="GV164" t="e">
        <f>AND(#REF!,"AAAAAF26L8s=")</f>
        <v>#REF!</v>
      </c>
      <c r="GW164" t="e">
        <f>AND(#REF!,"AAAAAF26L8w=")</f>
        <v>#REF!</v>
      </c>
      <c r="GX164" t="e">
        <f>AND(#REF!,"AAAAAF26L80=")</f>
        <v>#REF!</v>
      </c>
      <c r="GY164" t="e">
        <f>AND(#REF!,"AAAAAF26L84=")</f>
        <v>#REF!</v>
      </c>
      <c r="GZ164" t="e">
        <f>IF(#REF!,"AAAAAF26L88=",0)</f>
        <v>#REF!</v>
      </c>
      <c r="HA164" t="e">
        <f>AND(#REF!,"AAAAAF26L9A=")</f>
        <v>#REF!</v>
      </c>
      <c r="HB164" t="e">
        <f>AND(#REF!,"AAAAAF26L9E=")</f>
        <v>#REF!</v>
      </c>
      <c r="HC164" t="e">
        <f>AND(#REF!,"AAAAAF26L9I=")</f>
        <v>#REF!</v>
      </c>
      <c r="HD164" t="e">
        <f>AND(#REF!,"AAAAAF26L9M=")</f>
        <v>#REF!</v>
      </c>
      <c r="HE164" t="e">
        <f>AND(#REF!,"AAAAAF26L9Q=")</f>
        <v>#REF!</v>
      </c>
      <c r="HF164" t="e">
        <f>AND(#REF!,"AAAAAF26L9U=")</f>
        <v>#REF!</v>
      </c>
      <c r="HG164" t="e">
        <f>AND(#REF!,"AAAAAF26L9Y=")</f>
        <v>#REF!</v>
      </c>
      <c r="HH164" t="e">
        <f>AND(#REF!,"AAAAAF26L9c=")</f>
        <v>#REF!</v>
      </c>
      <c r="HI164" t="e">
        <f>AND(#REF!,"AAAAAF26L9g=")</f>
        <v>#REF!</v>
      </c>
      <c r="HJ164" t="e">
        <f>AND(#REF!,"AAAAAF26L9k=")</f>
        <v>#REF!</v>
      </c>
      <c r="HK164" t="e">
        <f>AND(#REF!,"AAAAAF26L9o=")</f>
        <v>#REF!</v>
      </c>
      <c r="HL164" t="e">
        <f>AND(#REF!,"AAAAAF26L9s=")</f>
        <v>#REF!</v>
      </c>
      <c r="HM164" t="e">
        <f>AND(#REF!,"AAAAAF26L9w=")</f>
        <v>#REF!</v>
      </c>
      <c r="HN164" t="e">
        <f>AND(#REF!,"AAAAAF26L90=")</f>
        <v>#REF!</v>
      </c>
      <c r="HO164" t="e">
        <f>AND(#REF!,"AAAAAF26L94=")</f>
        <v>#REF!</v>
      </c>
      <c r="HP164" t="e">
        <f>AND(#REF!,"AAAAAF26L98=")</f>
        <v>#REF!</v>
      </c>
      <c r="HQ164" t="e">
        <f>AND(#REF!,"AAAAAF26L+A=")</f>
        <v>#REF!</v>
      </c>
      <c r="HR164" t="e">
        <f>AND(#REF!,"AAAAAF26L+E=")</f>
        <v>#REF!</v>
      </c>
      <c r="HS164" t="e">
        <f>AND(#REF!,"AAAAAF26L+I=")</f>
        <v>#REF!</v>
      </c>
      <c r="HT164" t="e">
        <f>AND(#REF!,"AAAAAF26L+M=")</f>
        <v>#REF!</v>
      </c>
      <c r="HU164" t="e">
        <f>AND(#REF!,"AAAAAF26L+Q=")</f>
        <v>#REF!</v>
      </c>
      <c r="HV164" t="e">
        <f>AND(#REF!,"AAAAAF26L+U=")</f>
        <v>#REF!</v>
      </c>
      <c r="HW164" t="e">
        <f>AND(#REF!,"AAAAAF26L+Y=")</f>
        <v>#REF!</v>
      </c>
      <c r="HX164" t="e">
        <f>AND(#REF!,"AAAAAF26L+c=")</f>
        <v>#REF!</v>
      </c>
      <c r="HY164" t="e">
        <f>IF(#REF!,"AAAAAF26L+g=",0)</f>
        <v>#REF!</v>
      </c>
      <c r="HZ164" t="e">
        <f>AND(#REF!,"AAAAAF26L+k=")</f>
        <v>#REF!</v>
      </c>
      <c r="IA164" t="e">
        <f>AND(#REF!,"AAAAAF26L+o=")</f>
        <v>#REF!</v>
      </c>
      <c r="IB164" t="e">
        <f>AND(#REF!,"AAAAAF26L+s=")</f>
        <v>#REF!</v>
      </c>
      <c r="IC164" t="e">
        <f>AND(#REF!,"AAAAAF26L+w=")</f>
        <v>#REF!</v>
      </c>
      <c r="ID164" t="e">
        <f>AND(#REF!,"AAAAAF26L+0=")</f>
        <v>#REF!</v>
      </c>
      <c r="IE164" t="e">
        <f>AND(#REF!,"AAAAAF26L+4=")</f>
        <v>#REF!</v>
      </c>
      <c r="IF164" t="e">
        <f>AND(#REF!,"AAAAAF26L+8=")</f>
        <v>#REF!</v>
      </c>
      <c r="IG164" t="e">
        <f>AND(#REF!,"AAAAAF26L/A=")</f>
        <v>#REF!</v>
      </c>
      <c r="IH164" t="e">
        <f>AND(#REF!,"AAAAAF26L/E=")</f>
        <v>#REF!</v>
      </c>
      <c r="II164" t="e">
        <f>AND(#REF!,"AAAAAF26L/I=")</f>
        <v>#REF!</v>
      </c>
      <c r="IJ164" t="e">
        <f>AND(#REF!,"AAAAAF26L/M=")</f>
        <v>#REF!</v>
      </c>
      <c r="IK164" t="e">
        <f>AND(#REF!,"AAAAAF26L/Q=")</f>
        <v>#REF!</v>
      </c>
      <c r="IL164" t="e">
        <f>AND(#REF!,"AAAAAF26L/U=")</f>
        <v>#REF!</v>
      </c>
      <c r="IM164" t="e">
        <f>AND(#REF!,"AAAAAF26L/Y=")</f>
        <v>#REF!</v>
      </c>
      <c r="IN164" t="e">
        <f>AND(#REF!,"AAAAAF26L/c=")</f>
        <v>#REF!</v>
      </c>
      <c r="IO164" t="e">
        <f>AND(#REF!,"AAAAAF26L/g=")</f>
        <v>#REF!</v>
      </c>
      <c r="IP164" t="e">
        <f>AND(#REF!,"AAAAAF26L/k=")</f>
        <v>#REF!</v>
      </c>
      <c r="IQ164" t="e">
        <f>AND(#REF!,"AAAAAF26L/o=")</f>
        <v>#REF!</v>
      </c>
      <c r="IR164" t="e">
        <f>AND(#REF!,"AAAAAF26L/s=")</f>
        <v>#REF!</v>
      </c>
      <c r="IS164" t="e">
        <f>AND(#REF!,"AAAAAF26L/w=")</f>
        <v>#REF!</v>
      </c>
      <c r="IT164" t="e">
        <f>AND(#REF!,"AAAAAF26L/0=")</f>
        <v>#REF!</v>
      </c>
      <c r="IU164" t="e">
        <f>AND(#REF!,"AAAAAF26L/4=")</f>
        <v>#REF!</v>
      </c>
      <c r="IV164" t="e">
        <f>AND(#REF!,"AAAAAF26L/8=")</f>
        <v>#REF!</v>
      </c>
    </row>
    <row r="165" spans="1:256">
      <c r="A165" t="e">
        <f>AND(#REF!,"AAAAAH2/+wA=")</f>
        <v>#REF!</v>
      </c>
      <c r="B165" t="e">
        <f>IF(#REF!,"AAAAAH2/+wE=",0)</f>
        <v>#REF!</v>
      </c>
      <c r="C165" t="e">
        <f>AND(#REF!,"AAAAAH2/+wI=")</f>
        <v>#REF!</v>
      </c>
      <c r="D165" t="e">
        <f>AND(#REF!,"AAAAAH2/+wM=")</f>
        <v>#REF!</v>
      </c>
      <c r="E165" t="e">
        <f>AND(#REF!,"AAAAAH2/+wQ=")</f>
        <v>#REF!</v>
      </c>
      <c r="F165" t="e">
        <f>AND(#REF!,"AAAAAH2/+wU=")</f>
        <v>#REF!</v>
      </c>
      <c r="G165" t="e">
        <f>AND(#REF!,"AAAAAH2/+wY=")</f>
        <v>#REF!</v>
      </c>
      <c r="H165" t="e">
        <f>AND(#REF!,"AAAAAH2/+wc=")</f>
        <v>#REF!</v>
      </c>
      <c r="I165" t="e">
        <f>AND(#REF!,"AAAAAH2/+wg=")</f>
        <v>#REF!</v>
      </c>
      <c r="J165" t="e">
        <f>AND(#REF!,"AAAAAH2/+wk=")</f>
        <v>#REF!</v>
      </c>
      <c r="K165" t="e">
        <f>AND(#REF!,"AAAAAH2/+wo=")</f>
        <v>#REF!</v>
      </c>
      <c r="L165" t="e">
        <f>AND(#REF!,"AAAAAH2/+ws=")</f>
        <v>#REF!</v>
      </c>
      <c r="M165" t="e">
        <f>AND(#REF!,"AAAAAH2/+ww=")</f>
        <v>#REF!</v>
      </c>
      <c r="N165" t="e">
        <f>AND(#REF!,"AAAAAH2/+w0=")</f>
        <v>#REF!</v>
      </c>
      <c r="O165" t="e">
        <f>AND(#REF!,"AAAAAH2/+w4=")</f>
        <v>#REF!</v>
      </c>
      <c r="P165" t="e">
        <f>AND(#REF!,"AAAAAH2/+w8=")</f>
        <v>#REF!</v>
      </c>
      <c r="Q165" t="e">
        <f>AND(#REF!,"AAAAAH2/+xA=")</f>
        <v>#REF!</v>
      </c>
      <c r="R165" t="e">
        <f>AND(#REF!,"AAAAAH2/+xE=")</f>
        <v>#REF!</v>
      </c>
      <c r="S165" t="e">
        <f>AND(#REF!,"AAAAAH2/+xI=")</f>
        <v>#REF!</v>
      </c>
      <c r="T165" t="e">
        <f>AND(#REF!,"AAAAAH2/+xM=")</f>
        <v>#REF!</v>
      </c>
      <c r="U165" t="e">
        <f>AND(#REF!,"AAAAAH2/+xQ=")</f>
        <v>#REF!</v>
      </c>
      <c r="V165" t="e">
        <f>AND(#REF!,"AAAAAH2/+xU=")</f>
        <v>#REF!</v>
      </c>
      <c r="W165" t="e">
        <f>AND(#REF!,"AAAAAH2/+xY=")</f>
        <v>#REF!</v>
      </c>
      <c r="X165" t="e">
        <f>AND(#REF!,"AAAAAH2/+xc=")</f>
        <v>#REF!</v>
      </c>
      <c r="Y165" t="e">
        <f>AND(#REF!,"AAAAAH2/+xg=")</f>
        <v>#REF!</v>
      </c>
      <c r="Z165" t="e">
        <f>AND(#REF!,"AAAAAH2/+xk=")</f>
        <v>#REF!</v>
      </c>
      <c r="AA165" t="e">
        <f>IF(#REF!,"AAAAAH2/+xo=",0)</f>
        <v>#REF!</v>
      </c>
      <c r="AB165" t="e">
        <f>AND(#REF!,"AAAAAH2/+xs=")</f>
        <v>#REF!</v>
      </c>
      <c r="AC165" t="e">
        <f>AND(#REF!,"AAAAAH2/+xw=")</f>
        <v>#REF!</v>
      </c>
      <c r="AD165" t="e">
        <f>AND(#REF!,"AAAAAH2/+x0=")</f>
        <v>#REF!</v>
      </c>
      <c r="AE165" t="e">
        <f>AND(#REF!,"AAAAAH2/+x4=")</f>
        <v>#REF!</v>
      </c>
      <c r="AF165" t="e">
        <f>AND(#REF!,"AAAAAH2/+x8=")</f>
        <v>#REF!</v>
      </c>
      <c r="AG165" t="e">
        <f>AND(#REF!,"AAAAAH2/+yA=")</f>
        <v>#REF!</v>
      </c>
      <c r="AH165" t="e">
        <f>AND(#REF!,"AAAAAH2/+yE=")</f>
        <v>#REF!</v>
      </c>
      <c r="AI165" t="e">
        <f>AND(#REF!,"AAAAAH2/+yI=")</f>
        <v>#REF!</v>
      </c>
      <c r="AJ165" t="e">
        <f>AND(#REF!,"AAAAAH2/+yM=")</f>
        <v>#REF!</v>
      </c>
      <c r="AK165" t="e">
        <f>AND(#REF!,"AAAAAH2/+yQ=")</f>
        <v>#REF!</v>
      </c>
      <c r="AL165" t="e">
        <f>AND(#REF!,"AAAAAH2/+yU=")</f>
        <v>#REF!</v>
      </c>
      <c r="AM165" t="e">
        <f>AND(#REF!,"AAAAAH2/+yY=")</f>
        <v>#REF!</v>
      </c>
      <c r="AN165" t="e">
        <f>AND(#REF!,"AAAAAH2/+yc=")</f>
        <v>#REF!</v>
      </c>
      <c r="AO165" t="e">
        <f>AND(#REF!,"AAAAAH2/+yg=")</f>
        <v>#REF!</v>
      </c>
      <c r="AP165" t="e">
        <f>AND(#REF!,"AAAAAH2/+yk=")</f>
        <v>#REF!</v>
      </c>
      <c r="AQ165" t="e">
        <f>AND(#REF!,"AAAAAH2/+yo=")</f>
        <v>#REF!</v>
      </c>
      <c r="AR165" t="e">
        <f>AND(#REF!,"AAAAAH2/+ys=")</f>
        <v>#REF!</v>
      </c>
      <c r="AS165" t="e">
        <f>AND(#REF!,"AAAAAH2/+yw=")</f>
        <v>#REF!</v>
      </c>
      <c r="AT165" t="e">
        <f>AND(#REF!,"AAAAAH2/+y0=")</f>
        <v>#REF!</v>
      </c>
      <c r="AU165" t="e">
        <f>AND(#REF!,"AAAAAH2/+y4=")</f>
        <v>#REF!</v>
      </c>
      <c r="AV165" t="e">
        <f>AND(#REF!,"AAAAAH2/+y8=")</f>
        <v>#REF!</v>
      </c>
      <c r="AW165" t="e">
        <f>AND(#REF!,"AAAAAH2/+zA=")</f>
        <v>#REF!</v>
      </c>
      <c r="AX165" t="e">
        <f>AND(#REF!,"AAAAAH2/+zE=")</f>
        <v>#REF!</v>
      </c>
      <c r="AY165" t="e">
        <f>AND(#REF!,"AAAAAH2/+zI=")</f>
        <v>#REF!</v>
      </c>
      <c r="AZ165" t="e">
        <f>IF(#REF!,"AAAAAH2/+zM=",0)</f>
        <v>#REF!</v>
      </c>
      <c r="BA165" t="e">
        <f>AND(#REF!,"AAAAAH2/+zQ=")</f>
        <v>#REF!</v>
      </c>
      <c r="BB165" t="e">
        <f>AND(#REF!,"AAAAAH2/+zU=")</f>
        <v>#REF!</v>
      </c>
      <c r="BC165" t="e">
        <f>AND(#REF!,"AAAAAH2/+zY=")</f>
        <v>#REF!</v>
      </c>
      <c r="BD165" t="e">
        <f>AND(#REF!,"AAAAAH2/+zc=")</f>
        <v>#REF!</v>
      </c>
      <c r="BE165" t="e">
        <f>AND(#REF!,"AAAAAH2/+zg=")</f>
        <v>#REF!</v>
      </c>
      <c r="BF165" t="e">
        <f>AND(#REF!,"AAAAAH2/+zk=")</f>
        <v>#REF!</v>
      </c>
      <c r="BG165" t="e">
        <f>AND(#REF!,"AAAAAH2/+zo=")</f>
        <v>#REF!</v>
      </c>
      <c r="BH165" t="e">
        <f>AND(#REF!,"AAAAAH2/+zs=")</f>
        <v>#REF!</v>
      </c>
      <c r="BI165" t="e">
        <f>AND(#REF!,"AAAAAH2/+zw=")</f>
        <v>#REF!</v>
      </c>
      <c r="BJ165" t="e">
        <f>AND(#REF!,"AAAAAH2/+z0=")</f>
        <v>#REF!</v>
      </c>
      <c r="BK165" t="e">
        <f>AND(#REF!,"AAAAAH2/+z4=")</f>
        <v>#REF!</v>
      </c>
      <c r="BL165" t="e">
        <f>AND(#REF!,"AAAAAH2/+z8=")</f>
        <v>#REF!</v>
      </c>
      <c r="BM165" t="e">
        <f>AND(#REF!,"AAAAAH2/+0A=")</f>
        <v>#REF!</v>
      </c>
      <c r="BN165" t="e">
        <f>AND(#REF!,"AAAAAH2/+0E=")</f>
        <v>#REF!</v>
      </c>
      <c r="BO165" t="e">
        <f>AND(#REF!,"AAAAAH2/+0I=")</f>
        <v>#REF!</v>
      </c>
      <c r="BP165" t="e">
        <f>AND(#REF!,"AAAAAH2/+0M=")</f>
        <v>#REF!</v>
      </c>
      <c r="BQ165" t="e">
        <f>AND(#REF!,"AAAAAH2/+0Q=")</f>
        <v>#REF!</v>
      </c>
      <c r="BR165" t="e">
        <f>AND(#REF!,"AAAAAH2/+0U=")</f>
        <v>#REF!</v>
      </c>
      <c r="BS165" t="e">
        <f>AND(#REF!,"AAAAAH2/+0Y=")</f>
        <v>#REF!</v>
      </c>
      <c r="BT165" t="e">
        <f>AND(#REF!,"AAAAAH2/+0c=")</f>
        <v>#REF!</v>
      </c>
      <c r="BU165" t="e">
        <f>AND(#REF!,"AAAAAH2/+0g=")</f>
        <v>#REF!</v>
      </c>
      <c r="BV165" t="e">
        <f>AND(#REF!,"AAAAAH2/+0k=")</f>
        <v>#REF!</v>
      </c>
      <c r="BW165" t="e">
        <f>AND(#REF!,"AAAAAH2/+0o=")</f>
        <v>#REF!</v>
      </c>
      <c r="BX165" t="e">
        <f>AND(#REF!,"AAAAAH2/+0s=")</f>
        <v>#REF!</v>
      </c>
      <c r="BY165" t="e">
        <f>IF(#REF!,"AAAAAH2/+0w=",0)</f>
        <v>#REF!</v>
      </c>
      <c r="BZ165" t="e">
        <f>AND(#REF!,"AAAAAH2/+00=")</f>
        <v>#REF!</v>
      </c>
      <c r="CA165" t="e">
        <f>AND(#REF!,"AAAAAH2/+04=")</f>
        <v>#REF!</v>
      </c>
      <c r="CB165" t="e">
        <f>AND(#REF!,"AAAAAH2/+08=")</f>
        <v>#REF!</v>
      </c>
      <c r="CC165" t="e">
        <f>AND(#REF!,"AAAAAH2/+1A=")</f>
        <v>#REF!</v>
      </c>
      <c r="CD165" t="e">
        <f>AND(#REF!,"AAAAAH2/+1E=")</f>
        <v>#REF!</v>
      </c>
      <c r="CE165" t="e">
        <f>AND(#REF!,"AAAAAH2/+1I=")</f>
        <v>#REF!</v>
      </c>
      <c r="CF165" t="e">
        <f>AND(#REF!,"AAAAAH2/+1M=")</f>
        <v>#REF!</v>
      </c>
      <c r="CG165" t="e">
        <f>AND(#REF!,"AAAAAH2/+1Q=")</f>
        <v>#REF!</v>
      </c>
      <c r="CH165" t="e">
        <f>AND(#REF!,"AAAAAH2/+1U=")</f>
        <v>#REF!</v>
      </c>
      <c r="CI165" t="e">
        <f>AND(#REF!,"AAAAAH2/+1Y=")</f>
        <v>#REF!</v>
      </c>
      <c r="CJ165" t="e">
        <f>AND(#REF!,"AAAAAH2/+1c=")</f>
        <v>#REF!</v>
      </c>
      <c r="CK165" t="e">
        <f>AND(#REF!,"AAAAAH2/+1g=")</f>
        <v>#REF!</v>
      </c>
      <c r="CL165" t="e">
        <f>AND(#REF!,"AAAAAH2/+1k=")</f>
        <v>#REF!</v>
      </c>
      <c r="CM165" t="e">
        <f>AND(#REF!,"AAAAAH2/+1o=")</f>
        <v>#REF!</v>
      </c>
      <c r="CN165" t="e">
        <f>AND(#REF!,"AAAAAH2/+1s=")</f>
        <v>#REF!</v>
      </c>
      <c r="CO165" t="e">
        <f>AND(#REF!,"AAAAAH2/+1w=")</f>
        <v>#REF!</v>
      </c>
      <c r="CP165" t="e">
        <f>AND(#REF!,"AAAAAH2/+10=")</f>
        <v>#REF!</v>
      </c>
      <c r="CQ165" t="e">
        <f>AND(#REF!,"AAAAAH2/+14=")</f>
        <v>#REF!</v>
      </c>
      <c r="CR165" t="e">
        <f>AND(#REF!,"AAAAAH2/+18=")</f>
        <v>#REF!</v>
      </c>
      <c r="CS165" t="e">
        <f>AND(#REF!,"AAAAAH2/+2A=")</f>
        <v>#REF!</v>
      </c>
      <c r="CT165" t="e">
        <f>AND(#REF!,"AAAAAH2/+2E=")</f>
        <v>#REF!</v>
      </c>
      <c r="CU165" t="e">
        <f>AND(#REF!,"AAAAAH2/+2I=")</f>
        <v>#REF!</v>
      </c>
      <c r="CV165" t="e">
        <f>AND(#REF!,"AAAAAH2/+2M=")</f>
        <v>#REF!</v>
      </c>
      <c r="CW165" t="e">
        <f>AND(#REF!,"AAAAAH2/+2Q=")</f>
        <v>#REF!</v>
      </c>
      <c r="CX165" t="e">
        <f>IF(#REF!,"AAAAAH2/+2U=",0)</f>
        <v>#REF!</v>
      </c>
      <c r="CY165" t="e">
        <f>AND(#REF!,"AAAAAH2/+2Y=")</f>
        <v>#REF!</v>
      </c>
      <c r="CZ165" t="e">
        <f>AND(#REF!,"AAAAAH2/+2c=")</f>
        <v>#REF!</v>
      </c>
      <c r="DA165" t="e">
        <f>AND(#REF!,"AAAAAH2/+2g=")</f>
        <v>#REF!</v>
      </c>
      <c r="DB165" t="e">
        <f>AND(#REF!,"AAAAAH2/+2k=")</f>
        <v>#REF!</v>
      </c>
      <c r="DC165" t="e">
        <f>AND(#REF!,"AAAAAH2/+2o=")</f>
        <v>#REF!</v>
      </c>
      <c r="DD165" t="e">
        <f>AND(#REF!,"AAAAAH2/+2s=")</f>
        <v>#REF!</v>
      </c>
      <c r="DE165" t="e">
        <f>AND(#REF!,"AAAAAH2/+2w=")</f>
        <v>#REF!</v>
      </c>
      <c r="DF165" t="e">
        <f>AND(#REF!,"AAAAAH2/+20=")</f>
        <v>#REF!</v>
      </c>
      <c r="DG165" t="e">
        <f>AND(#REF!,"AAAAAH2/+24=")</f>
        <v>#REF!</v>
      </c>
      <c r="DH165" t="e">
        <f>AND(#REF!,"AAAAAH2/+28=")</f>
        <v>#REF!</v>
      </c>
      <c r="DI165" t="e">
        <f>AND(#REF!,"AAAAAH2/+3A=")</f>
        <v>#REF!</v>
      </c>
      <c r="DJ165" t="e">
        <f>AND(#REF!,"AAAAAH2/+3E=")</f>
        <v>#REF!</v>
      </c>
      <c r="DK165" t="e">
        <f>AND(#REF!,"AAAAAH2/+3I=")</f>
        <v>#REF!</v>
      </c>
      <c r="DL165" t="e">
        <f>AND(#REF!,"AAAAAH2/+3M=")</f>
        <v>#REF!</v>
      </c>
      <c r="DM165" t="e">
        <f>AND(#REF!,"AAAAAH2/+3Q=")</f>
        <v>#REF!</v>
      </c>
      <c r="DN165" t="e">
        <f>AND(#REF!,"AAAAAH2/+3U=")</f>
        <v>#REF!</v>
      </c>
      <c r="DO165" t="e">
        <f>AND(#REF!,"AAAAAH2/+3Y=")</f>
        <v>#REF!</v>
      </c>
      <c r="DP165" t="e">
        <f>AND(#REF!,"AAAAAH2/+3c=")</f>
        <v>#REF!</v>
      </c>
      <c r="DQ165" t="e">
        <f>AND(#REF!,"AAAAAH2/+3g=")</f>
        <v>#REF!</v>
      </c>
      <c r="DR165" t="e">
        <f>AND(#REF!,"AAAAAH2/+3k=")</f>
        <v>#REF!</v>
      </c>
      <c r="DS165" t="e">
        <f>AND(#REF!,"AAAAAH2/+3o=")</f>
        <v>#REF!</v>
      </c>
      <c r="DT165" t="e">
        <f>AND(#REF!,"AAAAAH2/+3s=")</f>
        <v>#REF!</v>
      </c>
      <c r="DU165" t="e">
        <f>AND(#REF!,"AAAAAH2/+3w=")</f>
        <v>#REF!</v>
      </c>
      <c r="DV165" t="e">
        <f>AND(#REF!,"AAAAAH2/+30=")</f>
        <v>#REF!</v>
      </c>
      <c r="DW165" t="e">
        <f>IF(#REF!,"AAAAAH2/+34=",0)</f>
        <v>#REF!</v>
      </c>
      <c r="DX165" t="e">
        <f>AND(#REF!,"AAAAAH2/+38=")</f>
        <v>#REF!</v>
      </c>
      <c r="DY165" t="e">
        <f>AND(#REF!,"AAAAAH2/+4A=")</f>
        <v>#REF!</v>
      </c>
      <c r="DZ165" t="e">
        <f>AND(#REF!,"AAAAAH2/+4E=")</f>
        <v>#REF!</v>
      </c>
      <c r="EA165" t="e">
        <f>AND(#REF!,"AAAAAH2/+4I=")</f>
        <v>#REF!</v>
      </c>
      <c r="EB165" t="e">
        <f>AND(#REF!,"AAAAAH2/+4M=")</f>
        <v>#REF!</v>
      </c>
      <c r="EC165" t="e">
        <f>AND(#REF!,"AAAAAH2/+4Q=")</f>
        <v>#REF!</v>
      </c>
      <c r="ED165" t="e">
        <f>AND(#REF!,"AAAAAH2/+4U=")</f>
        <v>#REF!</v>
      </c>
      <c r="EE165" t="e">
        <f>AND(#REF!,"AAAAAH2/+4Y=")</f>
        <v>#REF!</v>
      </c>
      <c r="EF165" t="e">
        <f>AND(#REF!,"AAAAAH2/+4c=")</f>
        <v>#REF!</v>
      </c>
      <c r="EG165" t="e">
        <f>AND(#REF!,"AAAAAH2/+4g=")</f>
        <v>#REF!</v>
      </c>
      <c r="EH165" t="e">
        <f>AND(#REF!,"AAAAAH2/+4k=")</f>
        <v>#REF!</v>
      </c>
      <c r="EI165" t="e">
        <f>AND(#REF!,"AAAAAH2/+4o=")</f>
        <v>#REF!</v>
      </c>
      <c r="EJ165" t="e">
        <f>AND(#REF!,"AAAAAH2/+4s=")</f>
        <v>#REF!</v>
      </c>
      <c r="EK165" t="e">
        <f>AND(#REF!,"AAAAAH2/+4w=")</f>
        <v>#REF!</v>
      </c>
      <c r="EL165" t="e">
        <f>AND(#REF!,"AAAAAH2/+40=")</f>
        <v>#REF!</v>
      </c>
      <c r="EM165" t="e">
        <f>AND(#REF!,"AAAAAH2/+44=")</f>
        <v>#REF!</v>
      </c>
      <c r="EN165" t="e">
        <f>AND(#REF!,"AAAAAH2/+48=")</f>
        <v>#REF!</v>
      </c>
      <c r="EO165" t="e">
        <f>AND(#REF!,"AAAAAH2/+5A=")</f>
        <v>#REF!</v>
      </c>
      <c r="EP165" t="e">
        <f>AND(#REF!,"AAAAAH2/+5E=")</f>
        <v>#REF!</v>
      </c>
      <c r="EQ165" t="e">
        <f>AND(#REF!,"AAAAAH2/+5I=")</f>
        <v>#REF!</v>
      </c>
      <c r="ER165" t="e">
        <f>AND(#REF!,"AAAAAH2/+5M=")</f>
        <v>#REF!</v>
      </c>
      <c r="ES165" t="e">
        <f>AND(#REF!,"AAAAAH2/+5Q=")</f>
        <v>#REF!</v>
      </c>
      <c r="ET165" t="e">
        <f>AND(#REF!,"AAAAAH2/+5U=")</f>
        <v>#REF!</v>
      </c>
      <c r="EU165" t="e">
        <f>AND(#REF!,"AAAAAH2/+5Y=")</f>
        <v>#REF!</v>
      </c>
      <c r="EV165" t="e">
        <f>IF(#REF!,"AAAAAH2/+5c=",0)</f>
        <v>#REF!</v>
      </c>
      <c r="EW165" t="e">
        <f>AND(#REF!,"AAAAAH2/+5g=")</f>
        <v>#REF!</v>
      </c>
      <c r="EX165" t="e">
        <f>AND(#REF!,"AAAAAH2/+5k=")</f>
        <v>#REF!</v>
      </c>
      <c r="EY165" t="e">
        <f>AND(#REF!,"AAAAAH2/+5o=")</f>
        <v>#REF!</v>
      </c>
      <c r="EZ165" t="e">
        <f>AND(#REF!,"AAAAAH2/+5s=")</f>
        <v>#REF!</v>
      </c>
      <c r="FA165" t="e">
        <f>AND(#REF!,"AAAAAH2/+5w=")</f>
        <v>#REF!</v>
      </c>
      <c r="FB165" t="e">
        <f>AND(#REF!,"AAAAAH2/+50=")</f>
        <v>#REF!</v>
      </c>
      <c r="FC165" t="e">
        <f>AND(#REF!,"AAAAAH2/+54=")</f>
        <v>#REF!</v>
      </c>
      <c r="FD165" t="e">
        <f>AND(#REF!,"AAAAAH2/+58=")</f>
        <v>#REF!</v>
      </c>
      <c r="FE165" t="e">
        <f>AND(#REF!,"AAAAAH2/+6A=")</f>
        <v>#REF!</v>
      </c>
      <c r="FF165" t="e">
        <f>AND(#REF!,"AAAAAH2/+6E=")</f>
        <v>#REF!</v>
      </c>
      <c r="FG165" t="e">
        <f>AND(#REF!,"AAAAAH2/+6I=")</f>
        <v>#REF!</v>
      </c>
      <c r="FH165" t="e">
        <f>AND(#REF!,"AAAAAH2/+6M=")</f>
        <v>#REF!</v>
      </c>
      <c r="FI165" t="e">
        <f>AND(#REF!,"AAAAAH2/+6Q=")</f>
        <v>#REF!</v>
      </c>
      <c r="FJ165" t="e">
        <f>AND(#REF!,"AAAAAH2/+6U=")</f>
        <v>#REF!</v>
      </c>
      <c r="FK165" t="e">
        <f>AND(#REF!,"AAAAAH2/+6Y=")</f>
        <v>#REF!</v>
      </c>
      <c r="FL165" t="e">
        <f>AND(#REF!,"AAAAAH2/+6c=")</f>
        <v>#REF!</v>
      </c>
      <c r="FM165" t="e">
        <f>AND(#REF!,"AAAAAH2/+6g=")</f>
        <v>#REF!</v>
      </c>
      <c r="FN165" t="e">
        <f>AND(#REF!,"AAAAAH2/+6k=")</f>
        <v>#REF!</v>
      </c>
      <c r="FO165" t="e">
        <f>AND(#REF!,"AAAAAH2/+6o=")</f>
        <v>#REF!</v>
      </c>
      <c r="FP165" t="e">
        <f>AND(#REF!,"AAAAAH2/+6s=")</f>
        <v>#REF!</v>
      </c>
      <c r="FQ165" t="e">
        <f>AND(#REF!,"AAAAAH2/+6w=")</f>
        <v>#REF!</v>
      </c>
      <c r="FR165" t="e">
        <f>AND(#REF!,"AAAAAH2/+60=")</f>
        <v>#REF!</v>
      </c>
      <c r="FS165" t="e">
        <f>AND(#REF!,"AAAAAH2/+64=")</f>
        <v>#REF!</v>
      </c>
      <c r="FT165" t="e">
        <f>AND(#REF!,"AAAAAH2/+68=")</f>
        <v>#REF!</v>
      </c>
      <c r="FU165" t="e">
        <f>IF(#REF!,"AAAAAH2/+7A=",0)</f>
        <v>#REF!</v>
      </c>
      <c r="FV165" t="e">
        <f>AND(#REF!,"AAAAAH2/+7E=")</f>
        <v>#REF!</v>
      </c>
      <c r="FW165" t="e">
        <f>AND(#REF!,"AAAAAH2/+7I=")</f>
        <v>#REF!</v>
      </c>
      <c r="FX165" t="e">
        <f>AND(#REF!,"AAAAAH2/+7M=")</f>
        <v>#REF!</v>
      </c>
      <c r="FY165" t="e">
        <f>AND(#REF!,"AAAAAH2/+7Q=")</f>
        <v>#REF!</v>
      </c>
      <c r="FZ165" t="e">
        <f>AND(#REF!,"AAAAAH2/+7U=")</f>
        <v>#REF!</v>
      </c>
      <c r="GA165" t="e">
        <f>AND(#REF!,"AAAAAH2/+7Y=")</f>
        <v>#REF!</v>
      </c>
      <c r="GB165" t="e">
        <f>AND(#REF!,"AAAAAH2/+7c=")</f>
        <v>#REF!</v>
      </c>
      <c r="GC165" t="e">
        <f>AND(#REF!,"AAAAAH2/+7g=")</f>
        <v>#REF!</v>
      </c>
      <c r="GD165" t="e">
        <f>AND(#REF!,"AAAAAH2/+7k=")</f>
        <v>#REF!</v>
      </c>
      <c r="GE165" t="e">
        <f>AND(#REF!,"AAAAAH2/+7o=")</f>
        <v>#REF!</v>
      </c>
      <c r="GF165" t="e">
        <f>AND(#REF!,"AAAAAH2/+7s=")</f>
        <v>#REF!</v>
      </c>
      <c r="GG165" t="e">
        <f>AND(#REF!,"AAAAAH2/+7w=")</f>
        <v>#REF!</v>
      </c>
      <c r="GH165" t="e">
        <f>AND(#REF!,"AAAAAH2/+70=")</f>
        <v>#REF!</v>
      </c>
      <c r="GI165" t="e">
        <f>AND(#REF!,"AAAAAH2/+74=")</f>
        <v>#REF!</v>
      </c>
      <c r="GJ165" t="e">
        <f>AND(#REF!,"AAAAAH2/+78=")</f>
        <v>#REF!</v>
      </c>
      <c r="GK165" t="e">
        <f>AND(#REF!,"AAAAAH2/+8A=")</f>
        <v>#REF!</v>
      </c>
      <c r="GL165" t="e">
        <f>AND(#REF!,"AAAAAH2/+8E=")</f>
        <v>#REF!</v>
      </c>
      <c r="GM165" t="e">
        <f>AND(#REF!,"AAAAAH2/+8I=")</f>
        <v>#REF!</v>
      </c>
      <c r="GN165" t="e">
        <f>AND(#REF!,"AAAAAH2/+8M=")</f>
        <v>#REF!</v>
      </c>
      <c r="GO165" t="e">
        <f>AND(#REF!,"AAAAAH2/+8Q=")</f>
        <v>#REF!</v>
      </c>
      <c r="GP165" t="e">
        <f>AND(#REF!,"AAAAAH2/+8U=")</f>
        <v>#REF!</v>
      </c>
      <c r="GQ165" t="e">
        <f>AND(#REF!,"AAAAAH2/+8Y=")</f>
        <v>#REF!</v>
      </c>
      <c r="GR165" t="e">
        <f>AND(#REF!,"AAAAAH2/+8c=")</f>
        <v>#REF!</v>
      </c>
      <c r="GS165" t="e">
        <f>AND(#REF!,"AAAAAH2/+8g=")</f>
        <v>#REF!</v>
      </c>
      <c r="GT165" t="e">
        <f>IF(#REF!,"AAAAAH2/+8k=",0)</f>
        <v>#REF!</v>
      </c>
      <c r="GU165" t="e">
        <f>AND(#REF!,"AAAAAH2/+8o=")</f>
        <v>#REF!</v>
      </c>
      <c r="GV165" t="e">
        <f>AND(#REF!,"AAAAAH2/+8s=")</f>
        <v>#REF!</v>
      </c>
      <c r="GW165" t="e">
        <f>AND(#REF!,"AAAAAH2/+8w=")</f>
        <v>#REF!</v>
      </c>
      <c r="GX165" t="e">
        <f>AND(#REF!,"AAAAAH2/+80=")</f>
        <v>#REF!</v>
      </c>
      <c r="GY165" t="e">
        <f>AND(#REF!,"AAAAAH2/+84=")</f>
        <v>#REF!</v>
      </c>
      <c r="GZ165" t="e">
        <f>AND(#REF!,"AAAAAH2/+88=")</f>
        <v>#REF!</v>
      </c>
      <c r="HA165" t="e">
        <f>AND(#REF!,"AAAAAH2/+9A=")</f>
        <v>#REF!</v>
      </c>
      <c r="HB165" t="e">
        <f>AND(#REF!,"AAAAAH2/+9E=")</f>
        <v>#REF!</v>
      </c>
      <c r="HC165" t="e">
        <f>AND(#REF!,"AAAAAH2/+9I=")</f>
        <v>#REF!</v>
      </c>
      <c r="HD165" t="e">
        <f>AND(#REF!,"AAAAAH2/+9M=")</f>
        <v>#REF!</v>
      </c>
      <c r="HE165" t="e">
        <f>AND(#REF!,"AAAAAH2/+9Q=")</f>
        <v>#REF!</v>
      </c>
      <c r="HF165" t="e">
        <f>AND(#REF!,"AAAAAH2/+9U=")</f>
        <v>#REF!</v>
      </c>
      <c r="HG165" t="e">
        <f>AND(#REF!,"AAAAAH2/+9Y=")</f>
        <v>#REF!</v>
      </c>
      <c r="HH165" t="e">
        <f>AND(#REF!,"AAAAAH2/+9c=")</f>
        <v>#REF!</v>
      </c>
      <c r="HI165" t="e">
        <f>AND(#REF!,"AAAAAH2/+9g=")</f>
        <v>#REF!</v>
      </c>
      <c r="HJ165" t="e">
        <f>AND(#REF!,"AAAAAH2/+9k=")</f>
        <v>#REF!</v>
      </c>
      <c r="HK165" t="e">
        <f>AND(#REF!,"AAAAAH2/+9o=")</f>
        <v>#REF!</v>
      </c>
      <c r="HL165" t="e">
        <f>AND(#REF!,"AAAAAH2/+9s=")</f>
        <v>#REF!</v>
      </c>
      <c r="HM165" t="e">
        <f>AND(#REF!,"AAAAAH2/+9w=")</f>
        <v>#REF!</v>
      </c>
      <c r="HN165" t="e">
        <f>AND(#REF!,"AAAAAH2/+90=")</f>
        <v>#REF!</v>
      </c>
      <c r="HO165" t="e">
        <f>AND(#REF!,"AAAAAH2/+94=")</f>
        <v>#REF!</v>
      </c>
      <c r="HP165" t="e">
        <f>AND(#REF!,"AAAAAH2/+98=")</f>
        <v>#REF!</v>
      </c>
      <c r="HQ165" t="e">
        <f>AND(#REF!,"AAAAAH2/++A=")</f>
        <v>#REF!</v>
      </c>
      <c r="HR165" t="e">
        <f>AND(#REF!,"AAAAAH2/++E=")</f>
        <v>#REF!</v>
      </c>
      <c r="HS165" t="e">
        <f>IF(#REF!,"AAAAAH2/++I=",0)</f>
        <v>#REF!</v>
      </c>
      <c r="HT165" t="e">
        <f>AND(#REF!,"AAAAAH2/++M=")</f>
        <v>#REF!</v>
      </c>
      <c r="HU165" t="e">
        <f>AND(#REF!,"AAAAAH2/++Q=")</f>
        <v>#REF!</v>
      </c>
      <c r="HV165" t="e">
        <f>AND(#REF!,"AAAAAH2/++U=")</f>
        <v>#REF!</v>
      </c>
      <c r="HW165" t="e">
        <f>AND(#REF!,"AAAAAH2/++Y=")</f>
        <v>#REF!</v>
      </c>
      <c r="HX165" t="e">
        <f>AND(#REF!,"AAAAAH2/++c=")</f>
        <v>#REF!</v>
      </c>
      <c r="HY165" t="e">
        <f>AND(#REF!,"AAAAAH2/++g=")</f>
        <v>#REF!</v>
      </c>
      <c r="HZ165" t="e">
        <f>AND(#REF!,"AAAAAH2/++k=")</f>
        <v>#REF!</v>
      </c>
      <c r="IA165" t="e">
        <f>AND(#REF!,"AAAAAH2/++o=")</f>
        <v>#REF!</v>
      </c>
      <c r="IB165" t="e">
        <f>AND(#REF!,"AAAAAH2/++s=")</f>
        <v>#REF!</v>
      </c>
      <c r="IC165" t="e">
        <f>AND(#REF!,"AAAAAH2/++w=")</f>
        <v>#REF!</v>
      </c>
      <c r="ID165" t="e">
        <f>AND(#REF!,"AAAAAH2/++0=")</f>
        <v>#REF!</v>
      </c>
      <c r="IE165" t="e">
        <f>AND(#REF!,"AAAAAH2/++4=")</f>
        <v>#REF!</v>
      </c>
      <c r="IF165" t="e">
        <f>AND(#REF!,"AAAAAH2/++8=")</f>
        <v>#REF!</v>
      </c>
      <c r="IG165" t="e">
        <f>AND(#REF!,"AAAAAH2/+/A=")</f>
        <v>#REF!</v>
      </c>
      <c r="IH165" t="e">
        <f>AND(#REF!,"AAAAAH2/+/E=")</f>
        <v>#REF!</v>
      </c>
      <c r="II165" t="e">
        <f>AND(#REF!,"AAAAAH2/+/I=")</f>
        <v>#REF!</v>
      </c>
      <c r="IJ165" t="e">
        <f>AND(#REF!,"AAAAAH2/+/M=")</f>
        <v>#REF!</v>
      </c>
      <c r="IK165" t="e">
        <f>AND(#REF!,"AAAAAH2/+/Q=")</f>
        <v>#REF!</v>
      </c>
      <c r="IL165" t="e">
        <f>AND(#REF!,"AAAAAH2/+/U=")</f>
        <v>#REF!</v>
      </c>
      <c r="IM165" t="e">
        <f>AND(#REF!,"AAAAAH2/+/Y=")</f>
        <v>#REF!</v>
      </c>
      <c r="IN165" t="e">
        <f>AND(#REF!,"AAAAAH2/+/c=")</f>
        <v>#REF!</v>
      </c>
      <c r="IO165" t="e">
        <f>AND(#REF!,"AAAAAH2/+/g=")</f>
        <v>#REF!</v>
      </c>
      <c r="IP165" t="e">
        <f>AND(#REF!,"AAAAAH2/+/k=")</f>
        <v>#REF!</v>
      </c>
      <c r="IQ165" t="e">
        <f>AND(#REF!,"AAAAAH2/+/o=")</f>
        <v>#REF!</v>
      </c>
      <c r="IR165" t="e">
        <f>IF(#REF!,"AAAAAH2/+/s=",0)</f>
        <v>#REF!</v>
      </c>
      <c r="IS165" t="e">
        <f>AND(#REF!,"AAAAAH2/+/w=")</f>
        <v>#REF!</v>
      </c>
      <c r="IT165" t="e">
        <f>AND(#REF!,"AAAAAH2/+/0=")</f>
        <v>#REF!</v>
      </c>
      <c r="IU165" t="e">
        <f>AND(#REF!,"AAAAAH2/+/4=")</f>
        <v>#REF!</v>
      </c>
      <c r="IV165" t="e">
        <f>AND(#REF!,"AAAAAH2/+/8=")</f>
        <v>#REF!</v>
      </c>
    </row>
    <row r="166" spans="1:256">
      <c r="A166" t="e">
        <f>AND(#REF!,"AAAAAFdvfwA=")</f>
        <v>#REF!</v>
      </c>
      <c r="B166" t="e">
        <f>AND(#REF!,"AAAAAFdvfwE=")</f>
        <v>#REF!</v>
      </c>
      <c r="C166" t="e">
        <f>AND(#REF!,"AAAAAFdvfwI=")</f>
        <v>#REF!</v>
      </c>
      <c r="D166" t="e">
        <f>AND(#REF!,"AAAAAFdvfwM=")</f>
        <v>#REF!</v>
      </c>
      <c r="E166" t="e">
        <f>AND(#REF!,"AAAAAFdvfwQ=")</f>
        <v>#REF!</v>
      </c>
      <c r="F166" t="e">
        <f>AND(#REF!,"AAAAAFdvfwU=")</f>
        <v>#REF!</v>
      </c>
      <c r="G166" t="e">
        <f>AND(#REF!,"AAAAAFdvfwY=")</f>
        <v>#REF!</v>
      </c>
      <c r="H166" t="e">
        <f>AND(#REF!,"AAAAAFdvfwc=")</f>
        <v>#REF!</v>
      </c>
      <c r="I166" t="e">
        <f>AND(#REF!,"AAAAAFdvfwg=")</f>
        <v>#REF!</v>
      </c>
      <c r="J166" t="e">
        <f>AND(#REF!,"AAAAAFdvfwk=")</f>
        <v>#REF!</v>
      </c>
      <c r="K166" t="e">
        <f>AND(#REF!,"AAAAAFdvfwo=")</f>
        <v>#REF!</v>
      </c>
      <c r="L166" t="e">
        <f>AND(#REF!,"AAAAAFdvfws=")</f>
        <v>#REF!</v>
      </c>
      <c r="M166" t="e">
        <f>AND(#REF!,"AAAAAFdvfww=")</f>
        <v>#REF!</v>
      </c>
      <c r="N166" t="e">
        <f>AND(#REF!,"AAAAAFdvfw0=")</f>
        <v>#REF!</v>
      </c>
      <c r="O166" t="e">
        <f>AND(#REF!,"AAAAAFdvfw4=")</f>
        <v>#REF!</v>
      </c>
      <c r="P166" t="e">
        <f>AND(#REF!,"AAAAAFdvfw8=")</f>
        <v>#REF!</v>
      </c>
      <c r="Q166" t="e">
        <f>AND(#REF!,"AAAAAFdvfxA=")</f>
        <v>#REF!</v>
      </c>
      <c r="R166" t="e">
        <f>AND(#REF!,"AAAAAFdvfxE=")</f>
        <v>#REF!</v>
      </c>
      <c r="S166" t="e">
        <f>AND(#REF!,"AAAAAFdvfxI=")</f>
        <v>#REF!</v>
      </c>
      <c r="T166" t="e">
        <f>AND(#REF!,"AAAAAFdvfxM=")</f>
        <v>#REF!</v>
      </c>
      <c r="U166" t="e">
        <f>IF(#REF!,"AAAAAFdvfxQ=",0)</f>
        <v>#REF!</v>
      </c>
      <c r="V166" t="e">
        <f>AND(#REF!,"AAAAAFdvfxU=")</f>
        <v>#REF!</v>
      </c>
      <c r="W166" t="e">
        <f>AND(#REF!,"AAAAAFdvfxY=")</f>
        <v>#REF!</v>
      </c>
      <c r="X166" t="e">
        <f>AND(#REF!,"AAAAAFdvfxc=")</f>
        <v>#REF!</v>
      </c>
      <c r="Y166" t="e">
        <f>AND(#REF!,"AAAAAFdvfxg=")</f>
        <v>#REF!</v>
      </c>
      <c r="Z166" t="e">
        <f>AND(#REF!,"AAAAAFdvfxk=")</f>
        <v>#REF!</v>
      </c>
      <c r="AA166" t="e">
        <f>AND(#REF!,"AAAAAFdvfxo=")</f>
        <v>#REF!</v>
      </c>
      <c r="AB166" t="e">
        <f>AND(#REF!,"AAAAAFdvfxs=")</f>
        <v>#REF!</v>
      </c>
      <c r="AC166" t="e">
        <f>AND(#REF!,"AAAAAFdvfxw=")</f>
        <v>#REF!</v>
      </c>
      <c r="AD166" t="e">
        <f>AND(#REF!,"AAAAAFdvfx0=")</f>
        <v>#REF!</v>
      </c>
      <c r="AE166" t="e">
        <f>AND(#REF!,"AAAAAFdvfx4=")</f>
        <v>#REF!</v>
      </c>
      <c r="AF166" t="e">
        <f>AND(#REF!,"AAAAAFdvfx8=")</f>
        <v>#REF!</v>
      </c>
      <c r="AG166" t="e">
        <f>AND(#REF!,"AAAAAFdvfyA=")</f>
        <v>#REF!</v>
      </c>
      <c r="AH166" t="e">
        <f>AND(#REF!,"AAAAAFdvfyE=")</f>
        <v>#REF!</v>
      </c>
      <c r="AI166" t="e">
        <f>AND(#REF!,"AAAAAFdvfyI=")</f>
        <v>#REF!</v>
      </c>
      <c r="AJ166" t="e">
        <f>AND(#REF!,"AAAAAFdvfyM=")</f>
        <v>#REF!</v>
      </c>
      <c r="AK166" t="e">
        <f>AND(#REF!,"AAAAAFdvfyQ=")</f>
        <v>#REF!</v>
      </c>
      <c r="AL166" t="e">
        <f>AND(#REF!,"AAAAAFdvfyU=")</f>
        <v>#REF!</v>
      </c>
      <c r="AM166" t="e">
        <f>AND(#REF!,"AAAAAFdvfyY=")</f>
        <v>#REF!</v>
      </c>
      <c r="AN166" t="e">
        <f>AND(#REF!,"AAAAAFdvfyc=")</f>
        <v>#REF!</v>
      </c>
      <c r="AO166" t="e">
        <f>AND(#REF!,"AAAAAFdvfyg=")</f>
        <v>#REF!</v>
      </c>
      <c r="AP166" t="e">
        <f>AND(#REF!,"AAAAAFdvfyk=")</f>
        <v>#REF!</v>
      </c>
      <c r="AQ166" t="e">
        <f>AND(#REF!,"AAAAAFdvfyo=")</f>
        <v>#REF!</v>
      </c>
      <c r="AR166" t="e">
        <f>AND(#REF!,"AAAAAFdvfys=")</f>
        <v>#REF!</v>
      </c>
      <c r="AS166" t="e">
        <f>AND(#REF!,"AAAAAFdvfyw=")</f>
        <v>#REF!</v>
      </c>
      <c r="AT166" t="e">
        <f>IF(#REF!,"AAAAAFdvfy0=",0)</f>
        <v>#REF!</v>
      </c>
      <c r="AU166" t="e">
        <f>AND(#REF!,"AAAAAFdvfy4=")</f>
        <v>#REF!</v>
      </c>
      <c r="AV166" t="e">
        <f>AND(#REF!,"AAAAAFdvfy8=")</f>
        <v>#REF!</v>
      </c>
      <c r="AW166" t="e">
        <f>AND(#REF!,"AAAAAFdvfzA=")</f>
        <v>#REF!</v>
      </c>
      <c r="AX166" t="e">
        <f>AND(#REF!,"AAAAAFdvfzE=")</f>
        <v>#REF!</v>
      </c>
      <c r="AY166" t="e">
        <f>AND(#REF!,"AAAAAFdvfzI=")</f>
        <v>#REF!</v>
      </c>
      <c r="AZ166" t="e">
        <f>AND(#REF!,"AAAAAFdvfzM=")</f>
        <v>#REF!</v>
      </c>
      <c r="BA166" t="e">
        <f>AND(#REF!,"AAAAAFdvfzQ=")</f>
        <v>#REF!</v>
      </c>
      <c r="BB166" t="e">
        <f>AND(#REF!,"AAAAAFdvfzU=")</f>
        <v>#REF!</v>
      </c>
      <c r="BC166" t="e">
        <f>AND(#REF!,"AAAAAFdvfzY=")</f>
        <v>#REF!</v>
      </c>
      <c r="BD166" t="e">
        <f>AND(#REF!,"AAAAAFdvfzc=")</f>
        <v>#REF!</v>
      </c>
      <c r="BE166" t="e">
        <f>AND(#REF!,"AAAAAFdvfzg=")</f>
        <v>#REF!</v>
      </c>
      <c r="BF166" t="e">
        <f>AND(#REF!,"AAAAAFdvfzk=")</f>
        <v>#REF!</v>
      </c>
      <c r="BG166" t="e">
        <f>AND(#REF!,"AAAAAFdvfzo=")</f>
        <v>#REF!</v>
      </c>
      <c r="BH166" t="e">
        <f>AND(#REF!,"AAAAAFdvfzs=")</f>
        <v>#REF!</v>
      </c>
      <c r="BI166" t="e">
        <f>AND(#REF!,"AAAAAFdvfzw=")</f>
        <v>#REF!</v>
      </c>
      <c r="BJ166" t="e">
        <f>AND(#REF!,"AAAAAFdvfz0=")</f>
        <v>#REF!</v>
      </c>
      <c r="BK166" t="e">
        <f>AND(#REF!,"AAAAAFdvfz4=")</f>
        <v>#REF!</v>
      </c>
      <c r="BL166" t="e">
        <f>AND(#REF!,"AAAAAFdvfz8=")</f>
        <v>#REF!</v>
      </c>
      <c r="BM166" t="e">
        <f>AND(#REF!,"AAAAAFdvf0A=")</f>
        <v>#REF!</v>
      </c>
      <c r="BN166" t="e">
        <f>AND(#REF!,"AAAAAFdvf0E=")</f>
        <v>#REF!</v>
      </c>
      <c r="BO166" t="e">
        <f>AND(#REF!,"AAAAAFdvf0I=")</f>
        <v>#REF!</v>
      </c>
      <c r="BP166" t="e">
        <f>AND(#REF!,"AAAAAFdvf0M=")</f>
        <v>#REF!</v>
      </c>
      <c r="BQ166" t="e">
        <f>AND(#REF!,"AAAAAFdvf0Q=")</f>
        <v>#REF!</v>
      </c>
      <c r="BR166" t="e">
        <f>AND(#REF!,"AAAAAFdvf0U=")</f>
        <v>#REF!</v>
      </c>
      <c r="BS166" t="e">
        <f>IF(#REF!,"AAAAAFdvf0Y=",0)</f>
        <v>#REF!</v>
      </c>
      <c r="BT166" t="e">
        <f>AND(#REF!,"AAAAAFdvf0c=")</f>
        <v>#REF!</v>
      </c>
      <c r="BU166" t="e">
        <f>AND(#REF!,"AAAAAFdvf0g=")</f>
        <v>#REF!</v>
      </c>
      <c r="BV166" t="e">
        <f>AND(#REF!,"AAAAAFdvf0k=")</f>
        <v>#REF!</v>
      </c>
      <c r="BW166" t="e">
        <f>AND(#REF!,"AAAAAFdvf0o=")</f>
        <v>#REF!</v>
      </c>
      <c r="BX166" t="e">
        <f>AND(#REF!,"AAAAAFdvf0s=")</f>
        <v>#REF!</v>
      </c>
      <c r="BY166" t="e">
        <f>AND(#REF!,"AAAAAFdvf0w=")</f>
        <v>#REF!</v>
      </c>
      <c r="BZ166" t="e">
        <f>AND(#REF!,"AAAAAFdvf00=")</f>
        <v>#REF!</v>
      </c>
      <c r="CA166" t="e">
        <f>AND(#REF!,"AAAAAFdvf04=")</f>
        <v>#REF!</v>
      </c>
      <c r="CB166" t="e">
        <f>AND(#REF!,"AAAAAFdvf08=")</f>
        <v>#REF!</v>
      </c>
      <c r="CC166" t="e">
        <f>AND(#REF!,"AAAAAFdvf1A=")</f>
        <v>#REF!</v>
      </c>
      <c r="CD166" t="e">
        <f>AND(#REF!,"AAAAAFdvf1E=")</f>
        <v>#REF!</v>
      </c>
      <c r="CE166" t="e">
        <f>AND(#REF!,"AAAAAFdvf1I=")</f>
        <v>#REF!</v>
      </c>
      <c r="CF166" t="e">
        <f>AND(#REF!,"AAAAAFdvf1M=")</f>
        <v>#REF!</v>
      </c>
      <c r="CG166" t="e">
        <f>AND(#REF!,"AAAAAFdvf1Q=")</f>
        <v>#REF!</v>
      </c>
      <c r="CH166" t="e">
        <f>AND(#REF!,"AAAAAFdvf1U=")</f>
        <v>#REF!</v>
      </c>
      <c r="CI166" t="e">
        <f>AND(#REF!,"AAAAAFdvf1Y=")</f>
        <v>#REF!</v>
      </c>
      <c r="CJ166" t="e">
        <f>AND(#REF!,"AAAAAFdvf1c=")</f>
        <v>#REF!</v>
      </c>
      <c r="CK166" t="e">
        <f>AND(#REF!,"AAAAAFdvf1g=")</f>
        <v>#REF!</v>
      </c>
      <c r="CL166" t="e">
        <f>AND(#REF!,"AAAAAFdvf1k=")</f>
        <v>#REF!</v>
      </c>
      <c r="CM166" t="e">
        <f>AND(#REF!,"AAAAAFdvf1o=")</f>
        <v>#REF!</v>
      </c>
      <c r="CN166" t="e">
        <f>AND(#REF!,"AAAAAFdvf1s=")</f>
        <v>#REF!</v>
      </c>
      <c r="CO166" t="e">
        <f>AND(#REF!,"AAAAAFdvf1w=")</f>
        <v>#REF!</v>
      </c>
      <c r="CP166" t="e">
        <f>AND(#REF!,"AAAAAFdvf10=")</f>
        <v>#REF!</v>
      </c>
      <c r="CQ166" t="e">
        <f>AND(#REF!,"AAAAAFdvf14=")</f>
        <v>#REF!</v>
      </c>
      <c r="CR166" t="e">
        <f>IF(#REF!,"AAAAAFdvf18=",0)</f>
        <v>#REF!</v>
      </c>
      <c r="CS166" t="e">
        <f>AND(#REF!,"AAAAAFdvf2A=")</f>
        <v>#REF!</v>
      </c>
      <c r="CT166" t="e">
        <f>AND(#REF!,"AAAAAFdvf2E=")</f>
        <v>#REF!</v>
      </c>
      <c r="CU166" t="e">
        <f>AND(#REF!,"AAAAAFdvf2I=")</f>
        <v>#REF!</v>
      </c>
      <c r="CV166" t="e">
        <f>AND(#REF!,"AAAAAFdvf2M=")</f>
        <v>#REF!</v>
      </c>
      <c r="CW166" t="e">
        <f>AND(#REF!,"AAAAAFdvf2Q=")</f>
        <v>#REF!</v>
      </c>
      <c r="CX166" t="e">
        <f>AND(#REF!,"AAAAAFdvf2U=")</f>
        <v>#REF!</v>
      </c>
      <c r="CY166" t="e">
        <f>AND(#REF!,"AAAAAFdvf2Y=")</f>
        <v>#REF!</v>
      </c>
      <c r="CZ166" t="e">
        <f>AND(#REF!,"AAAAAFdvf2c=")</f>
        <v>#REF!</v>
      </c>
      <c r="DA166" t="e">
        <f>AND(#REF!,"AAAAAFdvf2g=")</f>
        <v>#REF!</v>
      </c>
      <c r="DB166" t="e">
        <f>AND(#REF!,"AAAAAFdvf2k=")</f>
        <v>#REF!</v>
      </c>
      <c r="DC166" t="e">
        <f>AND(#REF!,"AAAAAFdvf2o=")</f>
        <v>#REF!</v>
      </c>
      <c r="DD166" t="e">
        <f>AND(#REF!,"AAAAAFdvf2s=")</f>
        <v>#REF!</v>
      </c>
      <c r="DE166" t="e">
        <f>AND(#REF!,"AAAAAFdvf2w=")</f>
        <v>#REF!</v>
      </c>
      <c r="DF166" t="e">
        <f>AND(#REF!,"AAAAAFdvf20=")</f>
        <v>#REF!</v>
      </c>
      <c r="DG166" t="e">
        <f>AND(#REF!,"AAAAAFdvf24=")</f>
        <v>#REF!</v>
      </c>
      <c r="DH166" t="e">
        <f>AND(#REF!,"AAAAAFdvf28=")</f>
        <v>#REF!</v>
      </c>
      <c r="DI166" t="e">
        <f>AND(#REF!,"AAAAAFdvf3A=")</f>
        <v>#REF!</v>
      </c>
      <c r="DJ166" t="e">
        <f>AND(#REF!,"AAAAAFdvf3E=")</f>
        <v>#REF!</v>
      </c>
      <c r="DK166" t="e">
        <f>AND(#REF!,"AAAAAFdvf3I=")</f>
        <v>#REF!</v>
      </c>
      <c r="DL166" t="e">
        <f>AND(#REF!,"AAAAAFdvf3M=")</f>
        <v>#REF!</v>
      </c>
      <c r="DM166" t="e">
        <f>AND(#REF!,"AAAAAFdvf3Q=")</f>
        <v>#REF!</v>
      </c>
      <c r="DN166" t="e">
        <f>AND(#REF!,"AAAAAFdvf3U=")</f>
        <v>#REF!</v>
      </c>
      <c r="DO166" t="e">
        <f>AND(#REF!,"AAAAAFdvf3Y=")</f>
        <v>#REF!</v>
      </c>
      <c r="DP166" t="e">
        <f>AND(#REF!,"AAAAAFdvf3c=")</f>
        <v>#REF!</v>
      </c>
      <c r="DQ166" t="e">
        <f>IF(#REF!,"AAAAAFdvf3g=",0)</f>
        <v>#REF!</v>
      </c>
      <c r="DR166" t="e">
        <f>AND(#REF!,"AAAAAFdvf3k=")</f>
        <v>#REF!</v>
      </c>
      <c r="DS166" t="e">
        <f>AND(#REF!,"AAAAAFdvf3o=")</f>
        <v>#REF!</v>
      </c>
      <c r="DT166" t="e">
        <f>AND(#REF!,"AAAAAFdvf3s=")</f>
        <v>#REF!</v>
      </c>
      <c r="DU166" t="e">
        <f>AND(#REF!,"AAAAAFdvf3w=")</f>
        <v>#REF!</v>
      </c>
      <c r="DV166" t="e">
        <f>AND(#REF!,"AAAAAFdvf30=")</f>
        <v>#REF!</v>
      </c>
      <c r="DW166" t="e">
        <f>AND(#REF!,"AAAAAFdvf34=")</f>
        <v>#REF!</v>
      </c>
      <c r="DX166" t="e">
        <f>AND(#REF!,"AAAAAFdvf38=")</f>
        <v>#REF!</v>
      </c>
      <c r="DY166" t="e">
        <f>AND(#REF!,"AAAAAFdvf4A=")</f>
        <v>#REF!</v>
      </c>
      <c r="DZ166" t="e">
        <f>AND(#REF!,"AAAAAFdvf4E=")</f>
        <v>#REF!</v>
      </c>
      <c r="EA166" t="e">
        <f>AND(#REF!,"AAAAAFdvf4I=")</f>
        <v>#REF!</v>
      </c>
      <c r="EB166" t="e">
        <f>AND(#REF!,"AAAAAFdvf4M=")</f>
        <v>#REF!</v>
      </c>
      <c r="EC166" t="e">
        <f>AND(#REF!,"AAAAAFdvf4Q=")</f>
        <v>#REF!</v>
      </c>
      <c r="ED166" t="e">
        <f>AND(#REF!,"AAAAAFdvf4U=")</f>
        <v>#REF!</v>
      </c>
      <c r="EE166" t="e">
        <f>AND(#REF!,"AAAAAFdvf4Y=")</f>
        <v>#REF!</v>
      </c>
      <c r="EF166" t="e">
        <f>AND(#REF!,"AAAAAFdvf4c=")</f>
        <v>#REF!</v>
      </c>
      <c r="EG166" t="e">
        <f>AND(#REF!,"AAAAAFdvf4g=")</f>
        <v>#REF!</v>
      </c>
      <c r="EH166" t="e">
        <f>AND(#REF!,"AAAAAFdvf4k=")</f>
        <v>#REF!</v>
      </c>
      <c r="EI166" t="e">
        <f>AND(#REF!,"AAAAAFdvf4o=")</f>
        <v>#REF!</v>
      </c>
      <c r="EJ166" t="e">
        <f>AND(#REF!,"AAAAAFdvf4s=")</f>
        <v>#REF!</v>
      </c>
      <c r="EK166" t="e">
        <f>AND(#REF!,"AAAAAFdvf4w=")</f>
        <v>#REF!</v>
      </c>
      <c r="EL166" t="e">
        <f>AND(#REF!,"AAAAAFdvf40=")</f>
        <v>#REF!</v>
      </c>
      <c r="EM166" t="e">
        <f>AND(#REF!,"AAAAAFdvf44=")</f>
        <v>#REF!</v>
      </c>
      <c r="EN166" t="e">
        <f>AND(#REF!,"AAAAAFdvf48=")</f>
        <v>#REF!</v>
      </c>
      <c r="EO166" t="e">
        <f>AND(#REF!,"AAAAAFdvf5A=")</f>
        <v>#REF!</v>
      </c>
      <c r="EP166" t="e">
        <f>IF(#REF!,"AAAAAFdvf5E=",0)</f>
        <v>#REF!</v>
      </c>
      <c r="EQ166" t="e">
        <f>AND(#REF!,"AAAAAFdvf5I=")</f>
        <v>#REF!</v>
      </c>
      <c r="ER166" t="e">
        <f>AND(#REF!,"AAAAAFdvf5M=")</f>
        <v>#REF!</v>
      </c>
      <c r="ES166" t="e">
        <f>AND(#REF!,"AAAAAFdvf5Q=")</f>
        <v>#REF!</v>
      </c>
      <c r="ET166" t="e">
        <f>AND(#REF!,"AAAAAFdvf5U=")</f>
        <v>#REF!</v>
      </c>
      <c r="EU166" t="e">
        <f>AND(#REF!,"AAAAAFdvf5Y=")</f>
        <v>#REF!</v>
      </c>
      <c r="EV166" t="e">
        <f>AND(#REF!,"AAAAAFdvf5c=")</f>
        <v>#REF!</v>
      </c>
      <c r="EW166" t="e">
        <f>AND(#REF!,"AAAAAFdvf5g=")</f>
        <v>#REF!</v>
      </c>
      <c r="EX166" t="e">
        <f>AND(#REF!,"AAAAAFdvf5k=")</f>
        <v>#REF!</v>
      </c>
      <c r="EY166" t="e">
        <f>AND(#REF!,"AAAAAFdvf5o=")</f>
        <v>#REF!</v>
      </c>
      <c r="EZ166" t="e">
        <f>AND(#REF!,"AAAAAFdvf5s=")</f>
        <v>#REF!</v>
      </c>
      <c r="FA166" t="e">
        <f>AND(#REF!,"AAAAAFdvf5w=")</f>
        <v>#REF!</v>
      </c>
      <c r="FB166" t="e">
        <f>AND(#REF!,"AAAAAFdvf50=")</f>
        <v>#REF!</v>
      </c>
      <c r="FC166" t="e">
        <f>AND(#REF!,"AAAAAFdvf54=")</f>
        <v>#REF!</v>
      </c>
      <c r="FD166" t="e">
        <f>AND(#REF!,"AAAAAFdvf58=")</f>
        <v>#REF!</v>
      </c>
      <c r="FE166" t="e">
        <f>AND(#REF!,"AAAAAFdvf6A=")</f>
        <v>#REF!</v>
      </c>
      <c r="FF166" t="e">
        <f>AND(#REF!,"AAAAAFdvf6E=")</f>
        <v>#REF!</v>
      </c>
      <c r="FG166" t="e">
        <f>AND(#REF!,"AAAAAFdvf6I=")</f>
        <v>#REF!</v>
      </c>
      <c r="FH166" t="e">
        <f>AND(#REF!,"AAAAAFdvf6M=")</f>
        <v>#REF!</v>
      </c>
      <c r="FI166" t="e">
        <f>AND(#REF!,"AAAAAFdvf6Q=")</f>
        <v>#REF!</v>
      </c>
      <c r="FJ166" t="e">
        <f>AND(#REF!,"AAAAAFdvf6U=")</f>
        <v>#REF!</v>
      </c>
      <c r="FK166" t="e">
        <f>AND(#REF!,"AAAAAFdvf6Y=")</f>
        <v>#REF!</v>
      </c>
      <c r="FL166" t="e">
        <f>AND(#REF!,"AAAAAFdvf6c=")</f>
        <v>#REF!</v>
      </c>
      <c r="FM166" t="e">
        <f>AND(#REF!,"AAAAAFdvf6g=")</f>
        <v>#REF!</v>
      </c>
      <c r="FN166" t="e">
        <f>AND(#REF!,"AAAAAFdvf6k=")</f>
        <v>#REF!</v>
      </c>
      <c r="FO166" t="e">
        <f>IF(#REF!,"AAAAAFdvf6o=",0)</f>
        <v>#REF!</v>
      </c>
      <c r="FP166" t="e">
        <f>AND(#REF!,"AAAAAFdvf6s=")</f>
        <v>#REF!</v>
      </c>
      <c r="FQ166" t="e">
        <f>AND(#REF!,"AAAAAFdvf6w=")</f>
        <v>#REF!</v>
      </c>
      <c r="FR166" t="e">
        <f>AND(#REF!,"AAAAAFdvf60=")</f>
        <v>#REF!</v>
      </c>
      <c r="FS166" t="e">
        <f>AND(#REF!,"AAAAAFdvf64=")</f>
        <v>#REF!</v>
      </c>
      <c r="FT166" t="e">
        <f>AND(#REF!,"AAAAAFdvf68=")</f>
        <v>#REF!</v>
      </c>
      <c r="FU166" t="e">
        <f>AND(#REF!,"AAAAAFdvf7A=")</f>
        <v>#REF!</v>
      </c>
      <c r="FV166" t="e">
        <f>AND(#REF!,"AAAAAFdvf7E=")</f>
        <v>#REF!</v>
      </c>
      <c r="FW166" t="e">
        <f>AND(#REF!,"AAAAAFdvf7I=")</f>
        <v>#REF!</v>
      </c>
      <c r="FX166" t="e">
        <f>AND(#REF!,"AAAAAFdvf7M=")</f>
        <v>#REF!</v>
      </c>
      <c r="FY166" t="e">
        <f>AND(#REF!,"AAAAAFdvf7Q=")</f>
        <v>#REF!</v>
      </c>
      <c r="FZ166" t="e">
        <f>AND(#REF!,"AAAAAFdvf7U=")</f>
        <v>#REF!</v>
      </c>
      <c r="GA166" t="e">
        <f>AND(#REF!,"AAAAAFdvf7Y=")</f>
        <v>#REF!</v>
      </c>
      <c r="GB166" t="e">
        <f>AND(#REF!,"AAAAAFdvf7c=")</f>
        <v>#REF!</v>
      </c>
      <c r="GC166" t="e">
        <f>AND(#REF!,"AAAAAFdvf7g=")</f>
        <v>#REF!</v>
      </c>
      <c r="GD166" t="e">
        <f>AND(#REF!,"AAAAAFdvf7k=")</f>
        <v>#REF!</v>
      </c>
      <c r="GE166" t="e">
        <f>AND(#REF!,"AAAAAFdvf7o=")</f>
        <v>#REF!</v>
      </c>
      <c r="GF166" t="e">
        <f>AND(#REF!,"AAAAAFdvf7s=")</f>
        <v>#REF!</v>
      </c>
      <c r="GG166" t="e">
        <f>AND(#REF!,"AAAAAFdvf7w=")</f>
        <v>#REF!</v>
      </c>
      <c r="GH166" t="e">
        <f>AND(#REF!,"AAAAAFdvf70=")</f>
        <v>#REF!</v>
      </c>
      <c r="GI166" t="e">
        <f>AND(#REF!,"AAAAAFdvf74=")</f>
        <v>#REF!</v>
      </c>
      <c r="GJ166" t="e">
        <f>AND(#REF!,"AAAAAFdvf78=")</f>
        <v>#REF!</v>
      </c>
      <c r="GK166" t="e">
        <f>AND(#REF!,"AAAAAFdvf8A=")</f>
        <v>#REF!</v>
      </c>
      <c r="GL166" t="e">
        <f>AND(#REF!,"AAAAAFdvf8E=")</f>
        <v>#REF!</v>
      </c>
      <c r="GM166" t="e">
        <f>AND(#REF!,"AAAAAFdvf8I=")</f>
        <v>#REF!</v>
      </c>
      <c r="GN166" t="e">
        <f>IF(#REF!,"AAAAAFdvf8M=",0)</f>
        <v>#REF!</v>
      </c>
      <c r="GO166" t="e">
        <f>AND(#REF!,"AAAAAFdvf8Q=")</f>
        <v>#REF!</v>
      </c>
      <c r="GP166" t="e">
        <f>AND(#REF!,"AAAAAFdvf8U=")</f>
        <v>#REF!</v>
      </c>
      <c r="GQ166" t="e">
        <f>AND(#REF!,"AAAAAFdvf8Y=")</f>
        <v>#REF!</v>
      </c>
      <c r="GR166" t="e">
        <f>AND(#REF!,"AAAAAFdvf8c=")</f>
        <v>#REF!</v>
      </c>
      <c r="GS166" t="e">
        <f>AND(#REF!,"AAAAAFdvf8g=")</f>
        <v>#REF!</v>
      </c>
      <c r="GT166" t="e">
        <f>AND(#REF!,"AAAAAFdvf8k=")</f>
        <v>#REF!</v>
      </c>
      <c r="GU166" t="e">
        <f>AND(#REF!,"AAAAAFdvf8o=")</f>
        <v>#REF!</v>
      </c>
      <c r="GV166" t="e">
        <f>AND(#REF!,"AAAAAFdvf8s=")</f>
        <v>#REF!</v>
      </c>
      <c r="GW166" t="e">
        <f>AND(#REF!,"AAAAAFdvf8w=")</f>
        <v>#REF!</v>
      </c>
      <c r="GX166" t="e">
        <f>AND(#REF!,"AAAAAFdvf80=")</f>
        <v>#REF!</v>
      </c>
      <c r="GY166" t="e">
        <f>AND(#REF!,"AAAAAFdvf84=")</f>
        <v>#REF!</v>
      </c>
      <c r="GZ166" t="e">
        <f>AND(#REF!,"AAAAAFdvf88=")</f>
        <v>#REF!</v>
      </c>
      <c r="HA166" t="e">
        <f>AND(#REF!,"AAAAAFdvf9A=")</f>
        <v>#REF!</v>
      </c>
      <c r="HB166" t="e">
        <f>AND(#REF!,"AAAAAFdvf9E=")</f>
        <v>#REF!</v>
      </c>
      <c r="HC166" t="e">
        <f>AND(#REF!,"AAAAAFdvf9I=")</f>
        <v>#REF!</v>
      </c>
      <c r="HD166" t="e">
        <f>AND(#REF!,"AAAAAFdvf9M=")</f>
        <v>#REF!</v>
      </c>
      <c r="HE166" t="e">
        <f>AND(#REF!,"AAAAAFdvf9Q=")</f>
        <v>#REF!</v>
      </c>
      <c r="HF166" t="e">
        <f>AND(#REF!,"AAAAAFdvf9U=")</f>
        <v>#REF!</v>
      </c>
      <c r="HG166" t="e">
        <f>AND(#REF!,"AAAAAFdvf9Y=")</f>
        <v>#REF!</v>
      </c>
      <c r="HH166" t="e">
        <f>AND(#REF!,"AAAAAFdvf9c=")</f>
        <v>#REF!</v>
      </c>
      <c r="HI166" t="e">
        <f>AND(#REF!,"AAAAAFdvf9g=")</f>
        <v>#REF!</v>
      </c>
      <c r="HJ166" t="e">
        <f>AND(#REF!,"AAAAAFdvf9k=")</f>
        <v>#REF!</v>
      </c>
      <c r="HK166" t="e">
        <f>AND(#REF!,"AAAAAFdvf9o=")</f>
        <v>#REF!</v>
      </c>
      <c r="HL166" t="e">
        <f>AND(#REF!,"AAAAAFdvf9s=")</f>
        <v>#REF!</v>
      </c>
      <c r="HM166" t="e">
        <f>IF(#REF!,"AAAAAFdvf9w=",0)</f>
        <v>#REF!</v>
      </c>
      <c r="HN166" t="e">
        <f>AND(#REF!,"AAAAAFdvf90=")</f>
        <v>#REF!</v>
      </c>
      <c r="HO166" t="e">
        <f>AND(#REF!,"AAAAAFdvf94=")</f>
        <v>#REF!</v>
      </c>
      <c r="HP166" t="e">
        <f>AND(#REF!,"AAAAAFdvf98=")</f>
        <v>#REF!</v>
      </c>
      <c r="HQ166" t="e">
        <f>AND(#REF!,"AAAAAFdvf+A=")</f>
        <v>#REF!</v>
      </c>
      <c r="HR166" t="e">
        <f>AND(#REF!,"AAAAAFdvf+E=")</f>
        <v>#REF!</v>
      </c>
      <c r="HS166" t="e">
        <f>AND(#REF!,"AAAAAFdvf+I=")</f>
        <v>#REF!</v>
      </c>
      <c r="HT166" t="e">
        <f>AND(#REF!,"AAAAAFdvf+M=")</f>
        <v>#REF!</v>
      </c>
      <c r="HU166" t="e">
        <f>AND(#REF!,"AAAAAFdvf+Q=")</f>
        <v>#REF!</v>
      </c>
      <c r="HV166" t="e">
        <f>AND(#REF!,"AAAAAFdvf+U=")</f>
        <v>#REF!</v>
      </c>
      <c r="HW166" t="e">
        <f>AND(#REF!,"AAAAAFdvf+Y=")</f>
        <v>#REF!</v>
      </c>
      <c r="HX166" t="e">
        <f>AND(#REF!,"AAAAAFdvf+c=")</f>
        <v>#REF!</v>
      </c>
      <c r="HY166" t="e">
        <f>AND(#REF!,"AAAAAFdvf+g=")</f>
        <v>#REF!</v>
      </c>
      <c r="HZ166" t="e">
        <f>AND(#REF!,"AAAAAFdvf+k=")</f>
        <v>#REF!</v>
      </c>
      <c r="IA166" t="e">
        <f>AND(#REF!,"AAAAAFdvf+o=")</f>
        <v>#REF!</v>
      </c>
      <c r="IB166" t="e">
        <f>AND(#REF!,"AAAAAFdvf+s=")</f>
        <v>#REF!</v>
      </c>
      <c r="IC166" t="e">
        <f>AND(#REF!,"AAAAAFdvf+w=")</f>
        <v>#REF!</v>
      </c>
      <c r="ID166" t="e">
        <f>AND(#REF!,"AAAAAFdvf+0=")</f>
        <v>#REF!</v>
      </c>
      <c r="IE166" t="e">
        <f>AND(#REF!,"AAAAAFdvf+4=")</f>
        <v>#REF!</v>
      </c>
      <c r="IF166" t="e">
        <f>AND(#REF!,"AAAAAFdvf+8=")</f>
        <v>#REF!</v>
      </c>
      <c r="IG166" t="e">
        <f>AND(#REF!,"AAAAAFdvf/A=")</f>
        <v>#REF!</v>
      </c>
      <c r="IH166" t="e">
        <f>AND(#REF!,"AAAAAFdvf/E=")</f>
        <v>#REF!</v>
      </c>
      <c r="II166" t="e">
        <f>AND(#REF!,"AAAAAFdvf/I=")</f>
        <v>#REF!</v>
      </c>
      <c r="IJ166" t="e">
        <f>AND(#REF!,"AAAAAFdvf/M=")</f>
        <v>#REF!</v>
      </c>
      <c r="IK166" t="e">
        <f>AND(#REF!,"AAAAAFdvf/Q=")</f>
        <v>#REF!</v>
      </c>
      <c r="IL166" t="e">
        <f>IF(#REF!,"AAAAAFdvf/U=",0)</f>
        <v>#REF!</v>
      </c>
      <c r="IM166" t="e">
        <f>AND(#REF!,"AAAAAFdvf/Y=")</f>
        <v>#REF!</v>
      </c>
      <c r="IN166" t="e">
        <f>AND(#REF!,"AAAAAFdvf/c=")</f>
        <v>#REF!</v>
      </c>
      <c r="IO166" t="e">
        <f>AND(#REF!,"AAAAAFdvf/g=")</f>
        <v>#REF!</v>
      </c>
      <c r="IP166" t="e">
        <f>AND(#REF!,"AAAAAFdvf/k=")</f>
        <v>#REF!</v>
      </c>
      <c r="IQ166" t="e">
        <f>AND(#REF!,"AAAAAFdvf/o=")</f>
        <v>#REF!</v>
      </c>
      <c r="IR166" t="e">
        <f>AND(#REF!,"AAAAAFdvf/s=")</f>
        <v>#REF!</v>
      </c>
      <c r="IS166" t="e">
        <f>AND(#REF!,"AAAAAFdvf/w=")</f>
        <v>#REF!</v>
      </c>
      <c r="IT166" t="e">
        <f>AND(#REF!,"AAAAAFdvf/0=")</f>
        <v>#REF!</v>
      </c>
      <c r="IU166" t="e">
        <f>AND(#REF!,"AAAAAFdvf/4=")</f>
        <v>#REF!</v>
      </c>
      <c r="IV166" t="e">
        <f>AND(#REF!,"AAAAAFdvf/8=")</f>
        <v>#REF!</v>
      </c>
    </row>
    <row r="167" spans="1:256">
      <c r="A167" t="e">
        <f>AND(#REF!,"AAAAAFer7wA=")</f>
        <v>#REF!</v>
      </c>
      <c r="B167" t="e">
        <f>AND(#REF!,"AAAAAFer7wE=")</f>
        <v>#REF!</v>
      </c>
      <c r="C167" t="e">
        <f>AND(#REF!,"AAAAAFer7wI=")</f>
        <v>#REF!</v>
      </c>
      <c r="D167" t="e">
        <f>AND(#REF!,"AAAAAFer7wM=")</f>
        <v>#REF!</v>
      </c>
      <c r="E167" t="e">
        <f>AND(#REF!,"AAAAAFer7wQ=")</f>
        <v>#REF!</v>
      </c>
      <c r="F167" t="e">
        <f>AND(#REF!,"AAAAAFer7wU=")</f>
        <v>#REF!</v>
      </c>
      <c r="G167" t="e">
        <f>AND(#REF!,"AAAAAFer7wY=")</f>
        <v>#REF!</v>
      </c>
      <c r="H167" t="e">
        <f>AND(#REF!,"AAAAAFer7wc=")</f>
        <v>#REF!</v>
      </c>
      <c r="I167" t="e">
        <f>AND(#REF!,"AAAAAFer7wg=")</f>
        <v>#REF!</v>
      </c>
      <c r="J167" t="e">
        <f>AND(#REF!,"AAAAAFer7wk=")</f>
        <v>#REF!</v>
      </c>
      <c r="K167" t="e">
        <f>AND(#REF!,"AAAAAFer7wo=")</f>
        <v>#REF!</v>
      </c>
      <c r="L167" t="e">
        <f>AND(#REF!,"AAAAAFer7ws=")</f>
        <v>#REF!</v>
      </c>
      <c r="M167" t="e">
        <f>AND(#REF!,"AAAAAFer7ww=")</f>
        <v>#REF!</v>
      </c>
      <c r="N167" t="e">
        <f>AND(#REF!,"AAAAAFer7w0=")</f>
        <v>#REF!</v>
      </c>
      <c r="O167" t="e">
        <f>IF(#REF!,"AAAAAFer7w4=",0)</f>
        <v>#REF!</v>
      </c>
      <c r="P167" t="e">
        <f>AND(#REF!,"AAAAAFer7w8=")</f>
        <v>#REF!</v>
      </c>
      <c r="Q167" t="e">
        <f>AND(#REF!,"AAAAAFer7xA=")</f>
        <v>#REF!</v>
      </c>
      <c r="R167" t="e">
        <f>AND(#REF!,"AAAAAFer7xE=")</f>
        <v>#REF!</v>
      </c>
      <c r="S167" t="e">
        <f>AND(#REF!,"AAAAAFer7xI=")</f>
        <v>#REF!</v>
      </c>
      <c r="T167" t="e">
        <f>AND(#REF!,"AAAAAFer7xM=")</f>
        <v>#REF!</v>
      </c>
      <c r="U167" t="e">
        <f>AND(#REF!,"AAAAAFer7xQ=")</f>
        <v>#REF!</v>
      </c>
      <c r="V167" t="e">
        <f>AND(#REF!,"AAAAAFer7xU=")</f>
        <v>#REF!</v>
      </c>
      <c r="W167" t="e">
        <f>AND(#REF!,"AAAAAFer7xY=")</f>
        <v>#REF!</v>
      </c>
      <c r="X167" t="e">
        <f>AND(#REF!,"AAAAAFer7xc=")</f>
        <v>#REF!</v>
      </c>
      <c r="Y167" t="e">
        <f>AND(#REF!,"AAAAAFer7xg=")</f>
        <v>#REF!</v>
      </c>
      <c r="Z167" t="e">
        <f>AND(#REF!,"AAAAAFer7xk=")</f>
        <v>#REF!</v>
      </c>
      <c r="AA167" t="e">
        <f>AND(#REF!,"AAAAAFer7xo=")</f>
        <v>#REF!</v>
      </c>
      <c r="AB167" t="e">
        <f>AND(#REF!,"AAAAAFer7xs=")</f>
        <v>#REF!</v>
      </c>
      <c r="AC167" t="e">
        <f>AND(#REF!,"AAAAAFer7xw=")</f>
        <v>#REF!</v>
      </c>
      <c r="AD167" t="e">
        <f>AND(#REF!,"AAAAAFer7x0=")</f>
        <v>#REF!</v>
      </c>
      <c r="AE167" t="e">
        <f>AND(#REF!,"AAAAAFer7x4=")</f>
        <v>#REF!</v>
      </c>
      <c r="AF167" t="e">
        <f>AND(#REF!,"AAAAAFer7x8=")</f>
        <v>#REF!</v>
      </c>
      <c r="AG167" t="e">
        <f>AND(#REF!,"AAAAAFer7yA=")</f>
        <v>#REF!</v>
      </c>
      <c r="AH167" t="e">
        <f>AND(#REF!,"AAAAAFer7yE=")</f>
        <v>#REF!</v>
      </c>
      <c r="AI167" t="e">
        <f>AND(#REF!,"AAAAAFer7yI=")</f>
        <v>#REF!</v>
      </c>
      <c r="AJ167" t="e">
        <f>AND(#REF!,"AAAAAFer7yM=")</f>
        <v>#REF!</v>
      </c>
      <c r="AK167" t="e">
        <f>AND(#REF!,"AAAAAFer7yQ=")</f>
        <v>#REF!</v>
      </c>
      <c r="AL167" t="e">
        <f>AND(#REF!,"AAAAAFer7yU=")</f>
        <v>#REF!</v>
      </c>
      <c r="AM167" t="e">
        <f>AND(#REF!,"AAAAAFer7yY=")</f>
        <v>#REF!</v>
      </c>
      <c r="AN167" t="e">
        <f>IF(#REF!,"AAAAAFer7yc=",0)</f>
        <v>#REF!</v>
      </c>
      <c r="AO167" t="e">
        <f>AND(#REF!,"AAAAAFer7yg=")</f>
        <v>#REF!</v>
      </c>
      <c r="AP167" t="e">
        <f>AND(#REF!,"AAAAAFer7yk=")</f>
        <v>#REF!</v>
      </c>
      <c r="AQ167" t="e">
        <f>AND(#REF!,"AAAAAFer7yo=")</f>
        <v>#REF!</v>
      </c>
      <c r="AR167" t="e">
        <f>AND(#REF!,"AAAAAFer7ys=")</f>
        <v>#REF!</v>
      </c>
      <c r="AS167" t="e">
        <f>AND(#REF!,"AAAAAFer7yw=")</f>
        <v>#REF!</v>
      </c>
      <c r="AT167" t="e">
        <f>AND(#REF!,"AAAAAFer7y0=")</f>
        <v>#REF!</v>
      </c>
      <c r="AU167" t="e">
        <f>AND(#REF!,"AAAAAFer7y4=")</f>
        <v>#REF!</v>
      </c>
      <c r="AV167" t="e">
        <f>AND(#REF!,"AAAAAFer7y8=")</f>
        <v>#REF!</v>
      </c>
      <c r="AW167" t="e">
        <f>AND(#REF!,"AAAAAFer7zA=")</f>
        <v>#REF!</v>
      </c>
      <c r="AX167" t="e">
        <f>AND(#REF!,"AAAAAFer7zE=")</f>
        <v>#REF!</v>
      </c>
      <c r="AY167" t="e">
        <f>AND(#REF!,"AAAAAFer7zI=")</f>
        <v>#REF!</v>
      </c>
      <c r="AZ167" t="e">
        <f>AND(#REF!,"AAAAAFer7zM=")</f>
        <v>#REF!</v>
      </c>
      <c r="BA167" t="e">
        <f>AND(#REF!,"AAAAAFer7zQ=")</f>
        <v>#REF!</v>
      </c>
      <c r="BB167" t="e">
        <f>AND(#REF!,"AAAAAFer7zU=")</f>
        <v>#REF!</v>
      </c>
      <c r="BC167" t="e">
        <f>AND(#REF!,"AAAAAFer7zY=")</f>
        <v>#REF!</v>
      </c>
      <c r="BD167" t="e">
        <f>AND(#REF!,"AAAAAFer7zc=")</f>
        <v>#REF!</v>
      </c>
      <c r="BE167" t="e">
        <f>AND(#REF!,"AAAAAFer7zg=")</f>
        <v>#REF!</v>
      </c>
      <c r="BF167" t="e">
        <f>AND(#REF!,"AAAAAFer7zk=")</f>
        <v>#REF!</v>
      </c>
      <c r="BG167" t="e">
        <f>AND(#REF!,"AAAAAFer7zo=")</f>
        <v>#REF!</v>
      </c>
      <c r="BH167" t="e">
        <f>AND(#REF!,"AAAAAFer7zs=")</f>
        <v>#REF!</v>
      </c>
      <c r="BI167" t="e">
        <f>AND(#REF!,"AAAAAFer7zw=")</f>
        <v>#REF!</v>
      </c>
      <c r="BJ167" t="e">
        <f>AND(#REF!,"AAAAAFer7z0=")</f>
        <v>#REF!</v>
      </c>
      <c r="BK167" t="e">
        <f>AND(#REF!,"AAAAAFer7z4=")</f>
        <v>#REF!</v>
      </c>
      <c r="BL167" t="e">
        <f>AND(#REF!,"AAAAAFer7z8=")</f>
        <v>#REF!</v>
      </c>
      <c r="BM167" t="e">
        <f>IF(#REF!,"AAAAAFer70A=",0)</f>
        <v>#REF!</v>
      </c>
      <c r="BN167" t="e">
        <f>AND(#REF!,"AAAAAFer70E=")</f>
        <v>#REF!</v>
      </c>
      <c r="BO167" t="e">
        <f>AND(#REF!,"AAAAAFer70I=")</f>
        <v>#REF!</v>
      </c>
      <c r="BP167" t="e">
        <f>AND(#REF!,"AAAAAFer70M=")</f>
        <v>#REF!</v>
      </c>
      <c r="BQ167" t="e">
        <f>AND(#REF!,"AAAAAFer70Q=")</f>
        <v>#REF!</v>
      </c>
      <c r="BR167" t="e">
        <f>AND(#REF!,"AAAAAFer70U=")</f>
        <v>#REF!</v>
      </c>
      <c r="BS167" t="e">
        <f>AND(#REF!,"AAAAAFer70Y=")</f>
        <v>#REF!</v>
      </c>
      <c r="BT167" t="e">
        <f>AND(#REF!,"AAAAAFer70c=")</f>
        <v>#REF!</v>
      </c>
      <c r="BU167" t="e">
        <f>AND(#REF!,"AAAAAFer70g=")</f>
        <v>#REF!</v>
      </c>
      <c r="BV167" t="e">
        <f>AND(#REF!,"AAAAAFer70k=")</f>
        <v>#REF!</v>
      </c>
      <c r="BW167" t="e">
        <f>AND(#REF!,"AAAAAFer70o=")</f>
        <v>#REF!</v>
      </c>
      <c r="BX167" t="e">
        <f>AND(#REF!,"AAAAAFer70s=")</f>
        <v>#REF!</v>
      </c>
      <c r="BY167" t="e">
        <f>AND(#REF!,"AAAAAFer70w=")</f>
        <v>#REF!</v>
      </c>
      <c r="BZ167" t="e">
        <f>AND(#REF!,"AAAAAFer700=")</f>
        <v>#REF!</v>
      </c>
      <c r="CA167" t="e">
        <f>AND(#REF!,"AAAAAFer704=")</f>
        <v>#REF!</v>
      </c>
      <c r="CB167" t="e">
        <f>AND(#REF!,"AAAAAFer708=")</f>
        <v>#REF!</v>
      </c>
      <c r="CC167" t="e">
        <f>AND(#REF!,"AAAAAFer71A=")</f>
        <v>#REF!</v>
      </c>
      <c r="CD167" t="e">
        <f>AND(#REF!,"AAAAAFer71E=")</f>
        <v>#REF!</v>
      </c>
      <c r="CE167" t="e">
        <f>AND(#REF!,"AAAAAFer71I=")</f>
        <v>#REF!</v>
      </c>
      <c r="CF167" t="e">
        <f>AND(#REF!,"AAAAAFer71M=")</f>
        <v>#REF!</v>
      </c>
      <c r="CG167" t="e">
        <f>AND(#REF!,"AAAAAFer71Q=")</f>
        <v>#REF!</v>
      </c>
      <c r="CH167" t="e">
        <f>AND(#REF!,"AAAAAFer71U=")</f>
        <v>#REF!</v>
      </c>
      <c r="CI167" t="e">
        <f>AND(#REF!,"AAAAAFer71Y=")</f>
        <v>#REF!</v>
      </c>
      <c r="CJ167" t="e">
        <f>AND(#REF!,"AAAAAFer71c=")</f>
        <v>#REF!</v>
      </c>
      <c r="CK167" t="e">
        <f>AND(#REF!,"AAAAAFer71g=")</f>
        <v>#REF!</v>
      </c>
      <c r="CL167" t="e">
        <f>IF(#REF!,"AAAAAFer71k=",0)</f>
        <v>#REF!</v>
      </c>
      <c r="CM167" t="e">
        <f>AND(#REF!,"AAAAAFer71o=")</f>
        <v>#REF!</v>
      </c>
      <c r="CN167" t="e">
        <f>AND(#REF!,"AAAAAFer71s=")</f>
        <v>#REF!</v>
      </c>
      <c r="CO167" t="e">
        <f>AND(#REF!,"AAAAAFer71w=")</f>
        <v>#REF!</v>
      </c>
      <c r="CP167" t="e">
        <f>AND(#REF!,"AAAAAFer710=")</f>
        <v>#REF!</v>
      </c>
      <c r="CQ167" t="e">
        <f>AND(#REF!,"AAAAAFer714=")</f>
        <v>#REF!</v>
      </c>
      <c r="CR167" t="e">
        <f>AND(#REF!,"AAAAAFer718=")</f>
        <v>#REF!</v>
      </c>
      <c r="CS167" t="e">
        <f>AND(#REF!,"AAAAAFer72A=")</f>
        <v>#REF!</v>
      </c>
      <c r="CT167" t="e">
        <f>AND(#REF!,"AAAAAFer72E=")</f>
        <v>#REF!</v>
      </c>
      <c r="CU167" t="e">
        <f>AND(#REF!,"AAAAAFer72I=")</f>
        <v>#REF!</v>
      </c>
      <c r="CV167" t="e">
        <f>AND(#REF!,"AAAAAFer72M=")</f>
        <v>#REF!</v>
      </c>
      <c r="CW167" t="e">
        <f>AND(#REF!,"AAAAAFer72Q=")</f>
        <v>#REF!</v>
      </c>
      <c r="CX167" t="e">
        <f>AND(#REF!,"AAAAAFer72U=")</f>
        <v>#REF!</v>
      </c>
      <c r="CY167" t="e">
        <f>AND(#REF!,"AAAAAFer72Y=")</f>
        <v>#REF!</v>
      </c>
      <c r="CZ167" t="e">
        <f>AND(#REF!,"AAAAAFer72c=")</f>
        <v>#REF!</v>
      </c>
      <c r="DA167" t="e">
        <f>AND(#REF!,"AAAAAFer72g=")</f>
        <v>#REF!</v>
      </c>
      <c r="DB167" t="e">
        <f>AND(#REF!,"AAAAAFer72k=")</f>
        <v>#REF!</v>
      </c>
      <c r="DC167" t="e">
        <f>AND(#REF!,"AAAAAFer72o=")</f>
        <v>#REF!</v>
      </c>
      <c r="DD167" t="e">
        <f>AND(#REF!,"AAAAAFer72s=")</f>
        <v>#REF!</v>
      </c>
      <c r="DE167" t="e">
        <f>AND(#REF!,"AAAAAFer72w=")</f>
        <v>#REF!</v>
      </c>
      <c r="DF167" t="e">
        <f>AND(#REF!,"AAAAAFer720=")</f>
        <v>#REF!</v>
      </c>
      <c r="DG167" t="e">
        <f>AND(#REF!,"AAAAAFer724=")</f>
        <v>#REF!</v>
      </c>
      <c r="DH167" t="e">
        <f>AND(#REF!,"AAAAAFer728=")</f>
        <v>#REF!</v>
      </c>
      <c r="DI167" t="e">
        <f>AND(#REF!,"AAAAAFer73A=")</f>
        <v>#REF!</v>
      </c>
      <c r="DJ167" t="e">
        <f>AND(#REF!,"AAAAAFer73E=")</f>
        <v>#REF!</v>
      </c>
      <c r="DK167" t="e">
        <f>IF(#REF!,"AAAAAFer73I=",0)</f>
        <v>#REF!</v>
      </c>
      <c r="DL167" t="e">
        <f>AND(#REF!,"AAAAAFer73M=")</f>
        <v>#REF!</v>
      </c>
      <c r="DM167" t="e">
        <f>AND(#REF!,"AAAAAFer73Q=")</f>
        <v>#REF!</v>
      </c>
      <c r="DN167" t="e">
        <f>AND(#REF!,"AAAAAFer73U=")</f>
        <v>#REF!</v>
      </c>
      <c r="DO167" t="e">
        <f>AND(#REF!,"AAAAAFer73Y=")</f>
        <v>#REF!</v>
      </c>
      <c r="DP167" t="e">
        <f>AND(#REF!,"AAAAAFer73c=")</f>
        <v>#REF!</v>
      </c>
      <c r="DQ167" t="e">
        <f>AND(#REF!,"AAAAAFer73g=")</f>
        <v>#REF!</v>
      </c>
      <c r="DR167" t="e">
        <f>AND(#REF!,"AAAAAFer73k=")</f>
        <v>#REF!</v>
      </c>
      <c r="DS167" t="e">
        <f>AND(#REF!,"AAAAAFer73o=")</f>
        <v>#REF!</v>
      </c>
      <c r="DT167" t="e">
        <f>AND(#REF!,"AAAAAFer73s=")</f>
        <v>#REF!</v>
      </c>
      <c r="DU167" t="e">
        <f>AND(#REF!,"AAAAAFer73w=")</f>
        <v>#REF!</v>
      </c>
      <c r="DV167" t="e">
        <f>AND(#REF!,"AAAAAFer730=")</f>
        <v>#REF!</v>
      </c>
      <c r="DW167" t="e">
        <f>AND(#REF!,"AAAAAFer734=")</f>
        <v>#REF!</v>
      </c>
      <c r="DX167" t="e">
        <f>AND(#REF!,"AAAAAFer738=")</f>
        <v>#REF!</v>
      </c>
      <c r="DY167" t="e">
        <f>AND(#REF!,"AAAAAFer74A=")</f>
        <v>#REF!</v>
      </c>
      <c r="DZ167" t="e">
        <f>AND(#REF!,"AAAAAFer74E=")</f>
        <v>#REF!</v>
      </c>
      <c r="EA167" t="e">
        <f>AND(#REF!,"AAAAAFer74I=")</f>
        <v>#REF!</v>
      </c>
      <c r="EB167" t="e">
        <f>AND(#REF!,"AAAAAFer74M=")</f>
        <v>#REF!</v>
      </c>
      <c r="EC167" t="e">
        <f>AND(#REF!,"AAAAAFer74Q=")</f>
        <v>#REF!</v>
      </c>
      <c r="ED167" t="e">
        <f>AND(#REF!,"AAAAAFer74U=")</f>
        <v>#REF!</v>
      </c>
      <c r="EE167" t="e">
        <f>AND(#REF!,"AAAAAFer74Y=")</f>
        <v>#REF!</v>
      </c>
      <c r="EF167" t="e">
        <f>AND(#REF!,"AAAAAFer74c=")</f>
        <v>#REF!</v>
      </c>
      <c r="EG167" t="e">
        <f>AND(#REF!,"AAAAAFer74g=")</f>
        <v>#REF!</v>
      </c>
      <c r="EH167" t="e">
        <f>AND(#REF!,"AAAAAFer74k=")</f>
        <v>#REF!</v>
      </c>
      <c r="EI167" t="e">
        <f>AND(#REF!,"AAAAAFer74o=")</f>
        <v>#REF!</v>
      </c>
      <c r="EJ167" t="e">
        <f>IF(#REF!,"AAAAAFer74s=",0)</f>
        <v>#REF!</v>
      </c>
      <c r="EK167" t="e">
        <f>AND(#REF!,"AAAAAFer74w=")</f>
        <v>#REF!</v>
      </c>
      <c r="EL167" t="e">
        <f>AND(#REF!,"AAAAAFer740=")</f>
        <v>#REF!</v>
      </c>
      <c r="EM167" t="e">
        <f>AND(#REF!,"AAAAAFer744=")</f>
        <v>#REF!</v>
      </c>
      <c r="EN167" t="e">
        <f>AND(#REF!,"AAAAAFer748=")</f>
        <v>#REF!</v>
      </c>
      <c r="EO167" t="e">
        <f>AND(#REF!,"AAAAAFer75A=")</f>
        <v>#REF!</v>
      </c>
      <c r="EP167" t="e">
        <f>AND(#REF!,"AAAAAFer75E=")</f>
        <v>#REF!</v>
      </c>
      <c r="EQ167" t="e">
        <f>AND(#REF!,"AAAAAFer75I=")</f>
        <v>#REF!</v>
      </c>
      <c r="ER167" t="e">
        <f>AND(#REF!,"AAAAAFer75M=")</f>
        <v>#REF!</v>
      </c>
      <c r="ES167" t="e">
        <f>AND(#REF!,"AAAAAFer75Q=")</f>
        <v>#REF!</v>
      </c>
      <c r="ET167" t="e">
        <f>AND(#REF!,"AAAAAFer75U=")</f>
        <v>#REF!</v>
      </c>
      <c r="EU167" t="e">
        <f>AND(#REF!,"AAAAAFer75Y=")</f>
        <v>#REF!</v>
      </c>
      <c r="EV167" t="e">
        <f>AND(#REF!,"AAAAAFer75c=")</f>
        <v>#REF!</v>
      </c>
      <c r="EW167" t="e">
        <f>AND(#REF!,"AAAAAFer75g=")</f>
        <v>#REF!</v>
      </c>
      <c r="EX167" t="e">
        <f>AND(#REF!,"AAAAAFer75k=")</f>
        <v>#REF!</v>
      </c>
      <c r="EY167" t="e">
        <f>AND(#REF!,"AAAAAFer75o=")</f>
        <v>#REF!</v>
      </c>
      <c r="EZ167" t="e">
        <f>AND(#REF!,"AAAAAFer75s=")</f>
        <v>#REF!</v>
      </c>
      <c r="FA167" t="e">
        <f>AND(#REF!,"AAAAAFer75w=")</f>
        <v>#REF!</v>
      </c>
      <c r="FB167" t="e">
        <f>AND(#REF!,"AAAAAFer750=")</f>
        <v>#REF!</v>
      </c>
      <c r="FC167" t="e">
        <f>AND(#REF!,"AAAAAFer754=")</f>
        <v>#REF!</v>
      </c>
      <c r="FD167" t="e">
        <f>AND(#REF!,"AAAAAFer758=")</f>
        <v>#REF!</v>
      </c>
      <c r="FE167" t="e">
        <f>AND(#REF!,"AAAAAFer76A=")</f>
        <v>#REF!</v>
      </c>
      <c r="FF167" t="e">
        <f>AND(#REF!,"AAAAAFer76E=")</f>
        <v>#REF!</v>
      </c>
      <c r="FG167" t="e">
        <f>AND(#REF!,"AAAAAFer76I=")</f>
        <v>#REF!</v>
      </c>
      <c r="FH167" t="e">
        <f>AND(#REF!,"AAAAAFer76M=")</f>
        <v>#REF!</v>
      </c>
      <c r="FI167" t="e">
        <f>IF(#REF!,"AAAAAFer76Q=",0)</f>
        <v>#REF!</v>
      </c>
      <c r="FJ167" t="e">
        <f>AND(#REF!,"AAAAAFer76U=")</f>
        <v>#REF!</v>
      </c>
      <c r="FK167" t="e">
        <f>AND(#REF!,"AAAAAFer76Y=")</f>
        <v>#REF!</v>
      </c>
      <c r="FL167" t="e">
        <f>AND(#REF!,"AAAAAFer76c=")</f>
        <v>#REF!</v>
      </c>
      <c r="FM167" t="e">
        <f>AND(#REF!,"AAAAAFer76g=")</f>
        <v>#REF!</v>
      </c>
      <c r="FN167" t="e">
        <f>AND(#REF!,"AAAAAFer76k=")</f>
        <v>#REF!</v>
      </c>
      <c r="FO167" t="e">
        <f>AND(#REF!,"AAAAAFer76o=")</f>
        <v>#REF!</v>
      </c>
      <c r="FP167" t="e">
        <f>AND(#REF!,"AAAAAFer76s=")</f>
        <v>#REF!</v>
      </c>
      <c r="FQ167" t="e">
        <f>AND(#REF!,"AAAAAFer76w=")</f>
        <v>#REF!</v>
      </c>
      <c r="FR167" t="e">
        <f>AND(#REF!,"AAAAAFer760=")</f>
        <v>#REF!</v>
      </c>
      <c r="FS167" t="e">
        <f>AND(#REF!,"AAAAAFer764=")</f>
        <v>#REF!</v>
      </c>
      <c r="FT167" t="e">
        <f>AND(#REF!,"AAAAAFer768=")</f>
        <v>#REF!</v>
      </c>
      <c r="FU167" t="e">
        <f>AND(#REF!,"AAAAAFer77A=")</f>
        <v>#REF!</v>
      </c>
      <c r="FV167" t="e">
        <f>AND(#REF!,"AAAAAFer77E=")</f>
        <v>#REF!</v>
      </c>
      <c r="FW167" t="e">
        <f>AND(#REF!,"AAAAAFer77I=")</f>
        <v>#REF!</v>
      </c>
      <c r="FX167" t="e">
        <f>AND(#REF!,"AAAAAFer77M=")</f>
        <v>#REF!</v>
      </c>
      <c r="FY167" t="e">
        <f>AND(#REF!,"AAAAAFer77Q=")</f>
        <v>#REF!</v>
      </c>
      <c r="FZ167" t="e">
        <f>AND(#REF!,"AAAAAFer77U=")</f>
        <v>#REF!</v>
      </c>
      <c r="GA167" t="e">
        <f>AND(#REF!,"AAAAAFer77Y=")</f>
        <v>#REF!</v>
      </c>
      <c r="GB167" t="e">
        <f>AND(#REF!,"AAAAAFer77c=")</f>
        <v>#REF!</v>
      </c>
      <c r="GC167" t="e">
        <f>AND(#REF!,"AAAAAFer77g=")</f>
        <v>#REF!</v>
      </c>
      <c r="GD167" t="e">
        <f>AND(#REF!,"AAAAAFer77k=")</f>
        <v>#REF!</v>
      </c>
      <c r="GE167" t="e">
        <f>AND(#REF!,"AAAAAFer77o=")</f>
        <v>#REF!</v>
      </c>
      <c r="GF167" t="e">
        <f>AND(#REF!,"AAAAAFer77s=")</f>
        <v>#REF!</v>
      </c>
      <c r="GG167" t="e">
        <f>AND(#REF!,"AAAAAFer77w=")</f>
        <v>#REF!</v>
      </c>
      <c r="GH167" t="e">
        <f>IF(#REF!,"AAAAAFer770=",0)</f>
        <v>#REF!</v>
      </c>
      <c r="GI167" t="e">
        <f>AND(#REF!,"AAAAAFer774=")</f>
        <v>#REF!</v>
      </c>
      <c r="GJ167" t="e">
        <f>AND(#REF!,"AAAAAFer778=")</f>
        <v>#REF!</v>
      </c>
      <c r="GK167" t="e">
        <f>AND(#REF!,"AAAAAFer78A=")</f>
        <v>#REF!</v>
      </c>
      <c r="GL167" t="e">
        <f>AND(#REF!,"AAAAAFer78E=")</f>
        <v>#REF!</v>
      </c>
      <c r="GM167" t="e">
        <f>AND(#REF!,"AAAAAFer78I=")</f>
        <v>#REF!</v>
      </c>
      <c r="GN167" t="e">
        <f>AND(#REF!,"AAAAAFer78M=")</f>
        <v>#REF!</v>
      </c>
      <c r="GO167" t="e">
        <f>AND(#REF!,"AAAAAFer78Q=")</f>
        <v>#REF!</v>
      </c>
      <c r="GP167" t="e">
        <f>AND(#REF!,"AAAAAFer78U=")</f>
        <v>#REF!</v>
      </c>
      <c r="GQ167" t="e">
        <f>AND(#REF!,"AAAAAFer78Y=")</f>
        <v>#REF!</v>
      </c>
      <c r="GR167" t="e">
        <f>AND(#REF!,"AAAAAFer78c=")</f>
        <v>#REF!</v>
      </c>
      <c r="GS167" t="e">
        <f>AND(#REF!,"AAAAAFer78g=")</f>
        <v>#REF!</v>
      </c>
      <c r="GT167" t="e">
        <f>AND(#REF!,"AAAAAFer78k=")</f>
        <v>#REF!</v>
      </c>
      <c r="GU167" t="e">
        <f>AND(#REF!,"AAAAAFer78o=")</f>
        <v>#REF!</v>
      </c>
      <c r="GV167" t="e">
        <f>AND(#REF!,"AAAAAFer78s=")</f>
        <v>#REF!</v>
      </c>
      <c r="GW167" t="e">
        <f>AND(#REF!,"AAAAAFer78w=")</f>
        <v>#REF!</v>
      </c>
      <c r="GX167" t="e">
        <f>AND(#REF!,"AAAAAFer780=")</f>
        <v>#REF!</v>
      </c>
      <c r="GY167" t="e">
        <f>AND(#REF!,"AAAAAFer784=")</f>
        <v>#REF!</v>
      </c>
      <c r="GZ167" t="e">
        <f>AND(#REF!,"AAAAAFer788=")</f>
        <v>#REF!</v>
      </c>
      <c r="HA167" t="e">
        <f>AND(#REF!,"AAAAAFer79A=")</f>
        <v>#REF!</v>
      </c>
      <c r="HB167" t="e">
        <f>AND(#REF!,"AAAAAFer79E=")</f>
        <v>#REF!</v>
      </c>
      <c r="HC167" t="e">
        <f>AND(#REF!,"AAAAAFer79I=")</f>
        <v>#REF!</v>
      </c>
      <c r="HD167" t="e">
        <f>AND(#REF!,"AAAAAFer79M=")</f>
        <v>#REF!</v>
      </c>
      <c r="HE167" t="e">
        <f>AND(#REF!,"AAAAAFer79Q=")</f>
        <v>#REF!</v>
      </c>
      <c r="HF167" t="e">
        <f>AND(#REF!,"AAAAAFer79U=")</f>
        <v>#REF!</v>
      </c>
      <c r="HG167" t="e">
        <f>IF(#REF!,"AAAAAFer79Y=",0)</f>
        <v>#REF!</v>
      </c>
      <c r="HH167" t="e">
        <f>AND(#REF!,"AAAAAFer79c=")</f>
        <v>#REF!</v>
      </c>
      <c r="HI167" t="e">
        <f>AND(#REF!,"AAAAAFer79g=")</f>
        <v>#REF!</v>
      </c>
      <c r="HJ167" t="e">
        <f>AND(#REF!,"AAAAAFer79k=")</f>
        <v>#REF!</v>
      </c>
      <c r="HK167" t="e">
        <f>AND(#REF!,"AAAAAFer79o=")</f>
        <v>#REF!</v>
      </c>
      <c r="HL167" t="e">
        <f>AND(#REF!,"AAAAAFer79s=")</f>
        <v>#REF!</v>
      </c>
      <c r="HM167" t="e">
        <f>AND(#REF!,"AAAAAFer79w=")</f>
        <v>#REF!</v>
      </c>
      <c r="HN167" t="e">
        <f>AND(#REF!,"AAAAAFer790=")</f>
        <v>#REF!</v>
      </c>
      <c r="HO167" t="e">
        <f>AND(#REF!,"AAAAAFer794=")</f>
        <v>#REF!</v>
      </c>
      <c r="HP167" t="e">
        <f>AND(#REF!,"AAAAAFer798=")</f>
        <v>#REF!</v>
      </c>
      <c r="HQ167" t="e">
        <f>AND(#REF!,"AAAAAFer7+A=")</f>
        <v>#REF!</v>
      </c>
      <c r="HR167" t="e">
        <f>AND(#REF!,"AAAAAFer7+E=")</f>
        <v>#REF!</v>
      </c>
      <c r="HS167" t="e">
        <f>AND(#REF!,"AAAAAFer7+I=")</f>
        <v>#REF!</v>
      </c>
      <c r="HT167" t="e">
        <f>AND(#REF!,"AAAAAFer7+M=")</f>
        <v>#REF!</v>
      </c>
      <c r="HU167" t="e">
        <f>AND(#REF!,"AAAAAFer7+Q=")</f>
        <v>#REF!</v>
      </c>
      <c r="HV167" t="e">
        <f>AND(#REF!,"AAAAAFer7+U=")</f>
        <v>#REF!</v>
      </c>
      <c r="HW167" t="e">
        <f>AND(#REF!,"AAAAAFer7+Y=")</f>
        <v>#REF!</v>
      </c>
      <c r="HX167" t="e">
        <f>AND(#REF!,"AAAAAFer7+c=")</f>
        <v>#REF!</v>
      </c>
      <c r="HY167" t="e">
        <f>AND(#REF!,"AAAAAFer7+g=")</f>
        <v>#REF!</v>
      </c>
      <c r="HZ167" t="e">
        <f>AND(#REF!,"AAAAAFer7+k=")</f>
        <v>#REF!</v>
      </c>
      <c r="IA167" t="e">
        <f>AND(#REF!,"AAAAAFer7+o=")</f>
        <v>#REF!</v>
      </c>
      <c r="IB167" t="e">
        <f>AND(#REF!,"AAAAAFer7+s=")</f>
        <v>#REF!</v>
      </c>
      <c r="IC167" t="e">
        <f>AND(#REF!,"AAAAAFer7+w=")</f>
        <v>#REF!</v>
      </c>
      <c r="ID167" t="e">
        <f>AND(#REF!,"AAAAAFer7+0=")</f>
        <v>#REF!</v>
      </c>
      <c r="IE167" t="e">
        <f>AND(#REF!,"AAAAAFer7+4=")</f>
        <v>#REF!</v>
      </c>
      <c r="IF167" t="e">
        <f>IF(#REF!,"AAAAAFer7+8=",0)</f>
        <v>#REF!</v>
      </c>
      <c r="IG167" t="e">
        <f>AND(#REF!,"AAAAAFer7/A=")</f>
        <v>#REF!</v>
      </c>
      <c r="IH167" t="e">
        <f>AND(#REF!,"AAAAAFer7/E=")</f>
        <v>#REF!</v>
      </c>
      <c r="II167" t="e">
        <f>AND(#REF!,"AAAAAFer7/I=")</f>
        <v>#REF!</v>
      </c>
      <c r="IJ167" t="e">
        <f>AND(#REF!,"AAAAAFer7/M=")</f>
        <v>#REF!</v>
      </c>
      <c r="IK167" t="e">
        <f>AND(#REF!,"AAAAAFer7/Q=")</f>
        <v>#REF!</v>
      </c>
      <c r="IL167" t="e">
        <f>AND(#REF!,"AAAAAFer7/U=")</f>
        <v>#REF!</v>
      </c>
      <c r="IM167" t="e">
        <f>AND(#REF!,"AAAAAFer7/Y=")</f>
        <v>#REF!</v>
      </c>
      <c r="IN167" t="e">
        <f>AND(#REF!,"AAAAAFer7/c=")</f>
        <v>#REF!</v>
      </c>
      <c r="IO167" t="e">
        <f>AND(#REF!,"AAAAAFer7/g=")</f>
        <v>#REF!</v>
      </c>
      <c r="IP167" t="e">
        <f>AND(#REF!,"AAAAAFer7/k=")</f>
        <v>#REF!</v>
      </c>
      <c r="IQ167" t="e">
        <f>AND(#REF!,"AAAAAFer7/o=")</f>
        <v>#REF!</v>
      </c>
      <c r="IR167" t="e">
        <f>AND(#REF!,"AAAAAFer7/s=")</f>
        <v>#REF!</v>
      </c>
      <c r="IS167" t="e">
        <f>AND(#REF!,"AAAAAFer7/w=")</f>
        <v>#REF!</v>
      </c>
      <c r="IT167" t="e">
        <f>AND(#REF!,"AAAAAFer7/0=")</f>
        <v>#REF!</v>
      </c>
      <c r="IU167" t="e">
        <f>AND(#REF!,"AAAAAFer7/4=")</f>
        <v>#REF!</v>
      </c>
      <c r="IV167" t="e">
        <f>AND(#REF!,"AAAAAFer7/8=")</f>
        <v>#REF!</v>
      </c>
    </row>
    <row r="168" spans="1:256">
      <c r="A168" t="e">
        <f>AND(#REF!,"AAAAADf93QA=")</f>
        <v>#REF!</v>
      </c>
      <c r="B168" t="e">
        <f>AND(#REF!,"AAAAADf93QE=")</f>
        <v>#REF!</v>
      </c>
      <c r="C168" t="e">
        <f>AND(#REF!,"AAAAADf93QI=")</f>
        <v>#REF!</v>
      </c>
      <c r="D168" t="e">
        <f>AND(#REF!,"AAAAADf93QM=")</f>
        <v>#REF!</v>
      </c>
      <c r="E168" t="e">
        <f>AND(#REF!,"AAAAADf93QQ=")</f>
        <v>#REF!</v>
      </c>
      <c r="F168" t="e">
        <f>AND(#REF!,"AAAAADf93QU=")</f>
        <v>#REF!</v>
      </c>
      <c r="G168" t="e">
        <f>AND(#REF!,"AAAAADf93QY=")</f>
        <v>#REF!</v>
      </c>
      <c r="H168" t="e">
        <f>AND(#REF!,"AAAAADf93Qc=")</f>
        <v>#REF!</v>
      </c>
      <c r="I168" t="e">
        <f>IF(#REF!,"AAAAADf93Qg=",0)</f>
        <v>#REF!</v>
      </c>
      <c r="J168" t="e">
        <f>AND(#REF!,"AAAAADf93Qk=")</f>
        <v>#REF!</v>
      </c>
      <c r="K168" t="e">
        <f>AND(#REF!,"AAAAADf93Qo=")</f>
        <v>#REF!</v>
      </c>
      <c r="L168" t="e">
        <f>AND(#REF!,"AAAAADf93Qs=")</f>
        <v>#REF!</v>
      </c>
      <c r="M168" t="e">
        <f>AND(#REF!,"AAAAADf93Qw=")</f>
        <v>#REF!</v>
      </c>
      <c r="N168" t="e">
        <f>AND(#REF!,"AAAAADf93Q0=")</f>
        <v>#REF!</v>
      </c>
      <c r="O168" t="e">
        <f>AND(#REF!,"AAAAADf93Q4=")</f>
        <v>#REF!</v>
      </c>
      <c r="P168" t="e">
        <f>AND(#REF!,"AAAAADf93Q8=")</f>
        <v>#REF!</v>
      </c>
      <c r="Q168" t="e">
        <f>AND(#REF!,"AAAAADf93RA=")</f>
        <v>#REF!</v>
      </c>
      <c r="R168" t="e">
        <f>AND(#REF!,"AAAAADf93RE=")</f>
        <v>#REF!</v>
      </c>
      <c r="S168" t="e">
        <f>AND(#REF!,"AAAAADf93RI=")</f>
        <v>#REF!</v>
      </c>
      <c r="T168" t="e">
        <f>AND(#REF!,"AAAAADf93RM=")</f>
        <v>#REF!</v>
      </c>
      <c r="U168" t="e">
        <f>AND(#REF!,"AAAAADf93RQ=")</f>
        <v>#REF!</v>
      </c>
      <c r="V168" t="e">
        <f>AND(#REF!,"AAAAADf93RU=")</f>
        <v>#REF!</v>
      </c>
      <c r="W168" t="e">
        <f>AND(#REF!,"AAAAADf93RY=")</f>
        <v>#REF!</v>
      </c>
      <c r="X168" t="e">
        <f>AND(#REF!,"AAAAADf93Rc=")</f>
        <v>#REF!</v>
      </c>
      <c r="Y168" t="e">
        <f>AND(#REF!,"AAAAADf93Rg=")</f>
        <v>#REF!</v>
      </c>
      <c r="Z168" t="e">
        <f>AND(#REF!,"AAAAADf93Rk=")</f>
        <v>#REF!</v>
      </c>
      <c r="AA168" t="e">
        <f>AND(#REF!,"AAAAADf93Ro=")</f>
        <v>#REF!</v>
      </c>
      <c r="AB168" t="e">
        <f>AND(#REF!,"AAAAADf93Rs=")</f>
        <v>#REF!</v>
      </c>
      <c r="AC168" t="e">
        <f>AND(#REF!,"AAAAADf93Rw=")</f>
        <v>#REF!</v>
      </c>
      <c r="AD168" t="e">
        <f>AND(#REF!,"AAAAADf93R0=")</f>
        <v>#REF!</v>
      </c>
      <c r="AE168" t="e">
        <f>AND(#REF!,"AAAAADf93R4=")</f>
        <v>#REF!</v>
      </c>
      <c r="AF168" t="e">
        <f>AND(#REF!,"AAAAADf93R8=")</f>
        <v>#REF!</v>
      </c>
      <c r="AG168" t="e">
        <f>AND(#REF!,"AAAAADf93SA=")</f>
        <v>#REF!</v>
      </c>
      <c r="AH168" t="e">
        <f>IF(#REF!,"AAAAADf93SE=",0)</f>
        <v>#REF!</v>
      </c>
      <c r="AI168" t="e">
        <f>AND(#REF!,"AAAAADf93SI=")</f>
        <v>#REF!</v>
      </c>
      <c r="AJ168" t="e">
        <f>AND(#REF!,"AAAAADf93SM=")</f>
        <v>#REF!</v>
      </c>
      <c r="AK168" t="e">
        <f>AND(#REF!,"AAAAADf93SQ=")</f>
        <v>#REF!</v>
      </c>
      <c r="AL168" t="e">
        <f>AND(#REF!,"AAAAADf93SU=")</f>
        <v>#REF!</v>
      </c>
      <c r="AM168" t="e">
        <f>AND(#REF!,"AAAAADf93SY=")</f>
        <v>#REF!</v>
      </c>
      <c r="AN168" t="e">
        <f>AND(#REF!,"AAAAADf93Sc=")</f>
        <v>#REF!</v>
      </c>
      <c r="AO168" t="e">
        <f>AND(#REF!,"AAAAADf93Sg=")</f>
        <v>#REF!</v>
      </c>
      <c r="AP168" t="e">
        <f>AND(#REF!,"AAAAADf93Sk=")</f>
        <v>#REF!</v>
      </c>
      <c r="AQ168" t="e">
        <f>AND(#REF!,"AAAAADf93So=")</f>
        <v>#REF!</v>
      </c>
      <c r="AR168" t="e">
        <f>AND(#REF!,"AAAAADf93Ss=")</f>
        <v>#REF!</v>
      </c>
      <c r="AS168" t="e">
        <f>AND(#REF!,"AAAAADf93Sw=")</f>
        <v>#REF!</v>
      </c>
      <c r="AT168" t="e">
        <f>AND(#REF!,"AAAAADf93S0=")</f>
        <v>#REF!</v>
      </c>
      <c r="AU168" t="e">
        <f>AND(#REF!,"AAAAADf93S4=")</f>
        <v>#REF!</v>
      </c>
      <c r="AV168" t="e">
        <f>AND(#REF!,"AAAAADf93S8=")</f>
        <v>#REF!</v>
      </c>
      <c r="AW168" t="e">
        <f>AND(#REF!,"AAAAADf93TA=")</f>
        <v>#REF!</v>
      </c>
      <c r="AX168" t="e">
        <f>AND(#REF!,"AAAAADf93TE=")</f>
        <v>#REF!</v>
      </c>
      <c r="AY168" t="e">
        <f>AND(#REF!,"AAAAADf93TI=")</f>
        <v>#REF!</v>
      </c>
      <c r="AZ168" t="e">
        <f>AND(#REF!,"AAAAADf93TM=")</f>
        <v>#REF!</v>
      </c>
      <c r="BA168" t="e">
        <f>AND(#REF!,"AAAAADf93TQ=")</f>
        <v>#REF!</v>
      </c>
      <c r="BB168" t="e">
        <f>AND(#REF!,"AAAAADf93TU=")</f>
        <v>#REF!</v>
      </c>
      <c r="BC168" t="e">
        <f>AND(#REF!,"AAAAADf93TY=")</f>
        <v>#REF!</v>
      </c>
      <c r="BD168" t="e">
        <f>AND(#REF!,"AAAAADf93Tc=")</f>
        <v>#REF!</v>
      </c>
      <c r="BE168" t="e">
        <f>AND(#REF!,"AAAAADf93Tg=")</f>
        <v>#REF!</v>
      </c>
      <c r="BF168" t="e">
        <f>AND(#REF!,"AAAAADf93Tk=")</f>
        <v>#REF!</v>
      </c>
      <c r="BG168" t="e">
        <f>IF(#REF!,"AAAAADf93To=",0)</f>
        <v>#REF!</v>
      </c>
      <c r="BH168" t="e">
        <f>AND(#REF!,"AAAAADf93Ts=")</f>
        <v>#REF!</v>
      </c>
      <c r="BI168" t="e">
        <f>AND(#REF!,"AAAAADf93Tw=")</f>
        <v>#REF!</v>
      </c>
      <c r="BJ168" t="e">
        <f>AND(#REF!,"AAAAADf93T0=")</f>
        <v>#REF!</v>
      </c>
      <c r="BK168" t="e">
        <f>AND(#REF!,"AAAAADf93T4=")</f>
        <v>#REF!</v>
      </c>
      <c r="BL168" t="e">
        <f>AND(#REF!,"AAAAADf93T8=")</f>
        <v>#REF!</v>
      </c>
      <c r="BM168" t="e">
        <f>AND(#REF!,"AAAAADf93UA=")</f>
        <v>#REF!</v>
      </c>
      <c r="BN168" t="e">
        <f>AND(#REF!,"AAAAADf93UE=")</f>
        <v>#REF!</v>
      </c>
      <c r="BO168" t="e">
        <f>AND(#REF!,"AAAAADf93UI=")</f>
        <v>#REF!</v>
      </c>
      <c r="BP168" t="e">
        <f>AND(#REF!,"AAAAADf93UM=")</f>
        <v>#REF!</v>
      </c>
      <c r="BQ168" t="e">
        <f>AND(#REF!,"AAAAADf93UQ=")</f>
        <v>#REF!</v>
      </c>
      <c r="BR168" t="e">
        <f>AND(#REF!,"AAAAADf93UU=")</f>
        <v>#REF!</v>
      </c>
      <c r="BS168" t="e">
        <f>AND(#REF!,"AAAAADf93UY=")</f>
        <v>#REF!</v>
      </c>
      <c r="BT168" t="e">
        <f>AND(#REF!,"AAAAADf93Uc=")</f>
        <v>#REF!</v>
      </c>
      <c r="BU168" t="e">
        <f>AND(#REF!,"AAAAADf93Ug=")</f>
        <v>#REF!</v>
      </c>
      <c r="BV168" t="e">
        <f>AND(#REF!,"AAAAADf93Uk=")</f>
        <v>#REF!</v>
      </c>
      <c r="BW168" t="e">
        <f>AND(#REF!,"AAAAADf93Uo=")</f>
        <v>#REF!</v>
      </c>
      <c r="BX168" t="e">
        <f>AND(#REF!,"AAAAADf93Us=")</f>
        <v>#REF!</v>
      </c>
      <c r="BY168" t="e">
        <f>AND(#REF!,"AAAAADf93Uw=")</f>
        <v>#REF!</v>
      </c>
      <c r="BZ168" t="e">
        <f>AND(#REF!,"AAAAADf93U0=")</f>
        <v>#REF!</v>
      </c>
      <c r="CA168" t="e">
        <f>AND(#REF!,"AAAAADf93U4=")</f>
        <v>#REF!</v>
      </c>
      <c r="CB168" t="e">
        <f>AND(#REF!,"AAAAADf93U8=")</f>
        <v>#REF!</v>
      </c>
      <c r="CC168" t="e">
        <f>AND(#REF!,"AAAAADf93VA=")</f>
        <v>#REF!</v>
      </c>
      <c r="CD168" t="e">
        <f>AND(#REF!,"AAAAADf93VE=")</f>
        <v>#REF!</v>
      </c>
      <c r="CE168" t="e">
        <f>AND(#REF!,"AAAAADf93VI=")</f>
        <v>#REF!</v>
      </c>
      <c r="CF168" t="e">
        <f>IF(#REF!,"AAAAADf93VM=",0)</f>
        <v>#REF!</v>
      </c>
      <c r="CG168" t="e">
        <f>AND(#REF!,"AAAAADf93VQ=")</f>
        <v>#REF!</v>
      </c>
      <c r="CH168" t="e">
        <f>AND(#REF!,"AAAAADf93VU=")</f>
        <v>#REF!</v>
      </c>
      <c r="CI168" t="e">
        <f>AND(#REF!,"AAAAADf93VY=")</f>
        <v>#REF!</v>
      </c>
      <c r="CJ168" t="e">
        <f>AND(#REF!,"AAAAADf93Vc=")</f>
        <v>#REF!</v>
      </c>
      <c r="CK168" t="e">
        <f>AND(#REF!,"AAAAADf93Vg=")</f>
        <v>#REF!</v>
      </c>
      <c r="CL168" t="e">
        <f>AND(#REF!,"AAAAADf93Vk=")</f>
        <v>#REF!</v>
      </c>
      <c r="CM168" t="e">
        <f>AND(#REF!,"AAAAADf93Vo=")</f>
        <v>#REF!</v>
      </c>
      <c r="CN168" t="e">
        <f>AND(#REF!,"AAAAADf93Vs=")</f>
        <v>#REF!</v>
      </c>
      <c r="CO168" t="e">
        <f>AND(#REF!,"AAAAADf93Vw=")</f>
        <v>#REF!</v>
      </c>
      <c r="CP168" t="e">
        <f>AND(#REF!,"AAAAADf93V0=")</f>
        <v>#REF!</v>
      </c>
      <c r="CQ168" t="e">
        <f>AND(#REF!,"AAAAADf93V4=")</f>
        <v>#REF!</v>
      </c>
      <c r="CR168" t="e">
        <f>AND(#REF!,"AAAAADf93V8=")</f>
        <v>#REF!</v>
      </c>
      <c r="CS168" t="e">
        <f>AND(#REF!,"AAAAADf93WA=")</f>
        <v>#REF!</v>
      </c>
      <c r="CT168" t="e">
        <f>AND(#REF!,"AAAAADf93WE=")</f>
        <v>#REF!</v>
      </c>
      <c r="CU168" t="e">
        <f>AND(#REF!,"AAAAADf93WI=")</f>
        <v>#REF!</v>
      </c>
      <c r="CV168" t="e">
        <f>AND(#REF!,"AAAAADf93WM=")</f>
        <v>#REF!</v>
      </c>
      <c r="CW168" t="e">
        <f>AND(#REF!,"AAAAADf93WQ=")</f>
        <v>#REF!</v>
      </c>
      <c r="CX168" t="e">
        <f>AND(#REF!,"AAAAADf93WU=")</f>
        <v>#REF!</v>
      </c>
      <c r="CY168" t="e">
        <f>AND(#REF!,"AAAAADf93WY=")</f>
        <v>#REF!</v>
      </c>
      <c r="CZ168" t="e">
        <f>AND(#REF!,"AAAAADf93Wc=")</f>
        <v>#REF!</v>
      </c>
      <c r="DA168" t="e">
        <f>AND(#REF!,"AAAAADf93Wg=")</f>
        <v>#REF!</v>
      </c>
      <c r="DB168" t="e">
        <f>AND(#REF!,"AAAAADf93Wk=")</f>
        <v>#REF!</v>
      </c>
      <c r="DC168" t="e">
        <f>AND(#REF!,"AAAAADf93Wo=")</f>
        <v>#REF!</v>
      </c>
      <c r="DD168" t="e">
        <f>AND(#REF!,"AAAAADf93Ws=")</f>
        <v>#REF!</v>
      </c>
      <c r="DE168" t="e">
        <f>IF(#REF!,"AAAAADf93Ww=",0)</f>
        <v>#REF!</v>
      </c>
      <c r="DF168" t="e">
        <f>AND(#REF!,"AAAAADf93W0=")</f>
        <v>#REF!</v>
      </c>
      <c r="DG168" t="e">
        <f>AND(#REF!,"AAAAADf93W4=")</f>
        <v>#REF!</v>
      </c>
      <c r="DH168" t="e">
        <f>AND(#REF!,"AAAAADf93W8=")</f>
        <v>#REF!</v>
      </c>
      <c r="DI168" t="e">
        <f>AND(#REF!,"AAAAADf93XA=")</f>
        <v>#REF!</v>
      </c>
      <c r="DJ168" t="e">
        <f>AND(#REF!,"AAAAADf93XE=")</f>
        <v>#REF!</v>
      </c>
      <c r="DK168" t="e">
        <f>AND(#REF!,"AAAAADf93XI=")</f>
        <v>#REF!</v>
      </c>
      <c r="DL168" t="e">
        <f>AND(#REF!,"AAAAADf93XM=")</f>
        <v>#REF!</v>
      </c>
      <c r="DM168" t="e">
        <f>AND(#REF!,"AAAAADf93XQ=")</f>
        <v>#REF!</v>
      </c>
      <c r="DN168" t="e">
        <f>AND(#REF!,"AAAAADf93XU=")</f>
        <v>#REF!</v>
      </c>
      <c r="DO168" t="e">
        <f>AND(#REF!,"AAAAADf93XY=")</f>
        <v>#REF!</v>
      </c>
      <c r="DP168" t="e">
        <f>AND(#REF!,"AAAAADf93Xc=")</f>
        <v>#REF!</v>
      </c>
      <c r="DQ168" t="e">
        <f>AND(#REF!,"AAAAADf93Xg=")</f>
        <v>#REF!</v>
      </c>
      <c r="DR168" t="e">
        <f>AND(#REF!,"AAAAADf93Xk=")</f>
        <v>#REF!</v>
      </c>
      <c r="DS168" t="e">
        <f>AND(#REF!,"AAAAADf93Xo=")</f>
        <v>#REF!</v>
      </c>
      <c r="DT168" t="e">
        <f>AND(#REF!,"AAAAADf93Xs=")</f>
        <v>#REF!</v>
      </c>
      <c r="DU168" t="e">
        <f>AND(#REF!,"AAAAADf93Xw=")</f>
        <v>#REF!</v>
      </c>
      <c r="DV168" t="e">
        <f>AND(#REF!,"AAAAADf93X0=")</f>
        <v>#REF!</v>
      </c>
      <c r="DW168" t="e">
        <f>AND(#REF!,"AAAAADf93X4=")</f>
        <v>#REF!</v>
      </c>
      <c r="DX168" t="e">
        <f>AND(#REF!,"AAAAADf93X8=")</f>
        <v>#REF!</v>
      </c>
      <c r="DY168" t="e">
        <f>AND(#REF!,"AAAAADf93YA=")</f>
        <v>#REF!</v>
      </c>
      <c r="DZ168" t="e">
        <f>AND(#REF!,"AAAAADf93YE=")</f>
        <v>#REF!</v>
      </c>
      <c r="EA168" t="e">
        <f>AND(#REF!,"AAAAADf93YI=")</f>
        <v>#REF!</v>
      </c>
      <c r="EB168" t="e">
        <f>AND(#REF!,"AAAAADf93YM=")</f>
        <v>#REF!</v>
      </c>
      <c r="EC168" t="e">
        <f>AND(#REF!,"AAAAADf93YQ=")</f>
        <v>#REF!</v>
      </c>
      <c r="ED168" t="e">
        <f>IF(#REF!,"AAAAADf93YU=",0)</f>
        <v>#REF!</v>
      </c>
      <c r="EE168" t="e">
        <f>AND(#REF!,"AAAAADf93YY=")</f>
        <v>#REF!</v>
      </c>
      <c r="EF168" t="e">
        <f>AND(#REF!,"AAAAADf93Yc=")</f>
        <v>#REF!</v>
      </c>
      <c r="EG168" t="e">
        <f>AND(#REF!,"AAAAADf93Yg=")</f>
        <v>#REF!</v>
      </c>
      <c r="EH168" t="e">
        <f>AND(#REF!,"AAAAADf93Yk=")</f>
        <v>#REF!</v>
      </c>
      <c r="EI168" t="e">
        <f>AND(#REF!,"AAAAADf93Yo=")</f>
        <v>#REF!</v>
      </c>
      <c r="EJ168" t="e">
        <f>AND(#REF!,"AAAAADf93Ys=")</f>
        <v>#REF!</v>
      </c>
      <c r="EK168" t="e">
        <f>AND(#REF!,"AAAAADf93Yw=")</f>
        <v>#REF!</v>
      </c>
      <c r="EL168" t="e">
        <f>AND(#REF!,"AAAAADf93Y0=")</f>
        <v>#REF!</v>
      </c>
      <c r="EM168" t="e">
        <f>AND(#REF!,"AAAAADf93Y4=")</f>
        <v>#REF!</v>
      </c>
      <c r="EN168" t="e">
        <f>AND(#REF!,"AAAAADf93Y8=")</f>
        <v>#REF!</v>
      </c>
      <c r="EO168" t="e">
        <f>AND(#REF!,"AAAAADf93ZA=")</f>
        <v>#REF!</v>
      </c>
      <c r="EP168" t="e">
        <f>AND(#REF!,"AAAAADf93ZE=")</f>
        <v>#REF!</v>
      </c>
      <c r="EQ168" t="e">
        <f>AND(#REF!,"AAAAADf93ZI=")</f>
        <v>#REF!</v>
      </c>
      <c r="ER168" t="e">
        <f>AND(#REF!,"AAAAADf93ZM=")</f>
        <v>#REF!</v>
      </c>
      <c r="ES168" t="e">
        <f>AND(#REF!,"AAAAADf93ZQ=")</f>
        <v>#REF!</v>
      </c>
      <c r="ET168" t="e">
        <f>AND(#REF!,"AAAAADf93ZU=")</f>
        <v>#REF!</v>
      </c>
      <c r="EU168" t="e">
        <f>AND(#REF!,"AAAAADf93ZY=")</f>
        <v>#REF!</v>
      </c>
      <c r="EV168" t="e">
        <f>AND(#REF!,"AAAAADf93Zc=")</f>
        <v>#REF!</v>
      </c>
      <c r="EW168" t="e">
        <f>AND(#REF!,"AAAAADf93Zg=")</f>
        <v>#REF!</v>
      </c>
      <c r="EX168" t="e">
        <f>AND(#REF!,"AAAAADf93Zk=")</f>
        <v>#REF!</v>
      </c>
      <c r="EY168" t="e">
        <f>AND(#REF!,"AAAAADf93Zo=")</f>
        <v>#REF!</v>
      </c>
      <c r="EZ168" t="e">
        <f>AND(#REF!,"AAAAADf93Zs=")</f>
        <v>#REF!</v>
      </c>
      <c r="FA168" t="e">
        <f>AND(#REF!,"AAAAADf93Zw=")</f>
        <v>#REF!</v>
      </c>
      <c r="FB168" t="e">
        <f>AND(#REF!,"AAAAADf93Z0=")</f>
        <v>#REF!</v>
      </c>
      <c r="FC168" t="e">
        <f>IF(#REF!,"AAAAADf93Z4=",0)</f>
        <v>#REF!</v>
      </c>
      <c r="FD168" t="e">
        <f>AND(#REF!,"AAAAADf93Z8=")</f>
        <v>#REF!</v>
      </c>
      <c r="FE168" t="e">
        <f>AND(#REF!,"AAAAADf93aA=")</f>
        <v>#REF!</v>
      </c>
      <c r="FF168" t="e">
        <f>AND(#REF!,"AAAAADf93aE=")</f>
        <v>#REF!</v>
      </c>
      <c r="FG168" t="e">
        <f>AND(#REF!,"AAAAADf93aI=")</f>
        <v>#REF!</v>
      </c>
      <c r="FH168" t="e">
        <f>AND(#REF!,"AAAAADf93aM=")</f>
        <v>#REF!</v>
      </c>
      <c r="FI168" t="e">
        <f>AND(#REF!,"AAAAADf93aQ=")</f>
        <v>#REF!</v>
      </c>
      <c r="FJ168" t="e">
        <f>AND(#REF!,"AAAAADf93aU=")</f>
        <v>#REF!</v>
      </c>
      <c r="FK168" t="e">
        <f>AND(#REF!,"AAAAADf93aY=")</f>
        <v>#REF!</v>
      </c>
      <c r="FL168" t="e">
        <f>AND(#REF!,"AAAAADf93ac=")</f>
        <v>#REF!</v>
      </c>
      <c r="FM168" t="e">
        <f>AND(#REF!,"AAAAADf93ag=")</f>
        <v>#REF!</v>
      </c>
      <c r="FN168" t="e">
        <f>AND(#REF!,"AAAAADf93ak=")</f>
        <v>#REF!</v>
      </c>
      <c r="FO168" t="e">
        <f>AND(#REF!,"AAAAADf93ao=")</f>
        <v>#REF!</v>
      </c>
      <c r="FP168" t="e">
        <f>AND(#REF!,"AAAAADf93as=")</f>
        <v>#REF!</v>
      </c>
      <c r="FQ168" t="e">
        <f>AND(#REF!,"AAAAADf93aw=")</f>
        <v>#REF!</v>
      </c>
      <c r="FR168" t="e">
        <f>AND(#REF!,"AAAAADf93a0=")</f>
        <v>#REF!</v>
      </c>
      <c r="FS168" t="e">
        <f>AND(#REF!,"AAAAADf93a4=")</f>
        <v>#REF!</v>
      </c>
      <c r="FT168" t="e">
        <f>AND(#REF!,"AAAAADf93a8=")</f>
        <v>#REF!</v>
      </c>
      <c r="FU168" t="e">
        <f>AND(#REF!,"AAAAADf93bA=")</f>
        <v>#REF!</v>
      </c>
      <c r="FV168" t="e">
        <f>AND(#REF!,"AAAAADf93bE=")</f>
        <v>#REF!</v>
      </c>
      <c r="FW168" t="e">
        <f>AND(#REF!,"AAAAADf93bI=")</f>
        <v>#REF!</v>
      </c>
      <c r="FX168" t="e">
        <f>AND(#REF!,"AAAAADf93bM=")</f>
        <v>#REF!</v>
      </c>
      <c r="FY168" t="e">
        <f>AND(#REF!,"AAAAADf93bQ=")</f>
        <v>#REF!</v>
      </c>
      <c r="FZ168" t="e">
        <f>AND(#REF!,"AAAAADf93bU=")</f>
        <v>#REF!</v>
      </c>
      <c r="GA168" t="e">
        <f>AND(#REF!,"AAAAADf93bY=")</f>
        <v>#REF!</v>
      </c>
      <c r="GB168" t="e">
        <f>IF(#REF!,"AAAAADf93bc=",0)</f>
        <v>#REF!</v>
      </c>
      <c r="GC168" t="e">
        <f>AND(#REF!,"AAAAADf93bg=")</f>
        <v>#REF!</v>
      </c>
      <c r="GD168" t="e">
        <f>AND(#REF!,"AAAAADf93bk=")</f>
        <v>#REF!</v>
      </c>
      <c r="GE168" t="e">
        <f>AND(#REF!,"AAAAADf93bo=")</f>
        <v>#REF!</v>
      </c>
      <c r="GF168" t="e">
        <f>AND(#REF!,"AAAAADf93bs=")</f>
        <v>#REF!</v>
      </c>
      <c r="GG168" t="e">
        <f>AND(#REF!,"AAAAADf93bw=")</f>
        <v>#REF!</v>
      </c>
      <c r="GH168" t="e">
        <f>AND(#REF!,"AAAAADf93b0=")</f>
        <v>#REF!</v>
      </c>
      <c r="GI168" t="e">
        <f>AND(#REF!,"AAAAADf93b4=")</f>
        <v>#REF!</v>
      </c>
      <c r="GJ168" t="e">
        <f>AND(#REF!,"AAAAADf93b8=")</f>
        <v>#REF!</v>
      </c>
      <c r="GK168" t="e">
        <f>AND(#REF!,"AAAAADf93cA=")</f>
        <v>#REF!</v>
      </c>
      <c r="GL168" t="e">
        <f>AND(#REF!,"AAAAADf93cE=")</f>
        <v>#REF!</v>
      </c>
      <c r="GM168" t="e">
        <f>AND(#REF!,"AAAAADf93cI=")</f>
        <v>#REF!</v>
      </c>
      <c r="GN168" t="e">
        <f>AND(#REF!,"AAAAADf93cM=")</f>
        <v>#REF!</v>
      </c>
      <c r="GO168" t="e">
        <f>AND(#REF!,"AAAAADf93cQ=")</f>
        <v>#REF!</v>
      </c>
      <c r="GP168" t="e">
        <f>AND(#REF!,"AAAAADf93cU=")</f>
        <v>#REF!</v>
      </c>
      <c r="GQ168" t="e">
        <f>AND(#REF!,"AAAAADf93cY=")</f>
        <v>#REF!</v>
      </c>
      <c r="GR168" t="e">
        <f>AND(#REF!,"AAAAADf93cc=")</f>
        <v>#REF!</v>
      </c>
      <c r="GS168" t="e">
        <f>AND(#REF!,"AAAAADf93cg=")</f>
        <v>#REF!</v>
      </c>
      <c r="GT168" t="e">
        <f>AND(#REF!,"AAAAADf93ck=")</f>
        <v>#REF!</v>
      </c>
      <c r="GU168" t="e">
        <f>AND(#REF!,"AAAAADf93co=")</f>
        <v>#REF!</v>
      </c>
      <c r="GV168" t="e">
        <f>AND(#REF!,"AAAAADf93cs=")</f>
        <v>#REF!</v>
      </c>
      <c r="GW168" t="e">
        <f>AND(#REF!,"AAAAADf93cw=")</f>
        <v>#REF!</v>
      </c>
      <c r="GX168" t="e">
        <f>AND(#REF!,"AAAAADf93c0=")</f>
        <v>#REF!</v>
      </c>
      <c r="GY168" t="e">
        <f>AND(#REF!,"AAAAADf93c4=")</f>
        <v>#REF!</v>
      </c>
      <c r="GZ168" t="e">
        <f>AND(#REF!,"AAAAADf93c8=")</f>
        <v>#REF!</v>
      </c>
      <c r="HA168" t="e">
        <f>IF(#REF!,"AAAAADf93dA=",0)</f>
        <v>#REF!</v>
      </c>
      <c r="HB168" t="e">
        <f>AND(#REF!,"AAAAADf93dE=")</f>
        <v>#REF!</v>
      </c>
      <c r="HC168" t="e">
        <f>AND(#REF!,"AAAAADf93dI=")</f>
        <v>#REF!</v>
      </c>
      <c r="HD168" t="e">
        <f>AND(#REF!,"AAAAADf93dM=")</f>
        <v>#REF!</v>
      </c>
      <c r="HE168" t="e">
        <f>AND(#REF!,"AAAAADf93dQ=")</f>
        <v>#REF!</v>
      </c>
      <c r="HF168" t="e">
        <f>AND(#REF!,"AAAAADf93dU=")</f>
        <v>#REF!</v>
      </c>
      <c r="HG168" t="e">
        <f>AND(#REF!,"AAAAADf93dY=")</f>
        <v>#REF!</v>
      </c>
      <c r="HH168" t="e">
        <f>AND(#REF!,"AAAAADf93dc=")</f>
        <v>#REF!</v>
      </c>
      <c r="HI168" t="e">
        <f>AND(#REF!,"AAAAADf93dg=")</f>
        <v>#REF!</v>
      </c>
      <c r="HJ168" t="e">
        <f>AND(#REF!,"AAAAADf93dk=")</f>
        <v>#REF!</v>
      </c>
      <c r="HK168" t="e">
        <f>AND(#REF!,"AAAAADf93do=")</f>
        <v>#REF!</v>
      </c>
      <c r="HL168" t="e">
        <f>AND(#REF!,"AAAAADf93ds=")</f>
        <v>#REF!</v>
      </c>
      <c r="HM168" t="e">
        <f>AND(#REF!,"AAAAADf93dw=")</f>
        <v>#REF!</v>
      </c>
      <c r="HN168" t="e">
        <f>AND(#REF!,"AAAAADf93d0=")</f>
        <v>#REF!</v>
      </c>
      <c r="HO168" t="e">
        <f>AND(#REF!,"AAAAADf93d4=")</f>
        <v>#REF!</v>
      </c>
      <c r="HP168" t="e">
        <f>AND(#REF!,"AAAAADf93d8=")</f>
        <v>#REF!</v>
      </c>
      <c r="HQ168" t="e">
        <f>AND(#REF!,"AAAAADf93eA=")</f>
        <v>#REF!</v>
      </c>
      <c r="HR168" t="e">
        <f>AND(#REF!,"AAAAADf93eE=")</f>
        <v>#REF!</v>
      </c>
      <c r="HS168" t="e">
        <f>AND(#REF!,"AAAAADf93eI=")</f>
        <v>#REF!</v>
      </c>
      <c r="HT168" t="e">
        <f>AND(#REF!,"AAAAADf93eM=")</f>
        <v>#REF!</v>
      </c>
      <c r="HU168" t="e">
        <f>AND(#REF!,"AAAAADf93eQ=")</f>
        <v>#REF!</v>
      </c>
      <c r="HV168" t="e">
        <f>AND(#REF!,"AAAAADf93eU=")</f>
        <v>#REF!</v>
      </c>
      <c r="HW168" t="e">
        <f>AND(#REF!,"AAAAADf93eY=")</f>
        <v>#REF!</v>
      </c>
      <c r="HX168" t="e">
        <f>AND(#REF!,"AAAAADf93ec=")</f>
        <v>#REF!</v>
      </c>
      <c r="HY168" t="e">
        <f>AND(#REF!,"AAAAADf93eg=")</f>
        <v>#REF!</v>
      </c>
      <c r="HZ168" t="e">
        <f>IF(#REF!,"AAAAADf93ek=",0)</f>
        <v>#REF!</v>
      </c>
      <c r="IA168" t="e">
        <f>AND(#REF!,"AAAAADf93eo=")</f>
        <v>#REF!</v>
      </c>
      <c r="IB168" t="e">
        <f>AND(#REF!,"AAAAADf93es=")</f>
        <v>#REF!</v>
      </c>
      <c r="IC168" t="e">
        <f>AND(#REF!,"AAAAADf93ew=")</f>
        <v>#REF!</v>
      </c>
      <c r="ID168" t="e">
        <f>AND(#REF!,"AAAAADf93e0=")</f>
        <v>#REF!</v>
      </c>
      <c r="IE168" t="e">
        <f>AND(#REF!,"AAAAADf93e4=")</f>
        <v>#REF!</v>
      </c>
      <c r="IF168" t="e">
        <f>AND(#REF!,"AAAAADf93e8=")</f>
        <v>#REF!</v>
      </c>
      <c r="IG168" t="e">
        <f>AND(#REF!,"AAAAADf93fA=")</f>
        <v>#REF!</v>
      </c>
      <c r="IH168" t="e">
        <f>AND(#REF!,"AAAAADf93fE=")</f>
        <v>#REF!</v>
      </c>
      <c r="II168" t="e">
        <f>AND(#REF!,"AAAAADf93fI=")</f>
        <v>#REF!</v>
      </c>
      <c r="IJ168" t="e">
        <f>AND(#REF!,"AAAAADf93fM=")</f>
        <v>#REF!</v>
      </c>
      <c r="IK168" t="e">
        <f>AND(#REF!,"AAAAADf93fQ=")</f>
        <v>#REF!</v>
      </c>
      <c r="IL168" t="e">
        <f>AND(#REF!,"AAAAADf93fU=")</f>
        <v>#REF!</v>
      </c>
      <c r="IM168" t="e">
        <f>AND(#REF!,"AAAAADf93fY=")</f>
        <v>#REF!</v>
      </c>
      <c r="IN168" t="e">
        <f>AND(#REF!,"AAAAADf93fc=")</f>
        <v>#REF!</v>
      </c>
      <c r="IO168" t="e">
        <f>AND(#REF!,"AAAAADf93fg=")</f>
        <v>#REF!</v>
      </c>
      <c r="IP168" t="e">
        <f>AND(#REF!,"AAAAADf93fk=")</f>
        <v>#REF!</v>
      </c>
      <c r="IQ168" t="e">
        <f>AND(#REF!,"AAAAADf93fo=")</f>
        <v>#REF!</v>
      </c>
      <c r="IR168" t="e">
        <f>AND(#REF!,"AAAAADf93fs=")</f>
        <v>#REF!</v>
      </c>
      <c r="IS168" t="e">
        <f>AND(#REF!,"AAAAADf93fw=")</f>
        <v>#REF!</v>
      </c>
      <c r="IT168" t="e">
        <f>AND(#REF!,"AAAAADf93f0=")</f>
        <v>#REF!</v>
      </c>
      <c r="IU168" t="e">
        <f>AND(#REF!,"AAAAADf93f4=")</f>
        <v>#REF!</v>
      </c>
      <c r="IV168" t="e">
        <f>AND(#REF!,"AAAAADf93f8=")</f>
        <v>#REF!</v>
      </c>
    </row>
    <row r="169" spans="1:256">
      <c r="A169" t="e">
        <f>AND(#REF!,"AAAAAD1v6wA=")</f>
        <v>#REF!</v>
      </c>
      <c r="B169" t="e">
        <f>AND(#REF!,"AAAAAD1v6wE=")</f>
        <v>#REF!</v>
      </c>
      <c r="C169" t="e">
        <f>IF(#REF!,"AAAAAD1v6wI=",0)</f>
        <v>#REF!</v>
      </c>
      <c r="D169" t="e">
        <f>AND(#REF!,"AAAAAD1v6wM=")</f>
        <v>#REF!</v>
      </c>
      <c r="E169" t="e">
        <f>AND(#REF!,"AAAAAD1v6wQ=")</f>
        <v>#REF!</v>
      </c>
      <c r="F169" t="e">
        <f>AND(#REF!,"AAAAAD1v6wU=")</f>
        <v>#REF!</v>
      </c>
      <c r="G169" t="e">
        <f>AND(#REF!,"AAAAAD1v6wY=")</f>
        <v>#REF!</v>
      </c>
      <c r="H169" t="e">
        <f>AND(#REF!,"AAAAAD1v6wc=")</f>
        <v>#REF!</v>
      </c>
      <c r="I169" t="e">
        <f>AND(#REF!,"AAAAAD1v6wg=")</f>
        <v>#REF!</v>
      </c>
      <c r="J169" t="e">
        <f>AND(#REF!,"AAAAAD1v6wk=")</f>
        <v>#REF!</v>
      </c>
      <c r="K169" t="e">
        <f>AND(#REF!,"AAAAAD1v6wo=")</f>
        <v>#REF!</v>
      </c>
      <c r="L169" t="e">
        <f>AND(#REF!,"AAAAAD1v6ws=")</f>
        <v>#REF!</v>
      </c>
      <c r="M169" t="e">
        <f>AND(#REF!,"AAAAAD1v6ww=")</f>
        <v>#REF!</v>
      </c>
      <c r="N169" t="e">
        <f>AND(#REF!,"AAAAAD1v6w0=")</f>
        <v>#REF!</v>
      </c>
      <c r="O169" t="e">
        <f>AND(#REF!,"AAAAAD1v6w4=")</f>
        <v>#REF!</v>
      </c>
      <c r="P169" t="e">
        <f>AND(#REF!,"AAAAAD1v6w8=")</f>
        <v>#REF!</v>
      </c>
      <c r="Q169" t="e">
        <f>AND(#REF!,"AAAAAD1v6xA=")</f>
        <v>#REF!</v>
      </c>
      <c r="R169" t="e">
        <f>AND(#REF!,"AAAAAD1v6xE=")</f>
        <v>#REF!</v>
      </c>
      <c r="S169" t="e">
        <f>AND(#REF!,"AAAAAD1v6xI=")</f>
        <v>#REF!</v>
      </c>
      <c r="T169" t="e">
        <f>AND(#REF!,"AAAAAD1v6xM=")</f>
        <v>#REF!</v>
      </c>
      <c r="U169" t="e">
        <f>AND(#REF!,"AAAAAD1v6xQ=")</f>
        <v>#REF!</v>
      </c>
      <c r="V169" t="e">
        <f>AND(#REF!,"AAAAAD1v6xU=")</f>
        <v>#REF!</v>
      </c>
      <c r="W169" t="e">
        <f>AND(#REF!,"AAAAAD1v6xY=")</f>
        <v>#REF!</v>
      </c>
      <c r="X169" t="e">
        <f>AND(#REF!,"AAAAAD1v6xc=")</f>
        <v>#REF!</v>
      </c>
      <c r="Y169" t="e">
        <f>AND(#REF!,"AAAAAD1v6xg=")</f>
        <v>#REF!</v>
      </c>
      <c r="Z169" t="e">
        <f>AND(#REF!,"AAAAAD1v6xk=")</f>
        <v>#REF!</v>
      </c>
      <c r="AA169" t="e">
        <f>AND(#REF!,"AAAAAD1v6xo=")</f>
        <v>#REF!</v>
      </c>
      <c r="AB169" t="e">
        <f>IF(#REF!,"AAAAAD1v6xs=",0)</f>
        <v>#REF!</v>
      </c>
      <c r="AC169" t="e">
        <f>AND(#REF!,"AAAAAD1v6xw=")</f>
        <v>#REF!</v>
      </c>
      <c r="AD169" t="e">
        <f>AND(#REF!,"AAAAAD1v6x0=")</f>
        <v>#REF!</v>
      </c>
      <c r="AE169" t="e">
        <f>AND(#REF!,"AAAAAD1v6x4=")</f>
        <v>#REF!</v>
      </c>
      <c r="AF169" t="e">
        <f>AND(#REF!,"AAAAAD1v6x8=")</f>
        <v>#REF!</v>
      </c>
      <c r="AG169" t="e">
        <f>AND(#REF!,"AAAAAD1v6yA=")</f>
        <v>#REF!</v>
      </c>
      <c r="AH169" t="e">
        <f>AND(#REF!,"AAAAAD1v6yE=")</f>
        <v>#REF!</v>
      </c>
      <c r="AI169" t="e">
        <f>AND(#REF!,"AAAAAD1v6yI=")</f>
        <v>#REF!</v>
      </c>
      <c r="AJ169" t="e">
        <f>AND(#REF!,"AAAAAD1v6yM=")</f>
        <v>#REF!</v>
      </c>
      <c r="AK169" t="e">
        <f>AND(#REF!,"AAAAAD1v6yQ=")</f>
        <v>#REF!</v>
      </c>
      <c r="AL169" t="e">
        <f>AND(#REF!,"AAAAAD1v6yU=")</f>
        <v>#REF!</v>
      </c>
      <c r="AM169" t="e">
        <f>AND(#REF!,"AAAAAD1v6yY=")</f>
        <v>#REF!</v>
      </c>
      <c r="AN169" t="e">
        <f>AND(#REF!,"AAAAAD1v6yc=")</f>
        <v>#REF!</v>
      </c>
      <c r="AO169" t="e">
        <f>AND(#REF!,"AAAAAD1v6yg=")</f>
        <v>#REF!</v>
      </c>
      <c r="AP169" t="e">
        <f>AND(#REF!,"AAAAAD1v6yk=")</f>
        <v>#REF!</v>
      </c>
      <c r="AQ169" t="e">
        <f>AND(#REF!,"AAAAAD1v6yo=")</f>
        <v>#REF!</v>
      </c>
      <c r="AR169" t="e">
        <f>AND(#REF!,"AAAAAD1v6ys=")</f>
        <v>#REF!</v>
      </c>
      <c r="AS169" t="e">
        <f>AND(#REF!,"AAAAAD1v6yw=")</f>
        <v>#REF!</v>
      </c>
      <c r="AT169" t="e">
        <f>AND(#REF!,"AAAAAD1v6y0=")</f>
        <v>#REF!</v>
      </c>
      <c r="AU169" t="e">
        <f>AND(#REF!,"AAAAAD1v6y4=")</f>
        <v>#REF!</v>
      </c>
      <c r="AV169" t="e">
        <f>AND(#REF!,"AAAAAD1v6y8=")</f>
        <v>#REF!</v>
      </c>
      <c r="AW169" t="e">
        <f>AND(#REF!,"AAAAAD1v6zA=")</f>
        <v>#REF!</v>
      </c>
      <c r="AX169" t="e">
        <f>AND(#REF!,"AAAAAD1v6zE=")</f>
        <v>#REF!</v>
      </c>
      <c r="AY169" t="e">
        <f>AND(#REF!,"AAAAAD1v6zI=")</f>
        <v>#REF!</v>
      </c>
      <c r="AZ169" t="e">
        <f>AND(#REF!,"AAAAAD1v6zM=")</f>
        <v>#REF!</v>
      </c>
      <c r="BA169" t="e">
        <f>IF(#REF!,"AAAAAD1v6zQ=",0)</f>
        <v>#REF!</v>
      </c>
      <c r="BB169" t="e">
        <f>AND(#REF!,"AAAAAD1v6zU=")</f>
        <v>#REF!</v>
      </c>
      <c r="BC169" t="e">
        <f>AND(#REF!,"AAAAAD1v6zY=")</f>
        <v>#REF!</v>
      </c>
      <c r="BD169" t="e">
        <f>AND(#REF!,"AAAAAD1v6zc=")</f>
        <v>#REF!</v>
      </c>
      <c r="BE169" t="e">
        <f>AND(#REF!,"AAAAAD1v6zg=")</f>
        <v>#REF!</v>
      </c>
      <c r="BF169" t="e">
        <f>AND(#REF!,"AAAAAD1v6zk=")</f>
        <v>#REF!</v>
      </c>
      <c r="BG169" t="e">
        <f>AND(#REF!,"AAAAAD1v6zo=")</f>
        <v>#REF!</v>
      </c>
      <c r="BH169" t="e">
        <f>AND(#REF!,"AAAAAD1v6zs=")</f>
        <v>#REF!</v>
      </c>
      <c r="BI169" t="e">
        <f>AND(#REF!,"AAAAAD1v6zw=")</f>
        <v>#REF!</v>
      </c>
      <c r="BJ169" t="e">
        <f>AND(#REF!,"AAAAAD1v6z0=")</f>
        <v>#REF!</v>
      </c>
      <c r="BK169" t="e">
        <f>AND(#REF!,"AAAAAD1v6z4=")</f>
        <v>#REF!</v>
      </c>
      <c r="BL169" t="e">
        <f>AND(#REF!,"AAAAAD1v6z8=")</f>
        <v>#REF!</v>
      </c>
      <c r="BM169" t="e">
        <f>AND(#REF!,"AAAAAD1v60A=")</f>
        <v>#REF!</v>
      </c>
      <c r="BN169" t="e">
        <f>AND(#REF!,"AAAAAD1v60E=")</f>
        <v>#REF!</v>
      </c>
      <c r="BO169" t="e">
        <f>AND(#REF!,"AAAAAD1v60I=")</f>
        <v>#REF!</v>
      </c>
      <c r="BP169" t="e">
        <f>AND(#REF!,"AAAAAD1v60M=")</f>
        <v>#REF!</v>
      </c>
      <c r="BQ169" t="e">
        <f>AND(#REF!,"AAAAAD1v60Q=")</f>
        <v>#REF!</v>
      </c>
      <c r="BR169" t="e">
        <f>AND(#REF!,"AAAAAD1v60U=")</f>
        <v>#REF!</v>
      </c>
      <c r="BS169" t="e">
        <f>AND(#REF!,"AAAAAD1v60Y=")</f>
        <v>#REF!</v>
      </c>
      <c r="BT169" t="e">
        <f>AND(#REF!,"AAAAAD1v60c=")</f>
        <v>#REF!</v>
      </c>
      <c r="BU169" t="e">
        <f>AND(#REF!,"AAAAAD1v60g=")</f>
        <v>#REF!</v>
      </c>
      <c r="BV169" t="e">
        <f>AND(#REF!,"AAAAAD1v60k=")</f>
        <v>#REF!</v>
      </c>
      <c r="BW169" t="e">
        <f>AND(#REF!,"AAAAAD1v60o=")</f>
        <v>#REF!</v>
      </c>
      <c r="BX169" t="e">
        <f>AND(#REF!,"AAAAAD1v60s=")</f>
        <v>#REF!</v>
      </c>
      <c r="BY169" t="e">
        <f>AND(#REF!,"AAAAAD1v60w=")</f>
        <v>#REF!</v>
      </c>
      <c r="BZ169" t="e">
        <f>IF(#REF!,"AAAAAD1v600=",0)</f>
        <v>#REF!</v>
      </c>
      <c r="CA169" t="e">
        <f>AND(#REF!,"AAAAAD1v604=")</f>
        <v>#REF!</v>
      </c>
      <c r="CB169" t="e">
        <f>AND(#REF!,"AAAAAD1v608=")</f>
        <v>#REF!</v>
      </c>
      <c r="CC169" t="e">
        <f>AND(#REF!,"AAAAAD1v61A=")</f>
        <v>#REF!</v>
      </c>
      <c r="CD169" t="e">
        <f>AND(#REF!,"AAAAAD1v61E=")</f>
        <v>#REF!</v>
      </c>
      <c r="CE169" t="e">
        <f>AND(#REF!,"AAAAAD1v61I=")</f>
        <v>#REF!</v>
      </c>
      <c r="CF169" t="e">
        <f>AND(#REF!,"AAAAAD1v61M=")</f>
        <v>#REF!</v>
      </c>
      <c r="CG169" t="e">
        <f>AND(#REF!,"AAAAAD1v61Q=")</f>
        <v>#REF!</v>
      </c>
      <c r="CH169" t="e">
        <f>AND(#REF!,"AAAAAD1v61U=")</f>
        <v>#REF!</v>
      </c>
      <c r="CI169" t="e">
        <f>AND(#REF!,"AAAAAD1v61Y=")</f>
        <v>#REF!</v>
      </c>
      <c r="CJ169" t="e">
        <f>AND(#REF!,"AAAAAD1v61c=")</f>
        <v>#REF!</v>
      </c>
      <c r="CK169" t="e">
        <f>AND(#REF!,"AAAAAD1v61g=")</f>
        <v>#REF!</v>
      </c>
      <c r="CL169" t="e">
        <f>AND(#REF!,"AAAAAD1v61k=")</f>
        <v>#REF!</v>
      </c>
      <c r="CM169" t="e">
        <f>AND(#REF!,"AAAAAD1v61o=")</f>
        <v>#REF!</v>
      </c>
      <c r="CN169" t="e">
        <f>AND(#REF!,"AAAAAD1v61s=")</f>
        <v>#REF!</v>
      </c>
      <c r="CO169" t="e">
        <f>AND(#REF!,"AAAAAD1v61w=")</f>
        <v>#REF!</v>
      </c>
      <c r="CP169" t="e">
        <f>AND(#REF!,"AAAAAD1v610=")</f>
        <v>#REF!</v>
      </c>
      <c r="CQ169" t="e">
        <f>AND(#REF!,"AAAAAD1v614=")</f>
        <v>#REF!</v>
      </c>
      <c r="CR169" t="e">
        <f>AND(#REF!,"AAAAAD1v618=")</f>
        <v>#REF!</v>
      </c>
      <c r="CS169" t="e">
        <f>AND(#REF!,"AAAAAD1v62A=")</f>
        <v>#REF!</v>
      </c>
      <c r="CT169" t="e">
        <f>AND(#REF!,"AAAAAD1v62E=")</f>
        <v>#REF!</v>
      </c>
      <c r="CU169" t="e">
        <f>AND(#REF!,"AAAAAD1v62I=")</f>
        <v>#REF!</v>
      </c>
      <c r="CV169" t="e">
        <f>AND(#REF!,"AAAAAD1v62M=")</f>
        <v>#REF!</v>
      </c>
      <c r="CW169" t="e">
        <f>AND(#REF!,"AAAAAD1v62Q=")</f>
        <v>#REF!</v>
      </c>
      <c r="CX169" t="e">
        <f>AND(#REF!,"AAAAAD1v62U=")</f>
        <v>#REF!</v>
      </c>
      <c r="CY169" t="e">
        <f>IF(#REF!,"AAAAAD1v62Y=",0)</f>
        <v>#REF!</v>
      </c>
      <c r="CZ169" t="e">
        <f>AND(#REF!,"AAAAAD1v62c=")</f>
        <v>#REF!</v>
      </c>
      <c r="DA169" t="e">
        <f>AND(#REF!,"AAAAAD1v62g=")</f>
        <v>#REF!</v>
      </c>
      <c r="DB169" t="e">
        <f>AND(#REF!,"AAAAAD1v62k=")</f>
        <v>#REF!</v>
      </c>
      <c r="DC169" t="e">
        <f>AND(#REF!,"AAAAAD1v62o=")</f>
        <v>#REF!</v>
      </c>
      <c r="DD169" t="e">
        <f>AND(#REF!,"AAAAAD1v62s=")</f>
        <v>#REF!</v>
      </c>
      <c r="DE169" t="e">
        <f>AND(#REF!,"AAAAAD1v62w=")</f>
        <v>#REF!</v>
      </c>
      <c r="DF169" t="e">
        <f>AND(#REF!,"AAAAAD1v620=")</f>
        <v>#REF!</v>
      </c>
      <c r="DG169" t="e">
        <f>AND(#REF!,"AAAAAD1v624=")</f>
        <v>#REF!</v>
      </c>
      <c r="DH169" t="e">
        <f>AND(#REF!,"AAAAAD1v628=")</f>
        <v>#REF!</v>
      </c>
      <c r="DI169" t="e">
        <f>AND(#REF!,"AAAAAD1v63A=")</f>
        <v>#REF!</v>
      </c>
      <c r="DJ169" t="e">
        <f>AND(#REF!,"AAAAAD1v63E=")</f>
        <v>#REF!</v>
      </c>
      <c r="DK169" t="e">
        <f>AND(#REF!,"AAAAAD1v63I=")</f>
        <v>#REF!</v>
      </c>
      <c r="DL169" t="e">
        <f>AND(#REF!,"AAAAAD1v63M=")</f>
        <v>#REF!</v>
      </c>
      <c r="DM169" t="e">
        <f>AND(#REF!,"AAAAAD1v63Q=")</f>
        <v>#REF!</v>
      </c>
      <c r="DN169" t="e">
        <f>AND(#REF!,"AAAAAD1v63U=")</f>
        <v>#REF!</v>
      </c>
      <c r="DO169" t="e">
        <f>AND(#REF!,"AAAAAD1v63Y=")</f>
        <v>#REF!</v>
      </c>
      <c r="DP169" t="e">
        <f>AND(#REF!,"AAAAAD1v63c=")</f>
        <v>#REF!</v>
      </c>
      <c r="DQ169" t="e">
        <f>AND(#REF!,"AAAAAD1v63g=")</f>
        <v>#REF!</v>
      </c>
      <c r="DR169" t="e">
        <f>AND(#REF!,"AAAAAD1v63k=")</f>
        <v>#REF!</v>
      </c>
      <c r="DS169" t="e">
        <f>AND(#REF!,"AAAAAD1v63o=")</f>
        <v>#REF!</v>
      </c>
      <c r="DT169" t="e">
        <f>AND(#REF!,"AAAAAD1v63s=")</f>
        <v>#REF!</v>
      </c>
      <c r="DU169" t="e">
        <f>AND(#REF!,"AAAAAD1v63w=")</f>
        <v>#REF!</v>
      </c>
      <c r="DV169" t="e">
        <f>AND(#REF!,"AAAAAD1v630=")</f>
        <v>#REF!</v>
      </c>
      <c r="DW169" t="e">
        <f>AND(#REF!,"AAAAAD1v634=")</f>
        <v>#REF!</v>
      </c>
      <c r="DX169" t="e">
        <f>IF(#REF!,"AAAAAD1v638=",0)</f>
        <v>#REF!</v>
      </c>
      <c r="DY169" t="e">
        <f>AND(#REF!,"AAAAAD1v64A=")</f>
        <v>#REF!</v>
      </c>
      <c r="DZ169" t="e">
        <f>AND(#REF!,"AAAAAD1v64E=")</f>
        <v>#REF!</v>
      </c>
      <c r="EA169" t="e">
        <f>AND(#REF!,"AAAAAD1v64I=")</f>
        <v>#REF!</v>
      </c>
      <c r="EB169" t="e">
        <f>AND(#REF!,"AAAAAD1v64M=")</f>
        <v>#REF!</v>
      </c>
      <c r="EC169" t="e">
        <f>AND(#REF!,"AAAAAD1v64Q=")</f>
        <v>#REF!</v>
      </c>
      <c r="ED169" t="e">
        <f>AND(#REF!,"AAAAAD1v64U=")</f>
        <v>#REF!</v>
      </c>
      <c r="EE169" t="e">
        <f>AND(#REF!,"AAAAAD1v64Y=")</f>
        <v>#REF!</v>
      </c>
      <c r="EF169" t="e">
        <f>AND(#REF!,"AAAAAD1v64c=")</f>
        <v>#REF!</v>
      </c>
      <c r="EG169" t="e">
        <f>AND(#REF!,"AAAAAD1v64g=")</f>
        <v>#REF!</v>
      </c>
      <c r="EH169" t="e">
        <f>AND(#REF!,"AAAAAD1v64k=")</f>
        <v>#REF!</v>
      </c>
      <c r="EI169" t="e">
        <f>AND(#REF!,"AAAAAD1v64o=")</f>
        <v>#REF!</v>
      </c>
      <c r="EJ169" t="e">
        <f>AND(#REF!,"AAAAAD1v64s=")</f>
        <v>#REF!</v>
      </c>
      <c r="EK169" t="e">
        <f>AND(#REF!,"AAAAAD1v64w=")</f>
        <v>#REF!</v>
      </c>
      <c r="EL169" t="e">
        <f>AND(#REF!,"AAAAAD1v640=")</f>
        <v>#REF!</v>
      </c>
      <c r="EM169" t="e">
        <f>AND(#REF!,"AAAAAD1v644=")</f>
        <v>#REF!</v>
      </c>
      <c r="EN169" t="e">
        <f>AND(#REF!,"AAAAAD1v648=")</f>
        <v>#REF!</v>
      </c>
      <c r="EO169" t="e">
        <f>AND(#REF!,"AAAAAD1v65A=")</f>
        <v>#REF!</v>
      </c>
      <c r="EP169" t="e">
        <f>AND(#REF!,"AAAAAD1v65E=")</f>
        <v>#REF!</v>
      </c>
      <c r="EQ169" t="e">
        <f>AND(#REF!,"AAAAAD1v65I=")</f>
        <v>#REF!</v>
      </c>
      <c r="ER169" t="e">
        <f>AND(#REF!,"AAAAAD1v65M=")</f>
        <v>#REF!</v>
      </c>
      <c r="ES169" t="e">
        <f>AND(#REF!,"AAAAAD1v65Q=")</f>
        <v>#REF!</v>
      </c>
      <c r="ET169" t="e">
        <f>AND(#REF!,"AAAAAD1v65U=")</f>
        <v>#REF!</v>
      </c>
      <c r="EU169" t="e">
        <f>AND(#REF!,"AAAAAD1v65Y=")</f>
        <v>#REF!</v>
      </c>
      <c r="EV169" t="e">
        <f>AND(#REF!,"AAAAAD1v65c=")</f>
        <v>#REF!</v>
      </c>
      <c r="EW169" t="e">
        <f>IF(#REF!,"AAAAAD1v65g=",0)</f>
        <v>#REF!</v>
      </c>
      <c r="EX169" t="e">
        <f>AND(#REF!,"AAAAAD1v65k=")</f>
        <v>#REF!</v>
      </c>
      <c r="EY169" t="e">
        <f>AND(#REF!,"AAAAAD1v65o=")</f>
        <v>#REF!</v>
      </c>
      <c r="EZ169" t="e">
        <f>AND(#REF!,"AAAAAD1v65s=")</f>
        <v>#REF!</v>
      </c>
      <c r="FA169" t="e">
        <f>AND(#REF!,"AAAAAD1v65w=")</f>
        <v>#REF!</v>
      </c>
      <c r="FB169" t="e">
        <f>AND(#REF!,"AAAAAD1v650=")</f>
        <v>#REF!</v>
      </c>
      <c r="FC169" t="e">
        <f>AND(#REF!,"AAAAAD1v654=")</f>
        <v>#REF!</v>
      </c>
      <c r="FD169" t="e">
        <f>AND(#REF!,"AAAAAD1v658=")</f>
        <v>#REF!</v>
      </c>
      <c r="FE169" t="e">
        <f>AND(#REF!,"AAAAAD1v66A=")</f>
        <v>#REF!</v>
      </c>
      <c r="FF169" t="e">
        <f>AND(#REF!,"AAAAAD1v66E=")</f>
        <v>#REF!</v>
      </c>
      <c r="FG169" t="e">
        <f>AND(#REF!,"AAAAAD1v66I=")</f>
        <v>#REF!</v>
      </c>
      <c r="FH169" t="e">
        <f>AND(#REF!,"AAAAAD1v66M=")</f>
        <v>#REF!</v>
      </c>
      <c r="FI169" t="e">
        <f>AND(#REF!,"AAAAAD1v66Q=")</f>
        <v>#REF!</v>
      </c>
      <c r="FJ169" t="e">
        <f>AND(#REF!,"AAAAAD1v66U=")</f>
        <v>#REF!</v>
      </c>
      <c r="FK169" t="e">
        <f>AND(#REF!,"AAAAAD1v66Y=")</f>
        <v>#REF!</v>
      </c>
      <c r="FL169" t="e">
        <f>AND(#REF!,"AAAAAD1v66c=")</f>
        <v>#REF!</v>
      </c>
      <c r="FM169" t="e">
        <f>AND(#REF!,"AAAAAD1v66g=")</f>
        <v>#REF!</v>
      </c>
      <c r="FN169" t="e">
        <f>AND(#REF!,"AAAAAD1v66k=")</f>
        <v>#REF!</v>
      </c>
      <c r="FO169" t="e">
        <f>AND(#REF!,"AAAAAD1v66o=")</f>
        <v>#REF!</v>
      </c>
      <c r="FP169" t="e">
        <f>AND(#REF!,"AAAAAD1v66s=")</f>
        <v>#REF!</v>
      </c>
      <c r="FQ169" t="e">
        <f>AND(#REF!,"AAAAAD1v66w=")</f>
        <v>#REF!</v>
      </c>
      <c r="FR169" t="e">
        <f>AND(#REF!,"AAAAAD1v660=")</f>
        <v>#REF!</v>
      </c>
      <c r="FS169" t="e">
        <f>AND(#REF!,"AAAAAD1v664=")</f>
        <v>#REF!</v>
      </c>
      <c r="FT169" t="e">
        <f>AND(#REF!,"AAAAAD1v668=")</f>
        <v>#REF!</v>
      </c>
      <c r="FU169" t="e">
        <f>AND(#REF!,"AAAAAD1v67A=")</f>
        <v>#REF!</v>
      </c>
      <c r="FV169" t="e">
        <f>IF(#REF!,"AAAAAD1v67E=",0)</f>
        <v>#REF!</v>
      </c>
      <c r="FW169" t="e">
        <f>AND(#REF!,"AAAAAD1v67I=")</f>
        <v>#REF!</v>
      </c>
      <c r="FX169" t="e">
        <f>AND(#REF!,"AAAAAD1v67M=")</f>
        <v>#REF!</v>
      </c>
      <c r="FY169" t="e">
        <f>AND(#REF!,"AAAAAD1v67Q=")</f>
        <v>#REF!</v>
      </c>
      <c r="FZ169" t="e">
        <f>AND(#REF!,"AAAAAD1v67U=")</f>
        <v>#REF!</v>
      </c>
      <c r="GA169" t="e">
        <f>AND(#REF!,"AAAAAD1v67Y=")</f>
        <v>#REF!</v>
      </c>
      <c r="GB169" t="e">
        <f>AND(#REF!,"AAAAAD1v67c=")</f>
        <v>#REF!</v>
      </c>
      <c r="GC169" t="e">
        <f>AND(#REF!,"AAAAAD1v67g=")</f>
        <v>#REF!</v>
      </c>
      <c r="GD169" t="e">
        <f>AND(#REF!,"AAAAAD1v67k=")</f>
        <v>#REF!</v>
      </c>
      <c r="GE169" t="e">
        <f>AND(#REF!,"AAAAAD1v67o=")</f>
        <v>#REF!</v>
      </c>
      <c r="GF169" t="e">
        <f>AND(#REF!,"AAAAAD1v67s=")</f>
        <v>#REF!</v>
      </c>
      <c r="GG169" t="e">
        <f>AND(#REF!,"AAAAAD1v67w=")</f>
        <v>#REF!</v>
      </c>
      <c r="GH169" t="e">
        <f>AND(#REF!,"AAAAAD1v670=")</f>
        <v>#REF!</v>
      </c>
      <c r="GI169" t="e">
        <f>AND(#REF!,"AAAAAD1v674=")</f>
        <v>#REF!</v>
      </c>
      <c r="GJ169" t="e">
        <f>AND(#REF!,"AAAAAD1v678=")</f>
        <v>#REF!</v>
      </c>
      <c r="GK169" t="e">
        <f>AND(#REF!,"AAAAAD1v68A=")</f>
        <v>#REF!</v>
      </c>
      <c r="GL169" t="e">
        <f>AND(#REF!,"AAAAAD1v68E=")</f>
        <v>#REF!</v>
      </c>
      <c r="GM169" t="e">
        <f>AND(#REF!,"AAAAAD1v68I=")</f>
        <v>#REF!</v>
      </c>
      <c r="GN169" t="e">
        <f>AND(#REF!,"AAAAAD1v68M=")</f>
        <v>#REF!</v>
      </c>
      <c r="GO169" t="e">
        <f>AND(#REF!,"AAAAAD1v68Q=")</f>
        <v>#REF!</v>
      </c>
      <c r="GP169" t="e">
        <f>AND(#REF!,"AAAAAD1v68U=")</f>
        <v>#REF!</v>
      </c>
      <c r="GQ169" t="e">
        <f>AND(#REF!,"AAAAAD1v68Y=")</f>
        <v>#REF!</v>
      </c>
      <c r="GR169" t="e">
        <f>AND(#REF!,"AAAAAD1v68c=")</f>
        <v>#REF!</v>
      </c>
      <c r="GS169" t="e">
        <f>AND(#REF!,"AAAAAD1v68g=")</f>
        <v>#REF!</v>
      </c>
      <c r="GT169" t="e">
        <f>AND(#REF!,"AAAAAD1v68k=")</f>
        <v>#REF!</v>
      </c>
      <c r="GU169" t="e">
        <f>IF(#REF!,"AAAAAD1v68o=",0)</f>
        <v>#REF!</v>
      </c>
      <c r="GV169" t="e">
        <f>AND(#REF!,"AAAAAD1v68s=")</f>
        <v>#REF!</v>
      </c>
      <c r="GW169" t="e">
        <f>AND(#REF!,"AAAAAD1v68w=")</f>
        <v>#REF!</v>
      </c>
      <c r="GX169" t="e">
        <f>AND(#REF!,"AAAAAD1v680=")</f>
        <v>#REF!</v>
      </c>
      <c r="GY169" t="e">
        <f>AND(#REF!,"AAAAAD1v684=")</f>
        <v>#REF!</v>
      </c>
      <c r="GZ169" t="e">
        <f>AND(#REF!,"AAAAAD1v688=")</f>
        <v>#REF!</v>
      </c>
      <c r="HA169" t="e">
        <f>AND(#REF!,"AAAAAD1v69A=")</f>
        <v>#REF!</v>
      </c>
      <c r="HB169" t="e">
        <f>AND(#REF!,"AAAAAD1v69E=")</f>
        <v>#REF!</v>
      </c>
      <c r="HC169" t="e">
        <f>AND(#REF!,"AAAAAD1v69I=")</f>
        <v>#REF!</v>
      </c>
      <c r="HD169" t="e">
        <f>AND(#REF!,"AAAAAD1v69M=")</f>
        <v>#REF!</v>
      </c>
      <c r="HE169" t="e">
        <f>AND(#REF!,"AAAAAD1v69Q=")</f>
        <v>#REF!</v>
      </c>
      <c r="HF169" t="e">
        <f>AND(#REF!,"AAAAAD1v69U=")</f>
        <v>#REF!</v>
      </c>
      <c r="HG169" t="e">
        <f>AND(#REF!,"AAAAAD1v69Y=")</f>
        <v>#REF!</v>
      </c>
      <c r="HH169" t="e">
        <f>AND(#REF!,"AAAAAD1v69c=")</f>
        <v>#REF!</v>
      </c>
      <c r="HI169" t="e">
        <f>AND(#REF!,"AAAAAD1v69g=")</f>
        <v>#REF!</v>
      </c>
      <c r="HJ169" t="e">
        <f>AND(#REF!,"AAAAAD1v69k=")</f>
        <v>#REF!</v>
      </c>
      <c r="HK169" t="e">
        <f>AND(#REF!,"AAAAAD1v69o=")</f>
        <v>#REF!</v>
      </c>
      <c r="HL169" t="e">
        <f>AND(#REF!,"AAAAAD1v69s=")</f>
        <v>#REF!</v>
      </c>
      <c r="HM169" t="e">
        <f>AND(#REF!,"AAAAAD1v69w=")</f>
        <v>#REF!</v>
      </c>
      <c r="HN169" t="e">
        <f>AND(#REF!,"AAAAAD1v690=")</f>
        <v>#REF!</v>
      </c>
      <c r="HO169" t="e">
        <f>AND(#REF!,"AAAAAD1v694=")</f>
        <v>#REF!</v>
      </c>
      <c r="HP169" t="e">
        <f>AND(#REF!,"AAAAAD1v698=")</f>
        <v>#REF!</v>
      </c>
      <c r="HQ169" t="e">
        <f>AND(#REF!,"AAAAAD1v6+A=")</f>
        <v>#REF!</v>
      </c>
      <c r="HR169" t="e">
        <f>AND(#REF!,"AAAAAD1v6+E=")</f>
        <v>#REF!</v>
      </c>
      <c r="HS169" t="e">
        <f>AND(#REF!,"AAAAAD1v6+I=")</f>
        <v>#REF!</v>
      </c>
      <c r="HT169" t="e">
        <f>IF(#REF!,"AAAAAD1v6+M=",0)</f>
        <v>#REF!</v>
      </c>
      <c r="HU169" t="e">
        <f>AND(#REF!,"AAAAAD1v6+Q=")</f>
        <v>#REF!</v>
      </c>
      <c r="HV169" t="e">
        <f>AND(#REF!,"AAAAAD1v6+U=")</f>
        <v>#REF!</v>
      </c>
      <c r="HW169" t="e">
        <f>AND(#REF!,"AAAAAD1v6+Y=")</f>
        <v>#REF!</v>
      </c>
      <c r="HX169" t="e">
        <f>AND(#REF!,"AAAAAD1v6+c=")</f>
        <v>#REF!</v>
      </c>
      <c r="HY169" t="e">
        <f>AND(#REF!,"AAAAAD1v6+g=")</f>
        <v>#REF!</v>
      </c>
      <c r="HZ169" t="e">
        <f>AND(#REF!,"AAAAAD1v6+k=")</f>
        <v>#REF!</v>
      </c>
      <c r="IA169" t="e">
        <f>AND(#REF!,"AAAAAD1v6+o=")</f>
        <v>#REF!</v>
      </c>
      <c r="IB169" t="e">
        <f>AND(#REF!,"AAAAAD1v6+s=")</f>
        <v>#REF!</v>
      </c>
      <c r="IC169" t="e">
        <f>AND(#REF!,"AAAAAD1v6+w=")</f>
        <v>#REF!</v>
      </c>
      <c r="ID169" t="e">
        <f>AND(#REF!,"AAAAAD1v6+0=")</f>
        <v>#REF!</v>
      </c>
      <c r="IE169" t="e">
        <f>AND(#REF!,"AAAAAD1v6+4=")</f>
        <v>#REF!</v>
      </c>
      <c r="IF169" t="e">
        <f>AND(#REF!,"AAAAAD1v6+8=")</f>
        <v>#REF!</v>
      </c>
      <c r="IG169" t="e">
        <f>AND(#REF!,"AAAAAD1v6/A=")</f>
        <v>#REF!</v>
      </c>
      <c r="IH169" t="e">
        <f>AND(#REF!,"AAAAAD1v6/E=")</f>
        <v>#REF!</v>
      </c>
      <c r="II169" t="e">
        <f>AND(#REF!,"AAAAAD1v6/I=")</f>
        <v>#REF!</v>
      </c>
      <c r="IJ169" t="e">
        <f>AND(#REF!,"AAAAAD1v6/M=")</f>
        <v>#REF!</v>
      </c>
      <c r="IK169" t="e">
        <f>AND(#REF!,"AAAAAD1v6/Q=")</f>
        <v>#REF!</v>
      </c>
      <c r="IL169" t="e">
        <f>AND(#REF!,"AAAAAD1v6/U=")</f>
        <v>#REF!</v>
      </c>
      <c r="IM169" t="e">
        <f>AND(#REF!,"AAAAAD1v6/Y=")</f>
        <v>#REF!</v>
      </c>
      <c r="IN169" t="e">
        <f>AND(#REF!,"AAAAAD1v6/c=")</f>
        <v>#REF!</v>
      </c>
      <c r="IO169" t="e">
        <f>AND(#REF!,"AAAAAD1v6/g=")</f>
        <v>#REF!</v>
      </c>
      <c r="IP169" t="e">
        <f>AND(#REF!,"AAAAAD1v6/k=")</f>
        <v>#REF!</v>
      </c>
      <c r="IQ169" t="e">
        <f>AND(#REF!,"AAAAAD1v6/o=")</f>
        <v>#REF!</v>
      </c>
      <c r="IR169" t="e">
        <f>AND(#REF!,"AAAAAD1v6/s=")</f>
        <v>#REF!</v>
      </c>
      <c r="IS169" t="e">
        <f>IF(#REF!,"AAAAAD1v6/w=",0)</f>
        <v>#REF!</v>
      </c>
      <c r="IT169" t="e">
        <f>AND(#REF!,"AAAAAD1v6/0=")</f>
        <v>#REF!</v>
      </c>
      <c r="IU169" t="e">
        <f>AND(#REF!,"AAAAAD1v6/4=")</f>
        <v>#REF!</v>
      </c>
      <c r="IV169" t="e">
        <f>AND(#REF!,"AAAAAD1v6/8=")</f>
        <v>#REF!</v>
      </c>
    </row>
    <row r="170" spans="1:256">
      <c r="A170" t="e">
        <f>AND(#REF!,"AAAAAGfq/QA=")</f>
        <v>#REF!</v>
      </c>
      <c r="B170" t="e">
        <f>AND(#REF!,"AAAAAGfq/QE=")</f>
        <v>#REF!</v>
      </c>
      <c r="C170" t="e">
        <f>AND(#REF!,"AAAAAGfq/QI=")</f>
        <v>#REF!</v>
      </c>
      <c r="D170" t="e">
        <f>AND(#REF!,"AAAAAGfq/QM=")</f>
        <v>#REF!</v>
      </c>
      <c r="E170" t="e">
        <f>AND(#REF!,"AAAAAGfq/QQ=")</f>
        <v>#REF!</v>
      </c>
      <c r="F170" t="e">
        <f>AND(#REF!,"AAAAAGfq/QU=")</f>
        <v>#REF!</v>
      </c>
      <c r="G170" t="e">
        <f>AND(#REF!,"AAAAAGfq/QY=")</f>
        <v>#REF!</v>
      </c>
      <c r="H170" t="e">
        <f>AND(#REF!,"AAAAAGfq/Qc=")</f>
        <v>#REF!</v>
      </c>
      <c r="I170" t="e">
        <f>AND(#REF!,"AAAAAGfq/Qg=")</f>
        <v>#REF!</v>
      </c>
      <c r="J170" t="e">
        <f>AND(#REF!,"AAAAAGfq/Qk=")</f>
        <v>#REF!</v>
      </c>
      <c r="K170" t="e">
        <f>AND(#REF!,"AAAAAGfq/Qo=")</f>
        <v>#REF!</v>
      </c>
      <c r="L170" t="e">
        <f>AND(#REF!,"AAAAAGfq/Qs=")</f>
        <v>#REF!</v>
      </c>
      <c r="M170" t="e">
        <f>AND(#REF!,"AAAAAGfq/Qw=")</f>
        <v>#REF!</v>
      </c>
      <c r="N170" t="e">
        <f>AND(#REF!,"AAAAAGfq/Q0=")</f>
        <v>#REF!</v>
      </c>
      <c r="O170" t="e">
        <f>AND(#REF!,"AAAAAGfq/Q4=")</f>
        <v>#REF!</v>
      </c>
      <c r="P170" t="e">
        <f>AND(#REF!,"AAAAAGfq/Q8=")</f>
        <v>#REF!</v>
      </c>
      <c r="Q170" t="e">
        <f>AND(#REF!,"AAAAAGfq/RA=")</f>
        <v>#REF!</v>
      </c>
      <c r="R170" t="e">
        <f>AND(#REF!,"AAAAAGfq/RE=")</f>
        <v>#REF!</v>
      </c>
      <c r="S170" t="e">
        <f>AND(#REF!,"AAAAAGfq/RI=")</f>
        <v>#REF!</v>
      </c>
      <c r="T170" t="e">
        <f>AND(#REF!,"AAAAAGfq/RM=")</f>
        <v>#REF!</v>
      </c>
      <c r="U170" t="e">
        <f>AND(#REF!,"AAAAAGfq/RQ=")</f>
        <v>#REF!</v>
      </c>
      <c r="V170" t="e">
        <f>IF(#REF!,"AAAAAGfq/RU=",0)</f>
        <v>#REF!</v>
      </c>
      <c r="W170" t="e">
        <f>AND(#REF!,"AAAAAGfq/RY=")</f>
        <v>#REF!</v>
      </c>
      <c r="X170" t="e">
        <f>AND(#REF!,"AAAAAGfq/Rc=")</f>
        <v>#REF!</v>
      </c>
      <c r="Y170" t="e">
        <f>AND(#REF!,"AAAAAGfq/Rg=")</f>
        <v>#REF!</v>
      </c>
      <c r="Z170" t="e">
        <f>AND(#REF!,"AAAAAGfq/Rk=")</f>
        <v>#REF!</v>
      </c>
      <c r="AA170" t="e">
        <f>AND(#REF!,"AAAAAGfq/Ro=")</f>
        <v>#REF!</v>
      </c>
      <c r="AB170" t="e">
        <f>AND(#REF!,"AAAAAGfq/Rs=")</f>
        <v>#REF!</v>
      </c>
      <c r="AC170" t="e">
        <f>AND(#REF!,"AAAAAGfq/Rw=")</f>
        <v>#REF!</v>
      </c>
      <c r="AD170" t="e">
        <f>AND(#REF!,"AAAAAGfq/R0=")</f>
        <v>#REF!</v>
      </c>
      <c r="AE170" t="e">
        <f>AND(#REF!,"AAAAAGfq/R4=")</f>
        <v>#REF!</v>
      </c>
      <c r="AF170" t="e">
        <f>AND(#REF!,"AAAAAGfq/R8=")</f>
        <v>#REF!</v>
      </c>
      <c r="AG170" t="e">
        <f>AND(#REF!,"AAAAAGfq/SA=")</f>
        <v>#REF!</v>
      </c>
      <c r="AH170" t="e">
        <f>AND(#REF!,"AAAAAGfq/SE=")</f>
        <v>#REF!</v>
      </c>
      <c r="AI170" t="e">
        <f>AND(#REF!,"AAAAAGfq/SI=")</f>
        <v>#REF!</v>
      </c>
      <c r="AJ170" t="e">
        <f>AND(#REF!,"AAAAAGfq/SM=")</f>
        <v>#REF!</v>
      </c>
      <c r="AK170" t="e">
        <f>AND(#REF!,"AAAAAGfq/SQ=")</f>
        <v>#REF!</v>
      </c>
      <c r="AL170" t="e">
        <f>AND(#REF!,"AAAAAGfq/SU=")</f>
        <v>#REF!</v>
      </c>
      <c r="AM170" t="e">
        <f>AND(#REF!,"AAAAAGfq/SY=")</f>
        <v>#REF!</v>
      </c>
      <c r="AN170" t="e">
        <f>AND(#REF!,"AAAAAGfq/Sc=")</f>
        <v>#REF!</v>
      </c>
      <c r="AO170" t="e">
        <f>AND(#REF!,"AAAAAGfq/Sg=")</f>
        <v>#REF!</v>
      </c>
      <c r="AP170" t="e">
        <f>AND(#REF!,"AAAAAGfq/Sk=")</f>
        <v>#REF!</v>
      </c>
      <c r="AQ170" t="e">
        <f>AND(#REF!,"AAAAAGfq/So=")</f>
        <v>#REF!</v>
      </c>
      <c r="AR170" t="e">
        <f>AND(#REF!,"AAAAAGfq/Ss=")</f>
        <v>#REF!</v>
      </c>
      <c r="AS170" t="e">
        <f>AND(#REF!,"AAAAAGfq/Sw=")</f>
        <v>#REF!</v>
      </c>
      <c r="AT170" t="e">
        <f>AND(#REF!,"AAAAAGfq/S0=")</f>
        <v>#REF!</v>
      </c>
      <c r="AU170" t="e">
        <f>IF(#REF!,"AAAAAGfq/S4=",0)</f>
        <v>#REF!</v>
      </c>
      <c r="AV170" t="e">
        <f>AND(#REF!,"AAAAAGfq/S8=")</f>
        <v>#REF!</v>
      </c>
      <c r="AW170" t="e">
        <f>AND(#REF!,"AAAAAGfq/TA=")</f>
        <v>#REF!</v>
      </c>
      <c r="AX170" t="e">
        <f>AND(#REF!,"AAAAAGfq/TE=")</f>
        <v>#REF!</v>
      </c>
      <c r="AY170" t="e">
        <f>AND(#REF!,"AAAAAGfq/TI=")</f>
        <v>#REF!</v>
      </c>
      <c r="AZ170" t="e">
        <f>AND(#REF!,"AAAAAGfq/TM=")</f>
        <v>#REF!</v>
      </c>
      <c r="BA170" t="e">
        <f>AND(#REF!,"AAAAAGfq/TQ=")</f>
        <v>#REF!</v>
      </c>
      <c r="BB170" t="e">
        <f>AND(#REF!,"AAAAAGfq/TU=")</f>
        <v>#REF!</v>
      </c>
      <c r="BC170" t="e">
        <f>AND(#REF!,"AAAAAGfq/TY=")</f>
        <v>#REF!</v>
      </c>
      <c r="BD170" t="e">
        <f>AND(#REF!,"AAAAAGfq/Tc=")</f>
        <v>#REF!</v>
      </c>
      <c r="BE170" t="e">
        <f>AND(#REF!,"AAAAAGfq/Tg=")</f>
        <v>#REF!</v>
      </c>
      <c r="BF170" t="e">
        <f>AND(#REF!,"AAAAAGfq/Tk=")</f>
        <v>#REF!</v>
      </c>
      <c r="BG170" t="e">
        <f>AND(#REF!,"AAAAAGfq/To=")</f>
        <v>#REF!</v>
      </c>
      <c r="BH170" t="e">
        <f>AND(#REF!,"AAAAAGfq/Ts=")</f>
        <v>#REF!</v>
      </c>
      <c r="BI170" t="e">
        <f>AND(#REF!,"AAAAAGfq/Tw=")</f>
        <v>#REF!</v>
      </c>
      <c r="BJ170" t="e">
        <f>AND(#REF!,"AAAAAGfq/T0=")</f>
        <v>#REF!</v>
      </c>
      <c r="BK170" t="e">
        <f>AND(#REF!,"AAAAAGfq/T4=")</f>
        <v>#REF!</v>
      </c>
      <c r="BL170" t="e">
        <f>AND(#REF!,"AAAAAGfq/T8=")</f>
        <v>#REF!</v>
      </c>
      <c r="BM170" t="e">
        <f>AND(#REF!,"AAAAAGfq/UA=")</f>
        <v>#REF!</v>
      </c>
      <c r="BN170" t="e">
        <f>AND(#REF!,"AAAAAGfq/UE=")</f>
        <v>#REF!</v>
      </c>
      <c r="BO170" t="e">
        <f>AND(#REF!,"AAAAAGfq/UI=")</f>
        <v>#REF!</v>
      </c>
      <c r="BP170" t="e">
        <f>AND(#REF!,"AAAAAGfq/UM=")</f>
        <v>#REF!</v>
      </c>
      <c r="BQ170" t="e">
        <f>AND(#REF!,"AAAAAGfq/UQ=")</f>
        <v>#REF!</v>
      </c>
      <c r="BR170" t="e">
        <f>AND(#REF!,"AAAAAGfq/UU=")</f>
        <v>#REF!</v>
      </c>
      <c r="BS170" t="e">
        <f>AND(#REF!,"AAAAAGfq/UY=")</f>
        <v>#REF!</v>
      </c>
      <c r="BT170" t="e">
        <f>IF(#REF!,"AAAAAGfq/Uc=",0)</f>
        <v>#REF!</v>
      </c>
      <c r="BU170" t="e">
        <f>AND(#REF!,"AAAAAGfq/Ug=")</f>
        <v>#REF!</v>
      </c>
      <c r="BV170" t="e">
        <f>AND(#REF!,"AAAAAGfq/Uk=")</f>
        <v>#REF!</v>
      </c>
      <c r="BW170" t="e">
        <f>AND(#REF!,"AAAAAGfq/Uo=")</f>
        <v>#REF!</v>
      </c>
      <c r="BX170" t="e">
        <f>AND(#REF!,"AAAAAGfq/Us=")</f>
        <v>#REF!</v>
      </c>
      <c r="BY170" t="e">
        <f>AND(#REF!,"AAAAAGfq/Uw=")</f>
        <v>#REF!</v>
      </c>
      <c r="BZ170" t="e">
        <f>AND(#REF!,"AAAAAGfq/U0=")</f>
        <v>#REF!</v>
      </c>
      <c r="CA170" t="e">
        <f>AND(#REF!,"AAAAAGfq/U4=")</f>
        <v>#REF!</v>
      </c>
      <c r="CB170" t="e">
        <f>AND(#REF!,"AAAAAGfq/U8=")</f>
        <v>#REF!</v>
      </c>
      <c r="CC170" t="e">
        <f>AND(#REF!,"AAAAAGfq/VA=")</f>
        <v>#REF!</v>
      </c>
      <c r="CD170" t="e">
        <f>AND(#REF!,"AAAAAGfq/VE=")</f>
        <v>#REF!</v>
      </c>
      <c r="CE170" t="e">
        <f>AND(#REF!,"AAAAAGfq/VI=")</f>
        <v>#REF!</v>
      </c>
      <c r="CF170" t="e">
        <f>AND(#REF!,"AAAAAGfq/VM=")</f>
        <v>#REF!</v>
      </c>
      <c r="CG170" t="e">
        <f>AND(#REF!,"AAAAAGfq/VQ=")</f>
        <v>#REF!</v>
      </c>
      <c r="CH170" t="e">
        <f>AND(#REF!,"AAAAAGfq/VU=")</f>
        <v>#REF!</v>
      </c>
      <c r="CI170" t="e">
        <f>AND(#REF!,"AAAAAGfq/VY=")</f>
        <v>#REF!</v>
      </c>
      <c r="CJ170" t="e">
        <f>AND(#REF!,"AAAAAGfq/Vc=")</f>
        <v>#REF!</v>
      </c>
      <c r="CK170" t="e">
        <f>AND(#REF!,"AAAAAGfq/Vg=")</f>
        <v>#REF!</v>
      </c>
      <c r="CL170" t="e">
        <f>AND(#REF!,"AAAAAGfq/Vk=")</f>
        <v>#REF!</v>
      </c>
      <c r="CM170" t="e">
        <f>AND(#REF!,"AAAAAGfq/Vo=")</f>
        <v>#REF!</v>
      </c>
      <c r="CN170" t="e">
        <f>AND(#REF!,"AAAAAGfq/Vs=")</f>
        <v>#REF!</v>
      </c>
      <c r="CO170" t="e">
        <f>AND(#REF!,"AAAAAGfq/Vw=")</f>
        <v>#REF!</v>
      </c>
      <c r="CP170" t="e">
        <f>AND(#REF!,"AAAAAGfq/V0=")</f>
        <v>#REF!</v>
      </c>
      <c r="CQ170" t="e">
        <f>AND(#REF!,"AAAAAGfq/V4=")</f>
        <v>#REF!</v>
      </c>
      <c r="CR170" t="e">
        <f>AND(#REF!,"AAAAAGfq/V8=")</f>
        <v>#REF!</v>
      </c>
      <c r="CS170" t="e">
        <f>IF(#REF!,"AAAAAGfq/WA=",0)</f>
        <v>#REF!</v>
      </c>
      <c r="CT170" t="e">
        <f>AND(#REF!,"AAAAAGfq/WE=")</f>
        <v>#REF!</v>
      </c>
      <c r="CU170" t="e">
        <f>AND(#REF!,"AAAAAGfq/WI=")</f>
        <v>#REF!</v>
      </c>
      <c r="CV170" t="e">
        <f>AND(#REF!,"AAAAAGfq/WM=")</f>
        <v>#REF!</v>
      </c>
      <c r="CW170" t="e">
        <f>AND(#REF!,"AAAAAGfq/WQ=")</f>
        <v>#REF!</v>
      </c>
      <c r="CX170" t="e">
        <f>AND(#REF!,"AAAAAGfq/WU=")</f>
        <v>#REF!</v>
      </c>
      <c r="CY170" t="e">
        <f>AND(#REF!,"AAAAAGfq/WY=")</f>
        <v>#REF!</v>
      </c>
      <c r="CZ170" t="e">
        <f>AND(#REF!,"AAAAAGfq/Wc=")</f>
        <v>#REF!</v>
      </c>
      <c r="DA170" t="e">
        <f>AND(#REF!,"AAAAAGfq/Wg=")</f>
        <v>#REF!</v>
      </c>
      <c r="DB170" t="e">
        <f>AND(#REF!,"AAAAAGfq/Wk=")</f>
        <v>#REF!</v>
      </c>
      <c r="DC170" t="e">
        <f>AND(#REF!,"AAAAAGfq/Wo=")</f>
        <v>#REF!</v>
      </c>
      <c r="DD170" t="e">
        <f>AND(#REF!,"AAAAAGfq/Ws=")</f>
        <v>#REF!</v>
      </c>
      <c r="DE170" t="e">
        <f>AND(#REF!,"AAAAAGfq/Ww=")</f>
        <v>#REF!</v>
      </c>
      <c r="DF170" t="e">
        <f>AND(#REF!,"AAAAAGfq/W0=")</f>
        <v>#REF!</v>
      </c>
      <c r="DG170" t="e">
        <f>AND(#REF!,"AAAAAGfq/W4=")</f>
        <v>#REF!</v>
      </c>
      <c r="DH170" t="e">
        <f>AND(#REF!,"AAAAAGfq/W8=")</f>
        <v>#REF!</v>
      </c>
      <c r="DI170" t="e">
        <f>AND(#REF!,"AAAAAGfq/XA=")</f>
        <v>#REF!</v>
      </c>
      <c r="DJ170" t="e">
        <f>AND(#REF!,"AAAAAGfq/XE=")</f>
        <v>#REF!</v>
      </c>
      <c r="DK170" t="e">
        <f>AND(#REF!,"AAAAAGfq/XI=")</f>
        <v>#REF!</v>
      </c>
      <c r="DL170" t="e">
        <f>AND(#REF!,"AAAAAGfq/XM=")</f>
        <v>#REF!</v>
      </c>
      <c r="DM170" t="e">
        <f>AND(#REF!,"AAAAAGfq/XQ=")</f>
        <v>#REF!</v>
      </c>
      <c r="DN170" t="e">
        <f>AND(#REF!,"AAAAAGfq/XU=")</f>
        <v>#REF!</v>
      </c>
      <c r="DO170" t="e">
        <f>AND(#REF!,"AAAAAGfq/XY=")</f>
        <v>#REF!</v>
      </c>
      <c r="DP170" t="e">
        <f>AND(#REF!,"AAAAAGfq/Xc=")</f>
        <v>#REF!</v>
      </c>
      <c r="DQ170" t="e">
        <f>AND(#REF!,"AAAAAGfq/Xg=")</f>
        <v>#REF!</v>
      </c>
      <c r="DR170" t="e">
        <f>IF(#REF!,"AAAAAGfq/Xk=",0)</f>
        <v>#REF!</v>
      </c>
      <c r="DS170" t="e">
        <f>AND(#REF!,"AAAAAGfq/Xo=")</f>
        <v>#REF!</v>
      </c>
      <c r="DT170" t="e">
        <f>AND(#REF!,"AAAAAGfq/Xs=")</f>
        <v>#REF!</v>
      </c>
      <c r="DU170" t="e">
        <f>AND(#REF!,"AAAAAGfq/Xw=")</f>
        <v>#REF!</v>
      </c>
      <c r="DV170" t="e">
        <f>AND(#REF!,"AAAAAGfq/X0=")</f>
        <v>#REF!</v>
      </c>
      <c r="DW170" t="e">
        <f>AND(#REF!,"AAAAAGfq/X4=")</f>
        <v>#REF!</v>
      </c>
      <c r="DX170" t="e">
        <f>AND(#REF!,"AAAAAGfq/X8=")</f>
        <v>#REF!</v>
      </c>
      <c r="DY170" t="e">
        <f>AND(#REF!,"AAAAAGfq/YA=")</f>
        <v>#REF!</v>
      </c>
      <c r="DZ170" t="e">
        <f>AND(#REF!,"AAAAAGfq/YE=")</f>
        <v>#REF!</v>
      </c>
      <c r="EA170" t="e">
        <f>AND(#REF!,"AAAAAGfq/YI=")</f>
        <v>#REF!</v>
      </c>
      <c r="EB170" t="e">
        <f>AND(#REF!,"AAAAAGfq/YM=")</f>
        <v>#REF!</v>
      </c>
      <c r="EC170" t="e">
        <f>AND(#REF!,"AAAAAGfq/YQ=")</f>
        <v>#REF!</v>
      </c>
      <c r="ED170" t="e">
        <f>AND(#REF!,"AAAAAGfq/YU=")</f>
        <v>#REF!</v>
      </c>
      <c r="EE170" t="e">
        <f>AND(#REF!,"AAAAAGfq/YY=")</f>
        <v>#REF!</v>
      </c>
      <c r="EF170" t="e">
        <f>AND(#REF!,"AAAAAGfq/Yc=")</f>
        <v>#REF!</v>
      </c>
      <c r="EG170" t="e">
        <f>AND(#REF!,"AAAAAGfq/Yg=")</f>
        <v>#REF!</v>
      </c>
      <c r="EH170" t="e">
        <f>AND(#REF!,"AAAAAGfq/Yk=")</f>
        <v>#REF!</v>
      </c>
      <c r="EI170" t="e">
        <f>AND(#REF!,"AAAAAGfq/Yo=")</f>
        <v>#REF!</v>
      </c>
      <c r="EJ170" t="e">
        <f>AND(#REF!,"AAAAAGfq/Ys=")</f>
        <v>#REF!</v>
      </c>
      <c r="EK170" t="e">
        <f>AND(#REF!,"AAAAAGfq/Yw=")</f>
        <v>#REF!</v>
      </c>
      <c r="EL170" t="e">
        <f>AND(#REF!,"AAAAAGfq/Y0=")</f>
        <v>#REF!</v>
      </c>
      <c r="EM170" t="e">
        <f>AND(#REF!,"AAAAAGfq/Y4=")</f>
        <v>#REF!</v>
      </c>
      <c r="EN170" t="e">
        <f>AND(#REF!,"AAAAAGfq/Y8=")</f>
        <v>#REF!</v>
      </c>
      <c r="EO170" t="e">
        <f>AND(#REF!,"AAAAAGfq/ZA=")</f>
        <v>#REF!</v>
      </c>
      <c r="EP170" t="e">
        <f>AND(#REF!,"AAAAAGfq/ZE=")</f>
        <v>#REF!</v>
      </c>
      <c r="EQ170" t="e">
        <f>IF(#REF!,"AAAAAGfq/ZI=",0)</f>
        <v>#REF!</v>
      </c>
      <c r="ER170" t="e">
        <f>AND(#REF!,"AAAAAGfq/ZM=")</f>
        <v>#REF!</v>
      </c>
      <c r="ES170" t="e">
        <f>AND(#REF!,"AAAAAGfq/ZQ=")</f>
        <v>#REF!</v>
      </c>
      <c r="ET170" t="e">
        <f>AND(#REF!,"AAAAAGfq/ZU=")</f>
        <v>#REF!</v>
      </c>
      <c r="EU170" t="e">
        <f>AND(#REF!,"AAAAAGfq/ZY=")</f>
        <v>#REF!</v>
      </c>
      <c r="EV170" t="e">
        <f>AND(#REF!,"AAAAAGfq/Zc=")</f>
        <v>#REF!</v>
      </c>
      <c r="EW170" t="e">
        <f>AND(#REF!,"AAAAAGfq/Zg=")</f>
        <v>#REF!</v>
      </c>
      <c r="EX170" t="e">
        <f>AND(#REF!,"AAAAAGfq/Zk=")</f>
        <v>#REF!</v>
      </c>
      <c r="EY170" t="e">
        <f>AND(#REF!,"AAAAAGfq/Zo=")</f>
        <v>#REF!</v>
      </c>
      <c r="EZ170" t="e">
        <f>AND(#REF!,"AAAAAGfq/Zs=")</f>
        <v>#REF!</v>
      </c>
      <c r="FA170" t="e">
        <f>AND(#REF!,"AAAAAGfq/Zw=")</f>
        <v>#REF!</v>
      </c>
      <c r="FB170" t="e">
        <f>AND(#REF!,"AAAAAGfq/Z0=")</f>
        <v>#REF!</v>
      </c>
      <c r="FC170" t="e">
        <f>AND(#REF!,"AAAAAGfq/Z4=")</f>
        <v>#REF!</v>
      </c>
      <c r="FD170" t="e">
        <f>AND(#REF!,"AAAAAGfq/Z8=")</f>
        <v>#REF!</v>
      </c>
      <c r="FE170" t="e">
        <f>AND(#REF!,"AAAAAGfq/aA=")</f>
        <v>#REF!</v>
      </c>
      <c r="FF170" t="e">
        <f>AND(#REF!,"AAAAAGfq/aE=")</f>
        <v>#REF!</v>
      </c>
      <c r="FG170" t="e">
        <f>AND(#REF!,"AAAAAGfq/aI=")</f>
        <v>#REF!</v>
      </c>
      <c r="FH170" t="e">
        <f>AND(#REF!,"AAAAAGfq/aM=")</f>
        <v>#REF!</v>
      </c>
      <c r="FI170" t="e">
        <f>AND(#REF!,"AAAAAGfq/aQ=")</f>
        <v>#REF!</v>
      </c>
      <c r="FJ170" t="e">
        <f>AND(#REF!,"AAAAAGfq/aU=")</f>
        <v>#REF!</v>
      </c>
      <c r="FK170" t="e">
        <f>AND(#REF!,"AAAAAGfq/aY=")</f>
        <v>#REF!</v>
      </c>
      <c r="FL170" t="e">
        <f>AND(#REF!,"AAAAAGfq/ac=")</f>
        <v>#REF!</v>
      </c>
      <c r="FM170" t="e">
        <f>AND(#REF!,"AAAAAGfq/ag=")</f>
        <v>#REF!</v>
      </c>
      <c r="FN170" t="e">
        <f>AND(#REF!,"AAAAAGfq/ak=")</f>
        <v>#REF!</v>
      </c>
      <c r="FO170" t="e">
        <f>AND(#REF!,"AAAAAGfq/ao=")</f>
        <v>#REF!</v>
      </c>
      <c r="FP170" t="e">
        <f>IF(#REF!,"AAAAAGfq/as=",0)</f>
        <v>#REF!</v>
      </c>
      <c r="FQ170" t="e">
        <f>AND(#REF!,"AAAAAGfq/aw=")</f>
        <v>#REF!</v>
      </c>
      <c r="FR170" t="e">
        <f>AND(#REF!,"AAAAAGfq/a0=")</f>
        <v>#REF!</v>
      </c>
      <c r="FS170" t="e">
        <f>AND(#REF!,"AAAAAGfq/a4=")</f>
        <v>#REF!</v>
      </c>
      <c r="FT170" t="e">
        <f>AND(#REF!,"AAAAAGfq/a8=")</f>
        <v>#REF!</v>
      </c>
      <c r="FU170" t="e">
        <f>AND(#REF!,"AAAAAGfq/bA=")</f>
        <v>#REF!</v>
      </c>
      <c r="FV170" t="e">
        <f>AND(#REF!,"AAAAAGfq/bE=")</f>
        <v>#REF!</v>
      </c>
      <c r="FW170" t="e">
        <f>AND(#REF!,"AAAAAGfq/bI=")</f>
        <v>#REF!</v>
      </c>
      <c r="FX170" t="e">
        <f>AND(#REF!,"AAAAAGfq/bM=")</f>
        <v>#REF!</v>
      </c>
      <c r="FY170" t="e">
        <f>AND(#REF!,"AAAAAGfq/bQ=")</f>
        <v>#REF!</v>
      </c>
      <c r="FZ170" t="e">
        <f>AND(#REF!,"AAAAAGfq/bU=")</f>
        <v>#REF!</v>
      </c>
      <c r="GA170" t="e">
        <f>AND(#REF!,"AAAAAGfq/bY=")</f>
        <v>#REF!</v>
      </c>
      <c r="GB170" t="e">
        <f>AND(#REF!,"AAAAAGfq/bc=")</f>
        <v>#REF!</v>
      </c>
      <c r="GC170" t="e">
        <f>AND(#REF!,"AAAAAGfq/bg=")</f>
        <v>#REF!</v>
      </c>
      <c r="GD170" t="e">
        <f>AND(#REF!,"AAAAAGfq/bk=")</f>
        <v>#REF!</v>
      </c>
      <c r="GE170" t="e">
        <f>AND(#REF!,"AAAAAGfq/bo=")</f>
        <v>#REF!</v>
      </c>
      <c r="GF170" t="e">
        <f>AND(#REF!,"AAAAAGfq/bs=")</f>
        <v>#REF!</v>
      </c>
      <c r="GG170" t="e">
        <f>AND(#REF!,"AAAAAGfq/bw=")</f>
        <v>#REF!</v>
      </c>
      <c r="GH170" t="e">
        <f>AND(#REF!,"AAAAAGfq/b0=")</f>
        <v>#REF!</v>
      </c>
      <c r="GI170" t="e">
        <f>AND(#REF!,"AAAAAGfq/b4=")</f>
        <v>#REF!</v>
      </c>
      <c r="GJ170" t="e">
        <f>AND(#REF!,"AAAAAGfq/b8=")</f>
        <v>#REF!</v>
      </c>
      <c r="GK170" t="e">
        <f>AND(#REF!,"AAAAAGfq/cA=")</f>
        <v>#REF!</v>
      </c>
      <c r="GL170" t="e">
        <f>AND(#REF!,"AAAAAGfq/cE=")</f>
        <v>#REF!</v>
      </c>
      <c r="GM170" t="e">
        <f>AND(#REF!,"AAAAAGfq/cI=")</f>
        <v>#REF!</v>
      </c>
      <c r="GN170" t="e">
        <f>AND(#REF!,"AAAAAGfq/cM=")</f>
        <v>#REF!</v>
      </c>
      <c r="GO170" t="e">
        <f>IF(#REF!,"AAAAAGfq/cQ=",0)</f>
        <v>#REF!</v>
      </c>
      <c r="GP170" t="e">
        <f>AND(#REF!,"AAAAAGfq/cU=")</f>
        <v>#REF!</v>
      </c>
      <c r="GQ170" t="e">
        <f>AND(#REF!,"AAAAAGfq/cY=")</f>
        <v>#REF!</v>
      </c>
      <c r="GR170" t="e">
        <f>AND(#REF!,"AAAAAGfq/cc=")</f>
        <v>#REF!</v>
      </c>
      <c r="GS170" t="e">
        <f>AND(#REF!,"AAAAAGfq/cg=")</f>
        <v>#REF!</v>
      </c>
      <c r="GT170" t="e">
        <f>AND(#REF!,"AAAAAGfq/ck=")</f>
        <v>#REF!</v>
      </c>
      <c r="GU170" t="e">
        <f>AND(#REF!,"AAAAAGfq/co=")</f>
        <v>#REF!</v>
      </c>
      <c r="GV170" t="e">
        <f>AND(#REF!,"AAAAAGfq/cs=")</f>
        <v>#REF!</v>
      </c>
      <c r="GW170" t="e">
        <f>AND(#REF!,"AAAAAGfq/cw=")</f>
        <v>#REF!</v>
      </c>
      <c r="GX170" t="e">
        <f>AND(#REF!,"AAAAAGfq/c0=")</f>
        <v>#REF!</v>
      </c>
      <c r="GY170" t="e">
        <f>AND(#REF!,"AAAAAGfq/c4=")</f>
        <v>#REF!</v>
      </c>
      <c r="GZ170" t="e">
        <f>AND(#REF!,"AAAAAGfq/c8=")</f>
        <v>#REF!</v>
      </c>
      <c r="HA170" t="e">
        <f>AND(#REF!,"AAAAAGfq/dA=")</f>
        <v>#REF!</v>
      </c>
      <c r="HB170" t="e">
        <f>AND(#REF!,"AAAAAGfq/dE=")</f>
        <v>#REF!</v>
      </c>
      <c r="HC170" t="e">
        <f>AND(#REF!,"AAAAAGfq/dI=")</f>
        <v>#REF!</v>
      </c>
      <c r="HD170" t="e">
        <f>AND(#REF!,"AAAAAGfq/dM=")</f>
        <v>#REF!</v>
      </c>
      <c r="HE170" t="e">
        <f>AND(#REF!,"AAAAAGfq/dQ=")</f>
        <v>#REF!</v>
      </c>
      <c r="HF170" t="e">
        <f>AND(#REF!,"AAAAAGfq/dU=")</f>
        <v>#REF!</v>
      </c>
      <c r="HG170" t="e">
        <f>AND(#REF!,"AAAAAGfq/dY=")</f>
        <v>#REF!</v>
      </c>
      <c r="HH170" t="e">
        <f>AND(#REF!,"AAAAAGfq/dc=")</f>
        <v>#REF!</v>
      </c>
      <c r="HI170" t="e">
        <f>AND(#REF!,"AAAAAGfq/dg=")</f>
        <v>#REF!</v>
      </c>
      <c r="HJ170" t="e">
        <f>AND(#REF!,"AAAAAGfq/dk=")</f>
        <v>#REF!</v>
      </c>
      <c r="HK170" t="e">
        <f>AND(#REF!,"AAAAAGfq/do=")</f>
        <v>#REF!</v>
      </c>
      <c r="HL170" t="e">
        <f>AND(#REF!,"AAAAAGfq/ds=")</f>
        <v>#REF!</v>
      </c>
      <c r="HM170" t="e">
        <f>AND(#REF!,"AAAAAGfq/dw=")</f>
        <v>#REF!</v>
      </c>
      <c r="HN170" t="e">
        <f>IF(#REF!,"AAAAAGfq/d0=",0)</f>
        <v>#REF!</v>
      </c>
      <c r="HO170" t="e">
        <f>AND(#REF!,"AAAAAGfq/d4=")</f>
        <v>#REF!</v>
      </c>
      <c r="HP170" t="e">
        <f>AND(#REF!,"AAAAAGfq/d8=")</f>
        <v>#REF!</v>
      </c>
      <c r="HQ170" t="e">
        <f>AND(#REF!,"AAAAAGfq/eA=")</f>
        <v>#REF!</v>
      </c>
      <c r="HR170" t="e">
        <f>AND(#REF!,"AAAAAGfq/eE=")</f>
        <v>#REF!</v>
      </c>
      <c r="HS170" t="e">
        <f>AND(#REF!,"AAAAAGfq/eI=")</f>
        <v>#REF!</v>
      </c>
      <c r="HT170" t="e">
        <f>AND(#REF!,"AAAAAGfq/eM=")</f>
        <v>#REF!</v>
      </c>
      <c r="HU170" t="e">
        <f>AND(#REF!,"AAAAAGfq/eQ=")</f>
        <v>#REF!</v>
      </c>
      <c r="HV170" t="e">
        <f>AND(#REF!,"AAAAAGfq/eU=")</f>
        <v>#REF!</v>
      </c>
      <c r="HW170" t="e">
        <f>AND(#REF!,"AAAAAGfq/eY=")</f>
        <v>#REF!</v>
      </c>
      <c r="HX170" t="e">
        <f>AND(#REF!,"AAAAAGfq/ec=")</f>
        <v>#REF!</v>
      </c>
      <c r="HY170" t="e">
        <f>AND(#REF!,"AAAAAGfq/eg=")</f>
        <v>#REF!</v>
      </c>
      <c r="HZ170" t="e">
        <f>AND(#REF!,"AAAAAGfq/ek=")</f>
        <v>#REF!</v>
      </c>
      <c r="IA170" t="e">
        <f>AND(#REF!,"AAAAAGfq/eo=")</f>
        <v>#REF!</v>
      </c>
      <c r="IB170" t="e">
        <f>AND(#REF!,"AAAAAGfq/es=")</f>
        <v>#REF!</v>
      </c>
      <c r="IC170" t="e">
        <f>AND(#REF!,"AAAAAGfq/ew=")</f>
        <v>#REF!</v>
      </c>
      <c r="ID170" t="e">
        <f>AND(#REF!,"AAAAAGfq/e0=")</f>
        <v>#REF!</v>
      </c>
      <c r="IE170" t="e">
        <f>AND(#REF!,"AAAAAGfq/e4=")</f>
        <v>#REF!</v>
      </c>
      <c r="IF170" t="e">
        <f>AND(#REF!,"AAAAAGfq/e8=")</f>
        <v>#REF!</v>
      </c>
      <c r="IG170" t="e">
        <f>AND(#REF!,"AAAAAGfq/fA=")</f>
        <v>#REF!</v>
      </c>
      <c r="IH170" t="e">
        <f>AND(#REF!,"AAAAAGfq/fE=")</f>
        <v>#REF!</v>
      </c>
      <c r="II170" t="e">
        <f>AND(#REF!,"AAAAAGfq/fI=")</f>
        <v>#REF!</v>
      </c>
      <c r="IJ170" t="e">
        <f>AND(#REF!,"AAAAAGfq/fM=")</f>
        <v>#REF!</v>
      </c>
      <c r="IK170" t="e">
        <f>AND(#REF!,"AAAAAGfq/fQ=")</f>
        <v>#REF!</v>
      </c>
      <c r="IL170" t="e">
        <f>AND(#REF!,"AAAAAGfq/fU=")</f>
        <v>#REF!</v>
      </c>
      <c r="IM170" t="e">
        <f>IF(#REF!,"AAAAAGfq/fY=",0)</f>
        <v>#REF!</v>
      </c>
      <c r="IN170" t="e">
        <f>AND(#REF!,"AAAAAGfq/fc=")</f>
        <v>#REF!</v>
      </c>
      <c r="IO170" t="e">
        <f>AND(#REF!,"AAAAAGfq/fg=")</f>
        <v>#REF!</v>
      </c>
      <c r="IP170" t="e">
        <f>AND(#REF!,"AAAAAGfq/fk=")</f>
        <v>#REF!</v>
      </c>
      <c r="IQ170" t="e">
        <f>AND(#REF!,"AAAAAGfq/fo=")</f>
        <v>#REF!</v>
      </c>
      <c r="IR170" t="e">
        <f>AND(#REF!,"AAAAAGfq/fs=")</f>
        <v>#REF!</v>
      </c>
      <c r="IS170" t="e">
        <f>AND(#REF!,"AAAAAGfq/fw=")</f>
        <v>#REF!</v>
      </c>
      <c r="IT170" t="e">
        <f>AND(#REF!,"AAAAAGfq/f0=")</f>
        <v>#REF!</v>
      </c>
      <c r="IU170" t="e">
        <f>AND(#REF!,"AAAAAGfq/f4=")</f>
        <v>#REF!</v>
      </c>
      <c r="IV170" t="e">
        <f>AND(#REF!,"AAAAAGfq/f8=")</f>
        <v>#REF!</v>
      </c>
    </row>
    <row r="171" spans="1:256">
      <c r="A171" t="e">
        <f>AND(#REF!,"AAAAAFvj7wA=")</f>
        <v>#REF!</v>
      </c>
      <c r="B171" t="e">
        <f>AND(#REF!,"AAAAAFvj7wE=")</f>
        <v>#REF!</v>
      </c>
      <c r="C171" t="e">
        <f>AND(#REF!,"AAAAAFvj7wI=")</f>
        <v>#REF!</v>
      </c>
      <c r="D171" t="e">
        <f>AND(#REF!,"AAAAAFvj7wM=")</f>
        <v>#REF!</v>
      </c>
      <c r="E171" t="e">
        <f>AND(#REF!,"AAAAAFvj7wQ=")</f>
        <v>#REF!</v>
      </c>
      <c r="F171" t="e">
        <f>AND(#REF!,"AAAAAFvj7wU=")</f>
        <v>#REF!</v>
      </c>
      <c r="G171" t="e">
        <f>AND(#REF!,"AAAAAFvj7wY=")</f>
        <v>#REF!</v>
      </c>
      <c r="H171" t="e">
        <f>AND(#REF!,"AAAAAFvj7wc=")</f>
        <v>#REF!</v>
      </c>
      <c r="I171" t="e">
        <f>AND(#REF!,"AAAAAFvj7wg=")</f>
        <v>#REF!</v>
      </c>
      <c r="J171" t="e">
        <f>AND(#REF!,"AAAAAFvj7wk=")</f>
        <v>#REF!</v>
      </c>
      <c r="K171" t="e">
        <f>AND(#REF!,"AAAAAFvj7wo=")</f>
        <v>#REF!</v>
      </c>
      <c r="L171" t="e">
        <f>AND(#REF!,"AAAAAFvj7ws=")</f>
        <v>#REF!</v>
      </c>
      <c r="M171" t="e">
        <f>AND(#REF!,"AAAAAFvj7ww=")</f>
        <v>#REF!</v>
      </c>
      <c r="N171" t="e">
        <f>AND(#REF!,"AAAAAFvj7w0=")</f>
        <v>#REF!</v>
      </c>
      <c r="O171" t="e">
        <f>AND(#REF!,"AAAAAFvj7w4=")</f>
        <v>#REF!</v>
      </c>
      <c r="P171" t="e">
        <f>IF(#REF!,"AAAAAFvj7w8=",0)</f>
        <v>#REF!</v>
      </c>
      <c r="Q171" t="e">
        <f>AND(#REF!,"AAAAAFvj7xA=")</f>
        <v>#REF!</v>
      </c>
      <c r="R171" t="e">
        <f>AND(#REF!,"AAAAAFvj7xE=")</f>
        <v>#REF!</v>
      </c>
      <c r="S171" t="e">
        <f>AND(#REF!,"AAAAAFvj7xI=")</f>
        <v>#REF!</v>
      </c>
      <c r="T171" t="e">
        <f>AND(#REF!,"AAAAAFvj7xM=")</f>
        <v>#REF!</v>
      </c>
      <c r="U171" t="e">
        <f>AND(#REF!,"AAAAAFvj7xQ=")</f>
        <v>#REF!</v>
      </c>
      <c r="V171" t="e">
        <f>AND(#REF!,"AAAAAFvj7xU=")</f>
        <v>#REF!</v>
      </c>
      <c r="W171" t="e">
        <f>AND(#REF!,"AAAAAFvj7xY=")</f>
        <v>#REF!</v>
      </c>
      <c r="X171" t="e">
        <f>AND(#REF!,"AAAAAFvj7xc=")</f>
        <v>#REF!</v>
      </c>
      <c r="Y171" t="e">
        <f>AND(#REF!,"AAAAAFvj7xg=")</f>
        <v>#REF!</v>
      </c>
      <c r="Z171" t="e">
        <f>AND(#REF!,"AAAAAFvj7xk=")</f>
        <v>#REF!</v>
      </c>
      <c r="AA171" t="e">
        <f>AND(#REF!,"AAAAAFvj7xo=")</f>
        <v>#REF!</v>
      </c>
      <c r="AB171" t="e">
        <f>AND(#REF!,"AAAAAFvj7xs=")</f>
        <v>#REF!</v>
      </c>
      <c r="AC171" t="e">
        <f>AND(#REF!,"AAAAAFvj7xw=")</f>
        <v>#REF!</v>
      </c>
      <c r="AD171" t="e">
        <f>AND(#REF!,"AAAAAFvj7x0=")</f>
        <v>#REF!</v>
      </c>
      <c r="AE171" t="e">
        <f>AND(#REF!,"AAAAAFvj7x4=")</f>
        <v>#REF!</v>
      </c>
      <c r="AF171" t="e">
        <f>AND(#REF!,"AAAAAFvj7x8=")</f>
        <v>#REF!</v>
      </c>
      <c r="AG171" t="e">
        <f>AND(#REF!,"AAAAAFvj7yA=")</f>
        <v>#REF!</v>
      </c>
      <c r="AH171" t="e">
        <f>AND(#REF!,"AAAAAFvj7yE=")</f>
        <v>#REF!</v>
      </c>
      <c r="AI171" t="e">
        <f>AND(#REF!,"AAAAAFvj7yI=")</f>
        <v>#REF!</v>
      </c>
      <c r="AJ171" t="e">
        <f>AND(#REF!,"AAAAAFvj7yM=")</f>
        <v>#REF!</v>
      </c>
      <c r="AK171" t="e">
        <f>AND(#REF!,"AAAAAFvj7yQ=")</f>
        <v>#REF!</v>
      </c>
      <c r="AL171" t="e">
        <f>AND(#REF!,"AAAAAFvj7yU=")</f>
        <v>#REF!</v>
      </c>
      <c r="AM171" t="e">
        <f>AND(#REF!,"AAAAAFvj7yY=")</f>
        <v>#REF!</v>
      </c>
      <c r="AN171" t="e">
        <f>AND(#REF!,"AAAAAFvj7yc=")</f>
        <v>#REF!</v>
      </c>
      <c r="AO171" t="e">
        <f>IF(#REF!,"AAAAAFvj7yg=",0)</f>
        <v>#REF!</v>
      </c>
      <c r="AP171" t="e">
        <f>AND(#REF!,"AAAAAFvj7yk=")</f>
        <v>#REF!</v>
      </c>
      <c r="AQ171" t="e">
        <f>AND(#REF!,"AAAAAFvj7yo=")</f>
        <v>#REF!</v>
      </c>
      <c r="AR171" t="e">
        <f>AND(#REF!,"AAAAAFvj7ys=")</f>
        <v>#REF!</v>
      </c>
      <c r="AS171" t="e">
        <f>AND(#REF!,"AAAAAFvj7yw=")</f>
        <v>#REF!</v>
      </c>
      <c r="AT171" t="e">
        <f>AND(#REF!,"AAAAAFvj7y0=")</f>
        <v>#REF!</v>
      </c>
      <c r="AU171" t="e">
        <f>AND(#REF!,"AAAAAFvj7y4=")</f>
        <v>#REF!</v>
      </c>
      <c r="AV171" t="e">
        <f>AND(#REF!,"AAAAAFvj7y8=")</f>
        <v>#REF!</v>
      </c>
      <c r="AW171" t="e">
        <f>AND(#REF!,"AAAAAFvj7zA=")</f>
        <v>#REF!</v>
      </c>
      <c r="AX171" t="e">
        <f>AND(#REF!,"AAAAAFvj7zE=")</f>
        <v>#REF!</v>
      </c>
      <c r="AY171" t="e">
        <f>AND(#REF!,"AAAAAFvj7zI=")</f>
        <v>#REF!</v>
      </c>
      <c r="AZ171" t="e">
        <f>AND(#REF!,"AAAAAFvj7zM=")</f>
        <v>#REF!</v>
      </c>
      <c r="BA171" t="e">
        <f>AND(#REF!,"AAAAAFvj7zQ=")</f>
        <v>#REF!</v>
      </c>
      <c r="BB171" t="e">
        <f>AND(#REF!,"AAAAAFvj7zU=")</f>
        <v>#REF!</v>
      </c>
      <c r="BC171" t="e">
        <f>AND(#REF!,"AAAAAFvj7zY=")</f>
        <v>#REF!</v>
      </c>
      <c r="BD171" t="e">
        <f>AND(#REF!,"AAAAAFvj7zc=")</f>
        <v>#REF!</v>
      </c>
      <c r="BE171" t="e">
        <f>AND(#REF!,"AAAAAFvj7zg=")</f>
        <v>#REF!</v>
      </c>
      <c r="BF171" t="e">
        <f>AND(#REF!,"AAAAAFvj7zk=")</f>
        <v>#REF!</v>
      </c>
      <c r="BG171" t="e">
        <f>AND(#REF!,"AAAAAFvj7zo=")</f>
        <v>#REF!</v>
      </c>
      <c r="BH171" t="e">
        <f>AND(#REF!,"AAAAAFvj7zs=")</f>
        <v>#REF!</v>
      </c>
      <c r="BI171" t="e">
        <f>AND(#REF!,"AAAAAFvj7zw=")</f>
        <v>#REF!</v>
      </c>
      <c r="BJ171" t="e">
        <f>AND(#REF!,"AAAAAFvj7z0=")</f>
        <v>#REF!</v>
      </c>
      <c r="BK171" t="e">
        <f>AND(#REF!,"AAAAAFvj7z4=")</f>
        <v>#REF!</v>
      </c>
      <c r="BL171" t="e">
        <f>AND(#REF!,"AAAAAFvj7z8=")</f>
        <v>#REF!</v>
      </c>
      <c r="BM171" t="e">
        <f>AND(#REF!,"AAAAAFvj70A=")</f>
        <v>#REF!</v>
      </c>
      <c r="BN171" t="e">
        <f>IF(#REF!,"AAAAAFvj70E=",0)</f>
        <v>#REF!</v>
      </c>
      <c r="BO171" t="e">
        <f>AND(#REF!,"AAAAAFvj70I=")</f>
        <v>#REF!</v>
      </c>
      <c r="BP171" t="e">
        <f>AND(#REF!,"AAAAAFvj70M=")</f>
        <v>#REF!</v>
      </c>
      <c r="BQ171" t="e">
        <f>AND(#REF!,"AAAAAFvj70Q=")</f>
        <v>#REF!</v>
      </c>
      <c r="BR171" t="e">
        <f>AND(#REF!,"AAAAAFvj70U=")</f>
        <v>#REF!</v>
      </c>
      <c r="BS171" t="e">
        <f>AND(#REF!,"AAAAAFvj70Y=")</f>
        <v>#REF!</v>
      </c>
      <c r="BT171" t="e">
        <f>AND(#REF!,"AAAAAFvj70c=")</f>
        <v>#REF!</v>
      </c>
      <c r="BU171" t="e">
        <f>AND(#REF!,"AAAAAFvj70g=")</f>
        <v>#REF!</v>
      </c>
      <c r="BV171" t="e">
        <f>AND(#REF!,"AAAAAFvj70k=")</f>
        <v>#REF!</v>
      </c>
      <c r="BW171" t="e">
        <f>AND(#REF!,"AAAAAFvj70o=")</f>
        <v>#REF!</v>
      </c>
      <c r="BX171" t="e">
        <f>AND(#REF!,"AAAAAFvj70s=")</f>
        <v>#REF!</v>
      </c>
      <c r="BY171" t="e">
        <f>AND(#REF!,"AAAAAFvj70w=")</f>
        <v>#REF!</v>
      </c>
      <c r="BZ171" t="e">
        <f>AND(#REF!,"AAAAAFvj700=")</f>
        <v>#REF!</v>
      </c>
      <c r="CA171" t="e">
        <f>AND(#REF!,"AAAAAFvj704=")</f>
        <v>#REF!</v>
      </c>
      <c r="CB171" t="e">
        <f>AND(#REF!,"AAAAAFvj708=")</f>
        <v>#REF!</v>
      </c>
      <c r="CC171" t="e">
        <f>AND(#REF!,"AAAAAFvj71A=")</f>
        <v>#REF!</v>
      </c>
      <c r="CD171" t="e">
        <f>AND(#REF!,"AAAAAFvj71E=")</f>
        <v>#REF!</v>
      </c>
      <c r="CE171" t="e">
        <f>AND(#REF!,"AAAAAFvj71I=")</f>
        <v>#REF!</v>
      </c>
      <c r="CF171" t="e">
        <f>AND(#REF!,"AAAAAFvj71M=")</f>
        <v>#REF!</v>
      </c>
      <c r="CG171" t="e">
        <f>AND(#REF!,"AAAAAFvj71Q=")</f>
        <v>#REF!</v>
      </c>
      <c r="CH171" t="e">
        <f>AND(#REF!,"AAAAAFvj71U=")</f>
        <v>#REF!</v>
      </c>
      <c r="CI171" t="e">
        <f>AND(#REF!,"AAAAAFvj71Y=")</f>
        <v>#REF!</v>
      </c>
      <c r="CJ171" t="e">
        <f>AND(#REF!,"AAAAAFvj71c=")</f>
        <v>#REF!</v>
      </c>
      <c r="CK171" t="e">
        <f>AND(#REF!,"AAAAAFvj71g=")</f>
        <v>#REF!</v>
      </c>
      <c r="CL171" t="e">
        <f>AND(#REF!,"AAAAAFvj71k=")</f>
        <v>#REF!</v>
      </c>
      <c r="CM171" t="e">
        <f>IF(#REF!,"AAAAAFvj71o=",0)</f>
        <v>#REF!</v>
      </c>
      <c r="CN171" t="e">
        <f>AND(#REF!,"AAAAAFvj71s=")</f>
        <v>#REF!</v>
      </c>
      <c r="CO171" t="e">
        <f>AND(#REF!,"AAAAAFvj71w=")</f>
        <v>#REF!</v>
      </c>
      <c r="CP171" t="e">
        <f>AND(#REF!,"AAAAAFvj710=")</f>
        <v>#REF!</v>
      </c>
      <c r="CQ171" t="e">
        <f>AND(#REF!,"AAAAAFvj714=")</f>
        <v>#REF!</v>
      </c>
      <c r="CR171" t="e">
        <f>AND(#REF!,"AAAAAFvj718=")</f>
        <v>#REF!</v>
      </c>
      <c r="CS171" t="e">
        <f>AND(#REF!,"AAAAAFvj72A=")</f>
        <v>#REF!</v>
      </c>
      <c r="CT171" t="e">
        <f>AND(#REF!,"AAAAAFvj72E=")</f>
        <v>#REF!</v>
      </c>
      <c r="CU171" t="e">
        <f>AND(#REF!,"AAAAAFvj72I=")</f>
        <v>#REF!</v>
      </c>
      <c r="CV171" t="e">
        <f>AND(#REF!,"AAAAAFvj72M=")</f>
        <v>#REF!</v>
      </c>
      <c r="CW171" t="e">
        <f>AND(#REF!,"AAAAAFvj72Q=")</f>
        <v>#REF!</v>
      </c>
      <c r="CX171" t="e">
        <f>AND(#REF!,"AAAAAFvj72U=")</f>
        <v>#REF!</v>
      </c>
      <c r="CY171" t="e">
        <f>AND(#REF!,"AAAAAFvj72Y=")</f>
        <v>#REF!</v>
      </c>
      <c r="CZ171" t="e">
        <f>AND(#REF!,"AAAAAFvj72c=")</f>
        <v>#REF!</v>
      </c>
      <c r="DA171" t="e">
        <f>AND(#REF!,"AAAAAFvj72g=")</f>
        <v>#REF!</v>
      </c>
      <c r="DB171" t="e">
        <f>AND(#REF!,"AAAAAFvj72k=")</f>
        <v>#REF!</v>
      </c>
      <c r="DC171" t="e">
        <f>AND(#REF!,"AAAAAFvj72o=")</f>
        <v>#REF!</v>
      </c>
      <c r="DD171" t="e">
        <f>AND(#REF!,"AAAAAFvj72s=")</f>
        <v>#REF!</v>
      </c>
      <c r="DE171" t="e">
        <f>AND(#REF!,"AAAAAFvj72w=")</f>
        <v>#REF!</v>
      </c>
      <c r="DF171" t="e">
        <f>AND(#REF!,"AAAAAFvj720=")</f>
        <v>#REF!</v>
      </c>
      <c r="DG171" t="e">
        <f>AND(#REF!,"AAAAAFvj724=")</f>
        <v>#REF!</v>
      </c>
      <c r="DH171" t="e">
        <f>AND(#REF!,"AAAAAFvj728=")</f>
        <v>#REF!</v>
      </c>
      <c r="DI171" t="e">
        <f>AND(#REF!,"AAAAAFvj73A=")</f>
        <v>#REF!</v>
      </c>
      <c r="DJ171" t="e">
        <f>AND(#REF!,"AAAAAFvj73E=")</f>
        <v>#REF!</v>
      </c>
      <c r="DK171" t="e">
        <f>AND(#REF!,"AAAAAFvj73I=")</f>
        <v>#REF!</v>
      </c>
      <c r="DL171" t="e">
        <f>IF(#REF!,"AAAAAFvj73M=",0)</f>
        <v>#REF!</v>
      </c>
      <c r="DM171" t="e">
        <f>AND(#REF!,"AAAAAFvj73Q=")</f>
        <v>#REF!</v>
      </c>
      <c r="DN171" t="e">
        <f>AND(#REF!,"AAAAAFvj73U=")</f>
        <v>#REF!</v>
      </c>
      <c r="DO171" t="e">
        <f>AND(#REF!,"AAAAAFvj73Y=")</f>
        <v>#REF!</v>
      </c>
      <c r="DP171" t="e">
        <f>AND(#REF!,"AAAAAFvj73c=")</f>
        <v>#REF!</v>
      </c>
      <c r="DQ171" t="e">
        <f>AND(#REF!,"AAAAAFvj73g=")</f>
        <v>#REF!</v>
      </c>
      <c r="DR171" t="e">
        <f>AND(#REF!,"AAAAAFvj73k=")</f>
        <v>#REF!</v>
      </c>
      <c r="DS171" t="e">
        <f>AND(#REF!,"AAAAAFvj73o=")</f>
        <v>#REF!</v>
      </c>
      <c r="DT171" t="e">
        <f>AND(#REF!,"AAAAAFvj73s=")</f>
        <v>#REF!</v>
      </c>
      <c r="DU171" t="e">
        <f>AND(#REF!,"AAAAAFvj73w=")</f>
        <v>#REF!</v>
      </c>
      <c r="DV171" t="e">
        <f>AND(#REF!,"AAAAAFvj730=")</f>
        <v>#REF!</v>
      </c>
      <c r="DW171" t="e">
        <f>AND(#REF!,"AAAAAFvj734=")</f>
        <v>#REF!</v>
      </c>
      <c r="DX171" t="e">
        <f>AND(#REF!,"AAAAAFvj738=")</f>
        <v>#REF!</v>
      </c>
      <c r="DY171" t="e">
        <f>AND(#REF!,"AAAAAFvj74A=")</f>
        <v>#REF!</v>
      </c>
      <c r="DZ171" t="e">
        <f>AND(#REF!,"AAAAAFvj74E=")</f>
        <v>#REF!</v>
      </c>
      <c r="EA171" t="e">
        <f>AND(#REF!,"AAAAAFvj74I=")</f>
        <v>#REF!</v>
      </c>
      <c r="EB171" t="e">
        <f>AND(#REF!,"AAAAAFvj74M=")</f>
        <v>#REF!</v>
      </c>
      <c r="EC171" t="e">
        <f>AND(#REF!,"AAAAAFvj74Q=")</f>
        <v>#REF!</v>
      </c>
      <c r="ED171" t="e">
        <f>AND(#REF!,"AAAAAFvj74U=")</f>
        <v>#REF!</v>
      </c>
      <c r="EE171" t="e">
        <f>AND(#REF!,"AAAAAFvj74Y=")</f>
        <v>#REF!</v>
      </c>
      <c r="EF171" t="e">
        <f>AND(#REF!,"AAAAAFvj74c=")</f>
        <v>#REF!</v>
      </c>
      <c r="EG171" t="e">
        <f>AND(#REF!,"AAAAAFvj74g=")</f>
        <v>#REF!</v>
      </c>
      <c r="EH171" t="e">
        <f>AND(#REF!,"AAAAAFvj74k=")</f>
        <v>#REF!</v>
      </c>
      <c r="EI171" t="e">
        <f>AND(#REF!,"AAAAAFvj74o=")</f>
        <v>#REF!</v>
      </c>
      <c r="EJ171" t="e">
        <f>AND(#REF!,"AAAAAFvj74s=")</f>
        <v>#REF!</v>
      </c>
      <c r="EK171" t="e">
        <f>IF(#REF!,"AAAAAFvj74w=",0)</f>
        <v>#REF!</v>
      </c>
      <c r="EL171" t="e">
        <f>AND(#REF!,"AAAAAFvj740=")</f>
        <v>#REF!</v>
      </c>
      <c r="EM171" t="e">
        <f>AND(#REF!,"AAAAAFvj744=")</f>
        <v>#REF!</v>
      </c>
      <c r="EN171" t="e">
        <f>AND(#REF!,"AAAAAFvj748=")</f>
        <v>#REF!</v>
      </c>
      <c r="EO171" t="e">
        <f>AND(#REF!,"AAAAAFvj75A=")</f>
        <v>#REF!</v>
      </c>
      <c r="EP171" t="e">
        <f>AND(#REF!,"AAAAAFvj75E=")</f>
        <v>#REF!</v>
      </c>
      <c r="EQ171" t="e">
        <f>AND(#REF!,"AAAAAFvj75I=")</f>
        <v>#REF!</v>
      </c>
      <c r="ER171" t="e">
        <f>AND(#REF!,"AAAAAFvj75M=")</f>
        <v>#REF!</v>
      </c>
      <c r="ES171" t="e">
        <f>AND(#REF!,"AAAAAFvj75Q=")</f>
        <v>#REF!</v>
      </c>
      <c r="ET171" t="e">
        <f>AND(#REF!,"AAAAAFvj75U=")</f>
        <v>#REF!</v>
      </c>
      <c r="EU171" t="e">
        <f>AND(#REF!,"AAAAAFvj75Y=")</f>
        <v>#REF!</v>
      </c>
      <c r="EV171" t="e">
        <f>AND(#REF!,"AAAAAFvj75c=")</f>
        <v>#REF!</v>
      </c>
      <c r="EW171" t="e">
        <f>AND(#REF!,"AAAAAFvj75g=")</f>
        <v>#REF!</v>
      </c>
      <c r="EX171" t="e">
        <f>AND(#REF!,"AAAAAFvj75k=")</f>
        <v>#REF!</v>
      </c>
      <c r="EY171" t="e">
        <f>AND(#REF!,"AAAAAFvj75o=")</f>
        <v>#REF!</v>
      </c>
      <c r="EZ171" t="e">
        <f>AND(#REF!,"AAAAAFvj75s=")</f>
        <v>#REF!</v>
      </c>
      <c r="FA171" t="e">
        <f>AND(#REF!,"AAAAAFvj75w=")</f>
        <v>#REF!</v>
      </c>
      <c r="FB171" t="e">
        <f>AND(#REF!,"AAAAAFvj750=")</f>
        <v>#REF!</v>
      </c>
      <c r="FC171" t="e">
        <f>AND(#REF!,"AAAAAFvj754=")</f>
        <v>#REF!</v>
      </c>
      <c r="FD171" t="e">
        <f>AND(#REF!,"AAAAAFvj758=")</f>
        <v>#REF!</v>
      </c>
      <c r="FE171" t="e">
        <f>AND(#REF!,"AAAAAFvj76A=")</f>
        <v>#REF!</v>
      </c>
      <c r="FF171" t="e">
        <f>AND(#REF!,"AAAAAFvj76E=")</f>
        <v>#REF!</v>
      </c>
      <c r="FG171" t="e">
        <f>AND(#REF!,"AAAAAFvj76I=")</f>
        <v>#REF!</v>
      </c>
      <c r="FH171" t="e">
        <f>AND(#REF!,"AAAAAFvj76M=")</f>
        <v>#REF!</v>
      </c>
      <c r="FI171" t="e">
        <f>AND(#REF!,"AAAAAFvj76Q=")</f>
        <v>#REF!</v>
      </c>
      <c r="FJ171" t="e">
        <f>IF(#REF!,"AAAAAFvj76U=",0)</f>
        <v>#REF!</v>
      </c>
      <c r="FK171" t="e">
        <f>AND(#REF!,"AAAAAFvj76Y=")</f>
        <v>#REF!</v>
      </c>
      <c r="FL171" t="e">
        <f>AND(#REF!,"AAAAAFvj76c=")</f>
        <v>#REF!</v>
      </c>
      <c r="FM171" t="e">
        <f>AND(#REF!,"AAAAAFvj76g=")</f>
        <v>#REF!</v>
      </c>
      <c r="FN171" t="e">
        <f>AND(#REF!,"AAAAAFvj76k=")</f>
        <v>#REF!</v>
      </c>
      <c r="FO171" t="e">
        <f>AND(#REF!,"AAAAAFvj76o=")</f>
        <v>#REF!</v>
      </c>
      <c r="FP171" t="e">
        <f>AND(#REF!,"AAAAAFvj76s=")</f>
        <v>#REF!</v>
      </c>
      <c r="FQ171" t="e">
        <f>AND(#REF!,"AAAAAFvj76w=")</f>
        <v>#REF!</v>
      </c>
      <c r="FR171" t="e">
        <f>AND(#REF!,"AAAAAFvj760=")</f>
        <v>#REF!</v>
      </c>
      <c r="FS171" t="e">
        <f>AND(#REF!,"AAAAAFvj764=")</f>
        <v>#REF!</v>
      </c>
      <c r="FT171" t="e">
        <f>AND(#REF!,"AAAAAFvj768=")</f>
        <v>#REF!</v>
      </c>
      <c r="FU171" t="e">
        <f>AND(#REF!,"AAAAAFvj77A=")</f>
        <v>#REF!</v>
      </c>
      <c r="FV171" t="e">
        <f>AND(#REF!,"AAAAAFvj77E=")</f>
        <v>#REF!</v>
      </c>
      <c r="FW171" t="e">
        <f>AND(#REF!,"AAAAAFvj77I=")</f>
        <v>#REF!</v>
      </c>
      <c r="FX171" t="e">
        <f>AND(#REF!,"AAAAAFvj77M=")</f>
        <v>#REF!</v>
      </c>
      <c r="FY171" t="e">
        <f>AND(#REF!,"AAAAAFvj77Q=")</f>
        <v>#REF!</v>
      </c>
      <c r="FZ171" t="e">
        <f>AND(#REF!,"AAAAAFvj77U=")</f>
        <v>#REF!</v>
      </c>
      <c r="GA171" t="e">
        <f>AND(#REF!,"AAAAAFvj77Y=")</f>
        <v>#REF!</v>
      </c>
      <c r="GB171" t="e">
        <f>AND(#REF!,"AAAAAFvj77c=")</f>
        <v>#REF!</v>
      </c>
      <c r="GC171" t="e">
        <f>AND(#REF!,"AAAAAFvj77g=")</f>
        <v>#REF!</v>
      </c>
      <c r="GD171" t="e">
        <f>AND(#REF!,"AAAAAFvj77k=")</f>
        <v>#REF!</v>
      </c>
      <c r="GE171" t="e">
        <f>AND(#REF!,"AAAAAFvj77o=")</f>
        <v>#REF!</v>
      </c>
      <c r="GF171" t="e">
        <f>AND(#REF!,"AAAAAFvj77s=")</f>
        <v>#REF!</v>
      </c>
      <c r="GG171" t="e">
        <f>AND(#REF!,"AAAAAFvj77w=")</f>
        <v>#REF!</v>
      </c>
      <c r="GH171" t="e">
        <f>AND(#REF!,"AAAAAFvj770=")</f>
        <v>#REF!</v>
      </c>
      <c r="GI171" t="e">
        <f>IF(#REF!,"AAAAAFvj774=",0)</f>
        <v>#REF!</v>
      </c>
      <c r="GJ171" t="e">
        <f>AND(#REF!,"AAAAAFvj778=")</f>
        <v>#REF!</v>
      </c>
      <c r="GK171" t="e">
        <f>AND(#REF!,"AAAAAFvj78A=")</f>
        <v>#REF!</v>
      </c>
      <c r="GL171" t="e">
        <f>AND(#REF!,"AAAAAFvj78E=")</f>
        <v>#REF!</v>
      </c>
      <c r="GM171" t="e">
        <f>AND(#REF!,"AAAAAFvj78I=")</f>
        <v>#REF!</v>
      </c>
      <c r="GN171" t="e">
        <f>AND(#REF!,"AAAAAFvj78M=")</f>
        <v>#REF!</v>
      </c>
      <c r="GO171" t="e">
        <f>AND(#REF!,"AAAAAFvj78Q=")</f>
        <v>#REF!</v>
      </c>
      <c r="GP171" t="e">
        <f>AND(#REF!,"AAAAAFvj78U=")</f>
        <v>#REF!</v>
      </c>
      <c r="GQ171" t="e">
        <f>AND(#REF!,"AAAAAFvj78Y=")</f>
        <v>#REF!</v>
      </c>
      <c r="GR171" t="e">
        <f>AND(#REF!,"AAAAAFvj78c=")</f>
        <v>#REF!</v>
      </c>
      <c r="GS171" t="e">
        <f>AND(#REF!,"AAAAAFvj78g=")</f>
        <v>#REF!</v>
      </c>
      <c r="GT171" t="e">
        <f>AND(#REF!,"AAAAAFvj78k=")</f>
        <v>#REF!</v>
      </c>
      <c r="GU171" t="e">
        <f>AND(#REF!,"AAAAAFvj78o=")</f>
        <v>#REF!</v>
      </c>
      <c r="GV171" t="e">
        <f>AND(#REF!,"AAAAAFvj78s=")</f>
        <v>#REF!</v>
      </c>
      <c r="GW171" t="e">
        <f>AND(#REF!,"AAAAAFvj78w=")</f>
        <v>#REF!</v>
      </c>
      <c r="GX171" t="e">
        <f>AND(#REF!,"AAAAAFvj780=")</f>
        <v>#REF!</v>
      </c>
      <c r="GY171" t="e">
        <f>AND(#REF!,"AAAAAFvj784=")</f>
        <v>#REF!</v>
      </c>
      <c r="GZ171" t="e">
        <f>AND(#REF!,"AAAAAFvj788=")</f>
        <v>#REF!</v>
      </c>
      <c r="HA171" t="e">
        <f>AND(#REF!,"AAAAAFvj79A=")</f>
        <v>#REF!</v>
      </c>
      <c r="HB171" t="e">
        <f>AND(#REF!,"AAAAAFvj79E=")</f>
        <v>#REF!</v>
      </c>
      <c r="HC171" t="e">
        <f>AND(#REF!,"AAAAAFvj79I=")</f>
        <v>#REF!</v>
      </c>
      <c r="HD171" t="e">
        <f>AND(#REF!,"AAAAAFvj79M=")</f>
        <v>#REF!</v>
      </c>
      <c r="HE171" t="e">
        <f>AND(#REF!,"AAAAAFvj79Q=")</f>
        <v>#REF!</v>
      </c>
      <c r="HF171" t="e">
        <f>AND(#REF!,"AAAAAFvj79U=")</f>
        <v>#REF!</v>
      </c>
      <c r="HG171" t="e">
        <f>AND(#REF!,"AAAAAFvj79Y=")</f>
        <v>#REF!</v>
      </c>
      <c r="HH171" t="e">
        <f>IF(#REF!,"AAAAAFvj79c=",0)</f>
        <v>#REF!</v>
      </c>
      <c r="HI171" t="e">
        <f>AND(#REF!,"AAAAAFvj79g=")</f>
        <v>#REF!</v>
      </c>
      <c r="HJ171" t="e">
        <f>AND(#REF!,"AAAAAFvj79k=")</f>
        <v>#REF!</v>
      </c>
      <c r="HK171" t="e">
        <f>AND(#REF!,"AAAAAFvj79o=")</f>
        <v>#REF!</v>
      </c>
      <c r="HL171" t="e">
        <f>AND(#REF!,"AAAAAFvj79s=")</f>
        <v>#REF!</v>
      </c>
      <c r="HM171" t="e">
        <f>AND(#REF!,"AAAAAFvj79w=")</f>
        <v>#REF!</v>
      </c>
      <c r="HN171" t="e">
        <f>AND(#REF!,"AAAAAFvj790=")</f>
        <v>#REF!</v>
      </c>
      <c r="HO171" t="e">
        <f>AND(#REF!,"AAAAAFvj794=")</f>
        <v>#REF!</v>
      </c>
      <c r="HP171" t="e">
        <f>AND(#REF!,"AAAAAFvj798=")</f>
        <v>#REF!</v>
      </c>
      <c r="HQ171" t="e">
        <f>AND(#REF!,"AAAAAFvj7+A=")</f>
        <v>#REF!</v>
      </c>
      <c r="HR171" t="e">
        <f>AND(#REF!,"AAAAAFvj7+E=")</f>
        <v>#REF!</v>
      </c>
      <c r="HS171" t="e">
        <f>AND(#REF!,"AAAAAFvj7+I=")</f>
        <v>#REF!</v>
      </c>
      <c r="HT171" t="e">
        <f>AND(#REF!,"AAAAAFvj7+M=")</f>
        <v>#REF!</v>
      </c>
      <c r="HU171" t="e">
        <f>AND(#REF!,"AAAAAFvj7+Q=")</f>
        <v>#REF!</v>
      </c>
      <c r="HV171" t="e">
        <f>AND(#REF!,"AAAAAFvj7+U=")</f>
        <v>#REF!</v>
      </c>
      <c r="HW171" t="e">
        <f>AND(#REF!,"AAAAAFvj7+Y=")</f>
        <v>#REF!</v>
      </c>
      <c r="HX171" t="e">
        <f>AND(#REF!,"AAAAAFvj7+c=")</f>
        <v>#REF!</v>
      </c>
      <c r="HY171" t="e">
        <f>AND(#REF!,"AAAAAFvj7+g=")</f>
        <v>#REF!</v>
      </c>
      <c r="HZ171" t="e">
        <f>AND(#REF!,"AAAAAFvj7+k=")</f>
        <v>#REF!</v>
      </c>
      <c r="IA171" t="e">
        <f>AND(#REF!,"AAAAAFvj7+o=")</f>
        <v>#REF!</v>
      </c>
      <c r="IB171" t="e">
        <f>AND(#REF!,"AAAAAFvj7+s=")</f>
        <v>#REF!</v>
      </c>
      <c r="IC171" t="e">
        <f>AND(#REF!,"AAAAAFvj7+w=")</f>
        <v>#REF!</v>
      </c>
      <c r="ID171" t="e">
        <f>AND(#REF!,"AAAAAFvj7+0=")</f>
        <v>#REF!</v>
      </c>
      <c r="IE171" t="e">
        <f>AND(#REF!,"AAAAAFvj7+4=")</f>
        <v>#REF!</v>
      </c>
      <c r="IF171" t="e">
        <f>AND(#REF!,"AAAAAFvj7+8=")</f>
        <v>#REF!</v>
      </c>
      <c r="IG171" t="e">
        <f>IF(#REF!,"AAAAAFvj7/A=",0)</f>
        <v>#REF!</v>
      </c>
      <c r="IH171" t="e">
        <f>AND(#REF!,"AAAAAFvj7/E=")</f>
        <v>#REF!</v>
      </c>
      <c r="II171" t="e">
        <f>AND(#REF!,"AAAAAFvj7/I=")</f>
        <v>#REF!</v>
      </c>
      <c r="IJ171" t="e">
        <f>AND(#REF!,"AAAAAFvj7/M=")</f>
        <v>#REF!</v>
      </c>
      <c r="IK171" t="e">
        <f>AND(#REF!,"AAAAAFvj7/Q=")</f>
        <v>#REF!</v>
      </c>
      <c r="IL171" t="e">
        <f>AND(#REF!,"AAAAAFvj7/U=")</f>
        <v>#REF!</v>
      </c>
      <c r="IM171" t="e">
        <f>AND(#REF!,"AAAAAFvj7/Y=")</f>
        <v>#REF!</v>
      </c>
      <c r="IN171" t="e">
        <f>AND(#REF!,"AAAAAFvj7/c=")</f>
        <v>#REF!</v>
      </c>
      <c r="IO171" t="e">
        <f>AND(#REF!,"AAAAAFvj7/g=")</f>
        <v>#REF!</v>
      </c>
      <c r="IP171" t="e">
        <f>AND(#REF!,"AAAAAFvj7/k=")</f>
        <v>#REF!</v>
      </c>
      <c r="IQ171" t="e">
        <f>AND(#REF!,"AAAAAFvj7/o=")</f>
        <v>#REF!</v>
      </c>
      <c r="IR171" t="e">
        <f>AND(#REF!,"AAAAAFvj7/s=")</f>
        <v>#REF!</v>
      </c>
      <c r="IS171" t="e">
        <f>AND(#REF!,"AAAAAFvj7/w=")</f>
        <v>#REF!</v>
      </c>
      <c r="IT171" t="e">
        <f>AND(#REF!,"AAAAAFvj7/0=")</f>
        <v>#REF!</v>
      </c>
      <c r="IU171" t="e">
        <f>AND(#REF!,"AAAAAFvj7/4=")</f>
        <v>#REF!</v>
      </c>
      <c r="IV171" t="e">
        <f>AND(#REF!,"AAAAAFvj7/8=")</f>
        <v>#REF!</v>
      </c>
    </row>
    <row r="172" spans="1:256">
      <c r="A172" t="e">
        <f>AND(#REF!,"AAAAAG/hlwA=")</f>
        <v>#REF!</v>
      </c>
      <c r="B172" t="e">
        <f>AND(#REF!,"AAAAAG/hlwE=")</f>
        <v>#REF!</v>
      </c>
      <c r="C172" t="e">
        <f>AND(#REF!,"AAAAAG/hlwI=")</f>
        <v>#REF!</v>
      </c>
      <c r="D172" t="e">
        <f>AND(#REF!,"AAAAAG/hlwM=")</f>
        <v>#REF!</v>
      </c>
      <c r="E172" t="e">
        <f>AND(#REF!,"AAAAAG/hlwQ=")</f>
        <v>#REF!</v>
      </c>
      <c r="F172" t="e">
        <f>AND(#REF!,"AAAAAG/hlwU=")</f>
        <v>#REF!</v>
      </c>
      <c r="G172" t="e">
        <f>AND(#REF!,"AAAAAG/hlwY=")</f>
        <v>#REF!</v>
      </c>
      <c r="H172" t="e">
        <f>AND(#REF!,"AAAAAG/hlwc=")</f>
        <v>#REF!</v>
      </c>
      <c r="I172" t="e">
        <f>AND(#REF!,"AAAAAG/hlwg=")</f>
        <v>#REF!</v>
      </c>
      <c r="J172" t="e">
        <f>IF(#REF!,"AAAAAG/hlwk=",0)</f>
        <v>#REF!</v>
      </c>
      <c r="K172" t="e">
        <f>AND(#REF!,"AAAAAG/hlwo=")</f>
        <v>#REF!</v>
      </c>
      <c r="L172" t="e">
        <f>AND(#REF!,"AAAAAG/hlws=")</f>
        <v>#REF!</v>
      </c>
      <c r="M172" t="e">
        <f>AND(#REF!,"AAAAAG/hlww=")</f>
        <v>#REF!</v>
      </c>
      <c r="N172" t="e">
        <f>AND(#REF!,"AAAAAG/hlw0=")</f>
        <v>#REF!</v>
      </c>
      <c r="O172" t="e">
        <f>AND(#REF!,"AAAAAG/hlw4=")</f>
        <v>#REF!</v>
      </c>
      <c r="P172" t="e">
        <f>AND(#REF!,"AAAAAG/hlw8=")</f>
        <v>#REF!</v>
      </c>
      <c r="Q172" t="e">
        <f>AND(#REF!,"AAAAAG/hlxA=")</f>
        <v>#REF!</v>
      </c>
      <c r="R172" t="e">
        <f>AND(#REF!,"AAAAAG/hlxE=")</f>
        <v>#REF!</v>
      </c>
      <c r="S172" t="e">
        <f>AND(#REF!,"AAAAAG/hlxI=")</f>
        <v>#REF!</v>
      </c>
      <c r="T172" t="e">
        <f>AND(#REF!,"AAAAAG/hlxM=")</f>
        <v>#REF!</v>
      </c>
      <c r="U172" t="e">
        <f>AND(#REF!,"AAAAAG/hlxQ=")</f>
        <v>#REF!</v>
      </c>
      <c r="V172" t="e">
        <f>AND(#REF!,"AAAAAG/hlxU=")</f>
        <v>#REF!</v>
      </c>
      <c r="W172" t="e">
        <f>AND(#REF!,"AAAAAG/hlxY=")</f>
        <v>#REF!</v>
      </c>
      <c r="X172" t="e">
        <f>AND(#REF!,"AAAAAG/hlxc=")</f>
        <v>#REF!</v>
      </c>
      <c r="Y172" t="e">
        <f>AND(#REF!,"AAAAAG/hlxg=")</f>
        <v>#REF!</v>
      </c>
      <c r="Z172" t="e">
        <f>AND(#REF!,"AAAAAG/hlxk=")</f>
        <v>#REF!</v>
      </c>
      <c r="AA172" t="e">
        <f>AND(#REF!,"AAAAAG/hlxo=")</f>
        <v>#REF!</v>
      </c>
      <c r="AB172" t="e">
        <f>AND(#REF!,"AAAAAG/hlxs=")</f>
        <v>#REF!</v>
      </c>
      <c r="AC172" t="e">
        <f>AND(#REF!,"AAAAAG/hlxw=")</f>
        <v>#REF!</v>
      </c>
      <c r="AD172" t="e">
        <f>AND(#REF!,"AAAAAG/hlx0=")</f>
        <v>#REF!</v>
      </c>
      <c r="AE172" t="e">
        <f>AND(#REF!,"AAAAAG/hlx4=")</f>
        <v>#REF!</v>
      </c>
      <c r="AF172" t="e">
        <f>AND(#REF!,"AAAAAG/hlx8=")</f>
        <v>#REF!</v>
      </c>
      <c r="AG172" t="e">
        <f>AND(#REF!,"AAAAAG/hlyA=")</f>
        <v>#REF!</v>
      </c>
      <c r="AH172" t="e">
        <f>AND(#REF!,"AAAAAG/hlyE=")</f>
        <v>#REF!</v>
      </c>
      <c r="AI172" t="e">
        <f>IF(#REF!,"AAAAAG/hlyI=",0)</f>
        <v>#REF!</v>
      </c>
      <c r="AJ172" t="e">
        <f>AND(#REF!,"AAAAAG/hlyM=")</f>
        <v>#REF!</v>
      </c>
      <c r="AK172" t="e">
        <f>AND(#REF!,"AAAAAG/hlyQ=")</f>
        <v>#REF!</v>
      </c>
      <c r="AL172" t="e">
        <f>AND(#REF!,"AAAAAG/hlyU=")</f>
        <v>#REF!</v>
      </c>
      <c r="AM172" t="e">
        <f>AND(#REF!,"AAAAAG/hlyY=")</f>
        <v>#REF!</v>
      </c>
      <c r="AN172" t="e">
        <f>AND(#REF!,"AAAAAG/hlyc=")</f>
        <v>#REF!</v>
      </c>
      <c r="AO172" t="e">
        <f>AND(#REF!,"AAAAAG/hlyg=")</f>
        <v>#REF!</v>
      </c>
      <c r="AP172" t="e">
        <f>AND(#REF!,"AAAAAG/hlyk=")</f>
        <v>#REF!</v>
      </c>
      <c r="AQ172" t="e">
        <f>AND(#REF!,"AAAAAG/hlyo=")</f>
        <v>#REF!</v>
      </c>
      <c r="AR172" t="e">
        <f>AND(#REF!,"AAAAAG/hlys=")</f>
        <v>#REF!</v>
      </c>
      <c r="AS172" t="e">
        <f>AND(#REF!,"AAAAAG/hlyw=")</f>
        <v>#REF!</v>
      </c>
      <c r="AT172" t="e">
        <f>AND(#REF!,"AAAAAG/hly0=")</f>
        <v>#REF!</v>
      </c>
      <c r="AU172" t="e">
        <f>AND(#REF!,"AAAAAG/hly4=")</f>
        <v>#REF!</v>
      </c>
      <c r="AV172" t="e">
        <f>AND(#REF!,"AAAAAG/hly8=")</f>
        <v>#REF!</v>
      </c>
      <c r="AW172" t="e">
        <f>AND(#REF!,"AAAAAG/hlzA=")</f>
        <v>#REF!</v>
      </c>
      <c r="AX172" t="e">
        <f>AND(#REF!,"AAAAAG/hlzE=")</f>
        <v>#REF!</v>
      </c>
      <c r="AY172" t="e">
        <f>AND(#REF!,"AAAAAG/hlzI=")</f>
        <v>#REF!</v>
      </c>
      <c r="AZ172" t="e">
        <f>AND(#REF!,"AAAAAG/hlzM=")</f>
        <v>#REF!</v>
      </c>
      <c r="BA172" t="e">
        <f>AND(#REF!,"AAAAAG/hlzQ=")</f>
        <v>#REF!</v>
      </c>
      <c r="BB172" t="e">
        <f>AND(#REF!,"AAAAAG/hlzU=")</f>
        <v>#REF!</v>
      </c>
      <c r="BC172" t="e">
        <f>AND(#REF!,"AAAAAG/hlzY=")</f>
        <v>#REF!</v>
      </c>
      <c r="BD172" t="e">
        <f>AND(#REF!,"AAAAAG/hlzc=")</f>
        <v>#REF!</v>
      </c>
      <c r="BE172" t="e">
        <f>AND(#REF!,"AAAAAG/hlzg=")</f>
        <v>#REF!</v>
      </c>
      <c r="BF172" t="e">
        <f>AND(#REF!,"AAAAAG/hlzk=")</f>
        <v>#REF!</v>
      </c>
      <c r="BG172" t="e">
        <f>AND(#REF!,"AAAAAG/hlzo=")</f>
        <v>#REF!</v>
      </c>
      <c r="BH172" t="e">
        <f>IF(#REF!,"AAAAAG/hlzs=",0)</f>
        <v>#REF!</v>
      </c>
      <c r="BI172" t="e">
        <f>AND(#REF!,"AAAAAG/hlzw=")</f>
        <v>#REF!</v>
      </c>
      <c r="BJ172" t="e">
        <f>AND(#REF!,"AAAAAG/hlz0=")</f>
        <v>#REF!</v>
      </c>
      <c r="BK172" t="e">
        <f>AND(#REF!,"AAAAAG/hlz4=")</f>
        <v>#REF!</v>
      </c>
      <c r="BL172" t="e">
        <f>AND(#REF!,"AAAAAG/hlz8=")</f>
        <v>#REF!</v>
      </c>
      <c r="BM172" t="e">
        <f>AND(#REF!,"AAAAAG/hl0A=")</f>
        <v>#REF!</v>
      </c>
      <c r="BN172" t="e">
        <f>AND(#REF!,"AAAAAG/hl0E=")</f>
        <v>#REF!</v>
      </c>
      <c r="BO172" t="e">
        <f>AND(#REF!,"AAAAAG/hl0I=")</f>
        <v>#REF!</v>
      </c>
      <c r="BP172" t="e">
        <f>AND(#REF!,"AAAAAG/hl0M=")</f>
        <v>#REF!</v>
      </c>
      <c r="BQ172" t="e">
        <f>AND(#REF!,"AAAAAG/hl0Q=")</f>
        <v>#REF!</v>
      </c>
      <c r="BR172" t="e">
        <f>AND(#REF!,"AAAAAG/hl0U=")</f>
        <v>#REF!</v>
      </c>
      <c r="BS172" t="e">
        <f>AND(#REF!,"AAAAAG/hl0Y=")</f>
        <v>#REF!</v>
      </c>
      <c r="BT172" t="e">
        <f>AND(#REF!,"AAAAAG/hl0c=")</f>
        <v>#REF!</v>
      </c>
      <c r="BU172" t="e">
        <f>AND(#REF!,"AAAAAG/hl0g=")</f>
        <v>#REF!</v>
      </c>
      <c r="BV172" t="e">
        <f>AND(#REF!,"AAAAAG/hl0k=")</f>
        <v>#REF!</v>
      </c>
      <c r="BW172" t="e">
        <f>AND(#REF!,"AAAAAG/hl0o=")</f>
        <v>#REF!</v>
      </c>
      <c r="BX172" t="e">
        <f>AND(#REF!,"AAAAAG/hl0s=")</f>
        <v>#REF!</v>
      </c>
      <c r="BY172" t="e">
        <f>AND(#REF!,"AAAAAG/hl0w=")</f>
        <v>#REF!</v>
      </c>
      <c r="BZ172" t="e">
        <f>AND(#REF!,"AAAAAG/hl00=")</f>
        <v>#REF!</v>
      </c>
      <c r="CA172" t="e">
        <f>AND(#REF!,"AAAAAG/hl04=")</f>
        <v>#REF!</v>
      </c>
      <c r="CB172" t="e">
        <f>AND(#REF!,"AAAAAG/hl08=")</f>
        <v>#REF!</v>
      </c>
      <c r="CC172" t="e">
        <f>AND(#REF!,"AAAAAG/hl1A=")</f>
        <v>#REF!</v>
      </c>
      <c r="CD172" t="e">
        <f>AND(#REF!,"AAAAAG/hl1E=")</f>
        <v>#REF!</v>
      </c>
      <c r="CE172" t="e">
        <f>AND(#REF!,"AAAAAG/hl1I=")</f>
        <v>#REF!</v>
      </c>
      <c r="CF172" t="e">
        <f>AND(#REF!,"AAAAAG/hl1M=")</f>
        <v>#REF!</v>
      </c>
      <c r="CG172" t="e">
        <f>IF(#REF!,"AAAAAG/hl1Q=",0)</f>
        <v>#REF!</v>
      </c>
      <c r="CH172" t="e">
        <f>AND(#REF!,"AAAAAG/hl1U=")</f>
        <v>#REF!</v>
      </c>
      <c r="CI172" t="e">
        <f>AND(#REF!,"AAAAAG/hl1Y=")</f>
        <v>#REF!</v>
      </c>
      <c r="CJ172" t="e">
        <f>AND(#REF!,"AAAAAG/hl1c=")</f>
        <v>#REF!</v>
      </c>
      <c r="CK172" t="e">
        <f>AND(#REF!,"AAAAAG/hl1g=")</f>
        <v>#REF!</v>
      </c>
      <c r="CL172" t="e">
        <f>AND(#REF!,"AAAAAG/hl1k=")</f>
        <v>#REF!</v>
      </c>
      <c r="CM172" t="e">
        <f>AND(#REF!,"AAAAAG/hl1o=")</f>
        <v>#REF!</v>
      </c>
      <c r="CN172" t="e">
        <f>AND(#REF!,"AAAAAG/hl1s=")</f>
        <v>#REF!</v>
      </c>
      <c r="CO172" t="e">
        <f>AND(#REF!,"AAAAAG/hl1w=")</f>
        <v>#REF!</v>
      </c>
      <c r="CP172" t="e">
        <f>AND(#REF!,"AAAAAG/hl10=")</f>
        <v>#REF!</v>
      </c>
      <c r="CQ172" t="e">
        <f>AND(#REF!,"AAAAAG/hl14=")</f>
        <v>#REF!</v>
      </c>
      <c r="CR172" t="e">
        <f>AND(#REF!,"AAAAAG/hl18=")</f>
        <v>#REF!</v>
      </c>
      <c r="CS172" t="e">
        <f>AND(#REF!,"AAAAAG/hl2A=")</f>
        <v>#REF!</v>
      </c>
      <c r="CT172" t="e">
        <f>AND(#REF!,"AAAAAG/hl2E=")</f>
        <v>#REF!</v>
      </c>
      <c r="CU172" t="e">
        <f>AND(#REF!,"AAAAAG/hl2I=")</f>
        <v>#REF!</v>
      </c>
      <c r="CV172" t="e">
        <f>AND(#REF!,"AAAAAG/hl2M=")</f>
        <v>#REF!</v>
      </c>
      <c r="CW172" t="e">
        <f>AND(#REF!,"AAAAAG/hl2Q=")</f>
        <v>#REF!</v>
      </c>
      <c r="CX172" t="e">
        <f>AND(#REF!,"AAAAAG/hl2U=")</f>
        <v>#REF!</v>
      </c>
      <c r="CY172" t="e">
        <f>AND(#REF!,"AAAAAG/hl2Y=")</f>
        <v>#REF!</v>
      </c>
      <c r="CZ172" t="e">
        <f>AND(#REF!,"AAAAAG/hl2c=")</f>
        <v>#REF!</v>
      </c>
      <c r="DA172" t="e">
        <f>AND(#REF!,"AAAAAG/hl2g=")</f>
        <v>#REF!</v>
      </c>
      <c r="DB172" t="e">
        <f>AND(#REF!,"AAAAAG/hl2k=")</f>
        <v>#REF!</v>
      </c>
      <c r="DC172" t="e">
        <f>AND(#REF!,"AAAAAG/hl2o=")</f>
        <v>#REF!</v>
      </c>
      <c r="DD172" t="e">
        <f>AND(#REF!,"AAAAAG/hl2s=")</f>
        <v>#REF!</v>
      </c>
      <c r="DE172" t="e">
        <f>AND(#REF!,"AAAAAG/hl2w=")</f>
        <v>#REF!</v>
      </c>
      <c r="DF172" t="e">
        <f>IF(#REF!,"AAAAAG/hl20=",0)</f>
        <v>#REF!</v>
      </c>
      <c r="DG172" t="e">
        <f>AND(#REF!,"AAAAAG/hl24=")</f>
        <v>#REF!</v>
      </c>
      <c r="DH172" t="e">
        <f>AND(#REF!,"AAAAAG/hl28=")</f>
        <v>#REF!</v>
      </c>
      <c r="DI172" t="e">
        <f>AND(#REF!,"AAAAAG/hl3A=")</f>
        <v>#REF!</v>
      </c>
      <c r="DJ172" t="e">
        <f>AND(#REF!,"AAAAAG/hl3E=")</f>
        <v>#REF!</v>
      </c>
      <c r="DK172" t="e">
        <f>AND(#REF!,"AAAAAG/hl3I=")</f>
        <v>#REF!</v>
      </c>
      <c r="DL172" t="e">
        <f>AND(#REF!,"AAAAAG/hl3M=")</f>
        <v>#REF!</v>
      </c>
      <c r="DM172" t="e">
        <f>AND(#REF!,"AAAAAG/hl3Q=")</f>
        <v>#REF!</v>
      </c>
      <c r="DN172" t="e">
        <f>AND(#REF!,"AAAAAG/hl3U=")</f>
        <v>#REF!</v>
      </c>
      <c r="DO172" t="e">
        <f>AND(#REF!,"AAAAAG/hl3Y=")</f>
        <v>#REF!</v>
      </c>
      <c r="DP172" t="e">
        <f>AND(#REF!,"AAAAAG/hl3c=")</f>
        <v>#REF!</v>
      </c>
      <c r="DQ172" t="e">
        <f>AND(#REF!,"AAAAAG/hl3g=")</f>
        <v>#REF!</v>
      </c>
      <c r="DR172" t="e">
        <f>AND(#REF!,"AAAAAG/hl3k=")</f>
        <v>#REF!</v>
      </c>
      <c r="DS172" t="e">
        <f>AND(#REF!,"AAAAAG/hl3o=")</f>
        <v>#REF!</v>
      </c>
      <c r="DT172" t="e">
        <f>AND(#REF!,"AAAAAG/hl3s=")</f>
        <v>#REF!</v>
      </c>
      <c r="DU172" t="e">
        <f>AND(#REF!,"AAAAAG/hl3w=")</f>
        <v>#REF!</v>
      </c>
      <c r="DV172" t="e">
        <f>AND(#REF!,"AAAAAG/hl30=")</f>
        <v>#REF!</v>
      </c>
      <c r="DW172" t="e">
        <f>AND(#REF!,"AAAAAG/hl34=")</f>
        <v>#REF!</v>
      </c>
      <c r="DX172" t="e">
        <f>AND(#REF!,"AAAAAG/hl38=")</f>
        <v>#REF!</v>
      </c>
      <c r="DY172" t="e">
        <f>AND(#REF!,"AAAAAG/hl4A=")</f>
        <v>#REF!</v>
      </c>
      <c r="DZ172" t="e">
        <f>AND(#REF!,"AAAAAG/hl4E=")</f>
        <v>#REF!</v>
      </c>
      <c r="EA172" t="e">
        <f>AND(#REF!,"AAAAAG/hl4I=")</f>
        <v>#REF!</v>
      </c>
      <c r="EB172" t="e">
        <f>AND(#REF!,"AAAAAG/hl4M=")</f>
        <v>#REF!</v>
      </c>
      <c r="EC172" t="e">
        <f>AND(#REF!,"AAAAAG/hl4Q=")</f>
        <v>#REF!</v>
      </c>
      <c r="ED172" t="e">
        <f>AND(#REF!,"AAAAAG/hl4U=")</f>
        <v>#REF!</v>
      </c>
      <c r="EE172" t="e">
        <f>IF(#REF!,"AAAAAG/hl4Y=",0)</f>
        <v>#REF!</v>
      </c>
      <c r="EF172" t="e">
        <f>AND(#REF!,"AAAAAG/hl4c=")</f>
        <v>#REF!</v>
      </c>
      <c r="EG172" t="e">
        <f>AND(#REF!,"AAAAAG/hl4g=")</f>
        <v>#REF!</v>
      </c>
      <c r="EH172" t="e">
        <f>AND(#REF!,"AAAAAG/hl4k=")</f>
        <v>#REF!</v>
      </c>
      <c r="EI172" t="e">
        <f>AND(#REF!,"AAAAAG/hl4o=")</f>
        <v>#REF!</v>
      </c>
      <c r="EJ172" t="e">
        <f>AND(#REF!,"AAAAAG/hl4s=")</f>
        <v>#REF!</v>
      </c>
      <c r="EK172" t="e">
        <f>AND(#REF!,"AAAAAG/hl4w=")</f>
        <v>#REF!</v>
      </c>
      <c r="EL172" t="e">
        <f>AND(#REF!,"AAAAAG/hl40=")</f>
        <v>#REF!</v>
      </c>
      <c r="EM172" t="e">
        <f>AND(#REF!,"AAAAAG/hl44=")</f>
        <v>#REF!</v>
      </c>
      <c r="EN172" t="e">
        <f>AND(#REF!,"AAAAAG/hl48=")</f>
        <v>#REF!</v>
      </c>
      <c r="EO172" t="e">
        <f>AND(#REF!,"AAAAAG/hl5A=")</f>
        <v>#REF!</v>
      </c>
      <c r="EP172" t="e">
        <f>AND(#REF!,"AAAAAG/hl5E=")</f>
        <v>#REF!</v>
      </c>
      <c r="EQ172" t="e">
        <f>AND(#REF!,"AAAAAG/hl5I=")</f>
        <v>#REF!</v>
      </c>
      <c r="ER172" t="e">
        <f>AND(#REF!,"AAAAAG/hl5M=")</f>
        <v>#REF!</v>
      </c>
      <c r="ES172" t="e">
        <f>AND(#REF!,"AAAAAG/hl5Q=")</f>
        <v>#REF!</v>
      </c>
      <c r="ET172" t="e">
        <f>AND(#REF!,"AAAAAG/hl5U=")</f>
        <v>#REF!</v>
      </c>
      <c r="EU172" t="e">
        <f>AND(#REF!,"AAAAAG/hl5Y=")</f>
        <v>#REF!</v>
      </c>
      <c r="EV172" t="e">
        <f>AND(#REF!,"AAAAAG/hl5c=")</f>
        <v>#REF!</v>
      </c>
      <c r="EW172" t="e">
        <f>AND(#REF!,"AAAAAG/hl5g=")</f>
        <v>#REF!</v>
      </c>
      <c r="EX172" t="e">
        <f>AND(#REF!,"AAAAAG/hl5k=")</f>
        <v>#REF!</v>
      </c>
      <c r="EY172" t="e">
        <f>AND(#REF!,"AAAAAG/hl5o=")</f>
        <v>#REF!</v>
      </c>
      <c r="EZ172" t="e">
        <f>AND(#REF!,"AAAAAG/hl5s=")</f>
        <v>#REF!</v>
      </c>
      <c r="FA172" t="e">
        <f>AND(#REF!,"AAAAAG/hl5w=")</f>
        <v>#REF!</v>
      </c>
      <c r="FB172" t="e">
        <f>AND(#REF!,"AAAAAG/hl50=")</f>
        <v>#REF!</v>
      </c>
      <c r="FC172" t="e">
        <f>AND(#REF!,"AAAAAG/hl54=")</f>
        <v>#REF!</v>
      </c>
      <c r="FD172" t="e">
        <f>IF(#REF!,"AAAAAG/hl58=",0)</f>
        <v>#REF!</v>
      </c>
      <c r="FE172" t="e">
        <f>AND(#REF!,"AAAAAG/hl6A=")</f>
        <v>#REF!</v>
      </c>
      <c r="FF172" t="e">
        <f>AND(#REF!,"AAAAAG/hl6E=")</f>
        <v>#REF!</v>
      </c>
      <c r="FG172" t="e">
        <f>AND(#REF!,"AAAAAG/hl6I=")</f>
        <v>#REF!</v>
      </c>
      <c r="FH172" t="e">
        <f>AND(#REF!,"AAAAAG/hl6M=")</f>
        <v>#REF!</v>
      </c>
      <c r="FI172" t="e">
        <f>AND(#REF!,"AAAAAG/hl6Q=")</f>
        <v>#REF!</v>
      </c>
      <c r="FJ172" t="e">
        <f>AND(#REF!,"AAAAAG/hl6U=")</f>
        <v>#REF!</v>
      </c>
      <c r="FK172" t="e">
        <f>AND(#REF!,"AAAAAG/hl6Y=")</f>
        <v>#REF!</v>
      </c>
      <c r="FL172" t="e">
        <f>AND(#REF!,"AAAAAG/hl6c=")</f>
        <v>#REF!</v>
      </c>
      <c r="FM172" t="e">
        <f>AND(#REF!,"AAAAAG/hl6g=")</f>
        <v>#REF!</v>
      </c>
      <c r="FN172" t="e">
        <f>AND(#REF!,"AAAAAG/hl6k=")</f>
        <v>#REF!</v>
      </c>
      <c r="FO172" t="e">
        <f>AND(#REF!,"AAAAAG/hl6o=")</f>
        <v>#REF!</v>
      </c>
      <c r="FP172" t="e">
        <f>AND(#REF!,"AAAAAG/hl6s=")</f>
        <v>#REF!</v>
      </c>
      <c r="FQ172" t="e">
        <f>AND(#REF!,"AAAAAG/hl6w=")</f>
        <v>#REF!</v>
      </c>
      <c r="FR172" t="e">
        <f>AND(#REF!,"AAAAAG/hl60=")</f>
        <v>#REF!</v>
      </c>
      <c r="FS172" t="e">
        <f>AND(#REF!,"AAAAAG/hl64=")</f>
        <v>#REF!</v>
      </c>
      <c r="FT172" t="e">
        <f>AND(#REF!,"AAAAAG/hl68=")</f>
        <v>#REF!</v>
      </c>
      <c r="FU172" t="e">
        <f>AND(#REF!,"AAAAAG/hl7A=")</f>
        <v>#REF!</v>
      </c>
      <c r="FV172" t="e">
        <f>AND(#REF!,"AAAAAG/hl7E=")</f>
        <v>#REF!</v>
      </c>
      <c r="FW172" t="e">
        <f>AND(#REF!,"AAAAAG/hl7I=")</f>
        <v>#REF!</v>
      </c>
      <c r="FX172" t="e">
        <f>AND(#REF!,"AAAAAG/hl7M=")</f>
        <v>#REF!</v>
      </c>
      <c r="FY172" t="e">
        <f>AND(#REF!,"AAAAAG/hl7Q=")</f>
        <v>#REF!</v>
      </c>
      <c r="FZ172" t="e">
        <f>AND(#REF!,"AAAAAG/hl7U=")</f>
        <v>#REF!</v>
      </c>
      <c r="GA172" t="e">
        <f>AND(#REF!,"AAAAAG/hl7Y=")</f>
        <v>#REF!</v>
      </c>
      <c r="GB172" t="e">
        <f>AND(#REF!,"AAAAAG/hl7c=")</f>
        <v>#REF!</v>
      </c>
      <c r="GC172" t="e">
        <f>IF(#REF!,"AAAAAG/hl7g=",0)</f>
        <v>#REF!</v>
      </c>
      <c r="GD172" t="e">
        <f>AND(#REF!,"AAAAAG/hl7k=")</f>
        <v>#REF!</v>
      </c>
      <c r="GE172" t="e">
        <f>AND(#REF!,"AAAAAG/hl7o=")</f>
        <v>#REF!</v>
      </c>
      <c r="GF172" t="e">
        <f>AND(#REF!,"AAAAAG/hl7s=")</f>
        <v>#REF!</v>
      </c>
      <c r="GG172" t="e">
        <f>AND(#REF!,"AAAAAG/hl7w=")</f>
        <v>#REF!</v>
      </c>
      <c r="GH172" t="e">
        <f>AND(#REF!,"AAAAAG/hl70=")</f>
        <v>#REF!</v>
      </c>
      <c r="GI172" t="e">
        <f>AND(#REF!,"AAAAAG/hl74=")</f>
        <v>#REF!</v>
      </c>
      <c r="GJ172" t="e">
        <f>AND(#REF!,"AAAAAG/hl78=")</f>
        <v>#REF!</v>
      </c>
      <c r="GK172" t="e">
        <f>AND(#REF!,"AAAAAG/hl8A=")</f>
        <v>#REF!</v>
      </c>
      <c r="GL172" t="e">
        <f>AND(#REF!,"AAAAAG/hl8E=")</f>
        <v>#REF!</v>
      </c>
      <c r="GM172" t="e">
        <f>AND(#REF!,"AAAAAG/hl8I=")</f>
        <v>#REF!</v>
      </c>
      <c r="GN172" t="e">
        <f>AND(#REF!,"AAAAAG/hl8M=")</f>
        <v>#REF!</v>
      </c>
      <c r="GO172" t="e">
        <f>AND(#REF!,"AAAAAG/hl8Q=")</f>
        <v>#REF!</v>
      </c>
      <c r="GP172" t="e">
        <f>AND(#REF!,"AAAAAG/hl8U=")</f>
        <v>#REF!</v>
      </c>
      <c r="GQ172" t="e">
        <f>AND(#REF!,"AAAAAG/hl8Y=")</f>
        <v>#REF!</v>
      </c>
      <c r="GR172" t="e">
        <f>AND(#REF!,"AAAAAG/hl8c=")</f>
        <v>#REF!</v>
      </c>
      <c r="GS172" t="e">
        <f>AND(#REF!,"AAAAAG/hl8g=")</f>
        <v>#REF!</v>
      </c>
      <c r="GT172" t="e">
        <f>AND(#REF!,"AAAAAG/hl8k=")</f>
        <v>#REF!</v>
      </c>
      <c r="GU172" t="e">
        <f>AND(#REF!,"AAAAAG/hl8o=")</f>
        <v>#REF!</v>
      </c>
      <c r="GV172" t="e">
        <f>AND(#REF!,"AAAAAG/hl8s=")</f>
        <v>#REF!</v>
      </c>
      <c r="GW172" t="e">
        <f>AND(#REF!,"AAAAAG/hl8w=")</f>
        <v>#REF!</v>
      </c>
      <c r="GX172" t="e">
        <f>AND(#REF!,"AAAAAG/hl80=")</f>
        <v>#REF!</v>
      </c>
      <c r="GY172" t="e">
        <f>AND(#REF!,"AAAAAG/hl84=")</f>
        <v>#REF!</v>
      </c>
      <c r="GZ172" t="e">
        <f>AND(#REF!,"AAAAAG/hl88=")</f>
        <v>#REF!</v>
      </c>
      <c r="HA172" t="e">
        <f>AND(#REF!,"AAAAAG/hl9A=")</f>
        <v>#REF!</v>
      </c>
      <c r="HB172" t="e">
        <f>IF(#REF!,"AAAAAG/hl9E=",0)</f>
        <v>#REF!</v>
      </c>
      <c r="HC172" t="e">
        <f>AND(#REF!,"AAAAAG/hl9I=")</f>
        <v>#REF!</v>
      </c>
      <c r="HD172" t="e">
        <f>AND(#REF!,"AAAAAG/hl9M=")</f>
        <v>#REF!</v>
      </c>
      <c r="HE172" t="e">
        <f>AND(#REF!,"AAAAAG/hl9Q=")</f>
        <v>#REF!</v>
      </c>
      <c r="HF172" t="e">
        <f>AND(#REF!,"AAAAAG/hl9U=")</f>
        <v>#REF!</v>
      </c>
      <c r="HG172" t="e">
        <f>AND(#REF!,"AAAAAG/hl9Y=")</f>
        <v>#REF!</v>
      </c>
      <c r="HH172" t="e">
        <f>AND(#REF!,"AAAAAG/hl9c=")</f>
        <v>#REF!</v>
      </c>
      <c r="HI172" t="e">
        <f>AND(#REF!,"AAAAAG/hl9g=")</f>
        <v>#REF!</v>
      </c>
      <c r="HJ172" t="e">
        <f>AND(#REF!,"AAAAAG/hl9k=")</f>
        <v>#REF!</v>
      </c>
      <c r="HK172" t="e">
        <f>AND(#REF!,"AAAAAG/hl9o=")</f>
        <v>#REF!</v>
      </c>
      <c r="HL172" t="e">
        <f>AND(#REF!,"AAAAAG/hl9s=")</f>
        <v>#REF!</v>
      </c>
      <c r="HM172" t="e">
        <f>AND(#REF!,"AAAAAG/hl9w=")</f>
        <v>#REF!</v>
      </c>
      <c r="HN172" t="e">
        <f>AND(#REF!,"AAAAAG/hl90=")</f>
        <v>#REF!</v>
      </c>
      <c r="HO172" t="e">
        <f>AND(#REF!,"AAAAAG/hl94=")</f>
        <v>#REF!</v>
      </c>
      <c r="HP172" t="e">
        <f>AND(#REF!,"AAAAAG/hl98=")</f>
        <v>#REF!</v>
      </c>
      <c r="HQ172" t="e">
        <f>AND(#REF!,"AAAAAG/hl+A=")</f>
        <v>#REF!</v>
      </c>
      <c r="HR172" t="e">
        <f>AND(#REF!,"AAAAAG/hl+E=")</f>
        <v>#REF!</v>
      </c>
      <c r="HS172" t="e">
        <f>AND(#REF!,"AAAAAG/hl+I=")</f>
        <v>#REF!</v>
      </c>
      <c r="HT172" t="e">
        <f>AND(#REF!,"AAAAAG/hl+M=")</f>
        <v>#REF!</v>
      </c>
      <c r="HU172" t="e">
        <f>AND(#REF!,"AAAAAG/hl+Q=")</f>
        <v>#REF!</v>
      </c>
      <c r="HV172" t="e">
        <f>AND(#REF!,"AAAAAG/hl+U=")</f>
        <v>#REF!</v>
      </c>
      <c r="HW172" t="e">
        <f>AND(#REF!,"AAAAAG/hl+Y=")</f>
        <v>#REF!</v>
      </c>
      <c r="HX172" t="e">
        <f>AND(#REF!,"AAAAAG/hl+c=")</f>
        <v>#REF!</v>
      </c>
      <c r="HY172" t="e">
        <f>AND(#REF!,"AAAAAG/hl+g=")</f>
        <v>#REF!</v>
      </c>
      <c r="HZ172" t="e">
        <f>AND(#REF!,"AAAAAG/hl+k=")</f>
        <v>#REF!</v>
      </c>
      <c r="IA172" t="e">
        <f>IF(#REF!,"AAAAAG/hl+o=",0)</f>
        <v>#REF!</v>
      </c>
      <c r="IB172" t="e">
        <f>AND(#REF!,"AAAAAG/hl+s=")</f>
        <v>#REF!</v>
      </c>
      <c r="IC172" t="e">
        <f>AND(#REF!,"AAAAAG/hl+w=")</f>
        <v>#REF!</v>
      </c>
      <c r="ID172" t="e">
        <f>AND(#REF!,"AAAAAG/hl+0=")</f>
        <v>#REF!</v>
      </c>
      <c r="IE172" t="e">
        <f>AND(#REF!,"AAAAAG/hl+4=")</f>
        <v>#REF!</v>
      </c>
      <c r="IF172" t="e">
        <f>AND(#REF!,"AAAAAG/hl+8=")</f>
        <v>#REF!</v>
      </c>
      <c r="IG172" t="e">
        <f>AND(#REF!,"AAAAAG/hl/A=")</f>
        <v>#REF!</v>
      </c>
      <c r="IH172" t="e">
        <f>AND(#REF!,"AAAAAG/hl/E=")</f>
        <v>#REF!</v>
      </c>
      <c r="II172" t="e">
        <f>AND(#REF!,"AAAAAG/hl/I=")</f>
        <v>#REF!</v>
      </c>
      <c r="IJ172" t="e">
        <f>AND(#REF!,"AAAAAG/hl/M=")</f>
        <v>#REF!</v>
      </c>
      <c r="IK172" t="e">
        <f>AND(#REF!,"AAAAAG/hl/Q=")</f>
        <v>#REF!</v>
      </c>
      <c r="IL172" t="e">
        <f>AND(#REF!,"AAAAAG/hl/U=")</f>
        <v>#REF!</v>
      </c>
      <c r="IM172" t="e">
        <f>AND(#REF!,"AAAAAG/hl/Y=")</f>
        <v>#REF!</v>
      </c>
      <c r="IN172" t="e">
        <f>AND(#REF!,"AAAAAG/hl/c=")</f>
        <v>#REF!</v>
      </c>
      <c r="IO172" t="e">
        <f>AND(#REF!,"AAAAAG/hl/g=")</f>
        <v>#REF!</v>
      </c>
      <c r="IP172" t="e">
        <f>AND(#REF!,"AAAAAG/hl/k=")</f>
        <v>#REF!</v>
      </c>
      <c r="IQ172" t="e">
        <f>AND(#REF!,"AAAAAG/hl/o=")</f>
        <v>#REF!</v>
      </c>
      <c r="IR172" t="e">
        <f>AND(#REF!,"AAAAAG/hl/s=")</f>
        <v>#REF!</v>
      </c>
      <c r="IS172" t="e">
        <f>AND(#REF!,"AAAAAG/hl/w=")</f>
        <v>#REF!</v>
      </c>
      <c r="IT172" t="e">
        <f>AND(#REF!,"AAAAAG/hl/0=")</f>
        <v>#REF!</v>
      </c>
      <c r="IU172" t="e">
        <f>AND(#REF!,"AAAAAG/hl/4=")</f>
        <v>#REF!</v>
      </c>
      <c r="IV172" t="e">
        <f>AND(#REF!,"AAAAAG/hl/8=")</f>
        <v>#REF!</v>
      </c>
    </row>
    <row r="173" spans="1:256">
      <c r="A173" t="e">
        <f>AND(#REF!,"AAAAAHvfvgA=")</f>
        <v>#REF!</v>
      </c>
      <c r="B173" t="e">
        <f>AND(#REF!,"AAAAAHvfvgE=")</f>
        <v>#REF!</v>
      </c>
      <c r="C173" t="e">
        <f>AND(#REF!,"AAAAAHvfvgI=")</f>
        <v>#REF!</v>
      </c>
      <c r="D173" t="e">
        <f>IF(#REF!,"AAAAAHvfvgM=",0)</f>
        <v>#REF!</v>
      </c>
      <c r="E173" t="e">
        <f>AND(#REF!,"AAAAAHvfvgQ=")</f>
        <v>#REF!</v>
      </c>
      <c r="F173" t="e">
        <f>AND(#REF!,"AAAAAHvfvgU=")</f>
        <v>#REF!</v>
      </c>
      <c r="G173" t="e">
        <f>AND(#REF!,"AAAAAHvfvgY=")</f>
        <v>#REF!</v>
      </c>
      <c r="H173" t="e">
        <f>AND(#REF!,"AAAAAHvfvgc=")</f>
        <v>#REF!</v>
      </c>
      <c r="I173" t="e">
        <f>AND(#REF!,"AAAAAHvfvgg=")</f>
        <v>#REF!</v>
      </c>
      <c r="J173" t="e">
        <f>AND(#REF!,"AAAAAHvfvgk=")</f>
        <v>#REF!</v>
      </c>
      <c r="K173" t="e">
        <f>AND(#REF!,"AAAAAHvfvgo=")</f>
        <v>#REF!</v>
      </c>
      <c r="L173" t="e">
        <f>AND(#REF!,"AAAAAHvfvgs=")</f>
        <v>#REF!</v>
      </c>
      <c r="M173" t="e">
        <f>AND(#REF!,"AAAAAHvfvgw=")</f>
        <v>#REF!</v>
      </c>
      <c r="N173" t="e">
        <f>AND(#REF!,"AAAAAHvfvg0=")</f>
        <v>#REF!</v>
      </c>
      <c r="O173" t="e">
        <f>AND(#REF!,"AAAAAHvfvg4=")</f>
        <v>#REF!</v>
      </c>
      <c r="P173" t="e">
        <f>AND(#REF!,"AAAAAHvfvg8=")</f>
        <v>#REF!</v>
      </c>
      <c r="Q173" t="e">
        <f>AND(#REF!,"AAAAAHvfvhA=")</f>
        <v>#REF!</v>
      </c>
      <c r="R173" t="e">
        <f>AND(#REF!,"AAAAAHvfvhE=")</f>
        <v>#REF!</v>
      </c>
      <c r="S173" t="e">
        <f>AND(#REF!,"AAAAAHvfvhI=")</f>
        <v>#REF!</v>
      </c>
      <c r="T173" t="e">
        <f>AND(#REF!,"AAAAAHvfvhM=")</f>
        <v>#REF!</v>
      </c>
      <c r="U173" t="e">
        <f>AND(#REF!,"AAAAAHvfvhQ=")</f>
        <v>#REF!</v>
      </c>
      <c r="V173" t="e">
        <f>AND(#REF!,"AAAAAHvfvhU=")</f>
        <v>#REF!</v>
      </c>
      <c r="W173" t="e">
        <f>AND(#REF!,"AAAAAHvfvhY=")</f>
        <v>#REF!</v>
      </c>
      <c r="X173" t="e">
        <f>AND(#REF!,"AAAAAHvfvhc=")</f>
        <v>#REF!</v>
      </c>
      <c r="Y173" t="e">
        <f>AND(#REF!,"AAAAAHvfvhg=")</f>
        <v>#REF!</v>
      </c>
      <c r="Z173" t="e">
        <f>AND(#REF!,"AAAAAHvfvhk=")</f>
        <v>#REF!</v>
      </c>
      <c r="AA173" t="e">
        <f>AND(#REF!,"AAAAAHvfvho=")</f>
        <v>#REF!</v>
      </c>
      <c r="AB173" t="e">
        <f>AND(#REF!,"AAAAAHvfvhs=")</f>
        <v>#REF!</v>
      </c>
      <c r="AC173" t="e">
        <f>IF(#REF!,"AAAAAHvfvhw=",0)</f>
        <v>#REF!</v>
      </c>
      <c r="AD173" t="e">
        <f>AND(#REF!,"AAAAAHvfvh0=")</f>
        <v>#REF!</v>
      </c>
      <c r="AE173" t="e">
        <f>AND(#REF!,"AAAAAHvfvh4=")</f>
        <v>#REF!</v>
      </c>
      <c r="AF173" t="e">
        <f>AND(#REF!,"AAAAAHvfvh8=")</f>
        <v>#REF!</v>
      </c>
      <c r="AG173" t="e">
        <f>AND(#REF!,"AAAAAHvfviA=")</f>
        <v>#REF!</v>
      </c>
      <c r="AH173" t="e">
        <f>AND(#REF!,"AAAAAHvfviE=")</f>
        <v>#REF!</v>
      </c>
      <c r="AI173" t="e">
        <f>AND(#REF!,"AAAAAHvfviI=")</f>
        <v>#REF!</v>
      </c>
      <c r="AJ173" t="e">
        <f>AND(#REF!,"AAAAAHvfviM=")</f>
        <v>#REF!</v>
      </c>
      <c r="AK173" t="e">
        <f>AND(#REF!,"AAAAAHvfviQ=")</f>
        <v>#REF!</v>
      </c>
      <c r="AL173" t="e">
        <f>AND(#REF!,"AAAAAHvfviU=")</f>
        <v>#REF!</v>
      </c>
      <c r="AM173" t="e">
        <f>AND(#REF!,"AAAAAHvfviY=")</f>
        <v>#REF!</v>
      </c>
      <c r="AN173" t="e">
        <f>AND(#REF!,"AAAAAHvfvic=")</f>
        <v>#REF!</v>
      </c>
      <c r="AO173" t="e">
        <f>AND(#REF!,"AAAAAHvfvig=")</f>
        <v>#REF!</v>
      </c>
      <c r="AP173" t="e">
        <f>AND(#REF!,"AAAAAHvfvik=")</f>
        <v>#REF!</v>
      </c>
      <c r="AQ173" t="e">
        <f>AND(#REF!,"AAAAAHvfvio=")</f>
        <v>#REF!</v>
      </c>
      <c r="AR173" t="e">
        <f>AND(#REF!,"AAAAAHvfvis=")</f>
        <v>#REF!</v>
      </c>
      <c r="AS173" t="e">
        <f>AND(#REF!,"AAAAAHvfviw=")</f>
        <v>#REF!</v>
      </c>
      <c r="AT173" t="e">
        <f>AND(#REF!,"AAAAAHvfvi0=")</f>
        <v>#REF!</v>
      </c>
      <c r="AU173" t="e">
        <f>AND(#REF!,"AAAAAHvfvi4=")</f>
        <v>#REF!</v>
      </c>
      <c r="AV173" t="e">
        <f>AND(#REF!,"AAAAAHvfvi8=")</f>
        <v>#REF!</v>
      </c>
      <c r="AW173" t="e">
        <f>AND(#REF!,"AAAAAHvfvjA=")</f>
        <v>#REF!</v>
      </c>
      <c r="AX173" t="e">
        <f>AND(#REF!,"AAAAAHvfvjE=")</f>
        <v>#REF!</v>
      </c>
      <c r="AY173" t="e">
        <f>AND(#REF!,"AAAAAHvfvjI=")</f>
        <v>#REF!</v>
      </c>
      <c r="AZ173" t="e">
        <f>AND(#REF!,"AAAAAHvfvjM=")</f>
        <v>#REF!</v>
      </c>
      <c r="BA173" t="e">
        <f>AND(#REF!,"AAAAAHvfvjQ=")</f>
        <v>#REF!</v>
      </c>
      <c r="BB173" t="e">
        <f>IF(#REF!,"AAAAAHvfvjU=",0)</f>
        <v>#REF!</v>
      </c>
      <c r="BC173" t="e">
        <f>AND(#REF!,"AAAAAHvfvjY=")</f>
        <v>#REF!</v>
      </c>
      <c r="BD173" t="e">
        <f>AND(#REF!,"AAAAAHvfvjc=")</f>
        <v>#REF!</v>
      </c>
      <c r="BE173" t="e">
        <f>AND(#REF!,"AAAAAHvfvjg=")</f>
        <v>#REF!</v>
      </c>
      <c r="BF173" t="e">
        <f>AND(#REF!,"AAAAAHvfvjk=")</f>
        <v>#REF!</v>
      </c>
      <c r="BG173" t="e">
        <f>AND(#REF!,"AAAAAHvfvjo=")</f>
        <v>#REF!</v>
      </c>
      <c r="BH173" t="e">
        <f>AND(#REF!,"AAAAAHvfvjs=")</f>
        <v>#REF!</v>
      </c>
      <c r="BI173" t="e">
        <f>AND(#REF!,"AAAAAHvfvjw=")</f>
        <v>#REF!</v>
      </c>
      <c r="BJ173" t="e">
        <f>AND(#REF!,"AAAAAHvfvj0=")</f>
        <v>#REF!</v>
      </c>
      <c r="BK173" t="e">
        <f>AND(#REF!,"AAAAAHvfvj4=")</f>
        <v>#REF!</v>
      </c>
      <c r="BL173" t="e">
        <f>AND(#REF!,"AAAAAHvfvj8=")</f>
        <v>#REF!</v>
      </c>
      <c r="BM173" t="e">
        <f>AND(#REF!,"AAAAAHvfvkA=")</f>
        <v>#REF!</v>
      </c>
      <c r="BN173" t="e">
        <f>AND(#REF!,"AAAAAHvfvkE=")</f>
        <v>#REF!</v>
      </c>
      <c r="BO173" t="e">
        <f>AND(#REF!,"AAAAAHvfvkI=")</f>
        <v>#REF!</v>
      </c>
      <c r="BP173" t="e">
        <f>AND(#REF!,"AAAAAHvfvkM=")</f>
        <v>#REF!</v>
      </c>
      <c r="BQ173" t="e">
        <f>AND(#REF!,"AAAAAHvfvkQ=")</f>
        <v>#REF!</v>
      </c>
      <c r="BR173" t="e">
        <f>AND(#REF!,"AAAAAHvfvkU=")</f>
        <v>#REF!</v>
      </c>
      <c r="BS173" t="e">
        <f>AND(#REF!,"AAAAAHvfvkY=")</f>
        <v>#REF!</v>
      </c>
      <c r="BT173" t="e">
        <f>AND(#REF!,"AAAAAHvfvkc=")</f>
        <v>#REF!</v>
      </c>
      <c r="BU173" t="e">
        <f>AND(#REF!,"AAAAAHvfvkg=")</f>
        <v>#REF!</v>
      </c>
      <c r="BV173" t="e">
        <f>AND(#REF!,"AAAAAHvfvkk=")</f>
        <v>#REF!</v>
      </c>
      <c r="BW173" t="e">
        <f>AND(#REF!,"AAAAAHvfvko=")</f>
        <v>#REF!</v>
      </c>
      <c r="BX173" t="e">
        <f>AND(#REF!,"AAAAAHvfvks=")</f>
        <v>#REF!</v>
      </c>
      <c r="BY173" t="e">
        <f>AND(#REF!,"AAAAAHvfvkw=")</f>
        <v>#REF!</v>
      </c>
      <c r="BZ173" t="e">
        <f>AND(#REF!,"AAAAAHvfvk0=")</f>
        <v>#REF!</v>
      </c>
      <c r="CA173" t="e">
        <f>IF(#REF!,"AAAAAHvfvk4=",0)</f>
        <v>#REF!</v>
      </c>
      <c r="CB173" t="e">
        <f>AND(#REF!,"AAAAAHvfvk8=")</f>
        <v>#REF!</v>
      </c>
      <c r="CC173" t="e">
        <f>AND(#REF!,"AAAAAHvfvlA=")</f>
        <v>#REF!</v>
      </c>
      <c r="CD173" t="e">
        <f>AND(#REF!,"AAAAAHvfvlE=")</f>
        <v>#REF!</v>
      </c>
      <c r="CE173" t="e">
        <f>AND(#REF!,"AAAAAHvfvlI=")</f>
        <v>#REF!</v>
      </c>
      <c r="CF173" t="e">
        <f>AND(#REF!,"AAAAAHvfvlM=")</f>
        <v>#REF!</v>
      </c>
      <c r="CG173" t="e">
        <f>AND(#REF!,"AAAAAHvfvlQ=")</f>
        <v>#REF!</v>
      </c>
      <c r="CH173" t="e">
        <f>AND(#REF!,"AAAAAHvfvlU=")</f>
        <v>#REF!</v>
      </c>
      <c r="CI173" t="e">
        <f>AND(#REF!,"AAAAAHvfvlY=")</f>
        <v>#REF!</v>
      </c>
      <c r="CJ173" t="e">
        <f>AND(#REF!,"AAAAAHvfvlc=")</f>
        <v>#REF!</v>
      </c>
      <c r="CK173" t="e">
        <f>AND(#REF!,"AAAAAHvfvlg=")</f>
        <v>#REF!</v>
      </c>
      <c r="CL173" t="e">
        <f>AND(#REF!,"AAAAAHvfvlk=")</f>
        <v>#REF!</v>
      </c>
      <c r="CM173" t="e">
        <f>AND(#REF!,"AAAAAHvfvlo=")</f>
        <v>#REF!</v>
      </c>
      <c r="CN173" t="e">
        <f>AND(#REF!,"AAAAAHvfvls=")</f>
        <v>#REF!</v>
      </c>
      <c r="CO173" t="e">
        <f>AND(#REF!,"AAAAAHvfvlw=")</f>
        <v>#REF!</v>
      </c>
      <c r="CP173" t="e">
        <f>AND(#REF!,"AAAAAHvfvl0=")</f>
        <v>#REF!</v>
      </c>
      <c r="CQ173" t="e">
        <f>AND(#REF!,"AAAAAHvfvl4=")</f>
        <v>#REF!</v>
      </c>
      <c r="CR173" t="e">
        <f>AND(#REF!,"AAAAAHvfvl8=")</f>
        <v>#REF!</v>
      </c>
      <c r="CS173" t="e">
        <f>AND(#REF!,"AAAAAHvfvmA=")</f>
        <v>#REF!</v>
      </c>
      <c r="CT173" t="e">
        <f>AND(#REF!,"AAAAAHvfvmE=")</f>
        <v>#REF!</v>
      </c>
      <c r="CU173" t="e">
        <f>AND(#REF!,"AAAAAHvfvmI=")</f>
        <v>#REF!</v>
      </c>
      <c r="CV173" t="e">
        <f>AND(#REF!,"AAAAAHvfvmM=")</f>
        <v>#REF!</v>
      </c>
      <c r="CW173" t="e">
        <f>AND(#REF!,"AAAAAHvfvmQ=")</f>
        <v>#REF!</v>
      </c>
      <c r="CX173" t="e">
        <f>AND(#REF!,"AAAAAHvfvmU=")</f>
        <v>#REF!</v>
      </c>
      <c r="CY173" t="e">
        <f>AND(#REF!,"AAAAAHvfvmY=")</f>
        <v>#REF!</v>
      </c>
      <c r="CZ173" t="e">
        <f>IF(#REF!,"AAAAAHvfvmc=",0)</f>
        <v>#REF!</v>
      </c>
      <c r="DA173" t="e">
        <f>AND(#REF!,"AAAAAHvfvmg=")</f>
        <v>#REF!</v>
      </c>
      <c r="DB173" t="e">
        <f>AND(#REF!,"AAAAAHvfvmk=")</f>
        <v>#REF!</v>
      </c>
      <c r="DC173" t="e">
        <f>AND(#REF!,"AAAAAHvfvmo=")</f>
        <v>#REF!</v>
      </c>
      <c r="DD173" t="e">
        <f>AND(#REF!,"AAAAAHvfvms=")</f>
        <v>#REF!</v>
      </c>
      <c r="DE173" t="e">
        <f>AND(#REF!,"AAAAAHvfvmw=")</f>
        <v>#REF!</v>
      </c>
      <c r="DF173" t="e">
        <f>AND(#REF!,"AAAAAHvfvm0=")</f>
        <v>#REF!</v>
      </c>
      <c r="DG173" t="e">
        <f>AND(#REF!,"AAAAAHvfvm4=")</f>
        <v>#REF!</v>
      </c>
      <c r="DH173" t="e">
        <f>AND(#REF!,"AAAAAHvfvm8=")</f>
        <v>#REF!</v>
      </c>
      <c r="DI173" t="e">
        <f>AND(#REF!,"AAAAAHvfvnA=")</f>
        <v>#REF!</v>
      </c>
      <c r="DJ173" t="e">
        <f>AND(#REF!,"AAAAAHvfvnE=")</f>
        <v>#REF!</v>
      </c>
      <c r="DK173" t="e">
        <f>AND(#REF!,"AAAAAHvfvnI=")</f>
        <v>#REF!</v>
      </c>
      <c r="DL173" t="e">
        <f>AND(#REF!,"AAAAAHvfvnM=")</f>
        <v>#REF!</v>
      </c>
      <c r="DM173" t="e">
        <f>AND(#REF!,"AAAAAHvfvnQ=")</f>
        <v>#REF!</v>
      </c>
      <c r="DN173" t="e">
        <f>AND(#REF!,"AAAAAHvfvnU=")</f>
        <v>#REF!</v>
      </c>
      <c r="DO173" t="e">
        <f>AND(#REF!,"AAAAAHvfvnY=")</f>
        <v>#REF!</v>
      </c>
      <c r="DP173" t="e">
        <f>AND(#REF!,"AAAAAHvfvnc=")</f>
        <v>#REF!</v>
      </c>
      <c r="DQ173" t="e">
        <f>AND(#REF!,"AAAAAHvfvng=")</f>
        <v>#REF!</v>
      </c>
      <c r="DR173" t="e">
        <f>AND(#REF!,"AAAAAHvfvnk=")</f>
        <v>#REF!</v>
      </c>
      <c r="DS173" t="e">
        <f>AND(#REF!,"AAAAAHvfvno=")</f>
        <v>#REF!</v>
      </c>
      <c r="DT173" t="e">
        <f>AND(#REF!,"AAAAAHvfvns=")</f>
        <v>#REF!</v>
      </c>
      <c r="DU173" t="e">
        <f>AND(#REF!,"AAAAAHvfvnw=")</f>
        <v>#REF!</v>
      </c>
      <c r="DV173" t="e">
        <f>AND(#REF!,"AAAAAHvfvn0=")</f>
        <v>#REF!</v>
      </c>
      <c r="DW173" t="e">
        <f>AND(#REF!,"AAAAAHvfvn4=")</f>
        <v>#REF!</v>
      </c>
      <c r="DX173" t="e">
        <f>AND(#REF!,"AAAAAHvfvn8=")</f>
        <v>#REF!</v>
      </c>
      <c r="DY173" t="e">
        <f>IF(#REF!,"AAAAAHvfvoA=",0)</f>
        <v>#REF!</v>
      </c>
      <c r="DZ173" t="e">
        <f>AND(#REF!,"AAAAAHvfvoE=")</f>
        <v>#REF!</v>
      </c>
      <c r="EA173" t="e">
        <f>AND(#REF!,"AAAAAHvfvoI=")</f>
        <v>#REF!</v>
      </c>
      <c r="EB173" t="e">
        <f>AND(#REF!,"AAAAAHvfvoM=")</f>
        <v>#REF!</v>
      </c>
      <c r="EC173" t="e">
        <f>AND(#REF!,"AAAAAHvfvoQ=")</f>
        <v>#REF!</v>
      </c>
      <c r="ED173" t="e">
        <f>AND(#REF!,"AAAAAHvfvoU=")</f>
        <v>#REF!</v>
      </c>
      <c r="EE173" t="e">
        <f>AND(#REF!,"AAAAAHvfvoY=")</f>
        <v>#REF!</v>
      </c>
      <c r="EF173" t="e">
        <f>AND(#REF!,"AAAAAHvfvoc=")</f>
        <v>#REF!</v>
      </c>
      <c r="EG173" t="e">
        <f>AND(#REF!,"AAAAAHvfvog=")</f>
        <v>#REF!</v>
      </c>
      <c r="EH173" t="e">
        <f>AND(#REF!,"AAAAAHvfvok=")</f>
        <v>#REF!</v>
      </c>
      <c r="EI173" t="e">
        <f>AND(#REF!,"AAAAAHvfvoo=")</f>
        <v>#REF!</v>
      </c>
      <c r="EJ173" t="e">
        <f>AND(#REF!,"AAAAAHvfvos=")</f>
        <v>#REF!</v>
      </c>
      <c r="EK173" t="e">
        <f>AND(#REF!,"AAAAAHvfvow=")</f>
        <v>#REF!</v>
      </c>
      <c r="EL173" t="e">
        <f>AND(#REF!,"AAAAAHvfvo0=")</f>
        <v>#REF!</v>
      </c>
      <c r="EM173" t="e">
        <f>AND(#REF!,"AAAAAHvfvo4=")</f>
        <v>#REF!</v>
      </c>
      <c r="EN173" t="e">
        <f>AND(#REF!,"AAAAAHvfvo8=")</f>
        <v>#REF!</v>
      </c>
      <c r="EO173" t="e">
        <f>AND(#REF!,"AAAAAHvfvpA=")</f>
        <v>#REF!</v>
      </c>
      <c r="EP173" t="e">
        <f>AND(#REF!,"AAAAAHvfvpE=")</f>
        <v>#REF!</v>
      </c>
      <c r="EQ173" t="e">
        <f>AND(#REF!,"AAAAAHvfvpI=")</f>
        <v>#REF!</v>
      </c>
      <c r="ER173" t="e">
        <f>AND(#REF!,"AAAAAHvfvpM=")</f>
        <v>#REF!</v>
      </c>
      <c r="ES173" t="e">
        <f>AND(#REF!,"AAAAAHvfvpQ=")</f>
        <v>#REF!</v>
      </c>
      <c r="ET173" t="e">
        <f>AND(#REF!,"AAAAAHvfvpU=")</f>
        <v>#REF!</v>
      </c>
      <c r="EU173" t="e">
        <f>AND(#REF!,"AAAAAHvfvpY=")</f>
        <v>#REF!</v>
      </c>
      <c r="EV173" t="e">
        <f>AND(#REF!,"AAAAAHvfvpc=")</f>
        <v>#REF!</v>
      </c>
      <c r="EW173" t="e">
        <f>AND(#REF!,"AAAAAHvfvpg=")</f>
        <v>#REF!</v>
      </c>
      <c r="EX173" t="e">
        <f>IF(#REF!,"AAAAAHvfvpk=",0)</f>
        <v>#REF!</v>
      </c>
      <c r="EY173" t="e">
        <f>AND(#REF!,"AAAAAHvfvpo=")</f>
        <v>#REF!</v>
      </c>
      <c r="EZ173" t="e">
        <f>AND(#REF!,"AAAAAHvfvps=")</f>
        <v>#REF!</v>
      </c>
      <c r="FA173" t="e">
        <f>AND(#REF!,"AAAAAHvfvpw=")</f>
        <v>#REF!</v>
      </c>
      <c r="FB173" t="e">
        <f>AND(#REF!,"AAAAAHvfvp0=")</f>
        <v>#REF!</v>
      </c>
      <c r="FC173" t="e">
        <f>AND(#REF!,"AAAAAHvfvp4=")</f>
        <v>#REF!</v>
      </c>
      <c r="FD173" t="e">
        <f>AND(#REF!,"AAAAAHvfvp8=")</f>
        <v>#REF!</v>
      </c>
      <c r="FE173" t="e">
        <f>AND(#REF!,"AAAAAHvfvqA=")</f>
        <v>#REF!</v>
      </c>
      <c r="FF173" t="e">
        <f>AND(#REF!,"AAAAAHvfvqE=")</f>
        <v>#REF!</v>
      </c>
      <c r="FG173" t="e">
        <f>AND(#REF!,"AAAAAHvfvqI=")</f>
        <v>#REF!</v>
      </c>
      <c r="FH173" t="e">
        <f>AND(#REF!,"AAAAAHvfvqM=")</f>
        <v>#REF!</v>
      </c>
      <c r="FI173" t="e">
        <f>AND(#REF!,"AAAAAHvfvqQ=")</f>
        <v>#REF!</v>
      </c>
      <c r="FJ173" t="e">
        <f>AND(#REF!,"AAAAAHvfvqU=")</f>
        <v>#REF!</v>
      </c>
      <c r="FK173" t="e">
        <f>AND(#REF!,"AAAAAHvfvqY=")</f>
        <v>#REF!</v>
      </c>
      <c r="FL173" t="e">
        <f>AND(#REF!,"AAAAAHvfvqc=")</f>
        <v>#REF!</v>
      </c>
      <c r="FM173" t="e">
        <f>AND(#REF!,"AAAAAHvfvqg=")</f>
        <v>#REF!</v>
      </c>
      <c r="FN173" t="e">
        <f>AND(#REF!,"AAAAAHvfvqk=")</f>
        <v>#REF!</v>
      </c>
      <c r="FO173" t="e">
        <f>AND(#REF!,"AAAAAHvfvqo=")</f>
        <v>#REF!</v>
      </c>
      <c r="FP173" t="e">
        <f>AND(#REF!,"AAAAAHvfvqs=")</f>
        <v>#REF!</v>
      </c>
      <c r="FQ173" t="e">
        <f>AND(#REF!,"AAAAAHvfvqw=")</f>
        <v>#REF!</v>
      </c>
      <c r="FR173" t="e">
        <f>AND(#REF!,"AAAAAHvfvq0=")</f>
        <v>#REF!</v>
      </c>
      <c r="FS173" t="e">
        <f>AND(#REF!,"AAAAAHvfvq4=")</f>
        <v>#REF!</v>
      </c>
      <c r="FT173" t="e">
        <f>AND(#REF!,"AAAAAHvfvq8=")</f>
        <v>#REF!</v>
      </c>
      <c r="FU173" t="e">
        <f>AND(#REF!,"AAAAAHvfvrA=")</f>
        <v>#REF!</v>
      </c>
      <c r="FV173" t="e">
        <f>AND(#REF!,"AAAAAHvfvrE=")</f>
        <v>#REF!</v>
      </c>
      <c r="FW173" t="e">
        <f>IF(#REF!,"AAAAAHvfvrI=",0)</f>
        <v>#REF!</v>
      </c>
      <c r="FX173" t="e">
        <f>AND(#REF!,"AAAAAHvfvrM=")</f>
        <v>#REF!</v>
      </c>
      <c r="FY173" t="e">
        <f>AND(#REF!,"AAAAAHvfvrQ=")</f>
        <v>#REF!</v>
      </c>
      <c r="FZ173" t="e">
        <f>AND(#REF!,"AAAAAHvfvrU=")</f>
        <v>#REF!</v>
      </c>
      <c r="GA173" t="e">
        <f>AND(#REF!,"AAAAAHvfvrY=")</f>
        <v>#REF!</v>
      </c>
      <c r="GB173" t="e">
        <f>AND(#REF!,"AAAAAHvfvrc=")</f>
        <v>#REF!</v>
      </c>
      <c r="GC173" t="e">
        <f>AND(#REF!,"AAAAAHvfvrg=")</f>
        <v>#REF!</v>
      </c>
      <c r="GD173" t="e">
        <f>AND(#REF!,"AAAAAHvfvrk=")</f>
        <v>#REF!</v>
      </c>
      <c r="GE173" t="e">
        <f>AND(#REF!,"AAAAAHvfvro=")</f>
        <v>#REF!</v>
      </c>
      <c r="GF173" t="e">
        <f>AND(#REF!,"AAAAAHvfvrs=")</f>
        <v>#REF!</v>
      </c>
      <c r="GG173" t="e">
        <f>AND(#REF!,"AAAAAHvfvrw=")</f>
        <v>#REF!</v>
      </c>
      <c r="GH173" t="e">
        <f>AND(#REF!,"AAAAAHvfvr0=")</f>
        <v>#REF!</v>
      </c>
      <c r="GI173" t="e">
        <f>AND(#REF!,"AAAAAHvfvr4=")</f>
        <v>#REF!</v>
      </c>
      <c r="GJ173" t="e">
        <f>AND(#REF!,"AAAAAHvfvr8=")</f>
        <v>#REF!</v>
      </c>
      <c r="GK173" t="e">
        <f>AND(#REF!,"AAAAAHvfvsA=")</f>
        <v>#REF!</v>
      </c>
      <c r="GL173" t="e">
        <f>AND(#REF!,"AAAAAHvfvsE=")</f>
        <v>#REF!</v>
      </c>
      <c r="GM173" t="e">
        <f>AND(#REF!,"AAAAAHvfvsI=")</f>
        <v>#REF!</v>
      </c>
      <c r="GN173" t="e">
        <f>AND(#REF!,"AAAAAHvfvsM=")</f>
        <v>#REF!</v>
      </c>
      <c r="GO173" t="e">
        <f>AND(#REF!,"AAAAAHvfvsQ=")</f>
        <v>#REF!</v>
      </c>
      <c r="GP173" t="e">
        <f>AND(#REF!,"AAAAAHvfvsU=")</f>
        <v>#REF!</v>
      </c>
      <c r="GQ173" t="e">
        <f>AND(#REF!,"AAAAAHvfvsY=")</f>
        <v>#REF!</v>
      </c>
      <c r="GR173" t="e">
        <f>AND(#REF!,"AAAAAHvfvsc=")</f>
        <v>#REF!</v>
      </c>
      <c r="GS173" t="e">
        <f>AND(#REF!,"AAAAAHvfvsg=")</f>
        <v>#REF!</v>
      </c>
      <c r="GT173" t="e">
        <f>AND(#REF!,"AAAAAHvfvsk=")</f>
        <v>#REF!</v>
      </c>
      <c r="GU173" t="e">
        <f>AND(#REF!,"AAAAAHvfvso=")</f>
        <v>#REF!</v>
      </c>
      <c r="GV173" t="e">
        <f>IF(#REF!,"AAAAAHvfvss=",0)</f>
        <v>#REF!</v>
      </c>
      <c r="GW173" t="e">
        <f>AND(#REF!,"AAAAAHvfvsw=")</f>
        <v>#REF!</v>
      </c>
      <c r="GX173" t="e">
        <f>AND(#REF!,"AAAAAHvfvs0=")</f>
        <v>#REF!</v>
      </c>
      <c r="GY173" t="e">
        <f>AND(#REF!,"AAAAAHvfvs4=")</f>
        <v>#REF!</v>
      </c>
      <c r="GZ173" t="e">
        <f>AND(#REF!,"AAAAAHvfvs8=")</f>
        <v>#REF!</v>
      </c>
      <c r="HA173" t="e">
        <f>AND(#REF!,"AAAAAHvfvtA=")</f>
        <v>#REF!</v>
      </c>
      <c r="HB173" t="e">
        <f>AND(#REF!,"AAAAAHvfvtE=")</f>
        <v>#REF!</v>
      </c>
      <c r="HC173" t="e">
        <f>AND(#REF!,"AAAAAHvfvtI=")</f>
        <v>#REF!</v>
      </c>
      <c r="HD173" t="e">
        <f>AND(#REF!,"AAAAAHvfvtM=")</f>
        <v>#REF!</v>
      </c>
      <c r="HE173" t="e">
        <f>AND(#REF!,"AAAAAHvfvtQ=")</f>
        <v>#REF!</v>
      </c>
      <c r="HF173" t="e">
        <f>AND(#REF!,"AAAAAHvfvtU=")</f>
        <v>#REF!</v>
      </c>
      <c r="HG173" t="e">
        <f>AND(#REF!,"AAAAAHvfvtY=")</f>
        <v>#REF!</v>
      </c>
      <c r="HH173" t="e">
        <f>AND(#REF!,"AAAAAHvfvtc=")</f>
        <v>#REF!</v>
      </c>
      <c r="HI173" t="e">
        <f>AND(#REF!,"AAAAAHvfvtg=")</f>
        <v>#REF!</v>
      </c>
      <c r="HJ173" t="e">
        <f>AND(#REF!,"AAAAAHvfvtk=")</f>
        <v>#REF!</v>
      </c>
      <c r="HK173" t="e">
        <f>AND(#REF!,"AAAAAHvfvto=")</f>
        <v>#REF!</v>
      </c>
      <c r="HL173" t="e">
        <f>AND(#REF!,"AAAAAHvfvts=")</f>
        <v>#REF!</v>
      </c>
      <c r="HM173" t="e">
        <f>AND(#REF!,"AAAAAHvfvtw=")</f>
        <v>#REF!</v>
      </c>
      <c r="HN173" t="e">
        <f>AND(#REF!,"AAAAAHvfvt0=")</f>
        <v>#REF!</v>
      </c>
      <c r="HO173" t="e">
        <f>AND(#REF!,"AAAAAHvfvt4=")</f>
        <v>#REF!</v>
      </c>
      <c r="HP173" t="e">
        <f>AND(#REF!,"AAAAAHvfvt8=")</f>
        <v>#REF!</v>
      </c>
      <c r="HQ173" t="e">
        <f>AND(#REF!,"AAAAAHvfvuA=")</f>
        <v>#REF!</v>
      </c>
      <c r="HR173" t="e">
        <f>AND(#REF!,"AAAAAHvfvuE=")</f>
        <v>#REF!</v>
      </c>
      <c r="HS173" t="e">
        <f>AND(#REF!,"AAAAAHvfvuI=")</f>
        <v>#REF!</v>
      </c>
      <c r="HT173" t="e">
        <f>AND(#REF!,"AAAAAHvfvuM=")</f>
        <v>#REF!</v>
      </c>
      <c r="HU173" t="e">
        <f>IF(#REF!,"AAAAAHvfvuQ=",0)</f>
        <v>#REF!</v>
      </c>
      <c r="HV173" t="e">
        <f>AND(#REF!,"AAAAAHvfvuU=")</f>
        <v>#REF!</v>
      </c>
      <c r="HW173" t="e">
        <f>AND(#REF!,"AAAAAHvfvuY=")</f>
        <v>#REF!</v>
      </c>
      <c r="HX173" t="e">
        <f>AND(#REF!,"AAAAAHvfvuc=")</f>
        <v>#REF!</v>
      </c>
      <c r="HY173" t="e">
        <f>AND(#REF!,"AAAAAHvfvug=")</f>
        <v>#REF!</v>
      </c>
      <c r="HZ173" t="e">
        <f>AND(#REF!,"AAAAAHvfvuk=")</f>
        <v>#REF!</v>
      </c>
      <c r="IA173" t="e">
        <f>AND(#REF!,"AAAAAHvfvuo=")</f>
        <v>#REF!</v>
      </c>
      <c r="IB173" t="e">
        <f>AND(#REF!,"AAAAAHvfvus=")</f>
        <v>#REF!</v>
      </c>
      <c r="IC173" t="e">
        <f>AND(#REF!,"AAAAAHvfvuw=")</f>
        <v>#REF!</v>
      </c>
      <c r="ID173" t="e">
        <f>AND(#REF!,"AAAAAHvfvu0=")</f>
        <v>#REF!</v>
      </c>
      <c r="IE173" t="e">
        <f>AND(#REF!,"AAAAAHvfvu4=")</f>
        <v>#REF!</v>
      </c>
      <c r="IF173" t="e">
        <f>AND(#REF!,"AAAAAHvfvu8=")</f>
        <v>#REF!</v>
      </c>
      <c r="IG173" t="e">
        <f>AND(#REF!,"AAAAAHvfvvA=")</f>
        <v>#REF!</v>
      </c>
      <c r="IH173" t="e">
        <f>AND(#REF!,"AAAAAHvfvvE=")</f>
        <v>#REF!</v>
      </c>
      <c r="II173" t="e">
        <f>AND(#REF!,"AAAAAHvfvvI=")</f>
        <v>#REF!</v>
      </c>
      <c r="IJ173" t="e">
        <f>AND(#REF!,"AAAAAHvfvvM=")</f>
        <v>#REF!</v>
      </c>
      <c r="IK173" t="e">
        <f>AND(#REF!,"AAAAAHvfvvQ=")</f>
        <v>#REF!</v>
      </c>
      <c r="IL173" t="e">
        <f>AND(#REF!,"AAAAAHvfvvU=")</f>
        <v>#REF!</v>
      </c>
      <c r="IM173" t="e">
        <f>AND(#REF!,"AAAAAHvfvvY=")</f>
        <v>#REF!</v>
      </c>
      <c r="IN173" t="e">
        <f>AND(#REF!,"AAAAAHvfvvc=")</f>
        <v>#REF!</v>
      </c>
      <c r="IO173" t="e">
        <f>AND(#REF!,"AAAAAHvfvvg=")</f>
        <v>#REF!</v>
      </c>
      <c r="IP173" t="e">
        <f>AND(#REF!,"AAAAAHvfvvk=")</f>
        <v>#REF!</v>
      </c>
      <c r="IQ173" t="e">
        <f>AND(#REF!,"AAAAAHvfvvo=")</f>
        <v>#REF!</v>
      </c>
      <c r="IR173" t="e">
        <f>AND(#REF!,"AAAAAHvfvvs=")</f>
        <v>#REF!</v>
      </c>
      <c r="IS173" t="e">
        <f>AND(#REF!,"AAAAAHvfvvw=")</f>
        <v>#REF!</v>
      </c>
      <c r="IT173" t="e">
        <f>IF(#REF!,"AAAAAHvfvv0=",0)</f>
        <v>#REF!</v>
      </c>
      <c r="IU173" t="e">
        <f>AND(#REF!,"AAAAAHvfvv4=")</f>
        <v>#REF!</v>
      </c>
      <c r="IV173" t="e">
        <f>AND(#REF!,"AAAAAHvfvv8=")</f>
        <v>#REF!</v>
      </c>
    </row>
    <row r="174" spans="1:256">
      <c r="A174" t="e">
        <f>AND(#REF!,"AAAAABmzLgA=")</f>
        <v>#REF!</v>
      </c>
      <c r="B174" t="e">
        <f>AND(#REF!,"AAAAABmzLgE=")</f>
        <v>#REF!</v>
      </c>
      <c r="C174" t="e">
        <f>AND(#REF!,"AAAAABmzLgI=")</f>
        <v>#REF!</v>
      </c>
      <c r="D174" t="e">
        <f>AND(#REF!,"AAAAABmzLgM=")</f>
        <v>#REF!</v>
      </c>
      <c r="E174" t="e">
        <f>AND(#REF!,"AAAAABmzLgQ=")</f>
        <v>#REF!</v>
      </c>
      <c r="F174" t="e">
        <f>AND(#REF!,"AAAAABmzLgU=")</f>
        <v>#REF!</v>
      </c>
      <c r="G174" t="e">
        <f>AND(#REF!,"AAAAABmzLgY=")</f>
        <v>#REF!</v>
      </c>
      <c r="H174" t="e">
        <f>AND(#REF!,"AAAAABmzLgc=")</f>
        <v>#REF!</v>
      </c>
      <c r="I174" t="e">
        <f>AND(#REF!,"AAAAABmzLgg=")</f>
        <v>#REF!</v>
      </c>
      <c r="J174" t="e">
        <f>AND(#REF!,"AAAAABmzLgk=")</f>
        <v>#REF!</v>
      </c>
      <c r="K174" t="e">
        <f>AND(#REF!,"AAAAABmzLgo=")</f>
        <v>#REF!</v>
      </c>
      <c r="L174" t="e">
        <f>AND(#REF!,"AAAAABmzLgs=")</f>
        <v>#REF!</v>
      </c>
      <c r="M174" t="e">
        <f>AND(#REF!,"AAAAABmzLgw=")</f>
        <v>#REF!</v>
      </c>
      <c r="N174" t="e">
        <f>AND(#REF!,"AAAAABmzLg0=")</f>
        <v>#REF!</v>
      </c>
      <c r="O174" t="e">
        <f>AND(#REF!,"AAAAABmzLg4=")</f>
        <v>#REF!</v>
      </c>
      <c r="P174" t="e">
        <f>AND(#REF!,"AAAAABmzLg8=")</f>
        <v>#REF!</v>
      </c>
      <c r="Q174" t="e">
        <f>AND(#REF!,"AAAAABmzLhA=")</f>
        <v>#REF!</v>
      </c>
      <c r="R174" t="e">
        <f>AND(#REF!,"AAAAABmzLhE=")</f>
        <v>#REF!</v>
      </c>
      <c r="S174" t="e">
        <f>AND(#REF!,"AAAAABmzLhI=")</f>
        <v>#REF!</v>
      </c>
      <c r="T174" t="e">
        <f>AND(#REF!,"AAAAABmzLhM=")</f>
        <v>#REF!</v>
      </c>
      <c r="U174" t="e">
        <f>AND(#REF!,"AAAAABmzLhQ=")</f>
        <v>#REF!</v>
      </c>
      <c r="V174" t="e">
        <f>AND(#REF!,"AAAAABmzLhU=")</f>
        <v>#REF!</v>
      </c>
      <c r="W174" t="e">
        <f>IF(#REF!,"AAAAABmzLhY=",0)</f>
        <v>#REF!</v>
      </c>
      <c r="X174" t="e">
        <f>AND(#REF!,"AAAAABmzLhc=")</f>
        <v>#REF!</v>
      </c>
      <c r="Y174" t="e">
        <f>AND(#REF!,"AAAAABmzLhg=")</f>
        <v>#REF!</v>
      </c>
      <c r="Z174" t="e">
        <f>AND(#REF!,"AAAAABmzLhk=")</f>
        <v>#REF!</v>
      </c>
      <c r="AA174" t="e">
        <f>AND(#REF!,"AAAAABmzLho=")</f>
        <v>#REF!</v>
      </c>
      <c r="AB174" t="e">
        <f>AND(#REF!,"AAAAABmzLhs=")</f>
        <v>#REF!</v>
      </c>
      <c r="AC174" t="e">
        <f>AND(#REF!,"AAAAABmzLhw=")</f>
        <v>#REF!</v>
      </c>
      <c r="AD174" t="e">
        <f>AND(#REF!,"AAAAABmzLh0=")</f>
        <v>#REF!</v>
      </c>
      <c r="AE174" t="e">
        <f>AND(#REF!,"AAAAABmzLh4=")</f>
        <v>#REF!</v>
      </c>
      <c r="AF174" t="e">
        <f>AND(#REF!,"AAAAABmzLh8=")</f>
        <v>#REF!</v>
      </c>
      <c r="AG174" t="e">
        <f>AND(#REF!,"AAAAABmzLiA=")</f>
        <v>#REF!</v>
      </c>
      <c r="AH174" t="e">
        <f>AND(#REF!,"AAAAABmzLiE=")</f>
        <v>#REF!</v>
      </c>
      <c r="AI174" t="e">
        <f>AND(#REF!,"AAAAABmzLiI=")</f>
        <v>#REF!</v>
      </c>
      <c r="AJ174" t="e">
        <f>AND(#REF!,"AAAAABmzLiM=")</f>
        <v>#REF!</v>
      </c>
      <c r="AK174" t="e">
        <f>AND(#REF!,"AAAAABmzLiQ=")</f>
        <v>#REF!</v>
      </c>
      <c r="AL174" t="e">
        <f>AND(#REF!,"AAAAABmzLiU=")</f>
        <v>#REF!</v>
      </c>
      <c r="AM174" t="e">
        <f>AND(#REF!,"AAAAABmzLiY=")</f>
        <v>#REF!</v>
      </c>
      <c r="AN174" t="e">
        <f>AND(#REF!,"AAAAABmzLic=")</f>
        <v>#REF!</v>
      </c>
      <c r="AO174" t="e">
        <f>AND(#REF!,"AAAAABmzLig=")</f>
        <v>#REF!</v>
      </c>
      <c r="AP174" t="e">
        <f>AND(#REF!,"AAAAABmzLik=")</f>
        <v>#REF!</v>
      </c>
      <c r="AQ174" t="e">
        <f>AND(#REF!,"AAAAABmzLio=")</f>
        <v>#REF!</v>
      </c>
      <c r="AR174" t="e">
        <f>AND(#REF!,"AAAAABmzLis=")</f>
        <v>#REF!</v>
      </c>
      <c r="AS174" t="e">
        <f>AND(#REF!,"AAAAABmzLiw=")</f>
        <v>#REF!</v>
      </c>
      <c r="AT174" t="e">
        <f>AND(#REF!,"AAAAABmzLi0=")</f>
        <v>#REF!</v>
      </c>
      <c r="AU174" t="e">
        <f>AND(#REF!,"AAAAABmzLi4=")</f>
        <v>#REF!</v>
      </c>
      <c r="AV174" t="e">
        <f>IF(#REF!,"AAAAABmzLi8=",0)</f>
        <v>#REF!</v>
      </c>
      <c r="AW174" t="e">
        <f>AND(#REF!,"AAAAABmzLjA=")</f>
        <v>#REF!</v>
      </c>
      <c r="AX174" t="e">
        <f>AND(#REF!,"AAAAABmzLjE=")</f>
        <v>#REF!</v>
      </c>
      <c r="AY174" t="e">
        <f>AND(#REF!,"AAAAABmzLjI=")</f>
        <v>#REF!</v>
      </c>
      <c r="AZ174" t="e">
        <f>AND(#REF!,"AAAAABmzLjM=")</f>
        <v>#REF!</v>
      </c>
      <c r="BA174" t="e">
        <f>AND(#REF!,"AAAAABmzLjQ=")</f>
        <v>#REF!</v>
      </c>
      <c r="BB174" t="e">
        <f>AND(#REF!,"AAAAABmzLjU=")</f>
        <v>#REF!</v>
      </c>
      <c r="BC174" t="e">
        <f>AND(#REF!,"AAAAABmzLjY=")</f>
        <v>#REF!</v>
      </c>
      <c r="BD174" t="e">
        <f>AND(#REF!,"AAAAABmzLjc=")</f>
        <v>#REF!</v>
      </c>
      <c r="BE174" t="e">
        <f>AND(#REF!,"AAAAABmzLjg=")</f>
        <v>#REF!</v>
      </c>
      <c r="BF174" t="e">
        <f>AND(#REF!,"AAAAABmzLjk=")</f>
        <v>#REF!</v>
      </c>
      <c r="BG174" t="e">
        <f>AND(#REF!,"AAAAABmzLjo=")</f>
        <v>#REF!</v>
      </c>
      <c r="BH174" t="e">
        <f>AND(#REF!,"AAAAABmzLjs=")</f>
        <v>#REF!</v>
      </c>
      <c r="BI174" t="e">
        <f>AND(#REF!,"AAAAABmzLjw=")</f>
        <v>#REF!</v>
      </c>
      <c r="BJ174" t="e">
        <f>AND(#REF!,"AAAAABmzLj0=")</f>
        <v>#REF!</v>
      </c>
      <c r="BK174" t="e">
        <f>AND(#REF!,"AAAAABmzLj4=")</f>
        <v>#REF!</v>
      </c>
      <c r="BL174" t="e">
        <f>AND(#REF!,"AAAAABmzLj8=")</f>
        <v>#REF!</v>
      </c>
      <c r="BM174" t="e">
        <f>AND(#REF!,"AAAAABmzLkA=")</f>
        <v>#REF!</v>
      </c>
      <c r="BN174" t="e">
        <f>AND(#REF!,"AAAAABmzLkE=")</f>
        <v>#REF!</v>
      </c>
      <c r="BO174" t="e">
        <f>AND(#REF!,"AAAAABmzLkI=")</f>
        <v>#REF!</v>
      </c>
      <c r="BP174" t="e">
        <f>AND(#REF!,"AAAAABmzLkM=")</f>
        <v>#REF!</v>
      </c>
      <c r="BQ174" t="e">
        <f>AND(#REF!,"AAAAABmzLkQ=")</f>
        <v>#REF!</v>
      </c>
      <c r="BR174" t="e">
        <f>AND(#REF!,"AAAAABmzLkU=")</f>
        <v>#REF!</v>
      </c>
      <c r="BS174" t="e">
        <f>AND(#REF!,"AAAAABmzLkY=")</f>
        <v>#REF!</v>
      </c>
      <c r="BT174" t="e">
        <f>AND(#REF!,"AAAAABmzLkc=")</f>
        <v>#REF!</v>
      </c>
      <c r="BU174" t="e">
        <f>IF(#REF!,"AAAAABmzLkg=",0)</f>
        <v>#REF!</v>
      </c>
      <c r="BV174" t="e">
        <f>AND(#REF!,"AAAAABmzLkk=")</f>
        <v>#REF!</v>
      </c>
      <c r="BW174" t="e">
        <f>AND(#REF!,"AAAAABmzLko=")</f>
        <v>#REF!</v>
      </c>
      <c r="BX174" t="e">
        <f>AND(#REF!,"AAAAABmzLks=")</f>
        <v>#REF!</v>
      </c>
      <c r="BY174" t="e">
        <f>AND(#REF!,"AAAAABmzLkw=")</f>
        <v>#REF!</v>
      </c>
      <c r="BZ174" t="e">
        <f>AND(#REF!,"AAAAABmzLk0=")</f>
        <v>#REF!</v>
      </c>
      <c r="CA174" t="e">
        <f>AND(#REF!,"AAAAABmzLk4=")</f>
        <v>#REF!</v>
      </c>
      <c r="CB174" t="e">
        <f>AND(#REF!,"AAAAABmzLk8=")</f>
        <v>#REF!</v>
      </c>
      <c r="CC174" t="e">
        <f>AND(#REF!,"AAAAABmzLlA=")</f>
        <v>#REF!</v>
      </c>
      <c r="CD174" t="e">
        <f>AND(#REF!,"AAAAABmzLlE=")</f>
        <v>#REF!</v>
      </c>
      <c r="CE174" t="e">
        <f>AND(#REF!,"AAAAABmzLlI=")</f>
        <v>#REF!</v>
      </c>
      <c r="CF174" t="e">
        <f>AND(#REF!,"AAAAABmzLlM=")</f>
        <v>#REF!</v>
      </c>
      <c r="CG174" t="e">
        <f>AND(#REF!,"AAAAABmzLlQ=")</f>
        <v>#REF!</v>
      </c>
      <c r="CH174" t="e">
        <f>AND(#REF!,"AAAAABmzLlU=")</f>
        <v>#REF!</v>
      </c>
      <c r="CI174" t="e">
        <f>AND(#REF!,"AAAAABmzLlY=")</f>
        <v>#REF!</v>
      </c>
      <c r="CJ174" t="e">
        <f>AND(#REF!,"AAAAABmzLlc=")</f>
        <v>#REF!</v>
      </c>
      <c r="CK174" t="e">
        <f>AND(#REF!,"AAAAABmzLlg=")</f>
        <v>#REF!</v>
      </c>
      <c r="CL174" t="e">
        <f>AND(#REF!,"AAAAABmzLlk=")</f>
        <v>#REF!</v>
      </c>
      <c r="CM174" t="e">
        <f>AND(#REF!,"AAAAABmzLlo=")</f>
        <v>#REF!</v>
      </c>
      <c r="CN174" t="e">
        <f>AND(#REF!,"AAAAABmzLls=")</f>
        <v>#REF!</v>
      </c>
      <c r="CO174" t="e">
        <f>AND(#REF!,"AAAAABmzLlw=")</f>
        <v>#REF!</v>
      </c>
      <c r="CP174" t="e">
        <f>AND(#REF!,"AAAAABmzLl0=")</f>
        <v>#REF!</v>
      </c>
      <c r="CQ174" t="e">
        <f>AND(#REF!,"AAAAABmzLl4=")</f>
        <v>#REF!</v>
      </c>
      <c r="CR174" t="e">
        <f>AND(#REF!,"AAAAABmzLl8=")</f>
        <v>#REF!</v>
      </c>
      <c r="CS174" t="e">
        <f>AND(#REF!,"AAAAABmzLmA=")</f>
        <v>#REF!</v>
      </c>
      <c r="CT174" t="e">
        <f>IF(#REF!,"AAAAABmzLmE=",0)</f>
        <v>#REF!</v>
      </c>
      <c r="CU174" t="e">
        <f>AND(#REF!,"AAAAABmzLmI=")</f>
        <v>#REF!</v>
      </c>
      <c r="CV174" t="e">
        <f>AND(#REF!,"AAAAABmzLmM=")</f>
        <v>#REF!</v>
      </c>
      <c r="CW174" t="e">
        <f>AND(#REF!,"AAAAABmzLmQ=")</f>
        <v>#REF!</v>
      </c>
      <c r="CX174" t="e">
        <f>AND(#REF!,"AAAAABmzLmU=")</f>
        <v>#REF!</v>
      </c>
      <c r="CY174" t="e">
        <f>AND(#REF!,"AAAAABmzLmY=")</f>
        <v>#REF!</v>
      </c>
      <c r="CZ174" t="e">
        <f>AND(#REF!,"AAAAABmzLmc=")</f>
        <v>#REF!</v>
      </c>
      <c r="DA174" t="e">
        <f>AND(#REF!,"AAAAABmzLmg=")</f>
        <v>#REF!</v>
      </c>
      <c r="DB174" t="e">
        <f>AND(#REF!,"AAAAABmzLmk=")</f>
        <v>#REF!</v>
      </c>
      <c r="DC174" t="e">
        <f>AND(#REF!,"AAAAABmzLmo=")</f>
        <v>#REF!</v>
      </c>
      <c r="DD174" t="e">
        <f>AND(#REF!,"AAAAABmzLms=")</f>
        <v>#REF!</v>
      </c>
      <c r="DE174" t="e">
        <f>AND(#REF!,"AAAAABmzLmw=")</f>
        <v>#REF!</v>
      </c>
      <c r="DF174" t="e">
        <f>AND(#REF!,"AAAAABmzLm0=")</f>
        <v>#REF!</v>
      </c>
      <c r="DG174" t="e">
        <f>AND(#REF!,"AAAAABmzLm4=")</f>
        <v>#REF!</v>
      </c>
      <c r="DH174" t="e">
        <f>AND(#REF!,"AAAAABmzLm8=")</f>
        <v>#REF!</v>
      </c>
      <c r="DI174" t="e">
        <f>AND(#REF!,"AAAAABmzLnA=")</f>
        <v>#REF!</v>
      </c>
      <c r="DJ174" t="e">
        <f>AND(#REF!,"AAAAABmzLnE=")</f>
        <v>#REF!</v>
      </c>
      <c r="DK174" t="e">
        <f>AND(#REF!,"AAAAABmzLnI=")</f>
        <v>#REF!</v>
      </c>
      <c r="DL174" t="e">
        <f>AND(#REF!,"AAAAABmzLnM=")</f>
        <v>#REF!</v>
      </c>
      <c r="DM174" t="e">
        <f>AND(#REF!,"AAAAABmzLnQ=")</f>
        <v>#REF!</v>
      </c>
      <c r="DN174" t="e">
        <f>AND(#REF!,"AAAAABmzLnU=")</f>
        <v>#REF!</v>
      </c>
      <c r="DO174" t="e">
        <f>AND(#REF!,"AAAAABmzLnY=")</f>
        <v>#REF!</v>
      </c>
      <c r="DP174" t="e">
        <f>AND(#REF!,"AAAAABmzLnc=")</f>
        <v>#REF!</v>
      </c>
      <c r="DQ174" t="e">
        <f>AND(#REF!,"AAAAABmzLng=")</f>
        <v>#REF!</v>
      </c>
      <c r="DR174" t="e">
        <f>AND(#REF!,"AAAAABmzLnk=")</f>
        <v>#REF!</v>
      </c>
      <c r="DS174" t="e">
        <f>IF(#REF!,"AAAAABmzLno=",0)</f>
        <v>#REF!</v>
      </c>
      <c r="DT174" t="e">
        <f>AND(#REF!,"AAAAABmzLns=")</f>
        <v>#REF!</v>
      </c>
      <c r="DU174" t="e">
        <f>AND(#REF!,"AAAAABmzLnw=")</f>
        <v>#REF!</v>
      </c>
      <c r="DV174" t="e">
        <f>AND(#REF!,"AAAAABmzLn0=")</f>
        <v>#REF!</v>
      </c>
      <c r="DW174" t="e">
        <f>AND(#REF!,"AAAAABmzLn4=")</f>
        <v>#REF!</v>
      </c>
      <c r="DX174" t="e">
        <f>AND(#REF!,"AAAAABmzLn8=")</f>
        <v>#REF!</v>
      </c>
      <c r="DY174" t="e">
        <f>AND(#REF!,"AAAAABmzLoA=")</f>
        <v>#REF!</v>
      </c>
      <c r="DZ174" t="e">
        <f>AND(#REF!,"AAAAABmzLoE=")</f>
        <v>#REF!</v>
      </c>
      <c r="EA174" t="e">
        <f>AND(#REF!,"AAAAABmzLoI=")</f>
        <v>#REF!</v>
      </c>
      <c r="EB174" t="e">
        <f>AND(#REF!,"AAAAABmzLoM=")</f>
        <v>#REF!</v>
      </c>
      <c r="EC174" t="e">
        <f>AND(#REF!,"AAAAABmzLoQ=")</f>
        <v>#REF!</v>
      </c>
      <c r="ED174" t="e">
        <f>AND(#REF!,"AAAAABmzLoU=")</f>
        <v>#REF!</v>
      </c>
      <c r="EE174" t="e">
        <f>AND(#REF!,"AAAAABmzLoY=")</f>
        <v>#REF!</v>
      </c>
      <c r="EF174" t="e">
        <f>AND(#REF!,"AAAAABmzLoc=")</f>
        <v>#REF!</v>
      </c>
      <c r="EG174" t="e">
        <f>AND(#REF!,"AAAAABmzLog=")</f>
        <v>#REF!</v>
      </c>
      <c r="EH174" t="e">
        <f>AND(#REF!,"AAAAABmzLok=")</f>
        <v>#REF!</v>
      </c>
      <c r="EI174" t="e">
        <f>AND(#REF!,"AAAAABmzLoo=")</f>
        <v>#REF!</v>
      </c>
      <c r="EJ174" t="e">
        <f>AND(#REF!,"AAAAABmzLos=")</f>
        <v>#REF!</v>
      </c>
      <c r="EK174" t="e">
        <f>AND(#REF!,"AAAAABmzLow=")</f>
        <v>#REF!</v>
      </c>
      <c r="EL174" t="e">
        <f>AND(#REF!,"AAAAABmzLo0=")</f>
        <v>#REF!</v>
      </c>
      <c r="EM174" t="e">
        <f>AND(#REF!,"AAAAABmzLo4=")</f>
        <v>#REF!</v>
      </c>
      <c r="EN174" t="e">
        <f>AND(#REF!,"AAAAABmzLo8=")</f>
        <v>#REF!</v>
      </c>
      <c r="EO174" t="e">
        <f>AND(#REF!,"AAAAABmzLpA=")</f>
        <v>#REF!</v>
      </c>
      <c r="EP174" t="e">
        <f>AND(#REF!,"AAAAABmzLpE=")</f>
        <v>#REF!</v>
      </c>
      <c r="EQ174" t="e">
        <f>AND(#REF!,"AAAAABmzLpI=")</f>
        <v>#REF!</v>
      </c>
      <c r="ER174" t="e">
        <f>IF(#REF!,"AAAAABmzLpM=",0)</f>
        <v>#REF!</v>
      </c>
      <c r="ES174" t="e">
        <f>AND(#REF!,"AAAAABmzLpQ=")</f>
        <v>#REF!</v>
      </c>
      <c r="ET174" t="e">
        <f>AND(#REF!,"AAAAABmzLpU=")</f>
        <v>#REF!</v>
      </c>
      <c r="EU174" t="e">
        <f>AND(#REF!,"AAAAABmzLpY=")</f>
        <v>#REF!</v>
      </c>
      <c r="EV174" t="e">
        <f>AND(#REF!,"AAAAABmzLpc=")</f>
        <v>#REF!</v>
      </c>
      <c r="EW174" t="e">
        <f>AND(#REF!,"AAAAABmzLpg=")</f>
        <v>#REF!</v>
      </c>
      <c r="EX174" t="e">
        <f>AND(#REF!,"AAAAABmzLpk=")</f>
        <v>#REF!</v>
      </c>
      <c r="EY174" t="e">
        <f>AND(#REF!,"AAAAABmzLpo=")</f>
        <v>#REF!</v>
      </c>
      <c r="EZ174" t="e">
        <f>AND(#REF!,"AAAAABmzLps=")</f>
        <v>#REF!</v>
      </c>
      <c r="FA174" t="e">
        <f>AND(#REF!,"AAAAABmzLpw=")</f>
        <v>#REF!</v>
      </c>
      <c r="FB174" t="e">
        <f>AND(#REF!,"AAAAABmzLp0=")</f>
        <v>#REF!</v>
      </c>
      <c r="FC174" t="e">
        <f>AND(#REF!,"AAAAABmzLp4=")</f>
        <v>#REF!</v>
      </c>
      <c r="FD174" t="e">
        <f>AND(#REF!,"AAAAABmzLp8=")</f>
        <v>#REF!</v>
      </c>
      <c r="FE174" t="e">
        <f>AND(#REF!,"AAAAABmzLqA=")</f>
        <v>#REF!</v>
      </c>
      <c r="FF174" t="e">
        <f>AND(#REF!,"AAAAABmzLqE=")</f>
        <v>#REF!</v>
      </c>
      <c r="FG174" t="e">
        <f>AND(#REF!,"AAAAABmzLqI=")</f>
        <v>#REF!</v>
      </c>
      <c r="FH174" t="e">
        <f>AND(#REF!,"AAAAABmzLqM=")</f>
        <v>#REF!</v>
      </c>
      <c r="FI174" t="e">
        <f>AND(#REF!,"AAAAABmzLqQ=")</f>
        <v>#REF!</v>
      </c>
      <c r="FJ174" t="e">
        <f>AND(#REF!,"AAAAABmzLqU=")</f>
        <v>#REF!</v>
      </c>
      <c r="FK174" t="e">
        <f>AND(#REF!,"AAAAABmzLqY=")</f>
        <v>#REF!</v>
      </c>
      <c r="FL174" t="e">
        <f>AND(#REF!,"AAAAABmzLqc=")</f>
        <v>#REF!</v>
      </c>
      <c r="FM174" t="e">
        <f>AND(#REF!,"AAAAABmzLqg=")</f>
        <v>#REF!</v>
      </c>
      <c r="FN174" t="e">
        <f>AND(#REF!,"AAAAABmzLqk=")</f>
        <v>#REF!</v>
      </c>
      <c r="FO174" t="e">
        <f>AND(#REF!,"AAAAABmzLqo=")</f>
        <v>#REF!</v>
      </c>
      <c r="FP174" t="e">
        <f>AND(#REF!,"AAAAABmzLqs=")</f>
        <v>#REF!</v>
      </c>
      <c r="FQ174" t="e">
        <f>IF(#REF!,"AAAAABmzLqw=",0)</f>
        <v>#REF!</v>
      </c>
      <c r="FR174" t="e">
        <f>AND(#REF!,"AAAAABmzLq0=")</f>
        <v>#REF!</v>
      </c>
      <c r="FS174" t="e">
        <f>AND(#REF!,"AAAAABmzLq4=")</f>
        <v>#REF!</v>
      </c>
      <c r="FT174" t="e">
        <f>AND(#REF!,"AAAAABmzLq8=")</f>
        <v>#REF!</v>
      </c>
      <c r="FU174" t="e">
        <f>AND(#REF!,"AAAAABmzLrA=")</f>
        <v>#REF!</v>
      </c>
      <c r="FV174" t="e">
        <f>AND(#REF!,"AAAAABmzLrE=")</f>
        <v>#REF!</v>
      </c>
      <c r="FW174" t="e">
        <f>AND(#REF!,"AAAAABmzLrI=")</f>
        <v>#REF!</v>
      </c>
      <c r="FX174" t="e">
        <f>AND(#REF!,"AAAAABmzLrM=")</f>
        <v>#REF!</v>
      </c>
      <c r="FY174" t="e">
        <f>AND(#REF!,"AAAAABmzLrQ=")</f>
        <v>#REF!</v>
      </c>
      <c r="FZ174" t="e">
        <f>AND(#REF!,"AAAAABmzLrU=")</f>
        <v>#REF!</v>
      </c>
      <c r="GA174" t="e">
        <f>AND(#REF!,"AAAAABmzLrY=")</f>
        <v>#REF!</v>
      </c>
      <c r="GB174" t="e">
        <f>AND(#REF!,"AAAAABmzLrc=")</f>
        <v>#REF!</v>
      </c>
      <c r="GC174" t="e">
        <f>AND(#REF!,"AAAAABmzLrg=")</f>
        <v>#REF!</v>
      </c>
      <c r="GD174" t="e">
        <f>AND(#REF!,"AAAAABmzLrk=")</f>
        <v>#REF!</v>
      </c>
      <c r="GE174" t="e">
        <f>AND(#REF!,"AAAAABmzLro=")</f>
        <v>#REF!</v>
      </c>
      <c r="GF174" t="e">
        <f>AND(#REF!,"AAAAABmzLrs=")</f>
        <v>#REF!</v>
      </c>
      <c r="GG174" t="e">
        <f>AND(#REF!,"AAAAABmzLrw=")</f>
        <v>#REF!</v>
      </c>
      <c r="GH174" t="e">
        <f>AND(#REF!,"AAAAABmzLr0=")</f>
        <v>#REF!</v>
      </c>
      <c r="GI174" t="e">
        <f>AND(#REF!,"AAAAABmzLr4=")</f>
        <v>#REF!</v>
      </c>
      <c r="GJ174" t="e">
        <f>AND(#REF!,"AAAAABmzLr8=")</f>
        <v>#REF!</v>
      </c>
      <c r="GK174" t="e">
        <f>AND(#REF!,"AAAAABmzLsA=")</f>
        <v>#REF!</v>
      </c>
      <c r="GL174" t="e">
        <f>AND(#REF!,"AAAAABmzLsE=")</f>
        <v>#REF!</v>
      </c>
      <c r="GM174" t="e">
        <f>AND(#REF!,"AAAAABmzLsI=")</f>
        <v>#REF!</v>
      </c>
      <c r="GN174" t="e">
        <f>AND(#REF!,"AAAAABmzLsM=")</f>
        <v>#REF!</v>
      </c>
      <c r="GO174" t="e">
        <f>AND(#REF!,"AAAAABmzLsQ=")</f>
        <v>#REF!</v>
      </c>
      <c r="GP174" t="e">
        <f>IF(#REF!,"AAAAABmzLsU=",0)</f>
        <v>#REF!</v>
      </c>
      <c r="GQ174" t="e">
        <f>AND(#REF!,"AAAAABmzLsY=")</f>
        <v>#REF!</v>
      </c>
      <c r="GR174" t="e">
        <f>AND(#REF!,"AAAAABmzLsc=")</f>
        <v>#REF!</v>
      </c>
      <c r="GS174" t="e">
        <f>AND(#REF!,"AAAAABmzLsg=")</f>
        <v>#REF!</v>
      </c>
      <c r="GT174" t="e">
        <f>AND(#REF!,"AAAAABmzLsk=")</f>
        <v>#REF!</v>
      </c>
      <c r="GU174" t="e">
        <f>AND(#REF!,"AAAAABmzLso=")</f>
        <v>#REF!</v>
      </c>
      <c r="GV174" t="e">
        <f>AND(#REF!,"AAAAABmzLss=")</f>
        <v>#REF!</v>
      </c>
      <c r="GW174" t="e">
        <f>AND(#REF!,"AAAAABmzLsw=")</f>
        <v>#REF!</v>
      </c>
      <c r="GX174" t="e">
        <f>AND(#REF!,"AAAAABmzLs0=")</f>
        <v>#REF!</v>
      </c>
      <c r="GY174" t="e">
        <f>AND(#REF!,"AAAAABmzLs4=")</f>
        <v>#REF!</v>
      </c>
      <c r="GZ174" t="e">
        <f>AND(#REF!,"AAAAABmzLs8=")</f>
        <v>#REF!</v>
      </c>
      <c r="HA174" t="e">
        <f>AND(#REF!,"AAAAABmzLtA=")</f>
        <v>#REF!</v>
      </c>
      <c r="HB174" t="e">
        <f>AND(#REF!,"AAAAABmzLtE=")</f>
        <v>#REF!</v>
      </c>
      <c r="HC174" t="e">
        <f>AND(#REF!,"AAAAABmzLtI=")</f>
        <v>#REF!</v>
      </c>
      <c r="HD174" t="e">
        <f>AND(#REF!,"AAAAABmzLtM=")</f>
        <v>#REF!</v>
      </c>
      <c r="HE174" t="e">
        <f>AND(#REF!,"AAAAABmzLtQ=")</f>
        <v>#REF!</v>
      </c>
      <c r="HF174" t="e">
        <f>AND(#REF!,"AAAAABmzLtU=")</f>
        <v>#REF!</v>
      </c>
      <c r="HG174" t="e">
        <f>AND(#REF!,"AAAAABmzLtY=")</f>
        <v>#REF!</v>
      </c>
      <c r="HH174" t="e">
        <f>AND(#REF!,"AAAAABmzLtc=")</f>
        <v>#REF!</v>
      </c>
      <c r="HI174" t="e">
        <f>AND(#REF!,"AAAAABmzLtg=")</f>
        <v>#REF!</v>
      </c>
      <c r="HJ174" t="e">
        <f>AND(#REF!,"AAAAABmzLtk=")</f>
        <v>#REF!</v>
      </c>
      <c r="HK174" t="e">
        <f>AND(#REF!,"AAAAABmzLto=")</f>
        <v>#REF!</v>
      </c>
      <c r="HL174" t="e">
        <f>AND(#REF!,"AAAAABmzLts=")</f>
        <v>#REF!</v>
      </c>
      <c r="HM174" t="e">
        <f>AND(#REF!,"AAAAABmzLtw=")</f>
        <v>#REF!</v>
      </c>
      <c r="HN174" t="e">
        <f>AND(#REF!,"AAAAABmzLt0=")</f>
        <v>#REF!</v>
      </c>
      <c r="HO174" t="e">
        <f>IF(#REF!,"AAAAABmzLt4=",0)</f>
        <v>#REF!</v>
      </c>
      <c r="HP174" t="e">
        <f>AND(#REF!,"AAAAABmzLt8=")</f>
        <v>#REF!</v>
      </c>
      <c r="HQ174" t="e">
        <f>AND(#REF!,"AAAAABmzLuA=")</f>
        <v>#REF!</v>
      </c>
      <c r="HR174" t="e">
        <f>AND(#REF!,"AAAAABmzLuE=")</f>
        <v>#REF!</v>
      </c>
      <c r="HS174" t="e">
        <f>AND(#REF!,"AAAAABmzLuI=")</f>
        <v>#REF!</v>
      </c>
      <c r="HT174" t="e">
        <f>AND(#REF!,"AAAAABmzLuM=")</f>
        <v>#REF!</v>
      </c>
      <c r="HU174" t="e">
        <f>AND(#REF!,"AAAAABmzLuQ=")</f>
        <v>#REF!</v>
      </c>
      <c r="HV174" t="e">
        <f>AND(#REF!,"AAAAABmzLuU=")</f>
        <v>#REF!</v>
      </c>
      <c r="HW174" t="e">
        <f>AND(#REF!,"AAAAABmzLuY=")</f>
        <v>#REF!</v>
      </c>
      <c r="HX174" t="e">
        <f>AND(#REF!,"AAAAABmzLuc=")</f>
        <v>#REF!</v>
      </c>
      <c r="HY174" t="e">
        <f>AND(#REF!,"AAAAABmzLug=")</f>
        <v>#REF!</v>
      </c>
      <c r="HZ174" t="e">
        <f>AND(#REF!,"AAAAABmzLuk=")</f>
        <v>#REF!</v>
      </c>
      <c r="IA174" t="e">
        <f>AND(#REF!,"AAAAABmzLuo=")</f>
        <v>#REF!</v>
      </c>
      <c r="IB174" t="e">
        <f>AND(#REF!,"AAAAABmzLus=")</f>
        <v>#REF!</v>
      </c>
      <c r="IC174" t="e">
        <f>AND(#REF!,"AAAAABmzLuw=")</f>
        <v>#REF!</v>
      </c>
      <c r="ID174" t="e">
        <f>AND(#REF!,"AAAAABmzLu0=")</f>
        <v>#REF!</v>
      </c>
      <c r="IE174" t="e">
        <f>AND(#REF!,"AAAAABmzLu4=")</f>
        <v>#REF!</v>
      </c>
      <c r="IF174" t="e">
        <f>AND(#REF!,"AAAAABmzLu8=")</f>
        <v>#REF!</v>
      </c>
      <c r="IG174" t="e">
        <f>AND(#REF!,"AAAAABmzLvA=")</f>
        <v>#REF!</v>
      </c>
      <c r="IH174" t="e">
        <f>AND(#REF!,"AAAAABmzLvE=")</f>
        <v>#REF!</v>
      </c>
      <c r="II174" t="e">
        <f>AND(#REF!,"AAAAABmzLvI=")</f>
        <v>#REF!</v>
      </c>
      <c r="IJ174" t="e">
        <f>AND(#REF!,"AAAAABmzLvM=")</f>
        <v>#REF!</v>
      </c>
      <c r="IK174" t="e">
        <f>AND(#REF!,"AAAAABmzLvQ=")</f>
        <v>#REF!</v>
      </c>
      <c r="IL174" t="e">
        <f>AND(#REF!,"AAAAABmzLvU=")</f>
        <v>#REF!</v>
      </c>
      <c r="IM174" t="e">
        <f>AND(#REF!,"AAAAABmzLvY=")</f>
        <v>#REF!</v>
      </c>
      <c r="IN174" t="e">
        <f>IF(#REF!,"AAAAABmzLvc=",0)</f>
        <v>#REF!</v>
      </c>
      <c r="IO174" t="e">
        <f>AND(#REF!,"AAAAABmzLvg=")</f>
        <v>#REF!</v>
      </c>
      <c r="IP174" t="e">
        <f>AND(#REF!,"AAAAABmzLvk=")</f>
        <v>#REF!</v>
      </c>
      <c r="IQ174" t="e">
        <f>AND(#REF!,"AAAAABmzLvo=")</f>
        <v>#REF!</v>
      </c>
      <c r="IR174" t="e">
        <f>AND(#REF!,"AAAAABmzLvs=")</f>
        <v>#REF!</v>
      </c>
      <c r="IS174" t="e">
        <f>AND(#REF!,"AAAAABmzLvw=")</f>
        <v>#REF!</v>
      </c>
      <c r="IT174" t="e">
        <f>AND(#REF!,"AAAAABmzLv0=")</f>
        <v>#REF!</v>
      </c>
      <c r="IU174" t="e">
        <f>AND(#REF!,"AAAAABmzLv4=")</f>
        <v>#REF!</v>
      </c>
      <c r="IV174" t="e">
        <f>AND(#REF!,"AAAAABmzLv8=")</f>
        <v>#REF!</v>
      </c>
    </row>
    <row r="175" spans="1:256">
      <c r="A175" t="e">
        <f>AND(#REF!,"AAAAAHv//wA=")</f>
        <v>#REF!</v>
      </c>
      <c r="B175" t="e">
        <f>AND(#REF!,"AAAAAHv//wE=")</f>
        <v>#REF!</v>
      </c>
      <c r="C175" t="e">
        <f>AND(#REF!,"AAAAAHv//wI=")</f>
        <v>#REF!</v>
      </c>
      <c r="D175" t="e">
        <f>AND(#REF!,"AAAAAHv//wM=")</f>
        <v>#REF!</v>
      </c>
      <c r="E175" t="e">
        <f>AND(#REF!,"AAAAAHv//wQ=")</f>
        <v>#REF!</v>
      </c>
      <c r="F175" t="e">
        <f>AND(#REF!,"AAAAAHv//wU=")</f>
        <v>#REF!</v>
      </c>
      <c r="G175" t="e">
        <f>AND(#REF!,"AAAAAHv//wY=")</f>
        <v>#REF!</v>
      </c>
      <c r="H175" t="e">
        <f>AND(#REF!,"AAAAAHv//wc=")</f>
        <v>#REF!</v>
      </c>
      <c r="I175" t="e">
        <f>AND(#REF!,"AAAAAHv//wg=")</f>
        <v>#REF!</v>
      </c>
      <c r="J175" t="e">
        <f>AND(#REF!,"AAAAAHv//wk=")</f>
        <v>#REF!</v>
      </c>
      <c r="K175" t="e">
        <f>AND(#REF!,"AAAAAHv//wo=")</f>
        <v>#REF!</v>
      </c>
      <c r="L175" t="e">
        <f>AND(#REF!,"AAAAAHv//ws=")</f>
        <v>#REF!</v>
      </c>
      <c r="M175" t="e">
        <f>AND(#REF!,"AAAAAHv//ww=")</f>
        <v>#REF!</v>
      </c>
      <c r="N175" t="e">
        <f>AND(#REF!,"AAAAAHv//w0=")</f>
        <v>#REF!</v>
      </c>
      <c r="O175" t="e">
        <f>AND(#REF!,"AAAAAHv//w4=")</f>
        <v>#REF!</v>
      </c>
      <c r="P175" t="e">
        <f>AND(#REF!,"AAAAAHv//w8=")</f>
        <v>#REF!</v>
      </c>
      <c r="Q175" t="e">
        <f>IF(#REF!,"AAAAAHv//xA=",0)</f>
        <v>#REF!</v>
      </c>
      <c r="R175" t="e">
        <f>AND(#REF!,"AAAAAHv//xE=")</f>
        <v>#REF!</v>
      </c>
      <c r="S175" t="e">
        <f>AND(#REF!,"AAAAAHv//xI=")</f>
        <v>#REF!</v>
      </c>
      <c r="T175" t="e">
        <f>AND(#REF!,"AAAAAHv//xM=")</f>
        <v>#REF!</v>
      </c>
      <c r="U175" t="e">
        <f>AND(#REF!,"AAAAAHv//xQ=")</f>
        <v>#REF!</v>
      </c>
      <c r="V175" t="e">
        <f>AND(#REF!,"AAAAAHv//xU=")</f>
        <v>#REF!</v>
      </c>
      <c r="W175" t="e">
        <f>AND(#REF!,"AAAAAHv//xY=")</f>
        <v>#REF!</v>
      </c>
      <c r="X175" t="e">
        <f>AND(#REF!,"AAAAAHv//xc=")</f>
        <v>#REF!</v>
      </c>
      <c r="Y175" t="e">
        <f>AND(#REF!,"AAAAAHv//xg=")</f>
        <v>#REF!</v>
      </c>
      <c r="Z175" t="e">
        <f>AND(#REF!,"AAAAAHv//xk=")</f>
        <v>#REF!</v>
      </c>
      <c r="AA175" t="e">
        <f>AND(#REF!,"AAAAAHv//xo=")</f>
        <v>#REF!</v>
      </c>
      <c r="AB175" t="e">
        <f>AND(#REF!,"AAAAAHv//xs=")</f>
        <v>#REF!</v>
      </c>
      <c r="AC175" t="e">
        <f>AND(#REF!,"AAAAAHv//xw=")</f>
        <v>#REF!</v>
      </c>
      <c r="AD175" t="e">
        <f>AND(#REF!,"AAAAAHv//x0=")</f>
        <v>#REF!</v>
      </c>
      <c r="AE175" t="e">
        <f>AND(#REF!,"AAAAAHv//x4=")</f>
        <v>#REF!</v>
      </c>
      <c r="AF175" t="e">
        <f>AND(#REF!,"AAAAAHv//x8=")</f>
        <v>#REF!</v>
      </c>
      <c r="AG175" t="e">
        <f>AND(#REF!,"AAAAAHv//yA=")</f>
        <v>#REF!</v>
      </c>
      <c r="AH175" t="e">
        <f>AND(#REF!,"AAAAAHv//yE=")</f>
        <v>#REF!</v>
      </c>
      <c r="AI175" t="e">
        <f>AND(#REF!,"AAAAAHv//yI=")</f>
        <v>#REF!</v>
      </c>
      <c r="AJ175" t="e">
        <f>AND(#REF!,"AAAAAHv//yM=")</f>
        <v>#REF!</v>
      </c>
      <c r="AK175" t="e">
        <f>AND(#REF!,"AAAAAHv//yQ=")</f>
        <v>#REF!</v>
      </c>
      <c r="AL175" t="e">
        <f>AND(#REF!,"AAAAAHv//yU=")</f>
        <v>#REF!</v>
      </c>
      <c r="AM175" t="e">
        <f>AND(#REF!,"AAAAAHv//yY=")</f>
        <v>#REF!</v>
      </c>
      <c r="AN175" t="e">
        <f>AND(#REF!,"AAAAAHv//yc=")</f>
        <v>#REF!</v>
      </c>
      <c r="AO175" t="e">
        <f>AND(#REF!,"AAAAAHv//yg=")</f>
        <v>#REF!</v>
      </c>
      <c r="AP175" t="e">
        <f>IF(#REF!,"AAAAAHv//yk=",0)</f>
        <v>#REF!</v>
      </c>
      <c r="AQ175" t="e">
        <f>AND(#REF!,"AAAAAHv//yo=")</f>
        <v>#REF!</v>
      </c>
      <c r="AR175" t="e">
        <f>AND(#REF!,"AAAAAHv//ys=")</f>
        <v>#REF!</v>
      </c>
      <c r="AS175" t="e">
        <f>AND(#REF!,"AAAAAHv//yw=")</f>
        <v>#REF!</v>
      </c>
      <c r="AT175" t="e">
        <f>AND(#REF!,"AAAAAHv//y0=")</f>
        <v>#REF!</v>
      </c>
      <c r="AU175" t="e">
        <f>AND(#REF!,"AAAAAHv//y4=")</f>
        <v>#REF!</v>
      </c>
      <c r="AV175" t="e">
        <f>AND(#REF!,"AAAAAHv//y8=")</f>
        <v>#REF!</v>
      </c>
      <c r="AW175" t="e">
        <f>AND(#REF!,"AAAAAHv//zA=")</f>
        <v>#REF!</v>
      </c>
      <c r="AX175" t="e">
        <f>AND(#REF!,"AAAAAHv//zE=")</f>
        <v>#REF!</v>
      </c>
      <c r="AY175" t="e">
        <f>AND(#REF!,"AAAAAHv//zI=")</f>
        <v>#REF!</v>
      </c>
      <c r="AZ175" t="e">
        <f>AND(#REF!,"AAAAAHv//zM=")</f>
        <v>#REF!</v>
      </c>
      <c r="BA175" t="e">
        <f>AND(#REF!,"AAAAAHv//zQ=")</f>
        <v>#REF!</v>
      </c>
      <c r="BB175" t="e">
        <f>AND(#REF!,"AAAAAHv//zU=")</f>
        <v>#REF!</v>
      </c>
      <c r="BC175" t="e">
        <f>AND(#REF!,"AAAAAHv//zY=")</f>
        <v>#REF!</v>
      </c>
      <c r="BD175" t="e">
        <f>AND(#REF!,"AAAAAHv//zc=")</f>
        <v>#REF!</v>
      </c>
      <c r="BE175" t="e">
        <f>AND(#REF!,"AAAAAHv//zg=")</f>
        <v>#REF!</v>
      </c>
      <c r="BF175" t="e">
        <f>AND(#REF!,"AAAAAHv//zk=")</f>
        <v>#REF!</v>
      </c>
      <c r="BG175" t="e">
        <f>AND(#REF!,"AAAAAHv//zo=")</f>
        <v>#REF!</v>
      </c>
      <c r="BH175" t="e">
        <f>AND(#REF!,"AAAAAHv//zs=")</f>
        <v>#REF!</v>
      </c>
      <c r="BI175" t="e">
        <f>AND(#REF!,"AAAAAHv//zw=")</f>
        <v>#REF!</v>
      </c>
      <c r="BJ175" t="e">
        <f>AND(#REF!,"AAAAAHv//z0=")</f>
        <v>#REF!</v>
      </c>
      <c r="BK175" t="e">
        <f>AND(#REF!,"AAAAAHv//z4=")</f>
        <v>#REF!</v>
      </c>
      <c r="BL175" t="e">
        <f>AND(#REF!,"AAAAAHv//z8=")</f>
        <v>#REF!</v>
      </c>
      <c r="BM175" t="e">
        <f>AND(#REF!,"AAAAAHv//0A=")</f>
        <v>#REF!</v>
      </c>
      <c r="BN175" t="e">
        <f>AND(#REF!,"AAAAAHv//0E=")</f>
        <v>#REF!</v>
      </c>
      <c r="BO175" t="e">
        <f>IF(#REF!,"AAAAAHv//0I=",0)</f>
        <v>#REF!</v>
      </c>
      <c r="BP175" t="e">
        <f>AND(#REF!,"AAAAAHv//0M=")</f>
        <v>#REF!</v>
      </c>
      <c r="BQ175" t="e">
        <f>AND(#REF!,"AAAAAHv//0Q=")</f>
        <v>#REF!</v>
      </c>
      <c r="BR175" t="e">
        <f>AND(#REF!,"AAAAAHv//0U=")</f>
        <v>#REF!</v>
      </c>
      <c r="BS175" t="e">
        <f>AND(#REF!,"AAAAAHv//0Y=")</f>
        <v>#REF!</v>
      </c>
      <c r="BT175" t="e">
        <f>AND(#REF!,"AAAAAHv//0c=")</f>
        <v>#REF!</v>
      </c>
      <c r="BU175" t="e">
        <f>AND(#REF!,"AAAAAHv//0g=")</f>
        <v>#REF!</v>
      </c>
      <c r="BV175" t="e">
        <f>AND(#REF!,"AAAAAHv//0k=")</f>
        <v>#REF!</v>
      </c>
      <c r="BW175" t="e">
        <f>AND(#REF!,"AAAAAHv//0o=")</f>
        <v>#REF!</v>
      </c>
      <c r="BX175" t="e">
        <f>AND(#REF!,"AAAAAHv//0s=")</f>
        <v>#REF!</v>
      </c>
      <c r="BY175" t="e">
        <f>AND(#REF!,"AAAAAHv//0w=")</f>
        <v>#REF!</v>
      </c>
      <c r="BZ175" t="e">
        <f>AND(#REF!,"AAAAAHv//00=")</f>
        <v>#REF!</v>
      </c>
      <c r="CA175" t="e">
        <f>AND(#REF!,"AAAAAHv//04=")</f>
        <v>#REF!</v>
      </c>
      <c r="CB175" t="e">
        <f>AND(#REF!,"AAAAAHv//08=")</f>
        <v>#REF!</v>
      </c>
      <c r="CC175" t="e">
        <f>AND(#REF!,"AAAAAHv//1A=")</f>
        <v>#REF!</v>
      </c>
      <c r="CD175" t="e">
        <f>AND(#REF!,"AAAAAHv//1E=")</f>
        <v>#REF!</v>
      </c>
      <c r="CE175" t="e">
        <f>AND(#REF!,"AAAAAHv//1I=")</f>
        <v>#REF!</v>
      </c>
      <c r="CF175" t="e">
        <f>AND(#REF!,"AAAAAHv//1M=")</f>
        <v>#REF!</v>
      </c>
      <c r="CG175" t="e">
        <f>AND(#REF!,"AAAAAHv//1Q=")</f>
        <v>#REF!</v>
      </c>
      <c r="CH175" t="e">
        <f>AND(#REF!,"AAAAAHv//1U=")</f>
        <v>#REF!</v>
      </c>
      <c r="CI175" t="e">
        <f>AND(#REF!,"AAAAAHv//1Y=")</f>
        <v>#REF!</v>
      </c>
      <c r="CJ175" t="e">
        <f>AND(#REF!,"AAAAAHv//1c=")</f>
        <v>#REF!</v>
      </c>
      <c r="CK175" t="e">
        <f>AND(#REF!,"AAAAAHv//1g=")</f>
        <v>#REF!</v>
      </c>
      <c r="CL175" t="e">
        <f>AND(#REF!,"AAAAAHv//1k=")</f>
        <v>#REF!</v>
      </c>
      <c r="CM175" t="e">
        <f>AND(#REF!,"AAAAAHv//1o=")</f>
        <v>#REF!</v>
      </c>
      <c r="CN175" t="e">
        <f>IF(#REF!,"AAAAAHv//1s=",0)</f>
        <v>#REF!</v>
      </c>
      <c r="CO175" t="e">
        <f>AND(#REF!,"AAAAAHv//1w=")</f>
        <v>#REF!</v>
      </c>
      <c r="CP175" t="e">
        <f>AND(#REF!,"AAAAAHv//10=")</f>
        <v>#REF!</v>
      </c>
      <c r="CQ175" t="e">
        <f>AND(#REF!,"AAAAAHv//14=")</f>
        <v>#REF!</v>
      </c>
      <c r="CR175" t="e">
        <f>AND(#REF!,"AAAAAHv//18=")</f>
        <v>#REF!</v>
      </c>
      <c r="CS175" t="e">
        <f>AND(#REF!,"AAAAAHv//2A=")</f>
        <v>#REF!</v>
      </c>
      <c r="CT175" t="e">
        <f>AND(#REF!,"AAAAAHv//2E=")</f>
        <v>#REF!</v>
      </c>
      <c r="CU175" t="e">
        <f>AND(#REF!,"AAAAAHv//2I=")</f>
        <v>#REF!</v>
      </c>
      <c r="CV175" t="e">
        <f>AND(#REF!,"AAAAAHv//2M=")</f>
        <v>#REF!</v>
      </c>
      <c r="CW175" t="e">
        <f>AND(#REF!,"AAAAAHv//2Q=")</f>
        <v>#REF!</v>
      </c>
      <c r="CX175" t="e">
        <f>AND(#REF!,"AAAAAHv//2U=")</f>
        <v>#REF!</v>
      </c>
      <c r="CY175" t="e">
        <f>AND(#REF!,"AAAAAHv//2Y=")</f>
        <v>#REF!</v>
      </c>
      <c r="CZ175" t="e">
        <f>AND(#REF!,"AAAAAHv//2c=")</f>
        <v>#REF!</v>
      </c>
      <c r="DA175" t="e">
        <f>AND(#REF!,"AAAAAHv//2g=")</f>
        <v>#REF!</v>
      </c>
      <c r="DB175" t="e">
        <f>AND(#REF!,"AAAAAHv//2k=")</f>
        <v>#REF!</v>
      </c>
      <c r="DC175" t="e">
        <f>AND(#REF!,"AAAAAHv//2o=")</f>
        <v>#REF!</v>
      </c>
      <c r="DD175" t="e">
        <f>AND(#REF!,"AAAAAHv//2s=")</f>
        <v>#REF!</v>
      </c>
      <c r="DE175" t="e">
        <f>AND(#REF!,"AAAAAHv//2w=")</f>
        <v>#REF!</v>
      </c>
      <c r="DF175" t="e">
        <f>AND(#REF!,"AAAAAHv//20=")</f>
        <v>#REF!</v>
      </c>
      <c r="DG175" t="e">
        <f>AND(#REF!,"AAAAAHv//24=")</f>
        <v>#REF!</v>
      </c>
      <c r="DH175" t="e">
        <f>AND(#REF!,"AAAAAHv//28=")</f>
        <v>#REF!</v>
      </c>
      <c r="DI175" t="e">
        <f>AND(#REF!,"AAAAAHv//3A=")</f>
        <v>#REF!</v>
      </c>
      <c r="DJ175" t="e">
        <f>AND(#REF!,"AAAAAHv//3E=")</f>
        <v>#REF!</v>
      </c>
      <c r="DK175" t="e">
        <f>AND(#REF!,"AAAAAHv//3I=")</f>
        <v>#REF!</v>
      </c>
      <c r="DL175" t="e">
        <f>AND(#REF!,"AAAAAHv//3M=")</f>
        <v>#REF!</v>
      </c>
      <c r="DM175" t="e">
        <f>IF(#REF!,"AAAAAHv//3Q=",0)</f>
        <v>#REF!</v>
      </c>
      <c r="DN175" t="e">
        <f>AND(#REF!,"AAAAAHv//3U=")</f>
        <v>#REF!</v>
      </c>
      <c r="DO175" t="e">
        <f>AND(#REF!,"AAAAAHv//3Y=")</f>
        <v>#REF!</v>
      </c>
      <c r="DP175" t="e">
        <f>AND(#REF!,"AAAAAHv//3c=")</f>
        <v>#REF!</v>
      </c>
      <c r="DQ175" t="e">
        <f>AND(#REF!,"AAAAAHv//3g=")</f>
        <v>#REF!</v>
      </c>
      <c r="DR175" t="e">
        <f>AND(#REF!,"AAAAAHv//3k=")</f>
        <v>#REF!</v>
      </c>
      <c r="DS175" t="e">
        <f>AND(#REF!,"AAAAAHv//3o=")</f>
        <v>#REF!</v>
      </c>
      <c r="DT175" t="e">
        <f>AND(#REF!,"AAAAAHv//3s=")</f>
        <v>#REF!</v>
      </c>
      <c r="DU175" t="e">
        <f>AND(#REF!,"AAAAAHv//3w=")</f>
        <v>#REF!</v>
      </c>
      <c r="DV175" t="e">
        <f>AND(#REF!,"AAAAAHv//30=")</f>
        <v>#REF!</v>
      </c>
      <c r="DW175" t="e">
        <f>AND(#REF!,"AAAAAHv//34=")</f>
        <v>#REF!</v>
      </c>
      <c r="DX175" t="e">
        <f>AND(#REF!,"AAAAAHv//38=")</f>
        <v>#REF!</v>
      </c>
      <c r="DY175" t="e">
        <f>AND(#REF!,"AAAAAHv//4A=")</f>
        <v>#REF!</v>
      </c>
      <c r="DZ175" t="e">
        <f>AND(#REF!,"AAAAAHv//4E=")</f>
        <v>#REF!</v>
      </c>
      <c r="EA175" t="e">
        <f>AND(#REF!,"AAAAAHv//4I=")</f>
        <v>#REF!</v>
      </c>
      <c r="EB175" t="e">
        <f>AND(#REF!,"AAAAAHv//4M=")</f>
        <v>#REF!</v>
      </c>
      <c r="EC175" t="e">
        <f>AND(#REF!,"AAAAAHv//4Q=")</f>
        <v>#REF!</v>
      </c>
      <c r="ED175" t="e">
        <f>AND(#REF!,"AAAAAHv//4U=")</f>
        <v>#REF!</v>
      </c>
      <c r="EE175" t="e">
        <f>AND(#REF!,"AAAAAHv//4Y=")</f>
        <v>#REF!</v>
      </c>
      <c r="EF175" t="e">
        <f>AND(#REF!,"AAAAAHv//4c=")</f>
        <v>#REF!</v>
      </c>
      <c r="EG175" t="e">
        <f>AND(#REF!,"AAAAAHv//4g=")</f>
        <v>#REF!</v>
      </c>
      <c r="EH175" t="e">
        <f>AND(#REF!,"AAAAAHv//4k=")</f>
        <v>#REF!</v>
      </c>
      <c r="EI175" t="e">
        <f>AND(#REF!,"AAAAAHv//4o=")</f>
        <v>#REF!</v>
      </c>
      <c r="EJ175" t="e">
        <f>AND(#REF!,"AAAAAHv//4s=")</f>
        <v>#REF!</v>
      </c>
      <c r="EK175" t="e">
        <f>AND(#REF!,"AAAAAHv//4w=")</f>
        <v>#REF!</v>
      </c>
      <c r="EL175" t="e">
        <f>IF(#REF!,"AAAAAHv//40=",0)</f>
        <v>#REF!</v>
      </c>
      <c r="EM175" t="e">
        <f>AND(#REF!,"AAAAAHv//44=")</f>
        <v>#REF!</v>
      </c>
      <c r="EN175" t="e">
        <f>AND(#REF!,"AAAAAHv//48=")</f>
        <v>#REF!</v>
      </c>
      <c r="EO175" t="e">
        <f>AND(#REF!,"AAAAAHv//5A=")</f>
        <v>#REF!</v>
      </c>
      <c r="EP175" t="e">
        <f>AND(#REF!,"AAAAAHv//5E=")</f>
        <v>#REF!</v>
      </c>
      <c r="EQ175" t="e">
        <f>AND(#REF!,"AAAAAHv//5I=")</f>
        <v>#REF!</v>
      </c>
      <c r="ER175" t="e">
        <f>AND(#REF!,"AAAAAHv//5M=")</f>
        <v>#REF!</v>
      </c>
      <c r="ES175" t="e">
        <f>AND(#REF!,"AAAAAHv//5Q=")</f>
        <v>#REF!</v>
      </c>
      <c r="ET175" t="e">
        <f>AND(#REF!,"AAAAAHv//5U=")</f>
        <v>#REF!</v>
      </c>
      <c r="EU175" t="e">
        <f>AND(#REF!,"AAAAAHv//5Y=")</f>
        <v>#REF!</v>
      </c>
      <c r="EV175" t="e">
        <f>AND(#REF!,"AAAAAHv//5c=")</f>
        <v>#REF!</v>
      </c>
      <c r="EW175" t="e">
        <f>AND(#REF!,"AAAAAHv//5g=")</f>
        <v>#REF!</v>
      </c>
      <c r="EX175" t="e">
        <f>AND(#REF!,"AAAAAHv//5k=")</f>
        <v>#REF!</v>
      </c>
      <c r="EY175" t="e">
        <f>AND(#REF!,"AAAAAHv//5o=")</f>
        <v>#REF!</v>
      </c>
      <c r="EZ175" t="e">
        <f>AND(#REF!,"AAAAAHv//5s=")</f>
        <v>#REF!</v>
      </c>
      <c r="FA175" t="e">
        <f>AND(#REF!,"AAAAAHv//5w=")</f>
        <v>#REF!</v>
      </c>
      <c r="FB175" t="e">
        <f>AND(#REF!,"AAAAAHv//50=")</f>
        <v>#REF!</v>
      </c>
      <c r="FC175" t="e">
        <f>AND(#REF!,"AAAAAHv//54=")</f>
        <v>#REF!</v>
      </c>
      <c r="FD175" t="e">
        <f>AND(#REF!,"AAAAAHv//58=")</f>
        <v>#REF!</v>
      </c>
      <c r="FE175" t="e">
        <f>AND(#REF!,"AAAAAHv//6A=")</f>
        <v>#REF!</v>
      </c>
      <c r="FF175" t="e">
        <f>AND(#REF!,"AAAAAHv//6E=")</f>
        <v>#REF!</v>
      </c>
      <c r="FG175" t="e">
        <f>AND(#REF!,"AAAAAHv//6I=")</f>
        <v>#REF!</v>
      </c>
      <c r="FH175" t="e">
        <f>AND(#REF!,"AAAAAHv//6M=")</f>
        <v>#REF!</v>
      </c>
      <c r="FI175" t="e">
        <f>AND(#REF!,"AAAAAHv//6Q=")</f>
        <v>#REF!</v>
      </c>
      <c r="FJ175" t="e">
        <f>AND(#REF!,"AAAAAHv//6U=")</f>
        <v>#REF!</v>
      </c>
      <c r="FK175" t="e">
        <f>IF(#REF!,"AAAAAHv//6Y=",0)</f>
        <v>#REF!</v>
      </c>
      <c r="FL175" t="e">
        <f>AND(#REF!,"AAAAAHv//6c=")</f>
        <v>#REF!</v>
      </c>
      <c r="FM175" t="e">
        <f>AND(#REF!,"AAAAAHv//6g=")</f>
        <v>#REF!</v>
      </c>
      <c r="FN175" t="e">
        <f>AND(#REF!,"AAAAAHv//6k=")</f>
        <v>#REF!</v>
      </c>
      <c r="FO175" t="e">
        <f>AND(#REF!,"AAAAAHv//6o=")</f>
        <v>#REF!</v>
      </c>
      <c r="FP175" t="e">
        <f>AND(#REF!,"AAAAAHv//6s=")</f>
        <v>#REF!</v>
      </c>
      <c r="FQ175" t="e">
        <f>AND(#REF!,"AAAAAHv//6w=")</f>
        <v>#REF!</v>
      </c>
      <c r="FR175" t="e">
        <f>AND(#REF!,"AAAAAHv//60=")</f>
        <v>#REF!</v>
      </c>
      <c r="FS175" t="e">
        <f>AND(#REF!,"AAAAAHv//64=")</f>
        <v>#REF!</v>
      </c>
      <c r="FT175" t="e">
        <f>AND(#REF!,"AAAAAHv//68=")</f>
        <v>#REF!</v>
      </c>
      <c r="FU175" t="e">
        <f>AND(#REF!,"AAAAAHv//7A=")</f>
        <v>#REF!</v>
      </c>
      <c r="FV175" t="e">
        <f>AND(#REF!,"AAAAAHv//7E=")</f>
        <v>#REF!</v>
      </c>
      <c r="FW175" t="e">
        <f>AND(#REF!,"AAAAAHv//7I=")</f>
        <v>#REF!</v>
      </c>
      <c r="FX175" t="e">
        <f>AND(#REF!,"AAAAAHv//7M=")</f>
        <v>#REF!</v>
      </c>
      <c r="FY175" t="e">
        <f>AND(#REF!,"AAAAAHv//7Q=")</f>
        <v>#REF!</v>
      </c>
      <c r="FZ175" t="e">
        <f>AND(#REF!,"AAAAAHv//7U=")</f>
        <v>#REF!</v>
      </c>
      <c r="GA175" t="e">
        <f>AND(#REF!,"AAAAAHv//7Y=")</f>
        <v>#REF!</v>
      </c>
      <c r="GB175" t="e">
        <f>AND(#REF!,"AAAAAHv//7c=")</f>
        <v>#REF!</v>
      </c>
      <c r="GC175" t="e">
        <f>AND(#REF!,"AAAAAHv//7g=")</f>
        <v>#REF!</v>
      </c>
      <c r="GD175" t="e">
        <f>AND(#REF!,"AAAAAHv//7k=")</f>
        <v>#REF!</v>
      </c>
      <c r="GE175" t="e">
        <f>AND(#REF!,"AAAAAHv//7o=")</f>
        <v>#REF!</v>
      </c>
      <c r="GF175" t="e">
        <f>AND(#REF!,"AAAAAHv//7s=")</f>
        <v>#REF!</v>
      </c>
      <c r="GG175" t="e">
        <f>AND(#REF!,"AAAAAHv//7w=")</f>
        <v>#REF!</v>
      </c>
      <c r="GH175" t="e">
        <f>AND(#REF!,"AAAAAHv//70=")</f>
        <v>#REF!</v>
      </c>
      <c r="GI175" t="e">
        <f>AND(#REF!,"AAAAAHv//74=")</f>
        <v>#REF!</v>
      </c>
      <c r="GJ175" t="e">
        <f>IF(#REF!,"AAAAAHv//78=",0)</f>
        <v>#REF!</v>
      </c>
      <c r="GK175" t="e">
        <f>AND(#REF!,"AAAAAHv//8A=")</f>
        <v>#REF!</v>
      </c>
      <c r="GL175" t="e">
        <f>AND(#REF!,"AAAAAHv//8E=")</f>
        <v>#REF!</v>
      </c>
      <c r="GM175" t="e">
        <f>AND(#REF!,"AAAAAHv//8I=")</f>
        <v>#REF!</v>
      </c>
      <c r="GN175" t="e">
        <f>AND(#REF!,"AAAAAHv//8M=")</f>
        <v>#REF!</v>
      </c>
      <c r="GO175" t="e">
        <f>AND(#REF!,"AAAAAHv//8Q=")</f>
        <v>#REF!</v>
      </c>
      <c r="GP175" t="e">
        <f>AND(#REF!,"AAAAAHv//8U=")</f>
        <v>#REF!</v>
      </c>
      <c r="GQ175" t="e">
        <f>AND(#REF!,"AAAAAHv//8Y=")</f>
        <v>#REF!</v>
      </c>
      <c r="GR175" t="e">
        <f>AND(#REF!,"AAAAAHv//8c=")</f>
        <v>#REF!</v>
      </c>
      <c r="GS175" t="e">
        <f>AND(#REF!,"AAAAAHv//8g=")</f>
        <v>#REF!</v>
      </c>
      <c r="GT175" t="e">
        <f>AND(#REF!,"AAAAAHv//8k=")</f>
        <v>#REF!</v>
      </c>
      <c r="GU175" t="e">
        <f>AND(#REF!,"AAAAAHv//8o=")</f>
        <v>#REF!</v>
      </c>
      <c r="GV175" t="e">
        <f>AND(#REF!,"AAAAAHv//8s=")</f>
        <v>#REF!</v>
      </c>
      <c r="GW175" t="e">
        <f>AND(#REF!,"AAAAAHv//8w=")</f>
        <v>#REF!</v>
      </c>
      <c r="GX175" t="e">
        <f>AND(#REF!,"AAAAAHv//80=")</f>
        <v>#REF!</v>
      </c>
      <c r="GY175" t="e">
        <f>AND(#REF!,"AAAAAHv//84=")</f>
        <v>#REF!</v>
      </c>
      <c r="GZ175" t="e">
        <f>AND(#REF!,"AAAAAHv//88=")</f>
        <v>#REF!</v>
      </c>
      <c r="HA175" t="e">
        <f>AND(#REF!,"AAAAAHv//9A=")</f>
        <v>#REF!</v>
      </c>
      <c r="HB175" t="e">
        <f>AND(#REF!,"AAAAAHv//9E=")</f>
        <v>#REF!</v>
      </c>
      <c r="HC175" t="e">
        <f>AND(#REF!,"AAAAAHv//9I=")</f>
        <v>#REF!</v>
      </c>
      <c r="HD175" t="e">
        <f>AND(#REF!,"AAAAAHv//9M=")</f>
        <v>#REF!</v>
      </c>
      <c r="HE175" t="e">
        <f>AND(#REF!,"AAAAAHv//9Q=")</f>
        <v>#REF!</v>
      </c>
      <c r="HF175" t="e">
        <f>AND(#REF!,"AAAAAHv//9U=")</f>
        <v>#REF!</v>
      </c>
      <c r="HG175" t="e">
        <f>AND(#REF!,"AAAAAHv//9Y=")</f>
        <v>#REF!</v>
      </c>
      <c r="HH175" t="e">
        <f>AND(#REF!,"AAAAAHv//9c=")</f>
        <v>#REF!</v>
      </c>
      <c r="HI175" t="e">
        <f>IF(#REF!,"AAAAAHv//9g=",0)</f>
        <v>#REF!</v>
      </c>
      <c r="HJ175" t="e">
        <f>AND(#REF!,"AAAAAHv//9k=")</f>
        <v>#REF!</v>
      </c>
      <c r="HK175" t="e">
        <f>AND(#REF!,"AAAAAHv//9o=")</f>
        <v>#REF!</v>
      </c>
      <c r="HL175" t="e">
        <f>AND(#REF!,"AAAAAHv//9s=")</f>
        <v>#REF!</v>
      </c>
      <c r="HM175" t="e">
        <f>AND(#REF!,"AAAAAHv//9w=")</f>
        <v>#REF!</v>
      </c>
      <c r="HN175" t="e">
        <f>AND(#REF!,"AAAAAHv//90=")</f>
        <v>#REF!</v>
      </c>
      <c r="HO175" t="e">
        <f>AND(#REF!,"AAAAAHv//94=")</f>
        <v>#REF!</v>
      </c>
      <c r="HP175" t="e">
        <f>AND(#REF!,"AAAAAHv//98=")</f>
        <v>#REF!</v>
      </c>
      <c r="HQ175" t="e">
        <f>AND(#REF!,"AAAAAHv//+A=")</f>
        <v>#REF!</v>
      </c>
      <c r="HR175" t="e">
        <f>AND(#REF!,"AAAAAHv//+E=")</f>
        <v>#REF!</v>
      </c>
      <c r="HS175" t="e">
        <f>AND(#REF!,"AAAAAHv//+I=")</f>
        <v>#REF!</v>
      </c>
      <c r="HT175" t="e">
        <f>AND(#REF!,"AAAAAHv//+M=")</f>
        <v>#REF!</v>
      </c>
      <c r="HU175" t="e">
        <f>AND(#REF!,"AAAAAHv//+Q=")</f>
        <v>#REF!</v>
      </c>
      <c r="HV175" t="e">
        <f>AND(#REF!,"AAAAAHv//+U=")</f>
        <v>#REF!</v>
      </c>
      <c r="HW175" t="e">
        <f>AND(#REF!,"AAAAAHv//+Y=")</f>
        <v>#REF!</v>
      </c>
      <c r="HX175" t="e">
        <f>AND(#REF!,"AAAAAHv//+c=")</f>
        <v>#REF!</v>
      </c>
      <c r="HY175" t="e">
        <f>AND(#REF!,"AAAAAHv//+g=")</f>
        <v>#REF!</v>
      </c>
      <c r="HZ175" t="e">
        <f>AND(#REF!,"AAAAAHv//+k=")</f>
        <v>#REF!</v>
      </c>
      <c r="IA175" t="e">
        <f>AND(#REF!,"AAAAAHv//+o=")</f>
        <v>#REF!</v>
      </c>
      <c r="IB175" t="e">
        <f>AND(#REF!,"AAAAAHv//+s=")</f>
        <v>#REF!</v>
      </c>
      <c r="IC175" t="e">
        <f>AND(#REF!,"AAAAAHv//+w=")</f>
        <v>#REF!</v>
      </c>
      <c r="ID175" t="e">
        <f>AND(#REF!,"AAAAAHv//+0=")</f>
        <v>#REF!</v>
      </c>
      <c r="IE175" t="e">
        <f>AND(#REF!,"AAAAAHv//+4=")</f>
        <v>#REF!</v>
      </c>
      <c r="IF175" t="e">
        <f>AND(#REF!,"AAAAAHv//+8=")</f>
        <v>#REF!</v>
      </c>
      <c r="IG175" t="e">
        <f>AND(#REF!,"AAAAAHv///A=")</f>
        <v>#REF!</v>
      </c>
      <c r="IH175" t="e">
        <f>IF(#REF!,"AAAAAHv///E=",0)</f>
        <v>#REF!</v>
      </c>
      <c r="II175" t="e">
        <f>AND(#REF!,"AAAAAHv///I=")</f>
        <v>#REF!</v>
      </c>
      <c r="IJ175" t="e">
        <f>AND(#REF!,"AAAAAHv///M=")</f>
        <v>#REF!</v>
      </c>
      <c r="IK175" t="e">
        <f>AND(#REF!,"AAAAAHv///Q=")</f>
        <v>#REF!</v>
      </c>
      <c r="IL175" t="e">
        <f>AND(#REF!,"AAAAAHv///U=")</f>
        <v>#REF!</v>
      </c>
      <c r="IM175" t="e">
        <f>AND(#REF!,"AAAAAHv///Y=")</f>
        <v>#REF!</v>
      </c>
      <c r="IN175" t="e">
        <f>AND(#REF!,"AAAAAHv///c=")</f>
        <v>#REF!</v>
      </c>
      <c r="IO175" t="e">
        <f>AND(#REF!,"AAAAAHv///g=")</f>
        <v>#REF!</v>
      </c>
      <c r="IP175" t="e">
        <f>AND(#REF!,"AAAAAHv///k=")</f>
        <v>#REF!</v>
      </c>
      <c r="IQ175" t="e">
        <f>AND(#REF!,"AAAAAHv///o=")</f>
        <v>#REF!</v>
      </c>
      <c r="IR175" t="e">
        <f>AND(#REF!,"AAAAAHv///s=")</f>
        <v>#REF!</v>
      </c>
      <c r="IS175" t="e">
        <f>AND(#REF!,"AAAAAHv///w=")</f>
        <v>#REF!</v>
      </c>
      <c r="IT175" t="e">
        <f>AND(#REF!,"AAAAAHv///0=")</f>
        <v>#REF!</v>
      </c>
      <c r="IU175" t="e">
        <f>AND(#REF!,"AAAAAHv///4=")</f>
        <v>#REF!</v>
      </c>
      <c r="IV175" t="e">
        <f>AND(#REF!,"AAAAAHv///8=")</f>
        <v>#REF!</v>
      </c>
    </row>
    <row r="176" spans="1:256">
      <c r="A176" t="e">
        <f>AND(#REF!,"AAAAAD/k/wA=")</f>
        <v>#REF!</v>
      </c>
      <c r="B176" t="e">
        <f>AND(#REF!,"AAAAAD/k/wE=")</f>
        <v>#REF!</v>
      </c>
      <c r="C176" t="e">
        <f>AND(#REF!,"AAAAAD/k/wI=")</f>
        <v>#REF!</v>
      </c>
      <c r="D176" t="e">
        <f>AND(#REF!,"AAAAAD/k/wM=")</f>
        <v>#REF!</v>
      </c>
      <c r="E176" t="e">
        <f>AND(#REF!,"AAAAAD/k/wQ=")</f>
        <v>#REF!</v>
      </c>
      <c r="F176" t="e">
        <f>AND(#REF!,"AAAAAD/k/wU=")</f>
        <v>#REF!</v>
      </c>
      <c r="G176" t="e">
        <f>AND(#REF!,"AAAAAD/k/wY=")</f>
        <v>#REF!</v>
      </c>
      <c r="H176" t="e">
        <f>AND(#REF!,"AAAAAD/k/wc=")</f>
        <v>#REF!</v>
      </c>
      <c r="I176" t="e">
        <f>AND(#REF!,"AAAAAD/k/wg=")</f>
        <v>#REF!</v>
      </c>
      <c r="J176" t="e">
        <f>AND(#REF!,"AAAAAD/k/wk=")</f>
        <v>#REF!</v>
      </c>
      <c r="K176" t="e">
        <f>IF(#REF!,"AAAAAD/k/wo=",0)</f>
        <v>#REF!</v>
      </c>
      <c r="L176" t="e">
        <f>AND(#REF!,"AAAAAD/k/ws=")</f>
        <v>#REF!</v>
      </c>
      <c r="M176" t="e">
        <f>AND(#REF!,"AAAAAD/k/ww=")</f>
        <v>#REF!</v>
      </c>
      <c r="N176" t="e">
        <f>AND(#REF!,"AAAAAD/k/w0=")</f>
        <v>#REF!</v>
      </c>
      <c r="O176" t="e">
        <f>AND(#REF!,"AAAAAD/k/w4=")</f>
        <v>#REF!</v>
      </c>
      <c r="P176" t="e">
        <f>AND(#REF!,"AAAAAD/k/w8=")</f>
        <v>#REF!</v>
      </c>
      <c r="Q176" t="e">
        <f>AND(#REF!,"AAAAAD/k/xA=")</f>
        <v>#REF!</v>
      </c>
      <c r="R176" t="e">
        <f>AND(#REF!,"AAAAAD/k/xE=")</f>
        <v>#REF!</v>
      </c>
      <c r="S176" t="e">
        <f>AND(#REF!,"AAAAAD/k/xI=")</f>
        <v>#REF!</v>
      </c>
      <c r="T176" t="e">
        <f>AND(#REF!,"AAAAAD/k/xM=")</f>
        <v>#REF!</v>
      </c>
      <c r="U176" t="e">
        <f>AND(#REF!,"AAAAAD/k/xQ=")</f>
        <v>#REF!</v>
      </c>
      <c r="V176" t="e">
        <f>AND(#REF!,"AAAAAD/k/xU=")</f>
        <v>#REF!</v>
      </c>
      <c r="W176" t="e">
        <f>AND(#REF!,"AAAAAD/k/xY=")</f>
        <v>#REF!</v>
      </c>
      <c r="X176" t="e">
        <f>AND(#REF!,"AAAAAD/k/xc=")</f>
        <v>#REF!</v>
      </c>
      <c r="Y176" t="e">
        <f>AND(#REF!,"AAAAAD/k/xg=")</f>
        <v>#REF!</v>
      </c>
      <c r="Z176" t="e">
        <f>AND(#REF!,"AAAAAD/k/xk=")</f>
        <v>#REF!</v>
      </c>
      <c r="AA176" t="e">
        <f>AND(#REF!,"AAAAAD/k/xo=")</f>
        <v>#REF!</v>
      </c>
      <c r="AB176" t="e">
        <f>AND(#REF!,"AAAAAD/k/xs=")</f>
        <v>#REF!</v>
      </c>
      <c r="AC176" t="e">
        <f>AND(#REF!,"AAAAAD/k/xw=")</f>
        <v>#REF!</v>
      </c>
      <c r="AD176" t="e">
        <f>AND(#REF!,"AAAAAD/k/x0=")</f>
        <v>#REF!</v>
      </c>
      <c r="AE176" t="e">
        <f>AND(#REF!,"AAAAAD/k/x4=")</f>
        <v>#REF!</v>
      </c>
      <c r="AF176" t="e">
        <f>AND(#REF!,"AAAAAD/k/x8=")</f>
        <v>#REF!</v>
      </c>
      <c r="AG176" t="e">
        <f>AND(#REF!,"AAAAAD/k/yA=")</f>
        <v>#REF!</v>
      </c>
      <c r="AH176" t="e">
        <f>AND(#REF!,"AAAAAD/k/yE=")</f>
        <v>#REF!</v>
      </c>
      <c r="AI176" t="e">
        <f>AND(#REF!,"AAAAAD/k/yI=")</f>
        <v>#REF!</v>
      </c>
      <c r="AJ176" t="e">
        <f>IF(#REF!,"AAAAAD/k/yM=",0)</f>
        <v>#REF!</v>
      </c>
      <c r="AK176" t="e">
        <f>AND(#REF!,"AAAAAD/k/yQ=")</f>
        <v>#REF!</v>
      </c>
      <c r="AL176" t="e">
        <f>AND(#REF!,"AAAAAD/k/yU=")</f>
        <v>#REF!</v>
      </c>
      <c r="AM176" t="e">
        <f>AND(#REF!,"AAAAAD/k/yY=")</f>
        <v>#REF!</v>
      </c>
      <c r="AN176" t="e">
        <f>AND(#REF!,"AAAAAD/k/yc=")</f>
        <v>#REF!</v>
      </c>
      <c r="AO176" t="e">
        <f>AND(#REF!,"AAAAAD/k/yg=")</f>
        <v>#REF!</v>
      </c>
      <c r="AP176" t="e">
        <f>AND(#REF!,"AAAAAD/k/yk=")</f>
        <v>#REF!</v>
      </c>
      <c r="AQ176" t="e">
        <f>AND(#REF!,"AAAAAD/k/yo=")</f>
        <v>#REF!</v>
      </c>
      <c r="AR176" t="e">
        <f>AND(#REF!,"AAAAAD/k/ys=")</f>
        <v>#REF!</v>
      </c>
      <c r="AS176" t="e">
        <f>AND(#REF!,"AAAAAD/k/yw=")</f>
        <v>#REF!</v>
      </c>
      <c r="AT176" t="e">
        <f>AND(#REF!,"AAAAAD/k/y0=")</f>
        <v>#REF!</v>
      </c>
      <c r="AU176" t="e">
        <f>AND(#REF!,"AAAAAD/k/y4=")</f>
        <v>#REF!</v>
      </c>
      <c r="AV176" t="e">
        <f>AND(#REF!,"AAAAAD/k/y8=")</f>
        <v>#REF!</v>
      </c>
      <c r="AW176" t="e">
        <f>AND(#REF!,"AAAAAD/k/zA=")</f>
        <v>#REF!</v>
      </c>
      <c r="AX176" t="e">
        <f>AND(#REF!,"AAAAAD/k/zE=")</f>
        <v>#REF!</v>
      </c>
      <c r="AY176" t="e">
        <f>AND(#REF!,"AAAAAD/k/zI=")</f>
        <v>#REF!</v>
      </c>
      <c r="AZ176" t="e">
        <f>AND(#REF!,"AAAAAD/k/zM=")</f>
        <v>#REF!</v>
      </c>
      <c r="BA176" t="e">
        <f>AND(#REF!,"AAAAAD/k/zQ=")</f>
        <v>#REF!</v>
      </c>
      <c r="BB176" t="e">
        <f>AND(#REF!,"AAAAAD/k/zU=")</f>
        <v>#REF!</v>
      </c>
      <c r="BC176" t="e">
        <f>AND(#REF!,"AAAAAD/k/zY=")</f>
        <v>#REF!</v>
      </c>
      <c r="BD176" t="e">
        <f>AND(#REF!,"AAAAAD/k/zc=")</f>
        <v>#REF!</v>
      </c>
      <c r="BE176" t="e">
        <f>AND(#REF!,"AAAAAD/k/zg=")</f>
        <v>#REF!</v>
      </c>
      <c r="BF176" t="e">
        <f>AND(#REF!,"AAAAAD/k/zk=")</f>
        <v>#REF!</v>
      </c>
      <c r="BG176" t="e">
        <f>AND(#REF!,"AAAAAD/k/zo=")</f>
        <v>#REF!</v>
      </c>
      <c r="BH176" t="e">
        <f>AND(#REF!,"AAAAAD/k/zs=")</f>
        <v>#REF!</v>
      </c>
      <c r="BI176" t="e">
        <f>IF(#REF!,"AAAAAD/k/zw=",0)</f>
        <v>#REF!</v>
      </c>
      <c r="BJ176" t="e">
        <f>AND(#REF!,"AAAAAD/k/z0=")</f>
        <v>#REF!</v>
      </c>
      <c r="BK176" t="e">
        <f>AND(#REF!,"AAAAAD/k/z4=")</f>
        <v>#REF!</v>
      </c>
      <c r="BL176" t="e">
        <f>AND(#REF!,"AAAAAD/k/z8=")</f>
        <v>#REF!</v>
      </c>
      <c r="BM176" t="e">
        <f>AND(#REF!,"AAAAAD/k/0A=")</f>
        <v>#REF!</v>
      </c>
      <c r="BN176" t="e">
        <f>AND(#REF!,"AAAAAD/k/0E=")</f>
        <v>#REF!</v>
      </c>
      <c r="BO176" t="e">
        <f>AND(#REF!,"AAAAAD/k/0I=")</f>
        <v>#REF!</v>
      </c>
      <c r="BP176" t="e">
        <f>AND(#REF!,"AAAAAD/k/0M=")</f>
        <v>#REF!</v>
      </c>
      <c r="BQ176" t="e">
        <f>AND(#REF!,"AAAAAD/k/0Q=")</f>
        <v>#REF!</v>
      </c>
      <c r="BR176" t="e">
        <f>AND(#REF!,"AAAAAD/k/0U=")</f>
        <v>#REF!</v>
      </c>
      <c r="BS176" t="e">
        <f>AND(#REF!,"AAAAAD/k/0Y=")</f>
        <v>#REF!</v>
      </c>
      <c r="BT176" t="e">
        <f>AND(#REF!,"AAAAAD/k/0c=")</f>
        <v>#REF!</v>
      </c>
      <c r="BU176" t="e">
        <f>AND(#REF!,"AAAAAD/k/0g=")</f>
        <v>#REF!</v>
      </c>
      <c r="BV176" t="e">
        <f>AND(#REF!,"AAAAAD/k/0k=")</f>
        <v>#REF!</v>
      </c>
      <c r="BW176" t="e">
        <f>AND(#REF!,"AAAAAD/k/0o=")</f>
        <v>#REF!</v>
      </c>
      <c r="BX176" t="e">
        <f>AND(#REF!,"AAAAAD/k/0s=")</f>
        <v>#REF!</v>
      </c>
      <c r="BY176" t="e">
        <f>AND(#REF!,"AAAAAD/k/0w=")</f>
        <v>#REF!</v>
      </c>
      <c r="BZ176" t="e">
        <f>AND(#REF!,"AAAAAD/k/00=")</f>
        <v>#REF!</v>
      </c>
      <c r="CA176" t="e">
        <f>AND(#REF!,"AAAAAD/k/04=")</f>
        <v>#REF!</v>
      </c>
      <c r="CB176" t="e">
        <f>AND(#REF!,"AAAAAD/k/08=")</f>
        <v>#REF!</v>
      </c>
      <c r="CC176" t="e">
        <f>AND(#REF!,"AAAAAD/k/1A=")</f>
        <v>#REF!</v>
      </c>
      <c r="CD176" t="e">
        <f>AND(#REF!,"AAAAAD/k/1E=")</f>
        <v>#REF!</v>
      </c>
      <c r="CE176" t="e">
        <f>AND(#REF!,"AAAAAD/k/1I=")</f>
        <v>#REF!</v>
      </c>
      <c r="CF176" t="e">
        <f>AND(#REF!,"AAAAAD/k/1M=")</f>
        <v>#REF!</v>
      </c>
      <c r="CG176" t="e">
        <f>AND(#REF!,"AAAAAD/k/1Q=")</f>
        <v>#REF!</v>
      </c>
      <c r="CH176" t="e">
        <f>IF(#REF!,"AAAAAD/k/1U=",0)</f>
        <v>#REF!</v>
      </c>
      <c r="CI176" t="e">
        <f>AND(#REF!,"AAAAAD/k/1Y=")</f>
        <v>#REF!</v>
      </c>
      <c r="CJ176" t="e">
        <f>AND(#REF!,"AAAAAD/k/1c=")</f>
        <v>#REF!</v>
      </c>
      <c r="CK176" t="e">
        <f>AND(#REF!,"AAAAAD/k/1g=")</f>
        <v>#REF!</v>
      </c>
      <c r="CL176" t="e">
        <f>AND(#REF!,"AAAAAD/k/1k=")</f>
        <v>#REF!</v>
      </c>
      <c r="CM176" t="e">
        <f>AND(#REF!,"AAAAAD/k/1o=")</f>
        <v>#REF!</v>
      </c>
      <c r="CN176" t="e">
        <f>AND(#REF!,"AAAAAD/k/1s=")</f>
        <v>#REF!</v>
      </c>
      <c r="CO176" t="e">
        <f>AND(#REF!,"AAAAAD/k/1w=")</f>
        <v>#REF!</v>
      </c>
      <c r="CP176" t="e">
        <f>AND(#REF!,"AAAAAD/k/10=")</f>
        <v>#REF!</v>
      </c>
      <c r="CQ176" t="e">
        <f>AND(#REF!,"AAAAAD/k/14=")</f>
        <v>#REF!</v>
      </c>
      <c r="CR176" t="e">
        <f>AND(#REF!,"AAAAAD/k/18=")</f>
        <v>#REF!</v>
      </c>
      <c r="CS176" t="e">
        <f>AND(#REF!,"AAAAAD/k/2A=")</f>
        <v>#REF!</v>
      </c>
      <c r="CT176" t="e">
        <f>AND(#REF!,"AAAAAD/k/2E=")</f>
        <v>#REF!</v>
      </c>
      <c r="CU176" t="e">
        <f>AND(#REF!,"AAAAAD/k/2I=")</f>
        <v>#REF!</v>
      </c>
      <c r="CV176" t="e">
        <f>AND(#REF!,"AAAAAD/k/2M=")</f>
        <v>#REF!</v>
      </c>
      <c r="CW176" t="e">
        <f>AND(#REF!,"AAAAAD/k/2Q=")</f>
        <v>#REF!</v>
      </c>
      <c r="CX176" t="e">
        <f>AND(#REF!,"AAAAAD/k/2U=")</f>
        <v>#REF!</v>
      </c>
      <c r="CY176" t="e">
        <f>AND(#REF!,"AAAAAD/k/2Y=")</f>
        <v>#REF!</v>
      </c>
      <c r="CZ176" t="e">
        <f>AND(#REF!,"AAAAAD/k/2c=")</f>
        <v>#REF!</v>
      </c>
      <c r="DA176" t="e">
        <f>AND(#REF!,"AAAAAD/k/2g=")</f>
        <v>#REF!</v>
      </c>
      <c r="DB176" t="e">
        <f>AND(#REF!,"AAAAAD/k/2k=")</f>
        <v>#REF!</v>
      </c>
      <c r="DC176" t="e">
        <f>AND(#REF!,"AAAAAD/k/2o=")</f>
        <v>#REF!</v>
      </c>
      <c r="DD176" t="e">
        <f>AND(#REF!,"AAAAAD/k/2s=")</f>
        <v>#REF!</v>
      </c>
      <c r="DE176" t="e">
        <f>AND(#REF!,"AAAAAD/k/2w=")</f>
        <v>#REF!</v>
      </c>
      <c r="DF176" t="e">
        <f>AND(#REF!,"AAAAAD/k/20=")</f>
        <v>#REF!</v>
      </c>
      <c r="DG176" t="e">
        <f>IF(#REF!,"AAAAAD/k/24=",0)</f>
        <v>#REF!</v>
      </c>
      <c r="DH176" t="e">
        <f>AND(#REF!,"AAAAAD/k/28=")</f>
        <v>#REF!</v>
      </c>
      <c r="DI176" t="e">
        <f>AND(#REF!,"AAAAAD/k/3A=")</f>
        <v>#REF!</v>
      </c>
      <c r="DJ176" t="e">
        <f>AND(#REF!,"AAAAAD/k/3E=")</f>
        <v>#REF!</v>
      </c>
      <c r="DK176" t="e">
        <f>AND(#REF!,"AAAAAD/k/3I=")</f>
        <v>#REF!</v>
      </c>
      <c r="DL176" t="e">
        <f>AND(#REF!,"AAAAAD/k/3M=")</f>
        <v>#REF!</v>
      </c>
      <c r="DM176" t="e">
        <f>AND(#REF!,"AAAAAD/k/3Q=")</f>
        <v>#REF!</v>
      </c>
      <c r="DN176" t="e">
        <f>AND(#REF!,"AAAAAD/k/3U=")</f>
        <v>#REF!</v>
      </c>
      <c r="DO176" t="e">
        <f>AND(#REF!,"AAAAAD/k/3Y=")</f>
        <v>#REF!</v>
      </c>
      <c r="DP176" t="e">
        <f>AND(#REF!,"AAAAAD/k/3c=")</f>
        <v>#REF!</v>
      </c>
      <c r="DQ176" t="e">
        <f>AND(#REF!,"AAAAAD/k/3g=")</f>
        <v>#REF!</v>
      </c>
      <c r="DR176" t="e">
        <f>AND(#REF!,"AAAAAD/k/3k=")</f>
        <v>#REF!</v>
      </c>
      <c r="DS176" t="e">
        <f>AND(#REF!,"AAAAAD/k/3o=")</f>
        <v>#REF!</v>
      </c>
      <c r="DT176" t="e">
        <f>AND(#REF!,"AAAAAD/k/3s=")</f>
        <v>#REF!</v>
      </c>
      <c r="DU176" t="e">
        <f>AND(#REF!,"AAAAAD/k/3w=")</f>
        <v>#REF!</v>
      </c>
      <c r="DV176" t="e">
        <f>AND(#REF!,"AAAAAD/k/30=")</f>
        <v>#REF!</v>
      </c>
      <c r="DW176" t="e">
        <f>AND(#REF!,"AAAAAD/k/34=")</f>
        <v>#REF!</v>
      </c>
      <c r="DX176" t="e">
        <f>AND(#REF!,"AAAAAD/k/38=")</f>
        <v>#REF!</v>
      </c>
      <c r="DY176" t="e">
        <f>AND(#REF!,"AAAAAD/k/4A=")</f>
        <v>#REF!</v>
      </c>
      <c r="DZ176" t="e">
        <f>AND(#REF!,"AAAAAD/k/4E=")</f>
        <v>#REF!</v>
      </c>
      <c r="EA176" t="e">
        <f>AND(#REF!,"AAAAAD/k/4I=")</f>
        <v>#REF!</v>
      </c>
      <c r="EB176" t="e">
        <f>AND(#REF!,"AAAAAD/k/4M=")</f>
        <v>#REF!</v>
      </c>
      <c r="EC176" t="e">
        <f>AND(#REF!,"AAAAAD/k/4Q=")</f>
        <v>#REF!</v>
      </c>
      <c r="ED176" t="e">
        <f>AND(#REF!,"AAAAAD/k/4U=")</f>
        <v>#REF!</v>
      </c>
      <c r="EE176" t="e">
        <f>AND(#REF!,"AAAAAD/k/4Y=")</f>
        <v>#REF!</v>
      </c>
      <c r="EF176" t="e">
        <f>IF(#REF!,"AAAAAD/k/4c=",0)</f>
        <v>#REF!</v>
      </c>
      <c r="EG176" t="e">
        <f>AND(#REF!,"AAAAAD/k/4g=")</f>
        <v>#REF!</v>
      </c>
      <c r="EH176" t="e">
        <f>AND(#REF!,"AAAAAD/k/4k=")</f>
        <v>#REF!</v>
      </c>
      <c r="EI176" t="e">
        <f>AND(#REF!,"AAAAAD/k/4o=")</f>
        <v>#REF!</v>
      </c>
      <c r="EJ176" t="e">
        <f>AND(#REF!,"AAAAAD/k/4s=")</f>
        <v>#REF!</v>
      </c>
      <c r="EK176" t="e">
        <f>AND(#REF!,"AAAAAD/k/4w=")</f>
        <v>#REF!</v>
      </c>
      <c r="EL176" t="e">
        <f>AND(#REF!,"AAAAAD/k/40=")</f>
        <v>#REF!</v>
      </c>
      <c r="EM176" t="e">
        <f>AND(#REF!,"AAAAAD/k/44=")</f>
        <v>#REF!</v>
      </c>
      <c r="EN176" t="e">
        <f>AND(#REF!,"AAAAAD/k/48=")</f>
        <v>#REF!</v>
      </c>
      <c r="EO176" t="e">
        <f>AND(#REF!,"AAAAAD/k/5A=")</f>
        <v>#REF!</v>
      </c>
      <c r="EP176" t="e">
        <f>AND(#REF!,"AAAAAD/k/5E=")</f>
        <v>#REF!</v>
      </c>
      <c r="EQ176" t="e">
        <f>AND(#REF!,"AAAAAD/k/5I=")</f>
        <v>#REF!</v>
      </c>
      <c r="ER176" t="e">
        <f>AND(#REF!,"AAAAAD/k/5M=")</f>
        <v>#REF!</v>
      </c>
      <c r="ES176" t="e">
        <f>AND(#REF!,"AAAAAD/k/5Q=")</f>
        <v>#REF!</v>
      </c>
      <c r="ET176" t="e">
        <f>AND(#REF!,"AAAAAD/k/5U=")</f>
        <v>#REF!</v>
      </c>
      <c r="EU176" t="e">
        <f>AND(#REF!,"AAAAAD/k/5Y=")</f>
        <v>#REF!</v>
      </c>
      <c r="EV176" t="e">
        <f>AND(#REF!,"AAAAAD/k/5c=")</f>
        <v>#REF!</v>
      </c>
      <c r="EW176" t="e">
        <f>AND(#REF!,"AAAAAD/k/5g=")</f>
        <v>#REF!</v>
      </c>
      <c r="EX176" t="e">
        <f>AND(#REF!,"AAAAAD/k/5k=")</f>
        <v>#REF!</v>
      </c>
      <c r="EY176" t="e">
        <f>AND(#REF!,"AAAAAD/k/5o=")</f>
        <v>#REF!</v>
      </c>
      <c r="EZ176" t="e">
        <f>AND(#REF!,"AAAAAD/k/5s=")</f>
        <v>#REF!</v>
      </c>
      <c r="FA176" t="e">
        <f>AND(#REF!,"AAAAAD/k/5w=")</f>
        <v>#REF!</v>
      </c>
      <c r="FB176" t="e">
        <f>AND(#REF!,"AAAAAD/k/50=")</f>
        <v>#REF!</v>
      </c>
      <c r="FC176" t="e">
        <f>AND(#REF!,"AAAAAD/k/54=")</f>
        <v>#REF!</v>
      </c>
      <c r="FD176" t="e">
        <f>AND(#REF!,"AAAAAD/k/58=")</f>
        <v>#REF!</v>
      </c>
      <c r="FE176" t="e">
        <f>IF(#REF!,"AAAAAD/k/6A=",0)</f>
        <v>#REF!</v>
      </c>
      <c r="FF176" t="e">
        <f>AND(#REF!,"AAAAAD/k/6E=")</f>
        <v>#REF!</v>
      </c>
      <c r="FG176" t="e">
        <f>AND(#REF!,"AAAAAD/k/6I=")</f>
        <v>#REF!</v>
      </c>
      <c r="FH176" t="e">
        <f>AND(#REF!,"AAAAAD/k/6M=")</f>
        <v>#REF!</v>
      </c>
      <c r="FI176" t="e">
        <f>AND(#REF!,"AAAAAD/k/6Q=")</f>
        <v>#REF!</v>
      </c>
      <c r="FJ176" t="e">
        <f>AND(#REF!,"AAAAAD/k/6U=")</f>
        <v>#REF!</v>
      </c>
      <c r="FK176" t="e">
        <f>AND(#REF!,"AAAAAD/k/6Y=")</f>
        <v>#REF!</v>
      </c>
      <c r="FL176" t="e">
        <f>AND(#REF!,"AAAAAD/k/6c=")</f>
        <v>#REF!</v>
      </c>
      <c r="FM176" t="e">
        <f>AND(#REF!,"AAAAAD/k/6g=")</f>
        <v>#REF!</v>
      </c>
      <c r="FN176" t="e">
        <f>AND(#REF!,"AAAAAD/k/6k=")</f>
        <v>#REF!</v>
      </c>
      <c r="FO176" t="e">
        <f>AND(#REF!,"AAAAAD/k/6o=")</f>
        <v>#REF!</v>
      </c>
      <c r="FP176" t="e">
        <f>AND(#REF!,"AAAAAD/k/6s=")</f>
        <v>#REF!</v>
      </c>
      <c r="FQ176" t="e">
        <f>AND(#REF!,"AAAAAD/k/6w=")</f>
        <v>#REF!</v>
      </c>
      <c r="FR176" t="e">
        <f>AND(#REF!,"AAAAAD/k/60=")</f>
        <v>#REF!</v>
      </c>
      <c r="FS176" t="e">
        <f>AND(#REF!,"AAAAAD/k/64=")</f>
        <v>#REF!</v>
      </c>
      <c r="FT176" t="e">
        <f>AND(#REF!,"AAAAAD/k/68=")</f>
        <v>#REF!</v>
      </c>
      <c r="FU176" t="e">
        <f>AND(#REF!,"AAAAAD/k/7A=")</f>
        <v>#REF!</v>
      </c>
      <c r="FV176" t="e">
        <f>AND(#REF!,"AAAAAD/k/7E=")</f>
        <v>#REF!</v>
      </c>
      <c r="FW176" t="e">
        <f>AND(#REF!,"AAAAAD/k/7I=")</f>
        <v>#REF!</v>
      </c>
      <c r="FX176" t="e">
        <f>AND(#REF!,"AAAAAD/k/7M=")</f>
        <v>#REF!</v>
      </c>
      <c r="FY176" t="e">
        <f>AND(#REF!,"AAAAAD/k/7Q=")</f>
        <v>#REF!</v>
      </c>
      <c r="FZ176" t="e">
        <f>AND(#REF!,"AAAAAD/k/7U=")</f>
        <v>#REF!</v>
      </c>
      <c r="GA176" t="e">
        <f>AND(#REF!,"AAAAAD/k/7Y=")</f>
        <v>#REF!</v>
      </c>
      <c r="GB176" t="e">
        <f>AND(#REF!,"AAAAAD/k/7c=")</f>
        <v>#REF!</v>
      </c>
      <c r="GC176" t="e">
        <f>AND(#REF!,"AAAAAD/k/7g=")</f>
        <v>#REF!</v>
      </c>
      <c r="GD176" t="e">
        <f>IF(#REF!,"AAAAAD/k/7k=",0)</f>
        <v>#REF!</v>
      </c>
      <c r="GE176" t="e">
        <f>AND(#REF!,"AAAAAD/k/7o=")</f>
        <v>#REF!</v>
      </c>
      <c r="GF176" t="e">
        <f>AND(#REF!,"AAAAAD/k/7s=")</f>
        <v>#REF!</v>
      </c>
      <c r="GG176" t="e">
        <f>AND(#REF!,"AAAAAD/k/7w=")</f>
        <v>#REF!</v>
      </c>
      <c r="GH176" t="e">
        <f>AND(#REF!,"AAAAAD/k/70=")</f>
        <v>#REF!</v>
      </c>
      <c r="GI176" t="e">
        <f>AND(#REF!,"AAAAAD/k/74=")</f>
        <v>#REF!</v>
      </c>
      <c r="GJ176" t="e">
        <f>AND(#REF!,"AAAAAD/k/78=")</f>
        <v>#REF!</v>
      </c>
      <c r="GK176" t="e">
        <f>AND(#REF!,"AAAAAD/k/8A=")</f>
        <v>#REF!</v>
      </c>
      <c r="GL176" t="e">
        <f>AND(#REF!,"AAAAAD/k/8E=")</f>
        <v>#REF!</v>
      </c>
      <c r="GM176" t="e">
        <f>AND(#REF!,"AAAAAD/k/8I=")</f>
        <v>#REF!</v>
      </c>
      <c r="GN176" t="e">
        <f>AND(#REF!,"AAAAAD/k/8M=")</f>
        <v>#REF!</v>
      </c>
      <c r="GO176" t="e">
        <f>AND(#REF!,"AAAAAD/k/8Q=")</f>
        <v>#REF!</v>
      </c>
      <c r="GP176" t="e">
        <f>AND(#REF!,"AAAAAD/k/8U=")</f>
        <v>#REF!</v>
      </c>
      <c r="GQ176" t="e">
        <f>AND(#REF!,"AAAAAD/k/8Y=")</f>
        <v>#REF!</v>
      </c>
      <c r="GR176" t="e">
        <f>AND(#REF!,"AAAAAD/k/8c=")</f>
        <v>#REF!</v>
      </c>
      <c r="GS176" t="e">
        <f>AND(#REF!,"AAAAAD/k/8g=")</f>
        <v>#REF!</v>
      </c>
      <c r="GT176" t="e">
        <f>AND(#REF!,"AAAAAD/k/8k=")</f>
        <v>#REF!</v>
      </c>
      <c r="GU176" t="e">
        <f>AND(#REF!,"AAAAAD/k/8o=")</f>
        <v>#REF!</v>
      </c>
      <c r="GV176" t="e">
        <f>AND(#REF!,"AAAAAD/k/8s=")</f>
        <v>#REF!</v>
      </c>
      <c r="GW176" t="e">
        <f>AND(#REF!,"AAAAAD/k/8w=")</f>
        <v>#REF!</v>
      </c>
      <c r="GX176" t="e">
        <f>AND(#REF!,"AAAAAD/k/80=")</f>
        <v>#REF!</v>
      </c>
      <c r="GY176" t="e">
        <f>AND(#REF!,"AAAAAD/k/84=")</f>
        <v>#REF!</v>
      </c>
      <c r="GZ176" t="e">
        <f>AND(#REF!,"AAAAAD/k/88=")</f>
        <v>#REF!</v>
      </c>
      <c r="HA176" t="e">
        <f>AND(#REF!,"AAAAAD/k/9A=")</f>
        <v>#REF!</v>
      </c>
      <c r="HB176" t="e">
        <f>AND(#REF!,"AAAAAD/k/9E=")</f>
        <v>#REF!</v>
      </c>
      <c r="HC176" t="e">
        <f>IF(#REF!,"AAAAAD/k/9I=",0)</f>
        <v>#REF!</v>
      </c>
      <c r="HD176" t="e">
        <f>AND(#REF!,"AAAAAD/k/9M=")</f>
        <v>#REF!</v>
      </c>
      <c r="HE176" t="e">
        <f>AND(#REF!,"AAAAAD/k/9Q=")</f>
        <v>#REF!</v>
      </c>
      <c r="HF176" t="e">
        <f>AND(#REF!,"AAAAAD/k/9U=")</f>
        <v>#REF!</v>
      </c>
      <c r="HG176" t="e">
        <f>AND(#REF!,"AAAAAD/k/9Y=")</f>
        <v>#REF!</v>
      </c>
      <c r="HH176" t="e">
        <f>AND(#REF!,"AAAAAD/k/9c=")</f>
        <v>#REF!</v>
      </c>
      <c r="HI176" t="e">
        <f>AND(#REF!,"AAAAAD/k/9g=")</f>
        <v>#REF!</v>
      </c>
      <c r="HJ176" t="e">
        <f>AND(#REF!,"AAAAAD/k/9k=")</f>
        <v>#REF!</v>
      </c>
      <c r="HK176" t="e">
        <f>AND(#REF!,"AAAAAD/k/9o=")</f>
        <v>#REF!</v>
      </c>
      <c r="HL176" t="e">
        <f>AND(#REF!,"AAAAAD/k/9s=")</f>
        <v>#REF!</v>
      </c>
      <c r="HM176" t="e">
        <f>AND(#REF!,"AAAAAD/k/9w=")</f>
        <v>#REF!</v>
      </c>
      <c r="HN176" t="e">
        <f>AND(#REF!,"AAAAAD/k/90=")</f>
        <v>#REF!</v>
      </c>
      <c r="HO176" t="e">
        <f>AND(#REF!,"AAAAAD/k/94=")</f>
        <v>#REF!</v>
      </c>
      <c r="HP176" t="e">
        <f>AND(#REF!,"AAAAAD/k/98=")</f>
        <v>#REF!</v>
      </c>
      <c r="HQ176" t="e">
        <f>AND(#REF!,"AAAAAD/k/+A=")</f>
        <v>#REF!</v>
      </c>
      <c r="HR176" t="e">
        <f>AND(#REF!,"AAAAAD/k/+E=")</f>
        <v>#REF!</v>
      </c>
      <c r="HS176" t="e">
        <f>AND(#REF!,"AAAAAD/k/+I=")</f>
        <v>#REF!</v>
      </c>
      <c r="HT176" t="e">
        <f>AND(#REF!,"AAAAAD/k/+M=")</f>
        <v>#REF!</v>
      </c>
      <c r="HU176" t="e">
        <f>AND(#REF!,"AAAAAD/k/+Q=")</f>
        <v>#REF!</v>
      </c>
      <c r="HV176" t="e">
        <f>AND(#REF!,"AAAAAD/k/+U=")</f>
        <v>#REF!</v>
      </c>
      <c r="HW176" t="e">
        <f>AND(#REF!,"AAAAAD/k/+Y=")</f>
        <v>#REF!</v>
      </c>
      <c r="HX176" t="e">
        <f>AND(#REF!,"AAAAAD/k/+c=")</f>
        <v>#REF!</v>
      </c>
      <c r="HY176" t="e">
        <f>AND(#REF!,"AAAAAD/k/+g=")</f>
        <v>#REF!</v>
      </c>
      <c r="HZ176" t="e">
        <f>AND(#REF!,"AAAAAD/k/+k=")</f>
        <v>#REF!</v>
      </c>
      <c r="IA176" t="e">
        <f>AND(#REF!,"AAAAAD/k/+o=")</f>
        <v>#REF!</v>
      </c>
      <c r="IB176" t="e">
        <f>IF(#REF!,"AAAAAD/k/+s=",0)</f>
        <v>#REF!</v>
      </c>
      <c r="IC176" t="e">
        <f>AND(#REF!,"AAAAAD/k/+w=")</f>
        <v>#REF!</v>
      </c>
      <c r="ID176" t="e">
        <f>AND(#REF!,"AAAAAD/k/+0=")</f>
        <v>#REF!</v>
      </c>
      <c r="IE176" t="e">
        <f>AND(#REF!,"AAAAAD/k/+4=")</f>
        <v>#REF!</v>
      </c>
      <c r="IF176" t="e">
        <f>AND(#REF!,"AAAAAD/k/+8=")</f>
        <v>#REF!</v>
      </c>
      <c r="IG176" t="e">
        <f>AND(#REF!,"AAAAAD/k//A=")</f>
        <v>#REF!</v>
      </c>
      <c r="IH176" t="e">
        <f>AND(#REF!,"AAAAAD/k//E=")</f>
        <v>#REF!</v>
      </c>
      <c r="II176" t="e">
        <f>AND(#REF!,"AAAAAD/k//I=")</f>
        <v>#REF!</v>
      </c>
      <c r="IJ176" t="e">
        <f>AND(#REF!,"AAAAAD/k//M=")</f>
        <v>#REF!</v>
      </c>
      <c r="IK176" t="e">
        <f>AND(#REF!,"AAAAAD/k//Q=")</f>
        <v>#REF!</v>
      </c>
      <c r="IL176" t="e">
        <f>AND(#REF!,"AAAAAD/k//U=")</f>
        <v>#REF!</v>
      </c>
      <c r="IM176" t="e">
        <f>AND(#REF!,"AAAAAD/k//Y=")</f>
        <v>#REF!</v>
      </c>
      <c r="IN176" t="e">
        <f>AND(#REF!,"AAAAAD/k//c=")</f>
        <v>#REF!</v>
      </c>
      <c r="IO176" t="e">
        <f>AND(#REF!,"AAAAAD/k//g=")</f>
        <v>#REF!</v>
      </c>
      <c r="IP176" t="e">
        <f>AND(#REF!,"AAAAAD/k//k=")</f>
        <v>#REF!</v>
      </c>
      <c r="IQ176" t="e">
        <f>AND(#REF!,"AAAAAD/k//o=")</f>
        <v>#REF!</v>
      </c>
      <c r="IR176" t="e">
        <f>AND(#REF!,"AAAAAD/k//s=")</f>
        <v>#REF!</v>
      </c>
      <c r="IS176" t="e">
        <f>AND(#REF!,"AAAAAD/k//w=")</f>
        <v>#REF!</v>
      </c>
      <c r="IT176" t="e">
        <f>AND(#REF!,"AAAAAD/k//0=")</f>
        <v>#REF!</v>
      </c>
      <c r="IU176" t="e">
        <f>AND(#REF!,"AAAAAD/k//4=")</f>
        <v>#REF!</v>
      </c>
      <c r="IV176" t="e">
        <f>AND(#REF!,"AAAAAD/k//8=")</f>
        <v>#REF!</v>
      </c>
    </row>
    <row r="177" spans="1:256">
      <c r="A177" t="e">
        <f>AND(#REF!,"AAAAAC1PUwA=")</f>
        <v>#REF!</v>
      </c>
      <c r="B177" t="e">
        <f>AND(#REF!,"AAAAAC1PUwE=")</f>
        <v>#REF!</v>
      </c>
      <c r="C177" t="e">
        <f>AND(#REF!,"AAAAAC1PUwI=")</f>
        <v>#REF!</v>
      </c>
      <c r="D177" t="e">
        <f>AND(#REF!,"AAAAAC1PUwM=")</f>
        <v>#REF!</v>
      </c>
      <c r="E177" t="e">
        <f>IF(#REF!,"AAAAAC1PUwQ=",0)</f>
        <v>#REF!</v>
      </c>
      <c r="F177" t="e">
        <f>AND(#REF!,"AAAAAC1PUwU=")</f>
        <v>#REF!</v>
      </c>
      <c r="G177" t="e">
        <f>AND(#REF!,"AAAAAC1PUwY=")</f>
        <v>#REF!</v>
      </c>
      <c r="H177" t="e">
        <f>AND(#REF!,"AAAAAC1PUwc=")</f>
        <v>#REF!</v>
      </c>
      <c r="I177" t="e">
        <f>AND(#REF!,"AAAAAC1PUwg=")</f>
        <v>#REF!</v>
      </c>
      <c r="J177" t="e">
        <f>AND(#REF!,"AAAAAC1PUwk=")</f>
        <v>#REF!</v>
      </c>
      <c r="K177" t="e">
        <f>AND(#REF!,"AAAAAC1PUwo=")</f>
        <v>#REF!</v>
      </c>
      <c r="L177" t="e">
        <f>AND(#REF!,"AAAAAC1PUws=")</f>
        <v>#REF!</v>
      </c>
      <c r="M177" t="e">
        <f>AND(#REF!,"AAAAAC1PUww=")</f>
        <v>#REF!</v>
      </c>
      <c r="N177" t="e">
        <f>AND(#REF!,"AAAAAC1PUw0=")</f>
        <v>#REF!</v>
      </c>
      <c r="O177" t="e">
        <f>AND(#REF!,"AAAAAC1PUw4=")</f>
        <v>#REF!</v>
      </c>
      <c r="P177" t="e">
        <f>AND(#REF!,"AAAAAC1PUw8=")</f>
        <v>#REF!</v>
      </c>
      <c r="Q177" t="e">
        <f>AND(#REF!,"AAAAAC1PUxA=")</f>
        <v>#REF!</v>
      </c>
      <c r="R177" t="e">
        <f>AND(#REF!,"AAAAAC1PUxE=")</f>
        <v>#REF!</v>
      </c>
      <c r="S177" t="e">
        <f>AND(#REF!,"AAAAAC1PUxI=")</f>
        <v>#REF!</v>
      </c>
      <c r="T177" t="e">
        <f>AND(#REF!,"AAAAAC1PUxM=")</f>
        <v>#REF!</v>
      </c>
      <c r="U177" t="e">
        <f>AND(#REF!,"AAAAAC1PUxQ=")</f>
        <v>#REF!</v>
      </c>
      <c r="V177" t="e">
        <f>AND(#REF!,"AAAAAC1PUxU=")</f>
        <v>#REF!</v>
      </c>
      <c r="W177" t="e">
        <f>AND(#REF!,"AAAAAC1PUxY=")</f>
        <v>#REF!</v>
      </c>
      <c r="X177" t="e">
        <f>AND(#REF!,"AAAAAC1PUxc=")</f>
        <v>#REF!</v>
      </c>
      <c r="Y177" t="e">
        <f>AND(#REF!,"AAAAAC1PUxg=")</f>
        <v>#REF!</v>
      </c>
      <c r="Z177" t="e">
        <f>AND(#REF!,"AAAAAC1PUxk=")</f>
        <v>#REF!</v>
      </c>
      <c r="AA177" t="e">
        <f>AND(#REF!,"AAAAAC1PUxo=")</f>
        <v>#REF!</v>
      </c>
      <c r="AB177" t="e">
        <f>AND(#REF!,"AAAAAC1PUxs=")</f>
        <v>#REF!</v>
      </c>
      <c r="AC177" t="e">
        <f>AND(#REF!,"AAAAAC1PUxw=")</f>
        <v>#REF!</v>
      </c>
      <c r="AD177" t="e">
        <f>IF(#REF!,"AAAAAC1PUx0=",0)</f>
        <v>#REF!</v>
      </c>
      <c r="AE177" t="e">
        <f>AND(#REF!,"AAAAAC1PUx4=")</f>
        <v>#REF!</v>
      </c>
      <c r="AF177" t="e">
        <f>AND(#REF!,"AAAAAC1PUx8=")</f>
        <v>#REF!</v>
      </c>
      <c r="AG177" t="e">
        <f>AND(#REF!,"AAAAAC1PUyA=")</f>
        <v>#REF!</v>
      </c>
      <c r="AH177" t="e">
        <f>AND(#REF!,"AAAAAC1PUyE=")</f>
        <v>#REF!</v>
      </c>
      <c r="AI177" t="e">
        <f>AND(#REF!,"AAAAAC1PUyI=")</f>
        <v>#REF!</v>
      </c>
      <c r="AJ177" t="e">
        <f>AND(#REF!,"AAAAAC1PUyM=")</f>
        <v>#REF!</v>
      </c>
      <c r="AK177" t="e">
        <f>AND(#REF!,"AAAAAC1PUyQ=")</f>
        <v>#REF!</v>
      </c>
      <c r="AL177" t="e">
        <f>AND(#REF!,"AAAAAC1PUyU=")</f>
        <v>#REF!</v>
      </c>
      <c r="AM177" t="e">
        <f>AND(#REF!,"AAAAAC1PUyY=")</f>
        <v>#REF!</v>
      </c>
      <c r="AN177" t="e">
        <f>AND(#REF!,"AAAAAC1PUyc=")</f>
        <v>#REF!</v>
      </c>
      <c r="AO177" t="e">
        <f>AND(#REF!,"AAAAAC1PUyg=")</f>
        <v>#REF!</v>
      </c>
      <c r="AP177" t="e">
        <f>AND(#REF!,"AAAAAC1PUyk=")</f>
        <v>#REF!</v>
      </c>
      <c r="AQ177" t="e">
        <f>AND(#REF!,"AAAAAC1PUyo=")</f>
        <v>#REF!</v>
      </c>
      <c r="AR177" t="e">
        <f>AND(#REF!,"AAAAAC1PUys=")</f>
        <v>#REF!</v>
      </c>
      <c r="AS177" t="e">
        <f>AND(#REF!,"AAAAAC1PUyw=")</f>
        <v>#REF!</v>
      </c>
      <c r="AT177" t="e">
        <f>AND(#REF!,"AAAAAC1PUy0=")</f>
        <v>#REF!</v>
      </c>
      <c r="AU177" t="e">
        <f>AND(#REF!,"AAAAAC1PUy4=")</f>
        <v>#REF!</v>
      </c>
      <c r="AV177" t="e">
        <f>AND(#REF!,"AAAAAC1PUy8=")</f>
        <v>#REF!</v>
      </c>
      <c r="AW177" t="e">
        <f>AND(#REF!,"AAAAAC1PUzA=")</f>
        <v>#REF!</v>
      </c>
      <c r="AX177" t="e">
        <f>AND(#REF!,"AAAAAC1PUzE=")</f>
        <v>#REF!</v>
      </c>
      <c r="AY177" t="e">
        <f>AND(#REF!,"AAAAAC1PUzI=")</f>
        <v>#REF!</v>
      </c>
      <c r="AZ177" t="e">
        <f>AND(#REF!,"AAAAAC1PUzM=")</f>
        <v>#REF!</v>
      </c>
      <c r="BA177" t="e">
        <f>AND(#REF!,"AAAAAC1PUzQ=")</f>
        <v>#REF!</v>
      </c>
      <c r="BB177" t="e">
        <f>AND(#REF!,"AAAAAC1PUzU=")</f>
        <v>#REF!</v>
      </c>
      <c r="BC177" t="e">
        <f>IF(#REF!,"AAAAAC1PUzY=",0)</f>
        <v>#REF!</v>
      </c>
      <c r="BD177" t="e">
        <f>AND(#REF!,"AAAAAC1PUzc=")</f>
        <v>#REF!</v>
      </c>
      <c r="BE177" t="e">
        <f>AND(#REF!,"AAAAAC1PUzg=")</f>
        <v>#REF!</v>
      </c>
      <c r="BF177" t="e">
        <f>AND(#REF!,"AAAAAC1PUzk=")</f>
        <v>#REF!</v>
      </c>
      <c r="BG177" t="e">
        <f>AND(#REF!,"AAAAAC1PUzo=")</f>
        <v>#REF!</v>
      </c>
      <c r="BH177" t="e">
        <f>AND(#REF!,"AAAAAC1PUzs=")</f>
        <v>#REF!</v>
      </c>
      <c r="BI177" t="e">
        <f>AND(#REF!,"AAAAAC1PUzw=")</f>
        <v>#REF!</v>
      </c>
      <c r="BJ177" t="e">
        <f>AND(#REF!,"AAAAAC1PUz0=")</f>
        <v>#REF!</v>
      </c>
      <c r="BK177" t="e">
        <f>AND(#REF!,"AAAAAC1PUz4=")</f>
        <v>#REF!</v>
      </c>
      <c r="BL177" t="e">
        <f>AND(#REF!,"AAAAAC1PUz8=")</f>
        <v>#REF!</v>
      </c>
      <c r="BM177" t="e">
        <f>AND(#REF!,"AAAAAC1PU0A=")</f>
        <v>#REF!</v>
      </c>
      <c r="BN177" t="e">
        <f>AND(#REF!,"AAAAAC1PU0E=")</f>
        <v>#REF!</v>
      </c>
      <c r="BO177" t="e">
        <f>AND(#REF!,"AAAAAC1PU0I=")</f>
        <v>#REF!</v>
      </c>
      <c r="BP177" t="e">
        <f>AND(#REF!,"AAAAAC1PU0M=")</f>
        <v>#REF!</v>
      </c>
      <c r="BQ177" t="e">
        <f>AND(#REF!,"AAAAAC1PU0Q=")</f>
        <v>#REF!</v>
      </c>
      <c r="BR177" t="e">
        <f>AND(#REF!,"AAAAAC1PU0U=")</f>
        <v>#REF!</v>
      </c>
      <c r="BS177" t="e">
        <f>AND(#REF!,"AAAAAC1PU0Y=")</f>
        <v>#REF!</v>
      </c>
      <c r="BT177" t="e">
        <f>AND(#REF!,"AAAAAC1PU0c=")</f>
        <v>#REF!</v>
      </c>
      <c r="BU177" t="e">
        <f>AND(#REF!,"AAAAAC1PU0g=")</f>
        <v>#REF!</v>
      </c>
      <c r="BV177" t="e">
        <f>AND(#REF!,"AAAAAC1PU0k=")</f>
        <v>#REF!</v>
      </c>
      <c r="BW177" t="e">
        <f>AND(#REF!,"AAAAAC1PU0o=")</f>
        <v>#REF!</v>
      </c>
      <c r="BX177" t="e">
        <f>AND(#REF!,"AAAAAC1PU0s=")</f>
        <v>#REF!</v>
      </c>
      <c r="BY177" t="e">
        <f>AND(#REF!,"AAAAAC1PU0w=")</f>
        <v>#REF!</v>
      </c>
      <c r="BZ177" t="e">
        <f>AND(#REF!,"AAAAAC1PU00=")</f>
        <v>#REF!</v>
      </c>
      <c r="CA177" t="e">
        <f>AND(#REF!,"AAAAAC1PU04=")</f>
        <v>#REF!</v>
      </c>
      <c r="CB177" t="e">
        <f>IF(#REF!,"AAAAAC1PU08=",0)</f>
        <v>#REF!</v>
      </c>
      <c r="CC177" t="e">
        <f>AND(#REF!,"AAAAAC1PU1A=")</f>
        <v>#REF!</v>
      </c>
      <c r="CD177" t="e">
        <f>AND(#REF!,"AAAAAC1PU1E=")</f>
        <v>#REF!</v>
      </c>
      <c r="CE177" t="e">
        <f>AND(#REF!,"AAAAAC1PU1I=")</f>
        <v>#REF!</v>
      </c>
      <c r="CF177" t="e">
        <f>AND(#REF!,"AAAAAC1PU1M=")</f>
        <v>#REF!</v>
      </c>
      <c r="CG177" t="e">
        <f>AND(#REF!,"AAAAAC1PU1Q=")</f>
        <v>#REF!</v>
      </c>
      <c r="CH177" t="e">
        <f>AND(#REF!,"AAAAAC1PU1U=")</f>
        <v>#REF!</v>
      </c>
      <c r="CI177" t="e">
        <f>AND(#REF!,"AAAAAC1PU1Y=")</f>
        <v>#REF!</v>
      </c>
      <c r="CJ177" t="e">
        <f>AND(#REF!,"AAAAAC1PU1c=")</f>
        <v>#REF!</v>
      </c>
      <c r="CK177" t="e">
        <f>AND(#REF!,"AAAAAC1PU1g=")</f>
        <v>#REF!</v>
      </c>
      <c r="CL177" t="e">
        <f>AND(#REF!,"AAAAAC1PU1k=")</f>
        <v>#REF!</v>
      </c>
      <c r="CM177" t="e">
        <f>AND(#REF!,"AAAAAC1PU1o=")</f>
        <v>#REF!</v>
      </c>
      <c r="CN177" t="e">
        <f>AND(#REF!,"AAAAAC1PU1s=")</f>
        <v>#REF!</v>
      </c>
      <c r="CO177" t="e">
        <f>AND(#REF!,"AAAAAC1PU1w=")</f>
        <v>#REF!</v>
      </c>
      <c r="CP177" t="e">
        <f>AND(#REF!,"AAAAAC1PU10=")</f>
        <v>#REF!</v>
      </c>
      <c r="CQ177" t="e">
        <f>AND(#REF!,"AAAAAC1PU14=")</f>
        <v>#REF!</v>
      </c>
      <c r="CR177" t="e">
        <f>AND(#REF!,"AAAAAC1PU18=")</f>
        <v>#REF!</v>
      </c>
      <c r="CS177" t="e">
        <f>AND(#REF!,"AAAAAC1PU2A=")</f>
        <v>#REF!</v>
      </c>
      <c r="CT177" t="e">
        <f>AND(#REF!,"AAAAAC1PU2E=")</f>
        <v>#REF!</v>
      </c>
      <c r="CU177" t="e">
        <f>AND(#REF!,"AAAAAC1PU2I=")</f>
        <v>#REF!</v>
      </c>
      <c r="CV177" t="e">
        <f>AND(#REF!,"AAAAAC1PU2M=")</f>
        <v>#REF!</v>
      </c>
      <c r="CW177" t="e">
        <f>AND(#REF!,"AAAAAC1PU2Q=")</f>
        <v>#REF!</v>
      </c>
      <c r="CX177" t="e">
        <f>AND(#REF!,"AAAAAC1PU2U=")</f>
        <v>#REF!</v>
      </c>
      <c r="CY177" t="e">
        <f>AND(#REF!,"AAAAAC1PU2Y=")</f>
        <v>#REF!</v>
      </c>
      <c r="CZ177" t="e">
        <f>AND(#REF!,"AAAAAC1PU2c=")</f>
        <v>#REF!</v>
      </c>
      <c r="DA177" t="e">
        <f>IF(#REF!,"AAAAAC1PU2g=",0)</f>
        <v>#REF!</v>
      </c>
      <c r="DB177" t="e">
        <f>AND(#REF!,"AAAAAC1PU2k=")</f>
        <v>#REF!</v>
      </c>
      <c r="DC177" t="e">
        <f>AND(#REF!,"AAAAAC1PU2o=")</f>
        <v>#REF!</v>
      </c>
      <c r="DD177" t="e">
        <f>AND(#REF!,"AAAAAC1PU2s=")</f>
        <v>#REF!</v>
      </c>
      <c r="DE177" t="e">
        <f>AND(#REF!,"AAAAAC1PU2w=")</f>
        <v>#REF!</v>
      </c>
      <c r="DF177" t="e">
        <f>AND(#REF!,"AAAAAC1PU20=")</f>
        <v>#REF!</v>
      </c>
      <c r="DG177" t="e">
        <f>AND(#REF!,"AAAAAC1PU24=")</f>
        <v>#REF!</v>
      </c>
      <c r="DH177" t="e">
        <f>AND(#REF!,"AAAAAC1PU28=")</f>
        <v>#REF!</v>
      </c>
      <c r="DI177" t="e">
        <f>AND(#REF!,"AAAAAC1PU3A=")</f>
        <v>#REF!</v>
      </c>
      <c r="DJ177" t="e">
        <f>AND(#REF!,"AAAAAC1PU3E=")</f>
        <v>#REF!</v>
      </c>
      <c r="DK177" t="e">
        <f>AND(#REF!,"AAAAAC1PU3I=")</f>
        <v>#REF!</v>
      </c>
      <c r="DL177" t="e">
        <f>AND(#REF!,"AAAAAC1PU3M=")</f>
        <v>#REF!</v>
      </c>
      <c r="DM177" t="e">
        <f>AND(#REF!,"AAAAAC1PU3Q=")</f>
        <v>#REF!</v>
      </c>
      <c r="DN177" t="e">
        <f>AND(#REF!,"AAAAAC1PU3U=")</f>
        <v>#REF!</v>
      </c>
      <c r="DO177" t="e">
        <f>AND(#REF!,"AAAAAC1PU3Y=")</f>
        <v>#REF!</v>
      </c>
      <c r="DP177" t="e">
        <f>AND(#REF!,"AAAAAC1PU3c=")</f>
        <v>#REF!</v>
      </c>
      <c r="DQ177" t="e">
        <f>AND(#REF!,"AAAAAC1PU3g=")</f>
        <v>#REF!</v>
      </c>
      <c r="DR177" t="e">
        <f>AND(#REF!,"AAAAAC1PU3k=")</f>
        <v>#REF!</v>
      </c>
      <c r="DS177" t="e">
        <f>AND(#REF!,"AAAAAC1PU3o=")</f>
        <v>#REF!</v>
      </c>
      <c r="DT177" t="e">
        <f>AND(#REF!,"AAAAAC1PU3s=")</f>
        <v>#REF!</v>
      </c>
      <c r="DU177" t="e">
        <f>AND(#REF!,"AAAAAC1PU3w=")</f>
        <v>#REF!</v>
      </c>
      <c r="DV177" t="e">
        <f>AND(#REF!,"AAAAAC1PU30=")</f>
        <v>#REF!</v>
      </c>
      <c r="DW177" t="e">
        <f>AND(#REF!,"AAAAAC1PU34=")</f>
        <v>#REF!</v>
      </c>
      <c r="DX177" t="e">
        <f>AND(#REF!,"AAAAAC1PU38=")</f>
        <v>#REF!</v>
      </c>
      <c r="DY177" t="e">
        <f>AND(#REF!,"AAAAAC1PU4A=")</f>
        <v>#REF!</v>
      </c>
      <c r="DZ177" t="e">
        <f>IF(#REF!,"AAAAAC1PU4E=",0)</f>
        <v>#REF!</v>
      </c>
      <c r="EA177" t="e">
        <f>AND(#REF!,"AAAAAC1PU4I=")</f>
        <v>#REF!</v>
      </c>
      <c r="EB177" t="e">
        <f>AND(#REF!,"AAAAAC1PU4M=")</f>
        <v>#REF!</v>
      </c>
      <c r="EC177" t="e">
        <f>AND(#REF!,"AAAAAC1PU4Q=")</f>
        <v>#REF!</v>
      </c>
      <c r="ED177" t="e">
        <f>AND(#REF!,"AAAAAC1PU4U=")</f>
        <v>#REF!</v>
      </c>
      <c r="EE177" t="e">
        <f>AND(#REF!,"AAAAAC1PU4Y=")</f>
        <v>#REF!</v>
      </c>
      <c r="EF177" t="e">
        <f>AND(#REF!,"AAAAAC1PU4c=")</f>
        <v>#REF!</v>
      </c>
      <c r="EG177" t="e">
        <f>AND(#REF!,"AAAAAC1PU4g=")</f>
        <v>#REF!</v>
      </c>
      <c r="EH177" t="e">
        <f>AND(#REF!,"AAAAAC1PU4k=")</f>
        <v>#REF!</v>
      </c>
      <c r="EI177" t="e">
        <f>AND(#REF!,"AAAAAC1PU4o=")</f>
        <v>#REF!</v>
      </c>
      <c r="EJ177" t="e">
        <f>AND(#REF!,"AAAAAC1PU4s=")</f>
        <v>#REF!</v>
      </c>
      <c r="EK177" t="e">
        <f>AND(#REF!,"AAAAAC1PU4w=")</f>
        <v>#REF!</v>
      </c>
      <c r="EL177" t="e">
        <f>AND(#REF!,"AAAAAC1PU40=")</f>
        <v>#REF!</v>
      </c>
      <c r="EM177" t="e">
        <f>AND(#REF!,"AAAAAC1PU44=")</f>
        <v>#REF!</v>
      </c>
      <c r="EN177" t="e">
        <f>AND(#REF!,"AAAAAC1PU48=")</f>
        <v>#REF!</v>
      </c>
      <c r="EO177" t="e">
        <f>AND(#REF!,"AAAAAC1PU5A=")</f>
        <v>#REF!</v>
      </c>
      <c r="EP177" t="e">
        <f>AND(#REF!,"AAAAAC1PU5E=")</f>
        <v>#REF!</v>
      </c>
      <c r="EQ177" t="e">
        <f>AND(#REF!,"AAAAAC1PU5I=")</f>
        <v>#REF!</v>
      </c>
      <c r="ER177" t="e">
        <f>AND(#REF!,"AAAAAC1PU5M=")</f>
        <v>#REF!</v>
      </c>
      <c r="ES177" t="e">
        <f>AND(#REF!,"AAAAAC1PU5Q=")</f>
        <v>#REF!</v>
      </c>
      <c r="ET177" t="e">
        <f>AND(#REF!,"AAAAAC1PU5U=")</f>
        <v>#REF!</v>
      </c>
      <c r="EU177" t="e">
        <f>AND(#REF!,"AAAAAC1PU5Y=")</f>
        <v>#REF!</v>
      </c>
      <c r="EV177" t="e">
        <f>AND(#REF!,"AAAAAC1PU5c=")</f>
        <v>#REF!</v>
      </c>
      <c r="EW177" t="e">
        <f>AND(#REF!,"AAAAAC1PU5g=")</f>
        <v>#REF!</v>
      </c>
      <c r="EX177" t="e">
        <f>AND(#REF!,"AAAAAC1PU5k=")</f>
        <v>#REF!</v>
      </c>
      <c r="EY177" t="e">
        <f>IF(#REF!,"AAAAAC1PU5o=",0)</f>
        <v>#REF!</v>
      </c>
      <c r="EZ177" t="e">
        <f>AND(#REF!,"AAAAAC1PU5s=")</f>
        <v>#REF!</v>
      </c>
      <c r="FA177" t="e">
        <f>AND(#REF!,"AAAAAC1PU5w=")</f>
        <v>#REF!</v>
      </c>
      <c r="FB177" t="e">
        <f>AND(#REF!,"AAAAAC1PU50=")</f>
        <v>#REF!</v>
      </c>
      <c r="FC177" t="e">
        <f>AND(#REF!,"AAAAAC1PU54=")</f>
        <v>#REF!</v>
      </c>
      <c r="FD177" t="e">
        <f>AND(#REF!,"AAAAAC1PU58=")</f>
        <v>#REF!</v>
      </c>
      <c r="FE177" t="e">
        <f>AND(#REF!,"AAAAAC1PU6A=")</f>
        <v>#REF!</v>
      </c>
      <c r="FF177" t="e">
        <f>AND(#REF!,"AAAAAC1PU6E=")</f>
        <v>#REF!</v>
      </c>
      <c r="FG177" t="e">
        <f>AND(#REF!,"AAAAAC1PU6I=")</f>
        <v>#REF!</v>
      </c>
      <c r="FH177" t="e">
        <f>AND(#REF!,"AAAAAC1PU6M=")</f>
        <v>#REF!</v>
      </c>
      <c r="FI177" t="e">
        <f>AND(#REF!,"AAAAAC1PU6Q=")</f>
        <v>#REF!</v>
      </c>
      <c r="FJ177" t="e">
        <f>AND(#REF!,"AAAAAC1PU6U=")</f>
        <v>#REF!</v>
      </c>
      <c r="FK177" t="e">
        <f>AND(#REF!,"AAAAAC1PU6Y=")</f>
        <v>#REF!</v>
      </c>
      <c r="FL177" t="e">
        <f>AND(#REF!,"AAAAAC1PU6c=")</f>
        <v>#REF!</v>
      </c>
      <c r="FM177" t="e">
        <f>AND(#REF!,"AAAAAC1PU6g=")</f>
        <v>#REF!</v>
      </c>
      <c r="FN177" t="e">
        <f>AND(#REF!,"AAAAAC1PU6k=")</f>
        <v>#REF!</v>
      </c>
      <c r="FO177" t="e">
        <f>AND(#REF!,"AAAAAC1PU6o=")</f>
        <v>#REF!</v>
      </c>
      <c r="FP177" t="e">
        <f>AND(#REF!,"AAAAAC1PU6s=")</f>
        <v>#REF!</v>
      </c>
      <c r="FQ177" t="e">
        <f>AND(#REF!,"AAAAAC1PU6w=")</f>
        <v>#REF!</v>
      </c>
      <c r="FR177" t="e">
        <f>AND(#REF!,"AAAAAC1PU60=")</f>
        <v>#REF!</v>
      </c>
      <c r="FS177" t="e">
        <f>AND(#REF!,"AAAAAC1PU64=")</f>
        <v>#REF!</v>
      </c>
      <c r="FT177" t="e">
        <f>AND(#REF!,"AAAAAC1PU68=")</f>
        <v>#REF!</v>
      </c>
      <c r="FU177" t="e">
        <f>AND(#REF!,"AAAAAC1PU7A=")</f>
        <v>#REF!</v>
      </c>
      <c r="FV177" t="e">
        <f>AND(#REF!,"AAAAAC1PU7E=")</f>
        <v>#REF!</v>
      </c>
      <c r="FW177" t="e">
        <f>AND(#REF!,"AAAAAC1PU7I=")</f>
        <v>#REF!</v>
      </c>
      <c r="FX177" t="e">
        <f>IF(#REF!,"AAAAAC1PU7M=",0)</f>
        <v>#REF!</v>
      </c>
      <c r="FY177" t="e">
        <f>AND(#REF!,"AAAAAC1PU7Q=")</f>
        <v>#REF!</v>
      </c>
      <c r="FZ177" t="e">
        <f>AND(#REF!,"AAAAAC1PU7U=")</f>
        <v>#REF!</v>
      </c>
      <c r="GA177" t="e">
        <f>AND(#REF!,"AAAAAC1PU7Y=")</f>
        <v>#REF!</v>
      </c>
      <c r="GB177" t="e">
        <f>AND(#REF!,"AAAAAC1PU7c=")</f>
        <v>#REF!</v>
      </c>
      <c r="GC177" t="e">
        <f>AND(#REF!,"AAAAAC1PU7g=")</f>
        <v>#REF!</v>
      </c>
      <c r="GD177" t="e">
        <f>AND(#REF!,"AAAAAC1PU7k=")</f>
        <v>#REF!</v>
      </c>
      <c r="GE177" t="e">
        <f>AND(#REF!,"AAAAAC1PU7o=")</f>
        <v>#REF!</v>
      </c>
      <c r="GF177" t="e">
        <f>AND(#REF!,"AAAAAC1PU7s=")</f>
        <v>#REF!</v>
      </c>
      <c r="GG177" t="e">
        <f>AND(#REF!,"AAAAAC1PU7w=")</f>
        <v>#REF!</v>
      </c>
      <c r="GH177" t="e">
        <f>AND(#REF!,"AAAAAC1PU70=")</f>
        <v>#REF!</v>
      </c>
      <c r="GI177" t="e">
        <f>AND(#REF!,"AAAAAC1PU74=")</f>
        <v>#REF!</v>
      </c>
      <c r="GJ177" t="e">
        <f>AND(#REF!,"AAAAAC1PU78=")</f>
        <v>#REF!</v>
      </c>
      <c r="GK177" t="e">
        <f>AND(#REF!,"AAAAAC1PU8A=")</f>
        <v>#REF!</v>
      </c>
      <c r="GL177" t="e">
        <f>AND(#REF!,"AAAAAC1PU8E=")</f>
        <v>#REF!</v>
      </c>
      <c r="GM177" t="e">
        <f>AND(#REF!,"AAAAAC1PU8I=")</f>
        <v>#REF!</v>
      </c>
      <c r="GN177" t="e">
        <f>AND(#REF!,"AAAAAC1PU8M=")</f>
        <v>#REF!</v>
      </c>
      <c r="GO177" t="e">
        <f>AND(#REF!,"AAAAAC1PU8Q=")</f>
        <v>#REF!</v>
      </c>
      <c r="GP177" t="e">
        <f>AND(#REF!,"AAAAAC1PU8U=")</f>
        <v>#REF!</v>
      </c>
      <c r="GQ177" t="e">
        <f>AND(#REF!,"AAAAAC1PU8Y=")</f>
        <v>#REF!</v>
      </c>
      <c r="GR177" t="e">
        <f>AND(#REF!,"AAAAAC1PU8c=")</f>
        <v>#REF!</v>
      </c>
      <c r="GS177" t="e">
        <f>AND(#REF!,"AAAAAC1PU8g=")</f>
        <v>#REF!</v>
      </c>
      <c r="GT177" t="e">
        <f>AND(#REF!,"AAAAAC1PU8k=")</f>
        <v>#REF!</v>
      </c>
      <c r="GU177" t="e">
        <f>AND(#REF!,"AAAAAC1PU8o=")</f>
        <v>#REF!</v>
      </c>
      <c r="GV177" t="e">
        <f>AND(#REF!,"AAAAAC1PU8s=")</f>
        <v>#REF!</v>
      </c>
      <c r="GW177" t="e">
        <f>IF(#REF!,"AAAAAC1PU8w=",0)</f>
        <v>#REF!</v>
      </c>
      <c r="GX177" t="e">
        <f>AND(#REF!,"AAAAAC1PU80=")</f>
        <v>#REF!</v>
      </c>
      <c r="GY177" t="e">
        <f>AND(#REF!,"AAAAAC1PU84=")</f>
        <v>#REF!</v>
      </c>
      <c r="GZ177" t="e">
        <f>AND(#REF!,"AAAAAC1PU88=")</f>
        <v>#REF!</v>
      </c>
      <c r="HA177" t="e">
        <f>AND(#REF!,"AAAAAC1PU9A=")</f>
        <v>#REF!</v>
      </c>
      <c r="HB177" t="e">
        <f>AND(#REF!,"AAAAAC1PU9E=")</f>
        <v>#REF!</v>
      </c>
      <c r="HC177" t="e">
        <f>AND(#REF!,"AAAAAC1PU9I=")</f>
        <v>#REF!</v>
      </c>
      <c r="HD177" t="e">
        <f>AND(#REF!,"AAAAAC1PU9M=")</f>
        <v>#REF!</v>
      </c>
      <c r="HE177" t="e">
        <f>AND(#REF!,"AAAAAC1PU9Q=")</f>
        <v>#REF!</v>
      </c>
      <c r="HF177" t="e">
        <f>AND(#REF!,"AAAAAC1PU9U=")</f>
        <v>#REF!</v>
      </c>
      <c r="HG177" t="e">
        <f>AND(#REF!,"AAAAAC1PU9Y=")</f>
        <v>#REF!</v>
      </c>
      <c r="HH177" t="e">
        <f>AND(#REF!,"AAAAAC1PU9c=")</f>
        <v>#REF!</v>
      </c>
      <c r="HI177" t="e">
        <f>AND(#REF!,"AAAAAC1PU9g=")</f>
        <v>#REF!</v>
      </c>
      <c r="HJ177" t="e">
        <f>AND(#REF!,"AAAAAC1PU9k=")</f>
        <v>#REF!</v>
      </c>
      <c r="HK177" t="e">
        <f>AND(#REF!,"AAAAAC1PU9o=")</f>
        <v>#REF!</v>
      </c>
      <c r="HL177" t="e">
        <f>AND(#REF!,"AAAAAC1PU9s=")</f>
        <v>#REF!</v>
      </c>
      <c r="HM177" t="e">
        <f>AND(#REF!,"AAAAAC1PU9w=")</f>
        <v>#REF!</v>
      </c>
      <c r="HN177" t="e">
        <f>AND(#REF!,"AAAAAC1PU90=")</f>
        <v>#REF!</v>
      </c>
      <c r="HO177" t="e">
        <f>AND(#REF!,"AAAAAC1PU94=")</f>
        <v>#REF!</v>
      </c>
      <c r="HP177" t="e">
        <f>AND(#REF!,"AAAAAC1PU98=")</f>
        <v>#REF!</v>
      </c>
      <c r="HQ177" t="e">
        <f>AND(#REF!,"AAAAAC1PU+A=")</f>
        <v>#REF!</v>
      </c>
      <c r="HR177" t="e">
        <f>AND(#REF!,"AAAAAC1PU+E=")</f>
        <v>#REF!</v>
      </c>
      <c r="HS177" t="e">
        <f>AND(#REF!,"AAAAAC1PU+I=")</f>
        <v>#REF!</v>
      </c>
      <c r="HT177" t="e">
        <f>AND(#REF!,"AAAAAC1PU+M=")</f>
        <v>#REF!</v>
      </c>
      <c r="HU177" t="e">
        <f>AND(#REF!,"AAAAAC1PU+Q=")</f>
        <v>#REF!</v>
      </c>
      <c r="HV177" t="e">
        <f>IF(#REF!,"AAAAAC1PU+U=",0)</f>
        <v>#REF!</v>
      </c>
      <c r="HW177" t="e">
        <f>AND(#REF!,"AAAAAC1PU+Y=")</f>
        <v>#REF!</v>
      </c>
      <c r="HX177" t="e">
        <f>AND(#REF!,"AAAAAC1PU+c=")</f>
        <v>#REF!</v>
      </c>
      <c r="HY177" t="e">
        <f>AND(#REF!,"AAAAAC1PU+g=")</f>
        <v>#REF!</v>
      </c>
      <c r="HZ177" t="e">
        <f>AND(#REF!,"AAAAAC1PU+k=")</f>
        <v>#REF!</v>
      </c>
      <c r="IA177" t="e">
        <f>AND(#REF!,"AAAAAC1PU+o=")</f>
        <v>#REF!</v>
      </c>
      <c r="IB177" t="e">
        <f>AND(#REF!,"AAAAAC1PU+s=")</f>
        <v>#REF!</v>
      </c>
      <c r="IC177" t="e">
        <f>AND(#REF!,"AAAAAC1PU+w=")</f>
        <v>#REF!</v>
      </c>
      <c r="ID177" t="e">
        <f>AND(#REF!,"AAAAAC1PU+0=")</f>
        <v>#REF!</v>
      </c>
      <c r="IE177" t="e">
        <f>AND(#REF!,"AAAAAC1PU+4=")</f>
        <v>#REF!</v>
      </c>
      <c r="IF177" t="e">
        <f>AND(#REF!,"AAAAAC1PU+8=")</f>
        <v>#REF!</v>
      </c>
      <c r="IG177" t="e">
        <f>AND(#REF!,"AAAAAC1PU/A=")</f>
        <v>#REF!</v>
      </c>
      <c r="IH177" t="e">
        <f>AND(#REF!,"AAAAAC1PU/E=")</f>
        <v>#REF!</v>
      </c>
      <c r="II177" t="e">
        <f>AND(#REF!,"AAAAAC1PU/I=")</f>
        <v>#REF!</v>
      </c>
      <c r="IJ177" t="e">
        <f>AND(#REF!,"AAAAAC1PU/M=")</f>
        <v>#REF!</v>
      </c>
      <c r="IK177" t="e">
        <f>AND(#REF!,"AAAAAC1PU/Q=")</f>
        <v>#REF!</v>
      </c>
      <c r="IL177" t="e">
        <f>AND(#REF!,"AAAAAC1PU/U=")</f>
        <v>#REF!</v>
      </c>
      <c r="IM177" t="e">
        <f>AND(#REF!,"AAAAAC1PU/Y=")</f>
        <v>#REF!</v>
      </c>
      <c r="IN177" t="e">
        <f>AND(#REF!,"AAAAAC1PU/c=")</f>
        <v>#REF!</v>
      </c>
      <c r="IO177" t="e">
        <f>AND(#REF!,"AAAAAC1PU/g=")</f>
        <v>#REF!</v>
      </c>
      <c r="IP177" t="e">
        <f>AND(#REF!,"AAAAAC1PU/k=")</f>
        <v>#REF!</v>
      </c>
      <c r="IQ177" t="e">
        <f>AND(#REF!,"AAAAAC1PU/o=")</f>
        <v>#REF!</v>
      </c>
      <c r="IR177" t="e">
        <f>AND(#REF!,"AAAAAC1PU/s=")</f>
        <v>#REF!</v>
      </c>
      <c r="IS177" t="e">
        <f>AND(#REF!,"AAAAAC1PU/w=")</f>
        <v>#REF!</v>
      </c>
      <c r="IT177" t="e">
        <f>AND(#REF!,"AAAAAC1PU/0=")</f>
        <v>#REF!</v>
      </c>
      <c r="IU177" t="e">
        <f>IF(#REF!,"AAAAAC1PU/4=",0)</f>
        <v>#REF!</v>
      </c>
      <c r="IV177" t="e">
        <f>AND(#REF!,"AAAAAC1PU/8=")</f>
        <v>#REF!</v>
      </c>
    </row>
    <row r="178" spans="1:256">
      <c r="A178" t="e">
        <f>AND(#REF!,"AAAAAFW4XgA=")</f>
        <v>#REF!</v>
      </c>
      <c r="B178" t="e">
        <f>AND(#REF!,"AAAAAFW4XgE=")</f>
        <v>#REF!</v>
      </c>
      <c r="C178" t="e">
        <f>AND(#REF!,"AAAAAFW4XgI=")</f>
        <v>#REF!</v>
      </c>
      <c r="D178" t="e">
        <f>AND(#REF!,"AAAAAFW4XgM=")</f>
        <v>#REF!</v>
      </c>
      <c r="E178" t="e">
        <f>AND(#REF!,"AAAAAFW4XgQ=")</f>
        <v>#REF!</v>
      </c>
      <c r="F178" t="e">
        <f>AND(#REF!,"AAAAAFW4XgU=")</f>
        <v>#REF!</v>
      </c>
      <c r="G178" t="e">
        <f>AND(#REF!,"AAAAAFW4XgY=")</f>
        <v>#REF!</v>
      </c>
      <c r="H178" t="e">
        <f>AND(#REF!,"AAAAAFW4Xgc=")</f>
        <v>#REF!</v>
      </c>
      <c r="I178" t="e">
        <f>AND(#REF!,"AAAAAFW4Xgg=")</f>
        <v>#REF!</v>
      </c>
      <c r="J178" t="e">
        <f>AND(#REF!,"AAAAAFW4Xgk=")</f>
        <v>#REF!</v>
      </c>
      <c r="K178" t="e">
        <f>AND(#REF!,"AAAAAFW4Xgo=")</f>
        <v>#REF!</v>
      </c>
      <c r="L178" t="e">
        <f>AND(#REF!,"AAAAAFW4Xgs=")</f>
        <v>#REF!</v>
      </c>
      <c r="M178" t="e">
        <f>AND(#REF!,"AAAAAFW4Xgw=")</f>
        <v>#REF!</v>
      </c>
      <c r="N178" t="e">
        <f>AND(#REF!,"AAAAAFW4Xg0=")</f>
        <v>#REF!</v>
      </c>
      <c r="O178" t="e">
        <f>AND(#REF!,"AAAAAFW4Xg4=")</f>
        <v>#REF!</v>
      </c>
      <c r="P178" t="e">
        <f>AND(#REF!,"AAAAAFW4Xg8=")</f>
        <v>#REF!</v>
      </c>
      <c r="Q178" t="e">
        <f>AND(#REF!,"AAAAAFW4XhA=")</f>
        <v>#REF!</v>
      </c>
      <c r="R178" t="e">
        <f>AND(#REF!,"AAAAAFW4XhE=")</f>
        <v>#REF!</v>
      </c>
      <c r="S178" t="e">
        <f>AND(#REF!,"AAAAAFW4XhI=")</f>
        <v>#REF!</v>
      </c>
      <c r="T178" t="e">
        <f>AND(#REF!,"AAAAAFW4XhM=")</f>
        <v>#REF!</v>
      </c>
      <c r="U178" t="e">
        <f>AND(#REF!,"AAAAAFW4XhQ=")</f>
        <v>#REF!</v>
      </c>
      <c r="V178" t="e">
        <f>AND(#REF!,"AAAAAFW4XhU=")</f>
        <v>#REF!</v>
      </c>
      <c r="W178" t="e">
        <f>AND(#REF!,"AAAAAFW4XhY=")</f>
        <v>#REF!</v>
      </c>
      <c r="X178" t="e">
        <f>IF(#REF!,"AAAAAFW4Xhc=",0)</f>
        <v>#REF!</v>
      </c>
      <c r="Y178" t="e">
        <f>AND(#REF!,"AAAAAFW4Xhg=")</f>
        <v>#REF!</v>
      </c>
      <c r="Z178" t="e">
        <f>AND(#REF!,"AAAAAFW4Xhk=")</f>
        <v>#REF!</v>
      </c>
      <c r="AA178" t="e">
        <f>AND(#REF!,"AAAAAFW4Xho=")</f>
        <v>#REF!</v>
      </c>
      <c r="AB178" t="e">
        <f>AND(#REF!,"AAAAAFW4Xhs=")</f>
        <v>#REF!</v>
      </c>
      <c r="AC178" t="e">
        <f>AND(#REF!,"AAAAAFW4Xhw=")</f>
        <v>#REF!</v>
      </c>
      <c r="AD178" t="e">
        <f>AND(#REF!,"AAAAAFW4Xh0=")</f>
        <v>#REF!</v>
      </c>
      <c r="AE178" t="e">
        <f>AND(#REF!,"AAAAAFW4Xh4=")</f>
        <v>#REF!</v>
      </c>
      <c r="AF178" t="e">
        <f>AND(#REF!,"AAAAAFW4Xh8=")</f>
        <v>#REF!</v>
      </c>
      <c r="AG178" t="e">
        <f>AND(#REF!,"AAAAAFW4XiA=")</f>
        <v>#REF!</v>
      </c>
      <c r="AH178" t="e">
        <f>AND(#REF!,"AAAAAFW4XiE=")</f>
        <v>#REF!</v>
      </c>
      <c r="AI178" t="e">
        <f>AND(#REF!,"AAAAAFW4XiI=")</f>
        <v>#REF!</v>
      </c>
      <c r="AJ178" t="e">
        <f>AND(#REF!,"AAAAAFW4XiM=")</f>
        <v>#REF!</v>
      </c>
      <c r="AK178" t="e">
        <f>AND(#REF!,"AAAAAFW4XiQ=")</f>
        <v>#REF!</v>
      </c>
      <c r="AL178" t="e">
        <f>AND(#REF!,"AAAAAFW4XiU=")</f>
        <v>#REF!</v>
      </c>
      <c r="AM178" t="e">
        <f>AND(#REF!,"AAAAAFW4XiY=")</f>
        <v>#REF!</v>
      </c>
      <c r="AN178" t="e">
        <f>AND(#REF!,"AAAAAFW4Xic=")</f>
        <v>#REF!</v>
      </c>
      <c r="AO178" t="e">
        <f>AND(#REF!,"AAAAAFW4Xig=")</f>
        <v>#REF!</v>
      </c>
      <c r="AP178" t="e">
        <f>AND(#REF!,"AAAAAFW4Xik=")</f>
        <v>#REF!</v>
      </c>
      <c r="AQ178" t="e">
        <f>AND(#REF!,"AAAAAFW4Xio=")</f>
        <v>#REF!</v>
      </c>
      <c r="AR178" t="e">
        <f>AND(#REF!,"AAAAAFW4Xis=")</f>
        <v>#REF!</v>
      </c>
      <c r="AS178" t="e">
        <f>AND(#REF!,"AAAAAFW4Xiw=")</f>
        <v>#REF!</v>
      </c>
      <c r="AT178" t="e">
        <f>AND(#REF!,"AAAAAFW4Xi0=")</f>
        <v>#REF!</v>
      </c>
      <c r="AU178" t="e">
        <f>AND(#REF!,"AAAAAFW4Xi4=")</f>
        <v>#REF!</v>
      </c>
      <c r="AV178" t="e">
        <f>AND(#REF!,"AAAAAFW4Xi8=")</f>
        <v>#REF!</v>
      </c>
      <c r="AW178" t="e">
        <f>IF(#REF!,"AAAAAFW4XjA=",0)</f>
        <v>#REF!</v>
      </c>
      <c r="AX178" t="e">
        <f>AND(#REF!,"AAAAAFW4XjE=")</f>
        <v>#REF!</v>
      </c>
      <c r="AY178" t="e">
        <f>AND(#REF!,"AAAAAFW4XjI=")</f>
        <v>#REF!</v>
      </c>
      <c r="AZ178" t="e">
        <f>AND(#REF!,"AAAAAFW4XjM=")</f>
        <v>#REF!</v>
      </c>
      <c r="BA178" t="e">
        <f>AND(#REF!,"AAAAAFW4XjQ=")</f>
        <v>#REF!</v>
      </c>
      <c r="BB178" t="e">
        <f>AND(#REF!,"AAAAAFW4XjU=")</f>
        <v>#REF!</v>
      </c>
      <c r="BC178" t="e">
        <f>AND(#REF!,"AAAAAFW4XjY=")</f>
        <v>#REF!</v>
      </c>
      <c r="BD178" t="e">
        <f>AND(#REF!,"AAAAAFW4Xjc=")</f>
        <v>#REF!</v>
      </c>
      <c r="BE178" t="e">
        <f>AND(#REF!,"AAAAAFW4Xjg=")</f>
        <v>#REF!</v>
      </c>
      <c r="BF178" t="e">
        <f>AND(#REF!,"AAAAAFW4Xjk=")</f>
        <v>#REF!</v>
      </c>
      <c r="BG178" t="e">
        <f>AND(#REF!,"AAAAAFW4Xjo=")</f>
        <v>#REF!</v>
      </c>
      <c r="BH178" t="e">
        <f>AND(#REF!,"AAAAAFW4Xjs=")</f>
        <v>#REF!</v>
      </c>
      <c r="BI178" t="e">
        <f>AND(#REF!,"AAAAAFW4Xjw=")</f>
        <v>#REF!</v>
      </c>
      <c r="BJ178" t="e">
        <f>AND(#REF!,"AAAAAFW4Xj0=")</f>
        <v>#REF!</v>
      </c>
      <c r="BK178" t="e">
        <f>AND(#REF!,"AAAAAFW4Xj4=")</f>
        <v>#REF!</v>
      </c>
      <c r="BL178" t="e">
        <f>AND(#REF!,"AAAAAFW4Xj8=")</f>
        <v>#REF!</v>
      </c>
      <c r="BM178" t="e">
        <f>AND(#REF!,"AAAAAFW4XkA=")</f>
        <v>#REF!</v>
      </c>
      <c r="BN178" t="e">
        <f>AND(#REF!,"AAAAAFW4XkE=")</f>
        <v>#REF!</v>
      </c>
      <c r="BO178" t="e">
        <f>AND(#REF!,"AAAAAFW4XkI=")</f>
        <v>#REF!</v>
      </c>
      <c r="BP178" t="e">
        <f>AND(#REF!,"AAAAAFW4XkM=")</f>
        <v>#REF!</v>
      </c>
      <c r="BQ178" t="e">
        <f>AND(#REF!,"AAAAAFW4XkQ=")</f>
        <v>#REF!</v>
      </c>
      <c r="BR178" t="e">
        <f>AND(#REF!,"AAAAAFW4XkU=")</f>
        <v>#REF!</v>
      </c>
      <c r="BS178" t="e">
        <f>AND(#REF!,"AAAAAFW4XkY=")</f>
        <v>#REF!</v>
      </c>
      <c r="BT178" t="e">
        <f>AND(#REF!,"AAAAAFW4Xkc=")</f>
        <v>#REF!</v>
      </c>
      <c r="BU178" t="e">
        <f>AND(#REF!,"AAAAAFW4Xkg=")</f>
        <v>#REF!</v>
      </c>
      <c r="BV178" t="e">
        <f>IF(#REF!,"AAAAAFW4Xkk=",0)</f>
        <v>#REF!</v>
      </c>
      <c r="BW178" t="e">
        <f>AND(#REF!,"AAAAAFW4Xko=")</f>
        <v>#REF!</v>
      </c>
      <c r="BX178" t="e">
        <f>AND(#REF!,"AAAAAFW4Xks=")</f>
        <v>#REF!</v>
      </c>
      <c r="BY178" t="e">
        <f>AND(#REF!,"AAAAAFW4Xkw=")</f>
        <v>#REF!</v>
      </c>
      <c r="BZ178" t="e">
        <f>AND(#REF!,"AAAAAFW4Xk0=")</f>
        <v>#REF!</v>
      </c>
      <c r="CA178" t="e">
        <f>AND(#REF!,"AAAAAFW4Xk4=")</f>
        <v>#REF!</v>
      </c>
      <c r="CB178" t="e">
        <f>AND(#REF!,"AAAAAFW4Xk8=")</f>
        <v>#REF!</v>
      </c>
      <c r="CC178" t="e">
        <f>AND(#REF!,"AAAAAFW4XlA=")</f>
        <v>#REF!</v>
      </c>
      <c r="CD178" t="e">
        <f>AND(#REF!,"AAAAAFW4XlE=")</f>
        <v>#REF!</v>
      </c>
      <c r="CE178" t="e">
        <f>AND(#REF!,"AAAAAFW4XlI=")</f>
        <v>#REF!</v>
      </c>
      <c r="CF178" t="e">
        <f>AND(#REF!,"AAAAAFW4XlM=")</f>
        <v>#REF!</v>
      </c>
      <c r="CG178" t="e">
        <f>AND(#REF!,"AAAAAFW4XlQ=")</f>
        <v>#REF!</v>
      </c>
      <c r="CH178" t="e">
        <f>AND(#REF!,"AAAAAFW4XlU=")</f>
        <v>#REF!</v>
      </c>
      <c r="CI178" t="e">
        <f>AND(#REF!,"AAAAAFW4XlY=")</f>
        <v>#REF!</v>
      </c>
      <c r="CJ178" t="e">
        <f>AND(#REF!,"AAAAAFW4Xlc=")</f>
        <v>#REF!</v>
      </c>
      <c r="CK178" t="e">
        <f>AND(#REF!,"AAAAAFW4Xlg=")</f>
        <v>#REF!</v>
      </c>
      <c r="CL178" t="e">
        <f>AND(#REF!,"AAAAAFW4Xlk=")</f>
        <v>#REF!</v>
      </c>
      <c r="CM178" t="e">
        <f>AND(#REF!,"AAAAAFW4Xlo=")</f>
        <v>#REF!</v>
      </c>
      <c r="CN178" t="e">
        <f>AND(#REF!,"AAAAAFW4Xls=")</f>
        <v>#REF!</v>
      </c>
      <c r="CO178" t="e">
        <f>AND(#REF!,"AAAAAFW4Xlw=")</f>
        <v>#REF!</v>
      </c>
      <c r="CP178" t="e">
        <f>AND(#REF!,"AAAAAFW4Xl0=")</f>
        <v>#REF!</v>
      </c>
      <c r="CQ178" t="e">
        <f>AND(#REF!,"AAAAAFW4Xl4=")</f>
        <v>#REF!</v>
      </c>
      <c r="CR178" t="e">
        <f>AND(#REF!,"AAAAAFW4Xl8=")</f>
        <v>#REF!</v>
      </c>
      <c r="CS178" t="e">
        <f>AND(#REF!,"AAAAAFW4XmA=")</f>
        <v>#REF!</v>
      </c>
      <c r="CT178" t="e">
        <f>AND(#REF!,"AAAAAFW4XmE=")</f>
        <v>#REF!</v>
      </c>
      <c r="CU178" t="e">
        <f>IF(#REF!,"AAAAAFW4XmI=",0)</f>
        <v>#REF!</v>
      </c>
      <c r="CV178" t="e">
        <f>AND(#REF!,"AAAAAFW4XmM=")</f>
        <v>#REF!</v>
      </c>
      <c r="CW178" t="e">
        <f>AND(#REF!,"AAAAAFW4XmQ=")</f>
        <v>#REF!</v>
      </c>
      <c r="CX178" t="e">
        <f>AND(#REF!,"AAAAAFW4XmU=")</f>
        <v>#REF!</v>
      </c>
      <c r="CY178" t="e">
        <f>AND(#REF!,"AAAAAFW4XmY=")</f>
        <v>#REF!</v>
      </c>
      <c r="CZ178" t="e">
        <f>AND(#REF!,"AAAAAFW4Xmc=")</f>
        <v>#REF!</v>
      </c>
      <c r="DA178" t="e">
        <f>AND(#REF!,"AAAAAFW4Xmg=")</f>
        <v>#REF!</v>
      </c>
      <c r="DB178" t="e">
        <f>AND(#REF!,"AAAAAFW4Xmk=")</f>
        <v>#REF!</v>
      </c>
      <c r="DC178" t="e">
        <f>AND(#REF!,"AAAAAFW4Xmo=")</f>
        <v>#REF!</v>
      </c>
      <c r="DD178" t="e">
        <f>AND(#REF!,"AAAAAFW4Xms=")</f>
        <v>#REF!</v>
      </c>
      <c r="DE178" t="e">
        <f>AND(#REF!,"AAAAAFW4Xmw=")</f>
        <v>#REF!</v>
      </c>
      <c r="DF178" t="e">
        <f>AND(#REF!,"AAAAAFW4Xm0=")</f>
        <v>#REF!</v>
      </c>
      <c r="DG178" t="e">
        <f>AND(#REF!,"AAAAAFW4Xm4=")</f>
        <v>#REF!</v>
      </c>
      <c r="DH178" t="e">
        <f>AND(#REF!,"AAAAAFW4Xm8=")</f>
        <v>#REF!</v>
      </c>
      <c r="DI178" t="e">
        <f>AND(#REF!,"AAAAAFW4XnA=")</f>
        <v>#REF!</v>
      </c>
      <c r="DJ178" t="e">
        <f>AND(#REF!,"AAAAAFW4XnE=")</f>
        <v>#REF!</v>
      </c>
      <c r="DK178" t="e">
        <f>AND(#REF!,"AAAAAFW4XnI=")</f>
        <v>#REF!</v>
      </c>
      <c r="DL178" t="e">
        <f>AND(#REF!,"AAAAAFW4XnM=")</f>
        <v>#REF!</v>
      </c>
      <c r="DM178" t="e">
        <f>AND(#REF!,"AAAAAFW4XnQ=")</f>
        <v>#REF!</v>
      </c>
      <c r="DN178" t="e">
        <f>AND(#REF!,"AAAAAFW4XnU=")</f>
        <v>#REF!</v>
      </c>
      <c r="DO178" t="e">
        <f>AND(#REF!,"AAAAAFW4XnY=")</f>
        <v>#REF!</v>
      </c>
      <c r="DP178" t="e">
        <f>AND(#REF!,"AAAAAFW4Xnc=")</f>
        <v>#REF!</v>
      </c>
      <c r="DQ178" t="e">
        <f>AND(#REF!,"AAAAAFW4Xng=")</f>
        <v>#REF!</v>
      </c>
      <c r="DR178" t="e">
        <f>AND(#REF!,"AAAAAFW4Xnk=")</f>
        <v>#REF!</v>
      </c>
      <c r="DS178" t="e">
        <f>AND(#REF!,"AAAAAFW4Xno=")</f>
        <v>#REF!</v>
      </c>
      <c r="DT178" t="e">
        <f>IF(#REF!,"AAAAAFW4Xns=",0)</f>
        <v>#REF!</v>
      </c>
      <c r="DU178" t="e">
        <f>AND(#REF!,"AAAAAFW4Xnw=")</f>
        <v>#REF!</v>
      </c>
      <c r="DV178" t="e">
        <f>AND(#REF!,"AAAAAFW4Xn0=")</f>
        <v>#REF!</v>
      </c>
      <c r="DW178" t="e">
        <f>AND(#REF!,"AAAAAFW4Xn4=")</f>
        <v>#REF!</v>
      </c>
      <c r="DX178" t="e">
        <f>AND(#REF!,"AAAAAFW4Xn8=")</f>
        <v>#REF!</v>
      </c>
      <c r="DY178" t="e">
        <f>AND(#REF!,"AAAAAFW4XoA=")</f>
        <v>#REF!</v>
      </c>
      <c r="DZ178" t="e">
        <f>AND(#REF!,"AAAAAFW4XoE=")</f>
        <v>#REF!</v>
      </c>
      <c r="EA178" t="e">
        <f>AND(#REF!,"AAAAAFW4XoI=")</f>
        <v>#REF!</v>
      </c>
      <c r="EB178" t="e">
        <f>AND(#REF!,"AAAAAFW4XoM=")</f>
        <v>#REF!</v>
      </c>
      <c r="EC178" t="e">
        <f>AND(#REF!,"AAAAAFW4XoQ=")</f>
        <v>#REF!</v>
      </c>
      <c r="ED178" t="e">
        <f>AND(#REF!,"AAAAAFW4XoU=")</f>
        <v>#REF!</v>
      </c>
      <c r="EE178" t="e">
        <f>AND(#REF!,"AAAAAFW4XoY=")</f>
        <v>#REF!</v>
      </c>
      <c r="EF178" t="e">
        <f>AND(#REF!,"AAAAAFW4Xoc=")</f>
        <v>#REF!</v>
      </c>
      <c r="EG178" t="e">
        <f>AND(#REF!,"AAAAAFW4Xog=")</f>
        <v>#REF!</v>
      </c>
      <c r="EH178" t="e">
        <f>AND(#REF!,"AAAAAFW4Xok=")</f>
        <v>#REF!</v>
      </c>
      <c r="EI178" t="e">
        <f>AND(#REF!,"AAAAAFW4Xoo=")</f>
        <v>#REF!</v>
      </c>
      <c r="EJ178" t="e">
        <f>AND(#REF!,"AAAAAFW4Xos=")</f>
        <v>#REF!</v>
      </c>
      <c r="EK178" t="e">
        <f>AND(#REF!,"AAAAAFW4Xow=")</f>
        <v>#REF!</v>
      </c>
      <c r="EL178" t="e">
        <f>AND(#REF!,"AAAAAFW4Xo0=")</f>
        <v>#REF!</v>
      </c>
      <c r="EM178" t="e">
        <f>AND(#REF!,"AAAAAFW4Xo4=")</f>
        <v>#REF!</v>
      </c>
      <c r="EN178" t="e">
        <f>AND(#REF!,"AAAAAFW4Xo8=")</f>
        <v>#REF!</v>
      </c>
      <c r="EO178" t="e">
        <f>AND(#REF!,"AAAAAFW4XpA=")</f>
        <v>#REF!</v>
      </c>
      <c r="EP178" t="e">
        <f>AND(#REF!,"AAAAAFW4XpE=")</f>
        <v>#REF!</v>
      </c>
      <c r="EQ178" t="e">
        <f>AND(#REF!,"AAAAAFW4XpI=")</f>
        <v>#REF!</v>
      </c>
      <c r="ER178" t="e">
        <f>AND(#REF!,"AAAAAFW4XpM=")</f>
        <v>#REF!</v>
      </c>
      <c r="ES178" t="e">
        <f>IF(#REF!,"AAAAAFW4XpQ=",0)</f>
        <v>#REF!</v>
      </c>
      <c r="ET178" t="e">
        <f>AND(#REF!,"AAAAAFW4XpU=")</f>
        <v>#REF!</v>
      </c>
      <c r="EU178" t="e">
        <f>AND(#REF!,"AAAAAFW4XpY=")</f>
        <v>#REF!</v>
      </c>
      <c r="EV178" t="e">
        <f>AND(#REF!,"AAAAAFW4Xpc=")</f>
        <v>#REF!</v>
      </c>
      <c r="EW178" t="e">
        <f>AND(#REF!,"AAAAAFW4Xpg=")</f>
        <v>#REF!</v>
      </c>
      <c r="EX178" t="e">
        <f>AND(#REF!,"AAAAAFW4Xpk=")</f>
        <v>#REF!</v>
      </c>
      <c r="EY178" t="e">
        <f>AND(#REF!,"AAAAAFW4Xpo=")</f>
        <v>#REF!</v>
      </c>
      <c r="EZ178" t="e">
        <f>AND(#REF!,"AAAAAFW4Xps=")</f>
        <v>#REF!</v>
      </c>
      <c r="FA178" t="e">
        <f>AND(#REF!,"AAAAAFW4Xpw=")</f>
        <v>#REF!</v>
      </c>
      <c r="FB178" t="e">
        <f>AND(#REF!,"AAAAAFW4Xp0=")</f>
        <v>#REF!</v>
      </c>
      <c r="FC178" t="e">
        <f>AND(#REF!,"AAAAAFW4Xp4=")</f>
        <v>#REF!</v>
      </c>
      <c r="FD178" t="e">
        <f>AND(#REF!,"AAAAAFW4Xp8=")</f>
        <v>#REF!</v>
      </c>
      <c r="FE178" t="e">
        <f>AND(#REF!,"AAAAAFW4XqA=")</f>
        <v>#REF!</v>
      </c>
      <c r="FF178" t="e">
        <f>AND(#REF!,"AAAAAFW4XqE=")</f>
        <v>#REF!</v>
      </c>
      <c r="FG178" t="e">
        <f>AND(#REF!,"AAAAAFW4XqI=")</f>
        <v>#REF!</v>
      </c>
      <c r="FH178" t="e">
        <f>AND(#REF!,"AAAAAFW4XqM=")</f>
        <v>#REF!</v>
      </c>
      <c r="FI178" t="e">
        <f>AND(#REF!,"AAAAAFW4XqQ=")</f>
        <v>#REF!</v>
      </c>
      <c r="FJ178" t="e">
        <f>AND(#REF!,"AAAAAFW4XqU=")</f>
        <v>#REF!</v>
      </c>
      <c r="FK178" t="e">
        <f>AND(#REF!,"AAAAAFW4XqY=")</f>
        <v>#REF!</v>
      </c>
      <c r="FL178" t="e">
        <f>AND(#REF!,"AAAAAFW4Xqc=")</f>
        <v>#REF!</v>
      </c>
      <c r="FM178" t="e">
        <f>AND(#REF!,"AAAAAFW4Xqg=")</f>
        <v>#REF!</v>
      </c>
      <c r="FN178" t="e">
        <f>AND(#REF!,"AAAAAFW4Xqk=")</f>
        <v>#REF!</v>
      </c>
      <c r="FO178" t="e">
        <f>AND(#REF!,"AAAAAFW4Xqo=")</f>
        <v>#REF!</v>
      </c>
      <c r="FP178" t="e">
        <f>AND(#REF!,"AAAAAFW4Xqs=")</f>
        <v>#REF!</v>
      </c>
      <c r="FQ178" t="e">
        <f>AND(#REF!,"AAAAAFW4Xqw=")</f>
        <v>#REF!</v>
      </c>
      <c r="FR178" t="e">
        <f>IF(#REF!,"AAAAAFW4Xq0=",0)</f>
        <v>#REF!</v>
      </c>
      <c r="FS178" t="e">
        <f>AND(#REF!,"AAAAAFW4Xq4=")</f>
        <v>#REF!</v>
      </c>
      <c r="FT178" t="e">
        <f>AND(#REF!,"AAAAAFW4Xq8=")</f>
        <v>#REF!</v>
      </c>
      <c r="FU178" t="e">
        <f>AND(#REF!,"AAAAAFW4XrA=")</f>
        <v>#REF!</v>
      </c>
      <c r="FV178" t="e">
        <f>AND(#REF!,"AAAAAFW4XrE=")</f>
        <v>#REF!</v>
      </c>
      <c r="FW178" t="e">
        <f>AND(#REF!,"AAAAAFW4XrI=")</f>
        <v>#REF!</v>
      </c>
      <c r="FX178" t="e">
        <f>AND(#REF!,"AAAAAFW4XrM=")</f>
        <v>#REF!</v>
      </c>
      <c r="FY178" t="e">
        <f>AND(#REF!,"AAAAAFW4XrQ=")</f>
        <v>#REF!</v>
      </c>
      <c r="FZ178" t="e">
        <f>AND(#REF!,"AAAAAFW4XrU=")</f>
        <v>#REF!</v>
      </c>
      <c r="GA178" t="e">
        <f>AND(#REF!,"AAAAAFW4XrY=")</f>
        <v>#REF!</v>
      </c>
      <c r="GB178" t="e">
        <f>AND(#REF!,"AAAAAFW4Xrc=")</f>
        <v>#REF!</v>
      </c>
      <c r="GC178" t="e">
        <f>AND(#REF!,"AAAAAFW4Xrg=")</f>
        <v>#REF!</v>
      </c>
      <c r="GD178" t="e">
        <f>AND(#REF!,"AAAAAFW4Xrk=")</f>
        <v>#REF!</v>
      </c>
      <c r="GE178" t="e">
        <f>AND(#REF!,"AAAAAFW4Xro=")</f>
        <v>#REF!</v>
      </c>
      <c r="GF178" t="e">
        <f>AND(#REF!,"AAAAAFW4Xrs=")</f>
        <v>#REF!</v>
      </c>
      <c r="GG178" t="e">
        <f>AND(#REF!,"AAAAAFW4Xrw=")</f>
        <v>#REF!</v>
      </c>
      <c r="GH178" t="e">
        <f>AND(#REF!,"AAAAAFW4Xr0=")</f>
        <v>#REF!</v>
      </c>
      <c r="GI178" t="e">
        <f>AND(#REF!,"AAAAAFW4Xr4=")</f>
        <v>#REF!</v>
      </c>
      <c r="GJ178" t="e">
        <f>AND(#REF!,"AAAAAFW4Xr8=")</f>
        <v>#REF!</v>
      </c>
      <c r="GK178" t="e">
        <f>AND(#REF!,"AAAAAFW4XsA=")</f>
        <v>#REF!</v>
      </c>
      <c r="GL178" t="e">
        <f>AND(#REF!,"AAAAAFW4XsE=")</f>
        <v>#REF!</v>
      </c>
      <c r="GM178" t="e">
        <f>AND(#REF!,"AAAAAFW4XsI=")</f>
        <v>#REF!</v>
      </c>
      <c r="GN178" t="e">
        <f>AND(#REF!,"AAAAAFW4XsM=")</f>
        <v>#REF!</v>
      </c>
      <c r="GO178" t="e">
        <f>AND(#REF!,"AAAAAFW4XsQ=")</f>
        <v>#REF!</v>
      </c>
      <c r="GP178" t="e">
        <f>AND(#REF!,"AAAAAFW4XsU=")</f>
        <v>#REF!</v>
      </c>
      <c r="GQ178" t="e">
        <f>IF(#REF!,"AAAAAFW4XsY=",0)</f>
        <v>#REF!</v>
      </c>
      <c r="GR178" t="e">
        <f>AND(#REF!,"AAAAAFW4Xsc=")</f>
        <v>#REF!</v>
      </c>
      <c r="GS178" t="e">
        <f>AND(#REF!,"AAAAAFW4Xsg=")</f>
        <v>#REF!</v>
      </c>
      <c r="GT178" t="e">
        <f>AND(#REF!,"AAAAAFW4Xsk=")</f>
        <v>#REF!</v>
      </c>
      <c r="GU178" t="e">
        <f>AND(#REF!,"AAAAAFW4Xso=")</f>
        <v>#REF!</v>
      </c>
      <c r="GV178" t="e">
        <f>AND(#REF!,"AAAAAFW4Xss=")</f>
        <v>#REF!</v>
      </c>
      <c r="GW178" t="e">
        <f>AND(#REF!,"AAAAAFW4Xsw=")</f>
        <v>#REF!</v>
      </c>
      <c r="GX178" t="e">
        <f>AND(#REF!,"AAAAAFW4Xs0=")</f>
        <v>#REF!</v>
      </c>
      <c r="GY178" t="e">
        <f>AND(#REF!,"AAAAAFW4Xs4=")</f>
        <v>#REF!</v>
      </c>
      <c r="GZ178" t="e">
        <f>AND(#REF!,"AAAAAFW4Xs8=")</f>
        <v>#REF!</v>
      </c>
      <c r="HA178" t="e">
        <f>AND(#REF!,"AAAAAFW4XtA=")</f>
        <v>#REF!</v>
      </c>
      <c r="HB178" t="e">
        <f>AND(#REF!,"AAAAAFW4XtE=")</f>
        <v>#REF!</v>
      </c>
      <c r="HC178" t="e">
        <f>AND(#REF!,"AAAAAFW4XtI=")</f>
        <v>#REF!</v>
      </c>
      <c r="HD178" t="e">
        <f>AND(#REF!,"AAAAAFW4XtM=")</f>
        <v>#REF!</v>
      </c>
      <c r="HE178" t="e">
        <f>AND(#REF!,"AAAAAFW4XtQ=")</f>
        <v>#REF!</v>
      </c>
      <c r="HF178" t="e">
        <f>AND(#REF!,"AAAAAFW4XtU=")</f>
        <v>#REF!</v>
      </c>
      <c r="HG178" t="e">
        <f>AND(#REF!,"AAAAAFW4XtY=")</f>
        <v>#REF!</v>
      </c>
      <c r="HH178" t="e">
        <f>AND(#REF!,"AAAAAFW4Xtc=")</f>
        <v>#REF!</v>
      </c>
      <c r="HI178" t="e">
        <f>AND(#REF!,"AAAAAFW4Xtg=")</f>
        <v>#REF!</v>
      </c>
      <c r="HJ178" t="e">
        <f>AND(#REF!,"AAAAAFW4Xtk=")</f>
        <v>#REF!</v>
      </c>
      <c r="HK178" t="e">
        <f>AND(#REF!,"AAAAAFW4Xto=")</f>
        <v>#REF!</v>
      </c>
      <c r="HL178" t="e">
        <f>AND(#REF!,"AAAAAFW4Xts=")</f>
        <v>#REF!</v>
      </c>
      <c r="HM178" t="e">
        <f>AND(#REF!,"AAAAAFW4Xtw=")</f>
        <v>#REF!</v>
      </c>
      <c r="HN178" t="e">
        <f>AND(#REF!,"AAAAAFW4Xt0=")</f>
        <v>#REF!</v>
      </c>
      <c r="HO178" t="e">
        <f>AND(#REF!,"AAAAAFW4Xt4=")</f>
        <v>#REF!</v>
      </c>
      <c r="HP178" t="e">
        <f>IF(#REF!,"AAAAAFW4Xt8=",0)</f>
        <v>#REF!</v>
      </c>
      <c r="HQ178" t="e">
        <f>AND(#REF!,"AAAAAFW4XuA=")</f>
        <v>#REF!</v>
      </c>
      <c r="HR178" t="e">
        <f>AND(#REF!,"AAAAAFW4XuE=")</f>
        <v>#REF!</v>
      </c>
      <c r="HS178" t="e">
        <f>AND(#REF!,"AAAAAFW4XuI=")</f>
        <v>#REF!</v>
      </c>
      <c r="HT178" t="e">
        <f>AND(#REF!,"AAAAAFW4XuM=")</f>
        <v>#REF!</v>
      </c>
      <c r="HU178" t="e">
        <f>AND(#REF!,"AAAAAFW4XuQ=")</f>
        <v>#REF!</v>
      </c>
      <c r="HV178" t="e">
        <f>AND(#REF!,"AAAAAFW4XuU=")</f>
        <v>#REF!</v>
      </c>
      <c r="HW178" t="e">
        <f>AND(#REF!,"AAAAAFW4XuY=")</f>
        <v>#REF!</v>
      </c>
      <c r="HX178" t="e">
        <f>AND(#REF!,"AAAAAFW4Xuc=")</f>
        <v>#REF!</v>
      </c>
      <c r="HY178" t="e">
        <f>AND(#REF!,"AAAAAFW4Xug=")</f>
        <v>#REF!</v>
      </c>
      <c r="HZ178" t="e">
        <f>AND(#REF!,"AAAAAFW4Xuk=")</f>
        <v>#REF!</v>
      </c>
      <c r="IA178" t="e">
        <f>AND(#REF!,"AAAAAFW4Xuo=")</f>
        <v>#REF!</v>
      </c>
      <c r="IB178" t="e">
        <f>AND(#REF!,"AAAAAFW4Xus=")</f>
        <v>#REF!</v>
      </c>
      <c r="IC178" t="e">
        <f>AND(#REF!,"AAAAAFW4Xuw=")</f>
        <v>#REF!</v>
      </c>
      <c r="ID178" t="e">
        <f>AND(#REF!,"AAAAAFW4Xu0=")</f>
        <v>#REF!</v>
      </c>
      <c r="IE178" t="e">
        <f>AND(#REF!,"AAAAAFW4Xu4=")</f>
        <v>#REF!</v>
      </c>
      <c r="IF178" t="e">
        <f>AND(#REF!,"AAAAAFW4Xu8=")</f>
        <v>#REF!</v>
      </c>
      <c r="IG178" t="e">
        <f>AND(#REF!,"AAAAAFW4XvA=")</f>
        <v>#REF!</v>
      </c>
      <c r="IH178" t="e">
        <f>AND(#REF!,"AAAAAFW4XvE=")</f>
        <v>#REF!</v>
      </c>
      <c r="II178" t="e">
        <f>AND(#REF!,"AAAAAFW4XvI=")</f>
        <v>#REF!</v>
      </c>
      <c r="IJ178" t="e">
        <f>AND(#REF!,"AAAAAFW4XvM=")</f>
        <v>#REF!</v>
      </c>
      <c r="IK178" t="e">
        <f>AND(#REF!,"AAAAAFW4XvQ=")</f>
        <v>#REF!</v>
      </c>
      <c r="IL178" t="e">
        <f>AND(#REF!,"AAAAAFW4XvU=")</f>
        <v>#REF!</v>
      </c>
      <c r="IM178" t="e">
        <f>AND(#REF!,"AAAAAFW4XvY=")</f>
        <v>#REF!</v>
      </c>
      <c r="IN178" t="e">
        <f>AND(#REF!,"AAAAAFW4Xvc=")</f>
        <v>#REF!</v>
      </c>
      <c r="IO178" t="e">
        <f>IF(#REF!,"AAAAAFW4Xvg=",0)</f>
        <v>#REF!</v>
      </c>
      <c r="IP178" t="e">
        <f>AND(#REF!,"AAAAAFW4Xvk=")</f>
        <v>#REF!</v>
      </c>
      <c r="IQ178" t="e">
        <f>AND(#REF!,"AAAAAFW4Xvo=")</f>
        <v>#REF!</v>
      </c>
      <c r="IR178" t="e">
        <f>AND(#REF!,"AAAAAFW4Xvs=")</f>
        <v>#REF!</v>
      </c>
      <c r="IS178" t="e">
        <f>AND(#REF!,"AAAAAFW4Xvw=")</f>
        <v>#REF!</v>
      </c>
      <c r="IT178" t="e">
        <f>AND(#REF!,"AAAAAFW4Xv0=")</f>
        <v>#REF!</v>
      </c>
      <c r="IU178" t="e">
        <f>AND(#REF!,"AAAAAFW4Xv4=")</f>
        <v>#REF!</v>
      </c>
      <c r="IV178" t="e">
        <f>AND(#REF!,"AAAAAFW4Xv8=")</f>
        <v>#REF!</v>
      </c>
    </row>
    <row r="179" spans="1:256">
      <c r="A179" t="e">
        <f>AND(#REF!,"AAAAAH/+6gA=")</f>
        <v>#REF!</v>
      </c>
      <c r="B179" t="e">
        <f>AND(#REF!,"AAAAAH/+6gE=")</f>
        <v>#REF!</v>
      </c>
      <c r="C179" t="e">
        <f>AND(#REF!,"AAAAAH/+6gI=")</f>
        <v>#REF!</v>
      </c>
      <c r="D179" t="e">
        <f>AND(#REF!,"AAAAAH/+6gM=")</f>
        <v>#REF!</v>
      </c>
      <c r="E179" t="e">
        <f>AND(#REF!,"AAAAAH/+6gQ=")</f>
        <v>#REF!</v>
      </c>
      <c r="F179" t="e">
        <f>AND(#REF!,"AAAAAH/+6gU=")</f>
        <v>#REF!</v>
      </c>
      <c r="G179" t="e">
        <f>AND(#REF!,"AAAAAH/+6gY=")</f>
        <v>#REF!</v>
      </c>
      <c r="H179" t="e">
        <f>AND(#REF!,"AAAAAH/+6gc=")</f>
        <v>#REF!</v>
      </c>
      <c r="I179" t="e">
        <f>AND(#REF!,"AAAAAH/+6gg=")</f>
        <v>#REF!</v>
      </c>
      <c r="J179" t="e">
        <f>AND(#REF!,"AAAAAH/+6gk=")</f>
        <v>#REF!</v>
      </c>
      <c r="K179" t="e">
        <f>AND(#REF!,"AAAAAH/+6go=")</f>
        <v>#REF!</v>
      </c>
      <c r="L179" t="e">
        <f>AND(#REF!,"AAAAAH/+6gs=")</f>
        <v>#REF!</v>
      </c>
      <c r="M179" t="e">
        <f>AND(#REF!,"AAAAAH/+6gw=")</f>
        <v>#REF!</v>
      </c>
      <c r="N179" t="e">
        <f>AND(#REF!,"AAAAAH/+6g0=")</f>
        <v>#REF!</v>
      </c>
      <c r="O179" t="e">
        <f>AND(#REF!,"AAAAAH/+6g4=")</f>
        <v>#REF!</v>
      </c>
      <c r="P179" t="e">
        <f>AND(#REF!,"AAAAAH/+6g8=")</f>
        <v>#REF!</v>
      </c>
      <c r="Q179" t="e">
        <f>AND(#REF!,"AAAAAH/+6hA=")</f>
        <v>#REF!</v>
      </c>
      <c r="R179" t="e">
        <f>IF(#REF!,"AAAAAH/+6hE=",0)</f>
        <v>#REF!</v>
      </c>
      <c r="S179" t="e">
        <f>AND(#REF!,"AAAAAH/+6hI=")</f>
        <v>#REF!</v>
      </c>
      <c r="T179" t="e">
        <f>AND(#REF!,"AAAAAH/+6hM=")</f>
        <v>#REF!</v>
      </c>
      <c r="U179" t="e">
        <f>AND(#REF!,"AAAAAH/+6hQ=")</f>
        <v>#REF!</v>
      </c>
      <c r="V179" t="e">
        <f>AND(#REF!,"AAAAAH/+6hU=")</f>
        <v>#REF!</v>
      </c>
      <c r="W179" t="e">
        <f>AND(#REF!,"AAAAAH/+6hY=")</f>
        <v>#REF!</v>
      </c>
      <c r="X179" t="e">
        <f>AND(#REF!,"AAAAAH/+6hc=")</f>
        <v>#REF!</v>
      </c>
      <c r="Y179" t="e">
        <f>AND(#REF!,"AAAAAH/+6hg=")</f>
        <v>#REF!</v>
      </c>
      <c r="Z179" t="e">
        <f>AND(#REF!,"AAAAAH/+6hk=")</f>
        <v>#REF!</v>
      </c>
      <c r="AA179" t="e">
        <f>AND(#REF!,"AAAAAH/+6ho=")</f>
        <v>#REF!</v>
      </c>
      <c r="AB179" t="e">
        <f>AND(#REF!,"AAAAAH/+6hs=")</f>
        <v>#REF!</v>
      </c>
      <c r="AC179" t="e">
        <f>AND(#REF!,"AAAAAH/+6hw=")</f>
        <v>#REF!</v>
      </c>
      <c r="AD179" t="e">
        <f>AND(#REF!,"AAAAAH/+6h0=")</f>
        <v>#REF!</v>
      </c>
      <c r="AE179" t="e">
        <f>AND(#REF!,"AAAAAH/+6h4=")</f>
        <v>#REF!</v>
      </c>
      <c r="AF179" t="e">
        <f>AND(#REF!,"AAAAAH/+6h8=")</f>
        <v>#REF!</v>
      </c>
      <c r="AG179" t="e">
        <f>AND(#REF!,"AAAAAH/+6iA=")</f>
        <v>#REF!</v>
      </c>
      <c r="AH179" t="e">
        <f>AND(#REF!,"AAAAAH/+6iE=")</f>
        <v>#REF!</v>
      </c>
      <c r="AI179" t="e">
        <f>AND(#REF!,"AAAAAH/+6iI=")</f>
        <v>#REF!</v>
      </c>
      <c r="AJ179" t="e">
        <f>AND(#REF!,"AAAAAH/+6iM=")</f>
        <v>#REF!</v>
      </c>
      <c r="AK179" t="e">
        <f>AND(#REF!,"AAAAAH/+6iQ=")</f>
        <v>#REF!</v>
      </c>
      <c r="AL179" t="e">
        <f>AND(#REF!,"AAAAAH/+6iU=")</f>
        <v>#REF!</v>
      </c>
      <c r="AM179" t="e">
        <f>AND(#REF!,"AAAAAH/+6iY=")</f>
        <v>#REF!</v>
      </c>
      <c r="AN179" t="e">
        <f>AND(#REF!,"AAAAAH/+6ic=")</f>
        <v>#REF!</v>
      </c>
      <c r="AO179" t="e">
        <f>AND(#REF!,"AAAAAH/+6ig=")</f>
        <v>#REF!</v>
      </c>
      <c r="AP179" t="e">
        <f>AND(#REF!,"AAAAAH/+6ik=")</f>
        <v>#REF!</v>
      </c>
      <c r="AQ179" t="e">
        <f>IF(#REF!,"AAAAAH/+6io=",0)</f>
        <v>#REF!</v>
      </c>
      <c r="AR179" t="e">
        <f>AND(#REF!,"AAAAAH/+6is=")</f>
        <v>#REF!</v>
      </c>
      <c r="AS179" t="e">
        <f>AND(#REF!,"AAAAAH/+6iw=")</f>
        <v>#REF!</v>
      </c>
      <c r="AT179" t="e">
        <f>AND(#REF!,"AAAAAH/+6i0=")</f>
        <v>#REF!</v>
      </c>
      <c r="AU179" t="e">
        <f>AND(#REF!,"AAAAAH/+6i4=")</f>
        <v>#REF!</v>
      </c>
      <c r="AV179" t="e">
        <f>AND(#REF!,"AAAAAH/+6i8=")</f>
        <v>#REF!</v>
      </c>
      <c r="AW179" t="e">
        <f>AND(#REF!,"AAAAAH/+6jA=")</f>
        <v>#REF!</v>
      </c>
      <c r="AX179" t="e">
        <f>AND(#REF!,"AAAAAH/+6jE=")</f>
        <v>#REF!</v>
      </c>
      <c r="AY179" t="e">
        <f>AND(#REF!,"AAAAAH/+6jI=")</f>
        <v>#REF!</v>
      </c>
      <c r="AZ179" t="e">
        <f>AND(#REF!,"AAAAAH/+6jM=")</f>
        <v>#REF!</v>
      </c>
      <c r="BA179" t="e">
        <f>AND(#REF!,"AAAAAH/+6jQ=")</f>
        <v>#REF!</v>
      </c>
      <c r="BB179" t="e">
        <f>AND(#REF!,"AAAAAH/+6jU=")</f>
        <v>#REF!</v>
      </c>
      <c r="BC179" t="e">
        <f>AND(#REF!,"AAAAAH/+6jY=")</f>
        <v>#REF!</v>
      </c>
      <c r="BD179" t="e">
        <f>AND(#REF!,"AAAAAH/+6jc=")</f>
        <v>#REF!</v>
      </c>
      <c r="BE179" t="e">
        <f>AND(#REF!,"AAAAAH/+6jg=")</f>
        <v>#REF!</v>
      </c>
      <c r="BF179" t="e">
        <f>AND(#REF!,"AAAAAH/+6jk=")</f>
        <v>#REF!</v>
      </c>
      <c r="BG179" t="e">
        <f>AND(#REF!,"AAAAAH/+6jo=")</f>
        <v>#REF!</v>
      </c>
      <c r="BH179" t="e">
        <f>AND(#REF!,"AAAAAH/+6js=")</f>
        <v>#REF!</v>
      </c>
      <c r="BI179" t="e">
        <f>AND(#REF!,"AAAAAH/+6jw=")</f>
        <v>#REF!</v>
      </c>
      <c r="BJ179" t="e">
        <f>AND(#REF!,"AAAAAH/+6j0=")</f>
        <v>#REF!</v>
      </c>
      <c r="BK179" t="e">
        <f>AND(#REF!,"AAAAAH/+6j4=")</f>
        <v>#REF!</v>
      </c>
      <c r="BL179" t="e">
        <f>AND(#REF!,"AAAAAH/+6j8=")</f>
        <v>#REF!</v>
      </c>
      <c r="BM179" t="e">
        <f>AND(#REF!,"AAAAAH/+6kA=")</f>
        <v>#REF!</v>
      </c>
      <c r="BN179" t="e">
        <f>AND(#REF!,"AAAAAH/+6kE=")</f>
        <v>#REF!</v>
      </c>
      <c r="BO179" t="e">
        <f>AND(#REF!,"AAAAAH/+6kI=")</f>
        <v>#REF!</v>
      </c>
      <c r="BP179" t="e">
        <f>IF(#REF!,"AAAAAH/+6kM=",0)</f>
        <v>#REF!</v>
      </c>
      <c r="BQ179" t="e">
        <f>AND(#REF!,"AAAAAH/+6kQ=")</f>
        <v>#REF!</v>
      </c>
      <c r="BR179" t="e">
        <f>AND(#REF!,"AAAAAH/+6kU=")</f>
        <v>#REF!</v>
      </c>
      <c r="BS179" t="e">
        <f>AND(#REF!,"AAAAAH/+6kY=")</f>
        <v>#REF!</v>
      </c>
      <c r="BT179" t="e">
        <f>AND(#REF!,"AAAAAH/+6kc=")</f>
        <v>#REF!</v>
      </c>
      <c r="BU179" t="e">
        <f>AND(#REF!,"AAAAAH/+6kg=")</f>
        <v>#REF!</v>
      </c>
      <c r="BV179" t="e">
        <f>AND(#REF!,"AAAAAH/+6kk=")</f>
        <v>#REF!</v>
      </c>
      <c r="BW179" t="e">
        <f>AND(#REF!,"AAAAAH/+6ko=")</f>
        <v>#REF!</v>
      </c>
      <c r="BX179" t="e">
        <f>AND(#REF!,"AAAAAH/+6ks=")</f>
        <v>#REF!</v>
      </c>
      <c r="BY179" t="e">
        <f>AND(#REF!,"AAAAAH/+6kw=")</f>
        <v>#REF!</v>
      </c>
      <c r="BZ179" t="e">
        <f>AND(#REF!,"AAAAAH/+6k0=")</f>
        <v>#REF!</v>
      </c>
      <c r="CA179" t="e">
        <f>AND(#REF!,"AAAAAH/+6k4=")</f>
        <v>#REF!</v>
      </c>
      <c r="CB179" t="e">
        <f>AND(#REF!,"AAAAAH/+6k8=")</f>
        <v>#REF!</v>
      </c>
      <c r="CC179" t="e">
        <f>AND(#REF!,"AAAAAH/+6lA=")</f>
        <v>#REF!</v>
      </c>
      <c r="CD179" t="e">
        <f>AND(#REF!,"AAAAAH/+6lE=")</f>
        <v>#REF!</v>
      </c>
      <c r="CE179" t="e">
        <f>AND(#REF!,"AAAAAH/+6lI=")</f>
        <v>#REF!</v>
      </c>
      <c r="CF179" t="e">
        <f>AND(#REF!,"AAAAAH/+6lM=")</f>
        <v>#REF!</v>
      </c>
      <c r="CG179" t="e">
        <f>AND(#REF!,"AAAAAH/+6lQ=")</f>
        <v>#REF!</v>
      </c>
      <c r="CH179" t="e">
        <f>AND(#REF!,"AAAAAH/+6lU=")</f>
        <v>#REF!</v>
      </c>
      <c r="CI179" t="e">
        <f>AND(#REF!,"AAAAAH/+6lY=")</f>
        <v>#REF!</v>
      </c>
      <c r="CJ179" t="e">
        <f>AND(#REF!,"AAAAAH/+6lc=")</f>
        <v>#REF!</v>
      </c>
      <c r="CK179" t="e">
        <f>AND(#REF!,"AAAAAH/+6lg=")</f>
        <v>#REF!</v>
      </c>
      <c r="CL179" t="e">
        <f>AND(#REF!,"AAAAAH/+6lk=")</f>
        <v>#REF!</v>
      </c>
      <c r="CM179" t="e">
        <f>AND(#REF!,"AAAAAH/+6lo=")</f>
        <v>#REF!</v>
      </c>
      <c r="CN179" t="e">
        <f>AND(#REF!,"AAAAAH/+6ls=")</f>
        <v>#REF!</v>
      </c>
      <c r="CO179" t="e">
        <f>IF(#REF!,"AAAAAH/+6lw=",0)</f>
        <v>#REF!</v>
      </c>
      <c r="CP179" t="e">
        <f>AND(#REF!,"AAAAAH/+6l0=")</f>
        <v>#REF!</v>
      </c>
      <c r="CQ179" t="e">
        <f>AND(#REF!,"AAAAAH/+6l4=")</f>
        <v>#REF!</v>
      </c>
      <c r="CR179" t="e">
        <f>AND(#REF!,"AAAAAH/+6l8=")</f>
        <v>#REF!</v>
      </c>
      <c r="CS179" t="e">
        <f>AND(#REF!,"AAAAAH/+6mA=")</f>
        <v>#REF!</v>
      </c>
      <c r="CT179" t="e">
        <f>AND(#REF!,"AAAAAH/+6mE=")</f>
        <v>#REF!</v>
      </c>
      <c r="CU179" t="e">
        <f>AND(#REF!,"AAAAAH/+6mI=")</f>
        <v>#REF!</v>
      </c>
      <c r="CV179" t="e">
        <f>AND(#REF!,"AAAAAH/+6mM=")</f>
        <v>#REF!</v>
      </c>
      <c r="CW179" t="e">
        <f>AND(#REF!,"AAAAAH/+6mQ=")</f>
        <v>#REF!</v>
      </c>
      <c r="CX179" t="e">
        <f>AND(#REF!,"AAAAAH/+6mU=")</f>
        <v>#REF!</v>
      </c>
      <c r="CY179" t="e">
        <f>AND(#REF!,"AAAAAH/+6mY=")</f>
        <v>#REF!</v>
      </c>
      <c r="CZ179" t="e">
        <f>AND(#REF!,"AAAAAH/+6mc=")</f>
        <v>#REF!</v>
      </c>
      <c r="DA179" t="e">
        <f>AND(#REF!,"AAAAAH/+6mg=")</f>
        <v>#REF!</v>
      </c>
      <c r="DB179" t="e">
        <f>AND(#REF!,"AAAAAH/+6mk=")</f>
        <v>#REF!</v>
      </c>
      <c r="DC179" t="e">
        <f>AND(#REF!,"AAAAAH/+6mo=")</f>
        <v>#REF!</v>
      </c>
      <c r="DD179" t="e">
        <f>AND(#REF!,"AAAAAH/+6ms=")</f>
        <v>#REF!</v>
      </c>
      <c r="DE179" t="e">
        <f>AND(#REF!,"AAAAAH/+6mw=")</f>
        <v>#REF!</v>
      </c>
      <c r="DF179" t="e">
        <f>AND(#REF!,"AAAAAH/+6m0=")</f>
        <v>#REF!</v>
      </c>
      <c r="DG179" t="e">
        <f>AND(#REF!,"AAAAAH/+6m4=")</f>
        <v>#REF!</v>
      </c>
      <c r="DH179" t="e">
        <f>AND(#REF!,"AAAAAH/+6m8=")</f>
        <v>#REF!</v>
      </c>
      <c r="DI179" t="e">
        <f>AND(#REF!,"AAAAAH/+6nA=")</f>
        <v>#REF!</v>
      </c>
      <c r="DJ179" t="e">
        <f>AND(#REF!,"AAAAAH/+6nE=")</f>
        <v>#REF!</v>
      </c>
      <c r="DK179" t="e">
        <f>AND(#REF!,"AAAAAH/+6nI=")</f>
        <v>#REF!</v>
      </c>
      <c r="DL179" t="e">
        <f>AND(#REF!,"AAAAAH/+6nM=")</f>
        <v>#REF!</v>
      </c>
      <c r="DM179" t="e">
        <f>AND(#REF!,"AAAAAH/+6nQ=")</f>
        <v>#REF!</v>
      </c>
      <c r="DN179" t="e">
        <f>IF(#REF!,"AAAAAH/+6nU=",0)</f>
        <v>#REF!</v>
      </c>
      <c r="DO179" t="e">
        <f>AND(#REF!,"AAAAAH/+6nY=")</f>
        <v>#REF!</v>
      </c>
      <c r="DP179" t="e">
        <f>AND(#REF!,"AAAAAH/+6nc=")</f>
        <v>#REF!</v>
      </c>
      <c r="DQ179" t="e">
        <f>AND(#REF!,"AAAAAH/+6ng=")</f>
        <v>#REF!</v>
      </c>
      <c r="DR179" t="e">
        <f>AND(#REF!,"AAAAAH/+6nk=")</f>
        <v>#REF!</v>
      </c>
      <c r="DS179" t="e">
        <f>AND(#REF!,"AAAAAH/+6no=")</f>
        <v>#REF!</v>
      </c>
      <c r="DT179" t="e">
        <f>AND(#REF!,"AAAAAH/+6ns=")</f>
        <v>#REF!</v>
      </c>
      <c r="DU179" t="e">
        <f>AND(#REF!,"AAAAAH/+6nw=")</f>
        <v>#REF!</v>
      </c>
      <c r="DV179" t="e">
        <f>AND(#REF!,"AAAAAH/+6n0=")</f>
        <v>#REF!</v>
      </c>
      <c r="DW179" t="e">
        <f>AND(#REF!,"AAAAAH/+6n4=")</f>
        <v>#REF!</v>
      </c>
      <c r="DX179" t="e">
        <f>AND(#REF!,"AAAAAH/+6n8=")</f>
        <v>#REF!</v>
      </c>
      <c r="DY179" t="e">
        <f>AND(#REF!,"AAAAAH/+6oA=")</f>
        <v>#REF!</v>
      </c>
      <c r="DZ179" t="e">
        <f>AND(#REF!,"AAAAAH/+6oE=")</f>
        <v>#REF!</v>
      </c>
      <c r="EA179" t="e">
        <f>AND(#REF!,"AAAAAH/+6oI=")</f>
        <v>#REF!</v>
      </c>
      <c r="EB179" t="e">
        <f>AND(#REF!,"AAAAAH/+6oM=")</f>
        <v>#REF!</v>
      </c>
      <c r="EC179" t="e">
        <f>AND(#REF!,"AAAAAH/+6oQ=")</f>
        <v>#REF!</v>
      </c>
      <c r="ED179" t="e">
        <f>AND(#REF!,"AAAAAH/+6oU=")</f>
        <v>#REF!</v>
      </c>
      <c r="EE179" t="e">
        <f>AND(#REF!,"AAAAAH/+6oY=")</f>
        <v>#REF!</v>
      </c>
      <c r="EF179" t="e">
        <f>AND(#REF!,"AAAAAH/+6oc=")</f>
        <v>#REF!</v>
      </c>
      <c r="EG179" t="e">
        <f>AND(#REF!,"AAAAAH/+6og=")</f>
        <v>#REF!</v>
      </c>
      <c r="EH179" t="e">
        <f>AND(#REF!,"AAAAAH/+6ok=")</f>
        <v>#REF!</v>
      </c>
      <c r="EI179" t="e">
        <f>AND(#REF!,"AAAAAH/+6oo=")</f>
        <v>#REF!</v>
      </c>
      <c r="EJ179" t="e">
        <f>AND(#REF!,"AAAAAH/+6os=")</f>
        <v>#REF!</v>
      </c>
      <c r="EK179" t="e">
        <f>AND(#REF!,"AAAAAH/+6ow=")</f>
        <v>#REF!</v>
      </c>
      <c r="EL179" t="e">
        <f>AND(#REF!,"AAAAAH/+6o0=")</f>
        <v>#REF!</v>
      </c>
      <c r="EM179" t="e">
        <f>IF(#REF!,"AAAAAH/+6o4=",0)</f>
        <v>#REF!</v>
      </c>
      <c r="EN179" t="e">
        <f>AND(#REF!,"AAAAAH/+6o8=")</f>
        <v>#REF!</v>
      </c>
      <c r="EO179" t="e">
        <f>AND(#REF!,"AAAAAH/+6pA=")</f>
        <v>#REF!</v>
      </c>
      <c r="EP179" t="e">
        <f>AND(#REF!,"AAAAAH/+6pE=")</f>
        <v>#REF!</v>
      </c>
      <c r="EQ179" t="e">
        <f>AND(#REF!,"AAAAAH/+6pI=")</f>
        <v>#REF!</v>
      </c>
      <c r="ER179" t="e">
        <f>AND(#REF!,"AAAAAH/+6pM=")</f>
        <v>#REF!</v>
      </c>
      <c r="ES179" t="e">
        <f>AND(#REF!,"AAAAAH/+6pQ=")</f>
        <v>#REF!</v>
      </c>
      <c r="ET179" t="e">
        <f>AND(#REF!,"AAAAAH/+6pU=")</f>
        <v>#REF!</v>
      </c>
      <c r="EU179" t="e">
        <f>AND(#REF!,"AAAAAH/+6pY=")</f>
        <v>#REF!</v>
      </c>
      <c r="EV179" t="e">
        <f>AND(#REF!,"AAAAAH/+6pc=")</f>
        <v>#REF!</v>
      </c>
      <c r="EW179" t="e">
        <f>AND(#REF!,"AAAAAH/+6pg=")</f>
        <v>#REF!</v>
      </c>
      <c r="EX179" t="e">
        <f>AND(#REF!,"AAAAAH/+6pk=")</f>
        <v>#REF!</v>
      </c>
      <c r="EY179" t="e">
        <f>AND(#REF!,"AAAAAH/+6po=")</f>
        <v>#REF!</v>
      </c>
      <c r="EZ179" t="e">
        <f>AND(#REF!,"AAAAAH/+6ps=")</f>
        <v>#REF!</v>
      </c>
      <c r="FA179" t="e">
        <f>AND(#REF!,"AAAAAH/+6pw=")</f>
        <v>#REF!</v>
      </c>
      <c r="FB179" t="e">
        <f>AND(#REF!,"AAAAAH/+6p0=")</f>
        <v>#REF!</v>
      </c>
      <c r="FC179" t="e">
        <f>AND(#REF!,"AAAAAH/+6p4=")</f>
        <v>#REF!</v>
      </c>
      <c r="FD179" t="e">
        <f>AND(#REF!,"AAAAAH/+6p8=")</f>
        <v>#REF!</v>
      </c>
      <c r="FE179" t="e">
        <f>AND(#REF!,"AAAAAH/+6qA=")</f>
        <v>#REF!</v>
      </c>
      <c r="FF179" t="e">
        <f>AND(#REF!,"AAAAAH/+6qE=")</f>
        <v>#REF!</v>
      </c>
      <c r="FG179" t="e">
        <f>AND(#REF!,"AAAAAH/+6qI=")</f>
        <v>#REF!</v>
      </c>
      <c r="FH179" t="e">
        <f>AND(#REF!,"AAAAAH/+6qM=")</f>
        <v>#REF!</v>
      </c>
      <c r="FI179" t="e">
        <f>AND(#REF!,"AAAAAH/+6qQ=")</f>
        <v>#REF!</v>
      </c>
      <c r="FJ179" t="e">
        <f>AND(#REF!,"AAAAAH/+6qU=")</f>
        <v>#REF!</v>
      </c>
      <c r="FK179" t="e">
        <f>AND(#REF!,"AAAAAH/+6qY=")</f>
        <v>#REF!</v>
      </c>
      <c r="FL179" t="e">
        <f>IF(#REF!,"AAAAAH/+6qc=",0)</f>
        <v>#REF!</v>
      </c>
      <c r="FM179" t="e">
        <f>AND(#REF!,"AAAAAH/+6qg=")</f>
        <v>#REF!</v>
      </c>
      <c r="FN179" t="e">
        <f>AND(#REF!,"AAAAAH/+6qk=")</f>
        <v>#REF!</v>
      </c>
      <c r="FO179" t="e">
        <f>AND(#REF!,"AAAAAH/+6qo=")</f>
        <v>#REF!</v>
      </c>
      <c r="FP179" t="e">
        <f>AND(#REF!,"AAAAAH/+6qs=")</f>
        <v>#REF!</v>
      </c>
      <c r="FQ179" t="e">
        <f>AND(#REF!,"AAAAAH/+6qw=")</f>
        <v>#REF!</v>
      </c>
      <c r="FR179" t="e">
        <f>AND(#REF!,"AAAAAH/+6q0=")</f>
        <v>#REF!</v>
      </c>
      <c r="FS179" t="e">
        <f>AND(#REF!,"AAAAAH/+6q4=")</f>
        <v>#REF!</v>
      </c>
      <c r="FT179" t="e">
        <f>AND(#REF!,"AAAAAH/+6q8=")</f>
        <v>#REF!</v>
      </c>
      <c r="FU179" t="e">
        <f>AND(#REF!,"AAAAAH/+6rA=")</f>
        <v>#REF!</v>
      </c>
      <c r="FV179" t="e">
        <f>AND(#REF!,"AAAAAH/+6rE=")</f>
        <v>#REF!</v>
      </c>
      <c r="FW179" t="e">
        <f>AND(#REF!,"AAAAAH/+6rI=")</f>
        <v>#REF!</v>
      </c>
      <c r="FX179" t="e">
        <f>AND(#REF!,"AAAAAH/+6rM=")</f>
        <v>#REF!</v>
      </c>
      <c r="FY179" t="e">
        <f>AND(#REF!,"AAAAAH/+6rQ=")</f>
        <v>#REF!</v>
      </c>
      <c r="FZ179" t="e">
        <f>AND(#REF!,"AAAAAH/+6rU=")</f>
        <v>#REF!</v>
      </c>
      <c r="GA179" t="e">
        <f>AND(#REF!,"AAAAAH/+6rY=")</f>
        <v>#REF!</v>
      </c>
      <c r="GB179" t="e">
        <f>AND(#REF!,"AAAAAH/+6rc=")</f>
        <v>#REF!</v>
      </c>
      <c r="GC179" t="e">
        <f>AND(#REF!,"AAAAAH/+6rg=")</f>
        <v>#REF!</v>
      </c>
      <c r="GD179" t="e">
        <f>AND(#REF!,"AAAAAH/+6rk=")</f>
        <v>#REF!</v>
      </c>
      <c r="GE179" t="e">
        <f>AND(#REF!,"AAAAAH/+6ro=")</f>
        <v>#REF!</v>
      </c>
      <c r="GF179" t="e">
        <f>AND(#REF!,"AAAAAH/+6rs=")</f>
        <v>#REF!</v>
      </c>
      <c r="GG179" t="e">
        <f>AND(#REF!,"AAAAAH/+6rw=")</f>
        <v>#REF!</v>
      </c>
      <c r="GH179" t="e">
        <f>AND(#REF!,"AAAAAH/+6r0=")</f>
        <v>#REF!</v>
      </c>
      <c r="GI179" t="e">
        <f>AND(#REF!,"AAAAAH/+6r4=")</f>
        <v>#REF!</v>
      </c>
      <c r="GJ179" t="e">
        <f>AND(#REF!,"AAAAAH/+6r8=")</f>
        <v>#REF!</v>
      </c>
      <c r="GK179" t="e">
        <f>IF(#REF!,"AAAAAH/+6sA=",0)</f>
        <v>#REF!</v>
      </c>
      <c r="GL179" t="e">
        <f>AND(#REF!,"AAAAAH/+6sE=")</f>
        <v>#REF!</v>
      </c>
      <c r="GM179" t="e">
        <f>AND(#REF!,"AAAAAH/+6sI=")</f>
        <v>#REF!</v>
      </c>
      <c r="GN179" t="e">
        <f>AND(#REF!,"AAAAAH/+6sM=")</f>
        <v>#REF!</v>
      </c>
      <c r="GO179" t="e">
        <f>AND(#REF!,"AAAAAH/+6sQ=")</f>
        <v>#REF!</v>
      </c>
      <c r="GP179" t="e">
        <f>AND(#REF!,"AAAAAH/+6sU=")</f>
        <v>#REF!</v>
      </c>
      <c r="GQ179" t="e">
        <f>AND(#REF!,"AAAAAH/+6sY=")</f>
        <v>#REF!</v>
      </c>
      <c r="GR179" t="e">
        <f>AND(#REF!,"AAAAAH/+6sc=")</f>
        <v>#REF!</v>
      </c>
      <c r="GS179" t="e">
        <f>AND(#REF!,"AAAAAH/+6sg=")</f>
        <v>#REF!</v>
      </c>
      <c r="GT179" t="e">
        <f>AND(#REF!,"AAAAAH/+6sk=")</f>
        <v>#REF!</v>
      </c>
      <c r="GU179" t="e">
        <f>AND(#REF!,"AAAAAH/+6so=")</f>
        <v>#REF!</v>
      </c>
      <c r="GV179" t="e">
        <f>AND(#REF!,"AAAAAH/+6ss=")</f>
        <v>#REF!</v>
      </c>
      <c r="GW179" t="e">
        <f>AND(#REF!,"AAAAAH/+6sw=")</f>
        <v>#REF!</v>
      </c>
      <c r="GX179" t="e">
        <f>AND(#REF!,"AAAAAH/+6s0=")</f>
        <v>#REF!</v>
      </c>
      <c r="GY179" t="e">
        <f>AND(#REF!,"AAAAAH/+6s4=")</f>
        <v>#REF!</v>
      </c>
      <c r="GZ179" t="e">
        <f>AND(#REF!,"AAAAAH/+6s8=")</f>
        <v>#REF!</v>
      </c>
      <c r="HA179" t="e">
        <f>AND(#REF!,"AAAAAH/+6tA=")</f>
        <v>#REF!</v>
      </c>
      <c r="HB179" t="e">
        <f>AND(#REF!,"AAAAAH/+6tE=")</f>
        <v>#REF!</v>
      </c>
      <c r="HC179" t="e">
        <f>AND(#REF!,"AAAAAH/+6tI=")</f>
        <v>#REF!</v>
      </c>
      <c r="HD179" t="e">
        <f>AND(#REF!,"AAAAAH/+6tM=")</f>
        <v>#REF!</v>
      </c>
      <c r="HE179" t="e">
        <f>AND(#REF!,"AAAAAH/+6tQ=")</f>
        <v>#REF!</v>
      </c>
      <c r="HF179" t="e">
        <f>AND(#REF!,"AAAAAH/+6tU=")</f>
        <v>#REF!</v>
      </c>
      <c r="HG179" t="e">
        <f>AND(#REF!,"AAAAAH/+6tY=")</f>
        <v>#REF!</v>
      </c>
      <c r="HH179" t="e">
        <f>AND(#REF!,"AAAAAH/+6tc=")</f>
        <v>#REF!</v>
      </c>
      <c r="HI179" t="e">
        <f>AND(#REF!,"AAAAAH/+6tg=")</f>
        <v>#REF!</v>
      </c>
      <c r="HJ179" t="e">
        <f>IF(#REF!,"AAAAAH/+6tk=",0)</f>
        <v>#REF!</v>
      </c>
      <c r="HK179" t="e">
        <f>AND(#REF!,"AAAAAH/+6to=")</f>
        <v>#REF!</v>
      </c>
      <c r="HL179" t="e">
        <f>AND(#REF!,"AAAAAH/+6ts=")</f>
        <v>#REF!</v>
      </c>
      <c r="HM179" t="e">
        <f>AND(#REF!,"AAAAAH/+6tw=")</f>
        <v>#REF!</v>
      </c>
      <c r="HN179" t="e">
        <f>AND(#REF!,"AAAAAH/+6t0=")</f>
        <v>#REF!</v>
      </c>
      <c r="HO179" t="e">
        <f>AND(#REF!,"AAAAAH/+6t4=")</f>
        <v>#REF!</v>
      </c>
      <c r="HP179" t="e">
        <f>AND(#REF!,"AAAAAH/+6t8=")</f>
        <v>#REF!</v>
      </c>
      <c r="HQ179" t="e">
        <f>AND(#REF!,"AAAAAH/+6uA=")</f>
        <v>#REF!</v>
      </c>
      <c r="HR179" t="e">
        <f>AND(#REF!,"AAAAAH/+6uE=")</f>
        <v>#REF!</v>
      </c>
      <c r="HS179" t="e">
        <f>AND(#REF!,"AAAAAH/+6uI=")</f>
        <v>#REF!</v>
      </c>
      <c r="HT179" t="e">
        <f>AND(#REF!,"AAAAAH/+6uM=")</f>
        <v>#REF!</v>
      </c>
      <c r="HU179" t="e">
        <f>AND(#REF!,"AAAAAH/+6uQ=")</f>
        <v>#REF!</v>
      </c>
      <c r="HV179" t="e">
        <f>AND(#REF!,"AAAAAH/+6uU=")</f>
        <v>#REF!</v>
      </c>
      <c r="HW179" t="e">
        <f>AND(#REF!,"AAAAAH/+6uY=")</f>
        <v>#REF!</v>
      </c>
      <c r="HX179" t="e">
        <f>AND(#REF!,"AAAAAH/+6uc=")</f>
        <v>#REF!</v>
      </c>
      <c r="HY179" t="e">
        <f>AND(#REF!,"AAAAAH/+6ug=")</f>
        <v>#REF!</v>
      </c>
      <c r="HZ179" t="e">
        <f>AND(#REF!,"AAAAAH/+6uk=")</f>
        <v>#REF!</v>
      </c>
      <c r="IA179" t="e">
        <f>AND(#REF!,"AAAAAH/+6uo=")</f>
        <v>#REF!</v>
      </c>
      <c r="IB179" t="e">
        <f>AND(#REF!,"AAAAAH/+6us=")</f>
        <v>#REF!</v>
      </c>
      <c r="IC179" t="e">
        <f>AND(#REF!,"AAAAAH/+6uw=")</f>
        <v>#REF!</v>
      </c>
      <c r="ID179" t="e">
        <f>AND(#REF!,"AAAAAH/+6u0=")</f>
        <v>#REF!</v>
      </c>
      <c r="IE179" t="e">
        <f>AND(#REF!,"AAAAAH/+6u4=")</f>
        <v>#REF!</v>
      </c>
      <c r="IF179" t="e">
        <f>AND(#REF!,"AAAAAH/+6u8=")</f>
        <v>#REF!</v>
      </c>
      <c r="IG179" t="e">
        <f>AND(#REF!,"AAAAAH/+6vA=")</f>
        <v>#REF!</v>
      </c>
      <c r="IH179" t="e">
        <f>AND(#REF!,"AAAAAH/+6vE=")</f>
        <v>#REF!</v>
      </c>
      <c r="II179" t="e">
        <f>IF(#REF!,"AAAAAH/+6vI=",0)</f>
        <v>#REF!</v>
      </c>
      <c r="IJ179" t="e">
        <f>AND(#REF!,"AAAAAH/+6vM=")</f>
        <v>#REF!</v>
      </c>
      <c r="IK179" t="e">
        <f>AND(#REF!,"AAAAAH/+6vQ=")</f>
        <v>#REF!</v>
      </c>
      <c r="IL179" t="e">
        <f>AND(#REF!,"AAAAAH/+6vU=")</f>
        <v>#REF!</v>
      </c>
      <c r="IM179" t="e">
        <f>AND(#REF!,"AAAAAH/+6vY=")</f>
        <v>#REF!</v>
      </c>
      <c r="IN179" t="e">
        <f>AND(#REF!,"AAAAAH/+6vc=")</f>
        <v>#REF!</v>
      </c>
      <c r="IO179" t="e">
        <f>AND(#REF!,"AAAAAH/+6vg=")</f>
        <v>#REF!</v>
      </c>
      <c r="IP179" t="e">
        <f>AND(#REF!,"AAAAAH/+6vk=")</f>
        <v>#REF!</v>
      </c>
      <c r="IQ179" t="e">
        <f>AND(#REF!,"AAAAAH/+6vo=")</f>
        <v>#REF!</v>
      </c>
      <c r="IR179" t="e">
        <f>AND(#REF!,"AAAAAH/+6vs=")</f>
        <v>#REF!</v>
      </c>
      <c r="IS179" t="e">
        <f>AND(#REF!,"AAAAAH/+6vw=")</f>
        <v>#REF!</v>
      </c>
      <c r="IT179" t="e">
        <f>AND(#REF!,"AAAAAH/+6v0=")</f>
        <v>#REF!</v>
      </c>
      <c r="IU179" t="e">
        <f>AND(#REF!,"AAAAAH/+6v4=")</f>
        <v>#REF!</v>
      </c>
      <c r="IV179" t="e">
        <f>AND(#REF!,"AAAAAH/+6v8=")</f>
        <v>#REF!</v>
      </c>
    </row>
    <row r="180" spans="1:256">
      <c r="A180" t="e">
        <f>AND(#REF!,"AAAAAH/W4wA=")</f>
        <v>#REF!</v>
      </c>
      <c r="B180" t="e">
        <f>AND(#REF!,"AAAAAH/W4wE=")</f>
        <v>#REF!</v>
      </c>
      <c r="C180" t="e">
        <f>AND(#REF!,"AAAAAH/W4wI=")</f>
        <v>#REF!</v>
      </c>
      <c r="D180" t="e">
        <f>AND(#REF!,"AAAAAH/W4wM=")</f>
        <v>#REF!</v>
      </c>
      <c r="E180" t="e">
        <f>AND(#REF!,"AAAAAH/W4wQ=")</f>
        <v>#REF!</v>
      </c>
      <c r="F180" t="e">
        <f>AND(#REF!,"AAAAAH/W4wU=")</f>
        <v>#REF!</v>
      </c>
      <c r="G180" t="e">
        <f>AND(#REF!,"AAAAAH/W4wY=")</f>
        <v>#REF!</v>
      </c>
      <c r="H180" t="e">
        <f>AND(#REF!,"AAAAAH/W4wc=")</f>
        <v>#REF!</v>
      </c>
      <c r="I180" t="e">
        <f>AND(#REF!,"AAAAAH/W4wg=")</f>
        <v>#REF!</v>
      </c>
      <c r="J180" t="e">
        <f>AND(#REF!,"AAAAAH/W4wk=")</f>
        <v>#REF!</v>
      </c>
      <c r="K180" t="e">
        <f>AND(#REF!,"AAAAAH/W4wo=")</f>
        <v>#REF!</v>
      </c>
      <c r="L180" t="e">
        <f>IF(#REF!,"AAAAAH/W4ws=",0)</f>
        <v>#REF!</v>
      </c>
      <c r="M180" t="e">
        <f>AND(#REF!,"AAAAAH/W4ww=")</f>
        <v>#REF!</v>
      </c>
      <c r="N180" t="e">
        <f>AND(#REF!,"AAAAAH/W4w0=")</f>
        <v>#REF!</v>
      </c>
      <c r="O180" t="e">
        <f>AND(#REF!,"AAAAAH/W4w4=")</f>
        <v>#REF!</v>
      </c>
      <c r="P180" t="e">
        <f>AND(#REF!,"AAAAAH/W4w8=")</f>
        <v>#REF!</v>
      </c>
      <c r="Q180" t="e">
        <f>AND(#REF!,"AAAAAH/W4xA=")</f>
        <v>#REF!</v>
      </c>
      <c r="R180" t="e">
        <f>AND(#REF!,"AAAAAH/W4xE=")</f>
        <v>#REF!</v>
      </c>
      <c r="S180" t="e">
        <f>AND(#REF!,"AAAAAH/W4xI=")</f>
        <v>#REF!</v>
      </c>
      <c r="T180" t="e">
        <f>AND(#REF!,"AAAAAH/W4xM=")</f>
        <v>#REF!</v>
      </c>
      <c r="U180" t="e">
        <f>AND(#REF!,"AAAAAH/W4xQ=")</f>
        <v>#REF!</v>
      </c>
      <c r="V180" t="e">
        <f>AND(#REF!,"AAAAAH/W4xU=")</f>
        <v>#REF!</v>
      </c>
      <c r="W180" t="e">
        <f>AND(#REF!,"AAAAAH/W4xY=")</f>
        <v>#REF!</v>
      </c>
      <c r="X180" t="e">
        <f>AND(#REF!,"AAAAAH/W4xc=")</f>
        <v>#REF!</v>
      </c>
      <c r="Y180" t="e">
        <f>AND(#REF!,"AAAAAH/W4xg=")</f>
        <v>#REF!</v>
      </c>
      <c r="Z180" t="e">
        <f>AND(#REF!,"AAAAAH/W4xk=")</f>
        <v>#REF!</v>
      </c>
      <c r="AA180" t="e">
        <f>AND(#REF!,"AAAAAH/W4xo=")</f>
        <v>#REF!</v>
      </c>
      <c r="AB180" t="e">
        <f>AND(#REF!,"AAAAAH/W4xs=")</f>
        <v>#REF!</v>
      </c>
      <c r="AC180" t="e">
        <f>AND(#REF!,"AAAAAH/W4xw=")</f>
        <v>#REF!</v>
      </c>
      <c r="AD180" t="e">
        <f>AND(#REF!,"AAAAAH/W4x0=")</f>
        <v>#REF!</v>
      </c>
      <c r="AE180" t="e">
        <f>AND(#REF!,"AAAAAH/W4x4=")</f>
        <v>#REF!</v>
      </c>
      <c r="AF180" t="e">
        <f>AND(#REF!,"AAAAAH/W4x8=")</f>
        <v>#REF!</v>
      </c>
      <c r="AG180" t="e">
        <f>AND(#REF!,"AAAAAH/W4yA=")</f>
        <v>#REF!</v>
      </c>
      <c r="AH180" t="e">
        <f>AND(#REF!,"AAAAAH/W4yE=")</f>
        <v>#REF!</v>
      </c>
      <c r="AI180" t="e">
        <f>AND(#REF!,"AAAAAH/W4yI=")</f>
        <v>#REF!</v>
      </c>
      <c r="AJ180" t="e">
        <f>AND(#REF!,"AAAAAH/W4yM=")</f>
        <v>#REF!</v>
      </c>
      <c r="AK180" t="e">
        <f>IF(#REF!,"AAAAAH/W4yQ=",0)</f>
        <v>#REF!</v>
      </c>
      <c r="AL180" t="e">
        <f>AND(#REF!,"AAAAAH/W4yU=")</f>
        <v>#REF!</v>
      </c>
      <c r="AM180" t="e">
        <f>AND(#REF!,"AAAAAH/W4yY=")</f>
        <v>#REF!</v>
      </c>
      <c r="AN180" t="e">
        <f>AND(#REF!,"AAAAAH/W4yc=")</f>
        <v>#REF!</v>
      </c>
      <c r="AO180" t="e">
        <f>AND(#REF!,"AAAAAH/W4yg=")</f>
        <v>#REF!</v>
      </c>
      <c r="AP180" t="e">
        <f>AND(#REF!,"AAAAAH/W4yk=")</f>
        <v>#REF!</v>
      </c>
      <c r="AQ180" t="e">
        <f>AND(#REF!,"AAAAAH/W4yo=")</f>
        <v>#REF!</v>
      </c>
      <c r="AR180" t="e">
        <f>AND(#REF!,"AAAAAH/W4ys=")</f>
        <v>#REF!</v>
      </c>
      <c r="AS180" t="e">
        <f>AND(#REF!,"AAAAAH/W4yw=")</f>
        <v>#REF!</v>
      </c>
      <c r="AT180" t="e">
        <f>AND(#REF!,"AAAAAH/W4y0=")</f>
        <v>#REF!</v>
      </c>
      <c r="AU180" t="e">
        <f>AND(#REF!,"AAAAAH/W4y4=")</f>
        <v>#REF!</v>
      </c>
      <c r="AV180" t="e">
        <f>AND(#REF!,"AAAAAH/W4y8=")</f>
        <v>#REF!</v>
      </c>
      <c r="AW180" t="e">
        <f>AND(#REF!,"AAAAAH/W4zA=")</f>
        <v>#REF!</v>
      </c>
      <c r="AX180" t="e">
        <f>AND(#REF!,"AAAAAH/W4zE=")</f>
        <v>#REF!</v>
      </c>
      <c r="AY180" t="e">
        <f>AND(#REF!,"AAAAAH/W4zI=")</f>
        <v>#REF!</v>
      </c>
      <c r="AZ180" t="e">
        <f>AND(#REF!,"AAAAAH/W4zM=")</f>
        <v>#REF!</v>
      </c>
      <c r="BA180" t="e">
        <f>AND(#REF!,"AAAAAH/W4zQ=")</f>
        <v>#REF!</v>
      </c>
      <c r="BB180" t="e">
        <f>AND(#REF!,"AAAAAH/W4zU=")</f>
        <v>#REF!</v>
      </c>
      <c r="BC180" t="e">
        <f>AND(#REF!,"AAAAAH/W4zY=")</f>
        <v>#REF!</v>
      </c>
      <c r="BD180" t="e">
        <f>AND(#REF!,"AAAAAH/W4zc=")</f>
        <v>#REF!</v>
      </c>
      <c r="BE180" t="e">
        <f>AND(#REF!,"AAAAAH/W4zg=")</f>
        <v>#REF!</v>
      </c>
      <c r="BF180" t="e">
        <f>AND(#REF!,"AAAAAH/W4zk=")</f>
        <v>#REF!</v>
      </c>
      <c r="BG180" t="e">
        <f>AND(#REF!,"AAAAAH/W4zo=")</f>
        <v>#REF!</v>
      </c>
      <c r="BH180" t="e">
        <f>AND(#REF!,"AAAAAH/W4zs=")</f>
        <v>#REF!</v>
      </c>
      <c r="BI180" t="e">
        <f>AND(#REF!,"AAAAAH/W4zw=")</f>
        <v>#REF!</v>
      </c>
      <c r="BJ180" t="e">
        <f>IF(#REF!,"AAAAAH/W4z0=",0)</f>
        <v>#REF!</v>
      </c>
      <c r="BK180" t="e">
        <f>AND(#REF!,"AAAAAH/W4z4=")</f>
        <v>#REF!</v>
      </c>
      <c r="BL180" t="e">
        <f>AND(#REF!,"AAAAAH/W4z8=")</f>
        <v>#REF!</v>
      </c>
      <c r="BM180" t="e">
        <f>AND(#REF!,"AAAAAH/W40A=")</f>
        <v>#REF!</v>
      </c>
      <c r="BN180" t="e">
        <f>AND(#REF!,"AAAAAH/W40E=")</f>
        <v>#REF!</v>
      </c>
      <c r="BO180" t="e">
        <f>AND(#REF!,"AAAAAH/W40I=")</f>
        <v>#REF!</v>
      </c>
      <c r="BP180" t="e">
        <f>AND(#REF!,"AAAAAH/W40M=")</f>
        <v>#REF!</v>
      </c>
      <c r="BQ180" t="e">
        <f>AND(#REF!,"AAAAAH/W40Q=")</f>
        <v>#REF!</v>
      </c>
      <c r="BR180" t="e">
        <f>AND(#REF!,"AAAAAH/W40U=")</f>
        <v>#REF!</v>
      </c>
      <c r="BS180" t="e">
        <f>AND(#REF!,"AAAAAH/W40Y=")</f>
        <v>#REF!</v>
      </c>
      <c r="BT180" t="e">
        <f>AND(#REF!,"AAAAAH/W40c=")</f>
        <v>#REF!</v>
      </c>
      <c r="BU180" t="e">
        <f>AND(#REF!,"AAAAAH/W40g=")</f>
        <v>#REF!</v>
      </c>
      <c r="BV180" t="e">
        <f>AND(#REF!,"AAAAAH/W40k=")</f>
        <v>#REF!</v>
      </c>
      <c r="BW180" t="e">
        <f>AND(#REF!,"AAAAAH/W40o=")</f>
        <v>#REF!</v>
      </c>
      <c r="BX180" t="e">
        <f>AND(#REF!,"AAAAAH/W40s=")</f>
        <v>#REF!</v>
      </c>
      <c r="BY180" t="e">
        <f>AND(#REF!,"AAAAAH/W40w=")</f>
        <v>#REF!</v>
      </c>
      <c r="BZ180" t="e">
        <f>AND(#REF!,"AAAAAH/W400=")</f>
        <v>#REF!</v>
      </c>
      <c r="CA180" t="e">
        <f>AND(#REF!,"AAAAAH/W404=")</f>
        <v>#REF!</v>
      </c>
      <c r="CB180" t="e">
        <f>AND(#REF!,"AAAAAH/W408=")</f>
        <v>#REF!</v>
      </c>
      <c r="CC180" t="e">
        <f>AND(#REF!,"AAAAAH/W41A=")</f>
        <v>#REF!</v>
      </c>
      <c r="CD180" t="e">
        <f>AND(#REF!,"AAAAAH/W41E=")</f>
        <v>#REF!</v>
      </c>
      <c r="CE180" t="e">
        <f>AND(#REF!,"AAAAAH/W41I=")</f>
        <v>#REF!</v>
      </c>
      <c r="CF180" t="e">
        <f>AND(#REF!,"AAAAAH/W41M=")</f>
        <v>#REF!</v>
      </c>
      <c r="CG180" t="e">
        <f>AND(#REF!,"AAAAAH/W41Q=")</f>
        <v>#REF!</v>
      </c>
      <c r="CH180" t="e">
        <f>AND(#REF!,"AAAAAH/W41U=")</f>
        <v>#REF!</v>
      </c>
      <c r="CI180" t="e">
        <f>IF(#REF!,"AAAAAH/W41Y=",0)</f>
        <v>#REF!</v>
      </c>
      <c r="CJ180" t="e">
        <f>AND(#REF!,"AAAAAH/W41c=")</f>
        <v>#REF!</v>
      </c>
      <c r="CK180" t="e">
        <f>AND(#REF!,"AAAAAH/W41g=")</f>
        <v>#REF!</v>
      </c>
      <c r="CL180" t="e">
        <f>AND(#REF!,"AAAAAH/W41k=")</f>
        <v>#REF!</v>
      </c>
      <c r="CM180" t="e">
        <f>AND(#REF!,"AAAAAH/W41o=")</f>
        <v>#REF!</v>
      </c>
      <c r="CN180" t="e">
        <f>AND(#REF!,"AAAAAH/W41s=")</f>
        <v>#REF!</v>
      </c>
      <c r="CO180" t="e">
        <f>AND(#REF!,"AAAAAH/W41w=")</f>
        <v>#REF!</v>
      </c>
      <c r="CP180" t="e">
        <f>AND(#REF!,"AAAAAH/W410=")</f>
        <v>#REF!</v>
      </c>
      <c r="CQ180" t="e">
        <f>AND(#REF!,"AAAAAH/W414=")</f>
        <v>#REF!</v>
      </c>
      <c r="CR180" t="e">
        <f>AND(#REF!,"AAAAAH/W418=")</f>
        <v>#REF!</v>
      </c>
      <c r="CS180" t="e">
        <f>AND(#REF!,"AAAAAH/W42A=")</f>
        <v>#REF!</v>
      </c>
      <c r="CT180" t="e">
        <f>AND(#REF!,"AAAAAH/W42E=")</f>
        <v>#REF!</v>
      </c>
      <c r="CU180" t="e">
        <f>AND(#REF!,"AAAAAH/W42I=")</f>
        <v>#REF!</v>
      </c>
      <c r="CV180" t="e">
        <f>AND(#REF!,"AAAAAH/W42M=")</f>
        <v>#REF!</v>
      </c>
      <c r="CW180" t="e">
        <f>AND(#REF!,"AAAAAH/W42Q=")</f>
        <v>#REF!</v>
      </c>
      <c r="CX180" t="e">
        <f>AND(#REF!,"AAAAAH/W42U=")</f>
        <v>#REF!</v>
      </c>
      <c r="CY180" t="e">
        <f>AND(#REF!,"AAAAAH/W42Y=")</f>
        <v>#REF!</v>
      </c>
      <c r="CZ180" t="e">
        <f>AND(#REF!,"AAAAAH/W42c=")</f>
        <v>#REF!</v>
      </c>
      <c r="DA180" t="e">
        <f>AND(#REF!,"AAAAAH/W42g=")</f>
        <v>#REF!</v>
      </c>
      <c r="DB180" t="e">
        <f>AND(#REF!,"AAAAAH/W42k=")</f>
        <v>#REF!</v>
      </c>
      <c r="DC180" t="e">
        <f>AND(#REF!,"AAAAAH/W42o=")</f>
        <v>#REF!</v>
      </c>
      <c r="DD180" t="e">
        <f>AND(#REF!,"AAAAAH/W42s=")</f>
        <v>#REF!</v>
      </c>
      <c r="DE180" t="e">
        <f>AND(#REF!,"AAAAAH/W42w=")</f>
        <v>#REF!</v>
      </c>
      <c r="DF180" t="e">
        <f>AND(#REF!,"AAAAAH/W420=")</f>
        <v>#REF!</v>
      </c>
      <c r="DG180" t="e">
        <f>AND(#REF!,"AAAAAH/W424=")</f>
        <v>#REF!</v>
      </c>
      <c r="DH180" t="e">
        <f>IF(#REF!,"AAAAAH/W428=",0)</f>
        <v>#REF!</v>
      </c>
      <c r="DI180" t="e">
        <f>AND(#REF!,"AAAAAH/W43A=")</f>
        <v>#REF!</v>
      </c>
      <c r="DJ180" t="e">
        <f>AND(#REF!,"AAAAAH/W43E=")</f>
        <v>#REF!</v>
      </c>
      <c r="DK180" t="e">
        <f>AND(#REF!,"AAAAAH/W43I=")</f>
        <v>#REF!</v>
      </c>
      <c r="DL180" t="e">
        <f>AND(#REF!,"AAAAAH/W43M=")</f>
        <v>#REF!</v>
      </c>
      <c r="DM180" t="e">
        <f>AND(#REF!,"AAAAAH/W43Q=")</f>
        <v>#REF!</v>
      </c>
      <c r="DN180" t="e">
        <f>AND(#REF!,"AAAAAH/W43U=")</f>
        <v>#REF!</v>
      </c>
      <c r="DO180" t="e">
        <f>AND(#REF!,"AAAAAH/W43Y=")</f>
        <v>#REF!</v>
      </c>
      <c r="DP180" t="e">
        <f>AND(#REF!,"AAAAAH/W43c=")</f>
        <v>#REF!</v>
      </c>
      <c r="DQ180" t="e">
        <f>AND(#REF!,"AAAAAH/W43g=")</f>
        <v>#REF!</v>
      </c>
      <c r="DR180" t="e">
        <f>AND(#REF!,"AAAAAH/W43k=")</f>
        <v>#REF!</v>
      </c>
      <c r="DS180" t="e">
        <f>AND(#REF!,"AAAAAH/W43o=")</f>
        <v>#REF!</v>
      </c>
      <c r="DT180" t="e">
        <f>AND(#REF!,"AAAAAH/W43s=")</f>
        <v>#REF!</v>
      </c>
      <c r="DU180" t="e">
        <f>AND(#REF!,"AAAAAH/W43w=")</f>
        <v>#REF!</v>
      </c>
      <c r="DV180" t="e">
        <f>AND(#REF!,"AAAAAH/W430=")</f>
        <v>#REF!</v>
      </c>
      <c r="DW180" t="e">
        <f>AND(#REF!,"AAAAAH/W434=")</f>
        <v>#REF!</v>
      </c>
      <c r="DX180" t="e">
        <f>AND(#REF!,"AAAAAH/W438=")</f>
        <v>#REF!</v>
      </c>
      <c r="DY180" t="e">
        <f>AND(#REF!,"AAAAAH/W44A=")</f>
        <v>#REF!</v>
      </c>
      <c r="DZ180" t="e">
        <f>AND(#REF!,"AAAAAH/W44E=")</f>
        <v>#REF!</v>
      </c>
      <c r="EA180" t="e">
        <f>AND(#REF!,"AAAAAH/W44I=")</f>
        <v>#REF!</v>
      </c>
      <c r="EB180" t="e">
        <f>AND(#REF!,"AAAAAH/W44M=")</f>
        <v>#REF!</v>
      </c>
      <c r="EC180" t="e">
        <f>AND(#REF!,"AAAAAH/W44Q=")</f>
        <v>#REF!</v>
      </c>
      <c r="ED180" t="e">
        <f>AND(#REF!,"AAAAAH/W44U=")</f>
        <v>#REF!</v>
      </c>
      <c r="EE180" t="e">
        <f>AND(#REF!,"AAAAAH/W44Y=")</f>
        <v>#REF!</v>
      </c>
      <c r="EF180" t="e">
        <f>AND(#REF!,"AAAAAH/W44c=")</f>
        <v>#REF!</v>
      </c>
      <c r="EG180" t="e">
        <f>IF(#REF!,"AAAAAH/W44g=",0)</f>
        <v>#REF!</v>
      </c>
      <c r="EH180" t="e">
        <f>AND(#REF!,"AAAAAH/W44k=")</f>
        <v>#REF!</v>
      </c>
      <c r="EI180" t="e">
        <f>AND(#REF!,"AAAAAH/W44o=")</f>
        <v>#REF!</v>
      </c>
      <c r="EJ180" t="e">
        <f>AND(#REF!,"AAAAAH/W44s=")</f>
        <v>#REF!</v>
      </c>
      <c r="EK180" t="e">
        <f>AND(#REF!,"AAAAAH/W44w=")</f>
        <v>#REF!</v>
      </c>
      <c r="EL180" t="e">
        <f>AND(#REF!,"AAAAAH/W440=")</f>
        <v>#REF!</v>
      </c>
      <c r="EM180" t="e">
        <f>AND(#REF!,"AAAAAH/W444=")</f>
        <v>#REF!</v>
      </c>
      <c r="EN180" t="e">
        <f>AND(#REF!,"AAAAAH/W448=")</f>
        <v>#REF!</v>
      </c>
      <c r="EO180" t="e">
        <f>AND(#REF!,"AAAAAH/W45A=")</f>
        <v>#REF!</v>
      </c>
      <c r="EP180" t="e">
        <f>AND(#REF!,"AAAAAH/W45E=")</f>
        <v>#REF!</v>
      </c>
      <c r="EQ180" t="e">
        <f>AND(#REF!,"AAAAAH/W45I=")</f>
        <v>#REF!</v>
      </c>
      <c r="ER180" t="e">
        <f>AND(#REF!,"AAAAAH/W45M=")</f>
        <v>#REF!</v>
      </c>
      <c r="ES180" t="e">
        <f>AND(#REF!,"AAAAAH/W45Q=")</f>
        <v>#REF!</v>
      </c>
      <c r="ET180" t="e">
        <f>AND(#REF!,"AAAAAH/W45U=")</f>
        <v>#REF!</v>
      </c>
      <c r="EU180" t="e">
        <f>AND(#REF!,"AAAAAH/W45Y=")</f>
        <v>#REF!</v>
      </c>
      <c r="EV180" t="e">
        <f>AND(#REF!,"AAAAAH/W45c=")</f>
        <v>#REF!</v>
      </c>
      <c r="EW180" t="e">
        <f>AND(#REF!,"AAAAAH/W45g=")</f>
        <v>#REF!</v>
      </c>
      <c r="EX180" t="e">
        <f>AND(#REF!,"AAAAAH/W45k=")</f>
        <v>#REF!</v>
      </c>
      <c r="EY180" t="e">
        <f>AND(#REF!,"AAAAAH/W45o=")</f>
        <v>#REF!</v>
      </c>
      <c r="EZ180" t="e">
        <f>AND(#REF!,"AAAAAH/W45s=")</f>
        <v>#REF!</v>
      </c>
      <c r="FA180" t="e">
        <f>AND(#REF!,"AAAAAH/W45w=")</f>
        <v>#REF!</v>
      </c>
      <c r="FB180" t="e">
        <f>AND(#REF!,"AAAAAH/W450=")</f>
        <v>#REF!</v>
      </c>
      <c r="FC180" t="e">
        <f>AND(#REF!,"AAAAAH/W454=")</f>
        <v>#REF!</v>
      </c>
      <c r="FD180" t="e">
        <f>AND(#REF!,"AAAAAH/W458=")</f>
        <v>#REF!</v>
      </c>
      <c r="FE180" t="e">
        <f>AND(#REF!,"AAAAAH/W46A=")</f>
        <v>#REF!</v>
      </c>
      <c r="FF180" t="e">
        <f>IF(#REF!,"AAAAAH/W46E=",0)</f>
        <v>#REF!</v>
      </c>
      <c r="FG180" t="e">
        <f>AND(#REF!,"AAAAAH/W46I=")</f>
        <v>#REF!</v>
      </c>
      <c r="FH180" t="e">
        <f>AND(#REF!,"AAAAAH/W46M=")</f>
        <v>#REF!</v>
      </c>
      <c r="FI180" t="e">
        <f>AND(#REF!,"AAAAAH/W46Q=")</f>
        <v>#REF!</v>
      </c>
      <c r="FJ180" t="e">
        <f>AND(#REF!,"AAAAAH/W46U=")</f>
        <v>#REF!</v>
      </c>
      <c r="FK180" t="e">
        <f>AND(#REF!,"AAAAAH/W46Y=")</f>
        <v>#REF!</v>
      </c>
      <c r="FL180" t="e">
        <f>AND(#REF!,"AAAAAH/W46c=")</f>
        <v>#REF!</v>
      </c>
      <c r="FM180" t="e">
        <f>AND(#REF!,"AAAAAH/W46g=")</f>
        <v>#REF!</v>
      </c>
      <c r="FN180" t="e">
        <f>AND(#REF!,"AAAAAH/W46k=")</f>
        <v>#REF!</v>
      </c>
      <c r="FO180" t="e">
        <f>AND(#REF!,"AAAAAH/W46o=")</f>
        <v>#REF!</v>
      </c>
      <c r="FP180" t="e">
        <f>AND(#REF!,"AAAAAH/W46s=")</f>
        <v>#REF!</v>
      </c>
      <c r="FQ180" t="e">
        <f>AND(#REF!,"AAAAAH/W46w=")</f>
        <v>#REF!</v>
      </c>
      <c r="FR180" t="e">
        <f>AND(#REF!,"AAAAAH/W460=")</f>
        <v>#REF!</v>
      </c>
      <c r="FS180" t="e">
        <f>AND(#REF!,"AAAAAH/W464=")</f>
        <v>#REF!</v>
      </c>
      <c r="FT180" t="e">
        <f>AND(#REF!,"AAAAAH/W468=")</f>
        <v>#REF!</v>
      </c>
      <c r="FU180" t="e">
        <f>AND(#REF!,"AAAAAH/W47A=")</f>
        <v>#REF!</v>
      </c>
      <c r="FV180" t="e">
        <f>AND(#REF!,"AAAAAH/W47E=")</f>
        <v>#REF!</v>
      </c>
      <c r="FW180" t="e">
        <f>AND(#REF!,"AAAAAH/W47I=")</f>
        <v>#REF!</v>
      </c>
      <c r="FX180" t="e">
        <f>AND(#REF!,"AAAAAH/W47M=")</f>
        <v>#REF!</v>
      </c>
      <c r="FY180" t="e">
        <f>AND(#REF!,"AAAAAH/W47Q=")</f>
        <v>#REF!</v>
      </c>
      <c r="FZ180" t="e">
        <f>AND(#REF!,"AAAAAH/W47U=")</f>
        <v>#REF!</v>
      </c>
      <c r="GA180" t="e">
        <f>AND(#REF!,"AAAAAH/W47Y=")</f>
        <v>#REF!</v>
      </c>
      <c r="GB180" t="e">
        <f>AND(#REF!,"AAAAAH/W47c=")</f>
        <v>#REF!</v>
      </c>
      <c r="GC180" t="e">
        <f>AND(#REF!,"AAAAAH/W47g=")</f>
        <v>#REF!</v>
      </c>
      <c r="GD180" t="e">
        <f>AND(#REF!,"AAAAAH/W47k=")</f>
        <v>#REF!</v>
      </c>
      <c r="GE180" t="e">
        <f>IF(#REF!,"AAAAAH/W47o=",0)</f>
        <v>#REF!</v>
      </c>
      <c r="GF180" t="e">
        <f>AND(#REF!,"AAAAAH/W47s=")</f>
        <v>#REF!</v>
      </c>
      <c r="GG180" t="e">
        <f>AND(#REF!,"AAAAAH/W47w=")</f>
        <v>#REF!</v>
      </c>
      <c r="GH180" t="e">
        <f>AND(#REF!,"AAAAAH/W470=")</f>
        <v>#REF!</v>
      </c>
      <c r="GI180" t="e">
        <f>AND(#REF!,"AAAAAH/W474=")</f>
        <v>#REF!</v>
      </c>
      <c r="GJ180" t="e">
        <f>AND(#REF!,"AAAAAH/W478=")</f>
        <v>#REF!</v>
      </c>
      <c r="GK180" t="e">
        <f>AND(#REF!,"AAAAAH/W48A=")</f>
        <v>#REF!</v>
      </c>
      <c r="GL180" t="e">
        <f>AND(#REF!,"AAAAAH/W48E=")</f>
        <v>#REF!</v>
      </c>
      <c r="GM180" t="e">
        <f>AND(#REF!,"AAAAAH/W48I=")</f>
        <v>#REF!</v>
      </c>
      <c r="GN180" t="e">
        <f>AND(#REF!,"AAAAAH/W48M=")</f>
        <v>#REF!</v>
      </c>
      <c r="GO180" t="e">
        <f>AND(#REF!,"AAAAAH/W48Q=")</f>
        <v>#REF!</v>
      </c>
      <c r="GP180" t="e">
        <f>AND(#REF!,"AAAAAH/W48U=")</f>
        <v>#REF!</v>
      </c>
      <c r="GQ180" t="e">
        <f>AND(#REF!,"AAAAAH/W48Y=")</f>
        <v>#REF!</v>
      </c>
      <c r="GR180" t="e">
        <f>AND(#REF!,"AAAAAH/W48c=")</f>
        <v>#REF!</v>
      </c>
      <c r="GS180" t="e">
        <f>AND(#REF!,"AAAAAH/W48g=")</f>
        <v>#REF!</v>
      </c>
      <c r="GT180" t="e">
        <f>AND(#REF!,"AAAAAH/W48k=")</f>
        <v>#REF!</v>
      </c>
      <c r="GU180" t="e">
        <f>AND(#REF!,"AAAAAH/W48o=")</f>
        <v>#REF!</v>
      </c>
      <c r="GV180" t="e">
        <f>AND(#REF!,"AAAAAH/W48s=")</f>
        <v>#REF!</v>
      </c>
      <c r="GW180" t="e">
        <f>AND(#REF!,"AAAAAH/W48w=")</f>
        <v>#REF!</v>
      </c>
      <c r="GX180" t="e">
        <f>AND(#REF!,"AAAAAH/W480=")</f>
        <v>#REF!</v>
      </c>
      <c r="GY180" t="e">
        <f>AND(#REF!,"AAAAAH/W484=")</f>
        <v>#REF!</v>
      </c>
      <c r="GZ180" t="e">
        <f>AND(#REF!,"AAAAAH/W488=")</f>
        <v>#REF!</v>
      </c>
      <c r="HA180" t="e">
        <f>AND(#REF!,"AAAAAH/W49A=")</f>
        <v>#REF!</v>
      </c>
      <c r="HB180" t="e">
        <f>AND(#REF!,"AAAAAH/W49E=")</f>
        <v>#REF!</v>
      </c>
      <c r="HC180" t="e">
        <f>AND(#REF!,"AAAAAH/W49I=")</f>
        <v>#REF!</v>
      </c>
      <c r="HD180" t="e">
        <f>IF(#REF!,"AAAAAH/W49M=",0)</f>
        <v>#REF!</v>
      </c>
      <c r="HE180" t="e">
        <f>AND(#REF!,"AAAAAH/W49Q=")</f>
        <v>#REF!</v>
      </c>
      <c r="HF180" t="e">
        <f>AND(#REF!,"AAAAAH/W49U=")</f>
        <v>#REF!</v>
      </c>
      <c r="HG180" t="e">
        <f>AND(#REF!,"AAAAAH/W49Y=")</f>
        <v>#REF!</v>
      </c>
      <c r="HH180" t="e">
        <f>AND(#REF!,"AAAAAH/W49c=")</f>
        <v>#REF!</v>
      </c>
      <c r="HI180" t="e">
        <f>AND(#REF!,"AAAAAH/W49g=")</f>
        <v>#REF!</v>
      </c>
      <c r="HJ180" t="e">
        <f>AND(#REF!,"AAAAAH/W49k=")</f>
        <v>#REF!</v>
      </c>
      <c r="HK180" t="e">
        <f>AND(#REF!,"AAAAAH/W49o=")</f>
        <v>#REF!</v>
      </c>
      <c r="HL180" t="e">
        <f>AND(#REF!,"AAAAAH/W49s=")</f>
        <v>#REF!</v>
      </c>
      <c r="HM180" t="e">
        <f>AND(#REF!,"AAAAAH/W49w=")</f>
        <v>#REF!</v>
      </c>
      <c r="HN180" t="e">
        <f>AND(#REF!,"AAAAAH/W490=")</f>
        <v>#REF!</v>
      </c>
      <c r="HO180" t="e">
        <f>AND(#REF!,"AAAAAH/W494=")</f>
        <v>#REF!</v>
      </c>
      <c r="HP180" t="e">
        <f>AND(#REF!,"AAAAAH/W498=")</f>
        <v>#REF!</v>
      </c>
      <c r="HQ180" t="e">
        <f>AND(#REF!,"AAAAAH/W4+A=")</f>
        <v>#REF!</v>
      </c>
      <c r="HR180" t="e">
        <f>AND(#REF!,"AAAAAH/W4+E=")</f>
        <v>#REF!</v>
      </c>
      <c r="HS180" t="e">
        <f>AND(#REF!,"AAAAAH/W4+I=")</f>
        <v>#REF!</v>
      </c>
      <c r="HT180" t="e">
        <f>AND(#REF!,"AAAAAH/W4+M=")</f>
        <v>#REF!</v>
      </c>
      <c r="HU180" t="e">
        <f>AND(#REF!,"AAAAAH/W4+Q=")</f>
        <v>#REF!</v>
      </c>
      <c r="HV180" t="e">
        <f>AND(#REF!,"AAAAAH/W4+U=")</f>
        <v>#REF!</v>
      </c>
      <c r="HW180" t="e">
        <f>AND(#REF!,"AAAAAH/W4+Y=")</f>
        <v>#REF!</v>
      </c>
      <c r="HX180" t="e">
        <f>AND(#REF!,"AAAAAH/W4+c=")</f>
        <v>#REF!</v>
      </c>
      <c r="HY180" t="e">
        <f>AND(#REF!,"AAAAAH/W4+g=")</f>
        <v>#REF!</v>
      </c>
      <c r="HZ180" t="e">
        <f>AND(#REF!,"AAAAAH/W4+k=")</f>
        <v>#REF!</v>
      </c>
      <c r="IA180" t="e">
        <f>AND(#REF!,"AAAAAH/W4+o=")</f>
        <v>#REF!</v>
      </c>
      <c r="IB180" t="e">
        <f>AND(#REF!,"AAAAAH/W4+s=")</f>
        <v>#REF!</v>
      </c>
      <c r="IC180" t="e">
        <f>IF(#REF!,"AAAAAH/W4+w=",0)</f>
        <v>#REF!</v>
      </c>
      <c r="ID180" t="e">
        <f>AND(#REF!,"AAAAAH/W4+0=")</f>
        <v>#REF!</v>
      </c>
      <c r="IE180" t="e">
        <f>AND(#REF!,"AAAAAH/W4+4=")</f>
        <v>#REF!</v>
      </c>
      <c r="IF180" t="e">
        <f>AND(#REF!,"AAAAAH/W4+8=")</f>
        <v>#REF!</v>
      </c>
      <c r="IG180" t="e">
        <f>AND(#REF!,"AAAAAH/W4/A=")</f>
        <v>#REF!</v>
      </c>
      <c r="IH180" t="e">
        <f>AND(#REF!,"AAAAAH/W4/E=")</f>
        <v>#REF!</v>
      </c>
      <c r="II180" t="e">
        <f>AND(#REF!,"AAAAAH/W4/I=")</f>
        <v>#REF!</v>
      </c>
      <c r="IJ180" t="e">
        <f>AND(#REF!,"AAAAAH/W4/M=")</f>
        <v>#REF!</v>
      </c>
      <c r="IK180" t="e">
        <f>AND(#REF!,"AAAAAH/W4/Q=")</f>
        <v>#REF!</v>
      </c>
      <c r="IL180" t="e">
        <f>AND(#REF!,"AAAAAH/W4/U=")</f>
        <v>#REF!</v>
      </c>
      <c r="IM180" t="e">
        <f>AND(#REF!,"AAAAAH/W4/Y=")</f>
        <v>#REF!</v>
      </c>
      <c r="IN180" t="e">
        <f>AND(#REF!,"AAAAAH/W4/c=")</f>
        <v>#REF!</v>
      </c>
      <c r="IO180" t="e">
        <f>AND(#REF!,"AAAAAH/W4/g=")</f>
        <v>#REF!</v>
      </c>
      <c r="IP180" t="e">
        <f>AND(#REF!,"AAAAAH/W4/k=")</f>
        <v>#REF!</v>
      </c>
      <c r="IQ180" t="e">
        <f>AND(#REF!,"AAAAAH/W4/o=")</f>
        <v>#REF!</v>
      </c>
      <c r="IR180" t="e">
        <f>AND(#REF!,"AAAAAH/W4/s=")</f>
        <v>#REF!</v>
      </c>
      <c r="IS180" t="e">
        <f>AND(#REF!,"AAAAAH/W4/w=")</f>
        <v>#REF!</v>
      </c>
      <c r="IT180" t="e">
        <f>AND(#REF!,"AAAAAH/W4/0=")</f>
        <v>#REF!</v>
      </c>
      <c r="IU180" t="e">
        <f>AND(#REF!,"AAAAAH/W4/4=")</f>
        <v>#REF!</v>
      </c>
      <c r="IV180" t="e">
        <f>AND(#REF!,"AAAAAH/W4/8=")</f>
        <v>#REF!</v>
      </c>
    </row>
    <row r="181" spans="1:256">
      <c r="A181" t="e">
        <f>AND(#REF!,"AAAAAG72/QA=")</f>
        <v>#REF!</v>
      </c>
      <c r="B181" t="e">
        <f>AND(#REF!,"AAAAAG72/QE=")</f>
        <v>#REF!</v>
      </c>
      <c r="C181" t="e">
        <f>AND(#REF!,"AAAAAG72/QI=")</f>
        <v>#REF!</v>
      </c>
      <c r="D181" t="e">
        <f>AND(#REF!,"AAAAAG72/QM=")</f>
        <v>#REF!</v>
      </c>
      <c r="E181" t="e">
        <f>AND(#REF!,"AAAAAG72/QQ=")</f>
        <v>#REF!</v>
      </c>
      <c r="F181" t="e">
        <f>IF(#REF!,"AAAAAG72/QU=",0)</f>
        <v>#REF!</v>
      </c>
      <c r="G181" t="e">
        <f>AND(#REF!,"AAAAAG72/QY=")</f>
        <v>#REF!</v>
      </c>
      <c r="H181" t="e">
        <f>AND(#REF!,"AAAAAG72/Qc=")</f>
        <v>#REF!</v>
      </c>
      <c r="I181" t="e">
        <f>AND(#REF!,"AAAAAG72/Qg=")</f>
        <v>#REF!</v>
      </c>
      <c r="J181" t="e">
        <f>AND(#REF!,"AAAAAG72/Qk=")</f>
        <v>#REF!</v>
      </c>
      <c r="K181" t="e">
        <f>AND(#REF!,"AAAAAG72/Qo=")</f>
        <v>#REF!</v>
      </c>
      <c r="L181" t="e">
        <f>AND(#REF!,"AAAAAG72/Qs=")</f>
        <v>#REF!</v>
      </c>
      <c r="M181" t="e">
        <f>AND(#REF!,"AAAAAG72/Qw=")</f>
        <v>#REF!</v>
      </c>
      <c r="N181" t="e">
        <f>AND(#REF!,"AAAAAG72/Q0=")</f>
        <v>#REF!</v>
      </c>
      <c r="O181" t="e">
        <f>AND(#REF!,"AAAAAG72/Q4=")</f>
        <v>#REF!</v>
      </c>
      <c r="P181" t="e">
        <f>AND(#REF!,"AAAAAG72/Q8=")</f>
        <v>#REF!</v>
      </c>
      <c r="Q181" t="e">
        <f>AND(#REF!,"AAAAAG72/RA=")</f>
        <v>#REF!</v>
      </c>
      <c r="R181" t="e">
        <f>AND(#REF!,"AAAAAG72/RE=")</f>
        <v>#REF!</v>
      </c>
      <c r="S181" t="e">
        <f>AND(#REF!,"AAAAAG72/RI=")</f>
        <v>#REF!</v>
      </c>
      <c r="T181" t="e">
        <f>AND(#REF!,"AAAAAG72/RM=")</f>
        <v>#REF!</v>
      </c>
      <c r="U181" t="e">
        <f>AND(#REF!,"AAAAAG72/RQ=")</f>
        <v>#REF!</v>
      </c>
      <c r="V181" t="e">
        <f>AND(#REF!,"AAAAAG72/RU=")</f>
        <v>#REF!</v>
      </c>
      <c r="W181" t="e">
        <f>AND(#REF!,"AAAAAG72/RY=")</f>
        <v>#REF!</v>
      </c>
      <c r="X181" t="e">
        <f>AND(#REF!,"AAAAAG72/Rc=")</f>
        <v>#REF!</v>
      </c>
      <c r="Y181" t="e">
        <f>AND(#REF!,"AAAAAG72/Rg=")</f>
        <v>#REF!</v>
      </c>
      <c r="Z181" t="e">
        <f>AND(#REF!,"AAAAAG72/Rk=")</f>
        <v>#REF!</v>
      </c>
      <c r="AA181" t="e">
        <f>AND(#REF!,"AAAAAG72/Ro=")</f>
        <v>#REF!</v>
      </c>
      <c r="AB181" t="e">
        <f>AND(#REF!,"AAAAAG72/Rs=")</f>
        <v>#REF!</v>
      </c>
      <c r="AC181" t="e">
        <f>AND(#REF!,"AAAAAG72/Rw=")</f>
        <v>#REF!</v>
      </c>
      <c r="AD181" t="e">
        <f>AND(#REF!,"AAAAAG72/R0=")</f>
        <v>#REF!</v>
      </c>
      <c r="AE181" t="e">
        <f>IF(#REF!,"AAAAAG72/R4=",0)</f>
        <v>#REF!</v>
      </c>
      <c r="AF181" t="e">
        <f>AND(#REF!,"AAAAAG72/R8=")</f>
        <v>#REF!</v>
      </c>
      <c r="AG181" t="e">
        <f>AND(#REF!,"AAAAAG72/SA=")</f>
        <v>#REF!</v>
      </c>
      <c r="AH181" t="e">
        <f>AND(#REF!,"AAAAAG72/SE=")</f>
        <v>#REF!</v>
      </c>
      <c r="AI181" t="e">
        <f>AND(#REF!,"AAAAAG72/SI=")</f>
        <v>#REF!</v>
      </c>
      <c r="AJ181" t="e">
        <f>AND(#REF!,"AAAAAG72/SM=")</f>
        <v>#REF!</v>
      </c>
      <c r="AK181" t="e">
        <f>AND(#REF!,"AAAAAG72/SQ=")</f>
        <v>#REF!</v>
      </c>
      <c r="AL181" t="e">
        <f>AND(#REF!,"AAAAAG72/SU=")</f>
        <v>#REF!</v>
      </c>
      <c r="AM181" t="e">
        <f>AND(#REF!,"AAAAAG72/SY=")</f>
        <v>#REF!</v>
      </c>
      <c r="AN181" t="e">
        <f>AND(#REF!,"AAAAAG72/Sc=")</f>
        <v>#REF!</v>
      </c>
      <c r="AO181" t="e">
        <f>AND(#REF!,"AAAAAG72/Sg=")</f>
        <v>#REF!</v>
      </c>
      <c r="AP181" t="e">
        <f>AND(#REF!,"AAAAAG72/Sk=")</f>
        <v>#REF!</v>
      </c>
      <c r="AQ181" t="e">
        <f>AND(#REF!,"AAAAAG72/So=")</f>
        <v>#REF!</v>
      </c>
      <c r="AR181" t="e">
        <f>AND(#REF!,"AAAAAG72/Ss=")</f>
        <v>#REF!</v>
      </c>
      <c r="AS181" t="e">
        <f>AND(#REF!,"AAAAAG72/Sw=")</f>
        <v>#REF!</v>
      </c>
      <c r="AT181" t="e">
        <f>AND(#REF!,"AAAAAG72/S0=")</f>
        <v>#REF!</v>
      </c>
      <c r="AU181" t="e">
        <f>AND(#REF!,"AAAAAG72/S4=")</f>
        <v>#REF!</v>
      </c>
      <c r="AV181" t="e">
        <f>AND(#REF!,"AAAAAG72/S8=")</f>
        <v>#REF!</v>
      </c>
      <c r="AW181" t="e">
        <f>AND(#REF!,"AAAAAG72/TA=")</f>
        <v>#REF!</v>
      </c>
      <c r="AX181" t="e">
        <f>AND(#REF!,"AAAAAG72/TE=")</f>
        <v>#REF!</v>
      </c>
      <c r="AY181" t="e">
        <f>AND(#REF!,"AAAAAG72/TI=")</f>
        <v>#REF!</v>
      </c>
      <c r="AZ181" t="e">
        <f>AND(#REF!,"AAAAAG72/TM=")</f>
        <v>#REF!</v>
      </c>
      <c r="BA181" t="e">
        <f>AND(#REF!,"AAAAAG72/TQ=")</f>
        <v>#REF!</v>
      </c>
      <c r="BB181" t="e">
        <f>AND(#REF!,"AAAAAG72/TU=")</f>
        <v>#REF!</v>
      </c>
      <c r="BC181" t="e">
        <f>AND(#REF!,"AAAAAG72/TY=")</f>
        <v>#REF!</v>
      </c>
      <c r="BD181" t="e">
        <f>IF(#REF!,"AAAAAG72/Tc=",0)</f>
        <v>#REF!</v>
      </c>
      <c r="BE181" t="e">
        <f>AND(#REF!,"AAAAAG72/Tg=")</f>
        <v>#REF!</v>
      </c>
      <c r="BF181" t="e">
        <f>AND(#REF!,"AAAAAG72/Tk=")</f>
        <v>#REF!</v>
      </c>
      <c r="BG181" t="e">
        <f>AND(#REF!,"AAAAAG72/To=")</f>
        <v>#REF!</v>
      </c>
      <c r="BH181" t="e">
        <f>AND(#REF!,"AAAAAG72/Ts=")</f>
        <v>#REF!</v>
      </c>
      <c r="BI181" t="e">
        <f>AND(#REF!,"AAAAAG72/Tw=")</f>
        <v>#REF!</v>
      </c>
      <c r="BJ181" t="e">
        <f>AND(#REF!,"AAAAAG72/T0=")</f>
        <v>#REF!</v>
      </c>
      <c r="BK181" t="e">
        <f>AND(#REF!,"AAAAAG72/T4=")</f>
        <v>#REF!</v>
      </c>
      <c r="BL181" t="e">
        <f>AND(#REF!,"AAAAAG72/T8=")</f>
        <v>#REF!</v>
      </c>
      <c r="BM181" t="e">
        <f>AND(#REF!,"AAAAAG72/UA=")</f>
        <v>#REF!</v>
      </c>
      <c r="BN181" t="e">
        <f>AND(#REF!,"AAAAAG72/UE=")</f>
        <v>#REF!</v>
      </c>
      <c r="BO181" t="e">
        <f>AND(#REF!,"AAAAAG72/UI=")</f>
        <v>#REF!</v>
      </c>
      <c r="BP181" t="e">
        <f>AND(#REF!,"AAAAAG72/UM=")</f>
        <v>#REF!</v>
      </c>
      <c r="BQ181" t="e">
        <f>AND(#REF!,"AAAAAG72/UQ=")</f>
        <v>#REF!</v>
      </c>
      <c r="BR181" t="e">
        <f>AND(#REF!,"AAAAAG72/UU=")</f>
        <v>#REF!</v>
      </c>
      <c r="BS181" t="e">
        <f>AND(#REF!,"AAAAAG72/UY=")</f>
        <v>#REF!</v>
      </c>
      <c r="BT181" t="e">
        <f>AND(#REF!,"AAAAAG72/Uc=")</f>
        <v>#REF!</v>
      </c>
      <c r="BU181" t="e">
        <f>AND(#REF!,"AAAAAG72/Ug=")</f>
        <v>#REF!</v>
      </c>
      <c r="BV181" t="e">
        <f>AND(#REF!,"AAAAAG72/Uk=")</f>
        <v>#REF!</v>
      </c>
      <c r="BW181" t="e">
        <f>AND(#REF!,"AAAAAG72/Uo=")</f>
        <v>#REF!</v>
      </c>
      <c r="BX181" t="e">
        <f>AND(#REF!,"AAAAAG72/Us=")</f>
        <v>#REF!</v>
      </c>
      <c r="BY181" t="e">
        <f>AND(#REF!,"AAAAAG72/Uw=")</f>
        <v>#REF!</v>
      </c>
      <c r="BZ181" t="e">
        <f>AND(#REF!,"AAAAAG72/U0=")</f>
        <v>#REF!</v>
      </c>
      <c r="CA181" t="e">
        <f>AND(#REF!,"AAAAAG72/U4=")</f>
        <v>#REF!</v>
      </c>
      <c r="CB181" t="e">
        <f>AND(#REF!,"AAAAAG72/U8=")</f>
        <v>#REF!</v>
      </c>
      <c r="CC181" t="e">
        <f>IF(#REF!,"AAAAAG72/VA=",0)</f>
        <v>#REF!</v>
      </c>
      <c r="CD181" t="e">
        <f>AND(#REF!,"AAAAAG72/VE=")</f>
        <v>#REF!</v>
      </c>
      <c r="CE181" t="e">
        <f>AND(#REF!,"AAAAAG72/VI=")</f>
        <v>#REF!</v>
      </c>
      <c r="CF181" t="e">
        <f>AND(#REF!,"AAAAAG72/VM=")</f>
        <v>#REF!</v>
      </c>
      <c r="CG181" t="e">
        <f>AND(#REF!,"AAAAAG72/VQ=")</f>
        <v>#REF!</v>
      </c>
      <c r="CH181" t="e">
        <f>AND(#REF!,"AAAAAG72/VU=")</f>
        <v>#REF!</v>
      </c>
      <c r="CI181" t="e">
        <f>AND(#REF!,"AAAAAG72/VY=")</f>
        <v>#REF!</v>
      </c>
      <c r="CJ181" t="e">
        <f>AND(#REF!,"AAAAAG72/Vc=")</f>
        <v>#REF!</v>
      </c>
      <c r="CK181" t="e">
        <f>AND(#REF!,"AAAAAG72/Vg=")</f>
        <v>#REF!</v>
      </c>
      <c r="CL181" t="e">
        <f>AND(#REF!,"AAAAAG72/Vk=")</f>
        <v>#REF!</v>
      </c>
      <c r="CM181" t="e">
        <f>AND(#REF!,"AAAAAG72/Vo=")</f>
        <v>#REF!</v>
      </c>
      <c r="CN181" t="e">
        <f>AND(#REF!,"AAAAAG72/Vs=")</f>
        <v>#REF!</v>
      </c>
      <c r="CO181" t="e">
        <f>AND(#REF!,"AAAAAG72/Vw=")</f>
        <v>#REF!</v>
      </c>
      <c r="CP181" t="e">
        <f>AND(#REF!,"AAAAAG72/V0=")</f>
        <v>#REF!</v>
      </c>
      <c r="CQ181" t="e">
        <f>AND(#REF!,"AAAAAG72/V4=")</f>
        <v>#REF!</v>
      </c>
      <c r="CR181" t="e">
        <f>AND(#REF!,"AAAAAG72/V8=")</f>
        <v>#REF!</v>
      </c>
      <c r="CS181" t="e">
        <f>AND(#REF!,"AAAAAG72/WA=")</f>
        <v>#REF!</v>
      </c>
      <c r="CT181" t="e">
        <f>AND(#REF!,"AAAAAG72/WE=")</f>
        <v>#REF!</v>
      </c>
      <c r="CU181" t="e">
        <f>AND(#REF!,"AAAAAG72/WI=")</f>
        <v>#REF!</v>
      </c>
      <c r="CV181" t="e">
        <f>AND(#REF!,"AAAAAG72/WM=")</f>
        <v>#REF!</v>
      </c>
      <c r="CW181" t="e">
        <f>AND(#REF!,"AAAAAG72/WQ=")</f>
        <v>#REF!</v>
      </c>
      <c r="CX181" t="e">
        <f>AND(#REF!,"AAAAAG72/WU=")</f>
        <v>#REF!</v>
      </c>
      <c r="CY181" t="e">
        <f>AND(#REF!,"AAAAAG72/WY=")</f>
        <v>#REF!</v>
      </c>
      <c r="CZ181" t="e">
        <f>AND(#REF!,"AAAAAG72/Wc=")</f>
        <v>#REF!</v>
      </c>
      <c r="DA181" t="e">
        <f>AND(#REF!,"AAAAAG72/Wg=")</f>
        <v>#REF!</v>
      </c>
      <c r="DB181" t="e">
        <f>IF(#REF!,"AAAAAG72/Wk=",0)</f>
        <v>#REF!</v>
      </c>
      <c r="DC181" t="e">
        <f>AND(#REF!,"AAAAAG72/Wo=")</f>
        <v>#REF!</v>
      </c>
      <c r="DD181" t="e">
        <f>AND(#REF!,"AAAAAG72/Ws=")</f>
        <v>#REF!</v>
      </c>
      <c r="DE181" t="e">
        <f>AND(#REF!,"AAAAAG72/Ww=")</f>
        <v>#REF!</v>
      </c>
      <c r="DF181" t="e">
        <f>AND(#REF!,"AAAAAG72/W0=")</f>
        <v>#REF!</v>
      </c>
      <c r="DG181" t="e">
        <f>AND(#REF!,"AAAAAG72/W4=")</f>
        <v>#REF!</v>
      </c>
      <c r="DH181" t="e">
        <f>AND(#REF!,"AAAAAG72/W8=")</f>
        <v>#REF!</v>
      </c>
      <c r="DI181" t="e">
        <f>AND(#REF!,"AAAAAG72/XA=")</f>
        <v>#REF!</v>
      </c>
      <c r="DJ181" t="e">
        <f>AND(#REF!,"AAAAAG72/XE=")</f>
        <v>#REF!</v>
      </c>
      <c r="DK181" t="e">
        <f>AND(#REF!,"AAAAAG72/XI=")</f>
        <v>#REF!</v>
      </c>
      <c r="DL181" t="e">
        <f>AND(#REF!,"AAAAAG72/XM=")</f>
        <v>#REF!</v>
      </c>
      <c r="DM181" t="e">
        <f>AND(#REF!,"AAAAAG72/XQ=")</f>
        <v>#REF!</v>
      </c>
      <c r="DN181" t="e">
        <f>AND(#REF!,"AAAAAG72/XU=")</f>
        <v>#REF!</v>
      </c>
      <c r="DO181" t="e">
        <f>AND(#REF!,"AAAAAG72/XY=")</f>
        <v>#REF!</v>
      </c>
      <c r="DP181" t="e">
        <f>AND(#REF!,"AAAAAG72/Xc=")</f>
        <v>#REF!</v>
      </c>
      <c r="DQ181" t="e">
        <f>AND(#REF!,"AAAAAG72/Xg=")</f>
        <v>#REF!</v>
      </c>
      <c r="DR181" t="e">
        <f>AND(#REF!,"AAAAAG72/Xk=")</f>
        <v>#REF!</v>
      </c>
      <c r="DS181" t="e">
        <f>AND(#REF!,"AAAAAG72/Xo=")</f>
        <v>#REF!</v>
      </c>
      <c r="DT181" t="e">
        <f>AND(#REF!,"AAAAAG72/Xs=")</f>
        <v>#REF!</v>
      </c>
      <c r="DU181" t="e">
        <f>AND(#REF!,"AAAAAG72/Xw=")</f>
        <v>#REF!</v>
      </c>
      <c r="DV181" t="e">
        <f>AND(#REF!,"AAAAAG72/X0=")</f>
        <v>#REF!</v>
      </c>
      <c r="DW181" t="e">
        <f>AND(#REF!,"AAAAAG72/X4=")</f>
        <v>#REF!</v>
      </c>
      <c r="DX181" t="e">
        <f>AND(#REF!,"AAAAAG72/X8=")</f>
        <v>#REF!</v>
      </c>
      <c r="DY181" t="e">
        <f>AND(#REF!,"AAAAAG72/YA=")</f>
        <v>#REF!</v>
      </c>
      <c r="DZ181" t="e">
        <f>AND(#REF!,"AAAAAG72/YE=")</f>
        <v>#REF!</v>
      </c>
      <c r="EA181" t="e">
        <f>IF(#REF!,"AAAAAG72/YI=",0)</f>
        <v>#REF!</v>
      </c>
      <c r="EB181" t="e">
        <f>AND(#REF!,"AAAAAG72/YM=")</f>
        <v>#REF!</v>
      </c>
      <c r="EC181" t="e">
        <f>AND(#REF!,"AAAAAG72/YQ=")</f>
        <v>#REF!</v>
      </c>
      <c r="ED181" t="e">
        <f>AND(#REF!,"AAAAAG72/YU=")</f>
        <v>#REF!</v>
      </c>
      <c r="EE181" t="e">
        <f>AND(#REF!,"AAAAAG72/YY=")</f>
        <v>#REF!</v>
      </c>
      <c r="EF181" t="e">
        <f>AND(#REF!,"AAAAAG72/Yc=")</f>
        <v>#REF!</v>
      </c>
      <c r="EG181" t="e">
        <f>AND(#REF!,"AAAAAG72/Yg=")</f>
        <v>#REF!</v>
      </c>
      <c r="EH181" t="e">
        <f>AND(#REF!,"AAAAAG72/Yk=")</f>
        <v>#REF!</v>
      </c>
      <c r="EI181" t="e">
        <f>AND(#REF!,"AAAAAG72/Yo=")</f>
        <v>#REF!</v>
      </c>
      <c r="EJ181" t="e">
        <f>AND(#REF!,"AAAAAG72/Ys=")</f>
        <v>#REF!</v>
      </c>
      <c r="EK181" t="e">
        <f>AND(#REF!,"AAAAAG72/Yw=")</f>
        <v>#REF!</v>
      </c>
      <c r="EL181" t="e">
        <f>AND(#REF!,"AAAAAG72/Y0=")</f>
        <v>#REF!</v>
      </c>
      <c r="EM181" t="e">
        <f>AND(#REF!,"AAAAAG72/Y4=")</f>
        <v>#REF!</v>
      </c>
      <c r="EN181" t="e">
        <f>AND(#REF!,"AAAAAG72/Y8=")</f>
        <v>#REF!</v>
      </c>
      <c r="EO181" t="e">
        <f>AND(#REF!,"AAAAAG72/ZA=")</f>
        <v>#REF!</v>
      </c>
      <c r="EP181" t="e">
        <f>AND(#REF!,"AAAAAG72/ZE=")</f>
        <v>#REF!</v>
      </c>
      <c r="EQ181" t="e">
        <f>AND(#REF!,"AAAAAG72/ZI=")</f>
        <v>#REF!</v>
      </c>
      <c r="ER181" t="e">
        <f>AND(#REF!,"AAAAAG72/ZM=")</f>
        <v>#REF!</v>
      </c>
      <c r="ES181" t="e">
        <f>AND(#REF!,"AAAAAG72/ZQ=")</f>
        <v>#REF!</v>
      </c>
      <c r="ET181" t="e">
        <f>AND(#REF!,"AAAAAG72/ZU=")</f>
        <v>#REF!</v>
      </c>
      <c r="EU181" t="e">
        <f>AND(#REF!,"AAAAAG72/ZY=")</f>
        <v>#REF!</v>
      </c>
      <c r="EV181" t="e">
        <f>AND(#REF!,"AAAAAG72/Zc=")</f>
        <v>#REF!</v>
      </c>
      <c r="EW181" t="e">
        <f>AND(#REF!,"AAAAAG72/Zg=")</f>
        <v>#REF!</v>
      </c>
      <c r="EX181" t="e">
        <f>AND(#REF!,"AAAAAG72/Zk=")</f>
        <v>#REF!</v>
      </c>
      <c r="EY181" t="e">
        <f>AND(#REF!,"AAAAAG72/Zo=")</f>
        <v>#REF!</v>
      </c>
      <c r="EZ181" t="e">
        <f>IF(#REF!,"AAAAAG72/Zs=",0)</f>
        <v>#REF!</v>
      </c>
      <c r="FA181" t="e">
        <f>AND(#REF!,"AAAAAG72/Zw=")</f>
        <v>#REF!</v>
      </c>
      <c r="FB181" t="e">
        <f>AND(#REF!,"AAAAAG72/Z0=")</f>
        <v>#REF!</v>
      </c>
      <c r="FC181" t="e">
        <f>AND(#REF!,"AAAAAG72/Z4=")</f>
        <v>#REF!</v>
      </c>
      <c r="FD181" t="e">
        <f>AND(#REF!,"AAAAAG72/Z8=")</f>
        <v>#REF!</v>
      </c>
      <c r="FE181" t="e">
        <f>AND(#REF!,"AAAAAG72/aA=")</f>
        <v>#REF!</v>
      </c>
      <c r="FF181" t="e">
        <f>AND(#REF!,"AAAAAG72/aE=")</f>
        <v>#REF!</v>
      </c>
      <c r="FG181" t="e">
        <f>AND(#REF!,"AAAAAG72/aI=")</f>
        <v>#REF!</v>
      </c>
      <c r="FH181" t="e">
        <f>AND(#REF!,"AAAAAG72/aM=")</f>
        <v>#REF!</v>
      </c>
      <c r="FI181" t="e">
        <f>AND(#REF!,"AAAAAG72/aQ=")</f>
        <v>#REF!</v>
      </c>
      <c r="FJ181" t="e">
        <f>AND(#REF!,"AAAAAG72/aU=")</f>
        <v>#REF!</v>
      </c>
      <c r="FK181" t="e">
        <f>AND(#REF!,"AAAAAG72/aY=")</f>
        <v>#REF!</v>
      </c>
      <c r="FL181" t="e">
        <f>AND(#REF!,"AAAAAG72/ac=")</f>
        <v>#REF!</v>
      </c>
      <c r="FM181" t="e">
        <f>AND(#REF!,"AAAAAG72/ag=")</f>
        <v>#REF!</v>
      </c>
      <c r="FN181" t="e">
        <f>AND(#REF!,"AAAAAG72/ak=")</f>
        <v>#REF!</v>
      </c>
      <c r="FO181" t="e">
        <f>AND(#REF!,"AAAAAG72/ao=")</f>
        <v>#REF!</v>
      </c>
      <c r="FP181" t="e">
        <f>AND(#REF!,"AAAAAG72/as=")</f>
        <v>#REF!</v>
      </c>
      <c r="FQ181" t="e">
        <f>AND(#REF!,"AAAAAG72/aw=")</f>
        <v>#REF!</v>
      </c>
      <c r="FR181" t="e">
        <f>AND(#REF!,"AAAAAG72/a0=")</f>
        <v>#REF!</v>
      </c>
      <c r="FS181" t="e">
        <f>AND(#REF!,"AAAAAG72/a4=")</f>
        <v>#REF!</v>
      </c>
      <c r="FT181" t="e">
        <f>AND(#REF!,"AAAAAG72/a8=")</f>
        <v>#REF!</v>
      </c>
      <c r="FU181" t="e">
        <f>AND(#REF!,"AAAAAG72/bA=")</f>
        <v>#REF!</v>
      </c>
      <c r="FV181" t="e">
        <f>AND(#REF!,"AAAAAG72/bE=")</f>
        <v>#REF!</v>
      </c>
      <c r="FW181" t="e">
        <f>AND(#REF!,"AAAAAG72/bI=")</f>
        <v>#REF!</v>
      </c>
      <c r="FX181" t="e">
        <f>AND(#REF!,"AAAAAG72/bM=")</f>
        <v>#REF!</v>
      </c>
      <c r="FY181" t="e">
        <f>IF(#REF!,"AAAAAG72/bQ=",0)</f>
        <v>#REF!</v>
      </c>
      <c r="FZ181" t="e">
        <f>AND(#REF!,"AAAAAG72/bU=")</f>
        <v>#REF!</v>
      </c>
      <c r="GA181" t="e">
        <f>AND(#REF!,"AAAAAG72/bY=")</f>
        <v>#REF!</v>
      </c>
      <c r="GB181" t="e">
        <f>AND(#REF!,"AAAAAG72/bc=")</f>
        <v>#REF!</v>
      </c>
      <c r="GC181" t="e">
        <f>AND(#REF!,"AAAAAG72/bg=")</f>
        <v>#REF!</v>
      </c>
      <c r="GD181" t="e">
        <f>AND(#REF!,"AAAAAG72/bk=")</f>
        <v>#REF!</v>
      </c>
      <c r="GE181" t="e">
        <f>AND(#REF!,"AAAAAG72/bo=")</f>
        <v>#REF!</v>
      </c>
      <c r="GF181" t="e">
        <f>AND(#REF!,"AAAAAG72/bs=")</f>
        <v>#REF!</v>
      </c>
      <c r="GG181" t="e">
        <f>AND(#REF!,"AAAAAG72/bw=")</f>
        <v>#REF!</v>
      </c>
      <c r="GH181" t="e">
        <f>AND(#REF!,"AAAAAG72/b0=")</f>
        <v>#REF!</v>
      </c>
      <c r="GI181" t="e">
        <f>AND(#REF!,"AAAAAG72/b4=")</f>
        <v>#REF!</v>
      </c>
      <c r="GJ181" t="e">
        <f>AND(#REF!,"AAAAAG72/b8=")</f>
        <v>#REF!</v>
      </c>
      <c r="GK181" t="e">
        <f>AND(#REF!,"AAAAAG72/cA=")</f>
        <v>#REF!</v>
      </c>
      <c r="GL181" t="e">
        <f>AND(#REF!,"AAAAAG72/cE=")</f>
        <v>#REF!</v>
      </c>
      <c r="GM181" t="e">
        <f>AND(#REF!,"AAAAAG72/cI=")</f>
        <v>#REF!</v>
      </c>
      <c r="GN181" t="e">
        <f>AND(#REF!,"AAAAAG72/cM=")</f>
        <v>#REF!</v>
      </c>
      <c r="GO181" t="e">
        <f>AND(#REF!,"AAAAAG72/cQ=")</f>
        <v>#REF!</v>
      </c>
      <c r="GP181" t="e">
        <f>AND(#REF!,"AAAAAG72/cU=")</f>
        <v>#REF!</v>
      </c>
      <c r="GQ181" t="e">
        <f>AND(#REF!,"AAAAAG72/cY=")</f>
        <v>#REF!</v>
      </c>
      <c r="GR181" t="e">
        <f>AND(#REF!,"AAAAAG72/cc=")</f>
        <v>#REF!</v>
      </c>
      <c r="GS181" t="e">
        <f>AND(#REF!,"AAAAAG72/cg=")</f>
        <v>#REF!</v>
      </c>
      <c r="GT181" t="e">
        <f>AND(#REF!,"AAAAAG72/ck=")</f>
        <v>#REF!</v>
      </c>
      <c r="GU181" t="e">
        <f>AND(#REF!,"AAAAAG72/co=")</f>
        <v>#REF!</v>
      </c>
      <c r="GV181" t="e">
        <f>AND(#REF!,"AAAAAG72/cs=")</f>
        <v>#REF!</v>
      </c>
      <c r="GW181" t="e">
        <f>AND(#REF!,"AAAAAG72/cw=")</f>
        <v>#REF!</v>
      </c>
      <c r="GX181" t="e">
        <f>IF(#REF!,"AAAAAG72/c0=",0)</f>
        <v>#REF!</v>
      </c>
      <c r="GY181" t="e">
        <f>AND(#REF!,"AAAAAG72/c4=")</f>
        <v>#REF!</v>
      </c>
      <c r="GZ181" t="e">
        <f>AND(#REF!,"AAAAAG72/c8=")</f>
        <v>#REF!</v>
      </c>
      <c r="HA181" t="e">
        <f>AND(#REF!,"AAAAAG72/dA=")</f>
        <v>#REF!</v>
      </c>
      <c r="HB181" t="e">
        <f>AND(#REF!,"AAAAAG72/dE=")</f>
        <v>#REF!</v>
      </c>
      <c r="HC181" t="e">
        <f>AND(#REF!,"AAAAAG72/dI=")</f>
        <v>#REF!</v>
      </c>
      <c r="HD181" t="e">
        <f>AND(#REF!,"AAAAAG72/dM=")</f>
        <v>#REF!</v>
      </c>
      <c r="HE181" t="e">
        <f>AND(#REF!,"AAAAAG72/dQ=")</f>
        <v>#REF!</v>
      </c>
      <c r="HF181" t="e">
        <f>AND(#REF!,"AAAAAG72/dU=")</f>
        <v>#REF!</v>
      </c>
      <c r="HG181" t="e">
        <f>AND(#REF!,"AAAAAG72/dY=")</f>
        <v>#REF!</v>
      </c>
      <c r="HH181" t="e">
        <f>AND(#REF!,"AAAAAG72/dc=")</f>
        <v>#REF!</v>
      </c>
      <c r="HI181" t="e">
        <f>AND(#REF!,"AAAAAG72/dg=")</f>
        <v>#REF!</v>
      </c>
      <c r="HJ181" t="e">
        <f>AND(#REF!,"AAAAAG72/dk=")</f>
        <v>#REF!</v>
      </c>
      <c r="HK181" t="e">
        <f>AND(#REF!,"AAAAAG72/do=")</f>
        <v>#REF!</v>
      </c>
      <c r="HL181" t="e">
        <f>AND(#REF!,"AAAAAG72/ds=")</f>
        <v>#REF!</v>
      </c>
      <c r="HM181" t="e">
        <f>AND(#REF!,"AAAAAG72/dw=")</f>
        <v>#REF!</v>
      </c>
      <c r="HN181" t="e">
        <f>AND(#REF!,"AAAAAG72/d0=")</f>
        <v>#REF!</v>
      </c>
      <c r="HO181" t="e">
        <f>AND(#REF!,"AAAAAG72/d4=")</f>
        <v>#REF!</v>
      </c>
      <c r="HP181" t="e">
        <f>AND(#REF!,"AAAAAG72/d8=")</f>
        <v>#REF!</v>
      </c>
      <c r="HQ181" t="e">
        <f>AND(#REF!,"AAAAAG72/eA=")</f>
        <v>#REF!</v>
      </c>
      <c r="HR181" t="e">
        <f>AND(#REF!,"AAAAAG72/eE=")</f>
        <v>#REF!</v>
      </c>
      <c r="HS181" t="e">
        <f>AND(#REF!,"AAAAAG72/eI=")</f>
        <v>#REF!</v>
      </c>
      <c r="HT181" t="e">
        <f>AND(#REF!,"AAAAAG72/eM=")</f>
        <v>#REF!</v>
      </c>
      <c r="HU181" t="e">
        <f>AND(#REF!,"AAAAAG72/eQ=")</f>
        <v>#REF!</v>
      </c>
      <c r="HV181" t="e">
        <f>AND(#REF!,"AAAAAG72/eU=")</f>
        <v>#REF!</v>
      </c>
      <c r="HW181" t="e">
        <f>IF(#REF!,"AAAAAG72/eY=",0)</f>
        <v>#REF!</v>
      </c>
      <c r="HX181" t="e">
        <f>AND(#REF!,"AAAAAG72/ec=")</f>
        <v>#REF!</v>
      </c>
      <c r="HY181" t="e">
        <f>AND(#REF!,"AAAAAG72/eg=")</f>
        <v>#REF!</v>
      </c>
      <c r="HZ181" t="e">
        <f>AND(#REF!,"AAAAAG72/ek=")</f>
        <v>#REF!</v>
      </c>
      <c r="IA181" t="e">
        <f>AND(#REF!,"AAAAAG72/eo=")</f>
        <v>#REF!</v>
      </c>
      <c r="IB181" t="e">
        <f>AND(#REF!,"AAAAAG72/es=")</f>
        <v>#REF!</v>
      </c>
      <c r="IC181" t="e">
        <f>AND(#REF!,"AAAAAG72/ew=")</f>
        <v>#REF!</v>
      </c>
      <c r="ID181" t="e">
        <f>AND(#REF!,"AAAAAG72/e0=")</f>
        <v>#REF!</v>
      </c>
      <c r="IE181" t="e">
        <f>AND(#REF!,"AAAAAG72/e4=")</f>
        <v>#REF!</v>
      </c>
      <c r="IF181" t="e">
        <f>AND(#REF!,"AAAAAG72/e8=")</f>
        <v>#REF!</v>
      </c>
      <c r="IG181" t="e">
        <f>AND(#REF!,"AAAAAG72/fA=")</f>
        <v>#REF!</v>
      </c>
      <c r="IH181" t="e">
        <f>AND(#REF!,"AAAAAG72/fE=")</f>
        <v>#REF!</v>
      </c>
      <c r="II181" t="e">
        <f>AND(#REF!,"AAAAAG72/fI=")</f>
        <v>#REF!</v>
      </c>
      <c r="IJ181" t="e">
        <f>AND(#REF!,"AAAAAG72/fM=")</f>
        <v>#REF!</v>
      </c>
      <c r="IK181" t="e">
        <f>AND(#REF!,"AAAAAG72/fQ=")</f>
        <v>#REF!</v>
      </c>
      <c r="IL181" t="e">
        <f>AND(#REF!,"AAAAAG72/fU=")</f>
        <v>#REF!</v>
      </c>
      <c r="IM181" t="e">
        <f>AND(#REF!,"AAAAAG72/fY=")</f>
        <v>#REF!</v>
      </c>
      <c r="IN181" t="e">
        <f>AND(#REF!,"AAAAAG72/fc=")</f>
        <v>#REF!</v>
      </c>
      <c r="IO181" t="e">
        <f>AND(#REF!,"AAAAAG72/fg=")</f>
        <v>#REF!</v>
      </c>
      <c r="IP181" t="e">
        <f>AND(#REF!,"AAAAAG72/fk=")</f>
        <v>#REF!</v>
      </c>
      <c r="IQ181" t="e">
        <f>AND(#REF!,"AAAAAG72/fo=")</f>
        <v>#REF!</v>
      </c>
      <c r="IR181" t="e">
        <f>AND(#REF!,"AAAAAG72/fs=")</f>
        <v>#REF!</v>
      </c>
      <c r="IS181" t="e">
        <f>AND(#REF!,"AAAAAG72/fw=")</f>
        <v>#REF!</v>
      </c>
      <c r="IT181" t="e">
        <f>AND(#REF!,"AAAAAG72/f0=")</f>
        <v>#REF!</v>
      </c>
      <c r="IU181" t="e">
        <f>AND(#REF!,"AAAAAG72/f4=")</f>
        <v>#REF!</v>
      </c>
      <c r="IV181" t="e">
        <f>IF(#REF!,"AAAAAG72/f8=",0)</f>
        <v>#REF!</v>
      </c>
    </row>
    <row r="182" spans="1:256">
      <c r="A182" t="e">
        <f>AND(#REF!,"AAAAAH7+9AA=")</f>
        <v>#REF!</v>
      </c>
      <c r="B182" t="e">
        <f>AND(#REF!,"AAAAAH7+9AE=")</f>
        <v>#REF!</v>
      </c>
      <c r="C182" t="e">
        <f>AND(#REF!,"AAAAAH7+9AI=")</f>
        <v>#REF!</v>
      </c>
      <c r="D182" t="e">
        <f>AND(#REF!,"AAAAAH7+9AM=")</f>
        <v>#REF!</v>
      </c>
      <c r="E182" t="e">
        <f>AND(#REF!,"AAAAAH7+9AQ=")</f>
        <v>#REF!</v>
      </c>
      <c r="F182" t="e">
        <f>AND(#REF!,"AAAAAH7+9AU=")</f>
        <v>#REF!</v>
      </c>
      <c r="G182" t="e">
        <f>AND(#REF!,"AAAAAH7+9AY=")</f>
        <v>#REF!</v>
      </c>
      <c r="H182" t="e">
        <f>AND(#REF!,"AAAAAH7+9Ac=")</f>
        <v>#REF!</v>
      </c>
      <c r="I182" t="e">
        <f>AND(#REF!,"AAAAAH7+9Ag=")</f>
        <v>#REF!</v>
      </c>
      <c r="J182" t="e">
        <f>AND(#REF!,"AAAAAH7+9Ak=")</f>
        <v>#REF!</v>
      </c>
      <c r="K182" t="e">
        <f>AND(#REF!,"AAAAAH7+9Ao=")</f>
        <v>#REF!</v>
      </c>
      <c r="L182" t="e">
        <f>AND(#REF!,"AAAAAH7+9As=")</f>
        <v>#REF!</v>
      </c>
      <c r="M182" t="e">
        <f>AND(#REF!,"AAAAAH7+9Aw=")</f>
        <v>#REF!</v>
      </c>
      <c r="N182" t="e">
        <f>AND(#REF!,"AAAAAH7+9A0=")</f>
        <v>#REF!</v>
      </c>
      <c r="O182" t="e">
        <f>AND(#REF!,"AAAAAH7+9A4=")</f>
        <v>#REF!</v>
      </c>
      <c r="P182" t="e">
        <f>AND(#REF!,"AAAAAH7+9A8=")</f>
        <v>#REF!</v>
      </c>
      <c r="Q182" t="e">
        <f>AND(#REF!,"AAAAAH7+9BA=")</f>
        <v>#REF!</v>
      </c>
      <c r="R182" t="e">
        <f>AND(#REF!,"AAAAAH7+9BE=")</f>
        <v>#REF!</v>
      </c>
      <c r="S182" t="e">
        <f>AND(#REF!,"AAAAAH7+9BI=")</f>
        <v>#REF!</v>
      </c>
      <c r="T182" t="e">
        <f>AND(#REF!,"AAAAAH7+9BM=")</f>
        <v>#REF!</v>
      </c>
      <c r="U182" t="e">
        <f>AND(#REF!,"AAAAAH7+9BQ=")</f>
        <v>#REF!</v>
      </c>
      <c r="V182" t="e">
        <f>AND(#REF!,"AAAAAH7+9BU=")</f>
        <v>#REF!</v>
      </c>
      <c r="W182" t="e">
        <f>AND(#REF!,"AAAAAH7+9BY=")</f>
        <v>#REF!</v>
      </c>
      <c r="X182" t="e">
        <f>AND(#REF!,"AAAAAH7+9Bc=")</f>
        <v>#REF!</v>
      </c>
      <c r="Y182" t="e">
        <f>IF(#REF!,"AAAAAH7+9Bg=",0)</f>
        <v>#REF!</v>
      </c>
      <c r="Z182" t="e">
        <f>AND(#REF!,"AAAAAH7+9Bk=")</f>
        <v>#REF!</v>
      </c>
      <c r="AA182" t="e">
        <f>AND(#REF!,"AAAAAH7+9Bo=")</f>
        <v>#REF!</v>
      </c>
      <c r="AB182" t="e">
        <f>AND(#REF!,"AAAAAH7+9Bs=")</f>
        <v>#REF!</v>
      </c>
      <c r="AC182" t="e">
        <f>AND(#REF!,"AAAAAH7+9Bw=")</f>
        <v>#REF!</v>
      </c>
      <c r="AD182" t="e">
        <f>AND(#REF!,"AAAAAH7+9B0=")</f>
        <v>#REF!</v>
      </c>
      <c r="AE182" t="e">
        <f>AND(#REF!,"AAAAAH7+9B4=")</f>
        <v>#REF!</v>
      </c>
      <c r="AF182" t="e">
        <f>AND(#REF!,"AAAAAH7+9B8=")</f>
        <v>#REF!</v>
      </c>
      <c r="AG182" t="e">
        <f>AND(#REF!,"AAAAAH7+9CA=")</f>
        <v>#REF!</v>
      </c>
      <c r="AH182" t="e">
        <f>AND(#REF!,"AAAAAH7+9CE=")</f>
        <v>#REF!</v>
      </c>
      <c r="AI182" t="e">
        <f>AND(#REF!,"AAAAAH7+9CI=")</f>
        <v>#REF!</v>
      </c>
      <c r="AJ182" t="e">
        <f>AND(#REF!,"AAAAAH7+9CM=")</f>
        <v>#REF!</v>
      </c>
      <c r="AK182" t="e">
        <f>AND(#REF!,"AAAAAH7+9CQ=")</f>
        <v>#REF!</v>
      </c>
      <c r="AL182" t="e">
        <f>AND(#REF!,"AAAAAH7+9CU=")</f>
        <v>#REF!</v>
      </c>
      <c r="AM182" t="e">
        <f>AND(#REF!,"AAAAAH7+9CY=")</f>
        <v>#REF!</v>
      </c>
      <c r="AN182" t="e">
        <f>AND(#REF!,"AAAAAH7+9Cc=")</f>
        <v>#REF!</v>
      </c>
      <c r="AO182" t="e">
        <f>AND(#REF!,"AAAAAH7+9Cg=")</f>
        <v>#REF!</v>
      </c>
      <c r="AP182" t="e">
        <f>AND(#REF!,"AAAAAH7+9Ck=")</f>
        <v>#REF!</v>
      </c>
      <c r="AQ182" t="e">
        <f>AND(#REF!,"AAAAAH7+9Co=")</f>
        <v>#REF!</v>
      </c>
      <c r="AR182" t="e">
        <f>AND(#REF!,"AAAAAH7+9Cs=")</f>
        <v>#REF!</v>
      </c>
      <c r="AS182" t="e">
        <f>AND(#REF!,"AAAAAH7+9Cw=")</f>
        <v>#REF!</v>
      </c>
      <c r="AT182" t="e">
        <f>AND(#REF!,"AAAAAH7+9C0=")</f>
        <v>#REF!</v>
      </c>
      <c r="AU182" t="e">
        <f>AND(#REF!,"AAAAAH7+9C4=")</f>
        <v>#REF!</v>
      </c>
      <c r="AV182" t="e">
        <f>AND(#REF!,"AAAAAH7+9C8=")</f>
        <v>#REF!</v>
      </c>
      <c r="AW182" t="e">
        <f>AND(#REF!,"AAAAAH7+9DA=")</f>
        <v>#REF!</v>
      </c>
      <c r="AX182" t="e">
        <f>IF(#REF!,"AAAAAH7+9DE=",0)</f>
        <v>#REF!</v>
      </c>
      <c r="AY182" t="e">
        <f>AND(#REF!,"AAAAAH7+9DI=")</f>
        <v>#REF!</v>
      </c>
      <c r="AZ182" t="e">
        <f>AND(#REF!,"AAAAAH7+9DM=")</f>
        <v>#REF!</v>
      </c>
      <c r="BA182" t="e">
        <f>AND(#REF!,"AAAAAH7+9DQ=")</f>
        <v>#REF!</v>
      </c>
      <c r="BB182" t="e">
        <f>AND(#REF!,"AAAAAH7+9DU=")</f>
        <v>#REF!</v>
      </c>
      <c r="BC182" t="e">
        <f>AND(#REF!,"AAAAAH7+9DY=")</f>
        <v>#REF!</v>
      </c>
      <c r="BD182" t="e">
        <f>AND(#REF!,"AAAAAH7+9Dc=")</f>
        <v>#REF!</v>
      </c>
      <c r="BE182" t="e">
        <f>AND(#REF!,"AAAAAH7+9Dg=")</f>
        <v>#REF!</v>
      </c>
      <c r="BF182" t="e">
        <f>AND(#REF!,"AAAAAH7+9Dk=")</f>
        <v>#REF!</v>
      </c>
      <c r="BG182" t="e">
        <f>AND(#REF!,"AAAAAH7+9Do=")</f>
        <v>#REF!</v>
      </c>
      <c r="BH182" t="e">
        <f>AND(#REF!,"AAAAAH7+9Ds=")</f>
        <v>#REF!</v>
      </c>
      <c r="BI182" t="e">
        <f>AND(#REF!,"AAAAAH7+9Dw=")</f>
        <v>#REF!</v>
      </c>
      <c r="BJ182" t="e">
        <f>AND(#REF!,"AAAAAH7+9D0=")</f>
        <v>#REF!</v>
      </c>
      <c r="BK182" t="e">
        <f>AND(#REF!,"AAAAAH7+9D4=")</f>
        <v>#REF!</v>
      </c>
      <c r="BL182" t="e">
        <f>AND(#REF!,"AAAAAH7+9D8=")</f>
        <v>#REF!</v>
      </c>
      <c r="BM182" t="e">
        <f>AND(#REF!,"AAAAAH7+9EA=")</f>
        <v>#REF!</v>
      </c>
      <c r="BN182" t="e">
        <f>AND(#REF!,"AAAAAH7+9EE=")</f>
        <v>#REF!</v>
      </c>
      <c r="BO182" t="e">
        <f>AND(#REF!,"AAAAAH7+9EI=")</f>
        <v>#REF!</v>
      </c>
      <c r="BP182" t="e">
        <f>AND(#REF!,"AAAAAH7+9EM=")</f>
        <v>#REF!</v>
      </c>
      <c r="BQ182" t="e">
        <f>AND(#REF!,"AAAAAH7+9EQ=")</f>
        <v>#REF!</v>
      </c>
      <c r="BR182" t="e">
        <f>AND(#REF!,"AAAAAH7+9EU=")</f>
        <v>#REF!</v>
      </c>
      <c r="BS182" t="e">
        <f>AND(#REF!,"AAAAAH7+9EY=")</f>
        <v>#REF!</v>
      </c>
      <c r="BT182" t="e">
        <f>AND(#REF!,"AAAAAH7+9Ec=")</f>
        <v>#REF!</v>
      </c>
      <c r="BU182" t="e">
        <f>AND(#REF!,"AAAAAH7+9Eg=")</f>
        <v>#REF!</v>
      </c>
      <c r="BV182" t="e">
        <f>AND(#REF!,"AAAAAH7+9Ek=")</f>
        <v>#REF!</v>
      </c>
      <c r="BW182" t="e">
        <f>IF(#REF!,"AAAAAH7+9Eo=",0)</f>
        <v>#REF!</v>
      </c>
      <c r="BX182" t="e">
        <f>AND(#REF!,"AAAAAH7+9Es=")</f>
        <v>#REF!</v>
      </c>
      <c r="BY182" t="e">
        <f>AND(#REF!,"AAAAAH7+9Ew=")</f>
        <v>#REF!</v>
      </c>
      <c r="BZ182" t="e">
        <f>AND(#REF!,"AAAAAH7+9E0=")</f>
        <v>#REF!</v>
      </c>
      <c r="CA182" t="e">
        <f>AND(#REF!,"AAAAAH7+9E4=")</f>
        <v>#REF!</v>
      </c>
      <c r="CB182" t="e">
        <f>AND(#REF!,"AAAAAH7+9E8=")</f>
        <v>#REF!</v>
      </c>
      <c r="CC182" t="e">
        <f>AND(#REF!,"AAAAAH7+9FA=")</f>
        <v>#REF!</v>
      </c>
      <c r="CD182" t="e">
        <f>AND(#REF!,"AAAAAH7+9FE=")</f>
        <v>#REF!</v>
      </c>
      <c r="CE182" t="e">
        <f>AND(#REF!,"AAAAAH7+9FI=")</f>
        <v>#REF!</v>
      </c>
      <c r="CF182" t="e">
        <f>AND(#REF!,"AAAAAH7+9FM=")</f>
        <v>#REF!</v>
      </c>
      <c r="CG182" t="e">
        <f>AND(#REF!,"AAAAAH7+9FQ=")</f>
        <v>#REF!</v>
      </c>
      <c r="CH182" t="e">
        <f>AND(#REF!,"AAAAAH7+9FU=")</f>
        <v>#REF!</v>
      </c>
      <c r="CI182" t="e">
        <f>AND(#REF!,"AAAAAH7+9FY=")</f>
        <v>#REF!</v>
      </c>
      <c r="CJ182" t="e">
        <f>AND(#REF!,"AAAAAH7+9Fc=")</f>
        <v>#REF!</v>
      </c>
      <c r="CK182" t="e">
        <f>AND(#REF!,"AAAAAH7+9Fg=")</f>
        <v>#REF!</v>
      </c>
      <c r="CL182" t="e">
        <f>AND(#REF!,"AAAAAH7+9Fk=")</f>
        <v>#REF!</v>
      </c>
      <c r="CM182" t="e">
        <f>AND(#REF!,"AAAAAH7+9Fo=")</f>
        <v>#REF!</v>
      </c>
      <c r="CN182" t="e">
        <f>AND(#REF!,"AAAAAH7+9Fs=")</f>
        <v>#REF!</v>
      </c>
      <c r="CO182" t="e">
        <f>AND(#REF!,"AAAAAH7+9Fw=")</f>
        <v>#REF!</v>
      </c>
      <c r="CP182" t="e">
        <f>AND(#REF!,"AAAAAH7+9F0=")</f>
        <v>#REF!</v>
      </c>
      <c r="CQ182" t="e">
        <f>AND(#REF!,"AAAAAH7+9F4=")</f>
        <v>#REF!</v>
      </c>
      <c r="CR182" t="e">
        <f>AND(#REF!,"AAAAAH7+9F8=")</f>
        <v>#REF!</v>
      </c>
      <c r="CS182" t="e">
        <f>AND(#REF!,"AAAAAH7+9GA=")</f>
        <v>#REF!</v>
      </c>
      <c r="CT182" t="e">
        <f>AND(#REF!,"AAAAAH7+9GE=")</f>
        <v>#REF!</v>
      </c>
      <c r="CU182" t="e">
        <f>AND(#REF!,"AAAAAH7+9GI=")</f>
        <v>#REF!</v>
      </c>
      <c r="CV182" t="e">
        <f>IF(#REF!,"AAAAAH7+9GM=",0)</f>
        <v>#REF!</v>
      </c>
      <c r="CW182" t="e">
        <f>AND(#REF!,"AAAAAH7+9GQ=")</f>
        <v>#REF!</v>
      </c>
      <c r="CX182" t="e">
        <f>AND(#REF!,"AAAAAH7+9GU=")</f>
        <v>#REF!</v>
      </c>
      <c r="CY182" t="e">
        <f>AND(#REF!,"AAAAAH7+9GY=")</f>
        <v>#REF!</v>
      </c>
      <c r="CZ182" t="e">
        <f>AND(#REF!,"AAAAAH7+9Gc=")</f>
        <v>#REF!</v>
      </c>
      <c r="DA182" t="e">
        <f>AND(#REF!,"AAAAAH7+9Gg=")</f>
        <v>#REF!</v>
      </c>
      <c r="DB182" t="e">
        <f>AND(#REF!,"AAAAAH7+9Gk=")</f>
        <v>#REF!</v>
      </c>
      <c r="DC182" t="e">
        <f>AND(#REF!,"AAAAAH7+9Go=")</f>
        <v>#REF!</v>
      </c>
      <c r="DD182" t="e">
        <f>AND(#REF!,"AAAAAH7+9Gs=")</f>
        <v>#REF!</v>
      </c>
      <c r="DE182" t="e">
        <f>AND(#REF!,"AAAAAH7+9Gw=")</f>
        <v>#REF!</v>
      </c>
      <c r="DF182" t="e">
        <f>AND(#REF!,"AAAAAH7+9G0=")</f>
        <v>#REF!</v>
      </c>
      <c r="DG182" t="e">
        <f>AND(#REF!,"AAAAAH7+9G4=")</f>
        <v>#REF!</v>
      </c>
      <c r="DH182" t="e">
        <f>AND(#REF!,"AAAAAH7+9G8=")</f>
        <v>#REF!</v>
      </c>
      <c r="DI182" t="e">
        <f>AND(#REF!,"AAAAAH7+9HA=")</f>
        <v>#REF!</v>
      </c>
      <c r="DJ182" t="e">
        <f>AND(#REF!,"AAAAAH7+9HE=")</f>
        <v>#REF!</v>
      </c>
      <c r="DK182" t="e">
        <f>AND(#REF!,"AAAAAH7+9HI=")</f>
        <v>#REF!</v>
      </c>
      <c r="DL182" t="e">
        <f>AND(#REF!,"AAAAAH7+9HM=")</f>
        <v>#REF!</v>
      </c>
      <c r="DM182" t="e">
        <f>AND(#REF!,"AAAAAH7+9HQ=")</f>
        <v>#REF!</v>
      </c>
      <c r="DN182" t="e">
        <f>AND(#REF!,"AAAAAH7+9HU=")</f>
        <v>#REF!</v>
      </c>
      <c r="DO182" t="e">
        <f>AND(#REF!,"AAAAAH7+9HY=")</f>
        <v>#REF!</v>
      </c>
      <c r="DP182" t="e">
        <f>AND(#REF!,"AAAAAH7+9Hc=")</f>
        <v>#REF!</v>
      </c>
      <c r="DQ182" t="e">
        <f>AND(#REF!,"AAAAAH7+9Hg=")</f>
        <v>#REF!</v>
      </c>
      <c r="DR182" t="e">
        <f>AND(#REF!,"AAAAAH7+9Hk=")</f>
        <v>#REF!</v>
      </c>
      <c r="DS182" t="e">
        <f>AND(#REF!,"AAAAAH7+9Ho=")</f>
        <v>#REF!</v>
      </c>
      <c r="DT182" t="e">
        <f>AND(#REF!,"AAAAAH7+9Hs=")</f>
        <v>#REF!</v>
      </c>
      <c r="DU182" t="e">
        <f>IF(#REF!,"AAAAAH7+9Hw=",0)</f>
        <v>#REF!</v>
      </c>
      <c r="DV182" t="e">
        <f>AND(#REF!,"AAAAAH7+9H0=")</f>
        <v>#REF!</v>
      </c>
      <c r="DW182" t="e">
        <f>AND(#REF!,"AAAAAH7+9H4=")</f>
        <v>#REF!</v>
      </c>
      <c r="DX182" t="e">
        <f>AND(#REF!,"AAAAAH7+9H8=")</f>
        <v>#REF!</v>
      </c>
      <c r="DY182" t="e">
        <f>AND(#REF!,"AAAAAH7+9IA=")</f>
        <v>#REF!</v>
      </c>
      <c r="DZ182" t="e">
        <f>AND(#REF!,"AAAAAH7+9IE=")</f>
        <v>#REF!</v>
      </c>
      <c r="EA182" t="e">
        <f>AND(#REF!,"AAAAAH7+9II=")</f>
        <v>#REF!</v>
      </c>
      <c r="EB182" t="e">
        <f>AND(#REF!,"AAAAAH7+9IM=")</f>
        <v>#REF!</v>
      </c>
      <c r="EC182" t="e">
        <f>AND(#REF!,"AAAAAH7+9IQ=")</f>
        <v>#REF!</v>
      </c>
      <c r="ED182" t="e">
        <f>AND(#REF!,"AAAAAH7+9IU=")</f>
        <v>#REF!</v>
      </c>
      <c r="EE182" t="e">
        <f>AND(#REF!,"AAAAAH7+9IY=")</f>
        <v>#REF!</v>
      </c>
      <c r="EF182" t="e">
        <f>AND(#REF!,"AAAAAH7+9Ic=")</f>
        <v>#REF!</v>
      </c>
      <c r="EG182" t="e">
        <f>AND(#REF!,"AAAAAH7+9Ig=")</f>
        <v>#REF!</v>
      </c>
      <c r="EH182" t="e">
        <f>AND(#REF!,"AAAAAH7+9Ik=")</f>
        <v>#REF!</v>
      </c>
      <c r="EI182" t="e">
        <f>AND(#REF!,"AAAAAH7+9Io=")</f>
        <v>#REF!</v>
      </c>
      <c r="EJ182" t="e">
        <f>AND(#REF!,"AAAAAH7+9Is=")</f>
        <v>#REF!</v>
      </c>
      <c r="EK182" t="e">
        <f>AND(#REF!,"AAAAAH7+9Iw=")</f>
        <v>#REF!</v>
      </c>
      <c r="EL182" t="e">
        <f>AND(#REF!,"AAAAAH7+9I0=")</f>
        <v>#REF!</v>
      </c>
      <c r="EM182" t="e">
        <f>AND(#REF!,"AAAAAH7+9I4=")</f>
        <v>#REF!</v>
      </c>
      <c r="EN182" t="e">
        <f>AND(#REF!,"AAAAAH7+9I8=")</f>
        <v>#REF!</v>
      </c>
      <c r="EO182" t="e">
        <f>AND(#REF!,"AAAAAH7+9JA=")</f>
        <v>#REF!</v>
      </c>
      <c r="EP182" t="e">
        <f>AND(#REF!,"AAAAAH7+9JE=")</f>
        <v>#REF!</v>
      </c>
      <c r="EQ182" t="e">
        <f>AND(#REF!,"AAAAAH7+9JI=")</f>
        <v>#REF!</v>
      </c>
      <c r="ER182" t="e">
        <f>AND(#REF!,"AAAAAH7+9JM=")</f>
        <v>#REF!</v>
      </c>
      <c r="ES182" t="e">
        <f>AND(#REF!,"AAAAAH7+9JQ=")</f>
        <v>#REF!</v>
      </c>
      <c r="ET182" t="e">
        <f>IF(#REF!,"AAAAAH7+9JU=",0)</f>
        <v>#REF!</v>
      </c>
      <c r="EU182" t="e">
        <f>AND(#REF!,"AAAAAH7+9JY=")</f>
        <v>#REF!</v>
      </c>
      <c r="EV182" t="e">
        <f>AND(#REF!,"AAAAAH7+9Jc=")</f>
        <v>#REF!</v>
      </c>
      <c r="EW182" t="e">
        <f>AND(#REF!,"AAAAAH7+9Jg=")</f>
        <v>#REF!</v>
      </c>
      <c r="EX182" t="e">
        <f>AND(#REF!,"AAAAAH7+9Jk=")</f>
        <v>#REF!</v>
      </c>
      <c r="EY182" t="e">
        <f>AND(#REF!,"AAAAAH7+9Jo=")</f>
        <v>#REF!</v>
      </c>
      <c r="EZ182" t="e">
        <f>AND(#REF!,"AAAAAH7+9Js=")</f>
        <v>#REF!</v>
      </c>
      <c r="FA182" t="e">
        <f>AND(#REF!,"AAAAAH7+9Jw=")</f>
        <v>#REF!</v>
      </c>
      <c r="FB182" t="e">
        <f>AND(#REF!,"AAAAAH7+9J0=")</f>
        <v>#REF!</v>
      </c>
      <c r="FC182" t="e">
        <f>AND(#REF!,"AAAAAH7+9J4=")</f>
        <v>#REF!</v>
      </c>
      <c r="FD182" t="e">
        <f>AND(#REF!,"AAAAAH7+9J8=")</f>
        <v>#REF!</v>
      </c>
      <c r="FE182" t="e">
        <f>AND(#REF!,"AAAAAH7+9KA=")</f>
        <v>#REF!</v>
      </c>
      <c r="FF182" t="e">
        <f>AND(#REF!,"AAAAAH7+9KE=")</f>
        <v>#REF!</v>
      </c>
      <c r="FG182" t="e">
        <f>AND(#REF!,"AAAAAH7+9KI=")</f>
        <v>#REF!</v>
      </c>
      <c r="FH182" t="e">
        <f>AND(#REF!,"AAAAAH7+9KM=")</f>
        <v>#REF!</v>
      </c>
      <c r="FI182" t="e">
        <f>AND(#REF!,"AAAAAH7+9KQ=")</f>
        <v>#REF!</v>
      </c>
      <c r="FJ182" t="e">
        <f>AND(#REF!,"AAAAAH7+9KU=")</f>
        <v>#REF!</v>
      </c>
      <c r="FK182" t="e">
        <f>AND(#REF!,"AAAAAH7+9KY=")</f>
        <v>#REF!</v>
      </c>
      <c r="FL182" t="e">
        <f>AND(#REF!,"AAAAAH7+9Kc=")</f>
        <v>#REF!</v>
      </c>
      <c r="FM182" t="e">
        <f>AND(#REF!,"AAAAAH7+9Kg=")</f>
        <v>#REF!</v>
      </c>
      <c r="FN182" t="e">
        <f>AND(#REF!,"AAAAAH7+9Kk=")</f>
        <v>#REF!</v>
      </c>
      <c r="FO182" t="e">
        <f>AND(#REF!,"AAAAAH7+9Ko=")</f>
        <v>#REF!</v>
      </c>
      <c r="FP182" t="e">
        <f>AND(#REF!,"AAAAAH7+9Ks=")</f>
        <v>#REF!</v>
      </c>
      <c r="FQ182" t="e">
        <f>AND(#REF!,"AAAAAH7+9Kw=")</f>
        <v>#REF!</v>
      </c>
      <c r="FR182" t="e">
        <f>AND(#REF!,"AAAAAH7+9K0=")</f>
        <v>#REF!</v>
      </c>
      <c r="FS182" t="e">
        <f>IF(#REF!,"AAAAAH7+9K4=",0)</f>
        <v>#REF!</v>
      </c>
      <c r="FT182" t="e">
        <f>AND(#REF!,"AAAAAH7+9K8=")</f>
        <v>#REF!</v>
      </c>
      <c r="FU182" t="e">
        <f>AND(#REF!,"AAAAAH7+9LA=")</f>
        <v>#REF!</v>
      </c>
      <c r="FV182" t="e">
        <f>AND(#REF!,"AAAAAH7+9LE=")</f>
        <v>#REF!</v>
      </c>
      <c r="FW182" t="e">
        <f>AND(#REF!,"AAAAAH7+9LI=")</f>
        <v>#REF!</v>
      </c>
      <c r="FX182" t="e">
        <f>AND(#REF!,"AAAAAH7+9LM=")</f>
        <v>#REF!</v>
      </c>
      <c r="FY182" t="e">
        <f>AND(#REF!,"AAAAAH7+9LQ=")</f>
        <v>#REF!</v>
      </c>
      <c r="FZ182" t="e">
        <f>AND(#REF!,"AAAAAH7+9LU=")</f>
        <v>#REF!</v>
      </c>
      <c r="GA182" t="e">
        <f>AND(#REF!,"AAAAAH7+9LY=")</f>
        <v>#REF!</v>
      </c>
      <c r="GB182" t="e">
        <f>AND(#REF!,"AAAAAH7+9Lc=")</f>
        <v>#REF!</v>
      </c>
      <c r="GC182" t="e">
        <f>AND(#REF!,"AAAAAH7+9Lg=")</f>
        <v>#REF!</v>
      </c>
      <c r="GD182" t="e">
        <f>AND(#REF!,"AAAAAH7+9Lk=")</f>
        <v>#REF!</v>
      </c>
      <c r="GE182" t="e">
        <f>AND(#REF!,"AAAAAH7+9Lo=")</f>
        <v>#REF!</v>
      </c>
      <c r="GF182" t="e">
        <f>AND(#REF!,"AAAAAH7+9Ls=")</f>
        <v>#REF!</v>
      </c>
      <c r="GG182" t="e">
        <f>AND(#REF!,"AAAAAH7+9Lw=")</f>
        <v>#REF!</v>
      </c>
      <c r="GH182" t="e">
        <f>AND(#REF!,"AAAAAH7+9L0=")</f>
        <v>#REF!</v>
      </c>
      <c r="GI182" t="e">
        <f>AND(#REF!,"AAAAAH7+9L4=")</f>
        <v>#REF!</v>
      </c>
      <c r="GJ182" t="e">
        <f>AND(#REF!,"AAAAAH7+9L8=")</f>
        <v>#REF!</v>
      </c>
      <c r="GK182" t="e">
        <f>AND(#REF!,"AAAAAH7+9MA=")</f>
        <v>#REF!</v>
      </c>
      <c r="GL182" t="e">
        <f>AND(#REF!,"AAAAAH7+9ME=")</f>
        <v>#REF!</v>
      </c>
      <c r="GM182" t="e">
        <f>AND(#REF!,"AAAAAH7+9MI=")</f>
        <v>#REF!</v>
      </c>
      <c r="GN182" t="e">
        <f>AND(#REF!,"AAAAAH7+9MM=")</f>
        <v>#REF!</v>
      </c>
      <c r="GO182" t="e">
        <f>AND(#REF!,"AAAAAH7+9MQ=")</f>
        <v>#REF!</v>
      </c>
      <c r="GP182" t="e">
        <f>AND(#REF!,"AAAAAH7+9MU=")</f>
        <v>#REF!</v>
      </c>
      <c r="GQ182" t="e">
        <f>AND(#REF!,"AAAAAH7+9MY=")</f>
        <v>#REF!</v>
      </c>
      <c r="GR182" t="e">
        <f>IF(#REF!,"AAAAAH7+9Mc=",0)</f>
        <v>#REF!</v>
      </c>
      <c r="GS182" t="e">
        <f>AND(#REF!,"AAAAAH7+9Mg=")</f>
        <v>#REF!</v>
      </c>
      <c r="GT182" t="e">
        <f>AND(#REF!,"AAAAAH7+9Mk=")</f>
        <v>#REF!</v>
      </c>
      <c r="GU182" t="e">
        <f>AND(#REF!,"AAAAAH7+9Mo=")</f>
        <v>#REF!</v>
      </c>
      <c r="GV182" t="e">
        <f>AND(#REF!,"AAAAAH7+9Ms=")</f>
        <v>#REF!</v>
      </c>
      <c r="GW182" t="e">
        <f>AND(#REF!,"AAAAAH7+9Mw=")</f>
        <v>#REF!</v>
      </c>
      <c r="GX182" t="e">
        <f>AND(#REF!,"AAAAAH7+9M0=")</f>
        <v>#REF!</v>
      </c>
      <c r="GY182" t="e">
        <f>AND(#REF!,"AAAAAH7+9M4=")</f>
        <v>#REF!</v>
      </c>
      <c r="GZ182" t="e">
        <f>AND(#REF!,"AAAAAH7+9M8=")</f>
        <v>#REF!</v>
      </c>
      <c r="HA182" t="e">
        <f>AND(#REF!,"AAAAAH7+9NA=")</f>
        <v>#REF!</v>
      </c>
      <c r="HB182" t="e">
        <f>AND(#REF!,"AAAAAH7+9NE=")</f>
        <v>#REF!</v>
      </c>
      <c r="HC182" t="e">
        <f>AND(#REF!,"AAAAAH7+9NI=")</f>
        <v>#REF!</v>
      </c>
      <c r="HD182" t="e">
        <f>AND(#REF!,"AAAAAH7+9NM=")</f>
        <v>#REF!</v>
      </c>
      <c r="HE182" t="e">
        <f>AND(#REF!,"AAAAAH7+9NQ=")</f>
        <v>#REF!</v>
      </c>
      <c r="HF182" t="e">
        <f>AND(#REF!,"AAAAAH7+9NU=")</f>
        <v>#REF!</v>
      </c>
      <c r="HG182" t="e">
        <f>AND(#REF!,"AAAAAH7+9NY=")</f>
        <v>#REF!</v>
      </c>
      <c r="HH182" t="e">
        <f>AND(#REF!,"AAAAAH7+9Nc=")</f>
        <v>#REF!</v>
      </c>
      <c r="HI182" t="e">
        <f>AND(#REF!,"AAAAAH7+9Ng=")</f>
        <v>#REF!</v>
      </c>
      <c r="HJ182" t="e">
        <f>AND(#REF!,"AAAAAH7+9Nk=")</f>
        <v>#REF!</v>
      </c>
      <c r="HK182" t="e">
        <f>AND(#REF!,"AAAAAH7+9No=")</f>
        <v>#REF!</v>
      </c>
      <c r="HL182" t="e">
        <f>AND(#REF!,"AAAAAH7+9Ns=")</f>
        <v>#REF!</v>
      </c>
      <c r="HM182" t="e">
        <f>AND(#REF!,"AAAAAH7+9Nw=")</f>
        <v>#REF!</v>
      </c>
      <c r="HN182" t="e">
        <f>AND(#REF!,"AAAAAH7+9N0=")</f>
        <v>#REF!</v>
      </c>
      <c r="HO182" t="e">
        <f>AND(#REF!,"AAAAAH7+9N4=")</f>
        <v>#REF!</v>
      </c>
      <c r="HP182" t="e">
        <f>AND(#REF!,"AAAAAH7+9N8=")</f>
        <v>#REF!</v>
      </c>
      <c r="HQ182" t="e">
        <f>IF(#REF!,"AAAAAH7+9OA=",0)</f>
        <v>#REF!</v>
      </c>
      <c r="HR182" t="e">
        <f>AND(#REF!,"AAAAAH7+9OE=")</f>
        <v>#REF!</v>
      </c>
      <c r="HS182" t="e">
        <f>AND(#REF!,"AAAAAH7+9OI=")</f>
        <v>#REF!</v>
      </c>
      <c r="HT182" t="e">
        <f>AND(#REF!,"AAAAAH7+9OM=")</f>
        <v>#REF!</v>
      </c>
      <c r="HU182" t="e">
        <f>AND(#REF!,"AAAAAH7+9OQ=")</f>
        <v>#REF!</v>
      </c>
      <c r="HV182" t="e">
        <f>AND(#REF!,"AAAAAH7+9OU=")</f>
        <v>#REF!</v>
      </c>
      <c r="HW182" t="e">
        <f>AND(#REF!,"AAAAAH7+9OY=")</f>
        <v>#REF!</v>
      </c>
      <c r="HX182" t="e">
        <f>AND(#REF!,"AAAAAH7+9Oc=")</f>
        <v>#REF!</v>
      </c>
      <c r="HY182" t="e">
        <f>AND(#REF!,"AAAAAH7+9Og=")</f>
        <v>#REF!</v>
      </c>
      <c r="HZ182" t="e">
        <f>AND(#REF!,"AAAAAH7+9Ok=")</f>
        <v>#REF!</v>
      </c>
      <c r="IA182" t="e">
        <f>AND(#REF!,"AAAAAH7+9Oo=")</f>
        <v>#REF!</v>
      </c>
      <c r="IB182" t="e">
        <f>AND(#REF!,"AAAAAH7+9Os=")</f>
        <v>#REF!</v>
      </c>
      <c r="IC182" t="e">
        <f>AND(#REF!,"AAAAAH7+9Ow=")</f>
        <v>#REF!</v>
      </c>
      <c r="ID182" t="e">
        <f>AND(#REF!,"AAAAAH7+9O0=")</f>
        <v>#REF!</v>
      </c>
      <c r="IE182" t="e">
        <f>AND(#REF!,"AAAAAH7+9O4=")</f>
        <v>#REF!</v>
      </c>
      <c r="IF182" t="e">
        <f>AND(#REF!,"AAAAAH7+9O8=")</f>
        <v>#REF!</v>
      </c>
      <c r="IG182" t="e">
        <f>AND(#REF!,"AAAAAH7+9PA=")</f>
        <v>#REF!</v>
      </c>
      <c r="IH182" t="e">
        <f>AND(#REF!,"AAAAAH7+9PE=")</f>
        <v>#REF!</v>
      </c>
      <c r="II182" t="e">
        <f>AND(#REF!,"AAAAAH7+9PI=")</f>
        <v>#REF!</v>
      </c>
      <c r="IJ182" t="e">
        <f>AND(#REF!,"AAAAAH7+9PM=")</f>
        <v>#REF!</v>
      </c>
      <c r="IK182" t="e">
        <f>AND(#REF!,"AAAAAH7+9PQ=")</f>
        <v>#REF!</v>
      </c>
      <c r="IL182" t="e">
        <f>AND(#REF!,"AAAAAH7+9PU=")</f>
        <v>#REF!</v>
      </c>
      <c r="IM182" t="e">
        <f>AND(#REF!,"AAAAAH7+9PY=")</f>
        <v>#REF!</v>
      </c>
      <c r="IN182" t="e">
        <f>AND(#REF!,"AAAAAH7+9Pc=")</f>
        <v>#REF!</v>
      </c>
      <c r="IO182" t="e">
        <f>AND(#REF!,"AAAAAH7+9Pg=")</f>
        <v>#REF!</v>
      </c>
      <c r="IP182" t="e">
        <f>IF(#REF!,"AAAAAH7+9Pk=",0)</f>
        <v>#REF!</v>
      </c>
      <c r="IQ182" t="e">
        <f>AND(#REF!,"AAAAAH7+9Po=")</f>
        <v>#REF!</v>
      </c>
      <c r="IR182" t="e">
        <f>AND(#REF!,"AAAAAH7+9Ps=")</f>
        <v>#REF!</v>
      </c>
      <c r="IS182" t="e">
        <f>AND(#REF!,"AAAAAH7+9Pw=")</f>
        <v>#REF!</v>
      </c>
      <c r="IT182" t="e">
        <f>AND(#REF!,"AAAAAH7+9P0=")</f>
        <v>#REF!</v>
      </c>
      <c r="IU182" t="e">
        <f>AND(#REF!,"AAAAAH7+9P4=")</f>
        <v>#REF!</v>
      </c>
      <c r="IV182" t="e">
        <f>AND(#REF!,"AAAAAH7+9P8=")</f>
        <v>#REF!</v>
      </c>
    </row>
    <row r="183" spans="1:256">
      <c r="A183" t="e">
        <f>AND(#REF!,"AAAAADnG7wA=")</f>
        <v>#REF!</v>
      </c>
      <c r="B183" t="e">
        <f>AND(#REF!,"AAAAADnG7wE=")</f>
        <v>#REF!</v>
      </c>
      <c r="C183" t="e">
        <f>AND(#REF!,"AAAAADnG7wI=")</f>
        <v>#REF!</v>
      </c>
      <c r="D183" t="e">
        <f>AND(#REF!,"AAAAADnG7wM=")</f>
        <v>#REF!</v>
      </c>
      <c r="E183" t="e">
        <f>AND(#REF!,"AAAAADnG7wQ=")</f>
        <v>#REF!</v>
      </c>
      <c r="F183" t="e">
        <f>AND(#REF!,"AAAAADnG7wU=")</f>
        <v>#REF!</v>
      </c>
      <c r="G183" t="e">
        <f>AND(#REF!,"AAAAADnG7wY=")</f>
        <v>#REF!</v>
      </c>
      <c r="H183" t="e">
        <f>AND(#REF!,"AAAAADnG7wc=")</f>
        <v>#REF!</v>
      </c>
      <c r="I183" t="e">
        <f>AND(#REF!,"AAAAADnG7wg=")</f>
        <v>#REF!</v>
      </c>
      <c r="J183" t="e">
        <f>AND(#REF!,"AAAAADnG7wk=")</f>
        <v>#REF!</v>
      </c>
      <c r="K183" t="e">
        <f>AND(#REF!,"AAAAADnG7wo=")</f>
        <v>#REF!</v>
      </c>
      <c r="L183" t="e">
        <f>AND(#REF!,"AAAAADnG7ws=")</f>
        <v>#REF!</v>
      </c>
      <c r="M183" t="e">
        <f>AND(#REF!,"AAAAADnG7ww=")</f>
        <v>#REF!</v>
      </c>
      <c r="N183" t="e">
        <f>AND(#REF!,"AAAAADnG7w0=")</f>
        <v>#REF!</v>
      </c>
      <c r="O183" t="e">
        <f>AND(#REF!,"AAAAADnG7w4=")</f>
        <v>#REF!</v>
      </c>
      <c r="P183" t="e">
        <f>AND(#REF!,"AAAAADnG7w8=")</f>
        <v>#REF!</v>
      </c>
      <c r="Q183" t="e">
        <f>AND(#REF!,"AAAAADnG7xA=")</f>
        <v>#REF!</v>
      </c>
      <c r="R183" t="e">
        <f>AND(#REF!,"AAAAADnG7xE=")</f>
        <v>#REF!</v>
      </c>
      <c r="S183" t="e">
        <f>IF(#REF!,"AAAAADnG7xI=",0)</f>
        <v>#REF!</v>
      </c>
      <c r="T183" t="e">
        <f>AND(#REF!,"AAAAADnG7xM=")</f>
        <v>#REF!</v>
      </c>
      <c r="U183" t="e">
        <f>AND(#REF!,"AAAAADnG7xQ=")</f>
        <v>#REF!</v>
      </c>
      <c r="V183" t="e">
        <f>AND(#REF!,"AAAAADnG7xU=")</f>
        <v>#REF!</v>
      </c>
      <c r="W183" t="e">
        <f>AND(#REF!,"AAAAADnG7xY=")</f>
        <v>#REF!</v>
      </c>
      <c r="X183" t="e">
        <f>AND(#REF!,"AAAAADnG7xc=")</f>
        <v>#REF!</v>
      </c>
      <c r="Y183" t="e">
        <f>AND(#REF!,"AAAAADnG7xg=")</f>
        <v>#REF!</v>
      </c>
      <c r="Z183" t="e">
        <f>AND(#REF!,"AAAAADnG7xk=")</f>
        <v>#REF!</v>
      </c>
      <c r="AA183" t="e">
        <f>AND(#REF!,"AAAAADnG7xo=")</f>
        <v>#REF!</v>
      </c>
      <c r="AB183" t="e">
        <f>AND(#REF!,"AAAAADnG7xs=")</f>
        <v>#REF!</v>
      </c>
      <c r="AC183" t="e">
        <f>AND(#REF!,"AAAAADnG7xw=")</f>
        <v>#REF!</v>
      </c>
      <c r="AD183" t="e">
        <f>AND(#REF!,"AAAAADnG7x0=")</f>
        <v>#REF!</v>
      </c>
      <c r="AE183" t="e">
        <f>AND(#REF!,"AAAAADnG7x4=")</f>
        <v>#REF!</v>
      </c>
      <c r="AF183" t="e">
        <f>AND(#REF!,"AAAAADnG7x8=")</f>
        <v>#REF!</v>
      </c>
      <c r="AG183" t="e">
        <f>AND(#REF!,"AAAAADnG7yA=")</f>
        <v>#REF!</v>
      </c>
      <c r="AH183" t="e">
        <f>AND(#REF!,"AAAAADnG7yE=")</f>
        <v>#REF!</v>
      </c>
      <c r="AI183" t="e">
        <f>AND(#REF!,"AAAAADnG7yI=")</f>
        <v>#REF!</v>
      </c>
      <c r="AJ183" t="e">
        <f>AND(#REF!,"AAAAADnG7yM=")</f>
        <v>#REF!</v>
      </c>
      <c r="AK183" t="e">
        <f>AND(#REF!,"AAAAADnG7yQ=")</f>
        <v>#REF!</v>
      </c>
      <c r="AL183" t="e">
        <f>AND(#REF!,"AAAAADnG7yU=")</f>
        <v>#REF!</v>
      </c>
      <c r="AM183" t="e">
        <f>AND(#REF!,"AAAAADnG7yY=")</f>
        <v>#REF!</v>
      </c>
      <c r="AN183" t="e">
        <f>AND(#REF!,"AAAAADnG7yc=")</f>
        <v>#REF!</v>
      </c>
      <c r="AO183" t="e">
        <f>AND(#REF!,"AAAAADnG7yg=")</f>
        <v>#REF!</v>
      </c>
      <c r="AP183" t="e">
        <f>AND(#REF!,"AAAAADnG7yk=")</f>
        <v>#REF!</v>
      </c>
      <c r="AQ183" t="e">
        <f>AND(#REF!,"AAAAADnG7yo=")</f>
        <v>#REF!</v>
      </c>
      <c r="AR183" t="e">
        <f>IF(#REF!,"AAAAADnG7ys=",0)</f>
        <v>#REF!</v>
      </c>
      <c r="AS183" t="e">
        <f>AND(#REF!,"AAAAADnG7yw=")</f>
        <v>#REF!</v>
      </c>
      <c r="AT183" t="e">
        <f>AND(#REF!,"AAAAADnG7y0=")</f>
        <v>#REF!</v>
      </c>
      <c r="AU183" t="e">
        <f>AND(#REF!,"AAAAADnG7y4=")</f>
        <v>#REF!</v>
      </c>
      <c r="AV183" t="e">
        <f>AND(#REF!,"AAAAADnG7y8=")</f>
        <v>#REF!</v>
      </c>
      <c r="AW183" t="e">
        <f>AND(#REF!,"AAAAADnG7zA=")</f>
        <v>#REF!</v>
      </c>
      <c r="AX183" t="e">
        <f>AND(#REF!,"AAAAADnG7zE=")</f>
        <v>#REF!</v>
      </c>
      <c r="AY183" t="e">
        <f>AND(#REF!,"AAAAADnG7zI=")</f>
        <v>#REF!</v>
      </c>
      <c r="AZ183" t="e">
        <f>AND(#REF!,"AAAAADnG7zM=")</f>
        <v>#REF!</v>
      </c>
      <c r="BA183" t="e">
        <f>AND(#REF!,"AAAAADnG7zQ=")</f>
        <v>#REF!</v>
      </c>
      <c r="BB183" t="e">
        <f>AND(#REF!,"AAAAADnG7zU=")</f>
        <v>#REF!</v>
      </c>
      <c r="BC183" t="e">
        <f>AND(#REF!,"AAAAADnG7zY=")</f>
        <v>#REF!</v>
      </c>
      <c r="BD183" t="e">
        <f>AND(#REF!,"AAAAADnG7zc=")</f>
        <v>#REF!</v>
      </c>
      <c r="BE183" t="e">
        <f>AND(#REF!,"AAAAADnG7zg=")</f>
        <v>#REF!</v>
      </c>
      <c r="BF183" t="e">
        <f>AND(#REF!,"AAAAADnG7zk=")</f>
        <v>#REF!</v>
      </c>
      <c r="BG183" t="e">
        <f>AND(#REF!,"AAAAADnG7zo=")</f>
        <v>#REF!</v>
      </c>
      <c r="BH183" t="e">
        <f>AND(#REF!,"AAAAADnG7zs=")</f>
        <v>#REF!</v>
      </c>
      <c r="BI183" t="e">
        <f>AND(#REF!,"AAAAADnG7zw=")</f>
        <v>#REF!</v>
      </c>
      <c r="BJ183" t="e">
        <f>AND(#REF!,"AAAAADnG7z0=")</f>
        <v>#REF!</v>
      </c>
      <c r="BK183" t="e">
        <f>AND(#REF!,"AAAAADnG7z4=")</f>
        <v>#REF!</v>
      </c>
      <c r="BL183" t="e">
        <f>AND(#REF!,"AAAAADnG7z8=")</f>
        <v>#REF!</v>
      </c>
      <c r="BM183" t="e">
        <f>AND(#REF!,"AAAAADnG70A=")</f>
        <v>#REF!</v>
      </c>
      <c r="BN183" t="e">
        <f>AND(#REF!,"AAAAADnG70E=")</f>
        <v>#REF!</v>
      </c>
      <c r="BO183" t="e">
        <f>AND(#REF!,"AAAAADnG70I=")</f>
        <v>#REF!</v>
      </c>
      <c r="BP183" t="e">
        <f>AND(#REF!,"AAAAADnG70M=")</f>
        <v>#REF!</v>
      </c>
      <c r="BQ183" t="e">
        <f>IF(#REF!,"AAAAADnG70Q=",0)</f>
        <v>#REF!</v>
      </c>
      <c r="BR183" t="e">
        <f>AND(#REF!,"AAAAADnG70U=")</f>
        <v>#REF!</v>
      </c>
      <c r="BS183" t="e">
        <f>AND(#REF!,"AAAAADnG70Y=")</f>
        <v>#REF!</v>
      </c>
      <c r="BT183" t="e">
        <f>AND(#REF!,"AAAAADnG70c=")</f>
        <v>#REF!</v>
      </c>
      <c r="BU183" t="e">
        <f>AND(#REF!,"AAAAADnG70g=")</f>
        <v>#REF!</v>
      </c>
      <c r="BV183" t="e">
        <f>AND(#REF!,"AAAAADnG70k=")</f>
        <v>#REF!</v>
      </c>
      <c r="BW183" t="e">
        <f>AND(#REF!,"AAAAADnG70o=")</f>
        <v>#REF!</v>
      </c>
      <c r="BX183" t="e">
        <f>AND(#REF!,"AAAAADnG70s=")</f>
        <v>#REF!</v>
      </c>
      <c r="BY183" t="e">
        <f>AND(#REF!,"AAAAADnG70w=")</f>
        <v>#REF!</v>
      </c>
      <c r="BZ183" t="e">
        <f>AND(#REF!,"AAAAADnG700=")</f>
        <v>#REF!</v>
      </c>
      <c r="CA183" t="e">
        <f>AND(#REF!,"AAAAADnG704=")</f>
        <v>#REF!</v>
      </c>
      <c r="CB183" t="e">
        <f>AND(#REF!,"AAAAADnG708=")</f>
        <v>#REF!</v>
      </c>
      <c r="CC183" t="e">
        <f>AND(#REF!,"AAAAADnG71A=")</f>
        <v>#REF!</v>
      </c>
      <c r="CD183" t="e">
        <f>AND(#REF!,"AAAAADnG71E=")</f>
        <v>#REF!</v>
      </c>
      <c r="CE183" t="e">
        <f>AND(#REF!,"AAAAADnG71I=")</f>
        <v>#REF!</v>
      </c>
      <c r="CF183" t="e">
        <f>AND(#REF!,"AAAAADnG71M=")</f>
        <v>#REF!</v>
      </c>
      <c r="CG183" t="e">
        <f>AND(#REF!,"AAAAADnG71Q=")</f>
        <v>#REF!</v>
      </c>
      <c r="CH183" t="e">
        <f>AND(#REF!,"AAAAADnG71U=")</f>
        <v>#REF!</v>
      </c>
      <c r="CI183" t="e">
        <f>AND(#REF!,"AAAAADnG71Y=")</f>
        <v>#REF!</v>
      </c>
      <c r="CJ183" t="e">
        <f>AND(#REF!,"AAAAADnG71c=")</f>
        <v>#REF!</v>
      </c>
      <c r="CK183" t="e">
        <f>AND(#REF!,"AAAAADnG71g=")</f>
        <v>#REF!</v>
      </c>
      <c r="CL183" t="e">
        <f>AND(#REF!,"AAAAADnG71k=")</f>
        <v>#REF!</v>
      </c>
      <c r="CM183" t="e">
        <f>AND(#REF!,"AAAAADnG71o=")</f>
        <v>#REF!</v>
      </c>
      <c r="CN183" t="e">
        <f>AND(#REF!,"AAAAADnG71s=")</f>
        <v>#REF!</v>
      </c>
      <c r="CO183" t="e">
        <f>AND(#REF!,"AAAAADnG71w=")</f>
        <v>#REF!</v>
      </c>
      <c r="CP183" t="e">
        <f>IF(#REF!,"AAAAADnG710=",0)</f>
        <v>#REF!</v>
      </c>
      <c r="CQ183" t="e">
        <f>AND(#REF!,"AAAAADnG714=")</f>
        <v>#REF!</v>
      </c>
      <c r="CR183" t="e">
        <f>AND(#REF!,"AAAAADnG718=")</f>
        <v>#REF!</v>
      </c>
      <c r="CS183" t="e">
        <f>AND(#REF!,"AAAAADnG72A=")</f>
        <v>#REF!</v>
      </c>
      <c r="CT183" t="e">
        <f>AND(#REF!,"AAAAADnG72E=")</f>
        <v>#REF!</v>
      </c>
      <c r="CU183" t="e">
        <f>AND(#REF!,"AAAAADnG72I=")</f>
        <v>#REF!</v>
      </c>
      <c r="CV183" t="e">
        <f>AND(#REF!,"AAAAADnG72M=")</f>
        <v>#REF!</v>
      </c>
      <c r="CW183" t="e">
        <f>AND(#REF!,"AAAAADnG72Q=")</f>
        <v>#REF!</v>
      </c>
      <c r="CX183" t="e">
        <f>AND(#REF!,"AAAAADnG72U=")</f>
        <v>#REF!</v>
      </c>
      <c r="CY183" t="e">
        <f>AND(#REF!,"AAAAADnG72Y=")</f>
        <v>#REF!</v>
      </c>
      <c r="CZ183" t="e">
        <f>AND(#REF!,"AAAAADnG72c=")</f>
        <v>#REF!</v>
      </c>
      <c r="DA183" t="e">
        <f>AND(#REF!,"AAAAADnG72g=")</f>
        <v>#REF!</v>
      </c>
      <c r="DB183" t="e">
        <f>AND(#REF!,"AAAAADnG72k=")</f>
        <v>#REF!</v>
      </c>
      <c r="DC183" t="e">
        <f>AND(#REF!,"AAAAADnG72o=")</f>
        <v>#REF!</v>
      </c>
      <c r="DD183" t="e">
        <f>AND(#REF!,"AAAAADnG72s=")</f>
        <v>#REF!</v>
      </c>
      <c r="DE183" t="e">
        <f>AND(#REF!,"AAAAADnG72w=")</f>
        <v>#REF!</v>
      </c>
      <c r="DF183" t="e">
        <f>AND(#REF!,"AAAAADnG720=")</f>
        <v>#REF!</v>
      </c>
      <c r="DG183" t="e">
        <f>AND(#REF!,"AAAAADnG724=")</f>
        <v>#REF!</v>
      </c>
      <c r="DH183" t="e">
        <f>AND(#REF!,"AAAAADnG728=")</f>
        <v>#REF!</v>
      </c>
      <c r="DI183" t="e">
        <f>AND(#REF!,"AAAAADnG73A=")</f>
        <v>#REF!</v>
      </c>
      <c r="DJ183" t="e">
        <f>AND(#REF!,"AAAAADnG73E=")</f>
        <v>#REF!</v>
      </c>
      <c r="DK183" t="e">
        <f>AND(#REF!,"AAAAADnG73I=")</f>
        <v>#REF!</v>
      </c>
      <c r="DL183" t="e">
        <f>AND(#REF!,"AAAAADnG73M=")</f>
        <v>#REF!</v>
      </c>
      <c r="DM183" t="e">
        <f>AND(#REF!,"AAAAADnG73Q=")</f>
        <v>#REF!</v>
      </c>
      <c r="DN183" t="e">
        <f>AND(#REF!,"AAAAADnG73U=")</f>
        <v>#REF!</v>
      </c>
      <c r="DO183" t="e">
        <f>IF(#REF!,"AAAAADnG73Y=",0)</f>
        <v>#REF!</v>
      </c>
      <c r="DP183" t="e">
        <f>AND(#REF!,"AAAAADnG73c=")</f>
        <v>#REF!</v>
      </c>
      <c r="DQ183" t="e">
        <f>AND(#REF!,"AAAAADnG73g=")</f>
        <v>#REF!</v>
      </c>
      <c r="DR183" t="e">
        <f>AND(#REF!,"AAAAADnG73k=")</f>
        <v>#REF!</v>
      </c>
      <c r="DS183" t="e">
        <f>AND(#REF!,"AAAAADnG73o=")</f>
        <v>#REF!</v>
      </c>
      <c r="DT183" t="e">
        <f>AND(#REF!,"AAAAADnG73s=")</f>
        <v>#REF!</v>
      </c>
      <c r="DU183" t="e">
        <f>AND(#REF!,"AAAAADnG73w=")</f>
        <v>#REF!</v>
      </c>
      <c r="DV183" t="e">
        <f>AND(#REF!,"AAAAADnG730=")</f>
        <v>#REF!</v>
      </c>
      <c r="DW183" t="e">
        <f>AND(#REF!,"AAAAADnG734=")</f>
        <v>#REF!</v>
      </c>
      <c r="DX183" t="e">
        <f>AND(#REF!,"AAAAADnG738=")</f>
        <v>#REF!</v>
      </c>
      <c r="DY183" t="e">
        <f>AND(#REF!,"AAAAADnG74A=")</f>
        <v>#REF!</v>
      </c>
      <c r="DZ183" t="e">
        <f>AND(#REF!,"AAAAADnG74E=")</f>
        <v>#REF!</v>
      </c>
      <c r="EA183" t="e">
        <f>AND(#REF!,"AAAAADnG74I=")</f>
        <v>#REF!</v>
      </c>
      <c r="EB183" t="e">
        <f>AND(#REF!,"AAAAADnG74M=")</f>
        <v>#REF!</v>
      </c>
      <c r="EC183" t="e">
        <f>AND(#REF!,"AAAAADnG74Q=")</f>
        <v>#REF!</v>
      </c>
      <c r="ED183" t="e">
        <f>AND(#REF!,"AAAAADnG74U=")</f>
        <v>#REF!</v>
      </c>
      <c r="EE183" t="e">
        <f>AND(#REF!,"AAAAADnG74Y=")</f>
        <v>#REF!</v>
      </c>
      <c r="EF183" t="e">
        <f>AND(#REF!,"AAAAADnG74c=")</f>
        <v>#REF!</v>
      </c>
      <c r="EG183" t="e">
        <f>AND(#REF!,"AAAAADnG74g=")</f>
        <v>#REF!</v>
      </c>
      <c r="EH183" t="e">
        <f>AND(#REF!,"AAAAADnG74k=")</f>
        <v>#REF!</v>
      </c>
      <c r="EI183" t="e">
        <f>AND(#REF!,"AAAAADnG74o=")</f>
        <v>#REF!</v>
      </c>
      <c r="EJ183" t="e">
        <f>AND(#REF!,"AAAAADnG74s=")</f>
        <v>#REF!</v>
      </c>
      <c r="EK183" t="e">
        <f>AND(#REF!,"AAAAADnG74w=")</f>
        <v>#REF!</v>
      </c>
      <c r="EL183" t="e">
        <f>AND(#REF!,"AAAAADnG740=")</f>
        <v>#REF!</v>
      </c>
      <c r="EM183" t="e">
        <f>AND(#REF!,"AAAAADnG744=")</f>
        <v>#REF!</v>
      </c>
      <c r="EN183" t="e">
        <f>IF(#REF!,"AAAAADnG748=",0)</f>
        <v>#REF!</v>
      </c>
      <c r="EO183" t="e">
        <f>AND(#REF!,"AAAAADnG75A=")</f>
        <v>#REF!</v>
      </c>
      <c r="EP183" t="e">
        <f>AND(#REF!,"AAAAADnG75E=")</f>
        <v>#REF!</v>
      </c>
      <c r="EQ183" t="e">
        <f>AND(#REF!,"AAAAADnG75I=")</f>
        <v>#REF!</v>
      </c>
      <c r="ER183" t="e">
        <f>AND(#REF!,"AAAAADnG75M=")</f>
        <v>#REF!</v>
      </c>
      <c r="ES183" t="e">
        <f>AND(#REF!,"AAAAADnG75Q=")</f>
        <v>#REF!</v>
      </c>
      <c r="ET183" t="e">
        <f>AND(#REF!,"AAAAADnG75U=")</f>
        <v>#REF!</v>
      </c>
      <c r="EU183" t="e">
        <f>AND(#REF!,"AAAAADnG75Y=")</f>
        <v>#REF!</v>
      </c>
      <c r="EV183" t="e">
        <f>AND(#REF!,"AAAAADnG75c=")</f>
        <v>#REF!</v>
      </c>
      <c r="EW183" t="e">
        <f>AND(#REF!,"AAAAADnG75g=")</f>
        <v>#REF!</v>
      </c>
      <c r="EX183" t="e">
        <f>AND(#REF!,"AAAAADnG75k=")</f>
        <v>#REF!</v>
      </c>
      <c r="EY183" t="e">
        <f>AND(#REF!,"AAAAADnG75o=")</f>
        <v>#REF!</v>
      </c>
      <c r="EZ183" t="e">
        <f>AND(#REF!,"AAAAADnG75s=")</f>
        <v>#REF!</v>
      </c>
      <c r="FA183" t="e">
        <f>AND(#REF!,"AAAAADnG75w=")</f>
        <v>#REF!</v>
      </c>
      <c r="FB183" t="e">
        <f>AND(#REF!,"AAAAADnG750=")</f>
        <v>#REF!</v>
      </c>
      <c r="FC183" t="e">
        <f>AND(#REF!,"AAAAADnG754=")</f>
        <v>#REF!</v>
      </c>
      <c r="FD183" t="e">
        <f>AND(#REF!,"AAAAADnG758=")</f>
        <v>#REF!</v>
      </c>
      <c r="FE183" t="e">
        <f>AND(#REF!,"AAAAADnG76A=")</f>
        <v>#REF!</v>
      </c>
      <c r="FF183" t="e">
        <f>AND(#REF!,"AAAAADnG76E=")</f>
        <v>#REF!</v>
      </c>
      <c r="FG183" t="e">
        <f>AND(#REF!,"AAAAADnG76I=")</f>
        <v>#REF!</v>
      </c>
      <c r="FH183" t="e">
        <f>AND(#REF!,"AAAAADnG76M=")</f>
        <v>#REF!</v>
      </c>
      <c r="FI183" t="e">
        <f>AND(#REF!,"AAAAADnG76Q=")</f>
        <v>#REF!</v>
      </c>
      <c r="FJ183" t="e">
        <f>AND(#REF!,"AAAAADnG76U=")</f>
        <v>#REF!</v>
      </c>
      <c r="FK183" t="e">
        <f>AND(#REF!,"AAAAADnG76Y=")</f>
        <v>#REF!</v>
      </c>
      <c r="FL183" t="e">
        <f>AND(#REF!,"AAAAADnG76c=")</f>
        <v>#REF!</v>
      </c>
      <c r="FM183" t="e">
        <f>IF(#REF!,"AAAAADnG76g=",0)</f>
        <v>#REF!</v>
      </c>
      <c r="FN183" t="e">
        <f>AND(#REF!,"AAAAADnG76k=")</f>
        <v>#REF!</v>
      </c>
      <c r="FO183" t="e">
        <f>AND(#REF!,"AAAAADnG76o=")</f>
        <v>#REF!</v>
      </c>
      <c r="FP183" t="e">
        <f>AND(#REF!,"AAAAADnG76s=")</f>
        <v>#REF!</v>
      </c>
      <c r="FQ183" t="e">
        <f>AND(#REF!,"AAAAADnG76w=")</f>
        <v>#REF!</v>
      </c>
      <c r="FR183" t="e">
        <f>AND(#REF!,"AAAAADnG760=")</f>
        <v>#REF!</v>
      </c>
      <c r="FS183" t="e">
        <f>AND(#REF!,"AAAAADnG764=")</f>
        <v>#REF!</v>
      </c>
      <c r="FT183" t="e">
        <f>AND(#REF!,"AAAAADnG768=")</f>
        <v>#REF!</v>
      </c>
      <c r="FU183" t="e">
        <f>AND(#REF!,"AAAAADnG77A=")</f>
        <v>#REF!</v>
      </c>
      <c r="FV183" t="e">
        <f>AND(#REF!,"AAAAADnG77E=")</f>
        <v>#REF!</v>
      </c>
      <c r="FW183" t="e">
        <f>AND(#REF!,"AAAAADnG77I=")</f>
        <v>#REF!</v>
      </c>
      <c r="FX183" t="e">
        <f>AND(#REF!,"AAAAADnG77M=")</f>
        <v>#REF!</v>
      </c>
      <c r="FY183" t="e">
        <f>AND(#REF!,"AAAAADnG77Q=")</f>
        <v>#REF!</v>
      </c>
      <c r="FZ183" t="e">
        <f>AND(#REF!,"AAAAADnG77U=")</f>
        <v>#REF!</v>
      </c>
      <c r="GA183" t="e">
        <f>AND(#REF!,"AAAAADnG77Y=")</f>
        <v>#REF!</v>
      </c>
      <c r="GB183" t="e">
        <f>AND(#REF!,"AAAAADnG77c=")</f>
        <v>#REF!</v>
      </c>
      <c r="GC183" t="e">
        <f>AND(#REF!,"AAAAADnG77g=")</f>
        <v>#REF!</v>
      </c>
      <c r="GD183" t="e">
        <f>AND(#REF!,"AAAAADnG77k=")</f>
        <v>#REF!</v>
      </c>
      <c r="GE183" t="e">
        <f>AND(#REF!,"AAAAADnG77o=")</f>
        <v>#REF!</v>
      </c>
      <c r="GF183" t="e">
        <f>AND(#REF!,"AAAAADnG77s=")</f>
        <v>#REF!</v>
      </c>
      <c r="GG183" t="e">
        <f>AND(#REF!,"AAAAADnG77w=")</f>
        <v>#REF!</v>
      </c>
      <c r="GH183" t="e">
        <f>AND(#REF!,"AAAAADnG770=")</f>
        <v>#REF!</v>
      </c>
      <c r="GI183" t="e">
        <f>AND(#REF!,"AAAAADnG774=")</f>
        <v>#REF!</v>
      </c>
      <c r="GJ183" t="e">
        <f>AND(#REF!,"AAAAADnG778=")</f>
        <v>#REF!</v>
      </c>
      <c r="GK183" t="e">
        <f>AND(#REF!,"AAAAADnG78A=")</f>
        <v>#REF!</v>
      </c>
      <c r="GL183" t="e">
        <f>IF(#REF!,"AAAAADnG78E=",0)</f>
        <v>#REF!</v>
      </c>
      <c r="GM183" t="e">
        <f>AND(#REF!,"AAAAADnG78I=")</f>
        <v>#REF!</v>
      </c>
      <c r="GN183" t="e">
        <f>AND(#REF!,"AAAAADnG78M=")</f>
        <v>#REF!</v>
      </c>
      <c r="GO183" t="e">
        <f>AND(#REF!,"AAAAADnG78Q=")</f>
        <v>#REF!</v>
      </c>
      <c r="GP183" t="e">
        <f>AND(#REF!,"AAAAADnG78U=")</f>
        <v>#REF!</v>
      </c>
      <c r="GQ183" t="e">
        <f>AND(#REF!,"AAAAADnG78Y=")</f>
        <v>#REF!</v>
      </c>
      <c r="GR183" t="e">
        <f>AND(#REF!,"AAAAADnG78c=")</f>
        <v>#REF!</v>
      </c>
      <c r="GS183" t="e">
        <f>AND(#REF!,"AAAAADnG78g=")</f>
        <v>#REF!</v>
      </c>
      <c r="GT183" t="e">
        <f>AND(#REF!,"AAAAADnG78k=")</f>
        <v>#REF!</v>
      </c>
      <c r="GU183" t="e">
        <f>AND(#REF!,"AAAAADnG78o=")</f>
        <v>#REF!</v>
      </c>
      <c r="GV183" t="e">
        <f>AND(#REF!,"AAAAADnG78s=")</f>
        <v>#REF!</v>
      </c>
      <c r="GW183" t="e">
        <f>AND(#REF!,"AAAAADnG78w=")</f>
        <v>#REF!</v>
      </c>
      <c r="GX183" t="e">
        <f>AND(#REF!,"AAAAADnG780=")</f>
        <v>#REF!</v>
      </c>
      <c r="GY183" t="e">
        <f>AND(#REF!,"AAAAADnG784=")</f>
        <v>#REF!</v>
      </c>
      <c r="GZ183" t="e">
        <f>AND(#REF!,"AAAAADnG788=")</f>
        <v>#REF!</v>
      </c>
      <c r="HA183" t="e">
        <f>AND(#REF!,"AAAAADnG79A=")</f>
        <v>#REF!</v>
      </c>
      <c r="HB183" t="e">
        <f>AND(#REF!,"AAAAADnG79E=")</f>
        <v>#REF!</v>
      </c>
      <c r="HC183" t="e">
        <f>AND(#REF!,"AAAAADnG79I=")</f>
        <v>#REF!</v>
      </c>
      <c r="HD183" t="e">
        <f>AND(#REF!,"AAAAADnG79M=")</f>
        <v>#REF!</v>
      </c>
      <c r="HE183" t="e">
        <f>AND(#REF!,"AAAAADnG79Q=")</f>
        <v>#REF!</v>
      </c>
      <c r="HF183" t="e">
        <f>AND(#REF!,"AAAAADnG79U=")</f>
        <v>#REF!</v>
      </c>
      <c r="HG183" t="e">
        <f>AND(#REF!,"AAAAADnG79Y=")</f>
        <v>#REF!</v>
      </c>
      <c r="HH183" t="e">
        <f>AND(#REF!,"AAAAADnG79c=")</f>
        <v>#REF!</v>
      </c>
      <c r="HI183" t="e">
        <f>AND(#REF!,"AAAAADnG79g=")</f>
        <v>#REF!</v>
      </c>
      <c r="HJ183" t="e">
        <f>AND(#REF!,"AAAAADnG79k=")</f>
        <v>#REF!</v>
      </c>
      <c r="HK183" t="e">
        <f>IF(#REF!,"AAAAADnG79o=",0)</f>
        <v>#REF!</v>
      </c>
      <c r="HL183" t="e">
        <f>AND(#REF!,"AAAAADnG79s=")</f>
        <v>#REF!</v>
      </c>
      <c r="HM183" t="e">
        <f>AND(#REF!,"AAAAADnG79w=")</f>
        <v>#REF!</v>
      </c>
      <c r="HN183" t="e">
        <f>AND(#REF!,"AAAAADnG790=")</f>
        <v>#REF!</v>
      </c>
      <c r="HO183" t="e">
        <f>AND(#REF!,"AAAAADnG794=")</f>
        <v>#REF!</v>
      </c>
      <c r="HP183" t="e">
        <f>AND(#REF!,"AAAAADnG798=")</f>
        <v>#REF!</v>
      </c>
      <c r="HQ183" t="e">
        <f>AND(#REF!,"AAAAADnG7+A=")</f>
        <v>#REF!</v>
      </c>
      <c r="HR183" t="e">
        <f>AND(#REF!,"AAAAADnG7+E=")</f>
        <v>#REF!</v>
      </c>
      <c r="HS183" t="e">
        <f>AND(#REF!,"AAAAADnG7+I=")</f>
        <v>#REF!</v>
      </c>
      <c r="HT183" t="e">
        <f>AND(#REF!,"AAAAADnG7+M=")</f>
        <v>#REF!</v>
      </c>
      <c r="HU183" t="e">
        <f>AND(#REF!,"AAAAADnG7+Q=")</f>
        <v>#REF!</v>
      </c>
      <c r="HV183" t="e">
        <f>AND(#REF!,"AAAAADnG7+U=")</f>
        <v>#REF!</v>
      </c>
      <c r="HW183" t="e">
        <f>AND(#REF!,"AAAAADnG7+Y=")</f>
        <v>#REF!</v>
      </c>
      <c r="HX183" t="e">
        <f>AND(#REF!,"AAAAADnG7+c=")</f>
        <v>#REF!</v>
      </c>
      <c r="HY183" t="e">
        <f>AND(#REF!,"AAAAADnG7+g=")</f>
        <v>#REF!</v>
      </c>
      <c r="HZ183" t="e">
        <f>AND(#REF!,"AAAAADnG7+k=")</f>
        <v>#REF!</v>
      </c>
      <c r="IA183" t="e">
        <f>AND(#REF!,"AAAAADnG7+o=")</f>
        <v>#REF!</v>
      </c>
      <c r="IB183" t="e">
        <f>AND(#REF!,"AAAAADnG7+s=")</f>
        <v>#REF!</v>
      </c>
      <c r="IC183" t="e">
        <f>AND(#REF!,"AAAAADnG7+w=")</f>
        <v>#REF!</v>
      </c>
      <c r="ID183" t="e">
        <f>AND(#REF!,"AAAAADnG7+0=")</f>
        <v>#REF!</v>
      </c>
      <c r="IE183" t="e">
        <f>AND(#REF!,"AAAAADnG7+4=")</f>
        <v>#REF!</v>
      </c>
      <c r="IF183" t="e">
        <f>AND(#REF!,"AAAAADnG7+8=")</f>
        <v>#REF!</v>
      </c>
      <c r="IG183" t="e">
        <f>AND(#REF!,"AAAAADnG7/A=")</f>
        <v>#REF!</v>
      </c>
      <c r="IH183" t="e">
        <f>AND(#REF!,"AAAAADnG7/E=")</f>
        <v>#REF!</v>
      </c>
      <c r="II183" t="e">
        <f>AND(#REF!,"AAAAADnG7/I=")</f>
        <v>#REF!</v>
      </c>
      <c r="IJ183" t="e">
        <f>IF(#REF!,"AAAAADnG7/M=",0)</f>
        <v>#REF!</v>
      </c>
      <c r="IK183" t="e">
        <f>AND(#REF!,"AAAAADnG7/Q=")</f>
        <v>#REF!</v>
      </c>
      <c r="IL183" t="e">
        <f>AND(#REF!,"AAAAADnG7/U=")</f>
        <v>#REF!</v>
      </c>
      <c r="IM183" t="e">
        <f>AND(#REF!,"AAAAADnG7/Y=")</f>
        <v>#REF!</v>
      </c>
      <c r="IN183" t="e">
        <f>AND(#REF!,"AAAAADnG7/c=")</f>
        <v>#REF!</v>
      </c>
      <c r="IO183" t="e">
        <f>AND(#REF!,"AAAAADnG7/g=")</f>
        <v>#REF!</v>
      </c>
      <c r="IP183" t="e">
        <f>AND(#REF!,"AAAAADnG7/k=")</f>
        <v>#REF!</v>
      </c>
      <c r="IQ183" t="e">
        <f>AND(#REF!,"AAAAADnG7/o=")</f>
        <v>#REF!</v>
      </c>
      <c r="IR183" t="e">
        <f>AND(#REF!,"AAAAADnG7/s=")</f>
        <v>#REF!</v>
      </c>
      <c r="IS183" t="e">
        <f>AND(#REF!,"AAAAADnG7/w=")</f>
        <v>#REF!</v>
      </c>
      <c r="IT183" t="e">
        <f>AND(#REF!,"AAAAADnG7/0=")</f>
        <v>#REF!</v>
      </c>
      <c r="IU183" t="e">
        <f>AND(#REF!,"AAAAADnG7/4=")</f>
        <v>#REF!</v>
      </c>
      <c r="IV183" t="e">
        <f>AND(#REF!,"AAAAADnG7/8=")</f>
        <v>#REF!</v>
      </c>
    </row>
    <row r="184" spans="1:256">
      <c r="A184" t="e">
        <f>AND(#REF!,"AAAAAD+//wA=")</f>
        <v>#REF!</v>
      </c>
      <c r="B184" t="e">
        <f>AND(#REF!,"AAAAAD+//wE=")</f>
        <v>#REF!</v>
      </c>
      <c r="C184" t="e">
        <f>AND(#REF!,"AAAAAD+//wI=")</f>
        <v>#REF!</v>
      </c>
      <c r="D184" t="e">
        <f>AND(#REF!,"AAAAAD+//wM=")</f>
        <v>#REF!</v>
      </c>
      <c r="E184" t="e">
        <f>AND(#REF!,"AAAAAD+//wQ=")</f>
        <v>#REF!</v>
      </c>
      <c r="F184" t="e">
        <f>AND(#REF!,"AAAAAD+//wU=")</f>
        <v>#REF!</v>
      </c>
      <c r="G184" t="e">
        <f>AND(#REF!,"AAAAAD+//wY=")</f>
        <v>#REF!</v>
      </c>
      <c r="H184" t="e">
        <f>AND(#REF!,"AAAAAD+//wc=")</f>
        <v>#REF!</v>
      </c>
      <c r="I184" t="e">
        <f>AND(#REF!,"AAAAAD+//wg=")</f>
        <v>#REF!</v>
      </c>
      <c r="J184" t="e">
        <f>AND(#REF!,"AAAAAD+//wk=")</f>
        <v>#REF!</v>
      </c>
      <c r="K184" t="e">
        <f>AND(#REF!,"AAAAAD+//wo=")</f>
        <v>#REF!</v>
      </c>
      <c r="L184" t="e">
        <f>AND(#REF!,"AAAAAD+//ws=")</f>
        <v>#REF!</v>
      </c>
      <c r="M184" t="e">
        <f>IF(#REF!,"AAAAAD+//ww=",0)</f>
        <v>#REF!</v>
      </c>
      <c r="N184" t="e">
        <f>AND(#REF!,"AAAAAD+//w0=")</f>
        <v>#REF!</v>
      </c>
      <c r="O184" t="e">
        <f>AND(#REF!,"AAAAAD+//w4=")</f>
        <v>#REF!</v>
      </c>
      <c r="P184" t="e">
        <f>AND(#REF!,"AAAAAD+//w8=")</f>
        <v>#REF!</v>
      </c>
      <c r="Q184" t="e">
        <f>AND(#REF!,"AAAAAD+//xA=")</f>
        <v>#REF!</v>
      </c>
      <c r="R184" t="e">
        <f>AND(#REF!,"AAAAAD+//xE=")</f>
        <v>#REF!</v>
      </c>
      <c r="S184" t="e">
        <f>AND(#REF!,"AAAAAD+//xI=")</f>
        <v>#REF!</v>
      </c>
      <c r="T184" t="e">
        <f>AND(#REF!,"AAAAAD+//xM=")</f>
        <v>#REF!</v>
      </c>
      <c r="U184" t="e">
        <f>AND(#REF!,"AAAAAD+//xQ=")</f>
        <v>#REF!</v>
      </c>
      <c r="V184" t="e">
        <f>AND(#REF!,"AAAAAD+//xU=")</f>
        <v>#REF!</v>
      </c>
      <c r="W184" t="e">
        <f>AND(#REF!,"AAAAAD+//xY=")</f>
        <v>#REF!</v>
      </c>
      <c r="X184" t="e">
        <f>AND(#REF!,"AAAAAD+//xc=")</f>
        <v>#REF!</v>
      </c>
      <c r="Y184" t="e">
        <f>AND(#REF!,"AAAAAD+//xg=")</f>
        <v>#REF!</v>
      </c>
      <c r="Z184" t="e">
        <f>AND(#REF!,"AAAAAD+//xk=")</f>
        <v>#REF!</v>
      </c>
      <c r="AA184" t="e">
        <f>AND(#REF!,"AAAAAD+//xo=")</f>
        <v>#REF!</v>
      </c>
      <c r="AB184" t="e">
        <f>AND(#REF!,"AAAAAD+//xs=")</f>
        <v>#REF!</v>
      </c>
      <c r="AC184" t="e">
        <f>AND(#REF!,"AAAAAD+//xw=")</f>
        <v>#REF!</v>
      </c>
      <c r="AD184" t="e">
        <f>AND(#REF!,"AAAAAD+//x0=")</f>
        <v>#REF!</v>
      </c>
      <c r="AE184" t="e">
        <f>AND(#REF!,"AAAAAD+//x4=")</f>
        <v>#REF!</v>
      </c>
      <c r="AF184" t="e">
        <f>AND(#REF!,"AAAAAD+//x8=")</f>
        <v>#REF!</v>
      </c>
      <c r="AG184" t="e">
        <f>AND(#REF!,"AAAAAD+//yA=")</f>
        <v>#REF!</v>
      </c>
      <c r="AH184" t="e">
        <f>AND(#REF!,"AAAAAD+//yE=")</f>
        <v>#REF!</v>
      </c>
      <c r="AI184" t="e">
        <f>AND(#REF!,"AAAAAD+//yI=")</f>
        <v>#REF!</v>
      </c>
      <c r="AJ184" t="e">
        <f>AND(#REF!,"AAAAAD+//yM=")</f>
        <v>#REF!</v>
      </c>
      <c r="AK184" t="e">
        <f>AND(#REF!,"AAAAAD+//yQ=")</f>
        <v>#REF!</v>
      </c>
      <c r="AL184" t="e">
        <f>IF(#REF!,"AAAAAD+//yU=",0)</f>
        <v>#REF!</v>
      </c>
      <c r="AM184" t="e">
        <f>AND(#REF!,"AAAAAD+//yY=")</f>
        <v>#REF!</v>
      </c>
      <c r="AN184" t="e">
        <f>AND(#REF!,"AAAAAD+//yc=")</f>
        <v>#REF!</v>
      </c>
      <c r="AO184" t="e">
        <f>AND(#REF!,"AAAAAD+//yg=")</f>
        <v>#REF!</v>
      </c>
      <c r="AP184" t="e">
        <f>AND(#REF!,"AAAAAD+//yk=")</f>
        <v>#REF!</v>
      </c>
      <c r="AQ184" t="e">
        <f>AND(#REF!,"AAAAAD+//yo=")</f>
        <v>#REF!</v>
      </c>
      <c r="AR184" t="e">
        <f>AND(#REF!,"AAAAAD+//ys=")</f>
        <v>#REF!</v>
      </c>
      <c r="AS184" t="e">
        <f>AND(#REF!,"AAAAAD+//yw=")</f>
        <v>#REF!</v>
      </c>
      <c r="AT184" t="e">
        <f>AND(#REF!,"AAAAAD+//y0=")</f>
        <v>#REF!</v>
      </c>
      <c r="AU184" t="e">
        <f>AND(#REF!,"AAAAAD+//y4=")</f>
        <v>#REF!</v>
      </c>
      <c r="AV184" t="e">
        <f>AND(#REF!,"AAAAAD+//y8=")</f>
        <v>#REF!</v>
      </c>
      <c r="AW184" t="e">
        <f>AND(#REF!,"AAAAAD+//zA=")</f>
        <v>#REF!</v>
      </c>
      <c r="AX184" t="e">
        <f>AND(#REF!,"AAAAAD+//zE=")</f>
        <v>#REF!</v>
      </c>
      <c r="AY184" t="e">
        <f>AND(#REF!,"AAAAAD+//zI=")</f>
        <v>#REF!</v>
      </c>
      <c r="AZ184" t="e">
        <f>AND(#REF!,"AAAAAD+//zM=")</f>
        <v>#REF!</v>
      </c>
      <c r="BA184" t="e">
        <f>AND(#REF!,"AAAAAD+//zQ=")</f>
        <v>#REF!</v>
      </c>
      <c r="BB184" t="e">
        <f>AND(#REF!,"AAAAAD+//zU=")</f>
        <v>#REF!</v>
      </c>
      <c r="BC184" t="e">
        <f>AND(#REF!,"AAAAAD+//zY=")</f>
        <v>#REF!</v>
      </c>
      <c r="BD184" t="e">
        <f>AND(#REF!,"AAAAAD+//zc=")</f>
        <v>#REF!</v>
      </c>
      <c r="BE184" t="e">
        <f>AND(#REF!,"AAAAAD+//zg=")</f>
        <v>#REF!</v>
      </c>
      <c r="BF184" t="e">
        <f>AND(#REF!,"AAAAAD+//zk=")</f>
        <v>#REF!</v>
      </c>
      <c r="BG184" t="e">
        <f>AND(#REF!,"AAAAAD+//zo=")</f>
        <v>#REF!</v>
      </c>
      <c r="BH184" t="e">
        <f>AND(#REF!,"AAAAAD+//zs=")</f>
        <v>#REF!</v>
      </c>
      <c r="BI184" t="e">
        <f>AND(#REF!,"AAAAAD+//zw=")</f>
        <v>#REF!</v>
      </c>
      <c r="BJ184" t="e">
        <f>AND(#REF!,"AAAAAD+//z0=")</f>
        <v>#REF!</v>
      </c>
      <c r="BK184" t="e">
        <f>IF(#REF!,"AAAAAD+//z4=",0)</f>
        <v>#REF!</v>
      </c>
      <c r="BL184" t="e">
        <f>AND(#REF!,"AAAAAD+//z8=")</f>
        <v>#REF!</v>
      </c>
      <c r="BM184" t="e">
        <f>AND(#REF!,"AAAAAD+//0A=")</f>
        <v>#REF!</v>
      </c>
      <c r="BN184" t="e">
        <f>AND(#REF!,"AAAAAD+//0E=")</f>
        <v>#REF!</v>
      </c>
      <c r="BO184" t="e">
        <f>AND(#REF!,"AAAAAD+//0I=")</f>
        <v>#REF!</v>
      </c>
      <c r="BP184" t="e">
        <f>AND(#REF!,"AAAAAD+//0M=")</f>
        <v>#REF!</v>
      </c>
      <c r="BQ184" t="e">
        <f>AND(#REF!,"AAAAAD+//0Q=")</f>
        <v>#REF!</v>
      </c>
      <c r="BR184" t="e">
        <f>AND(#REF!,"AAAAAD+//0U=")</f>
        <v>#REF!</v>
      </c>
      <c r="BS184" t="e">
        <f>AND(#REF!,"AAAAAD+//0Y=")</f>
        <v>#REF!</v>
      </c>
      <c r="BT184" t="e">
        <f>AND(#REF!,"AAAAAD+//0c=")</f>
        <v>#REF!</v>
      </c>
      <c r="BU184" t="e">
        <f>AND(#REF!,"AAAAAD+//0g=")</f>
        <v>#REF!</v>
      </c>
      <c r="BV184" t="e">
        <f>AND(#REF!,"AAAAAD+//0k=")</f>
        <v>#REF!</v>
      </c>
      <c r="BW184" t="e">
        <f>AND(#REF!,"AAAAAD+//0o=")</f>
        <v>#REF!</v>
      </c>
      <c r="BX184" t="e">
        <f>AND(#REF!,"AAAAAD+//0s=")</f>
        <v>#REF!</v>
      </c>
      <c r="BY184" t="e">
        <f>AND(#REF!,"AAAAAD+//0w=")</f>
        <v>#REF!</v>
      </c>
      <c r="BZ184" t="e">
        <f>AND(#REF!,"AAAAAD+//00=")</f>
        <v>#REF!</v>
      </c>
      <c r="CA184" t="e">
        <f>AND(#REF!,"AAAAAD+//04=")</f>
        <v>#REF!</v>
      </c>
      <c r="CB184" t="e">
        <f>AND(#REF!,"AAAAAD+//08=")</f>
        <v>#REF!</v>
      </c>
      <c r="CC184" t="e">
        <f>AND(#REF!,"AAAAAD+//1A=")</f>
        <v>#REF!</v>
      </c>
      <c r="CD184" t="e">
        <f>AND(#REF!,"AAAAAD+//1E=")</f>
        <v>#REF!</v>
      </c>
      <c r="CE184" t="e">
        <f>AND(#REF!,"AAAAAD+//1I=")</f>
        <v>#REF!</v>
      </c>
      <c r="CF184" t="e">
        <f>AND(#REF!,"AAAAAD+//1M=")</f>
        <v>#REF!</v>
      </c>
      <c r="CG184" t="e">
        <f>AND(#REF!,"AAAAAD+//1Q=")</f>
        <v>#REF!</v>
      </c>
      <c r="CH184" t="e">
        <f>AND(#REF!,"AAAAAD+//1U=")</f>
        <v>#REF!</v>
      </c>
      <c r="CI184" t="e">
        <f>AND(#REF!,"AAAAAD+//1Y=")</f>
        <v>#REF!</v>
      </c>
      <c r="CJ184" t="e">
        <f>IF(#REF!,"AAAAAD+//1c=",0)</f>
        <v>#REF!</v>
      </c>
      <c r="CK184" t="e">
        <f>AND(#REF!,"AAAAAD+//1g=")</f>
        <v>#REF!</v>
      </c>
      <c r="CL184" t="e">
        <f>AND(#REF!,"AAAAAD+//1k=")</f>
        <v>#REF!</v>
      </c>
      <c r="CM184" t="e">
        <f>AND(#REF!,"AAAAAD+//1o=")</f>
        <v>#REF!</v>
      </c>
      <c r="CN184" t="e">
        <f>AND(#REF!,"AAAAAD+//1s=")</f>
        <v>#REF!</v>
      </c>
      <c r="CO184" t="e">
        <f>AND(#REF!,"AAAAAD+//1w=")</f>
        <v>#REF!</v>
      </c>
      <c r="CP184" t="e">
        <f>AND(#REF!,"AAAAAD+//10=")</f>
        <v>#REF!</v>
      </c>
      <c r="CQ184" t="e">
        <f>AND(#REF!,"AAAAAD+//14=")</f>
        <v>#REF!</v>
      </c>
      <c r="CR184" t="e">
        <f>AND(#REF!,"AAAAAD+//18=")</f>
        <v>#REF!</v>
      </c>
      <c r="CS184" t="e">
        <f>AND(#REF!,"AAAAAD+//2A=")</f>
        <v>#REF!</v>
      </c>
      <c r="CT184" t="e">
        <f>AND(#REF!,"AAAAAD+//2E=")</f>
        <v>#REF!</v>
      </c>
      <c r="CU184" t="e">
        <f>AND(#REF!,"AAAAAD+//2I=")</f>
        <v>#REF!</v>
      </c>
      <c r="CV184" t="e">
        <f>AND(#REF!,"AAAAAD+//2M=")</f>
        <v>#REF!</v>
      </c>
      <c r="CW184" t="e">
        <f>AND(#REF!,"AAAAAD+//2Q=")</f>
        <v>#REF!</v>
      </c>
      <c r="CX184" t="e">
        <f>AND(#REF!,"AAAAAD+//2U=")</f>
        <v>#REF!</v>
      </c>
      <c r="CY184" t="e">
        <f>AND(#REF!,"AAAAAD+//2Y=")</f>
        <v>#REF!</v>
      </c>
      <c r="CZ184" t="e">
        <f>AND(#REF!,"AAAAAD+//2c=")</f>
        <v>#REF!</v>
      </c>
      <c r="DA184" t="e">
        <f>AND(#REF!,"AAAAAD+//2g=")</f>
        <v>#REF!</v>
      </c>
      <c r="DB184" t="e">
        <f>AND(#REF!,"AAAAAD+//2k=")</f>
        <v>#REF!</v>
      </c>
      <c r="DC184" t="e">
        <f>AND(#REF!,"AAAAAD+//2o=")</f>
        <v>#REF!</v>
      </c>
      <c r="DD184" t="e">
        <f>AND(#REF!,"AAAAAD+//2s=")</f>
        <v>#REF!</v>
      </c>
      <c r="DE184" t="e">
        <f>AND(#REF!,"AAAAAD+//2w=")</f>
        <v>#REF!</v>
      </c>
      <c r="DF184" t="e">
        <f>AND(#REF!,"AAAAAD+//20=")</f>
        <v>#REF!</v>
      </c>
      <c r="DG184" t="e">
        <f>AND(#REF!,"AAAAAD+//24=")</f>
        <v>#REF!</v>
      </c>
      <c r="DH184" t="e">
        <f>AND(#REF!,"AAAAAD+//28=")</f>
        <v>#REF!</v>
      </c>
      <c r="DI184" t="e">
        <f>IF(#REF!,"AAAAAD+//3A=",0)</f>
        <v>#REF!</v>
      </c>
      <c r="DJ184" t="e">
        <f>AND(#REF!,"AAAAAD+//3E=")</f>
        <v>#REF!</v>
      </c>
      <c r="DK184" t="e">
        <f>AND(#REF!,"AAAAAD+//3I=")</f>
        <v>#REF!</v>
      </c>
      <c r="DL184" t="e">
        <f>AND(#REF!,"AAAAAD+//3M=")</f>
        <v>#REF!</v>
      </c>
      <c r="DM184" t="e">
        <f>AND(#REF!,"AAAAAD+//3Q=")</f>
        <v>#REF!</v>
      </c>
      <c r="DN184" t="e">
        <f>AND(#REF!,"AAAAAD+//3U=")</f>
        <v>#REF!</v>
      </c>
      <c r="DO184" t="e">
        <f>AND(#REF!,"AAAAAD+//3Y=")</f>
        <v>#REF!</v>
      </c>
      <c r="DP184" t="e">
        <f>AND(#REF!,"AAAAAD+//3c=")</f>
        <v>#REF!</v>
      </c>
      <c r="DQ184" t="e">
        <f>AND(#REF!,"AAAAAD+//3g=")</f>
        <v>#REF!</v>
      </c>
      <c r="DR184" t="e">
        <f>AND(#REF!,"AAAAAD+//3k=")</f>
        <v>#REF!</v>
      </c>
      <c r="DS184" t="e">
        <f>AND(#REF!,"AAAAAD+//3o=")</f>
        <v>#REF!</v>
      </c>
      <c r="DT184" t="e">
        <f>AND(#REF!,"AAAAAD+//3s=")</f>
        <v>#REF!</v>
      </c>
      <c r="DU184" t="e">
        <f>AND(#REF!,"AAAAAD+//3w=")</f>
        <v>#REF!</v>
      </c>
      <c r="DV184" t="e">
        <f>AND(#REF!,"AAAAAD+//30=")</f>
        <v>#REF!</v>
      </c>
      <c r="DW184" t="e">
        <f>AND(#REF!,"AAAAAD+//34=")</f>
        <v>#REF!</v>
      </c>
      <c r="DX184" t="e">
        <f>AND(#REF!,"AAAAAD+//38=")</f>
        <v>#REF!</v>
      </c>
      <c r="DY184" t="e">
        <f>AND(#REF!,"AAAAAD+//4A=")</f>
        <v>#REF!</v>
      </c>
      <c r="DZ184" t="e">
        <f>AND(#REF!,"AAAAAD+//4E=")</f>
        <v>#REF!</v>
      </c>
      <c r="EA184" t="e">
        <f>AND(#REF!,"AAAAAD+//4I=")</f>
        <v>#REF!</v>
      </c>
      <c r="EB184" t="e">
        <f>AND(#REF!,"AAAAAD+//4M=")</f>
        <v>#REF!</v>
      </c>
      <c r="EC184" t="e">
        <f>AND(#REF!,"AAAAAD+//4Q=")</f>
        <v>#REF!</v>
      </c>
      <c r="ED184" t="e">
        <f>AND(#REF!,"AAAAAD+//4U=")</f>
        <v>#REF!</v>
      </c>
      <c r="EE184" t="e">
        <f>AND(#REF!,"AAAAAD+//4Y=")</f>
        <v>#REF!</v>
      </c>
      <c r="EF184" t="e">
        <f>AND(#REF!,"AAAAAD+//4c=")</f>
        <v>#REF!</v>
      </c>
      <c r="EG184" t="e">
        <f>AND(#REF!,"AAAAAD+//4g=")</f>
        <v>#REF!</v>
      </c>
      <c r="EH184" t="e">
        <f>IF(#REF!,"AAAAAD+//4k=",0)</f>
        <v>#REF!</v>
      </c>
      <c r="EI184" t="e">
        <f>AND(#REF!,"AAAAAD+//4o=")</f>
        <v>#REF!</v>
      </c>
      <c r="EJ184" t="e">
        <f>AND(#REF!,"AAAAAD+//4s=")</f>
        <v>#REF!</v>
      </c>
      <c r="EK184" t="e">
        <f>AND(#REF!,"AAAAAD+//4w=")</f>
        <v>#REF!</v>
      </c>
      <c r="EL184" t="e">
        <f>AND(#REF!,"AAAAAD+//40=")</f>
        <v>#REF!</v>
      </c>
      <c r="EM184" t="e">
        <f>AND(#REF!,"AAAAAD+//44=")</f>
        <v>#REF!</v>
      </c>
      <c r="EN184" t="e">
        <f>AND(#REF!,"AAAAAD+//48=")</f>
        <v>#REF!</v>
      </c>
      <c r="EO184" t="e">
        <f>AND(#REF!,"AAAAAD+//5A=")</f>
        <v>#REF!</v>
      </c>
      <c r="EP184" t="e">
        <f>AND(#REF!,"AAAAAD+//5E=")</f>
        <v>#REF!</v>
      </c>
      <c r="EQ184" t="e">
        <f>AND(#REF!,"AAAAAD+//5I=")</f>
        <v>#REF!</v>
      </c>
      <c r="ER184" t="e">
        <f>AND(#REF!,"AAAAAD+//5M=")</f>
        <v>#REF!</v>
      </c>
      <c r="ES184" t="e">
        <f>AND(#REF!,"AAAAAD+//5Q=")</f>
        <v>#REF!</v>
      </c>
      <c r="ET184" t="e">
        <f>AND(#REF!,"AAAAAD+//5U=")</f>
        <v>#REF!</v>
      </c>
      <c r="EU184" t="e">
        <f>AND(#REF!,"AAAAAD+//5Y=")</f>
        <v>#REF!</v>
      </c>
      <c r="EV184" t="e">
        <f>AND(#REF!,"AAAAAD+//5c=")</f>
        <v>#REF!</v>
      </c>
      <c r="EW184" t="e">
        <f>AND(#REF!,"AAAAAD+//5g=")</f>
        <v>#REF!</v>
      </c>
      <c r="EX184" t="e">
        <f>AND(#REF!,"AAAAAD+//5k=")</f>
        <v>#REF!</v>
      </c>
      <c r="EY184" t="e">
        <f>AND(#REF!,"AAAAAD+//5o=")</f>
        <v>#REF!</v>
      </c>
      <c r="EZ184" t="e">
        <f>AND(#REF!,"AAAAAD+//5s=")</f>
        <v>#REF!</v>
      </c>
      <c r="FA184" t="e">
        <f>AND(#REF!,"AAAAAD+//5w=")</f>
        <v>#REF!</v>
      </c>
      <c r="FB184" t="e">
        <f>AND(#REF!,"AAAAAD+//50=")</f>
        <v>#REF!</v>
      </c>
      <c r="FC184" t="e">
        <f>AND(#REF!,"AAAAAD+//54=")</f>
        <v>#REF!</v>
      </c>
      <c r="FD184" t="e">
        <f>AND(#REF!,"AAAAAD+//58=")</f>
        <v>#REF!</v>
      </c>
      <c r="FE184" t="e">
        <f>AND(#REF!,"AAAAAD+//6A=")</f>
        <v>#REF!</v>
      </c>
      <c r="FF184" t="e">
        <f>AND(#REF!,"AAAAAD+//6E=")</f>
        <v>#REF!</v>
      </c>
      <c r="FG184" t="e">
        <f>IF(#REF!,"AAAAAD+//6I=",0)</f>
        <v>#REF!</v>
      </c>
      <c r="FH184" t="e">
        <f>AND(#REF!,"AAAAAD+//6M=")</f>
        <v>#REF!</v>
      </c>
      <c r="FI184" t="e">
        <f>AND(#REF!,"AAAAAD+//6Q=")</f>
        <v>#REF!</v>
      </c>
      <c r="FJ184" t="e">
        <f>AND(#REF!,"AAAAAD+//6U=")</f>
        <v>#REF!</v>
      </c>
      <c r="FK184" t="e">
        <f>AND(#REF!,"AAAAAD+//6Y=")</f>
        <v>#REF!</v>
      </c>
      <c r="FL184" t="e">
        <f>AND(#REF!,"AAAAAD+//6c=")</f>
        <v>#REF!</v>
      </c>
      <c r="FM184" t="e">
        <f>AND(#REF!,"AAAAAD+//6g=")</f>
        <v>#REF!</v>
      </c>
      <c r="FN184" t="e">
        <f>AND(#REF!,"AAAAAD+//6k=")</f>
        <v>#REF!</v>
      </c>
      <c r="FO184" t="e">
        <f>AND(#REF!,"AAAAAD+//6o=")</f>
        <v>#REF!</v>
      </c>
      <c r="FP184" t="e">
        <f>AND(#REF!,"AAAAAD+//6s=")</f>
        <v>#REF!</v>
      </c>
      <c r="FQ184" t="e">
        <f>AND(#REF!,"AAAAAD+//6w=")</f>
        <v>#REF!</v>
      </c>
      <c r="FR184" t="e">
        <f>AND(#REF!,"AAAAAD+//60=")</f>
        <v>#REF!</v>
      </c>
      <c r="FS184" t="e">
        <f>AND(#REF!,"AAAAAD+//64=")</f>
        <v>#REF!</v>
      </c>
      <c r="FT184" t="e">
        <f>AND(#REF!,"AAAAAD+//68=")</f>
        <v>#REF!</v>
      </c>
      <c r="FU184" t="e">
        <f>AND(#REF!,"AAAAAD+//7A=")</f>
        <v>#REF!</v>
      </c>
      <c r="FV184" t="e">
        <f>AND(#REF!,"AAAAAD+//7E=")</f>
        <v>#REF!</v>
      </c>
      <c r="FW184" t="e">
        <f>AND(#REF!,"AAAAAD+//7I=")</f>
        <v>#REF!</v>
      </c>
      <c r="FX184" t="e">
        <f>AND(#REF!,"AAAAAD+//7M=")</f>
        <v>#REF!</v>
      </c>
      <c r="FY184" t="e">
        <f>AND(#REF!,"AAAAAD+//7Q=")</f>
        <v>#REF!</v>
      </c>
      <c r="FZ184" t="e">
        <f>AND(#REF!,"AAAAAD+//7U=")</f>
        <v>#REF!</v>
      </c>
      <c r="GA184" t="e">
        <f>AND(#REF!,"AAAAAD+//7Y=")</f>
        <v>#REF!</v>
      </c>
      <c r="GB184" t="e">
        <f>AND(#REF!,"AAAAAD+//7c=")</f>
        <v>#REF!</v>
      </c>
      <c r="GC184" t="e">
        <f>AND(#REF!,"AAAAAD+//7g=")</f>
        <v>#REF!</v>
      </c>
      <c r="GD184" t="e">
        <f>AND(#REF!,"AAAAAD+//7k=")</f>
        <v>#REF!</v>
      </c>
      <c r="GE184" t="e">
        <f>AND(#REF!,"AAAAAD+//7o=")</f>
        <v>#REF!</v>
      </c>
      <c r="GF184" t="e">
        <f>IF(#REF!,"AAAAAD+//7s=",0)</f>
        <v>#REF!</v>
      </c>
      <c r="GG184" t="e">
        <f>AND(#REF!,"AAAAAD+//7w=")</f>
        <v>#REF!</v>
      </c>
      <c r="GH184" t="e">
        <f>AND(#REF!,"AAAAAD+//70=")</f>
        <v>#REF!</v>
      </c>
      <c r="GI184" t="e">
        <f>AND(#REF!,"AAAAAD+//74=")</f>
        <v>#REF!</v>
      </c>
      <c r="GJ184" t="e">
        <f>AND(#REF!,"AAAAAD+//78=")</f>
        <v>#REF!</v>
      </c>
      <c r="GK184" t="e">
        <f>AND(#REF!,"AAAAAD+//8A=")</f>
        <v>#REF!</v>
      </c>
      <c r="GL184" t="e">
        <f>AND(#REF!,"AAAAAD+//8E=")</f>
        <v>#REF!</v>
      </c>
      <c r="GM184" t="e">
        <f>AND(#REF!,"AAAAAD+//8I=")</f>
        <v>#REF!</v>
      </c>
      <c r="GN184" t="e">
        <f>AND(#REF!,"AAAAAD+//8M=")</f>
        <v>#REF!</v>
      </c>
      <c r="GO184" t="e">
        <f>AND(#REF!,"AAAAAD+//8Q=")</f>
        <v>#REF!</v>
      </c>
      <c r="GP184" t="e">
        <f>AND(#REF!,"AAAAAD+//8U=")</f>
        <v>#REF!</v>
      </c>
      <c r="GQ184" t="e">
        <f>AND(#REF!,"AAAAAD+//8Y=")</f>
        <v>#REF!</v>
      </c>
      <c r="GR184" t="e">
        <f>AND(#REF!,"AAAAAD+//8c=")</f>
        <v>#REF!</v>
      </c>
      <c r="GS184" t="e">
        <f>AND(#REF!,"AAAAAD+//8g=")</f>
        <v>#REF!</v>
      </c>
      <c r="GT184" t="e">
        <f>AND(#REF!,"AAAAAD+//8k=")</f>
        <v>#REF!</v>
      </c>
      <c r="GU184" t="e">
        <f>AND(#REF!,"AAAAAD+//8o=")</f>
        <v>#REF!</v>
      </c>
      <c r="GV184" t="e">
        <f>AND(#REF!,"AAAAAD+//8s=")</f>
        <v>#REF!</v>
      </c>
      <c r="GW184" t="e">
        <f>AND(#REF!,"AAAAAD+//8w=")</f>
        <v>#REF!</v>
      </c>
      <c r="GX184" t="e">
        <f>AND(#REF!,"AAAAAD+//80=")</f>
        <v>#REF!</v>
      </c>
      <c r="GY184" t="e">
        <f>AND(#REF!,"AAAAAD+//84=")</f>
        <v>#REF!</v>
      </c>
      <c r="GZ184" t="e">
        <f>AND(#REF!,"AAAAAD+//88=")</f>
        <v>#REF!</v>
      </c>
      <c r="HA184" t="e">
        <f>AND(#REF!,"AAAAAD+//9A=")</f>
        <v>#REF!</v>
      </c>
      <c r="HB184" t="e">
        <f>AND(#REF!,"AAAAAD+//9E=")</f>
        <v>#REF!</v>
      </c>
      <c r="HC184" t="e">
        <f>AND(#REF!,"AAAAAD+//9I=")</f>
        <v>#REF!</v>
      </c>
      <c r="HD184" t="e">
        <f>AND(#REF!,"AAAAAD+//9M=")</f>
        <v>#REF!</v>
      </c>
      <c r="HE184" t="e">
        <f>IF(#REF!,"AAAAAD+//9Q=",0)</f>
        <v>#REF!</v>
      </c>
      <c r="HF184" t="e">
        <f>AND(#REF!,"AAAAAD+//9U=")</f>
        <v>#REF!</v>
      </c>
      <c r="HG184" t="e">
        <f>AND(#REF!,"AAAAAD+//9Y=")</f>
        <v>#REF!</v>
      </c>
      <c r="HH184" t="e">
        <f>AND(#REF!,"AAAAAD+//9c=")</f>
        <v>#REF!</v>
      </c>
      <c r="HI184" t="e">
        <f>AND(#REF!,"AAAAAD+//9g=")</f>
        <v>#REF!</v>
      </c>
      <c r="HJ184" t="e">
        <f>AND(#REF!,"AAAAAD+//9k=")</f>
        <v>#REF!</v>
      </c>
      <c r="HK184" t="e">
        <f>AND(#REF!,"AAAAAD+//9o=")</f>
        <v>#REF!</v>
      </c>
      <c r="HL184" t="e">
        <f>AND(#REF!,"AAAAAD+//9s=")</f>
        <v>#REF!</v>
      </c>
      <c r="HM184" t="e">
        <f>AND(#REF!,"AAAAAD+//9w=")</f>
        <v>#REF!</v>
      </c>
      <c r="HN184" t="e">
        <f>AND(#REF!,"AAAAAD+//90=")</f>
        <v>#REF!</v>
      </c>
      <c r="HO184" t="e">
        <f>AND(#REF!,"AAAAAD+//94=")</f>
        <v>#REF!</v>
      </c>
      <c r="HP184" t="e">
        <f>AND(#REF!,"AAAAAD+//98=")</f>
        <v>#REF!</v>
      </c>
      <c r="HQ184" t="e">
        <f>AND(#REF!,"AAAAAD+//+A=")</f>
        <v>#REF!</v>
      </c>
      <c r="HR184" t="e">
        <f>AND(#REF!,"AAAAAD+//+E=")</f>
        <v>#REF!</v>
      </c>
      <c r="HS184" t="e">
        <f>AND(#REF!,"AAAAAD+//+I=")</f>
        <v>#REF!</v>
      </c>
      <c r="HT184" t="e">
        <f>AND(#REF!,"AAAAAD+//+M=")</f>
        <v>#REF!</v>
      </c>
      <c r="HU184" t="e">
        <f>AND(#REF!,"AAAAAD+//+Q=")</f>
        <v>#REF!</v>
      </c>
      <c r="HV184" t="e">
        <f>AND(#REF!,"AAAAAD+//+U=")</f>
        <v>#REF!</v>
      </c>
      <c r="HW184" t="e">
        <f>AND(#REF!,"AAAAAD+//+Y=")</f>
        <v>#REF!</v>
      </c>
      <c r="HX184" t="e">
        <f>AND(#REF!,"AAAAAD+//+c=")</f>
        <v>#REF!</v>
      </c>
      <c r="HY184" t="e">
        <f>AND(#REF!,"AAAAAD+//+g=")</f>
        <v>#REF!</v>
      </c>
      <c r="HZ184" t="e">
        <f>AND(#REF!,"AAAAAD+//+k=")</f>
        <v>#REF!</v>
      </c>
      <c r="IA184" t="e">
        <f>AND(#REF!,"AAAAAD+//+o=")</f>
        <v>#REF!</v>
      </c>
      <c r="IB184" t="e">
        <f>AND(#REF!,"AAAAAD+//+s=")</f>
        <v>#REF!</v>
      </c>
      <c r="IC184" t="e">
        <f>AND(#REF!,"AAAAAD+//+w=")</f>
        <v>#REF!</v>
      </c>
      <c r="ID184" t="e">
        <f>IF(#REF!,"AAAAAD+//+0=",0)</f>
        <v>#REF!</v>
      </c>
      <c r="IE184" t="e">
        <f>AND(#REF!,"AAAAAD+//+4=")</f>
        <v>#REF!</v>
      </c>
      <c r="IF184" t="e">
        <f>AND(#REF!,"AAAAAD+//+8=")</f>
        <v>#REF!</v>
      </c>
      <c r="IG184" t="e">
        <f>AND(#REF!,"AAAAAD+///A=")</f>
        <v>#REF!</v>
      </c>
      <c r="IH184" t="e">
        <f>AND(#REF!,"AAAAAD+///E=")</f>
        <v>#REF!</v>
      </c>
      <c r="II184" t="e">
        <f>AND(#REF!,"AAAAAD+///I=")</f>
        <v>#REF!</v>
      </c>
      <c r="IJ184" t="e">
        <f>AND(#REF!,"AAAAAD+///M=")</f>
        <v>#REF!</v>
      </c>
      <c r="IK184" t="e">
        <f>AND(#REF!,"AAAAAD+///Q=")</f>
        <v>#REF!</v>
      </c>
      <c r="IL184" t="e">
        <f>AND(#REF!,"AAAAAD+///U=")</f>
        <v>#REF!</v>
      </c>
      <c r="IM184" t="e">
        <f>AND(#REF!,"AAAAAD+///Y=")</f>
        <v>#REF!</v>
      </c>
      <c r="IN184" t="e">
        <f>AND(#REF!,"AAAAAD+///c=")</f>
        <v>#REF!</v>
      </c>
      <c r="IO184" t="e">
        <f>AND(#REF!,"AAAAAD+///g=")</f>
        <v>#REF!</v>
      </c>
      <c r="IP184" t="e">
        <f>AND(#REF!,"AAAAAD+///k=")</f>
        <v>#REF!</v>
      </c>
      <c r="IQ184" t="e">
        <f>AND(#REF!,"AAAAAD+///o=")</f>
        <v>#REF!</v>
      </c>
      <c r="IR184" t="e">
        <f>AND(#REF!,"AAAAAD+///s=")</f>
        <v>#REF!</v>
      </c>
      <c r="IS184" t="e">
        <f>AND(#REF!,"AAAAAD+///w=")</f>
        <v>#REF!</v>
      </c>
      <c r="IT184" t="e">
        <f>AND(#REF!,"AAAAAD+///0=")</f>
        <v>#REF!</v>
      </c>
      <c r="IU184" t="e">
        <f>AND(#REF!,"AAAAAD+///4=")</f>
        <v>#REF!</v>
      </c>
      <c r="IV184" t="e">
        <f>AND(#REF!,"AAAAAD+///8=")</f>
        <v>#REF!</v>
      </c>
    </row>
    <row r="185" spans="1:256">
      <c r="A185" t="e">
        <f>AND(#REF!,"AAAAAG///wA=")</f>
        <v>#REF!</v>
      </c>
      <c r="B185" t="e">
        <f>AND(#REF!,"AAAAAG///wE=")</f>
        <v>#REF!</v>
      </c>
      <c r="C185" t="e">
        <f>AND(#REF!,"AAAAAG///wI=")</f>
        <v>#REF!</v>
      </c>
      <c r="D185" t="e">
        <f>AND(#REF!,"AAAAAG///wM=")</f>
        <v>#REF!</v>
      </c>
      <c r="E185" t="e">
        <f>AND(#REF!,"AAAAAG///wQ=")</f>
        <v>#REF!</v>
      </c>
      <c r="F185" t="e">
        <f>AND(#REF!,"AAAAAG///wU=")</f>
        <v>#REF!</v>
      </c>
      <c r="G185" t="e">
        <f>IF(#REF!,"AAAAAG///wY=",0)</f>
        <v>#REF!</v>
      </c>
      <c r="H185" t="e">
        <f>AND(#REF!,"AAAAAG///wc=")</f>
        <v>#REF!</v>
      </c>
      <c r="I185" t="e">
        <f>AND(#REF!,"AAAAAG///wg=")</f>
        <v>#REF!</v>
      </c>
      <c r="J185" t="e">
        <f>AND(#REF!,"AAAAAG///wk=")</f>
        <v>#REF!</v>
      </c>
      <c r="K185" t="e">
        <f>AND(#REF!,"AAAAAG///wo=")</f>
        <v>#REF!</v>
      </c>
      <c r="L185" t="e">
        <f>AND(#REF!,"AAAAAG///ws=")</f>
        <v>#REF!</v>
      </c>
      <c r="M185" t="e">
        <f>AND(#REF!,"AAAAAG///ww=")</f>
        <v>#REF!</v>
      </c>
      <c r="N185" t="e">
        <f>AND(#REF!,"AAAAAG///w0=")</f>
        <v>#REF!</v>
      </c>
      <c r="O185" t="e">
        <f>AND(#REF!,"AAAAAG///w4=")</f>
        <v>#REF!</v>
      </c>
      <c r="P185" t="e">
        <f>AND(#REF!,"AAAAAG///w8=")</f>
        <v>#REF!</v>
      </c>
      <c r="Q185" t="e">
        <f>AND(#REF!,"AAAAAG///xA=")</f>
        <v>#REF!</v>
      </c>
      <c r="R185" t="e">
        <f>AND(#REF!,"AAAAAG///xE=")</f>
        <v>#REF!</v>
      </c>
      <c r="S185" t="e">
        <f>AND(#REF!,"AAAAAG///xI=")</f>
        <v>#REF!</v>
      </c>
      <c r="T185" t="e">
        <f>AND(#REF!,"AAAAAG///xM=")</f>
        <v>#REF!</v>
      </c>
      <c r="U185" t="e">
        <f>AND(#REF!,"AAAAAG///xQ=")</f>
        <v>#REF!</v>
      </c>
      <c r="V185" t="e">
        <f>AND(#REF!,"AAAAAG///xU=")</f>
        <v>#REF!</v>
      </c>
      <c r="W185" t="e">
        <f>AND(#REF!,"AAAAAG///xY=")</f>
        <v>#REF!</v>
      </c>
      <c r="X185" t="e">
        <f>AND(#REF!,"AAAAAG///xc=")</f>
        <v>#REF!</v>
      </c>
      <c r="Y185" t="e">
        <f>AND(#REF!,"AAAAAG///xg=")</f>
        <v>#REF!</v>
      </c>
      <c r="Z185" t="e">
        <f>AND(#REF!,"AAAAAG///xk=")</f>
        <v>#REF!</v>
      </c>
      <c r="AA185" t="e">
        <f>AND(#REF!,"AAAAAG///xo=")</f>
        <v>#REF!</v>
      </c>
      <c r="AB185" t="e">
        <f>AND(#REF!,"AAAAAG///xs=")</f>
        <v>#REF!</v>
      </c>
      <c r="AC185" t="e">
        <f>AND(#REF!,"AAAAAG///xw=")</f>
        <v>#REF!</v>
      </c>
      <c r="AD185" t="e">
        <f>AND(#REF!,"AAAAAG///x0=")</f>
        <v>#REF!</v>
      </c>
      <c r="AE185" t="e">
        <f>AND(#REF!,"AAAAAG///x4=")</f>
        <v>#REF!</v>
      </c>
      <c r="AF185" t="e">
        <f>IF(#REF!,"AAAAAG///x8=",0)</f>
        <v>#REF!</v>
      </c>
      <c r="AG185" t="e">
        <f>AND(#REF!,"AAAAAG///yA=")</f>
        <v>#REF!</v>
      </c>
      <c r="AH185" t="e">
        <f>AND(#REF!,"AAAAAG///yE=")</f>
        <v>#REF!</v>
      </c>
      <c r="AI185" t="e">
        <f>AND(#REF!,"AAAAAG///yI=")</f>
        <v>#REF!</v>
      </c>
      <c r="AJ185" t="e">
        <f>AND(#REF!,"AAAAAG///yM=")</f>
        <v>#REF!</v>
      </c>
      <c r="AK185" t="e">
        <f>AND(#REF!,"AAAAAG///yQ=")</f>
        <v>#REF!</v>
      </c>
      <c r="AL185" t="e">
        <f>AND(#REF!,"AAAAAG///yU=")</f>
        <v>#REF!</v>
      </c>
      <c r="AM185" t="e">
        <f>AND(#REF!,"AAAAAG///yY=")</f>
        <v>#REF!</v>
      </c>
      <c r="AN185" t="e">
        <f>AND(#REF!,"AAAAAG///yc=")</f>
        <v>#REF!</v>
      </c>
      <c r="AO185" t="e">
        <f>AND(#REF!,"AAAAAG///yg=")</f>
        <v>#REF!</v>
      </c>
      <c r="AP185" t="e">
        <f>AND(#REF!,"AAAAAG///yk=")</f>
        <v>#REF!</v>
      </c>
      <c r="AQ185" t="e">
        <f>AND(#REF!,"AAAAAG///yo=")</f>
        <v>#REF!</v>
      </c>
      <c r="AR185" t="e">
        <f>AND(#REF!,"AAAAAG///ys=")</f>
        <v>#REF!</v>
      </c>
      <c r="AS185" t="e">
        <f>AND(#REF!,"AAAAAG///yw=")</f>
        <v>#REF!</v>
      </c>
      <c r="AT185" t="e">
        <f>AND(#REF!,"AAAAAG///y0=")</f>
        <v>#REF!</v>
      </c>
      <c r="AU185" t="e">
        <f>AND(#REF!,"AAAAAG///y4=")</f>
        <v>#REF!</v>
      </c>
      <c r="AV185" t="e">
        <f>AND(#REF!,"AAAAAG///y8=")</f>
        <v>#REF!</v>
      </c>
      <c r="AW185" t="e">
        <f>AND(#REF!,"AAAAAG///zA=")</f>
        <v>#REF!</v>
      </c>
      <c r="AX185" t="e">
        <f>AND(#REF!,"AAAAAG///zE=")</f>
        <v>#REF!</v>
      </c>
      <c r="AY185" t="e">
        <f>AND(#REF!,"AAAAAG///zI=")</f>
        <v>#REF!</v>
      </c>
      <c r="AZ185" t="e">
        <f>AND(#REF!,"AAAAAG///zM=")</f>
        <v>#REF!</v>
      </c>
      <c r="BA185" t="e">
        <f>AND(#REF!,"AAAAAG///zQ=")</f>
        <v>#REF!</v>
      </c>
      <c r="BB185" t="e">
        <f>AND(#REF!,"AAAAAG///zU=")</f>
        <v>#REF!</v>
      </c>
      <c r="BC185" t="e">
        <f>AND(#REF!,"AAAAAG///zY=")</f>
        <v>#REF!</v>
      </c>
      <c r="BD185" t="e">
        <f>AND(#REF!,"AAAAAG///zc=")</f>
        <v>#REF!</v>
      </c>
      <c r="BE185" t="e">
        <f>IF(#REF!,"AAAAAG///zg=",0)</f>
        <v>#REF!</v>
      </c>
      <c r="BF185" t="e">
        <f>AND(#REF!,"AAAAAG///zk=")</f>
        <v>#REF!</v>
      </c>
      <c r="BG185" t="e">
        <f>AND(#REF!,"AAAAAG///zo=")</f>
        <v>#REF!</v>
      </c>
      <c r="BH185" t="e">
        <f>AND(#REF!,"AAAAAG///zs=")</f>
        <v>#REF!</v>
      </c>
      <c r="BI185" t="e">
        <f>AND(#REF!,"AAAAAG///zw=")</f>
        <v>#REF!</v>
      </c>
      <c r="BJ185" t="e">
        <f>AND(#REF!,"AAAAAG///z0=")</f>
        <v>#REF!</v>
      </c>
      <c r="BK185" t="e">
        <f>AND(#REF!,"AAAAAG///z4=")</f>
        <v>#REF!</v>
      </c>
      <c r="BL185" t="e">
        <f>AND(#REF!,"AAAAAG///z8=")</f>
        <v>#REF!</v>
      </c>
      <c r="BM185" t="e">
        <f>AND(#REF!,"AAAAAG///0A=")</f>
        <v>#REF!</v>
      </c>
      <c r="BN185" t="e">
        <f>AND(#REF!,"AAAAAG///0E=")</f>
        <v>#REF!</v>
      </c>
      <c r="BO185" t="e">
        <f>AND(#REF!,"AAAAAG///0I=")</f>
        <v>#REF!</v>
      </c>
      <c r="BP185" t="e">
        <f>AND(#REF!,"AAAAAG///0M=")</f>
        <v>#REF!</v>
      </c>
      <c r="BQ185" t="e">
        <f>AND(#REF!,"AAAAAG///0Q=")</f>
        <v>#REF!</v>
      </c>
      <c r="BR185" t="e">
        <f>AND(#REF!,"AAAAAG///0U=")</f>
        <v>#REF!</v>
      </c>
      <c r="BS185" t="e">
        <f>AND(#REF!,"AAAAAG///0Y=")</f>
        <v>#REF!</v>
      </c>
      <c r="BT185" t="e">
        <f>AND(#REF!,"AAAAAG///0c=")</f>
        <v>#REF!</v>
      </c>
      <c r="BU185" t="e">
        <f>AND(#REF!,"AAAAAG///0g=")</f>
        <v>#REF!</v>
      </c>
      <c r="BV185" t="e">
        <f>AND(#REF!,"AAAAAG///0k=")</f>
        <v>#REF!</v>
      </c>
      <c r="BW185" t="e">
        <f>AND(#REF!,"AAAAAG///0o=")</f>
        <v>#REF!</v>
      </c>
      <c r="BX185" t="e">
        <f>AND(#REF!,"AAAAAG///0s=")</f>
        <v>#REF!</v>
      </c>
      <c r="BY185" t="e">
        <f>AND(#REF!,"AAAAAG///0w=")</f>
        <v>#REF!</v>
      </c>
      <c r="BZ185" t="e">
        <f>AND(#REF!,"AAAAAG///00=")</f>
        <v>#REF!</v>
      </c>
      <c r="CA185" t="e">
        <f>AND(#REF!,"AAAAAG///04=")</f>
        <v>#REF!</v>
      </c>
      <c r="CB185" t="e">
        <f>AND(#REF!,"AAAAAG///08=")</f>
        <v>#REF!</v>
      </c>
      <c r="CC185" t="e">
        <f>AND(#REF!,"AAAAAG///1A=")</f>
        <v>#REF!</v>
      </c>
      <c r="CD185" t="e">
        <f>IF(#REF!,"AAAAAG///1E=",0)</f>
        <v>#REF!</v>
      </c>
      <c r="CE185" t="e">
        <f>AND(#REF!,"AAAAAG///1I=")</f>
        <v>#REF!</v>
      </c>
      <c r="CF185" t="e">
        <f>AND(#REF!,"AAAAAG///1M=")</f>
        <v>#REF!</v>
      </c>
      <c r="CG185" t="e">
        <f>AND(#REF!,"AAAAAG///1Q=")</f>
        <v>#REF!</v>
      </c>
      <c r="CH185" t="e">
        <f>AND(#REF!,"AAAAAG///1U=")</f>
        <v>#REF!</v>
      </c>
      <c r="CI185" t="e">
        <f>AND(#REF!,"AAAAAG///1Y=")</f>
        <v>#REF!</v>
      </c>
      <c r="CJ185" t="e">
        <f>AND(#REF!,"AAAAAG///1c=")</f>
        <v>#REF!</v>
      </c>
      <c r="CK185" t="e">
        <f>AND(#REF!,"AAAAAG///1g=")</f>
        <v>#REF!</v>
      </c>
      <c r="CL185" t="e">
        <f>AND(#REF!,"AAAAAG///1k=")</f>
        <v>#REF!</v>
      </c>
      <c r="CM185" t="e">
        <f>AND(#REF!,"AAAAAG///1o=")</f>
        <v>#REF!</v>
      </c>
      <c r="CN185" t="e">
        <f>AND(#REF!,"AAAAAG///1s=")</f>
        <v>#REF!</v>
      </c>
      <c r="CO185" t="e">
        <f>AND(#REF!,"AAAAAG///1w=")</f>
        <v>#REF!</v>
      </c>
      <c r="CP185" t="e">
        <f>AND(#REF!,"AAAAAG///10=")</f>
        <v>#REF!</v>
      </c>
      <c r="CQ185" t="e">
        <f>AND(#REF!,"AAAAAG///14=")</f>
        <v>#REF!</v>
      </c>
      <c r="CR185" t="e">
        <f>AND(#REF!,"AAAAAG///18=")</f>
        <v>#REF!</v>
      </c>
      <c r="CS185" t="e">
        <f>AND(#REF!,"AAAAAG///2A=")</f>
        <v>#REF!</v>
      </c>
      <c r="CT185" t="e">
        <f>AND(#REF!,"AAAAAG///2E=")</f>
        <v>#REF!</v>
      </c>
      <c r="CU185" t="e">
        <f>AND(#REF!,"AAAAAG///2I=")</f>
        <v>#REF!</v>
      </c>
      <c r="CV185" t="e">
        <f>AND(#REF!,"AAAAAG///2M=")</f>
        <v>#REF!</v>
      </c>
      <c r="CW185" t="e">
        <f>AND(#REF!,"AAAAAG///2Q=")</f>
        <v>#REF!</v>
      </c>
      <c r="CX185" t="e">
        <f>AND(#REF!,"AAAAAG///2U=")</f>
        <v>#REF!</v>
      </c>
      <c r="CY185" t="e">
        <f>AND(#REF!,"AAAAAG///2Y=")</f>
        <v>#REF!</v>
      </c>
      <c r="CZ185" t="e">
        <f>AND(#REF!,"AAAAAG///2c=")</f>
        <v>#REF!</v>
      </c>
      <c r="DA185" t="e">
        <f>AND(#REF!,"AAAAAG///2g=")</f>
        <v>#REF!</v>
      </c>
      <c r="DB185" t="e">
        <f>AND(#REF!,"AAAAAG///2k=")</f>
        <v>#REF!</v>
      </c>
      <c r="DC185" t="e">
        <f>IF(#REF!,"AAAAAG///2o=",0)</f>
        <v>#REF!</v>
      </c>
      <c r="DD185" t="e">
        <f>AND(#REF!,"AAAAAG///2s=")</f>
        <v>#REF!</v>
      </c>
      <c r="DE185" t="e">
        <f>AND(#REF!,"AAAAAG///2w=")</f>
        <v>#REF!</v>
      </c>
      <c r="DF185" t="e">
        <f>AND(#REF!,"AAAAAG///20=")</f>
        <v>#REF!</v>
      </c>
      <c r="DG185" t="e">
        <f>AND(#REF!,"AAAAAG///24=")</f>
        <v>#REF!</v>
      </c>
      <c r="DH185" t="e">
        <f>AND(#REF!,"AAAAAG///28=")</f>
        <v>#REF!</v>
      </c>
      <c r="DI185" t="e">
        <f>AND(#REF!,"AAAAAG///3A=")</f>
        <v>#REF!</v>
      </c>
      <c r="DJ185" t="e">
        <f>AND(#REF!,"AAAAAG///3E=")</f>
        <v>#REF!</v>
      </c>
      <c r="DK185" t="e">
        <f>AND(#REF!,"AAAAAG///3I=")</f>
        <v>#REF!</v>
      </c>
      <c r="DL185" t="e">
        <f>AND(#REF!,"AAAAAG///3M=")</f>
        <v>#REF!</v>
      </c>
      <c r="DM185" t="e">
        <f>AND(#REF!,"AAAAAG///3Q=")</f>
        <v>#REF!</v>
      </c>
      <c r="DN185" t="e">
        <f>AND(#REF!,"AAAAAG///3U=")</f>
        <v>#REF!</v>
      </c>
      <c r="DO185" t="e">
        <f>AND(#REF!,"AAAAAG///3Y=")</f>
        <v>#REF!</v>
      </c>
      <c r="DP185" t="e">
        <f>AND(#REF!,"AAAAAG///3c=")</f>
        <v>#REF!</v>
      </c>
      <c r="DQ185" t="e">
        <f>AND(#REF!,"AAAAAG///3g=")</f>
        <v>#REF!</v>
      </c>
      <c r="DR185" t="e">
        <f>AND(#REF!,"AAAAAG///3k=")</f>
        <v>#REF!</v>
      </c>
      <c r="DS185" t="e">
        <f>AND(#REF!,"AAAAAG///3o=")</f>
        <v>#REF!</v>
      </c>
      <c r="DT185" t="e">
        <f>AND(#REF!,"AAAAAG///3s=")</f>
        <v>#REF!</v>
      </c>
      <c r="DU185" t="e">
        <f>AND(#REF!,"AAAAAG///3w=")</f>
        <v>#REF!</v>
      </c>
      <c r="DV185" t="e">
        <f>AND(#REF!,"AAAAAG///30=")</f>
        <v>#REF!</v>
      </c>
      <c r="DW185" t="e">
        <f>AND(#REF!,"AAAAAG///34=")</f>
        <v>#REF!</v>
      </c>
      <c r="DX185" t="e">
        <f>AND(#REF!,"AAAAAG///38=")</f>
        <v>#REF!</v>
      </c>
      <c r="DY185" t="e">
        <f>AND(#REF!,"AAAAAG///4A=")</f>
        <v>#REF!</v>
      </c>
      <c r="DZ185" t="e">
        <f>AND(#REF!,"AAAAAG///4E=")</f>
        <v>#REF!</v>
      </c>
      <c r="EA185" t="e">
        <f>AND(#REF!,"AAAAAG///4I=")</f>
        <v>#REF!</v>
      </c>
      <c r="EB185" t="e">
        <f>IF(#REF!,"AAAAAG///4M=",0)</f>
        <v>#REF!</v>
      </c>
      <c r="EC185" t="e">
        <f>AND(#REF!,"AAAAAG///4Q=")</f>
        <v>#REF!</v>
      </c>
      <c r="ED185" t="e">
        <f>AND(#REF!,"AAAAAG///4U=")</f>
        <v>#REF!</v>
      </c>
      <c r="EE185" t="e">
        <f>AND(#REF!,"AAAAAG///4Y=")</f>
        <v>#REF!</v>
      </c>
      <c r="EF185" t="e">
        <f>AND(#REF!,"AAAAAG///4c=")</f>
        <v>#REF!</v>
      </c>
      <c r="EG185" t="e">
        <f>AND(#REF!,"AAAAAG///4g=")</f>
        <v>#REF!</v>
      </c>
      <c r="EH185" t="e">
        <f>AND(#REF!,"AAAAAG///4k=")</f>
        <v>#REF!</v>
      </c>
      <c r="EI185" t="e">
        <f>AND(#REF!,"AAAAAG///4o=")</f>
        <v>#REF!</v>
      </c>
      <c r="EJ185" t="e">
        <f>AND(#REF!,"AAAAAG///4s=")</f>
        <v>#REF!</v>
      </c>
      <c r="EK185" t="e">
        <f>AND(#REF!,"AAAAAG///4w=")</f>
        <v>#REF!</v>
      </c>
      <c r="EL185" t="e">
        <f>AND(#REF!,"AAAAAG///40=")</f>
        <v>#REF!</v>
      </c>
      <c r="EM185" t="e">
        <f>AND(#REF!,"AAAAAG///44=")</f>
        <v>#REF!</v>
      </c>
      <c r="EN185" t="e">
        <f>AND(#REF!,"AAAAAG///48=")</f>
        <v>#REF!</v>
      </c>
      <c r="EO185" t="e">
        <f>AND(#REF!,"AAAAAG///5A=")</f>
        <v>#REF!</v>
      </c>
      <c r="EP185" t="e">
        <f>AND(#REF!,"AAAAAG///5E=")</f>
        <v>#REF!</v>
      </c>
      <c r="EQ185" t="e">
        <f>AND(#REF!,"AAAAAG///5I=")</f>
        <v>#REF!</v>
      </c>
      <c r="ER185" t="e">
        <f>AND(#REF!,"AAAAAG///5M=")</f>
        <v>#REF!</v>
      </c>
      <c r="ES185" t="e">
        <f>AND(#REF!,"AAAAAG///5Q=")</f>
        <v>#REF!</v>
      </c>
      <c r="ET185" t="e">
        <f>AND(#REF!,"AAAAAG///5U=")</f>
        <v>#REF!</v>
      </c>
      <c r="EU185" t="e">
        <f>AND(#REF!,"AAAAAG///5Y=")</f>
        <v>#REF!</v>
      </c>
      <c r="EV185" t="e">
        <f>AND(#REF!,"AAAAAG///5c=")</f>
        <v>#REF!</v>
      </c>
      <c r="EW185" t="e">
        <f>AND(#REF!,"AAAAAG///5g=")</f>
        <v>#REF!</v>
      </c>
      <c r="EX185" t="e">
        <f>AND(#REF!,"AAAAAG///5k=")</f>
        <v>#REF!</v>
      </c>
      <c r="EY185" t="e">
        <f>AND(#REF!,"AAAAAG///5o=")</f>
        <v>#REF!</v>
      </c>
      <c r="EZ185" t="e">
        <f>AND(#REF!,"AAAAAG///5s=")</f>
        <v>#REF!</v>
      </c>
      <c r="FA185" t="e">
        <f>IF(#REF!,"AAAAAG///5w=",0)</f>
        <v>#REF!</v>
      </c>
      <c r="FB185" t="e">
        <f>AND(#REF!,"AAAAAG///50=")</f>
        <v>#REF!</v>
      </c>
      <c r="FC185" t="e">
        <f>AND(#REF!,"AAAAAG///54=")</f>
        <v>#REF!</v>
      </c>
      <c r="FD185" t="e">
        <f>AND(#REF!,"AAAAAG///58=")</f>
        <v>#REF!</v>
      </c>
      <c r="FE185" t="e">
        <f>AND(#REF!,"AAAAAG///6A=")</f>
        <v>#REF!</v>
      </c>
      <c r="FF185" t="e">
        <f>AND(#REF!,"AAAAAG///6E=")</f>
        <v>#REF!</v>
      </c>
      <c r="FG185" t="e">
        <f>AND(#REF!,"AAAAAG///6I=")</f>
        <v>#REF!</v>
      </c>
      <c r="FH185" t="e">
        <f>AND(#REF!,"AAAAAG///6M=")</f>
        <v>#REF!</v>
      </c>
      <c r="FI185" t="e">
        <f>AND(#REF!,"AAAAAG///6Q=")</f>
        <v>#REF!</v>
      </c>
      <c r="FJ185" t="e">
        <f>AND(#REF!,"AAAAAG///6U=")</f>
        <v>#REF!</v>
      </c>
      <c r="FK185" t="e">
        <f>AND(#REF!,"AAAAAG///6Y=")</f>
        <v>#REF!</v>
      </c>
      <c r="FL185" t="e">
        <f>AND(#REF!,"AAAAAG///6c=")</f>
        <v>#REF!</v>
      </c>
      <c r="FM185" t="e">
        <f>AND(#REF!,"AAAAAG///6g=")</f>
        <v>#REF!</v>
      </c>
      <c r="FN185" t="e">
        <f>AND(#REF!,"AAAAAG///6k=")</f>
        <v>#REF!</v>
      </c>
      <c r="FO185" t="e">
        <f>AND(#REF!,"AAAAAG///6o=")</f>
        <v>#REF!</v>
      </c>
      <c r="FP185" t="e">
        <f>AND(#REF!,"AAAAAG///6s=")</f>
        <v>#REF!</v>
      </c>
      <c r="FQ185" t="e">
        <f>AND(#REF!,"AAAAAG///6w=")</f>
        <v>#REF!</v>
      </c>
      <c r="FR185" t="e">
        <f>AND(#REF!,"AAAAAG///60=")</f>
        <v>#REF!</v>
      </c>
      <c r="FS185" t="e">
        <f>AND(#REF!,"AAAAAG///64=")</f>
        <v>#REF!</v>
      </c>
      <c r="FT185" t="e">
        <f>AND(#REF!,"AAAAAG///68=")</f>
        <v>#REF!</v>
      </c>
      <c r="FU185" t="e">
        <f>AND(#REF!,"AAAAAG///7A=")</f>
        <v>#REF!</v>
      </c>
      <c r="FV185" t="e">
        <f>AND(#REF!,"AAAAAG///7E=")</f>
        <v>#REF!</v>
      </c>
      <c r="FW185" t="e">
        <f>AND(#REF!,"AAAAAG///7I=")</f>
        <v>#REF!</v>
      </c>
      <c r="FX185" t="e">
        <f>AND(#REF!,"AAAAAG///7M=")</f>
        <v>#REF!</v>
      </c>
      <c r="FY185" t="e">
        <f>AND(#REF!,"AAAAAG///7Q=")</f>
        <v>#REF!</v>
      </c>
      <c r="FZ185" t="e">
        <f>IF(#REF!,"AAAAAG///7U=",0)</f>
        <v>#REF!</v>
      </c>
      <c r="GA185" t="e">
        <f>AND(#REF!,"AAAAAG///7Y=")</f>
        <v>#REF!</v>
      </c>
      <c r="GB185" t="e">
        <f>AND(#REF!,"AAAAAG///7c=")</f>
        <v>#REF!</v>
      </c>
      <c r="GC185" t="e">
        <f>AND(#REF!,"AAAAAG///7g=")</f>
        <v>#REF!</v>
      </c>
      <c r="GD185" t="e">
        <f>AND(#REF!,"AAAAAG///7k=")</f>
        <v>#REF!</v>
      </c>
      <c r="GE185" t="e">
        <f>AND(#REF!,"AAAAAG///7o=")</f>
        <v>#REF!</v>
      </c>
      <c r="GF185" t="e">
        <f>AND(#REF!,"AAAAAG///7s=")</f>
        <v>#REF!</v>
      </c>
      <c r="GG185" t="e">
        <f>AND(#REF!,"AAAAAG///7w=")</f>
        <v>#REF!</v>
      </c>
      <c r="GH185" t="e">
        <f>AND(#REF!,"AAAAAG///70=")</f>
        <v>#REF!</v>
      </c>
      <c r="GI185" t="e">
        <f>AND(#REF!,"AAAAAG///74=")</f>
        <v>#REF!</v>
      </c>
      <c r="GJ185" t="e">
        <f>AND(#REF!,"AAAAAG///78=")</f>
        <v>#REF!</v>
      </c>
      <c r="GK185" t="e">
        <f>AND(#REF!,"AAAAAG///8A=")</f>
        <v>#REF!</v>
      </c>
      <c r="GL185" t="e">
        <f>AND(#REF!,"AAAAAG///8E=")</f>
        <v>#REF!</v>
      </c>
      <c r="GM185" t="e">
        <f>AND(#REF!,"AAAAAG///8I=")</f>
        <v>#REF!</v>
      </c>
      <c r="GN185" t="e">
        <f>AND(#REF!,"AAAAAG///8M=")</f>
        <v>#REF!</v>
      </c>
      <c r="GO185" t="e">
        <f>AND(#REF!,"AAAAAG///8Q=")</f>
        <v>#REF!</v>
      </c>
      <c r="GP185" t="e">
        <f>AND(#REF!,"AAAAAG///8U=")</f>
        <v>#REF!</v>
      </c>
      <c r="GQ185" t="e">
        <f>AND(#REF!,"AAAAAG///8Y=")</f>
        <v>#REF!</v>
      </c>
      <c r="GR185" t="e">
        <f>AND(#REF!,"AAAAAG///8c=")</f>
        <v>#REF!</v>
      </c>
      <c r="GS185" t="e">
        <f>AND(#REF!,"AAAAAG///8g=")</f>
        <v>#REF!</v>
      </c>
      <c r="GT185" t="e">
        <f>AND(#REF!,"AAAAAG///8k=")</f>
        <v>#REF!</v>
      </c>
      <c r="GU185" t="e">
        <f>AND(#REF!,"AAAAAG///8o=")</f>
        <v>#REF!</v>
      </c>
      <c r="GV185" t="e">
        <f>AND(#REF!,"AAAAAG///8s=")</f>
        <v>#REF!</v>
      </c>
      <c r="GW185" t="e">
        <f>AND(#REF!,"AAAAAG///8w=")</f>
        <v>#REF!</v>
      </c>
      <c r="GX185" t="e">
        <f>AND(#REF!,"AAAAAG///80=")</f>
        <v>#REF!</v>
      </c>
      <c r="GY185" t="e">
        <f>IF(#REF!,"AAAAAG///84=",0)</f>
        <v>#REF!</v>
      </c>
      <c r="GZ185" t="e">
        <f>AND(#REF!,"AAAAAG///88=")</f>
        <v>#REF!</v>
      </c>
      <c r="HA185" t="e">
        <f>AND(#REF!,"AAAAAG///9A=")</f>
        <v>#REF!</v>
      </c>
      <c r="HB185" t="e">
        <f>AND(#REF!,"AAAAAG///9E=")</f>
        <v>#REF!</v>
      </c>
      <c r="HC185" t="e">
        <f>AND(#REF!,"AAAAAG///9I=")</f>
        <v>#REF!</v>
      </c>
      <c r="HD185" t="e">
        <f>AND(#REF!,"AAAAAG///9M=")</f>
        <v>#REF!</v>
      </c>
      <c r="HE185" t="e">
        <f>AND(#REF!,"AAAAAG///9Q=")</f>
        <v>#REF!</v>
      </c>
      <c r="HF185" t="e">
        <f>AND(#REF!,"AAAAAG///9U=")</f>
        <v>#REF!</v>
      </c>
      <c r="HG185" t="e">
        <f>AND(#REF!,"AAAAAG///9Y=")</f>
        <v>#REF!</v>
      </c>
      <c r="HH185" t="e">
        <f>AND(#REF!,"AAAAAG///9c=")</f>
        <v>#REF!</v>
      </c>
      <c r="HI185" t="e">
        <f>AND(#REF!,"AAAAAG///9g=")</f>
        <v>#REF!</v>
      </c>
      <c r="HJ185" t="e">
        <f>AND(#REF!,"AAAAAG///9k=")</f>
        <v>#REF!</v>
      </c>
      <c r="HK185" t="e">
        <f>AND(#REF!,"AAAAAG///9o=")</f>
        <v>#REF!</v>
      </c>
      <c r="HL185" t="e">
        <f>AND(#REF!,"AAAAAG///9s=")</f>
        <v>#REF!</v>
      </c>
      <c r="HM185" t="e">
        <f>AND(#REF!,"AAAAAG///9w=")</f>
        <v>#REF!</v>
      </c>
      <c r="HN185" t="e">
        <f>AND(#REF!,"AAAAAG///90=")</f>
        <v>#REF!</v>
      </c>
      <c r="HO185" t="e">
        <f>AND(#REF!,"AAAAAG///94=")</f>
        <v>#REF!</v>
      </c>
      <c r="HP185" t="e">
        <f>AND(#REF!,"AAAAAG///98=")</f>
        <v>#REF!</v>
      </c>
      <c r="HQ185" t="e">
        <f>AND(#REF!,"AAAAAG///+A=")</f>
        <v>#REF!</v>
      </c>
      <c r="HR185" t="e">
        <f>AND(#REF!,"AAAAAG///+E=")</f>
        <v>#REF!</v>
      </c>
      <c r="HS185" t="e">
        <f>AND(#REF!,"AAAAAG///+I=")</f>
        <v>#REF!</v>
      </c>
      <c r="HT185" t="e">
        <f>AND(#REF!,"AAAAAG///+M=")</f>
        <v>#REF!</v>
      </c>
      <c r="HU185" t="e">
        <f>AND(#REF!,"AAAAAG///+Q=")</f>
        <v>#REF!</v>
      </c>
      <c r="HV185" t="e">
        <f>AND(#REF!,"AAAAAG///+U=")</f>
        <v>#REF!</v>
      </c>
      <c r="HW185" t="e">
        <f>AND(#REF!,"AAAAAG///+Y=")</f>
        <v>#REF!</v>
      </c>
      <c r="HX185" t="e">
        <f>IF(#REF!,"AAAAAG///+c=",0)</f>
        <v>#REF!</v>
      </c>
      <c r="HY185" t="e">
        <f>AND(#REF!,"AAAAAG///+g=")</f>
        <v>#REF!</v>
      </c>
      <c r="HZ185" t="e">
        <f>AND(#REF!,"AAAAAG///+k=")</f>
        <v>#REF!</v>
      </c>
      <c r="IA185" t="e">
        <f>AND(#REF!,"AAAAAG///+o=")</f>
        <v>#REF!</v>
      </c>
      <c r="IB185" t="e">
        <f>AND(#REF!,"AAAAAG///+s=")</f>
        <v>#REF!</v>
      </c>
      <c r="IC185" t="e">
        <f>AND(#REF!,"AAAAAG///+w=")</f>
        <v>#REF!</v>
      </c>
      <c r="ID185" t="e">
        <f>AND(#REF!,"AAAAAG///+0=")</f>
        <v>#REF!</v>
      </c>
      <c r="IE185" t="e">
        <f>AND(#REF!,"AAAAAG///+4=")</f>
        <v>#REF!</v>
      </c>
      <c r="IF185" t="e">
        <f>AND(#REF!,"AAAAAG///+8=")</f>
        <v>#REF!</v>
      </c>
      <c r="IG185" t="e">
        <f>AND(#REF!,"AAAAAG////A=")</f>
        <v>#REF!</v>
      </c>
      <c r="IH185" t="e">
        <f>AND(#REF!,"AAAAAG////E=")</f>
        <v>#REF!</v>
      </c>
      <c r="II185" t="e">
        <f>AND(#REF!,"AAAAAG////I=")</f>
        <v>#REF!</v>
      </c>
      <c r="IJ185" t="e">
        <f>AND(#REF!,"AAAAAG////M=")</f>
        <v>#REF!</v>
      </c>
      <c r="IK185" t="e">
        <f>AND(#REF!,"AAAAAG////Q=")</f>
        <v>#REF!</v>
      </c>
      <c r="IL185" t="e">
        <f>AND(#REF!,"AAAAAG////U=")</f>
        <v>#REF!</v>
      </c>
      <c r="IM185" t="e">
        <f>AND(#REF!,"AAAAAG////Y=")</f>
        <v>#REF!</v>
      </c>
      <c r="IN185" t="e">
        <f>AND(#REF!,"AAAAAG////c=")</f>
        <v>#REF!</v>
      </c>
      <c r="IO185" t="e">
        <f>AND(#REF!,"AAAAAG////g=")</f>
        <v>#REF!</v>
      </c>
      <c r="IP185" t="e">
        <f>AND(#REF!,"AAAAAG////k=")</f>
        <v>#REF!</v>
      </c>
      <c r="IQ185" t="e">
        <f>AND(#REF!,"AAAAAG////o=")</f>
        <v>#REF!</v>
      </c>
      <c r="IR185" t="e">
        <f>AND(#REF!,"AAAAAG////s=")</f>
        <v>#REF!</v>
      </c>
      <c r="IS185" t="e">
        <f>AND(#REF!,"AAAAAG////w=")</f>
        <v>#REF!</v>
      </c>
      <c r="IT185" t="e">
        <f>AND(#REF!,"AAAAAG////0=")</f>
        <v>#REF!</v>
      </c>
      <c r="IU185" t="e">
        <f>AND(#REF!,"AAAAAG////4=")</f>
        <v>#REF!</v>
      </c>
      <c r="IV185" t="e">
        <f>AND(#REF!,"AAAAAG////8=")</f>
        <v>#REF!</v>
      </c>
    </row>
    <row r="186" spans="1:256">
      <c r="A186" t="e">
        <f>IF(#REF!,"AAAAAH+3vQA=",0)</f>
        <v>#REF!</v>
      </c>
      <c r="B186" t="e">
        <f>AND(#REF!,"AAAAAH+3vQE=")</f>
        <v>#REF!</v>
      </c>
      <c r="C186" t="e">
        <f>AND(#REF!,"AAAAAH+3vQI=")</f>
        <v>#REF!</v>
      </c>
      <c r="D186" t="e">
        <f>AND(#REF!,"AAAAAH+3vQM=")</f>
        <v>#REF!</v>
      </c>
      <c r="E186" t="e">
        <f>AND(#REF!,"AAAAAH+3vQQ=")</f>
        <v>#REF!</v>
      </c>
      <c r="F186" t="e">
        <f>AND(#REF!,"AAAAAH+3vQU=")</f>
        <v>#REF!</v>
      </c>
      <c r="G186" t="e">
        <f>AND(#REF!,"AAAAAH+3vQY=")</f>
        <v>#REF!</v>
      </c>
      <c r="H186" t="e">
        <f>AND(#REF!,"AAAAAH+3vQc=")</f>
        <v>#REF!</v>
      </c>
      <c r="I186" t="e">
        <f>AND(#REF!,"AAAAAH+3vQg=")</f>
        <v>#REF!</v>
      </c>
      <c r="J186" t="e">
        <f>AND(#REF!,"AAAAAH+3vQk=")</f>
        <v>#REF!</v>
      </c>
      <c r="K186" t="e">
        <f>AND(#REF!,"AAAAAH+3vQo=")</f>
        <v>#REF!</v>
      </c>
      <c r="L186" t="e">
        <f>AND(#REF!,"AAAAAH+3vQs=")</f>
        <v>#REF!</v>
      </c>
      <c r="M186" t="e">
        <f>AND(#REF!,"AAAAAH+3vQw=")</f>
        <v>#REF!</v>
      </c>
      <c r="N186" t="e">
        <f>AND(#REF!,"AAAAAH+3vQ0=")</f>
        <v>#REF!</v>
      </c>
      <c r="O186" t="e">
        <f>AND(#REF!,"AAAAAH+3vQ4=")</f>
        <v>#REF!</v>
      </c>
      <c r="P186" t="e">
        <f>AND(#REF!,"AAAAAH+3vQ8=")</f>
        <v>#REF!</v>
      </c>
      <c r="Q186" t="e">
        <f>AND(#REF!,"AAAAAH+3vRA=")</f>
        <v>#REF!</v>
      </c>
      <c r="R186" t="e">
        <f>AND(#REF!,"AAAAAH+3vRE=")</f>
        <v>#REF!</v>
      </c>
      <c r="S186" t="e">
        <f>AND(#REF!,"AAAAAH+3vRI=")</f>
        <v>#REF!</v>
      </c>
      <c r="T186" t="e">
        <f>AND(#REF!,"AAAAAH+3vRM=")</f>
        <v>#REF!</v>
      </c>
      <c r="U186" t="e">
        <f>AND(#REF!,"AAAAAH+3vRQ=")</f>
        <v>#REF!</v>
      </c>
      <c r="V186" t="e">
        <f>AND(#REF!,"AAAAAH+3vRU=")</f>
        <v>#REF!</v>
      </c>
      <c r="W186" t="e">
        <f>AND(#REF!,"AAAAAH+3vRY=")</f>
        <v>#REF!</v>
      </c>
      <c r="X186" t="e">
        <f>AND(#REF!,"AAAAAH+3vRc=")</f>
        <v>#REF!</v>
      </c>
      <c r="Y186" t="e">
        <f>AND(#REF!,"AAAAAH+3vRg=")</f>
        <v>#REF!</v>
      </c>
      <c r="Z186" t="e">
        <f>IF(#REF!,"AAAAAH+3vRk=",0)</f>
        <v>#REF!</v>
      </c>
      <c r="AA186" t="e">
        <f>AND(#REF!,"AAAAAH+3vRo=")</f>
        <v>#REF!</v>
      </c>
      <c r="AB186" t="e">
        <f>AND(#REF!,"AAAAAH+3vRs=")</f>
        <v>#REF!</v>
      </c>
      <c r="AC186" t="e">
        <f>AND(#REF!,"AAAAAH+3vRw=")</f>
        <v>#REF!</v>
      </c>
      <c r="AD186" t="e">
        <f>AND(#REF!,"AAAAAH+3vR0=")</f>
        <v>#REF!</v>
      </c>
      <c r="AE186" t="e">
        <f>AND(#REF!,"AAAAAH+3vR4=")</f>
        <v>#REF!</v>
      </c>
      <c r="AF186" t="e">
        <f>AND(#REF!,"AAAAAH+3vR8=")</f>
        <v>#REF!</v>
      </c>
      <c r="AG186" t="e">
        <f>AND(#REF!,"AAAAAH+3vSA=")</f>
        <v>#REF!</v>
      </c>
      <c r="AH186" t="e">
        <f>AND(#REF!,"AAAAAH+3vSE=")</f>
        <v>#REF!</v>
      </c>
      <c r="AI186" t="e">
        <f>AND(#REF!,"AAAAAH+3vSI=")</f>
        <v>#REF!</v>
      </c>
      <c r="AJ186" t="e">
        <f>AND(#REF!,"AAAAAH+3vSM=")</f>
        <v>#REF!</v>
      </c>
      <c r="AK186" t="e">
        <f>AND(#REF!,"AAAAAH+3vSQ=")</f>
        <v>#REF!</v>
      </c>
      <c r="AL186" t="e">
        <f>AND(#REF!,"AAAAAH+3vSU=")</f>
        <v>#REF!</v>
      </c>
      <c r="AM186" t="e">
        <f>AND(#REF!,"AAAAAH+3vSY=")</f>
        <v>#REF!</v>
      </c>
      <c r="AN186" t="e">
        <f>AND(#REF!,"AAAAAH+3vSc=")</f>
        <v>#REF!</v>
      </c>
      <c r="AO186" t="e">
        <f>AND(#REF!,"AAAAAH+3vSg=")</f>
        <v>#REF!</v>
      </c>
      <c r="AP186" t="e">
        <f>AND(#REF!,"AAAAAH+3vSk=")</f>
        <v>#REF!</v>
      </c>
      <c r="AQ186" t="e">
        <f>AND(#REF!,"AAAAAH+3vSo=")</f>
        <v>#REF!</v>
      </c>
      <c r="AR186" t="e">
        <f>AND(#REF!,"AAAAAH+3vSs=")</f>
        <v>#REF!</v>
      </c>
      <c r="AS186" t="e">
        <f>AND(#REF!,"AAAAAH+3vSw=")</f>
        <v>#REF!</v>
      </c>
      <c r="AT186" t="e">
        <f>AND(#REF!,"AAAAAH+3vS0=")</f>
        <v>#REF!</v>
      </c>
      <c r="AU186" t="e">
        <f>AND(#REF!,"AAAAAH+3vS4=")</f>
        <v>#REF!</v>
      </c>
      <c r="AV186" t="e">
        <f>AND(#REF!,"AAAAAH+3vS8=")</f>
        <v>#REF!</v>
      </c>
      <c r="AW186" t="e">
        <f>AND(#REF!,"AAAAAH+3vTA=")</f>
        <v>#REF!</v>
      </c>
      <c r="AX186" t="e">
        <f>AND(#REF!,"AAAAAH+3vTE=")</f>
        <v>#REF!</v>
      </c>
      <c r="AY186" t="e">
        <f>IF(#REF!,"AAAAAH+3vTI=",0)</f>
        <v>#REF!</v>
      </c>
      <c r="AZ186" t="e">
        <f>AND(#REF!,"AAAAAH+3vTM=")</f>
        <v>#REF!</v>
      </c>
      <c r="BA186" t="e">
        <f>AND(#REF!,"AAAAAH+3vTQ=")</f>
        <v>#REF!</v>
      </c>
      <c r="BB186" t="e">
        <f>AND(#REF!,"AAAAAH+3vTU=")</f>
        <v>#REF!</v>
      </c>
      <c r="BC186" t="e">
        <f>AND(#REF!,"AAAAAH+3vTY=")</f>
        <v>#REF!</v>
      </c>
      <c r="BD186" t="e">
        <f>AND(#REF!,"AAAAAH+3vTc=")</f>
        <v>#REF!</v>
      </c>
      <c r="BE186" t="e">
        <f>AND(#REF!,"AAAAAH+3vTg=")</f>
        <v>#REF!</v>
      </c>
      <c r="BF186" t="e">
        <f>AND(#REF!,"AAAAAH+3vTk=")</f>
        <v>#REF!</v>
      </c>
      <c r="BG186" t="e">
        <f>AND(#REF!,"AAAAAH+3vTo=")</f>
        <v>#REF!</v>
      </c>
      <c r="BH186" t="e">
        <f>AND(#REF!,"AAAAAH+3vTs=")</f>
        <v>#REF!</v>
      </c>
      <c r="BI186" t="e">
        <f>AND(#REF!,"AAAAAH+3vTw=")</f>
        <v>#REF!</v>
      </c>
      <c r="BJ186" t="e">
        <f>AND(#REF!,"AAAAAH+3vT0=")</f>
        <v>#REF!</v>
      </c>
      <c r="BK186" t="e">
        <f>AND(#REF!,"AAAAAH+3vT4=")</f>
        <v>#REF!</v>
      </c>
      <c r="BL186" t="e">
        <f>AND(#REF!,"AAAAAH+3vT8=")</f>
        <v>#REF!</v>
      </c>
      <c r="BM186" t="e">
        <f>AND(#REF!,"AAAAAH+3vUA=")</f>
        <v>#REF!</v>
      </c>
      <c r="BN186" t="e">
        <f>AND(#REF!,"AAAAAH+3vUE=")</f>
        <v>#REF!</v>
      </c>
      <c r="BO186" t="e">
        <f>AND(#REF!,"AAAAAH+3vUI=")</f>
        <v>#REF!</v>
      </c>
      <c r="BP186" t="e">
        <f>AND(#REF!,"AAAAAH+3vUM=")</f>
        <v>#REF!</v>
      </c>
      <c r="BQ186" t="e">
        <f>AND(#REF!,"AAAAAH+3vUQ=")</f>
        <v>#REF!</v>
      </c>
      <c r="BR186" t="e">
        <f>AND(#REF!,"AAAAAH+3vUU=")</f>
        <v>#REF!</v>
      </c>
      <c r="BS186" t="e">
        <f>AND(#REF!,"AAAAAH+3vUY=")</f>
        <v>#REF!</v>
      </c>
      <c r="BT186" t="e">
        <f>AND(#REF!,"AAAAAH+3vUc=")</f>
        <v>#REF!</v>
      </c>
      <c r="BU186" t="e">
        <f>AND(#REF!,"AAAAAH+3vUg=")</f>
        <v>#REF!</v>
      </c>
      <c r="BV186" t="e">
        <f>AND(#REF!,"AAAAAH+3vUk=")</f>
        <v>#REF!</v>
      </c>
      <c r="BW186" t="e">
        <f>AND(#REF!,"AAAAAH+3vUo=")</f>
        <v>#REF!</v>
      </c>
      <c r="BX186" t="e">
        <f>IF(#REF!,"AAAAAH+3vUs=",0)</f>
        <v>#REF!</v>
      </c>
      <c r="BY186" t="e">
        <f>AND(#REF!,"AAAAAH+3vUw=")</f>
        <v>#REF!</v>
      </c>
      <c r="BZ186" t="e">
        <f>AND(#REF!,"AAAAAH+3vU0=")</f>
        <v>#REF!</v>
      </c>
      <c r="CA186" t="e">
        <f>AND(#REF!,"AAAAAH+3vU4=")</f>
        <v>#REF!</v>
      </c>
      <c r="CB186" t="e">
        <f>AND(#REF!,"AAAAAH+3vU8=")</f>
        <v>#REF!</v>
      </c>
      <c r="CC186" t="e">
        <f>AND(#REF!,"AAAAAH+3vVA=")</f>
        <v>#REF!</v>
      </c>
      <c r="CD186" t="e">
        <f>AND(#REF!,"AAAAAH+3vVE=")</f>
        <v>#REF!</v>
      </c>
      <c r="CE186" t="e">
        <f>AND(#REF!,"AAAAAH+3vVI=")</f>
        <v>#REF!</v>
      </c>
      <c r="CF186" t="e">
        <f>AND(#REF!,"AAAAAH+3vVM=")</f>
        <v>#REF!</v>
      </c>
      <c r="CG186" t="e">
        <f>AND(#REF!,"AAAAAH+3vVQ=")</f>
        <v>#REF!</v>
      </c>
      <c r="CH186" t="e">
        <f>AND(#REF!,"AAAAAH+3vVU=")</f>
        <v>#REF!</v>
      </c>
      <c r="CI186" t="e">
        <f>AND(#REF!,"AAAAAH+3vVY=")</f>
        <v>#REF!</v>
      </c>
      <c r="CJ186" t="e">
        <f>AND(#REF!,"AAAAAH+3vVc=")</f>
        <v>#REF!</v>
      </c>
      <c r="CK186" t="e">
        <f>AND(#REF!,"AAAAAH+3vVg=")</f>
        <v>#REF!</v>
      </c>
      <c r="CL186" t="e">
        <f>AND(#REF!,"AAAAAH+3vVk=")</f>
        <v>#REF!</v>
      </c>
      <c r="CM186" t="e">
        <f>AND(#REF!,"AAAAAH+3vVo=")</f>
        <v>#REF!</v>
      </c>
      <c r="CN186" t="e">
        <f>AND(#REF!,"AAAAAH+3vVs=")</f>
        <v>#REF!</v>
      </c>
      <c r="CO186" t="e">
        <f>AND(#REF!,"AAAAAH+3vVw=")</f>
        <v>#REF!</v>
      </c>
      <c r="CP186" t="e">
        <f>AND(#REF!,"AAAAAH+3vV0=")</f>
        <v>#REF!</v>
      </c>
      <c r="CQ186" t="e">
        <f>AND(#REF!,"AAAAAH+3vV4=")</f>
        <v>#REF!</v>
      </c>
      <c r="CR186" t="e">
        <f>AND(#REF!,"AAAAAH+3vV8=")</f>
        <v>#REF!</v>
      </c>
      <c r="CS186" t="e">
        <f>AND(#REF!,"AAAAAH+3vWA=")</f>
        <v>#REF!</v>
      </c>
      <c r="CT186" t="e">
        <f>AND(#REF!,"AAAAAH+3vWE=")</f>
        <v>#REF!</v>
      </c>
      <c r="CU186" t="e">
        <f>AND(#REF!,"AAAAAH+3vWI=")</f>
        <v>#REF!</v>
      </c>
      <c r="CV186" t="e">
        <f>AND(#REF!,"AAAAAH+3vWM=")</f>
        <v>#REF!</v>
      </c>
      <c r="CW186" t="e">
        <f>IF(#REF!,"AAAAAH+3vWQ=",0)</f>
        <v>#REF!</v>
      </c>
      <c r="CX186" t="e">
        <f>AND(#REF!,"AAAAAH+3vWU=")</f>
        <v>#REF!</v>
      </c>
      <c r="CY186" t="e">
        <f>AND(#REF!,"AAAAAH+3vWY=")</f>
        <v>#REF!</v>
      </c>
      <c r="CZ186" t="e">
        <f>AND(#REF!,"AAAAAH+3vWc=")</f>
        <v>#REF!</v>
      </c>
      <c r="DA186" t="e">
        <f>AND(#REF!,"AAAAAH+3vWg=")</f>
        <v>#REF!</v>
      </c>
      <c r="DB186" t="e">
        <f>AND(#REF!,"AAAAAH+3vWk=")</f>
        <v>#REF!</v>
      </c>
      <c r="DC186" t="e">
        <f>AND(#REF!,"AAAAAH+3vWo=")</f>
        <v>#REF!</v>
      </c>
      <c r="DD186" t="e">
        <f>AND(#REF!,"AAAAAH+3vWs=")</f>
        <v>#REF!</v>
      </c>
      <c r="DE186" t="e">
        <f>AND(#REF!,"AAAAAH+3vWw=")</f>
        <v>#REF!</v>
      </c>
      <c r="DF186" t="e">
        <f>AND(#REF!,"AAAAAH+3vW0=")</f>
        <v>#REF!</v>
      </c>
      <c r="DG186" t="e">
        <f>AND(#REF!,"AAAAAH+3vW4=")</f>
        <v>#REF!</v>
      </c>
      <c r="DH186" t="e">
        <f>AND(#REF!,"AAAAAH+3vW8=")</f>
        <v>#REF!</v>
      </c>
      <c r="DI186" t="e">
        <f>AND(#REF!,"AAAAAH+3vXA=")</f>
        <v>#REF!</v>
      </c>
      <c r="DJ186" t="e">
        <f>AND(#REF!,"AAAAAH+3vXE=")</f>
        <v>#REF!</v>
      </c>
      <c r="DK186" t="e">
        <f>AND(#REF!,"AAAAAH+3vXI=")</f>
        <v>#REF!</v>
      </c>
      <c r="DL186" t="e">
        <f>AND(#REF!,"AAAAAH+3vXM=")</f>
        <v>#REF!</v>
      </c>
      <c r="DM186" t="e">
        <f>AND(#REF!,"AAAAAH+3vXQ=")</f>
        <v>#REF!</v>
      </c>
      <c r="DN186" t="e">
        <f>AND(#REF!,"AAAAAH+3vXU=")</f>
        <v>#REF!</v>
      </c>
      <c r="DO186" t="e">
        <f>AND(#REF!,"AAAAAH+3vXY=")</f>
        <v>#REF!</v>
      </c>
      <c r="DP186" t="e">
        <f>AND(#REF!,"AAAAAH+3vXc=")</f>
        <v>#REF!</v>
      </c>
      <c r="DQ186" t="e">
        <f>AND(#REF!,"AAAAAH+3vXg=")</f>
        <v>#REF!</v>
      </c>
      <c r="DR186" t="e">
        <f>AND(#REF!,"AAAAAH+3vXk=")</f>
        <v>#REF!</v>
      </c>
      <c r="DS186" t="e">
        <f>AND(#REF!,"AAAAAH+3vXo=")</f>
        <v>#REF!</v>
      </c>
      <c r="DT186" t="e">
        <f>AND(#REF!,"AAAAAH+3vXs=")</f>
        <v>#REF!</v>
      </c>
      <c r="DU186" t="e">
        <f>AND(#REF!,"AAAAAH+3vXw=")</f>
        <v>#REF!</v>
      </c>
      <c r="DV186" t="e">
        <f>IF(#REF!,"AAAAAH+3vX0=",0)</f>
        <v>#REF!</v>
      </c>
      <c r="DW186" t="e">
        <f>AND(#REF!,"AAAAAH+3vX4=")</f>
        <v>#REF!</v>
      </c>
      <c r="DX186" t="e">
        <f>AND(#REF!,"AAAAAH+3vX8=")</f>
        <v>#REF!</v>
      </c>
      <c r="DY186" t="e">
        <f>AND(#REF!,"AAAAAH+3vYA=")</f>
        <v>#REF!</v>
      </c>
      <c r="DZ186" t="e">
        <f>AND(#REF!,"AAAAAH+3vYE=")</f>
        <v>#REF!</v>
      </c>
      <c r="EA186" t="e">
        <f>AND(#REF!,"AAAAAH+3vYI=")</f>
        <v>#REF!</v>
      </c>
      <c r="EB186" t="e">
        <f>AND(#REF!,"AAAAAH+3vYM=")</f>
        <v>#REF!</v>
      </c>
      <c r="EC186" t="e">
        <f>AND(#REF!,"AAAAAH+3vYQ=")</f>
        <v>#REF!</v>
      </c>
      <c r="ED186" t="e">
        <f>AND(#REF!,"AAAAAH+3vYU=")</f>
        <v>#REF!</v>
      </c>
      <c r="EE186" t="e">
        <f>AND(#REF!,"AAAAAH+3vYY=")</f>
        <v>#REF!</v>
      </c>
      <c r="EF186" t="e">
        <f>AND(#REF!,"AAAAAH+3vYc=")</f>
        <v>#REF!</v>
      </c>
      <c r="EG186" t="e">
        <f>AND(#REF!,"AAAAAH+3vYg=")</f>
        <v>#REF!</v>
      </c>
      <c r="EH186" t="e">
        <f>AND(#REF!,"AAAAAH+3vYk=")</f>
        <v>#REF!</v>
      </c>
      <c r="EI186" t="e">
        <f>AND(#REF!,"AAAAAH+3vYo=")</f>
        <v>#REF!</v>
      </c>
      <c r="EJ186" t="e">
        <f>AND(#REF!,"AAAAAH+3vYs=")</f>
        <v>#REF!</v>
      </c>
      <c r="EK186" t="e">
        <f>AND(#REF!,"AAAAAH+3vYw=")</f>
        <v>#REF!</v>
      </c>
      <c r="EL186" t="e">
        <f>AND(#REF!,"AAAAAH+3vY0=")</f>
        <v>#REF!</v>
      </c>
      <c r="EM186" t="e">
        <f>AND(#REF!,"AAAAAH+3vY4=")</f>
        <v>#REF!</v>
      </c>
      <c r="EN186" t="e">
        <f>AND(#REF!,"AAAAAH+3vY8=")</f>
        <v>#REF!</v>
      </c>
      <c r="EO186" t="e">
        <f>AND(#REF!,"AAAAAH+3vZA=")</f>
        <v>#REF!</v>
      </c>
      <c r="EP186" t="e">
        <f>AND(#REF!,"AAAAAH+3vZE=")</f>
        <v>#REF!</v>
      </c>
      <c r="EQ186" t="e">
        <f>AND(#REF!,"AAAAAH+3vZI=")</f>
        <v>#REF!</v>
      </c>
      <c r="ER186" t="e">
        <f>AND(#REF!,"AAAAAH+3vZM=")</f>
        <v>#REF!</v>
      </c>
      <c r="ES186" t="e">
        <f>AND(#REF!,"AAAAAH+3vZQ=")</f>
        <v>#REF!</v>
      </c>
      <c r="ET186" t="e">
        <f>AND(#REF!,"AAAAAH+3vZU=")</f>
        <v>#REF!</v>
      </c>
      <c r="EU186" t="e">
        <f>IF(#REF!,"AAAAAH+3vZY=",0)</f>
        <v>#REF!</v>
      </c>
      <c r="EV186" t="e">
        <f>AND(#REF!,"AAAAAH+3vZc=")</f>
        <v>#REF!</v>
      </c>
      <c r="EW186" t="e">
        <f>AND(#REF!,"AAAAAH+3vZg=")</f>
        <v>#REF!</v>
      </c>
      <c r="EX186" t="e">
        <f>AND(#REF!,"AAAAAH+3vZk=")</f>
        <v>#REF!</v>
      </c>
      <c r="EY186" t="e">
        <f>AND(#REF!,"AAAAAH+3vZo=")</f>
        <v>#REF!</v>
      </c>
      <c r="EZ186" t="e">
        <f>AND(#REF!,"AAAAAH+3vZs=")</f>
        <v>#REF!</v>
      </c>
      <c r="FA186" t="e">
        <f>AND(#REF!,"AAAAAH+3vZw=")</f>
        <v>#REF!</v>
      </c>
      <c r="FB186" t="e">
        <f>AND(#REF!,"AAAAAH+3vZ0=")</f>
        <v>#REF!</v>
      </c>
      <c r="FC186" t="e">
        <f>AND(#REF!,"AAAAAH+3vZ4=")</f>
        <v>#REF!</v>
      </c>
      <c r="FD186" t="e">
        <f>AND(#REF!,"AAAAAH+3vZ8=")</f>
        <v>#REF!</v>
      </c>
      <c r="FE186" t="e">
        <f>AND(#REF!,"AAAAAH+3vaA=")</f>
        <v>#REF!</v>
      </c>
      <c r="FF186" t="e">
        <f>AND(#REF!,"AAAAAH+3vaE=")</f>
        <v>#REF!</v>
      </c>
      <c r="FG186" t="e">
        <f>AND(#REF!,"AAAAAH+3vaI=")</f>
        <v>#REF!</v>
      </c>
      <c r="FH186" t="e">
        <f>AND(#REF!,"AAAAAH+3vaM=")</f>
        <v>#REF!</v>
      </c>
      <c r="FI186" t="e">
        <f>AND(#REF!,"AAAAAH+3vaQ=")</f>
        <v>#REF!</v>
      </c>
      <c r="FJ186" t="e">
        <f>AND(#REF!,"AAAAAH+3vaU=")</f>
        <v>#REF!</v>
      </c>
      <c r="FK186" t="e">
        <f>AND(#REF!,"AAAAAH+3vaY=")</f>
        <v>#REF!</v>
      </c>
      <c r="FL186" t="e">
        <f>AND(#REF!,"AAAAAH+3vac=")</f>
        <v>#REF!</v>
      </c>
      <c r="FM186" t="e">
        <f>AND(#REF!,"AAAAAH+3vag=")</f>
        <v>#REF!</v>
      </c>
      <c r="FN186" t="e">
        <f>AND(#REF!,"AAAAAH+3vak=")</f>
        <v>#REF!</v>
      </c>
      <c r="FO186" t="e">
        <f>AND(#REF!,"AAAAAH+3vao=")</f>
        <v>#REF!</v>
      </c>
      <c r="FP186" t="e">
        <f>AND(#REF!,"AAAAAH+3vas=")</f>
        <v>#REF!</v>
      </c>
      <c r="FQ186" t="e">
        <f>AND(#REF!,"AAAAAH+3vaw=")</f>
        <v>#REF!</v>
      </c>
      <c r="FR186" t="e">
        <f>AND(#REF!,"AAAAAH+3va0=")</f>
        <v>#REF!</v>
      </c>
      <c r="FS186" t="e">
        <f>AND(#REF!,"AAAAAH+3va4=")</f>
        <v>#REF!</v>
      </c>
      <c r="FT186" t="e">
        <f>IF(#REF!,"AAAAAH+3va8=",0)</f>
        <v>#REF!</v>
      </c>
      <c r="FU186" t="e">
        <f>AND(#REF!,"AAAAAH+3vbA=")</f>
        <v>#REF!</v>
      </c>
      <c r="FV186" t="e">
        <f>AND(#REF!,"AAAAAH+3vbE=")</f>
        <v>#REF!</v>
      </c>
      <c r="FW186" t="e">
        <f>AND(#REF!,"AAAAAH+3vbI=")</f>
        <v>#REF!</v>
      </c>
      <c r="FX186" t="e">
        <f>AND(#REF!,"AAAAAH+3vbM=")</f>
        <v>#REF!</v>
      </c>
      <c r="FY186" t="e">
        <f>AND(#REF!,"AAAAAH+3vbQ=")</f>
        <v>#REF!</v>
      </c>
      <c r="FZ186" t="e">
        <f>AND(#REF!,"AAAAAH+3vbU=")</f>
        <v>#REF!</v>
      </c>
      <c r="GA186" t="e">
        <f>AND(#REF!,"AAAAAH+3vbY=")</f>
        <v>#REF!</v>
      </c>
      <c r="GB186" t="e">
        <f>AND(#REF!,"AAAAAH+3vbc=")</f>
        <v>#REF!</v>
      </c>
      <c r="GC186" t="e">
        <f>AND(#REF!,"AAAAAH+3vbg=")</f>
        <v>#REF!</v>
      </c>
      <c r="GD186" t="e">
        <f>AND(#REF!,"AAAAAH+3vbk=")</f>
        <v>#REF!</v>
      </c>
      <c r="GE186" t="e">
        <f>AND(#REF!,"AAAAAH+3vbo=")</f>
        <v>#REF!</v>
      </c>
      <c r="GF186" t="e">
        <f>AND(#REF!,"AAAAAH+3vbs=")</f>
        <v>#REF!</v>
      </c>
      <c r="GG186" t="e">
        <f>AND(#REF!,"AAAAAH+3vbw=")</f>
        <v>#REF!</v>
      </c>
      <c r="GH186" t="e">
        <f>AND(#REF!,"AAAAAH+3vb0=")</f>
        <v>#REF!</v>
      </c>
      <c r="GI186" t="e">
        <f>AND(#REF!,"AAAAAH+3vb4=")</f>
        <v>#REF!</v>
      </c>
      <c r="GJ186" t="e">
        <f>AND(#REF!,"AAAAAH+3vb8=")</f>
        <v>#REF!</v>
      </c>
      <c r="GK186" t="e">
        <f>AND(#REF!,"AAAAAH+3vcA=")</f>
        <v>#REF!</v>
      </c>
      <c r="GL186" t="e">
        <f>AND(#REF!,"AAAAAH+3vcE=")</f>
        <v>#REF!</v>
      </c>
      <c r="GM186" t="e">
        <f>AND(#REF!,"AAAAAH+3vcI=")</f>
        <v>#REF!</v>
      </c>
      <c r="GN186" t="e">
        <f>AND(#REF!,"AAAAAH+3vcM=")</f>
        <v>#REF!</v>
      </c>
      <c r="GO186" t="e">
        <f>AND(#REF!,"AAAAAH+3vcQ=")</f>
        <v>#REF!</v>
      </c>
      <c r="GP186" t="e">
        <f>AND(#REF!,"AAAAAH+3vcU=")</f>
        <v>#REF!</v>
      </c>
      <c r="GQ186" t="e">
        <f>AND(#REF!,"AAAAAH+3vcY=")</f>
        <v>#REF!</v>
      </c>
      <c r="GR186" t="e">
        <f>AND(#REF!,"AAAAAH+3vcc=")</f>
        <v>#REF!</v>
      </c>
      <c r="GS186" t="e">
        <f>IF(#REF!,"AAAAAH+3vcg=",0)</f>
        <v>#REF!</v>
      </c>
      <c r="GT186" t="e">
        <f>AND(#REF!,"AAAAAH+3vck=")</f>
        <v>#REF!</v>
      </c>
      <c r="GU186" t="e">
        <f>AND(#REF!,"AAAAAH+3vco=")</f>
        <v>#REF!</v>
      </c>
      <c r="GV186" t="e">
        <f>AND(#REF!,"AAAAAH+3vcs=")</f>
        <v>#REF!</v>
      </c>
      <c r="GW186" t="e">
        <f>AND(#REF!,"AAAAAH+3vcw=")</f>
        <v>#REF!</v>
      </c>
      <c r="GX186" t="e">
        <f>AND(#REF!,"AAAAAH+3vc0=")</f>
        <v>#REF!</v>
      </c>
      <c r="GY186" t="e">
        <f>AND(#REF!,"AAAAAH+3vc4=")</f>
        <v>#REF!</v>
      </c>
      <c r="GZ186" t="e">
        <f>AND(#REF!,"AAAAAH+3vc8=")</f>
        <v>#REF!</v>
      </c>
      <c r="HA186" t="e">
        <f>AND(#REF!,"AAAAAH+3vdA=")</f>
        <v>#REF!</v>
      </c>
      <c r="HB186" t="e">
        <f>AND(#REF!,"AAAAAH+3vdE=")</f>
        <v>#REF!</v>
      </c>
      <c r="HC186" t="e">
        <f>AND(#REF!,"AAAAAH+3vdI=")</f>
        <v>#REF!</v>
      </c>
      <c r="HD186" t="e">
        <f>AND(#REF!,"AAAAAH+3vdM=")</f>
        <v>#REF!</v>
      </c>
      <c r="HE186" t="e">
        <f>AND(#REF!,"AAAAAH+3vdQ=")</f>
        <v>#REF!</v>
      </c>
      <c r="HF186" t="e">
        <f>AND(#REF!,"AAAAAH+3vdU=")</f>
        <v>#REF!</v>
      </c>
      <c r="HG186" t="e">
        <f>AND(#REF!,"AAAAAH+3vdY=")</f>
        <v>#REF!</v>
      </c>
      <c r="HH186" t="e">
        <f>AND(#REF!,"AAAAAH+3vdc=")</f>
        <v>#REF!</v>
      </c>
      <c r="HI186" t="e">
        <f>AND(#REF!,"AAAAAH+3vdg=")</f>
        <v>#REF!</v>
      </c>
      <c r="HJ186" t="e">
        <f>AND(#REF!,"AAAAAH+3vdk=")</f>
        <v>#REF!</v>
      </c>
      <c r="HK186" t="e">
        <f>AND(#REF!,"AAAAAH+3vdo=")</f>
        <v>#REF!</v>
      </c>
      <c r="HL186" t="e">
        <f>AND(#REF!,"AAAAAH+3vds=")</f>
        <v>#REF!</v>
      </c>
      <c r="HM186" t="e">
        <f>AND(#REF!,"AAAAAH+3vdw=")</f>
        <v>#REF!</v>
      </c>
      <c r="HN186" t="e">
        <f>AND(#REF!,"AAAAAH+3vd0=")</f>
        <v>#REF!</v>
      </c>
      <c r="HO186" t="e">
        <f>AND(#REF!,"AAAAAH+3vd4=")</f>
        <v>#REF!</v>
      </c>
      <c r="HP186" t="e">
        <f>AND(#REF!,"AAAAAH+3vd8=")</f>
        <v>#REF!</v>
      </c>
      <c r="HQ186" t="e">
        <f>AND(#REF!,"AAAAAH+3veA=")</f>
        <v>#REF!</v>
      </c>
      <c r="HR186" t="e">
        <f>IF(#REF!,"AAAAAH+3veE=",0)</f>
        <v>#REF!</v>
      </c>
      <c r="HS186" t="e">
        <f>AND(#REF!,"AAAAAH+3veI=")</f>
        <v>#REF!</v>
      </c>
      <c r="HT186" t="e">
        <f>AND(#REF!,"AAAAAH+3veM=")</f>
        <v>#REF!</v>
      </c>
      <c r="HU186" t="e">
        <f>AND(#REF!,"AAAAAH+3veQ=")</f>
        <v>#REF!</v>
      </c>
      <c r="HV186" t="e">
        <f>AND(#REF!,"AAAAAH+3veU=")</f>
        <v>#REF!</v>
      </c>
      <c r="HW186" t="e">
        <f>AND(#REF!,"AAAAAH+3veY=")</f>
        <v>#REF!</v>
      </c>
      <c r="HX186" t="e">
        <f>AND(#REF!,"AAAAAH+3vec=")</f>
        <v>#REF!</v>
      </c>
      <c r="HY186" t="e">
        <f>AND(#REF!,"AAAAAH+3veg=")</f>
        <v>#REF!</v>
      </c>
      <c r="HZ186" t="e">
        <f>AND(#REF!,"AAAAAH+3vek=")</f>
        <v>#REF!</v>
      </c>
      <c r="IA186" t="e">
        <f>AND(#REF!,"AAAAAH+3veo=")</f>
        <v>#REF!</v>
      </c>
      <c r="IB186" t="e">
        <f>AND(#REF!,"AAAAAH+3ves=")</f>
        <v>#REF!</v>
      </c>
      <c r="IC186" t="e">
        <f>AND(#REF!,"AAAAAH+3vew=")</f>
        <v>#REF!</v>
      </c>
      <c r="ID186" t="e">
        <f>AND(#REF!,"AAAAAH+3ve0=")</f>
        <v>#REF!</v>
      </c>
      <c r="IE186" t="e">
        <f>AND(#REF!,"AAAAAH+3ve4=")</f>
        <v>#REF!</v>
      </c>
      <c r="IF186" t="e">
        <f>AND(#REF!,"AAAAAH+3ve8=")</f>
        <v>#REF!</v>
      </c>
      <c r="IG186" t="e">
        <f>AND(#REF!,"AAAAAH+3vfA=")</f>
        <v>#REF!</v>
      </c>
      <c r="IH186" t="e">
        <f>AND(#REF!,"AAAAAH+3vfE=")</f>
        <v>#REF!</v>
      </c>
      <c r="II186" t="e">
        <f>AND(#REF!,"AAAAAH+3vfI=")</f>
        <v>#REF!</v>
      </c>
      <c r="IJ186" t="e">
        <f>AND(#REF!,"AAAAAH+3vfM=")</f>
        <v>#REF!</v>
      </c>
      <c r="IK186" t="e">
        <f>AND(#REF!,"AAAAAH+3vfQ=")</f>
        <v>#REF!</v>
      </c>
      <c r="IL186" t="e">
        <f>AND(#REF!,"AAAAAH+3vfU=")</f>
        <v>#REF!</v>
      </c>
      <c r="IM186" t="e">
        <f>AND(#REF!,"AAAAAH+3vfY=")</f>
        <v>#REF!</v>
      </c>
      <c r="IN186" t="e">
        <f>AND(#REF!,"AAAAAH+3vfc=")</f>
        <v>#REF!</v>
      </c>
      <c r="IO186" t="e">
        <f>AND(#REF!,"AAAAAH+3vfg=")</f>
        <v>#REF!</v>
      </c>
      <c r="IP186" t="e">
        <f>AND(#REF!,"AAAAAH+3vfk=")</f>
        <v>#REF!</v>
      </c>
      <c r="IQ186" t="e">
        <f>IF(#REF!,"AAAAAH+3vfo=",0)</f>
        <v>#REF!</v>
      </c>
      <c r="IR186" t="e">
        <f>AND(#REF!,"AAAAAH+3vfs=")</f>
        <v>#REF!</v>
      </c>
      <c r="IS186" t="e">
        <f>AND(#REF!,"AAAAAH+3vfw=")</f>
        <v>#REF!</v>
      </c>
      <c r="IT186" t="e">
        <f>AND(#REF!,"AAAAAH+3vf0=")</f>
        <v>#REF!</v>
      </c>
      <c r="IU186" t="e">
        <f>AND(#REF!,"AAAAAH+3vf4=")</f>
        <v>#REF!</v>
      </c>
      <c r="IV186" t="e">
        <f>AND(#REF!,"AAAAAH+3vf8=")</f>
        <v>#REF!</v>
      </c>
    </row>
    <row r="187" spans="1:256">
      <c r="A187" t="e">
        <f>AND(#REF!,"AAAAAH0r/wA=")</f>
        <v>#REF!</v>
      </c>
      <c r="B187" t="e">
        <f>AND(#REF!,"AAAAAH0r/wE=")</f>
        <v>#REF!</v>
      </c>
      <c r="C187" t="e">
        <f>AND(#REF!,"AAAAAH0r/wI=")</f>
        <v>#REF!</v>
      </c>
      <c r="D187" t="e">
        <f>AND(#REF!,"AAAAAH0r/wM=")</f>
        <v>#REF!</v>
      </c>
      <c r="E187" t="e">
        <f>AND(#REF!,"AAAAAH0r/wQ=")</f>
        <v>#REF!</v>
      </c>
      <c r="F187" t="e">
        <f>AND(#REF!,"AAAAAH0r/wU=")</f>
        <v>#REF!</v>
      </c>
      <c r="G187" t="e">
        <f>AND(#REF!,"AAAAAH0r/wY=")</f>
        <v>#REF!</v>
      </c>
      <c r="H187" t="e">
        <f>AND(#REF!,"AAAAAH0r/wc=")</f>
        <v>#REF!</v>
      </c>
      <c r="I187" t="e">
        <f>AND(#REF!,"AAAAAH0r/wg=")</f>
        <v>#REF!</v>
      </c>
      <c r="J187" t="e">
        <f>AND(#REF!,"AAAAAH0r/wk=")</f>
        <v>#REF!</v>
      </c>
      <c r="K187" t="e">
        <f>AND(#REF!,"AAAAAH0r/wo=")</f>
        <v>#REF!</v>
      </c>
      <c r="L187" t="e">
        <f>AND(#REF!,"AAAAAH0r/ws=")</f>
        <v>#REF!</v>
      </c>
      <c r="M187" t="e">
        <f>AND(#REF!,"AAAAAH0r/ww=")</f>
        <v>#REF!</v>
      </c>
      <c r="N187" t="e">
        <f>AND(#REF!,"AAAAAH0r/w0=")</f>
        <v>#REF!</v>
      </c>
      <c r="O187" t="e">
        <f>AND(#REF!,"AAAAAH0r/w4=")</f>
        <v>#REF!</v>
      </c>
      <c r="P187" t="e">
        <f>AND(#REF!,"AAAAAH0r/w8=")</f>
        <v>#REF!</v>
      </c>
      <c r="Q187" t="e">
        <f>AND(#REF!,"AAAAAH0r/xA=")</f>
        <v>#REF!</v>
      </c>
      <c r="R187" t="e">
        <f>AND(#REF!,"AAAAAH0r/xE=")</f>
        <v>#REF!</v>
      </c>
      <c r="S187" t="e">
        <f>AND(#REF!,"AAAAAH0r/xI=")</f>
        <v>#REF!</v>
      </c>
      <c r="T187" t="e">
        <f>IF(#REF!,"AAAAAH0r/xM=",0)</f>
        <v>#REF!</v>
      </c>
      <c r="U187" t="e">
        <f>AND(#REF!,"AAAAAH0r/xQ=")</f>
        <v>#REF!</v>
      </c>
      <c r="V187" t="e">
        <f>AND(#REF!,"AAAAAH0r/xU=")</f>
        <v>#REF!</v>
      </c>
      <c r="W187" t="e">
        <f>AND(#REF!,"AAAAAH0r/xY=")</f>
        <v>#REF!</v>
      </c>
      <c r="X187" t="e">
        <f>AND(#REF!,"AAAAAH0r/xc=")</f>
        <v>#REF!</v>
      </c>
      <c r="Y187" t="e">
        <f>AND(#REF!,"AAAAAH0r/xg=")</f>
        <v>#REF!</v>
      </c>
      <c r="Z187" t="e">
        <f>AND(#REF!,"AAAAAH0r/xk=")</f>
        <v>#REF!</v>
      </c>
      <c r="AA187" t="e">
        <f>AND(#REF!,"AAAAAH0r/xo=")</f>
        <v>#REF!</v>
      </c>
      <c r="AB187" t="e">
        <f>AND(#REF!,"AAAAAH0r/xs=")</f>
        <v>#REF!</v>
      </c>
      <c r="AC187" t="e">
        <f>AND(#REF!,"AAAAAH0r/xw=")</f>
        <v>#REF!</v>
      </c>
      <c r="AD187" t="e">
        <f>AND(#REF!,"AAAAAH0r/x0=")</f>
        <v>#REF!</v>
      </c>
      <c r="AE187" t="e">
        <f>AND(#REF!,"AAAAAH0r/x4=")</f>
        <v>#REF!</v>
      </c>
      <c r="AF187" t="e">
        <f>AND(#REF!,"AAAAAH0r/x8=")</f>
        <v>#REF!</v>
      </c>
      <c r="AG187" t="e">
        <f>AND(#REF!,"AAAAAH0r/yA=")</f>
        <v>#REF!</v>
      </c>
      <c r="AH187" t="e">
        <f>AND(#REF!,"AAAAAH0r/yE=")</f>
        <v>#REF!</v>
      </c>
      <c r="AI187" t="e">
        <f>AND(#REF!,"AAAAAH0r/yI=")</f>
        <v>#REF!</v>
      </c>
      <c r="AJ187" t="e">
        <f>AND(#REF!,"AAAAAH0r/yM=")</f>
        <v>#REF!</v>
      </c>
      <c r="AK187" t="e">
        <f>AND(#REF!,"AAAAAH0r/yQ=")</f>
        <v>#REF!</v>
      </c>
      <c r="AL187" t="e">
        <f>AND(#REF!,"AAAAAH0r/yU=")</f>
        <v>#REF!</v>
      </c>
      <c r="AM187" t="e">
        <f>AND(#REF!,"AAAAAH0r/yY=")</f>
        <v>#REF!</v>
      </c>
      <c r="AN187" t="e">
        <f>AND(#REF!,"AAAAAH0r/yc=")</f>
        <v>#REF!</v>
      </c>
      <c r="AO187" t="e">
        <f>AND(#REF!,"AAAAAH0r/yg=")</f>
        <v>#REF!</v>
      </c>
      <c r="AP187" t="e">
        <f>AND(#REF!,"AAAAAH0r/yk=")</f>
        <v>#REF!</v>
      </c>
      <c r="AQ187" t="e">
        <f>AND(#REF!,"AAAAAH0r/yo=")</f>
        <v>#REF!</v>
      </c>
      <c r="AR187" t="e">
        <f>AND(#REF!,"AAAAAH0r/ys=")</f>
        <v>#REF!</v>
      </c>
      <c r="AS187" t="e">
        <f>IF(#REF!,"AAAAAH0r/yw=",0)</f>
        <v>#REF!</v>
      </c>
      <c r="AT187" t="e">
        <f>AND(#REF!,"AAAAAH0r/y0=")</f>
        <v>#REF!</v>
      </c>
      <c r="AU187" t="e">
        <f>AND(#REF!,"AAAAAH0r/y4=")</f>
        <v>#REF!</v>
      </c>
      <c r="AV187" t="e">
        <f>AND(#REF!,"AAAAAH0r/y8=")</f>
        <v>#REF!</v>
      </c>
      <c r="AW187" t="e">
        <f>AND(#REF!,"AAAAAH0r/zA=")</f>
        <v>#REF!</v>
      </c>
      <c r="AX187" t="e">
        <f>AND(#REF!,"AAAAAH0r/zE=")</f>
        <v>#REF!</v>
      </c>
      <c r="AY187" t="e">
        <f>AND(#REF!,"AAAAAH0r/zI=")</f>
        <v>#REF!</v>
      </c>
      <c r="AZ187" t="e">
        <f>AND(#REF!,"AAAAAH0r/zM=")</f>
        <v>#REF!</v>
      </c>
      <c r="BA187" t="e">
        <f>AND(#REF!,"AAAAAH0r/zQ=")</f>
        <v>#REF!</v>
      </c>
      <c r="BB187" t="e">
        <f>AND(#REF!,"AAAAAH0r/zU=")</f>
        <v>#REF!</v>
      </c>
      <c r="BC187" t="e">
        <f>AND(#REF!,"AAAAAH0r/zY=")</f>
        <v>#REF!</v>
      </c>
      <c r="BD187" t="e">
        <f>AND(#REF!,"AAAAAH0r/zc=")</f>
        <v>#REF!</v>
      </c>
      <c r="BE187" t="e">
        <f>AND(#REF!,"AAAAAH0r/zg=")</f>
        <v>#REF!</v>
      </c>
      <c r="BF187" t="e">
        <f>AND(#REF!,"AAAAAH0r/zk=")</f>
        <v>#REF!</v>
      </c>
      <c r="BG187" t="e">
        <f>AND(#REF!,"AAAAAH0r/zo=")</f>
        <v>#REF!</v>
      </c>
      <c r="BH187" t="e">
        <f>AND(#REF!,"AAAAAH0r/zs=")</f>
        <v>#REF!</v>
      </c>
      <c r="BI187" t="e">
        <f>AND(#REF!,"AAAAAH0r/zw=")</f>
        <v>#REF!</v>
      </c>
      <c r="BJ187" t="e">
        <f>AND(#REF!,"AAAAAH0r/z0=")</f>
        <v>#REF!</v>
      </c>
      <c r="BK187" t="e">
        <f>AND(#REF!,"AAAAAH0r/z4=")</f>
        <v>#REF!</v>
      </c>
      <c r="BL187" t="e">
        <f>AND(#REF!,"AAAAAH0r/z8=")</f>
        <v>#REF!</v>
      </c>
      <c r="BM187" t="e">
        <f>AND(#REF!,"AAAAAH0r/0A=")</f>
        <v>#REF!</v>
      </c>
      <c r="BN187" t="e">
        <f>AND(#REF!,"AAAAAH0r/0E=")</f>
        <v>#REF!</v>
      </c>
      <c r="BO187" t="e">
        <f>AND(#REF!,"AAAAAH0r/0I=")</f>
        <v>#REF!</v>
      </c>
      <c r="BP187" t="e">
        <f>AND(#REF!,"AAAAAH0r/0M=")</f>
        <v>#REF!</v>
      </c>
      <c r="BQ187" t="e">
        <f>AND(#REF!,"AAAAAH0r/0Q=")</f>
        <v>#REF!</v>
      </c>
      <c r="BR187" t="e">
        <f>IF(#REF!,"AAAAAH0r/0U=",0)</f>
        <v>#REF!</v>
      </c>
      <c r="BS187" t="e">
        <f>AND(#REF!,"AAAAAH0r/0Y=")</f>
        <v>#REF!</v>
      </c>
      <c r="BT187" t="e">
        <f>AND(#REF!,"AAAAAH0r/0c=")</f>
        <v>#REF!</v>
      </c>
      <c r="BU187" t="e">
        <f>AND(#REF!,"AAAAAH0r/0g=")</f>
        <v>#REF!</v>
      </c>
      <c r="BV187" t="e">
        <f>AND(#REF!,"AAAAAH0r/0k=")</f>
        <v>#REF!</v>
      </c>
      <c r="BW187" t="e">
        <f>AND(#REF!,"AAAAAH0r/0o=")</f>
        <v>#REF!</v>
      </c>
      <c r="BX187" t="e">
        <f>AND(#REF!,"AAAAAH0r/0s=")</f>
        <v>#REF!</v>
      </c>
      <c r="BY187" t="e">
        <f>AND(#REF!,"AAAAAH0r/0w=")</f>
        <v>#REF!</v>
      </c>
      <c r="BZ187" t="e">
        <f>AND(#REF!,"AAAAAH0r/00=")</f>
        <v>#REF!</v>
      </c>
      <c r="CA187" t="e">
        <f>AND(#REF!,"AAAAAH0r/04=")</f>
        <v>#REF!</v>
      </c>
      <c r="CB187" t="e">
        <f>AND(#REF!,"AAAAAH0r/08=")</f>
        <v>#REF!</v>
      </c>
      <c r="CC187" t="e">
        <f>AND(#REF!,"AAAAAH0r/1A=")</f>
        <v>#REF!</v>
      </c>
      <c r="CD187" t="e">
        <f>AND(#REF!,"AAAAAH0r/1E=")</f>
        <v>#REF!</v>
      </c>
      <c r="CE187" t="e">
        <f>AND(#REF!,"AAAAAH0r/1I=")</f>
        <v>#REF!</v>
      </c>
      <c r="CF187" t="e">
        <f>AND(#REF!,"AAAAAH0r/1M=")</f>
        <v>#REF!</v>
      </c>
      <c r="CG187" t="e">
        <f>AND(#REF!,"AAAAAH0r/1Q=")</f>
        <v>#REF!</v>
      </c>
      <c r="CH187" t="e">
        <f>AND(#REF!,"AAAAAH0r/1U=")</f>
        <v>#REF!</v>
      </c>
      <c r="CI187" t="e">
        <f>AND(#REF!,"AAAAAH0r/1Y=")</f>
        <v>#REF!</v>
      </c>
      <c r="CJ187" t="e">
        <f>AND(#REF!,"AAAAAH0r/1c=")</f>
        <v>#REF!</v>
      </c>
      <c r="CK187" t="e">
        <f>AND(#REF!,"AAAAAH0r/1g=")</f>
        <v>#REF!</v>
      </c>
      <c r="CL187" t="e">
        <f>AND(#REF!,"AAAAAH0r/1k=")</f>
        <v>#REF!</v>
      </c>
      <c r="CM187" t="e">
        <f>AND(#REF!,"AAAAAH0r/1o=")</f>
        <v>#REF!</v>
      </c>
      <c r="CN187" t="e">
        <f>AND(#REF!,"AAAAAH0r/1s=")</f>
        <v>#REF!</v>
      </c>
      <c r="CO187" t="e">
        <f>AND(#REF!,"AAAAAH0r/1w=")</f>
        <v>#REF!</v>
      </c>
      <c r="CP187" t="e">
        <f>AND(#REF!,"AAAAAH0r/10=")</f>
        <v>#REF!</v>
      </c>
      <c r="CQ187" t="e">
        <f>IF(#REF!,"AAAAAH0r/14=",0)</f>
        <v>#REF!</v>
      </c>
      <c r="CR187" t="e">
        <f>AND(#REF!,"AAAAAH0r/18=")</f>
        <v>#REF!</v>
      </c>
      <c r="CS187" t="e">
        <f>AND(#REF!,"AAAAAH0r/2A=")</f>
        <v>#REF!</v>
      </c>
      <c r="CT187" t="e">
        <f>AND(#REF!,"AAAAAH0r/2E=")</f>
        <v>#REF!</v>
      </c>
      <c r="CU187" t="e">
        <f>AND(#REF!,"AAAAAH0r/2I=")</f>
        <v>#REF!</v>
      </c>
      <c r="CV187" t="e">
        <f>AND(#REF!,"AAAAAH0r/2M=")</f>
        <v>#REF!</v>
      </c>
      <c r="CW187" t="e">
        <f>AND(#REF!,"AAAAAH0r/2Q=")</f>
        <v>#REF!</v>
      </c>
      <c r="CX187" t="e">
        <f>AND(#REF!,"AAAAAH0r/2U=")</f>
        <v>#REF!</v>
      </c>
      <c r="CY187" t="e">
        <f>AND(#REF!,"AAAAAH0r/2Y=")</f>
        <v>#REF!</v>
      </c>
      <c r="CZ187" t="e">
        <f>AND(#REF!,"AAAAAH0r/2c=")</f>
        <v>#REF!</v>
      </c>
      <c r="DA187" t="e">
        <f>AND(#REF!,"AAAAAH0r/2g=")</f>
        <v>#REF!</v>
      </c>
      <c r="DB187" t="e">
        <f>AND(#REF!,"AAAAAH0r/2k=")</f>
        <v>#REF!</v>
      </c>
      <c r="DC187" t="e">
        <f>AND(#REF!,"AAAAAH0r/2o=")</f>
        <v>#REF!</v>
      </c>
      <c r="DD187" t="e">
        <f>AND(#REF!,"AAAAAH0r/2s=")</f>
        <v>#REF!</v>
      </c>
      <c r="DE187" t="e">
        <f>AND(#REF!,"AAAAAH0r/2w=")</f>
        <v>#REF!</v>
      </c>
      <c r="DF187" t="e">
        <f>AND(#REF!,"AAAAAH0r/20=")</f>
        <v>#REF!</v>
      </c>
      <c r="DG187" t="e">
        <f>AND(#REF!,"AAAAAH0r/24=")</f>
        <v>#REF!</v>
      </c>
      <c r="DH187" t="e">
        <f>AND(#REF!,"AAAAAH0r/28=")</f>
        <v>#REF!</v>
      </c>
      <c r="DI187" t="e">
        <f>AND(#REF!,"AAAAAH0r/3A=")</f>
        <v>#REF!</v>
      </c>
      <c r="DJ187" t="e">
        <f>AND(#REF!,"AAAAAH0r/3E=")</f>
        <v>#REF!</v>
      </c>
      <c r="DK187" t="e">
        <f>AND(#REF!,"AAAAAH0r/3I=")</f>
        <v>#REF!</v>
      </c>
      <c r="DL187" t="e">
        <f>AND(#REF!,"AAAAAH0r/3M=")</f>
        <v>#REF!</v>
      </c>
      <c r="DM187" t="e">
        <f>AND(#REF!,"AAAAAH0r/3Q=")</f>
        <v>#REF!</v>
      </c>
      <c r="DN187" t="e">
        <f>AND(#REF!,"AAAAAH0r/3U=")</f>
        <v>#REF!</v>
      </c>
      <c r="DO187" t="e">
        <f>AND(#REF!,"AAAAAH0r/3Y=")</f>
        <v>#REF!</v>
      </c>
      <c r="DP187" t="e">
        <f>IF(#REF!,"AAAAAH0r/3c=",0)</f>
        <v>#REF!</v>
      </c>
      <c r="DQ187" t="e">
        <f>AND(#REF!,"AAAAAH0r/3g=")</f>
        <v>#REF!</v>
      </c>
      <c r="DR187" t="e">
        <f>AND(#REF!,"AAAAAH0r/3k=")</f>
        <v>#REF!</v>
      </c>
      <c r="DS187" t="e">
        <f>AND(#REF!,"AAAAAH0r/3o=")</f>
        <v>#REF!</v>
      </c>
      <c r="DT187" t="e">
        <f>AND(#REF!,"AAAAAH0r/3s=")</f>
        <v>#REF!</v>
      </c>
      <c r="DU187" t="e">
        <f>AND(#REF!,"AAAAAH0r/3w=")</f>
        <v>#REF!</v>
      </c>
      <c r="DV187" t="e">
        <f>AND(#REF!,"AAAAAH0r/30=")</f>
        <v>#REF!</v>
      </c>
      <c r="DW187" t="e">
        <f>AND(#REF!,"AAAAAH0r/34=")</f>
        <v>#REF!</v>
      </c>
      <c r="DX187" t="e">
        <f>AND(#REF!,"AAAAAH0r/38=")</f>
        <v>#REF!</v>
      </c>
      <c r="DY187" t="e">
        <f>AND(#REF!,"AAAAAH0r/4A=")</f>
        <v>#REF!</v>
      </c>
      <c r="DZ187" t="e">
        <f>AND(#REF!,"AAAAAH0r/4E=")</f>
        <v>#REF!</v>
      </c>
      <c r="EA187" t="e">
        <f>AND(#REF!,"AAAAAH0r/4I=")</f>
        <v>#REF!</v>
      </c>
      <c r="EB187" t="e">
        <f>AND(#REF!,"AAAAAH0r/4M=")</f>
        <v>#REF!</v>
      </c>
      <c r="EC187" t="e">
        <f>AND(#REF!,"AAAAAH0r/4Q=")</f>
        <v>#REF!</v>
      </c>
      <c r="ED187" t="e">
        <f>AND(#REF!,"AAAAAH0r/4U=")</f>
        <v>#REF!</v>
      </c>
      <c r="EE187" t="e">
        <f>AND(#REF!,"AAAAAH0r/4Y=")</f>
        <v>#REF!</v>
      </c>
      <c r="EF187" t="e">
        <f>AND(#REF!,"AAAAAH0r/4c=")</f>
        <v>#REF!</v>
      </c>
      <c r="EG187" t="e">
        <f>AND(#REF!,"AAAAAH0r/4g=")</f>
        <v>#REF!</v>
      </c>
      <c r="EH187" t="e">
        <f>AND(#REF!,"AAAAAH0r/4k=")</f>
        <v>#REF!</v>
      </c>
      <c r="EI187" t="e">
        <f>AND(#REF!,"AAAAAH0r/4o=")</f>
        <v>#REF!</v>
      </c>
      <c r="EJ187" t="e">
        <f>AND(#REF!,"AAAAAH0r/4s=")</f>
        <v>#REF!</v>
      </c>
      <c r="EK187" t="e">
        <f>AND(#REF!,"AAAAAH0r/4w=")</f>
        <v>#REF!</v>
      </c>
      <c r="EL187" t="e">
        <f>AND(#REF!,"AAAAAH0r/40=")</f>
        <v>#REF!</v>
      </c>
      <c r="EM187" t="e">
        <f>AND(#REF!,"AAAAAH0r/44=")</f>
        <v>#REF!</v>
      </c>
      <c r="EN187" t="e">
        <f>AND(#REF!,"AAAAAH0r/48=")</f>
        <v>#REF!</v>
      </c>
      <c r="EO187" t="e">
        <f>IF(#REF!,"AAAAAH0r/5A=",0)</f>
        <v>#REF!</v>
      </c>
      <c r="EP187" t="e">
        <f>AND(#REF!,"AAAAAH0r/5E=")</f>
        <v>#REF!</v>
      </c>
      <c r="EQ187" t="e">
        <f>AND(#REF!,"AAAAAH0r/5I=")</f>
        <v>#REF!</v>
      </c>
      <c r="ER187" t="e">
        <f>AND(#REF!,"AAAAAH0r/5M=")</f>
        <v>#REF!</v>
      </c>
      <c r="ES187" t="e">
        <f>AND(#REF!,"AAAAAH0r/5Q=")</f>
        <v>#REF!</v>
      </c>
      <c r="ET187" t="e">
        <f>AND(#REF!,"AAAAAH0r/5U=")</f>
        <v>#REF!</v>
      </c>
      <c r="EU187" t="e">
        <f>AND(#REF!,"AAAAAH0r/5Y=")</f>
        <v>#REF!</v>
      </c>
      <c r="EV187" t="e">
        <f>AND(#REF!,"AAAAAH0r/5c=")</f>
        <v>#REF!</v>
      </c>
      <c r="EW187" t="e">
        <f>AND(#REF!,"AAAAAH0r/5g=")</f>
        <v>#REF!</v>
      </c>
      <c r="EX187" t="e">
        <f>AND(#REF!,"AAAAAH0r/5k=")</f>
        <v>#REF!</v>
      </c>
      <c r="EY187" t="e">
        <f>AND(#REF!,"AAAAAH0r/5o=")</f>
        <v>#REF!</v>
      </c>
      <c r="EZ187" t="e">
        <f>AND(#REF!,"AAAAAH0r/5s=")</f>
        <v>#REF!</v>
      </c>
      <c r="FA187" t="e">
        <f>AND(#REF!,"AAAAAH0r/5w=")</f>
        <v>#REF!</v>
      </c>
      <c r="FB187" t="e">
        <f>AND(#REF!,"AAAAAH0r/50=")</f>
        <v>#REF!</v>
      </c>
      <c r="FC187" t="e">
        <f>AND(#REF!,"AAAAAH0r/54=")</f>
        <v>#REF!</v>
      </c>
      <c r="FD187" t="e">
        <f>AND(#REF!,"AAAAAH0r/58=")</f>
        <v>#REF!</v>
      </c>
      <c r="FE187" t="e">
        <f>AND(#REF!,"AAAAAH0r/6A=")</f>
        <v>#REF!</v>
      </c>
      <c r="FF187" t="e">
        <f>AND(#REF!,"AAAAAH0r/6E=")</f>
        <v>#REF!</v>
      </c>
      <c r="FG187" t="e">
        <f>AND(#REF!,"AAAAAH0r/6I=")</f>
        <v>#REF!</v>
      </c>
      <c r="FH187" t="e">
        <f>AND(#REF!,"AAAAAH0r/6M=")</f>
        <v>#REF!</v>
      </c>
      <c r="FI187" t="e">
        <f>AND(#REF!,"AAAAAH0r/6Q=")</f>
        <v>#REF!</v>
      </c>
      <c r="FJ187" t="e">
        <f>AND(#REF!,"AAAAAH0r/6U=")</f>
        <v>#REF!</v>
      </c>
      <c r="FK187" t="e">
        <f>AND(#REF!,"AAAAAH0r/6Y=")</f>
        <v>#REF!</v>
      </c>
      <c r="FL187" t="e">
        <f>AND(#REF!,"AAAAAH0r/6c=")</f>
        <v>#REF!</v>
      </c>
      <c r="FM187" t="e">
        <f>AND(#REF!,"AAAAAH0r/6g=")</f>
        <v>#REF!</v>
      </c>
      <c r="FN187" t="e">
        <f>IF(#REF!,"AAAAAH0r/6k=",0)</f>
        <v>#REF!</v>
      </c>
      <c r="FO187" t="e">
        <f>AND(#REF!,"AAAAAH0r/6o=")</f>
        <v>#REF!</v>
      </c>
      <c r="FP187" t="e">
        <f>AND(#REF!,"AAAAAH0r/6s=")</f>
        <v>#REF!</v>
      </c>
      <c r="FQ187" t="e">
        <f>AND(#REF!,"AAAAAH0r/6w=")</f>
        <v>#REF!</v>
      </c>
      <c r="FR187" t="e">
        <f>AND(#REF!,"AAAAAH0r/60=")</f>
        <v>#REF!</v>
      </c>
      <c r="FS187" t="e">
        <f>AND(#REF!,"AAAAAH0r/64=")</f>
        <v>#REF!</v>
      </c>
      <c r="FT187" t="e">
        <f>AND(#REF!,"AAAAAH0r/68=")</f>
        <v>#REF!</v>
      </c>
      <c r="FU187" t="e">
        <f>AND(#REF!,"AAAAAH0r/7A=")</f>
        <v>#REF!</v>
      </c>
      <c r="FV187" t="e">
        <f>AND(#REF!,"AAAAAH0r/7E=")</f>
        <v>#REF!</v>
      </c>
      <c r="FW187" t="e">
        <f>AND(#REF!,"AAAAAH0r/7I=")</f>
        <v>#REF!</v>
      </c>
      <c r="FX187" t="e">
        <f>AND(#REF!,"AAAAAH0r/7M=")</f>
        <v>#REF!</v>
      </c>
      <c r="FY187" t="e">
        <f>AND(#REF!,"AAAAAH0r/7Q=")</f>
        <v>#REF!</v>
      </c>
      <c r="FZ187" t="e">
        <f>AND(#REF!,"AAAAAH0r/7U=")</f>
        <v>#REF!</v>
      </c>
      <c r="GA187" t="e">
        <f>AND(#REF!,"AAAAAH0r/7Y=")</f>
        <v>#REF!</v>
      </c>
      <c r="GB187" t="e">
        <f>AND(#REF!,"AAAAAH0r/7c=")</f>
        <v>#REF!</v>
      </c>
      <c r="GC187" t="e">
        <f>AND(#REF!,"AAAAAH0r/7g=")</f>
        <v>#REF!</v>
      </c>
      <c r="GD187" t="e">
        <f>AND(#REF!,"AAAAAH0r/7k=")</f>
        <v>#REF!</v>
      </c>
      <c r="GE187" t="e">
        <f>AND(#REF!,"AAAAAH0r/7o=")</f>
        <v>#REF!</v>
      </c>
      <c r="GF187" t="e">
        <f>AND(#REF!,"AAAAAH0r/7s=")</f>
        <v>#REF!</v>
      </c>
      <c r="GG187" t="e">
        <f>AND(#REF!,"AAAAAH0r/7w=")</f>
        <v>#REF!</v>
      </c>
      <c r="GH187" t="e">
        <f>AND(#REF!,"AAAAAH0r/70=")</f>
        <v>#REF!</v>
      </c>
      <c r="GI187" t="e">
        <f>AND(#REF!,"AAAAAH0r/74=")</f>
        <v>#REF!</v>
      </c>
      <c r="GJ187" t="e">
        <f>AND(#REF!,"AAAAAH0r/78=")</f>
        <v>#REF!</v>
      </c>
      <c r="GK187" t="e">
        <f>AND(#REF!,"AAAAAH0r/8A=")</f>
        <v>#REF!</v>
      </c>
      <c r="GL187" t="e">
        <f>AND(#REF!,"AAAAAH0r/8E=")</f>
        <v>#REF!</v>
      </c>
      <c r="GM187" t="e">
        <f>IF(#REF!,"AAAAAH0r/8I=",0)</f>
        <v>#REF!</v>
      </c>
      <c r="GN187" t="e">
        <f>AND(#REF!,"AAAAAH0r/8M=")</f>
        <v>#REF!</v>
      </c>
      <c r="GO187" t="e">
        <f>AND(#REF!,"AAAAAH0r/8Q=")</f>
        <v>#REF!</v>
      </c>
      <c r="GP187" t="e">
        <f>AND(#REF!,"AAAAAH0r/8U=")</f>
        <v>#REF!</v>
      </c>
      <c r="GQ187" t="e">
        <f>AND(#REF!,"AAAAAH0r/8Y=")</f>
        <v>#REF!</v>
      </c>
      <c r="GR187" t="e">
        <f>AND(#REF!,"AAAAAH0r/8c=")</f>
        <v>#REF!</v>
      </c>
      <c r="GS187" t="e">
        <f>AND(#REF!,"AAAAAH0r/8g=")</f>
        <v>#REF!</v>
      </c>
      <c r="GT187" t="e">
        <f>AND(#REF!,"AAAAAH0r/8k=")</f>
        <v>#REF!</v>
      </c>
      <c r="GU187" t="e">
        <f>AND(#REF!,"AAAAAH0r/8o=")</f>
        <v>#REF!</v>
      </c>
      <c r="GV187" t="e">
        <f>AND(#REF!,"AAAAAH0r/8s=")</f>
        <v>#REF!</v>
      </c>
      <c r="GW187" t="e">
        <f>AND(#REF!,"AAAAAH0r/8w=")</f>
        <v>#REF!</v>
      </c>
      <c r="GX187" t="e">
        <f>AND(#REF!,"AAAAAH0r/80=")</f>
        <v>#REF!</v>
      </c>
      <c r="GY187" t="e">
        <f>AND(#REF!,"AAAAAH0r/84=")</f>
        <v>#REF!</v>
      </c>
      <c r="GZ187" t="e">
        <f>AND(#REF!,"AAAAAH0r/88=")</f>
        <v>#REF!</v>
      </c>
      <c r="HA187" t="e">
        <f>AND(#REF!,"AAAAAH0r/9A=")</f>
        <v>#REF!</v>
      </c>
      <c r="HB187" t="e">
        <f>AND(#REF!,"AAAAAH0r/9E=")</f>
        <v>#REF!</v>
      </c>
      <c r="HC187" t="e">
        <f>AND(#REF!,"AAAAAH0r/9I=")</f>
        <v>#REF!</v>
      </c>
      <c r="HD187" t="e">
        <f>AND(#REF!,"AAAAAH0r/9M=")</f>
        <v>#REF!</v>
      </c>
      <c r="HE187" t="e">
        <f>AND(#REF!,"AAAAAH0r/9Q=")</f>
        <v>#REF!</v>
      </c>
      <c r="HF187" t="e">
        <f>AND(#REF!,"AAAAAH0r/9U=")</f>
        <v>#REF!</v>
      </c>
      <c r="HG187" t="e">
        <f>AND(#REF!,"AAAAAH0r/9Y=")</f>
        <v>#REF!</v>
      </c>
      <c r="HH187" t="e">
        <f>AND(#REF!,"AAAAAH0r/9c=")</f>
        <v>#REF!</v>
      </c>
      <c r="HI187" t="e">
        <f>AND(#REF!,"AAAAAH0r/9g=")</f>
        <v>#REF!</v>
      </c>
      <c r="HJ187" t="e">
        <f>AND(#REF!,"AAAAAH0r/9k=")</f>
        <v>#REF!</v>
      </c>
      <c r="HK187" t="e">
        <f>AND(#REF!,"AAAAAH0r/9o=")</f>
        <v>#REF!</v>
      </c>
      <c r="HL187" t="e">
        <f>IF(#REF!,"AAAAAH0r/9s=",0)</f>
        <v>#REF!</v>
      </c>
      <c r="HM187" t="e">
        <f>AND(#REF!,"AAAAAH0r/9w=")</f>
        <v>#REF!</v>
      </c>
      <c r="HN187" t="e">
        <f>AND(#REF!,"AAAAAH0r/90=")</f>
        <v>#REF!</v>
      </c>
      <c r="HO187" t="e">
        <f>AND(#REF!,"AAAAAH0r/94=")</f>
        <v>#REF!</v>
      </c>
      <c r="HP187" t="e">
        <f>AND(#REF!,"AAAAAH0r/98=")</f>
        <v>#REF!</v>
      </c>
      <c r="HQ187" t="e">
        <f>AND(#REF!,"AAAAAH0r/+A=")</f>
        <v>#REF!</v>
      </c>
      <c r="HR187" t="e">
        <f>AND(#REF!,"AAAAAH0r/+E=")</f>
        <v>#REF!</v>
      </c>
      <c r="HS187" t="e">
        <f>AND(#REF!,"AAAAAH0r/+I=")</f>
        <v>#REF!</v>
      </c>
      <c r="HT187" t="e">
        <f>AND(#REF!,"AAAAAH0r/+M=")</f>
        <v>#REF!</v>
      </c>
      <c r="HU187" t="e">
        <f>AND(#REF!,"AAAAAH0r/+Q=")</f>
        <v>#REF!</v>
      </c>
      <c r="HV187" t="e">
        <f>AND(#REF!,"AAAAAH0r/+U=")</f>
        <v>#REF!</v>
      </c>
      <c r="HW187" t="e">
        <f>AND(#REF!,"AAAAAH0r/+Y=")</f>
        <v>#REF!</v>
      </c>
      <c r="HX187" t="e">
        <f>AND(#REF!,"AAAAAH0r/+c=")</f>
        <v>#REF!</v>
      </c>
      <c r="HY187" t="e">
        <f>AND(#REF!,"AAAAAH0r/+g=")</f>
        <v>#REF!</v>
      </c>
      <c r="HZ187" t="e">
        <f>AND(#REF!,"AAAAAH0r/+k=")</f>
        <v>#REF!</v>
      </c>
      <c r="IA187" t="e">
        <f>AND(#REF!,"AAAAAH0r/+o=")</f>
        <v>#REF!</v>
      </c>
      <c r="IB187" t="e">
        <f>AND(#REF!,"AAAAAH0r/+s=")</f>
        <v>#REF!</v>
      </c>
      <c r="IC187" t="e">
        <f>AND(#REF!,"AAAAAH0r/+w=")</f>
        <v>#REF!</v>
      </c>
      <c r="ID187" t="e">
        <f>AND(#REF!,"AAAAAH0r/+0=")</f>
        <v>#REF!</v>
      </c>
      <c r="IE187" t="e">
        <f>AND(#REF!,"AAAAAH0r/+4=")</f>
        <v>#REF!</v>
      </c>
      <c r="IF187" t="e">
        <f>AND(#REF!,"AAAAAH0r/+8=")</f>
        <v>#REF!</v>
      </c>
      <c r="IG187" t="e">
        <f>AND(#REF!,"AAAAAH0r//A=")</f>
        <v>#REF!</v>
      </c>
      <c r="IH187" t="e">
        <f>AND(#REF!,"AAAAAH0r//E=")</f>
        <v>#REF!</v>
      </c>
      <c r="II187" t="e">
        <f>AND(#REF!,"AAAAAH0r//I=")</f>
        <v>#REF!</v>
      </c>
      <c r="IJ187" t="e">
        <f>AND(#REF!,"AAAAAH0r//M=")</f>
        <v>#REF!</v>
      </c>
      <c r="IK187" t="e">
        <f>IF(#REF!,"AAAAAH0r//Q=",0)</f>
        <v>#REF!</v>
      </c>
      <c r="IL187" t="e">
        <f>AND(#REF!,"AAAAAH0r//U=")</f>
        <v>#REF!</v>
      </c>
      <c r="IM187" t="e">
        <f>AND(#REF!,"AAAAAH0r//Y=")</f>
        <v>#REF!</v>
      </c>
      <c r="IN187" t="e">
        <f>AND(#REF!,"AAAAAH0r//c=")</f>
        <v>#REF!</v>
      </c>
      <c r="IO187" t="e">
        <f>AND(#REF!,"AAAAAH0r//g=")</f>
        <v>#REF!</v>
      </c>
      <c r="IP187" t="e">
        <f>AND(#REF!,"AAAAAH0r//k=")</f>
        <v>#REF!</v>
      </c>
      <c r="IQ187" t="e">
        <f>AND(#REF!,"AAAAAH0r//o=")</f>
        <v>#REF!</v>
      </c>
      <c r="IR187" t="e">
        <f>AND(#REF!,"AAAAAH0r//s=")</f>
        <v>#REF!</v>
      </c>
      <c r="IS187" t="e">
        <f>AND(#REF!,"AAAAAH0r//w=")</f>
        <v>#REF!</v>
      </c>
      <c r="IT187" t="e">
        <f>AND(#REF!,"AAAAAH0r//0=")</f>
        <v>#REF!</v>
      </c>
      <c r="IU187" t="e">
        <f>AND(#REF!,"AAAAAH0r//4=")</f>
        <v>#REF!</v>
      </c>
      <c r="IV187" t="e">
        <f>AND(#REF!,"AAAAAH0r//8=")</f>
        <v>#REF!</v>
      </c>
    </row>
    <row r="188" spans="1:256">
      <c r="A188" t="e">
        <f>AND(#REF!,"AAAAAHfX/QA=")</f>
        <v>#REF!</v>
      </c>
      <c r="B188" t="e">
        <f>AND(#REF!,"AAAAAHfX/QE=")</f>
        <v>#REF!</v>
      </c>
      <c r="C188" t="e">
        <f>AND(#REF!,"AAAAAHfX/QI=")</f>
        <v>#REF!</v>
      </c>
      <c r="D188" t="e">
        <f>AND(#REF!,"AAAAAHfX/QM=")</f>
        <v>#REF!</v>
      </c>
      <c r="E188" t="e">
        <f>AND(#REF!,"AAAAAHfX/QQ=")</f>
        <v>#REF!</v>
      </c>
      <c r="F188" t="e">
        <f>AND(#REF!,"AAAAAHfX/QU=")</f>
        <v>#REF!</v>
      </c>
      <c r="G188" t="e">
        <f>AND(#REF!,"AAAAAHfX/QY=")</f>
        <v>#REF!</v>
      </c>
      <c r="H188" t="e">
        <f>AND(#REF!,"AAAAAHfX/Qc=")</f>
        <v>#REF!</v>
      </c>
      <c r="I188" t="e">
        <f>AND(#REF!,"AAAAAHfX/Qg=")</f>
        <v>#REF!</v>
      </c>
      <c r="J188" t="e">
        <f>AND(#REF!,"AAAAAHfX/Qk=")</f>
        <v>#REF!</v>
      </c>
      <c r="K188" t="e">
        <f>AND(#REF!,"AAAAAHfX/Qo=")</f>
        <v>#REF!</v>
      </c>
      <c r="L188" t="e">
        <f>AND(#REF!,"AAAAAHfX/Qs=")</f>
        <v>#REF!</v>
      </c>
      <c r="M188" t="e">
        <f>AND(#REF!,"AAAAAHfX/Qw=")</f>
        <v>#REF!</v>
      </c>
      <c r="N188" t="e">
        <f>IF(#REF!,"AAAAAHfX/Q0=",0)</f>
        <v>#REF!</v>
      </c>
      <c r="O188" t="e">
        <f>AND(#REF!,"AAAAAHfX/Q4=")</f>
        <v>#REF!</v>
      </c>
      <c r="P188" t="e">
        <f>AND(#REF!,"AAAAAHfX/Q8=")</f>
        <v>#REF!</v>
      </c>
      <c r="Q188" t="e">
        <f>AND(#REF!,"AAAAAHfX/RA=")</f>
        <v>#REF!</v>
      </c>
      <c r="R188" t="e">
        <f>AND(#REF!,"AAAAAHfX/RE=")</f>
        <v>#REF!</v>
      </c>
      <c r="S188" t="e">
        <f>AND(#REF!,"AAAAAHfX/RI=")</f>
        <v>#REF!</v>
      </c>
      <c r="T188" t="e">
        <f>AND(#REF!,"AAAAAHfX/RM=")</f>
        <v>#REF!</v>
      </c>
      <c r="U188" t="e">
        <f>AND(#REF!,"AAAAAHfX/RQ=")</f>
        <v>#REF!</v>
      </c>
      <c r="V188" t="e">
        <f>AND(#REF!,"AAAAAHfX/RU=")</f>
        <v>#REF!</v>
      </c>
      <c r="W188" t="e">
        <f>AND(#REF!,"AAAAAHfX/RY=")</f>
        <v>#REF!</v>
      </c>
      <c r="X188" t="e">
        <f>AND(#REF!,"AAAAAHfX/Rc=")</f>
        <v>#REF!</v>
      </c>
      <c r="Y188" t="e">
        <f>AND(#REF!,"AAAAAHfX/Rg=")</f>
        <v>#REF!</v>
      </c>
      <c r="Z188" t="e">
        <f>AND(#REF!,"AAAAAHfX/Rk=")</f>
        <v>#REF!</v>
      </c>
      <c r="AA188" t="e">
        <f>AND(#REF!,"AAAAAHfX/Ro=")</f>
        <v>#REF!</v>
      </c>
      <c r="AB188" t="e">
        <f>AND(#REF!,"AAAAAHfX/Rs=")</f>
        <v>#REF!</v>
      </c>
      <c r="AC188" t="e">
        <f>AND(#REF!,"AAAAAHfX/Rw=")</f>
        <v>#REF!</v>
      </c>
      <c r="AD188" t="e">
        <f>AND(#REF!,"AAAAAHfX/R0=")</f>
        <v>#REF!</v>
      </c>
      <c r="AE188" t="e">
        <f>AND(#REF!,"AAAAAHfX/R4=")</f>
        <v>#REF!</v>
      </c>
      <c r="AF188" t="e">
        <f>AND(#REF!,"AAAAAHfX/R8=")</f>
        <v>#REF!</v>
      </c>
      <c r="AG188" t="e">
        <f>AND(#REF!,"AAAAAHfX/SA=")</f>
        <v>#REF!</v>
      </c>
      <c r="AH188" t="e">
        <f>AND(#REF!,"AAAAAHfX/SE=")</f>
        <v>#REF!</v>
      </c>
      <c r="AI188" t="e">
        <f>AND(#REF!,"AAAAAHfX/SI=")</f>
        <v>#REF!</v>
      </c>
      <c r="AJ188" t="e">
        <f>AND(#REF!,"AAAAAHfX/SM=")</f>
        <v>#REF!</v>
      </c>
      <c r="AK188" t="e">
        <f>AND(#REF!,"AAAAAHfX/SQ=")</f>
        <v>#REF!</v>
      </c>
      <c r="AL188" t="e">
        <f>AND(#REF!,"AAAAAHfX/SU=")</f>
        <v>#REF!</v>
      </c>
      <c r="AM188" t="e">
        <f>IF(#REF!,"AAAAAHfX/SY=",0)</f>
        <v>#REF!</v>
      </c>
      <c r="AN188" t="e">
        <f>AND(#REF!,"AAAAAHfX/Sc=")</f>
        <v>#REF!</v>
      </c>
      <c r="AO188" t="e">
        <f>AND(#REF!,"AAAAAHfX/Sg=")</f>
        <v>#REF!</v>
      </c>
      <c r="AP188" t="e">
        <f>AND(#REF!,"AAAAAHfX/Sk=")</f>
        <v>#REF!</v>
      </c>
      <c r="AQ188" t="e">
        <f>AND(#REF!,"AAAAAHfX/So=")</f>
        <v>#REF!</v>
      </c>
      <c r="AR188" t="e">
        <f>AND(#REF!,"AAAAAHfX/Ss=")</f>
        <v>#REF!</v>
      </c>
      <c r="AS188" t="e">
        <f>AND(#REF!,"AAAAAHfX/Sw=")</f>
        <v>#REF!</v>
      </c>
      <c r="AT188" t="e">
        <f>AND(#REF!,"AAAAAHfX/S0=")</f>
        <v>#REF!</v>
      </c>
      <c r="AU188" t="e">
        <f>AND(#REF!,"AAAAAHfX/S4=")</f>
        <v>#REF!</v>
      </c>
      <c r="AV188" t="e">
        <f>AND(#REF!,"AAAAAHfX/S8=")</f>
        <v>#REF!</v>
      </c>
      <c r="AW188" t="e">
        <f>AND(#REF!,"AAAAAHfX/TA=")</f>
        <v>#REF!</v>
      </c>
      <c r="AX188" t="e">
        <f>AND(#REF!,"AAAAAHfX/TE=")</f>
        <v>#REF!</v>
      </c>
      <c r="AY188" t="e">
        <f>AND(#REF!,"AAAAAHfX/TI=")</f>
        <v>#REF!</v>
      </c>
      <c r="AZ188" t="e">
        <f>AND(#REF!,"AAAAAHfX/TM=")</f>
        <v>#REF!</v>
      </c>
      <c r="BA188" t="e">
        <f>AND(#REF!,"AAAAAHfX/TQ=")</f>
        <v>#REF!</v>
      </c>
      <c r="BB188" t="e">
        <f>AND(#REF!,"AAAAAHfX/TU=")</f>
        <v>#REF!</v>
      </c>
      <c r="BC188" t="e">
        <f>AND(#REF!,"AAAAAHfX/TY=")</f>
        <v>#REF!</v>
      </c>
      <c r="BD188" t="e">
        <f>AND(#REF!,"AAAAAHfX/Tc=")</f>
        <v>#REF!</v>
      </c>
      <c r="BE188" t="e">
        <f>AND(#REF!,"AAAAAHfX/Tg=")</f>
        <v>#REF!</v>
      </c>
      <c r="BF188" t="e">
        <f>AND(#REF!,"AAAAAHfX/Tk=")</f>
        <v>#REF!</v>
      </c>
      <c r="BG188" t="e">
        <f>AND(#REF!,"AAAAAHfX/To=")</f>
        <v>#REF!</v>
      </c>
      <c r="BH188" t="e">
        <f>AND(#REF!,"AAAAAHfX/Ts=")</f>
        <v>#REF!</v>
      </c>
      <c r="BI188" t="e">
        <f>AND(#REF!,"AAAAAHfX/Tw=")</f>
        <v>#REF!</v>
      </c>
      <c r="BJ188" t="e">
        <f>AND(#REF!,"AAAAAHfX/T0=")</f>
        <v>#REF!</v>
      </c>
      <c r="BK188" t="e">
        <f>AND(#REF!,"AAAAAHfX/T4=")</f>
        <v>#REF!</v>
      </c>
      <c r="BL188" t="e">
        <f>IF(#REF!,"AAAAAHfX/T8=",0)</f>
        <v>#REF!</v>
      </c>
      <c r="BM188" t="e">
        <f>AND(#REF!,"AAAAAHfX/UA=")</f>
        <v>#REF!</v>
      </c>
      <c r="BN188" t="e">
        <f>AND(#REF!,"AAAAAHfX/UE=")</f>
        <v>#REF!</v>
      </c>
      <c r="BO188" t="e">
        <f>AND(#REF!,"AAAAAHfX/UI=")</f>
        <v>#REF!</v>
      </c>
      <c r="BP188" t="e">
        <f>AND(#REF!,"AAAAAHfX/UM=")</f>
        <v>#REF!</v>
      </c>
      <c r="BQ188" t="e">
        <f>AND(#REF!,"AAAAAHfX/UQ=")</f>
        <v>#REF!</v>
      </c>
      <c r="BR188" t="e">
        <f>AND(#REF!,"AAAAAHfX/UU=")</f>
        <v>#REF!</v>
      </c>
      <c r="BS188" t="e">
        <f>AND(#REF!,"AAAAAHfX/UY=")</f>
        <v>#REF!</v>
      </c>
      <c r="BT188" t="e">
        <f>AND(#REF!,"AAAAAHfX/Uc=")</f>
        <v>#REF!</v>
      </c>
      <c r="BU188" t="e">
        <f>AND(#REF!,"AAAAAHfX/Ug=")</f>
        <v>#REF!</v>
      </c>
      <c r="BV188" t="e">
        <f>AND(#REF!,"AAAAAHfX/Uk=")</f>
        <v>#REF!</v>
      </c>
      <c r="BW188" t="e">
        <f>AND(#REF!,"AAAAAHfX/Uo=")</f>
        <v>#REF!</v>
      </c>
      <c r="BX188" t="e">
        <f>AND(#REF!,"AAAAAHfX/Us=")</f>
        <v>#REF!</v>
      </c>
      <c r="BY188" t="e">
        <f>AND(#REF!,"AAAAAHfX/Uw=")</f>
        <v>#REF!</v>
      </c>
      <c r="BZ188" t="e">
        <f>AND(#REF!,"AAAAAHfX/U0=")</f>
        <v>#REF!</v>
      </c>
      <c r="CA188" t="e">
        <f>AND(#REF!,"AAAAAHfX/U4=")</f>
        <v>#REF!</v>
      </c>
      <c r="CB188" t="e">
        <f>AND(#REF!,"AAAAAHfX/U8=")</f>
        <v>#REF!</v>
      </c>
      <c r="CC188" t="e">
        <f>AND(#REF!,"AAAAAHfX/VA=")</f>
        <v>#REF!</v>
      </c>
      <c r="CD188" t="e">
        <f>AND(#REF!,"AAAAAHfX/VE=")</f>
        <v>#REF!</v>
      </c>
      <c r="CE188" t="e">
        <f>AND(#REF!,"AAAAAHfX/VI=")</f>
        <v>#REF!</v>
      </c>
      <c r="CF188" t="e">
        <f>AND(#REF!,"AAAAAHfX/VM=")</f>
        <v>#REF!</v>
      </c>
      <c r="CG188" t="e">
        <f>AND(#REF!,"AAAAAHfX/VQ=")</f>
        <v>#REF!</v>
      </c>
      <c r="CH188" t="e">
        <f>AND(#REF!,"AAAAAHfX/VU=")</f>
        <v>#REF!</v>
      </c>
      <c r="CI188" t="e">
        <f>AND(#REF!,"AAAAAHfX/VY=")</f>
        <v>#REF!</v>
      </c>
      <c r="CJ188" t="e">
        <f>AND(#REF!,"AAAAAHfX/Vc=")</f>
        <v>#REF!</v>
      </c>
      <c r="CK188" t="e">
        <f>IF(#REF!,"AAAAAHfX/Vg=",0)</f>
        <v>#REF!</v>
      </c>
      <c r="CL188" t="e">
        <f>AND(#REF!,"AAAAAHfX/Vk=")</f>
        <v>#REF!</v>
      </c>
      <c r="CM188" t="e">
        <f>AND(#REF!,"AAAAAHfX/Vo=")</f>
        <v>#REF!</v>
      </c>
      <c r="CN188" t="e">
        <f>AND(#REF!,"AAAAAHfX/Vs=")</f>
        <v>#REF!</v>
      </c>
      <c r="CO188" t="e">
        <f>AND(#REF!,"AAAAAHfX/Vw=")</f>
        <v>#REF!</v>
      </c>
      <c r="CP188" t="e">
        <f>AND(#REF!,"AAAAAHfX/V0=")</f>
        <v>#REF!</v>
      </c>
      <c r="CQ188" t="e">
        <f>AND(#REF!,"AAAAAHfX/V4=")</f>
        <v>#REF!</v>
      </c>
      <c r="CR188" t="e">
        <f>AND(#REF!,"AAAAAHfX/V8=")</f>
        <v>#REF!</v>
      </c>
      <c r="CS188" t="e">
        <f>AND(#REF!,"AAAAAHfX/WA=")</f>
        <v>#REF!</v>
      </c>
      <c r="CT188" t="e">
        <f>AND(#REF!,"AAAAAHfX/WE=")</f>
        <v>#REF!</v>
      </c>
      <c r="CU188" t="e">
        <f>AND(#REF!,"AAAAAHfX/WI=")</f>
        <v>#REF!</v>
      </c>
      <c r="CV188" t="e">
        <f>AND(#REF!,"AAAAAHfX/WM=")</f>
        <v>#REF!</v>
      </c>
      <c r="CW188" t="e">
        <f>AND(#REF!,"AAAAAHfX/WQ=")</f>
        <v>#REF!</v>
      </c>
      <c r="CX188" t="e">
        <f>AND(#REF!,"AAAAAHfX/WU=")</f>
        <v>#REF!</v>
      </c>
      <c r="CY188" t="e">
        <f>AND(#REF!,"AAAAAHfX/WY=")</f>
        <v>#REF!</v>
      </c>
      <c r="CZ188" t="e">
        <f>AND(#REF!,"AAAAAHfX/Wc=")</f>
        <v>#REF!</v>
      </c>
      <c r="DA188" t="e">
        <f>AND(#REF!,"AAAAAHfX/Wg=")</f>
        <v>#REF!</v>
      </c>
      <c r="DB188" t="e">
        <f>AND(#REF!,"AAAAAHfX/Wk=")</f>
        <v>#REF!</v>
      </c>
      <c r="DC188" t="e">
        <f>AND(#REF!,"AAAAAHfX/Wo=")</f>
        <v>#REF!</v>
      </c>
      <c r="DD188" t="e">
        <f>AND(#REF!,"AAAAAHfX/Ws=")</f>
        <v>#REF!</v>
      </c>
      <c r="DE188" t="e">
        <f>AND(#REF!,"AAAAAHfX/Ww=")</f>
        <v>#REF!</v>
      </c>
      <c r="DF188" t="e">
        <f>AND(#REF!,"AAAAAHfX/W0=")</f>
        <v>#REF!</v>
      </c>
      <c r="DG188" t="e">
        <f>AND(#REF!,"AAAAAHfX/W4=")</f>
        <v>#REF!</v>
      </c>
      <c r="DH188" t="e">
        <f>AND(#REF!,"AAAAAHfX/W8=")</f>
        <v>#REF!</v>
      </c>
      <c r="DI188" t="e">
        <f>AND(#REF!,"AAAAAHfX/XA=")</f>
        <v>#REF!</v>
      </c>
      <c r="DJ188" t="e">
        <f>IF(#REF!,"AAAAAHfX/XE=",0)</f>
        <v>#REF!</v>
      </c>
      <c r="DK188" t="e">
        <f>AND(#REF!,"AAAAAHfX/XI=")</f>
        <v>#REF!</v>
      </c>
      <c r="DL188" t="e">
        <f>AND(#REF!,"AAAAAHfX/XM=")</f>
        <v>#REF!</v>
      </c>
      <c r="DM188" t="e">
        <f>AND(#REF!,"AAAAAHfX/XQ=")</f>
        <v>#REF!</v>
      </c>
      <c r="DN188" t="e">
        <f>AND(#REF!,"AAAAAHfX/XU=")</f>
        <v>#REF!</v>
      </c>
      <c r="DO188" t="e">
        <f>AND(#REF!,"AAAAAHfX/XY=")</f>
        <v>#REF!</v>
      </c>
      <c r="DP188" t="e">
        <f>AND(#REF!,"AAAAAHfX/Xc=")</f>
        <v>#REF!</v>
      </c>
      <c r="DQ188" t="e">
        <f>AND(#REF!,"AAAAAHfX/Xg=")</f>
        <v>#REF!</v>
      </c>
      <c r="DR188" t="e">
        <f>AND(#REF!,"AAAAAHfX/Xk=")</f>
        <v>#REF!</v>
      </c>
      <c r="DS188" t="e">
        <f>AND(#REF!,"AAAAAHfX/Xo=")</f>
        <v>#REF!</v>
      </c>
      <c r="DT188" t="e">
        <f>AND(#REF!,"AAAAAHfX/Xs=")</f>
        <v>#REF!</v>
      </c>
      <c r="DU188" t="e">
        <f>AND(#REF!,"AAAAAHfX/Xw=")</f>
        <v>#REF!</v>
      </c>
      <c r="DV188" t="e">
        <f>AND(#REF!,"AAAAAHfX/X0=")</f>
        <v>#REF!</v>
      </c>
      <c r="DW188" t="e">
        <f>AND(#REF!,"AAAAAHfX/X4=")</f>
        <v>#REF!</v>
      </c>
      <c r="DX188" t="e">
        <f>AND(#REF!,"AAAAAHfX/X8=")</f>
        <v>#REF!</v>
      </c>
      <c r="DY188" t="e">
        <f>AND(#REF!,"AAAAAHfX/YA=")</f>
        <v>#REF!</v>
      </c>
      <c r="DZ188" t="e">
        <f>AND(#REF!,"AAAAAHfX/YE=")</f>
        <v>#REF!</v>
      </c>
      <c r="EA188" t="e">
        <f>AND(#REF!,"AAAAAHfX/YI=")</f>
        <v>#REF!</v>
      </c>
      <c r="EB188" t="e">
        <f>AND(#REF!,"AAAAAHfX/YM=")</f>
        <v>#REF!</v>
      </c>
      <c r="EC188" t="e">
        <f>AND(#REF!,"AAAAAHfX/YQ=")</f>
        <v>#REF!</v>
      </c>
      <c r="ED188" t="e">
        <f>AND(#REF!,"AAAAAHfX/YU=")</f>
        <v>#REF!</v>
      </c>
      <c r="EE188" t="e">
        <f>AND(#REF!,"AAAAAHfX/YY=")</f>
        <v>#REF!</v>
      </c>
      <c r="EF188" t="e">
        <f>AND(#REF!,"AAAAAHfX/Yc=")</f>
        <v>#REF!</v>
      </c>
      <c r="EG188" t="e">
        <f>AND(#REF!,"AAAAAHfX/Yg=")</f>
        <v>#REF!</v>
      </c>
      <c r="EH188" t="e">
        <f>AND(#REF!,"AAAAAHfX/Yk=")</f>
        <v>#REF!</v>
      </c>
      <c r="EI188" t="e">
        <f>IF(#REF!,"AAAAAHfX/Yo=",0)</f>
        <v>#REF!</v>
      </c>
      <c r="EJ188" t="e">
        <f>AND(#REF!,"AAAAAHfX/Ys=")</f>
        <v>#REF!</v>
      </c>
      <c r="EK188" t="e">
        <f>AND(#REF!,"AAAAAHfX/Yw=")</f>
        <v>#REF!</v>
      </c>
      <c r="EL188" t="e">
        <f>AND(#REF!,"AAAAAHfX/Y0=")</f>
        <v>#REF!</v>
      </c>
      <c r="EM188" t="e">
        <f>AND(#REF!,"AAAAAHfX/Y4=")</f>
        <v>#REF!</v>
      </c>
      <c r="EN188" t="e">
        <f>AND(#REF!,"AAAAAHfX/Y8=")</f>
        <v>#REF!</v>
      </c>
      <c r="EO188" t="e">
        <f>AND(#REF!,"AAAAAHfX/ZA=")</f>
        <v>#REF!</v>
      </c>
      <c r="EP188" t="e">
        <f>AND(#REF!,"AAAAAHfX/ZE=")</f>
        <v>#REF!</v>
      </c>
      <c r="EQ188" t="e">
        <f>AND(#REF!,"AAAAAHfX/ZI=")</f>
        <v>#REF!</v>
      </c>
      <c r="ER188" t="e">
        <f>AND(#REF!,"AAAAAHfX/ZM=")</f>
        <v>#REF!</v>
      </c>
      <c r="ES188" t="e">
        <f>AND(#REF!,"AAAAAHfX/ZQ=")</f>
        <v>#REF!</v>
      </c>
      <c r="ET188" t="e">
        <f>AND(#REF!,"AAAAAHfX/ZU=")</f>
        <v>#REF!</v>
      </c>
      <c r="EU188" t="e">
        <f>AND(#REF!,"AAAAAHfX/ZY=")</f>
        <v>#REF!</v>
      </c>
      <c r="EV188" t="e">
        <f>AND(#REF!,"AAAAAHfX/Zc=")</f>
        <v>#REF!</v>
      </c>
      <c r="EW188" t="e">
        <f>AND(#REF!,"AAAAAHfX/Zg=")</f>
        <v>#REF!</v>
      </c>
      <c r="EX188" t="e">
        <f>AND(#REF!,"AAAAAHfX/Zk=")</f>
        <v>#REF!</v>
      </c>
      <c r="EY188" t="e">
        <f>AND(#REF!,"AAAAAHfX/Zo=")</f>
        <v>#REF!</v>
      </c>
      <c r="EZ188" t="e">
        <f>AND(#REF!,"AAAAAHfX/Zs=")</f>
        <v>#REF!</v>
      </c>
      <c r="FA188" t="e">
        <f>AND(#REF!,"AAAAAHfX/Zw=")</f>
        <v>#REF!</v>
      </c>
      <c r="FB188" t="e">
        <f>AND(#REF!,"AAAAAHfX/Z0=")</f>
        <v>#REF!</v>
      </c>
      <c r="FC188" t="e">
        <f>AND(#REF!,"AAAAAHfX/Z4=")</f>
        <v>#REF!</v>
      </c>
      <c r="FD188" t="e">
        <f>AND(#REF!,"AAAAAHfX/Z8=")</f>
        <v>#REF!</v>
      </c>
      <c r="FE188" t="e">
        <f>AND(#REF!,"AAAAAHfX/aA=")</f>
        <v>#REF!</v>
      </c>
      <c r="FF188" t="e">
        <f>AND(#REF!,"AAAAAHfX/aE=")</f>
        <v>#REF!</v>
      </c>
      <c r="FG188" t="e">
        <f>AND(#REF!,"AAAAAHfX/aI=")</f>
        <v>#REF!</v>
      </c>
      <c r="FH188" t="e">
        <f>IF(#REF!,"AAAAAHfX/aM=",0)</f>
        <v>#REF!</v>
      </c>
      <c r="FI188" t="e">
        <f>AND(#REF!,"AAAAAHfX/aQ=")</f>
        <v>#REF!</v>
      </c>
      <c r="FJ188" t="e">
        <f>AND(#REF!,"AAAAAHfX/aU=")</f>
        <v>#REF!</v>
      </c>
      <c r="FK188" t="e">
        <f>AND(#REF!,"AAAAAHfX/aY=")</f>
        <v>#REF!</v>
      </c>
      <c r="FL188" t="e">
        <f>AND(#REF!,"AAAAAHfX/ac=")</f>
        <v>#REF!</v>
      </c>
      <c r="FM188" t="e">
        <f>AND(#REF!,"AAAAAHfX/ag=")</f>
        <v>#REF!</v>
      </c>
      <c r="FN188" t="e">
        <f>AND(#REF!,"AAAAAHfX/ak=")</f>
        <v>#REF!</v>
      </c>
      <c r="FO188" t="e">
        <f>AND(#REF!,"AAAAAHfX/ao=")</f>
        <v>#REF!</v>
      </c>
      <c r="FP188" t="e">
        <f>AND(#REF!,"AAAAAHfX/as=")</f>
        <v>#REF!</v>
      </c>
      <c r="FQ188" t="e">
        <f>AND(#REF!,"AAAAAHfX/aw=")</f>
        <v>#REF!</v>
      </c>
      <c r="FR188" t="e">
        <f>AND(#REF!,"AAAAAHfX/a0=")</f>
        <v>#REF!</v>
      </c>
      <c r="FS188" t="e">
        <f>AND(#REF!,"AAAAAHfX/a4=")</f>
        <v>#REF!</v>
      </c>
      <c r="FT188" t="e">
        <f>AND(#REF!,"AAAAAHfX/a8=")</f>
        <v>#REF!</v>
      </c>
      <c r="FU188" t="e">
        <f>AND(#REF!,"AAAAAHfX/bA=")</f>
        <v>#REF!</v>
      </c>
      <c r="FV188" t="e">
        <f>AND(#REF!,"AAAAAHfX/bE=")</f>
        <v>#REF!</v>
      </c>
      <c r="FW188" t="e">
        <f>AND(#REF!,"AAAAAHfX/bI=")</f>
        <v>#REF!</v>
      </c>
      <c r="FX188" t="e">
        <f>AND(#REF!,"AAAAAHfX/bM=")</f>
        <v>#REF!</v>
      </c>
      <c r="FY188" t="e">
        <f>AND(#REF!,"AAAAAHfX/bQ=")</f>
        <v>#REF!</v>
      </c>
      <c r="FZ188" t="e">
        <f>AND(#REF!,"AAAAAHfX/bU=")</f>
        <v>#REF!</v>
      </c>
      <c r="GA188" t="e">
        <f>AND(#REF!,"AAAAAHfX/bY=")</f>
        <v>#REF!</v>
      </c>
      <c r="GB188" t="e">
        <f>AND(#REF!,"AAAAAHfX/bc=")</f>
        <v>#REF!</v>
      </c>
      <c r="GC188" t="e">
        <f>AND(#REF!,"AAAAAHfX/bg=")</f>
        <v>#REF!</v>
      </c>
      <c r="GD188" t="e">
        <f>AND(#REF!,"AAAAAHfX/bk=")</f>
        <v>#REF!</v>
      </c>
      <c r="GE188" t="e">
        <f>AND(#REF!,"AAAAAHfX/bo=")</f>
        <v>#REF!</v>
      </c>
      <c r="GF188" t="e">
        <f>AND(#REF!,"AAAAAHfX/bs=")</f>
        <v>#REF!</v>
      </c>
      <c r="GG188" t="e">
        <f>IF(#REF!,"AAAAAHfX/bw=",0)</f>
        <v>#REF!</v>
      </c>
      <c r="GH188" t="e">
        <f>AND(#REF!,"AAAAAHfX/b0=")</f>
        <v>#REF!</v>
      </c>
      <c r="GI188" t="e">
        <f>AND(#REF!,"AAAAAHfX/b4=")</f>
        <v>#REF!</v>
      </c>
      <c r="GJ188" t="e">
        <f>AND(#REF!,"AAAAAHfX/b8=")</f>
        <v>#REF!</v>
      </c>
      <c r="GK188" t="e">
        <f>AND(#REF!,"AAAAAHfX/cA=")</f>
        <v>#REF!</v>
      </c>
      <c r="GL188" t="e">
        <f>AND(#REF!,"AAAAAHfX/cE=")</f>
        <v>#REF!</v>
      </c>
      <c r="GM188" t="e">
        <f>AND(#REF!,"AAAAAHfX/cI=")</f>
        <v>#REF!</v>
      </c>
      <c r="GN188" t="e">
        <f>AND(#REF!,"AAAAAHfX/cM=")</f>
        <v>#REF!</v>
      </c>
      <c r="GO188" t="e">
        <f>AND(#REF!,"AAAAAHfX/cQ=")</f>
        <v>#REF!</v>
      </c>
      <c r="GP188" t="e">
        <f>AND(#REF!,"AAAAAHfX/cU=")</f>
        <v>#REF!</v>
      </c>
      <c r="GQ188" t="e">
        <f>AND(#REF!,"AAAAAHfX/cY=")</f>
        <v>#REF!</v>
      </c>
      <c r="GR188" t="e">
        <f>AND(#REF!,"AAAAAHfX/cc=")</f>
        <v>#REF!</v>
      </c>
      <c r="GS188" t="e">
        <f>AND(#REF!,"AAAAAHfX/cg=")</f>
        <v>#REF!</v>
      </c>
      <c r="GT188" t="e">
        <f>AND(#REF!,"AAAAAHfX/ck=")</f>
        <v>#REF!</v>
      </c>
      <c r="GU188" t="e">
        <f>AND(#REF!,"AAAAAHfX/co=")</f>
        <v>#REF!</v>
      </c>
      <c r="GV188" t="e">
        <f>AND(#REF!,"AAAAAHfX/cs=")</f>
        <v>#REF!</v>
      </c>
      <c r="GW188" t="e">
        <f>AND(#REF!,"AAAAAHfX/cw=")</f>
        <v>#REF!</v>
      </c>
      <c r="GX188" t="e">
        <f>AND(#REF!,"AAAAAHfX/c0=")</f>
        <v>#REF!</v>
      </c>
      <c r="GY188" t="e">
        <f>AND(#REF!,"AAAAAHfX/c4=")</f>
        <v>#REF!</v>
      </c>
      <c r="GZ188" t="e">
        <f>AND(#REF!,"AAAAAHfX/c8=")</f>
        <v>#REF!</v>
      </c>
      <c r="HA188" t="e">
        <f>AND(#REF!,"AAAAAHfX/dA=")</f>
        <v>#REF!</v>
      </c>
      <c r="HB188" t="e">
        <f>AND(#REF!,"AAAAAHfX/dE=")</f>
        <v>#REF!</v>
      </c>
      <c r="HC188" t="e">
        <f>AND(#REF!,"AAAAAHfX/dI=")</f>
        <v>#REF!</v>
      </c>
      <c r="HD188" t="e">
        <f>AND(#REF!,"AAAAAHfX/dM=")</f>
        <v>#REF!</v>
      </c>
      <c r="HE188" t="e">
        <f>AND(#REF!,"AAAAAHfX/dQ=")</f>
        <v>#REF!</v>
      </c>
      <c r="HF188" t="e">
        <f>IF(#REF!,"AAAAAHfX/dU=",0)</f>
        <v>#REF!</v>
      </c>
      <c r="HG188" t="e">
        <f>AND(#REF!,"AAAAAHfX/dY=")</f>
        <v>#REF!</v>
      </c>
      <c r="HH188" t="e">
        <f>AND(#REF!,"AAAAAHfX/dc=")</f>
        <v>#REF!</v>
      </c>
      <c r="HI188" t="e">
        <f>AND(#REF!,"AAAAAHfX/dg=")</f>
        <v>#REF!</v>
      </c>
      <c r="HJ188" t="e">
        <f>AND(#REF!,"AAAAAHfX/dk=")</f>
        <v>#REF!</v>
      </c>
      <c r="HK188" t="e">
        <f>AND(#REF!,"AAAAAHfX/do=")</f>
        <v>#REF!</v>
      </c>
      <c r="HL188" t="e">
        <f>AND(#REF!,"AAAAAHfX/ds=")</f>
        <v>#REF!</v>
      </c>
      <c r="HM188" t="e">
        <f>AND(#REF!,"AAAAAHfX/dw=")</f>
        <v>#REF!</v>
      </c>
      <c r="HN188" t="e">
        <f>AND(#REF!,"AAAAAHfX/d0=")</f>
        <v>#REF!</v>
      </c>
      <c r="HO188" t="e">
        <f>AND(#REF!,"AAAAAHfX/d4=")</f>
        <v>#REF!</v>
      </c>
      <c r="HP188" t="e">
        <f>AND(#REF!,"AAAAAHfX/d8=")</f>
        <v>#REF!</v>
      </c>
      <c r="HQ188" t="e">
        <f>AND(#REF!,"AAAAAHfX/eA=")</f>
        <v>#REF!</v>
      </c>
      <c r="HR188" t="e">
        <f>AND(#REF!,"AAAAAHfX/eE=")</f>
        <v>#REF!</v>
      </c>
      <c r="HS188" t="e">
        <f>AND(#REF!,"AAAAAHfX/eI=")</f>
        <v>#REF!</v>
      </c>
      <c r="HT188" t="e">
        <f>AND(#REF!,"AAAAAHfX/eM=")</f>
        <v>#REF!</v>
      </c>
      <c r="HU188" t="e">
        <f>AND(#REF!,"AAAAAHfX/eQ=")</f>
        <v>#REF!</v>
      </c>
      <c r="HV188" t="e">
        <f>AND(#REF!,"AAAAAHfX/eU=")</f>
        <v>#REF!</v>
      </c>
      <c r="HW188" t="e">
        <f>AND(#REF!,"AAAAAHfX/eY=")</f>
        <v>#REF!</v>
      </c>
      <c r="HX188" t="e">
        <f>AND(#REF!,"AAAAAHfX/ec=")</f>
        <v>#REF!</v>
      </c>
      <c r="HY188" t="e">
        <f>AND(#REF!,"AAAAAHfX/eg=")</f>
        <v>#REF!</v>
      </c>
      <c r="HZ188" t="e">
        <f>AND(#REF!,"AAAAAHfX/ek=")</f>
        <v>#REF!</v>
      </c>
      <c r="IA188" t="e">
        <f>AND(#REF!,"AAAAAHfX/eo=")</f>
        <v>#REF!</v>
      </c>
      <c r="IB188" t="e">
        <f>AND(#REF!,"AAAAAHfX/es=")</f>
        <v>#REF!</v>
      </c>
      <c r="IC188" t="e">
        <f>AND(#REF!,"AAAAAHfX/ew=")</f>
        <v>#REF!</v>
      </c>
      <c r="ID188" t="e">
        <f>AND(#REF!,"AAAAAHfX/e0=")</f>
        <v>#REF!</v>
      </c>
      <c r="IE188" t="e">
        <f>IF(#REF!,"AAAAAHfX/e4=",0)</f>
        <v>#REF!</v>
      </c>
      <c r="IF188" t="e">
        <f>AND(#REF!,"AAAAAHfX/e8=")</f>
        <v>#REF!</v>
      </c>
      <c r="IG188" t="e">
        <f>AND(#REF!,"AAAAAHfX/fA=")</f>
        <v>#REF!</v>
      </c>
      <c r="IH188" t="e">
        <f>AND(#REF!,"AAAAAHfX/fE=")</f>
        <v>#REF!</v>
      </c>
      <c r="II188" t="e">
        <f>AND(#REF!,"AAAAAHfX/fI=")</f>
        <v>#REF!</v>
      </c>
      <c r="IJ188" t="e">
        <f>AND(#REF!,"AAAAAHfX/fM=")</f>
        <v>#REF!</v>
      </c>
      <c r="IK188" t="e">
        <f>AND(#REF!,"AAAAAHfX/fQ=")</f>
        <v>#REF!</v>
      </c>
      <c r="IL188" t="e">
        <f>AND(#REF!,"AAAAAHfX/fU=")</f>
        <v>#REF!</v>
      </c>
      <c r="IM188" t="e">
        <f>AND(#REF!,"AAAAAHfX/fY=")</f>
        <v>#REF!</v>
      </c>
      <c r="IN188" t="e">
        <f>AND(#REF!,"AAAAAHfX/fc=")</f>
        <v>#REF!</v>
      </c>
      <c r="IO188" t="e">
        <f>AND(#REF!,"AAAAAHfX/fg=")</f>
        <v>#REF!</v>
      </c>
      <c r="IP188" t="e">
        <f>AND(#REF!,"AAAAAHfX/fk=")</f>
        <v>#REF!</v>
      </c>
      <c r="IQ188" t="e">
        <f>AND(#REF!,"AAAAAHfX/fo=")</f>
        <v>#REF!</v>
      </c>
      <c r="IR188" t="e">
        <f>AND(#REF!,"AAAAAHfX/fs=")</f>
        <v>#REF!</v>
      </c>
      <c r="IS188" t="e">
        <f>AND(#REF!,"AAAAAHfX/fw=")</f>
        <v>#REF!</v>
      </c>
      <c r="IT188" t="e">
        <f>AND(#REF!,"AAAAAHfX/f0=")</f>
        <v>#REF!</v>
      </c>
      <c r="IU188" t="e">
        <f>AND(#REF!,"AAAAAHfX/f4=")</f>
        <v>#REF!</v>
      </c>
      <c r="IV188" t="e">
        <f>AND(#REF!,"AAAAAHfX/f8=")</f>
        <v>#REF!</v>
      </c>
    </row>
    <row r="189" spans="1:256">
      <c r="A189" t="e">
        <f>AND(#REF!,"AAAAAH///gA=")</f>
        <v>#REF!</v>
      </c>
      <c r="B189" t="e">
        <f>AND(#REF!,"AAAAAH///gE=")</f>
        <v>#REF!</v>
      </c>
      <c r="C189" t="e">
        <f>AND(#REF!,"AAAAAH///gI=")</f>
        <v>#REF!</v>
      </c>
      <c r="D189" t="e">
        <f>AND(#REF!,"AAAAAH///gM=")</f>
        <v>#REF!</v>
      </c>
      <c r="E189" t="e">
        <f>AND(#REF!,"AAAAAH///gQ=")</f>
        <v>#REF!</v>
      </c>
      <c r="F189" t="e">
        <f>AND(#REF!,"AAAAAH///gU=")</f>
        <v>#REF!</v>
      </c>
      <c r="G189" t="e">
        <f>AND(#REF!,"AAAAAH///gY=")</f>
        <v>#REF!</v>
      </c>
      <c r="H189" t="e">
        <f>IF(#REF!,"AAAAAH///gc=",0)</f>
        <v>#REF!</v>
      </c>
      <c r="I189" t="e">
        <f>AND(#REF!,"AAAAAH///gg=")</f>
        <v>#REF!</v>
      </c>
      <c r="J189" t="e">
        <f>AND(#REF!,"AAAAAH///gk=")</f>
        <v>#REF!</v>
      </c>
      <c r="K189" t="e">
        <f>AND(#REF!,"AAAAAH///go=")</f>
        <v>#REF!</v>
      </c>
      <c r="L189" t="e">
        <f>AND(#REF!,"AAAAAH///gs=")</f>
        <v>#REF!</v>
      </c>
      <c r="M189" t="e">
        <f>AND(#REF!,"AAAAAH///gw=")</f>
        <v>#REF!</v>
      </c>
      <c r="N189" t="e">
        <f>AND(#REF!,"AAAAAH///g0=")</f>
        <v>#REF!</v>
      </c>
      <c r="O189" t="e">
        <f>AND(#REF!,"AAAAAH///g4=")</f>
        <v>#REF!</v>
      </c>
      <c r="P189" t="e">
        <f>AND(#REF!,"AAAAAH///g8=")</f>
        <v>#REF!</v>
      </c>
      <c r="Q189" t="e">
        <f>AND(#REF!,"AAAAAH///hA=")</f>
        <v>#REF!</v>
      </c>
      <c r="R189" t="e">
        <f>AND(#REF!,"AAAAAH///hE=")</f>
        <v>#REF!</v>
      </c>
      <c r="S189" t="e">
        <f>AND(#REF!,"AAAAAH///hI=")</f>
        <v>#REF!</v>
      </c>
      <c r="T189" t="e">
        <f>AND(#REF!,"AAAAAH///hM=")</f>
        <v>#REF!</v>
      </c>
      <c r="U189" t="e">
        <f>AND(#REF!,"AAAAAH///hQ=")</f>
        <v>#REF!</v>
      </c>
      <c r="V189" t="e">
        <f>AND(#REF!,"AAAAAH///hU=")</f>
        <v>#REF!</v>
      </c>
      <c r="W189" t="e">
        <f>AND(#REF!,"AAAAAH///hY=")</f>
        <v>#REF!</v>
      </c>
      <c r="X189" t="e">
        <f>AND(#REF!,"AAAAAH///hc=")</f>
        <v>#REF!</v>
      </c>
      <c r="Y189" t="e">
        <f>AND(#REF!,"AAAAAH///hg=")</f>
        <v>#REF!</v>
      </c>
      <c r="Z189" t="e">
        <f>AND(#REF!,"AAAAAH///hk=")</f>
        <v>#REF!</v>
      </c>
      <c r="AA189" t="e">
        <f>AND(#REF!,"AAAAAH///ho=")</f>
        <v>#REF!</v>
      </c>
      <c r="AB189" t="e">
        <f>AND(#REF!,"AAAAAH///hs=")</f>
        <v>#REF!</v>
      </c>
      <c r="AC189" t="e">
        <f>AND(#REF!,"AAAAAH///hw=")</f>
        <v>#REF!</v>
      </c>
      <c r="AD189" t="e">
        <f>AND(#REF!,"AAAAAH///h0=")</f>
        <v>#REF!</v>
      </c>
      <c r="AE189" t="e">
        <f>AND(#REF!,"AAAAAH///h4=")</f>
        <v>#REF!</v>
      </c>
      <c r="AF189" t="e">
        <f>AND(#REF!,"AAAAAH///h8=")</f>
        <v>#REF!</v>
      </c>
      <c r="AG189" t="e">
        <f>IF(#REF!,"AAAAAH///iA=",0)</f>
        <v>#REF!</v>
      </c>
      <c r="AH189" t="e">
        <f>AND(#REF!,"AAAAAH///iE=")</f>
        <v>#REF!</v>
      </c>
      <c r="AI189" t="e">
        <f>AND(#REF!,"AAAAAH///iI=")</f>
        <v>#REF!</v>
      </c>
      <c r="AJ189" t="e">
        <f>AND(#REF!,"AAAAAH///iM=")</f>
        <v>#REF!</v>
      </c>
      <c r="AK189" t="e">
        <f>AND(#REF!,"AAAAAH///iQ=")</f>
        <v>#REF!</v>
      </c>
      <c r="AL189" t="e">
        <f>AND(#REF!,"AAAAAH///iU=")</f>
        <v>#REF!</v>
      </c>
      <c r="AM189" t="e">
        <f>AND(#REF!,"AAAAAH///iY=")</f>
        <v>#REF!</v>
      </c>
      <c r="AN189" t="e">
        <f>AND(#REF!,"AAAAAH///ic=")</f>
        <v>#REF!</v>
      </c>
      <c r="AO189" t="e">
        <f>AND(#REF!,"AAAAAH///ig=")</f>
        <v>#REF!</v>
      </c>
      <c r="AP189" t="e">
        <f>AND(#REF!,"AAAAAH///ik=")</f>
        <v>#REF!</v>
      </c>
      <c r="AQ189" t="e">
        <f>AND(#REF!,"AAAAAH///io=")</f>
        <v>#REF!</v>
      </c>
      <c r="AR189" t="e">
        <f>AND(#REF!,"AAAAAH///is=")</f>
        <v>#REF!</v>
      </c>
      <c r="AS189" t="e">
        <f>AND(#REF!,"AAAAAH///iw=")</f>
        <v>#REF!</v>
      </c>
      <c r="AT189" t="e">
        <f>AND(#REF!,"AAAAAH///i0=")</f>
        <v>#REF!</v>
      </c>
      <c r="AU189" t="e">
        <f>AND(#REF!,"AAAAAH///i4=")</f>
        <v>#REF!</v>
      </c>
      <c r="AV189" t="e">
        <f>AND(#REF!,"AAAAAH///i8=")</f>
        <v>#REF!</v>
      </c>
      <c r="AW189" t="e">
        <f>AND(#REF!,"AAAAAH///jA=")</f>
        <v>#REF!</v>
      </c>
      <c r="AX189" t="e">
        <f>AND(#REF!,"AAAAAH///jE=")</f>
        <v>#REF!</v>
      </c>
      <c r="AY189" t="e">
        <f>AND(#REF!,"AAAAAH///jI=")</f>
        <v>#REF!</v>
      </c>
      <c r="AZ189" t="e">
        <f>AND(#REF!,"AAAAAH///jM=")</f>
        <v>#REF!</v>
      </c>
      <c r="BA189" t="e">
        <f>AND(#REF!,"AAAAAH///jQ=")</f>
        <v>#REF!</v>
      </c>
      <c r="BB189" t="e">
        <f>AND(#REF!,"AAAAAH///jU=")</f>
        <v>#REF!</v>
      </c>
      <c r="BC189" t="e">
        <f>AND(#REF!,"AAAAAH///jY=")</f>
        <v>#REF!</v>
      </c>
      <c r="BD189" t="e">
        <f>AND(#REF!,"AAAAAH///jc=")</f>
        <v>#REF!</v>
      </c>
      <c r="BE189" t="e">
        <f>AND(#REF!,"AAAAAH///jg=")</f>
        <v>#REF!</v>
      </c>
      <c r="BF189" t="e">
        <f>IF(#REF!,"AAAAAH///jk=",0)</f>
        <v>#REF!</v>
      </c>
      <c r="BG189" t="e">
        <f>AND(#REF!,"AAAAAH///jo=")</f>
        <v>#REF!</v>
      </c>
      <c r="BH189" t="e">
        <f>AND(#REF!,"AAAAAH///js=")</f>
        <v>#REF!</v>
      </c>
      <c r="BI189" t="e">
        <f>AND(#REF!,"AAAAAH///jw=")</f>
        <v>#REF!</v>
      </c>
      <c r="BJ189" t="e">
        <f>AND(#REF!,"AAAAAH///j0=")</f>
        <v>#REF!</v>
      </c>
      <c r="BK189" t="e">
        <f>AND(#REF!,"AAAAAH///j4=")</f>
        <v>#REF!</v>
      </c>
      <c r="BL189" t="e">
        <f>AND(#REF!,"AAAAAH///j8=")</f>
        <v>#REF!</v>
      </c>
      <c r="BM189" t="e">
        <f>AND(#REF!,"AAAAAH///kA=")</f>
        <v>#REF!</v>
      </c>
      <c r="BN189" t="e">
        <f>AND(#REF!,"AAAAAH///kE=")</f>
        <v>#REF!</v>
      </c>
      <c r="BO189" t="e">
        <f>AND(#REF!,"AAAAAH///kI=")</f>
        <v>#REF!</v>
      </c>
      <c r="BP189" t="e">
        <f>AND(#REF!,"AAAAAH///kM=")</f>
        <v>#REF!</v>
      </c>
      <c r="BQ189" t="e">
        <f>AND(#REF!,"AAAAAH///kQ=")</f>
        <v>#REF!</v>
      </c>
      <c r="BR189" t="e">
        <f>AND(#REF!,"AAAAAH///kU=")</f>
        <v>#REF!</v>
      </c>
      <c r="BS189" t="e">
        <f>AND(#REF!,"AAAAAH///kY=")</f>
        <v>#REF!</v>
      </c>
      <c r="BT189" t="e">
        <f>AND(#REF!,"AAAAAH///kc=")</f>
        <v>#REF!</v>
      </c>
      <c r="BU189" t="e">
        <f>AND(#REF!,"AAAAAH///kg=")</f>
        <v>#REF!</v>
      </c>
      <c r="BV189" t="e">
        <f>AND(#REF!,"AAAAAH///kk=")</f>
        <v>#REF!</v>
      </c>
      <c r="BW189" t="e">
        <f>AND(#REF!,"AAAAAH///ko=")</f>
        <v>#REF!</v>
      </c>
      <c r="BX189" t="e">
        <f>AND(#REF!,"AAAAAH///ks=")</f>
        <v>#REF!</v>
      </c>
      <c r="BY189" t="e">
        <f>AND(#REF!,"AAAAAH///kw=")</f>
        <v>#REF!</v>
      </c>
      <c r="BZ189" t="e">
        <f>AND(#REF!,"AAAAAH///k0=")</f>
        <v>#REF!</v>
      </c>
      <c r="CA189" t="e">
        <f>AND(#REF!,"AAAAAH///k4=")</f>
        <v>#REF!</v>
      </c>
      <c r="CB189" t="e">
        <f>AND(#REF!,"AAAAAH///k8=")</f>
        <v>#REF!</v>
      </c>
      <c r="CC189" t="e">
        <f>AND(#REF!,"AAAAAH///lA=")</f>
        <v>#REF!</v>
      </c>
      <c r="CD189" t="e">
        <f>AND(#REF!,"AAAAAH///lE=")</f>
        <v>#REF!</v>
      </c>
      <c r="CE189" t="e">
        <f>IF(#REF!,"AAAAAH///lI=",0)</f>
        <v>#REF!</v>
      </c>
      <c r="CF189" t="e">
        <f>AND(#REF!,"AAAAAH///lM=")</f>
        <v>#REF!</v>
      </c>
      <c r="CG189" t="e">
        <f>AND(#REF!,"AAAAAH///lQ=")</f>
        <v>#REF!</v>
      </c>
      <c r="CH189" t="e">
        <f>AND(#REF!,"AAAAAH///lU=")</f>
        <v>#REF!</v>
      </c>
      <c r="CI189" t="e">
        <f>AND(#REF!,"AAAAAH///lY=")</f>
        <v>#REF!</v>
      </c>
      <c r="CJ189" t="e">
        <f>AND(#REF!,"AAAAAH///lc=")</f>
        <v>#REF!</v>
      </c>
      <c r="CK189" t="e">
        <f>AND(#REF!,"AAAAAH///lg=")</f>
        <v>#REF!</v>
      </c>
      <c r="CL189" t="e">
        <f>AND(#REF!,"AAAAAH///lk=")</f>
        <v>#REF!</v>
      </c>
      <c r="CM189" t="e">
        <f>AND(#REF!,"AAAAAH///lo=")</f>
        <v>#REF!</v>
      </c>
      <c r="CN189" t="e">
        <f>AND(#REF!,"AAAAAH///ls=")</f>
        <v>#REF!</v>
      </c>
      <c r="CO189" t="e">
        <f>AND(#REF!,"AAAAAH///lw=")</f>
        <v>#REF!</v>
      </c>
      <c r="CP189" t="e">
        <f>AND(#REF!,"AAAAAH///l0=")</f>
        <v>#REF!</v>
      </c>
      <c r="CQ189" t="e">
        <f>AND(#REF!,"AAAAAH///l4=")</f>
        <v>#REF!</v>
      </c>
      <c r="CR189" t="e">
        <f>AND(#REF!,"AAAAAH///l8=")</f>
        <v>#REF!</v>
      </c>
      <c r="CS189" t="e">
        <f>AND(#REF!,"AAAAAH///mA=")</f>
        <v>#REF!</v>
      </c>
      <c r="CT189" t="e">
        <f>AND(#REF!,"AAAAAH///mE=")</f>
        <v>#REF!</v>
      </c>
      <c r="CU189" t="e">
        <f>AND(#REF!,"AAAAAH///mI=")</f>
        <v>#REF!</v>
      </c>
      <c r="CV189" t="e">
        <f>AND(#REF!,"AAAAAH///mM=")</f>
        <v>#REF!</v>
      </c>
      <c r="CW189" t="e">
        <f>AND(#REF!,"AAAAAH///mQ=")</f>
        <v>#REF!</v>
      </c>
      <c r="CX189" t="e">
        <f>AND(#REF!,"AAAAAH///mU=")</f>
        <v>#REF!</v>
      </c>
      <c r="CY189" t="e">
        <f>AND(#REF!,"AAAAAH///mY=")</f>
        <v>#REF!</v>
      </c>
      <c r="CZ189" t="e">
        <f>AND(#REF!,"AAAAAH///mc=")</f>
        <v>#REF!</v>
      </c>
      <c r="DA189" t="e">
        <f>AND(#REF!,"AAAAAH///mg=")</f>
        <v>#REF!</v>
      </c>
      <c r="DB189" t="e">
        <f>AND(#REF!,"AAAAAH///mk=")</f>
        <v>#REF!</v>
      </c>
      <c r="DC189" t="e">
        <f>AND(#REF!,"AAAAAH///mo=")</f>
        <v>#REF!</v>
      </c>
      <c r="DD189" t="e">
        <f>IF(#REF!,"AAAAAH///ms=",0)</f>
        <v>#REF!</v>
      </c>
      <c r="DE189" t="e">
        <f>AND(#REF!,"AAAAAH///mw=")</f>
        <v>#REF!</v>
      </c>
      <c r="DF189" t="e">
        <f>AND(#REF!,"AAAAAH///m0=")</f>
        <v>#REF!</v>
      </c>
      <c r="DG189" t="e">
        <f>AND(#REF!,"AAAAAH///m4=")</f>
        <v>#REF!</v>
      </c>
      <c r="DH189" t="e">
        <f>AND(#REF!,"AAAAAH///m8=")</f>
        <v>#REF!</v>
      </c>
      <c r="DI189" t="e">
        <f>AND(#REF!,"AAAAAH///nA=")</f>
        <v>#REF!</v>
      </c>
      <c r="DJ189" t="e">
        <f>AND(#REF!,"AAAAAH///nE=")</f>
        <v>#REF!</v>
      </c>
      <c r="DK189" t="e">
        <f>AND(#REF!,"AAAAAH///nI=")</f>
        <v>#REF!</v>
      </c>
      <c r="DL189" t="e">
        <f>AND(#REF!,"AAAAAH///nM=")</f>
        <v>#REF!</v>
      </c>
      <c r="DM189" t="e">
        <f>AND(#REF!,"AAAAAH///nQ=")</f>
        <v>#REF!</v>
      </c>
      <c r="DN189" t="e">
        <f>AND(#REF!,"AAAAAH///nU=")</f>
        <v>#REF!</v>
      </c>
      <c r="DO189" t="e">
        <f>AND(#REF!,"AAAAAH///nY=")</f>
        <v>#REF!</v>
      </c>
      <c r="DP189" t="e">
        <f>AND(#REF!,"AAAAAH///nc=")</f>
        <v>#REF!</v>
      </c>
      <c r="DQ189" t="e">
        <f>AND(#REF!,"AAAAAH///ng=")</f>
        <v>#REF!</v>
      </c>
      <c r="DR189" t="e">
        <f>AND(#REF!,"AAAAAH///nk=")</f>
        <v>#REF!</v>
      </c>
      <c r="DS189" t="e">
        <f>AND(#REF!,"AAAAAH///no=")</f>
        <v>#REF!</v>
      </c>
      <c r="DT189" t="e">
        <f>AND(#REF!,"AAAAAH///ns=")</f>
        <v>#REF!</v>
      </c>
      <c r="DU189" t="e">
        <f>AND(#REF!,"AAAAAH///nw=")</f>
        <v>#REF!</v>
      </c>
      <c r="DV189" t="e">
        <f>AND(#REF!,"AAAAAH///n0=")</f>
        <v>#REF!</v>
      </c>
      <c r="DW189" t="e">
        <f>AND(#REF!,"AAAAAH///n4=")</f>
        <v>#REF!</v>
      </c>
      <c r="DX189" t="e">
        <f>AND(#REF!,"AAAAAH///n8=")</f>
        <v>#REF!</v>
      </c>
      <c r="DY189" t="e">
        <f>AND(#REF!,"AAAAAH///oA=")</f>
        <v>#REF!</v>
      </c>
      <c r="DZ189" t="e">
        <f>AND(#REF!,"AAAAAH///oE=")</f>
        <v>#REF!</v>
      </c>
      <c r="EA189" t="e">
        <f>AND(#REF!,"AAAAAH///oI=")</f>
        <v>#REF!</v>
      </c>
      <c r="EB189" t="e">
        <f>AND(#REF!,"AAAAAH///oM=")</f>
        <v>#REF!</v>
      </c>
      <c r="EC189" t="e">
        <f>IF(#REF!,"AAAAAH///oQ=",0)</f>
        <v>#REF!</v>
      </c>
      <c r="ED189" t="e">
        <f>AND(#REF!,"AAAAAH///oU=")</f>
        <v>#REF!</v>
      </c>
      <c r="EE189" t="e">
        <f>AND(#REF!,"AAAAAH///oY=")</f>
        <v>#REF!</v>
      </c>
      <c r="EF189" t="e">
        <f>AND(#REF!,"AAAAAH///oc=")</f>
        <v>#REF!</v>
      </c>
      <c r="EG189" t="e">
        <f>AND(#REF!,"AAAAAH///og=")</f>
        <v>#REF!</v>
      </c>
      <c r="EH189" t="e">
        <f>AND(#REF!,"AAAAAH///ok=")</f>
        <v>#REF!</v>
      </c>
      <c r="EI189" t="e">
        <f>AND(#REF!,"AAAAAH///oo=")</f>
        <v>#REF!</v>
      </c>
      <c r="EJ189" t="e">
        <f>AND(#REF!,"AAAAAH///os=")</f>
        <v>#REF!</v>
      </c>
      <c r="EK189" t="e">
        <f>AND(#REF!,"AAAAAH///ow=")</f>
        <v>#REF!</v>
      </c>
      <c r="EL189" t="e">
        <f>AND(#REF!,"AAAAAH///o0=")</f>
        <v>#REF!</v>
      </c>
      <c r="EM189" t="e">
        <f>AND(#REF!,"AAAAAH///o4=")</f>
        <v>#REF!</v>
      </c>
      <c r="EN189" t="e">
        <f>AND(#REF!,"AAAAAH///o8=")</f>
        <v>#REF!</v>
      </c>
      <c r="EO189" t="e">
        <f>AND(#REF!,"AAAAAH///pA=")</f>
        <v>#REF!</v>
      </c>
      <c r="EP189" t="e">
        <f>AND(#REF!,"AAAAAH///pE=")</f>
        <v>#REF!</v>
      </c>
      <c r="EQ189" t="e">
        <f>AND(#REF!,"AAAAAH///pI=")</f>
        <v>#REF!</v>
      </c>
      <c r="ER189" t="e">
        <f>AND(#REF!,"AAAAAH///pM=")</f>
        <v>#REF!</v>
      </c>
      <c r="ES189" t="e">
        <f>AND(#REF!,"AAAAAH///pQ=")</f>
        <v>#REF!</v>
      </c>
      <c r="ET189" t="e">
        <f>AND(#REF!,"AAAAAH///pU=")</f>
        <v>#REF!</v>
      </c>
      <c r="EU189" t="e">
        <f>AND(#REF!,"AAAAAH///pY=")</f>
        <v>#REF!</v>
      </c>
      <c r="EV189" t="e">
        <f>AND(#REF!,"AAAAAH///pc=")</f>
        <v>#REF!</v>
      </c>
      <c r="EW189" t="e">
        <f>AND(#REF!,"AAAAAH///pg=")</f>
        <v>#REF!</v>
      </c>
      <c r="EX189" t="e">
        <f>AND(#REF!,"AAAAAH///pk=")</f>
        <v>#REF!</v>
      </c>
      <c r="EY189" t="e">
        <f>AND(#REF!,"AAAAAH///po=")</f>
        <v>#REF!</v>
      </c>
      <c r="EZ189" t="e">
        <f>AND(#REF!,"AAAAAH///ps=")</f>
        <v>#REF!</v>
      </c>
      <c r="FA189" t="e">
        <f>AND(#REF!,"AAAAAH///pw=")</f>
        <v>#REF!</v>
      </c>
      <c r="FB189" t="e">
        <f>IF(#REF!,"AAAAAH///p0=",0)</f>
        <v>#REF!</v>
      </c>
      <c r="FC189" t="e">
        <f>AND(#REF!,"AAAAAH///p4=")</f>
        <v>#REF!</v>
      </c>
      <c r="FD189" t="e">
        <f>AND(#REF!,"AAAAAH///p8=")</f>
        <v>#REF!</v>
      </c>
      <c r="FE189" t="e">
        <f>AND(#REF!,"AAAAAH///qA=")</f>
        <v>#REF!</v>
      </c>
      <c r="FF189" t="e">
        <f>AND(#REF!,"AAAAAH///qE=")</f>
        <v>#REF!</v>
      </c>
      <c r="FG189" t="e">
        <f>AND(#REF!,"AAAAAH///qI=")</f>
        <v>#REF!</v>
      </c>
      <c r="FH189" t="e">
        <f>AND(#REF!,"AAAAAH///qM=")</f>
        <v>#REF!</v>
      </c>
      <c r="FI189" t="e">
        <f>AND(#REF!,"AAAAAH///qQ=")</f>
        <v>#REF!</v>
      </c>
      <c r="FJ189" t="e">
        <f>AND(#REF!,"AAAAAH///qU=")</f>
        <v>#REF!</v>
      </c>
      <c r="FK189" t="e">
        <f>AND(#REF!,"AAAAAH///qY=")</f>
        <v>#REF!</v>
      </c>
      <c r="FL189" t="e">
        <f>AND(#REF!,"AAAAAH///qc=")</f>
        <v>#REF!</v>
      </c>
      <c r="FM189" t="e">
        <f>AND(#REF!,"AAAAAH///qg=")</f>
        <v>#REF!</v>
      </c>
      <c r="FN189" t="e">
        <f>AND(#REF!,"AAAAAH///qk=")</f>
        <v>#REF!</v>
      </c>
      <c r="FO189" t="e">
        <f>AND(#REF!,"AAAAAH///qo=")</f>
        <v>#REF!</v>
      </c>
      <c r="FP189" t="e">
        <f>AND(#REF!,"AAAAAH///qs=")</f>
        <v>#REF!</v>
      </c>
      <c r="FQ189" t="e">
        <f>AND(#REF!,"AAAAAH///qw=")</f>
        <v>#REF!</v>
      </c>
      <c r="FR189" t="e">
        <f>AND(#REF!,"AAAAAH///q0=")</f>
        <v>#REF!</v>
      </c>
      <c r="FS189" t="e">
        <f>AND(#REF!,"AAAAAH///q4=")</f>
        <v>#REF!</v>
      </c>
      <c r="FT189" t="e">
        <f>AND(#REF!,"AAAAAH///q8=")</f>
        <v>#REF!</v>
      </c>
      <c r="FU189" t="e">
        <f>AND(#REF!,"AAAAAH///rA=")</f>
        <v>#REF!</v>
      </c>
      <c r="FV189" t="e">
        <f>AND(#REF!,"AAAAAH///rE=")</f>
        <v>#REF!</v>
      </c>
      <c r="FW189" t="e">
        <f>AND(#REF!,"AAAAAH///rI=")</f>
        <v>#REF!</v>
      </c>
      <c r="FX189" t="e">
        <f>AND(#REF!,"AAAAAH///rM=")</f>
        <v>#REF!</v>
      </c>
      <c r="FY189" t="e">
        <f>AND(#REF!,"AAAAAH///rQ=")</f>
        <v>#REF!</v>
      </c>
      <c r="FZ189" t="e">
        <f>AND(#REF!,"AAAAAH///rU=")</f>
        <v>#REF!</v>
      </c>
      <c r="GA189" t="e">
        <f>IF(#REF!,"AAAAAH///rY=",0)</f>
        <v>#REF!</v>
      </c>
      <c r="GB189" t="e">
        <f>AND(#REF!,"AAAAAH///rc=")</f>
        <v>#REF!</v>
      </c>
      <c r="GC189" t="e">
        <f>AND(#REF!,"AAAAAH///rg=")</f>
        <v>#REF!</v>
      </c>
      <c r="GD189" t="e">
        <f>AND(#REF!,"AAAAAH///rk=")</f>
        <v>#REF!</v>
      </c>
      <c r="GE189" t="e">
        <f>AND(#REF!,"AAAAAH///ro=")</f>
        <v>#REF!</v>
      </c>
      <c r="GF189" t="e">
        <f>AND(#REF!,"AAAAAH///rs=")</f>
        <v>#REF!</v>
      </c>
      <c r="GG189" t="e">
        <f>AND(#REF!,"AAAAAH///rw=")</f>
        <v>#REF!</v>
      </c>
      <c r="GH189" t="e">
        <f>AND(#REF!,"AAAAAH///r0=")</f>
        <v>#REF!</v>
      </c>
      <c r="GI189" t="e">
        <f>AND(#REF!,"AAAAAH///r4=")</f>
        <v>#REF!</v>
      </c>
      <c r="GJ189" t="e">
        <f>AND(#REF!,"AAAAAH///r8=")</f>
        <v>#REF!</v>
      </c>
      <c r="GK189" t="e">
        <f>AND(#REF!,"AAAAAH///sA=")</f>
        <v>#REF!</v>
      </c>
      <c r="GL189" t="e">
        <f>AND(#REF!,"AAAAAH///sE=")</f>
        <v>#REF!</v>
      </c>
      <c r="GM189" t="e">
        <f>AND(#REF!,"AAAAAH///sI=")</f>
        <v>#REF!</v>
      </c>
      <c r="GN189" t="e">
        <f>AND(#REF!,"AAAAAH///sM=")</f>
        <v>#REF!</v>
      </c>
      <c r="GO189" t="e">
        <f>AND(#REF!,"AAAAAH///sQ=")</f>
        <v>#REF!</v>
      </c>
      <c r="GP189" t="e">
        <f>AND(#REF!,"AAAAAH///sU=")</f>
        <v>#REF!</v>
      </c>
      <c r="GQ189" t="e">
        <f>AND(#REF!,"AAAAAH///sY=")</f>
        <v>#REF!</v>
      </c>
      <c r="GR189" t="e">
        <f>AND(#REF!,"AAAAAH///sc=")</f>
        <v>#REF!</v>
      </c>
      <c r="GS189" t="e">
        <f>AND(#REF!,"AAAAAH///sg=")</f>
        <v>#REF!</v>
      </c>
      <c r="GT189" t="e">
        <f>AND(#REF!,"AAAAAH///sk=")</f>
        <v>#REF!</v>
      </c>
      <c r="GU189" t="e">
        <f>AND(#REF!,"AAAAAH///so=")</f>
        <v>#REF!</v>
      </c>
      <c r="GV189" t="e">
        <f>AND(#REF!,"AAAAAH///ss=")</f>
        <v>#REF!</v>
      </c>
      <c r="GW189" t="e">
        <f>AND(#REF!,"AAAAAH///sw=")</f>
        <v>#REF!</v>
      </c>
      <c r="GX189" t="e">
        <f>AND(#REF!,"AAAAAH///s0=")</f>
        <v>#REF!</v>
      </c>
      <c r="GY189" t="e">
        <f>AND(#REF!,"AAAAAH///s4=")</f>
        <v>#REF!</v>
      </c>
      <c r="GZ189" t="e">
        <f>IF(#REF!,"AAAAAH///s8=",0)</f>
        <v>#REF!</v>
      </c>
      <c r="HA189" t="e">
        <f>AND(#REF!,"AAAAAH///tA=")</f>
        <v>#REF!</v>
      </c>
      <c r="HB189" t="e">
        <f>AND(#REF!,"AAAAAH///tE=")</f>
        <v>#REF!</v>
      </c>
      <c r="HC189" t="e">
        <f>AND(#REF!,"AAAAAH///tI=")</f>
        <v>#REF!</v>
      </c>
      <c r="HD189" t="e">
        <f>AND(#REF!,"AAAAAH///tM=")</f>
        <v>#REF!</v>
      </c>
      <c r="HE189" t="e">
        <f>AND(#REF!,"AAAAAH///tQ=")</f>
        <v>#REF!</v>
      </c>
      <c r="HF189" t="e">
        <f>AND(#REF!,"AAAAAH///tU=")</f>
        <v>#REF!</v>
      </c>
      <c r="HG189" t="e">
        <f>AND(#REF!,"AAAAAH///tY=")</f>
        <v>#REF!</v>
      </c>
      <c r="HH189" t="e">
        <f>AND(#REF!,"AAAAAH///tc=")</f>
        <v>#REF!</v>
      </c>
      <c r="HI189" t="e">
        <f>AND(#REF!,"AAAAAH///tg=")</f>
        <v>#REF!</v>
      </c>
      <c r="HJ189" t="e">
        <f>AND(#REF!,"AAAAAH///tk=")</f>
        <v>#REF!</v>
      </c>
      <c r="HK189" t="e">
        <f>AND(#REF!,"AAAAAH///to=")</f>
        <v>#REF!</v>
      </c>
      <c r="HL189" t="e">
        <f>AND(#REF!,"AAAAAH///ts=")</f>
        <v>#REF!</v>
      </c>
      <c r="HM189" t="e">
        <f>AND(#REF!,"AAAAAH///tw=")</f>
        <v>#REF!</v>
      </c>
      <c r="HN189" t="e">
        <f>AND(#REF!,"AAAAAH///t0=")</f>
        <v>#REF!</v>
      </c>
      <c r="HO189" t="e">
        <f>AND(#REF!,"AAAAAH///t4=")</f>
        <v>#REF!</v>
      </c>
      <c r="HP189" t="e">
        <f>AND(#REF!,"AAAAAH///t8=")</f>
        <v>#REF!</v>
      </c>
      <c r="HQ189" t="e">
        <f>AND(#REF!,"AAAAAH///uA=")</f>
        <v>#REF!</v>
      </c>
      <c r="HR189" t="e">
        <f>AND(#REF!,"AAAAAH///uE=")</f>
        <v>#REF!</v>
      </c>
      <c r="HS189" t="e">
        <f>AND(#REF!,"AAAAAH///uI=")</f>
        <v>#REF!</v>
      </c>
      <c r="HT189" t="e">
        <f>AND(#REF!,"AAAAAH///uM=")</f>
        <v>#REF!</v>
      </c>
      <c r="HU189" t="e">
        <f>AND(#REF!,"AAAAAH///uQ=")</f>
        <v>#REF!</v>
      </c>
      <c r="HV189" t="e">
        <f>AND(#REF!,"AAAAAH///uU=")</f>
        <v>#REF!</v>
      </c>
      <c r="HW189" t="e">
        <f>AND(#REF!,"AAAAAH///uY=")</f>
        <v>#REF!</v>
      </c>
      <c r="HX189" t="e">
        <f>AND(#REF!,"AAAAAH///uc=")</f>
        <v>#REF!</v>
      </c>
      <c r="HY189" t="e">
        <f>IF(#REF!,"AAAAAH///ug=",0)</f>
        <v>#REF!</v>
      </c>
      <c r="HZ189" t="e">
        <f>AND(#REF!,"AAAAAH///uk=")</f>
        <v>#REF!</v>
      </c>
      <c r="IA189" t="e">
        <f>AND(#REF!,"AAAAAH///uo=")</f>
        <v>#REF!</v>
      </c>
      <c r="IB189" t="e">
        <f>AND(#REF!,"AAAAAH///us=")</f>
        <v>#REF!</v>
      </c>
      <c r="IC189" t="e">
        <f>AND(#REF!,"AAAAAH///uw=")</f>
        <v>#REF!</v>
      </c>
      <c r="ID189" t="e">
        <f>AND(#REF!,"AAAAAH///u0=")</f>
        <v>#REF!</v>
      </c>
      <c r="IE189" t="e">
        <f>AND(#REF!,"AAAAAH///u4=")</f>
        <v>#REF!</v>
      </c>
      <c r="IF189" t="e">
        <f>AND(#REF!,"AAAAAH///u8=")</f>
        <v>#REF!</v>
      </c>
      <c r="IG189" t="e">
        <f>AND(#REF!,"AAAAAH///vA=")</f>
        <v>#REF!</v>
      </c>
      <c r="IH189" t="e">
        <f>AND(#REF!,"AAAAAH///vE=")</f>
        <v>#REF!</v>
      </c>
      <c r="II189" t="e">
        <f>AND(#REF!,"AAAAAH///vI=")</f>
        <v>#REF!</v>
      </c>
      <c r="IJ189" t="e">
        <f>AND(#REF!,"AAAAAH///vM=")</f>
        <v>#REF!</v>
      </c>
      <c r="IK189" t="e">
        <f>AND(#REF!,"AAAAAH///vQ=")</f>
        <v>#REF!</v>
      </c>
      <c r="IL189" t="e">
        <f>AND(#REF!,"AAAAAH///vU=")</f>
        <v>#REF!</v>
      </c>
      <c r="IM189" t="e">
        <f>AND(#REF!,"AAAAAH///vY=")</f>
        <v>#REF!</v>
      </c>
      <c r="IN189" t="e">
        <f>AND(#REF!,"AAAAAH///vc=")</f>
        <v>#REF!</v>
      </c>
      <c r="IO189" t="e">
        <f>AND(#REF!,"AAAAAH///vg=")</f>
        <v>#REF!</v>
      </c>
      <c r="IP189" t="e">
        <f>AND(#REF!,"AAAAAH///vk=")</f>
        <v>#REF!</v>
      </c>
      <c r="IQ189" t="e">
        <f>AND(#REF!,"AAAAAH///vo=")</f>
        <v>#REF!</v>
      </c>
      <c r="IR189" t="e">
        <f>AND(#REF!,"AAAAAH///vs=")</f>
        <v>#REF!</v>
      </c>
      <c r="IS189" t="e">
        <f>AND(#REF!,"AAAAAH///vw=")</f>
        <v>#REF!</v>
      </c>
      <c r="IT189" t="e">
        <f>AND(#REF!,"AAAAAH///v0=")</f>
        <v>#REF!</v>
      </c>
      <c r="IU189" t="e">
        <f>AND(#REF!,"AAAAAH///v4=")</f>
        <v>#REF!</v>
      </c>
      <c r="IV189" t="e">
        <f>AND(#REF!,"AAAAAH///v8=")</f>
        <v>#REF!</v>
      </c>
    </row>
    <row r="190" spans="1:256">
      <c r="A190" t="e">
        <f>AND(#REF!,"AAAAAGz/ewA=")</f>
        <v>#REF!</v>
      </c>
      <c r="B190" t="e">
        <f>IF(#REF!,"AAAAAGz/ewE=",0)</f>
        <v>#REF!</v>
      </c>
      <c r="C190" t="e">
        <f>AND(#REF!,"AAAAAGz/ewI=")</f>
        <v>#REF!</v>
      </c>
      <c r="D190" t="e">
        <f>AND(#REF!,"AAAAAGz/ewM=")</f>
        <v>#REF!</v>
      </c>
      <c r="E190" t="e">
        <f>AND(#REF!,"AAAAAGz/ewQ=")</f>
        <v>#REF!</v>
      </c>
      <c r="F190" t="e">
        <f>AND(#REF!,"AAAAAGz/ewU=")</f>
        <v>#REF!</v>
      </c>
      <c r="G190" t="e">
        <f>AND(#REF!,"AAAAAGz/ewY=")</f>
        <v>#REF!</v>
      </c>
      <c r="H190" t="e">
        <f>AND(#REF!,"AAAAAGz/ewc=")</f>
        <v>#REF!</v>
      </c>
      <c r="I190" t="e">
        <f>AND(#REF!,"AAAAAGz/ewg=")</f>
        <v>#REF!</v>
      </c>
      <c r="J190" t="e">
        <f>AND(#REF!,"AAAAAGz/ewk=")</f>
        <v>#REF!</v>
      </c>
      <c r="K190" t="e">
        <f>AND(#REF!,"AAAAAGz/ewo=")</f>
        <v>#REF!</v>
      </c>
      <c r="L190" t="e">
        <f>AND(#REF!,"AAAAAGz/ews=")</f>
        <v>#REF!</v>
      </c>
      <c r="M190" t="e">
        <f>AND(#REF!,"AAAAAGz/eww=")</f>
        <v>#REF!</v>
      </c>
      <c r="N190" t="e">
        <f>AND(#REF!,"AAAAAGz/ew0=")</f>
        <v>#REF!</v>
      </c>
      <c r="O190" t="e">
        <f>AND(#REF!,"AAAAAGz/ew4=")</f>
        <v>#REF!</v>
      </c>
      <c r="P190" t="e">
        <f>AND(#REF!,"AAAAAGz/ew8=")</f>
        <v>#REF!</v>
      </c>
      <c r="Q190" t="e">
        <f>AND(#REF!,"AAAAAGz/exA=")</f>
        <v>#REF!</v>
      </c>
      <c r="R190" t="e">
        <f>AND(#REF!,"AAAAAGz/exE=")</f>
        <v>#REF!</v>
      </c>
      <c r="S190" t="e">
        <f>AND(#REF!,"AAAAAGz/exI=")</f>
        <v>#REF!</v>
      </c>
      <c r="T190" t="e">
        <f>AND(#REF!,"AAAAAGz/exM=")</f>
        <v>#REF!</v>
      </c>
      <c r="U190" t="e">
        <f>AND(#REF!,"AAAAAGz/exQ=")</f>
        <v>#REF!</v>
      </c>
      <c r="V190" t="e">
        <f>AND(#REF!,"AAAAAGz/exU=")</f>
        <v>#REF!</v>
      </c>
      <c r="W190" t="e">
        <f>AND(#REF!,"AAAAAGz/exY=")</f>
        <v>#REF!</v>
      </c>
      <c r="X190" t="e">
        <f>AND(#REF!,"AAAAAGz/exc=")</f>
        <v>#REF!</v>
      </c>
      <c r="Y190" t="e">
        <f>AND(#REF!,"AAAAAGz/exg=")</f>
        <v>#REF!</v>
      </c>
      <c r="Z190" t="e">
        <f>AND(#REF!,"AAAAAGz/exk=")</f>
        <v>#REF!</v>
      </c>
      <c r="AA190" t="e">
        <f>IF(#REF!,"AAAAAGz/exo=",0)</f>
        <v>#REF!</v>
      </c>
      <c r="AB190" t="e">
        <f>AND(#REF!,"AAAAAGz/exs=")</f>
        <v>#REF!</v>
      </c>
      <c r="AC190" t="e">
        <f>AND(#REF!,"AAAAAGz/exw=")</f>
        <v>#REF!</v>
      </c>
      <c r="AD190" t="e">
        <f>AND(#REF!,"AAAAAGz/ex0=")</f>
        <v>#REF!</v>
      </c>
      <c r="AE190" t="e">
        <f>AND(#REF!,"AAAAAGz/ex4=")</f>
        <v>#REF!</v>
      </c>
      <c r="AF190" t="e">
        <f>AND(#REF!,"AAAAAGz/ex8=")</f>
        <v>#REF!</v>
      </c>
      <c r="AG190" t="e">
        <f>AND(#REF!,"AAAAAGz/eyA=")</f>
        <v>#REF!</v>
      </c>
      <c r="AH190" t="e">
        <f>AND(#REF!,"AAAAAGz/eyE=")</f>
        <v>#REF!</v>
      </c>
      <c r="AI190" t="e">
        <f>AND(#REF!,"AAAAAGz/eyI=")</f>
        <v>#REF!</v>
      </c>
      <c r="AJ190" t="e">
        <f>AND(#REF!,"AAAAAGz/eyM=")</f>
        <v>#REF!</v>
      </c>
      <c r="AK190" t="e">
        <f>AND(#REF!,"AAAAAGz/eyQ=")</f>
        <v>#REF!</v>
      </c>
      <c r="AL190" t="e">
        <f>AND(#REF!,"AAAAAGz/eyU=")</f>
        <v>#REF!</v>
      </c>
      <c r="AM190" t="e">
        <f>AND(#REF!,"AAAAAGz/eyY=")</f>
        <v>#REF!</v>
      </c>
      <c r="AN190" t="e">
        <f>AND(#REF!,"AAAAAGz/eyc=")</f>
        <v>#REF!</v>
      </c>
      <c r="AO190" t="e">
        <f>AND(#REF!,"AAAAAGz/eyg=")</f>
        <v>#REF!</v>
      </c>
      <c r="AP190" t="e">
        <f>AND(#REF!,"AAAAAGz/eyk=")</f>
        <v>#REF!</v>
      </c>
      <c r="AQ190" t="e">
        <f>AND(#REF!,"AAAAAGz/eyo=")</f>
        <v>#REF!</v>
      </c>
      <c r="AR190" t="e">
        <f>AND(#REF!,"AAAAAGz/eys=")</f>
        <v>#REF!</v>
      </c>
      <c r="AS190" t="e">
        <f>AND(#REF!,"AAAAAGz/eyw=")</f>
        <v>#REF!</v>
      </c>
      <c r="AT190" t="e">
        <f>AND(#REF!,"AAAAAGz/ey0=")</f>
        <v>#REF!</v>
      </c>
      <c r="AU190" t="e">
        <f>AND(#REF!,"AAAAAGz/ey4=")</f>
        <v>#REF!</v>
      </c>
      <c r="AV190" t="e">
        <f>AND(#REF!,"AAAAAGz/ey8=")</f>
        <v>#REF!</v>
      </c>
      <c r="AW190" t="e">
        <f>AND(#REF!,"AAAAAGz/ezA=")</f>
        <v>#REF!</v>
      </c>
      <c r="AX190" t="e">
        <f>AND(#REF!,"AAAAAGz/ezE=")</f>
        <v>#REF!</v>
      </c>
      <c r="AY190" t="e">
        <f>AND(#REF!,"AAAAAGz/ezI=")</f>
        <v>#REF!</v>
      </c>
      <c r="AZ190" t="e">
        <f>IF(#REF!,"AAAAAGz/ezM=",0)</f>
        <v>#REF!</v>
      </c>
      <c r="BA190" t="e">
        <f>AND(#REF!,"AAAAAGz/ezQ=")</f>
        <v>#REF!</v>
      </c>
      <c r="BB190" t="e">
        <f>AND(#REF!,"AAAAAGz/ezU=")</f>
        <v>#REF!</v>
      </c>
      <c r="BC190" t="e">
        <f>AND(#REF!,"AAAAAGz/ezY=")</f>
        <v>#REF!</v>
      </c>
      <c r="BD190" t="e">
        <f>AND(#REF!,"AAAAAGz/ezc=")</f>
        <v>#REF!</v>
      </c>
      <c r="BE190" t="e">
        <f>AND(#REF!,"AAAAAGz/ezg=")</f>
        <v>#REF!</v>
      </c>
      <c r="BF190" t="e">
        <f>AND(#REF!,"AAAAAGz/ezk=")</f>
        <v>#REF!</v>
      </c>
      <c r="BG190" t="e">
        <f>AND(#REF!,"AAAAAGz/ezo=")</f>
        <v>#REF!</v>
      </c>
      <c r="BH190" t="e">
        <f>AND(#REF!,"AAAAAGz/ezs=")</f>
        <v>#REF!</v>
      </c>
      <c r="BI190" t="e">
        <f>AND(#REF!,"AAAAAGz/ezw=")</f>
        <v>#REF!</v>
      </c>
      <c r="BJ190" t="e">
        <f>AND(#REF!,"AAAAAGz/ez0=")</f>
        <v>#REF!</v>
      </c>
      <c r="BK190" t="e">
        <f>AND(#REF!,"AAAAAGz/ez4=")</f>
        <v>#REF!</v>
      </c>
      <c r="BL190" t="e">
        <f>AND(#REF!,"AAAAAGz/ez8=")</f>
        <v>#REF!</v>
      </c>
      <c r="BM190" t="e">
        <f>AND(#REF!,"AAAAAGz/e0A=")</f>
        <v>#REF!</v>
      </c>
      <c r="BN190" t="e">
        <f>AND(#REF!,"AAAAAGz/e0E=")</f>
        <v>#REF!</v>
      </c>
      <c r="BO190" t="e">
        <f>AND(#REF!,"AAAAAGz/e0I=")</f>
        <v>#REF!</v>
      </c>
      <c r="BP190" t="e">
        <f>AND(#REF!,"AAAAAGz/e0M=")</f>
        <v>#REF!</v>
      </c>
      <c r="BQ190" t="e">
        <f>AND(#REF!,"AAAAAGz/e0Q=")</f>
        <v>#REF!</v>
      </c>
      <c r="BR190" t="e">
        <f>AND(#REF!,"AAAAAGz/e0U=")</f>
        <v>#REF!</v>
      </c>
      <c r="BS190" t="e">
        <f>AND(#REF!,"AAAAAGz/e0Y=")</f>
        <v>#REF!</v>
      </c>
      <c r="BT190" t="e">
        <f>AND(#REF!,"AAAAAGz/e0c=")</f>
        <v>#REF!</v>
      </c>
      <c r="BU190" t="e">
        <f>AND(#REF!,"AAAAAGz/e0g=")</f>
        <v>#REF!</v>
      </c>
      <c r="BV190" t="e">
        <f>AND(#REF!,"AAAAAGz/e0k=")</f>
        <v>#REF!</v>
      </c>
      <c r="BW190" t="e">
        <f>AND(#REF!,"AAAAAGz/e0o=")</f>
        <v>#REF!</v>
      </c>
      <c r="BX190" t="e">
        <f>AND(#REF!,"AAAAAGz/e0s=")</f>
        <v>#REF!</v>
      </c>
      <c r="BY190" t="e">
        <f>IF(#REF!,"AAAAAGz/e0w=",0)</f>
        <v>#REF!</v>
      </c>
      <c r="BZ190" t="e">
        <f>AND(#REF!,"AAAAAGz/e00=")</f>
        <v>#REF!</v>
      </c>
      <c r="CA190" t="e">
        <f>AND(#REF!,"AAAAAGz/e04=")</f>
        <v>#REF!</v>
      </c>
      <c r="CB190" t="e">
        <f>AND(#REF!,"AAAAAGz/e08=")</f>
        <v>#REF!</v>
      </c>
      <c r="CC190" t="e">
        <f>AND(#REF!,"AAAAAGz/e1A=")</f>
        <v>#REF!</v>
      </c>
      <c r="CD190" t="e">
        <f>AND(#REF!,"AAAAAGz/e1E=")</f>
        <v>#REF!</v>
      </c>
      <c r="CE190" t="e">
        <f>AND(#REF!,"AAAAAGz/e1I=")</f>
        <v>#REF!</v>
      </c>
      <c r="CF190" t="e">
        <f>AND(#REF!,"AAAAAGz/e1M=")</f>
        <v>#REF!</v>
      </c>
      <c r="CG190" t="e">
        <f>AND(#REF!,"AAAAAGz/e1Q=")</f>
        <v>#REF!</v>
      </c>
      <c r="CH190" t="e">
        <f>AND(#REF!,"AAAAAGz/e1U=")</f>
        <v>#REF!</v>
      </c>
      <c r="CI190" t="e">
        <f>AND(#REF!,"AAAAAGz/e1Y=")</f>
        <v>#REF!</v>
      </c>
      <c r="CJ190" t="e">
        <f>AND(#REF!,"AAAAAGz/e1c=")</f>
        <v>#REF!</v>
      </c>
      <c r="CK190" t="e">
        <f>AND(#REF!,"AAAAAGz/e1g=")</f>
        <v>#REF!</v>
      </c>
      <c r="CL190" t="e">
        <f>AND(#REF!,"AAAAAGz/e1k=")</f>
        <v>#REF!</v>
      </c>
      <c r="CM190" t="e">
        <f>AND(#REF!,"AAAAAGz/e1o=")</f>
        <v>#REF!</v>
      </c>
      <c r="CN190" t="e">
        <f>AND(#REF!,"AAAAAGz/e1s=")</f>
        <v>#REF!</v>
      </c>
      <c r="CO190" t="e">
        <f>AND(#REF!,"AAAAAGz/e1w=")</f>
        <v>#REF!</v>
      </c>
      <c r="CP190" t="e">
        <f>AND(#REF!,"AAAAAGz/e10=")</f>
        <v>#REF!</v>
      </c>
      <c r="CQ190" t="e">
        <f>AND(#REF!,"AAAAAGz/e14=")</f>
        <v>#REF!</v>
      </c>
      <c r="CR190" t="e">
        <f>AND(#REF!,"AAAAAGz/e18=")</f>
        <v>#REF!</v>
      </c>
      <c r="CS190" t="e">
        <f>AND(#REF!,"AAAAAGz/e2A=")</f>
        <v>#REF!</v>
      </c>
      <c r="CT190" t="e">
        <f>AND(#REF!,"AAAAAGz/e2E=")</f>
        <v>#REF!</v>
      </c>
      <c r="CU190" t="e">
        <f>AND(#REF!,"AAAAAGz/e2I=")</f>
        <v>#REF!</v>
      </c>
      <c r="CV190" t="e">
        <f>AND(#REF!,"AAAAAGz/e2M=")</f>
        <v>#REF!</v>
      </c>
      <c r="CW190" t="e">
        <f>AND(#REF!,"AAAAAGz/e2Q=")</f>
        <v>#REF!</v>
      </c>
      <c r="CX190" t="e">
        <f>IF(#REF!,"AAAAAGz/e2U=",0)</f>
        <v>#REF!</v>
      </c>
      <c r="CY190" t="e">
        <f>AND(#REF!,"AAAAAGz/e2Y=")</f>
        <v>#REF!</v>
      </c>
      <c r="CZ190" t="e">
        <f>AND(#REF!,"AAAAAGz/e2c=")</f>
        <v>#REF!</v>
      </c>
      <c r="DA190" t="e">
        <f>AND(#REF!,"AAAAAGz/e2g=")</f>
        <v>#REF!</v>
      </c>
      <c r="DB190" t="e">
        <f>AND(#REF!,"AAAAAGz/e2k=")</f>
        <v>#REF!</v>
      </c>
      <c r="DC190" t="e">
        <f>AND(#REF!,"AAAAAGz/e2o=")</f>
        <v>#REF!</v>
      </c>
      <c r="DD190" t="e">
        <f>AND(#REF!,"AAAAAGz/e2s=")</f>
        <v>#REF!</v>
      </c>
      <c r="DE190" t="e">
        <f>AND(#REF!,"AAAAAGz/e2w=")</f>
        <v>#REF!</v>
      </c>
      <c r="DF190" t="e">
        <f>AND(#REF!,"AAAAAGz/e20=")</f>
        <v>#REF!</v>
      </c>
      <c r="DG190" t="e">
        <f>AND(#REF!,"AAAAAGz/e24=")</f>
        <v>#REF!</v>
      </c>
      <c r="DH190" t="e">
        <f>AND(#REF!,"AAAAAGz/e28=")</f>
        <v>#REF!</v>
      </c>
      <c r="DI190" t="e">
        <f>AND(#REF!,"AAAAAGz/e3A=")</f>
        <v>#REF!</v>
      </c>
      <c r="DJ190" t="e">
        <f>AND(#REF!,"AAAAAGz/e3E=")</f>
        <v>#REF!</v>
      </c>
      <c r="DK190" t="e">
        <f>AND(#REF!,"AAAAAGz/e3I=")</f>
        <v>#REF!</v>
      </c>
      <c r="DL190" t="e">
        <f>AND(#REF!,"AAAAAGz/e3M=")</f>
        <v>#REF!</v>
      </c>
      <c r="DM190" t="e">
        <f>AND(#REF!,"AAAAAGz/e3Q=")</f>
        <v>#REF!</v>
      </c>
      <c r="DN190" t="e">
        <f>AND(#REF!,"AAAAAGz/e3U=")</f>
        <v>#REF!</v>
      </c>
      <c r="DO190" t="e">
        <f>AND(#REF!,"AAAAAGz/e3Y=")</f>
        <v>#REF!</v>
      </c>
      <c r="DP190" t="e">
        <f>AND(#REF!,"AAAAAGz/e3c=")</f>
        <v>#REF!</v>
      </c>
      <c r="DQ190" t="e">
        <f>AND(#REF!,"AAAAAGz/e3g=")</f>
        <v>#REF!</v>
      </c>
      <c r="DR190" t="e">
        <f>AND(#REF!,"AAAAAGz/e3k=")</f>
        <v>#REF!</v>
      </c>
      <c r="DS190" t="e">
        <f>AND(#REF!,"AAAAAGz/e3o=")</f>
        <v>#REF!</v>
      </c>
      <c r="DT190" t="e">
        <f>AND(#REF!,"AAAAAGz/e3s=")</f>
        <v>#REF!</v>
      </c>
      <c r="DU190" t="e">
        <f>AND(#REF!,"AAAAAGz/e3w=")</f>
        <v>#REF!</v>
      </c>
      <c r="DV190" t="e">
        <f>AND(#REF!,"AAAAAGz/e30=")</f>
        <v>#REF!</v>
      </c>
      <c r="DW190" t="e">
        <f>IF(#REF!,"AAAAAGz/e34=",0)</f>
        <v>#REF!</v>
      </c>
      <c r="DX190" t="e">
        <f>AND(#REF!,"AAAAAGz/e38=")</f>
        <v>#REF!</v>
      </c>
      <c r="DY190" t="e">
        <f>AND(#REF!,"AAAAAGz/e4A=")</f>
        <v>#REF!</v>
      </c>
      <c r="DZ190" t="e">
        <f>AND(#REF!,"AAAAAGz/e4E=")</f>
        <v>#REF!</v>
      </c>
      <c r="EA190" t="e">
        <f>AND(#REF!,"AAAAAGz/e4I=")</f>
        <v>#REF!</v>
      </c>
      <c r="EB190" t="e">
        <f>AND(#REF!,"AAAAAGz/e4M=")</f>
        <v>#REF!</v>
      </c>
      <c r="EC190" t="e">
        <f>AND(#REF!,"AAAAAGz/e4Q=")</f>
        <v>#REF!</v>
      </c>
      <c r="ED190" t="e">
        <f>AND(#REF!,"AAAAAGz/e4U=")</f>
        <v>#REF!</v>
      </c>
      <c r="EE190" t="e">
        <f>AND(#REF!,"AAAAAGz/e4Y=")</f>
        <v>#REF!</v>
      </c>
      <c r="EF190" t="e">
        <f>AND(#REF!,"AAAAAGz/e4c=")</f>
        <v>#REF!</v>
      </c>
      <c r="EG190" t="e">
        <f>AND(#REF!,"AAAAAGz/e4g=")</f>
        <v>#REF!</v>
      </c>
      <c r="EH190" t="e">
        <f>AND(#REF!,"AAAAAGz/e4k=")</f>
        <v>#REF!</v>
      </c>
      <c r="EI190" t="e">
        <f>AND(#REF!,"AAAAAGz/e4o=")</f>
        <v>#REF!</v>
      </c>
      <c r="EJ190" t="e">
        <f>AND(#REF!,"AAAAAGz/e4s=")</f>
        <v>#REF!</v>
      </c>
      <c r="EK190" t="e">
        <f>AND(#REF!,"AAAAAGz/e4w=")</f>
        <v>#REF!</v>
      </c>
      <c r="EL190" t="e">
        <f>AND(#REF!,"AAAAAGz/e40=")</f>
        <v>#REF!</v>
      </c>
      <c r="EM190" t="e">
        <f>AND(#REF!,"AAAAAGz/e44=")</f>
        <v>#REF!</v>
      </c>
      <c r="EN190" t="e">
        <f>AND(#REF!,"AAAAAGz/e48=")</f>
        <v>#REF!</v>
      </c>
      <c r="EO190" t="e">
        <f>AND(#REF!,"AAAAAGz/e5A=")</f>
        <v>#REF!</v>
      </c>
      <c r="EP190" t="e">
        <f>AND(#REF!,"AAAAAGz/e5E=")</f>
        <v>#REF!</v>
      </c>
      <c r="EQ190" t="e">
        <f>AND(#REF!,"AAAAAGz/e5I=")</f>
        <v>#REF!</v>
      </c>
      <c r="ER190" t="e">
        <f>AND(#REF!,"AAAAAGz/e5M=")</f>
        <v>#REF!</v>
      </c>
      <c r="ES190" t="e">
        <f>AND(#REF!,"AAAAAGz/e5Q=")</f>
        <v>#REF!</v>
      </c>
      <c r="ET190" t="e">
        <f>AND(#REF!,"AAAAAGz/e5U=")</f>
        <v>#REF!</v>
      </c>
      <c r="EU190" t="e">
        <f>AND(#REF!,"AAAAAGz/e5Y=")</f>
        <v>#REF!</v>
      </c>
      <c r="EV190" t="e">
        <f>IF(#REF!,"AAAAAGz/e5c=",0)</f>
        <v>#REF!</v>
      </c>
      <c r="EW190" t="e">
        <f>AND(#REF!,"AAAAAGz/e5g=")</f>
        <v>#REF!</v>
      </c>
      <c r="EX190" t="e">
        <f>AND(#REF!,"AAAAAGz/e5k=")</f>
        <v>#REF!</v>
      </c>
      <c r="EY190" t="e">
        <f>AND(#REF!,"AAAAAGz/e5o=")</f>
        <v>#REF!</v>
      </c>
      <c r="EZ190" t="e">
        <f>AND(#REF!,"AAAAAGz/e5s=")</f>
        <v>#REF!</v>
      </c>
      <c r="FA190" t="e">
        <f>AND(#REF!,"AAAAAGz/e5w=")</f>
        <v>#REF!</v>
      </c>
      <c r="FB190" t="e">
        <f>AND(#REF!,"AAAAAGz/e50=")</f>
        <v>#REF!</v>
      </c>
      <c r="FC190" t="e">
        <f>AND(#REF!,"AAAAAGz/e54=")</f>
        <v>#REF!</v>
      </c>
      <c r="FD190" t="e">
        <f>AND(#REF!,"AAAAAGz/e58=")</f>
        <v>#REF!</v>
      </c>
      <c r="FE190" t="e">
        <f>AND(#REF!,"AAAAAGz/e6A=")</f>
        <v>#REF!</v>
      </c>
      <c r="FF190" t="e">
        <f>AND(#REF!,"AAAAAGz/e6E=")</f>
        <v>#REF!</v>
      </c>
      <c r="FG190" t="e">
        <f>AND(#REF!,"AAAAAGz/e6I=")</f>
        <v>#REF!</v>
      </c>
      <c r="FH190" t="e">
        <f>AND(#REF!,"AAAAAGz/e6M=")</f>
        <v>#REF!</v>
      </c>
      <c r="FI190" t="e">
        <f>AND(#REF!,"AAAAAGz/e6Q=")</f>
        <v>#REF!</v>
      </c>
      <c r="FJ190" t="e">
        <f>AND(#REF!,"AAAAAGz/e6U=")</f>
        <v>#REF!</v>
      </c>
      <c r="FK190" t="e">
        <f>AND(#REF!,"AAAAAGz/e6Y=")</f>
        <v>#REF!</v>
      </c>
      <c r="FL190" t="e">
        <f>AND(#REF!,"AAAAAGz/e6c=")</f>
        <v>#REF!</v>
      </c>
      <c r="FM190" t="e">
        <f>AND(#REF!,"AAAAAGz/e6g=")</f>
        <v>#REF!</v>
      </c>
      <c r="FN190" t="e">
        <f>AND(#REF!,"AAAAAGz/e6k=")</f>
        <v>#REF!</v>
      </c>
      <c r="FO190" t="e">
        <f>AND(#REF!,"AAAAAGz/e6o=")</f>
        <v>#REF!</v>
      </c>
      <c r="FP190" t="e">
        <f>AND(#REF!,"AAAAAGz/e6s=")</f>
        <v>#REF!</v>
      </c>
      <c r="FQ190" t="e">
        <f>AND(#REF!,"AAAAAGz/e6w=")</f>
        <v>#REF!</v>
      </c>
      <c r="FR190" t="e">
        <f>AND(#REF!,"AAAAAGz/e60=")</f>
        <v>#REF!</v>
      </c>
      <c r="FS190" t="e">
        <f>AND(#REF!,"AAAAAGz/e64=")</f>
        <v>#REF!</v>
      </c>
      <c r="FT190" t="e">
        <f>AND(#REF!,"AAAAAGz/e68=")</f>
        <v>#REF!</v>
      </c>
      <c r="FU190" t="e">
        <f>IF(#REF!,"AAAAAGz/e7A=",0)</f>
        <v>#REF!</v>
      </c>
      <c r="FV190" t="e">
        <f>AND(#REF!,"AAAAAGz/e7E=")</f>
        <v>#REF!</v>
      </c>
      <c r="FW190" t="e">
        <f>AND(#REF!,"AAAAAGz/e7I=")</f>
        <v>#REF!</v>
      </c>
      <c r="FX190" t="e">
        <f>AND(#REF!,"AAAAAGz/e7M=")</f>
        <v>#REF!</v>
      </c>
      <c r="FY190" t="e">
        <f>AND(#REF!,"AAAAAGz/e7Q=")</f>
        <v>#REF!</v>
      </c>
      <c r="FZ190" t="e">
        <f>AND(#REF!,"AAAAAGz/e7U=")</f>
        <v>#REF!</v>
      </c>
      <c r="GA190" t="e">
        <f>AND(#REF!,"AAAAAGz/e7Y=")</f>
        <v>#REF!</v>
      </c>
      <c r="GB190" t="e">
        <f>AND(#REF!,"AAAAAGz/e7c=")</f>
        <v>#REF!</v>
      </c>
      <c r="GC190" t="e">
        <f>AND(#REF!,"AAAAAGz/e7g=")</f>
        <v>#REF!</v>
      </c>
      <c r="GD190" t="e">
        <f>AND(#REF!,"AAAAAGz/e7k=")</f>
        <v>#REF!</v>
      </c>
      <c r="GE190" t="e">
        <f>AND(#REF!,"AAAAAGz/e7o=")</f>
        <v>#REF!</v>
      </c>
      <c r="GF190" t="e">
        <f>AND(#REF!,"AAAAAGz/e7s=")</f>
        <v>#REF!</v>
      </c>
      <c r="GG190" t="e">
        <f>AND(#REF!,"AAAAAGz/e7w=")</f>
        <v>#REF!</v>
      </c>
      <c r="GH190" t="e">
        <f>AND(#REF!,"AAAAAGz/e70=")</f>
        <v>#REF!</v>
      </c>
      <c r="GI190" t="e">
        <f>AND(#REF!,"AAAAAGz/e74=")</f>
        <v>#REF!</v>
      </c>
      <c r="GJ190" t="e">
        <f>AND(#REF!,"AAAAAGz/e78=")</f>
        <v>#REF!</v>
      </c>
      <c r="GK190" t="e">
        <f>AND(#REF!,"AAAAAGz/e8A=")</f>
        <v>#REF!</v>
      </c>
      <c r="GL190" t="e">
        <f>AND(#REF!,"AAAAAGz/e8E=")</f>
        <v>#REF!</v>
      </c>
      <c r="GM190" t="e">
        <f>AND(#REF!,"AAAAAGz/e8I=")</f>
        <v>#REF!</v>
      </c>
      <c r="GN190" t="e">
        <f>AND(#REF!,"AAAAAGz/e8M=")</f>
        <v>#REF!</v>
      </c>
      <c r="GO190" t="e">
        <f>AND(#REF!,"AAAAAGz/e8Q=")</f>
        <v>#REF!</v>
      </c>
      <c r="GP190" t="e">
        <f>AND(#REF!,"AAAAAGz/e8U=")</f>
        <v>#REF!</v>
      </c>
      <c r="GQ190" t="e">
        <f>AND(#REF!,"AAAAAGz/e8Y=")</f>
        <v>#REF!</v>
      </c>
      <c r="GR190" t="e">
        <f>AND(#REF!,"AAAAAGz/e8c=")</f>
        <v>#REF!</v>
      </c>
      <c r="GS190" t="e">
        <f>AND(#REF!,"AAAAAGz/e8g=")</f>
        <v>#REF!</v>
      </c>
      <c r="GT190" t="e">
        <f>IF(#REF!,"AAAAAGz/e8k=",0)</f>
        <v>#REF!</v>
      </c>
      <c r="GU190" t="e">
        <f>AND(#REF!,"AAAAAGz/e8o=")</f>
        <v>#REF!</v>
      </c>
      <c r="GV190" t="e">
        <f>AND(#REF!,"AAAAAGz/e8s=")</f>
        <v>#REF!</v>
      </c>
      <c r="GW190" t="e">
        <f>AND(#REF!,"AAAAAGz/e8w=")</f>
        <v>#REF!</v>
      </c>
      <c r="GX190" t="e">
        <f>AND(#REF!,"AAAAAGz/e80=")</f>
        <v>#REF!</v>
      </c>
      <c r="GY190" t="e">
        <f>AND(#REF!,"AAAAAGz/e84=")</f>
        <v>#REF!</v>
      </c>
      <c r="GZ190" t="e">
        <f>AND(#REF!,"AAAAAGz/e88=")</f>
        <v>#REF!</v>
      </c>
      <c r="HA190" t="e">
        <f>AND(#REF!,"AAAAAGz/e9A=")</f>
        <v>#REF!</v>
      </c>
      <c r="HB190" t="e">
        <f>AND(#REF!,"AAAAAGz/e9E=")</f>
        <v>#REF!</v>
      </c>
      <c r="HC190" t="e">
        <f>AND(#REF!,"AAAAAGz/e9I=")</f>
        <v>#REF!</v>
      </c>
      <c r="HD190" t="e">
        <f>AND(#REF!,"AAAAAGz/e9M=")</f>
        <v>#REF!</v>
      </c>
      <c r="HE190" t="e">
        <f>AND(#REF!,"AAAAAGz/e9Q=")</f>
        <v>#REF!</v>
      </c>
      <c r="HF190" t="e">
        <f>AND(#REF!,"AAAAAGz/e9U=")</f>
        <v>#REF!</v>
      </c>
      <c r="HG190" t="e">
        <f>AND(#REF!,"AAAAAGz/e9Y=")</f>
        <v>#REF!</v>
      </c>
      <c r="HH190" t="e">
        <f>AND(#REF!,"AAAAAGz/e9c=")</f>
        <v>#REF!</v>
      </c>
      <c r="HI190" t="e">
        <f>AND(#REF!,"AAAAAGz/e9g=")</f>
        <v>#REF!</v>
      </c>
      <c r="HJ190" t="e">
        <f>AND(#REF!,"AAAAAGz/e9k=")</f>
        <v>#REF!</v>
      </c>
      <c r="HK190" t="e">
        <f>AND(#REF!,"AAAAAGz/e9o=")</f>
        <v>#REF!</v>
      </c>
      <c r="HL190" t="e">
        <f>AND(#REF!,"AAAAAGz/e9s=")</f>
        <v>#REF!</v>
      </c>
      <c r="HM190" t="e">
        <f>AND(#REF!,"AAAAAGz/e9w=")</f>
        <v>#REF!</v>
      </c>
      <c r="HN190" t="e">
        <f>AND(#REF!,"AAAAAGz/e90=")</f>
        <v>#REF!</v>
      </c>
      <c r="HO190" t="e">
        <f>AND(#REF!,"AAAAAGz/e94=")</f>
        <v>#REF!</v>
      </c>
      <c r="HP190" t="e">
        <f>AND(#REF!,"AAAAAGz/e98=")</f>
        <v>#REF!</v>
      </c>
      <c r="HQ190" t="e">
        <f>AND(#REF!,"AAAAAGz/e+A=")</f>
        <v>#REF!</v>
      </c>
      <c r="HR190" t="e">
        <f>AND(#REF!,"AAAAAGz/e+E=")</f>
        <v>#REF!</v>
      </c>
      <c r="HS190" t="e">
        <f>IF(#REF!,"AAAAAGz/e+I=",0)</f>
        <v>#REF!</v>
      </c>
      <c r="HT190" t="e">
        <f>AND(#REF!,"AAAAAGz/e+M=")</f>
        <v>#REF!</v>
      </c>
      <c r="HU190" t="e">
        <f>AND(#REF!,"AAAAAGz/e+Q=")</f>
        <v>#REF!</v>
      </c>
      <c r="HV190" t="e">
        <f>AND(#REF!,"AAAAAGz/e+U=")</f>
        <v>#REF!</v>
      </c>
      <c r="HW190" t="e">
        <f>AND(#REF!,"AAAAAGz/e+Y=")</f>
        <v>#REF!</v>
      </c>
      <c r="HX190" t="e">
        <f>AND(#REF!,"AAAAAGz/e+c=")</f>
        <v>#REF!</v>
      </c>
      <c r="HY190" t="e">
        <f>AND(#REF!,"AAAAAGz/e+g=")</f>
        <v>#REF!</v>
      </c>
      <c r="HZ190" t="e">
        <f>AND(#REF!,"AAAAAGz/e+k=")</f>
        <v>#REF!</v>
      </c>
      <c r="IA190" t="e">
        <f>AND(#REF!,"AAAAAGz/e+o=")</f>
        <v>#REF!</v>
      </c>
      <c r="IB190" t="e">
        <f>AND(#REF!,"AAAAAGz/e+s=")</f>
        <v>#REF!</v>
      </c>
      <c r="IC190" t="e">
        <f>AND(#REF!,"AAAAAGz/e+w=")</f>
        <v>#REF!</v>
      </c>
      <c r="ID190" t="e">
        <f>AND(#REF!,"AAAAAGz/e+0=")</f>
        <v>#REF!</v>
      </c>
      <c r="IE190" t="e">
        <f>AND(#REF!,"AAAAAGz/e+4=")</f>
        <v>#REF!</v>
      </c>
      <c r="IF190" t="e">
        <f>AND(#REF!,"AAAAAGz/e+8=")</f>
        <v>#REF!</v>
      </c>
      <c r="IG190" t="e">
        <f>AND(#REF!,"AAAAAGz/e/A=")</f>
        <v>#REF!</v>
      </c>
      <c r="IH190" t="e">
        <f>AND(#REF!,"AAAAAGz/e/E=")</f>
        <v>#REF!</v>
      </c>
      <c r="II190" t="e">
        <f>AND(#REF!,"AAAAAGz/e/I=")</f>
        <v>#REF!</v>
      </c>
      <c r="IJ190" t="e">
        <f>AND(#REF!,"AAAAAGz/e/M=")</f>
        <v>#REF!</v>
      </c>
      <c r="IK190" t="e">
        <f>AND(#REF!,"AAAAAGz/e/Q=")</f>
        <v>#REF!</v>
      </c>
      <c r="IL190" t="e">
        <f>AND(#REF!,"AAAAAGz/e/U=")</f>
        <v>#REF!</v>
      </c>
      <c r="IM190" t="e">
        <f>AND(#REF!,"AAAAAGz/e/Y=")</f>
        <v>#REF!</v>
      </c>
      <c r="IN190" t="e">
        <f>AND(#REF!,"AAAAAGz/e/c=")</f>
        <v>#REF!</v>
      </c>
      <c r="IO190" t="e">
        <f>AND(#REF!,"AAAAAGz/e/g=")</f>
        <v>#REF!</v>
      </c>
      <c r="IP190" t="e">
        <f>AND(#REF!,"AAAAAGz/e/k=")</f>
        <v>#REF!</v>
      </c>
      <c r="IQ190" t="e">
        <f>AND(#REF!,"AAAAAGz/e/o=")</f>
        <v>#REF!</v>
      </c>
      <c r="IR190" t="e">
        <f>IF(#REF!,"AAAAAGz/e/s=",0)</f>
        <v>#REF!</v>
      </c>
      <c r="IS190" t="e">
        <f>AND(#REF!,"AAAAAGz/e/w=")</f>
        <v>#REF!</v>
      </c>
      <c r="IT190" t="e">
        <f>AND(#REF!,"AAAAAGz/e/0=")</f>
        <v>#REF!</v>
      </c>
      <c r="IU190" t="e">
        <f>AND(#REF!,"AAAAAGz/e/4=")</f>
        <v>#REF!</v>
      </c>
      <c r="IV190" t="e">
        <f>AND(#REF!,"AAAAAGz/e/8=")</f>
        <v>#REF!</v>
      </c>
    </row>
    <row r="191" spans="1:256">
      <c r="A191" t="e">
        <f>AND(#REF!,"AAAAAF6/eAA=")</f>
        <v>#REF!</v>
      </c>
      <c r="B191" t="e">
        <f>AND(#REF!,"AAAAAF6/eAE=")</f>
        <v>#REF!</v>
      </c>
      <c r="C191" t="e">
        <f>AND(#REF!,"AAAAAF6/eAI=")</f>
        <v>#REF!</v>
      </c>
      <c r="D191" t="e">
        <f>AND(#REF!,"AAAAAF6/eAM=")</f>
        <v>#REF!</v>
      </c>
      <c r="E191" t="e">
        <f>AND(#REF!,"AAAAAF6/eAQ=")</f>
        <v>#REF!</v>
      </c>
      <c r="F191" t="e">
        <f>AND(#REF!,"AAAAAF6/eAU=")</f>
        <v>#REF!</v>
      </c>
      <c r="G191" t="e">
        <f>AND(#REF!,"AAAAAF6/eAY=")</f>
        <v>#REF!</v>
      </c>
      <c r="H191" t="e">
        <f>AND(#REF!,"AAAAAF6/eAc=")</f>
        <v>#REF!</v>
      </c>
      <c r="I191" t="e">
        <f>AND(#REF!,"AAAAAF6/eAg=")</f>
        <v>#REF!</v>
      </c>
      <c r="J191" t="e">
        <f>AND(#REF!,"AAAAAF6/eAk=")</f>
        <v>#REF!</v>
      </c>
      <c r="K191" t="e">
        <f>AND(#REF!,"AAAAAF6/eAo=")</f>
        <v>#REF!</v>
      </c>
      <c r="L191" t="e">
        <f>AND(#REF!,"AAAAAF6/eAs=")</f>
        <v>#REF!</v>
      </c>
      <c r="M191" t="e">
        <f>AND(#REF!,"AAAAAF6/eAw=")</f>
        <v>#REF!</v>
      </c>
      <c r="N191" t="e">
        <f>AND(#REF!,"AAAAAF6/eA0=")</f>
        <v>#REF!</v>
      </c>
      <c r="O191" t="e">
        <f>AND(#REF!,"AAAAAF6/eA4=")</f>
        <v>#REF!</v>
      </c>
      <c r="P191" t="e">
        <f>AND(#REF!,"AAAAAF6/eA8=")</f>
        <v>#REF!</v>
      </c>
      <c r="Q191" t="e">
        <f>AND(#REF!,"AAAAAF6/eBA=")</f>
        <v>#REF!</v>
      </c>
      <c r="R191" t="e">
        <f>AND(#REF!,"AAAAAF6/eBE=")</f>
        <v>#REF!</v>
      </c>
      <c r="S191" t="e">
        <f>AND(#REF!,"AAAAAF6/eBI=")</f>
        <v>#REF!</v>
      </c>
      <c r="T191" t="e">
        <f>AND(#REF!,"AAAAAF6/eBM=")</f>
        <v>#REF!</v>
      </c>
      <c r="U191" t="e">
        <f>IF(#REF!,"AAAAAF6/eBQ=",0)</f>
        <v>#REF!</v>
      </c>
      <c r="V191" t="e">
        <f>AND(#REF!,"AAAAAF6/eBU=")</f>
        <v>#REF!</v>
      </c>
      <c r="W191" t="e">
        <f>AND(#REF!,"AAAAAF6/eBY=")</f>
        <v>#REF!</v>
      </c>
      <c r="X191" t="e">
        <f>AND(#REF!,"AAAAAF6/eBc=")</f>
        <v>#REF!</v>
      </c>
      <c r="Y191" t="e">
        <f>AND(#REF!,"AAAAAF6/eBg=")</f>
        <v>#REF!</v>
      </c>
      <c r="Z191" t="e">
        <f>AND(#REF!,"AAAAAF6/eBk=")</f>
        <v>#REF!</v>
      </c>
      <c r="AA191" t="e">
        <f>AND(#REF!,"AAAAAF6/eBo=")</f>
        <v>#REF!</v>
      </c>
      <c r="AB191" t="e">
        <f>AND(#REF!,"AAAAAF6/eBs=")</f>
        <v>#REF!</v>
      </c>
      <c r="AC191" t="e">
        <f>AND(#REF!,"AAAAAF6/eBw=")</f>
        <v>#REF!</v>
      </c>
      <c r="AD191" t="e">
        <f>AND(#REF!,"AAAAAF6/eB0=")</f>
        <v>#REF!</v>
      </c>
      <c r="AE191" t="e">
        <f>AND(#REF!,"AAAAAF6/eB4=")</f>
        <v>#REF!</v>
      </c>
      <c r="AF191" t="e">
        <f>AND(#REF!,"AAAAAF6/eB8=")</f>
        <v>#REF!</v>
      </c>
      <c r="AG191" t="e">
        <f>AND(#REF!,"AAAAAF6/eCA=")</f>
        <v>#REF!</v>
      </c>
      <c r="AH191" t="e">
        <f>AND(#REF!,"AAAAAF6/eCE=")</f>
        <v>#REF!</v>
      </c>
      <c r="AI191" t="e">
        <f>AND(#REF!,"AAAAAF6/eCI=")</f>
        <v>#REF!</v>
      </c>
      <c r="AJ191" t="e">
        <f>AND(#REF!,"AAAAAF6/eCM=")</f>
        <v>#REF!</v>
      </c>
      <c r="AK191" t="e">
        <f>AND(#REF!,"AAAAAF6/eCQ=")</f>
        <v>#REF!</v>
      </c>
      <c r="AL191" t="e">
        <f>AND(#REF!,"AAAAAF6/eCU=")</f>
        <v>#REF!</v>
      </c>
      <c r="AM191" t="e">
        <f>AND(#REF!,"AAAAAF6/eCY=")</f>
        <v>#REF!</v>
      </c>
      <c r="AN191" t="e">
        <f>AND(#REF!,"AAAAAF6/eCc=")</f>
        <v>#REF!</v>
      </c>
      <c r="AO191" t="e">
        <f>AND(#REF!,"AAAAAF6/eCg=")</f>
        <v>#REF!</v>
      </c>
      <c r="AP191" t="e">
        <f>AND(#REF!,"AAAAAF6/eCk=")</f>
        <v>#REF!</v>
      </c>
      <c r="AQ191" t="e">
        <f>AND(#REF!,"AAAAAF6/eCo=")</f>
        <v>#REF!</v>
      </c>
      <c r="AR191" t="e">
        <f>AND(#REF!,"AAAAAF6/eCs=")</f>
        <v>#REF!</v>
      </c>
      <c r="AS191" t="e">
        <f>AND(#REF!,"AAAAAF6/eCw=")</f>
        <v>#REF!</v>
      </c>
      <c r="AT191" t="e">
        <f>IF(#REF!,"AAAAAF6/eC0=",0)</f>
        <v>#REF!</v>
      </c>
      <c r="AU191" t="e">
        <f>AND(#REF!,"AAAAAF6/eC4=")</f>
        <v>#REF!</v>
      </c>
      <c r="AV191" t="e">
        <f>AND(#REF!,"AAAAAF6/eC8=")</f>
        <v>#REF!</v>
      </c>
      <c r="AW191" t="e">
        <f>AND(#REF!,"AAAAAF6/eDA=")</f>
        <v>#REF!</v>
      </c>
      <c r="AX191" t="e">
        <f>AND(#REF!,"AAAAAF6/eDE=")</f>
        <v>#REF!</v>
      </c>
      <c r="AY191" t="e">
        <f>AND(#REF!,"AAAAAF6/eDI=")</f>
        <v>#REF!</v>
      </c>
      <c r="AZ191" t="e">
        <f>AND(#REF!,"AAAAAF6/eDM=")</f>
        <v>#REF!</v>
      </c>
      <c r="BA191" t="e">
        <f>AND(#REF!,"AAAAAF6/eDQ=")</f>
        <v>#REF!</v>
      </c>
      <c r="BB191" t="e">
        <f>AND(#REF!,"AAAAAF6/eDU=")</f>
        <v>#REF!</v>
      </c>
      <c r="BC191" t="e">
        <f>AND(#REF!,"AAAAAF6/eDY=")</f>
        <v>#REF!</v>
      </c>
      <c r="BD191" t="e">
        <f>AND(#REF!,"AAAAAF6/eDc=")</f>
        <v>#REF!</v>
      </c>
      <c r="BE191" t="e">
        <f>AND(#REF!,"AAAAAF6/eDg=")</f>
        <v>#REF!</v>
      </c>
      <c r="BF191" t="e">
        <f>AND(#REF!,"AAAAAF6/eDk=")</f>
        <v>#REF!</v>
      </c>
      <c r="BG191" t="e">
        <f>AND(#REF!,"AAAAAF6/eDo=")</f>
        <v>#REF!</v>
      </c>
      <c r="BH191" t="e">
        <f>AND(#REF!,"AAAAAF6/eDs=")</f>
        <v>#REF!</v>
      </c>
      <c r="BI191" t="e">
        <f>AND(#REF!,"AAAAAF6/eDw=")</f>
        <v>#REF!</v>
      </c>
      <c r="BJ191" t="e">
        <f>AND(#REF!,"AAAAAF6/eD0=")</f>
        <v>#REF!</v>
      </c>
      <c r="BK191" t="e">
        <f>AND(#REF!,"AAAAAF6/eD4=")</f>
        <v>#REF!</v>
      </c>
      <c r="BL191" t="e">
        <f>AND(#REF!,"AAAAAF6/eD8=")</f>
        <v>#REF!</v>
      </c>
      <c r="BM191" t="e">
        <f>AND(#REF!,"AAAAAF6/eEA=")</f>
        <v>#REF!</v>
      </c>
      <c r="BN191" t="e">
        <f>AND(#REF!,"AAAAAF6/eEE=")</f>
        <v>#REF!</v>
      </c>
      <c r="BO191" t="e">
        <f>AND(#REF!,"AAAAAF6/eEI=")</f>
        <v>#REF!</v>
      </c>
      <c r="BP191" t="e">
        <f>AND(#REF!,"AAAAAF6/eEM=")</f>
        <v>#REF!</v>
      </c>
      <c r="BQ191" t="e">
        <f>AND(#REF!,"AAAAAF6/eEQ=")</f>
        <v>#REF!</v>
      </c>
      <c r="BR191" t="e">
        <f>AND(#REF!,"AAAAAF6/eEU=")</f>
        <v>#REF!</v>
      </c>
      <c r="BS191" t="e">
        <f>IF(#REF!,"AAAAAF6/eEY=",0)</f>
        <v>#REF!</v>
      </c>
      <c r="BT191" t="e">
        <f>AND(#REF!,"AAAAAF6/eEc=")</f>
        <v>#REF!</v>
      </c>
      <c r="BU191" t="e">
        <f>AND(#REF!,"AAAAAF6/eEg=")</f>
        <v>#REF!</v>
      </c>
      <c r="BV191" t="e">
        <f>AND(#REF!,"AAAAAF6/eEk=")</f>
        <v>#REF!</v>
      </c>
      <c r="BW191" t="e">
        <f>AND(#REF!,"AAAAAF6/eEo=")</f>
        <v>#REF!</v>
      </c>
      <c r="BX191" t="e">
        <f>AND(#REF!,"AAAAAF6/eEs=")</f>
        <v>#REF!</v>
      </c>
      <c r="BY191" t="e">
        <f>AND(#REF!,"AAAAAF6/eEw=")</f>
        <v>#REF!</v>
      </c>
      <c r="BZ191" t="e">
        <f>AND(#REF!,"AAAAAF6/eE0=")</f>
        <v>#REF!</v>
      </c>
      <c r="CA191" t="e">
        <f>AND(#REF!,"AAAAAF6/eE4=")</f>
        <v>#REF!</v>
      </c>
      <c r="CB191" t="e">
        <f>AND(#REF!,"AAAAAF6/eE8=")</f>
        <v>#REF!</v>
      </c>
      <c r="CC191" t="e">
        <f>AND(#REF!,"AAAAAF6/eFA=")</f>
        <v>#REF!</v>
      </c>
      <c r="CD191" t="e">
        <f>AND(#REF!,"AAAAAF6/eFE=")</f>
        <v>#REF!</v>
      </c>
      <c r="CE191" t="e">
        <f>AND(#REF!,"AAAAAF6/eFI=")</f>
        <v>#REF!</v>
      </c>
      <c r="CF191" t="e">
        <f>AND(#REF!,"AAAAAF6/eFM=")</f>
        <v>#REF!</v>
      </c>
      <c r="CG191" t="e">
        <f>AND(#REF!,"AAAAAF6/eFQ=")</f>
        <v>#REF!</v>
      </c>
      <c r="CH191" t="e">
        <f>AND(#REF!,"AAAAAF6/eFU=")</f>
        <v>#REF!</v>
      </c>
      <c r="CI191" t="e">
        <f>AND(#REF!,"AAAAAF6/eFY=")</f>
        <v>#REF!</v>
      </c>
      <c r="CJ191" t="e">
        <f>AND(#REF!,"AAAAAF6/eFc=")</f>
        <v>#REF!</v>
      </c>
      <c r="CK191" t="e">
        <f>AND(#REF!,"AAAAAF6/eFg=")</f>
        <v>#REF!</v>
      </c>
      <c r="CL191" t="e">
        <f>AND(#REF!,"AAAAAF6/eFk=")</f>
        <v>#REF!</v>
      </c>
      <c r="CM191" t="e">
        <f>AND(#REF!,"AAAAAF6/eFo=")</f>
        <v>#REF!</v>
      </c>
      <c r="CN191" t="e">
        <f>AND(#REF!,"AAAAAF6/eFs=")</f>
        <v>#REF!</v>
      </c>
      <c r="CO191" t="e">
        <f>AND(#REF!,"AAAAAF6/eFw=")</f>
        <v>#REF!</v>
      </c>
      <c r="CP191" t="e">
        <f>AND(#REF!,"AAAAAF6/eF0=")</f>
        <v>#REF!</v>
      </c>
      <c r="CQ191" t="e">
        <f>AND(#REF!,"AAAAAF6/eF4=")</f>
        <v>#REF!</v>
      </c>
      <c r="CR191" t="e">
        <f>IF(#REF!,"AAAAAF6/eF8=",0)</f>
        <v>#REF!</v>
      </c>
      <c r="CS191" t="e">
        <f>AND(#REF!,"AAAAAF6/eGA=")</f>
        <v>#REF!</v>
      </c>
      <c r="CT191" t="e">
        <f>AND(#REF!,"AAAAAF6/eGE=")</f>
        <v>#REF!</v>
      </c>
      <c r="CU191" t="e">
        <f>AND(#REF!,"AAAAAF6/eGI=")</f>
        <v>#REF!</v>
      </c>
      <c r="CV191" t="e">
        <f>AND(#REF!,"AAAAAF6/eGM=")</f>
        <v>#REF!</v>
      </c>
      <c r="CW191" t="e">
        <f>AND(#REF!,"AAAAAF6/eGQ=")</f>
        <v>#REF!</v>
      </c>
      <c r="CX191" t="e">
        <f>AND(#REF!,"AAAAAF6/eGU=")</f>
        <v>#REF!</v>
      </c>
      <c r="CY191" t="e">
        <f>AND(#REF!,"AAAAAF6/eGY=")</f>
        <v>#REF!</v>
      </c>
      <c r="CZ191" t="e">
        <f>AND(#REF!,"AAAAAF6/eGc=")</f>
        <v>#REF!</v>
      </c>
      <c r="DA191" t="e">
        <f>AND(#REF!,"AAAAAF6/eGg=")</f>
        <v>#REF!</v>
      </c>
      <c r="DB191" t="e">
        <f>AND(#REF!,"AAAAAF6/eGk=")</f>
        <v>#REF!</v>
      </c>
      <c r="DC191" t="e">
        <f>AND(#REF!,"AAAAAF6/eGo=")</f>
        <v>#REF!</v>
      </c>
      <c r="DD191" t="e">
        <f>AND(#REF!,"AAAAAF6/eGs=")</f>
        <v>#REF!</v>
      </c>
      <c r="DE191" t="e">
        <f>AND(#REF!,"AAAAAF6/eGw=")</f>
        <v>#REF!</v>
      </c>
      <c r="DF191" t="e">
        <f>AND(#REF!,"AAAAAF6/eG0=")</f>
        <v>#REF!</v>
      </c>
      <c r="DG191" t="e">
        <f>AND(#REF!,"AAAAAF6/eG4=")</f>
        <v>#REF!</v>
      </c>
      <c r="DH191" t="e">
        <f>AND(#REF!,"AAAAAF6/eG8=")</f>
        <v>#REF!</v>
      </c>
      <c r="DI191" t="e">
        <f>AND(#REF!,"AAAAAF6/eHA=")</f>
        <v>#REF!</v>
      </c>
      <c r="DJ191" t="e">
        <f>AND(#REF!,"AAAAAF6/eHE=")</f>
        <v>#REF!</v>
      </c>
      <c r="DK191" t="e">
        <f>AND(#REF!,"AAAAAF6/eHI=")</f>
        <v>#REF!</v>
      </c>
      <c r="DL191" t="e">
        <f>AND(#REF!,"AAAAAF6/eHM=")</f>
        <v>#REF!</v>
      </c>
      <c r="DM191" t="e">
        <f>AND(#REF!,"AAAAAF6/eHQ=")</f>
        <v>#REF!</v>
      </c>
      <c r="DN191" t="e">
        <f>AND(#REF!,"AAAAAF6/eHU=")</f>
        <v>#REF!</v>
      </c>
      <c r="DO191" t="e">
        <f>AND(#REF!,"AAAAAF6/eHY=")</f>
        <v>#REF!</v>
      </c>
      <c r="DP191" t="e">
        <f>AND(#REF!,"AAAAAF6/eHc=")</f>
        <v>#REF!</v>
      </c>
      <c r="DQ191" t="e">
        <f>IF(#REF!,"AAAAAF6/eHg=",0)</f>
        <v>#REF!</v>
      </c>
      <c r="DR191" t="e">
        <f>AND(#REF!,"AAAAAF6/eHk=")</f>
        <v>#REF!</v>
      </c>
      <c r="DS191" t="e">
        <f>AND(#REF!,"AAAAAF6/eHo=")</f>
        <v>#REF!</v>
      </c>
      <c r="DT191" t="e">
        <f>AND(#REF!,"AAAAAF6/eHs=")</f>
        <v>#REF!</v>
      </c>
      <c r="DU191" t="e">
        <f>AND(#REF!,"AAAAAF6/eHw=")</f>
        <v>#REF!</v>
      </c>
      <c r="DV191" t="e">
        <f>AND(#REF!,"AAAAAF6/eH0=")</f>
        <v>#REF!</v>
      </c>
      <c r="DW191" t="e">
        <f>AND(#REF!,"AAAAAF6/eH4=")</f>
        <v>#REF!</v>
      </c>
      <c r="DX191" t="e">
        <f>AND(#REF!,"AAAAAF6/eH8=")</f>
        <v>#REF!</v>
      </c>
      <c r="DY191" t="e">
        <f>AND(#REF!,"AAAAAF6/eIA=")</f>
        <v>#REF!</v>
      </c>
      <c r="DZ191" t="e">
        <f>AND(#REF!,"AAAAAF6/eIE=")</f>
        <v>#REF!</v>
      </c>
      <c r="EA191" t="e">
        <f>AND(#REF!,"AAAAAF6/eII=")</f>
        <v>#REF!</v>
      </c>
      <c r="EB191" t="e">
        <f>AND(#REF!,"AAAAAF6/eIM=")</f>
        <v>#REF!</v>
      </c>
      <c r="EC191" t="e">
        <f>AND(#REF!,"AAAAAF6/eIQ=")</f>
        <v>#REF!</v>
      </c>
      <c r="ED191" t="e">
        <f>AND(#REF!,"AAAAAF6/eIU=")</f>
        <v>#REF!</v>
      </c>
      <c r="EE191" t="e">
        <f>AND(#REF!,"AAAAAF6/eIY=")</f>
        <v>#REF!</v>
      </c>
      <c r="EF191" t="e">
        <f>AND(#REF!,"AAAAAF6/eIc=")</f>
        <v>#REF!</v>
      </c>
      <c r="EG191" t="e">
        <f>AND(#REF!,"AAAAAF6/eIg=")</f>
        <v>#REF!</v>
      </c>
      <c r="EH191" t="e">
        <f>AND(#REF!,"AAAAAF6/eIk=")</f>
        <v>#REF!</v>
      </c>
      <c r="EI191" t="e">
        <f>AND(#REF!,"AAAAAF6/eIo=")</f>
        <v>#REF!</v>
      </c>
      <c r="EJ191" t="e">
        <f>AND(#REF!,"AAAAAF6/eIs=")</f>
        <v>#REF!</v>
      </c>
      <c r="EK191" t="e">
        <f>AND(#REF!,"AAAAAF6/eIw=")</f>
        <v>#REF!</v>
      </c>
      <c r="EL191" t="e">
        <f>AND(#REF!,"AAAAAF6/eI0=")</f>
        <v>#REF!</v>
      </c>
      <c r="EM191" t="e">
        <f>AND(#REF!,"AAAAAF6/eI4=")</f>
        <v>#REF!</v>
      </c>
      <c r="EN191" t="e">
        <f>AND(#REF!,"AAAAAF6/eI8=")</f>
        <v>#REF!</v>
      </c>
      <c r="EO191" t="e">
        <f>AND(#REF!,"AAAAAF6/eJA=")</f>
        <v>#REF!</v>
      </c>
      <c r="EP191" t="e">
        <f>IF(#REF!,"AAAAAF6/eJE=",0)</f>
        <v>#REF!</v>
      </c>
      <c r="EQ191" t="e">
        <f>AND(#REF!,"AAAAAF6/eJI=")</f>
        <v>#REF!</v>
      </c>
      <c r="ER191" t="e">
        <f>AND(#REF!,"AAAAAF6/eJM=")</f>
        <v>#REF!</v>
      </c>
      <c r="ES191" t="e">
        <f>AND(#REF!,"AAAAAF6/eJQ=")</f>
        <v>#REF!</v>
      </c>
      <c r="ET191" t="e">
        <f>AND(#REF!,"AAAAAF6/eJU=")</f>
        <v>#REF!</v>
      </c>
      <c r="EU191" t="e">
        <f>AND(#REF!,"AAAAAF6/eJY=")</f>
        <v>#REF!</v>
      </c>
      <c r="EV191" t="e">
        <f>AND(#REF!,"AAAAAF6/eJc=")</f>
        <v>#REF!</v>
      </c>
      <c r="EW191" t="e">
        <f>AND(#REF!,"AAAAAF6/eJg=")</f>
        <v>#REF!</v>
      </c>
      <c r="EX191" t="e">
        <f>AND(#REF!,"AAAAAF6/eJk=")</f>
        <v>#REF!</v>
      </c>
      <c r="EY191" t="e">
        <f>AND(#REF!,"AAAAAF6/eJo=")</f>
        <v>#REF!</v>
      </c>
      <c r="EZ191" t="e">
        <f>AND(#REF!,"AAAAAF6/eJs=")</f>
        <v>#REF!</v>
      </c>
      <c r="FA191" t="e">
        <f>AND(#REF!,"AAAAAF6/eJw=")</f>
        <v>#REF!</v>
      </c>
      <c r="FB191" t="e">
        <f>AND(#REF!,"AAAAAF6/eJ0=")</f>
        <v>#REF!</v>
      </c>
      <c r="FC191" t="e">
        <f>AND(#REF!,"AAAAAF6/eJ4=")</f>
        <v>#REF!</v>
      </c>
      <c r="FD191" t="e">
        <f>AND(#REF!,"AAAAAF6/eJ8=")</f>
        <v>#REF!</v>
      </c>
      <c r="FE191" t="e">
        <f>AND(#REF!,"AAAAAF6/eKA=")</f>
        <v>#REF!</v>
      </c>
      <c r="FF191" t="e">
        <f>AND(#REF!,"AAAAAF6/eKE=")</f>
        <v>#REF!</v>
      </c>
      <c r="FG191" t="e">
        <f>AND(#REF!,"AAAAAF6/eKI=")</f>
        <v>#REF!</v>
      </c>
      <c r="FH191" t="e">
        <f>AND(#REF!,"AAAAAF6/eKM=")</f>
        <v>#REF!</v>
      </c>
      <c r="FI191" t="e">
        <f>AND(#REF!,"AAAAAF6/eKQ=")</f>
        <v>#REF!</v>
      </c>
      <c r="FJ191" t="e">
        <f>AND(#REF!,"AAAAAF6/eKU=")</f>
        <v>#REF!</v>
      </c>
      <c r="FK191" t="e">
        <f>AND(#REF!,"AAAAAF6/eKY=")</f>
        <v>#REF!</v>
      </c>
      <c r="FL191" t="e">
        <f>AND(#REF!,"AAAAAF6/eKc=")</f>
        <v>#REF!</v>
      </c>
      <c r="FM191" t="e">
        <f>AND(#REF!,"AAAAAF6/eKg=")</f>
        <v>#REF!</v>
      </c>
      <c r="FN191" t="e">
        <f>AND(#REF!,"AAAAAF6/eKk=")</f>
        <v>#REF!</v>
      </c>
      <c r="FO191" t="e">
        <f>IF(#REF!,"AAAAAF6/eKo=",0)</f>
        <v>#REF!</v>
      </c>
      <c r="FP191" t="e">
        <f>AND(#REF!,"AAAAAF6/eKs=")</f>
        <v>#REF!</v>
      </c>
      <c r="FQ191" t="e">
        <f>AND(#REF!,"AAAAAF6/eKw=")</f>
        <v>#REF!</v>
      </c>
      <c r="FR191" t="e">
        <f>AND(#REF!,"AAAAAF6/eK0=")</f>
        <v>#REF!</v>
      </c>
      <c r="FS191" t="e">
        <f>AND(#REF!,"AAAAAF6/eK4=")</f>
        <v>#REF!</v>
      </c>
      <c r="FT191" t="e">
        <f>AND(#REF!,"AAAAAF6/eK8=")</f>
        <v>#REF!</v>
      </c>
      <c r="FU191" t="e">
        <f>AND(#REF!,"AAAAAF6/eLA=")</f>
        <v>#REF!</v>
      </c>
      <c r="FV191" t="e">
        <f>AND(#REF!,"AAAAAF6/eLE=")</f>
        <v>#REF!</v>
      </c>
      <c r="FW191" t="e">
        <f>AND(#REF!,"AAAAAF6/eLI=")</f>
        <v>#REF!</v>
      </c>
      <c r="FX191" t="e">
        <f>AND(#REF!,"AAAAAF6/eLM=")</f>
        <v>#REF!</v>
      </c>
      <c r="FY191" t="e">
        <f>AND(#REF!,"AAAAAF6/eLQ=")</f>
        <v>#REF!</v>
      </c>
      <c r="FZ191" t="e">
        <f>AND(#REF!,"AAAAAF6/eLU=")</f>
        <v>#REF!</v>
      </c>
      <c r="GA191" t="e">
        <f>AND(#REF!,"AAAAAF6/eLY=")</f>
        <v>#REF!</v>
      </c>
      <c r="GB191" t="e">
        <f>AND(#REF!,"AAAAAF6/eLc=")</f>
        <v>#REF!</v>
      </c>
      <c r="GC191" t="e">
        <f>AND(#REF!,"AAAAAF6/eLg=")</f>
        <v>#REF!</v>
      </c>
      <c r="GD191" t="e">
        <f>AND(#REF!,"AAAAAF6/eLk=")</f>
        <v>#REF!</v>
      </c>
      <c r="GE191" t="e">
        <f>AND(#REF!,"AAAAAF6/eLo=")</f>
        <v>#REF!</v>
      </c>
      <c r="GF191" t="e">
        <f>AND(#REF!,"AAAAAF6/eLs=")</f>
        <v>#REF!</v>
      </c>
      <c r="GG191" t="e">
        <f>AND(#REF!,"AAAAAF6/eLw=")</f>
        <v>#REF!</v>
      </c>
      <c r="GH191" t="e">
        <f>AND(#REF!,"AAAAAF6/eL0=")</f>
        <v>#REF!</v>
      </c>
      <c r="GI191" t="e">
        <f>AND(#REF!,"AAAAAF6/eL4=")</f>
        <v>#REF!</v>
      </c>
      <c r="GJ191" t="e">
        <f>AND(#REF!,"AAAAAF6/eL8=")</f>
        <v>#REF!</v>
      </c>
      <c r="GK191" t="e">
        <f>AND(#REF!,"AAAAAF6/eMA=")</f>
        <v>#REF!</v>
      </c>
      <c r="GL191" t="e">
        <f>AND(#REF!,"AAAAAF6/eME=")</f>
        <v>#REF!</v>
      </c>
      <c r="GM191" t="e">
        <f>AND(#REF!,"AAAAAF6/eMI=")</f>
        <v>#REF!</v>
      </c>
      <c r="GN191" t="e">
        <f>IF(#REF!,"AAAAAF6/eMM=",0)</f>
        <v>#REF!</v>
      </c>
      <c r="GO191" t="e">
        <f>AND(#REF!,"AAAAAF6/eMQ=")</f>
        <v>#REF!</v>
      </c>
      <c r="GP191" t="e">
        <f>AND(#REF!,"AAAAAF6/eMU=")</f>
        <v>#REF!</v>
      </c>
      <c r="GQ191" t="e">
        <f>AND(#REF!,"AAAAAF6/eMY=")</f>
        <v>#REF!</v>
      </c>
      <c r="GR191" t="e">
        <f>AND(#REF!,"AAAAAF6/eMc=")</f>
        <v>#REF!</v>
      </c>
      <c r="GS191" t="e">
        <f>AND(#REF!,"AAAAAF6/eMg=")</f>
        <v>#REF!</v>
      </c>
      <c r="GT191" t="e">
        <f>AND(#REF!,"AAAAAF6/eMk=")</f>
        <v>#REF!</v>
      </c>
      <c r="GU191" t="e">
        <f>AND(#REF!,"AAAAAF6/eMo=")</f>
        <v>#REF!</v>
      </c>
      <c r="GV191" t="e">
        <f>AND(#REF!,"AAAAAF6/eMs=")</f>
        <v>#REF!</v>
      </c>
      <c r="GW191" t="e">
        <f>AND(#REF!,"AAAAAF6/eMw=")</f>
        <v>#REF!</v>
      </c>
      <c r="GX191" t="e">
        <f>AND(#REF!,"AAAAAF6/eM0=")</f>
        <v>#REF!</v>
      </c>
      <c r="GY191" t="e">
        <f>AND(#REF!,"AAAAAF6/eM4=")</f>
        <v>#REF!</v>
      </c>
      <c r="GZ191" t="e">
        <f>AND(#REF!,"AAAAAF6/eM8=")</f>
        <v>#REF!</v>
      </c>
      <c r="HA191" t="e">
        <f>AND(#REF!,"AAAAAF6/eNA=")</f>
        <v>#REF!</v>
      </c>
      <c r="HB191" t="e">
        <f>AND(#REF!,"AAAAAF6/eNE=")</f>
        <v>#REF!</v>
      </c>
      <c r="HC191" t="e">
        <f>AND(#REF!,"AAAAAF6/eNI=")</f>
        <v>#REF!</v>
      </c>
      <c r="HD191" t="e">
        <f>AND(#REF!,"AAAAAF6/eNM=")</f>
        <v>#REF!</v>
      </c>
      <c r="HE191" t="e">
        <f>AND(#REF!,"AAAAAF6/eNQ=")</f>
        <v>#REF!</v>
      </c>
      <c r="HF191" t="e">
        <f>AND(#REF!,"AAAAAF6/eNU=")</f>
        <v>#REF!</v>
      </c>
      <c r="HG191" t="e">
        <f>AND(#REF!,"AAAAAF6/eNY=")</f>
        <v>#REF!</v>
      </c>
      <c r="HH191" t="e">
        <f>AND(#REF!,"AAAAAF6/eNc=")</f>
        <v>#REF!</v>
      </c>
      <c r="HI191" t="e">
        <f>AND(#REF!,"AAAAAF6/eNg=")</f>
        <v>#REF!</v>
      </c>
      <c r="HJ191" t="e">
        <f>AND(#REF!,"AAAAAF6/eNk=")</f>
        <v>#REF!</v>
      </c>
      <c r="HK191" t="e">
        <f>AND(#REF!,"AAAAAF6/eNo=")</f>
        <v>#REF!</v>
      </c>
      <c r="HL191" t="e">
        <f>AND(#REF!,"AAAAAF6/eNs=")</f>
        <v>#REF!</v>
      </c>
      <c r="HM191" t="e">
        <f>IF(#REF!,"AAAAAF6/eNw=",0)</f>
        <v>#REF!</v>
      </c>
      <c r="HN191" t="e">
        <f>AND(#REF!,"AAAAAF6/eN0=")</f>
        <v>#REF!</v>
      </c>
      <c r="HO191" t="e">
        <f>AND(#REF!,"AAAAAF6/eN4=")</f>
        <v>#REF!</v>
      </c>
      <c r="HP191" t="e">
        <f>AND(#REF!,"AAAAAF6/eN8=")</f>
        <v>#REF!</v>
      </c>
      <c r="HQ191" t="e">
        <f>AND(#REF!,"AAAAAF6/eOA=")</f>
        <v>#REF!</v>
      </c>
      <c r="HR191" t="e">
        <f>AND(#REF!,"AAAAAF6/eOE=")</f>
        <v>#REF!</v>
      </c>
      <c r="HS191" t="e">
        <f>AND(#REF!,"AAAAAF6/eOI=")</f>
        <v>#REF!</v>
      </c>
      <c r="HT191" t="e">
        <f>AND(#REF!,"AAAAAF6/eOM=")</f>
        <v>#REF!</v>
      </c>
      <c r="HU191" t="e">
        <f>AND(#REF!,"AAAAAF6/eOQ=")</f>
        <v>#REF!</v>
      </c>
      <c r="HV191" t="e">
        <f>AND(#REF!,"AAAAAF6/eOU=")</f>
        <v>#REF!</v>
      </c>
      <c r="HW191" t="e">
        <f>AND(#REF!,"AAAAAF6/eOY=")</f>
        <v>#REF!</v>
      </c>
      <c r="HX191" t="e">
        <f>AND(#REF!,"AAAAAF6/eOc=")</f>
        <v>#REF!</v>
      </c>
      <c r="HY191" t="e">
        <f>AND(#REF!,"AAAAAF6/eOg=")</f>
        <v>#REF!</v>
      </c>
      <c r="HZ191" t="e">
        <f>AND(#REF!,"AAAAAF6/eOk=")</f>
        <v>#REF!</v>
      </c>
      <c r="IA191" t="e">
        <f>AND(#REF!,"AAAAAF6/eOo=")</f>
        <v>#REF!</v>
      </c>
      <c r="IB191" t="e">
        <f>AND(#REF!,"AAAAAF6/eOs=")</f>
        <v>#REF!</v>
      </c>
      <c r="IC191" t="e">
        <f>AND(#REF!,"AAAAAF6/eOw=")</f>
        <v>#REF!</v>
      </c>
      <c r="ID191" t="e">
        <f>AND(#REF!,"AAAAAF6/eO0=")</f>
        <v>#REF!</v>
      </c>
      <c r="IE191" t="e">
        <f>AND(#REF!,"AAAAAF6/eO4=")</f>
        <v>#REF!</v>
      </c>
      <c r="IF191" t="e">
        <f>AND(#REF!,"AAAAAF6/eO8=")</f>
        <v>#REF!</v>
      </c>
      <c r="IG191" t="e">
        <f>AND(#REF!,"AAAAAF6/ePA=")</f>
        <v>#REF!</v>
      </c>
      <c r="IH191" t="e">
        <f>AND(#REF!,"AAAAAF6/ePE=")</f>
        <v>#REF!</v>
      </c>
      <c r="II191" t="e">
        <f>AND(#REF!,"AAAAAF6/ePI=")</f>
        <v>#REF!</v>
      </c>
      <c r="IJ191" t="e">
        <f>AND(#REF!,"AAAAAF6/ePM=")</f>
        <v>#REF!</v>
      </c>
      <c r="IK191" t="e">
        <f>AND(#REF!,"AAAAAF6/ePQ=")</f>
        <v>#REF!</v>
      </c>
      <c r="IL191" t="e">
        <f>IF(#REF!,"AAAAAF6/ePU=",0)</f>
        <v>#REF!</v>
      </c>
      <c r="IM191" t="e">
        <f>AND(#REF!,"AAAAAF6/ePY=")</f>
        <v>#REF!</v>
      </c>
      <c r="IN191" t="e">
        <f>AND(#REF!,"AAAAAF6/ePc=")</f>
        <v>#REF!</v>
      </c>
      <c r="IO191" t="e">
        <f>AND(#REF!,"AAAAAF6/ePg=")</f>
        <v>#REF!</v>
      </c>
      <c r="IP191" t="e">
        <f>AND(#REF!,"AAAAAF6/ePk=")</f>
        <v>#REF!</v>
      </c>
      <c r="IQ191" t="e">
        <f>AND(#REF!,"AAAAAF6/ePo=")</f>
        <v>#REF!</v>
      </c>
      <c r="IR191" t="e">
        <f>AND(#REF!,"AAAAAF6/ePs=")</f>
        <v>#REF!</v>
      </c>
      <c r="IS191" t="e">
        <f>AND(#REF!,"AAAAAF6/ePw=")</f>
        <v>#REF!</v>
      </c>
      <c r="IT191" t="e">
        <f>AND(#REF!,"AAAAAF6/eP0=")</f>
        <v>#REF!</v>
      </c>
      <c r="IU191" t="e">
        <f>AND(#REF!,"AAAAAF6/eP4=")</f>
        <v>#REF!</v>
      </c>
      <c r="IV191" t="e">
        <f>AND(#REF!,"AAAAAF6/eP8=")</f>
        <v>#REF!</v>
      </c>
    </row>
    <row r="192" spans="1:256">
      <c r="A192" t="e">
        <f>AND(#REF!,"AAAAAEv73wA=")</f>
        <v>#REF!</v>
      </c>
      <c r="B192" t="e">
        <f>AND(#REF!,"AAAAAEv73wE=")</f>
        <v>#REF!</v>
      </c>
      <c r="C192" t="e">
        <f>AND(#REF!,"AAAAAEv73wI=")</f>
        <v>#REF!</v>
      </c>
      <c r="D192" t="e">
        <f>AND(#REF!,"AAAAAEv73wM=")</f>
        <v>#REF!</v>
      </c>
      <c r="E192" t="e">
        <f>AND(#REF!,"AAAAAEv73wQ=")</f>
        <v>#REF!</v>
      </c>
      <c r="F192" t="e">
        <f>AND(#REF!,"AAAAAEv73wU=")</f>
        <v>#REF!</v>
      </c>
      <c r="G192" t="e">
        <f>AND(#REF!,"AAAAAEv73wY=")</f>
        <v>#REF!</v>
      </c>
      <c r="H192" t="e">
        <f>AND(#REF!,"AAAAAEv73wc=")</f>
        <v>#REF!</v>
      </c>
      <c r="I192" t="e">
        <f>AND(#REF!,"AAAAAEv73wg=")</f>
        <v>#REF!</v>
      </c>
      <c r="J192" t="e">
        <f>AND(#REF!,"AAAAAEv73wk=")</f>
        <v>#REF!</v>
      </c>
      <c r="K192" t="e">
        <f>AND(#REF!,"AAAAAEv73wo=")</f>
        <v>#REF!</v>
      </c>
      <c r="L192" t="e">
        <f>AND(#REF!,"AAAAAEv73ws=")</f>
        <v>#REF!</v>
      </c>
      <c r="M192" t="e">
        <f>AND(#REF!,"AAAAAEv73ww=")</f>
        <v>#REF!</v>
      </c>
      <c r="N192" t="e">
        <f>AND(#REF!,"AAAAAEv73w0=")</f>
        <v>#REF!</v>
      </c>
      <c r="O192" t="e">
        <f>IF(#REF!,"AAAAAEv73w4=",0)</f>
        <v>#REF!</v>
      </c>
      <c r="P192" t="e">
        <f>AND(#REF!,"AAAAAEv73w8=")</f>
        <v>#REF!</v>
      </c>
      <c r="Q192" t="e">
        <f>AND(#REF!,"AAAAAEv73xA=")</f>
        <v>#REF!</v>
      </c>
      <c r="R192" t="e">
        <f>AND(#REF!,"AAAAAEv73xE=")</f>
        <v>#REF!</v>
      </c>
      <c r="S192" t="e">
        <f>AND(#REF!,"AAAAAEv73xI=")</f>
        <v>#REF!</v>
      </c>
      <c r="T192" t="e">
        <f>AND(#REF!,"AAAAAEv73xM=")</f>
        <v>#REF!</v>
      </c>
      <c r="U192" t="e">
        <f>AND(#REF!,"AAAAAEv73xQ=")</f>
        <v>#REF!</v>
      </c>
      <c r="V192" t="e">
        <f>AND(#REF!,"AAAAAEv73xU=")</f>
        <v>#REF!</v>
      </c>
      <c r="W192" t="e">
        <f>AND(#REF!,"AAAAAEv73xY=")</f>
        <v>#REF!</v>
      </c>
      <c r="X192" t="e">
        <f>AND(#REF!,"AAAAAEv73xc=")</f>
        <v>#REF!</v>
      </c>
      <c r="Y192" t="e">
        <f>AND(#REF!,"AAAAAEv73xg=")</f>
        <v>#REF!</v>
      </c>
      <c r="Z192" t="e">
        <f>AND(#REF!,"AAAAAEv73xk=")</f>
        <v>#REF!</v>
      </c>
      <c r="AA192" t="e">
        <f>AND(#REF!,"AAAAAEv73xo=")</f>
        <v>#REF!</v>
      </c>
      <c r="AB192" t="e">
        <f>AND(#REF!,"AAAAAEv73xs=")</f>
        <v>#REF!</v>
      </c>
      <c r="AC192" t="e">
        <f>AND(#REF!,"AAAAAEv73xw=")</f>
        <v>#REF!</v>
      </c>
      <c r="AD192" t="e">
        <f>AND(#REF!,"AAAAAEv73x0=")</f>
        <v>#REF!</v>
      </c>
      <c r="AE192" t="e">
        <f>AND(#REF!,"AAAAAEv73x4=")</f>
        <v>#REF!</v>
      </c>
      <c r="AF192" t="e">
        <f>AND(#REF!,"AAAAAEv73x8=")</f>
        <v>#REF!</v>
      </c>
      <c r="AG192" t="e">
        <f>AND(#REF!,"AAAAAEv73yA=")</f>
        <v>#REF!</v>
      </c>
      <c r="AH192" t="e">
        <f>AND(#REF!,"AAAAAEv73yE=")</f>
        <v>#REF!</v>
      </c>
      <c r="AI192" t="e">
        <f>AND(#REF!,"AAAAAEv73yI=")</f>
        <v>#REF!</v>
      </c>
      <c r="AJ192" t="e">
        <f>AND(#REF!,"AAAAAEv73yM=")</f>
        <v>#REF!</v>
      </c>
      <c r="AK192" t="e">
        <f>AND(#REF!,"AAAAAEv73yQ=")</f>
        <v>#REF!</v>
      </c>
      <c r="AL192" t="e">
        <f>AND(#REF!,"AAAAAEv73yU=")</f>
        <v>#REF!</v>
      </c>
      <c r="AM192" t="e">
        <f>AND(#REF!,"AAAAAEv73yY=")</f>
        <v>#REF!</v>
      </c>
      <c r="AN192" t="e">
        <f>IF(#REF!,"AAAAAEv73yc=",0)</f>
        <v>#REF!</v>
      </c>
      <c r="AO192" t="e">
        <f>AND(#REF!,"AAAAAEv73yg=")</f>
        <v>#REF!</v>
      </c>
      <c r="AP192" t="e">
        <f>AND(#REF!,"AAAAAEv73yk=")</f>
        <v>#REF!</v>
      </c>
      <c r="AQ192" t="e">
        <f>AND(#REF!,"AAAAAEv73yo=")</f>
        <v>#REF!</v>
      </c>
      <c r="AR192" t="e">
        <f>AND(#REF!,"AAAAAEv73ys=")</f>
        <v>#REF!</v>
      </c>
      <c r="AS192" t="e">
        <f>AND(#REF!,"AAAAAEv73yw=")</f>
        <v>#REF!</v>
      </c>
      <c r="AT192" t="e">
        <f>AND(#REF!,"AAAAAEv73y0=")</f>
        <v>#REF!</v>
      </c>
      <c r="AU192" t="e">
        <f>AND(#REF!,"AAAAAEv73y4=")</f>
        <v>#REF!</v>
      </c>
      <c r="AV192" t="e">
        <f>AND(#REF!,"AAAAAEv73y8=")</f>
        <v>#REF!</v>
      </c>
      <c r="AW192" t="e">
        <f>AND(#REF!,"AAAAAEv73zA=")</f>
        <v>#REF!</v>
      </c>
      <c r="AX192" t="e">
        <f>AND(#REF!,"AAAAAEv73zE=")</f>
        <v>#REF!</v>
      </c>
      <c r="AY192" t="e">
        <f>AND(#REF!,"AAAAAEv73zI=")</f>
        <v>#REF!</v>
      </c>
      <c r="AZ192" t="e">
        <f>AND(#REF!,"AAAAAEv73zM=")</f>
        <v>#REF!</v>
      </c>
      <c r="BA192" t="e">
        <f>AND(#REF!,"AAAAAEv73zQ=")</f>
        <v>#REF!</v>
      </c>
      <c r="BB192" t="e">
        <f>AND(#REF!,"AAAAAEv73zU=")</f>
        <v>#REF!</v>
      </c>
      <c r="BC192" t="e">
        <f>AND(#REF!,"AAAAAEv73zY=")</f>
        <v>#REF!</v>
      </c>
      <c r="BD192" t="e">
        <f>AND(#REF!,"AAAAAEv73zc=")</f>
        <v>#REF!</v>
      </c>
      <c r="BE192" t="e">
        <f>AND(#REF!,"AAAAAEv73zg=")</f>
        <v>#REF!</v>
      </c>
      <c r="BF192" t="e">
        <f>AND(#REF!,"AAAAAEv73zk=")</f>
        <v>#REF!</v>
      </c>
      <c r="BG192" t="e">
        <f>AND(#REF!,"AAAAAEv73zo=")</f>
        <v>#REF!</v>
      </c>
      <c r="BH192" t="e">
        <f>AND(#REF!,"AAAAAEv73zs=")</f>
        <v>#REF!</v>
      </c>
      <c r="BI192" t="e">
        <f>AND(#REF!,"AAAAAEv73zw=")</f>
        <v>#REF!</v>
      </c>
      <c r="BJ192" t="e">
        <f>AND(#REF!,"AAAAAEv73z0=")</f>
        <v>#REF!</v>
      </c>
      <c r="BK192" t="e">
        <f>AND(#REF!,"AAAAAEv73z4=")</f>
        <v>#REF!</v>
      </c>
      <c r="BL192" t="e">
        <f>AND(#REF!,"AAAAAEv73z8=")</f>
        <v>#REF!</v>
      </c>
      <c r="BM192" t="e">
        <f>IF(#REF!,"AAAAAEv730A=",0)</f>
        <v>#REF!</v>
      </c>
      <c r="BN192" t="e">
        <f>AND(#REF!,"AAAAAEv730E=")</f>
        <v>#REF!</v>
      </c>
      <c r="BO192" t="e">
        <f>AND(#REF!,"AAAAAEv730I=")</f>
        <v>#REF!</v>
      </c>
      <c r="BP192" t="e">
        <f>AND(#REF!,"AAAAAEv730M=")</f>
        <v>#REF!</v>
      </c>
      <c r="BQ192" t="e">
        <f>AND(#REF!,"AAAAAEv730Q=")</f>
        <v>#REF!</v>
      </c>
      <c r="BR192" t="e">
        <f>AND(#REF!,"AAAAAEv730U=")</f>
        <v>#REF!</v>
      </c>
      <c r="BS192" t="e">
        <f>AND(#REF!,"AAAAAEv730Y=")</f>
        <v>#REF!</v>
      </c>
      <c r="BT192" t="e">
        <f>AND(#REF!,"AAAAAEv730c=")</f>
        <v>#REF!</v>
      </c>
      <c r="BU192" t="e">
        <f>AND(#REF!,"AAAAAEv730g=")</f>
        <v>#REF!</v>
      </c>
      <c r="BV192" t="e">
        <f>AND(#REF!,"AAAAAEv730k=")</f>
        <v>#REF!</v>
      </c>
      <c r="BW192" t="e">
        <f>AND(#REF!,"AAAAAEv730o=")</f>
        <v>#REF!</v>
      </c>
      <c r="BX192" t="e">
        <f>AND(#REF!,"AAAAAEv730s=")</f>
        <v>#REF!</v>
      </c>
      <c r="BY192" t="e">
        <f>AND(#REF!,"AAAAAEv730w=")</f>
        <v>#REF!</v>
      </c>
      <c r="BZ192" t="e">
        <f>AND(#REF!,"AAAAAEv7300=")</f>
        <v>#REF!</v>
      </c>
      <c r="CA192" t="e">
        <f>AND(#REF!,"AAAAAEv7304=")</f>
        <v>#REF!</v>
      </c>
      <c r="CB192" t="e">
        <f>AND(#REF!,"AAAAAEv7308=")</f>
        <v>#REF!</v>
      </c>
      <c r="CC192" t="e">
        <f>AND(#REF!,"AAAAAEv731A=")</f>
        <v>#REF!</v>
      </c>
      <c r="CD192" t="e">
        <f>AND(#REF!,"AAAAAEv731E=")</f>
        <v>#REF!</v>
      </c>
      <c r="CE192" t="e">
        <f>AND(#REF!,"AAAAAEv731I=")</f>
        <v>#REF!</v>
      </c>
      <c r="CF192" t="e">
        <f>AND(#REF!,"AAAAAEv731M=")</f>
        <v>#REF!</v>
      </c>
      <c r="CG192" t="e">
        <f>AND(#REF!,"AAAAAEv731Q=")</f>
        <v>#REF!</v>
      </c>
      <c r="CH192" t="e">
        <f>AND(#REF!,"AAAAAEv731U=")</f>
        <v>#REF!</v>
      </c>
      <c r="CI192" t="e">
        <f>AND(#REF!,"AAAAAEv731Y=")</f>
        <v>#REF!</v>
      </c>
      <c r="CJ192" t="e">
        <f>AND(#REF!,"AAAAAEv731c=")</f>
        <v>#REF!</v>
      </c>
      <c r="CK192" t="e">
        <f>AND(#REF!,"AAAAAEv731g=")</f>
        <v>#REF!</v>
      </c>
      <c r="CL192" t="e">
        <f>IF(#REF!,"AAAAAEv731k=",0)</f>
        <v>#REF!</v>
      </c>
      <c r="CM192" t="e">
        <f>AND(#REF!,"AAAAAEv731o=")</f>
        <v>#REF!</v>
      </c>
      <c r="CN192" t="e">
        <f>AND(#REF!,"AAAAAEv731s=")</f>
        <v>#REF!</v>
      </c>
      <c r="CO192" t="e">
        <f>AND(#REF!,"AAAAAEv731w=")</f>
        <v>#REF!</v>
      </c>
      <c r="CP192" t="e">
        <f>AND(#REF!,"AAAAAEv7310=")</f>
        <v>#REF!</v>
      </c>
      <c r="CQ192" t="e">
        <f>AND(#REF!,"AAAAAEv7314=")</f>
        <v>#REF!</v>
      </c>
      <c r="CR192" t="e">
        <f>AND(#REF!,"AAAAAEv7318=")</f>
        <v>#REF!</v>
      </c>
      <c r="CS192" t="e">
        <f>AND(#REF!,"AAAAAEv732A=")</f>
        <v>#REF!</v>
      </c>
      <c r="CT192" t="e">
        <f>AND(#REF!,"AAAAAEv732E=")</f>
        <v>#REF!</v>
      </c>
      <c r="CU192" t="e">
        <f>AND(#REF!,"AAAAAEv732I=")</f>
        <v>#REF!</v>
      </c>
      <c r="CV192" t="e">
        <f>AND(#REF!,"AAAAAEv732M=")</f>
        <v>#REF!</v>
      </c>
      <c r="CW192" t="e">
        <f>AND(#REF!,"AAAAAEv732Q=")</f>
        <v>#REF!</v>
      </c>
      <c r="CX192" t="e">
        <f>AND(#REF!,"AAAAAEv732U=")</f>
        <v>#REF!</v>
      </c>
      <c r="CY192" t="e">
        <f>AND(#REF!,"AAAAAEv732Y=")</f>
        <v>#REF!</v>
      </c>
      <c r="CZ192" t="e">
        <f>AND(#REF!,"AAAAAEv732c=")</f>
        <v>#REF!</v>
      </c>
      <c r="DA192" t="e">
        <f>AND(#REF!,"AAAAAEv732g=")</f>
        <v>#REF!</v>
      </c>
      <c r="DB192" t="e">
        <f>AND(#REF!,"AAAAAEv732k=")</f>
        <v>#REF!</v>
      </c>
      <c r="DC192" t="e">
        <f>AND(#REF!,"AAAAAEv732o=")</f>
        <v>#REF!</v>
      </c>
      <c r="DD192" t="e">
        <f>AND(#REF!,"AAAAAEv732s=")</f>
        <v>#REF!</v>
      </c>
      <c r="DE192" t="e">
        <f>AND(#REF!,"AAAAAEv732w=")</f>
        <v>#REF!</v>
      </c>
      <c r="DF192" t="e">
        <f>AND(#REF!,"AAAAAEv7320=")</f>
        <v>#REF!</v>
      </c>
      <c r="DG192" t="e">
        <f>AND(#REF!,"AAAAAEv7324=")</f>
        <v>#REF!</v>
      </c>
      <c r="DH192" t="e">
        <f>AND(#REF!,"AAAAAEv7328=")</f>
        <v>#REF!</v>
      </c>
      <c r="DI192" t="e">
        <f>AND(#REF!,"AAAAAEv733A=")</f>
        <v>#REF!</v>
      </c>
      <c r="DJ192" t="e">
        <f>AND(#REF!,"AAAAAEv733E=")</f>
        <v>#REF!</v>
      </c>
      <c r="DK192" t="e">
        <f>IF(#REF!,"AAAAAEv733I=",0)</f>
        <v>#REF!</v>
      </c>
      <c r="DL192" t="e">
        <f>AND(#REF!,"AAAAAEv733M=")</f>
        <v>#REF!</v>
      </c>
      <c r="DM192" t="e">
        <f>AND(#REF!,"AAAAAEv733Q=")</f>
        <v>#REF!</v>
      </c>
      <c r="DN192" t="e">
        <f>AND(#REF!,"AAAAAEv733U=")</f>
        <v>#REF!</v>
      </c>
      <c r="DO192" t="e">
        <f>AND(#REF!,"AAAAAEv733Y=")</f>
        <v>#REF!</v>
      </c>
      <c r="DP192" t="e">
        <f>AND(#REF!,"AAAAAEv733c=")</f>
        <v>#REF!</v>
      </c>
      <c r="DQ192" t="e">
        <f>AND(#REF!,"AAAAAEv733g=")</f>
        <v>#REF!</v>
      </c>
      <c r="DR192" t="e">
        <f>AND(#REF!,"AAAAAEv733k=")</f>
        <v>#REF!</v>
      </c>
      <c r="DS192" t="e">
        <f>AND(#REF!,"AAAAAEv733o=")</f>
        <v>#REF!</v>
      </c>
      <c r="DT192" t="e">
        <f>AND(#REF!,"AAAAAEv733s=")</f>
        <v>#REF!</v>
      </c>
      <c r="DU192" t="e">
        <f>AND(#REF!,"AAAAAEv733w=")</f>
        <v>#REF!</v>
      </c>
      <c r="DV192" t="e">
        <f>AND(#REF!,"AAAAAEv7330=")</f>
        <v>#REF!</v>
      </c>
      <c r="DW192" t="e">
        <f>AND(#REF!,"AAAAAEv7334=")</f>
        <v>#REF!</v>
      </c>
      <c r="DX192" t="e">
        <f>AND(#REF!,"AAAAAEv7338=")</f>
        <v>#REF!</v>
      </c>
      <c r="DY192" t="e">
        <f>AND(#REF!,"AAAAAEv734A=")</f>
        <v>#REF!</v>
      </c>
      <c r="DZ192" t="e">
        <f>AND(#REF!,"AAAAAEv734E=")</f>
        <v>#REF!</v>
      </c>
      <c r="EA192" t="e">
        <f>AND(#REF!,"AAAAAEv734I=")</f>
        <v>#REF!</v>
      </c>
      <c r="EB192" t="e">
        <f>AND(#REF!,"AAAAAEv734M=")</f>
        <v>#REF!</v>
      </c>
      <c r="EC192" t="e">
        <f>AND(#REF!,"AAAAAEv734Q=")</f>
        <v>#REF!</v>
      </c>
      <c r="ED192" t="e">
        <f>AND(#REF!,"AAAAAEv734U=")</f>
        <v>#REF!</v>
      </c>
      <c r="EE192" t="e">
        <f>AND(#REF!,"AAAAAEv734Y=")</f>
        <v>#REF!</v>
      </c>
      <c r="EF192" t="e">
        <f>AND(#REF!,"AAAAAEv734c=")</f>
        <v>#REF!</v>
      </c>
      <c r="EG192" t="e">
        <f>AND(#REF!,"AAAAAEv734g=")</f>
        <v>#REF!</v>
      </c>
      <c r="EH192" t="e">
        <f>AND(#REF!,"AAAAAEv734k=")</f>
        <v>#REF!</v>
      </c>
      <c r="EI192" t="e">
        <f>AND(#REF!,"AAAAAEv734o=")</f>
        <v>#REF!</v>
      </c>
      <c r="EJ192" t="e">
        <f>IF(#REF!,"AAAAAEv734s=",0)</f>
        <v>#REF!</v>
      </c>
      <c r="EK192" t="e">
        <f>AND(#REF!,"AAAAAEv734w=")</f>
        <v>#REF!</v>
      </c>
      <c r="EL192" t="e">
        <f>AND(#REF!,"AAAAAEv7340=")</f>
        <v>#REF!</v>
      </c>
      <c r="EM192" t="e">
        <f>AND(#REF!,"AAAAAEv7344=")</f>
        <v>#REF!</v>
      </c>
      <c r="EN192" t="e">
        <f>AND(#REF!,"AAAAAEv7348=")</f>
        <v>#REF!</v>
      </c>
      <c r="EO192" t="e">
        <f>AND(#REF!,"AAAAAEv735A=")</f>
        <v>#REF!</v>
      </c>
      <c r="EP192" t="e">
        <f>AND(#REF!,"AAAAAEv735E=")</f>
        <v>#REF!</v>
      </c>
      <c r="EQ192" t="e">
        <f>AND(#REF!,"AAAAAEv735I=")</f>
        <v>#REF!</v>
      </c>
      <c r="ER192" t="e">
        <f>AND(#REF!,"AAAAAEv735M=")</f>
        <v>#REF!</v>
      </c>
      <c r="ES192" t="e">
        <f>AND(#REF!,"AAAAAEv735Q=")</f>
        <v>#REF!</v>
      </c>
      <c r="ET192" t="e">
        <f>AND(#REF!,"AAAAAEv735U=")</f>
        <v>#REF!</v>
      </c>
      <c r="EU192" t="e">
        <f>AND(#REF!,"AAAAAEv735Y=")</f>
        <v>#REF!</v>
      </c>
      <c r="EV192" t="e">
        <f>AND(#REF!,"AAAAAEv735c=")</f>
        <v>#REF!</v>
      </c>
      <c r="EW192" t="e">
        <f>AND(#REF!,"AAAAAEv735g=")</f>
        <v>#REF!</v>
      </c>
      <c r="EX192" t="e">
        <f>AND(#REF!,"AAAAAEv735k=")</f>
        <v>#REF!</v>
      </c>
      <c r="EY192" t="e">
        <f>AND(#REF!,"AAAAAEv735o=")</f>
        <v>#REF!</v>
      </c>
      <c r="EZ192" t="e">
        <f>AND(#REF!,"AAAAAEv735s=")</f>
        <v>#REF!</v>
      </c>
      <c r="FA192" t="e">
        <f>AND(#REF!,"AAAAAEv735w=")</f>
        <v>#REF!</v>
      </c>
      <c r="FB192" t="e">
        <f>AND(#REF!,"AAAAAEv7350=")</f>
        <v>#REF!</v>
      </c>
      <c r="FC192" t="e">
        <f>AND(#REF!,"AAAAAEv7354=")</f>
        <v>#REF!</v>
      </c>
      <c r="FD192" t="e">
        <f>AND(#REF!,"AAAAAEv7358=")</f>
        <v>#REF!</v>
      </c>
      <c r="FE192" t="e">
        <f>AND(#REF!,"AAAAAEv736A=")</f>
        <v>#REF!</v>
      </c>
      <c r="FF192" t="e">
        <f>AND(#REF!,"AAAAAEv736E=")</f>
        <v>#REF!</v>
      </c>
      <c r="FG192" t="e">
        <f>AND(#REF!,"AAAAAEv736I=")</f>
        <v>#REF!</v>
      </c>
      <c r="FH192" t="e">
        <f>AND(#REF!,"AAAAAEv736M=")</f>
        <v>#REF!</v>
      </c>
      <c r="FI192" t="e">
        <f>IF(#REF!,"AAAAAEv736Q=",0)</f>
        <v>#REF!</v>
      </c>
      <c r="FJ192" t="e">
        <f>AND(#REF!,"AAAAAEv736U=")</f>
        <v>#REF!</v>
      </c>
      <c r="FK192" t="e">
        <f>AND(#REF!,"AAAAAEv736Y=")</f>
        <v>#REF!</v>
      </c>
      <c r="FL192" t="e">
        <f>AND(#REF!,"AAAAAEv736c=")</f>
        <v>#REF!</v>
      </c>
      <c r="FM192" t="e">
        <f>AND(#REF!,"AAAAAEv736g=")</f>
        <v>#REF!</v>
      </c>
      <c r="FN192" t="e">
        <f>AND(#REF!,"AAAAAEv736k=")</f>
        <v>#REF!</v>
      </c>
      <c r="FO192" t="e">
        <f>AND(#REF!,"AAAAAEv736o=")</f>
        <v>#REF!</v>
      </c>
      <c r="FP192" t="e">
        <f>AND(#REF!,"AAAAAEv736s=")</f>
        <v>#REF!</v>
      </c>
      <c r="FQ192" t="e">
        <f>AND(#REF!,"AAAAAEv736w=")</f>
        <v>#REF!</v>
      </c>
      <c r="FR192" t="e">
        <f>AND(#REF!,"AAAAAEv7360=")</f>
        <v>#REF!</v>
      </c>
      <c r="FS192" t="e">
        <f>AND(#REF!,"AAAAAEv7364=")</f>
        <v>#REF!</v>
      </c>
      <c r="FT192" t="e">
        <f>AND(#REF!,"AAAAAEv7368=")</f>
        <v>#REF!</v>
      </c>
      <c r="FU192" t="e">
        <f>AND(#REF!,"AAAAAEv737A=")</f>
        <v>#REF!</v>
      </c>
      <c r="FV192" t="e">
        <f>AND(#REF!,"AAAAAEv737E=")</f>
        <v>#REF!</v>
      </c>
      <c r="FW192" t="e">
        <f>AND(#REF!,"AAAAAEv737I=")</f>
        <v>#REF!</v>
      </c>
      <c r="FX192" t="e">
        <f>AND(#REF!,"AAAAAEv737M=")</f>
        <v>#REF!</v>
      </c>
      <c r="FY192" t="e">
        <f>AND(#REF!,"AAAAAEv737Q=")</f>
        <v>#REF!</v>
      </c>
      <c r="FZ192" t="e">
        <f>AND(#REF!,"AAAAAEv737U=")</f>
        <v>#REF!</v>
      </c>
      <c r="GA192" t="e">
        <f>AND(#REF!,"AAAAAEv737Y=")</f>
        <v>#REF!</v>
      </c>
      <c r="GB192" t="e">
        <f>AND(#REF!,"AAAAAEv737c=")</f>
        <v>#REF!</v>
      </c>
      <c r="GC192" t="e">
        <f>AND(#REF!,"AAAAAEv737g=")</f>
        <v>#REF!</v>
      </c>
      <c r="GD192" t="e">
        <f>AND(#REF!,"AAAAAEv737k=")</f>
        <v>#REF!</v>
      </c>
      <c r="GE192" t="e">
        <f>AND(#REF!,"AAAAAEv737o=")</f>
        <v>#REF!</v>
      </c>
      <c r="GF192" t="e">
        <f>AND(#REF!,"AAAAAEv737s=")</f>
        <v>#REF!</v>
      </c>
      <c r="GG192" t="e">
        <f>AND(#REF!,"AAAAAEv737w=")</f>
        <v>#REF!</v>
      </c>
      <c r="GH192" t="e">
        <f>IF(#REF!,"AAAAAEv7370=",0)</f>
        <v>#REF!</v>
      </c>
      <c r="GI192" t="e">
        <f>AND(#REF!,"AAAAAEv7374=")</f>
        <v>#REF!</v>
      </c>
      <c r="GJ192" t="e">
        <f>AND(#REF!,"AAAAAEv7378=")</f>
        <v>#REF!</v>
      </c>
      <c r="GK192" t="e">
        <f>AND(#REF!,"AAAAAEv738A=")</f>
        <v>#REF!</v>
      </c>
      <c r="GL192" t="e">
        <f>AND(#REF!,"AAAAAEv738E=")</f>
        <v>#REF!</v>
      </c>
      <c r="GM192" t="e">
        <f>AND(#REF!,"AAAAAEv738I=")</f>
        <v>#REF!</v>
      </c>
      <c r="GN192" t="e">
        <f>AND(#REF!,"AAAAAEv738M=")</f>
        <v>#REF!</v>
      </c>
      <c r="GO192" t="e">
        <f>AND(#REF!,"AAAAAEv738Q=")</f>
        <v>#REF!</v>
      </c>
      <c r="GP192" t="e">
        <f>AND(#REF!,"AAAAAEv738U=")</f>
        <v>#REF!</v>
      </c>
      <c r="GQ192" t="e">
        <f>AND(#REF!,"AAAAAEv738Y=")</f>
        <v>#REF!</v>
      </c>
      <c r="GR192" t="e">
        <f>AND(#REF!,"AAAAAEv738c=")</f>
        <v>#REF!</v>
      </c>
      <c r="GS192" t="e">
        <f>AND(#REF!,"AAAAAEv738g=")</f>
        <v>#REF!</v>
      </c>
      <c r="GT192" t="e">
        <f>AND(#REF!,"AAAAAEv738k=")</f>
        <v>#REF!</v>
      </c>
      <c r="GU192" t="e">
        <f>AND(#REF!,"AAAAAEv738o=")</f>
        <v>#REF!</v>
      </c>
      <c r="GV192" t="e">
        <f>AND(#REF!,"AAAAAEv738s=")</f>
        <v>#REF!</v>
      </c>
      <c r="GW192" t="e">
        <f>AND(#REF!,"AAAAAEv738w=")</f>
        <v>#REF!</v>
      </c>
      <c r="GX192" t="e">
        <f>AND(#REF!,"AAAAAEv7380=")</f>
        <v>#REF!</v>
      </c>
      <c r="GY192" t="e">
        <f>AND(#REF!,"AAAAAEv7384=")</f>
        <v>#REF!</v>
      </c>
      <c r="GZ192" t="e">
        <f>AND(#REF!,"AAAAAEv7388=")</f>
        <v>#REF!</v>
      </c>
      <c r="HA192" t="e">
        <f>AND(#REF!,"AAAAAEv739A=")</f>
        <v>#REF!</v>
      </c>
      <c r="HB192" t="e">
        <f>AND(#REF!,"AAAAAEv739E=")</f>
        <v>#REF!</v>
      </c>
      <c r="HC192" t="e">
        <f>AND(#REF!,"AAAAAEv739I=")</f>
        <v>#REF!</v>
      </c>
      <c r="HD192" t="e">
        <f>AND(#REF!,"AAAAAEv739M=")</f>
        <v>#REF!</v>
      </c>
      <c r="HE192" t="e">
        <f>AND(#REF!,"AAAAAEv739Q=")</f>
        <v>#REF!</v>
      </c>
      <c r="HF192" t="e">
        <f>AND(#REF!,"AAAAAEv739U=")</f>
        <v>#REF!</v>
      </c>
      <c r="HG192" t="e">
        <f>IF(#REF!,"AAAAAEv739Y=",0)</f>
        <v>#REF!</v>
      </c>
      <c r="HH192" t="e">
        <f>AND(#REF!,"AAAAAEv739c=")</f>
        <v>#REF!</v>
      </c>
      <c r="HI192" t="e">
        <f>AND(#REF!,"AAAAAEv739g=")</f>
        <v>#REF!</v>
      </c>
      <c r="HJ192" t="e">
        <f>AND(#REF!,"AAAAAEv739k=")</f>
        <v>#REF!</v>
      </c>
      <c r="HK192" t="e">
        <f>AND(#REF!,"AAAAAEv739o=")</f>
        <v>#REF!</v>
      </c>
      <c r="HL192" t="e">
        <f>AND(#REF!,"AAAAAEv739s=")</f>
        <v>#REF!</v>
      </c>
      <c r="HM192" t="e">
        <f>AND(#REF!,"AAAAAEv739w=")</f>
        <v>#REF!</v>
      </c>
      <c r="HN192" t="e">
        <f>AND(#REF!,"AAAAAEv7390=")</f>
        <v>#REF!</v>
      </c>
      <c r="HO192" t="e">
        <f>AND(#REF!,"AAAAAEv7394=")</f>
        <v>#REF!</v>
      </c>
      <c r="HP192" t="e">
        <f>AND(#REF!,"AAAAAEv7398=")</f>
        <v>#REF!</v>
      </c>
      <c r="HQ192" t="e">
        <f>AND(#REF!,"AAAAAEv73+A=")</f>
        <v>#REF!</v>
      </c>
      <c r="HR192" t="e">
        <f>AND(#REF!,"AAAAAEv73+E=")</f>
        <v>#REF!</v>
      </c>
      <c r="HS192" t="e">
        <f>AND(#REF!,"AAAAAEv73+I=")</f>
        <v>#REF!</v>
      </c>
      <c r="HT192" t="e">
        <f>AND(#REF!,"AAAAAEv73+M=")</f>
        <v>#REF!</v>
      </c>
      <c r="HU192" t="e">
        <f>AND(#REF!,"AAAAAEv73+Q=")</f>
        <v>#REF!</v>
      </c>
      <c r="HV192" t="e">
        <f>AND(#REF!,"AAAAAEv73+U=")</f>
        <v>#REF!</v>
      </c>
      <c r="HW192" t="e">
        <f>AND(#REF!,"AAAAAEv73+Y=")</f>
        <v>#REF!</v>
      </c>
      <c r="HX192" t="e">
        <f>AND(#REF!,"AAAAAEv73+c=")</f>
        <v>#REF!</v>
      </c>
      <c r="HY192" t="e">
        <f>AND(#REF!,"AAAAAEv73+g=")</f>
        <v>#REF!</v>
      </c>
      <c r="HZ192" t="e">
        <f>AND(#REF!,"AAAAAEv73+k=")</f>
        <v>#REF!</v>
      </c>
      <c r="IA192" t="e">
        <f>AND(#REF!,"AAAAAEv73+o=")</f>
        <v>#REF!</v>
      </c>
      <c r="IB192" t="e">
        <f>AND(#REF!,"AAAAAEv73+s=")</f>
        <v>#REF!</v>
      </c>
      <c r="IC192" t="e">
        <f>AND(#REF!,"AAAAAEv73+w=")</f>
        <v>#REF!</v>
      </c>
      <c r="ID192" t="e">
        <f>AND(#REF!,"AAAAAEv73+0=")</f>
        <v>#REF!</v>
      </c>
      <c r="IE192" t="e">
        <f>AND(#REF!,"AAAAAEv73+4=")</f>
        <v>#REF!</v>
      </c>
      <c r="IF192" t="e">
        <f>IF(#REF!,"AAAAAEv73+8=",0)</f>
        <v>#REF!</v>
      </c>
      <c r="IG192" t="e">
        <f>AND(#REF!,"AAAAAEv73/A=")</f>
        <v>#REF!</v>
      </c>
      <c r="IH192" t="e">
        <f>AND(#REF!,"AAAAAEv73/E=")</f>
        <v>#REF!</v>
      </c>
      <c r="II192" t="e">
        <f>AND(#REF!,"AAAAAEv73/I=")</f>
        <v>#REF!</v>
      </c>
      <c r="IJ192" t="e">
        <f>AND(#REF!,"AAAAAEv73/M=")</f>
        <v>#REF!</v>
      </c>
      <c r="IK192" t="e">
        <f>AND(#REF!,"AAAAAEv73/Q=")</f>
        <v>#REF!</v>
      </c>
      <c r="IL192" t="e">
        <f>AND(#REF!,"AAAAAEv73/U=")</f>
        <v>#REF!</v>
      </c>
      <c r="IM192" t="e">
        <f>AND(#REF!,"AAAAAEv73/Y=")</f>
        <v>#REF!</v>
      </c>
      <c r="IN192" t="e">
        <f>AND(#REF!,"AAAAAEv73/c=")</f>
        <v>#REF!</v>
      </c>
      <c r="IO192" t="e">
        <f>AND(#REF!,"AAAAAEv73/g=")</f>
        <v>#REF!</v>
      </c>
      <c r="IP192" t="e">
        <f>AND(#REF!,"AAAAAEv73/k=")</f>
        <v>#REF!</v>
      </c>
      <c r="IQ192" t="e">
        <f>AND(#REF!,"AAAAAEv73/o=")</f>
        <v>#REF!</v>
      </c>
      <c r="IR192" t="e">
        <f>AND(#REF!,"AAAAAEv73/s=")</f>
        <v>#REF!</v>
      </c>
      <c r="IS192" t="e">
        <f>AND(#REF!,"AAAAAEv73/w=")</f>
        <v>#REF!</v>
      </c>
      <c r="IT192" t="e">
        <f>AND(#REF!,"AAAAAEv73/0=")</f>
        <v>#REF!</v>
      </c>
      <c r="IU192" t="e">
        <f>AND(#REF!,"AAAAAEv73/4=")</f>
        <v>#REF!</v>
      </c>
      <c r="IV192" t="e">
        <f>AND(#REF!,"AAAAAEv73/8=")</f>
        <v>#REF!</v>
      </c>
    </row>
    <row r="193" spans="1:256">
      <c r="A193" t="e">
        <f>AND(#REF!,"AAAAAHnnvwA=")</f>
        <v>#REF!</v>
      </c>
      <c r="B193" t="e">
        <f>AND(#REF!,"AAAAAHnnvwE=")</f>
        <v>#REF!</v>
      </c>
      <c r="C193" t="e">
        <f>AND(#REF!,"AAAAAHnnvwI=")</f>
        <v>#REF!</v>
      </c>
      <c r="D193" t="e">
        <f>AND(#REF!,"AAAAAHnnvwM=")</f>
        <v>#REF!</v>
      </c>
      <c r="E193" t="e">
        <f>AND(#REF!,"AAAAAHnnvwQ=")</f>
        <v>#REF!</v>
      </c>
      <c r="F193" t="e">
        <f>AND(#REF!,"AAAAAHnnvwU=")</f>
        <v>#REF!</v>
      </c>
      <c r="G193" t="e">
        <f>AND(#REF!,"AAAAAHnnvwY=")</f>
        <v>#REF!</v>
      </c>
      <c r="H193" t="e">
        <f>AND(#REF!,"AAAAAHnnvwc=")</f>
        <v>#REF!</v>
      </c>
      <c r="I193" t="e">
        <f>IF(#REF!,"AAAAAHnnvwg=",0)</f>
        <v>#REF!</v>
      </c>
      <c r="J193" t="e">
        <f>AND(#REF!,"AAAAAHnnvwk=")</f>
        <v>#REF!</v>
      </c>
      <c r="K193" t="e">
        <f>AND(#REF!,"AAAAAHnnvwo=")</f>
        <v>#REF!</v>
      </c>
      <c r="L193" t="e">
        <f>AND(#REF!,"AAAAAHnnvws=")</f>
        <v>#REF!</v>
      </c>
      <c r="M193" t="e">
        <f>AND(#REF!,"AAAAAHnnvww=")</f>
        <v>#REF!</v>
      </c>
      <c r="N193" t="e">
        <f>AND(#REF!,"AAAAAHnnvw0=")</f>
        <v>#REF!</v>
      </c>
      <c r="O193" t="e">
        <f>AND(#REF!,"AAAAAHnnvw4=")</f>
        <v>#REF!</v>
      </c>
      <c r="P193" t="e">
        <f>AND(#REF!,"AAAAAHnnvw8=")</f>
        <v>#REF!</v>
      </c>
      <c r="Q193" t="e">
        <f>AND(#REF!,"AAAAAHnnvxA=")</f>
        <v>#REF!</v>
      </c>
      <c r="R193" t="e">
        <f>AND(#REF!,"AAAAAHnnvxE=")</f>
        <v>#REF!</v>
      </c>
      <c r="S193" t="e">
        <f>AND(#REF!,"AAAAAHnnvxI=")</f>
        <v>#REF!</v>
      </c>
      <c r="T193" t="e">
        <f>AND(#REF!,"AAAAAHnnvxM=")</f>
        <v>#REF!</v>
      </c>
      <c r="U193" t="e">
        <f>AND(#REF!,"AAAAAHnnvxQ=")</f>
        <v>#REF!</v>
      </c>
      <c r="V193" t="e">
        <f>AND(#REF!,"AAAAAHnnvxU=")</f>
        <v>#REF!</v>
      </c>
      <c r="W193" t="e">
        <f>AND(#REF!,"AAAAAHnnvxY=")</f>
        <v>#REF!</v>
      </c>
      <c r="X193" t="e">
        <f>AND(#REF!,"AAAAAHnnvxc=")</f>
        <v>#REF!</v>
      </c>
      <c r="Y193" t="e">
        <f>AND(#REF!,"AAAAAHnnvxg=")</f>
        <v>#REF!</v>
      </c>
      <c r="Z193" t="e">
        <f>AND(#REF!,"AAAAAHnnvxk=")</f>
        <v>#REF!</v>
      </c>
      <c r="AA193" t="e">
        <f>AND(#REF!,"AAAAAHnnvxo=")</f>
        <v>#REF!</v>
      </c>
      <c r="AB193" t="e">
        <f>AND(#REF!,"AAAAAHnnvxs=")</f>
        <v>#REF!</v>
      </c>
      <c r="AC193" t="e">
        <f>AND(#REF!,"AAAAAHnnvxw=")</f>
        <v>#REF!</v>
      </c>
      <c r="AD193" t="e">
        <f>AND(#REF!,"AAAAAHnnvx0=")</f>
        <v>#REF!</v>
      </c>
      <c r="AE193" t="e">
        <f>AND(#REF!,"AAAAAHnnvx4=")</f>
        <v>#REF!</v>
      </c>
      <c r="AF193" t="e">
        <f>AND(#REF!,"AAAAAHnnvx8=")</f>
        <v>#REF!</v>
      </c>
      <c r="AG193" t="e">
        <f>AND(#REF!,"AAAAAHnnvyA=")</f>
        <v>#REF!</v>
      </c>
      <c r="AH193" t="e">
        <f>IF(#REF!,"AAAAAHnnvyE=",0)</f>
        <v>#REF!</v>
      </c>
      <c r="AI193" t="e">
        <f>AND(#REF!,"AAAAAHnnvyI=")</f>
        <v>#REF!</v>
      </c>
      <c r="AJ193" t="e">
        <f>AND(#REF!,"AAAAAHnnvyM=")</f>
        <v>#REF!</v>
      </c>
      <c r="AK193" t="e">
        <f>AND(#REF!,"AAAAAHnnvyQ=")</f>
        <v>#REF!</v>
      </c>
      <c r="AL193" t="e">
        <f>AND(#REF!,"AAAAAHnnvyU=")</f>
        <v>#REF!</v>
      </c>
      <c r="AM193" t="e">
        <f>AND(#REF!,"AAAAAHnnvyY=")</f>
        <v>#REF!</v>
      </c>
      <c r="AN193" t="e">
        <f>AND(#REF!,"AAAAAHnnvyc=")</f>
        <v>#REF!</v>
      </c>
      <c r="AO193" t="e">
        <f>AND(#REF!,"AAAAAHnnvyg=")</f>
        <v>#REF!</v>
      </c>
      <c r="AP193" t="e">
        <f>AND(#REF!,"AAAAAHnnvyk=")</f>
        <v>#REF!</v>
      </c>
      <c r="AQ193" t="e">
        <f>AND(#REF!,"AAAAAHnnvyo=")</f>
        <v>#REF!</v>
      </c>
      <c r="AR193" t="e">
        <f>AND(#REF!,"AAAAAHnnvys=")</f>
        <v>#REF!</v>
      </c>
      <c r="AS193" t="e">
        <f>AND(#REF!,"AAAAAHnnvyw=")</f>
        <v>#REF!</v>
      </c>
      <c r="AT193" t="e">
        <f>AND(#REF!,"AAAAAHnnvy0=")</f>
        <v>#REF!</v>
      </c>
      <c r="AU193" t="e">
        <f>AND(#REF!,"AAAAAHnnvy4=")</f>
        <v>#REF!</v>
      </c>
      <c r="AV193" t="e">
        <f>AND(#REF!,"AAAAAHnnvy8=")</f>
        <v>#REF!</v>
      </c>
      <c r="AW193" t="e">
        <f>AND(#REF!,"AAAAAHnnvzA=")</f>
        <v>#REF!</v>
      </c>
      <c r="AX193" t="e">
        <f>AND(#REF!,"AAAAAHnnvzE=")</f>
        <v>#REF!</v>
      </c>
      <c r="AY193" t="e">
        <f>AND(#REF!,"AAAAAHnnvzI=")</f>
        <v>#REF!</v>
      </c>
      <c r="AZ193" t="e">
        <f>AND(#REF!,"AAAAAHnnvzM=")</f>
        <v>#REF!</v>
      </c>
      <c r="BA193" t="e">
        <f>AND(#REF!,"AAAAAHnnvzQ=")</f>
        <v>#REF!</v>
      </c>
      <c r="BB193" t="e">
        <f>AND(#REF!,"AAAAAHnnvzU=")</f>
        <v>#REF!</v>
      </c>
      <c r="BC193" t="e">
        <f>AND(#REF!,"AAAAAHnnvzY=")</f>
        <v>#REF!</v>
      </c>
      <c r="BD193" t="e">
        <f>AND(#REF!,"AAAAAHnnvzc=")</f>
        <v>#REF!</v>
      </c>
      <c r="BE193" t="e">
        <f>AND(#REF!,"AAAAAHnnvzg=")</f>
        <v>#REF!</v>
      </c>
      <c r="BF193" t="e">
        <f>AND(#REF!,"AAAAAHnnvzk=")</f>
        <v>#REF!</v>
      </c>
      <c r="BG193" t="e">
        <f>IF(#REF!,"AAAAAHnnvzo=",0)</f>
        <v>#REF!</v>
      </c>
      <c r="BH193" t="e">
        <f>AND(#REF!,"AAAAAHnnvzs=")</f>
        <v>#REF!</v>
      </c>
      <c r="BI193" t="e">
        <f>AND(#REF!,"AAAAAHnnvzw=")</f>
        <v>#REF!</v>
      </c>
      <c r="BJ193" t="e">
        <f>AND(#REF!,"AAAAAHnnvz0=")</f>
        <v>#REF!</v>
      </c>
      <c r="BK193" t="e">
        <f>AND(#REF!,"AAAAAHnnvz4=")</f>
        <v>#REF!</v>
      </c>
      <c r="BL193" t="e">
        <f>AND(#REF!,"AAAAAHnnvz8=")</f>
        <v>#REF!</v>
      </c>
      <c r="BM193" t="e">
        <f>AND(#REF!,"AAAAAHnnv0A=")</f>
        <v>#REF!</v>
      </c>
      <c r="BN193" t="e">
        <f>AND(#REF!,"AAAAAHnnv0E=")</f>
        <v>#REF!</v>
      </c>
      <c r="BO193" t="e">
        <f>AND(#REF!,"AAAAAHnnv0I=")</f>
        <v>#REF!</v>
      </c>
      <c r="BP193" t="e">
        <f>AND(#REF!,"AAAAAHnnv0M=")</f>
        <v>#REF!</v>
      </c>
      <c r="BQ193" t="e">
        <f>AND(#REF!,"AAAAAHnnv0Q=")</f>
        <v>#REF!</v>
      </c>
      <c r="BR193" t="e">
        <f>AND(#REF!,"AAAAAHnnv0U=")</f>
        <v>#REF!</v>
      </c>
      <c r="BS193" t="e">
        <f>AND(#REF!,"AAAAAHnnv0Y=")</f>
        <v>#REF!</v>
      </c>
      <c r="BT193" t="e">
        <f>AND(#REF!,"AAAAAHnnv0c=")</f>
        <v>#REF!</v>
      </c>
      <c r="BU193" t="e">
        <f>AND(#REF!,"AAAAAHnnv0g=")</f>
        <v>#REF!</v>
      </c>
      <c r="BV193" t="e">
        <f>AND(#REF!,"AAAAAHnnv0k=")</f>
        <v>#REF!</v>
      </c>
      <c r="BW193" t="e">
        <f>AND(#REF!,"AAAAAHnnv0o=")</f>
        <v>#REF!</v>
      </c>
      <c r="BX193" t="e">
        <f>AND(#REF!,"AAAAAHnnv0s=")</f>
        <v>#REF!</v>
      </c>
      <c r="BY193" t="e">
        <f>AND(#REF!,"AAAAAHnnv0w=")</f>
        <v>#REF!</v>
      </c>
      <c r="BZ193" t="e">
        <f>AND(#REF!,"AAAAAHnnv00=")</f>
        <v>#REF!</v>
      </c>
      <c r="CA193" t="e">
        <f>AND(#REF!,"AAAAAHnnv04=")</f>
        <v>#REF!</v>
      </c>
      <c r="CB193" t="e">
        <f>AND(#REF!,"AAAAAHnnv08=")</f>
        <v>#REF!</v>
      </c>
      <c r="CC193" t="e">
        <f>AND(#REF!,"AAAAAHnnv1A=")</f>
        <v>#REF!</v>
      </c>
      <c r="CD193" t="e">
        <f>AND(#REF!,"AAAAAHnnv1E=")</f>
        <v>#REF!</v>
      </c>
      <c r="CE193" t="e">
        <f>AND(#REF!,"AAAAAHnnv1I=")</f>
        <v>#REF!</v>
      </c>
      <c r="CF193" t="e">
        <f>IF(#REF!,"AAAAAHnnv1M=",0)</f>
        <v>#REF!</v>
      </c>
      <c r="CG193" t="e">
        <f>AND(#REF!,"AAAAAHnnv1Q=")</f>
        <v>#REF!</v>
      </c>
      <c r="CH193" t="e">
        <f>AND(#REF!,"AAAAAHnnv1U=")</f>
        <v>#REF!</v>
      </c>
      <c r="CI193" t="e">
        <f>AND(#REF!,"AAAAAHnnv1Y=")</f>
        <v>#REF!</v>
      </c>
      <c r="CJ193" t="e">
        <f>AND(#REF!,"AAAAAHnnv1c=")</f>
        <v>#REF!</v>
      </c>
      <c r="CK193" t="e">
        <f>AND(#REF!,"AAAAAHnnv1g=")</f>
        <v>#REF!</v>
      </c>
      <c r="CL193" t="e">
        <f>AND(#REF!,"AAAAAHnnv1k=")</f>
        <v>#REF!</v>
      </c>
      <c r="CM193" t="e">
        <f>AND(#REF!,"AAAAAHnnv1o=")</f>
        <v>#REF!</v>
      </c>
      <c r="CN193" t="e">
        <f>AND(#REF!,"AAAAAHnnv1s=")</f>
        <v>#REF!</v>
      </c>
      <c r="CO193" t="e">
        <f>AND(#REF!,"AAAAAHnnv1w=")</f>
        <v>#REF!</v>
      </c>
      <c r="CP193" t="e">
        <f>AND(#REF!,"AAAAAHnnv10=")</f>
        <v>#REF!</v>
      </c>
      <c r="CQ193" t="e">
        <f>AND(#REF!,"AAAAAHnnv14=")</f>
        <v>#REF!</v>
      </c>
      <c r="CR193" t="e">
        <f>AND(#REF!,"AAAAAHnnv18=")</f>
        <v>#REF!</v>
      </c>
      <c r="CS193" t="e">
        <f>AND(#REF!,"AAAAAHnnv2A=")</f>
        <v>#REF!</v>
      </c>
      <c r="CT193" t="e">
        <f>AND(#REF!,"AAAAAHnnv2E=")</f>
        <v>#REF!</v>
      </c>
      <c r="CU193" t="e">
        <f>AND(#REF!,"AAAAAHnnv2I=")</f>
        <v>#REF!</v>
      </c>
      <c r="CV193" t="e">
        <f>AND(#REF!,"AAAAAHnnv2M=")</f>
        <v>#REF!</v>
      </c>
      <c r="CW193" t="e">
        <f>AND(#REF!,"AAAAAHnnv2Q=")</f>
        <v>#REF!</v>
      </c>
      <c r="CX193" t="e">
        <f>AND(#REF!,"AAAAAHnnv2U=")</f>
        <v>#REF!</v>
      </c>
      <c r="CY193" t="e">
        <f>AND(#REF!,"AAAAAHnnv2Y=")</f>
        <v>#REF!</v>
      </c>
      <c r="CZ193" t="e">
        <f>AND(#REF!,"AAAAAHnnv2c=")</f>
        <v>#REF!</v>
      </c>
      <c r="DA193" t="e">
        <f>AND(#REF!,"AAAAAHnnv2g=")</f>
        <v>#REF!</v>
      </c>
      <c r="DB193" t="e">
        <f>AND(#REF!,"AAAAAHnnv2k=")</f>
        <v>#REF!</v>
      </c>
      <c r="DC193" t="e">
        <f>AND(#REF!,"AAAAAHnnv2o=")</f>
        <v>#REF!</v>
      </c>
      <c r="DD193" t="e">
        <f>AND(#REF!,"AAAAAHnnv2s=")</f>
        <v>#REF!</v>
      </c>
      <c r="DE193" t="e">
        <f>IF(#REF!,"AAAAAHnnv2w=",0)</f>
        <v>#REF!</v>
      </c>
      <c r="DF193" t="e">
        <f>AND(#REF!,"AAAAAHnnv20=")</f>
        <v>#REF!</v>
      </c>
      <c r="DG193" t="e">
        <f>AND(#REF!,"AAAAAHnnv24=")</f>
        <v>#REF!</v>
      </c>
      <c r="DH193" t="e">
        <f>AND(#REF!,"AAAAAHnnv28=")</f>
        <v>#REF!</v>
      </c>
      <c r="DI193" t="e">
        <f>AND(#REF!,"AAAAAHnnv3A=")</f>
        <v>#REF!</v>
      </c>
      <c r="DJ193" t="e">
        <f>AND(#REF!,"AAAAAHnnv3E=")</f>
        <v>#REF!</v>
      </c>
      <c r="DK193" t="e">
        <f>AND(#REF!,"AAAAAHnnv3I=")</f>
        <v>#REF!</v>
      </c>
      <c r="DL193" t="e">
        <f>AND(#REF!,"AAAAAHnnv3M=")</f>
        <v>#REF!</v>
      </c>
      <c r="DM193" t="e">
        <f>AND(#REF!,"AAAAAHnnv3Q=")</f>
        <v>#REF!</v>
      </c>
      <c r="DN193" t="e">
        <f>AND(#REF!,"AAAAAHnnv3U=")</f>
        <v>#REF!</v>
      </c>
      <c r="DO193" t="e">
        <f>AND(#REF!,"AAAAAHnnv3Y=")</f>
        <v>#REF!</v>
      </c>
      <c r="DP193" t="e">
        <f>AND(#REF!,"AAAAAHnnv3c=")</f>
        <v>#REF!</v>
      </c>
      <c r="DQ193" t="e">
        <f>AND(#REF!,"AAAAAHnnv3g=")</f>
        <v>#REF!</v>
      </c>
      <c r="DR193" t="e">
        <f>AND(#REF!,"AAAAAHnnv3k=")</f>
        <v>#REF!</v>
      </c>
      <c r="DS193" t="e">
        <f>AND(#REF!,"AAAAAHnnv3o=")</f>
        <v>#REF!</v>
      </c>
      <c r="DT193" t="e">
        <f>AND(#REF!,"AAAAAHnnv3s=")</f>
        <v>#REF!</v>
      </c>
      <c r="DU193" t="e">
        <f>AND(#REF!,"AAAAAHnnv3w=")</f>
        <v>#REF!</v>
      </c>
      <c r="DV193" t="e">
        <f>AND(#REF!,"AAAAAHnnv30=")</f>
        <v>#REF!</v>
      </c>
      <c r="DW193" t="e">
        <f>AND(#REF!,"AAAAAHnnv34=")</f>
        <v>#REF!</v>
      </c>
      <c r="DX193" t="e">
        <f>AND(#REF!,"AAAAAHnnv38=")</f>
        <v>#REF!</v>
      </c>
      <c r="DY193" t="e">
        <f>AND(#REF!,"AAAAAHnnv4A=")</f>
        <v>#REF!</v>
      </c>
      <c r="DZ193" t="e">
        <f>AND(#REF!,"AAAAAHnnv4E=")</f>
        <v>#REF!</v>
      </c>
      <c r="EA193" t="e">
        <f>AND(#REF!,"AAAAAHnnv4I=")</f>
        <v>#REF!</v>
      </c>
      <c r="EB193" t="e">
        <f>AND(#REF!,"AAAAAHnnv4M=")</f>
        <v>#REF!</v>
      </c>
      <c r="EC193" t="e">
        <f>AND(#REF!,"AAAAAHnnv4Q=")</f>
        <v>#REF!</v>
      </c>
      <c r="ED193" t="e">
        <f>IF(#REF!,"AAAAAHnnv4U=",0)</f>
        <v>#REF!</v>
      </c>
      <c r="EE193" t="e">
        <f>AND(#REF!,"AAAAAHnnv4Y=")</f>
        <v>#REF!</v>
      </c>
      <c r="EF193" t="e">
        <f>AND(#REF!,"AAAAAHnnv4c=")</f>
        <v>#REF!</v>
      </c>
      <c r="EG193" t="e">
        <f>AND(#REF!,"AAAAAHnnv4g=")</f>
        <v>#REF!</v>
      </c>
      <c r="EH193" t="e">
        <f>AND(#REF!,"AAAAAHnnv4k=")</f>
        <v>#REF!</v>
      </c>
      <c r="EI193" t="e">
        <f>AND(#REF!,"AAAAAHnnv4o=")</f>
        <v>#REF!</v>
      </c>
      <c r="EJ193" t="e">
        <f>AND(#REF!,"AAAAAHnnv4s=")</f>
        <v>#REF!</v>
      </c>
      <c r="EK193" t="e">
        <f>AND(#REF!,"AAAAAHnnv4w=")</f>
        <v>#REF!</v>
      </c>
      <c r="EL193" t="e">
        <f>AND(#REF!,"AAAAAHnnv40=")</f>
        <v>#REF!</v>
      </c>
      <c r="EM193" t="e">
        <f>AND(#REF!,"AAAAAHnnv44=")</f>
        <v>#REF!</v>
      </c>
      <c r="EN193" t="e">
        <f>AND(#REF!,"AAAAAHnnv48=")</f>
        <v>#REF!</v>
      </c>
      <c r="EO193" t="e">
        <f>AND(#REF!,"AAAAAHnnv5A=")</f>
        <v>#REF!</v>
      </c>
      <c r="EP193" t="e">
        <f>AND(#REF!,"AAAAAHnnv5E=")</f>
        <v>#REF!</v>
      </c>
      <c r="EQ193" t="e">
        <f>AND(#REF!,"AAAAAHnnv5I=")</f>
        <v>#REF!</v>
      </c>
      <c r="ER193" t="e">
        <f>AND(#REF!,"AAAAAHnnv5M=")</f>
        <v>#REF!</v>
      </c>
      <c r="ES193" t="e">
        <f>AND(#REF!,"AAAAAHnnv5Q=")</f>
        <v>#REF!</v>
      </c>
      <c r="ET193" t="e">
        <f>AND(#REF!,"AAAAAHnnv5U=")</f>
        <v>#REF!</v>
      </c>
      <c r="EU193" t="e">
        <f>AND(#REF!,"AAAAAHnnv5Y=")</f>
        <v>#REF!</v>
      </c>
      <c r="EV193" t="e">
        <f>AND(#REF!,"AAAAAHnnv5c=")</f>
        <v>#REF!</v>
      </c>
      <c r="EW193" t="e">
        <f>AND(#REF!,"AAAAAHnnv5g=")</f>
        <v>#REF!</v>
      </c>
      <c r="EX193" t="e">
        <f>AND(#REF!,"AAAAAHnnv5k=")</f>
        <v>#REF!</v>
      </c>
      <c r="EY193" t="e">
        <f>AND(#REF!,"AAAAAHnnv5o=")</f>
        <v>#REF!</v>
      </c>
      <c r="EZ193" t="e">
        <f>AND(#REF!,"AAAAAHnnv5s=")</f>
        <v>#REF!</v>
      </c>
      <c r="FA193" t="e">
        <f>AND(#REF!,"AAAAAHnnv5w=")</f>
        <v>#REF!</v>
      </c>
      <c r="FB193" t="e">
        <f>AND(#REF!,"AAAAAHnnv50=")</f>
        <v>#REF!</v>
      </c>
      <c r="FC193" t="e">
        <f>IF(#REF!,"AAAAAHnnv54=",0)</f>
        <v>#REF!</v>
      </c>
      <c r="FD193" t="e">
        <f>AND(#REF!,"AAAAAHnnv58=")</f>
        <v>#REF!</v>
      </c>
      <c r="FE193" t="e">
        <f>AND(#REF!,"AAAAAHnnv6A=")</f>
        <v>#REF!</v>
      </c>
      <c r="FF193" t="e">
        <f>AND(#REF!,"AAAAAHnnv6E=")</f>
        <v>#REF!</v>
      </c>
      <c r="FG193" t="e">
        <f>AND(#REF!,"AAAAAHnnv6I=")</f>
        <v>#REF!</v>
      </c>
      <c r="FH193" t="e">
        <f>AND(#REF!,"AAAAAHnnv6M=")</f>
        <v>#REF!</v>
      </c>
      <c r="FI193" t="e">
        <f>AND(#REF!,"AAAAAHnnv6Q=")</f>
        <v>#REF!</v>
      </c>
      <c r="FJ193" t="e">
        <f>AND(#REF!,"AAAAAHnnv6U=")</f>
        <v>#REF!</v>
      </c>
      <c r="FK193" t="e">
        <f>AND(#REF!,"AAAAAHnnv6Y=")</f>
        <v>#REF!</v>
      </c>
      <c r="FL193" t="e">
        <f>AND(#REF!,"AAAAAHnnv6c=")</f>
        <v>#REF!</v>
      </c>
      <c r="FM193" t="e">
        <f>AND(#REF!,"AAAAAHnnv6g=")</f>
        <v>#REF!</v>
      </c>
      <c r="FN193" t="e">
        <f>AND(#REF!,"AAAAAHnnv6k=")</f>
        <v>#REF!</v>
      </c>
      <c r="FO193" t="e">
        <f>AND(#REF!,"AAAAAHnnv6o=")</f>
        <v>#REF!</v>
      </c>
      <c r="FP193" t="e">
        <f>AND(#REF!,"AAAAAHnnv6s=")</f>
        <v>#REF!</v>
      </c>
      <c r="FQ193" t="e">
        <f>AND(#REF!,"AAAAAHnnv6w=")</f>
        <v>#REF!</v>
      </c>
      <c r="FR193" t="e">
        <f>AND(#REF!,"AAAAAHnnv60=")</f>
        <v>#REF!</v>
      </c>
      <c r="FS193" t="e">
        <f>AND(#REF!,"AAAAAHnnv64=")</f>
        <v>#REF!</v>
      </c>
      <c r="FT193" t="e">
        <f>AND(#REF!,"AAAAAHnnv68=")</f>
        <v>#REF!</v>
      </c>
      <c r="FU193" t="e">
        <f>AND(#REF!,"AAAAAHnnv7A=")</f>
        <v>#REF!</v>
      </c>
      <c r="FV193" t="e">
        <f>AND(#REF!,"AAAAAHnnv7E=")</f>
        <v>#REF!</v>
      </c>
      <c r="FW193" t="e">
        <f>AND(#REF!,"AAAAAHnnv7I=")</f>
        <v>#REF!</v>
      </c>
      <c r="FX193" t="e">
        <f>AND(#REF!,"AAAAAHnnv7M=")</f>
        <v>#REF!</v>
      </c>
      <c r="FY193" t="e">
        <f>AND(#REF!,"AAAAAHnnv7Q=")</f>
        <v>#REF!</v>
      </c>
      <c r="FZ193" t="e">
        <f>AND(#REF!,"AAAAAHnnv7U=")</f>
        <v>#REF!</v>
      </c>
      <c r="GA193" t="e">
        <f>AND(#REF!,"AAAAAHnnv7Y=")</f>
        <v>#REF!</v>
      </c>
      <c r="GB193" t="e">
        <f>IF(#REF!,"AAAAAHnnv7c=",0)</f>
        <v>#REF!</v>
      </c>
      <c r="GC193" t="e">
        <f>AND(#REF!,"AAAAAHnnv7g=")</f>
        <v>#REF!</v>
      </c>
      <c r="GD193" t="e">
        <f>AND(#REF!,"AAAAAHnnv7k=")</f>
        <v>#REF!</v>
      </c>
      <c r="GE193" t="e">
        <f>AND(#REF!,"AAAAAHnnv7o=")</f>
        <v>#REF!</v>
      </c>
      <c r="GF193" t="e">
        <f>AND(#REF!,"AAAAAHnnv7s=")</f>
        <v>#REF!</v>
      </c>
      <c r="GG193" t="e">
        <f>AND(#REF!,"AAAAAHnnv7w=")</f>
        <v>#REF!</v>
      </c>
      <c r="GH193" t="e">
        <f>AND(#REF!,"AAAAAHnnv70=")</f>
        <v>#REF!</v>
      </c>
      <c r="GI193" t="e">
        <f>AND(#REF!,"AAAAAHnnv74=")</f>
        <v>#REF!</v>
      </c>
      <c r="GJ193" t="e">
        <f>AND(#REF!,"AAAAAHnnv78=")</f>
        <v>#REF!</v>
      </c>
      <c r="GK193" t="e">
        <f>AND(#REF!,"AAAAAHnnv8A=")</f>
        <v>#REF!</v>
      </c>
      <c r="GL193" t="e">
        <f>AND(#REF!,"AAAAAHnnv8E=")</f>
        <v>#REF!</v>
      </c>
      <c r="GM193" t="e">
        <f>AND(#REF!,"AAAAAHnnv8I=")</f>
        <v>#REF!</v>
      </c>
      <c r="GN193" t="e">
        <f>AND(#REF!,"AAAAAHnnv8M=")</f>
        <v>#REF!</v>
      </c>
      <c r="GO193" t="e">
        <f>AND(#REF!,"AAAAAHnnv8Q=")</f>
        <v>#REF!</v>
      </c>
      <c r="GP193" t="e">
        <f>AND(#REF!,"AAAAAHnnv8U=")</f>
        <v>#REF!</v>
      </c>
      <c r="GQ193" t="e">
        <f>AND(#REF!,"AAAAAHnnv8Y=")</f>
        <v>#REF!</v>
      </c>
      <c r="GR193" t="e">
        <f>AND(#REF!,"AAAAAHnnv8c=")</f>
        <v>#REF!</v>
      </c>
      <c r="GS193" t="e">
        <f>AND(#REF!,"AAAAAHnnv8g=")</f>
        <v>#REF!</v>
      </c>
      <c r="GT193" t="e">
        <f>AND(#REF!,"AAAAAHnnv8k=")</f>
        <v>#REF!</v>
      </c>
      <c r="GU193" t="e">
        <f>AND(#REF!,"AAAAAHnnv8o=")</f>
        <v>#REF!</v>
      </c>
      <c r="GV193" t="e">
        <f>AND(#REF!,"AAAAAHnnv8s=")</f>
        <v>#REF!</v>
      </c>
      <c r="GW193" t="e">
        <f>AND(#REF!,"AAAAAHnnv8w=")</f>
        <v>#REF!</v>
      </c>
      <c r="GX193" t="e">
        <f>AND(#REF!,"AAAAAHnnv80=")</f>
        <v>#REF!</v>
      </c>
      <c r="GY193" t="e">
        <f>AND(#REF!,"AAAAAHnnv84=")</f>
        <v>#REF!</v>
      </c>
      <c r="GZ193" t="e">
        <f>AND(#REF!,"AAAAAHnnv88=")</f>
        <v>#REF!</v>
      </c>
      <c r="HA193" t="e">
        <f>IF(#REF!,"AAAAAHnnv9A=",0)</f>
        <v>#REF!</v>
      </c>
      <c r="HB193" t="e">
        <f>AND(#REF!,"AAAAAHnnv9E=")</f>
        <v>#REF!</v>
      </c>
      <c r="HC193" t="e">
        <f>AND(#REF!,"AAAAAHnnv9I=")</f>
        <v>#REF!</v>
      </c>
      <c r="HD193" t="e">
        <f>AND(#REF!,"AAAAAHnnv9M=")</f>
        <v>#REF!</v>
      </c>
      <c r="HE193" t="e">
        <f>AND(#REF!,"AAAAAHnnv9Q=")</f>
        <v>#REF!</v>
      </c>
      <c r="HF193" t="e">
        <f>AND(#REF!,"AAAAAHnnv9U=")</f>
        <v>#REF!</v>
      </c>
      <c r="HG193" t="e">
        <f>AND(#REF!,"AAAAAHnnv9Y=")</f>
        <v>#REF!</v>
      </c>
      <c r="HH193" t="e">
        <f>AND(#REF!,"AAAAAHnnv9c=")</f>
        <v>#REF!</v>
      </c>
      <c r="HI193" t="e">
        <f>AND(#REF!,"AAAAAHnnv9g=")</f>
        <v>#REF!</v>
      </c>
      <c r="HJ193" t="e">
        <f>AND(#REF!,"AAAAAHnnv9k=")</f>
        <v>#REF!</v>
      </c>
      <c r="HK193" t="e">
        <f>AND(#REF!,"AAAAAHnnv9o=")</f>
        <v>#REF!</v>
      </c>
      <c r="HL193" t="e">
        <f>AND(#REF!,"AAAAAHnnv9s=")</f>
        <v>#REF!</v>
      </c>
      <c r="HM193" t="e">
        <f>AND(#REF!,"AAAAAHnnv9w=")</f>
        <v>#REF!</v>
      </c>
      <c r="HN193" t="e">
        <f>AND(#REF!,"AAAAAHnnv90=")</f>
        <v>#REF!</v>
      </c>
      <c r="HO193" t="e">
        <f>AND(#REF!,"AAAAAHnnv94=")</f>
        <v>#REF!</v>
      </c>
      <c r="HP193" t="e">
        <f>AND(#REF!,"AAAAAHnnv98=")</f>
        <v>#REF!</v>
      </c>
      <c r="HQ193" t="e">
        <f>AND(#REF!,"AAAAAHnnv+A=")</f>
        <v>#REF!</v>
      </c>
      <c r="HR193" t="e">
        <f>AND(#REF!,"AAAAAHnnv+E=")</f>
        <v>#REF!</v>
      </c>
      <c r="HS193" t="e">
        <f>AND(#REF!,"AAAAAHnnv+I=")</f>
        <v>#REF!</v>
      </c>
      <c r="HT193" t="e">
        <f>AND(#REF!,"AAAAAHnnv+M=")</f>
        <v>#REF!</v>
      </c>
      <c r="HU193" t="e">
        <f>AND(#REF!,"AAAAAHnnv+Q=")</f>
        <v>#REF!</v>
      </c>
      <c r="HV193" t="e">
        <f>AND(#REF!,"AAAAAHnnv+U=")</f>
        <v>#REF!</v>
      </c>
      <c r="HW193" t="e">
        <f>AND(#REF!,"AAAAAHnnv+Y=")</f>
        <v>#REF!</v>
      </c>
      <c r="HX193" t="e">
        <f>AND(#REF!,"AAAAAHnnv+c=")</f>
        <v>#REF!</v>
      </c>
      <c r="HY193" t="e">
        <f>AND(#REF!,"AAAAAHnnv+g=")</f>
        <v>#REF!</v>
      </c>
      <c r="HZ193" t="e">
        <f>IF(#REF!,"AAAAAHnnv+k=",0)</f>
        <v>#REF!</v>
      </c>
      <c r="IA193" t="e">
        <f>AND(#REF!,"AAAAAHnnv+o=")</f>
        <v>#REF!</v>
      </c>
      <c r="IB193" t="e">
        <f>AND(#REF!,"AAAAAHnnv+s=")</f>
        <v>#REF!</v>
      </c>
      <c r="IC193" t="e">
        <f>AND(#REF!,"AAAAAHnnv+w=")</f>
        <v>#REF!</v>
      </c>
      <c r="ID193" t="e">
        <f>AND(#REF!,"AAAAAHnnv+0=")</f>
        <v>#REF!</v>
      </c>
      <c r="IE193" t="e">
        <f>AND(#REF!,"AAAAAHnnv+4=")</f>
        <v>#REF!</v>
      </c>
      <c r="IF193" t="e">
        <f>AND(#REF!,"AAAAAHnnv+8=")</f>
        <v>#REF!</v>
      </c>
      <c r="IG193" t="e">
        <f>AND(#REF!,"AAAAAHnnv/A=")</f>
        <v>#REF!</v>
      </c>
      <c r="IH193" t="e">
        <f>AND(#REF!,"AAAAAHnnv/E=")</f>
        <v>#REF!</v>
      </c>
      <c r="II193" t="e">
        <f>AND(#REF!,"AAAAAHnnv/I=")</f>
        <v>#REF!</v>
      </c>
      <c r="IJ193" t="e">
        <f>AND(#REF!,"AAAAAHnnv/M=")</f>
        <v>#REF!</v>
      </c>
      <c r="IK193" t="e">
        <f>AND(#REF!,"AAAAAHnnv/Q=")</f>
        <v>#REF!</v>
      </c>
      <c r="IL193" t="e">
        <f>AND(#REF!,"AAAAAHnnv/U=")</f>
        <v>#REF!</v>
      </c>
      <c r="IM193" t="e">
        <f>AND(#REF!,"AAAAAHnnv/Y=")</f>
        <v>#REF!</v>
      </c>
      <c r="IN193" t="e">
        <f>AND(#REF!,"AAAAAHnnv/c=")</f>
        <v>#REF!</v>
      </c>
      <c r="IO193" t="e">
        <f>AND(#REF!,"AAAAAHnnv/g=")</f>
        <v>#REF!</v>
      </c>
      <c r="IP193" t="e">
        <f>AND(#REF!,"AAAAAHnnv/k=")</f>
        <v>#REF!</v>
      </c>
      <c r="IQ193" t="e">
        <f>AND(#REF!,"AAAAAHnnv/o=")</f>
        <v>#REF!</v>
      </c>
      <c r="IR193" t="e">
        <f>AND(#REF!,"AAAAAHnnv/s=")</f>
        <v>#REF!</v>
      </c>
      <c r="IS193" t="e">
        <f>AND(#REF!,"AAAAAHnnv/w=")</f>
        <v>#REF!</v>
      </c>
      <c r="IT193" t="e">
        <f>AND(#REF!,"AAAAAHnnv/0=")</f>
        <v>#REF!</v>
      </c>
      <c r="IU193" t="e">
        <f>AND(#REF!,"AAAAAHnnv/4=")</f>
        <v>#REF!</v>
      </c>
      <c r="IV193" t="e">
        <f>AND(#REF!,"AAAAAHnnv/8=")</f>
        <v>#REF!</v>
      </c>
    </row>
    <row r="194" spans="1:256">
      <c r="A194" t="e">
        <f>AND(#REF!,"AAAAADlf1wA=")</f>
        <v>#REF!</v>
      </c>
      <c r="B194" t="e">
        <f>AND(#REF!,"AAAAADlf1wE=")</f>
        <v>#REF!</v>
      </c>
      <c r="C194" t="e">
        <f>IF(#REF!,"AAAAADlf1wI=",0)</f>
        <v>#REF!</v>
      </c>
      <c r="D194" t="e">
        <f>AND(#REF!,"AAAAADlf1wM=")</f>
        <v>#REF!</v>
      </c>
      <c r="E194" t="e">
        <f>AND(#REF!,"AAAAADlf1wQ=")</f>
        <v>#REF!</v>
      </c>
      <c r="F194" t="e">
        <f>AND(#REF!,"AAAAADlf1wU=")</f>
        <v>#REF!</v>
      </c>
      <c r="G194" t="e">
        <f>AND(#REF!,"AAAAADlf1wY=")</f>
        <v>#REF!</v>
      </c>
      <c r="H194" t="e">
        <f>AND(#REF!,"AAAAADlf1wc=")</f>
        <v>#REF!</v>
      </c>
      <c r="I194" t="e">
        <f>AND(#REF!,"AAAAADlf1wg=")</f>
        <v>#REF!</v>
      </c>
      <c r="J194" t="e">
        <f>AND(#REF!,"AAAAADlf1wk=")</f>
        <v>#REF!</v>
      </c>
      <c r="K194" t="e">
        <f>AND(#REF!,"AAAAADlf1wo=")</f>
        <v>#REF!</v>
      </c>
      <c r="L194" t="e">
        <f>AND(#REF!,"AAAAADlf1ws=")</f>
        <v>#REF!</v>
      </c>
      <c r="M194" t="e">
        <f>AND(#REF!,"AAAAADlf1ww=")</f>
        <v>#REF!</v>
      </c>
      <c r="N194" t="e">
        <f>AND(#REF!,"AAAAADlf1w0=")</f>
        <v>#REF!</v>
      </c>
      <c r="O194" t="e">
        <f>AND(#REF!,"AAAAADlf1w4=")</f>
        <v>#REF!</v>
      </c>
      <c r="P194" t="e">
        <f>AND(#REF!,"AAAAADlf1w8=")</f>
        <v>#REF!</v>
      </c>
      <c r="Q194" t="e">
        <f>AND(#REF!,"AAAAADlf1xA=")</f>
        <v>#REF!</v>
      </c>
      <c r="R194" t="e">
        <f>AND(#REF!,"AAAAADlf1xE=")</f>
        <v>#REF!</v>
      </c>
      <c r="S194" t="e">
        <f>AND(#REF!,"AAAAADlf1xI=")</f>
        <v>#REF!</v>
      </c>
      <c r="T194" t="e">
        <f>AND(#REF!,"AAAAADlf1xM=")</f>
        <v>#REF!</v>
      </c>
      <c r="U194" t="e">
        <f>AND(#REF!,"AAAAADlf1xQ=")</f>
        <v>#REF!</v>
      </c>
      <c r="V194" t="e">
        <f>AND(#REF!,"AAAAADlf1xU=")</f>
        <v>#REF!</v>
      </c>
      <c r="W194" t="e">
        <f>AND(#REF!,"AAAAADlf1xY=")</f>
        <v>#REF!</v>
      </c>
      <c r="X194" t="e">
        <f>AND(#REF!,"AAAAADlf1xc=")</f>
        <v>#REF!</v>
      </c>
      <c r="Y194" t="e">
        <f>AND(#REF!,"AAAAADlf1xg=")</f>
        <v>#REF!</v>
      </c>
      <c r="Z194" t="e">
        <f>AND(#REF!,"AAAAADlf1xk=")</f>
        <v>#REF!</v>
      </c>
      <c r="AA194" t="e">
        <f>AND(#REF!,"AAAAADlf1xo=")</f>
        <v>#REF!</v>
      </c>
      <c r="AB194" t="e">
        <f>IF(#REF!,"AAAAADlf1xs=",0)</f>
        <v>#REF!</v>
      </c>
      <c r="AC194" t="e">
        <f>AND(#REF!,"AAAAADlf1xw=")</f>
        <v>#REF!</v>
      </c>
      <c r="AD194" t="e">
        <f>AND(#REF!,"AAAAADlf1x0=")</f>
        <v>#REF!</v>
      </c>
      <c r="AE194" t="e">
        <f>AND(#REF!,"AAAAADlf1x4=")</f>
        <v>#REF!</v>
      </c>
      <c r="AF194" t="e">
        <f>AND(#REF!,"AAAAADlf1x8=")</f>
        <v>#REF!</v>
      </c>
      <c r="AG194" t="e">
        <f>AND(#REF!,"AAAAADlf1yA=")</f>
        <v>#REF!</v>
      </c>
      <c r="AH194" t="e">
        <f>AND(#REF!,"AAAAADlf1yE=")</f>
        <v>#REF!</v>
      </c>
      <c r="AI194" t="e">
        <f>AND(#REF!,"AAAAADlf1yI=")</f>
        <v>#REF!</v>
      </c>
      <c r="AJ194" t="e">
        <f>AND(#REF!,"AAAAADlf1yM=")</f>
        <v>#REF!</v>
      </c>
      <c r="AK194" t="e">
        <f>AND(#REF!,"AAAAADlf1yQ=")</f>
        <v>#REF!</v>
      </c>
      <c r="AL194" t="e">
        <f>AND(#REF!,"AAAAADlf1yU=")</f>
        <v>#REF!</v>
      </c>
      <c r="AM194" t="e">
        <f>AND(#REF!,"AAAAADlf1yY=")</f>
        <v>#REF!</v>
      </c>
      <c r="AN194" t="e">
        <f>AND(#REF!,"AAAAADlf1yc=")</f>
        <v>#REF!</v>
      </c>
      <c r="AO194" t="e">
        <f>AND(#REF!,"AAAAADlf1yg=")</f>
        <v>#REF!</v>
      </c>
      <c r="AP194" t="e">
        <f>AND(#REF!,"AAAAADlf1yk=")</f>
        <v>#REF!</v>
      </c>
      <c r="AQ194" t="e">
        <f>AND(#REF!,"AAAAADlf1yo=")</f>
        <v>#REF!</v>
      </c>
      <c r="AR194" t="e">
        <f>AND(#REF!,"AAAAADlf1ys=")</f>
        <v>#REF!</v>
      </c>
      <c r="AS194" t="e">
        <f>AND(#REF!,"AAAAADlf1yw=")</f>
        <v>#REF!</v>
      </c>
      <c r="AT194" t="e">
        <f>AND(#REF!,"AAAAADlf1y0=")</f>
        <v>#REF!</v>
      </c>
      <c r="AU194" t="e">
        <f>AND(#REF!,"AAAAADlf1y4=")</f>
        <v>#REF!</v>
      </c>
      <c r="AV194" t="e">
        <f>AND(#REF!,"AAAAADlf1y8=")</f>
        <v>#REF!</v>
      </c>
      <c r="AW194" t="e">
        <f>AND(#REF!,"AAAAADlf1zA=")</f>
        <v>#REF!</v>
      </c>
      <c r="AX194" t="e">
        <f>AND(#REF!,"AAAAADlf1zE=")</f>
        <v>#REF!</v>
      </c>
      <c r="AY194" t="e">
        <f>AND(#REF!,"AAAAADlf1zI=")</f>
        <v>#REF!</v>
      </c>
      <c r="AZ194" t="e">
        <f>AND(#REF!,"AAAAADlf1zM=")</f>
        <v>#REF!</v>
      </c>
      <c r="BA194" t="e">
        <f>IF(#REF!,"AAAAADlf1zQ=",0)</f>
        <v>#REF!</v>
      </c>
      <c r="BB194" t="e">
        <f>AND(#REF!,"AAAAADlf1zU=")</f>
        <v>#REF!</v>
      </c>
      <c r="BC194" t="e">
        <f>AND(#REF!,"AAAAADlf1zY=")</f>
        <v>#REF!</v>
      </c>
      <c r="BD194" t="e">
        <f>AND(#REF!,"AAAAADlf1zc=")</f>
        <v>#REF!</v>
      </c>
      <c r="BE194" t="e">
        <f>AND(#REF!,"AAAAADlf1zg=")</f>
        <v>#REF!</v>
      </c>
      <c r="BF194" t="e">
        <f>AND(#REF!,"AAAAADlf1zk=")</f>
        <v>#REF!</v>
      </c>
      <c r="BG194" t="e">
        <f>AND(#REF!,"AAAAADlf1zo=")</f>
        <v>#REF!</v>
      </c>
      <c r="BH194" t="e">
        <f>AND(#REF!,"AAAAADlf1zs=")</f>
        <v>#REF!</v>
      </c>
      <c r="BI194" t="e">
        <f>AND(#REF!,"AAAAADlf1zw=")</f>
        <v>#REF!</v>
      </c>
      <c r="BJ194" t="e">
        <f>AND(#REF!,"AAAAADlf1z0=")</f>
        <v>#REF!</v>
      </c>
      <c r="BK194" t="e">
        <f>AND(#REF!,"AAAAADlf1z4=")</f>
        <v>#REF!</v>
      </c>
      <c r="BL194" t="e">
        <f>AND(#REF!,"AAAAADlf1z8=")</f>
        <v>#REF!</v>
      </c>
      <c r="BM194" t="e">
        <f>AND(#REF!,"AAAAADlf10A=")</f>
        <v>#REF!</v>
      </c>
      <c r="BN194" t="e">
        <f>AND(#REF!,"AAAAADlf10E=")</f>
        <v>#REF!</v>
      </c>
      <c r="BO194" t="e">
        <f>AND(#REF!,"AAAAADlf10I=")</f>
        <v>#REF!</v>
      </c>
      <c r="BP194" t="e">
        <f>AND(#REF!,"AAAAADlf10M=")</f>
        <v>#REF!</v>
      </c>
      <c r="BQ194" t="e">
        <f>AND(#REF!,"AAAAADlf10Q=")</f>
        <v>#REF!</v>
      </c>
      <c r="BR194" t="e">
        <f>AND(#REF!,"AAAAADlf10U=")</f>
        <v>#REF!</v>
      </c>
      <c r="BS194" t="e">
        <f>AND(#REF!,"AAAAADlf10Y=")</f>
        <v>#REF!</v>
      </c>
      <c r="BT194" t="e">
        <f>AND(#REF!,"AAAAADlf10c=")</f>
        <v>#REF!</v>
      </c>
      <c r="BU194" t="e">
        <f>AND(#REF!,"AAAAADlf10g=")</f>
        <v>#REF!</v>
      </c>
      <c r="BV194" t="e">
        <f>AND(#REF!,"AAAAADlf10k=")</f>
        <v>#REF!</v>
      </c>
      <c r="BW194" t="e">
        <f>AND(#REF!,"AAAAADlf10o=")</f>
        <v>#REF!</v>
      </c>
      <c r="BX194" t="e">
        <f>AND(#REF!,"AAAAADlf10s=")</f>
        <v>#REF!</v>
      </c>
      <c r="BY194" t="e">
        <f>AND(#REF!,"AAAAADlf10w=")</f>
        <v>#REF!</v>
      </c>
      <c r="BZ194" t="e">
        <f>IF(#REF!,"AAAAADlf100=",0)</f>
        <v>#REF!</v>
      </c>
      <c r="CA194" t="e">
        <f>AND(#REF!,"AAAAADlf104=")</f>
        <v>#REF!</v>
      </c>
      <c r="CB194" t="e">
        <f>AND(#REF!,"AAAAADlf108=")</f>
        <v>#REF!</v>
      </c>
      <c r="CC194" t="e">
        <f>AND(#REF!,"AAAAADlf11A=")</f>
        <v>#REF!</v>
      </c>
      <c r="CD194" t="e">
        <f>AND(#REF!,"AAAAADlf11E=")</f>
        <v>#REF!</v>
      </c>
      <c r="CE194" t="e">
        <f>AND(#REF!,"AAAAADlf11I=")</f>
        <v>#REF!</v>
      </c>
      <c r="CF194" t="e">
        <f>AND(#REF!,"AAAAADlf11M=")</f>
        <v>#REF!</v>
      </c>
      <c r="CG194" t="e">
        <f>AND(#REF!,"AAAAADlf11Q=")</f>
        <v>#REF!</v>
      </c>
      <c r="CH194" t="e">
        <f>AND(#REF!,"AAAAADlf11U=")</f>
        <v>#REF!</v>
      </c>
      <c r="CI194" t="e">
        <f>AND(#REF!,"AAAAADlf11Y=")</f>
        <v>#REF!</v>
      </c>
      <c r="CJ194" t="e">
        <f>AND(#REF!,"AAAAADlf11c=")</f>
        <v>#REF!</v>
      </c>
      <c r="CK194" t="e">
        <f>AND(#REF!,"AAAAADlf11g=")</f>
        <v>#REF!</v>
      </c>
      <c r="CL194" t="e">
        <f>AND(#REF!,"AAAAADlf11k=")</f>
        <v>#REF!</v>
      </c>
      <c r="CM194" t="e">
        <f>AND(#REF!,"AAAAADlf11o=")</f>
        <v>#REF!</v>
      </c>
      <c r="CN194" t="e">
        <f>AND(#REF!,"AAAAADlf11s=")</f>
        <v>#REF!</v>
      </c>
      <c r="CO194" t="e">
        <f>AND(#REF!,"AAAAADlf11w=")</f>
        <v>#REF!</v>
      </c>
      <c r="CP194" t="e">
        <f>AND(#REF!,"AAAAADlf110=")</f>
        <v>#REF!</v>
      </c>
      <c r="CQ194" t="e">
        <f>AND(#REF!,"AAAAADlf114=")</f>
        <v>#REF!</v>
      </c>
      <c r="CR194" t="e">
        <f>AND(#REF!,"AAAAADlf118=")</f>
        <v>#REF!</v>
      </c>
      <c r="CS194" t="e">
        <f>AND(#REF!,"AAAAADlf12A=")</f>
        <v>#REF!</v>
      </c>
      <c r="CT194" t="e">
        <f>AND(#REF!,"AAAAADlf12E=")</f>
        <v>#REF!</v>
      </c>
      <c r="CU194" t="e">
        <f>AND(#REF!,"AAAAADlf12I=")</f>
        <v>#REF!</v>
      </c>
      <c r="CV194" t="e">
        <f>AND(#REF!,"AAAAADlf12M=")</f>
        <v>#REF!</v>
      </c>
      <c r="CW194" t="e">
        <f>AND(#REF!,"AAAAADlf12Q=")</f>
        <v>#REF!</v>
      </c>
      <c r="CX194" t="e">
        <f>AND(#REF!,"AAAAADlf12U=")</f>
        <v>#REF!</v>
      </c>
      <c r="CY194" t="e">
        <f>IF(#REF!,"AAAAADlf12Y=",0)</f>
        <v>#REF!</v>
      </c>
      <c r="CZ194" t="e">
        <f>AND(#REF!,"AAAAADlf12c=")</f>
        <v>#REF!</v>
      </c>
      <c r="DA194" t="e">
        <f>AND(#REF!,"AAAAADlf12g=")</f>
        <v>#REF!</v>
      </c>
      <c r="DB194" t="e">
        <f>AND(#REF!,"AAAAADlf12k=")</f>
        <v>#REF!</v>
      </c>
      <c r="DC194" t="e">
        <f>AND(#REF!,"AAAAADlf12o=")</f>
        <v>#REF!</v>
      </c>
      <c r="DD194" t="e">
        <f>AND(#REF!,"AAAAADlf12s=")</f>
        <v>#REF!</v>
      </c>
      <c r="DE194" t="e">
        <f>AND(#REF!,"AAAAADlf12w=")</f>
        <v>#REF!</v>
      </c>
      <c r="DF194" t="e">
        <f>AND(#REF!,"AAAAADlf120=")</f>
        <v>#REF!</v>
      </c>
      <c r="DG194" t="e">
        <f>AND(#REF!,"AAAAADlf124=")</f>
        <v>#REF!</v>
      </c>
      <c r="DH194" t="e">
        <f>AND(#REF!,"AAAAADlf128=")</f>
        <v>#REF!</v>
      </c>
      <c r="DI194" t="e">
        <f>AND(#REF!,"AAAAADlf13A=")</f>
        <v>#REF!</v>
      </c>
      <c r="DJ194" t="e">
        <f>AND(#REF!,"AAAAADlf13E=")</f>
        <v>#REF!</v>
      </c>
      <c r="DK194" t="e">
        <f>AND(#REF!,"AAAAADlf13I=")</f>
        <v>#REF!</v>
      </c>
      <c r="DL194" t="e">
        <f>AND(#REF!,"AAAAADlf13M=")</f>
        <v>#REF!</v>
      </c>
      <c r="DM194" t="e">
        <f>AND(#REF!,"AAAAADlf13Q=")</f>
        <v>#REF!</v>
      </c>
      <c r="DN194" t="e">
        <f>AND(#REF!,"AAAAADlf13U=")</f>
        <v>#REF!</v>
      </c>
      <c r="DO194" t="e">
        <f>AND(#REF!,"AAAAADlf13Y=")</f>
        <v>#REF!</v>
      </c>
      <c r="DP194" t="e">
        <f>AND(#REF!,"AAAAADlf13c=")</f>
        <v>#REF!</v>
      </c>
      <c r="DQ194" t="e">
        <f>AND(#REF!,"AAAAADlf13g=")</f>
        <v>#REF!</v>
      </c>
      <c r="DR194" t="e">
        <f>AND(#REF!,"AAAAADlf13k=")</f>
        <v>#REF!</v>
      </c>
      <c r="DS194" t="e">
        <f>AND(#REF!,"AAAAADlf13o=")</f>
        <v>#REF!</v>
      </c>
      <c r="DT194" t="e">
        <f>AND(#REF!,"AAAAADlf13s=")</f>
        <v>#REF!</v>
      </c>
      <c r="DU194" t="e">
        <f>AND(#REF!,"AAAAADlf13w=")</f>
        <v>#REF!</v>
      </c>
      <c r="DV194" t="e">
        <f>AND(#REF!,"AAAAADlf130=")</f>
        <v>#REF!</v>
      </c>
      <c r="DW194" t="e">
        <f>AND(#REF!,"AAAAADlf134=")</f>
        <v>#REF!</v>
      </c>
      <c r="DX194" t="e">
        <f>IF(#REF!,"AAAAADlf138=",0)</f>
        <v>#REF!</v>
      </c>
      <c r="DY194" t="e">
        <f>AND(#REF!,"AAAAADlf14A=")</f>
        <v>#REF!</v>
      </c>
      <c r="DZ194" t="e">
        <f>AND(#REF!,"AAAAADlf14E=")</f>
        <v>#REF!</v>
      </c>
      <c r="EA194" t="e">
        <f>AND(#REF!,"AAAAADlf14I=")</f>
        <v>#REF!</v>
      </c>
      <c r="EB194" t="e">
        <f>AND(#REF!,"AAAAADlf14M=")</f>
        <v>#REF!</v>
      </c>
      <c r="EC194" t="e">
        <f>AND(#REF!,"AAAAADlf14Q=")</f>
        <v>#REF!</v>
      </c>
      <c r="ED194" t="e">
        <f>AND(#REF!,"AAAAADlf14U=")</f>
        <v>#REF!</v>
      </c>
      <c r="EE194" t="e">
        <f>AND(#REF!,"AAAAADlf14Y=")</f>
        <v>#REF!</v>
      </c>
      <c r="EF194" t="e">
        <f>AND(#REF!,"AAAAADlf14c=")</f>
        <v>#REF!</v>
      </c>
      <c r="EG194" t="e">
        <f>AND(#REF!,"AAAAADlf14g=")</f>
        <v>#REF!</v>
      </c>
      <c r="EH194" t="e">
        <f>AND(#REF!,"AAAAADlf14k=")</f>
        <v>#REF!</v>
      </c>
      <c r="EI194" t="e">
        <f>AND(#REF!,"AAAAADlf14o=")</f>
        <v>#REF!</v>
      </c>
      <c r="EJ194" t="e">
        <f>AND(#REF!,"AAAAADlf14s=")</f>
        <v>#REF!</v>
      </c>
      <c r="EK194" t="e">
        <f>AND(#REF!,"AAAAADlf14w=")</f>
        <v>#REF!</v>
      </c>
      <c r="EL194" t="e">
        <f>AND(#REF!,"AAAAADlf140=")</f>
        <v>#REF!</v>
      </c>
      <c r="EM194" t="e">
        <f>AND(#REF!,"AAAAADlf144=")</f>
        <v>#REF!</v>
      </c>
      <c r="EN194" t="e">
        <f>AND(#REF!,"AAAAADlf148=")</f>
        <v>#REF!</v>
      </c>
      <c r="EO194" t="e">
        <f>AND(#REF!,"AAAAADlf15A=")</f>
        <v>#REF!</v>
      </c>
      <c r="EP194" t="e">
        <f>AND(#REF!,"AAAAADlf15E=")</f>
        <v>#REF!</v>
      </c>
      <c r="EQ194" t="e">
        <f>AND(#REF!,"AAAAADlf15I=")</f>
        <v>#REF!</v>
      </c>
      <c r="ER194" t="e">
        <f>AND(#REF!,"AAAAADlf15M=")</f>
        <v>#REF!</v>
      </c>
      <c r="ES194" t="e">
        <f>AND(#REF!,"AAAAADlf15Q=")</f>
        <v>#REF!</v>
      </c>
      <c r="ET194" t="e">
        <f>AND(#REF!,"AAAAADlf15U=")</f>
        <v>#REF!</v>
      </c>
      <c r="EU194" t="e">
        <f>AND(#REF!,"AAAAADlf15Y=")</f>
        <v>#REF!</v>
      </c>
      <c r="EV194" t="e">
        <f>AND(#REF!,"AAAAADlf15c=")</f>
        <v>#REF!</v>
      </c>
      <c r="EW194" t="e">
        <f>IF(#REF!,"AAAAADlf15g=",0)</f>
        <v>#REF!</v>
      </c>
      <c r="EX194" t="e">
        <f>AND(#REF!,"AAAAADlf15k=")</f>
        <v>#REF!</v>
      </c>
      <c r="EY194" t="e">
        <f>AND(#REF!,"AAAAADlf15o=")</f>
        <v>#REF!</v>
      </c>
      <c r="EZ194" t="e">
        <f>AND(#REF!,"AAAAADlf15s=")</f>
        <v>#REF!</v>
      </c>
      <c r="FA194" t="e">
        <f>AND(#REF!,"AAAAADlf15w=")</f>
        <v>#REF!</v>
      </c>
      <c r="FB194" t="e">
        <f>AND(#REF!,"AAAAADlf150=")</f>
        <v>#REF!</v>
      </c>
      <c r="FC194" t="e">
        <f>AND(#REF!,"AAAAADlf154=")</f>
        <v>#REF!</v>
      </c>
      <c r="FD194" t="e">
        <f>AND(#REF!,"AAAAADlf158=")</f>
        <v>#REF!</v>
      </c>
      <c r="FE194" t="e">
        <f>AND(#REF!,"AAAAADlf16A=")</f>
        <v>#REF!</v>
      </c>
      <c r="FF194" t="e">
        <f>AND(#REF!,"AAAAADlf16E=")</f>
        <v>#REF!</v>
      </c>
      <c r="FG194" t="e">
        <f>AND(#REF!,"AAAAADlf16I=")</f>
        <v>#REF!</v>
      </c>
      <c r="FH194" t="e">
        <f>AND(#REF!,"AAAAADlf16M=")</f>
        <v>#REF!</v>
      </c>
      <c r="FI194" t="e">
        <f>AND(#REF!,"AAAAADlf16Q=")</f>
        <v>#REF!</v>
      </c>
      <c r="FJ194" t="e">
        <f>AND(#REF!,"AAAAADlf16U=")</f>
        <v>#REF!</v>
      </c>
      <c r="FK194" t="e">
        <f>AND(#REF!,"AAAAADlf16Y=")</f>
        <v>#REF!</v>
      </c>
      <c r="FL194" t="e">
        <f>AND(#REF!,"AAAAADlf16c=")</f>
        <v>#REF!</v>
      </c>
      <c r="FM194" t="e">
        <f>AND(#REF!,"AAAAADlf16g=")</f>
        <v>#REF!</v>
      </c>
      <c r="FN194" t="e">
        <f>AND(#REF!,"AAAAADlf16k=")</f>
        <v>#REF!</v>
      </c>
      <c r="FO194" t="e">
        <f>AND(#REF!,"AAAAADlf16o=")</f>
        <v>#REF!</v>
      </c>
      <c r="FP194" t="e">
        <f>AND(#REF!,"AAAAADlf16s=")</f>
        <v>#REF!</v>
      </c>
      <c r="FQ194" t="e">
        <f>AND(#REF!,"AAAAADlf16w=")</f>
        <v>#REF!</v>
      </c>
      <c r="FR194" t="e">
        <f>AND(#REF!,"AAAAADlf160=")</f>
        <v>#REF!</v>
      </c>
      <c r="FS194" t="e">
        <f>AND(#REF!,"AAAAADlf164=")</f>
        <v>#REF!</v>
      </c>
      <c r="FT194" t="e">
        <f>AND(#REF!,"AAAAADlf168=")</f>
        <v>#REF!</v>
      </c>
      <c r="FU194" t="e">
        <f>AND(#REF!,"AAAAADlf17A=")</f>
        <v>#REF!</v>
      </c>
      <c r="FV194" t="e">
        <f>IF(#REF!,"AAAAADlf17E=",0)</f>
        <v>#REF!</v>
      </c>
      <c r="FW194" t="e">
        <f>AND(#REF!,"AAAAADlf17I=")</f>
        <v>#REF!</v>
      </c>
      <c r="FX194" t="e">
        <f>AND(#REF!,"AAAAADlf17M=")</f>
        <v>#REF!</v>
      </c>
      <c r="FY194" t="e">
        <f>AND(#REF!,"AAAAADlf17Q=")</f>
        <v>#REF!</v>
      </c>
      <c r="FZ194" t="e">
        <f>AND(#REF!,"AAAAADlf17U=")</f>
        <v>#REF!</v>
      </c>
      <c r="GA194" t="e">
        <f>AND(#REF!,"AAAAADlf17Y=")</f>
        <v>#REF!</v>
      </c>
      <c r="GB194" t="e">
        <f>AND(#REF!,"AAAAADlf17c=")</f>
        <v>#REF!</v>
      </c>
      <c r="GC194" t="e">
        <f>AND(#REF!,"AAAAADlf17g=")</f>
        <v>#REF!</v>
      </c>
      <c r="GD194" t="e">
        <f>AND(#REF!,"AAAAADlf17k=")</f>
        <v>#REF!</v>
      </c>
      <c r="GE194" t="e">
        <f>AND(#REF!,"AAAAADlf17o=")</f>
        <v>#REF!</v>
      </c>
      <c r="GF194" t="e">
        <f>AND(#REF!,"AAAAADlf17s=")</f>
        <v>#REF!</v>
      </c>
      <c r="GG194" t="e">
        <f>AND(#REF!,"AAAAADlf17w=")</f>
        <v>#REF!</v>
      </c>
      <c r="GH194" t="e">
        <f>AND(#REF!,"AAAAADlf170=")</f>
        <v>#REF!</v>
      </c>
      <c r="GI194" t="e">
        <f>AND(#REF!,"AAAAADlf174=")</f>
        <v>#REF!</v>
      </c>
      <c r="GJ194" t="e">
        <f>AND(#REF!,"AAAAADlf178=")</f>
        <v>#REF!</v>
      </c>
      <c r="GK194" t="e">
        <f>AND(#REF!,"AAAAADlf18A=")</f>
        <v>#REF!</v>
      </c>
      <c r="GL194" t="e">
        <f>AND(#REF!,"AAAAADlf18E=")</f>
        <v>#REF!</v>
      </c>
      <c r="GM194" t="e">
        <f>AND(#REF!,"AAAAADlf18I=")</f>
        <v>#REF!</v>
      </c>
      <c r="GN194" t="e">
        <f>AND(#REF!,"AAAAADlf18M=")</f>
        <v>#REF!</v>
      </c>
      <c r="GO194" t="e">
        <f>AND(#REF!,"AAAAADlf18Q=")</f>
        <v>#REF!</v>
      </c>
      <c r="GP194" t="e">
        <f>AND(#REF!,"AAAAADlf18U=")</f>
        <v>#REF!</v>
      </c>
      <c r="GQ194" t="e">
        <f>AND(#REF!,"AAAAADlf18Y=")</f>
        <v>#REF!</v>
      </c>
      <c r="GR194" t="e">
        <f>AND(#REF!,"AAAAADlf18c=")</f>
        <v>#REF!</v>
      </c>
      <c r="GS194" t="e">
        <f>AND(#REF!,"AAAAADlf18g=")</f>
        <v>#REF!</v>
      </c>
      <c r="GT194" t="e">
        <f>AND(#REF!,"AAAAADlf18k=")</f>
        <v>#REF!</v>
      </c>
      <c r="GU194" t="e">
        <f>IF(#REF!,"AAAAADlf18o=",0)</f>
        <v>#REF!</v>
      </c>
      <c r="GV194" t="e">
        <f>AND(#REF!,"AAAAADlf18s=")</f>
        <v>#REF!</v>
      </c>
      <c r="GW194" t="e">
        <f>AND(#REF!,"AAAAADlf18w=")</f>
        <v>#REF!</v>
      </c>
      <c r="GX194" t="e">
        <f>AND(#REF!,"AAAAADlf180=")</f>
        <v>#REF!</v>
      </c>
      <c r="GY194" t="e">
        <f>AND(#REF!,"AAAAADlf184=")</f>
        <v>#REF!</v>
      </c>
      <c r="GZ194" t="e">
        <f>AND(#REF!,"AAAAADlf188=")</f>
        <v>#REF!</v>
      </c>
      <c r="HA194" t="e">
        <f>AND(#REF!,"AAAAADlf19A=")</f>
        <v>#REF!</v>
      </c>
      <c r="HB194" t="e">
        <f>AND(#REF!,"AAAAADlf19E=")</f>
        <v>#REF!</v>
      </c>
      <c r="HC194" t="e">
        <f>AND(#REF!,"AAAAADlf19I=")</f>
        <v>#REF!</v>
      </c>
      <c r="HD194" t="e">
        <f>AND(#REF!,"AAAAADlf19M=")</f>
        <v>#REF!</v>
      </c>
      <c r="HE194" t="e">
        <f>AND(#REF!,"AAAAADlf19Q=")</f>
        <v>#REF!</v>
      </c>
      <c r="HF194" t="e">
        <f>AND(#REF!,"AAAAADlf19U=")</f>
        <v>#REF!</v>
      </c>
      <c r="HG194" t="e">
        <f>AND(#REF!,"AAAAADlf19Y=")</f>
        <v>#REF!</v>
      </c>
      <c r="HH194" t="e">
        <f>AND(#REF!,"AAAAADlf19c=")</f>
        <v>#REF!</v>
      </c>
      <c r="HI194" t="e">
        <f>AND(#REF!,"AAAAADlf19g=")</f>
        <v>#REF!</v>
      </c>
      <c r="HJ194" t="e">
        <f>AND(#REF!,"AAAAADlf19k=")</f>
        <v>#REF!</v>
      </c>
      <c r="HK194" t="e">
        <f>AND(#REF!,"AAAAADlf19o=")</f>
        <v>#REF!</v>
      </c>
      <c r="HL194" t="e">
        <f>AND(#REF!,"AAAAADlf19s=")</f>
        <v>#REF!</v>
      </c>
      <c r="HM194" t="e">
        <f>AND(#REF!,"AAAAADlf19w=")</f>
        <v>#REF!</v>
      </c>
      <c r="HN194" t="e">
        <f>AND(#REF!,"AAAAADlf190=")</f>
        <v>#REF!</v>
      </c>
      <c r="HO194" t="e">
        <f>AND(#REF!,"AAAAADlf194=")</f>
        <v>#REF!</v>
      </c>
      <c r="HP194" t="e">
        <f>AND(#REF!,"AAAAADlf198=")</f>
        <v>#REF!</v>
      </c>
      <c r="HQ194" t="e">
        <f>AND(#REF!,"AAAAADlf1+A=")</f>
        <v>#REF!</v>
      </c>
      <c r="HR194" t="e">
        <f>AND(#REF!,"AAAAADlf1+E=")</f>
        <v>#REF!</v>
      </c>
      <c r="HS194" t="e">
        <f>AND(#REF!,"AAAAADlf1+I=")</f>
        <v>#REF!</v>
      </c>
      <c r="HT194" t="e">
        <f>IF(#REF!,"AAAAADlf1+M=",0)</f>
        <v>#REF!</v>
      </c>
      <c r="HU194" t="e">
        <f>AND(#REF!,"AAAAADlf1+Q=")</f>
        <v>#REF!</v>
      </c>
      <c r="HV194" t="e">
        <f>AND(#REF!,"AAAAADlf1+U=")</f>
        <v>#REF!</v>
      </c>
      <c r="HW194" t="e">
        <f>AND(#REF!,"AAAAADlf1+Y=")</f>
        <v>#REF!</v>
      </c>
      <c r="HX194" t="e">
        <f>AND(#REF!,"AAAAADlf1+c=")</f>
        <v>#REF!</v>
      </c>
      <c r="HY194" t="e">
        <f>AND(#REF!,"AAAAADlf1+g=")</f>
        <v>#REF!</v>
      </c>
      <c r="HZ194" t="e">
        <f>AND(#REF!,"AAAAADlf1+k=")</f>
        <v>#REF!</v>
      </c>
      <c r="IA194" t="e">
        <f>AND(#REF!,"AAAAADlf1+o=")</f>
        <v>#REF!</v>
      </c>
      <c r="IB194" t="e">
        <f>AND(#REF!,"AAAAADlf1+s=")</f>
        <v>#REF!</v>
      </c>
      <c r="IC194" t="e">
        <f>AND(#REF!,"AAAAADlf1+w=")</f>
        <v>#REF!</v>
      </c>
      <c r="ID194" t="e">
        <f>AND(#REF!,"AAAAADlf1+0=")</f>
        <v>#REF!</v>
      </c>
      <c r="IE194" t="e">
        <f>AND(#REF!,"AAAAADlf1+4=")</f>
        <v>#REF!</v>
      </c>
      <c r="IF194" t="e">
        <f>AND(#REF!,"AAAAADlf1+8=")</f>
        <v>#REF!</v>
      </c>
      <c r="IG194" t="e">
        <f>AND(#REF!,"AAAAADlf1/A=")</f>
        <v>#REF!</v>
      </c>
      <c r="IH194" t="e">
        <f>AND(#REF!,"AAAAADlf1/E=")</f>
        <v>#REF!</v>
      </c>
      <c r="II194" t="e">
        <f>AND(#REF!,"AAAAADlf1/I=")</f>
        <v>#REF!</v>
      </c>
      <c r="IJ194" t="e">
        <f>AND(#REF!,"AAAAADlf1/M=")</f>
        <v>#REF!</v>
      </c>
      <c r="IK194" t="e">
        <f>AND(#REF!,"AAAAADlf1/Q=")</f>
        <v>#REF!</v>
      </c>
      <c r="IL194" t="e">
        <f>AND(#REF!,"AAAAADlf1/U=")</f>
        <v>#REF!</v>
      </c>
      <c r="IM194" t="e">
        <f>AND(#REF!,"AAAAADlf1/Y=")</f>
        <v>#REF!</v>
      </c>
      <c r="IN194" t="e">
        <f>AND(#REF!,"AAAAADlf1/c=")</f>
        <v>#REF!</v>
      </c>
      <c r="IO194" t="e">
        <f>AND(#REF!,"AAAAADlf1/g=")</f>
        <v>#REF!</v>
      </c>
      <c r="IP194" t="e">
        <f>AND(#REF!,"AAAAADlf1/k=")</f>
        <v>#REF!</v>
      </c>
      <c r="IQ194" t="e">
        <f>AND(#REF!,"AAAAADlf1/o=")</f>
        <v>#REF!</v>
      </c>
      <c r="IR194" t="e">
        <f>AND(#REF!,"AAAAADlf1/s=")</f>
        <v>#REF!</v>
      </c>
      <c r="IS194" t="e">
        <f>IF(#REF!,"AAAAADlf1/w=",0)</f>
        <v>#REF!</v>
      </c>
      <c r="IT194" t="e">
        <f>AND(#REF!,"AAAAADlf1/0=")</f>
        <v>#REF!</v>
      </c>
      <c r="IU194" t="e">
        <f>AND(#REF!,"AAAAADlf1/4=")</f>
        <v>#REF!</v>
      </c>
      <c r="IV194" t="e">
        <f>AND(#REF!,"AAAAADlf1/8=")</f>
        <v>#REF!</v>
      </c>
    </row>
    <row r="195" spans="1:256">
      <c r="A195" t="e">
        <f>AND(#REF!,"AAAAADTOtAA=")</f>
        <v>#REF!</v>
      </c>
      <c r="B195" t="e">
        <f>AND(#REF!,"AAAAADTOtAE=")</f>
        <v>#REF!</v>
      </c>
      <c r="C195" t="e">
        <f>AND(#REF!,"AAAAADTOtAI=")</f>
        <v>#REF!</v>
      </c>
      <c r="D195" t="e">
        <f>AND(#REF!,"AAAAADTOtAM=")</f>
        <v>#REF!</v>
      </c>
      <c r="E195" t="e">
        <f>AND(#REF!,"AAAAADTOtAQ=")</f>
        <v>#REF!</v>
      </c>
      <c r="F195" t="e">
        <f>AND(#REF!,"AAAAADTOtAU=")</f>
        <v>#REF!</v>
      </c>
      <c r="G195" t="e">
        <f>AND(#REF!,"AAAAADTOtAY=")</f>
        <v>#REF!</v>
      </c>
      <c r="H195" t="e">
        <f>AND(#REF!,"AAAAADTOtAc=")</f>
        <v>#REF!</v>
      </c>
      <c r="I195" t="e">
        <f>AND(#REF!,"AAAAADTOtAg=")</f>
        <v>#REF!</v>
      </c>
      <c r="J195" t="e">
        <f>AND(#REF!,"AAAAADTOtAk=")</f>
        <v>#REF!</v>
      </c>
      <c r="K195" t="e">
        <f>AND(#REF!,"AAAAADTOtAo=")</f>
        <v>#REF!</v>
      </c>
      <c r="L195" t="e">
        <f>AND(#REF!,"AAAAADTOtAs=")</f>
        <v>#REF!</v>
      </c>
      <c r="M195" t="e">
        <f>AND(#REF!,"AAAAADTOtAw=")</f>
        <v>#REF!</v>
      </c>
      <c r="N195" t="e">
        <f>AND(#REF!,"AAAAADTOtA0=")</f>
        <v>#REF!</v>
      </c>
      <c r="O195" t="e">
        <f>AND(#REF!,"AAAAADTOtA4=")</f>
        <v>#REF!</v>
      </c>
      <c r="P195" t="e">
        <f>AND(#REF!,"AAAAADTOtA8=")</f>
        <v>#REF!</v>
      </c>
      <c r="Q195" t="e">
        <f>AND(#REF!,"AAAAADTOtBA=")</f>
        <v>#REF!</v>
      </c>
      <c r="R195" t="e">
        <f>AND(#REF!,"AAAAADTOtBE=")</f>
        <v>#REF!</v>
      </c>
      <c r="S195" t="e">
        <f>AND(#REF!,"AAAAADTOtBI=")</f>
        <v>#REF!</v>
      </c>
      <c r="T195" t="e">
        <f>AND(#REF!,"AAAAADTOtBM=")</f>
        <v>#REF!</v>
      </c>
      <c r="U195" t="e">
        <f>AND(#REF!,"AAAAADTOtBQ=")</f>
        <v>#REF!</v>
      </c>
      <c r="V195" t="e">
        <f>IF(#REF!,"AAAAADTOtBU=",0)</f>
        <v>#REF!</v>
      </c>
      <c r="W195" t="e">
        <f>AND(#REF!,"AAAAADTOtBY=")</f>
        <v>#REF!</v>
      </c>
      <c r="X195" t="e">
        <f>AND(#REF!,"AAAAADTOtBc=")</f>
        <v>#REF!</v>
      </c>
      <c r="Y195" t="e">
        <f>AND(#REF!,"AAAAADTOtBg=")</f>
        <v>#REF!</v>
      </c>
      <c r="Z195" t="e">
        <f>AND(#REF!,"AAAAADTOtBk=")</f>
        <v>#REF!</v>
      </c>
      <c r="AA195" t="e">
        <f>AND(#REF!,"AAAAADTOtBo=")</f>
        <v>#REF!</v>
      </c>
      <c r="AB195" t="e">
        <f>AND(#REF!,"AAAAADTOtBs=")</f>
        <v>#REF!</v>
      </c>
      <c r="AC195" t="e">
        <f>AND(#REF!,"AAAAADTOtBw=")</f>
        <v>#REF!</v>
      </c>
      <c r="AD195" t="e">
        <f>AND(#REF!,"AAAAADTOtB0=")</f>
        <v>#REF!</v>
      </c>
      <c r="AE195" t="e">
        <f>AND(#REF!,"AAAAADTOtB4=")</f>
        <v>#REF!</v>
      </c>
      <c r="AF195" t="e">
        <f>AND(#REF!,"AAAAADTOtB8=")</f>
        <v>#REF!</v>
      </c>
      <c r="AG195" t="e">
        <f>AND(#REF!,"AAAAADTOtCA=")</f>
        <v>#REF!</v>
      </c>
      <c r="AH195" t="e">
        <f>AND(#REF!,"AAAAADTOtCE=")</f>
        <v>#REF!</v>
      </c>
      <c r="AI195" t="e">
        <f>AND(#REF!,"AAAAADTOtCI=")</f>
        <v>#REF!</v>
      </c>
      <c r="AJ195" t="e">
        <f>AND(#REF!,"AAAAADTOtCM=")</f>
        <v>#REF!</v>
      </c>
      <c r="AK195" t="e">
        <f>AND(#REF!,"AAAAADTOtCQ=")</f>
        <v>#REF!</v>
      </c>
      <c r="AL195" t="e">
        <f>AND(#REF!,"AAAAADTOtCU=")</f>
        <v>#REF!</v>
      </c>
      <c r="AM195" t="e">
        <f>AND(#REF!,"AAAAADTOtCY=")</f>
        <v>#REF!</v>
      </c>
      <c r="AN195" t="e">
        <f>AND(#REF!,"AAAAADTOtCc=")</f>
        <v>#REF!</v>
      </c>
      <c r="AO195" t="e">
        <f>AND(#REF!,"AAAAADTOtCg=")</f>
        <v>#REF!</v>
      </c>
      <c r="AP195" t="e">
        <f>AND(#REF!,"AAAAADTOtCk=")</f>
        <v>#REF!</v>
      </c>
      <c r="AQ195" t="e">
        <f>AND(#REF!,"AAAAADTOtCo=")</f>
        <v>#REF!</v>
      </c>
      <c r="AR195" t="e">
        <f>AND(#REF!,"AAAAADTOtCs=")</f>
        <v>#REF!</v>
      </c>
      <c r="AS195" t="e">
        <f>AND(#REF!,"AAAAADTOtCw=")</f>
        <v>#REF!</v>
      </c>
      <c r="AT195" t="e">
        <f>AND(#REF!,"AAAAADTOtC0=")</f>
        <v>#REF!</v>
      </c>
      <c r="AU195" t="e">
        <f>IF(#REF!,"AAAAADTOtC4=",0)</f>
        <v>#REF!</v>
      </c>
      <c r="AV195" t="e">
        <f>AND(#REF!,"AAAAADTOtC8=")</f>
        <v>#REF!</v>
      </c>
      <c r="AW195" t="e">
        <f>AND(#REF!,"AAAAADTOtDA=")</f>
        <v>#REF!</v>
      </c>
      <c r="AX195" t="e">
        <f>AND(#REF!,"AAAAADTOtDE=")</f>
        <v>#REF!</v>
      </c>
      <c r="AY195" t="e">
        <f>AND(#REF!,"AAAAADTOtDI=")</f>
        <v>#REF!</v>
      </c>
      <c r="AZ195" t="e">
        <f>AND(#REF!,"AAAAADTOtDM=")</f>
        <v>#REF!</v>
      </c>
      <c r="BA195" t="e">
        <f>AND(#REF!,"AAAAADTOtDQ=")</f>
        <v>#REF!</v>
      </c>
      <c r="BB195" t="e">
        <f>AND(#REF!,"AAAAADTOtDU=")</f>
        <v>#REF!</v>
      </c>
      <c r="BC195" t="e">
        <f>AND(#REF!,"AAAAADTOtDY=")</f>
        <v>#REF!</v>
      </c>
      <c r="BD195" t="e">
        <f>AND(#REF!,"AAAAADTOtDc=")</f>
        <v>#REF!</v>
      </c>
      <c r="BE195" t="e">
        <f>AND(#REF!,"AAAAADTOtDg=")</f>
        <v>#REF!</v>
      </c>
      <c r="BF195" t="e">
        <f>AND(#REF!,"AAAAADTOtDk=")</f>
        <v>#REF!</v>
      </c>
      <c r="BG195" t="e">
        <f>AND(#REF!,"AAAAADTOtDo=")</f>
        <v>#REF!</v>
      </c>
      <c r="BH195" t="e">
        <f>AND(#REF!,"AAAAADTOtDs=")</f>
        <v>#REF!</v>
      </c>
      <c r="BI195" t="e">
        <f>AND(#REF!,"AAAAADTOtDw=")</f>
        <v>#REF!</v>
      </c>
      <c r="BJ195" t="e">
        <f>AND(#REF!,"AAAAADTOtD0=")</f>
        <v>#REF!</v>
      </c>
      <c r="BK195" t="e">
        <f>AND(#REF!,"AAAAADTOtD4=")</f>
        <v>#REF!</v>
      </c>
      <c r="BL195" t="e">
        <f>AND(#REF!,"AAAAADTOtD8=")</f>
        <v>#REF!</v>
      </c>
      <c r="BM195" t="e">
        <f>AND(#REF!,"AAAAADTOtEA=")</f>
        <v>#REF!</v>
      </c>
      <c r="BN195" t="e">
        <f>AND(#REF!,"AAAAADTOtEE=")</f>
        <v>#REF!</v>
      </c>
      <c r="BO195" t="e">
        <f>AND(#REF!,"AAAAADTOtEI=")</f>
        <v>#REF!</v>
      </c>
      <c r="BP195" t="e">
        <f>AND(#REF!,"AAAAADTOtEM=")</f>
        <v>#REF!</v>
      </c>
      <c r="BQ195" t="e">
        <f>AND(#REF!,"AAAAADTOtEQ=")</f>
        <v>#REF!</v>
      </c>
      <c r="BR195" t="e">
        <f>AND(#REF!,"AAAAADTOtEU=")</f>
        <v>#REF!</v>
      </c>
      <c r="BS195" t="e">
        <f>AND(#REF!,"AAAAADTOtEY=")</f>
        <v>#REF!</v>
      </c>
      <c r="BT195" t="e">
        <f>IF(#REF!,"AAAAADTOtEc=",0)</f>
        <v>#REF!</v>
      </c>
      <c r="BU195" t="e">
        <f>AND(#REF!,"AAAAADTOtEg=")</f>
        <v>#REF!</v>
      </c>
      <c r="BV195" t="e">
        <f>AND(#REF!,"AAAAADTOtEk=")</f>
        <v>#REF!</v>
      </c>
      <c r="BW195" t="e">
        <f>AND(#REF!,"AAAAADTOtEo=")</f>
        <v>#REF!</v>
      </c>
      <c r="BX195" t="e">
        <f>AND(#REF!,"AAAAADTOtEs=")</f>
        <v>#REF!</v>
      </c>
      <c r="BY195" t="e">
        <f>AND(#REF!,"AAAAADTOtEw=")</f>
        <v>#REF!</v>
      </c>
      <c r="BZ195" t="e">
        <f>AND(#REF!,"AAAAADTOtE0=")</f>
        <v>#REF!</v>
      </c>
      <c r="CA195" t="e">
        <f>AND(#REF!,"AAAAADTOtE4=")</f>
        <v>#REF!</v>
      </c>
      <c r="CB195" t="e">
        <f>AND(#REF!,"AAAAADTOtE8=")</f>
        <v>#REF!</v>
      </c>
      <c r="CC195" t="e">
        <f>AND(#REF!,"AAAAADTOtFA=")</f>
        <v>#REF!</v>
      </c>
      <c r="CD195" t="e">
        <f>AND(#REF!,"AAAAADTOtFE=")</f>
        <v>#REF!</v>
      </c>
      <c r="CE195" t="e">
        <f>AND(#REF!,"AAAAADTOtFI=")</f>
        <v>#REF!</v>
      </c>
      <c r="CF195" t="e">
        <f>AND(#REF!,"AAAAADTOtFM=")</f>
        <v>#REF!</v>
      </c>
      <c r="CG195" t="e">
        <f>AND(#REF!,"AAAAADTOtFQ=")</f>
        <v>#REF!</v>
      </c>
      <c r="CH195" t="e">
        <f>AND(#REF!,"AAAAADTOtFU=")</f>
        <v>#REF!</v>
      </c>
      <c r="CI195" t="e">
        <f>AND(#REF!,"AAAAADTOtFY=")</f>
        <v>#REF!</v>
      </c>
      <c r="CJ195" t="e">
        <f>AND(#REF!,"AAAAADTOtFc=")</f>
        <v>#REF!</v>
      </c>
      <c r="CK195" t="e">
        <f>AND(#REF!,"AAAAADTOtFg=")</f>
        <v>#REF!</v>
      </c>
      <c r="CL195" t="e">
        <f>AND(#REF!,"AAAAADTOtFk=")</f>
        <v>#REF!</v>
      </c>
      <c r="CM195" t="e">
        <f>AND(#REF!,"AAAAADTOtFo=")</f>
        <v>#REF!</v>
      </c>
      <c r="CN195" t="e">
        <f>AND(#REF!,"AAAAADTOtFs=")</f>
        <v>#REF!</v>
      </c>
      <c r="CO195" t="e">
        <f>AND(#REF!,"AAAAADTOtFw=")</f>
        <v>#REF!</v>
      </c>
      <c r="CP195" t="e">
        <f>AND(#REF!,"AAAAADTOtF0=")</f>
        <v>#REF!</v>
      </c>
      <c r="CQ195" t="e">
        <f>AND(#REF!,"AAAAADTOtF4=")</f>
        <v>#REF!</v>
      </c>
      <c r="CR195" t="e">
        <f>AND(#REF!,"AAAAADTOtF8=")</f>
        <v>#REF!</v>
      </c>
      <c r="CS195" t="e">
        <f>IF(#REF!,"AAAAADTOtGA=",0)</f>
        <v>#REF!</v>
      </c>
      <c r="CT195" t="e">
        <f>AND(#REF!,"AAAAADTOtGE=")</f>
        <v>#REF!</v>
      </c>
      <c r="CU195" t="e">
        <f>AND(#REF!,"AAAAADTOtGI=")</f>
        <v>#REF!</v>
      </c>
      <c r="CV195" t="e">
        <f>AND(#REF!,"AAAAADTOtGM=")</f>
        <v>#REF!</v>
      </c>
      <c r="CW195" t="e">
        <f>AND(#REF!,"AAAAADTOtGQ=")</f>
        <v>#REF!</v>
      </c>
      <c r="CX195" t="e">
        <f>AND(#REF!,"AAAAADTOtGU=")</f>
        <v>#REF!</v>
      </c>
      <c r="CY195" t="e">
        <f>AND(#REF!,"AAAAADTOtGY=")</f>
        <v>#REF!</v>
      </c>
      <c r="CZ195" t="e">
        <f>AND(#REF!,"AAAAADTOtGc=")</f>
        <v>#REF!</v>
      </c>
      <c r="DA195" t="e">
        <f>AND(#REF!,"AAAAADTOtGg=")</f>
        <v>#REF!</v>
      </c>
      <c r="DB195" t="e">
        <f>AND(#REF!,"AAAAADTOtGk=")</f>
        <v>#REF!</v>
      </c>
      <c r="DC195" t="e">
        <f>AND(#REF!,"AAAAADTOtGo=")</f>
        <v>#REF!</v>
      </c>
      <c r="DD195" t="e">
        <f>AND(#REF!,"AAAAADTOtGs=")</f>
        <v>#REF!</v>
      </c>
      <c r="DE195" t="e">
        <f>AND(#REF!,"AAAAADTOtGw=")</f>
        <v>#REF!</v>
      </c>
      <c r="DF195" t="e">
        <f>AND(#REF!,"AAAAADTOtG0=")</f>
        <v>#REF!</v>
      </c>
      <c r="DG195" t="e">
        <f>AND(#REF!,"AAAAADTOtG4=")</f>
        <v>#REF!</v>
      </c>
      <c r="DH195" t="e">
        <f>AND(#REF!,"AAAAADTOtG8=")</f>
        <v>#REF!</v>
      </c>
      <c r="DI195" t="e">
        <f>AND(#REF!,"AAAAADTOtHA=")</f>
        <v>#REF!</v>
      </c>
      <c r="DJ195" t="e">
        <f>AND(#REF!,"AAAAADTOtHE=")</f>
        <v>#REF!</v>
      </c>
      <c r="DK195" t="e">
        <f>AND(#REF!,"AAAAADTOtHI=")</f>
        <v>#REF!</v>
      </c>
      <c r="DL195" t="e">
        <f>AND(#REF!,"AAAAADTOtHM=")</f>
        <v>#REF!</v>
      </c>
      <c r="DM195" t="e">
        <f>AND(#REF!,"AAAAADTOtHQ=")</f>
        <v>#REF!</v>
      </c>
      <c r="DN195" t="e">
        <f>AND(#REF!,"AAAAADTOtHU=")</f>
        <v>#REF!</v>
      </c>
      <c r="DO195" t="e">
        <f>AND(#REF!,"AAAAADTOtHY=")</f>
        <v>#REF!</v>
      </c>
      <c r="DP195" t="e">
        <f>AND(#REF!,"AAAAADTOtHc=")</f>
        <v>#REF!</v>
      </c>
      <c r="DQ195" t="e">
        <f>AND(#REF!,"AAAAADTOtHg=")</f>
        <v>#REF!</v>
      </c>
      <c r="DR195" t="e">
        <f>IF(#REF!,"AAAAADTOtHk=",0)</f>
        <v>#REF!</v>
      </c>
      <c r="DS195" t="e">
        <f>AND(#REF!,"AAAAADTOtHo=")</f>
        <v>#REF!</v>
      </c>
      <c r="DT195" t="e">
        <f>AND(#REF!,"AAAAADTOtHs=")</f>
        <v>#REF!</v>
      </c>
      <c r="DU195" t="e">
        <f>AND(#REF!,"AAAAADTOtHw=")</f>
        <v>#REF!</v>
      </c>
      <c r="DV195" t="e">
        <f>AND(#REF!,"AAAAADTOtH0=")</f>
        <v>#REF!</v>
      </c>
      <c r="DW195" t="e">
        <f>AND(#REF!,"AAAAADTOtH4=")</f>
        <v>#REF!</v>
      </c>
      <c r="DX195" t="e">
        <f>AND(#REF!,"AAAAADTOtH8=")</f>
        <v>#REF!</v>
      </c>
      <c r="DY195" t="e">
        <f>AND(#REF!,"AAAAADTOtIA=")</f>
        <v>#REF!</v>
      </c>
      <c r="DZ195" t="e">
        <f>AND(#REF!,"AAAAADTOtIE=")</f>
        <v>#REF!</v>
      </c>
      <c r="EA195" t="e">
        <f>AND(#REF!,"AAAAADTOtII=")</f>
        <v>#REF!</v>
      </c>
      <c r="EB195" t="e">
        <f>AND(#REF!,"AAAAADTOtIM=")</f>
        <v>#REF!</v>
      </c>
      <c r="EC195" t="e">
        <f>AND(#REF!,"AAAAADTOtIQ=")</f>
        <v>#REF!</v>
      </c>
      <c r="ED195" t="e">
        <f>AND(#REF!,"AAAAADTOtIU=")</f>
        <v>#REF!</v>
      </c>
      <c r="EE195" t="e">
        <f>AND(#REF!,"AAAAADTOtIY=")</f>
        <v>#REF!</v>
      </c>
      <c r="EF195" t="e">
        <f>AND(#REF!,"AAAAADTOtIc=")</f>
        <v>#REF!</v>
      </c>
      <c r="EG195" t="e">
        <f>AND(#REF!,"AAAAADTOtIg=")</f>
        <v>#REF!</v>
      </c>
      <c r="EH195" t="e">
        <f>AND(#REF!,"AAAAADTOtIk=")</f>
        <v>#REF!</v>
      </c>
      <c r="EI195" t="e">
        <f>AND(#REF!,"AAAAADTOtIo=")</f>
        <v>#REF!</v>
      </c>
      <c r="EJ195" t="e">
        <f>AND(#REF!,"AAAAADTOtIs=")</f>
        <v>#REF!</v>
      </c>
      <c r="EK195" t="e">
        <f>AND(#REF!,"AAAAADTOtIw=")</f>
        <v>#REF!</v>
      </c>
      <c r="EL195" t="e">
        <f>AND(#REF!,"AAAAADTOtI0=")</f>
        <v>#REF!</v>
      </c>
      <c r="EM195" t="e">
        <f>AND(#REF!,"AAAAADTOtI4=")</f>
        <v>#REF!</v>
      </c>
      <c r="EN195" t="e">
        <f>AND(#REF!,"AAAAADTOtI8=")</f>
        <v>#REF!</v>
      </c>
      <c r="EO195" t="e">
        <f>AND(#REF!,"AAAAADTOtJA=")</f>
        <v>#REF!</v>
      </c>
      <c r="EP195" t="e">
        <f>AND(#REF!,"AAAAADTOtJE=")</f>
        <v>#REF!</v>
      </c>
      <c r="EQ195" t="e">
        <f>IF(#REF!,"AAAAADTOtJI=",0)</f>
        <v>#REF!</v>
      </c>
      <c r="ER195" t="e">
        <f>AND(#REF!,"AAAAADTOtJM=")</f>
        <v>#REF!</v>
      </c>
      <c r="ES195" t="e">
        <f>AND(#REF!,"AAAAADTOtJQ=")</f>
        <v>#REF!</v>
      </c>
      <c r="ET195" t="e">
        <f>AND(#REF!,"AAAAADTOtJU=")</f>
        <v>#REF!</v>
      </c>
      <c r="EU195" t="e">
        <f>AND(#REF!,"AAAAADTOtJY=")</f>
        <v>#REF!</v>
      </c>
      <c r="EV195" t="e">
        <f>AND(#REF!,"AAAAADTOtJc=")</f>
        <v>#REF!</v>
      </c>
      <c r="EW195" t="e">
        <f>AND(#REF!,"AAAAADTOtJg=")</f>
        <v>#REF!</v>
      </c>
      <c r="EX195" t="e">
        <f>AND(#REF!,"AAAAADTOtJk=")</f>
        <v>#REF!</v>
      </c>
      <c r="EY195" t="e">
        <f>AND(#REF!,"AAAAADTOtJo=")</f>
        <v>#REF!</v>
      </c>
      <c r="EZ195" t="e">
        <f>AND(#REF!,"AAAAADTOtJs=")</f>
        <v>#REF!</v>
      </c>
      <c r="FA195" t="e">
        <f>AND(#REF!,"AAAAADTOtJw=")</f>
        <v>#REF!</v>
      </c>
      <c r="FB195" t="e">
        <f>AND(#REF!,"AAAAADTOtJ0=")</f>
        <v>#REF!</v>
      </c>
      <c r="FC195" t="e">
        <f>AND(#REF!,"AAAAADTOtJ4=")</f>
        <v>#REF!</v>
      </c>
      <c r="FD195" t="e">
        <f>AND(#REF!,"AAAAADTOtJ8=")</f>
        <v>#REF!</v>
      </c>
      <c r="FE195" t="e">
        <f>AND(#REF!,"AAAAADTOtKA=")</f>
        <v>#REF!</v>
      </c>
      <c r="FF195" t="e">
        <f>AND(#REF!,"AAAAADTOtKE=")</f>
        <v>#REF!</v>
      </c>
      <c r="FG195" t="e">
        <f>AND(#REF!,"AAAAADTOtKI=")</f>
        <v>#REF!</v>
      </c>
      <c r="FH195" t="e">
        <f>AND(#REF!,"AAAAADTOtKM=")</f>
        <v>#REF!</v>
      </c>
      <c r="FI195" t="e">
        <f>AND(#REF!,"AAAAADTOtKQ=")</f>
        <v>#REF!</v>
      </c>
      <c r="FJ195" t="e">
        <f>AND(#REF!,"AAAAADTOtKU=")</f>
        <v>#REF!</v>
      </c>
      <c r="FK195" t="e">
        <f>AND(#REF!,"AAAAADTOtKY=")</f>
        <v>#REF!</v>
      </c>
      <c r="FL195" t="e">
        <f>AND(#REF!,"AAAAADTOtKc=")</f>
        <v>#REF!</v>
      </c>
      <c r="FM195" t="e">
        <f>AND(#REF!,"AAAAADTOtKg=")</f>
        <v>#REF!</v>
      </c>
      <c r="FN195" t="e">
        <f>AND(#REF!,"AAAAADTOtKk=")</f>
        <v>#REF!</v>
      </c>
      <c r="FO195" t="e">
        <f>AND(#REF!,"AAAAADTOtKo=")</f>
        <v>#REF!</v>
      </c>
      <c r="FP195" t="e">
        <f>IF(#REF!,"AAAAADTOtKs=",0)</f>
        <v>#REF!</v>
      </c>
      <c r="FQ195" t="e">
        <f>AND(#REF!,"AAAAADTOtKw=")</f>
        <v>#REF!</v>
      </c>
      <c r="FR195" t="e">
        <f>AND(#REF!,"AAAAADTOtK0=")</f>
        <v>#REF!</v>
      </c>
      <c r="FS195" t="e">
        <f>AND(#REF!,"AAAAADTOtK4=")</f>
        <v>#REF!</v>
      </c>
      <c r="FT195" t="e">
        <f>AND(#REF!,"AAAAADTOtK8=")</f>
        <v>#REF!</v>
      </c>
      <c r="FU195" t="e">
        <f>AND(#REF!,"AAAAADTOtLA=")</f>
        <v>#REF!</v>
      </c>
      <c r="FV195" t="e">
        <f>AND(#REF!,"AAAAADTOtLE=")</f>
        <v>#REF!</v>
      </c>
      <c r="FW195" t="e">
        <f>AND(#REF!,"AAAAADTOtLI=")</f>
        <v>#REF!</v>
      </c>
      <c r="FX195" t="e">
        <f>AND(#REF!,"AAAAADTOtLM=")</f>
        <v>#REF!</v>
      </c>
      <c r="FY195" t="e">
        <f>AND(#REF!,"AAAAADTOtLQ=")</f>
        <v>#REF!</v>
      </c>
      <c r="FZ195" t="e">
        <f>AND(#REF!,"AAAAADTOtLU=")</f>
        <v>#REF!</v>
      </c>
      <c r="GA195" t="e">
        <f>AND(#REF!,"AAAAADTOtLY=")</f>
        <v>#REF!</v>
      </c>
      <c r="GB195" t="e">
        <f>AND(#REF!,"AAAAADTOtLc=")</f>
        <v>#REF!</v>
      </c>
      <c r="GC195" t="e">
        <f>AND(#REF!,"AAAAADTOtLg=")</f>
        <v>#REF!</v>
      </c>
      <c r="GD195" t="e">
        <f>AND(#REF!,"AAAAADTOtLk=")</f>
        <v>#REF!</v>
      </c>
      <c r="GE195" t="e">
        <f>AND(#REF!,"AAAAADTOtLo=")</f>
        <v>#REF!</v>
      </c>
      <c r="GF195" t="e">
        <f>AND(#REF!,"AAAAADTOtLs=")</f>
        <v>#REF!</v>
      </c>
      <c r="GG195" t="e">
        <f>AND(#REF!,"AAAAADTOtLw=")</f>
        <v>#REF!</v>
      </c>
      <c r="GH195" t="e">
        <f>AND(#REF!,"AAAAADTOtL0=")</f>
        <v>#REF!</v>
      </c>
      <c r="GI195" t="e">
        <f>AND(#REF!,"AAAAADTOtL4=")</f>
        <v>#REF!</v>
      </c>
      <c r="GJ195" t="e">
        <f>AND(#REF!,"AAAAADTOtL8=")</f>
        <v>#REF!</v>
      </c>
      <c r="GK195" t="e">
        <f>AND(#REF!,"AAAAADTOtMA=")</f>
        <v>#REF!</v>
      </c>
      <c r="GL195" t="e">
        <f>AND(#REF!,"AAAAADTOtME=")</f>
        <v>#REF!</v>
      </c>
      <c r="GM195" t="e">
        <f>AND(#REF!,"AAAAADTOtMI=")</f>
        <v>#REF!</v>
      </c>
      <c r="GN195" t="e">
        <f>AND(#REF!,"AAAAADTOtMM=")</f>
        <v>#REF!</v>
      </c>
      <c r="GO195" t="e">
        <f>IF(#REF!,"AAAAADTOtMQ=",0)</f>
        <v>#REF!</v>
      </c>
      <c r="GP195" t="e">
        <f>AND(#REF!,"AAAAADTOtMU=")</f>
        <v>#REF!</v>
      </c>
      <c r="GQ195" t="e">
        <f>AND(#REF!,"AAAAADTOtMY=")</f>
        <v>#REF!</v>
      </c>
      <c r="GR195" t="e">
        <f>AND(#REF!,"AAAAADTOtMc=")</f>
        <v>#REF!</v>
      </c>
      <c r="GS195" t="e">
        <f>AND(#REF!,"AAAAADTOtMg=")</f>
        <v>#REF!</v>
      </c>
      <c r="GT195" t="e">
        <f>AND(#REF!,"AAAAADTOtMk=")</f>
        <v>#REF!</v>
      </c>
      <c r="GU195" t="e">
        <f>AND(#REF!,"AAAAADTOtMo=")</f>
        <v>#REF!</v>
      </c>
      <c r="GV195" t="e">
        <f>AND(#REF!,"AAAAADTOtMs=")</f>
        <v>#REF!</v>
      </c>
      <c r="GW195" t="e">
        <f>AND(#REF!,"AAAAADTOtMw=")</f>
        <v>#REF!</v>
      </c>
      <c r="GX195" t="e">
        <f>AND(#REF!,"AAAAADTOtM0=")</f>
        <v>#REF!</v>
      </c>
      <c r="GY195" t="e">
        <f>AND(#REF!,"AAAAADTOtM4=")</f>
        <v>#REF!</v>
      </c>
      <c r="GZ195" t="e">
        <f>AND(#REF!,"AAAAADTOtM8=")</f>
        <v>#REF!</v>
      </c>
      <c r="HA195" t="e">
        <f>AND(#REF!,"AAAAADTOtNA=")</f>
        <v>#REF!</v>
      </c>
      <c r="HB195" t="e">
        <f>AND(#REF!,"AAAAADTOtNE=")</f>
        <v>#REF!</v>
      </c>
      <c r="HC195" t="e">
        <f>AND(#REF!,"AAAAADTOtNI=")</f>
        <v>#REF!</v>
      </c>
      <c r="HD195" t="e">
        <f>AND(#REF!,"AAAAADTOtNM=")</f>
        <v>#REF!</v>
      </c>
      <c r="HE195" t="e">
        <f>AND(#REF!,"AAAAADTOtNQ=")</f>
        <v>#REF!</v>
      </c>
      <c r="HF195" t="e">
        <f>AND(#REF!,"AAAAADTOtNU=")</f>
        <v>#REF!</v>
      </c>
      <c r="HG195" t="e">
        <f>AND(#REF!,"AAAAADTOtNY=")</f>
        <v>#REF!</v>
      </c>
      <c r="HH195" t="e">
        <f>AND(#REF!,"AAAAADTOtNc=")</f>
        <v>#REF!</v>
      </c>
      <c r="HI195" t="e">
        <f>AND(#REF!,"AAAAADTOtNg=")</f>
        <v>#REF!</v>
      </c>
      <c r="HJ195" t="e">
        <f>AND(#REF!,"AAAAADTOtNk=")</f>
        <v>#REF!</v>
      </c>
      <c r="HK195" t="e">
        <f>AND(#REF!,"AAAAADTOtNo=")</f>
        <v>#REF!</v>
      </c>
      <c r="HL195" t="e">
        <f>AND(#REF!,"AAAAADTOtNs=")</f>
        <v>#REF!</v>
      </c>
      <c r="HM195" t="e">
        <f>AND(#REF!,"AAAAADTOtNw=")</f>
        <v>#REF!</v>
      </c>
      <c r="HN195" t="e">
        <f>IF(#REF!,"AAAAADTOtN0=",0)</f>
        <v>#REF!</v>
      </c>
      <c r="HO195" t="e">
        <f>AND(#REF!,"AAAAADTOtN4=")</f>
        <v>#REF!</v>
      </c>
      <c r="HP195" t="e">
        <f>AND(#REF!,"AAAAADTOtN8=")</f>
        <v>#REF!</v>
      </c>
      <c r="HQ195" t="e">
        <f>AND(#REF!,"AAAAADTOtOA=")</f>
        <v>#REF!</v>
      </c>
      <c r="HR195" t="e">
        <f>AND(#REF!,"AAAAADTOtOE=")</f>
        <v>#REF!</v>
      </c>
      <c r="HS195" t="e">
        <f>AND(#REF!,"AAAAADTOtOI=")</f>
        <v>#REF!</v>
      </c>
      <c r="HT195" t="e">
        <f>AND(#REF!,"AAAAADTOtOM=")</f>
        <v>#REF!</v>
      </c>
      <c r="HU195" t="e">
        <f>AND(#REF!,"AAAAADTOtOQ=")</f>
        <v>#REF!</v>
      </c>
      <c r="HV195" t="e">
        <f>AND(#REF!,"AAAAADTOtOU=")</f>
        <v>#REF!</v>
      </c>
      <c r="HW195" t="e">
        <f>AND(#REF!,"AAAAADTOtOY=")</f>
        <v>#REF!</v>
      </c>
      <c r="HX195" t="e">
        <f>AND(#REF!,"AAAAADTOtOc=")</f>
        <v>#REF!</v>
      </c>
      <c r="HY195" t="e">
        <f>AND(#REF!,"AAAAADTOtOg=")</f>
        <v>#REF!</v>
      </c>
      <c r="HZ195" t="e">
        <f>AND(#REF!,"AAAAADTOtOk=")</f>
        <v>#REF!</v>
      </c>
      <c r="IA195" t="e">
        <f>AND(#REF!,"AAAAADTOtOo=")</f>
        <v>#REF!</v>
      </c>
      <c r="IB195" t="e">
        <f>AND(#REF!,"AAAAADTOtOs=")</f>
        <v>#REF!</v>
      </c>
      <c r="IC195" t="e">
        <f>AND(#REF!,"AAAAADTOtOw=")</f>
        <v>#REF!</v>
      </c>
      <c r="ID195" t="e">
        <f>AND(#REF!,"AAAAADTOtO0=")</f>
        <v>#REF!</v>
      </c>
      <c r="IE195" t="e">
        <f>AND(#REF!,"AAAAADTOtO4=")</f>
        <v>#REF!</v>
      </c>
      <c r="IF195" t="e">
        <f>AND(#REF!,"AAAAADTOtO8=")</f>
        <v>#REF!</v>
      </c>
      <c r="IG195" t="e">
        <f>AND(#REF!,"AAAAADTOtPA=")</f>
        <v>#REF!</v>
      </c>
      <c r="IH195" t="e">
        <f>AND(#REF!,"AAAAADTOtPE=")</f>
        <v>#REF!</v>
      </c>
      <c r="II195" t="e">
        <f>AND(#REF!,"AAAAADTOtPI=")</f>
        <v>#REF!</v>
      </c>
      <c r="IJ195" t="e">
        <f>AND(#REF!,"AAAAADTOtPM=")</f>
        <v>#REF!</v>
      </c>
      <c r="IK195" t="e">
        <f>AND(#REF!,"AAAAADTOtPQ=")</f>
        <v>#REF!</v>
      </c>
      <c r="IL195" t="e">
        <f>AND(#REF!,"AAAAADTOtPU=")</f>
        <v>#REF!</v>
      </c>
      <c r="IM195" t="e">
        <f>IF(#REF!,"AAAAADTOtPY=",0)</f>
        <v>#REF!</v>
      </c>
      <c r="IN195" t="e">
        <f>AND(#REF!,"AAAAADTOtPc=")</f>
        <v>#REF!</v>
      </c>
      <c r="IO195" t="e">
        <f>AND(#REF!,"AAAAADTOtPg=")</f>
        <v>#REF!</v>
      </c>
      <c r="IP195" t="e">
        <f>AND(#REF!,"AAAAADTOtPk=")</f>
        <v>#REF!</v>
      </c>
      <c r="IQ195" t="e">
        <f>AND(#REF!,"AAAAADTOtPo=")</f>
        <v>#REF!</v>
      </c>
      <c r="IR195" t="e">
        <f>AND(#REF!,"AAAAADTOtPs=")</f>
        <v>#REF!</v>
      </c>
      <c r="IS195" t="e">
        <f>AND(#REF!,"AAAAADTOtPw=")</f>
        <v>#REF!</v>
      </c>
      <c r="IT195" t="e">
        <f>AND(#REF!,"AAAAADTOtP0=")</f>
        <v>#REF!</v>
      </c>
      <c r="IU195" t="e">
        <f>AND(#REF!,"AAAAADTOtP4=")</f>
        <v>#REF!</v>
      </c>
      <c r="IV195" t="e">
        <f>AND(#REF!,"AAAAADTOtP8=")</f>
        <v>#REF!</v>
      </c>
    </row>
    <row r="196" spans="1:256">
      <c r="A196" t="e">
        <f>AND(#REF!,"AAAAAFPH/wA=")</f>
        <v>#REF!</v>
      </c>
      <c r="B196" t="e">
        <f>AND(#REF!,"AAAAAFPH/wE=")</f>
        <v>#REF!</v>
      </c>
      <c r="C196" t="e">
        <f>AND(#REF!,"AAAAAFPH/wI=")</f>
        <v>#REF!</v>
      </c>
      <c r="D196" t="e">
        <f>AND(#REF!,"AAAAAFPH/wM=")</f>
        <v>#REF!</v>
      </c>
      <c r="E196" t="e">
        <f>AND(#REF!,"AAAAAFPH/wQ=")</f>
        <v>#REF!</v>
      </c>
      <c r="F196" t="e">
        <f>AND(#REF!,"AAAAAFPH/wU=")</f>
        <v>#REF!</v>
      </c>
      <c r="G196" t="e">
        <f>AND(#REF!,"AAAAAFPH/wY=")</f>
        <v>#REF!</v>
      </c>
      <c r="H196" t="e">
        <f>AND(#REF!,"AAAAAFPH/wc=")</f>
        <v>#REF!</v>
      </c>
      <c r="I196" t="e">
        <f>AND(#REF!,"AAAAAFPH/wg=")</f>
        <v>#REF!</v>
      </c>
      <c r="J196" t="e">
        <f>AND(#REF!,"AAAAAFPH/wk=")</f>
        <v>#REF!</v>
      </c>
      <c r="K196" t="e">
        <f>AND(#REF!,"AAAAAFPH/wo=")</f>
        <v>#REF!</v>
      </c>
      <c r="L196" t="e">
        <f>AND(#REF!,"AAAAAFPH/ws=")</f>
        <v>#REF!</v>
      </c>
      <c r="M196" t="e">
        <f>AND(#REF!,"AAAAAFPH/ww=")</f>
        <v>#REF!</v>
      </c>
      <c r="N196" t="e">
        <f>AND(#REF!,"AAAAAFPH/w0=")</f>
        <v>#REF!</v>
      </c>
      <c r="O196" t="e">
        <f>AND(#REF!,"AAAAAFPH/w4=")</f>
        <v>#REF!</v>
      </c>
      <c r="P196" t="e">
        <f>IF(#REF!,"AAAAAFPH/w8=",0)</f>
        <v>#REF!</v>
      </c>
      <c r="Q196" t="e">
        <f>AND(#REF!,"AAAAAFPH/xA=")</f>
        <v>#REF!</v>
      </c>
      <c r="R196" t="e">
        <f>AND(#REF!,"AAAAAFPH/xE=")</f>
        <v>#REF!</v>
      </c>
      <c r="S196" t="e">
        <f>AND(#REF!,"AAAAAFPH/xI=")</f>
        <v>#REF!</v>
      </c>
      <c r="T196" t="e">
        <f>AND(#REF!,"AAAAAFPH/xM=")</f>
        <v>#REF!</v>
      </c>
      <c r="U196" t="e">
        <f>AND(#REF!,"AAAAAFPH/xQ=")</f>
        <v>#REF!</v>
      </c>
      <c r="V196" t="e">
        <f>AND(#REF!,"AAAAAFPH/xU=")</f>
        <v>#REF!</v>
      </c>
      <c r="W196" t="e">
        <f>AND(#REF!,"AAAAAFPH/xY=")</f>
        <v>#REF!</v>
      </c>
      <c r="X196" t="e">
        <f>AND(#REF!,"AAAAAFPH/xc=")</f>
        <v>#REF!</v>
      </c>
      <c r="Y196" t="e">
        <f>AND(#REF!,"AAAAAFPH/xg=")</f>
        <v>#REF!</v>
      </c>
      <c r="Z196" t="e">
        <f>AND(#REF!,"AAAAAFPH/xk=")</f>
        <v>#REF!</v>
      </c>
      <c r="AA196" t="e">
        <f>AND(#REF!,"AAAAAFPH/xo=")</f>
        <v>#REF!</v>
      </c>
      <c r="AB196" t="e">
        <f>AND(#REF!,"AAAAAFPH/xs=")</f>
        <v>#REF!</v>
      </c>
      <c r="AC196" t="e">
        <f>AND(#REF!,"AAAAAFPH/xw=")</f>
        <v>#REF!</v>
      </c>
      <c r="AD196" t="e">
        <f>AND(#REF!,"AAAAAFPH/x0=")</f>
        <v>#REF!</v>
      </c>
      <c r="AE196" t="e">
        <f>AND(#REF!,"AAAAAFPH/x4=")</f>
        <v>#REF!</v>
      </c>
      <c r="AF196" t="e">
        <f>AND(#REF!,"AAAAAFPH/x8=")</f>
        <v>#REF!</v>
      </c>
      <c r="AG196" t="e">
        <f>AND(#REF!,"AAAAAFPH/yA=")</f>
        <v>#REF!</v>
      </c>
      <c r="AH196" t="e">
        <f>AND(#REF!,"AAAAAFPH/yE=")</f>
        <v>#REF!</v>
      </c>
      <c r="AI196" t="e">
        <f>AND(#REF!,"AAAAAFPH/yI=")</f>
        <v>#REF!</v>
      </c>
      <c r="AJ196" t="e">
        <f>AND(#REF!,"AAAAAFPH/yM=")</f>
        <v>#REF!</v>
      </c>
      <c r="AK196" t="e">
        <f>AND(#REF!,"AAAAAFPH/yQ=")</f>
        <v>#REF!</v>
      </c>
      <c r="AL196" t="e">
        <f>AND(#REF!,"AAAAAFPH/yU=")</f>
        <v>#REF!</v>
      </c>
      <c r="AM196" t="e">
        <f>AND(#REF!,"AAAAAFPH/yY=")</f>
        <v>#REF!</v>
      </c>
      <c r="AN196" t="e">
        <f>AND(#REF!,"AAAAAFPH/yc=")</f>
        <v>#REF!</v>
      </c>
      <c r="AO196" t="e">
        <f>IF(#REF!,"AAAAAFPH/yg=",0)</f>
        <v>#REF!</v>
      </c>
      <c r="AP196" t="e">
        <f>AND(#REF!,"AAAAAFPH/yk=")</f>
        <v>#REF!</v>
      </c>
      <c r="AQ196" t="e">
        <f>AND(#REF!,"AAAAAFPH/yo=")</f>
        <v>#REF!</v>
      </c>
      <c r="AR196" t="e">
        <f>AND(#REF!,"AAAAAFPH/ys=")</f>
        <v>#REF!</v>
      </c>
      <c r="AS196" t="e">
        <f>AND(#REF!,"AAAAAFPH/yw=")</f>
        <v>#REF!</v>
      </c>
      <c r="AT196" t="e">
        <f>AND(#REF!,"AAAAAFPH/y0=")</f>
        <v>#REF!</v>
      </c>
      <c r="AU196" t="e">
        <f>AND(#REF!,"AAAAAFPH/y4=")</f>
        <v>#REF!</v>
      </c>
      <c r="AV196" t="e">
        <f>AND(#REF!,"AAAAAFPH/y8=")</f>
        <v>#REF!</v>
      </c>
      <c r="AW196" t="e">
        <f>AND(#REF!,"AAAAAFPH/zA=")</f>
        <v>#REF!</v>
      </c>
      <c r="AX196" t="e">
        <f>AND(#REF!,"AAAAAFPH/zE=")</f>
        <v>#REF!</v>
      </c>
      <c r="AY196" t="e">
        <f>AND(#REF!,"AAAAAFPH/zI=")</f>
        <v>#REF!</v>
      </c>
      <c r="AZ196" t="e">
        <f>AND(#REF!,"AAAAAFPH/zM=")</f>
        <v>#REF!</v>
      </c>
      <c r="BA196" t="e">
        <f>AND(#REF!,"AAAAAFPH/zQ=")</f>
        <v>#REF!</v>
      </c>
      <c r="BB196" t="e">
        <f>AND(#REF!,"AAAAAFPH/zU=")</f>
        <v>#REF!</v>
      </c>
      <c r="BC196" t="e">
        <f>AND(#REF!,"AAAAAFPH/zY=")</f>
        <v>#REF!</v>
      </c>
      <c r="BD196" t="e">
        <f>AND(#REF!,"AAAAAFPH/zc=")</f>
        <v>#REF!</v>
      </c>
      <c r="BE196" t="e">
        <f>AND(#REF!,"AAAAAFPH/zg=")</f>
        <v>#REF!</v>
      </c>
      <c r="BF196" t="e">
        <f>AND(#REF!,"AAAAAFPH/zk=")</f>
        <v>#REF!</v>
      </c>
      <c r="BG196" t="e">
        <f>AND(#REF!,"AAAAAFPH/zo=")</f>
        <v>#REF!</v>
      </c>
      <c r="BH196" t="e">
        <f>AND(#REF!,"AAAAAFPH/zs=")</f>
        <v>#REF!</v>
      </c>
      <c r="BI196" t="e">
        <f>AND(#REF!,"AAAAAFPH/zw=")</f>
        <v>#REF!</v>
      </c>
      <c r="BJ196" t="e">
        <f>AND(#REF!,"AAAAAFPH/z0=")</f>
        <v>#REF!</v>
      </c>
      <c r="BK196" t="e">
        <f>AND(#REF!,"AAAAAFPH/z4=")</f>
        <v>#REF!</v>
      </c>
      <c r="BL196" t="e">
        <f>AND(#REF!,"AAAAAFPH/z8=")</f>
        <v>#REF!</v>
      </c>
      <c r="BM196" t="e">
        <f>AND(#REF!,"AAAAAFPH/0A=")</f>
        <v>#REF!</v>
      </c>
      <c r="BN196" t="e">
        <f>IF(#REF!,"AAAAAFPH/0E=",0)</f>
        <v>#REF!</v>
      </c>
      <c r="BO196" t="e">
        <f>AND(#REF!,"AAAAAFPH/0I=")</f>
        <v>#REF!</v>
      </c>
      <c r="BP196" t="e">
        <f>AND(#REF!,"AAAAAFPH/0M=")</f>
        <v>#REF!</v>
      </c>
      <c r="BQ196" t="e">
        <f>AND(#REF!,"AAAAAFPH/0Q=")</f>
        <v>#REF!</v>
      </c>
      <c r="BR196" t="e">
        <f>AND(#REF!,"AAAAAFPH/0U=")</f>
        <v>#REF!</v>
      </c>
      <c r="BS196" t="e">
        <f>AND(#REF!,"AAAAAFPH/0Y=")</f>
        <v>#REF!</v>
      </c>
      <c r="BT196" t="e">
        <f>AND(#REF!,"AAAAAFPH/0c=")</f>
        <v>#REF!</v>
      </c>
      <c r="BU196" t="e">
        <f>AND(#REF!,"AAAAAFPH/0g=")</f>
        <v>#REF!</v>
      </c>
      <c r="BV196" t="e">
        <f>AND(#REF!,"AAAAAFPH/0k=")</f>
        <v>#REF!</v>
      </c>
      <c r="BW196" t="e">
        <f>AND(#REF!,"AAAAAFPH/0o=")</f>
        <v>#REF!</v>
      </c>
      <c r="BX196" t="e">
        <f>AND(#REF!,"AAAAAFPH/0s=")</f>
        <v>#REF!</v>
      </c>
      <c r="BY196" t="e">
        <f>AND(#REF!,"AAAAAFPH/0w=")</f>
        <v>#REF!</v>
      </c>
      <c r="BZ196" t="e">
        <f>AND(#REF!,"AAAAAFPH/00=")</f>
        <v>#REF!</v>
      </c>
      <c r="CA196" t="e">
        <f>AND(#REF!,"AAAAAFPH/04=")</f>
        <v>#REF!</v>
      </c>
      <c r="CB196" t="e">
        <f>AND(#REF!,"AAAAAFPH/08=")</f>
        <v>#REF!</v>
      </c>
      <c r="CC196" t="e">
        <f>AND(#REF!,"AAAAAFPH/1A=")</f>
        <v>#REF!</v>
      </c>
      <c r="CD196" t="e">
        <f>AND(#REF!,"AAAAAFPH/1E=")</f>
        <v>#REF!</v>
      </c>
      <c r="CE196" t="e">
        <f>AND(#REF!,"AAAAAFPH/1I=")</f>
        <v>#REF!</v>
      </c>
      <c r="CF196" t="e">
        <f>AND(#REF!,"AAAAAFPH/1M=")</f>
        <v>#REF!</v>
      </c>
      <c r="CG196" t="e">
        <f>AND(#REF!,"AAAAAFPH/1Q=")</f>
        <v>#REF!</v>
      </c>
      <c r="CH196" t="e">
        <f>AND(#REF!,"AAAAAFPH/1U=")</f>
        <v>#REF!</v>
      </c>
      <c r="CI196" t="e">
        <f>AND(#REF!,"AAAAAFPH/1Y=")</f>
        <v>#REF!</v>
      </c>
      <c r="CJ196" t="e">
        <f>AND(#REF!,"AAAAAFPH/1c=")</f>
        <v>#REF!</v>
      </c>
      <c r="CK196" t="e">
        <f>AND(#REF!,"AAAAAFPH/1g=")</f>
        <v>#REF!</v>
      </c>
      <c r="CL196" t="e">
        <f>AND(#REF!,"AAAAAFPH/1k=")</f>
        <v>#REF!</v>
      </c>
      <c r="CM196" t="e">
        <f>IF(#REF!,"AAAAAFPH/1o=",0)</f>
        <v>#REF!</v>
      </c>
      <c r="CN196" t="e">
        <f>AND(#REF!,"AAAAAFPH/1s=")</f>
        <v>#REF!</v>
      </c>
      <c r="CO196" t="e">
        <f>AND(#REF!,"AAAAAFPH/1w=")</f>
        <v>#REF!</v>
      </c>
      <c r="CP196" t="e">
        <f>AND(#REF!,"AAAAAFPH/10=")</f>
        <v>#REF!</v>
      </c>
      <c r="CQ196" t="e">
        <f>AND(#REF!,"AAAAAFPH/14=")</f>
        <v>#REF!</v>
      </c>
      <c r="CR196" t="e">
        <f>AND(#REF!,"AAAAAFPH/18=")</f>
        <v>#REF!</v>
      </c>
      <c r="CS196" t="e">
        <f>AND(#REF!,"AAAAAFPH/2A=")</f>
        <v>#REF!</v>
      </c>
      <c r="CT196" t="e">
        <f>AND(#REF!,"AAAAAFPH/2E=")</f>
        <v>#REF!</v>
      </c>
      <c r="CU196" t="e">
        <f>AND(#REF!,"AAAAAFPH/2I=")</f>
        <v>#REF!</v>
      </c>
      <c r="CV196" t="e">
        <f>AND(#REF!,"AAAAAFPH/2M=")</f>
        <v>#REF!</v>
      </c>
      <c r="CW196" t="e">
        <f>AND(#REF!,"AAAAAFPH/2Q=")</f>
        <v>#REF!</v>
      </c>
      <c r="CX196" t="e">
        <f>AND(#REF!,"AAAAAFPH/2U=")</f>
        <v>#REF!</v>
      </c>
      <c r="CY196" t="e">
        <f>AND(#REF!,"AAAAAFPH/2Y=")</f>
        <v>#REF!</v>
      </c>
      <c r="CZ196" t="e">
        <f>AND(#REF!,"AAAAAFPH/2c=")</f>
        <v>#REF!</v>
      </c>
      <c r="DA196" t="e">
        <f>AND(#REF!,"AAAAAFPH/2g=")</f>
        <v>#REF!</v>
      </c>
      <c r="DB196" t="e">
        <f>AND(#REF!,"AAAAAFPH/2k=")</f>
        <v>#REF!</v>
      </c>
      <c r="DC196" t="e">
        <f>AND(#REF!,"AAAAAFPH/2o=")</f>
        <v>#REF!</v>
      </c>
      <c r="DD196" t="e">
        <f>AND(#REF!,"AAAAAFPH/2s=")</f>
        <v>#REF!</v>
      </c>
      <c r="DE196" t="e">
        <f>AND(#REF!,"AAAAAFPH/2w=")</f>
        <v>#REF!</v>
      </c>
      <c r="DF196" t="e">
        <f>AND(#REF!,"AAAAAFPH/20=")</f>
        <v>#REF!</v>
      </c>
      <c r="DG196" t="e">
        <f>AND(#REF!,"AAAAAFPH/24=")</f>
        <v>#REF!</v>
      </c>
      <c r="DH196" t="e">
        <f>AND(#REF!,"AAAAAFPH/28=")</f>
        <v>#REF!</v>
      </c>
      <c r="DI196" t="e">
        <f>AND(#REF!,"AAAAAFPH/3A=")</f>
        <v>#REF!</v>
      </c>
      <c r="DJ196" t="e">
        <f>AND(#REF!,"AAAAAFPH/3E=")</f>
        <v>#REF!</v>
      </c>
      <c r="DK196" t="e">
        <f>AND(#REF!,"AAAAAFPH/3I=")</f>
        <v>#REF!</v>
      </c>
      <c r="DL196" t="e">
        <f>IF(#REF!,"AAAAAFPH/3M=",0)</f>
        <v>#REF!</v>
      </c>
      <c r="DM196" t="e">
        <f>AND(#REF!,"AAAAAFPH/3Q=")</f>
        <v>#REF!</v>
      </c>
      <c r="DN196" t="e">
        <f>AND(#REF!,"AAAAAFPH/3U=")</f>
        <v>#REF!</v>
      </c>
      <c r="DO196" t="e">
        <f>AND(#REF!,"AAAAAFPH/3Y=")</f>
        <v>#REF!</v>
      </c>
      <c r="DP196" t="e">
        <f>AND(#REF!,"AAAAAFPH/3c=")</f>
        <v>#REF!</v>
      </c>
      <c r="DQ196" t="e">
        <f>AND(#REF!,"AAAAAFPH/3g=")</f>
        <v>#REF!</v>
      </c>
      <c r="DR196" t="e">
        <f>AND(#REF!,"AAAAAFPH/3k=")</f>
        <v>#REF!</v>
      </c>
      <c r="DS196" t="e">
        <f>AND(#REF!,"AAAAAFPH/3o=")</f>
        <v>#REF!</v>
      </c>
      <c r="DT196" t="e">
        <f>AND(#REF!,"AAAAAFPH/3s=")</f>
        <v>#REF!</v>
      </c>
      <c r="DU196" t="e">
        <f>AND(#REF!,"AAAAAFPH/3w=")</f>
        <v>#REF!</v>
      </c>
      <c r="DV196" t="e">
        <f>AND(#REF!,"AAAAAFPH/30=")</f>
        <v>#REF!</v>
      </c>
      <c r="DW196" t="e">
        <f>AND(#REF!,"AAAAAFPH/34=")</f>
        <v>#REF!</v>
      </c>
      <c r="DX196" t="e">
        <f>AND(#REF!,"AAAAAFPH/38=")</f>
        <v>#REF!</v>
      </c>
      <c r="DY196" t="e">
        <f>AND(#REF!,"AAAAAFPH/4A=")</f>
        <v>#REF!</v>
      </c>
      <c r="DZ196" t="e">
        <f>AND(#REF!,"AAAAAFPH/4E=")</f>
        <v>#REF!</v>
      </c>
      <c r="EA196" t="e">
        <f>AND(#REF!,"AAAAAFPH/4I=")</f>
        <v>#REF!</v>
      </c>
      <c r="EB196" t="e">
        <f>AND(#REF!,"AAAAAFPH/4M=")</f>
        <v>#REF!</v>
      </c>
      <c r="EC196" t="e">
        <f>AND(#REF!,"AAAAAFPH/4Q=")</f>
        <v>#REF!</v>
      </c>
      <c r="ED196" t="e">
        <f>AND(#REF!,"AAAAAFPH/4U=")</f>
        <v>#REF!</v>
      </c>
      <c r="EE196" t="e">
        <f>AND(#REF!,"AAAAAFPH/4Y=")</f>
        <v>#REF!</v>
      </c>
      <c r="EF196" t="e">
        <f>AND(#REF!,"AAAAAFPH/4c=")</f>
        <v>#REF!</v>
      </c>
      <c r="EG196" t="e">
        <f>AND(#REF!,"AAAAAFPH/4g=")</f>
        <v>#REF!</v>
      </c>
      <c r="EH196" t="e">
        <f>AND(#REF!,"AAAAAFPH/4k=")</f>
        <v>#REF!</v>
      </c>
      <c r="EI196" t="e">
        <f>AND(#REF!,"AAAAAFPH/4o=")</f>
        <v>#REF!</v>
      </c>
      <c r="EJ196" t="e">
        <f>AND(#REF!,"AAAAAFPH/4s=")</f>
        <v>#REF!</v>
      </c>
      <c r="EK196" t="e">
        <f>IF(#REF!,"AAAAAFPH/4w=",0)</f>
        <v>#REF!</v>
      </c>
      <c r="EL196" t="e">
        <f>AND(#REF!,"AAAAAFPH/40=")</f>
        <v>#REF!</v>
      </c>
      <c r="EM196" t="e">
        <f>AND(#REF!,"AAAAAFPH/44=")</f>
        <v>#REF!</v>
      </c>
      <c r="EN196" t="e">
        <f>AND(#REF!,"AAAAAFPH/48=")</f>
        <v>#REF!</v>
      </c>
      <c r="EO196" t="e">
        <f>AND(#REF!,"AAAAAFPH/5A=")</f>
        <v>#REF!</v>
      </c>
      <c r="EP196" t="e">
        <f>AND(#REF!,"AAAAAFPH/5E=")</f>
        <v>#REF!</v>
      </c>
      <c r="EQ196" t="e">
        <f>AND(#REF!,"AAAAAFPH/5I=")</f>
        <v>#REF!</v>
      </c>
      <c r="ER196" t="e">
        <f>AND(#REF!,"AAAAAFPH/5M=")</f>
        <v>#REF!</v>
      </c>
      <c r="ES196" t="e">
        <f>AND(#REF!,"AAAAAFPH/5Q=")</f>
        <v>#REF!</v>
      </c>
      <c r="ET196" t="e">
        <f>AND(#REF!,"AAAAAFPH/5U=")</f>
        <v>#REF!</v>
      </c>
      <c r="EU196" t="e">
        <f>AND(#REF!,"AAAAAFPH/5Y=")</f>
        <v>#REF!</v>
      </c>
      <c r="EV196" t="e">
        <f>AND(#REF!,"AAAAAFPH/5c=")</f>
        <v>#REF!</v>
      </c>
      <c r="EW196" t="e">
        <f>AND(#REF!,"AAAAAFPH/5g=")</f>
        <v>#REF!</v>
      </c>
      <c r="EX196" t="e">
        <f>AND(#REF!,"AAAAAFPH/5k=")</f>
        <v>#REF!</v>
      </c>
      <c r="EY196" t="e">
        <f>AND(#REF!,"AAAAAFPH/5o=")</f>
        <v>#REF!</v>
      </c>
      <c r="EZ196" t="e">
        <f>AND(#REF!,"AAAAAFPH/5s=")</f>
        <v>#REF!</v>
      </c>
      <c r="FA196" t="e">
        <f>AND(#REF!,"AAAAAFPH/5w=")</f>
        <v>#REF!</v>
      </c>
      <c r="FB196" t="e">
        <f>AND(#REF!,"AAAAAFPH/50=")</f>
        <v>#REF!</v>
      </c>
      <c r="FC196" t="e">
        <f>AND(#REF!,"AAAAAFPH/54=")</f>
        <v>#REF!</v>
      </c>
      <c r="FD196" t="e">
        <f>AND(#REF!,"AAAAAFPH/58=")</f>
        <v>#REF!</v>
      </c>
      <c r="FE196" t="e">
        <f>AND(#REF!,"AAAAAFPH/6A=")</f>
        <v>#REF!</v>
      </c>
      <c r="FF196" t="e">
        <f>AND(#REF!,"AAAAAFPH/6E=")</f>
        <v>#REF!</v>
      </c>
      <c r="FG196" t="e">
        <f>AND(#REF!,"AAAAAFPH/6I=")</f>
        <v>#REF!</v>
      </c>
      <c r="FH196" t="e">
        <f>AND(#REF!,"AAAAAFPH/6M=")</f>
        <v>#REF!</v>
      </c>
      <c r="FI196" t="e">
        <f>AND(#REF!,"AAAAAFPH/6Q=")</f>
        <v>#REF!</v>
      </c>
      <c r="FJ196" t="e">
        <f>IF(#REF!,"AAAAAFPH/6U=",0)</f>
        <v>#REF!</v>
      </c>
      <c r="FK196" t="e">
        <f>AND(#REF!,"AAAAAFPH/6Y=")</f>
        <v>#REF!</v>
      </c>
      <c r="FL196" t="e">
        <f>AND(#REF!,"AAAAAFPH/6c=")</f>
        <v>#REF!</v>
      </c>
      <c r="FM196" t="e">
        <f>AND(#REF!,"AAAAAFPH/6g=")</f>
        <v>#REF!</v>
      </c>
      <c r="FN196" t="e">
        <f>AND(#REF!,"AAAAAFPH/6k=")</f>
        <v>#REF!</v>
      </c>
      <c r="FO196" t="e">
        <f>AND(#REF!,"AAAAAFPH/6o=")</f>
        <v>#REF!</v>
      </c>
      <c r="FP196" t="e">
        <f>AND(#REF!,"AAAAAFPH/6s=")</f>
        <v>#REF!</v>
      </c>
      <c r="FQ196" t="e">
        <f>AND(#REF!,"AAAAAFPH/6w=")</f>
        <v>#REF!</v>
      </c>
      <c r="FR196" t="e">
        <f>AND(#REF!,"AAAAAFPH/60=")</f>
        <v>#REF!</v>
      </c>
      <c r="FS196" t="e">
        <f>AND(#REF!,"AAAAAFPH/64=")</f>
        <v>#REF!</v>
      </c>
      <c r="FT196" t="e">
        <f>AND(#REF!,"AAAAAFPH/68=")</f>
        <v>#REF!</v>
      </c>
      <c r="FU196" t="e">
        <f>AND(#REF!,"AAAAAFPH/7A=")</f>
        <v>#REF!</v>
      </c>
      <c r="FV196" t="e">
        <f>AND(#REF!,"AAAAAFPH/7E=")</f>
        <v>#REF!</v>
      </c>
      <c r="FW196" t="e">
        <f>AND(#REF!,"AAAAAFPH/7I=")</f>
        <v>#REF!</v>
      </c>
      <c r="FX196" t="e">
        <f>AND(#REF!,"AAAAAFPH/7M=")</f>
        <v>#REF!</v>
      </c>
      <c r="FY196" t="e">
        <f>AND(#REF!,"AAAAAFPH/7Q=")</f>
        <v>#REF!</v>
      </c>
      <c r="FZ196" t="e">
        <f>AND(#REF!,"AAAAAFPH/7U=")</f>
        <v>#REF!</v>
      </c>
      <c r="GA196" t="e">
        <f>AND(#REF!,"AAAAAFPH/7Y=")</f>
        <v>#REF!</v>
      </c>
      <c r="GB196" t="e">
        <f>AND(#REF!,"AAAAAFPH/7c=")</f>
        <v>#REF!</v>
      </c>
      <c r="GC196" t="e">
        <f>AND(#REF!,"AAAAAFPH/7g=")</f>
        <v>#REF!</v>
      </c>
      <c r="GD196" t="e">
        <f>AND(#REF!,"AAAAAFPH/7k=")</f>
        <v>#REF!</v>
      </c>
      <c r="GE196" t="e">
        <f>AND(#REF!,"AAAAAFPH/7o=")</f>
        <v>#REF!</v>
      </c>
      <c r="GF196" t="e">
        <f>AND(#REF!,"AAAAAFPH/7s=")</f>
        <v>#REF!</v>
      </c>
      <c r="GG196" t="e">
        <f>AND(#REF!,"AAAAAFPH/7w=")</f>
        <v>#REF!</v>
      </c>
      <c r="GH196" t="e">
        <f>AND(#REF!,"AAAAAFPH/70=")</f>
        <v>#REF!</v>
      </c>
      <c r="GI196" t="e">
        <f>IF(#REF!,"AAAAAFPH/74=",0)</f>
        <v>#REF!</v>
      </c>
      <c r="GJ196" t="e">
        <f>AND(#REF!,"AAAAAFPH/78=")</f>
        <v>#REF!</v>
      </c>
      <c r="GK196" t="e">
        <f>AND(#REF!,"AAAAAFPH/8A=")</f>
        <v>#REF!</v>
      </c>
      <c r="GL196" t="e">
        <f>AND(#REF!,"AAAAAFPH/8E=")</f>
        <v>#REF!</v>
      </c>
      <c r="GM196" t="e">
        <f>AND(#REF!,"AAAAAFPH/8I=")</f>
        <v>#REF!</v>
      </c>
      <c r="GN196" t="e">
        <f>AND(#REF!,"AAAAAFPH/8M=")</f>
        <v>#REF!</v>
      </c>
      <c r="GO196" t="e">
        <f>AND(#REF!,"AAAAAFPH/8Q=")</f>
        <v>#REF!</v>
      </c>
      <c r="GP196" t="e">
        <f>AND(#REF!,"AAAAAFPH/8U=")</f>
        <v>#REF!</v>
      </c>
      <c r="GQ196" t="e">
        <f>AND(#REF!,"AAAAAFPH/8Y=")</f>
        <v>#REF!</v>
      </c>
      <c r="GR196" t="e">
        <f>AND(#REF!,"AAAAAFPH/8c=")</f>
        <v>#REF!</v>
      </c>
      <c r="GS196" t="e">
        <f>AND(#REF!,"AAAAAFPH/8g=")</f>
        <v>#REF!</v>
      </c>
      <c r="GT196" t="e">
        <f>AND(#REF!,"AAAAAFPH/8k=")</f>
        <v>#REF!</v>
      </c>
      <c r="GU196" t="e">
        <f>AND(#REF!,"AAAAAFPH/8o=")</f>
        <v>#REF!</v>
      </c>
      <c r="GV196" t="e">
        <f>AND(#REF!,"AAAAAFPH/8s=")</f>
        <v>#REF!</v>
      </c>
      <c r="GW196" t="e">
        <f>AND(#REF!,"AAAAAFPH/8w=")</f>
        <v>#REF!</v>
      </c>
      <c r="GX196" t="e">
        <f>AND(#REF!,"AAAAAFPH/80=")</f>
        <v>#REF!</v>
      </c>
      <c r="GY196" t="e">
        <f>AND(#REF!,"AAAAAFPH/84=")</f>
        <v>#REF!</v>
      </c>
      <c r="GZ196" t="e">
        <f>AND(#REF!,"AAAAAFPH/88=")</f>
        <v>#REF!</v>
      </c>
      <c r="HA196" t="e">
        <f>AND(#REF!,"AAAAAFPH/9A=")</f>
        <v>#REF!</v>
      </c>
      <c r="HB196" t="e">
        <f>AND(#REF!,"AAAAAFPH/9E=")</f>
        <v>#REF!</v>
      </c>
      <c r="HC196" t="e">
        <f>AND(#REF!,"AAAAAFPH/9I=")</f>
        <v>#REF!</v>
      </c>
      <c r="HD196" t="e">
        <f>AND(#REF!,"AAAAAFPH/9M=")</f>
        <v>#REF!</v>
      </c>
      <c r="HE196" t="e">
        <f>AND(#REF!,"AAAAAFPH/9Q=")</f>
        <v>#REF!</v>
      </c>
      <c r="HF196" t="e">
        <f>AND(#REF!,"AAAAAFPH/9U=")</f>
        <v>#REF!</v>
      </c>
      <c r="HG196" t="e">
        <f>AND(#REF!,"AAAAAFPH/9Y=")</f>
        <v>#REF!</v>
      </c>
      <c r="HH196" t="e">
        <f>IF(#REF!,"AAAAAFPH/9c=",0)</f>
        <v>#REF!</v>
      </c>
      <c r="HI196" t="e">
        <f>AND(#REF!,"AAAAAFPH/9g=")</f>
        <v>#REF!</v>
      </c>
      <c r="HJ196" t="e">
        <f>AND(#REF!,"AAAAAFPH/9k=")</f>
        <v>#REF!</v>
      </c>
      <c r="HK196" t="e">
        <f>AND(#REF!,"AAAAAFPH/9o=")</f>
        <v>#REF!</v>
      </c>
      <c r="HL196" t="e">
        <f>AND(#REF!,"AAAAAFPH/9s=")</f>
        <v>#REF!</v>
      </c>
      <c r="HM196" t="e">
        <f>AND(#REF!,"AAAAAFPH/9w=")</f>
        <v>#REF!</v>
      </c>
      <c r="HN196" t="e">
        <f>AND(#REF!,"AAAAAFPH/90=")</f>
        <v>#REF!</v>
      </c>
      <c r="HO196" t="e">
        <f>AND(#REF!,"AAAAAFPH/94=")</f>
        <v>#REF!</v>
      </c>
      <c r="HP196" t="e">
        <f>AND(#REF!,"AAAAAFPH/98=")</f>
        <v>#REF!</v>
      </c>
      <c r="HQ196" t="e">
        <f>AND(#REF!,"AAAAAFPH/+A=")</f>
        <v>#REF!</v>
      </c>
      <c r="HR196" t="e">
        <f>AND(#REF!,"AAAAAFPH/+E=")</f>
        <v>#REF!</v>
      </c>
      <c r="HS196" t="e">
        <f>AND(#REF!,"AAAAAFPH/+I=")</f>
        <v>#REF!</v>
      </c>
      <c r="HT196" t="e">
        <f>AND(#REF!,"AAAAAFPH/+M=")</f>
        <v>#REF!</v>
      </c>
      <c r="HU196" t="e">
        <f>AND(#REF!,"AAAAAFPH/+Q=")</f>
        <v>#REF!</v>
      </c>
      <c r="HV196" t="e">
        <f>AND(#REF!,"AAAAAFPH/+U=")</f>
        <v>#REF!</v>
      </c>
      <c r="HW196" t="e">
        <f>AND(#REF!,"AAAAAFPH/+Y=")</f>
        <v>#REF!</v>
      </c>
      <c r="HX196" t="e">
        <f>AND(#REF!,"AAAAAFPH/+c=")</f>
        <v>#REF!</v>
      </c>
      <c r="HY196" t="e">
        <f>AND(#REF!,"AAAAAFPH/+g=")</f>
        <v>#REF!</v>
      </c>
      <c r="HZ196" t="e">
        <f>AND(#REF!,"AAAAAFPH/+k=")</f>
        <v>#REF!</v>
      </c>
      <c r="IA196" t="e">
        <f>AND(#REF!,"AAAAAFPH/+o=")</f>
        <v>#REF!</v>
      </c>
      <c r="IB196" t="e">
        <f>AND(#REF!,"AAAAAFPH/+s=")</f>
        <v>#REF!</v>
      </c>
      <c r="IC196" t="e">
        <f>AND(#REF!,"AAAAAFPH/+w=")</f>
        <v>#REF!</v>
      </c>
      <c r="ID196" t="e">
        <f>AND(#REF!,"AAAAAFPH/+0=")</f>
        <v>#REF!</v>
      </c>
      <c r="IE196" t="e">
        <f>AND(#REF!,"AAAAAFPH/+4=")</f>
        <v>#REF!</v>
      </c>
      <c r="IF196" t="e">
        <f>AND(#REF!,"AAAAAFPH/+8=")</f>
        <v>#REF!</v>
      </c>
      <c r="IG196" t="e">
        <f>IF(#REF!,"AAAAAFPH//A=",0)</f>
        <v>#REF!</v>
      </c>
      <c r="IH196" t="e">
        <f>AND(#REF!,"AAAAAFPH//E=")</f>
        <v>#REF!</v>
      </c>
      <c r="II196" t="e">
        <f>AND(#REF!,"AAAAAFPH//I=")</f>
        <v>#REF!</v>
      </c>
      <c r="IJ196" t="e">
        <f>AND(#REF!,"AAAAAFPH//M=")</f>
        <v>#REF!</v>
      </c>
      <c r="IK196" t="e">
        <f>AND(#REF!,"AAAAAFPH//Q=")</f>
        <v>#REF!</v>
      </c>
      <c r="IL196" t="e">
        <f>AND(#REF!,"AAAAAFPH//U=")</f>
        <v>#REF!</v>
      </c>
      <c r="IM196" t="e">
        <f>AND(#REF!,"AAAAAFPH//Y=")</f>
        <v>#REF!</v>
      </c>
      <c r="IN196" t="e">
        <f>AND(#REF!,"AAAAAFPH//c=")</f>
        <v>#REF!</v>
      </c>
      <c r="IO196" t="e">
        <f>AND(#REF!,"AAAAAFPH//g=")</f>
        <v>#REF!</v>
      </c>
      <c r="IP196" t="e">
        <f>AND(#REF!,"AAAAAFPH//k=")</f>
        <v>#REF!</v>
      </c>
      <c r="IQ196" t="e">
        <f>AND(#REF!,"AAAAAFPH//o=")</f>
        <v>#REF!</v>
      </c>
      <c r="IR196" t="e">
        <f>AND(#REF!,"AAAAAFPH//s=")</f>
        <v>#REF!</v>
      </c>
      <c r="IS196" t="e">
        <f>AND(#REF!,"AAAAAFPH//w=")</f>
        <v>#REF!</v>
      </c>
      <c r="IT196" t="e">
        <f>AND(#REF!,"AAAAAFPH//0=")</f>
        <v>#REF!</v>
      </c>
      <c r="IU196" t="e">
        <f>AND(#REF!,"AAAAAFPH//4=")</f>
        <v>#REF!</v>
      </c>
      <c r="IV196" t="e">
        <f>AND(#REF!,"AAAAAFPH//8=")</f>
        <v>#REF!</v>
      </c>
    </row>
    <row r="197" spans="1:256">
      <c r="A197" t="e">
        <f>AND(#REF!,"AAAAAH48fwA=")</f>
        <v>#REF!</v>
      </c>
      <c r="B197" t="e">
        <f>AND(#REF!,"AAAAAH48fwE=")</f>
        <v>#REF!</v>
      </c>
      <c r="C197" t="e">
        <f>AND(#REF!,"AAAAAH48fwI=")</f>
        <v>#REF!</v>
      </c>
      <c r="D197" t="e">
        <f>AND(#REF!,"AAAAAH48fwM=")</f>
        <v>#REF!</v>
      </c>
      <c r="E197" t="e">
        <f>AND(#REF!,"AAAAAH48fwQ=")</f>
        <v>#REF!</v>
      </c>
      <c r="F197" t="e">
        <f>AND(#REF!,"AAAAAH48fwU=")</f>
        <v>#REF!</v>
      </c>
      <c r="G197" t="e">
        <f>AND(#REF!,"AAAAAH48fwY=")</f>
        <v>#REF!</v>
      </c>
      <c r="H197" t="e">
        <f>AND(#REF!,"AAAAAH48fwc=")</f>
        <v>#REF!</v>
      </c>
      <c r="I197" t="e">
        <f>AND(#REF!,"AAAAAH48fwg=")</f>
        <v>#REF!</v>
      </c>
      <c r="J197" t="e">
        <f>IF(#REF!,"AAAAAH48fwk=",0)</f>
        <v>#REF!</v>
      </c>
      <c r="K197" t="e">
        <f>AND(#REF!,"AAAAAH48fwo=")</f>
        <v>#REF!</v>
      </c>
      <c r="L197" t="e">
        <f>AND(#REF!,"AAAAAH48fws=")</f>
        <v>#REF!</v>
      </c>
      <c r="M197" t="e">
        <f>AND(#REF!,"AAAAAH48fww=")</f>
        <v>#REF!</v>
      </c>
      <c r="N197" t="e">
        <f>AND(#REF!,"AAAAAH48fw0=")</f>
        <v>#REF!</v>
      </c>
      <c r="O197" t="e">
        <f>AND(#REF!,"AAAAAH48fw4=")</f>
        <v>#REF!</v>
      </c>
      <c r="P197" t="e">
        <f>AND(#REF!,"AAAAAH48fw8=")</f>
        <v>#REF!</v>
      </c>
      <c r="Q197" t="e">
        <f>AND(#REF!,"AAAAAH48fxA=")</f>
        <v>#REF!</v>
      </c>
      <c r="R197" t="e">
        <f>AND(#REF!,"AAAAAH48fxE=")</f>
        <v>#REF!</v>
      </c>
      <c r="S197" t="e">
        <f>AND(#REF!,"AAAAAH48fxI=")</f>
        <v>#REF!</v>
      </c>
      <c r="T197" t="e">
        <f>AND(#REF!,"AAAAAH48fxM=")</f>
        <v>#REF!</v>
      </c>
      <c r="U197" t="e">
        <f>AND(#REF!,"AAAAAH48fxQ=")</f>
        <v>#REF!</v>
      </c>
      <c r="V197" t="e">
        <f>AND(#REF!,"AAAAAH48fxU=")</f>
        <v>#REF!</v>
      </c>
      <c r="W197" t="e">
        <f>AND(#REF!,"AAAAAH48fxY=")</f>
        <v>#REF!</v>
      </c>
      <c r="X197" t="e">
        <f>AND(#REF!,"AAAAAH48fxc=")</f>
        <v>#REF!</v>
      </c>
      <c r="Y197" t="e">
        <f>AND(#REF!,"AAAAAH48fxg=")</f>
        <v>#REF!</v>
      </c>
      <c r="Z197" t="e">
        <f>AND(#REF!,"AAAAAH48fxk=")</f>
        <v>#REF!</v>
      </c>
      <c r="AA197" t="e">
        <f>AND(#REF!,"AAAAAH48fxo=")</f>
        <v>#REF!</v>
      </c>
      <c r="AB197" t="e">
        <f>AND(#REF!,"AAAAAH48fxs=")</f>
        <v>#REF!</v>
      </c>
      <c r="AC197" t="e">
        <f>AND(#REF!,"AAAAAH48fxw=")</f>
        <v>#REF!</v>
      </c>
      <c r="AD197" t="e">
        <f>AND(#REF!,"AAAAAH48fx0=")</f>
        <v>#REF!</v>
      </c>
      <c r="AE197" t="e">
        <f>AND(#REF!,"AAAAAH48fx4=")</f>
        <v>#REF!</v>
      </c>
      <c r="AF197" t="e">
        <f>AND(#REF!,"AAAAAH48fx8=")</f>
        <v>#REF!</v>
      </c>
      <c r="AG197" t="e">
        <f>AND(#REF!,"AAAAAH48fyA=")</f>
        <v>#REF!</v>
      </c>
      <c r="AH197" t="e">
        <f>AND(#REF!,"AAAAAH48fyE=")</f>
        <v>#REF!</v>
      </c>
      <c r="AI197" t="e">
        <f>IF(#REF!,"AAAAAH48fyI=",0)</f>
        <v>#REF!</v>
      </c>
      <c r="AJ197" t="e">
        <f>AND(#REF!,"AAAAAH48fyM=")</f>
        <v>#REF!</v>
      </c>
      <c r="AK197" t="e">
        <f>AND(#REF!,"AAAAAH48fyQ=")</f>
        <v>#REF!</v>
      </c>
      <c r="AL197" t="e">
        <f>AND(#REF!,"AAAAAH48fyU=")</f>
        <v>#REF!</v>
      </c>
      <c r="AM197" t="e">
        <f>AND(#REF!,"AAAAAH48fyY=")</f>
        <v>#REF!</v>
      </c>
      <c r="AN197" t="e">
        <f>AND(#REF!,"AAAAAH48fyc=")</f>
        <v>#REF!</v>
      </c>
      <c r="AO197" t="e">
        <f>AND(#REF!,"AAAAAH48fyg=")</f>
        <v>#REF!</v>
      </c>
      <c r="AP197" t="e">
        <f>AND(#REF!,"AAAAAH48fyk=")</f>
        <v>#REF!</v>
      </c>
      <c r="AQ197" t="e">
        <f>AND(#REF!,"AAAAAH48fyo=")</f>
        <v>#REF!</v>
      </c>
      <c r="AR197" t="e">
        <f>AND(#REF!,"AAAAAH48fys=")</f>
        <v>#REF!</v>
      </c>
      <c r="AS197" t="e">
        <f>AND(#REF!,"AAAAAH48fyw=")</f>
        <v>#REF!</v>
      </c>
      <c r="AT197" t="e">
        <f>AND(#REF!,"AAAAAH48fy0=")</f>
        <v>#REF!</v>
      </c>
      <c r="AU197" t="e">
        <f>AND(#REF!,"AAAAAH48fy4=")</f>
        <v>#REF!</v>
      </c>
      <c r="AV197" t="e">
        <f>AND(#REF!,"AAAAAH48fy8=")</f>
        <v>#REF!</v>
      </c>
      <c r="AW197" t="e">
        <f>AND(#REF!,"AAAAAH48fzA=")</f>
        <v>#REF!</v>
      </c>
      <c r="AX197" t="e">
        <f>AND(#REF!,"AAAAAH48fzE=")</f>
        <v>#REF!</v>
      </c>
      <c r="AY197" t="e">
        <f>AND(#REF!,"AAAAAH48fzI=")</f>
        <v>#REF!</v>
      </c>
      <c r="AZ197" t="e">
        <f>AND(#REF!,"AAAAAH48fzM=")</f>
        <v>#REF!</v>
      </c>
      <c r="BA197" t="e">
        <f>AND(#REF!,"AAAAAH48fzQ=")</f>
        <v>#REF!</v>
      </c>
      <c r="BB197" t="e">
        <f>AND(#REF!,"AAAAAH48fzU=")</f>
        <v>#REF!</v>
      </c>
      <c r="BC197" t="e">
        <f>AND(#REF!,"AAAAAH48fzY=")</f>
        <v>#REF!</v>
      </c>
      <c r="BD197" t="e">
        <f>AND(#REF!,"AAAAAH48fzc=")</f>
        <v>#REF!</v>
      </c>
      <c r="BE197" t="e">
        <f>AND(#REF!,"AAAAAH48fzg=")</f>
        <v>#REF!</v>
      </c>
      <c r="BF197" t="e">
        <f>AND(#REF!,"AAAAAH48fzk=")</f>
        <v>#REF!</v>
      </c>
      <c r="BG197" t="e">
        <f>AND(#REF!,"AAAAAH48fzo=")</f>
        <v>#REF!</v>
      </c>
      <c r="BH197" t="e">
        <f>IF(#REF!,"AAAAAH48fzs=",0)</f>
        <v>#REF!</v>
      </c>
      <c r="BI197" t="e">
        <f>AND(#REF!,"AAAAAH48fzw=")</f>
        <v>#REF!</v>
      </c>
      <c r="BJ197" t="e">
        <f>AND(#REF!,"AAAAAH48fz0=")</f>
        <v>#REF!</v>
      </c>
      <c r="BK197" t="e">
        <f>AND(#REF!,"AAAAAH48fz4=")</f>
        <v>#REF!</v>
      </c>
      <c r="BL197" t="e">
        <f>AND(#REF!,"AAAAAH48fz8=")</f>
        <v>#REF!</v>
      </c>
      <c r="BM197" t="e">
        <f>AND(#REF!,"AAAAAH48f0A=")</f>
        <v>#REF!</v>
      </c>
      <c r="BN197" t="e">
        <f>AND(#REF!,"AAAAAH48f0E=")</f>
        <v>#REF!</v>
      </c>
      <c r="BO197" t="e">
        <f>AND(#REF!,"AAAAAH48f0I=")</f>
        <v>#REF!</v>
      </c>
      <c r="BP197" t="e">
        <f>AND(#REF!,"AAAAAH48f0M=")</f>
        <v>#REF!</v>
      </c>
      <c r="BQ197" t="e">
        <f>AND(#REF!,"AAAAAH48f0Q=")</f>
        <v>#REF!</v>
      </c>
      <c r="BR197" t="e">
        <f>AND(#REF!,"AAAAAH48f0U=")</f>
        <v>#REF!</v>
      </c>
      <c r="BS197" t="e">
        <f>AND(#REF!,"AAAAAH48f0Y=")</f>
        <v>#REF!</v>
      </c>
      <c r="BT197" t="e">
        <f>AND(#REF!,"AAAAAH48f0c=")</f>
        <v>#REF!</v>
      </c>
      <c r="BU197" t="e">
        <f>AND(#REF!,"AAAAAH48f0g=")</f>
        <v>#REF!</v>
      </c>
      <c r="BV197" t="e">
        <f>AND(#REF!,"AAAAAH48f0k=")</f>
        <v>#REF!</v>
      </c>
      <c r="BW197" t="e">
        <f>AND(#REF!,"AAAAAH48f0o=")</f>
        <v>#REF!</v>
      </c>
      <c r="BX197" t="e">
        <f>AND(#REF!,"AAAAAH48f0s=")</f>
        <v>#REF!</v>
      </c>
      <c r="BY197" t="e">
        <f>AND(#REF!,"AAAAAH48f0w=")</f>
        <v>#REF!</v>
      </c>
      <c r="BZ197" t="e">
        <f>AND(#REF!,"AAAAAH48f00=")</f>
        <v>#REF!</v>
      </c>
      <c r="CA197" t="e">
        <f>AND(#REF!,"AAAAAH48f04=")</f>
        <v>#REF!</v>
      </c>
      <c r="CB197" t="e">
        <f>AND(#REF!,"AAAAAH48f08=")</f>
        <v>#REF!</v>
      </c>
      <c r="CC197" t="e">
        <f>AND(#REF!,"AAAAAH48f1A=")</f>
        <v>#REF!</v>
      </c>
      <c r="CD197" t="e">
        <f>AND(#REF!,"AAAAAH48f1E=")</f>
        <v>#REF!</v>
      </c>
      <c r="CE197" t="e">
        <f>AND(#REF!,"AAAAAH48f1I=")</f>
        <v>#REF!</v>
      </c>
      <c r="CF197" t="e">
        <f>AND(#REF!,"AAAAAH48f1M=")</f>
        <v>#REF!</v>
      </c>
      <c r="CG197" t="e">
        <f>IF(#REF!,"AAAAAH48f1Q=",0)</f>
        <v>#REF!</v>
      </c>
      <c r="CH197" t="e">
        <f>AND(#REF!,"AAAAAH48f1U=")</f>
        <v>#REF!</v>
      </c>
      <c r="CI197" t="e">
        <f>AND(#REF!,"AAAAAH48f1Y=")</f>
        <v>#REF!</v>
      </c>
      <c r="CJ197" t="e">
        <f>AND(#REF!,"AAAAAH48f1c=")</f>
        <v>#REF!</v>
      </c>
      <c r="CK197" t="e">
        <f>AND(#REF!,"AAAAAH48f1g=")</f>
        <v>#REF!</v>
      </c>
      <c r="CL197" t="e">
        <f>AND(#REF!,"AAAAAH48f1k=")</f>
        <v>#REF!</v>
      </c>
      <c r="CM197" t="e">
        <f>AND(#REF!,"AAAAAH48f1o=")</f>
        <v>#REF!</v>
      </c>
      <c r="CN197" t="e">
        <f>AND(#REF!,"AAAAAH48f1s=")</f>
        <v>#REF!</v>
      </c>
      <c r="CO197" t="e">
        <f>AND(#REF!,"AAAAAH48f1w=")</f>
        <v>#REF!</v>
      </c>
      <c r="CP197" t="e">
        <f>AND(#REF!,"AAAAAH48f10=")</f>
        <v>#REF!</v>
      </c>
      <c r="CQ197" t="e">
        <f>AND(#REF!,"AAAAAH48f14=")</f>
        <v>#REF!</v>
      </c>
      <c r="CR197" t="e">
        <f>AND(#REF!,"AAAAAH48f18=")</f>
        <v>#REF!</v>
      </c>
      <c r="CS197" t="e">
        <f>AND(#REF!,"AAAAAH48f2A=")</f>
        <v>#REF!</v>
      </c>
      <c r="CT197" t="e">
        <f>AND(#REF!,"AAAAAH48f2E=")</f>
        <v>#REF!</v>
      </c>
      <c r="CU197" t="e">
        <f>AND(#REF!,"AAAAAH48f2I=")</f>
        <v>#REF!</v>
      </c>
      <c r="CV197" t="e">
        <f>AND(#REF!,"AAAAAH48f2M=")</f>
        <v>#REF!</v>
      </c>
      <c r="CW197" t="e">
        <f>AND(#REF!,"AAAAAH48f2Q=")</f>
        <v>#REF!</v>
      </c>
      <c r="CX197" t="e">
        <f>AND(#REF!,"AAAAAH48f2U=")</f>
        <v>#REF!</v>
      </c>
      <c r="CY197" t="e">
        <f>AND(#REF!,"AAAAAH48f2Y=")</f>
        <v>#REF!</v>
      </c>
      <c r="CZ197" t="e">
        <f>AND(#REF!,"AAAAAH48f2c=")</f>
        <v>#REF!</v>
      </c>
      <c r="DA197" t="e">
        <f>AND(#REF!,"AAAAAH48f2g=")</f>
        <v>#REF!</v>
      </c>
      <c r="DB197" t="e">
        <f>AND(#REF!,"AAAAAH48f2k=")</f>
        <v>#REF!</v>
      </c>
      <c r="DC197" t="e">
        <f>AND(#REF!,"AAAAAH48f2o=")</f>
        <v>#REF!</v>
      </c>
      <c r="DD197" t="e">
        <f>AND(#REF!,"AAAAAH48f2s=")</f>
        <v>#REF!</v>
      </c>
      <c r="DE197" t="e">
        <f>AND(#REF!,"AAAAAH48f2w=")</f>
        <v>#REF!</v>
      </c>
      <c r="DF197" t="e">
        <f>IF(#REF!,"AAAAAH48f20=",0)</f>
        <v>#REF!</v>
      </c>
      <c r="DG197" t="e">
        <f>AND(#REF!,"AAAAAH48f24=")</f>
        <v>#REF!</v>
      </c>
      <c r="DH197" t="e">
        <f>AND(#REF!,"AAAAAH48f28=")</f>
        <v>#REF!</v>
      </c>
      <c r="DI197" t="e">
        <f>AND(#REF!,"AAAAAH48f3A=")</f>
        <v>#REF!</v>
      </c>
      <c r="DJ197" t="e">
        <f>AND(#REF!,"AAAAAH48f3E=")</f>
        <v>#REF!</v>
      </c>
      <c r="DK197" t="e">
        <f>AND(#REF!,"AAAAAH48f3I=")</f>
        <v>#REF!</v>
      </c>
      <c r="DL197" t="e">
        <f>AND(#REF!,"AAAAAH48f3M=")</f>
        <v>#REF!</v>
      </c>
      <c r="DM197" t="e">
        <f>AND(#REF!,"AAAAAH48f3Q=")</f>
        <v>#REF!</v>
      </c>
      <c r="DN197" t="e">
        <f>AND(#REF!,"AAAAAH48f3U=")</f>
        <v>#REF!</v>
      </c>
      <c r="DO197" t="e">
        <f>AND(#REF!,"AAAAAH48f3Y=")</f>
        <v>#REF!</v>
      </c>
      <c r="DP197" t="e">
        <f>AND(#REF!,"AAAAAH48f3c=")</f>
        <v>#REF!</v>
      </c>
      <c r="DQ197" t="e">
        <f>AND(#REF!,"AAAAAH48f3g=")</f>
        <v>#REF!</v>
      </c>
      <c r="DR197" t="e">
        <f>AND(#REF!,"AAAAAH48f3k=")</f>
        <v>#REF!</v>
      </c>
      <c r="DS197" t="e">
        <f>AND(#REF!,"AAAAAH48f3o=")</f>
        <v>#REF!</v>
      </c>
      <c r="DT197" t="e">
        <f>AND(#REF!,"AAAAAH48f3s=")</f>
        <v>#REF!</v>
      </c>
      <c r="DU197" t="e">
        <f>AND(#REF!,"AAAAAH48f3w=")</f>
        <v>#REF!</v>
      </c>
      <c r="DV197" t="e">
        <f>AND(#REF!,"AAAAAH48f30=")</f>
        <v>#REF!</v>
      </c>
      <c r="DW197" t="e">
        <f>AND(#REF!,"AAAAAH48f34=")</f>
        <v>#REF!</v>
      </c>
      <c r="DX197" t="e">
        <f>AND(#REF!,"AAAAAH48f38=")</f>
        <v>#REF!</v>
      </c>
      <c r="DY197" t="e">
        <f>AND(#REF!,"AAAAAH48f4A=")</f>
        <v>#REF!</v>
      </c>
      <c r="DZ197" t="e">
        <f>AND(#REF!,"AAAAAH48f4E=")</f>
        <v>#REF!</v>
      </c>
      <c r="EA197" t="e">
        <f>AND(#REF!,"AAAAAH48f4I=")</f>
        <v>#REF!</v>
      </c>
      <c r="EB197" t="e">
        <f>AND(#REF!,"AAAAAH48f4M=")</f>
        <v>#REF!</v>
      </c>
      <c r="EC197" t="e">
        <f>AND(#REF!,"AAAAAH48f4Q=")</f>
        <v>#REF!</v>
      </c>
      <c r="ED197" t="e">
        <f>AND(#REF!,"AAAAAH48f4U=")</f>
        <v>#REF!</v>
      </c>
      <c r="EE197" t="e">
        <f>IF(#REF!,"AAAAAH48f4Y=",0)</f>
        <v>#REF!</v>
      </c>
      <c r="EF197" t="e">
        <f>AND(#REF!,"AAAAAH48f4c=")</f>
        <v>#REF!</v>
      </c>
      <c r="EG197" t="e">
        <f>AND(#REF!,"AAAAAH48f4g=")</f>
        <v>#REF!</v>
      </c>
      <c r="EH197" t="e">
        <f>AND(#REF!,"AAAAAH48f4k=")</f>
        <v>#REF!</v>
      </c>
      <c r="EI197" t="e">
        <f>AND(#REF!,"AAAAAH48f4o=")</f>
        <v>#REF!</v>
      </c>
      <c r="EJ197" t="e">
        <f>AND(#REF!,"AAAAAH48f4s=")</f>
        <v>#REF!</v>
      </c>
      <c r="EK197" t="e">
        <f>AND(#REF!,"AAAAAH48f4w=")</f>
        <v>#REF!</v>
      </c>
      <c r="EL197" t="e">
        <f>AND(#REF!,"AAAAAH48f40=")</f>
        <v>#REF!</v>
      </c>
      <c r="EM197" t="e">
        <f>AND(#REF!,"AAAAAH48f44=")</f>
        <v>#REF!</v>
      </c>
      <c r="EN197" t="e">
        <f>AND(#REF!,"AAAAAH48f48=")</f>
        <v>#REF!</v>
      </c>
      <c r="EO197" t="e">
        <f>AND(#REF!,"AAAAAH48f5A=")</f>
        <v>#REF!</v>
      </c>
      <c r="EP197" t="e">
        <f>AND(#REF!,"AAAAAH48f5E=")</f>
        <v>#REF!</v>
      </c>
      <c r="EQ197" t="e">
        <f>AND(#REF!,"AAAAAH48f5I=")</f>
        <v>#REF!</v>
      </c>
      <c r="ER197" t="e">
        <f>AND(#REF!,"AAAAAH48f5M=")</f>
        <v>#REF!</v>
      </c>
      <c r="ES197" t="e">
        <f>AND(#REF!,"AAAAAH48f5Q=")</f>
        <v>#REF!</v>
      </c>
      <c r="ET197" t="e">
        <f>AND(#REF!,"AAAAAH48f5U=")</f>
        <v>#REF!</v>
      </c>
      <c r="EU197" t="e">
        <f>AND(#REF!,"AAAAAH48f5Y=")</f>
        <v>#REF!</v>
      </c>
      <c r="EV197" t="e">
        <f>AND(#REF!,"AAAAAH48f5c=")</f>
        <v>#REF!</v>
      </c>
      <c r="EW197" t="e">
        <f>AND(#REF!,"AAAAAH48f5g=")</f>
        <v>#REF!</v>
      </c>
      <c r="EX197" t="e">
        <f>AND(#REF!,"AAAAAH48f5k=")</f>
        <v>#REF!</v>
      </c>
      <c r="EY197" t="e">
        <f>AND(#REF!,"AAAAAH48f5o=")</f>
        <v>#REF!</v>
      </c>
      <c r="EZ197" t="e">
        <f>AND(#REF!,"AAAAAH48f5s=")</f>
        <v>#REF!</v>
      </c>
      <c r="FA197" t="e">
        <f>AND(#REF!,"AAAAAH48f5w=")</f>
        <v>#REF!</v>
      </c>
      <c r="FB197" t="e">
        <f>AND(#REF!,"AAAAAH48f50=")</f>
        <v>#REF!</v>
      </c>
      <c r="FC197" t="e">
        <f>AND(#REF!,"AAAAAH48f54=")</f>
        <v>#REF!</v>
      </c>
      <c r="FD197" t="e">
        <f>IF(#REF!,"AAAAAH48f58=",0)</f>
        <v>#REF!</v>
      </c>
      <c r="FE197" t="e">
        <f>AND(#REF!,"AAAAAH48f6A=")</f>
        <v>#REF!</v>
      </c>
      <c r="FF197" t="e">
        <f>AND(#REF!,"AAAAAH48f6E=")</f>
        <v>#REF!</v>
      </c>
      <c r="FG197" t="e">
        <f>AND(#REF!,"AAAAAH48f6I=")</f>
        <v>#REF!</v>
      </c>
      <c r="FH197" t="e">
        <f>AND(#REF!,"AAAAAH48f6M=")</f>
        <v>#REF!</v>
      </c>
      <c r="FI197" t="e">
        <f>AND(#REF!,"AAAAAH48f6Q=")</f>
        <v>#REF!</v>
      </c>
      <c r="FJ197" t="e">
        <f>AND(#REF!,"AAAAAH48f6U=")</f>
        <v>#REF!</v>
      </c>
      <c r="FK197" t="e">
        <f>AND(#REF!,"AAAAAH48f6Y=")</f>
        <v>#REF!</v>
      </c>
      <c r="FL197" t="e">
        <f>AND(#REF!,"AAAAAH48f6c=")</f>
        <v>#REF!</v>
      </c>
      <c r="FM197" t="e">
        <f>AND(#REF!,"AAAAAH48f6g=")</f>
        <v>#REF!</v>
      </c>
      <c r="FN197" t="e">
        <f>AND(#REF!,"AAAAAH48f6k=")</f>
        <v>#REF!</v>
      </c>
      <c r="FO197" t="e">
        <f>AND(#REF!,"AAAAAH48f6o=")</f>
        <v>#REF!</v>
      </c>
      <c r="FP197" t="e">
        <f>AND(#REF!,"AAAAAH48f6s=")</f>
        <v>#REF!</v>
      </c>
      <c r="FQ197" t="e">
        <f>AND(#REF!,"AAAAAH48f6w=")</f>
        <v>#REF!</v>
      </c>
      <c r="FR197" t="e">
        <f>AND(#REF!,"AAAAAH48f60=")</f>
        <v>#REF!</v>
      </c>
      <c r="FS197" t="e">
        <f>AND(#REF!,"AAAAAH48f64=")</f>
        <v>#REF!</v>
      </c>
      <c r="FT197" t="e">
        <f>AND(#REF!,"AAAAAH48f68=")</f>
        <v>#REF!</v>
      </c>
      <c r="FU197" t="e">
        <f>AND(#REF!,"AAAAAH48f7A=")</f>
        <v>#REF!</v>
      </c>
      <c r="FV197" t="e">
        <f>AND(#REF!,"AAAAAH48f7E=")</f>
        <v>#REF!</v>
      </c>
      <c r="FW197" t="e">
        <f>AND(#REF!,"AAAAAH48f7I=")</f>
        <v>#REF!</v>
      </c>
      <c r="FX197" t="e">
        <f>AND(#REF!,"AAAAAH48f7M=")</f>
        <v>#REF!</v>
      </c>
      <c r="FY197" t="e">
        <f>AND(#REF!,"AAAAAH48f7Q=")</f>
        <v>#REF!</v>
      </c>
      <c r="FZ197" t="e">
        <f>AND(#REF!,"AAAAAH48f7U=")</f>
        <v>#REF!</v>
      </c>
      <c r="GA197" t="e">
        <f>AND(#REF!,"AAAAAH48f7Y=")</f>
        <v>#REF!</v>
      </c>
      <c r="GB197" t="e">
        <f>AND(#REF!,"AAAAAH48f7c=")</f>
        <v>#REF!</v>
      </c>
      <c r="GC197" t="e">
        <f>IF(#REF!,"AAAAAH48f7g=",0)</f>
        <v>#REF!</v>
      </c>
      <c r="GD197" t="e">
        <f>AND(#REF!,"AAAAAH48f7k=")</f>
        <v>#REF!</v>
      </c>
      <c r="GE197" t="e">
        <f>AND(#REF!,"AAAAAH48f7o=")</f>
        <v>#REF!</v>
      </c>
      <c r="GF197" t="e">
        <f>AND(#REF!,"AAAAAH48f7s=")</f>
        <v>#REF!</v>
      </c>
      <c r="GG197" t="e">
        <f>AND(#REF!,"AAAAAH48f7w=")</f>
        <v>#REF!</v>
      </c>
      <c r="GH197" t="e">
        <f>AND(#REF!,"AAAAAH48f70=")</f>
        <v>#REF!</v>
      </c>
      <c r="GI197" t="e">
        <f>AND(#REF!,"AAAAAH48f74=")</f>
        <v>#REF!</v>
      </c>
      <c r="GJ197" t="e">
        <f>AND(#REF!,"AAAAAH48f78=")</f>
        <v>#REF!</v>
      </c>
      <c r="GK197" t="e">
        <f>AND(#REF!,"AAAAAH48f8A=")</f>
        <v>#REF!</v>
      </c>
      <c r="GL197" t="e">
        <f>AND(#REF!,"AAAAAH48f8E=")</f>
        <v>#REF!</v>
      </c>
      <c r="GM197" t="e">
        <f>AND(#REF!,"AAAAAH48f8I=")</f>
        <v>#REF!</v>
      </c>
      <c r="GN197" t="e">
        <f>AND(#REF!,"AAAAAH48f8M=")</f>
        <v>#REF!</v>
      </c>
      <c r="GO197" t="e">
        <f>AND(#REF!,"AAAAAH48f8Q=")</f>
        <v>#REF!</v>
      </c>
      <c r="GP197" t="e">
        <f>AND(#REF!,"AAAAAH48f8U=")</f>
        <v>#REF!</v>
      </c>
      <c r="GQ197" t="e">
        <f>AND(#REF!,"AAAAAH48f8Y=")</f>
        <v>#REF!</v>
      </c>
      <c r="GR197" t="e">
        <f>AND(#REF!,"AAAAAH48f8c=")</f>
        <v>#REF!</v>
      </c>
      <c r="GS197" t="e">
        <f>AND(#REF!,"AAAAAH48f8g=")</f>
        <v>#REF!</v>
      </c>
      <c r="GT197" t="e">
        <f>AND(#REF!,"AAAAAH48f8k=")</f>
        <v>#REF!</v>
      </c>
      <c r="GU197" t="e">
        <f>AND(#REF!,"AAAAAH48f8o=")</f>
        <v>#REF!</v>
      </c>
      <c r="GV197" t="e">
        <f>AND(#REF!,"AAAAAH48f8s=")</f>
        <v>#REF!</v>
      </c>
      <c r="GW197" t="e">
        <f>AND(#REF!,"AAAAAH48f8w=")</f>
        <v>#REF!</v>
      </c>
      <c r="GX197" t="e">
        <f>AND(#REF!,"AAAAAH48f80=")</f>
        <v>#REF!</v>
      </c>
      <c r="GY197" t="e">
        <f>AND(#REF!,"AAAAAH48f84=")</f>
        <v>#REF!</v>
      </c>
      <c r="GZ197" t="e">
        <f>AND(#REF!,"AAAAAH48f88=")</f>
        <v>#REF!</v>
      </c>
      <c r="HA197" t="e">
        <f>AND(#REF!,"AAAAAH48f9A=")</f>
        <v>#REF!</v>
      </c>
      <c r="HB197" t="e">
        <f>IF(#REF!,"AAAAAH48f9E=",0)</f>
        <v>#REF!</v>
      </c>
      <c r="HC197" t="e">
        <f>AND(#REF!,"AAAAAH48f9I=")</f>
        <v>#REF!</v>
      </c>
      <c r="HD197" t="e">
        <f>AND(#REF!,"AAAAAH48f9M=")</f>
        <v>#REF!</v>
      </c>
      <c r="HE197" t="e">
        <f>AND(#REF!,"AAAAAH48f9Q=")</f>
        <v>#REF!</v>
      </c>
      <c r="HF197" t="e">
        <f>AND(#REF!,"AAAAAH48f9U=")</f>
        <v>#REF!</v>
      </c>
      <c r="HG197" t="e">
        <f>AND(#REF!,"AAAAAH48f9Y=")</f>
        <v>#REF!</v>
      </c>
      <c r="HH197" t="e">
        <f>AND(#REF!,"AAAAAH48f9c=")</f>
        <v>#REF!</v>
      </c>
      <c r="HI197" t="e">
        <f>AND(#REF!,"AAAAAH48f9g=")</f>
        <v>#REF!</v>
      </c>
      <c r="HJ197" t="e">
        <f>AND(#REF!,"AAAAAH48f9k=")</f>
        <v>#REF!</v>
      </c>
      <c r="HK197" t="e">
        <f>AND(#REF!,"AAAAAH48f9o=")</f>
        <v>#REF!</v>
      </c>
      <c r="HL197" t="e">
        <f>AND(#REF!,"AAAAAH48f9s=")</f>
        <v>#REF!</v>
      </c>
      <c r="HM197" t="e">
        <f>AND(#REF!,"AAAAAH48f9w=")</f>
        <v>#REF!</v>
      </c>
      <c r="HN197" t="e">
        <f>AND(#REF!,"AAAAAH48f90=")</f>
        <v>#REF!</v>
      </c>
      <c r="HO197" t="e">
        <f>AND(#REF!,"AAAAAH48f94=")</f>
        <v>#REF!</v>
      </c>
      <c r="HP197" t="e">
        <f>AND(#REF!,"AAAAAH48f98=")</f>
        <v>#REF!</v>
      </c>
      <c r="HQ197" t="e">
        <f>AND(#REF!,"AAAAAH48f+A=")</f>
        <v>#REF!</v>
      </c>
      <c r="HR197" t="e">
        <f>AND(#REF!,"AAAAAH48f+E=")</f>
        <v>#REF!</v>
      </c>
      <c r="HS197" t="e">
        <f>AND(#REF!,"AAAAAH48f+I=")</f>
        <v>#REF!</v>
      </c>
      <c r="HT197" t="e">
        <f>AND(#REF!,"AAAAAH48f+M=")</f>
        <v>#REF!</v>
      </c>
      <c r="HU197" t="e">
        <f>AND(#REF!,"AAAAAH48f+Q=")</f>
        <v>#REF!</v>
      </c>
      <c r="HV197" t="e">
        <f>AND(#REF!,"AAAAAH48f+U=")</f>
        <v>#REF!</v>
      </c>
      <c r="HW197" t="e">
        <f>AND(#REF!,"AAAAAH48f+Y=")</f>
        <v>#REF!</v>
      </c>
      <c r="HX197" t="e">
        <f>AND(#REF!,"AAAAAH48f+c=")</f>
        <v>#REF!</v>
      </c>
      <c r="HY197" t="e">
        <f>AND(#REF!,"AAAAAH48f+g=")</f>
        <v>#REF!</v>
      </c>
      <c r="HZ197" t="e">
        <f>AND(#REF!,"AAAAAH48f+k=")</f>
        <v>#REF!</v>
      </c>
      <c r="IA197" t="e">
        <f>IF(#REF!,"AAAAAH48f+o=",0)</f>
        <v>#REF!</v>
      </c>
      <c r="IB197" t="e">
        <f>AND(#REF!,"AAAAAH48f+s=")</f>
        <v>#REF!</v>
      </c>
      <c r="IC197" t="e">
        <f>AND(#REF!,"AAAAAH48f+w=")</f>
        <v>#REF!</v>
      </c>
      <c r="ID197" t="e">
        <f>AND(#REF!,"AAAAAH48f+0=")</f>
        <v>#REF!</v>
      </c>
      <c r="IE197" t="e">
        <f>AND(#REF!,"AAAAAH48f+4=")</f>
        <v>#REF!</v>
      </c>
      <c r="IF197" t="e">
        <f>AND(#REF!,"AAAAAH48f+8=")</f>
        <v>#REF!</v>
      </c>
      <c r="IG197" t="e">
        <f>AND(#REF!,"AAAAAH48f/A=")</f>
        <v>#REF!</v>
      </c>
      <c r="IH197" t="e">
        <f>AND(#REF!,"AAAAAH48f/E=")</f>
        <v>#REF!</v>
      </c>
      <c r="II197" t="e">
        <f>AND(#REF!,"AAAAAH48f/I=")</f>
        <v>#REF!</v>
      </c>
      <c r="IJ197" t="e">
        <f>AND(#REF!,"AAAAAH48f/M=")</f>
        <v>#REF!</v>
      </c>
      <c r="IK197" t="e">
        <f>AND(#REF!,"AAAAAH48f/Q=")</f>
        <v>#REF!</v>
      </c>
      <c r="IL197" t="e">
        <f>AND(#REF!,"AAAAAH48f/U=")</f>
        <v>#REF!</v>
      </c>
      <c r="IM197" t="e">
        <f>AND(#REF!,"AAAAAH48f/Y=")</f>
        <v>#REF!</v>
      </c>
      <c r="IN197" t="e">
        <f>AND(#REF!,"AAAAAH48f/c=")</f>
        <v>#REF!</v>
      </c>
      <c r="IO197" t="e">
        <f>AND(#REF!,"AAAAAH48f/g=")</f>
        <v>#REF!</v>
      </c>
      <c r="IP197" t="e">
        <f>AND(#REF!,"AAAAAH48f/k=")</f>
        <v>#REF!</v>
      </c>
      <c r="IQ197" t="e">
        <f>AND(#REF!,"AAAAAH48f/o=")</f>
        <v>#REF!</v>
      </c>
      <c r="IR197" t="e">
        <f>AND(#REF!,"AAAAAH48f/s=")</f>
        <v>#REF!</v>
      </c>
      <c r="IS197" t="e">
        <f>AND(#REF!,"AAAAAH48f/w=")</f>
        <v>#REF!</v>
      </c>
      <c r="IT197" t="e">
        <f>AND(#REF!,"AAAAAH48f/0=")</f>
        <v>#REF!</v>
      </c>
      <c r="IU197" t="e">
        <f>AND(#REF!,"AAAAAH48f/4=")</f>
        <v>#REF!</v>
      </c>
      <c r="IV197" t="e">
        <f>AND(#REF!,"AAAAAH48f/8=")</f>
        <v>#REF!</v>
      </c>
    </row>
    <row r="198" spans="1:256">
      <c r="A198" t="e">
        <f>AND(#REF!,"AAAAADdO/wA=")</f>
        <v>#REF!</v>
      </c>
      <c r="B198" t="e">
        <f>AND(#REF!,"AAAAADdO/wE=")</f>
        <v>#REF!</v>
      </c>
      <c r="C198" t="e">
        <f>AND(#REF!,"AAAAADdO/wI=")</f>
        <v>#REF!</v>
      </c>
      <c r="D198" t="e">
        <f>IF(#REF!,"AAAAADdO/wM=",0)</f>
        <v>#REF!</v>
      </c>
      <c r="E198" t="e">
        <f>AND(#REF!,"AAAAADdO/wQ=")</f>
        <v>#REF!</v>
      </c>
      <c r="F198" t="e">
        <f>AND(#REF!,"AAAAADdO/wU=")</f>
        <v>#REF!</v>
      </c>
      <c r="G198" t="e">
        <f>AND(#REF!,"AAAAADdO/wY=")</f>
        <v>#REF!</v>
      </c>
      <c r="H198" t="e">
        <f>AND(#REF!,"AAAAADdO/wc=")</f>
        <v>#REF!</v>
      </c>
      <c r="I198" t="e">
        <f>AND(#REF!,"AAAAADdO/wg=")</f>
        <v>#REF!</v>
      </c>
      <c r="J198" t="e">
        <f>AND(#REF!,"AAAAADdO/wk=")</f>
        <v>#REF!</v>
      </c>
      <c r="K198" t="e">
        <f>AND(#REF!,"AAAAADdO/wo=")</f>
        <v>#REF!</v>
      </c>
      <c r="L198" t="e">
        <f>AND(#REF!,"AAAAADdO/ws=")</f>
        <v>#REF!</v>
      </c>
      <c r="M198" t="e">
        <f>AND(#REF!,"AAAAADdO/ww=")</f>
        <v>#REF!</v>
      </c>
      <c r="N198" t="e">
        <f>AND(#REF!,"AAAAADdO/w0=")</f>
        <v>#REF!</v>
      </c>
      <c r="O198" t="e">
        <f>AND(#REF!,"AAAAADdO/w4=")</f>
        <v>#REF!</v>
      </c>
      <c r="P198" t="e">
        <f>AND(#REF!,"AAAAADdO/w8=")</f>
        <v>#REF!</v>
      </c>
      <c r="Q198" t="e">
        <f>AND(#REF!,"AAAAADdO/xA=")</f>
        <v>#REF!</v>
      </c>
      <c r="R198" t="e">
        <f>AND(#REF!,"AAAAADdO/xE=")</f>
        <v>#REF!</v>
      </c>
      <c r="S198" t="e">
        <f>AND(#REF!,"AAAAADdO/xI=")</f>
        <v>#REF!</v>
      </c>
      <c r="T198" t="e">
        <f>AND(#REF!,"AAAAADdO/xM=")</f>
        <v>#REF!</v>
      </c>
      <c r="U198" t="e">
        <f>AND(#REF!,"AAAAADdO/xQ=")</f>
        <v>#REF!</v>
      </c>
      <c r="V198" t="e">
        <f>AND(#REF!,"AAAAADdO/xU=")</f>
        <v>#REF!</v>
      </c>
      <c r="W198" t="e">
        <f>AND(#REF!,"AAAAADdO/xY=")</f>
        <v>#REF!</v>
      </c>
      <c r="X198" t="e">
        <f>AND(#REF!,"AAAAADdO/xc=")</f>
        <v>#REF!</v>
      </c>
      <c r="Y198" t="e">
        <f>AND(#REF!,"AAAAADdO/xg=")</f>
        <v>#REF!</v>
      </c>
      <c r="Z198" t="e">
        <f>AND(#REF!,"AAAAADdO/xk=")</f>
        <v>#REF!</v>
      </c>
      <c r="AA198" t="e">
        <f>AND(#REF!,"AAAAADdO/xo=")</f>
        <v>#REF!</v>
      </c>
      <c r="AB198" t="e">
        <f>AND(#REF!,"AAAAADdO/xs=")</f>
        <v>#REF!</v>
      </c>
      <c r="AC198" t="e">
        <f>IF(#REF!,"AAAAADdO/xw=",0)</f>
        <v>#REF!</v>
      </c>
      <c r="AD198" t="e">
        <f>AND(#REF!,"AAAAADdO/x0=")</f>
        <v>#REF!</v>
      </c>
      <c r="AE198" t="e">
        <f>AND(#REF!,"AAAAADdO/x4=")</f>
        <v>#REF!</v>
      </c>
      <c r="AF198" t="e">
        <f>AND(#REF!,"AAAAADdO/x8=")</f>
        <v>#REF!</v>
      </c>
      <c r="AG198" t="e">
        <f>AND(#REF!,"AAAAADdO/yA=")</f>
        <v>#REF!</v>
      </c>
      <c r="AH198" t="e">
        <f>AND(#REF!,"AAAAADdO/yE=")</f>
        <v>#REF!</v>
      </c>
      <c r="AI198" t="e">
        <f>AND(#REF!,"AAAAADdO/yI=")</f>
        <v>#REF!</v>
      </c>
      <c r="AJ198" t="e">
        <f>AND(#REF!,"AAAAADdO/yM=")</f>
        <v>#REF!</v>
      </c>
      <c r="AK198" t="e">
        <f>AND(#REF!,"AAAAADdO/yQ=")</f>
        <v>#REF!</v>
      </c>
      <c r="AL198" t="e">
        <f>AND(#REF!,"AAAAADdO/yU=")</f>
        <v>#REF!</v>
      </c>
      <c r="AM198" t="e">
        <f>AND(#REF!,"AAAAADdO/yY=")</f>
        <v>#REF!</v>
      </c>
      <c r="AN198" t="e">
        <f>AND(#REF!,"AAAAADdO/yc=")</f>
        <v>#REF!</v>
      </c>
      <c r="AO198" t="e">
        <f>AND(#REF!,"AAAAADdO/yg=")</f>
        <v>#REF!</v>
      </c>
      <c r="AP198" t="e">
        <f>AND(#REF!,"AAAAADdO/yk=")</f>
        <v>#REF!</v>
      </c>
      <c r="AQ198" t="e">
        <f>AND(#REF!,"AAAAADdO/yo=")</f>
        <v>#REF!</v>
      </c>
      <c r="AR198" t="e">
        <f>AND(#REF!,"AAAAADdO/ys=")</f>
        <v>#REF!</v>
      </c>
      <c r="AS198" t="e">
        <f>AND(#REF!,"AAAAADdO/yw=")</f>
        <v>#REF!</v>
      </c>
      <c r="AT198" t="e">
        <f>AND(#REF!,"AAAAADdO/y0=")</f>
        <v>#REF!</v>
      </c>
      <c r="AU198" t="e">
        <f>AND(#REF!,"AAAAADdO/y4=")</f>
        <v>#REF!</v>
      </c>
      <c r="AV198" t="e">
        <f>AND(#REF!,"AAAAADdO/y8=")</f>
        <v>#REF!</v>
      </c>
      <c r="AW198" t="e">
        <f>AND(#REF!,"AAAAADdO/zA=")</f>
        <v>#REF!</v>
      </c>
      <c r="AX198" t="e">
        <f>AND(#REF!,"AAAAADdO/zE=")</f>
        <v>#REF!</v>
      </c>
      <c r="AY198" t="e">
        <f>AND(#REF!,"AAAAADdO/zI=")</f>
        <v>#REF!</v>
      </c>
      <c r="AZ198" t="e">
        <f>AND(#REF!,"AAAAADdO/zM=")</f>
        <v>#REF!</v>
      </c>
      <c r="BA198" t="e">
        <f>AND(#REF!,"AAAAADdO/zQ=")</f>
        <v>#REF!</v>
      </c>
      <c r="BB198" t="e">
        <f>IF(#REF!,"AAAAADdO/zU=",0)</f>
        <v>#REF!</v>
      </c>
      <c r="BC198" t="e">
        <f>AND(#REF!,"AAAAADdO/zY=")</f>
        <v>#REF!</v>
      </c>
      <c r="BD198" t="e">
        <f>AND(#REF!,"AAAAADdO/zc=")</f>
        <v>#REF!</v>
      </c>
      <c r="BE198" t="e">
        <f>AND(#REF!,"AAAAADdO/zg=")</f>
        <v>#REF!</v>
      </c>
      <c r="BF198" t="e">
        <f>AND(#REF!,"AAAAADdO/zk=")</f>
        <v>#REF!</v>
      </c>
      <c r="BG198" t="e">
        <f>AND(#REF!,"AAAAADdO/zo=")</f>
        <v>#REF!</v>
      </c>
      <c r="BH198" t="e">
        <f>AND(#REF!,"AAAAADdO/zs=")</f>
        <v>#REF!</v>
      </c>
      <c r="BI198" t="e">
        <f>AND(#REF!,"AAAAADdO/zw=")</f>
        <v>#REF!</v>
      </c>
      <c r="BJ198" t="e">
        <f>AND(#REF!,"AAAAADdO/z0=")</f>
        <v>#REF!</v>
      </c>
      <c r="BK198" t="e">
        <f>AND(#REF!,"AAAAADdO/z4=")</f>
        <v>#REF!</v>
      </c>
      <c r="BL198" t="e">
        <f>AND(#REF!,"AAAAADdO/z8=")</f>
        <v>#REF!</v>
      </c>
      <c r="BM198" t="e">
        <f>AND(#REF!,"AAAAADdO/0A=")</f>
        <v>#REF!</v>
      </c>
      <c r="BN198" t="e">
        <f>AND(#REF!,"AAAAADdO/0E=")</f>
        <v>#REF!</v>
      </c>
      <c r="BO198" t="e">
        <f>AND(#REF!,"AAAAADdO/0I=")</f>
        <v>#REF!</v>
      </c>
      <c r="BP198" t="e">
        <f>AND(#REF!,"AAAAADdO/0M=")</f>
        <v>#REF!</v>
      </c>
      <c r="BQ198" t="e">
        <f>AND(#REF!,"AAAAADdO/0Q=")</f>
        <v>#REF!</v>
      </c>
      <c r="BR198" t="e">
        <f>AND(#REF!,"AAAAADdO/0U=")</f>
        <v>#REF!</v>
      </c>
      <c r="BS198" t="e">
        <f>AND(#REF!,"AAAAADdO/0Y=")</f>
        <v>#REF!</v>
      </c>
      <c r="BT198" t="e">
        <f>AND(#REF!,"AAAAADdO/0c=")</f>
        <v>#REF!</v>
      </c>
      <c r="BU198" t="e">
        <f>AND(#REF!,"AAAAADdO/0g=")</f>
        <v>#REF!</v>
      </c>
      <c r="BV198" t="e">
        <f>AND(#REF!,"AAAAADdO/0k=")</f>
        <v>#REF!</v>
      </c>
      <c r="BW198" t="e">
        <f>AND(#REF!,"AAAAADdO/0o=")</f>
        <v>#REF!</v>
      </c>
      <c r="BX198" t="e">
        <f>AND(#REF!,"AAAAADdO/0s=")</f>
        <v>#REF!</v>
      </c>
      <c r="BY198" t="e">
        <f>AND(#REF!,"AAAAADdO/0w=")</f>
        <v>#REF!</v>
      </c>
      <c r="BZ198" t="e">
        <f>AND(#REF!,"AAAAADdO/00=")</f>
        <v>#REF!</v>
      </c>
      <c r="CA198" t="e">
        <f>IF(#REF!,"AAAAADdO/04=",0)</f>
        <v>#REF!</v>
      </c>
      <c r="CB198" t="e">
        <f>AND(#REF!,"AAAAADdO/08=")</f>
        <v>#REF!</v>
      </c>
      <c r="CC198" t="e">
        <f>AND(#REF!,"AAAAADdO/1A=")</f>
        <v>#REF!</v>
      </c>
      <c r="CD198" t="e">
        <f>AND(#REF!,"AAAAADdO/1E=")</f>
        <v>#REF!</v>
      </c>
      <c r="CE198" t="e">
        <f>AND(#REF!,"AAAAADdO/1I=")</f>
        <v>#REF!</v>
      </c>
      <c r="CF198" t="e">
        <f>AND(#REF!,"AAAAADdO/1M=")</f>
        <v>#REF!</v>
      </c>
      <c r="CG198" t="e">
        <f>AND(#REF!,"AAAAADdO/1Q=")</f>
        <v>#REF!</v>
      </c>
      <c r="CH198" t="e">
        <f>AND(#REF!,"AAAAADdO/1U=")</f>
        <v>#REF!</v>
      </c>
      <c r="CI198" t="e">
        <f>AND(#REF!,"AAAAADdO/1Y=")</f>
        <v>#REF!</v>
      </c>
      <c r="CJ198" t="e">
        <f>AND(#REF!,"AAAAADdO/1c=")</f>
        <v>#REF!</v>
      </c>
      <c r="CK198" t="e">
        <f>AND(#REF!,"AAAAADdO/1g=")</f>
        <v>#REF!</v>
      </c>
      <c r="CL198" t="e">
        <f>AND(#REF!,"AAAAADdO/1k=")</f>
        <v>#REF!</v>
      </c>
      <c r="CM198" t="e">
        <f>AND(#REF!,"AAAAADdO/1o=")</f>
        <v>#REF!</v>
      </c>
      <c r="CN198" t="e">
        <f>AND(#REF!,"AAAAADdO/1s=")</f>
        <v>#REF!</v>
      </c>
      <c r="CO198" t="e">
        <f>AND(#REF!,"AAAAADdO/1w=")</f>
        <v>#REF!</v>
      </c>
      <c r="CP198" t="e">
        <f>AND(#REF!,"AAAAADdO/10=")</f>
        <v>#REF!</v>
      </c>
      <c r="CQ198" t="e">
        <f>AND(#REF!,"AAAAADdO/14=")</f>
        <v>#REF!</v>
      </c>
      <c r="CR198" t="e">
        <f>AND(#REF!,"AAAAADdO/18=")</f>
        <v>#REF!</v>
      </c>
      <c r="CS198" t="e">
        <f>AND(#REF!,"AAAAADdO/2A=")</f>
        <v>#REF!</v>
      </c>
      <c r="CT198" t="e">
        <f>AND(#REF!,"AAAAADdO/2E=")</f>
        <v>#REF!</v>
      </c>
      <c r="CU198" t="e">
        <f>AND(#REF!,"AAAAADdO/2I=")</f>
        <v>#REF!</v>
      </c>
      <c r="CV198" t="e">
        <f>AND(#REF!,"AAAAADdO/2M=")</f>
        <v>#REF!</v>
      </c>
      <c r="CW198" t="e">
        <f>AND(#REF!,"AAAAADdO/2Q=")</f>
        <v>#REF!</v>
      </c>
      <c r="CX198" t="e">
        <f>AND(#REF!,"AAAAADdO/2U=")</f>
        <v>#REF!</v>
      </c>
      <c r="CY198" t="e">
        <f>AND(#REF!,"AAAAADdO/2Y=")</f>
        <v>#REF!</v>
      </c>
      <c r="CZ198" t="e">
        <f>IF(#REF!,"AAAAADdO/2c=",0)</f>
        <v>#REF!</v>
      </c>
      <c r="DA198" t="e">
        <f>AND(#REF!,"AAAAADdO/2g=")</f>
        <v>#REF!</v>
      </c>
      <c r="DB198" t="e">
        <f>AND(#REF!,"AAAAADdO/2k=")</f>
        <v>#REF!</v>
      </c>
      <c r="DC198" t="e">
        <f>AND(#REF!,"AAAAADdO/2o=")</f>
        <v>#REF!</v>
      </c>
      <c r="DD198" t="e">
        <f>AND(#REF!,"AAAAADdO/2s=")</f>
        <v>#REF!</v>
      </c>
      <c r="DE198" t="e">
        <f>AND(#REF!,"AAAAADdO/2w=")</f>
        <v>#REF!</v>
      </c>
      <c r="DF198" t="e">
        <f>AND(#REF!,"AAAAADdO/20=")</f>
        <v>#REF!</v>
      </c>
      <c r="DG198" t="e">
        <f>AND(#REF!,"AAAAADdO/24=")</f>
        <v>#REF!</v>
      </c>
      <c r="DH198" t="e">
        <f>AND(#REF!,"AAAAADdO/28=")</f>
        <v>#REF!</v>
      </c>
      <c r="DI198" t="e">
        <f>AND(#REF!,"AAAAADdO/3A=")</f>
        <v>#REF!</v>
      </c>
      <c r="DJ198" t="e">
        <f>AND(#REF!,"AAAAADdO/3E=")</f>
        <v>#REF!</v>
      </c>
      <c r="DK198" t="e">
        <f>AND(#REF!,"AAAAADdO/3I=")</f>
        <v>#REF!</v>
      </c>
      <c r="DL198" t="e">
        <f>AND(#REF!,"AAAAADdO/3M=")</f>
        <v>#REF!</v>
      </c>
      <c r="DM198" t="e">
        <f>AND(#REF!,"AAAAADdO/3Q=")</f>
        <v>#REF!</v>
      </c>
      <c r="DN198" t="e">
        <f>AND(#REF!,"AAAAADdO/3U=")</f>
        <v>#REF!</v>
      </c>
      <c r="DO198" t="e">
        <f>AND(#REF!,"AAAAADdO/3Y=")</f>
        <v>#REF!</v>
      </c>
      <c r="DP198" t="e">
        <f>AND(#REF!,"AAAAADdO/3c=")</f>
        <v>#REF!</v>
      </c>
      <c r="DQ198" t="e">
        <f>AND(#REF!,"AAAAADdO/3g=")</f>
        <v>#REF!</v>
      </c>
      <c r="DR198" t="e">
        <f>AND(#REF!,"AAAAADdO/3k=")</f>
        <v>#REF!</v>
      </c>
      <c r="DS198" t="e">
        <f>AND(#REF!,"AAAAADdO/3o=")</f>
        <v>#REF!</v>
      </c>
      <c r="DT198" t="e">
        <f>AND(#REF!,"AAAAADdO/3s=")</f>
        <v>#REF!</v>
      </c>
      <c r="DU198" t="e">
        <f>AND(#REF!,"AAAAADdO/3w=")</f>
        <v>#REF!</v>
      </c>
      <c r="DV198" t="e">
        <f>AND(#REF!,"AAAAADdO/30=")</f>
        <v>#REF!</v>
      </c>
      <c r="DW198" t="e">
        <f>AND(#REF!,"AAAAADdO/34=")</f>
        <v>#REF!</v>
      </c>
      <c r="DX198" t="e">
        <f>AND(#REF!,"AAAAADdO/38=")</f>
        <v>#REF!</v>
      </c>
      <c r="DY198" t="e">
        <f>IF(#REF!,"AAAAADdO/4A=",0)</f>
        <v>#REF!</v>
      </c>
      <c r="DZ198" t="e">
        <f>AND(#REF!,"AAAAADdO/4E=")</f>
        <v>#REF!</v>
      </c>
      <c r="EA198" t="e">
        <f>AND(#REF!,"AAAAADdO/4I=")</f>
        <v>#REF!</v>
      </c>
      <c r="EB198" t="e">
        <f>AND(#REF!,"AAAAADdO/4M=")</f>
        <v>#REF!</v>
      </c>
      <c r="EC198" t="e">
        <f>AND(#REF!,"AAAAADdO/4Q=")</f>
        <v>#REF!</v>
      </c>
      <c r="ED198" t="e">
        <f>AND(#REF!,"AAAAADdO/4U=")</f>
        <v>#REF!</v>
      </c>
      <c r="EE198" t="e">
        <f>AND(#REF!,"AAAAADdO/4Y=")</f>
        <v>#REF!</v>
      </c>
      <c r="EF198" t="e">
        <f>AND(#REF!,"AAAAADdO/4c=")</f>
        <v>#REF!</v>
      </c>
      <c r="EG198" t="e">
        <f>AND(#REF!,"AAAAADdO/4g=")</f>
        <v>#REF!</v>
      </c>
      <c r="EH198" t="e">
        <f>AND(#REF!,"AAAAADdO/4k=")</f>
        <v>#REF!</v>
      </c>
      <c r="EI198" t="e">
        <f>AND(#REF!,"AAAAADdO/4o=")</f>
        <v>#REF!</v>
      </c>
      <c r="EJ198" t="e">
        <f>AND(#REF!,"AAAAADdO/4s=")</f>
        <v>#REF!</v>
      </c>
      <c r="EK198" t="e">
        <f>AND(#REF!,"AAAAADdO/4w=")</f>
        <v>#REF!</v>
      </c>
      <c r="EL198" t="e">
        <f>AND(#REF!,"AAAAADdO/40=")</f>
        <v>#REF!</v>
      </c>
      <c r="EM198" t="e">
        <f>AND(#REF!,"AAAAADdO/44=")</f>
        <v>#REF!</v>
      </c>
      <c r="EN198" t="e">
        <f>AND(#REF!,"AAAAADdO/48=")</f>
        <v>#REF!</v>
      </c>
      <c r="EO198" t="e">
        <f>AND(#REF!,"AAAAADdO/5A=")</f>
        <v>#REF!</v>
      </c>
      <c r="EP198" t="e">
        <f>AND(#REF!,"AAAAADdO/5E=")</f>
        <v>#REF!</v>
      </c>
      <c r="EQ198" t="e">
        <f>AND(#REF!,"AAAAADdO/5I=")</f>
        <v>#REF!</v>
      </c>
      <c r="ER198" t="e">
        <f>AND(#REF!,"AAAAADdO/5M=")</f>
        <v>#REF!</v>
      </c>
      <c r="ES198" t="e">
        <f>AND(#REF!,"AAAAADdO/5Q=")</f>
        <v>#REF!</v>
      </c>
      <c r="ET198" t="e">
        <f>AND(#REF!,"AAAAADdO/5U=")</f>
        <v>#REF!</v>
      </c>
      <c r="EU198" t="e">
        <f>AND(#REF!,"AAAAADdO/5Y=")</f>
        <v>#REF!</v>
      </c>
      <c r="EV198" t="e">
        <f>AND(#REF!,"AAAAADdO/5c=")</f>
        <v>#REF!</v>
      </c>
      <c r="EW198" t="e">
        <f>AND(#REF!,"AAAAADdO/5g=")</f>
        <v>#REF!</v>
      </c>
      <c r="EX198" t="e">
        <f>IF(#REF!,"AAAAADdO/5k=",0)</f>
        <v>#REF!</v>
      </c>
      <c r="EY198" t="e">
        <f>AND(#REF!,"AAAAADdO/5o=")</f>
        <v>#REF!</v>
      </c>
      <c r="EZ198" t="e">
        <f>AND(#REF!,"AAAAADdO/5s=")</f>
        <v>#REF!</v>
      </c>
      <c r="FA198" t="e">
        <f>AND(#REF!,"AAAAADdO/5w=")</f>
        <v>#REF!</v>
      </c>
      <c r="FB198" t="e">
        <f>AND(#REF!,"AAAAADdO/50=")</f>
        <v>#REF!</v>
      </c>
      <c r="FC198" t="e">
        <f>AND(#REF!,"AAAAADdO/54=")</f>
        <v>#REF!</v>
      </c>
      <c r="FD198" t="e">
        <f>AND(#REF!,"AAAAADdO/58=")</f>
        <v>#REF!</v>
      </c>
      <c r="FE198" t="e">
        <f>AND(#REF!,"AAAAADdO/6A=")</f>
        <v>#REF!</v>
      </c>
      <c r="FF198" t="e">
        <f>AND(#REF!,"AAAAADdO/6E=")</f>
        <v>#REF!</v>
      </c>
      <c r="FG198" t="e">
        <f>AND(#REF!,"AAAAADdO/6I=")</f>
        <v>#REF!</v>
      </c>
      <c r="FH198" t="e">
        <f>AND(#REF!,"AAAAADdO/6M=")</f>
        <v>#REF!</v>
      </c>
      <c r="FI198" t="e">
        <f>AND(#REF!,"AAAAADdO/6Q=")</f>
        <v>#REF!</v>
      </c>
      <c r="FJ198" t="e">
        <f>AND(#REF!,"AAAAADdO/6U=")</f>
        <v>#REF!</v>
      </c>
      <c r="FK198" t="e">
        <f>AND(#REF!,"AAAAADdO/6Y=")</f>
        <v>#REF!</v>
      </c>
      <c r="FL198" t="e">
        <f>AND(#REF!,"AAAAADdO/6c=")</f>
        <v>#REF!</v>
      </c>
      <c r="FM198" t="e">
        <f>AND(#REF!,"AAAAADdO/6g=")</f>
        <v>#REF!</v>
      </c>
      <c r="FN198" t="e">
        <f>AND(#REF!,"AAAAADdO/6k=")</f>
        <v>#REF!</v>
      </c>
      <c r="FO198" t="e">
        <f>AND(#REF!,"AAAAADdO/6o=")</f>
        <v>#REF!</v>
      </c>
      <c r="FP198" t="e">
        <f>AND(#REF!,"AAAAADdO/6s=")</f>
        <v>#REF!</v>
      </c>
      <c r="FQ198" t="e">
        <f>AND(#REF!,"AAAAADdO/6w=")</f>
        <v>#REF!</v>
      </c>
      <c r="FR198" t="e">
        <f>AND(#REF!,"AAAAADdO/60=")</f>
        <v>#REF!</v>
      </c>
      <c r="FS198" t="e">
        <f>AND(#REF!,"AAAAADdO/64=")</f>
        <v>#REF!</v>
      </c>
      <c r="FT198" t="e">
        <f>AND(#REF!,"AAAAADdO/68=")</f>
        <v>#REF!</v>
      </c>
      <c r="FU198" t="e">
        <f>AND(#REF!,"AAAAADdO/7A=")</f>
        <v>#REF!</v>
      </c>
      <c r="FV198" t="e">
        <f>AND(#REF!,"AAAAADdO/7E=")</f>
        <v>#REF!</v>
      </c>
      <c r="FW198" t="e">
        <f>IF(#REF!,"AAAAADdO/7I=",0)</f>
        <v>#REF!</v>
      </c>
      <c r="FX198" t="e">
        <f>AND(#REF!,"AAAAADdO/7M=")</f>
        <v>#REF!</v>
      </c>
      <c r="FY198" t="e">
        <f>AND(#REF!,"AAAAADdO/7Q=")</f>
        <v>#REF!</v>
      </c>
      <c r="FZ198" t="e">
        <f>AND(#REF!,"AAAAADdO/7U=")</f>
        <v>#REF!</v>
      </c>
      <c r="GA198" t="e">
        <f>AND(#REF!,"AAAAADdO/7Y=")</f>
        <v>#REF!</v>
      </c>
      <c r="GB198" t="e">
        <f>AND(#REF!,"AAAAADdO/7c=")</f>
        <v>#REF!</v>
      </c>
      <c r="GC198" t="e">
        <f>AND(#REF!,"AAAAADdO/7g=")</f>
        <v>#REF!</v>
      </c>
      <c r="GD198" t="e">
        <f>AND(#REF!,"AAAAADdO/7k=")</f>
        <v>#REF!</v>
      </c>
      <c r="GE198" t="e">
        <f>AND(#REF!,"AAAAADdO/7o=")</f>
        <v>#REF!</v>
      </c>
      <c r="GF198" t="e">
        <f>AND(#REF!,"AAAAADdO/7s=")</f>
        <v>#REF!</v>
      </c>
      <c r="GG198" t="e">
        <f>AND(#REF!,"AAAAADdO/7w=")</f>
        <v>#REF!</v>
      </c>
      <c r="GH198" t="e">
        <f>AND(#REF!,"AAAAADdO/70=")</f>
        <v>#REF!</v>
      </c>
      <c r="GI198" t="e">
        <f>AND(#REF!,"AAAAADdO/74=")</f>
        <v>#REF!</v>
      </c>
      <c r="GJ198" t="e">
        <f>AND(#REF!,"AAAAADdO/78=")</f>
        <v>#REF!</v>
      </c>
      <c r="GK198" t="e">
        <f>AND(#REF!,"AAAAADdO/8A=")</f>
        <v>#REF!</v>
      </c>
      <c r="GL198" t="e">
        <f>AND(#REF!,"AAAAADdO/8E=")</f>
        <v>#REF!</v>
      </c>
      <c r="GM198" t="e">
        <f>AND(#REF!,"AAAAADdO/8I=")</f>
        <v>#REF!</v>
      </c>
      <c r="GN198" t="e">
        <f>AND(#REF!,"AAAAADdO/8M=")</f>
        <v>#REF!</v>
      </c>
      <c r="GO198" t="e">
        <f>AND(#REF!,"AAAAADdO/8Q=")</f>
        <v>#REF!</v>
      </c>
      <c r="GP198" t="e">
        <f>AND(#REF!,"AAAAADdO/8U=")</f>
        <v>#REF!</v>
      </c>
      <c r="GQ198" t="e">
        <f>AND(#REF!,"AAAAADdO/8Y=")</f>
        <v>#REF!</v>
      </c>
      <c r="GR198" t="e">
        <f>AND(#REF!,"AAAAADdO/8c=")</f>
        <v>#REF!</v>
      </c>
      <c r="GS198" t="e">
        <f>AND(#REF!,"AAAAADdO/8g=")</f>
        <v>#REF!</v>
      </c>
      <c r="GT198" t="e">
        <f>AND(#REF!,"AAAAADdO/8k=")</f>
        <v>#REF!</v>
      </c>
      <c r="GU198" t="e">
        <f>AND(#REF!,"AAAAADdO/8o=")</f>
        <v>#REF!</v>
      </c>
      <c r="GV198" t="e">
        <f>IF(#REF!,"AAAAADdO/8s=",0)</f>
        <v>#REF!</v>
      </c>
      <c r="GW198" t="e">
        <f>AND(#REF!,"AAAAADdO/8w=")</f>
        <v>#REF!</v>
      </c>
      <c r="GX198" t="e">
        <f>AND(#REF!,"AAAAADdO/80=")</f>
        <v>#REF!</v>
      </c>
      <c r="GY198" t="e">
        <f>AND(#REF!,"AAAAADdO/84=")</f>
        <v>#REF!</v>
      </c>
      <c r="GZ198" t="e">
        <f>AND(#REF!,"AAAAADdO/88=")</f>
        <v>#REF!</v>
      </c>
      <c r="HA198" t="e">
        <f>AND(#REF!,"AAAAADdO/9A=")</f>
        <v>#REF!</v>
      </c>
      <c r="HB198" t="e">
        <f>AND(#REF!,"AAAAADdO/9E=")</f>
        <v>#REF!</v>
      </c>
      <c r="HC198" t="e">
        <f>AND(#REF!,"AAAAADdO/9I=")</f>
        <v>#REF!</v>
      </c>
      <c r="HD198" t="e">
        <f>AND(#REF!,"AAAAADdO/9M=")</f>
        <v>#REF!</v>
      </c>
      <c r="HE198" t="e">
        <f>AND(#REF!,"AAAAADdO/9Q=")</f>
        <v>#REF!</v>
      </c>
      <c r="HF198" t="e">
        <f>AND(#REF!,"AAAAADdO/9U=")</f>
        <v>#REF!</v>
      </c>
      <c r="HG198" t="e">
        <f>AND(#REF!,"AAAAADdO/9Y=")</f>
        <v>#REF!</v>
      </c>
      <c r="HH198" t="e">
        <f>AND(#REF!,"AAAAADdO/9c=")</f>
        <v>#REF!</v>
      </c>
      <c r="HI198" t="e">
        <f>AND(#REF!,"AAAAADdO/9g=")</f>
        <v>#REF!</v>
      </c>
      <c r="HJ198" t="e">
        <f>AND(#REF!,"AAAAADdO/9k=")</f>
        <v>#REF!</v>
      </c>
      <c r="HK198" t="e">
        <f>AND(#REF!,"AAAAADdO/9o=")</f>
        <v>#REF!</v>
      </c>
      <c r="HL198" t="e">
        <f>AND(#REF!,"AAAAADdO/9s=")</f>
        <v>#REF!</v>
      </c>
      <c r="HM198" t="e">
        <f>AND(#REF!,"AAAAADdO/9w=")</f>
        <v>#REF!</v>
      </c>
      <c r="HN198" t="e">
        <f>AND(#REF!,"AAAAADdO/90=")</f>
        <v>#REF!</v>
      </c>
      <c r="HO198" t="e">
        <f>AND(#REF!,"AAAAADdO/94=")</f>
        <v>#REF!</v>
      </c>
      <c r="HP198" t="e">
        <f>AND(#REF!,"AAAAADdO/98=")</f>
        <v>#REF!</v>
      </c>
      <c r="HQ198" t="e">
        <f>AND(#REF!,"AAAAADdO/+A=")</f>
        <v>#REF!</v>
      </c>
      <c r="HR198" t="e">
        <f>AND(#REF!,"AAAAADdO/+E=")</f>
        <v>#REF!</v>
      </c>
      <c r="HS198" t="e">
        <f>AND(#REF!,"AAAAADdO/+I=")</f>
        <v>#REF!</v>
      </c>
      <c r="HT198" t="e">
        <f>AND(#REF!,"AAAAADdO/+M=")</f>
        <v>#REF!</v>
      </c>
      <c r="HU198" t="e">
        <f>IF(#REF!,"AAAAADdO/+Q=",0)</f>
        <v>#REF!</v>
      </c>
      <c r="HV198" t="e">
        <f>AND(#REF!,"AAAAADdO/+U=")</f>
        <v>#REF!</v>
      </c>
      <c r="HW198" t="e">
        <f>AND(#REF!,"AAAAADdO/+Y=")</f>
        <v>#REF!</v>
      </c>
      <c r="HX198" t="e">
        <f>AND(#REF!,"AAAAADdO/+c=")</f>
        <v>#REF!</v>
      </c>
      <c r="HY198" t="e">
        <f>AND(#REF!,"AAAAADdO/+g=")</f>
        <v>#REF!</v>
      </c>
      <c r="HZ198" t="e">
        <f>AND(#REF!,"AAAAADdO/+k=")</f>
        <v>#REF!</v>
      </c>
      <c r="IA198" t="e">
        <f>AND(#REF!,"AAAAADdO/+o=")</f>
        <v>#REF!</v>
      </c>
      <c r="IB198" t="e">
        <f>AND(#REF!,"AAAAADdO/+s=")</f>
        <v>#REF!</v>
      </c>
      <c r="IC198" t="e">
        <f>AND(#REF!,"AAAAADdO/+w=")</f>
        <v>#REF!</v>
      </c>
      <c r="ID198" t="e">
        <f>AND(#REF!,"AAAAADdO/+0=")</f>
        <v>#REF!</v>
      </c>
      <c r="IE198" t="e">
        <f>AND(#REF!,"AAAAADdO/+4=")</f>
        <v>#REF!</v>
      </c>
      <c r="IF198" t="e">
        <f>AND(#REF!,"AAAAADdO/+8=")</f>
        <v>#REF!</v>
      </c>
      <c r="IG198" t="e">
        <f>AND(#REF!,"AAAAADdO//A=")</f>
        <v>#REF!</v>
      </c>
      <c r="IH198" t="e">
        <f>AND(#REF!,"AAAAADdO//E=")</f>
        <v>#REF!</v>
      </c>
      <c r="II198" t="e">
        <f>AND(#REF!,"AAAAADdO//I=")</f>
        <v>#REF!</v>
      </c>
      <c r="IJ198" t="e">
        <f>AND(#REF!,"AAAAADdO//M=")</f>
        <v>#REF!</v>
      </c>
      <c r="IK198" t="e">
        <f>AND(#REF!,"AAAAADdO//Q=")</f>
        <v>#REF!</v>
      </c>
      <c r="IL198" t="e">
        <f>AND(#REF!,"AAAAADdO//U=")</f>
        <v>#REF!</v>
      </c>
      <c r="IM198" t="e">
        <f>AND(#REF!,"AAAAADdO//Y=")</f>
        <v>#REF!</v>
      </c>
      <c r="IN198" t="e">
        <f>AND(#REF!,"AAAAADdO//c=")</f>
        <v>#REF!</v>
      </c>
      <c r="IO198" t="e">
        <f>AND(#REF!,"AAAAADdO//g=")</f>
        <v>#REF!</v>
      </c>
      <c r="IP198" t="e">
        <f>AND(#REF!,"AAAAADdO//k=")</f>
        <v>#REF!</v>
      </c>
      <c r="IQ198" t="e">
        <f>AND(#REF!,"AAAAADdO//o=")</f>
        <v>#REF!</v>
      </c>
      <c r="IR198" t="e">
        <f>AND(#REF!,"AAAAADdO//s=")</f>
        <v>#REF!</v>
      </c>
      <c r="IS198" t="e">
        <f>AND(#REF!,"AAAAADdO//w=")</f>
        <v>#REF!</v>
      </c>
      <c r="IT198" t="e">
        <f>IF(#REF!,"AAAAADdO//0=",0)</f>
        <v>#REF!</v>
      </c>
      <c r="IU198" t="e">
        <f>AND(#REF!,"AAAAADdO//4=")</f>
        <v>#REF!</v>
      </c>
      <c r="IV198" t="e">
        <f>AND(#REF!,"AAAAADdO//8=")</f>
        <v>#REF!</v>
      </c>
    </row>
    <row r="199" spans="1:256">
      <c r="A199" t="e">
        <f>AND(#REF!,"AAAAAG26/wA=")</f>
        <v>#REF!</v>
      </c>
      <c r="B199" t="e">
        <f>AND(#REF!,"AAAAAG26/wE=")</f>
        <v>#REF!</v>
      </c>
      <c r="C199" t="e">
        <f>AND(#REF!,"AAAAAG26/wI=")</f>
        <v>#REF!</v>
      </c>
      <c r="D199" t="e">
        <f>AND(#REF!,"AAAAAG26/wM=")</f>
        <v>#REF!</v>
      </c>
      <c r="E199" t="e">
        <f>AND(#REF!,"AAAAAG26/wQ=")</f>
        <v>#REF!</v>
      </c>
      <c r="F199" t="e">
        <f>AND(#REF!,"AAAAAG26/wU=")</f>
        <v>#REF!</v>
      </c>
      <c r="G199" t="e">
        <f>AND(#REF!,"AAAAAG26/wY=")</f>
        <v>#REF!</v>
      </c>
      <c r="H199" t="e">
        <f>AND(#REF!,"AAAAAG26/wc=")</f>
        <v>#REF!</v>
      </c>
      <c r="I199" t="e">
        <f>AND(#REF!,"AAAAAG26/wg=")</f>
        <v>#REF!</v>
      </c>
      <c r="J199" t="e">
        <f>AND(#REF!,"AAAAAG26/wk=")</f>
        <v>#REF!</v>
      </c>
      <c r="K199" t="e">
        <f>AND(#REF!,"AAAAAG26/wo=")</f>
        <v>#REF!</v>
      </c>
      <c r="L199" t="e">
        <f>AND(#REF!,"AAAAAG26/ws=")</f>
        <v>#REF!</v>
      </c>
      <c r="M199" t="e">
        <f>AND(#REF!,"AAAAAG26/ww=")</f>
        <v>#REF!</v>
      </c>
      <c r="N199" t="e">
        <f>AND(#REF!,"AAAAAG26/w0=")</f>
        <v>#REF!</v>
      </c>
      <c r="O199" t="e">
        <f>AND(#REF!,"AAAAAG26/w4=")</f>
        <v>#REF!</v>
      </c>
      <c r="P199" t="e">
        <f>AND(#REF!,"AAAAAG26/w8=")</f>
        <v>#REF!</v>
      </c>
      <c r="Q199" t="e">
        <f>AND(#REF!,"AAAAAG26/xA=")</f>
        <v>#REF!</v>
      </c>
      <c r="R199" t="e">
        <f>AND(#REF!,"AAAAAG26/xE=")</f>
        <v>#REF!</v>
      </c>
      <c r="S199" t="e">
        <f>AND(#REF!,"AAAAAG26/xI=")</f>
        <v>#REF!</v>
      </c>
      <c r="T199" t="e">
        <f>AND(#REF!,"AAAAAG26/xM=")</f>
        <v>#REF!</v>
      </c>
      <c r="U199" t="e">
        <f>AND(#REF!,"AAAAAG26/xQ=")</f>
        <v>#REF!</v>
      </c>
      <c r="V199" t="e">
        <f>AND(#REF!,"AAAAAG26/xU=")</f>
        <v>#REF!</v>
      </c>
      <c r="W199" t="e">
        <f>IF(#REF!,"AAAAAG26/xY=",0)</f>
        <v>#REF!</v>
      </c>
      <c r="X199" t="e">
        <f>AND(#REF!,"AAAAAG26/xc=")</f>
        <v>#REF!</v>
      </c>
      <c r="Y199" t="e">
        <f>AND(#REF!,"AAAAAG26/xg=")</f>
        <v>#REF!</v>
      </c>
      <c r="Z199" t="e">
        <f>AND(#REF!,"AAAAAG26/xk=")</f>
        <v>#REF!</v>
      </c>
      <c r="AA199" t="e">
        <f>AND(#REF!,"AAAAAG26/xo=")</f>
        <v>#REF!</v>
      </c>
      <c r="AB199" t="e">
        <f>AND(#REF!,"AAAAAG26/xs=")</f>
        <v>#REF!</v>
      </c>
      <c r="AC199" t="e">
        <f>AND(#REF!,"AAAAAG26/xw=")</f>
        <v>#REF!</v>
      </c>
      <c r="AD199" t="e">
        <f>AND(#REF!,"AAAAAG26/x0=")</f>
        <v>#REF!</v>
      </c>
      <c r="AE199" t="e">
        <f>AND(#REF!,"AAAAAG26/x4=")</f>
        <v>#REF!</v>
      </c>
      <c r="AF199" t="e">
        <f>AND(#REF!,"AAAAAG26/x8=")</f>
        <v>#REF!</v>
      </c>
      <c r="AG199" t="e">
        <f>AND(#REF!,"AAAAAG26/yA=")</f>
        <v>#REF!</v>
      </c>
      <c r="AH199" t="e">
        <f>AND(#REF!,"AAAAAG26/yE=")</f>
        <v>#REF!</v>
      </c>
      <c r="AI199" t="e">
        <f>AND(#REF!,"AAAAAG26/yI=")</f>
        <v>#REF!</v>
      </c>
      <c r="AJ199" t="e">
        <f>AND(#REF!,"AAAAAG26/yM=")</f>
        <v>#REF!</v>
      </c>
      <c r="AK199" t="e">
        <f>AND(#REF!,"AAAAAG26/yQ=")</f>
        <v>#REF!</v>
      </c>
      <c r="AL199" t="e">
        <f>AND(#REF!,"AAAAAG26/yU=")</f>
        <v>#REF!</v>
      </c>
      <c r="AM199" t="e">
        <f>AND(#REF!,"AAAAAG26/yY=")</f>
        <v>#REF!</v>
      </c>
      <c r="AN199" t="e">
        <f>AND(#REF!,"AAAAAG26/yc=")</f>
        <v>#REF!</v>
      </c>
      <c r="AO199" t="e">
        <f>AND(#REF!,"AAAAAG26/yg=")</f>
        <v>#REF!</v>
      </c>
      <c r="AP199" t="e">
        <f>AND(#REF!,"AAAAAG26/yk=")</f>
        <v>#REF!</v>
      </c>
      <c r="AQ199" t="e">
        <f>AND(#REF!,"AAAAAG26/yo=")</f>
        <v>#REF!</v>
      </c>
      <c r="AR199" t="e">
        <f>AND(#REF!,"AAAAAG26/ys=")</f>
        <v>#REF!</v>
      </c>
      <c r="AS199" t="e">
        <f>AND(#REF!,"AAAAAG26/yw=")</f>
        <v>#REF!</v>
      </c>
      <c r="AT199" t="e">
        <f>AND(#REF!,"AAAAAG26/y0=")</f>
        <v>#REF!</v>
      </c>
      <c r="AU199" t="e">
        <f>AND(#REF!,"AAAAAG26/y4=")</f>
        <v>#REF!</v>
      </c>
      <c r="AV199" t="e">
        <f>IF(#REF!,"AAAAAG26/y8=",0)</f>
        <v>#REF!</v>
      </c>
      <c r="AW199" t="e">
        <f>AND(#REF!,"AAAAAG26/zA=")</f>
        <v>#REF!</v>
      </c>
      <c r="AX199" t="e">
        <f>AND(#REF!,"AAAAAG26/zE=")</f>
        <v>#REF!</v>
      </c>
      <c r="AY199" t="e">
        <f>AND(#REF!,"AAAAAG26/zI=")</f>
        <v>#REF!</v>
      </c>
      <c r="AZ199" t="e">
        <f>AND(#REF!,"AAAAAG26/zM=")</f>
        <v>#REF!</v>
      </c>
      <c r="BA199" t="e">
        <f>AND(#REF!,"AAAAAG26/zQ=")</f>
        <v>#REF!</v>
      </c>
      <c r="BB199" t="e">
        <f>AND(#REF!,"AAAAAG26/zU=")</f>
        <v>#REF!</v>
      </c>
      <c r="BC199" t="e">
        <f>AND(#REF!,"AAAAAG26/zY=")</f>
        <v>#REF!</v>
      </c>
      <c r="BD199" t="e">
        <f>AND(#REF!,"AAAAAG26/zc=")</f>
        <v>#REF!</v>
      </c>
      <c r="BE199" t="e">
        <f>AND(#REF!,"AAAAAG26/zg=")</f>
        <v>#REF!</v>
      </c>
      <c r="BF199" t="e">
        <f>AND(#REF!,"AAAAAG26/zk=")</f>
        <v>#REF!</v>
      </c>
      <c r="BG199" t="e">
        <f>AND(#REF!,"AAAAAG26/zo=")</f>
        <v>#REF!</v>
      </c>
      <c r="BH199" t="e">
        <f>AND(#REF!,"AAAAAG26/zs=")</f>
        <v>#REF!</v>
      </c>
      <c r="BI199" t="e">
        <f>AND(#REF!,"AAAAAG26/zw=")</f>
        <v>#REF!</v>
      </c>
      <c r="BJ199" t="e">
        <f>AND(#REF!,"AAAAAG26/z0=")</f>
        <v>#REF!</v>
      </c>
      <c r="BK199" t="e">
        <f>AND(#REF!,"AAAAAG26/z4=")</f>
        <v>#REF!</v>
      </c>
      <c r="BL199" t="e">
        <f>AND(#REF!,"AAAAAG26/z8=")</f>
        <v>#REF!</v>
      </c>
      <c r="BM199" t="e">
        <f>AND(#REF!,"AAAAAG26/0A=")</f>
        <v>#REF!</v>
      </c>
      <c r="BN199" t="e">
        <f>AND(#REF!,"AAAAAG26/0E=")</f>
        <v>#REF!</v>
      </c>
      <c r="BO199" t="e">
        <f>AND(#REF!,"AAAAAG26/0I=")</f>
        <v>#REF!</v>
      </c>
      <c r="BP199" t="e">
        <f>AND(#REF!,"AAAAAG26/0M=")</f>
        <v>#REF!</v>
      </c>
      <c r="BQ199" t="e">
        <f>AND(#REF!,"AAAAAG26/0Q=")</f>
        <v>#REF!</v>
      </c>
      <c r="BR199" t="e">
        <f>AND(#REF!,"AAAAAG26/0U=")</f>
        <v>#REF!</v>
      </c>
      <c r="BS199" t="e">
        <f>AND(#REF!,"AAAAAG26/0Y=")</f>
        <v>#REF!</v>
      </c>
      <c r="BT199" t="e">
        <f>AND(#REF!,"AAAAAG26/0c=")</f>
        <v>#REF!</v>
      </c>
      <c r="BU199" t="e">
        <f>IF(#REF!,"AAAAAG26/0g=",0)</f>
        <v>#REF!</v>
      </c>
      <c r="BV199" t="e">
        <f>AND(#REF!,"AAAAAG26/0k=")</f>
        <v>#REF!</v>
      </c>
      <c r="BW199" t="e">
        <f>AND(#REF!,"AAAAAG26/0o=")</f>
        <v>#REF!</v>
      </c>
      <c r="BX199" t="e">
        <f>AND(#REF!,"AAAAAG26/0s=")</f>
        <v>#REF!</v>
      </c>
      <c r="BY199" t="e">
        <f>AND(#REF!,"AAAAAG26/0w=")</f>
        <v>#REF!</v>
      </c>
      <c r="BZ199" t="e">
        <f>AND(#REF!,"AAAAAG26/00=")</f>
        <v>#REF!</v>
      </c>
      <c r="CA199" t="e">
        <f>AND(#REF!,"AAAAAG26/04=")</f>
        <v>#REF!</v>
      </c>
      <c r="CB199" t="e">
        <f>AND(#REF!,"AAAAAG26/08=")</f>
        <v>#REF!</v>
      </c>
      <c r="CC199" t="e">
        <f>AND(#REF!,"AAAAAG26/1A=")</f>
        <v>#REF!</v>
      </c>
      <c r="CD199" t="e">
        <f>AND(#REF!,"AAAAAG26/1E=")</f>
        <v>#REF!</v>
      </c>
      <c r="CE199" t="e">
        <f>AND(#REF!,"AAAAAG26/1I=")</f>
        <v>#REF!</v>
      </c>
      <c r="CF199" t="e">
        <f>AND(#REF!,"AAAAAG26/1M=")</f>
        <v>#REF!</v>
      </c>
      <c r="CG199" t="e">
        <f>AND(#REF!,"AAAAAG26/1Q=")</f>
        <v>#REF!</v>
      </c>
      <c r="CH199" t="e">
        <f>AND(#REF!,"AAAAAG26/1U=")</f>
        <v>#REF!</v>
      </c>
      <c r="CI199" t="e">
        <f>AND(#REF!,"AAAAAG26/1Y=")</f>
        <v>#REF!</v>
      </c>
      <c r="CJ199" t="e">
        <f>AND(#REF!,"AAAAAG26/1c=")</f>
        <v>#REF!</v>
      </c>
      <c r="CK199" t="e">
        <f>AND(#REF!,"AAAAAG26/1g=")</f>
        <v>#REF!</v>
      </c>
      <c r="CL199" t="e">
        <f>AND(#REF!,"AAAAAG26/1k=")</f>
        <v>#REF!</v>
      </c>
      <c r="CM199" t="e">
        <f>AND(#REF!,"AAAAAG26/1o=")</f>
        <v>#REF!</v>
      </c>
      <c r="CN199" t="e">
        <f>AND(#REF!,"AAAAAG26/1s=")</f>
        <v>#REF!</v>
      </c>
      <c r="CO199" t="e">
        <f>AND(#REF!,"AAAAAG26/1w=")</f>
        <v>#REF!</v>
      </c>
      <c r="CP199" t="e">
        <f>AND(#REF!,"AAAAAG26/10=")</f>
        <v>#REF!</v>
      </c>
      <c r="CQ199" t="e">
        <f>AND(#REF!,"AAAAAG26/14=")</f>
        <v>#REF!</v>
      </c>
      <c r="CR199" t="e">
        <f>AND(#REF!,"AAAAAG26/18=")</f>
        <v>#REF!</v>
      </c>
      <c r="CS199" t="e">
        <f>AND(#REF!,"AAAAAG26/2A=")</f>
        <v>#REF!</v>
      </c>
      <c r="CT199" t="e">
        <f>IF(#REF!,"AAAAAG26/2E=",0)</f>
        <v>#REF!</v>
      </c>
      <c r="CU199" t="e">
        <f>AND(#REF!,"AAAAAG26/2I=")</f>
        <v>#REF!</v>
      </c>
      <c r="CV199" t="e">
        <f>AND(#REF!,"AAAAAG26/2M=")</f>
        <v>#REF!</v>
      </c>
      <c r="CW199" t="e">
        <f>AND(#REF!,"AAAAAG26/2Q=")</f>
        <v>#REF!</v>
      </c>
      <c r="CX199" t="e">
        <f>AND(#REF!,"AAAAAG26/2U=")</f>
        <v>#REF!</v>
      </c>
      <c r="CY199" t="e">
        <f>AND(#REF!,"AAAAAG26/2Y=")</f>
        <v>#REF!</v>
      </c>
      <c r="CZ199" t="e">
        <f>AND(#REF!,"AAAAAG26/2c=")</f>
        <v>#REF!</v>
      </c>
      <c r="DA199" t="e">
        <f>AND(#REF!,"AAAAAG26/2g=")</f>
        <v>#REF!</v>
      </c>
      <c r="DB199" t="e">
        <f>AND(#REF!,"AAAAAG26/2k=")</f>
        <v>#REF!</v>
      </c>
      <c r="DC199" t="e">
        <f>AND(#REF!,"AAAAAG26/2o=")</f>
        <v>#REF!</v>
      </c>
      <c r="DD199" t="e">
        <f>AND(#REF!,"AAAAAG26/2s=")</f>
        <v>#REF!</v>
      </c>
      <c r="DE199" t="e">
        <f>AND(#REF!,"AAAAAG26/2w=")</f>
        <v>#REF!</v>
      </c>
      <c r="DF199" t="e">
        <f>AND(#REF!,"AAAAAG26/20=")</f>
        <v>#REF!</v>
      </c>
      <c r="DG199" t="e">
        <f>AND(#REF!,"AAAAAG26/24=")</f>
        <v>#REF!</v>
      </c>
      <c r="DH199" t="e">
        <f>AND(#REF!,"AAAAAG26/28=")</f>
        <v>#REF!</v>
      </c>
      <c r="DI199" t="e">
        <f>AND(#REF!,"AAAAAG26/3A=")</f>
        <v>#REF!</v>
      </c>
      <c r="DJ199" t="e">
        <f>AND(#REF!,"AAAAAG26/3E=")</f>
        <v>#REF!</v>
      </c>
      <c r="DK199" t="e">
        <f>AND(#REF!,"AAAAAG26/3I=")</f>
        <v>#REF!</v>
      </c>
      <c r="DL199" t="e">
        <f>AND(#REF!,"AAAAAG26/3M=")</f>
        <v>#REF!</v>
      </c>
      <c r="DM199" t="e">
        <f>AND(#REF!,"AAAAAG26/3Q=")</f>
        <v>#REF!</v>
      </c>
      <c r="DN199" t="e">
        <f>AND(#REF!,"AAAAAG26/3U=")</f>
        <v>#REF!</v>
      </c>
      <c r="DO199" t="e">
        <f>AND(#REF!,"AAAAAG26/3Y=")</f>
        <v>#REF!</v>
      </c>
      <c r="DP199" t="e">
        <f>AND(#REF!,"AAAAAG26/3c=")</f>
        <v>#REF!</v>
      </c>
      <c r="DQ199" t="e">
        <f>AND(#REF!,"AAAAAG26/3g=")</f>
        <v>#REF!</v>
      </c>
      <c r="DR199" t="e">
        <f>AND(#REF!,"AAAAAG26/3k=")</f>
        <v>#REF!</v>
      </c>
      <c r="DS199" t="e">
        <f>IF(#REF!,"AAAAAG26/3o=",0)</f>
        <v>#REF!</v>
      </c>
      <c r="DT199" t="e">
        <f>AND(#REF!,"AAAAAG26/3s=")</f>
        <v>#REF!</v>
      </c>
      <c r="DU199" t="e">
        <f>AND(#REF!,"AAAAAG26/3w=")</f>
        <v>#REF!</v>
      </c>
      <c r="DV199" t="e">
        <f>AND(#REF!,"AAAAAG26/30=")</f>
        <v>#REF!</v>
      </c>
      <c r="DW199" t="e">
        <f>AND(#REF!,"AAAAAG26/34=")</f>
        <v>#REF!</v>
      </c>
      <c r="DX199" t="e">
        <f>AND(#REF!,"AAAAAG26/38=")</f>
        <v>#REF!</v>
      </c>
      <c r="DY199" t="e">
        <f>AND(#REF!,"AAAAAG26/4A=")</f>
        <v>#REF!</v>
      </c>
      <c r="DZ199" t="e">
        <f>AND(#REF!,"AAAAAG26/4E=")</f>
        <v>#REF!</v>
      </c>
      <c r="EA199" t="e">
        <f>AND(#REF!,"AAAAAG26/4I=")</f>
        <v>#REF!</v>
      </c>
      <c r="EB199" t="e">
        <f>AND(#REF!,"AAAAAG26/4M=")</f>
        <v>#REF!</v>
      </c>
      <c r="EC199" t="e">
        <f>AND(#REF!,"AAAAAG26/4Q=")</f>
        <v>#REF!</v>
      </c>
      <c r="ED199" t="e">
        <f>AND(#REF!,"AAAAAG26/4U=")</f>
        <v>#REF!</v>
      </c>
      <c r="EE199" t="e">
        <f>AND(#REF!,"AAAAAG26/4Y=")</f>
        <v>#REF!</v>
      </c>
      <c r="EF199" t="e">
        <f>AND(#REF!,"AAAAAG26/4c=")</f>
        <v>#REF!</v>
      </c>
      <c r="EG199" t="e">
        <f>AND(#REF!,"AAAAAG26/4g=")</f>
        <v>#REF!</v>
      </c>
      <c r="EH199" t="e">
        <f>AND(#REF!,"AAAAAG26/4k=")</f>
        <v>#REF!</v>
      </c>
      <c r="EI199" t="e">
        <f>AND(#REF!,"AAAAAG26/4o=")</f>
        <v>#REF!</v>
      </c>
      <c r="EJ199" t="e">
        <f>AND(#REF!,"AAAAAG26/4s=")</f>
        <v>#REF!</v>
      </c>
      <c r="EK199" t="e">
        <f>AND(#REF!,"AAAAAG26/4w=")</f>
        <v>#REF!</v>
      </c>
      <c r="EL199" t="e">
        <f>AND(#REF!,"AAAAAG26/40=")</f>
        <v>#REF!</v>
      </c>
      <c r="EM199" t="e">
        <f>AND(#REF!,"AAAAAG26/44=")</f>
        <v>#REF!</v>
      </c>
      <c r="EN199" t="e">
        <f>AND(#REF!,"AAAAAG26/48=")</f>
        <v>#REF!</v>
      </c>
      <c r="EO199" t="e">
        <f>AND(#REF!,"AAAAAG26/5A=")</f>
        <v>#REF!</v>
      </c>
      <c r="EP199" t="e">
        <f>AND(#REF!,"AAAAAG26/5E=")</f>
        <v>#REF!</v>
      </c>
      <c r="EQ199" t="e">
        <f>AND(#REF!,"AAAAAG26/5I=")</f>
        <v>#REF!</v>
      </c>
      <c r="ER199" t="e">
        <f>IF(#REF!,"AAAAAG26/5M=",0)</f>
        <v>#REF!</v>
      </c>
      <c r="ES199" t="e">
        <f>AND(#REF!,"AAAAAG26/5Q=")</f>
        <v>#REF!</v>
      </c>
      <c r="ET199" t="e">
        <f>AND(#REF!,"AAAAAG26/5U=")</f>
        <v>#REF!</v>
      </c>
      <c r="EU199" t="e">
        <f>AND(#REF!,"AAAAAG26/5Y=")</f>
        <v>#REF!</v>
      </c>
      <c r="EV199" t="e">
        <f>AND(#REF!,"AAAAAG26/5c=")</f>
        <v>#REF!</v>
      </c>
      <c r="EW199" t="e">
        <f>AND(#REF!,"AAAAAG26/5g=")</f>
        <v>#REF!</v>
      </c>
      <c r="EX199" t="e">
        <f>AND(#REF!,"AAAAAG26/5k=")</f>
        <v>#REF!</v>
      </c>
      <c r="EY199" t="e">
        <f>AND(#REF!,"AAAAAG26/5o=")</f>
        <v>#REF!</v>
      </c>
      <c r="EZ199" t="e">
        <f>AND(#REF!,"AAAAAG26/5s=")</f>
        <v>#REF!</v>
      </c>
      <c r="FA199" t="e">
        <f>AND(#REF!,"AAAAAG26/5w=")</f>
        <v>#REF!</v>
      </c>
      <c r="FB199" t="e">
        <f>AND(#REF!,"AAAAAG26/50=")</f>
        <v>#REF!</v>
      </c>
      <c r="FC199" t="e">
        <f>AND(#REF!,"AAAAAG26/54=")</f>
        <v>#REF!</v>
      </c>
      <c r="FD199" t="e">
        <f>AND(#REF!,"AAAAAG26/58=")</f>
        <v>#REF!</v>
      </c>
      <c r="FE199" t="e">
        <f>AND(#REF!,"AAAAAG26/6A=")</f>
        <v>#REF!</v>
      </c>
      <c r="FF199" t="e">
        <f>AND(#REF!,"AAAAAG26/6E=")</f>
        <v>#REF!</v>
      </c>
      <c r="FG199" t="e">
        <f>AND(#REF!,"AAAAAG26/6I=")</f>
        <v>#REF!</v>
      </c>
      <c r="FH199" t="e">
        <f>AND(#REF!,"AAAAAG26/6M=")</f>
        <v>#REF!</v>
      </c>
      <c r="FI199" t="e">
        <f>AND(#REF!,"AAAAAG26/6Q=")</f>
        <v>#REF!</v>
      </c>
      <c r="FJ199" t="e">
        <f>AND(#REF!,"AAAAAG26/6U=")</f>
        <v>#REF!</v>
      </c>
      <c r="FK199" t="e">
        <f>AND(#REF!,"AAAAAG26/6Y=")</f>
        <v>#REF!</v>
      </c>
      <c r="FL199" t="e">
        <f>AND(#REF!,"AAAAAG26/6c=")</f>
        <v>#REF!</v>
      </c>
      <c r="FM199" t="e">
        <f>AND(#REF!,"AAAAAG26/6g=")</f>
        <v>#REF!</v>
      </c>
      <c r="FN199" t="e">
        <f>AND(#REF!,"AAAAAG26/6k=")</f>
        <v>#REF!</v>
      </c>
      <c r="FO199" t="e">
        <f>AND(#REF!,"AAAAAG26/6o=")</f>
        <v>#REF!</v>
      </c>
      <c r="FP199" t="e">
        <f>AND(#REF!,"AAAAAG26/6s=")</f>
        <v>#REF!</v>
      </c>
      <c r="FQ199" t="e">
        <f>IF(#REF!,"AAAAAG26/6w=",0)</f>
        <v>#REF!</v>
      </c>
      <c r="FR199" t="e">
        <f>AND(#REF!,"AAAAAG26/60=")</f>
        <v>#REF!</v>
      </c>
      <c r="FS199" t="e">
        <f>AND(#REF!,"AAAAAG26/64=")</f>
        <v>#REF!</v>
      </c>
      <c r="FT199" t="e">
        <f>AND(#REF!,"AAAAAG26/68=")</f>
        <v>#REF!</v>
      </c>
      <c r="FU199" t="e">
        <f>AND(#REF!,"AAAAAG26/7A=")</f>
        <v>#REF!</v>
      </c>
      <c r="FV199" t="e">
        <f>AND(#REF!,"AAAAAG26/7E=")</f>
        <v>#REF!</v>
      </c>
      <c r="FW199" t="e">
        <f>AND(#REF!,"AAAAAG26/7I=")</f>
        <v>#REF!</v>
      </c>
      <c r="FX199" t="e">
        <f>AND(#REF!,"AAAAAG26/7M=")</f>
        <v>#REF!</v>
      </c>
      <c r="FY199" t="e">
        <f>AND(#REF!,"AAAAAG26/7Q=")</f>
        <v>#REF!</v>
      </c>
      <c r="FZ199" t="e">
        <f>AND(#REF!,"AAAAAG26/7U=")</f>
        <v>#REF!</v>
      </c>
      <c r="GA199" t="e">
        <f>AND(#REF!,"AAAAAG26/7Y=")</f>
        <v>#REF!</v>
      </c>
      <c r="GB199" t="e">
        <f>AND(#REF!,"AAAAAG26/7c=")</f>
        <v>#REF!</v>
      </c>
      <c r="GC199" t="e">
        <f>AND(#REF!,"AAAAAG26/7g=")</f>
        <v>#REF!</v>
      </c>
      <c r="GD199" t="e">
        <f>AND(#REF!,"AAAAAG26/7k=")</f>
        <v>#REF!</v>
      </c>
      <c r="GE199" t="e">
        <f>AND(#REF!,"AAAAAG26/7o=")</f>
        <v>#REF!</v>
      </c>
      <c r="GF199" t="e">
        <f>AND(#REF!,"AAAAAG26/7s=")</f>
        <v>#REF!</v>
      </c>
      <c r="GG199" t="e">
        <f>AND(#REF!,"AAAAAG26/7w=")</f>
        <v>#REF!</v>
      </c>
      <c r="GH199" t="e">
        <f>AND(#REF!,"AAAAAG26/70=")</f>
        <v>#REF!</v>
      </c>
      <c r="GI199" t="e">
        <f>AND(#REF!,"AAAAAG26/74=")</f>
        <v>#REF!</v>
      </c>
      <c r="GJ199" t="e">
        <f>AND(#REF!,"AAAAAG26/78=")</f>
        <v>#REF!</v>
      </c>
      <c r="GK199" t="e">
        <f>AND(#REF!,"AAAAAG26/8A=")</f>
        <v>#REF!</v>
      </c>
      <c r="GL199" t="e">
        <f>AND(#REF!,"AAAAAG26/8E=")</f>
        <v>#REF!</v>
      </c>
      <c r="GM199" t="e">
        <f>AND(#REF!,"AAAAAG26/8I=")</f>
        <v>#REF!</v>
      </c>
      <c r="GN199" t="e">
        <f>AND(#REF!,"AAAAAG26/8M=")</f>
        <v>#REF!</v>
      </c>
      <c r="GO199" t="e">
        <f>AND(#REF!,"AAAAAG26/8Q=")</f>
        <v>#REF!</v>
      </c>
      <c r="GP199" t="e">
        <f>IF(#REF!,"AAAAAG26/8U=",0)</f>
        <v>#REF!</v>
      </c>
      <c r="GQ199" t="e">
        <f>AND(#REF!,"AAAAAG26/8Y=")</f>
        <v>#REF!</v>
      </c>
      <c r="GR199" t="e">
        <f>AND(#REF!,"AAAAAG26/8c=")</f>
        <v>#REF!</v>
      </c>
      <c r="GS199" t="e">
        <f>AND(#REF!,"AAAAAG26/8g=")</f>
        <v>#REF!</v>
      </c>
      <c r="GT199" t="e">
        <f>AND(#REF!,"AAAAAG26/8k=")</f>
        <v>#REF!</v>
      </c>
      <c r="GU199" t="e">
        <f>AND(#REF!,"AAAAAG26/8o=")</f>
        <v>#REF!</v>
      </c>
      <c r="GV199" t="e">
        <f>AND(#REF!,"AAAAAG26/8s=")</f>
        <v>#REF!</v>
      </c>
      <c r="GW199" t="e">
        <f>AND(#REF!,"AAAAAG26/8w=")</f>
        <v>#REF!</v>
      </c>
      <c r="GX199" t="e">
        <f>AND(#REF!,"AAAAAG26/80=")</f>
        <v>#REF!</v>
      </c>
      <c r="GY199" t="e">
        <f>AND(#REF!,"AAAAAG26/84=")</f>
        <v>#REF!</v>
      </c>
      <c r="GZ199" t="e">
        <f>AND(#REF!,"AAAAAG26/88=")</f>
        <v>#REF!</v>
      </c>
      <c r="HA199" t="e">
        <f>AND(#REF!,"AAAAAG26/9A=")</f>
        <v>#REF!</v>
      </c>
      <c r="HB199" t="e">
        <f>AND(#REF!,"AAAAAG26/9E=")</f>
        <v>#REF!</v>
      </c>
      <c r="HC199" t="e">
        <f>AND(#REF!,"AAAAAG26/9I=")</f>
        <v>#REF!</v>
      </c>
      <c r="HD199" t="e">
        <f>AND(#REF!,"AAAAAG26/9M=")</f>
        <v>#REF!</v>
      </c>
      <c r="HE199" t="e">
        <f>AND(#REF!,"AAAAAG26/9Q=")</f>
        <v>#REF!</v>
      </c>
      <c r="HF199" t="e">
        <f>AND(#REF!,"AAAAAG26/9U=")</f>
        <v>#REF!</v>
      </c>
      <c r="HG199" t="e">
        <f>AND(#REF!,"AAAAAG26/9Y=")</f>
        <v>#REF!</v>
      </c>
      <c r="HH199" t="e">
        <f>AND(#REF!,"AAAAAG26/9c=")</f>
        <v>#REF!</v>
      </c>
      <c r="HI199" t="e">
        <f>AND(#REF!,"AAAAAG26/9g=")</f>
        <v>#REF!</v>
      </c>
      <c r="HJ199" t="e">
        <f>AND(#REF!,"AAAAAG26/9k=")</f>
        <v>#REF!</v>
      </c>
      <c r="HK199" t="e">
        <f>AND(#REF!,"AAAAAG26/9o=")</f>
        <v>#REF!</v>
      </c>
      <c r="HL199" t="e">
        <f>AND(#REF!,"AAAAAG26/9s=")</f>
        <v>#REF!</v>
      </c>
      <c r="HM199" t="e">
        <f>AND(#REF!,"AAAAAG26/9w=")</f>
        <v>#REF!</v>
      </c>
      <c r="HN199" t="e">
        <f>AND(#REF!,"AAAAAG26/90=")</f>
        <v>#REF!</v>
      </c>
      <c r="HO199" t="e">
        <f>IF(#REF!,"AAAAAG26/94=",0)</f>
        <v>#REF!</v>
      </c>
      <c r="HP199" t="e">
        <f>AND(#REF!,"AAAAAG26/98=")</f>
        <v>#REF!</v>
      </c>
      <c r="HQ199" t="e">
        <f>AND(#REF!,"AAAAAG26/+A=")</f>
        <v>#REF!</v>
      </c>
      <c r="HR199" t="e">
        <f>AND(#REF!,"AAAAAG26/+E=")</f>
        <v>#REF!</v>
      </c>
      <c r="HS199" t="e">
        <f>AND(#REF!,"AAAAAG26/+I=")</f>
        <v>#REF!</v>
      </c>
      <c r="HT199" t="e">
        <f>AND(#REF!,"AAAAAG26/+M=")</f>
        <v>#REF!</v>
      </c>
      <c r="HU199" t="e">
        <f>AND(#REF!,"AAAAAG26/+Q=")</f>
        <v>#REF!</v>
      </c>
      <c r="HV199" t="e">
        <f>AND(#REF!,"AAAAAG26/+U=")</f>
        <v>#REF!</v>
      </c>
      <c r="HW199" t="e">
        <f>AND(#REF!,"AAAAAG26/+Y=")</f>
        <v>#REF!</v>
      </c>
      <c r="HX199" t="e">
        <f>AND(#REF!,"AAAAAG26/+c=")</f>
        <v>#REF!</v>
      </c>
      <c r="HY199" t="e">
        <f>AND(#REF!,"AAAAAG26/+g=")</f>
        <v>#REF!</v>
      </c>
      <c r="HZ199" t="e">
        <f>AND(#REF!,"AAAAAG26/+k=")</f>
        <v>#REF!</v>
      </c>
      <c r="IA199" t="e">
        <f>AND(#REF!,"AAAAAG26/+o=")</f>
        <v>#REF!</v>
      </c>
      <c r="IB199" t="e">
        <f>AND(#REF!,"AAAAAG26/+s=")</f>
        <v>#REF!</v>
      </c>
      <c r="IC199" t="e">
        <f>AND(#REF!,"AAAAAG26/+w=")</f>
        <v>#REF!</v>
      </c>
      <c r="ID199" t="e">
        <f>AND(#REF!,"AAAAAG26/+0=")</f>
        <v>#REF!</v>
      </c>
      <c r="IE199" t="e">
        <f>AND(#REF!,"AAAAAG26/+4=")</f>
        <v>#REF!</v>
      </c>
      <c r="IF199" t="e">
        <f>AND(#REF!,"AAAAAG26/+8=")</f>
        <v>#REF!</v>
      </c>
      <c r="IG199" t="e">
        <f>AND(#REF!,"AAAAAG26//A=")</f>
        <v>#REF!</v>
      </c>
      <c r="IH199" t="e">
        <f>AND(#REF!,"AAAAAG26//E=")</f>
        <v>#REF!</v>
      </c>
      <c r="II199" t="e">
        <f>AND(#REF!,"AAAAAG26//I=")</f>
        <v>#REF!</v>
      </c>
      <c r="IJ199" t="e">
        <f>AND(#REF!,"AAAAAG26//M=")</f>
        <v>#REF!</v>
      </c>
      <c r="IK199" t="e">
        <f>AND(#REF!,"AAAAAG26//Q=")</f>
        <v>#REF!</v>
      </c>
      <c r="IL199" t="e">
        <f>AND(#REF!,"AAAAAG26//U=")</f>
        <v>#REF!</v>
      </c>
      <c r="IM199" t="e">
        <f>AND(#REF!,"AAAAAG26//Y=")</f>
        <v>#REF!</v>
      </c>
      <c r="IN199" t="e">
        <f>IF(#REF!,"AAAAAG26//c=",0)</f>
        <v>#REF!</v>
      </c>
      <c r="IO199" t="e">
        <f>AND(#REF!,"AAAAAG26//g=")</f>
        <v>#REF!</v>
      </c>
      <c r="IP199" t="e">
        <f>AND(#REF!,"AAAAAG26//k=")</f>
        <v>#REF!</v>
      </c>
      <c r="IQ199" t="e">
        <f>AND(#REF!,"AAAAAG26//o=")</f>
        <v>#REF!</v>
      </c>
      <c r="IR199" t="e">
        <f>AND(#REF!,"AAAAAG26//s=")</f>
        <v>#REF!</v>
      </c>
      <c r="IS199" t="e">
        <f>AND(#REF!,"AAAAAG26//w=")</f>
        <v>#REF!</v>
      </c>
      <c r="IT199" t="e">
        <f>AND(#REF!,"AAAAAG26//0=")</f>
        <v>#REF!</v>
      </c>
      <c r="IU199" t="e">
        <f>AND(#REF!,"AAAAAG26//4=")</f>
        <v>#REF!</v>
      </c>
      <c r="IV199" t="e">
        <f>AND(#REF!,"AAAAAG26//8=")</f>
        <v>#REF!</v>
      </c>
    </row>
    <row r="200" spans="1:256">
      <c r="A200" t="e">
        <f>AND(#REF!,"AAAAADs97QA=")</f>
        <v>#REF!</v>
      </c>
      <c r="B200" t="e">
        <f>AND(#REF!,"AAAAADs97QE=")</f>
        <v>#REF!</v>
      </c>
      <c r="C200" t="e">
        <f>AND(#REF!,"AAAAADs97QI=")</f>
        <v>#REF!</v>
      </c>
      <c r="D200" t="e">
        <f>AND(#REF!,"AAAAADs97QM=")</f>
        <v>#REF!</v>
      </c>
      <c r="E200" t="e">
        <f>AND(#REF!,"AAAAADs97QQ=")</f>
        <v>#REF!</v>
      </c>
      <c r="F200" t="e">
        <f>AND(#REF!,"AAAAADs97QU=")</f>
        <v>#REF!</v>
      </c>
      <c r="G200" t="e">
        <f>AND(#REF!,"AAAAADs97QY=")</f>
        <v>#REF!</v>
      </c>
      <c r="H200" t="e">
        <f>AND(#REF!,"AAAAADs97Qc=")</f>
        <v>#REF!</v>
      </c>
      <c r="I200" t="e">
        <f>AND(#REF!,"AAAAADs97Qg=")</f>
        <v>#REF!</v>
      </c>
      <c r="J200" t="e">
        <f>AND(#REF!,"AAAAADs97Qk=")</f>
        <v>#REF!</v>
      </c>
      <c r="K200" t="e">
        <f>AND(#REF!,"AAAAADs97Qo=")</f>
        <v>#REF!</v>
      </c>
      <c r="L200" t="e">
        <f>AND(#REF!,"AAAAADs97Qs=")</f>
        <v>#REF!</v>
      </c>
      <c r="M200" t="e">
        <f>AND(#REF!,"AAAAADs97Qw=")</f>
        <v>#REF!</v>
      </c>
      <c r="N200" t="e">
        <f>AND(#REF!,"AAAAADs97Q0=")</f>
        <v>#REF!</v>
      </c>
      <c r="O200" t="e">
        <f>AND(#REF!,"AAAAADs97Q4=")</f>
        <v>#REF!</v>
      </c>
      <c r="P200" t="e">
        <f>AND(#REF!,"AAAAADs97Q8=")</f>
        <v>#REF!</v>
      </c>
      <c r="Q200" t="e">
        <f>IF(#REF!,"AAAAADs97RA=",0)</f>
        <v>#REF!</v>
      </c>
      <c r="R200" t="e">
        <f>AND(#REF!,"AAAAADs97RE=")</f>
        <v>#REF!</v>
      </c>
      <c r="S200" t="e">
        <f>AND(#REF!,"AAAAADs97RI=")</f>
        <v>#REF!</v>
      </c>
      <c r="T200" t="e">
        <f>AND(#REF!,"AAAAADs97RM=")</f>
        <v>#REF!</v>
      </c>
      <c r="U200" t="e">
        <f>AND(#REF!,"AAAAADs97RQ=")</f>
        <v>#REF!</v>
      </c>
      <c r="V200" t="e">
        <f>AND(#REF!,"AAAAADs97RU=")</f>
        <v>#REF!</v>
      </c>
      <c r="W200" t="e">
        <f>AND(#REF!,"AAAAADs97RY=")</f>
        <v>#REF!</v>
      </c>
      <c r="X200" t="e">
        <f>AND(#REF!,"AAAAADs97Rc=")</f>
        <v>#REF!</v>
      </c>
      <c r="Y200" t="e">
        <f>AND(#REF!,"AAAAADs97Rg=")</f>
        <v>#REF!</v>
      </c>
      <c r="Z200" t="e">
        <f>AND(#REF!,"AAAAADs97Rk=")</f>
        <v>#REF!</v>
      </c>
      <c r="AA200" t="e">
        <f>AND(#REF!,"AAAAADs97Ro=")</f>
        <v>#REF!</v>
      </c>
      <c r="AB200" t="e">
        <f>AND(#REF!,"AAAAADs97Rs=")</f>
        <v>#REF!</v>
      </c>
      <c r="AC200" t="e">
        <f>AND(#REF!,"AAAAADs97Rw=")</f>
        <v>#REF!</v>
      </c>
      <c r="AD200" t="e">
        <f>AND(#REF!,"AAAAADs97R0=")</f>
        <v>#REF!</v>
      </c>
      <c r="AE200" t="e">
        <f>AND(#REF!,"AAAAADs97R4=")</f>
        <v>#REF!</v>
      </c>
      <c r="AF200" t="e">
        <f>AND(#REF!,"AAAAADs97R8=")</f>
        <v>#REF!</v>
      </c>
      <c r="AG200" t="e">
        <f>AND(#REF!,"AAAAADs97SA=")</f>
        <v>#REF!</v>
      </c>
      <c r="AH200" t="e">
        <f>AND(#REF!,"AAAAADs97SE=")</f>
        <v>#REF!</v>
      </c>
      <c r="AI200" t="e">
        <f>AND(#REF!,"AAAAADs97SI=")</f>
        <v>#REF!</v>
      </c>
      <c r="AJ200" t="e">
        <f>AND(#REF!,"AAAAADs97SM=")</f>
        <v>#REF!</v>
      </c>
      <c r="AK200" t="e">
        <f>AND(#REF!,"AAAAADs97SQ=")</f>
        <v>#REF!</v>
      </c>
      <c r="AL200" t="e">
        <f>AND(#REF!,"AAAAADs97SU=")</f>
        <v>#REF!</v>
      </c>
      <c r="AM200" t="e">
        <f>AND(#REF!,"AAAAADs97SY=")</f>
        <v>#REF!</v>
      </c>
      <c r="AN200" t="e">
        <f>AND(#REF!,"AAAAADs97Sc=")</f>
        <v>#REF!</v>
      </c>
      <c r="AO200" t="e">
        <f>AND(#REF!,"AAAAADs97Sg=")</f>
        <v>#REF!</v>
      </c>
      <c r="AP200" t="e">
        <f>IF(#REF!,"AAAAADs97Sk=",0)</f>
        <v>#REF!</v>
      </c>
      <c r="AQ200" t="e">
        <f>AND(#REF!,"AAAAADs97So=")</f>
        <v>#REF!</v>
      </c>
      <c r="AR200" t="e">
        <f>AND(#REF!,"AAAAADs97Ss=")</f>
        <v>#REF!</v>
      </c>
      <c r="AS200" t="e">
        <f>AND(#REF!,"AAAAADs97Sw=")</f>
        <v>#REF!</v>
      </c>
      <c r="AT200" t="e">
        <f>AND(#REF!,"AAAAADs97S0=")</f>
        <v>#REF!</v>
      </c>
      <c r="AU200" t="e">
        <f>AND(#REF!,"AAAAADs97S4=")</f>
        <v>#REF!</v>
      </c>
      <c r="AV200" t="e">
        <f>AND(#REF!,"AAAAADs97S8=")</f>
        <v>#REF!</v>
      </c>
      <c r="AW200" t="e">
        <f>AND(#REF!,"AAAAADs97TA=")</f>
        <v>#REF!</v>
      </c>
      <c r="AX200" t="e">
        <f>AND(#REF!,"AAAAADs97TE=")</f>
        <v>#REF!</v>
      </c>
      <c r="AY200" t="e">
        <f>AND(#REF!,"AAAAADs97TI=")</f>
        <v>#REF!</v>
      </c>
      <c r="AZ200" t="e">
        <f>AND(#REF!,"AAAAADs97TM=")</f>
        <v>#REF!</v>
      </c>
      <c r="BA200" t="e">
        <f>AND(#REF!,"AAAAADs97TQ=")</f>
        <v>#REF!</v>
      </c>
      <c r="BB200" t="e">
        <f>AND(#REF!,"AAAAADs97TU=")</f>
        <v>#REF!</v>
      </c>
      <c r="BC200" t="e">
        <f>AND(#REF!,"AAAAADs97TY=")</f>
        <v>#REF!</v>
      </c>
      <c r="BD200" t="e">
        <f>AND(#REF!,"AAAAADs97Tc=")</f>
        <v>#REF!</v>
      </c>
      <c r="BE200" t="e">
        <f>AND(#REF!,"AAAAADs97Tg=")</f>
        <v>#REF!</v>
      </c>
      <c r="BF200" t="e">
        <f>AND(#REF!,"AAAAADs97Tk=")</f>
        <v>#REF!</v>
      </c>
      <c r="BG200" t="e">
        <f>AND(#REF!,"AAAAADs97To=")</f>
        <v>#REF!</v>
      </c>
      <c r="BH200" t="e">
        <f>AND(#REF!,"AAAAADs97Ts=")</f>
        <v>#REF!</v>
      </c>
      <c r="BI200" t="e">
        <f>AND(#REF!,"AAAAADs97Tw=")</f>
        <v>#REF!</v>
      </c>
      <c r="BJ200" t="e">
        <f>AND(#REF!,"AAAAADs97T0=")</f>
        <v>#REF!</v>
      </c>
      <c r="BK200" t="e">
        <f>AND(#REF!,"AAAAADs97T4=")</f>
        <v>#REF!</v>
      </c>
      <c r="BL200" t="e">
        <f>AND(#REF!,"AAAAADs97T8=")</f>
        <v>#REF!</v>
      </c>
      <c r="BM200" t="e">
        <f>AND(#REF!,"AAAAADs97UA=")</f>
        <v>#REF!</v>
      </c>
      <c r="BN200" t="e">
        <f>AND(#REF!,"AAAAADs97UE=")</f>
        <v>#REF!</v>
      </c>
      <c r="BO200" t="e">
        <f>IF(#REF!,"AAAAADs97UI=",0)</f>
        <v>#REF!</v>
      </c>
      <c r="BP200" t="e">
        <f>AND(#REF!,"AAAAADs97UM=")</f>
        <v>#REF!</v>
      </c>
      <c r="BQ200" t="e">
        <f>AND(#REF!,"AAAAADs97UQ=")</f>
        <v>#REF!</v>
      </c>
      <c r="BR200" t="e">
        <f>AND(#REF!,"AAAAADs97UU=")</f>
        <v>#REF!</v>
      </c>
      <c r="BS200" t="e">
        <f>AND(#REF!,"AAAAADs97UY=")</f>
        <v>#REF!</v>
      </c>
      <c r="BT200" t="e">
        <f>AND(#REF!,"AAAAADs97Uc=")</f>
        <v>#REF!</v>
      </c>
      <c r="BU200" t="e">
        <f>AND(#REF!,"AAAAADs97Ug=")</f>
        <v>#REF!</v>
      </c>
      <c r="BV200" t="e">
        <f>AND(#REF!,"AAAAADs97Uk=")</f>
        <v>#REF!</v>
      </c>
      <c r="BW200" t="e">
        <f>AND(#REF!,"AAAAADs97Uo=")</f>
        <v>#REF!</v>
      </c>
      <c r="BX200" t="e">
        <f>AND(#REF!,"AAAAADs97Us=")</f>
        <v>#REF!</v>
      </c>
      <c r="BY200" t="e">
        <f>AND(#REF!,"AAAAADs97Uw=")</f>
        <v>#REF!</v>
      </c>
      <c r="BZ200" t="e">
        <f>AND(#REF!,"AAAAADs97U0=")</f>
        <v>#REF!</v>
      </c>
      <c r="CA200" t="e">
        <f>AND(#REF!,"AAAAADs97U4=")</f>
        <v>#REF!</v>
      </c>
      <c r="CB200" t="e">
        <f>AND(#REF!,"AAAAADs97U8=")</f>
        <v>#REF!</v>
      </c>
      <c r="CC200" t="e">
        <f>AND(#REF!,"AAAAADs97VA=")</f>
        <v>#REF!</v>
      </c>
      <c r="CD200" t="e">
        <f>AND(#REF!,"AAAAADs97VE=")</f>
        <v>#REF!</v>
      </c>
      <c r="CE200" t="e">
        <f>AND(#REF!,"AAAAADs97VI=")</f>
        <v>#REF!</v>
      </c>
      <c r="CF200" t="e">
        <f>AND(#REF!,"AAAAADs97VM=")</f>
        <v>#REF!</v>
      </c>
      <c r="CG200" t="e">
        <f>AND(#REF!,"AAAAADs97VQ=")</f>
        <v>#REF!</v>
      </c>
      <c r="CH200" t="e">
        <f>AND(#REF!,"AAAAADs97VU=")</f>
        <v>#REF!</v>
      </c>
      <c r="CI200" t="e">
        <f>AND(#REF!,"AAAAADs97VY=")</f>
        <v>#REF!</v>
      </c>
      <c r="CJ200" t="e">
        <f>AND(#REF!,"AAAAADs97Vc=")</f>
        <v>#REF!</v>
      </c>
      <c r="CK200" t="e">
        <f>AND(#REF!,"AAAAADs97Vg=")</f>
        <v>#REF!</v>
      </c>
      <c r="CL200" t="e">
        <f>AND(#REF!,"AAAAADs97Vk=")</f>
        <v>#REF!</v>
      </c>
      <c r="CM200" t="e">
        <f>AND(#REF!,"AAAAADs97Vo=")</f>
        <v>#REF!</v>
      </c>
      <c r="CN200" t="e">
        <f>IF(#REF!,"AAAAADs97Vs=",0)</f>
        <v>#REF!</v>
      </c>
      <c r="CO200" t="e">
        <f>AND(#REF!,"AAAAADs97Vw=")</f>
        <v>#REF!</v>
      </c>
      <c r="CP200" t="e">
        <f>AND(#REF!,"AAAAADs97V0=")</f>
        <v>#REF!</v>
      </c>
      <c r="CQ200" t="e">
        <f>AND(#REF!,"AAAAADs97V4=")</f>
        <v>#REF!</v>
      </c>
      <c r="CR200" t="e">
        <f>AND(#REF!,"AAAAADs97V8=")</f>
        <v>#REF!</v>
      </c>
      <c r="CS200" t="e">
        <f>AND(#REF!,"AAAAADs97WA=")</f>
        <v>#REF!</v>
      </c>
      <c r="CT200" t="e">
        <f>AND(#REF!,"AAAAADs97WE=")</f>
        <v>#REF!</v>
      </c>
      <c r="CU200" t="e">
        <f>AND(#REF!,"AAAAADs97WI=")</f>
        <v>#REF!</v>
      </c>
      <c r="CV200" t="e">
        <f>AND(#REF!,"AAAAADs97WM=")</f>
        <v>#REF!</v>
      </c>
      <c r="CW200" t="e">
        <f>AND(#REF!,"AAAAADs97WQ=")</f>
        <v>#REF!</v>
      </c>
      <c r="CX200" t="e">
        <f>AND(#REF!,"AAAAADs97WU=")</f>
        <v>#REF!</v>
      </c>
      <c r="CY200" t="e">
        <f>AND(#REF!,"AAAAADs97WY=")</f>
        <v>#REF!</v>
      </c>
      <c r="CZ200" t="e">
        <f>AND(#REF!,"AAAAADs97Wc=")</f>
        <v>#REF!</v>
      </c>
      <c r="DA200" t="e">
        <f>AND(#REF!,"AAAAADs97Wg=")</f>
        <v>#REF!</v>
      </c>
      <c r="DB200" t="e">
        <f>AND(#REF!,"AAAAADs97Wk=")</f>
        <v>#REF!</v>
      </c>
      <c r="DC200" t="e">
        <f>AND(#REF!,"AAAAADs97Wo=")</f>
        <v>#REF!</v>
      </c>
      <c r="DD200" t="e">
        <f>AND(#REF!,"AAAAADs97Ws=")</f>
        <v>#REF!</v>
      </c>
      <c r="DE200" t="e">
        <f>AND(#REF!,"AAAAADs97Ww=")</f>
        <v>#REF!</v>
      </c>
      <c r="DF200" t="e">
        <f>AND(#REF!,"AAAAADs97W0=")</f>
        <v>#REF!</v>
      </c>
      <c r="DG200" t="e">
        <f>AND(#REF!,"AAAAADs97W4=")</f>
        <v>#REF!</v>
      </c>
      <c r="DH200" t="e">
        <f>AND(#REF!,"AAAAADs97W8=")</f>
        <v>#REF!</v>
      </c>
      <c r="DI200" t="e">
        <f>AND(#REF!,"AAAAADs97XA=")</f>
        <v>#REF!</v>
      </c>
      <c r="DJ200" t="e">
        <f>AND(#REF!,"AAAAADs97XE=")</f>
        <v>#REF!</v>
      </c>
      <c r="DK200" t="e">
        <f>AND(#REF!,"AAAAADs97XI=")</f>
        <v>#REF!</v>
      </c>
      <c r="DL200" t="e">
        <f>AND(#REF!,"AAAAADs97XM=")</f>
        <v>#REF!</v>
      </c>
      <c r="DM200" t="e">
        <f>IF(#REF!,"AAAAADs97XQ=",0)</f>
        <v>#REF!</v>
      </c>
      <c r="DN200" t="e">
        <f>AND(#REF!,"AAAAADs97XU=")</f>
        <v>#REF!</v>
      </c>
      <c r="DO200" t="e">
        <f>AND(#REF!,"AAAAADs97XY=")</f>
        <v>#REF!</v>
      </c>
      <c r="DP200" t="e">
        <f>AND(#REF!,"AAAAADs97Xc=")</f>
        <v>#REF!</v>
      </c>
      <c r="DQ200" t="e">
        <f>AND(#REF!,"AAAAADs97Xg=")</f>
        <v>#REF!</v>
      </c>
      <c r="DR200" t="e">
        <f>AND(#REF!,"AAAAADs97Xk=")</f>
        <v>#REF!</v>
      </c>
      <c r="DS200" t="e">
        <f>AND(#REF!,"AAAAADs97Xo=")</f>
        <v>#REF!</v>
      </c>
      <c r="DT200" t="e">
        <f>AND(#REF!,"AAAAADs97Xs=")</f>
        <v>#REF!</v>
      </c>
      <c r="DU200" t="e">
        <f>AND(#REF!,"AAAAADs97Xw=")</f>
        <v>#REF!</v>
      </c>
      <c r="DV200" t="e">
        <f>AND(#REF!,"AAAAADs97X0=")</f>
        <v>#REF!</v>
      </c>
      <c r="DW200" t="e">
        <f>AND(#REF!,"AAAAADs97X4=")</f>
        <v>#REF!</v>
      </c>
      <c r="DX200" t="e">
        <f>AND(#REF!,"AAAAADs97X8=")</f>
        <v>#REF!</v>
      </c>
      <c r="DY200" t="e">
        <f>AND(#REF!,"AAAAADs97YA=")</f>
        <v>#REF!</v>
      </c>
      <c r="DZ200" t="e">
        <f>AND(#REF!,"AAAAADs97YE=")</f>
        <v>#REF!</v>
      </c>
      <c r="EA200" t="e">
        <f>AND(#REF!,"AAAAADs97YI=")</f>
        <v>#REF!</v>
      </c>
      <c r="EB200" t="e">
        <f>AND(#REF!,"AAAAADs97YM=")</f>
        <v>#REF!</v>
      </c>
      <c r="EC200" t="e">
        <f>AND(#REF!,"AAAAADs97YQ=")</f>
        <v>#REF!</v>
      </c>
      <c r="ED200" t="e">
        <f>AND(#REF!,"AAAAADs97YU=")</f>
        <v>#REF!</v>
      </c>
      <c r="EE200" t="e">
        <f>AND(#REF!,"AAAAADs97YY=")</f>
        <v>#REF!</v>
      </c>
      <c r="EF200" t="e">
        <f>AND(#REF!,"AAAAADs97Yc=")</f>
        <v>#REF!</v>
      </c>
      <c r="EG200" t="e">
        <f>AND(#REF!,"AAAAADs97Yg=")</f>
        <v>#REF!</v>
      </c>
      <c r="EH200" t="e">
        <f>AND(#REF!,"AAAAADs97Yk=")</f>
        <v>#REF!</v>
      </c>
      <c r="EI200" t="e">
        <f>AND(#REF!,"AAAAADs97Yo=")</f>
        <v>#REF!</v>
      </c>
      <c r="EJ200" t="e">
        <f>AND(#REF!,"AAAAADs97Ys=")</f>
        <v>#REF!</v>
      </c>
      <c r="EK200" t="e">
        <f>AND(#REF!,"AAAAADs97Yw=")</f>
        <v>#REF!</v>
      </c>
      <c r="EL200" t="e">
        <f>IF(#REF!,"AAAAADs97Y0=",0)</f>
        <v>#REF!</v>
      </c>
      <c r="EM200" t="e">
        <f>AND(#REF!,"AAAAADs97Y4=")</f>
        <v>#REF!</v>
      </c>
      <c r="EN200" t="e">
        <f>AND(#REF!,"AAAAADs97Y8=")</f>
        <v>#REF!</v>
      </c>
      <c r="EO200" t="e">
        <f>AND(#REF!,"AAAAADs97ZA=")</f>
        <v>#REF!</v>
      </c>
      <c r="EP200" t="e">
        <f>AND(#REF!,"AAAAADs97ZE=")</f>
        <v>#REF!</v>
      </c>
      <c r="EQ200" t="e">
        <f>AND(#REF!,"AAAAADs97ZI=")</f>
        <v>#REF!</v>
      </c>
      <c r="ER200" t="e">
        <f>AND(#REF!,"AAAAADs97ZM=")</f>
        <v>#REF!</v>
      </c>
      <c r="ES200" t="e">
        <f>AND(#REF!,"AAAAADs97ZQ=")</f>
        <v>#REF!</v>
      </c>
      <c r="ET200" t="e">
        <f>AND(#REF!,"AAAAADs97ZU=")</f>
        <v>#REF!</v>
      </c>
      <c r="EU200" t="e">
        <f>AND(#REF!,"AAAAADs97ZY=")</f>
        <v>#REF!</v>
      </c>
      <c r="EV200" t="e">
        <f>AND(#REF!,"AAAAADs97Zc=")</f>
        <v>#REF!</v>
      </c>
      <c r="EW200" t="e">
        <f>AND(#REF!,"AAAAADs97Zg=")</f>
        <v>#REF!</v>
      </c>
      <c r="EX200" t="e">
        <f>AND(#REF!,"AAAAADs97Zk=")</f>
        <v>#REF!</v>
      </c>
      <c r="EY200" t="e">
        <f>AND(#REF!,"AAAAADs97Zo=")</f>
        <v>#REF!</v>
      </c>
      <c r="EZ200" t="e">
        <f>AND(#REF!,"AAAAADs97Zs=")</f>
        <v>#REF!</v>
      </c>
      <c r="FA200" t="e">
        <f>AND(#REF!,"AAAAADs97Zw=")</f>
        <v>#REF!</v>
      </c>
      <c r="FB200" t="e">
        <f>AND(#REF!,"AAAAADs97Z0=")</f>
        <v>#REF!</v>
      </c>
      <c r="FC200" t="e">
        <f>AND(#REF!,"AAAAADs97Z4=")</f>
        <v>#REF!</v>
      </c>
      <c r="FD200" t="e">
        <f>AND(#REF!,"AAAAADs97Z8=")</f>
        <v>#REF!</v>
      </c>
      <c r="FE200" t="e">
        <f>AND(#REF!,"AAAAADs97aA=")</f>
        <v>#REF!</v>
      </c>
      <c r="FF200" t="e">
        <f>AND(#REF!,"AAAAADs97aE=")</f>
        <v>#REF!</v>
      </c>
      <c r="FG200" t="e">
        <f>AND(#REF!,"AAAAADs97aI=")</f>
        <v>#REF!</v>
      </c>
      <c r="FH200" t="e">
        <f>AND(#REF!,"AAAAADs97aM=")</f>
        <v>#REF!</v>
      </c>
      <c r="FI200" t="e">
        <f>AND(#REF!,"AAAAADs97aQ=")</f>
        <v>#REF!</v>
      </c>
      <c r="FJ200" t="e">
        <f>AND(#REF!,"AAAAADs97aU=")</f>
        <v>#REF!</v>
      </c>
      <c r="FK200" t="e">
        <f>IF(#REF!,"AAAAADs97aY=",0)</f>
        <v>#REF!</v>
      </c>
      <c r="FL200" t="e">
        <f>AND(#REF!,"AAAAADs97ac=")</f>
        <v>#REF!</v>
      </c>
      <c r="FM200" t="e">
        <f>AND(#REF!,"AAAAADs97ag=")</f>
        <v>#REF!</v>
      </c>
      <c r="FN200" t="e">
        <f>AND(#REF!,"AAAAADs97ak=")</f>
        <v>#REF!</v>
      </c>
      <c r="FO200" t="e">
        <f>AND(#REF!,"AAAAADs97ao=")</f>
        <v>#REF!</v>
      </c>
      <c r="FP200" t="e">
        <f>AND(#REF!,"AAAAADs97as=")</f>
        <v>#REF!</v>
      </c>
      <c r="FQ200" t="e">
        <f>AND(#REF!,"AAAAADs97aw=")</f>
        <v>#REF!</v>
      </c>
      <c r="FR200" t="e">
        <f>AND(#REF!,"AAAAADs97a0=")</f>
        <v>#REF!</v>
      </c>
      <c r="FS200" t="e">
        <f>AND(#REF!,"AAAAADs97a4=")</f>
        <v>#REF!</v>
      </c>
      <c r="FT200" t="e">
        <f>AND(#REF!,"AAAAADs97a8=")</f>
        <v>#REF!</v>
      </c>
      <c r="FU200" t="e">
        <f>AND(#REF!,"AAAAADs97bA=")</f>
        <v>#REF!</v>
      </c>
      <c r="FV200" t="e">
        <f>AND(#REF!,"AAAAADs97bE=")</f>
        <v>#REF!</v>
      </c>
      <c r="FW200" t="e">
        <f>AND(#REF!,"AAAAADs97bI=")</f>
        <v>#REF!</v>
      </c>
      <c r="FX200" t="e">
        <f>AND(#REF!,"AAAAADs97bM=")</f>
        <v>#REF!</v>
      </c>
      <c r="FY200" t="e">
        <f>AND(#REF!,"AAAAADs97bQ=")</f>
        <v>#REF!</v>
      </c>
      <c r="FZ200" t="e">
        <f>AND(#REF!,"AAAAADs97bU=")</f>
        <v>#REF!</v>
      </c>
      <c r="GA200" t="e">
        <f>AND(#REF!,"AAAAADs97bY=")</f>
        <v>#REF!</v>
      </c>
      <c r="GB200" t="e">
        <f>AND(#REF!,"AAAAADs97bc=")</f>
        <v>#REF!</v>
      </c>
      <c r="GC200" t="e">
        <f>AND(#REF!,"AAAAADs97bg=")</f>
        <v>#REF!</v>
      </c>
      <c r="GD200" t="e">
        <f>AND(#REF!,"AAAAADs97bk=")</f>
        <v>#REF!</v>
      </c>
      <c r="GE200" t="e">
        <f>AND(#REF!,"AAAAADs97bo=")</f>
        <v>#REF!</v>
      </c>
      <c r="GF200" t="e">
        <f>AND(#REF!,"AAAAADs97bs=")</f>
        <v>#REF!</v>
      </c>
      <c r="GG200" t="e">
        <f>AND(#REF!,"AAAAADs97bw=")</f>
        <v>#REF!</v>
      </c>
      <c r="GH200" t="e">
        <f>AND(#REF!,"AAAAADs97b0=")</f>
        <v>#REF!</v>
      </c>
      <c r="GI200" t="e">
        <f>AND(#REF!,"AAAAADs97b4=")</f>
        <v>#REF!</v>
      </c>
      <c r="GJ200" t="e">
        <f>IF(#REF!,"AAAAADs97b8=",0)</f>
        <v>#REF!</v>
      </c>
      <c r="GK200" t="e">
        <f>AND(#REF!,"AAAAADs97cA=")</f>
        <v>#REF!</v>
      </c>
      <c r="GL200" t="e">
        <f>AND(#REF!,"AAAAADs97cE=")</f>
        <v>#REF!</v>
      </c>
      <c r="GM200" t="e">
        <f>AND(#REF!,"AAAAADs97cI=")</f>
        <v>#REF!</v>
      </c>
      <c r="GN200" t="e">
        <f>AND(#REF!,"AAAAADs97cM=")</f>
        <v>#REF!</v>
      </c>
      <c r="GO200" t="e">
        <f>AND(#REF!,"AAAAADs97cQ=")</f>
        <v>#REF!</v>
      </c>
      <c r="GP200" t="e">
        <f>AND(#REF!,"AAAAADs97cU=")</f>
        <v>#REF!</v>
      </c>
      <c r="GQ200" t="e">
        <f>AND(#REF!,"AAAAADs97cY=")</f>
        <v>#REF!</v>
      </c>
      <c r="GR200" t="e">
        <f>AND(#REF!,"AAAAADs97cc=")</f>
        <v>#REF!</v>
      </c>
      <c r="GS200" t="e">
        <f>AND(#REF!,"AAAAADs97cg=")</f>
        <v>#REF!</v>
      </c>
      <c r="GT200" t="e">
        <f>AND(#REF!,"AAAAADs97ck=")</f>
        <v>#REF!</v>
      </c>
      <c r="GU200" t="e">
        <f>AND(#REF!,"AAAAADs97co=")</f>
        <v>#REF!</v>
      </c>
      <c r="GV200" t="e">
        <f>AND(#REF!,"AAAAADs97cs=")</f>
        <v>#REF!</v>
      </c>
      <c r="GW200" t="e">
        <f>AND(#REF!,"AAAAADs97cw=")</f>
        <v>#REF!</v>
      </c>
      <c r="GX200" t="e">
        <f>AND(#REF!,"AAAAADs97c0=")</f>
        <v>#REF!</v>
      </c>
      <c r="GY200" t="e">
        <f>AND(#REF!,"AAAAADs97c4=")</f>
        <v>#REF!</v>
      </c>
      <c r="GZ200" t="e">
        <f>AND(#REF!,"AAAAADs97c8=")</f>
        <v>#REF!</v>
      </c>
      <c r="HA200" t="e">
        <f>AND(#REF!,"AAAAADs97dA=")</f>
        <v>#REF!</v>
      </c>
      <c r="HB200" t="e">
        <f>AND(#REF!,"AAAAADs97dE=")</f>
        <v>#REF!</v>
      </c>
      <c r="HC200" t="e">
        <f>AND(#REF!,"AAAAADs97dI=")</f>
        <v>#REF!</v>
      </c>
      <c r="HD200" t="e">
        <f>AND(#REF!,"AAAAADs97dM=")</f>
        <v>#REF!</v>
      </c>
      <c r="HE200" t="e">
        <f>AND(#REF!,"AAAAADs97dQ=")</f>
        <v>#REF!</v>
      </c>
      <c r="HF200" t="e">
        <f>AND(#REF!,"AAAAADs97dU=")</f>
        <v>#REF!</v>
      </c>
      <c r="HG200" t="e">
        <f>AND(#REF!,"AAAAADs97dY=")</f>
        <v>#REF!</v>
      </c>
      <c r="HH200" t="e">
        <f>AND(#REF!,"AAAAADs97dc=")</f>
        <v>#REF!</v>
      </c>
      <c r="HI200" t="e">
        <f>IF(#REF!,"AAAAADs97dg=",0)</f>
        <v>#REF!</v>
      </c>
      <c r="HJ200" t="e">
        <f>AND(#REF!,"AAAAADs97dk=")</f>
        <v>#REF!</v>
      </c>
      <c r="HK200" t="e">
        <f>AND(#REF!,"AAAAADs97do=")</f>
        <v>#REF!</v>
      </c>
      <c r="HL200" t="e">
        <f>AND(#REF!,"AAAAADs97ds=")</f>
        <v>#REF!</v>
      </c>
      <c r="HM200" t="e">
        <f>AND(#REF!,"AAAAADs97dw=")</f>
        <v>#REF!</v>
      </c>
      <c r="HN200" t="e">
        <f>AND(#REF!,"AAAAADs97d0=")</f>
        <v>#REF!</v>
      </c>
      <c r="HO200" t="e">
        <f>AND(#REF!,"AAAAADs97d4=")</f>
        <v>#REF!</v>
      </c>
      <c r="HP200" t="e">
        <f>AND(#REF!,"AAAAADs97d8=")</f>
        <v>#REF!</v>
      </c>
      <c r="HQ200" t="e">
        <f>AND(#REF!,"AAAAADs97eA=")</f>
        <v>#REF!</v>
      </c>
      <c r="HR200" t="e">
        <f>AND(#REF!,"AAAAADs97eE=")</f>
        <v>#REF!</v>
      </c>
      <c r="HS200" t="e">
        <f>AND(#REF!,"AAAAADs97eI=")</f>
        <v>#REF!</v>
      </c>
      <c r="HT200" t="e">
        <f>AND(#REF!,"AAAAADs97eM=")</f>
        <v>#REF!</v>
      </c>
      <c r="HU200" t="e">
        <f>AND(#REF!,"AAAAADs97eQ=")</f>
        <v>#REF!</v>
      </c>
      <c r="HV200" t="e">
        <f>AND(#REF!,"AAAAADs97eU=")</f>
        <v>#REF!</v>
      </c>
      <c r="HW200" t="e">
        <f>AND(#REF!,"AAAAADs97eY=")</f>
        <v>#REF!</v>
      </c>
      <c r="HX200" t="e">
        <f>AND(#REF!,"AAAAADs97ec=")</f>
        <v>#REF!</v>
      </c>
      <c r="HY200" t="e">
        <f>AND(#REF!,"AAAAADs97eg=")</f>
        <v>#REF!</v>
      </c>
      <c r="HZ200" t="e">
        <f>AND(#REF!,"AAAAADs97ek=")</f>
        <v>#REF!</v>
      </c>
      <c r="IA200" t="e">
        <f>AND(#REF!,"AAAAADs97eo=")</f>
        <v>#REF!</v>
      </c>
      <c r="IB200" t="e">
        <f>AND(#REF!,"AAAAADs97es=")</f>
        <v>#REF!</v>
      </c>
      <c r="IC200" t="e">
        <f>AND(#REF!,"AAAAADs97ew=")</f>
        <v>#REF!</v>
      </c>
      <c r="ID200" t="e">
        <f>AND(#REF!,"AAAAADs97e0=")</f>
        <v>#REF!</v>
      </c>
      <c r="IE200" t="e">
        <f>AND(#REF!,"AAAAADs97e4=")</f>
        <v>#REF!</v>
      </c>
      <c r="IF200" t="e">
        <f>AND(#REF!,"AAAAADs97e8=")</f>
        <v>#REF!</v>
      </c>
      <c r="IG200" t="e">
        <f>AND(#REF!,"AAAAADs97fA=")</f>
        <v>#REF!</v>
      </c>
      <c r="IH200" t="e">
        <f>IF(#REF!,"AAAAADs97fE=",0)</f>
        <v>#REF!</v>
      </c>
      <c r="II200" t="e">
        <f>AND(#REF!,"AAAAADs97fI=")</f>
        <v>#REF!</v>
      </c>
      <c r="IJ200" t="e">
        <f>AND(#REF!,"AAAAADs97fM=")</f>
        <v>#REF!</v>
      </c>
      <c r="IK200" t="e">
        <f>AND(#REF!,"AAAAADs97fQ=")</f>
        <v>#REF!</v>
      </c>
      <c r="IL200" t="e">
        <f>AND(#REF!,"AAAAADs97fU=")</f>
        <v>#REF!</v>
      </c>
      <c r="IM200" t="e">
        <f>AND(#REF!,"AAAAADs97fY=")</f>
        <v>#REF!</v>
      </c>
      <c r="IN200" t="e">
        <f>AND(#REF!,"AAAAADs97fc=")</f>
        <v>#REF!</v>
      </c>
      <c r="IO200" t="e">
        <f>AND(#REF!,"AAAAADs97fg=")</f>
        <v>#REF!</v>
      </c>
      <c r="IP200" t="e">
        <f>AND(#REF!,"AAAAADs97fk=")</f>
        <v>#REF!</v>
      </c>
      <c r="IQ200" t="e">
        <f>AND(#REF!,"AAAAADs97fo=")</f>
        <v>#REF!</v>
      </c>
      <c r="IR200" t="e">
        <f>AND(#REF!,"AAAAADs97fs=")</f>
        <v>#REF!</v>
      </c>
      <c r="IS200" t="e">
        <f>AND(#REF!,"AAAAADs97fw=")</f>
        <v>#REF!</v>
      </c>
      <c r="IT200" t="e">
        <f>AND(#REF!,"AAAAADs97f0=")</f>
        <v>#REF!</v>
      </c>
      <c r="IU200" t="e">
        <f>AND(#REF!,"AAAAADs97f4=")</f>
        <v>#REF!</v>
      </c>
      <c r="IV200" t="e">
        <f>AND(#REF!,"AAAAADs97f8=")</f>
        <v>#REF!</v>
      </c>
    </row>
    <row r="201" spans="1:256">
      <c r="A201" t="e">
        <f>AND(#REF!,"AAAAAHv79wA=")</f>
        <v>#REF!</v>
      </c>
      <c r="B201" t="e">
        <f>AND(#REF!,"AAAAAHv79wE=")</f>
        <v>#REF!</v>
      </c>
      <c r="C201" t="e">
        <f>AND(#REF!,"AAAAAHv79wI=")</f>
        <v>#REF!</v>
      </c>
      <c r="D201" t="e">
        <f>AND(#REF!,"AAAAAHv79wM=")</f>
        <v>#REF!</v>
      </c>
      <c r="E201" t="e">
        <f>AND(#REF!,"AAAAAHv79wQ=")</f>
        <v>#REF!</v>
      </c>
      <c r="F201" t="e">
        <f>AND(#REF!,"AAAAAHv79wU=")</f>
        <v>#REF!</v>
      </c>
      <c r="G201" t="e">
        <f>AND(#REF!,"AAAAAHv79wY=")</f>
        <v>#REF!</v>
      </c>
      <c r="H201" t="e">
        <f>AND(#REF!,"AAAAAHv79wc=")</f>
        <v>#REF!</v>
      </c>
      <c r="I201" t="e">
        <f>AND(#REF!,"AAAAAHv79wg=")</f>
        <v>#REF!</v>
      </c>
      <c r="J201" t="e">
        <f>AND(#REF!,"AAAAAHv79wk=")</f>
        <v>#REF!</v>
      </c>
      <c r="K201" t="e">
        <f>IF(#REF!,"AAAAAHv79wo=",0)</f>
        <v>#REF!</v>
      </c>
      <c r="L201" t="e">
        <f>AND(#REF!,"AAAAAHv79ws=")</f>
        <v>#REF!</v>
      </c>
      <c r="M201" t="e">
        <f>AND(#REF!,"AAAAAHv79ww=")</f>
        <v>#REF!</v>
      </c>
      <c r="N201" t="e">
        <f>AND(#REF!,"AAAAAHv79w0=")</f>
        <v>#REF!</v>
      </c>
      <c r="O201" t="e">
        <f>AND(#REF!,"AAAAAHv79w4=")</f>
        <v>#REF!</v>
      </c>
      <c r="P201" t="e">
        <f>AND(#REF!,"AAAAAHv79w8=")</f>
        <v>#REF!</v>
      </c>
      <c r="Q201" t="e">
        <f>AND(#REF!,"AAAAAHv79xA=")</f>
        <v>#REF!</v>
      </c>
      <c r="R201" t="e">
        <f>AND(#REF!,"AAAAAHv79xE=")</f>
        <v>#REF!</v>
      </c>
      <c r="S201" t="e">
        <f>AND(#REF!,"AAAAAHv79xI=")</f>
        <v>#REF!</v>
      </c>
      <c r="T201" t="e">
        <f>AND(#REF!,"AAAAAHv79xM=")</f>
        <v>#REF!</v>
      </c>
      <c r="U201" t="e">
        <f>AND(#REF!,"AAAAAHv79xQ=")</f>
        <v>#REF!</v>
      </c>
      <c r="V201" t="e">
        <f>AND(#REF!,"AAAAAHv79xU=")</f>
        <v>#REF!</v>
      </c>
      <c r="W201" t="e">
        <f>AND(#REF!,"AAAAAHv79xY=")</f>
        <v>#REF!</v>
      </c>
      <c r="X201" t="e">
        <f>AND(#REF!,"AAAAAHv79xc=")</f>
        <v>#REF!</v>
      </c>
      <c r="Y201" t="e">
        <f>AND(#REF!,"AAAAAHv79xg=")</f>
        <v>#REF!</v>
      </c>
      <c r="Z201" t="e">
        <f>AND(#REF!,"AAAAAHv79xk=")</f>
        <v>#REF!</v>
      </c>
      <c r="AA201" t="e">
        <f>AND(#REF!,"AAAAAHv79xo=")</f>
        <v>#REF!</v>
      </c>
      <c r="AB201" t="e">
        <f>AND(#REF!,"AAAAAHv79xs=")</f>
        <v>#REF!</v>
      </c>
      <c r="AC201" t="e">
        <f>AND(#REF!,"AAAAAHv79xw=")</f>
        <v>#REF!</v>
      </c>
      <c r="AD201" t="e">
        <f>AND(#REF!,"AAAAAHv79x0=")</f>
        <v>#REF!</v>
      </c>
      <c r="AE201" t="e">
        <f>AND(#REF!,"AAAAAHv79x4=")</f>
        <v>#REF!</v>
      </c>
      <c r="AF201" t="e">
        <f>AND(#REF!,"AAAAAHv79x8=")</f>
        <v>#REF!</v>
      </c>
      <c r="AG201" t="e">
        <f>AND(#REF!,"AAAAAHv79yA=")</f>
        <v>#REF!</v>
      </c>
      <c r="AH201" t="e">
        <f>AND(#REF!,"AAAAAHv79yE=")</f>
        <v>#REF!</v>
      </c>
      <c r="AI201" t="e">
        <f>AND(#REF!,"AAAAAHv79yI=")</f>
        <v>#REF!</v>
      </c>
      <c r="AJ201" t="e">
        <f>IF(#REF!,"AAAAAHv79yM=",0)</f>
        <v>#REF!</v>
      </c>
      <c r="AK201" t="e">
        <f>AND(#REF!,"AAAAAHv79yQ=")</f>
        <v>#REF!</v>
      </c>
      <c r="AL201" t="e">
        <f>AND(#REF!,"AAAAAHv79yU=")</f>
        <v>#REF!</v>
      </c>
      <c r="AM201" t="e">
        <f>AND(#REF!,"AAAAAHv79yY=")</f>
        <v>#REF!</v>
      </c>
      <c r="AN201" t="e">
        <f>AND(#REF!,"AAAAAHv79yc=")</f>
        <v>#REF!</v>
      </c>
      <c r="AO201" t="e">
        <f>AND(#REF!,"AAAAAHv79yg=")</f>
        <v>#REF!</v>
      </c>
      <c r="AP201" t="e">
        <f>AND(#REF!,"AAAAAHv79yk=")</f>
        <v>#REF!</v>
      </c>
      <c r="AQ201" t="e">
        <f>AND(#REF!,"AAAAAHv79yo=")</f>
        <v>#REF!</v>
      </c>
      <c r="AR201" t="e">
        <f>AND(#REF!,"AAAAAHv79ys=")</f>
        <v>#REF!</v>
      </c>
      <c r="AS201" t="e">
        <f>AND(#REF!,"AAAAAHv79yw=")</f>
        <v>#REF!</v>
      </c>
      <c r="AT201" t="e">
        <f>AND(#REF!,"AAAAAHv79y0=")</f>
        <v>#REF!</v>
      </c>
      <c r="AU201" t="e">
        <f>AND(#REF!,"AAAAAHv79y4=")</f>
        <v>#REF!</v>
      </c>
      <c r="AV201" t="e">
        <f>AND(#REF!,"AAAAAHv79y8=")</f>
        <v>#REF!</v>
      </c>
      <c r="AW201" t="e">
        <f>AND(#REF!,"AAAAAHv79zA=")</f>
        <v>#REF!</v>
      </c>
      <c r="AX201" t="e">
        <f>AND(#REF!,"AAAAAHv79zE=")</f>
        <v>#REF!</v>
      </c>
      <c r="AY201" t="e">
        <f>AND(#REF!,"AAAAAHv79zI=")</f>
        <v>#REF!</v>
      </c>
      <c r="AZ201" t="e">
        <f>AND(#REF!,"AAAAAHv79zM=")</f>
        <v>#REF!</v>
      </c>
      <c r="BA201" t="e">
        <f>AND(#REF!,"AAAAAHv79zQ=")</f>
        <v>#REF!</v>
      </c>
      <c r="BB201" t="e">
        <f>AND(#REF!,"AAAAAHv79zU=")</f>
        <v>#REF!</v>
      </c>
      <c r="BC201" t="e">
        <f>AND(#REF!,"AAAAAHv79zY=")</f>
        <v>#REF!</v>
      </c>
      <c r="BD201" t="e">
        <f>AND(#REF!,"AAAAAHv79zc=")</f>
        <v>#REF!</v>
      </c>
      <c r="BE201" t="e">
        <f>AND(#REF!,"AAAAAHv79zg=")</f>
        <v>#REF!</v>
      </c>
      <c r="BF201" t="e">
        <f>AND(#REF!,"AAAAAHv79zk=")</f>
        <v>#REF!</v>
      </c>
      <c r="BG201" t="e">
        <f>AND(#REF!,"AAAAAHv79zo=")</f>
        <v>#REF!</v>
      </c>
      <c r="BH201" t="e">
        <f>AND(#REF!,"AAAAAHv79zs=")</f>
        <v>#REF!</v>
      </c>
      <c r="BI201" t="e">
        <f>IF(#REF!,"AAAAAHv79zw=",0)</f>
        <v>#REF!</v>
      </c>
      <c r="BJ201" t="e">
        <f>AND(#REF!,"AAAAAHv79z0=")</f>
        <v>#REF!</v>
      </c>
      <c r="BK201" t="e">
        <f>AND(#REF!,"AAAAAHv79z4=")</f>
        <v>#REF!</v>
      </c>
      <c r="BL201" t="e">
        <f>AND(#REF!,"AAAAAHv79z8=")</f>
        <v>#REF!</v>
      </c>
      <c r="BM201" t="e">
        <f>AND(#REF!,"AAAAAHv790A=")</f>
        <v>#REF!</v>
      </c>
      <c r="BN201" t="e">
        <f>AND(#REF!,"AAAAAHv790E=")</f>
        <v>#REF!</v>
      </c>
      <c r="BO201" t="e">
        <f>AND(#REF!,"AAAAAHv790I=")</f>
        <v>#REF!</v>
      </c>
      <c r="BP201" t="e">
        <f>AND(#REF!,"AAAAAHv790M=")</f>
        <v>#REF!</v>
      </c>
      <c r="BQ201" t="e">
        <f>AND(#REF!,"AAAAAHv790Q=")</f>
        <v>#REF!</v>
      </c>
      <c r="BR201" t="e">
        <f>AND(#REF!,"AAAAAHv790U=")</f>
        <v>#REF!</v>
      </c>
      <c r="BS201" t="e">
        <f>AND(#REF!,"AAAAAHv790Y=")</f>
        <v>#REF!</v>
      </c>
      <c r="BT201" t="e">
        <f>AND(#REF!,"AAAAAHv790c=")</f>
        <v>#REF!</v>
      </c>
      <c r="BU201" t="e">
        <f>AND(#REF!,"AAAAAHv790g=")</f>
        <v>#REF!</v>
      </c>
      <c r="BV201" t="e">
        <f>AND(#REF!,"AAAAAHv790k=")</f>
        <v>#REF!</v>
      </c>
      <c r="BW201" t="e">
        <f>AND(#REF!,"AAAAAHv790o=")</f>
        <v>#REF!</v>
      </c>
      <c r="BX201" t="e">
        <f>AND(#REF!,"AAAAAHv790s=")</f>
        <v>#REF!</v>
      </c>
      <c r="BY201" t="e">
        <f>AND(#REF!,"AAAAAHv790w=")</f>
        <v>#REF!</v>
      </c>
      <c r="BZ201" t="e">
        <f>AND(#REF!,"AAAAAHv7900=")</f>
        <v>#REF!</v>
      </c>
      <c r="CA201" t="e">
        <f>AND(#REF!,"AAAAAHv7904=")</f>
        <v>#REF!</v>
      </c>
      <c r="CB201" t="e">
        <f>AND(#REF!,"AAAAAHv7908=")</f>
        <v>#REF!</v>
      </c>
      <c r="CC201" t="e">
        <f>AND(#REF!,"AAAAAHv791A=")</f>
        <v>#REF!</v>
      </c>
      <c r="CD201" t="e">
        <f>AND(#REF!,"AAAAAHv791E=")</f>
        <v>#REF!</v>
      </c>
      <c r="CE201" t="e">
        <f>AND(#REF!,"AAAAAHv791I=")</f>
        <v>#REF!</v>
      </c>
      <c r="CF201" t="e">
        <f>AND(#REF!,"AAAAAHv791M=")</f>
        <v>#REF!</v>
      </c>
      <c r="CG201" t="e">
        <f>AND(#REF!,"AAAAAHv791Q=")</f>
        <v>#REF!</v>
      </c>
      <c r="CH201" t="e">
        <f>IF(#REF!,"AAAAAHv791U=",0)</f>
        <v>#REF!</v>
      </c>
      <c r="CI201" t="e">
        <f>AND(#REF!,"AAAAAHv791Y=")</f>
        <v>#REF!</v>
      </c>
      <c r="CJ201" t="e">
        <f>AND(#REF!,"AAAAAHv791c=")</f>
        <v>#REF!</v>
      </c>
      <c r="CK201" t="e">
        <f>AND(#REF!,"AAAAAHv791g=")</f>
        <v>#REF!</v>
      </c>
      <c r="CL201" t="e">
        <f>AND(#REF!,"AAAAAHv791k=")</f>
        <v>#REF!</v>
      </c>
      <c r="CM201" t="e">
        <f>AND(#REF!,"AAAAAHv791o=")</f>
        <v>#REF!</v>
      </c>
      <c r="CN201" t="e">
        <f>AND(#REF!,"AAAAAHv791s=")</f>
        <v>#REF!</v>
      </c>
      <c r="CO201" t="e">
        <f>AND(#REF!,"AAAAAHv791w=")</f>
        <v>#REF!</v>
      </c>
      <c r="CP201" t="e">
        <f>AND(#REF!,"AAAAAHv7910=")</f>
        <v>#REF!</v>
      </c>
      <c r="CQ201" t="e">
        <f>AND(#REF!,"AAAAAHv7914=")</f>
        <v>#REF!</v>
      </c>
      <c r="CR201" t="e">
        <f>AND(#REF!,"AAAAAHv7918=")</f>
        <v>#REF!</v>
      </c>
      <c r="CS201" t="e">
        <f>AND(#REF!,"AAAAAHv792A=")</f>
        <v>#REF!</v>
      </c>
      <c r="CT201" t="e">
        <f>AND(#REF!,"AAAAAHv792E=")</f>
        <v>#REF!</v>
      </c>
      <c r="CU201" t="e">
        <f>AND(#REF!,"AAAAAHv792I=")</f>
        <v>#REF!</v>
      </c>
      <c r="CV201" t="e">
        <f>AND(#REF!,"AAAAAHv792M=")</f>
        <v>#REF!</v>
      </c>
      <c r="CW201" t="e">
        <f>AND(#REF!,"AAAAAHv792Q=")</f>
        <v>#REF!</v>
      </c>
      <c r="CX201" t="e">
        <f>AND(#REF!,"AAAAAHv792U=")</f>
        <v>#REF!</v>
      </c>
      <c r="CY201" t="e">
        <f>AND(#REF!,"AAAAAHv792Y=")</f>
        <v>#REF!</v>
      </c>
      <c r="CZ201" t="e">
        <f>AND(#REF!,"AAAAAHv792c=")</f>
        <v>#REF!</v>
      </c>
      <c r="DA201" t="e">
        <f>AND(#REF!,"AAAAAHv792g=")</f>
        <v>#REF!</v>
      </c>
      <c r="DB201" t="e">
        <f>AND(#REF!,"AAAAAHv792k=")</f>
        <v>#REF!</v>
      </c>
      <c r="DC201" t="e">
        <f>AND(#REF!,"AAAAAHv792o=")</f>
        <v>#REF!</v>
      </c>
      <c r="DD201" t="e">
        <f>AND(#REF!,"AAAAAHv792s=")</f>
        <v>#REF!</v>
      </c>
      <c r="DE201" t="e">
        <f>AND(#REF!,"AAAAAHv792w=")</f>
        <v>#REF!</v>
      </c>
      <c r="DF201" t="e">
        <f>AND(#REF!,"AAAAAHv7920=")</f>
        <v>#REF!</v>
      </c>
      <c r="DG201" t="e">
        <f>IF(#REF!,"AAAAAHv7924=",0)</f>
        <v>#REF!</v>
      </c>
      <c r="DH201" t="e">
        <f>AND(#REF!,"AAAAAHv7928=")</f>
        <v>#REF!</v>
      </c>
      <c r="DI201" t="e">
        <f>AND(#REF!,"AAAAAHv793A=")</f>
        <v>#REF!</v>
      </c>
      <c r="DJ201" t="e">
        <f>AND(#REF!,"AAAAAHv793E=")</f>
        <v>#REF!</v>
      </c>
      <c r="DK201" t="e">
        <f>AND(#REF!,"AAAAAHv793I=")</f>
        <v>#REF!</v>
      </c>
      <c r="DL201" t="e">
        <f>AND(#REF!,"AAAAAHv793M=")</f>
        <v>#REF!</v>
      </c>
      <c r="DM201" t="e">
        <f>AND(#REF!,"AAAAAHv793Q=")</f>
        <v>#REF!</v>
      </c>
      <c r="DN201" t="e">
        <f>AND(#REF!,"AAAAAHv793U=")</f>
        <v>#REF!</v>
      </c>
      <c r="DO201" t="e">
        <f>AND(#REF!,"AAAAAHv793Y=")</f>
        <v>#REF!</v>
      </c>
      <c r="DP201" t="e">
        <f>AND(#REF!,"AAAAAHv793c=")</f>
        <v>#REF!</v>
      </c>
      <c r="DQ201" t="e">
        <f>AND(#REF!,"AAAAAHv793g=")</f>
        <v>#REF!</v>
      </c>
      <c r="DR201" t="e">
        <f>AND(#REF!,"AAAAAHv793k=")</f>
        <v>#REF!</v>
      </c>
      <c r="DS201" t="e">
        <f>AND(#REF!,"AAAAAHv793o=")</f>
        <v>#REF!</v>
      </c>
      <c r="DT201" t="e">
        <f>AND(#REF!,"AAAAAHv793s=")</f>
        <v>#REF!</v>
      </c>
      <c r="DU201" t="e">
        <f>AND(#REF!,"AAAAAHv793w=")</f>
        <v>#REF!</v>
      </c>
      <c r="DV201" t="e">
        <f>AND(#REF!,"AAAAAHv7930=")</f>
        <v>#REF!</v>
      </c>
      <c r="DW201" t="e">
        <f>AND(#REF!,"AAAAAHv7934=")</f>
        <v>#REF!</v>
      </c>
      <c r="DX201" t="e">
        <f>AND(#REF!,"AAAAAHv7938=")</f>
        <v>#REF!</v>
      </c>
      <c r="DY201" t="e">
        <f>AND(#REF!,"AAAAAHv794A=")</f>
        <v>#REF!</v>
      </c>
      <c r="DZ201" t="e">
        <f>AND(#REF!,"AAAAAHv794E=")</f>
        <v>#REF!</v>
      </c>
      <c r="EA201" t="e">
        <f>AND(#REF!,"AAAAAHv794I=")</f>
        <v>#REF!</v>
      </c>
      <c r="EB201" t="e">
        <f>AND(#REF!,"AAAAAHv794M=")</f>
        <v>#REF!</v>
      </c>
      <c r="EC201" t="e">
        <f>AND(#REF!,"AAAAAHv794Q=")</f>
        <v>#REF!</v>
      </c>
      <c r="ED201" t="e">
        <f>AND(#REF!,"AAAAAHv794U=")</f>
        <v>#REF!</v>
      </c>
      <c r="EE201" t="e">
        <f>AND(#REF!,"AAAAAHv794Y=")</f>
        <v>#REF!</v>
      </c>
      <c r="EF201" t="e">
        <f>IF(#REF!,"AAAAAHv794c=",0)</f>
        <v>#REF!</v>
      </c>
      <c r="EG201" t="e">
        <f>AND(#REF!,"AAAAAHv794g=")</f>
        <v>#REF!</v>
      </c>
      <c r="EH201" t="e">
        <f>AND(#REF!,"AAAAAHv794k=")</f>
        <v>#REF!</v>
      </c>
      <c r="EI201" t="e">
        <f>AND(#REF!,"AAAAAHv794o=")</f>
        <v>#REF!</v>
      </c>
      <c r="EJ201" t="e">
        <f>AND(#REF!,"AAAAAHv794s=")</f>
        <v>#REF!</v>
      </c>
      <c r="EK201" t="e">
        <f>AND(#REF!,"AAAAAHv794w=")</f>
        <v>#REF!</v>
      </c>
      <c r="EL201" t="e">
        <f>AND(#REF!,"AAAAAHv7940=")</f>
        <v>#REF!</v>
      </c>
      <c r="EM201" t="e">
        <f>AND(#REF!,"AAAAAHv7944=")</f>
        <v>#REF!</v>
      </c>
      <c r="EN201" t="e">
        <f>AND(#REF!,"AAAAAHv7948=")</f>
        <v>#REF!</v>
      </c>
      <c r="EO201" t="e">
        <f>AND(#REF!,"AAAAAHv795A=")</f>
        <v>#REF!</v>
      </c>
      <c r="EP201" t="e">
        <f>AND(#REF!,"AAAAAHv795E=")</f>
        <v>#REF!</v>
      </c>
      <c r="EQ201" t="e">
        <f>AND(#REF!,"AAAAAHv795I=")</f>
        <v>#REF!</v>
      </c>
      <c r="ER201" t="e">
        <f>AND(#REF!,"AAAAAHv795M=")</f>
        <v>#REF!</v>
      </c>
      <c r="ES201" t="e">
        <f>AND(#REF!,"AAAAAHv795Q=")</f>
        <v>#REF!</v>
      </c>
      <c r="ET201" t="e">
        <f>AND(#REF!,"AAAAAHv795U=")</f>
        <v>#REF!</v>
      </c>
      <c r="EU201" t="e">
        <f>AND(#REF!,"AAAAAHv795Y=")</f>
        <v>#REF!</v>
      </c>
      <c r="EV201" t="e">
        <f>AND(#REF!,"AAAAAHv795c=")</f>
        <v>#REF!</v>
      </c>
      <c r="EW201" t="e">
        <f>AND(#REF!,"AAAAAHv795g=")</f>
        <v>#REF!</v>
      </c>
      <c r="EX201" t="e">
        <f>AND(#REF!,"AAAAAHv795k=")</f>
        <v>#REF!</v>
      </c>
      <c r="EY201" t="e">
        <f>AND(#REF!,"AAAAAHv795o=")</f>
        <v>#REF!</v>
      </c>
      <c r="EZ201" t="e">
        <f>AND(#REF!,"AAAAAHv795s=")</f>
        <v>#REF!</v>
      </c>
      <c r="FA201" t="e">
        <f>AND(#REF!,"AAAAAHv795w=")</f>
        <v>#REF!</v>
      </c>
      <c r="FB201" t="e">
        <f>AND(#REF!,"AAAAAHv7950=")</f>
        <v>#REF!</v>
      </c>
      <c r="FC201" t="e">
        <f>AND(#REF!,"AAAAAHv7954=")</f>
        <v>#REF!</v>
      </c>
      <c r="FD201" t="e">
        <f>AND(#REF!,"AAAAAHv7958=")</f>
        <v>#REF!</v>
      </c>
      <c r="FE201" t="e">
        <f>IF(#REF!,"AAAAAHv796A=",0)</f>
        <v>#REF!</v>
      </c>
      <c r="FF201" t="e">
        <f>AND(#REF!,"AAAAAHv796E=")</f>
        <v>#REF!</v>
      </c>
      <c r="FG201" t="e">
        <f>AND(#REF!,"AAAAAHv796I=")</f>
        <v>#REF!</v>
      </c>
      <c r="FH201" t="e">
        <f>AND(#REF!,"AAAAAHv796M=")</f>
        <v>#REF!</v>
      </c>
      <c r="FI201" t="e">
        <f>AND(#REF!,"AAAAAHv796Q=")</f>
        <v>#REF!</v>
      </c>
      <c r="FJ201" t="e">
        <f>AND(#REF!,"AAAAAHv796U=")</f>
        <v>#REF!</v>
      </c>
      <c r="FK201" t="e">
        <f>AND(#REF!,"AAAAAHv796Y=")</f>
        <v>#REF!</v>
      </c>
      <c r="FL201" t="e">
        <f>AND(#REF!,"AAAAAHv796c=")</f>
        <v>#REF!</v>
      </c>
      <c r="FM201" t="e">
        <f>AND(#REF!,"AAAAAHv796g=")</f>
        <v>#REF!</v>
      </c>
      <c r="FN201" t="e">
        <f>AND(#REF!,"AAAAAHv796k=")</f>
        <v>#REF!</v>
      </c>
      <c r="FO201" t="e">
        <f>AND(#REF!,"AAAAAHv796o=")</f>
        <v>#REF!</v>
      </c>
      <c r="FP201" t="e">
        <f>AND(#REF!,"AAAAAHv796s=")</f>
        <v>#REF!</v>
      </c>
      <c r="FQ201" t="e">
        <f>AND(#REF!,"AAAAAHv796w=")</f>
        <v>#REF!</v>
      </c>
      <c r="FR201" t="e">
        <f>AND(#REF!,"AAAAAHv7960=")</f>
        <v>#REF!</v>
      </c>
      <c r="FS201" t="e">
        <f>AND(#REF!,"AAAAAHv7964=")</f>
        <v>#REF!</v>
      </c>
      <c r="FT201" t="e">
        <f>AND(#REF!,"AAAAAHv7968=")</f>
        <v>#REF!</v>
      </c>
      <c r="FU201" t="e">
        <f>AND(#REF!,"AAAAAHv797A=")</f>
        <v>#REF!</v>
      </c>
      <c r="FV201" t="e">
        <f>AND(#REF!,"AAAAAHv797E=")</f>
        <v>#REF!</v>
      </c>
      <c r="FW201" t="e">
        <f>AND(#REF!,"AAAAAHv797I=")</f>
        <v>#REF!</v>
      </c>
      <c r="FX201" t="e">
        <f>AND(#REF!,"AAAAAHv797M=")</f>
        <v>#REF!</v>
      </c>
      <c r="FY201" t="e">
        <f>AND(#REF!,"AAAAAHv797Q=")</f>
        <v>#REF!</v>
      </c>
      <c r="FZ201" t="e">
        <f>AND(#REF!,"AAAAAHv797U=")</f>
        <v>#REF!</v>
      </c>
      <c r="GA201" t="e">
        <f>AND(#REF!,"AAAAAHv797Y=")</f>
        <v>#REF!</v>
      </c>
      <c r="GB201" t="e">
        <f>AND(#REF!,"AAAAAHv797c=")</f>
        <v>#REF!</v>
      </c>
      <c r="GC201" t="e">
        <f>AND(#REF!,"AAAAAHv797g=")</f>
        <v>#REF!</v>
      </c>
      <c r="GD201" t="e">
        <f>IF(#REF!,"AAAAAHv797k=",0)</f>
        <v>#REF!</v>
      </c>
      <c r="GE201" t="e">
        <f>AND(#REF!,"AAAAAHv797o=")</f>
        <v>#REF!</v>
      </c>
      <c r="GF201" t="e">
        <f>AND(#REF!,"AAAAAHv797s=")</f>
        <v>#REF!</v>
      </c>
      <c r="GG201" t="e">
        <f>AND(#REF!,"AAAAAHv797w=")</f>
        <v>#REF!</v>
      </c>
      <c r="GH201" t="e">
        <f>AND(#REF!,"AAAAAHv7970=")</f>
        <v>#REF!</v>
      </c>
      <c r="GI201" t="e">
        <f>AND(#REF!,"AAAAAHv7974=")</f>
        <v>#REF!</v>
      </c>
      <c r="GJ201" t="e">
        <f>AND(#REF!,"AAAAAHv7978=")</f>
        <v>#REF!</v>
      </c>
      <c r="GK201" t="e">
        <f>AND(#REF!,"AAAAAHv798A=")</f>
        <v>#REF!</v>
      </c>
      <c r="GL201" t="e">
        <f>AND(#REF!,"AAAAAHv798E=")</f>
        <v>#REF!</v>
      </c>
      <c r="GM201" t="e">
        <f>AND(#REF!,"AAAAAHv798I=")</f>
        <v>#REF!</v>
      </c>
      <c r="GN201" t="e">
        <f>AND(#REF!,"AAAAAHv798M=")</f>
        <v>#REF!</v>
      </c>
      <c r="GO201" t="e">
        <f>AND(#REF!,"AAAAAHv798Q=")</f>
        <v>#REF!</v>
      </c>
      <c r="GP201" t="e">
        <f>AND(#REF!,"AAAAAHv798U=")</f>
        <v>#REF!</v>
      </c>
      <c r="GQ201" t="e">
        <f>AND(#REF!,"AAAAAHv798Y=")</f>
        <v>#REF!</v>
      </c>
      <c r="GR201" t="e">
        <f>AND(#REF!,"AAAAAHv798c=")</f>
        <v>#REF!</v>
      </c>
      <c r="GS201" t="e">
        <f>AND(#REF!,"AAAAAHv798g=")</f>
        <v>#REF!</v>
      </c>
      <c r="GT201" t="e">
        <f>AND(#REF!,"AAAAAHv798k=")</f>
        <v>#REF!</v>
      </c>
      <c r="GU201" t="e">
        <f>AND(#REF!,"AAAAAHv798o=")</f>
        <v>#REF!</v>
      </c>
      <c r="GV201" t="e">
        <f>AND(#REF!,"AAAAAHv798s=")</f>
        <v>#REF!</v>
      </c>
      <c r="GW201" t="e">
        <f>AND(#REF!,"AAAAAHv798w=")</f>
        <v>#REF!</v>
      </c>
      <c r="GX201" t="e">
        <f>AND(#REF!,"AAAAAHv7980=")</f>
        <v>#REF!</v>
      </c>
      <c r="GY201" t="e">
        <f>AND(#REF!,"AAAAAHv7984=")</f>
        <v>#REF!</v>
      </c>
      <c r="GZ201" t="e">
        <f>AND(#REF!,"AAAAAHv7988=")</f>
        <v>#REF!</v>
      </c>
      <c r="HA201" t="e">
        <f>AND(#REF!,"AAAAAHv799A=")</f>
        <v>#REF!</v>
      </c>
      <c r="HB201" t="e">
        <f>AND(#REF!,"AAAAAHv799E=")</f>
        <v>#REF!</v>
      </c>
      <c r="HC201" t="e">
        <f>IF(#REF!,"AAAAAHv799I=",0)</f>
        <v>#REF!</v>
      </c>
      <c r="HD201" t="e">
        <f>AND(#REF!,"AAAAAHv799M=")</f>
        <v>#REF!</v>
      </c>
      <c r="HE201" t="e">
        <f>AND(#REF!,"AAAAAHv799Q=")</f>
        <v>#REF!</v>
      </c>
      <c r="HF201" t="e">
        <f>AND(#REF!,"AAAAAHv799U=")</f>
        <v>#REF!</v>
      </c>
      <c r="HG201" t="e">
        <f>AND(#REF!,"AAAAAHv799Y=")</f>
        <v>#REF!</v>
      </c>
      <c r="HH201" t="e">
        <f>AND(#REF!,"AAAAAHv799c=")</f>
        <v>#REF!</v>
      </c>
      <c r="HI201" t="e">
        <f>AND(#REF!,"AAAAAHv799g=")</f>
        <v>#REF!</v>
      </c>
      <c r="HJ201" t="e">
        <f>AND(#REF!,"AAAAAHv799k=")</f>
        <v>#REF!</v>
      </c>
      <c r="HK201" t="e">
        <f>AND(#REF!,"AAAAAHv799o=")</f>
        <v>#REF!</v>
      </c>
      <c r="HL201" t="e">
        <f>AND(#REF!,"AAAAAHv799s=")</f>
        <v>#REF!</v>
      </c>
      <c r="HM201" t="e">
        <f>AND(#REF!,"AAAAAHv799w=")</f>
        <v>#REF!</v>
      </c>
      <c r="HN201" t="e">
        <f>AND(#REF!,"AAAAAHv7990=")</f>
        <v>#REF!</v>
      </c>
      <c r="HO201" t="e">
        <f>AND(#REF!,"AAAAAHv7994=")</f>
        <v>#REF!</v>
      </c>
      <c r="HP201" t="e">
        <f>AND(#REF!,"AAAAAHv7998=")</f>
        <v>#REF!</v>
      </c>
      <c r="HQ201" t="e">
        <f>AND(#REF!,"AAAAAHv79+A=")</f>
        <v>#REF!</v>
      </c>
      <c r="HR201" t="e">
        <f>AND(#REF!,"AAAAAHv79+E=")</f>
        <v>#REF!</v>
      </c>
      <c r="HS201" t="e">
        <f>AND(#REF!,"AAAAAHv79+I=")</f>
        <v>#REF!</v>
      </c>
      <c r="HT201" t="e">
        <f>AND(#REF!,"AAAAAHv79+M=")</f>
        <v>#REF!</v>
      </c>
      <c r="HU201" t="e">
        <f>AND(#REF!,"AAAAAHv79+Q=")</f>
        <v>#REF!</v>
      </c>
      <c r="HV201" t="e">
        <f>AND(#REF!,"AAAAAHv79+U=")</f>
        <v>#REF!</v>
      </c>
      <c r="HW201" t="e">
        <f>AND(#REF!,"AAAAAHv79+Y=")</f>
        <v>#REF!</v>
      </c>
      <c r="HX201" t="e">
        <f>AND(#REF!,"AAAAAHv79+c=")</f>
        <v>#REF!</v>
      </c>
      <c r="HY201" t="e">
        <f>AND(#REF!,"AAAAAHv79+g=")</f>
        <v>#REF!</v>
      </c>
      <c r="HZ201" t="e">
        <f>AND(#REF!,"AAAAAHv79+k=")</f>
        <v>#REF!</v>
      </c>
      <c r="IA201" t="e">
        <f>AND(#REF!,"AAAAAHv79+o=")</f>
        <v>#REF!</v>
      </c>
      <c r="IB201" t="e">
        <f>IF(#REF!,"AAAAAHv79+s=",0)</f>
        <v>#REF!</v>
      </c>
      <c r="IC201" t="e">
        <f>AND(#REF!,"AAAAAHv79+w=")</f>
        <v>#REF!</v>
      </c>
      <c r="ID201" t="e">
        <f>AND(#REF!,"AAAAAHv79+0=")</f>
        <v>#REF!</v>
      </c>
      <c r="IE201" t="e">
        <f>AND(#REF!,"AAAAAHv79+4=")</f>
        <v>#REF!</v>
      </c>
      <c r="IF201" t="e">
        <f>AND(#REF!,"AAAAAHv79+8=")</f>
        <v>#REF!</v>
      </c>
      <c r="IG201" t="e">
        <f>AND(#REF!,"AAAAAHv79/A=")</f>
        <v>#REF!</v>
      </c>
      <c r="IH201" t="e">
        <f>AND(#REF!,"AAAAAHv79/E=")</f>
        <v>#REF!</v>
      </c>
      <c r="II201" t="e">
        <f>AND(#REF!,"AAAAAHv79/I=")</f>
        <v>#REF!</v>
      </c>
      <c r="IJ201" t="e">
        <f>AND(#REF!,"AAAAAHv79/M=")</f>
        <v>#REF!</v>
      </c>
      <c r="IK201" t="e">
        <f>AND(#REF!,"AAAAAHv79/Q=")</f>
        <v>#REF!</v>
      </c>
      <c r="IL201" t="e">
        <f>AND(#REF!,"AAAAAHv79/U=")</f>
        <v>#REF!</v>
      </c>
      <c r="IM201" t="e">
        <f>AND(#REF!,"AAAAAHv79/Y=")</f>
        <v>#REF!</v>
      </c>
      <c r="IN201" t="e">
        <f>AND(#REF!,"AAAAAHv79/c=")</f>
        <v>#REF!</v>
      </c>
      <c r="IO201" t="e">
        <f>AND(#REF!,"AAAAAHv79/g=")</f>
        <v>#REF!</v>
      </c>
      <c r="IP201" t="e">
        <f>AND(#REF!,"AAAAAHv79/k=")</f>
        <v>#REF!</v>
      </c>
      <c r="IQ201" t="e">
        <f>AND(#REF!,"AAAAAHv79/o=")</f>
        <v>#REF!</v>
      </c>
      <c r="IR201" t="e">
        <f>AND(#REF!,"AAAAAHv79/s=")</f>
        <v>#REF!</v>
      </c>
      <c r="IS201" t="e">
        <f>AND(#REF!,"AAAAAHv79/w=")</f>
        <v>#REF!</v>
      </c>
      <c r="IT201" t="e">
        <f>AND(#REF!,"AAAAAHv79/0=")</f>
        <v>#REF!</v>
      </c>
      <c r="IU201" t="e">
        <f>AND(#REF!,"AAAAAHv79/4=")</f>
        <v>#REF!</v>
      </c>
      <c r="IV201" t="e">
        <f>AND(#REF!,"AAAAAHv79/8=")</f>
        <v>#REF!</v>
      </c>
    </row>
    <row r="202" spans="1:256">
      <c r="A202" t="e">
        <f>AND(#REF!,"AAAAAC48TwA=")</f>
        <v>#REF!</v>
      </c>
      <c r="B202" t="e">
        <f>AND(#REF!,"AAAAAC48TwE=")</f>
        <v>#REF!</v>
      </c>
      <c r="C202" t="e">
        <f>AND(#REF!,"AAAAAC48TwI=")</f>
        <v>#REF!</v>
      </c>
      <c r="D202" t="e">
        <f>AND(#REF!,"AAAAAC48TwM=")</f>
        <v>#REF!</v>
      </c>
      <c r="E202" t="e">
        <f>IF(#REF!,"AAAAAC48TwQ=",0)</f>
        <v>#REF!</v>
      </c>
      <c r="F202" t="e">
        <f>AND(#REF!,"AAAAAC48TwU=")</f>
        <v>#REF!</v>
      </c>
      <c r="G202" t="e">
        <f>AND(#REF!,"AAAAAC48TwY=")</f>
        <v>#REF!</v>
      </c>
      <c r="H202" t="e">
        <f>AND(#REF!,"AAAAAC48Twc=")</f>
        <v>#REF!</v>
      </c>
      <c r="I202" t="e">
        <f>AND(#REF!,"AAAAAC48Twg=")</f>
        <v>#REF!</v>
      </c>
      <c r="J202" t="e">
        <f>AND(#REF!,"AAAAAC48Twk=")</f>
        <v>#REF!</v>
      </c>
      <c r="K202" t="e">
        <f>AND(#REF!,"AAAAAC48Two=")</f>
        <v>#REF!</v>
      </c>
      <c r="L202" t="e">
        <f>AND(#REF!,"AAAAAC48Tws=")</f>
        <v>#REF!</v>
      </c>
      <c r="M202" t="e">
        <f>AND(#REF!,"AAAAAC48Tww=")</f>
        <v>#REF!</v>
      </c>
      <c r="N202" t="e">
        <f>AND(#REF!,"AAAAAC48Tw0=")</f>
        <v>#REF!</v>
      </c>
      <c r="O202" t="e">
        <f>AND(#REF!,"AAAAAC48Tw4=")</f>
        <v>#REF!</v>
      </c>
      <c r="P202" t="e">
        <f>AND(#REF!,"AAAAAC48Tw8=")</f>
        <v>#REF!</v>
      </c>
      <c r="Q202" t="e">
        <f>AND(#REF!,"AAAAAC48TxA=")</f>
        <v>#REF!</v>
      </c>
      <c r="R202" t="e">
        <f>AND(#REF!,"AAAAAC48TxE=")</f>
        <v>#REF!</v>
      </c>
      <c r="S202" t="e">
        <f>AND(#REF!,"AAAAAC48TxI=")</f>
        <v>#REF!</v>
      </c>
      <c r="T202" t="e">
        <f>AND(#REF!,"AAAAAC48TxM=")</f>
        <v>#REF!</v>
      </c>
      <c r="U202" t="e">
        <f>AND(#REF!,"AAAAAC48TxQ=")</f>
        <v>#REF!</v>
      </c>
      <c r="V202" t="e">
        <f>AND(#REF!,"AAAAAC48TxU=")</f>
        <v>#REF!</v>
      </c>
      <c r="W202" t="e">
        <f>AND(#REF!,"AAAAAC48TxY=")</f>
        <v>#REF!</v>
      </c>
      <c r="X202" t="e">
        <f>AND(#REF!,"AAAAAC48Txc=")</f>
        <v>#REF!</v>
      </c>
      <c r="Y202" t="e">
        <f>AND(#REF!,"AAAAAC48Txg=")</f>
        <v>#REF!</v>
      </c>
      <c r="Z202" t="e">
        <f>AND(#REF!,"AAAAAC48Txk=")</f>
        <v>#REF!</v>
      </c>
      <c r="AA202" t="e">
        <f>AND(#REF!,"AAAAAC48Txo=")</f>
        <v>#REF!</v>
      </c>
      <c r="AB202" t="e">
        <f>AND(#REF!,"AAAAAC48Txs=")</f>
        <v>#REF!</v>
      </c>
      <c r="AC202" t="e">
        <f>AND(#REF!,"AAAAAC48Txw=")</f>
        <v>#REF!</v>
      </c>
      <c r="AD202" t="e">
        <f>IF(#REF!,"AAAAAC48Tx0=",0)</f>
        <v>#REF!</v>
      </c>
      <c r="AE202" t="e">
        <f>AND(#REF!,"AAAAAC48Tx4=")</f>
        <v>#REF!</v>
      </c>
      <c r="AF202" t="e">
        <f>AND(#REF!,"AAAAAC48Tx8=")</f>
        <v>#REF!</v>
      </c>
      <c r="AG202" t="e">
        <f>AND(#REF!,"AAAAAC48TyA=")</f>
        <v>#REF!</v>
      </c>
      <c r="AH202" t="e">
        <f>AND(#REF!,"AAAAAC48TyE=")</f>
        <v>#REF!</v>
      </c>
      <c r="AI202" t="e">
        <f>AND(#REF!,"AAAAAC48TyI=")</f>
        <v>#REF!</v>
      </c>
      <c r="AJ202" t="e">
        <f>AND(#REF!,"AAAAAC48TyM=")</f>
        <v>#REF!</v>
      </c>
      <c r="AK202" t="e">
        <f>AND(#REF!,"AAAAAC48TyQ=")</f>
        <v>#REF!</v>
      </c>
      <c r="AL202" t="e">
        <f>AND(#REF!,"AAAAAC48TyU=")</f>
        <v>#REF!</v>
      </c>
      <c r="AM202" t="e">
        <f>AND(#REF!,"AAAAAC48TyY=")</f>
        <v>#REF!</v>
      </c>
      <c r="AN202" t="e">
        <f>AND(#REF!,"AAAAAC48Tyc=")</f>
        <v>#REF!</v>
      </c>
      <c r="AO202" t="e">
        <f>AND(#REF!,"AAAAAC48Tyg=")</f>
        <v>#REF!</v>
      </c>
      <c r="AP202" t="e">
        <f>AND(#REF!,"AAAAAC48Tyk=")</f>
        <v>#REF!</v>
      </c>
      <c r="AQ202" t="e">
        <f>AND(#REF!,"AAAAAC48Tyo=")</f>
        <v>#REF!</v>
      </c>
      <c r="AR202" t="e">
        <f>AND(#REF!,"AAAAAC48Tys=")</f>
        <v>#REF!</v>
      </c>
      <c r="AS202" t="e">
        <f>AND(#REF!,"AAAAAC48Tyw=")</f>
        <v>#REF!</v>
      </c>
      <c r="AT202" t="e">
        <f>AND(#REF!,"AAAAAC48Ty0=")</f>
        <v>#REF!</v>
      </c>
      <c r="AU202" t="e">
        <f>AND(#REF!,"AAAAAC48Ty4=")</f>
        <v>#REF!</v>
      </c>
      <c r="AV202" t="e">
        <f>AND(#REF!,"AAAAAC48Ty8=")</f>
        <v>#REF!</v>
      </c>
      <c r="AW202" t="e">
        <f>AND(#REF!,"AAAAAC48TzA=")</f>
        <v>#REF!</v>
      </c>
      <c r="AX202" t="e">
        <f>AND(#REF!,"AAAAAC48TzE=")</f>
        <v>#REF!</v>
      </c>
      <c r="AY202" t="e">
        <f>AND(#REF!,"AAAAAC48TzI=")</f>
        <v>#REF!</v>
      </c>
      <c r="AZ202" t="e">
        <f>AND(#REF!,"AAAAAC48TzM=")</f>
        <v>#REF!</v>
      </c>
      <c r="BA202" t="e">
        <f>AND(#REF!,"AAAAAC48TzQ=")</f>
        <v>#REF!</v>
      </c>
      <c r="BB202" t="e">
        <f>AND(#REF!,"AAAAAC48TzU=")</f>
        <v>#REF!</v>
      </c>
      <c r="BC202" t="e">
        <f>IF(#REF!,"AAAAAC48TzY=",0)</f>
        <v>#REF!</v>
      </c>
      <c r="BD202" t="e">
        <f>AND(#REF!,"AAAAAC48Tzc=")</f>
        <v>#REF!</v>
      </c>
      <c r="BE202" t="e">
        <f>AND(#REF!,"AAAAAC48Tzg=")</f>
        <v>#REF!</v>
      </c>
      <c r="BF202" t="e">
        <f>AND(#REF!,"AAAAAC48Tzk=")</f>
        <v>#REF!</v>
      </c>
      <c r="BG202" t="e">
        <f>AND(#REF!,"AAAAAC48Tzo=")</f>
        <v>#REF!</v>
      </c>
      <c r="BH202" t="e">
        <f>AND(#REF!,"AAAAAC48Tzs=")</f>
        <v>#REF!</v>
      </c>
      <c r="BI202" t="e">
        <f>AND(#REF!,"AAAAAC48Tzw=")</f>
        <v>#REF!</v>
      </c>
      <c r="BJ202" t="e">
        <f>AND(#REF!,"AAAAAC48Tz0=")</f>
        <v>#REF!</v>
      </c>
      <c r="BK202" t="e">
        <f>AND(#REF!,"AAAAAC48Tz4=")</f>
        <v>#REF!</v>
      </c>
      <c r="BL202" t="e">
        <f>AND(#REF!,"AAAAAC48Tz8=")</f>
        <v>#REF!</v>
      </c>
      <c r="BM202" t="e">
        <f>AND(#REF!,"AAAAAC48T0A=")</f>
        <v>#REF!</v>
      </c>
      <c r="BN202" t="e">
        <f>AND(#REF!,"AAAAAC48T0E=")</f>
        <v>#REF!</v>
      </c>
      <c r="BO202" t="e">
        <f>AND(#REF!,"AAAAAC48T0I=")</f>
        <v>#REF!</v>
      </c>
      <c r="BP202" t="e">
        <f>AND(#REF!,"AAAAAC48T0M=")</f>
        <v>#REF!</v>
      </c>
      <c r="BQ202" t="e">
        <f>AND(#REF!,"AAAAAC48T0Q=")</f>
        <v>#REF!</v>
      </c>
      <c r="BR202" t="e">
        <f>AND(#REF!,"AAAAAC48T0U=")</f>
        <v>#REF!</v>
      </c>
      <c r="BS202" t="e">
        <f>AND(#REF!,"AAAAAC48T0Y=")</f>
        <v>#REF!</v>
      </c>
      <c r="BT202" t="e">
        <f>AND(#REF!,"AAAAAC48T0c=")</f>
        <v>#REF!</v>
      </c>
      <c r="BU202" t="e">
        <f>AND(#REF!,"AAAAAC48T0g=")</f>
        <v>#REF!</v>
      </c>
      <c r="BV202" t="e">
        <f>AND(#REF!,"AAAAAC48T0k=")</f>
        <v>#REF!</v>
      </c>
      <c r="BW202" t="e">
        <f>AND(#REF!,"AAAAAC48T0o=")</f>
        <v>#REF!</v>
      </c>
      <c r="BX202" t="e">
        <f>AND(#REF!,"AAAAAC48T0s=")</f>
        <v>#REF!</v>
      </c>
      <c r="BY202" t="e">
        <f>AND(#REF!,"AAAAAC48T0w=")</f>
        <v>#REF!</v>
      </c>
      <c r="BZ202" t="e">
        <f>AND(#REF!,"AAAAAC48T00=")</f>
        <v>#REF!</v>
      </c>
      <c r="CA202" t="e">
        <f>AND(#REF!,"AAAAAC48T04=")</f>
        <v>#REF!</v>
      </c>
      <c r="CB202" t="e">
        <f>IF(#REF!,"AAAAAC48T08=",0)</f>
        <v>#REF!</v>
      </c>
      <c r="CC202" t="e">
        <f>AND(#REF!,"AAAAAC48T1A=")</f>
        <v>#REF!</v>
      </c>
      <c r="CD202" t="e">
        <f>AND(#REF!,"AAAAAC48T1E=")</f>
        <v>#REF!</v>
      </c>
      <c r="CE202" t="e">
        <f>AND(#REF!,"AAAAAC48T1I=")</f>
        <v>#REF!</v>
      </c>
      <c r="CF202" t="e">
        <f>AND(#REF!,"AAAAAC48T1M=")</f>
        <v>#REF!</v>
      </c>
      <c r="CG202" t="e">
        <f>AND(#REF!,"AAAAAC48T1Q=")</f>
        <v>#REF!</v>
      </c>
      <c r="CH202" t="e">
        <f>AND(#REF!,"AAAAAC48T1U=")</f>
        <v>#REF!</v>
      </c>
      <c r="CI202" t="e">
        <f>AND(#REF!,"AAAAAC48T1Y=")</f>
        <v>#REF!</v>
      </c>
      <c r="CJ202" t="e">
        <f>AND(#REF!,"AAAAAC48T1c=")</f>
        <v>#REF!</v>
      </c>
      <c r="CK202" t="e">
        <f>AND(#REF!,"AAAAAC48T1g=")</f>
        <v>#REF!</v>
      </c>
      <c r="CL202" t="e">
        <f>AND(#REF!,"AAAAAC48T1k=")</f>
        <v>#REF!</v>
      </c>
      <c r="CM202" t="e">
        <f>AND(#REF!,"AAAAAC48T1o=")</f>
        <v>#REF!</v>
      </c>
      <c r="CN202" t="e">
        <f>AND(#REF!,"AAAAAC48T1s=")</f>
        <v>#REF!</v>
      </c>
      <c r="CO202" t="e">
        <f>AND(#REF!,"AAAAAC48T1w=")</f>
        <v>#REF!</v>
      </c>
      <c r="CP202" t="e">
        <f>AND(#REF!,"AAAAAC48T10=")</f>
        <v>#REF!</v>
      </c>
      <c r="CQ202" t="e">
        <f>AND(#REF!,"AAAAAC48T14=")</f>
        <v>#REF!</v>
      </c>
      <c r="CR202" t="e">
        <f>AND(#REF!,"AAAAAC48T18=")</f>
        <v>#REF!</v>
      </c>
      <c r="CS202" t="e">
        <f>AND(#REF!,"AAAAAC48T2A=")</f>
        <v>#REF!</v>
      </c>
      <c r="CT202" t="e">
        <f>AND(#REF!,"AAAAAC48T2E=")</f>
        <v>#REF!</v>
      </c>
      <c r="CU202" t="e">
        <f>AND(#REF!,"AAAAAC48T2I=")</f>
        <v>#REF!</v>
      </c>
      <c r="CV202" t="e">
        <f>AND(#REF!,"AAAAAC48T2M=")</f>
        <v>#REF!</v>
      </c>
      <c r="CW202" t="e">
        <f>AND(#REF!,"AAAAAC48T2Q=")</f>
        <v>#REF!</v>
      </c>
      <c r="CX202" t="e">
        <f>AND(#REF!,"AAAAAC48T2U=")</f>
        <v>#REF!</v>
      </c>
      <c r="CY202" t="e">
        <f>AND(#REF!,"AAAAAC48T2Y=")</f>
        <v>#REF!</v>
      </c>
      <c r="CZ202" t="e">
        <f>AND(#REF!,"AAAAAC48T2c=")</f>
        <v>#REF!</v>
      </c>
      <c r="DA202" t="e">
        <f>IF(#REF!,"AAAAAC48T2g=",0)</f>
        <v>#REF!</v>
      </c>
      <c r="DB202" t="e">
        <f>AND(#REF!,"AAAAAC48T2k=")</f>
        <v>#REF!</v>
      </c>
      <c r="DC202" t="e">
        <f>AND(#REF!,"AAAAAC48T2o=")</f>
        <v>#REF!</v>
      </c>
      <c r="DD202" t="e">
        <f>AND(#REF!,"AAAAAC48T2s=")</f>
        <v>#REF!</v>
      </c>
      <c r="DE202" t="e">
        <f>AND(#REF!,"AAAAAC48T2w=")</f>
        <v>#REF!</v>
      </c>
      <c r="DF202" t="e">
        <f>AND(#REF!,"AAAAAC48T20=")</f>
        <v>#REF!</v>
      </c>
      <c r="DG202" t="e">
        <f>AND(#REF!,"AAAAAC48T24=")</f>
        <v>#REF!</v>
      </c>
      <c r="DH202" t="e">
        <f>AND(#REF!,"AAAAAC48T28=")</f>
        <v>#REF!</v>
      </c>
      <c r="DI202" t="e">
        <f>AND(#REF!,"AAAAAC48T3A=")</f>
        <v>#REF!</v>
      </c>
      <c r="DJ202" t="e">
        <f>AND(#REF!,"AAAAAC48T3E=")</f>
        <v>#REF!</v>
      </c>
      <c r="DK202" t="e">
        <f>AND(#REF!,"AAAAAC48T3I=")</f>
        <v>#REF!</v>
      </c>
      <c r="DL202" t="e">
        <f>AND(#REF!,"AAAAAC48T3M=")</f>
        <v>#REF!</v>
      </c>
      <c r="DM202" t="e">
        <f>AND(#REF!,"AAAAAC48T3Q=")</f>
        <v>#REF!</v>
      </c>
      <c r="DN202" t="e">
        <f>AND(#REF!,"AAAAAC48T3U=")</f>
        <v>#REF!</v>
      </c>
      <c r="DO202" t="e">
        <f>AND(#REF!,"AAAAAC48T3Y=")</f>
        <v>#REF!</v>
      </c>
      <c r="DP202" t="e">
        <f>AND(#REF!,"AAAAAC48T3c=")</f>
        <v>#REF!</v>
      </c>
      <c r="DQ202" t="e">
        <f>AND(#REF!,"AAAAAC48T3g=")</f>
        <v>#REF!</v>
      </c>
      <c r="DR202" t="e">
        <f>AND(#REF!,"AAAAAC48T3k=")</f>
        <v>#REF!</v>
      </c>
      <c r="DS202" t="e">
        <f>AND(#REF!,"AAAAAC48T3o=")</f>
        <v>#REF!</v>
      </c>
      <c r="DT202" t="e">
        <f>AND(#REF!,"AAAAAC48T3s=")</f>
        <v>#REF!</v>
      </c>
      <c r="DU202" t="e">
        <f>AND(#REF!,"AAAAAC48T3w=")</f>
        <v>#REF!</v>
      </c>
      <c r="DV202" t="e">
        <f>AND(#REF!,"AAAAAC48T30=")</f>
        <v>#REF!</v>
      </c>
      <c r="DW202" t="e">
        <f>AND(#REF!,"AAAAAC48T34=")</f>
        <v>#REF!</v>
      </c>
      <c r="DX202" t="e">
        <f>AND(#REF!,"AAAAAC48T38=")</f>
        <v>#REF!</v>
      </c>
      <c r="DY202" t="e">
        <f>AND(#REF!,"AAAAAC48T4A=")</f>
        <v>#REF!</v>
      </c>
      <c r="DZ202" t="e">
        <f>IF(#REF!,"AAAAAC48T4E=",0)</f>
        <v>#REF!</v>
      </c>
      <c r="EA202" t="e">
        <f>AND(#REF!,"AAAAAC48T4I=")</f>
        <v>#REF!</v>
      </c>
      <c r="EB202" t="e">
        <f>AND(#REF!,"AAAAAC48T4M=")</f>
        <v>#REF!</v>
      </c>
      <c r="EC202" t="e">
        <f>AND(#REF!,"AAAAAC48T4Q=")</f>
        <v>#REF!</v>
      </c>
      <c r="ED202" t="e">
        <f>AND(#REF!,"AAAAAC48T4U=")</f>
        <v>#REF!</v>
      </c>
      <c r="EE202" t="e">
        <f>AND(#REF!,"AAAAAC48T4Y=")</f>
        <v>#REF!</v>
      </c>
      <c r="EF202" t="e">
        <f>AND(#REF!,"AAAAAC48T4c=")</f>
        <v>#REF!</v>
      </c>
      <c r="EG202" t="e">
        <f>AND(#REF!,"AAAAAC48T4g=")</f>
        <v>#REF!</v>
      </c>
      <c r="EH202" t="e">
        <f>AND(#REF!,"AAAAAC48T4k=")</f>
        <v>#REF!</v>
      </c>
      <c r="EI202" t="e">
        <f>AND(#REF!,"AAAAAC48T4o=")</f>
        <v>#REF!</v>
      </c>
      <c r="EJ202" t="e">
        <f>AND(#REF!,"AAAAAC48T4s=")</f>
        <v>#REF!</v>
      </c>
      <c r="EK202" t="e">
        <f>AND(#REF!,"AAAAAC48T4w=")</f>
        <v>#REF!</v>
      </c>
      <c r="EL202" t="e">
        <f>AND(#REF!,"AAAAAC48T40=")</f>
        <v>#REF!</v>
      </c>
      <c r="EM202" t="e">
        <f>AND(#REF!,"AAAAAC48T44=")</f>
        <v>#REF!</v>
      </c>
      <c r="EN202" t="e">
        <f>AND(#REF!,"AAAAAC48T48=")</f>
        <v>#REF!</v>
      </c>
      <c r="EO202" t="e">
        <f>AND(#REF!,"AAAAAC48T5A=")</f>
        <v>#REF!</v>
      </c>
      <c r="EP202" t="e">
        <f>AND(#REF!,"AAAAAC48T5E=")</f>
        <v>#REF!</v>
      </c>
      <c r="EQ202" t="e">
        <f>AND(#REF!,"AAAAAC48T5I=")</f>
        <v>#REF!</v>
      </c>
      <c r="ER202" t="e">
        <f>AND(#REF!,"AAAAAC48T5M=")</f>
        <v>#REF!</v>
      </c>
      <c r="ES202" t="e">
        <f>AND(#REF!,"AAAAAC48T5Q=")</f>
        <v>#REF!</v>
      </c>
      <c r="ET202" t="e">
        <f>AND(#REF!,"AAAAAC48T5U=")</f>
        <v>#REF!</v>
      </c>
      <c r="EU202" t="e">
        <f>AND(#REF!,"AAAAAC48T5Y=")</f>
        <v>#REF!</v>
      </c>
      <c r="EV202" t="e">
        <f>AND(#REF!,"AAAAAC48T5c=")</f>
        <v>#REF!</v>
      </c>
      <c r="EW202" t="e">
        <f>AND(#REF!,"AAAAAC48T5g=")</f>
        <v>#REF!</v>
      </c>
      <c r="EX202" t="e">
        <f>AND(#REF!,"AAAAAC48T5k=")</f>
        <v>#REF!</v>
      </c>
      <c r="EY202" t="e">
        <f>IF(#REF!,"AAAAAC48T5o=",0)</f>
        <v>#REF!</v>
      </c>
      <c r="EZ202" t="e">
        <f>AND(#REF!,"AAAAAC48T5s=")</f>
        <v>#REF!</v>
      </c>
      <c r="FA202" t="e">
        <f>AND(#REF!,"AAAAAC48T5w=")</f>
        <v>#REF!</v>
      </c>
      <c r="FB202" t="e">
        <f>AND(#REF!,"AAAAAC48T50=")</f>
        <v>#REF!</v>
      </c>
      <c r="FC202" t="e">
        <f>AND(#REF!,"AAAAAC48T54=")</f>
        <v>#REF!</v>
      </c>
      <c r="FD202" t="e">
        <f>AND(#REF!,"AAAAAC48T58=")</f>
        <v>#REF!</v>
      </c>
      <c r="FE202" t="e">
        <f>AND(#REF!,"AAAAAC48T6A=")</f>
        <v>#REF!</v>
      </c>
      <c r="FF202" t="e">
        <f>AND(#REF!,"AAAAAC48T6E=")</f>
        <v>#REF!</v>
      </c>
      <c r="FG202" t="e">
        <f>AND(#REF!,"AAAAAC48T6I=")</f>
        <v>#REF!</v>
      </c>
      <c r="FH202" t="e">
        <f>AND(#REF!,"AAAAAC48T6M=")</f>
        <v>#REF!</v>
      </c>
      <c r="FI202" t="e">
        <f>AND(#REF!,"AAAAAC48T6Q=")</f>
        <v>#REF!</v>
      </c>
      <c r="FJ202" t="e">
        <f>AND(#REF!,"AAAAAC48T6U=")</f>
        <v>#REF!</v>
      </c>
      <c r="FK202" t="e">
        <f>AND(#REF!,"AAAAAC48T6Y=")</f>
        <v>#REF!</v>
      </c>
      <c r="FL202" t="e">
        <f>AND(#REF!,"AAAAAC48T6c=")</f>
        <v>#REF!</v>
      </c>
      <c r="FM202" t="e">
        <f>AND(#REF!,"AAAAAC48T6g=")</f>
        <v>#REF!</v>
      </c>
      <c r="FN202" t="e">
        <f>AND(#REF!,"AAAAAC48T6k=")</f>
        <v>#REF!</v>
      </c>
      <c r="FO202" t="e">
        <f>AND(#REF!,"AAAAAC48T6o=")</f>
        <v>#REF!</v>
      </c>
      <c r="FP202" t="e">
        <f>AND(#REF!,"AAAAAC48T6s=")</f>
        <v>#REF!</v>
      </c>
      <c r="FQ202" t="e">
        <f>AND(#REF!,"AAAAAC48T6w=")</f>
        <v>#REF!</v>
      </c>
      <c r="FR202" t="e">
        <f>AND(#REF!,"AAAAAC48T60=")</f>
        <v>#REF!</v>
      </c>
      <c r="FS202" t="e">
        <f>AND(#REF!,"AAAAAC48T64=")</f>
        <v>#REF!</v>
      </c>
      <c r="FT202" t="e">
        <f>AND(#REF!,"AAAAAC48T68=")</f>
        <v>#REF!</v>
      </c>
      <c r="FU202" t="e">
        <f>AND(#REF!,"AAAAAC48T7A=")</f>
        <v>#REF!</v>
      </c>
      <c r="FV202" t="e">
        <f>AND(#REF!,"AAAAAC48T7E=")</f>
        <v>#REF!</v>
      </c>
      <c r="FW202" t="e">
        <f>AND(#REF!,"AAAAAC48T7I=")</f>
        <v>#REF!</v>
      </c>
      <c r="FX202" t="e">
        <f>IF(#REF!,"AAAAAC48T7M=",0)</f>
        <v>#REF!</v>
      </c>
      <c r="FY202" t="e">
        <f>AND(#REF!,"AAAAAC48T7Q=")</f>
        <v>#REF!</v>
      </c>
      <c r="FZ202" t="e">
        <f>AND(#REF!,"AAAAAC48T7U=")</f>
        <v>#REF!</v>
      </c>
      <c r="GA202" t="e">
        <f>AND(#REF!,"AAAAAC48T7Y=")</f>
        <v>#REF!</v>
      </c>
      <c r="GB202" t="e">
        <f>AND(#REF!,"AAAAAC48T7c=")</f>
        <v>#REF!</v>
      </c>
      <c r="GC202" t="e">
        <f>AND(#REF!,"AAAAAC48T7g=")</f>
        <v>#REF!</v>
      </c>
      <c r="GD202" t="e">
        <f>AND(#REF!,"AAAAAC48T7k=")</f>
        <v>#REF!</v>
      </c>
      <c r="GE202" t="e">
        <f>AND(#REF!,"AAAAAC48T7o=")</f>
        <v>#REF!</v>
      </c>
      <c r="GF202" t="e">
        <f>AND(#REF!,"AAAAAC48T7s=")</f>
        <v>#REF!</v>
      </c>
      <c r="GG202" t="e">
        <f>AND(#REF!,"AAAAAC48T7w=")</f>
        <v>#REF!</v>
      </c>
      <c r="GH202" t="e">
        <f>AND(#REF!,"AAAAAC48T70=")</f>
        <v>#REF!</v>
      </c>
      <c r="GI202" t="e">
        <f>AND(#REF!,"AAAAAC48T74=")</f>
        <v>#REF!</v>
      </c>
      <c r="GJ202" t="e">
        <f>AND(#REF!,"AAAAAC48T78=")</f>
        <v>#REF!</v>
      </c>
      <c r="GK202" t="e">
        <f>AND(#REF!,"AAAAAC48T8A=")</f>
        <v>#REF!</v>
      </c>
      <c r="GL202" t="e">
        <f>AND(#REF!,"AAAAAC48T8E=")</f>
        <v>#REF!</v>
      </c>
      <c r="GM202" t="e">
        <f>AND(#REF!,"AAAAAC48T8I=")</f>
        <v>#REF!</v>
      </c>
      <c r="GN202" t="e">
        <f>AND(#REF!,"AAAAAC48T8M=")</f>
        <v>#REF!</v>
      </c>
      <c r="GO202" t="e">
        <f>AND(#REF!,"AAAAAC48T8Q=")</f>
        <v>#REF!</v>
      </c>
      <c r="GP202" t="e">
        <f>AND(#REF!,"AAAAAC48T8U=")</f>
        <v>#REF!</v>
      </c>
      <c r="GQ202" t="e">
        <f>AND(#REF!,"AAAAAC48T8Y=")</f>
        <v>#REF!</v>
      </c>
      <c r="GR202" t="e">
        <f>AND(#REF!,"AAAAAC48T8c=")</f>
        <v>#REF!</v>
      </c>
      <c r="GS202" t="e">
        <f>AND(#REF!,"AAAAAC48T8g=")</f>
        <v>#REF!</v>
      </c>
      <c r="GT202" t="e">
        <f>AND(#REF!,"AAAAAC48T8k=")</f>
        <v>#REF!</v>
      </c>
      <c r="GU202" t="e">
        <f>AND(#REF!,"AAAAAC48T8o=")</f>
        <v>#REF!</v>
      </c>
      <c r="GV202" t="e">
        <f>AND(#REF!,"AAAAAC48T8s=")</f>
        <v>#REF!</v>
      </c>
      <c r="GW202" t="e">
        <f>IF(#REF!,"AAAAAC48T8w=",0)</f>
        <v>#REF!</v>
      </c>
      <c r="GX202" t="e">
        <f>AND(#REF!,"AAAAAC48T80=")</f>
        <v>#REF!</v>
      </c>
      <c r="GY202" t="e">
        <f>AND(#REF!,"AAAAAC48T84=")</f>
        <v>#REF!</v>
      </c>
      <c r="GZ202" t="e">
        <f>AND(#REF!,"AAAAAC48T88=")</f>
        <v>#REF!</v>
      </c>
      <c r="HA202" t="e">
        <f>AND(#REF!,"AAAAAC48T9A=")</f>
        <v>#REF!</v>
      </c>
      <c r="HB202" t="e">
        <f>AND(#REF!,"AAAAAC48T9E=")</f>
        <v>#REF!</v>
      </c>
      <c r="HC202" t="e">
        <f>AND(#REF!,"AAAAAC48T9I=")</f>
        <v>#REF!</v>
      </c>
      <c r="HD202" t="e">
        <f>AND(#REF!,"AAAAAC48T9M=")</f>
        <v>#REF!</v>
      </c>
      <c r="HE202" t="e">
        <f>AND(#REF!,"AAAAAC48T9Q=")</f>
        <v>#REF!</v>
      </c>
      <c r="HF202" t="e">
        <f>AND(#REF!,"AAAAAC48T9U=")</f>
        <v>#REF!</v>
      </c>
      <c r="HG202" t="e">
        <f>AND(#REF!,"AAAAAC48T9Y=")</f>
        <v>#REF!</v>
      </c>
      <c r="HH202" t="e">
        <f>AND(#REF!,"AAAAAC48T9c=")</f>
        <v>#REF!</v>
      </c>
      <c r="HI202" t="e">
        <f>AND(#REF!,"AAAAAC48T9g=")</f>
        <v>#REF!</v>
      </c>
      <c r="HJ202" t="e">
        <f>AND(#REF!,"AAAAAC48T9k=")</f>
        <v>#REF!</v>
      </c>
      <c r="HK202" t="e">
        <f>AND(#REF!,"AAAAAC48T9o=")</f>
        <v>#REF!</v>
      </c>
      <c r="HL202" t="e">
        <f>AND(#REF!,"AAAAAC48T9s=")</f>
        <v>#REF!</v>
      </c>
      <c r="HM202" t="e">
        <f>AND(#REF!,"AAAAAC48T9w=")</f>
        <v>#REF!</v>
      </c>
      <c r="HN202" t="e">
        <f>AND(#REF!,"AAAAAC48T90=")</f>
        <v>#REF!</v>
      </c>
      <c r="HO202" t="e">
        <f>AND(#REF!,"AAAAAC48T94=")</f>
        <v>#REF!</v>
      </c>
      <c r="HP202" t="e">
        <f>AND(#REF!,"AAAAAC48T98=")</f>
        <v>#REF!</v>
      </c>
      <c r="HQ202" t="e">
        <f>AND(#REF!,"AAAAAC48T+A=")</f>
        <v>#REF!</v>
      </c>
      <c r="HR202" t="e">
        <f>AND(#REF!,"AAAAAC48T+E=")</f>
        <v>#REF!</v>
      </c>
      <c r="HS202" t="e">
        <f>AND(#REF!,"AAAAAC48T+I=")</f>
        <v>#REF!</v>
      </c>
      <c r="HT202" t="e">
        <f>AND(#REF!,"AAAAAC48T+M=")</f>
        <v>#REF!</v>
      </c>
      <c r="HU202" t="e">
        <f>AND(#REF!,"AAAAAC48T+Q=")</f>
        <v>#REF!</v>
      </c>
      <c r="HV202" t="e">
        <f>IF(#REF!,"AAAAAC48T+U=",0)</f>
        <v>#REF!</v>
      </c>
      <c r="HW202" t="e">
        <f>AND(#REF!,"AAAAAC48T+Y=")</f>
        <v>#REF!</v>
      </c>
      <c r="HX202" t="e">
        <f>AND(#REF!,"AAAAAC48T+c=")</f>
        <v>#REF!</v>
      </c>
      <c r="HY202" t="e">
        <f>AND(#REF!,"AAAAAC48T+g=")</f>
        <v>#REF!</v>
      </c>
      <c r="HZ202" t="e">
        <f>AND(#REF!,"AAAAAC48T+k=")</f>
        <v>#REF!</v>
      </c>
      <c r="IA202" t="e">
        <f>AND(#REF!,"AAAAAC48T+o=")</f>
        <v>#REF!</v>
      </c>
      <c r="IB202" t="e">
        <f>AND(#REF!,"AAAAAC48T+s=")</f>
        <v>#REF!</v>
      </c>
      <c r="IC202" t="e">
        <f>AND(#REF!,"AAAAAC48T+w=")</f>
        <v>#REF!</v>
      </c>
      <c r="ID202" t="e">
        <f>AND(#REF!,"AAAAAC48T+0=")</f>
        <v>#REF!</v>
      </c>
      <c r="IE202" t="e">
        <f>AND(#REF!,"AAAAAC48T+4=")</f>
        <v>#REF!</v>
      </c>
      <c r="IF202" t="e">
        <f>AND(#REF!,"AAAAAC48T+8=")</f>
        <v>#REF!</v>
      </c>
      <c r="IG202" t="e">
        <f>AND(#REF!,"AAAAAC48T/A=")</f>
        <v>#REF!</v>
      </c>
      <c r="IH202" t="e">
        <f>AND(#REF!,"AAAAAC48T/E=")</f>
        <v>#REF!</v>
      </c>
      <c r="II202" t="e">
        <f>AND(#REF!,"AAAAAC48T/I=")</f>
        <v>#REF!</v>
      </c>
      <c r="IJ202" t="e">
        <f>AND(#REF!,"AAAAAC48T/M=")</f>
        <v>#REF!</v>
      </c>
      <c r="IK202" t="e">
        <f>AND(#REF!,"AAAAAC48T/Q=")</f>
        <v>#REF!</v>
      </c>
      <c r="IL202" t="e">
        <f>AND(#REF!,"AAAAAC48T/U=")</f>
        <v>#REF!</v>
      </c>
      <c r="IM202" t="e">
        <f>AND(#REF!,"AAAAAC48T/Y=")</f>
        <v>#REF!</v>
      </c>
      <c r="IN202" t="e">
        <f>AND(#REF!,"AAAAAC48T/c=")</f>
        <v>#REF!</v>
      </c>
      <c r="IO202" t="e">
        <f>AND(#REF!,"AAAAAC48T/g=")</f>
        <v>#REF!</v>
      </c>
      <c r="IP202" t="e">
        <f>AND(#REF!,"AAAAAC48T/k=")</f>
        <v>#REF!</v>
      </c>
      <c r="IQ202" t="e">
        <f>AND(#REF!,"AAAAAC48T/o=")</f>
        <v>#REF!</v>
      </c>
      <c r="IR202" t="e">
        <f>AND(#REF!,"AAAAAC48T/s=")</f>
        <v>#REF!</v>
      </c>
      <c r="IS202" t="e">
        <f>AND(#REF!,"AAAAAC48T/w=")</f>
        <v>#REF!</v>
      </c>
      <c r="IT202" t="e">
        <f>AND(#REF!,"AAAAAC48T/0=")</f>
        <v>#REF!</v>
      </c>
      <c r="IU202" t="e">
        <f>IF(#REF!,"AAAAAC48T/4=",0)</f>
        <v>#REF!</v>
      </c>
      <c r="IV202" t="e">
        <f>AND(#REF!,"AAAAAC48T/8=")</f>
        <v>#REF!</v>
      </c>
    </row>
    <row r="203" spans="1:256">
      <c r="A203" t="e">
        <f>AND(#REF!,"AAAAAHc+IgA=")</f>
        <v>#REF!</v>
      </c>
      <c r="B203" t="e">
        <f>AND(#REF!,"AAAAAHc+IgE=")</f>
        <v>#REF!</v>
      </c>
      <c r="C203" t="e">
        <f>AND(#REF!,"AAAAAHc+IgI=")</f>
        <v>#REF!</v>
      </c>
      <c r="D203" t="e">
        <f>AND(#REF!,"AAAAAHc+IgM=")</f>
        <v>#REF!</v>
      </c>
      <c r="E203" t="e">
        <f>AND(#REF!,"AAAAAHc+IgQ=")</f>
        <v>#REF!</v>
      </c>
      <c r="F203" t="e">
        <f>AND(#REF!,"AAAAAHc+IgU=")</f>
        <v>#REF!</v>
      </c>
      <c r="G203" t="e">
        <f>AND(#REF!,"AAAAAHc+IgY=")</f>
        <v>#REF!</v>
      </c>
      <c r="H203" t="e">
        <f>AND(#REF!,"AAAAAHc+Igc=")</f>
        <v>#REF!</v>
      </c>
      <c r="I203" t="e">
        <f>AND(#REF!,"AAAAAHc+Igg=")</f>
        <v>#REF!</v>
      </c>
      <c r="J203" t="e">
        <f>AND(#REF!,"AAAAAHc+Igk=")</f>
        <v>#REF!</v>
      </c>
      <c r="K203" t="e">
        <f>AND(#REF!,"AAAAAHc+Igo=")</f>
        <v>#REF!</v>
      </c>
      <c r="L203" t="e">
        <f>AND(#REF!,"AAAAAHc+Igs=")</f>
        <v>#REF!</v>
      </c>
      <c r="M203" t="e">
        <f>AND(#REF!,"AAAAAHc+Igw=")</f>
        <v>#REF!</v>
      </c>
      <c r="N203" t="e">
        <f>AND(#REF!,"AAAAAHc+Ig0=")</f>
        <v>#REF!</v>
      </c>
      <c r="O203" t="e">
        <f>AND(#REF!,"AAAAAHc+Ig4=")</f>
        <v>#REF!</v>
      </c>
      <c r="P203" t="e">
        <f>AND(#REF!,"AAAAAHc+Ig8=")</f>
        <v>#REF!</v>
      </c>
      <c r="Q203" t="e">
        <f>AND(#REF!,"AAAAAHc+IhA=")</f>
        <v>#REF!</v>
      </c>
      <c r="R203" t="e">
        <f>AND(#REF!,"AAAAAHc+IhE=")</f>
        <v>#REF!</v>
      </c>
      <c r="S203" t="e">
        <f>AND(#REF!,"AAAAAHc+IhI=")</f>
        <v>#REF!</v>
      </c>
      <c r="T203" t="e">
        <f>AND(#REF!,"AAAAAHc+IhM=")</f>
        <v>#REF!</v>
      </c>
      <c r="U203" t="e">
        <f>AND(#REF!,"AAAAAHc+IhQ=")</f>
        <v>#REF!</v>
      </c>
      <c r="V203" t="e">
        <f>AND(#REF!,"AAAAAHc+IhU=")</f>
        <v>#REF!</v>
      </c>
      <c r="W203" t="e">
        <f>AND(#REF!,"AAAAAHc+IhY=")</f>
        <v>#REF!</v>
      </c>
      <c r="X203" t="e">
        <f>IF(#REF!,"AAAAAHc+Ihc=",0)</f>
        <v>#REF!</v>
      </c>
      <c r="Y203" t="e">
        <f>AND(#REF!,"AAAAAHc+Ihg=")</f>
        <v>#REF!</v>
      </c>
      <c r="Z203" t="e">
        <f>AND(#REF!,"AAAAAHc+Ihk=")</f>
        <v>#REF!</v>
      </c>
      <c r="AA203" t="e">
        <f>AND(#REF!,"AAAAAHc+Iho=")</f>
        <v>#REF!</v>
      </c>
      <c r="AB203" t="e">
        <f>AND(#REF!,"AAAAAHc+Ihs=")</f>
        <v>#REF!</v>
      </c>
      <c r="AC203" t="e">
        <f>AND(#REF!,"AAAAAHc+Ihw=")</f>
        <v>#REF!</v>
      </c>
      <c r="AD203" t="e">
        <f>AND(#REF!,"AAAAAHc+Ih0=")</f>
        <v>#REF!</v>
      </c>
      <c r="AE203" t="e">
        <f>AND(#REF!,"AAAAAHc+Ih4=")</f>
        <v>#REF!</v>
      </c>
      <c r="AF203" t="e">
        <f>AND(#REF!,"AAAAAHc+Ih8=")</f>
        <v>#REF!</v>
      </c>
      <c r="AG203" t="e">
        <f>AND(#REF!,"AAAAAHc+IiA=")</f>
        <v>#REF!</v>
      </c>
      <c r="AH203" t="e">
        <f>AND(#REF!,"AAAAAHc+IiE=")</f>
        <v>#REF!</v>
      </c>
      <c r="AI203" t="e">
        <f>AND(#REF!,"AAAAAHc+IiI=")</f>
        <v>#REF!</v>
      </c>
      <c r="AJ203" t="e">
        <f>AND(#REF!,"AAAAAHc+IiM=")</f>
        <v>#REF!</v>
      </c>
      <c r="AK203" t="e">
        <f>AND(#REF!,"AAAAAHc+IiQ=")</f>
        <v>#REF!</v>
      </c>
      <c r="AL203" t="e">
        <f>AND(#REF!,"AAAAAHc+IiU=")</f>
        <v>#REF!</v>
      </c>
      <c r="AM203" t="e">
        <f>AND(#REF!,"AAAAAHc+IiY=")</f>
        <v>#REF!</v>
      </c>
      <c r="AN203" t="e">
        <f>AND(#REF!,"AAAAAHc+Iic=")</f>
        <v>#REF!</v>
      </c>
      <c r="AO203" t="e">
        <f>AND(#REF!,"AAAAAHc+Iig=")</f>
        <v>#REF!</v>
      </c>
      <c r="AP203" t="e">
        <f>AND(#REF!,"AAAAAHc+Iik=")</f>
        <v>#REF!</v>
      </c>
      <c r="AQ203" t="e">
        <f>AND(#REF!,"AAAAAHc+Iio=")</f>
        <v>#REF!</v>
      </c>
      <c r="AR203" t="e">
        <f>AND(#REF!,"AAAAAHc+Iis=")</f>
        <v>#REF!</v>
      </c>
      <c r="AS203" t="e">
        <f>AND(#REF!,"AAAAAHc+Iiw=")</f>
        <v>#REF!</v>
      </c>
      <c r="AT203" t="e">
        <f>AND(#REF!,"AAAAAHc+Ii0=")</f>
        <v>#REF!</v>
      </c>
      <c r="AU203" t="e">
        <f>AND(#REF!,"AAAAAHc+Ii4=")</f>
        <v>#REF!</v>
      </c>
      <c r="AV203" t="e">
        <f>AND(#REF!,"AAAAAHc+Ii8=")</f>
        <v>#REF!</v>
      </c>
      <c r="AW203" t="e">
        <f>IF(#REF!,"AAAAAHc+IjA=",0)</f>
        <v>#REF!</v>
      </c>
      <c r="AX203" t="e">
        <f>AND(#REF!,"AAAAAHc+IjE=")</f>
        <v>#REF!</v>
      </c>
      <c r="AY203" t="e">
        <f>AND(#REF!,"AAAAAHc+IjI=")</f>
        <v>#REF!</v>
      </c>
      <c r="AZ203" t="e">
        <f>AND(#REF!,"AAAAAHc+IjM=")</f>
        <v>#REF!</v>
      </c>
      <c r="BA203" t="e">
        <f>AND(#REF!,"AAAAAHc+IjQ=")</f>
        <v>#REF!</v>
      </c>
      <c r="BB203" t="e">
        <f>AND(#REF!,"AAAAAHc+IjU=")</f>
        <v>#REF!</v>
      </c>
      <c r="BC203" t="e">
        <f>AND(#REF!,"AAAAAHc+IjY=")</f>
        <v>#REF!</v>
      </c>
      <c r="BD203" t="e">
        <f>AND(#REF!,"AAAAAHc+Ijc=")</f>
        <v>#REF!</v>
      </c>
      <c r="BE203" t="e">
        <f>AND(#REF!,"AAAAAHc+Ijg=")</f>
        <v>#REF!</v>
      </c>
      <c r="BF203" t="e">
        <f>AND(#REF!,"AAAAAHc+Ijk=")</f>
        <v>#REF!</v>
      </c>
      <c r="BG203" t="e">
        <f>AND(#REF!,"AAAAAHc+Ijo=")</f>
        <v>#REF!</v>
      </c>
      <c r="BH203" t="e">
        <f>AND(#REF!,"AAAAAHc+Ijs=")</f>
        <v>#REF!</v>
      </c>
      <c r="BI203" t="e">
        <f>AND(#REF!,"AAAAAHc+Ijw=")</f>
        <v>#REF!</v>
      </c>
      <c r="BJ203" t="e">
        <f>AND(#REF!,"AAAAAHc+Ij0=")</f>
        <v>#REF!</v>
      </c>
      <c r="BK203" t="e">
        <f>AND(#REF!,"AAAAAHc+Ij4=")</f>
        <v>#REF!</v>
      </c>
      <c r="BL203" t="e">
        <f>AND(#REF!,"AAAAAHc+Ij8=")</f>
        <v>#REF!</v>
      </c>
      <c r="BM203" t="e">
        <f>AND(#REF!,"AAAAAHc+IkA=")</f>
        <v>#REF!</v>
      </c>
      <c r="BN203" t="e">
        <f>AND(#REF!,"AAAAAHc+IkE=")</f>
        <v>#REF!</v>
      </c>
      <c r="BO203" t="e">
        <f>AND(#REF!,"AAAAAHc+IkI=")</f>
        <v>#REF!</v>
      </c>
      <c r="BP203" t="e">
        <f>AND(#REF!,"AAAAAHc+IkM=")</f>
        <v>#REF!</v>
      </c>
      <c r="BQ203" t="e">
        <f>AND(#REF!,"AAAAAHc+IkQ=")</f>
        <v>#REF!</v>
      </c>
      <c r="BR203" t="e">
        <f>AND(#REF!,"AAAAAHc+IkU=")</f>
        <v>#REF!</v>
      </c>
      <c r="BS203" t="e">
        <f>AND(#REF!,"AAAAAHc+IkY=")</f>
        <v>#REF!</v>
      </c>
      <c r="BT203" t="e">
        <f>AND(#REF!,"AAAAAHc+Ikc=")</f>
        <v>#REF!</v>
      </c>
      <c r="BU203" t="e">
        <f>AND(#REF!,"AAAAAHc+Ikg=")</f>
        <v>#REF!</v>
      </c>
      <c r="BV203" t="e">
        <f>IF(#REF!,"AAAAAHc+Ikk=",0)</f>
        <v>#REF!</v>
      </c>
      <c r="BW203" t="e">
        <f>AND(#REF!,"AAAAAHc+Iko=")</f>
        <v>#REF!</v>
      </c>
      <c r="BX203" t="e">
        <f>AND(#REF!,"AAAAAHc+Iks=")</f>
        <v>#REF!</v>
      </c>
      <c r="BY203" t="e">
        <f>AND(#REF!,"AAAAAHc+Ikw=")</f>
        <v>#REF!</v>
      </c>
      <c r="BZ203" t="e">
        <f>AND(#REF!,"AAAAAHc+Ik0=")</f>
        <v>#REF!</v>
      </c>
      <c r="CA203" t="e">
        <f>AND(#REF!,"AAAAAHc+Ik4=")</f>
        <v>#REF!</v>
      </c>
      <c r="CB203" t="e">
        <f>AND(#REF!,"AAAAAHc+Ik8=")</f>
        <v>#REF!</v>
      </c>
      <c r="CC203" t="e">
        <f>AND(#REF!,"AAAAAHc+IlA=")</f>
        <v>#REF!</v>
      </c>
      <c r="CD203" t="e">
        <f>AND(#REF!,"AAAAAHc+IlE=")</f>
        <v>#REF!</v>
      </c>
      <c r="CE203" t="e">
        <f>AND(#REF!,"AAAAAHc+IlI=")</f>
        <v>#REF!</v>
      </c>
      <c r="CF203" t="e">
        <f>AND(#REF!,"AAAAAHc+IlM=")</f>
        <v>#REF!</v>
      </c>
      <c r="CG203" t="e">
        <f>AND(#REF!,"AAAAAHc+IlQ=")</f>
        <v>#REF!</v>
      </c>
      <c r="CH203" t="e">
        <f>AND(#REF!,"AAAAAHc+IlU=")</f>
        <v>#REF!</v>
      </c>
      <c r="CI203" t="e">
        <f>AND(#REF!,"AAAAAHc+IlY=")</f>
        <v>#REF!</v>
      </c>
      <c r="CJ203" t="e">
        <f>AND(#REF!,"AAAAAHc+Ilc=")</f>
        <v>#REF!</v>
      </c>
      <c r="CK203" t="e">
        <f>AND(#REF!,"AAAAAHc+Ilg=")</f>
        <v>#REF!</v>
      </c>
      <c r="CL203" t="e">
        <f>AND(#REF!,"AAAAAHc+Ilk=")</f>
        <v>#REF!</v>
      </c>
      <c r="CM203" t="e">
        <f>AND(#REF!,"AAAAAHc+Ilo=")</f>
        <v>#REF!</v>
      </c>
      <c r="CN203" t="e">
        <f>AND(#REF!,"AAAAAHc+Ils=")</f>
        <v>#REF!</v>
      </c>
      <c r="CO203" t="e">
        <f>AND(#REF!,"AAAAAHc+Ilw=")</f>
        <v>#REF!</v>
      </c>
      <c r="CP203" t="e">
        <f>AND(#REF!,"AAAAAHc+Il0=")</f>
        <v>#REF!</v>
      </c>
      <c r="CQ203" t="e">
        <f>AND(#REF!,"AAAAAHc+Il4=")</f>
        <v>#REF!</v>
      </c>
      <c r="CR203" t="e">
        <f>AND(#REF!,"AAAAAHc+Il8=")</f>
        <v>#REF!</v>
      </c>
      <c r="CS203" t="e">
        <f>AND(#REF!,"AAAAAHc+ImA=")</f>
        <v>#REF!</v>
      </c>
      <c r="CT203" t="e">
        <f>AND(#REF!,"AAAAAHc+ImE=")</f>
        <v>#REF!</v>
      </c>
      <c r="CU203" t="e">
        <f>IF(#REF!,"AAAAAHc+ImI=",0)</f>
        <v>#REF!</v>
      </c>
      <c r="CV203" t="e">
        <f>AND(#REF!,"AAAAAHc+ImM=")</f>
        <v>#REF!</v>
      </c>
      <c r="CW203" t="e">
        <f>AND(#REF!,"AAAAAHc+ImQ=")</f>
        <v>#REF!</v>
      </c>
      <c r="CX203" t="e">
        <f>AND(#REF!,"AAAAAHc+ImU=")</f>
        <v>#REF!</v>
      </c>
      <c r="CY203" t="e">
        <f>AND(#REF!,"AAAAAHc+ImY=")</f>
        <v>#REF!</v>
      </c>
      <c r="CZ203" t="e">
        <f>AND(#REF!,"AAAAAHc+Imc=")</f>
        <v>#REF!</v>
      </c>
      <c r="DA203" t="e">
        <f>AND(#REF!,"AAAAAHc+Img=")</f>
        <v>#REF!</v>
      </c>
      <c r="DB203" t="e">
        <f>AND(#REF!,"AAAAAHc+Imk=")</f>
        <v>#REF!</v>
      </c>
      <c r="DC203" t="e">
        <f>AND(#REF!,"AAAAAHc+Imo=")</f>
        <v>#REF!</v>
      </c>
      <c r="DD203" t="e">
        <f>AND(#REF!,"AAAAAHc+Ims=")</f>
        <v>#REF!</v>
      </c>
      <c r="DE203" t="e">
        <f>AND(#REF!,"AAAAAHc+Imw=")</f>
        <v>#REF!</v>
      </c>
      <c r="DF203" t="e">
        <f>AND(#REF!,"AAAAAHc+Im0=")</f>
        <v>#REF!</v>
      </c>
      <c r="DG203" t="e">
        <f>AND(#REF!,"AAAAAHc+Im4=")</f>
        <v>#REF!</v>
      </c>
      <c r="DH203" t="e">
        <f>AND(#REF!,"AAAAAHc+Im8=")</f>
        <v>#REF!</v>
      </c>
      <c r="DI203" t="e">
        <f>AND(#REF!,"AAAAAHc+InA=")</f>
        <v>#REF!</v>
      </c>
      <c r="DJ203" t="e">
        <f>AND(#REF!,"AAAAAHc+InE=")</f>
        <v>#REF!</v>
      </c>
      <c r="DK203" t="e">
        <f>AND(#REF!,"AAAAAHc+InI=")</f>
        <v>#REF!</v>
      </c>
      <c r="DL203" t="e">
        <f>AND(#REF!,"AAAAAHc+InM=")</f>
        <v>#REF!</v>
      </c>
      <c r="DM203" t="e">
        <f>AND(#REF!,"AAAAAHc+InQ=")</f>
        <v>#REF!</v>
      </c>
      <c r="DN203" t="e">
        <f>AND(#REF!,"AAAAAHc+InU=")</f>
        <v>#REF!</v>
      </c>
      <c r="DO203" t="e">
        <f>AND(#REF!,"AAAAAHc+InY=")</f>
        <v>#REF!</v>
      </c>
      <c r="DP203" t="e">
        <f>AND(#REF!,"AAAAAHc+Inc=")</f>
        <v>#REF!</v>
      </c>
      <c r="DQ203" t="e">
        <f>AND(#REF!,"AAAAAHc+Ing=")</f>
        <v>#REF!</v>
      </c>
      <c r="DR203" t="e">
        <f>AND(#REF!,"AAAAAHc+Ink=")</f>
        <v>#REF!</v>
      </c>
      <c r="DS203" t="e">
        <f>AND(#REF!,"AAAAAHc+Ino=")</f>
        <v>#REF!</v>
      </c>
      <c r="DT203" t="e">
        <f>IF(#REF!,"AAAAAHc+Ins=",0)</f>
        <v>#REF!</v>
      </c>
      <c r="DU203" t="e">
        <f>AND(#REF!,"AAAAAHc+Inw=")</f>
        <v>#REF!</v>
      </c>
      <c r="DV203" t="e">
        <f>AND(#REF!,"AAAAAHc+In0=")</f>
        <v>#REF!</v>
      </c>
      <c r="DW203" t="e">
        <f>AND(#REF!,"AAAAAHc+In4=")</f>
        <v>#REF!</v>
      </c>
      <c r="DX203" t="e">
        <f>AND(#REF!,"AAAAAHc+In8=")</f>
        <v>#REF!</v>
      </c>
      <c r="DY203" t="e">
        <f>AND(#REF!,"AAAAAHc+IoA=")</f>
        <v>#REF!</v>
      </c>
      <c r="DZ203" t="e">
        <f>AND(#REF!,"AAAAAHc+IoE=")</f>
        <v>#REF!</v>
      </c>
      <c r="EA203" t="e">
        <f>AND(#REF!,"AAAAAHc+IoI=")</f>
        <v>#REF!</v>
      </c>
      <c r="EB203" t="e">
        <f>AND(#REF!,"AAAAAHc+IoM=")</f>
        <v>#REF!</v>
      </c>
      <c r="EC203" t="e">
        <f>AND(#REF!,"AAAAAHc+IoQ=")</f>
        <v>#REF!</v>
      </c>
      <c r="ED203" t="e">
        <f>AND(#REF!,"AAAAAHc+IoU=")</f>
        <v>#REF!</v>
      </c>
      <c r="EE203" t="e">
        <f>AND(#REF!,"AAAAAHc+IoY=")</f>
        <v>#REF!</v>
      </c>
      <c r="EF203" t="e">
        <f>AND(#REF!,"AAAAAHc+Ioc=")</f>
        <v>#REF!</v>
      </c>
      <c r="EG203" t="e">
        <f>AND(#REF!,"AAAAAHc+Iog=")</f>
        <v>#REF!</v>
      </c>
      <c r="EH203" t="e">
        <f>AND(#REF!,"AAAAAHc+Iok=")</f>
        <v>#REF!</v>
      </c>
      <c r="EI203" t="e">
        <f>AND(#REF!,"AAAAAHc+Ioo=")</f>
        <v>#REF!</v>
      </c>
      <c r="EJ203" t="e">
        <f>AND(#REF!,"AAAAAHc+Ios=")</f>
        <v>#REF!</v>
      </c>
      <c r="EK203" t="e">
        <f>AND(#REF!,"AAAAAHc+Iow=")</f>
        <v>#REF!</v>
      </c>
      <c r="EL203" t="e">
        <f>AND(#REF!,"AAAAAHc+Io0=")</f>
        <v>#REF!</v>
      </c>
      <c r="EM203" t="e">
        <f>AND(#REF!,"AAAAAHc+Io4=")</f>
        <v>#REF!</v>
      </c>
      <c r="EN203" t="e">
        <f>AND(#REF!,"AAAAAHc+Io8=")</f>
        <v>#REF!</v>
      </c>
      <c r="EO203" t="e">
        <f>AND(#REF!,"AAAAAHc+IpA=")</f>
        <v>#REF!</v>
      </c>
      <c r="EP203" t="e">
        <f>AND(#REF!,"AAAAAHc+IpE=")</f>
        <v>#REF!</v>
      </c>
      <c r="EQ203" t="e">
        <f>AND(#REF!,"AAAAAHc+IpI=")</f>
        <v>#REF!</v>
      </c>
      <c r="ER203" t="e">
        <f>AND(#REF!,"AAAAAHc+IpM=")</f>
        <v>#REF!</v>
      </c>
      <c r="ES203" t="e">
        <f>IF(#REF!,"AAAAAHc+IpQ=",0)</f>
        <v>#REF!</v>
      </c>
      <c r="ET203" t="e">
        <f>AND(#REF!,"AAAAAHc+IpU=")</f>
        <v>#REF!</v>
      </c>
      <c r="EU203" t="e">
        <f>AND(#REF!,"AAAAAHc+IpY=")</f>
        <v>#REF!</v>
      </c>
      <c r="EV203" t="e">
        <f>AND(#REF!,"AAAAAHc+Ipc=")</f>
        <v>#REF!</v>
      </c>
      <c r="EW203" t="e">
        <f>AND(#REF!,"AAAAAHc+Ipg=")</f>
        <v>#REF!</v>
      </c>
      <c r="EX203" t="e">
        <f>AND(#REF!,"AAAAAHc+Ipk=")</f>
        <v>#REF!</v>
      </c>
      <c r="EY203" t="e">
        <f>AND(#REF!,"AAAAAHc+Ipo=")</f>
        <v>#REF!</v>
      </c>
      <c r="EZ203" t="e">
        <f>AND(#REF!,"AAAAAHc+Ips=")</f>
        <v>#REF!</v>
      </c>
      <c r="FA203" t="e">
        <f>AND(#REF!,"AAAAAHc+Ipw=")</f>
        <v>#REF!</v>
      </c>
      <c r="FB203" t="e">
        <f>AND(#REF!,"AAAAAHc+Ip0=")</f>
        <v>#REF!</v>
      </c>
      <c r="FC203" t="e">
        <f>AND(#REF!,"AAAAAHc+Ip4=")</f>
        <v>#REF!</v>
      </c>
      <c r="FD203" t="e">
        <f>AND(#REF!,"AAAAAHc+Ip8=")</f>
        <v>#REF!</v>
      </c>
      <c r="FE203" t="e">
        <f>AND(#REF!,"AAAAAHc+IqA=")</f>
        <v>#REF!</v>
      </c>
      <c r="FF203" t="e">
        <f>AND(#REF!,"AAAAAHc+IqE=")</f>
        <v>#REF!</v>
      </c>
      <c r="FG203" t="e">
        <f>AND(#REF!,"AAAAAHc+IqI=")</f>
        <v>#REF!</v>
      </c>
      <c r="FH203" t="e">
        <f>AND(#REF!,"AAAAAHc+IqM=")</f>
        <v>#REF!</v>
      </c>
      <c r="FI203" t="e">
        <f>AND(#REF!,"AAAAAHc+IqQ=")</f>
        <v>#REF!</v>
      </c>
      <c r="FJ203" t="e">
        <f>AND(#REF!,"AAAAAHc+IqU=")</f>
        <v>#REF!</v>
      </c>
      <c r="FK203" t="e">
        <f>AND(#REF!,"AAAAAHc+IqY=")</f>
        <v>#REF!</v>
      </c>
      <c r="FL203" t="e">
        <f>AND(#REF!,"AAAAAHc+Iqc=")</f>
        <v>#REF!</v>
      </c>
      <c r="FM203" t="e">
        <f>AND(#REF!,"AAAAAHc+Iqg=")</f>
        <v>#REF!</v>
      </c>
      <c r="FN203" t="e">
        <f>AND(#REF!,"AAAAAHc+Iqk=")</f>
        <v>#REF!</v>
      </c>
      <c r="FO203" t="e">
        <f>AND(#REF!,"AAAAAHc+Iqo=")</f>
        <v>#REF!</v>
      </c>
      <c r="FP203" t="e">
        <f>AND(#REF!,"AAAAAHc+Iqs=")</f>
        <v>#REF!</v>
      </c>
      <c r="FQ203" t="e">
        <f>AND(#REF!,"AAAAAHc+Iqw=")</f>
        <v>#REF!</v>
      </c>
      <c r="FR203" t="e">
        <f>IF(#REF!,"AAAAAHc+Iq0=",0)</f>
        <v>#REF!</v>
      </c>
      <c r="FS203" t="e">
        <f>AND(#REF!,"AAAAAHc+Iq4=")</f>
        <v>#REF!</v>
      </c>
      <c r="FT203" t="e">
        <f>AND(#REF!,"AAAAAHc+Iq8=")</f>
        <v>#REF!</v>
      </c>
      <c r="FU203" t="e">
        <f>AND(#REF!,"AAAAAHc+IrA=")</f>
        <v>#REF!</v>
      </c>
      <c r="FV203" t="e">
        <f>AND(#REF!,"AAAAAHc+IrE=")</f>
        <v>#REF!</v>
      </c>
      <c r="FW203" t="e">
        <f>AND(#REF!,"AAAAAHc+IrI=")</f>
        <v>#REF!</v>
      </c>
      <c r="FX203" t="e">
        <f>AND(#REF!,"AAAAAHc+IrM=")</f>
        <v>#REF!</v>
      </c>
      <c r="FY203" t="e">
        <f>AND(#REF!,"AAAAAHc+IrQ=")</f>
        <v>#REF!</v>
      </c>
      <c r="FZ203" t="e">
        <f>AND(#REF!,"AAAAAHc+IrU=")</f>
        <v>#REF!</v>
      </c>
      <c r="GA203" t="e">
        <f>AND(#REF!,"AAAAAHc+IrY=")</f>
        <v>#REF!</v>
      </c>
      <c r="GB203" t="e">
        <f>AND(#REF!,"AAAAAHc+Irc=")</f>
        <v>#REF!</v>
      </c>
      <c r="GC203" t="e">
        <f>AND(#REF!,"AAAAAHc+Irg=")</f>
        <v>#REF!</v>
      </c>
      <c r="GD203" t="e">
        <f>AND(#REF!,"AAAAAHc+Irk=")</f>
        <v>#REF!</v>
      </c>
      <c r="GE203" t="e">
        <f>AND(#REF!,"AAAAAHc+Iro=")</f>
        <v>#REF!</v>
      </c>
      <c r="GF203" t="e">
        <f>AND(#REF!,"AAAAAHc+Irs=")</f>
        <v>#REF!</v>
      </c>
      <c r="GG203" t="e">
        <f>AND(#REF!,"AAAAAHc+Irw=")</f>
        <v>#REF!</v>
      </c>
      <c r="GH203" t="e">
        <f>AND(#REF!,"AAAAAHc+Ir0=")</f>
        <v>#REF!</v>
      </c>
      <c r="GI203" t="e">
        <f>AND(#REF!,"AAAAAHc+Ir4=")</f>
        <v>#REF!</v>
      </c>
      <c r="GJ203" t="e">
        <f>AND(#REF!,"AAAAAHc+Ir8=")</f>
        <v>#REF!</v>
      </c>
      <c r="GK203" t="e">
        <f>AND(#REF!,"AAAAAHc+IsA=")</f>
        <v>#REF!</v>
      </c>
      <c r="GL203" t="e">
        <f>AND(#REF!,"AAAAAHc+IsE=")</f>
        <v>#REF!</v>
      </c>
      <c r="GM203" t="e">
        <f>AND(#REF!,"AAAAAHc+IsI=")</f>
        <v>#REF!</v>
      </c>
      <c r="GN203" t="e">
        <f>AND(#REF!,"AAAAAHc+IsM=")</f>
        <v>#REF!</v>
      </c>
      <c r="GO203" t="e">
        <f>AND(#REF!,"AAAAAHc+IsQ=")</f>
        <v>#REF!</v>
      </c>
      <c r="GP203" t="e">
        <f>AND(#REF!,"AAAAAHc+IsU=")</f>
        <v>#REF!</v>
      </c>
      <c r="GQ203" t="e">
        <f>IF(#REF!,"AAAAAHc+IsY=",0)</f>
        <v>#REF!</v>
      </c>
      <c r="GR203" t="e">
        <f>AND(#REF!,"AAAAAHc+Isc=")</f>
        <v>#REF!</v>
      </c>
      <c r="GS203" t="e">
        <f>AND(#REF!,"AAAAAHc+Isg=")</f>
        <v>#REF!</v>
      </c>
      <c r="GT203" t="e">
        <f>AND(#REF!,"AAAAAHc+Isk=")</f>
        <v>#REF!</v>
      </c>
      <c r="GU203" t="e">
        <f>AND(#REF!,"AAAAAHc+Iso=")</f>
        <v>#REF!</v>
      </c>
      <c r="GV203" t="e">
        <f>AND(#REF!,"AAAAAHc+Iss=")</f>
        <v>#REF!</v>
      </c>
      <c r="GW203" t="e">
        <f>AND(#REF!,"AAAAAHc+Isw=")</f>
        <v>#REF!</v>
      </c>
      <c r="GX203" t="e">
        <f>AND(#REF!,"AAAAAHc+Is0=")</f>
        <v>#REF!</v>
      </c>
      <c r="GY203" t="e">
        <f>AND(#REF!,"AAAAAHc+Is4=")</f>
        <v>#REF!</v>
      </c>
      <c r="GZ203" t="e">
        <f>AND(#REF!,"AAAAAHc+Is8=")</f>
        <v>#REF!</v>
      </c>
      <c r="HA203" t="e">
        <f>AND(#REF!,"AAAAAHc+ItA=")</f>
        <v>#REF!</v>
      </c>
      <c r="HB203" t="e">
        <f>AND(#REF!,"AAAAAHc+ItE=")</f>
        <v>#REF!</v>
      </c>
      <c r="HC203" t="e">
        <f>AND(#REF!,"AAAAAHc+ItI=")</f>
        <v>#REF!</v>
      </c>
      <c r="HD203" t="e">
        <f>AND(#REF!,"AAAAAHc+ItM=")</f>
        <v>#REF!</v>
      </c>
      <c r="HE203" t="e">
        <f>AND(#REF!,"AAAAAHc+ItQ=")</f>
        <v>#REF!</v>
      </c>
      <c r="HF203" t="e">
        <f>AND(#REF!,"AAAAAHc+ItU=")</f>
        <v>#REF!</v>
      </c>
      <c r="HG203" t="e">
        <f>AND(#REF!,"AAAAAHc+ItY=")</f>
        <v>#REF!</v>
      </c>
      <c r="HH203" t="e">
        <f>AND(#REF!,"AAAAAHc+Itc=")</f>
        <v>#REF!</v>
      </c>
      <c r="HI203" t="e">
        <f>AND(#REF!,"AAAAAHc+Itg=")</f>
        <v>#REF!</v>
      </c>
      <c r="HJ203" t="e">
        <f>AND(#REF!,"AAAAAHc+Itk=")</f>
        <v>#REF!</v>
      </c>
      <c r="HK203" t="e">
        <f>AND(#REF!,"AAAAAHc+Ito=")</f>
        <v>#REF!</v>
      </c>
      <c r="HL203" t="e">
        <f>AND(#REF!,"AAAAAHc+Its=")</f>
        <v>#REF!</v>
      </c>
      <c r="HM203" t="e">
        <f>AND(#REF!,"AAAAAHc+Itw=")</f>
        <v>#REF!</v>
      </c>
      <c r="HN203" t="e">
        <f>AND(#REF!,"AAAAAHc+It0=")</f>
        <v>#REF!</v>
      </c>
      <c r="HO203" t="e">
        <f>AND(#REF!,"AAAAAHc+It4=")</f>
        <v>#REF!</v>
      </c>
      <c r="HP203" t="e">
        <f>IF(#REF!,"AAAAAHc+It8=",0)</f>
        <v>#REF!</v>
      </c>
      <c r="HQ203" t="e">
        <f>AND(#REF!,"AAAAAHc+IuA=")</f>
        <v>#REF!</v>
      </c>
      <c r="HR203" t="e">
        <f>AND(#REF!,"AAAAAHc+IuE=")</f>
        <v>#REF!</v>
      </c>
      <c r="HS203" t="e">
        <f>AND(#REF!,"AAAAAHc+IuI=")</f>
        <v>#REF!</v>
      </c>
      <c r="HT203" t="e">
        <f>AND(#REF!,"AAAAAHc+IuM=")</f>
        <v>#REF!</v>
      </c>
      <c r="HU203" t="e">
        <f>AND(#REF!,"AAAAAHc+IuQ=")</f>
        <v>#REF!</v>
      </c>
      <c r="HV203" t="e">
        <f>AND(#REF!,"AAAAAHc+IuU=")</f>
        <v>#REF!</v>
      </c>
      <c r="HW203" t="e">
        <f>AND(#REF!,"AAAAAHc+IuY=")</f>
        <v>#REF!</v>
      </c>
      <c r="HX203" t="e">
        <f>AND(#REF!,"AAAAAHc+Iuc=")</f>
        <v>#REF!</v>
      </c>
      <c r="HY203" t="e">
        <f>AND(#REF!,"AAAAAHc+Iug=")</f>
        <v>#REF!</v>
      </c>
      <c r="HZ203" t="e">
        <f>AND(#REF!,"AAAAAHc+Iuk=")</f>
        <v>#REF!</v>
      </c>
      <c r="IA203" t="e">
        <f>AND(#REF!,"AAAAAHc+Iuo=")</f>
        <v>#REF!</v>
      </c>
      <c r="IB203" t="e">
        <f>AND(#REF!,"AAAAAHc+Ius=")</f>
        <v>#REF!</v>
      </c>
      <c r="IC203" t="e">
        <f>AND(#REF!,"AAAAAHc+Iuw=")</f>
        <v>#REF!</v>
      </c>
      <c r="ID203" t="e">
        <f>AND(#REF!,"AAAAAHc+Iu0=")</f>
        <v>#REF!</v>
      </c>
      <c r="IE203" t="e">
        <f>AND(#REF!,"AAAAAHc+Iu4=")</f>
        <v>#REF!</v>
      </c>
      <c r="IF203" t="e">
        <f>AND(#REF!,"AAAAAHc+Iu8=")</f>
        <v>#REF!</v>
      </c>
      <c r="IG203" t="e">
        <f>AND(#REF!,"AAAAAHc+IvA=")</f>
        <v>#REF!</v>
      </c>
      <c r="IH203" t="e">
        <f>AND(#REF!,"AAAAAHc+IvE=")</f>
        <v>#REF!</v>
      </c>
      <c r="II203" t="e">
        <f>AND(#REF!,"AAAAAHc+IvI=")</f>
        <v>#REF!</v>
      </c>
      <c r="IJ203" t="e">
        <f>AND(#REF!,"AAAAAHc+IvM=")</f>
        <v>#REF!</v>
      </c>
      <c r="IK203" t="e">
        <f>AND(#REF!,"AAAAAHc+IvQ=")</f>
        <v>#REF!</v>
      </c>
      <c r="IL203" t="e">
        <f>AND(#REF!,"AAAAAHc+IvU=")</f>
        <v>#REF!</v>
      </c>
      <c r="IM203" t="e">
        <f>AND(#REF!,"AAAAAHc+IvY=")</f>
        <v>#REF!</v>
      </c>
      <c r="IN203" t="e">
        <f>AND(#REF!,"AAAAAHc+Ivc=")</f>
        <v>#REF!</v>
      </c>
      <c r="IO203" t="e">
        <f>IF(#REF!,"AAAAAHc+Ivg=",0)</f>
        <v>#REF!</v>
      </c>
      <c r="IP203" t="e">
        <f>AND(#REF!,"AAAAAHc+Ivk=")</f>
        <v>#REF!</v>
      </c>
      <c r="IQ203" t="e">
        <f>AND(#REF!,"AAAAAHc+Ivo=")</f>
        <v>#REF!</v>
      </c>
      <c r="IR203" t="e">
        <f>AND(#REF!,"AAAAAHc+Ivs=")</f>
        <v>#REF!</v>
      </c>
      <c r="IS203" t="e">
        <f>AND(#REF!,"AAAAAHc+Ivw=")</f>
        <v>#REF!</v>
      </c>
      <c r="IT203" t="e">
        <f>AND(#REF!,"AAAAAHc+Iv0=")</f>
        <v>#REF!</v>
      </c>
      <c r="IU203" t="e">
        <f>AND(#REF!,"AAAAAHc+Iv4=")</f>
        <v>#REF!</v>
      </c>
      <c r="IV203" t="e">
        <f>AND(#REF!,"AAAAAHc+Iv8=")</f>
        <v>#REF!</v>
      </c>
    </row>
    <row r="204" spans="1:256">
      <c r="A204" t="e">
        <f>AND(#REF!,"AAAAAH/7bQA=")</f>
        <v>#REF!</v>
      </c>
      <c r="B204" t="e">
        <f>AND(#REF!,"AAAAAH/7bQE=")</f>
        <v>#REF!</v>
      </c>
      <c r="C204" t="e">
        <f>AND(#REF!,"AAAAAH/7bQI=")</f>
        <v>#REF!</v>
      </c>
      <c r="D204" t="e">
        <f>AND(#REF!,"AAAAAH/7bQM=")</f>
        <v>#REF!</v>
      </c>
      <c r="E204" t="e">
        <f>AND(#REF!,"AAAAAH/7bQQ=")</f>
        <v>#REF!</v>
      </c>
      <c r="F204" t="e">
        <f>AND(#REF!,"AAAAAH/7bQU=")</f>
        <v>#REF!</v>
      </c>
      <c r="G204" t="e">
        <f>AND(#REF!,"AAAAAH/7bQY=")</f>
        <v>#REF!</v>
      </c>
      <c r="H204" t="e">
        <f>AND(#REF!,"AAAAAH/7bQc=")</f>
        <v>#REF!</v>
      </c>
      <c r="I204" t="e">
        <f>AND(#REF!,"AAAAAH/7bQg=")</f>
        <v>#REF!</v>
      </c>
      <c r="J204" t="e">
        <f>AND(#REF!,"AAAAAH/7bQk=")</f>
        <v>#REF!</v>
      </c>
      <c r="K204" t="e">
        <f>AND(#REF!,"AAAAAH/7bQo=")</f>
        <v>#REF!</v>
      </c>
      <c r="L204" t="e">
        <f>AND(#REF!,"AAAAAH/7bQs=")</f>
        <v>#REF!</v>
      </c>
      <c r="M204" t="e">
        <f>AND(#REF!,"AAAAAH/7bQw=")</f>
        <v>#REF!</v>
      </c>
      <c r="N204" t="e">
        <f>AND(#REF!,"AAAAAH/7bQ0=")</f>
        <v>#REF!</v>
      </c>
      <c r="O204" t="e">
        <f>AND(#REF!,"AAAAAH/7bQ4=")</f>
        <v>#REF!</v>
      </c>
      <c r="P204" t="e">
        <f>AND(#REF!,"AAAAAH/7bQ8=")</f>
        <v>#REF!</v>
      </c>
      <c r="Q204" t="e">
        <f>AND(#REF!,"AAAAAH/7bRA=")</f>
        <v>#REF!</v>
      </c>
      <c r="R204" t="e">
        <f>IF(#REF!,"AAAAAH/7bRE=",0)</f>
        <v>#REF!</v>
      </c>
      <c r="S204" t="e">
        <f>AND(#REF!,"AAAAAH/7bRI=")</f>
        <v>#REF!</v>
      </c>
      <c r="T204" t="e">
        <f>AND(#REF!,"AAAAAH/7bRM=")</f>
        <v>#REF!</v>
      </c>
      <c r="U204" t="e">
        <f>AND(#REF!,"AAAAAH/7bRQ=")</f>
        <v>#REF!</v>
      </c>
      <c r="V204" t="e">
        <f>AND(#REF!,"AAAAAH/7bRU=")</f>
        <v>#REF!</v>
      </c>
      <c r="W204" t="e">
        <f>AND(#REF!,"AAAAAH/7bRY=")</f>
        <v>#REF!</v>
      </c>
      <c r="X204" t="e">
        <f>AND(#REF!,"AAAAAH/7bRc=")</f>
        <v>#REF!</v>
      </c>
      <c r="Y204" t="e">
        <f>AND(#REF!,"AAAAAH/7bRg=")</f>
        <v>#REF!</v>
      </c>
      <c r="Z204" t="e">
        <f>AND(#REF!,"AAAAAH/7bRk=")</f>
        <v>#REF!</v>
      </c>
      <c r="AA204" t="e">
        <f>AND(#REF!,"AAAAAH/7bRo=")</f>
        <v>#REF!</v>
      </c>
      <c r="AB204" t="e">
        <f>AND(#REF!,"AAAAAH/7bRs=")</f>
        <v>#REF!</v>
      </c>
      <c r="AC204" t="e">
        <f>AND(#REF!,"AAAAAH/7bRw=")</f>
        <v>#REF!</v>
      </c>
      <c r="AD204" t="e">
        <f>AND(#REF!,"AAAAAH/7bR0=")</f>
        <v>#REF!</v>
      </c>
      <c r="AE204" t="e">
        <f>AND(#REF!,"AAAAAH/7bR4=")</f>
        <v>#REF!</v>
      </c>
      <c r="AF204" t="e">
        <f>AND(#REF!,"AAAAAH/7bR8=")</f>
        <v>#REF!</v>
      </c>
      <c r="AG204" t="e">
        <f>AND(#REF!,"AAAAAH/7bSA=")</f>
        <v>#REF!</v>
      </c>
      <c r="AH204" t="e">
        <f>AND(#REF!,"AAAAAH/7bSE=")</f>
        <v>#REF!</v>
      </c>
      <c r="AI204" t="e">
        <f>AND(#REF!,"AAAAAH/7bSI=")</f>
        <v>#REF!</v>
      </c>
      <c r="AJ204" t="e">
        <f>AND(#REF!,"AAAAAH/7bSM=")</f>
        <v>#REF!</v>
      </c>
      <c r="AK204" t="e">
        <f>AND(#REF!,"AAAAAH/7bSQ=")</f>
        <v>#REF!</v>
      </c>
      <c r="AL204" t="e">
        <f>AND(#REF!,"AAAAAH/7bSU=")</f>
        <v>#REF!</v>
      </c>
      <c r="AM204" t="e">
        <f>AND(#REF!,"AAAAAH/7bSY=")</f>
        <v>#REF!</v>
      </c>
      <c r="AN204" t="e">
        <f>AND(#REF!,"AAAAAH/7bSc=")</f>
        <v>#REF!</v>
      </c>
      <c r="AO204" t="e">
        <f>AND(#REF!,"AAAAAH/7bSg=")</f>
        <v>#REF!</v>
      </c>
      <c r="AP204" t="e">
        <f>AND(#REF!,"AAAAAH/7bSk=")</f>
        <v>#REF!</v>
      </c>
      <c r="AQ204" t="e">
        <f>IF(#REF!,"AAAAAH/7bSo=",0)</f>
        <v>#REF!</v>
      </c>
      <c r="AR204" t="e">
        <f>AND(#REF!,"AAAAAH/7bSs=")</f>
        <v>#REF!</v>
      </c>
      <c r="AS204" t="e">
        <f>AND(#REF!,"AAAAAH/7bSw=")</f>
        <v>#REF!</v>
      </c>
      <c r="AT204" t="e">
        <f>AND(#REF!,"AAAAAH/7bS0=")</f>
        <v>#REF!</v>
      </c>
      <c r="AU204" t="e">
        <f>AND(#REF!,"AAAAAH/7bS4=")</f>
        <v>#REF!</v>
      </c>
      <c r="AV204" t="e">
        <f>AND(#REF!,"AAAAAH/7bS8=")</f>
        <v>#REF!</v>
      </c>
      <c r="AW204" t="e">
        <f>AND(#REF!,"AAAAAH/7bTA=")</f>
        <v>#REF!</v>
      </c>
      <c r="AX204" t="e">
        <f>AND(#REF!,"AAAAAH/7bTE=")</f>
        <v>#REF!</v>
      </c>
      <c r="AY204" t="e">
        <f>AND(#REF!,"AAAAAH/7bTI=")</f>
        <v>#REF!</v>
      </c>
      <c r="AZ204" t="e">
        <f>AND(#REF!,"AAAAAH/7bTM=")</f>
        <v>#REF!</v>
      </c>
      <c r="BA204" t="e">
        <f>AND(#REF!,"AAAAAH/7bTQ=")</f>
        <v>#REF!</v>
      </c>
      <c r="BB204" t="e">
        <f>AND(#REF!,"AAAAAH/7bTU=")</f>
        <v>#REF!</v>
      </c>
      <c r="BC204" t="e">
        <f>AND(#REF!,"AAAAAH/7bTY=")</f>
        <v>#REF!</v>
      </c>
      <c r="BD204" t="e">
        <f>AND(#REF!,"AAAAAH/7bTc=")</f>
        <v>#REF!</v>
      </c>
      <c r="BE204" t="e">
        <f>AND(#REF!,"AAAAAH/7bTg=")</f>
        <v>#REF!</v>
      </c>
      <c r="BF204" t="e">
        <f>AND(#REF!,"AAAAAH/7bTk=")</f>
        <v>#REF!</v>
      </c>
      <c r="BG204" t="e">
        <f>AND(#REF!,"AAAAAH/7bTo=")</f>
        <v>#REF!</v>
      </c>
      <c r="BH204" t="e">
        <f>AND(#REF!,"AAAAAH/7bTs=")</f>
        <v>#REF!</v>
      </c>
      <c r="BI204" t="e">
        <f>AND(#REF!,"AAAAAH/7bTw=")</f>
        <v>#REF!</v>
      </c>
      <c r="BJ204" t="e">
        <f>AND(#REF!,"AAAAAH/7bT0=")</f>
        <v>#REF!</v>
      </c>
      <c r="BK204" t="e">
        <f>AND(#REF!,"AAAAAH/7bT4=")</f>
        <v>#REF!</v>
      </c>
      <c r="BL204" t="e">
        <f>AND(#REF!,"AAAAAH/7bT8=")</f>
        <v>#REF!</v>
      </c>
      <c r="BM204" t="e">
        <f>AND(#REF!,"AAAAAH/7bUA=")</f>
        <v>#REF!</v>
      </c>
      <c r="BN204" t="e">
        <f>AND(#REF!,"AAAAAH/7bUE=")</f>
        <v>#REF!</v>
      </c>
      <c r="BO204" t="e">
        <f>AND(#REF!,"AAAAAH/7bUI=")</f>
        <v>#REF!</v>
      </c>
      <c r="BP204" t="e">
        <f>IF(#REF!,"AAAAAH/7bUM=",0)</f>
        <v>#REF!</v>
      </c>
      <c r="BQ204" t="e">
        <f>AND(#REF!,"AAAAAH/7bUQ=")</f>
        <v>#REF!</v>
      </c>
      <c r="BR204" t="e">
        <f>AND(#REF!,"AAAAAH/7bUU=")</f>
        <v>#REF!</v>
      </c>
      <c r="BS204" t="e">
        <f>AND(#REF!,"AAAAAH/7bUY=")</f>
        <v>#REF!</v>
      </c>
      <c r="BT204" t="e">
        <f>AND(#REF!,"AAAAAH/7bUc=")</f>
        <v>#REF!</v>
      </c>
      <c r="BU204" t="e">
        <f>AND(#REF!,"AAAAAH/7bUg=")</f>
        <v>#REF!</v>
      </c>
      <c r="BV204" t="e">
        <f>AND(#REF!,"AAAAAH/7bUk=")</f>
        <v>#REF!</v>
      </c>
      <c r="BW204" t="e">
        <f>AND(#REF!,"AAAAAH/7bUo=")</f>
        <v>#REF!</v>
      </c>
      <c r="BX204" t="e">
        <f>AND(#REF!,"AAAAAH/7bUs=")</f>
        <v>#REF!</v>
      </c>
      <c r="BY204" t="e">
        <f>AND(#REF!,"AAAAAH/7bUw=")</f>
        <v>#REF!</v>
      </c>
      <c r="BZ204" t="e">
        <f>AND(#REF!,"AAAAAH/7bU0=")</f>
        <v>#REF!</v>
      </c>
      <c r="CA204" t="e">
        <f>AND(#REF!,"AAAAAH/7bU4=")</f>
        <v>#REF!</v>
      </c>
      <c r="CB204" t="e">
        <f>AND(#REF!,"AAAAAH/7bU8=")</f>
        <v>#REF!</v>
      </c>
      <c r="CC204" t="e">
        <f>AND(#REF!,"AAAAAH/7bVA=")</f>
        <v>#REF!</v>
      </c>
      <c r="CD204" t="e">
        <f>AND(#REF!,"AAAAAH/7bVE=")</f>
        <v>#REF!</v>
      </c>
      <c r="CE204" t="e">
        <f>AND(#REF!,"AAAAAH/7bVI=")</f>
        <v>#REF!</v>
      </c>
      <c r="CF204" t="e">
        <f>AND(#REF!,"AAAAAH/7bVM=")</f>
        <v>#REF!</v>
      </c>
      <c r="CG204" t="e">
        <f>AND(#REF!,"AAAAAH/7bVQ=")</f>
        <v>#REF!</v>
      </c>
      <c r="CH204" t="e">
        <f>AND(#REF!,"AAAAAH/7bVU=")</f>
        <v>#REF!</v>
      </c>
      <c r="CI204" t="e">
        <f>AND(#REF!,"AAAAAH/7bVY=")</f>
        <v>#REF!</v>
      </c>
      <c r="CJ204" t="e">
        <f>AND(#REF!,"AAAAAH/7bVc=")</f>
        <v>#REF!</v>
      </c>
      <c r="CK204" t="e">
        <f>AND(#REF!,"AAAAAH/7bVg=")</f>
        <v>#REF!</v>
      </c>
      <c r="CL204" t="e">
        <f>AND(#REF!,"AAAAAH/7bVk=")</f>
        <v>#REF!</v>
      </c>
      <c r="CM204" t="e">
        <f>AND(#REF!,"AAAAAH/7bVo=")</f>
        <v>#REF!</v>
      </c>
      <c r="CN204" t="e">
        <f>AND(#REF!,"AAAAAH/7bVs=")</f>
        <v>#REF!</v>
      </c>
      <c r="CO204" t="e">
        <f>IF(#REF!,"AAAAAH/7bVw=",0)</f>
        <v>#REF!</v>
      </c>
      <c r="CP204" t="e">
        <f>AND(#REF!,"AAAAAH/7bV0=")</f>
        <v>#REF!</v>
      </c>
      <c r="CQ204" t="e">
        <f>AND(#REF!,"AAAAAH/7bV4=")</f>
        <v>#REF!</v>
      </c>
      <c r="CR204" t="e">
        <f>AND(#REF!,"AAAAAH/7bV8=")</f>
        <v>#REF!</v>
      </c>
      <c r="CS204" t="e">
        <f>AND(#REF!,"AAAAAH/7bWA=")</f>
        <v>#REF!</v>
      </c>
      <c r="CT204" t="e">
        <f>AND(#REF!,"AAAAAH/7bWE=")</f>
        <v>#REF!</v>
      </c>
      <c r="CU204" t="e">
        <f>AND(#REF!,"AAAAAH/7bWI=")</f>
        <v>#REF!</v>
      </c>
      <c r="CV204" t="e">
        <f>AND(#REF!,"AAAAAH/7bWM=")</f>
        <v>#REF!</v>
      </c>
      <c r="CW204" t="e">
        <f>AND(#REF!,"AAAAAH/7bWQ=")</f>
        <v>#REF!</v>
      </c>
      <c r="CX204" t="e">
        <f>AND(#REF!,"AAAAAH/7bWU=")</f>
        <v>#REF!</v>
      </c>
      <c r="CY204" t="e">
        <f>AND(#REF!,"AAAAAH/7bWY=")</f>
        <v>#REF!</v>
      </c>
      <c r="CZ204" t="e">
        <f>AND(#REF!,"AAAAAH/7bWc=")</f>
        <v>#REF!</v>
      </c>
      <c r="DA204" t="e">
        <f>AND(#REF!,"AAAAAH/7bWg=")</f>
        <v>#REF!</v>
      </c>
      <c r="DB204" t="e">
        <f>AND(#REF!,"AAAAAH/7bWk=")</f>
        <v>#REF!</v>
      </c>
      <c r="DC204" t="e">
        <f>AND(#REF!,"AAAAAH/7bWo=")</f>
        <v>#REF!</v>
      </c>
      <c r="DD204" t="e">
        <f>AND(#REF!,"AAAAAH/7bWs=")</f>
        <v>#REF!</v>
      </c>
      <c r="DE204" t="e">
        <f>AND(#REF!,"AAAAAH/7bWw=")</f>
        <v>#REF!</v>
      </c>
      <c r="DF204" t="e">
        <f>AND(#REF!,"AAAAAH/7bW0=")</f>
        <v>#REF!</v>
      </c>
      <c r="DG204" t="e">
        <f>AND(#REF!,"AAAAAH/7bW4=")</f>
        <v>#REF!</v>
      </c>
      <c r="DH204" t="e">
        <f>AND(#REF!,"AAAAAH/7bW8=")</f>
        <v>#REF!</v>
      </c>
      <c r="DI204" t="e">
        <f>AND(#REF!,"AAAAAH/7bXA=")</f>
        <v>#REF!</v>
      </c>
      <c r="DJ204" t="e">
        <f>AND(#REF!,"AAAAAH/7bXE=")</f>
        <v>#REF!</v>
      </c>
      <c r="DK204" t="e">
        <f>AND(#REF!,"AAAAAH/7bXI=")</f>
        <v>#REF!</v>
      </c>
      <c r="DL204" t="e">
        <f>AND(#REF!,"AAAAAH/7bXM=")</f>
        <v>#REF!</v>
      </c>
      <c r="DM204" t="e">
        <f>AND(#REF!,"AAAAAH/7bXQ=")</f>
        <v>#REF!</v>
      </c>
      <c r="DN204" t="e">
        <f>IF(#REF!,"AAAAAH/7bXU=",0)</f>
        <v>#REF!</v>
      </c>
      <c r="DO204" t="e">
        <f>AND(#REF!,"AAAAAH/7bXY=")</f>
        <v>#REF!</v>
      </c>
      <c r="DP204" t="e">
        <f>AND(#REF!,"AAAAAH/7bXc=")</f>
        <v>#REF!</v>
      </c>
      <c r="DQ204" t="e">
        <f>AND(#REF!,"AAAAAH/7bXg=")</f>
        <v>#REF!</v>
      </c>
      <c r="DR204" t="e">
        <f>AND(#REF!,"AAAAAH/7bXk=")</f>
        <v>#REF!</v>
      </c>
      <c r="DS204" t="e">
        <f>AND(#REF!,"AAAAAH/7bXo=")</f>
        <v>#REF!</v>
      </c>
      <c r="DT204" t="e">
        <f>AND(#REF!,"AAAAAH/7bXs=")</f>
        <v>#REF!</v>
      </c>
      <c r="DU204" t="e">
        <f>AND(#REF!,"AAAAAH/7bXw=")</f>
        <v>#REF!</v>
      </c>
      <c r="DV204" t="e">
        <f>AND(#REF!,"AAAAAH/7bX0=")</f>
        <v>#REF!</v>
      </c>
      <c r="DW204" t="e">
        <f>AND(#REF!,"AAAAAH/7bX4=")</f>
        <v>#REF!</v>
      </c>
      <c r="DX204" t="e">
        <f>AND(#REF!,"AAAAAH/7bX8=")</f>
        <v>#REF!</v>
      </c>
      <c r="DY204" t="e">
        <f>AND(#REF!,"AAAAAH/7bYA=")</f>
        <v>#REF!</v>
      </c>
      <c r="DZ204" t="e">
        <f>AND(#REF!,"AAAAAH/7bYE=")</f>
        <v>#REF!</v>
      </c>
      <c r="EA204" t="e">
        <f>AND(#REF!,"AAAAAH/7bYI=")</f>
        <v>#REF!</v>
      </c>
      <c r="EB204" t="e">
        <f>AND(#REF!,"AAAAAH/7bYM=")</f>
        <v>#REF!</v>
      </c>
      <c r="EC204" t="e">
        <f>AND(#REF!,"AAAAAH/7bYQ=")</f>
        <v>#REF!</v>
      </c>
      <c r="ED204" t="e">
        <f>AND(#REF!,"AAAAAH/7bYU=")</f>
        <v>#REF!</v>
      </c>
      <c r="EE204" t="e">
        <f>AND(#REF!,"AAAAAH/7bYY=")</f>
        <v>#REF!</v>
      </c>
      <c r="EF204" t="e">
        <f>AND(#REF!,"AAAAAH/7bYc=")</f>
        <v>#REF!</v>
      </c>
      <c r="EG204" t="e">
        <f>AND(#REF!,"AAAAAH/7bYg=")</f>
        <v>#REF!</v>
      </c>
      <c r="EH204" t="e">
        <f>AND(#REF!,"AAAAAH/7bYk=")</f>
        <v>#REF!</v>
      </c>
      <c r="EI204" t="e">
        <f>AND(#REF!,"AAAAAH/7bYo=")</f>
        <v>#REF!</v>
      </c>
      <c r="EJ204" t="e">
        <f>AND(#REF!,"AAAAAH/7bYs=")</f>
        <v>#REF!</v>
      </c>
      <c r="EK204" t="e">
        <f>AND(#REF!,"AAAAAH/7bYw=")</f>
        <v>#REF!</v>
      </c>
      <c r="EL204" t="e">
        <f>AND(#REF!,"AAAAAH/7bY0=")</f>
        <v>#REF!</v>
      </c>
      <c r="EM204" t="e">
        <f>IF(#REF!,"AAAAAH/7bY4=",0)</f>
        <v>#REF!</v>
      </c>
      <c r="EN204" t="e">
        <f>AND(#REF!,"AAAAAH/7bY8=")</f>
        <v>#REF!</v>
      </c>
      <c r="EO204" t="e">
        <f>AND(#REF!,"AAAAAH/7bZA=")</f>
        <v>#REF!</v>
      </c>
      <c r="EP204" t="e">
        <f>AND(#REF!,"AAAAAH/7bZE=")</f>
        <v>#REF!</v>
      </c>
      <c r="EQ204" t="e">
        <f>AND(#REF!,"AAAAAH/7bZI=")</f>
        <v>#REF!</v>
      </c>
      <c r="ER204" t="e">
        <f>AND(#REF!,"AAAAAH/7bZM=")</f>
        <v>#REF!</v>
      </c>
      <c r="ES204" t="e">
        <f>AND(#REF!,"AAAAAH/7bZQ=")</f>
        <v>#REF!</v>
      </c>
      <c r="ET204" t="e">
        <f>AND(#REF!,"AAAAAH/7bZU=")</f>
        <v>#REF!</v>
      </c>
      <c r="EU204" t="e">
        <f>AND(#REF!,"AAAAAH/7bZY=")</f>
        <v>#REF!</v>
      </c>
      <c r="EV204" t="e">
        <f>AND(#REF!,"AAAAAH/7bZc=")</f>
        <v>#REF!</v>
      </c>
      <c r="EW204" t="e">
        <f>AND(#REF!,"AAAAAH/7bZg=")</f>
        <v>#REF!</v>
      </c>
      <c r="EX204" t="e">
        <f>AND(#REF!,"AAAAAH/7bZk=")</f>
        <v>#REF!</v>
      </c>
      <c r="EY204" t="e">
        <f>AND(#REF!,"AAAAAH/7bZo=")</f>
        <v>#REF!</v>
      </c>
      <c r="EZ204" t="e">
        <f>AND(#REF!,"AAAAAH/7bZs=")</f>
        <v>#REF!</v>
      </c>
      <c r="FA204" t="e">
        <f>AND(#REF!,"AAAAAH/7bZw=")</f>
        <v>#REF!</v>
      </c>
      <c r="FB204" t="e">
        <f>AND(#REF!,"AAAAAH/7bZ0=")</f>
        <v>#REF!</v>
      </c>
      <c r="FC204" t="e">
        <f>AND(#REF!,"AAAAAH/7bZ4=")</f>
        <v>#REF!</v>
      </c>
      <c r="FD204" t="e">
        <f>AND(#REF!,"AAAAAH/7bZ8=")</f>
        <v>#REF!</v>
      </c>
      <c r="FE204" t="e">
        <f>AND(#REF!,"AAAAAH/7baA=")</f>
        <v>#REF!</v>
      </c>
      <c r="FF204" t="e">
        <f>AND(#REF!,"AAAAAH/7baE=")</f>
        <v>#REF!</v>
      </c>
      <c r="FG204" t="e">
        <f>AND(#REF!,"AAAAAH/7baI=")</f>
        <v>#REF!</v>
      </c>
      <c r="FH204" t="e">
        <f>AND(#REF!,"AAAAAH/7baM=")</f>
        <v>#REF!</v>
      </c>
      <c r="FI204" t="e">
        <f>AND(#REF!,"AAAAAH/7baQ=")</f>
        <v>#REF!</v>
      </c>
      <c r="FJ204" t="e">
        <f>AND(#REF!,"AAAAAH/7baU=")</f>
        <v>#REF!</v>
      </c>
      <c r="FK204" t="e">
        <f>AND(#REF!,"AAAAAH/7baY=")</f>
        <v>#REF!</v>
      </c>
      <c r="FL204" t="e">
        <f>IF(#REF!,"AAAAAH/7bac=",0)</f>
        <v>#REF!</v>
      </c>
      <c r="FM204" t="e">
        <f>AND(#REF!,"AAAAAH/7bag=")</f>
        <v>#REF!</v>
      </c>
      <c r="FN204" t="e">
        <f>AND(#REF!,"AAAAAH/7bak=")</f>
        <v>#REF!</v>
      </c>
      <c r="FO204" t="e">
        <f>AND(#REF!,"AAAAAH/7bao=")</f>
        <v>#REF!</v>
      </c>
      <c r="FP204" t="e">
        <f>AND(#REF!,"AAAAAH/7bas=")</f>
        <v>#REF!</v>
      </c>
      <c r="FQ204" t="e">
        <f>AND(#REF!,"AAAAAH/7baw=")</f>
        <v>#REF!</v>
      </c>
      <c r="FR204" t="e">
        <f>AND(#REF!,"AAAAAH/7ba0=")</f>
        <v>#REF!</v>
      </c>
      <c r="FS204" t="e">
        <f>AND(#REF!,"AAAAAH/7ba4=")</f>
        <v>#REF!</v>
      </c>
      <c r="FT204" t="e">
        <f>AND(#REF!,"AAAAAH/7ba8=")</f>
        <v>#REF!</v>
      </c>
      <c r="FU204" t="e">
        <f>AND(#REF!,"AAAAAH/7bbA=")</f>
        <v>#REF!</v>
      </c>
      <c r="FV204" t="e">
        <f>AND(#REF!,"AAAAAH/7bbE=")</f>
        <v>#REF!</v>
      </c>
      <c r="FW204" t="e">
        <f>AND(#REF!,"AAAAAH/7bbI=")</f>
        <v>#REF!</v>
      </c>
      <c r="FX204" t="e">
        <f>AND(#REF!,"AAAAAH/7bbM=")</f>
        <v>#REF!</v>
      </c>
      <c r="FY204" t="e">
        <f>AND(#REF!,"AAAAAH/7bbQ=")</f>
        <v>#REF!</v>
      </c>
      <c r="FZ204" t="e">
        <f>AND(#REF!,"AAAAAH/7bbU=")</f>
        <v>#REF!</v>
      </c>
      <c r="GA204" t="e">
        <f>AND(#REF!,"AAAAAH/7bbY=")</f>
        <v>#REF!</v>
      </c>
      <c r="GB204" t="e">
        <f>AND(#REF!,"AAAAAH/7bbc=")</f>
        <v>#REF!</v>
      </c>
      <c r="GC204" t="e">
        <f>AND(#REF!,"AAAAAH/7bbg=")</f>
        <v>#REF!</v>
      </c>
      <c r="GD204" t="e">
        <f>AND(#REF!,"AAAAAH/7bbk=")</f>
        <v>#REF!</v>
      </c>
      <c r="GE204" t="e">
        <f>AND(#REF!,"AAAAAH/7bbo=")</f>
        <v>#REF!</v>
      </c>
      <c r="GF204" t="e">
        <f>AND(#REF!,"AAAAAH/7bbs=")</f>
        <v>#REF!</v>
      </c>
      <c r="GG204" t="e">
        <f>AND(#REF!,"AAAAAH/7bbw=")</f>
        <v>#REF!</v>
      </c>
      <c r="GH204" t="e">
        <f>AND(#REF!,"AAAAAH/7bb0=")</f>
        <v>#REF!</v>
      </c>
      <c r="GI204" t="e">
        <f>AND(#REF!,"AAAAAH/7bb4=")</f>
        <v>#REF!</v>
      </c>
      <c r="GJ204" t="e">
        <f>AND(#REF!,"AAAAAH/7bb8=")</f>
        <v>#REF!</v>
      </c>
      <c r="GK204" t="e">
        <f>IF(#REF!,"AAAAAH/7bcA=",0)</f>
        <v>#REF!</v>
      </c>
      <c r="GL204" t="e">
        <f>AND(#REF!,"AAAAAH/7bcE=")</f>
        <v>#REF!</v>
      </c>
      <c r="GM204" t="e">
        <f>AND(#REF!,"AAAAAH/7bcI=")</f>
        <v>#REF!</v>
      </c>
      <c r="GN204" t="e">
        <f>AND(#REF!,"AAAAAH/7bcM=")</f>
        <v>#REF!</v>
      </c>
      <c r="GO204" t="e">
        <f>AND(#REF!,"AAAAAH/7bcQ=")</f>
        <v>#REF!</v>
      </c>
      <c r="GP204" t="e">
        <f>AND(#REF!,"AAAAAH/7bcU=")</f>
        <v>#REF!</v>
      </c>
      <c r="GQ204" t="e">
        <f>AND(#REF!,"AAAAAH/7bcY=")</f>
        <v>#REF!</v>
      </c>
      <c r="GR204" t="e">
        <f>AND(#REF!,"AAAAAH/7bcc=")</f>
        <v>#REF!</v>
      </c>
      <c r="GS204" t="e">
        <f>AND(#REF!,"AAAAAH/7bcg=")</f>
        <v>#REF!</v>
      </c>
      <c r="GT204" t="e">
        <f>AND(#REF!,"AAAAAH/7bck=")</f>
        <v>#REF!</v>
      </c>
      <c r="GU204" t="e">
        <f>AND(#REF!,"AAAAAH/7bco=")</f>
        <v>#REF!</v>
      </c>
      <c r="GV204" t="e">
        <f>AND(#REF!,"AAAAAH/7bcs=")</f>
        <v>#REF!</v>
      </c>
      <c r="GW204" t="e">
        <f>AND(#REF!,"AAAAAH/7bcw=")</f>
        <v>#REF!</v>
      </c>
      <c r="GX204" t="e">
        <f>AND(#REF!,"AAAAAH/7bc0=")</f>
        <v>#REF!</v>
      </c>
      <c r="GY204" t="e">
        <f>AND(#REF!,"AAAAAH/7bc4=")</f>
        <v>#REF!</v>
      </c>
      <c r="GZ204" t="e">
        <f>AND(#REF!,"AAAAAH/7bc8=")</f>
        <v>#REF!</v>
      </c>
      <c r="HA204" t="e">
        <f>AND(#REF!,"AAAAAH/7bdA=")</f>
        <v>#REF!</v>
      </c>
      <c r="HB204" t="e">
        <f>AND(#REF!,"AAAAAH/7bdE=")</f>
        <v>#REF!</v>
      </c>
      <c r="HC204" t="e">
        <f>AND(#REF!,"AAAAAH/7bdI=")</f>
        <v>#REF!</v>
      </c>
      <c r="HD204" t="e">
        <f>AND(#REF!,"AAAAAH/7bdM=")</f>
        <v>#REF!</v>
      </c>
      <c r="HE204" t="e">
        <f>AND(#REF!,"AAAAAH/7bdQ=")</f>
        <v>#REF!</v>
      </c>
      <c r="HF204" t="e">
        <f>AND(#REF!,"AAAAAH/7bdU=")</f>
        <v>#REF!</v>
      </c>
      <c r="HG204" t="e">
        <f>AND(#REF!,"AAAAAH/7bdY=")</f>
        <v>#REF!</v>
      </c>
      <c r="HH204" t="e">
        <f>AND(#REF!,"AAAAAH/7bdc=")</f>
        <v>#REF!</v>
      </c>
      <c r="HI204" t="e">
        <f>AND(#REF!,"AAAAAH/7bdg=")</f>
        <v>#REF!</v>
      </c>
      <c r="HJ204" t="e">
        <f>IF(#REF!,"AAAAAH/7bdk=",0)</f>
        <v>#REF!</v>
      </c>
      <c r="HK204" t="e">
        <f>AND(#REF!,"AAAAAH/7bdo=")</f>
        <v>#REF!</v>
      </c>
      <c r="HL204" t="e">
        <f>AND(#REF!,"AAAAAH/7bds=")</f>
        <v>#REF!</v>
      </c>
      <c r="HM204" t="e">
        <f>AND(#REF!,"AAAAAH/7bdw=")</f>
        <v>#REF!</v>
      </c>
      <c r="HN204" t="e">
        <f>AND(#REF!,"AAAAAH/7bd0=")</f>
        <v>#REF!</v>
      </c>
      <c r="HO204" t="e">
        <f>AND(#REF!,"AAAAAH/7bd4=")</f>
        <v>#REF!</v>
      </c>
      <c r="HP204" t="e">
        <f>AND(#REF!,"AAAAAH/7bd8=")</f>
        <v>#REF!</v>
      </c>
      <c r="HQ204" t="e">
        <f>AND(#REF!,"AAAAAH/7beA=")</f>
        <v>#REF!</v>
      </c>
      <c r="HR204" t="e">
        <f>AND(#REF!,"AAAAAH/7beE=")</f>
        <v>#REF!</v>
      </c>
      <c r="HS204" t="e">
        <f>AND(#REF!,"AAAAAH/7beI=")</f>
        <v>#REF!</v>
      </c>
      <c r="HT204" t="e">
        <f>AND(#REF!,"AAAAAH/7beM=")</f>
        <v>#REF!</v>
      </c>
      <c r="HU204" t="e">
        <f>AND(#REF!,"AAAAAH/7beQ=")</f>
        <v>#REF!</v>
      </c>
      <c r="HV204" t="e">
        <f>AND(#REF!,"AAAAAH/7beU=")</f>
        <v>#REF!</v>
      </c>
      <c r="HW204" t="e">
        <f>AND(#REF!,"AAAAAH/7beY=")</f>
        <v>#REF!</v>
      </c>
      <c r="HX204" t="e">
        <f>AND(#REF!,"AAAAAH/7bec=")</f>
        <v>#REF!</v>
      </c>
      <c r="HY204" t="e">
        <f>AND(#REF!,"AAAAAH/7beg=")</f>
        <v>#REF!</v>
      </c>
      <c r="HZ204" t="e">
        <f>AND(#REF!,"AAAAAH/7bek=")</f>
        <v>#REF!</v>
      </c>
      <c r="IA204" t="e">
        <f>AND(#REF!,"AAAAAH/7beo=")</f>
        <v>#REF!</v>
      </c>
      <c r="IB204" t="e">
        <f>AND(#REF!,"AAAAAH/7bes=")</f>
        <v>#REF!</v>
      </c>
      <c r="IC204" t="e">
        <f>AND(#REF!,"AAAAAH/7bew=")</f>
        <v>#REF!</v>
      </c>
      <c r="ID204" t="e">
        <f>AND(#REF!,"AAAAAH/7be0=")</f>
        <v>#REF!</v>
      </c>
      <c r="IE204" t="e">
        <f>AND(#REF!,"AAAAAH/7be4=")</f>
        <v>#REF!</v>
      </c>
      <c r="IF204" t="e">
        <f>AND(#REF!,"AAAAAH/7be8=")</f>
        <v>#REF!</v>
      </c>
      <c r="IG204" t="e">
        <f>AND(#REF!,"AAAAAH/7bfA=")</f>
        <v>#REF!</v>
      </c>
      <c r="IH204" t="e">
        <f>AND(#REF!,"AAAAAH/7bfE=")</f>
        <v>#REF!</v>
      </c>
      <c r="II204" t="e">
        <f>IF(#REF!,"AAAAAH/7bfI=",0)</f>
        <v>#REF!</v>
      </c>
      <c r="IJ204" t="e">
        <f>AND(#REF!,"AAAAAH/7bfM=")</f>
        <v>#REF!</v>
      </c>
      <c r="IK204" t="e">
        <f>AND(#REF!,"AAAAAH/7bfQ=")</f>
        <v>#REF!</v>
      </c>
      <c r="IL204" t="e">
        <f>AND(#REF!,"AAAAAH/7bfU=")</f>
        <v>#REF!</v>
      </c>
      <c r="IM204" t="e">
        <f>AND(#REF!,"AAAAAH/7bfY=")</f>
        <v>#REF!</v>
      </c>
      <c r="IN204" t="e">
        <f>AND(#REF!,"AAAAAH/7bfc=")</f>
        <v>#REF!</v>
      </c>
      <c r="IO204" t="e">
        <f>AND(#REF!,"AAAAAH/7bfg=")</f>
        <v>#REF!</v>
      </c>
      <c r="IP204" t="e">
        <f>AND(#REF!,"AAAAAH/7bfk=")</f>
        <v>#REF!</v>
      </c>
      <c r="IQ204" t="e">
        <f>AND(#REF!,"AAAAAH/7bfo=")</f>
        <v>#REF!</v>
      </c>
      <c r="IR204" t="e">
        <f>AND(#REF!,"AAAAAH/7bfs=")</f>
        <v>#REF!</v>
      </c>
      <c r="IS204" t="e">
        <f>AND(#REF!,"AAAAAH/7bfw=")</f>
        <v>#REF!</v>
      </c>
      <c r="IT204" t="e">
        <f>AND(#REF!,"AAAAAH/7bf0=")</f>
        <v>#REF!</v>
      </c>
      <c r="IU204" t="e">
        <f>AND(#REF!,"AAAAAH/7bf4=")</f>
        <v>#REF!</v>
      </c>
      <c r="IV204" t="e">
        <f>AND(#REF!,"AAAAAH/7bf8=")</f>
        <v>#REF!</v>
      </c>
    </row>
    <row r="205" spans="1:256">
      <c r="A205" t="e">
        <f>AND(#REF!,"AAAAAB/xnwA=")</f>
        <v>#REF!</v>
      </c>
      <c r="B205" t="e">
        <f>AND(#REF!,"AAAAAB/xnwE=")</f>
        <v>#REF!</v>
      </c>
      <c r="C205" t="e">
        <f>AND(#REF!,"AAAAAB/xnwI=")</f>
        <v>#REF!</v>
      </c>
      <c r="D205" t="e">
        <f>AND(#REF!,"AAAAAB/xnwM=")</f>
        <v>#REF!</v>
      </c>
      <c r="E205" t="e">
        <f>AND(#REF!,"AAAAAB/xnwQ=")</f>
        <v>#REF!</v>
      </c>
      <c r="F205" t="e">
        <f>AND(#REF!,"AAAAAB/xnwU=")</f>
        <v>#REF!</v>
      </c>
      <c r="G205" t="e">
        <f>AND(#REF!,"AAAAAB/xnwY=")</f>
        <v>#REF!</v>
      </c>
      <c r="H205" t="e">
        <f>AND(#REF!,"AAAAAB/xnwc=")</f>
        <v>#REF!</v>
      </c>
      <c r="I205" t="e">
        <f>AND(#REF!,"AAAAAB/xnwg=")</f>
        <v>#REF!</v>
      </c>
      <c r="J205" t="e">
        <f>AND(#REF!,"AAAAAB/xnwk=")</f>
        <v>#REF!</v>
      </c>
      <c r="K205" t="e">
        <f>AND(#REF!,"AAAAAB/xnwo=")</f>
        <v>#REF!</v>
      </c>
      <c r="L205" t="e">
        <f>IF(#REF!,"AAAAAB/xnws=",0)</f>
        <v>#REF!</v>
      </c>
      <c r="M205" t="e">
        <f>AND(#REF!,"AAAAAB/xnww=")</f>
        <v>#REF!</v>
      </c>
      <c r="N205" t="e">
        <f>AND(#REF!,"AAAAAB/xnw0=")</f>
        <v>#REF!</v>
      </c>
      <c r="O205" t="e">
        <f>AND(#REF!,"AAAAAB/xnw4=")</f>
        <v>#REF!</v>
      </c>
      <c r="P205" t="e">
        <f>AND(#REF!,"AAAAAB/xnw8=")</f>
        <v>#REF!</v>
      </c>
      <c r="Q205" t="e">
        <f>AND(#REF!,"AAAAAB/xnxA=")</f>
        <v>#REF!</v>
      </c>
      <c r="R205" t="e">
        <f>AND(#REF!,"AAAAAB/xnxE=")</f>
        <v>#REF!</v>
      </c>
      <c r="S205" t="e">
        <f>AND(#REF!,"AAAAAB/xnxI=")</f>
        <v>#REF!</v>
      </c>
      <c r="T205" t="e">
        <f>AND(#REF!,"AAAAAB/xnxM=")</f>
        <v>#REF!</v>
      </c>
      <c r="U205" t="e">
        <f>AND(#REF!,"AAAAAB/xnxQ=")</f>
        <v>#REF!</v>
      </c>
      <c r="V205" t="e">
        <f>AND(#REF!,"AAAAAB/xnxU=")</f>
        <v>#REF!</v>
      </c>
      <c r="W205" t="e">
        <f>AND(#REF!,"AAAAAB/xnxY=")</f>
        <v>#REF!</v>
      </c>
      <c r="X205" t="e">
        <f>AND(#REF!,"AAAAAB/xnxc=")</f>
        <v>#REF!</v>
      </c>
      <c r="Y205" t="e">
        <f>AND(#REF!,"AAAAAB/xnxg=")</f>
        <v>#REF!</v>
      </c>
      <c r="Z205" t="e">
        <f>AND(#REF!,"AAAAAB/xnxk=")</f>
        <v>#REF!</v>
      </c>
      <c r="AA205" t="e">
        <f>AND(#REF!,"AAAAAB/xnxo=")</f>
        <v>#REF!</v>
      </c>
      <c r="AB205" t="e">
        <f>AND(#REF!,"AAAAAB/xnxs=")</f>
        <v>#REF!</v>
      </c>
      <c r="AC205" t="e">
        <f>AND(#REF!,"AAAAAB/xnxw=")</f>
        <v>#REF!</v>
      </c>
      <c r="AD205" t="e">
        <f>AND(#REF!,"AAAAAB/xnx0=")</f>
        <v>#REF!</v>
      </c>
      <c r="AE205" t="e">
        <f>AND(#REF!,"AAAAAB/xnx4=")</f>
        <v>#REF!</v>
      </c>
      <c r="AF205" t="e">
        <f>AND(#REF!,"AAAAAB/xnx8=")</f>
        <v>#REF!</v>
      </c>
      <c r="AG205" t="e">
        <f>AND(#REF!,"AAAAAB/xnyA=")</f>
        <v>#REF!</v>
      </c>
      <c r="AH205" t="e">
        <f>AND(#REF!,"AAAAAB/xnyE=")</f>
        <v>#REF!</v>
      </c>
      <c r="AI205" t="e">
        <f>AND(#REF!,"AAAAAB/xnyI=")</f>
        <v>#REF!</v>
      </c>
      <c r="AJ205" t="e">
        <f>AND(#REF!,"AAAAAB/xnyM=")</f>
        <v>#REF!</v>
      </c>
      <c r="AK205" t="e">
        <f>IF(#REF!,"AAAAAB/xnyQ=",0)</f>
        <v>#REF!</v>
      </c>
      <c r="AL205" t="e">
        <f>AND(#REF!,"AAAAAB/xnyU=")</f>
        <v>#REF!</v>
      </c>
      <c r="AM205" t="e">
        <f>AND(#REF!,"AAAAAB/xnyY=")</f>
        <v>#REF!</v>
      </c>
      <c r="AN205" t="e">
        <f>AND(#REF!,"AAAAAB/xnyc=")</f>
        <v>#REF!</v>
      </c>
      <c r="AO205" t="e">
        <f>AND(#REF!,"AAAAAB/xnyg=")</f>
        <v>#REF!</v>
      </c>
      <c r="AP205" t="e">
        <f>AND(#REF!,"AAAAAB/xnyk=")</f>
        <v>#REF!</v>
      </c>
      <c r="AQ205" t="e">
        <f>AND(#REF!,"AAAAAB/xnyo=")</f>
        <v>#REF!</v>
      </c>
      <c r="AR205" t="e">
        <f>AND(#REF!,"AAAAAB/xnys=")</f>
        <v>#REF!</v>
      </c>
      <c r="AS205" t="e">
        <f>AND(#REF!,"AAAAAB/xnyw=")</f>
        <v>#REF!</v>
      </c>
      <c r="AT205" t="e">
        <f>AND(#REF!,"AAAAAB/xny0=")</f>
        <v>#REF!</v>
      </c>
      <c r="AU205" t="e">
        <f>AND(#REF!,"AAAAAB/xny4=")</f>
        <v>#REF!</v>
      </c>
      <c r="AV205" t="e">
        <f>AND(#REF!,"AAAAAB/xny8=")</f>
        <v>#REF!</v>
      </c>
      <c r="AW205" t="e">
        <f>AND(#REF!,"AAAAAB/xnzA=")</f>
        <v>#REF!</v>
      </c>
      <c r="AX205" t="e">
        <f>AND(#REF!,"AAAAAB/xnzE=")</f>
        <v>#REF!</v>
      </c>
      <c r="AY205" t="e">
        <f>AND(#REF!,"AAAAAB/xnzI=")</f>
        <v>#REF!</v>
      </c>
      <c r="AZ205" t="e">
        <f>AND(#REF!,"AAAAAB/xnzM=")</f>
        <v>#REF!</v>
      </c>
      <c r="BA205" t="e">
        <f>AND(#REF!,"AAAAAB/xnzQ=")</f>
        <v>#REF!</v>
      </c>
      <c r="BB205" t="e">
        <f>AND(#REF!,"AAAAAB/xnzU=")</f>
        <v>#REF!</v>
      </c>
      <c r="BC205" t="e">
        <f>AND(#REF!,"AAAAAB/xnzY=")</f>
        <v>#REF!</v>
      </c>
      <c r="BD205" t="e">
        <f>AND(#REF!,"AAAAAB/xnzc=")</f>
        <v>#REF!</v>
      </c>
      <c r="BE205" t="e">
        <f>AND(#REF!,"AAAAAB/xnzg=")</f>
        <v>#REF!</v>
      </c>
      <c r="BF205" t="e">
        <f>AND(#REF!,"AAAAAB/xnzk=")</f>
        <v>#REF!</v>
      </c>
      <c r="BG205" t="e">
        <f>AND(#REF!,"AAAAAB/xnzo=")</f>
        <v>#REF!</v>
      </c>
      <c r="BH205" t="e">
        <f>AND(#REF!,"AAAAAB/xnzs=")</f>
        <v>#REF!</v>
      </c>
      <c r="BI205" t="e">
        <f>AND(#REF!,"AAAAAB/xnzw=")</f>
        <v>#REF!</v>
      </c>
      <c r="BJ205" t="e">
        <f>IF(#REF!,"AAAAAB/xnz0=",0)</f>
        <v>#REF!</v>
      </c>
      <c r="BK205" t="e">
        <f>AND(#REF!,"AAAAAB/xnz4=")</f>
        <v>#REF!</v>
      </c>
      <c r="BL205" t="e">
        <f>AND(#REF!,"AAAAAB/xnz8=")</f>
        <v>#REF!</v>
      </c>
      <c r="BM205" t="e">
        <f>AND(#REF!,"AAAAAB/xn0A=")</f>
        <v>#REF!</v>
      </c>
      <c r="BN205" t="e">
        <f>AND(#REF!,"AAAAAB/xn0E=")</f>
        <v>#REF!</v>
      </c>
      <c r="BO205" t="e">
        <f>AND(#REF!,"AAAAAB/xn0I=")</f>
        <v>#REF!</v>
      </c>
      <c r="BP205" t="e">
        <f>AND(#REF!,"AAAAAB/xn0M=")</f>
        <v>#REF!</v>
      </c>
      <c r="BQ205" t="e">
        <f>AND(#REF!,"AAAAAB/xn0Q=")</f>
        <v>#REF!</v>
      </c>
      <c r="BR205" t="e">
        <f>AND(#REF!,"AAAAAB/xn0U=")</f>
        <v>#REF!</v>
      </c>
      <c r="BS205" t="e">
        <f>AND(#REF!,"AAAAAB/xn0Y=")</f>
        <v>#REF!</v>
      </c>
      <c r="BT205" t="e">
        <f>AND(#REF!,"AAAAAB/xn0c=")</f>
        <v>#REF!</v>
      </c>
      <c r="BU205" t="e">
        <f>AND(#REF!,"AAAAAB/xn0g=")</f>
        <v>#REF!</v>
      </c>
      <c r="BV205" t="e">
        <f>AND(#REF!,"AAAAAB/xn0k=")</f>
        <v>#REF!</v>
      </c>
      <c r="BW205" t="e">
        <f>AND(#REF!,"AAAAAB/xn0o=")</f>
        <v>#REF!</v>
      </c>
      <c r="BX205" t="e">
        <f>AND(#REF!,"AAAAAB/xn0s=")</f>
        <v>#REF!</v>
      </c>
      <c r="BY205" t="e">
        <f>AND(#REF!,"AAAAAB/xn0w=")</f>
        <v>#REF!</v>
      </c>
      <c r="BZ205" t="e">
        <f>AND(#REF!,"AAAAAB/xn00=")</f>
        <v>#REF!</v>
      </c>
      <c r="CA205" t="e">
        <f>AND(#REF!,"AAAAAB/xn04=")</f>
        <v>#REF!</v>
      </c>
      <c r="CB205" t="e">
        <f>AND(#REF!,"AAAAAB/xn08=")</f>
        <v>#REF!</v>
      </c>
      <c r="CC205" t="e">
        <f>AND(#REF!,"AAAAAB/xn1A=")</f>
        <v>#REF!</v>
      </c>
      <c r="CD205" t="e">
        <f>AND(#REF!,"AAAAAB/xn1E=")</f>
        <v>#REF!</v>
      </c>
      <c r="CE205" t="e">
        <f>AND(#REF!,"AAAAAB/xn1I=")</f>
        <v>#REF!</v>
      </c>
      <c r="CF205" t="e">
        <f>AND(#REF!,"AAAAAB/xn1M=")</f>
        <v>#REF!</v>
      </c>
      <c r="CG205" t="e">
        <f>AND(#REF!,"AAAAAB/xn1Q=")</f>
        <v>#REF!</v>
      </c>
      <c r="CH205" t="e">
        <f>AND(#REF!,"AAAAAB/xn1U=")</f>
        <v>#REF!</v>
      </c>
      <c r="CI205" t="e">
        <f>IF(#REF!,"AAAAAB/xn1Y=",0)</f>
        <v>#REF!</v>
      </c>
      <c r="CJ205" t="e">
        <f>AND(#REF!,"AAAAAB/xn1c=")</f>
        <v>#REF!</v>
      </c>
      <c r="CK205" t="e">
        <f>AND(#REF!,"AAAAAB/xn1g=")</f>
        <v>#REF!</v>
      </c>
      <c r="CL205" t="e">
        <f>AND(#REF!,"AAAAAB/xn1k=")</f>
        <v>#REF!</v>
      </c>
      <c r="CM205" t="e">
        <f>AND(#REF!,"AAAAAB/xn1o=")</f>
        <v>#REF!</v>
      </c>
      <c r="CN205" t="e">
        <f>AND(#REF!,"AAAAAB/xn1s=")</f>
        <v>#REF!</v>
      </c>
      <c r="CO205" t="e">
        <f>AND(#REF!,"AAAAAB/xn1w=")</f>
        <v>#REF!</v>
      </c>
      <c r="CP205" t="e">
        <f>AND(#REF!,"AAAAAB/xn10=")</f>
        <v>#REF!</v>
      </c>
      <c r="CQ205" t="e">
        <f>AND(#REF!,"AAAAAB/xn14=")</f>
        <v>#REF!</v>
      </c>
      <c r="CR205" t="e">
        <f>AND(#REF!,"AAAAAB/xn18=")</f>
        <v>#REF!</v>
      </c>
      <c r="CS205" t="e">
        <f>AND(#REF!,"AAAAAB/xn2A=")</f>
        <v>#REF!</v>
      </c>
      <c r="CT205" t="e">
        <f>AND(#REF!,"AAAAAB/xn2E=")</f>
        <v>#REF!</v>
      </c>
      <c r="CU205" t="e">
        <f>AND(#REF!,"AAAAAB/xn2I=")</f>
        <v>#REF!</v>
      </c>
      <c r="CV205" t="e">
        <f>AND(#REF!,"AAAAAB/xn2M=")</f>
        <v>#REF!</v>
      </c>
      <c r="CW205" t="e">
        <f>AND(#REF!,"AAAAAB/xn2Q=")</f>
        <v>#REF!</v>
      </c>
      <c r="CX205" t="e">
        <f>AND(#REF!,"AAAAAB/xn2U=")</f>
        <v>#REF!</v>
      </c>
      <c r="CY205" t="e">
        <f>AND(#REF!,"AAAAAB/xn2Y=")</f>
        <v>#REF!</v>
      </c>
      <c r="CZ205" t="e">
        <f>AND(#REF!,"AAAAAB/xn2c=")</f>
        <v>#REF!</v>
      </c>
      <c r="DA205" t="e">
        <f>AND(#REF!,"AAAAAB/xn2g=")</f>
        <v>#REF!</v>
      </c>
      <c r="DB205" t="e">
        <f>AND(#REF!,"AAAAAB/xn2k=")</f>
        <v>#REF!</v>
      </c>
      <c r="DC205" t="e">
        <f>AND(#REF!,"AAAAAB/xn2o=")</f>
        <v>#REF!</v>
      </c>
      <c r="DD205" t="e">
        <f>AND(#REF!,"AAAAAB/xn2s=")</f>
        <v>#REF!</v>
      </c>
      <c r="DE205" t="e">
        <f>AND(#REF!,"AAAAAB/xn2w=")</f>
        <v>#REF!</v>
      </c>
      <c r="DF205" t="e">
        <f>AND(#REF!,"AAAAAB/xn20=")</f>
        <v>#REF!</v>
      </c>
      <c r="DG205" t="e">
        <f>AND(#REF!,"AAAAAB/xn24=")</f>
        <v>#REF!</v>
      </c>
      <c r="DH205" t="e">
        <f>IF(#REF!,"AAAAAB/xn28=",0)</f>
        <v>#REF!</v>
      </c>
      <c r="DI205" t="e">
        <f>AND(#REF!,"AAAAAB/xn3A=")</f>
        <v>#REF!</v>
      </c>
      <c r="DJ205" t="e">
        <f>AND(#REF!,"AAAAAB/xn3E=")</f>
        <v>#REF!</v>
      </c>
      <c r="DK205" t="e">
        <f>AND(#REF!,"AAAAAB/xn3I=")</f>
        <v>#REF!</v>
      </c>
      <c r="DL205" t="e">
        <f>AND(#REF!,"AAAAAB/xn3M=")</f>
        <v>#REF!</v>
      </c>
      <c r="DM205" t="e">
        <f>AND(#REF!,"AAAAAB/xn3Q=")</f>
        <v>#REF!</v>
      </c>
      <c r="DN205" t="e">
        <f>AND(#REF!,"AAAAAB/xn3U=")</f>
        <v>#REF!</v>
      </c>
      <c r="DO205" t="e">
        <f>AND(#REF!,"AAAAAB/xn3Y=")</f>
        <v>#REF!</v>
      </c>
      <c r="DP205" t="e">
        <f>AND(#REF!,"AAAAAB/xn3c=")</f>
        <v>#REF!</v>
      </c>
      <c r="DQ205" t="e">
        <f>AND(#REF!,"AAAAAB/xn3g=")</f>
        <v>#REF!</v>
      </c>
      <c r="DR205" t="e">
        <f>AND(#REF!,"AAAAAB/xn3k=")</f>
        <v>#REF!</v>
      </c>
      <c r="DS205" t="e">
        <f>AND(#REF!,"AAAAAB/xn3o=")</f>
        <v>#REF!</v>
      </c>
      <c r="DT205" t="e">
        <f>AND(#REF!,"AAAAAB/xn3s=")</f>
        <v>#REF!</v>
      </c>
      <c r="DU205" t="e">
        <f>AND(#REF!,"AAAAAB/xn3w=")</f>
        <v>#REF!</v>
      </c>
      <c r="DV205" t="e">
        <f>AND(#REF!,"AAAAAB/xn30=")</f>
        <v>#REF!</v>
      </c>
      <c r="DW205" t="e">
        <f>AND(#REF!,"AAAAAB/xn34=")</f>
        <v>#REF!</v>
      </c>
      <c r="DX205" t="e">
        <f>AND(#REF!,"AAAAAB/xn38=")</f>
        <v>#REF!</v>
      </c>
      <c r="DY205" t="e">
        <f>AND(#REF!,"AAAAAB/xn4A=")</f>
        <v>#REF!</v>
      </c>
      <c r="DZ205" t="e">
        <f>AND(#REF!,"AAAAAB/xn4E=")</f>
        <v>#REF!</v>
      </c>
      <c r="EA205" t="e">
        <f>AND(#REF!,"AAAAAB/xn4I=")</f>
        <v>#REF!</v>
      </c>
      <c r="EB205" t="e">
        <f>AND(#REF!,"AAAAAB/xn4M=")</f>
        <v>#REF!</v>
      </c>
      <c r="EC205" t="e">
        <f>AND(#REF!,"AAAAAB/xn4Q=")</f>
        <v>#REF!</v>
      </c>
      <c r="ED205" t="e">
        <f>AND(#REF!,"AAAAAB/xn4U=")</f>
        <v>#REF!</v>
      </c>
      <c r="EE205" t="e">
        <f>AND(#REF!,"AAAAAB/xn4Y=")</f>
        <v>#REF!</v>
      </c>
      <c r="EF205" t="e">
        <f>AND(#REF!,"AAAAAB/xn4c=")</f>
        <v>#REF!</v>
      </c>
      <c r="EG205" t="e">
        <f>IF(#REF!,"AAAAAB/xn4g=",0)</f>
        <v>#REF!</v>
      </c>
      <c r="EH205" t="e">
        <f>AND(#REF!,"AAAAAB/xn4k=")</f>
        <v>#REF!</v>
      </c>
      <c r="EI205" t="e">
        <f>AND(#REF!,"AAAAAB/xn4o=")</f>
        <v>#REF!</v>
      </c>
      <c r="EJ205" t="e">
        <f>AND(#REF!,"AAAAAB/xn4s=")</f>
        <v>#REF!</v>
      </c>
      <c r="EK205" t="e">
        <f>AND(#REF!,"AAAAAB/xn4w=")</f>
        <v>#REF!</v>
      </c>
      <c r="EL205" t="e">
        <f>AND(#REF!,"AAAAAB/xn40=")</f>
        <v>#REF!</v>
      </c>
      <c r="EM205" t="e">
        <f>AND(#REF!,"AAAAAB/xn44=")</f>
        <v>#REF!</v>
      </c>
      <c r="EN205" t="e">
        <f>AND(#REF!,"AAAAAB/xn48=")</f>
        <v>#REF!</v>
      </c>
      <c r="EO205" t="e">
        <f>AND(#REF!,"AAAAAB/xn5A=")</f>
        <v>#REF!</v>
      </c>
      <c r="EP205" t="e">
        <f>AND(#REF!,"AAAAAB/xn5E=")</f>
        <v>#REF!</v>
      </c>
      <c r="EQ205" t="e">
        <f>AND(#REF!,"AAAAAB/xn5I=")</f>
        <v>#REF!</v>
      </c>
      <c r="ER205" t="e">
        <f>AND(#REF!,"AAAAAB/xn5M=")</f>
        <v>#REF!</v>
      </c>
      <c r="ES205" t="e">
        <f>AND(#REF!,"AAAAAB/xn5Q=")</f>
        <v>#REF!</v>
      </c>
      <c r="ET205" t="e">
        <f>AND(#REF!,"AAAAAB/xn5U=")</f>
        <v>#REF!</v>
      </c>
      <c r="EU205" t="e">
        <f>AND(#REF!,"AAAAAB/xn5Y=")</f>
        <v>#REF!</v>
      </c>
      <c r="EV205" t="e">
        <f>AND(#REF!,"AAAAAB/xn5c=")</f>
        <v>#REF!</v>
      </c>
      <c r="EW205" t="e">
        <f>AND(#REF!,"AAAAAB/xn5g=")</f>
        <v>#REF!</v>
      </c>
      <c r="EX205" t="e">
        <f>AND(#REF!,"AAAAAB/xn5k=")</f>
        <v>#REF!</v>
      </c>
      <c r="EY205" t="e">
        <f>AND(#REF!,"AAAAAB/xn5o=")</f>
        <v>#REF!</v>
      </c>
      <c r="EZ205" t="e">
        <f>AND(#REF!,"AAAAAB/xn5s=")</f>
        <v>#REF!</v>
      </c>
      <c r="FA205" t="e">
        <f>AND(#REF!,"AAAAAB/xn5w=")</f>
        <v>#REF!</v>
      </c>
      <c r="FB205" t="e">
        <f>AND(#REF!,"AAAAAB/xn50=")</f>
        <v>#REF!</v>
      </c>
      <c r="FC205" t="e">
        <f>AND(#REF!,"AAAAAB/xn54=")</f>
        <v>#REF!</v>
      </c>
      <c r="FD205" t="e">
        <f>AND(#REF!,"AAAAAB/xn58=")</f>
        <v>#REF!</v>
      </c>
      <c r="FE205" t="e">
        <f>AND(#REF!,"AAAAAB/xn6A=")</f>
        <v>#REF!</v>
      </c>
      <c r="FF205" t="e">
        <f>IF(#REF!,"AAAAAB/xn6E=",0)</f>
        <v>#REF!</v>
      </c>
      <c r="FG205" t="e">
        <f>AND(#REF!,"AAAAAB/xn6I=")</f>
        <v>#REF!</v>
      </c>
      <c r="FH205" t="e">
        <f>AND(#REF!,"AAAAAB/xn6M=")</f>
        <v>#REF!</v>
      </c>
      <c r="FI205" t="e">
        <f>AND(#REF!,"AAAAAB/xn6Q=")</f>
        <v>#REF!</v>
      </c>
      <c r="FJ205" t="e">
        <f>AND(#REF!,"AAAAAB/xn6U=")</f>
        <v>#REF!</v>
      </c>
      <c r="FK205" t="e">
        <f>AND(#REF!,"AAAAAB/xn6Y=")</f>
        <v>#REF!</v>
      </c>
      <c r="FL205" t="e">
        <f>AND(#REF!,"AAAAAB/xn6c=")</f>
        <v>#REF!</v>
      </c>
      <c r="FM205" t="e">
        <f>AND(#REF!,"AAAAAB/xn6g=")</f>
        <v>#REF!</v>
      </c>
      <c r="FN205" t="e">
        <f>AND(#REF!,"AAAAAB/xn6k=")</f>
        <v>#REF!</v>
      </c>
      <c r="FO205" t="e">
        <f>AND(#REF!,"AAAAAB/xn6o=")</f>
        <v>#REF!</v>
      </c>
      <c r="FP205" t="e">
        <f>AND(#REF!,"AAAAAB/xn6s=")</f>
        <v>#REF!</v>
      </c>
      <c r="FQ205" t="e">
        <f>AND(#REF!,"AAAAAB/xn6w=")</f>
        <v>#REF!</v>
      </c>
      <c r="FR205" t="e">
        <f>AND(#REF!,"AAAAAB/xn60=")</f>
        <v>#REF!</v>
      </c>
      <c r="FS205" t="e">
        <f>AND(#REF!,"AAAAAB/xn64=")</f>
        <v>#REF!</v>
      </c>
      <c r="FT205" t="e">
        <f>AND(#REF!,"AAAAAB/xn68=")</f>
        <v>#REF!</v>
      </c>
      <c r="FU205" t="e">
        <f>AND(#REF!,"AAAAAB/xn7A=")</f>
        <v>#REF!</v>
      </c>
      <c r="FV205" t="e">
        <f>AND(#REF!,"AAAAAB/xn7E=")</f>
        <v>#REF!</v>
      </c>
      <c r="FW205" t="e">
        <f>AND(#REF!,"AAAAAB/xn7I=")</f>
        <v>#REF!</v>
      </c>
      <c r="FX205" t="e">
        <f>AND(#REF!,"AAAAAB/xn7M=")</f>
        <v>#REF!</v>
      </c>
      <c r="FY205" t="e">
        <f>AND(#REF!,"AAAAAB/xn7Q=")</f>
        <v>#REF!</v>
      </c>
      <c r="FZ205" t="e">
        <f>AND(#REF!,"AAAAAB/xn7U=")</f>
        <v>#REF!</v>
      </c>
      <c r="GA205" t="e">
        <f>AND(#REF!,"AAAAAB/xn7Y=")</f>
        <v>#REF!</v>
      </c>
      <c r="GB205" t="e">
        <f>AND(#REF!,"AAAAAB/xn7c=")</f>
        <v>#REF!</v>
      </c>
      <c r="GC205" t="e">
        <f>AND(#REF!,"AAAAAB/xn7g=")</f>
        <v>#REF!</v>
      </c>
      <c r="GD205" t="e">
        <f>AND(#REF!,"AAAAAB/xn7k=")</f>
        <v>#REF!</v>
      </c>
      <c r="GE205" t="e">
        <f>IF(#REF!,"AAAAAB/xn7o=",0)</f>
        <v>#REF!</v>
      </c>
      <c r="GF205" t="e">
        <f>AND(#REF!,"AAAAAB/xn7s=")</f>
        <v>#REF!</v>
      </c>
      <c r="GG205" t="e">
        <f>AND(#REF!,"AAAAAB/xn7w=")</f>
        <v>#REF!</v>
      </c>
      <c r="GH205" t="e">
        <f>AND(#REF!,"AAAAAB/xn70=")</f>
        <v>#REF!</v>
      </c>
      <c r="GI205" t="e">
        <f>AND(#REF!,"AAAAAB/xn74=")</f>
        <v>#REF!</v>
      </c>
      <c r="GJ205" t="e">
        <f>AND(#REF!,"AAAAAB/xn78=")</f>
        <v>#REF!</v>
      </c>
      <c r="GK205" t="e">
        <f>AND(#REF!,"AAAAAB/xn8A=")</f>
        <v>#REF!</v>
      </c>
      <c r="GL205" t="e">
        <f>AND(#REF!,"AAAAAB/xn8E=")</f>
        <v>#REF!</v>
      </c>
      <c r="GM205" t="e">
        <f>AND(#REF!,"AAAAAB/xn8I=")</f>
        <v>#REF!</v>
      </c>
      <c r="GN205" t="e">
        <f>AND(#REF!,"AAAAAB/xn8M=")</f>
        <v>#REF!</v>
      </c>
      <c r="GO205" t="e">
        <f>AND(#REF!,"AAAAAB/xn8Q=")</f>
        <v>#REF!</v>
      </c>
      <c r="GP205" t="e">
        <f>AND(#REF!,"AAAAAB/xn8U=")</f>
        <v>#REF!</v>
      </c>
      <c r="GQ205" t="e">
        <f>AND(#REF!,"AAAAAB/xn8Y=")</f>
        <v>#REF!</v>
      </c>
      <c r="GR205" t="e">
        <f>AND(#REF!,"AAAAAB/xn8c=")</f>
        <v>#REF!</v>
      </c>
      <c r="GS205" t="e">
        <f>AND(#REF!,"AAAAAB/xn8g=")</f>
        <v>#REF!</v>
      </c>
      <c r="GT205" t="e">
        <f>AND(#REF!,"AAAAAB/xn8k=")</f>
        <v>#REF!</v>
      </c>
      <c r="GU205" t="e">
        <f>AND(#REF!,"AAAAAB/xn8o=")</f>
        <v>#REF!</v>
      </c>
      <c r="GV205" t="e">
        <f>AND(#REF!,"AAAAAB/xn8s=")</f>
        <v>#REF!</v>
      </c>
      <c r="GW205" t="e">
        <f>AND(#REF!,"AAAAAB/xn8w=")</f>
        <v>#REF!</v>
      </c>
      <c r="GX205" t="e">
        <f>AND(#REF!,"AAAAAB/xn80=")</f>
        <v>#REF!</v>
      </c>
      <c r="GY205" t="e">
        <f>AND(#REF!,"AAAAAB/xn84=")</f>
        <v>#REF!</v>
      </c>
      <c r="GZ205" t="e">
        <f>AND(#REF!,"AAAAAB/xn88=")</f>
        <v>#REF!</v>
      </c>
      <c r="HA205" t="e">
        <f>AND(#REF!,"AAAAAB/xn9A=")</f>
        <v>#REF!</v>
      </c>
      <c r="HB205" t="e">
        <f>AND(#REF!,"AAAAAB/xn9E=")</f>
        <v>#REF!</v>
      </c>
      <c r="HC205" t="e">
        <f>AND(#REF!,"AAAAAB/xn9I=")</f>
        <v>#REF!</v>
      </c>
      <c r="HD205" t="e">
        <f>IF(#REF!,"AAAAAB/xn9M=",0)</f>
        <v>#REF!</v>
      </c>
      <c r="HE205" t="e">
        <f>AND(#REF!,"AAAAAB/xn9Q=")</f>
        <v>#REF!</v>
      </c>
      <c r="HF205" t="e">
        <f>AND(#REF!,"AAAAAB/xn9U=")</f>
        <v>#REF!</v>
      </c>
      <c r="HG205" t="e">
        <f>AND(#REF!,"AAAAAB/xn9Y=")</f>
        <v>#REF!</v>
      </c>
      <c r="HH205" t="e">
        <f>AND(#REF!,"AAAAAB/xn9c=")</f>
        <v>#REF!</v>
      </c>
      <c r="HI205" t="e">
        <f>AND(#REF!,"AAAAAB/xn9g=")</f>
        <v>#REF!</v>
      </c>
      <c r="HJ205" t="e">
        <f>AND(#REF!,"AAAAAB/xn9k=")</f>
        <v>#REF!</v>
      </c>
      <c r="HK205" t="e">
        <f>AND(#REF!,"AAAAAB/xn9o=")</f>
        <v>#REF!</v>
      </c>
      <c r="HL205" t="e">
        <f>AND(#REF!,"AAAAAB/xn9s=")</f>
        <v>#REF!</v>
      </c>
      <c r="HM205" t="e">
        <f>AND(#REF!,"AAAAAB/xn9w=")</f>
        <v>#REF!</v>
      </c>
      <c r="HN205" t="e">
        <f>AND(#REF!,"AAAAAB/xn90=")</f>
        <v>#REF!</v>
      </c>
      <c r="HO205" t="e">
        <f>AND(#REF!,"AAAAAB/xn94=")</f>
        <v>#REF!</v>
      </c>
      <c r="HP205" t="e">
        <f>AND(#REF!,"AAAAAB/xn98=")</f>
        <v>#REF!</v>
      </c>
      <c r="HQ205" t="e">
        <f>AND(#REF!,"AAAAAB/xn+A=")</f>
        <v>#REF!</v>
      </c>
      <c r="HR205" t="e">
        <f>AND(#REF!,"AAAAAB/xn+E=")</f>
        <v>#REF!</v>
      </c>
      <c r="HS205" t="e">
        <f>AND(#REF!,"AAAAAB/xn+I=")</f>
        <v>#REF!</v>
      </c>
      <c r="HT205" t="e">
        <f>AND(#REF!,"AAAAAB/xn+M=")</f>
        <v>#REF!</v>
      </c>
      <c r="HU205" t="e">
        <f>AND(#REF!,"AAAAAB/xn+Q=")</f>
        <v>#REF!</v>
      </c>
      <c r="HV205" t="e">
        <f>AND(#REF!,"AAAAAB/xn+U=")</f>
        <v>#REF!</v>
      </c>
      <c r="HW205" t="e">
        <f>AND(#REF!,"AAAAAB/xn+Y=")</f>
        <v>#REF!</v>
      </c>
      <c r="HX205" t="e">
        <f>AND(#REF!,"AAAAAB/xn+c=")</f>
        <v>#REF!</v>
      </c>
      <c r="HY205" t="e">
        <f>AND(#REF!,"AAAAAB/xn+g=")</f>
        <v>#REF!</v>
      </c>
      <c r="HZ205" t="e">
        <f>AND(#REF!,"AAAAAB/xn+k=")</f>
        <v>#REF!</v>
      </c>
      <c r="IA205" t="e">
        <f>AND(#REF!,"AAAAAB/xn+o=")</f>
        <v>#REF!</v>
      </c>
      <c r="IB205" t="e">
        <f>AND(#REF!,"AAAAAB/xn+s=")</f>
        <v>#REF!</v>
      </c>
      <c r="IC205" t="e">
        <f>IF(#REF!,"AAAAAB/xn+w=",0)</f>
        <v>#REF!</v>
      </c>
      <c r="ID205" t="e">
        <f>AND(#REF!,"AAAAAB/xn+0=")</f>
        <v>#REF!</v>
      </c>
      <c r="IE205" t="e">
        <f>AND(#REF!,"AAAAAB/xn+4=")</f>
        <v>#REF!</v>
      </c>
      <c r="IF205" t="e">
        <f>AND(#REF!,"AAAAAB/xn+8=")</f>
        <v>#REF!</v>
      </c>
      <c r="IG205" t="e">
        <f>AND(#REF!,"AAAAAB/xn/A=")</f>
        <v>#REF!</v>
      </c>
      <c r="IH205" t="e">
        <f>AND(#REF!,"AAAAAB/xn/E=")</f>
        <v>#REF!</v>
      </c>
      <c r="II205" t="e">
        <f>AND(#REF!,"AAAAAB/xn/I=")</f>
        <v>#REF!</v>
      </c>
      <c r="IJ205" t="e">
        <f>AND(#REF!,"AAAAAB/xn/M=")</f>
        <v>#REF!</v>
      </c>
      <c r="IK205" t="e">
        <f>AND(#REF!,"AAAAAB/xn/Q=")</f>
        <v>#REF!</v>
      </c>
      <c r="IL205" t="e">
        <f>AND(#REF!,"AAAAAB/xn/U=")</f>
        <v>#REF!</v>
      </c>
      <c r="IM205" t="e">
        <f>AND(#REF!,"AAAAAB/xn/Y=")</f>
        <v>#REF!</v>
      </c>
      <c r="IN205" t="e">
        <f>AND(#REF!,"AAAAAB/xn/c=")</f>
        <v>#REF!</v>
      </c>
      <c r="IO205" t="e">
        <f>AND(#REF!,"AAAAAB/xn/g=")</f>
        <v>#REF!</v>
      </c>
      <c r="IP205" t="e">
        <f>AND(#REF!,"AAAAAB/xn/k=")</f>
        <v>#REF!</v>
      </c>
      <c r="IQ205" t="e">
        <f>AND(#REF!,"AAAAAB/xn/o=")</f>
        <v>#REF!</v>
      </c>
      <c r="IR205" t="e">
        <f>AND(#REF!,"AAAAAB/xn/s=")</f>
        <v>#REF!</v>
      </c>
      <c r="IS205" t="e">
        <f>AND(#REF!,"AAAAAB/xn/w=")</f>
        <v>#REF!</v>
      </c>
      <c r="IT205" t="e">
        <f>AND(#REF!,"AAAAAB/xn/0=")</f>
        <v>#REF!</v>
      </c>
      <c r="IU205" t="e">
        <f>AND(#REF!,"AAAAAB/xn/4=")</f>
        <v>#REF!</v>
      </c>
      <c r="IV205" t="e">
        <f>AND(#REF!,"AAAAAB/xn/8=")</f>
        <v>#REF!</v>
      </c>
    </row>
    <row r="206" spans="1:256">
      <c r="A206" t="e">
        <f>AND(#REF!,"AAAAAFr57wA=")</f>
        <v>#REF!</v>
      </c>
      <c r="B206" t="e">
        <f>AND(#REF!,"AAAAAFr57wE=")</f>
        <v>#REF!</v>
      </c>
      <c r="C206" t="e">
        <f>AND(#REF!,"AAAAAFr57wI=")</f>
        <v>#REF!</v>
      </c>
      <c r="D206" t="e">
        <f>AND(#REF!,"AAAAAFr57wM=")</f>
        <v>#REF!</v>
      </c>
      <c r="E206" t="e">
        <f>AND(#REF!,"AAAAAFr57wQ=")</f>
        <v>#REF!</v>
      </c>
      <c r="F206" t="e">
        <f>IF(#REF!,"AAAAAFr57wU=",0)</f>
        <v>#REF!</v>
      </c>
      <c r="G206" t="e">
        <f>AND(#REF!,"AAAAAFr57wY=")</f>
        <v>#REF!</v>
      </c>
      <c r="H206" t="e">
        <f>AND(#REF!,"AAAAAFr57wc=")</f>
        <v>#REF!</v>
      </c>
      <c r="I206" t="e">
        <f>AND(#REF!,"AAAAAFr57wg=")</f>
        <v>#REF!</v>
      </c>
      <c r="J206" t="e">
        <f>AND(#REF!,"AAAAAFr57wk=")</f>
        <v>#REF!</v>
      </c>
      <c r="K206" t="e">
        <f>AND(#REF!,"AAAAAFr57wo=")</f>
        <v>#REF!</v>
      </c>
      <c r="L206" t="e">
        <f>AND(#REF!,"AAAAAFr57ws=")</f>
        <v>#REF!</v>
      </c>
      <c r="M206" t="e">
        <f>AND(#REF!,"AAAAAFr57ww=")</f>
        <v>#REF!</v>
      </c>
      <c r="N206" t="e">
        <f>AND(#REF!,"AAAAAFr57w0=")</f>
        <v>#REF!</v>
      </c>
      <c r="O206" t="e">
        <f>AND(#REF!,"AAAAAFr57w4=")</f>
        <v>#REF!</v>
      </c>
      <c r="P206" t="e">
        <f>AND(#REF!,"AAAAAFr57w8=")</f>
        <v>#REF!</v>
      </c>
      <c r="Q206" t="e">
        <f>AND(#REF!,"AAAAAFr57xA=")</f>
        <v>#REF!</v>
      </c>
      <c r="R206" t="e">
        <f>AND(#REF!,"AAAAAFr57xE=")</f>
        <v>#REF!</v>
      </c>
      <c r="S206" t="e">
        <f>AND(#REF!,"AAAAAFr57xI=")</f>
        <v>#REF!</v>
      </c>
      <c r="T206" t="e">
        <f>AND(#REF!,"AAAAAFr57xM=")</f>
        <v>#REF!</v>
      </c>
      <c r="U206" t="e">
        <f>AND(#REF!,"AAAAAFr57xQ=")</f>
        <v>#REF!</v>
      </c>
      <c r="V206" t="e">
        <f>AND(#REF!,"AAAAAFr57xU=")</f>
        <v>#REF!</v>
      </c>
      <c r="W206" t="e">
        <f>AND(#REF!,"AAAAAFr57xY=")</f>
        <v>#REF!</v>
      </c>
      <c r="X206" t="e">
        <f>AND(#REF!,"AAAAAFr57xc=")</f>
        <v>#REF!</v>
      </c>
      <c r="Y206" t="e">
        <f>AND(#REF!,"AAAAAFr57xg=")</f>
        <v>#REF!</v>
      </c>
      <c r="Z206" t="e">
        <f>AND(#REF!,"AAAAAFr57xk=")</f>
        <v>#REF!</v>
      </c>
      <c r="AA206" t="e">
        <f>AND(#REF!,"AAAAAFr57xo=")</f>
        <v>#REF!</v>
      </c>
      <c r="AB206" t="e">
        <f>AND(#REF!,"AAAAAFr57xs=")</f>
        <v>#REF!</v>
      </c>
      <c r="AC206" t="e">
        <f>AND(#REF!,"AAAAAFr57xw=")</f>
        <v>#REF!</v>
      </c>
      <c r="AD206" t="e">
        <f>AND(#REF!,"AAAAAFr57x0=")</f>
        <v>#REF!</v>
      </c>
      <c r="AE206" t="e">
        <f>IF(#REF!,"AAAAAFr57x4=",0)</f>
        <v>#REF!</v>
      </c>
      <c r="AF206" t="e">
        <f>AND(#REF!,"AAAAAFr57x8=")</f>
        <v>#REF!</v>
      </c>
      <c r="AG206" t="e">
        <f>AND(#REF!,"AAAAAFr57yA=")</f>
        <v>#REF!</v>
      </c>
      <c r="AH206" t="e">
        <f>AND(#REF!,"AAAAAFr57yE=")</f>
        <v>#REF!</v>
      </c>
      <c r="AI206" t="e">
        <f>AND(#REF!,"AAAAAFr57yI=")</f>
        <v>#REF!</v>
      </c>
      <c r="AJ206" t="e">
        <f>AND(#REF!,"AAAAAFr57yM=")</f>
        <v>#REF!</v>
      </c>
      <c r="AK206" t="e">
        <f>AND(#REF!,"AAAAAFr57yQ=")</f>
        <v>#REF!</v>
      </c>
      <c r="AL206" t="e">
        <f>AND(#REF!,"AAAAAFr57yU=")</f>
        <v>#REF!</v>
      </c>
      <c r="AM206" t="e">
        <f>AND(#REF!,"AAAAAFr57yY=")</f>
        <v>#REF!</v>
      </c>
      <c r="AN206" t="e">
        <f>AND(#REF!,"AAAAAFr57yc=")</f>
        <v>#REF!</v>
      </c>
      <c r="AO206" t="e">
        <f>AND(#REF!,"AAAAAFr57yg=")</f>
        <v>#REF!</v>
      </c>
      <c r="AP206" t="e">
        <f>AND(#REF!,"AAAAAFr57yk=")</f>
        <v>#REF!</v>
      </c>
      <c r="AQ206" t="e">
        <f>AND(#REF!,"AAAAAFr57yo=")</f>
        <v>#REF!</v>
      </c>
      <c r="AR206" t="e">
        <f>AND(#REF!,"AAAAAFr57ys=")</f>
        <v>#REF!</v>
      </c>
      <c r="AS206" t="e">
        <f>AND(#REF!,"AAAAAFr57yw=")</f>
        <v>#REF!</v>
      </c>
      <c r="AT206" t="e">
        <f>AND(#REF!,"AAAAAFr57y0=")</f>
        <v>#REF!</v>
      </c>
      <c r="AU206" t="e">
        <f>AND(#REF!,"AAAAAFr57y4=")</f>
        <v>#REF!</v>
      </c>
      <c r="AV206" t="e">
        <f>AND(#REF!,"AAAAAFr57y8=")</f>
        <v>#REF!</v>
      </c>
      <c r="AW206" t="e">
        <f>AND(#REF!,"AAAAAFr57zA=")</f>
        <v>#REF!</v>
      </c>
      <c r="AX206" t="e">
        <f>AND(#REF!,"AAAAAFr57zE=")</f>
        <v>#REF!</v>
      </c>
      <c r="AY206" t="e">
        <f>AND(#REF!,"AAAAAFr57zI=")</f>
        <v>#REF!</v>
      </c>
      <c r="AZ206" t="e">
        <f>AND(#REF!,"AAAAAFr57zM=")</f>
        <v>#REF!</v>
      </c>
      <c r="BA206" t="e">
        <f>AND(#REF!,"AAAAAFr57zQ=")</f>
        <v>#REF!</v>
      </c>
      <c r="BB206" t="e">
        <f>AND(#REF!,"AAAAAFr57zU=")</f>
        <v>#REF!</v>
      </c>
      <c r="BC206" t="e">
        <f>AND(#REF!,"AAAAAFr57zY=")</f>
        <v>#REF!</v>
      </c>
      <c r="BD206" t="e">
        <f>IF(#REF!,"AAAAAFr57zc=",0)</f>
        <v>#REF!</v>
      </c>
      <c r="BE206" t="e">
        <f>AND(#REF!,"AAAAAFr57zg=")</f>
        <v>#REF!</v>
      </c>
      <c r="BF206" t="e">
        <f>AND(#REF!,"AAAAAFr57zk=")</f>
        <v>#REF!</v>
      </c>
      <c r="BG206" t="e">
        <f>AND(#REF!,"AAAAAFr57zo=")</f>
        <v>#REF!</v>
      </c>
      <c r="BH206" t="e">
        <f>AND(#REF!,"AAAAAFr57zs=")</f>
        <v>#REF!</v>
      </c>
      <c r="BI206" t="e">
        <f>AND(#REF!,"AAAAAFr57zw=")</f>
        <v>#REF!</v>
      </c>
      <c r="BJ206" t="e">
        <f>AND(#REF!,"AAAAAFr57z0=")</f>
        <v>#REF!</v>
      </c>
      <c r="BK206" t="e">
        <f>AND(#REF!,"AAAAAFr57z4=")</f>
        <v>#REF!</v>
      </c>
      <c r="BL206" t="e">
        <f>AND(#REF!,"AAAAAFr57z8=")</f>
        <v>#REF!</v>
      </c>
      <c r="BM206" t="e">
        <f>AND(#REF!,"AAAAAFr570A=")</f>
        <v>#REF!</v>
      </c>
      <c r="BN206" t="e">
        <f>AND(#REF!,"AAAAAFr570E=")</f>
        <v>#REF!</v>
      </c>
      <c r="BO206" t="e">
        <f>AND(#REF!,"AAAAAFr570I=")</f>
        <v>#REF!</v>
      </c>
      <c r="BP206" t="e">
        <f>AND(#REF!,"AAAAAFr570M=")</f>
        <v>#REF!</v>
      </c>
      <c r="BQ206" t="e">
        <f>AND(#REF!,"AAAAAFr570Q=")</f>
        <v>#REF!</v>
      </c>
      <c r="BR206" t="e">
        <f>AND(#REF!,"AAAAAFr570U=")</f>
        <v>#REF!</v>
      </c>
      <c r="BS206" t="e">
        <f>AND(#REF!,"AAAAAFr570Y=")</f>
        <v>#REF!</v>
      </c>
      <c r="BT206" t="e">
        <f>AND(#REF!,"AAAAAFr570c=")</f>
        <v>#REF!</v>
      </c>
      <c r="BU206" t="e">
        <f>AND(#REF!,"AAAAAFr570g=")</f>
        <v>#REF!</v>
      </c>
      <c r="BV206" t="e">
        <f>AND(#REF!,"AAAAAFr570k=")</f>
        <v>#REF!</v>
      </c>
      <c r="BW206" t="e">
        <f>AND(#REF!,"AAAAAFr570o=")</f>
        <v>#REF!</v>
      </c>
      <c r="BX206" t="e">
        <f>AND(#REF!,"AAAAAFr570s=")</f>
        <v>#REF!</v>
      </c>
      <c r="BY206" t="e">
        <f>AND(#REF!,"AAAAAFr570w=")</f>
        <v>#REF!</v>
      </c>
      <c r="BZ206" t="e">
        <f>AND(#REF!,"AAAAAFr5700=")</f>
        <v>#REF!</v>
      </c>
      <c r="CA206" t="e">
        <f>AND(#REF!,"AAAAAFr5704=")</f>
        <v>#REF!</v>
      </c>
      <c r="CB206" t="e">
        <f>AND(#REF!,"AAAAAFr5708=")</f>
        <v>#REF!</v>
      </c>
      <c r="CC206" t="e">
        <f>IF(#REF!,"AAAAAFr571A=",0)</f>
        <v>#REF!</v>
      </c>
      <c r="CD206" t="e">
        <f>AND(#REF!,"AAAAAFr571E=")</f>
        <v>#REF!</v>
      </c>
      <c r="CE206" t="e">
        <f>AND(#REF!,"AAAAAFr571I=")</f>
        <v>#REF!</v>
      </c>
      <c r="CF206" t="e">
        <f>AND(#REF!,"AAAAAFr571M=")</f>
        <v>#REF!</v>
      </c>
      <c r="CG206" t="e">
        <f>AND(#REF!,"AAAAAFr571Q=")</f>
        <v>#REF!</v>
      </c>
      <c r="CH206" t="e">
        <f>AND(#REF!,"AAAAAFr571U=")</f>
        <v>#REF!</v>
      </c>
      <c r="CI206" t="e">
        <f>AND(#REF!,"AAAAAFr571Y=")</f>
        <v>#REF!</v>
      </c>
      <c r="CJ206" t="e">
        <f>AND(#REF!,"AAAAAFr571c=")</f>
        <v>#REF!</v>
      </c>
      <c r="CK206" t="e">
        <f>AND(#REF!,"AAAAAFr571g=")</f>
        <v>#REF!</v>
      </c>
      <c r="CL206" t="e">
        <f>AND(#REF!,"AAAAAFr571k=")</f>
        <v>#REF!</v>
      </c>
      <c r="CM206" t="e">
        <f>AND(#REF!,"AAAAAFr571o=")</f>
        <v>#REF!</v>
      </c>
      <c r="CN206" t="e">
        <f>AND(#REF!,"AAAAAFr571s=")</f>
        <v>#REF!</v>
      </c>
      <c r="CO206" t="e">
        <f>AND(#REF!,"AAAAAFr571w=")</f>
        <v>#REF!</v>
      </c>
      <c r="CP206" t="e">
        <f>AND(#REF!,"AAAAAFr5710=")</f>
        <v>#REF!</v>
      </c>
      <c r="CQ206" t="e">
        <f>AND(#REF!,"AAAAAFr5714=")</f>
        <v>#REF!</v>
      </c>
      <c r="CR206" t="e">
        <f>AND(#REF!,"AAAAAFr5718=")</f>
        <v>#REF!</v>
      </c>
      <c r="CS206" t="e">
        <f>AND(#REF!,"AAAAAFr572A=")</f>
        <v>#REF!</v>
      </c>
      <c r="CT206" t="e">
        <f>AND(#REF!,"AAAAAFr572E=")</f>
        <v>#REF!</v>
      </c>
      <c r="CU206" t="e">
        <f>AND(#REF!,"AAAAAFr572I=")</f>
        <v>#REF!</v>
      </c>
      <c r="CV206" t="e">
        <f>AND(#REF!,"AAAAAFr572M=")</f>
        <v>#REF!</v>
      </c>
      <c r="CW206" t="e">
        <f>AND(#REF!,"AAAAAFr572Q=")</f>
        <v>#REF!</v>
      </c>
      <c r="CX206" t="e">
        <f>AND(#REF!,"AAAAAFr572U=")</f>
        <v>#REF!</v>
      </c>
      <c r="CY206" t="e">
        <f>AND(#REF!,"AAAAAFr572Y=")</f>
        <v>#REF!</v>
      </c>
      <c r="CZ206" t="e">
        <f>AND(#REF!,"AAAAAFr572c=")</f>
        <v>#REF!</v>
      </c>
      <c r="DA206" t="e">
        <f>AND(#REF!,"AAAAAFr572g=")</f>
        <v>#REF!</v>
      </c>
      <c r="DB206" t="e">
        <f>IF(#REF!,"AAAAAFr572k=",0)</f>
        <v>#REF!</v>
      </c>
      <c r="DC206" t="e">
        <f>AND(#REF!,"AAAAAFr572o=")</f>
        <v>#REF!</v>
      </c>
      <c r="DD206" t="e">
        <f>AND(#REF!,"AAAAAFr572s=")</f>
        <v>#REF!</v>
      </c>
      <c r="DE206" t="e">
        <f>AND(#REF!,"AAAAAFr572w=")</f>
        <v>#REF!</v>
      </c>
      <c r="DF206" t="e">
        <f>AND(#REF!,"AAAAAFr5720=")</f>
        <v>#REF!</v>
      </c>
      <c r="DG206" t="e">
        <f>AND(#REF!,"AAAAAFr5724=")</f>
        <v>#REF!</v>
      </c>
      <c r="DH206" t="e">
        <f>AND(#REF!,"AAAAAFr5728=")</f>
        <v>#REF!</v>
      </c>
      <c r="DI206" t="e">
        <f>AND(#REF!,"AAAAAFr573A=")</f>
        <v>#REF!</v>
      </c>
      <c r="DJ206" t="e">
        <f>AND(#REF!,"AAAAAFr573E=")</f>
        <v>#REF!</v>
      </c>
      <c r="DK206" t="e">
        <f>AND(#REF!,"AAAAAFr573I=")</f>
        <v>#REF!</v>
      </c>
      <c r="DL206" t="e">
        <f>AND(#REF!,"AAAAAFr573M=")</f>
        <v>#REF!</v>
      </c>
      <c r="DM206" t="e">
        <f>AND(#REF!,"AAAAAFr573Q=")</f>
        <v>#REF!</v>
      </c>
      <c r="DN206" t="e">
        <f>AND(#REF!,"AAAAAFr573U=")</f>
        <v>#REF!</v>
      </c>
      <c r="DO206" t="e">
        <f>AND(#REF!,"AAAAAFr573Y=")</f>
        <v>#REF!</v>
      </c>
      <c r="DP206" t="e">
        <f>AND(#REF!,"AAAAAFr573c=")</f>
        <v>#REF!</v>
      </c>
      <c r="DQ206" t="e">
        <f>AND(#REF!,"AAAAAFr573g=")</f>
        <v>#REF!</v>
      </c>
      <c r="DR206" t="e">
        <f>AND(#REF!,"AAAAAFr573k=")</f>
        <v>#REF!</v>
      </c>
      <c r="DS206" t="e">
        <f>AND(#REF!,"AAAAAFr573o=")</f>
        <v>#REF!</v>
      </c>
      <c r="DT206" t="e">
        <f>AND(#REF!,"AAAAAFr573s=")</f>
        <v>#REF!</v>
      </c>
      <c r="DU206" t="e">
        <f>AND(#REF!,"AAAAAFr573w=")</f>
        <v>#REF!</v>
      </c>
      <c r="DV206" t="e">
        <f>AND(#REF!,"AAAAAFr5730=")</f>
        <v>#REF!</v>
      </c>
      <c r="DW206" t="e">
        <f>AND(#REF!,"AAAAAFr5734=")</f>
        <v>#REF!</v>
      </c>
      <c r="DX206" t="e">
        <f>AND(#REF!,"AAAAAFr5738=")</f>
        <v>#REF!</v>
      </c>
      <c r="DY206" t="e">
        <f>AND(#REF!,"AAAAAFr574A=")</f>
        <v>#REF!</v>
      </c>
      <c r="DZ206" t="e">
        <f>AND(#REF!,"AAAAAFr574E=")</f>
        <v>#REF!</v>
      </c>
      <c r="EA206" t="e">
        <f>IF(#REF!,"AAAAAFr574I=",0)</f>
        <v>#REF!</v>
      </c>
      <c r="EB206" t="e">
        <f>AND(#REF!,"AAAAAFr574M=")</f>
        <v>#REF!</v>
      </c>
      <c r="EC206" t="e">
        <f>AND(#REF!,"AAAAAFr574Q=")</f>
        <v>#REF!</v>
      </c>
      <c r="ED206" t="e">
        <f>AND(#REF!,"AAAAAFr574U=")</f>
        <v>#REF!</v>
      </c>
      <c r="EE206" t="e">
        <f>AND(#REF!,"AAAAAFr574Y=")</f>
        <v>#REF!</v>
      </c>
      <c r="EF206" t="e">
        <f>AND(#REF!,"AAAAAFr574c=")</f>
        <v>#REF!</v>
      </c>
      <c r="EG206" t="e">
        <f>AND(#REF!,"AAAAAFr574g=")</f>
        <v>#REF!</v>
      </c>
      <c r="EH206" t="e">
        <f>AND(#REF!,"AAAAAFr574k=")</f>
        <v>#REF!</v>
      </c>
      <c r="EI206" t="e">
        <f>AND(#REF!,"AAAAAFr574o=")</f>
        <v>#REF!</v>
      </c>
      <c r="EJ206" t="e">
        <f>AND(#REF!,"AAAAAFr574s=")</f>
        <v>#REF!</v>
      </c>
      <c r="EK206" t="e">
        <f>AND(#REF!,"AAAAAFr574w=")</f>
        <v>#REF!</v>
      </c>
      <c r="EL206" t="e">
        <f>AND(#REF!,"AAAAAFr5740=")</f>
        <v>#REF!</v>
      </c>
      <c r="EM206" t="e">
        <f>AND(#REF!,"AAAAAFr5744=")</f>
        <v>#REF!</v>
      </c>
      <c r="EN206" t="e">
        <f>AND(#REF!,"AAAAAFr5748=")</f>
        <v>#REF!</v>
      </c>
      <c r="EO206" t="e">
        <f>AND(#REF!,"AAAAAFr575A=")</f>
        <v>#REF!</v>
      </c>
      <c r="EP206" t="e">
        <f>AND(#REF!,"AAAAAFr575E=")</f>
        <v>#REF!</v>
      </c>
      <c r="EQ206" t="e">
        <f>AND(#REF!,"AAAAAFr575I=")</f>
        <v>#REF!</v>
      </c>
      <c r="ER206" t="e">
        <f>AND(#REF!,"AAAAAFr575M=")</f>
        <v>#REF!</v>
      </c>
      <c r="ES206" t="e">
        <f>AND(#REF!,"AAAAAFr575Q=")</f>
        <v>#REF!</v>
      </c>
      <c r="ET206" t="e">
        <f>AND(#REF!,"AAAAAFr575U=")</f>
        <v>#REF!</v>
      </c>
      <c r="EU206" t="e">
        <f>AND(#REF!,"AAAAAFr575Y=")</f>
        <v>#REF!</v>
      </c>
      <c r="EV206" t="e">
        <f>AND(#REF!,"AAAAAFr575c=")</f>
        <v>#REF!</v>
      </c>
      <c r="EW206" t="e">
        <f>AND(#REF!,"AAAAAFr575g=")</f>
        <v>#REF!</v>
      </c>
      <c r="EX206" t="e">
        <f>AND(#REF!,"AAAAAFr575k=")</f>
        <v>#REF!</v>
      </c>
      <c r="EY206" t="e">
        <f>AND(#REF!,"AAAAAFr575o=")</f>
        <v>#REF!</v>
      </c>
      <c r="EZ206" t="e">
        <f>IF(#REF!,"AAAAAFr575s=",0)</f>
        <v>#REF!</v>
      </c>
      <c r="FA206" t="e">
        <f>AND(#REF!,"AAAAAFr575w=")</f>
        <v>#REF!</v>
      </c>
      <c r="FB206" t="e">
        <f>AND(#REF!,"AAAAAFr5750=")</f>
        <v>#REF!</v>
      </c>
      <c r="FC206" t="e">
        <f>AND(#REF!,"AAAAAFr5754=")</f>
        <v>#REF!</v>
      </c>
      <c r="FD206" t="e">
        <f>AND(#REF!,"AAAAAFr5758=")</f>
        <v>#REF!</v>
      </c>
      <c r="FE206" t="e">
        <f>AND(#REF!,"AAAAAFr576A=")</f>
        <v>#REF!</v>
      </c>
      <c r="FF206" t="e">
        <f>AND(#REF!,"AAAAAFr576E=")</f>
        <v>#REF!</v>
      </c>
      <c r="FG206" t="e">
        <f>AND(#REF!,"AAAAAFr576I=")</f>
        <v>#REF!</v>
      </c>
      <c r="FH206" t="e">
        <f>AND(#REF!,"AAAAAFr576M=")</f>
        <v>#REF!</v>
      </c>
      <c r="FI206" t="e">
        <f>AND(#REF!,"AAAAAFr576Q=")</f>
        <v>#REF!</v>
      </c>
      <c r="FJ206" t="e">
        <f>AND(#REF!,"AAAAAFr576U=")</f>
        <v>#REF!</v>
      </c>
      <c r="FK206" t="e">
        <f>AND(#REF!,"AAAAAFr576Y=")</f>
        <v>#REF!</v>
      </c>
      <c r="FL206" t="e">
        <f>AND(#REF!,"AAAAAFr576c=")</f>
        <v>#REF!</v>
      </c>
      <c r="FM206" t="e">
        <f>AND(#REF!,"AAAAAFr576g=")</f>
        <v>#REF!</v>
      </c>
      <c r="FN206" t="e">
        <f>AND(#REF!,"AAAAAFr576k=")</f>
        <v>#REF!</v>
      </c>
      <c r="FO206" t="e">
        <f>AND(#REF!,"AAAAAFr576o=")</f>
        <v>#REF!</v>
      </c>
      <c r="FP206" t="e">
        <f>AND(#REF!,"AAAAAFr576s=")</f>
        <v>#REF!</v>
      </c>
      <c r="FQ206" t="e">
        <f>AND(#REF!,"AAAAAFr576w=")</f>
        <v>#REF!</v>
      </c>
      <c r="FR206" t="e">
        <f>AND(#REF!,"AAAAAFr5760=")</f>
        <v>#REF!</v>
      </c>
      <c r="FS206" t="e">
        <f>AND(#REF!,"AAAAAFr5764=")</f>
        <v>#REF!</v>
      </c>
      <c r="FT206" t="e">
        <f>AND(#REF!,"AAAAAFr5768=")</f>
        <v>#REF!</v>
      </c>
      <c r="FU206" t="e">
        <f>AND(#REF!,"AAAAAFr577A=")</f>
        <v>#REF!</v>
      </c>
      <c r="FV206" t="e">
        <f>AND(#REF!,"AAAAAFr577E=")</f>
        <v>#REF!</v>
      </c>
      <c r="FW206" t="e">
        <f>AND(#REF!,"AAAAAFr577I=")</f>
        <v>#REF!</v>
      </c>
      <c r="FX206" t="e">
        <f>AND(#REF!,"AAAAAFr577M=")</f>
        <v>#REF!</v>
      </c>
      <c r="FY206" t="e">
        <f>IF(#REF!,"AAAAAFr577Q=",0)</f>
        <v>#REF!</v>
      </c>
      <c r="FZ206" t="e">
        <f>AND(#REF!,"AAAAAFr577U=")</f>
        <v>#REF!</v>
      </c>
      <c r="GA206" t="e">
        <f>AND(#REF!,"AAAAAFr577Y=")</f>
        <v>#REF!</v>
      </c>
      <c r="GB206" t="e">
        <f>AND(#REF!,"AAAAAFr577c=")</f>
        <v>#REF!</v>
      </c>
      <c r="GC206" t="e">
        <f>AND(#REF!,"AAAAAFr577g=")</f>
        <v>#REF!</v>
      </c>
      <c r="GD206" t="e">
        <f>AND(#REF!,"AAAAAFr577k=")</f>
        <v>#REF!</v>
      </c>
      <c r="GE206" t="e">
        <f>AND(#REF!,"AAAAAFr577o=")</f>
        <v>#REF!</v>
      </c>
      <c r="GF206" t="e">
        <f>AND(#REF!,"AAAAAFr577s=")</f>
        <v>#REF!</v>
      </c>
      <c r="GG206" t="e">
        <f>AND(#REF!,"AAAAAFr577w=")</f>
        <v>#REF!</v>
      </c>
      <c r="GH206" t="e">
        <f>AND(#REF!,"AAAAAFr5770=")</f>
        <v>#REF!</v>
      </c>
      <c r="GI206" t="e">
        <f>AND(#REF!,"AAAAAFr5774=")</f>
        <v>#REF!</v>
      </c>
      <c r="GJ206" t="e">
        <f>AND(#REF!,"AAAAAFr5778=")</f>
        <v>#REF!</v>
      </c>
      <c r="GK206" t="e">
        <f>AND(#REF!,"AAAAAFr578A=")</f>
        <v>#REF!</v>
      </c>
      <c r="GL206" t="e">
        <f>AND(#REF!,"AAAAAFr578E=")</f>
        <v>#REF!</v>
      </c>
      <c r="GM206" t="e">
        <f>AND(#REF!,"AAAAAFr578I=")</f>
        <v>#REF!</v>
      </c>
      <c r="GN206" t="e">
        <f>AND(#REF!,"AAAAAFr578M=")</f>
        <v>#REF!</v>
      </c>
      <c r="GO206" t="e">
        <f>AND(#REF!,"AAAAAFr578Q=")</f>
        <v>#REF!</v>
      </c>
      <c r="GP206" t="e">
        <f>AND(#REF!,"AAAAAFr578U=")</f>
        <v>#REF!</v>
      </c>
      <c r="GQ206" t="e">
        <f>AND(#REF!,"AAAAAFr578Y=")</f>
        <v>#REF!</v>
      </c>
      <c r="GR206" t="e">
        <f>AND(#REF!,"AAAAAFr578c=")</f>
        <v>#REF!</v>
      </c>
      <c r="GS206" t="e">
        <f>AND(#REF!,"AAAAAFr578g=")</f>
        <v>#REF!</v>
      </c>
      <c r="GT206" t="e">
        <f>AND(#REF!,"AAAAAFr578k=")</f>
        <v>#REF!</v>
      </c>
      <c r="GU206" t="e">
        <f>AND(#REF!,"AAAAAFr578o=")</f>
        <v>#REF!</v>
      </c>
      <c r="GV206" t="e">
        <f>AND(#REF!,"AAAAAFr578s=")</f>
        <v>#REF!</v>
      </c>
      <c r="GW206" t="e">
        <f>AND(#REF!,"AAAAAFr578w=")</f>
        <v>#REF!</v>
      </c>
      <c r="GX206" t="e">
        <f>IF(#REF!,"AAAAAFr5780=",0)</f>
        <v>#REF!</v>
      </c>
      <c r="GY206" t="e">
        <f>AND(#REF!,"AAAAAFr5784=")</f>
        <v>#REF!</v>
      </c>
      <c r="GZ206" t="e">
        <f>AND(#REF!,"AAAAAFr5788=")</f>
        <v>#REF!</v>
      </c>
      <c r="HA206" t="e">
        <f>AND(#REF!,"AAAAAFr579A=")</f>
        <v>#REF!</v>
      </c>
      <c r="HB206" t="e">
        <f>AND(#REF!,"AAAAAFr579E=")</f>
        <v>#REF!</v>
      </c>
      <c r="HC206" t="e">
        <f>AND(#REF!,"AAAAAFr579I=")</f>
        <v>#REF!</v>
      </c>
      <c r="HD206" t="e">
        <f>AND(#REF!,"AAAAAFr579M=")</f>
        <v>#REF!</v>
      </c>
      <c r="HE206" t="e">
        <f>AND(#REF!,"AAAAAFr579Q=")</f>
        <v>#REF!</v>
      </c>
      <c r="HF206" t="e">
        <f>AND(#REF!,"AAAAAFr579U=")</f>
        <v>#REF!</v>
      </c>
      <c r="HG206" t="e">
        <f>AND(#REF!,"AAAAAFr579Y=")</f>
        <v>#REF!</v>
      </c>
      <c r="HH206" t="e">
        <f>AND(#REF!,"AAAAAFr579c=")</f>
        <v>#REF!</v>
      </c>
      <c r="HI206" t="e">
        <f>AND(#REF!,"AAAAAFr579g=")</f>
        <v>#REF!</v>
      </c>
      <c r="HJ206" t="e">
        <f>AND(#REF!,"AAAAAFr579k=")</f>
        <v>#REF!</v>
      </c>
      <c r="HK206" t="e">
        <f>AND(#REF!,"AAAAAFr579o=")</f>
        <v>#REF!</v>
      </c>
      <c r="HL206" t="e">
        <f>AND(#REF!,"AAAAAFr579s=")</f>
        <v>#REF!</v>
      </c>
      <c r="HM206" t="e">
        <f>AND(#REF!,"AAAAAFr579w=")</f>
        <v>#REF!</v>
      </c>
      <c r="HN206" t="e">
        <f>AND(#REF!,"AAAAAFr5790=")</f>
        <v>#REF!</v>
      </c>
      <c r="HO206" t="e">
        <f>AND(#REF!,"AAAAAFr5794=")</f>
        <v>#REF!</v>
      </c>
      <c r="HP206" t="e">
        <f>AND(#REF!,"AAAAAFr5798=")</f>
        <v>#REF!</v>
      </c>
      <c r="HQ206" t="e">
        <f>AND(#REF!,"AAAAAFr57+A=")</f>
        <v>#REF!</v>
      </c>
      <c r="HR206" t="e">
        <f>AND(#REF!,"AAAAAFr57+E=")</f>
        <v>#REF!</v>
      </c>
      <c r="HS206" t="e">
        <f>AND(#REF!,"AAAAAFr57+I=")</f>
        <v>#REF!</v>
      </c>
      <c r="HT206" t="e">
        <f>AND(#REF!,"AAAAAFr57+M=")</f>
        <v>#REF!</v>
      </c>
      <c r="HU206" t="e">
        <f>AND(#REF!,"AAAAAFr57+Q=")</f>
        <v>#REF!</v>
      </c>
      <c r="HV206" t="e">
        <f>AND(#REF!,"AAAAAFr57+U=")</f>
        <v>#REF!</v>
      </c>
      <c r="HW206" t="e">
        <f>IF(#REF!,"AAAAAFr57+Y=",0)</f>
        <v>#REF!</v>
      </c>
      <c r="HX206" t="e">
        <f>AND(#REF!,"AAAAAFr57+c=")</f>
        <v>#REF!</v>
      </c>
      <c r="HY206" t="e">
        <f>AND(#REF!,"AAAAAFr57+g=")</f>
        <v>#REF!</v>
      </c>
      <c r="HZ206" t="e">
        <f>AND(#REF!,"AAAAAFr57+k=")</f>
        <v>#REF!</v>
      </c>
      <c r="IA206" t="e">
        <f>AND(#REF!,"AAAAAFr57+o=")</f>
        <v>#REF!</v>
      </c>
      <c r="IB206" t="e">
        <f>AND(#REF!,"AAAAAFr57+s=")</f>
        <v>#REF!</v>
      </c>
      <c r="IC206" t="e">
        <f>AND(#REF!,"AAAAAFr57+w=")</f>
        <v>#REF!</v>
      </c>
      <c r="ID206" t="e">
        <f>AND(#REF!,"AAAAAFr57+0=")</f>
        <v>#REF!</v>
      </c>
      <c r="IE206" t="e">
        <f>AND(#REF!,"AAAAAFr57+4=")</f>
        <v>#REF!</v>
      </c>
      <c r="IF206" t="e">
        <f>AND(#REF!,"AAAAAFr57+8=")</f>
        <v>#REF!</v>
      </c>
      <c r="IG206" t="e">
        <f>AND(#REF!,"AAAAAFr57/A=")</f>
        <v>#REF!</v>
      </c>
      <c r="IH206" t="e">
        <f>AND(#REF!,"AAAAAFr57/E=")</f>
        <v>#REF!</v>
      </c>
      <c r="II206" t="e">
        <f>AND(#REF!,"AAAAAFr57/I=")</f>
        <v>#REF!</v>
      </c>
      <c r="IJ206" t="e">
        <f>AND(#REF!,"AAAAAFr57/M=")</f>
        <v>#REF!</v>
      </c>
      <c r="IK206" t="e">
        <f>AND(#REF!,"AAAAAFr57/Q=")</f>
        <v>#REF!</v>
      </c>
      <c r="IL206" t="e">
        <f>AND(#REF!,"AAAAAFr57/U=")</f>
        <v>#REF!</v>
      </c>
      <c r="IM206" t="e">
        <f>AND(#REF!,"AAAAAFr57/Y=")</f>
        <v>#REF!</v>
      </c>
      <c r="IN206" t="e">
        <f>AND(#REF!,"AAAAAFr57/c=")</f>
        <v>#REF!</v>
      </c>
      <c r="IO206" t="e">
        <f>AND(#REF!,"AAAAAFr57/g=")</f>
        <v>#REF!</v>
      </c>
      <c r="IP206" t="e">
        <f>AND(#REF!,"AAAAAFr57/k=")</f>
        <v>#REF!</v>
      </c>
      <c r="IQ206" t="e">
        <f>AND(#REF!,"AAAAAFr57/o=")</f>
        <v>#REF!</v>
      </c>
      <c r="IR206" t="e">
        <f>AND(#REF!,"AAAAAFr57/s=")</f>
        <v>#REF!</v>
      </c>
      <c r="IS206" t="e">
        <f>AND(#REF!,"AAAAAFr57/w=")</f>
        <v>#REF!</v>
      </c>
      <c r="IT206" t="e">
        <f>AND(#REF!,"AAAAAFr57/0=")</f>
        <v>#REF!</v>
      </c>
      <c r="IU206" t="e">
        <f>AND(#REF!,"AAAAAFr57/4=")</f>
        <v>#REF!</v>
      </c>
      <c r="IV206" t="e">
        <f>IF(#REF!,"AAAAAFr57/8=",0)</f>
        <v>#REF!</v>
      </c>
    </row>
    <row r="207" spans="1:256">
      <c r="A207" t="e">
        <f>AND(#REF!,"AAAAAH3/3wA=")</f>
        <v>#REF!</v>
      </c>
      <c r="B207" t="e">
        <f>AND(#REF!,"AAAAAH3/3wE=")</f>
        <v>#REF!</v>
      </c>
      <c r="C207" t="e">
        <f>AND(#REF!,"AAAAAH3/3wI=")</f>
        <v>#REF!</v>
      </c>
      <c r="D207" t="e">
        <f>AND(#REF!,"AAAAAH3/3wM=")</f>
        <v>#REF!</v>
      </c>
      <c r="E207" t="e">
        <f>AND(#REF!,"AAAAAH3/3wQ=")</f>
        <v>#REF!</v>
      </c>
      <c r="F207" t="e">
        <f>AND(#REF!,"AAAAAH3/3wU=")</f>
        <v>#REF!</v>
      </c>
      <c r="G207" t="e">
        <f>AND(#REF!,"AAAAAH3/3wY=")</f>
        <v>#REF!</v>
      </c>
      <c r="H207" t="e">
        <f>AND(#REF!,"AAAAAH3/3wc=")</f>
        <v>#REF!</v>
      </c>
      <c r="I207" t="e">
        <f>AND(#REF!,"AAAAAH3/3wg=")</f>
        <v>#REF!</v>
      </c>
      <c r="J207" t="e">
        <f>AND(#REF!,"AAAAAH3/3wk=")</f>
        <v>#REF!</v>
      </c>
      <c r="K207" t="e">
        <f>AND(#REF!,"AAAAAH3/3wo=")</f>
        <v>#REF!</v>
      </c>
      <c r="L207" t="e">
        <f>AND(#REF!,"AAAAAH3/3ws=")</f>
        <v>#REF!</v>
      </c>
      <c r="M207" t="e">
        <f>AND(#REF!,"AAAAAH3/3ww=")</f>
        <v>#REF!</v>
      </c>
      <c r="N207" t="e">
        <f>AND(#REF!,"AAAAAH3/3w0=")</f>
        <v>#REF!</v>
      </c>
      <c r="O207" t="e">
        <f>AND(#REF!,"AAAAAH3/3w4=")</f>
        <v>#REF!</v>
      </c>
      <c r="P207" t="e">
        <f>AND(#REF!,"AAAAAH3/3w8=")</f>
        <v>#REF!</v>
      </c>
      <c r="Q207" t="e">
        <f>AND(#REF!,"AAAAAH3/3xA=")</f>
        <v>#REF!</v>
      </c>
      <c r="R207" t="e">
        <f>AND(#REF!,"AAAAAH3/3xE=")</f>
        <v>#REF!</v>
      </c>
      <c r="S207" t="e">
        <f>AND(#REF!,"AAAAAH3/3xI=")</f>
        <v>#REF!</v>
      </c>
      <c r="T207" t="e">
        <f>AND(#REF!,"AAAAAH3/3xM=")</f>
        <v>#REF!</v>
      </c>
      <c r="U207" t="e">
        <f>AND(#REF!,"AAAAAH3/3xQ=")</f>
        <v>#REF!</v>
      </c>
      <c r="V207" t="e">
        <f>AND(#REF!,"AAAAAH3/3xU=")</f>
        <v>#REF!</v>
      </c>
      <c r="W207" t="e">
        <f>AND(#REF!,"AAAAAH3/3xY=")</f>
        <v>#REF!</v>
      </c>
      <c r="X207" t="e">
        <f>AND(#REF!,"AAAAAH3/3xc=")</f>
        <v>#REF!</v>
      </c>
      <c r="Y207" t="e">
        <f>IF(#REF!,"AAAAAH3/3xg=",0)</f>
        <v>#REF!</v>
      </c>
      <c r="Z207" t="e">
        <f>AND(#REF!,"AAAAAH3/3xk=")</f>
        <v>#REF!</v>
      </c>
      <c r="AA207" t="e">
        <f>AND(#REF!,"AAAAAH3/3xo=")</f>
        <v>#REF!</v>
      </c>
      <c r="AB207" t="e">
        <f>AND(#REF!,"AAAAAH3/3xs=")</f>
        <v>#REF!</v>
      </c>
      <c r="AC207" t="e">
        <f>AND(#REF!,"AAAAAH3/3xw=")</f>
        <v>#REF!</v>
      </c>
      <c r="AD207" t="e">
        <f>AND(#REF!,"AAAAAH3/3x0=")</f>
        <v>#REF!</v>
      </c>
      <c r="AE207" t="e">
        <f>AND(#REF!,"AAAAAH3/3x4=")</f>
        <v>#REF!</v>
      </c>
      <c r="AF207" t="e">
        <f>AND(#REF!,"AAAAAH3/3x8=")</f>
        <v>#REF!</v>
      </c>
      <c r="AG207" t="e">
        <f>AND(#REF!,"AAAAAH3/3yA=")</f>
        <v>#REF!</v>
      </c>
      <c r="AH207" t="e">
        <f>AND(#REF!,"AAAAAH3/3yE=")</f>
        <v>#REF!</v>
      </c>
      <c r="AI207" t="e">
        <f>AND(#REF!,"AAAAAH3/3yI=")</f>
        <v>#REF!</v>
      </c>
      <c r="AJ207" t="e">
        <f>AND(#REF!,"AAAAAH3/3yM=")</f>
        <v>#REF!</v>
      </c>
      <c r="AK207" t="e">
        <f>AND(#REF!,"AAAAAH3/3yQ=")</f>
        <v>#REF!</v>
      </c>
      <c r="AL207" t="e">
        <f>AND(#REF!,"AAAAAH3/3yU=")</f>
        <v>#REF!</v>
      </c>
      <c r="AM207" t="e">
        <f>AND(#REF!,"AAAAAH3/3yY=")</f>
        <v>#REF!</v>
      </c>
      <c r="AN207" t="e">
        <f>AND(#REF!,"AAAAAH3/3yc=")</f>
        <v>#REF!</v>
      </c>
      <c r="AO207" t="e">
        <f>AND(#REF!,"AAAAAH3/3yg=")</f>
        <v>#REF!</v>
      </c>
      <c r="AP207" t="e">
        <f>AND(#REF!,"AAAAAH3/3yk=")</f>
        <v>#REF!</v>
      </c>
      <c r="AQ207" t="e">
        <f>AND(#REF!,"AAAAAH3/3yo=")</f>
        <v>#REF!</v>
      </c>
      <c r="AR207" t="e">
        <f>AND(#REF!,"AAAAAH3/3ys=")</f>
        <v>#REF!</v>
      </c>
      <c r="AS207" t="e">
        <f>AND(#REF!,"AAAAAH3/3yw=")</f>
        <v>#REF!</v>
      </c>
      <c r="AT207" t="e">
        <f>AND(#REF!,"AAAAAH3/3y0=")</f>
        <v>#REF!</v>
      </c>
      <c r="AU207" t="e">
        <f>AND(#REF!,"AAAAAH3/3y4=")</f>
        <v>#REF!</v>
      </c>
      <c r="AV207" t="e">
        <f>AND(#REF!,"AAAAAH3/3y8=")</f>
        <v>#REF!</v>
      </c>
      <c r="AW207" t="e">
        <f>AND(#REF!,"AAAAAH3/3zA=")</f>
        <v>#REF!</v>
      </c>
      <c r="AX207" t="e">
        <f>IF(#REF!,"AAAAAH3/3zE=",0)</f>
        <v>#REF!</v>
      </c>
      <c r="AY207" t="e">
        <f>AND(#REF!,"AAAAAH3/3zI=")</f>
        <v>#REF!</v>
      </c>
      <c r="AZ207" t="e">
        <f>AND(#REF!,"AAAAAH3/3zM=")</f>
        <v>#REF!</v>
      </c>
      <c r="BA207" t="e">
        <f>AND(#REF!,"AAAAAH3/3zQ=")</f>
        <v>#REF!</v>
      </c>
      <c r="BB207" t="e">
        <f>AND(#REF!,"AAAAAH3/3zU=")</f>
        <v>#REF!</v>
      </c>
      <c r="BC207" t="e">
        <f>AND(#REF!,"AAAAAH3/3zY=")</f>
        <v>#REF!</v>
      </c>
      <c r="BD207" t="e">
        <f>AND(#REF!,"AAAAAH3/3zc=")</f>
        <v>#REF!</v>
      </c>
      <c r="BE207" t="e">
        <f>AND(#REF!,"AAAAAH3/3zg=")</f>
        <v>#REF!</v>
      </c>
      <c r="BF207" t="e">
        <f>AND(#REF!,"AAAAAH3/3zk=")</f>
        <v>#REF!</v>
      </c>
      <c r="BG207" t="e">
        <f>AND(#REF!,"AAAAAH3/3zo=")</f>
        <v>#REF!</v>
      </c>
      <c r="BH207" t="e">
        <f>AND(#REF!,"AAAAAH3/3zs=")</f>
        <v>#REF!</v>
      </c>
      <c r="BI207" t="e">
        <f>AND(#REF!,"AAAAAH3/3zw=")</f>
        <v>#REF!</v>
      </c>
      <c r="BJ207" t="e">
        <f>AND(#REF!,"AAAAAH3/3z0=")</f>
        <v>#REF!</v>
      </c>
      <c r="BK207" t="e">
        <f>AND(#REF!,"AAAAAH3/3z4=")</f>
        <v>#REF!</v>
      </c>
      <c r="BL207" t="e">
        <f>AND(#REF!,"AAAAAH3/3z8=")</f>
        <v>#REF!</v>
      </c>
      <c r="BM207" t="e">
        <f>AND(#REF!,"AAAAAH3/30A=")</f>
        <v>#REF!</v>
      </c>
      <c r="BN207" t="e">
        <f>AND(#REF!,"AAAAAH3/30E=")</f>
        <v>#REF!</v>
      </c>
      <c r="BO207" t="e">
        <f>AND(#REF!,"AAAAAH3/30I=")</f>
        <v>#REF!</v>
      </c>
      <c r="BP207" t="e">
        <f>AND(#REF!,"AAAAAH3/30M=")</f>
        <v>#REF!</v>
      </c>
      <c r="BQ207" t="e">
        <f>AND(#REF!,"AAAAAH3/30Q=")</f>
        <v>#REF!</v>
      </c>
      <c r="BR207" t="e">
        <f>AND(#REF!,"AAAAAH3/30U=")</f>
        <v>#REF!</v>
      </c>
      <c r="BS207" t="e">
        <f>AND(#REF!,"AAAAAH3/30Y=")</f>
        <v>#REF!</v>
      </c>
      <c r="BT207" t="e">
        <f>AND(#REF!,"AAAAAH3/30c=")</f>
        <v>#REF!</v>
      </c>
      <c r="BU207" t="e">
        <f>AND(#REF!,"AAAAAH3/30g=")</f>
        <v>#REF!</v>
      </c>
      <c r="BV207" t="e">
        <f>AND(#REF!,"AAAAAH3/30k=")</f>
        <v>#REF!</v>
      </c>
      <c r="BW207" t="e">
        <f>IF(#REF!,"AAAAAH3/30o=",0)</f>
        <v>#REF!</v>
      </c>
      <c r="BX207" t="e">
        <f>AND(#REF!,"AAAAAH3/30s=")</f>
        <v>#REF!</v>
      </c>
      <c r="BY207" t="e">
        <f>AND(#REF!,"AAAAAH3/30w=")</f>
        <v>#REF!</v>
      </c>
      <c r="BZ207" t="e">
        <f>AND(#REF!,"AAAAAH3/300=")</f>
        <v>#REF!</v>
      </c>
      <c r="CA207" t="e">
        <f>AND(#REF!,"AAAAAH3/304=")</f>
        <v>#REF!</v>
      </c>
      <c r="CB207" t="e">
        <f>AND(#REF!,"AAAAAH3/308=")</f>
        <v>#REF!</v>
      </c>
      <c r="CC207" t="e">
        <f>AND(#REF!,"AAAAAH3/31A=")</f>
        <v>#REF!</v>
      </c>
      <c r="CD207" t="e">
        <f>AND(#REF!,"AAAAAH3/31E=")</f>
        <v>#REF!</v>
      </c>
      <c r="CE207" t="e">
        <f>AND(#REF!,"AAAAAH3/31I=")</f>
        <v>#REF!</v>
      </c>
      <c r="CF207" t="e">
        <f>AND(#REF!,"AAAAAH3/31M=")</f>
        <v>#REF!</v>
      </c>
      <c r="CG207" t="e">
        <f>AND(#REF!,"AAAAAH3/31Q=")</f>
        <v>#REF!</v>
      </c>
      <c r="CH207" t="e">
        <f>AND(#REF!,"AAAAAH3/31U=")</f>
        <v>#REF!</v>
      </c>
      <c r="CI207" t="e">
        <f>AND(#REF!,"AAAAAH3/31Y=")</f>
        <v>#REF!</v>
      </c>
      <c r="CJ207" t="e">
        <f>AND(#REF!,"AAAAAH3/31c=")</f>
        <v>#REF!</v>
      </c>
      <c r="CK207" t="e">
        <f>AND(#REF!,"AAAAAH3/31g=")</f>
        <v>#REF!</v>
      </c>
      <c r="CL207" t="e">
        <f>AND(#REF!,"AAAAAH3/31k=")</f>
        <v>#REF!</v>
      </c>
      <c r="CM207" t="e">
        <f>AND(#REF!,"AAAAAH3/31o=")</f>
        <v>#REF!</v>
      </c>
      <c r="CN207" t="e">
        <f>AND(#REF!,"AAAAAH3/31s=")</f>
        <v>#REF!</v>
      </c>
      <c r="CO207" t="e">
        <f>AND(#REF!,"AAAAAH3/31w=")</f>
        <v>#REF!</v>
      </c>
      <c r="CP207" t="e">
        <f>AND(#REF!,"AAAAAH3/310=")</f>
        <v>#REF!</v>
      </c>
      <c r="CQ207" t="e">
        <f>AND(#REF!,"AAAAAH3/314=")</f>
        <v>#REF!</v>
      </c>
      <c r="CR207" t="e">
        <f>AND(#REF!,"AAAAAH3/318=")</f>
        <v>#REF!</v>
      </c>
      <c r="CS207" t="e">
        <f>AND(#REF!,"AAAAAH3/32A=")</f>
        <v>#REF!</v>
      </c>
      <c r="CT207" t="e">
        <f>AND(#REF!,"AAAAAH3/32E=")</f>
        <v>#REF!</v>
      </c>
      <c r="CU207" t="e">
        <f>AND(#REF!,"AAAAAH3/32I=")</f>
        <v>#REF!</v>
      </c>
      <c r="CV207" t="e">
        <f>IF(#REF!,"AAAAAH3/32M=",0)</f>
        <v>#REF!</v>
      </c>
      <c r="CW207" t="e">
        <f>AND(#REF!,"AAAAAH3/32Q=")</f>
        <v>#REF!</v>
      </c>
      <c r="CX207" t="e">
        <f>AND(#REF!,"AAAAAH3/32U=")</f>
        <v>#REF!</v>
      </c>
      <c r="CY207" t="e">
        <f>AND(#REF!,"AAAAAH3/32Y=")</f>
        <v>#REF!</v>
      </c>
      <c r="CZ207" t="e">
        <f>AND(#REF!,"AAAAAH3/32c=")</f>
        <v>#REF!</v>
      </c>
      <c r="DA207" t="e">
        <f>AND(#REF!,"AAAAAH3/32g=")</f>
        <v>#REF!</v>
      </c>
      <c r="DB207" t="e">
        <f>AND(#REF!,"AAAAAH3/32k=")</f>
        <v>#REF!</v>
      </c>
      <c r="DC207" t="e">
        <f>AND(#REF!,"AAAAAH3/32o=")</f>
        <v>#REF!</v>
      </c>
      <c r="DD207" t="e">
        <f>AND(#REF!,"AAAAAH3/32s=")</f>
        <v>#REF!</v>
      </c>
      <c r="DE207" t="e">
        <f>AND(#REF!,"AAAAAH3/32w=")</f>
        <v>#REF!</v>
      </c>
      <c r="DF207" t="e">
        <f>AND(#REF!,"AAAAAH3/320=")</f>
        <v>#REF!</v>
      </c>
      <c r="DG207" t="e">
        <f>AND(#REF!,"AAAAAH3/324=")</f>
        <v>#REF!</v>
      </c>
      <c r="DH207" t="e">
        <f>AND(#REF!,"AAAAAH3/328=")</f>
        <v>#REF!</v>
      </c>
      <c r="DI207" t="e">
        <f>AND(#REF!,"AAAAAH3/33A=")</f>
        <v>#REF!</v>
      </c>
      <c r="DJ207" t="e">
        <f>AND(#REF!,"AAAAAH3/33E=")</f>
        <v>#REF!</v>
      </c>
      <c r="DK207" t="e">
        <f>AND(#REF!,"AAAAAH3/33I=")</f>
        <v>#REF!</v>
      </c>
      <c r="DL207" t="e">
        <f>AND(#REF!,"AAAAAH3/33M=")</f>
        <v>#REF!</v>
      </c>
      <c r="DM207" t="e">
        <f>AND(#REF!,"AAAAAH3/33Q=")</f>
        <v>#REF!</v>
      </c>
      <c r="DN207" t="e">
        <f>AND(#REF!,"AAAAAH3/33U=")</f>
        <v>#REF!</v>
      </c>
      <c r="DO207" t="e">
        <f>AND(#REF!,"AAAAAH3/33Y=")</f>
        <v>#REF!</v>
      </c>
      <c r="DP207" t="e">
        <f>AND(#REF!,"AAAAAH3/33c=")</f>
        <v>#REF!</v>
      </c>
      <c r="DQ207" t="e">
        <f>AND(#REF!,"AAAAAH3/33g=")</f>
        <v>#REF!</v>
      </c>
      <c r="DR207" t="e">
        <f>AND(#REF!,"AAAAAH3/33k=")</f>
        <v>#REF!</v>
      </c>
      <c r="DS207" t="e">
        <f>AND(#REF!,"AAAAAH3/33o=")</f>
        <v>#REF!</v>
      </c>
      <c r="DT207" t="e">
        <f>AND(#REF!,"AAAAAH3/33s=")</f>
        <v>#REF!</v>
      </c>
      <c r="DU207" t="e">
        <f>IF(#REF!,"AAAAAH3/33w=",0)</f>
        <v>#REF!</v>
      </c>
      <c r="DV207" t="e">
        <f>AND(#REF!,"AAAAAH3/330=")</f>
        <v>#REF!</v>
      </c>
      <c r="DW207" t="e">
        <f>AND(#REF!,"AAAAAH3/334=")</f>
        <v>#REF!</v>
      </c>
      <c r="DX207" t="e">
        <f>AND(#REF!,"AAAAAH3/338=")</f>
        <v>#REF!</v>
      </c>
      <c r="DY207" t="e">
        <f>AND(#REF!,"AAAAAH3/34A=")</f>
        <v>#REF!</v>
      </c>
      <c r="DZ207" t="e">
        <f>AND(#REF!,"AAAAAH3/34E=")</f>
        <v>#REF!</v>
      </c>
      <c r="EA207" t="e">
        <f>AND(#REF!,"AAAAAH3/34I=")</f>
        <v>#REF!</v>
      </c>
      <c r="EB207" t="e">
        <f>AND(#REF!,"AAAAAH3/34M=")</f>
        <v>#REF!</v>
      </c>
      <c r="EC207" t="e">
        <f>AND(#REF!,"AAAAAH3/34Q=")</f>
        <v>#REF!</v>
      </c>
      <c r="ED207" t="e">
        <f>AND(#REF!,"AAAAAH3/34U=")</f>
        <v>#REF!</v>
      </c>
      <c r="EE207" t="e">
        <f>AND(#REF!,"AAAAAH3/34Y=")</f>
        <v>#REF!</v>
      </c>
      <c r="EF207" t="e">
        <f>AND(#REF!,"AAAAAH3/34c=")</f>
        <v>#REF!</v>
      </c>
      <c r="EG207" t="e">
        <f>AND(#REF!,"AAAAAH3/34g=")</f>
        <v>#REF!</v>
      </c>
      <c r="EH207" t="e">
        <f>AND(#REF!,"AAAAAH3/34k=")</f>
        <v>#REF!</v>
      </c>
      <c r="EI207" t="e">
        <f>AND(#REF!,"AAAAAH3/34o=")</f>
        <v>#REF!</v>
      </c>
      <c r="EJ207" t="e">
        <f>AND(#REF!,"AAAAAH3/34s=")</f>
        <v>#REF!</v>
      </c>
      <c r="EK207" t="e">
        <f>AND(#REF!,"AAAAAH3/34w=")</f>
        <v>#REF!</v>
      </c>
      <c r="EL207" t="e">
        <f>AND(#REF!,"AAAAAH3/340=")</f>
        <v>#REF!</v>
      </c>
      <c r="EM207" t="e">
        <f>AND(#REF!,"AAAAAH3/344=")</f>
        <v>#REF!</v>
      </c>
      <c r="EN207" t="e">
        <f>AND(#REF!,"AAAAAH3/348=")</f>
        <v>#REF!</v>
      </c>
      <c r="EO207" t="e">
        <f>AND(#REF!,"AAAAAH3/35A=")</f>
        <v>#REF!</v>
      </c>
      <c r="EP207" t="e">
        <f>AND(#REF!,"AAAAAH3/35E=")</f>
        <v>#REF!</v>
      </c>
      <c r="EQ207" t="e">
        <f>AND(#REF!,"AAAAAH3/35I=")</f>
        <v>#REF!</v>
      </c>
      <c r="ER207" t="e">
        <f>AND(#REF!,"AAAAAH3/35M=")</f>
        <v>#REF!</v>
      </c>
      <c r="ES207" t="e">
        <f>AND(#REF!,"AAAAAH3/35Q=")</f>
        <v>#REF!</v>
      </c>
      <c r="ET207" t="e">
        <f>IF(#REF!,"AAAAAH3/35U=",0)</f>
        <v>#REF!</v>
      </c>
      <c r="EU207" t="e">
        <f>AND(#REF!,"AAAAAH3/35Y=")</f>
        <v>#REF!</v>
      </c>
      <c r="EV207" t="e">
        <f>AND(#REF!,"AAAAAH3/35c=")</f>
        <v>#REF!</v>
      </c>
      <c r="EW207" t="e">
        <f>AND(#REF!,"AAAAAH3/35g=")</f>
        <v>#REF!</v>
      </c>
      <c r="EX207" t="e">
        <f>AND(#REF!,"AAAAAH3/35k=")</f>
        <v>#REF!</v>
      </c>
      <c r="EY207" t="e">
        <f>AND(#REF!,"AAAAAH3/35o=")</f>
        <v>#REF!</v>
      </c>
      <c r="EZ207" t="e">
        <f>AND(#REF!,"AAAAAH3/35s=")</f>
        <v>#REF!</v>
      </c>
      <c r="FA207" t="e">
        <f>AND(#REF!,"AAAAAH3/35w=")</f>
        <v>#REF!</v>
      </c>
      <c r="FB207" t="e">
        <f>AND(#REF!,"AAAAAH3/350=")</f>
        <v>#REF!</v>
      </c>
      <c r="FC207" t="e">
        <f>AND(#REF!,"AAAAAH3/354=")</f>
        <v>#REF!</v>
      </c>
      <c r="FD207" t="e">
        <f>AND(#REF!,"AAAAAH3/358=")</f>
        <v>#REF!</v>
      </c>
      <c r="FE207" t="e">
        <f>AND(#REF!,"AAAAAH3/36A=")</f>
        <v>#REF!</v>
      </c>
      <c r="FF207" t="e">
        <f>AND(#REF!,"AAAAAH3/36E=")</f>
        <v>#REF!</v>
      </c>
      <c r="FG207" t="e">
        <f>AND(#REF!,"AAAAAH3/36I=")</f>
        <v>#REF!</v>
      </c>
      <c r="FH207" t="e">
        <f>AND(#REF!,"AAAAAH3/36M=")</f>
        <v>#REF!</v>
      </c>
      <c r="FI207" t="e">
        <f>AND(#REF!,"AAAAAH3/36Q=")</f>
        <v>#REF!</v>
      </c>
      <c r="FJ207" t="e">
        <f>AND(#REF!,"AAAAAH3/36U=")</f>
        <v>#REF!</v>
      </c>
      <c r="FK207" t="e">
        <f>AND(#REF!,"AAAAAH3/36Y=")</f>
        <v>#REF!</v>
      </c>
      <c r="FL207" t="e">
        <f>AND(#REF!,"AAAAAH3/36c=")</f>
        <v>#REF!</v>
      </c>
      <c r="FM207" t="e">
        <f>AND(#REF!,"AAAAAH3/36g=")</f>
        <v>#REF!</v>
      </c>
      <c r="FN207" t="e">
        <f>AND(#REF!,"AAAAAH3/36k=")</f>
        <v>#REF!</v>
      </c>
      <c r="FO207" t="e">
        <f>AND(#REF!,"AAAAAH3/36o=")</f>
        <v>#REF!</v>
      </c>
      <c r="FP207" t="e">
        <f>AND(#REF!,"AAAAAH3/36s=")</f>
        <v>#REF!</v>
      </c>
      <c r="FQ207" t="e">
        <f>AND(#REF!,"AAAAAH3/36w=")</f>
        <v>#REF!</v>
      </c>
      <c r="FR207" t="e">
        <f>AND(#REF!,"AAAAAH3/360=")</f>
        <v>#REF!</v>
      </c>
      <c r="FS207" t="e">
        <f>IF(#REF!,"AAAAAH3/364=",0)</f>
        <v>#REF!</v>
      </c>
      <c r="FT207" t="e">
        <f>AND(#REF!,"AAAAAH3/368=")</f>
        <v>#REF!</v>
      </c>
      <c r="FU207" t="e">
        <f>AND(#REF!,"AAAAAH3/37A=")</f>
        <v>#REF!</v>
      </c>
      <c r="FV207" t="e">
        <f>AND(#REF!,"AAAAAH3/37E=")</f>
        <v>#REF!</v>
      </c>
      <c r="FW207" t="e">
        <f>AND(#REF!,"AAAAAH3/37I=")</f>
        <v>#REF!</v>
      </c>
      <c r="FX207" t="e">
        <f>AND(#REF!,"AAAAAH3/37M=")</f>
        <v>#REF!</v>
      </c>
      <c r="FY207" t="e">
        <f>AND(#REF!,"AAAAAH3/37Q=")</f>
        <v>#REF!</v>
      </c>
      <c r="FZ207" t="e">
        <f>AND(#REF!,"AAAAAH3/37U=")</f>
        <v>#REF!</v>
      </c>
      <c r="GA207" t="e">
        <f>AND(#REF!,"AAAAAH3/37Y=")</f>
        <v>#REF!</v>
      </c>
      <c r="GB207" t="e">
        <f>AND(#REF!,"AAAAAH3/37c=")</f>
        <v>#REF!</v>
      </c>
      <c r="GC207" t="e">
        <f>AND(#REF!,"AAAAAH3/37g=")</f>
        <v>#REF!</v>
      </c>
      <c r="GD207" t="e">
        <f>AND(#REF!,"AAAAAH3/37k=")</f>
        <v>#REF!</v>
      </c>
      <c r="GE207" t="e">
        <f>AND(#REF!,"AAAAAH3/37o=")</f>
        <v>#REF!</v>
      </c>
      <c r="GF207" t="e">
        <f>AND(#REF!,"AAAAAH3/37s=")</f>
        <v>#REF!</v>
      </c>
      <c r="GG207" t="e">
        <f>AND(#REF!,"AAAAAH3/37w=")</f>
        <v>#REF!</v>
      </c>
      <c r="GH207" t="e">
        <f>AND(#REF!,"AAAAAH3/370=")</f>
        <v>#REF!</v>
      </c>
      <c r="GI207" t="e">
        <f>AND(#REF!,"AAAAAH3/374=")</f>
        <v>#REF!</v>
      </c>
      <c r="GJ207" t="e">
        <f>AND(#REF!,"AAAAAH3/378=")</f>
        <v>#REF!</v>
      </c>
      <c r="GK207" t="e">
        <f>AND(#REF!,"AAAAAH3/38A=")</f>
        <v>#REF!</v>
      </c>
      <c r="GL207" t="e">
        <f>AND(#REF!,"AAAAAH3/38E=")</f>
        <v>#REF!</v>
      </c>
      <c r="GM207" t="e">
        <f>AND(#REF!,"AAAAAH3/38I=")</f>
        <v>#REF!</v>
      </c>
      <c r="GN207" t="e">
        <f>AND(#REF!,"AAAAAH3/38M=")</f>
        <v>#REF!</v>
      </c>
      <c r="GO207" t="e">
        <f>AND(#REF!,"AAAAAH3/38Q=")</f>
        <v>#REF!</v>
      </c>
      <c r="GP207" t="e">
        <f>AND(#REF!,"AAAAAH3/38U=")</f>
        <v>#REF!</v>
      </c>
      <c r="GQ207" t="e">
        <f>AND(#REF!,"AAAAAH3/38Y=")</f>
        <v>#REF!</v>
      </c>
      <c r="GR207" t="e">
        <f>IF(#REF!,"AAAAAH3/38c=",0)</f>
        <v>#REF!</v>
      </c>
      <c r="GS207" t="e">
        <f>AND(#REF!,"AAAAAH3/38g=")</f>
        <v>#REF!</v>
      </c>
      <c r="GT207" t="e">
        <f>AND(#REF!,"AAAAAH3/38k=")</f>
        <v>#REF!</v>
      </c>
      <c r="GU207" t="e">
        <f>AND(#REF!,"AAAAAH3/38o=")</f>
        <v>#REF!</v>
      </c>
      <c r="GV207" t="e">
        <f>AND(#REF!,"AAAAAH3/38s=")</f>
        <v>#REF!</v>
      </c>
      <c r="GW207" t="e">
        <f>AND(#REF!,"AAAAAH3/38w=")</f>
        <v>#REF!</v>
      </c>
      <c r="GX207" t="e">
        <f>AND(#REF!,"AAAAAH3/380=")</f>
        <v>#REF!</v>
      </c>
      <c r="GY207" t="e">
        <f>AND(#REF!,"AAAAAH3/384=")</f>
        <v>#REF!</v>
      </c>
      <c r="GZ207" t="e">
        <f>AND(#REF!,"AAAAAH3/388=")</f>
        <v>#REF!</v>
      </c>
      <c r="HA207" t="e">
        <f>AND(#REF!,"AAAAAH3/39A=")</f>
        <v>#REF!</v>
      </c>
      <c r="HB207" t="e">
        <f>AND(#REF!,"AAAAAH3/39E=")</f>
        <v>#REF!</v>
      </c>
      <c r="HC207" t="e">
        <f>AND(#REF!,"AAAAAH3/39I=")</f>
        <v>#REF!</v>
      </c>
      <c r="HD207" t="e">
        <f>AND(#REF!,"AAAAAH3/39M=")</f>
        <v>#REF!</v>
      </c>
      <c r="HE207" t="e">
        <f>AND(#REF!,"AAAAAH3/39Q=")</f>
        <v>#REF!</v>
      </c>
      <c r="HF207" t="e">
        <f>AND(#REF!,"AAAAAH3/39U=")</f>
        <v>#REF!</v>
      </c>
      <c r="HG207" t="e">
        <f>AND(#REF!,"AAAAAH3/39Y=")</f>
        <v>#REF!</v>
      </c>
      <c r="HH207" t="e">
        <f>AND(#REF!,"AAAAAH3/39c=")</f>
        <v>#REF!</v>
      </c>
      <c r="HI207" t="e">
        <f>AND(#REF!,"AAAAAH3/39g=")</f>
        <v>#REF!</v>
      </c>
      <c r="HJ207" t="e">
        <f>AND(#REF!,"AAAAAH3/39k=")</f>
        <v>#REF!</v>
      </c>
      <c r="HK207" t="e">
        <f>AND(#REF!,"AAAAAH3/39o=")</f>
        <v>#REF!</v>
      </c>
      <c r="HL207" t="e">
        <f>AND(#REF!,"AAAAAH3/39s=")</f>
        <v>#REF!</v>
      </c>
      <c r="HM207" t="e">
        <f>AND(#REF!,"AAAAAH3/39w=")</f>
        <v>#REF!</v>
      </c>
      <c r="HN207" t="e">
        <f>AND(#REF!,"AAAAAH3/390=")</f>
        <v>#REF!</v>
      </c>
      <c r="HO207" t="e">
        <f>AND(#REF!,"AAAAAH3/394=")</f>
        <v>#REF!</v>
      </c>
      <c r="HP207" t="e">
        <f>AND(#REF!,"AAAAAH3/398=")</f>
        <v>#REF!</v>
      </c>
      <c r="HQ207" t="e">
        <f>IF(#REF!,"AAAAAH3/3+A=",0)</f>
        <v>#REF!</v>
      </c>
      <c r="HR207" t="e">
        <f>AND(#REF!,"AAAAAH3/3+E=")</f>
        <v>#REF!</v>
      </c>
      <c r="HS207" t="e">
        <f>AND(#REF!,"AAAAAH3/3+I=")</f>
        <v>#REF!</v>
      </c>
      <c r="HT207" t="e">
        <f>AND(#REF!,"AAAAAH3/3+M=")</f>
        <v>#REF!</v>
      </c>
      <c r="HU207" t="e">
        <f>AND(#REF!,"AAAAAH3/3+Q=")</f>
        <v>#REF!</v>
      </c>
      <c r="HV207" t="e">
        <f>AND(#REF!,"AAAAAH3/3+U=")</f>
        <v>#REF!</v>
      </c>
      <c r="HW207" t="e">
        <f>AND(#REF!,"AAAAAH3/3+Y=")</f>
        <v>#REF!</v>
      </c>
      <c r="HX207" t="e">
        <f>AND(#REF!,"AAAAAH3/3+c=")</f>
        <v>#REF!</v>
      </c>
      <c r="HY207" t="e">
        <f>AND(#REF!,"AAAAAH3/3+g=")</f>
        <v>#REF!</v>
      </c>
      <c r="HZ207" t="e">
        <f>AND(#REF!,"AAAAAH3/3+k=")</f>
        <v>#REF!</v>
      </c>
      <c r="IA207" t="e">
        <f>AND(#REF!,"AAAAAH3/3+o=")</f>
        <v>#REF!</v>
      </c>
      <c r="IB207" t="e">
        <f>AND(#REF!,"AAAAAH3/3+s=")</f>
        <v>#REF!</v>
      </c>
      <c r="IC207" t="e">
        <f>AND(#REF!,"AAAAAH3/3+w=")</f>
        <v>#REF!</v>
      </c>
      <c r="ID207" t="e">
        <f>AND(#REF!,"AAAAAH3/3+0=")</f>
        <v>#REF!</v>
      </c>
      <c r="IE207" t="e">
        <f>AND(#REF!,"AAAAAH3/3+4=")</f>
        <v>#REF!</v>
      </c>
      <c r="IF207" t="e">
        <f>AND(#REF!,"AAAAAH3/3+8=")</f>
        <v>#REF!</v>
      </c>
      <c r="IG207" t="e">
        <f>AND(#REF!,"AAAAAH3/3/A=")</f>
        <v>#REF!</v>
      </c>
      <c r="IH207" t="e">
        <f>AND(#REF!,"AAAAAH3/3/E=")</f>
        <v>#REF!</v>
      </c>
      <c r="II207" t="e">
        <f>AND(#REF!,"AAAAAH3/3/I=")</f>
        <v>#REF!</v>
      </c>
      <c r="IJ207" t="e">
        <f>AND(#REF!,"AAAAAH3/3/M=")</f>
        <v>#REF!</v>
      </c>
      <c r="IK207" t="e">
        <f>AND(#REF!,"AAAAAH3/3/Q=")</f>
        <v>#REF!</v>
      </c>
      <c r="IL207" t="e">
        <f>AND(#REF!,"AAAAAH3/3/U=")</f>
        <v>#REF!</v>
      </c>
      <c r="IM207" t="e">
        <f>AND(#REF!,"AAAAAH3/3/Y=")</f>
        <v>#REF!</v>
      </c>
      <c r="IN207" t="e">
        <f>AND(#REF!,"AAAAAH3/3/c=")</f>
        <v>#REF!</v>
      </c>
      <c r="IO207" t="e">
        <f>AND(#REF!,"AAAAAH3/3/g=")</f>
        <v>#REF!</v>
      </c>
      <c r="IP207" t="e">
        <f>IF(#REF!,"AAAAAH3/3/k=",0)</f>
        <v>#REF!</v>
      </c>
      <c r="IQ207" t="e">
        <f>AND(#REF!,"AAAAAH3/3/o=")</f>
        <v>#REF!</v>
      </c>
      <c r="IR207" t="e">
        <f>AND(#REF!,"AAAAAH3/3/s=")</f>
        <v>#REF!</v>
      </c>
      <c r="IS207" t="e">
        <f>AND(#REF!,"AAAAAH3/3/w=")</f>
        <v>#REF!</v>
      </c>
      <c r="IT207" t="e">
        <f>AND(#REF!,"AAAAAH3/3/0=")</f>
        <v>#REF!</v>
      </c>
      <c r="IU207" t="e">
        <f>AND(#REF!,"AAAAAH3/3/4=")</f>
        <v>#REF!</v>
      </c>
      <c r="IV207" t="e">
        <f>AND(#REF!,"AAAAAH3/3/8=")</f>
        <v>#REF!</v>
      </c>
    </row>
    <row r="208" spans="1:256">
      <c r="A208" t="e">
        <f>AND(#REF!,"AAAAAH/VXQA=")</f>
        <v>#REF!</v>
      </c>
      <c r="B208" t="e">
        <f>AND(#REF!,"AAAAAH/VXQE=")</f>
        <v>#REF!</v>
      </c>
      <c r="C208" t="e">
        <f>AND(#REF!,"AAAAAH/VXQI=")</f>
        <v>#REF!</v>
      </c>
      <c r="D208" t="e">
        <f>AND(#REF!,"AAAAAH/VXQM=")</f>
        <v>#REF!</v>
      </c>
      <c r="E208" t="e">
        <f>AND(#REF!,"AAAAAH/VXQQ=")</f>
        <v>#REF!</v>
      </c>
      <c r="F208" t="e">
        <f>AND(#REF!,"AAAAAH/VXQU=")</f>
        <v>#REF!</v>
      </c>
      <c r="G208" t="e">
        <f>AND(#REF!,"AAAAAH/VXQY=")</f>
        <v>#REF!</v>
      </c>
      <c r="H208" t="e">
        <f>AND(#REF!,"AAAAAH/VXQc=")</f>
        <v>#REF!</v>
      </c>
      <c r="I208" t="e">
        <f>AND(#REF!,"AAAAAH/VXQg=")</f>
        <v>#REF!</v>
      </c>
      <c r="J208" t="e">
        <f>AND(#REF!,"AAAAAH/VXQk=")</f>
        <v>#REF!</v>
      </c>
      <c r="K208" t="e">
        <f>AND(#REF!,"AAAAAH/VXQo=")</f>
        <v>#REF!</v>
      </c>
      <c r="L208" t="e">
        <f>AND(#REF!,"AAAAAH/VXQs=")</f>
        <v>#REF!</v>
      </c>
      <c r="M208" t="e">
        <f>AND(#REF!,"AAAAAH/VXQw=")</f>
        <v>#REF!</v>
      </c>
      <c r="N208" t="e">
        <f>AND(#REF!,"AAAAAH/VXQ0=")</f>
        <v>#REF!</v>
      </c>
      <c r="O208" t="e">
        <f>AND(#REF!,"AAAAAH/VXQ4=")</f>
        <v>#REF!</v>
      </c>
      <c r="P208" t="e">
        <f>AND(#REF!,"AAAAAH/VXQ8=")</f>
        <v>#REF!</v>
      </c>
      <c r="Q208" t="e">
        <f>AND(#REF!,"AAAAAH/VXRA=")</f>
        <v>#REF!</v>
      </c>
      <c r="R208" t="e">
        <f>AND(#REF!,"AAAAAH/VXRE=")</f>
        <v>#REF!</v>
      </c>
      <c r="S208" t="e">
        <f>IF(#REF!,"AAAAAH/VXRI=",0)</f>
        <v>#REF!</v>
      </c>
      <c r="T208" t="e">
        <f>AND(#REF!,"AAAAAH/VXRM=")</f>
        <v>#REF!</v>
      </c>
      <c r="U208" t="e">
        <f>AND(#REF!,"AAAAAH/VXRQ=")</f>
        <v>#REF!</v>
      </c>
      <c r="V208" t="e">
        <f>AND(#REF!,"AAAAAH/VXRU=")</f>
        <v>#REF!</v>
      </c>
      <c r="W208" t="e">
        <f>AND(#REF!,"AAAAAH/VXRY=")</f>
        <v>#REF!</v>
      </c>
      <c r="X208" t="e">
        <f>AND(#REF!,"AAAAAH/VXRc=")</f>
        <v>#REF!</v>
      </c>
      <c r="Y208" t="e">
        <f>AND(#REF!,"AAAAAH/VXRg=")</f>
        <v>#REF!</v>
      </c>
      <c r="Z208" t="e">
        <f>AND(#REF!,"AAAAAH/VXRk=")</f>
        <v>#REF!</v>
      </c>
      <c r="AA208" t="e">
        <f>AND(#REF!,"AAAAAH/VXRo=")</f>
        <v>#REF!</v>
      </c>
      <c r="AB208" t="e">
        <f>AND(#REF!,"AAAAAH/VXRs=")</f>
        <v>#REF!</v>
      </c>
      <c r="AC208" t="e">
        <f>AND(#REF!,"AAAAAH/VXRw=")</f>
        <v>#REF!</v>
      </c>
      <c r="AD208" t="e">
        <f>AND(#REF!,"AAAAAH/VXR0=")</f>
        <v>#REF!</v>
      </c>
      <c r="AE208" t="e">
        <f>AND(#REF!,"AAAAAH/VXR4=")</f>
        <v>#REF!</v>
      </c>
      <c r="AF208" t="e">
        <f>AND(#REF!,"AAAAAH/VXR8=")</f>
        <v>#REF!</v>
      </c>
      <c r="AG208" t="e">
        <f>AND(#REF!,"AAAAAH/VXSA=")</f>
        <v>#REF!</v>
      </c>
      <c r="AH208" t="e">
        <f>AND(#REF!,"AAAAAH/VXSE=")</f>
        <v>#REF!</v>
      </c>
      <c r="AI208" t="e">
        <f>AND(#REF!,"AAAAAH/VXSI=")</f>
        <v>#REF!</v>
      </c>
      <c r="AJ208" t="e">
        <f>AND(#REF!,"AAAAAH/VXSM=")</f>
        <v>#REF!</v>
      </c>
      <c r="AK208" t="e">
        <f>AND(#REF!,"AAAAAH/VXSQ=")</f>
        <v>#REF!</v>
      </c>
      <c r="AL208" t="e">
        <f>AND(#REF!,"AAAAAH/VXSU=")</f>
        <v>#REF!</v>
      </c>
      <c r="AM208" t="e">
        <f>AND(#REF!,"AAAAAH/VXSY=")</f>
        <v>#REF!</v>
      </c>
      <c r="AN208" t="e">
        <f>AND(#REF!,"AAAAAH/VXSc=")</f>
        <v>#REF!</v>
      </c>
      <c r="AO208" t="e">
        <f>AND(#REF!,"AAAAAH/VXSg=")</f>
        <v>#REF!</v>
      </c>
      <c r="AP208" t="e">
        <f>AND(#REF!,"AAAAAH/VXSk=")</f>
        <v>#REF!</v>
      </c>
      <c r="AQ208" t="e">
        <f>AND(#REF!,"AAAAAH/VXSo=")</f>
        <v>#REF!</v>
      </c>
      <c r="AR208" t="e">
        <f>IF(#REF!,"AAAAAH/VXSs=",0)</f>
        <v>#REF!</v>
      </c>
      <c r="AS208" t="e">
        <f>AND(#REF!,"AAAAAH/VXSw=")</f>
        <v>#REF!</v>
      </c>
      <c r="AT208" t="e">
        <f>AND(#REF!,"AAAAAH/VXS0=")</f>
        <v>#REF!</v>
      </c>
      <c r="AU208" t="e">
        <f>AND(#REF!,"AAAAAH/VXS4=")</f>
        <v>#REF!</v>
      </c>
      <c r="AV208" t="e">
        <f>AND(#REF!,"AAAAAH/VXS8=")</f>
        <v>#REF!</v>
      </c>
      <c r="AW208" t="e">
        <f>AND(#REF!,"AAAAAH/VXTA=")</f>
        <v>#REF!</v>
      </c>
      <c r="AX208" t="e">
        <f>AND(#REF!,"AAAAAH/VXTE=")</f>
        <v>#REF!</v>
      </c>
      <c r="AY208" t="e">
        <f>AND(#REF!,"AAAAAH/VXTI=")</f>
        <v>#REF!</v>
      </c>
      <c r="AZ208" t="e">
        <f>AND(#REF!,"AAAAAH/VXTM=")</f>
        <v>#REF!</v>
      </c>
      <c r="BA208" t="e">
        <f>AND(#REF!,"AAAAAH/VXTQ=")</f>
        <v>#REF!</v>
      </c>
      <c r="BB208" t="e">
        <f>AND(#REF!,"AAAAAH/VXTU=")</f>
        <v>#REF!</v>
      </c>
      <c r="BC208" t="e">
        <f>AND(#REF!,"AAAAAH/VXTY=")</f>
        <v>#REF!</v>
      </c>
      <c r="BD208" t="e">
        <f>AND(#REF!,"AAAAAH/VXTc=")</f>
        <v>#REF!</v>
      </c>
      <c r="BE208" t="e">
        <f>AND(#REF!,"AAAAAH/VXTg=")</f>
        <v>#REF!</v>
      </c>
      <c r="BF208" t="e">
        <f>AND(#REF!,"AAAAAH/VXTk=")</f>
        <v>#REF!</v>
      </c>
      <c r="BG208" t="e">
        <f>AND(#REF!,"AAAAAH/VXTo=")</f>
        <v>#REF!</v>
      </c>
      <c r="BH208" t="e">
        <f>AND(#REF!,"AAAAAH/VXTs=")</f>
        <v>#REF!</v>
      </c>
      <c r="BI208" t="e">
        <f>AND(#REF!,"AAAAAH/VXTw=")</f>
        <v>#REF!</v>
      </c>
      <c r="BJ208" t="e">
        <f>AND(#REF!,"AAAAAH/VXT0=")</f>
        <v>#REF!</v>
      </c>
      <c r="BK208" t="e">
        <f>AND(#REF!,"AAAAAH/VXT4=")</f>
        <v>#REF!</v>
      </c>
      <c r="BL208" t="e">
        <f>AND(#REF!,"AAAAAH/VXT8=")</f>
        <v>#REF!</v>
      </c>
      <c r="BM208" t="e">
        <f>AND(#REF!,"AAAAAH/VXUA=")</f>
        <v>#REF!</v>
      </c>
      <c r="BN208" t="e">
        <f>AND(#REF!,"AAAAAH/VXUE=")</f>
        <v>#REF!</v>
      </c>
      <c r="BO208" t="e">
        <f>AND(#REF!,"AAAAAH/VXUI=")</f>
        <v>#REF!</v>
      </c>
      <c r="BP208" t="e">
        <f>AND(#REF!,"AAAAAH/VXUM=")</f>
        <v>#REF!</v>
      </c>
      <c r="BQ208" t="e">
        <f>IF(#REF!,"AAAAAH/VXUQ=",0)</f>
        <v>#REF!</v>
      </c>
      <c r="BR208" t="e">
        <f>AND(#REF!,"AAAAAH/VXUU=")</f>
        <v>#REF!</v>
      </c>
      <c r="BS208" t="e">
        <f>AND(#REF!,"AAAAAH/VXUY=")</f>
        <v>#REF!</v>
      </c>
      <c r="BT208" t="e">
        <f>AND(#REF!,"AAAAAH/VXUc=")</f>
        <v>#REF!</v>
      </c>
      <c r="BU208" t="e">
        <f>AND(#REF!,"AAAAAH/VXUg=")</f>
        <v>#REF!</v>
      </c>
      <c r="BV208" t="e">
        <f>AND(#REF!,"AAAAAH/VXUk=")</f>
        <v>#REF!</v>
      </c>
      <c r="BW208" t="e">
        <f>AND(#REF!,"AAAAAH/VXUo=")</f>
        <v>#REF!</v>
      </c>
      <c r="BX208" t="e">
        <f>AND(#REF!,"AAAAAH/VXUs=")</f>
        <v>#REF!</v>
      </c>
      <c r="BY208" t="e">
        <f>AND(#REF!,"AAAAAH/VXUw=")</f>
        <v>#REF!</v>
      </c>
      <c r="BZ208" t="e">
        <f>AND(#REF!,"AAAAAH/VXU0=")</f>
        <v>#REF!</v>
      </c>
      <c r="CA208" t="e">
        <f>AND(#REF!,"AAAAAH/VXU4=")</f>
        <v>#REF!</v>
      </c>
      <c r="CB208" t="e">
        <f>AND(#REF!,"AAAAAH/VXU8=")</f>
        <v>#REF!</v>
      </c>
      <c r="CC208" t="e">
        <f>AND(#REF!,"AAAAAH/VXVA=")</f>
        <v>#REF!</v>
      </c>
      <c r="CD208" t="e">
        <f>AND(#REF!,"AAAAAH/VXVE=")</f>
        <v>#REF!</v>
      </c>
      <c r="CE208" t="e">
        <f>AND(#REF!,"AAAAAH/VXVI=")</f>
        <v>#REF!</v>
      </c>
      <c r="CF208" t="e">
        <f>AND(#REF!,"AAAAAH/VXVM=")</f>
        <v>#REF!</v>
      </c>
      <c r="CG208" t="e">
        <f>AND(#REF!,"AAAAAH/VXVQ=")</f>
        <v>#REF!</v>
      </c>
      <c r="CH208" t="e">
        <f>AND(#REF!,"AAAAAH/VXVU=")</f>
        <v>#REF!</v>
      </c>
      <c r="CI208" t="e">
        <f>AND(#REF!,"AAAAAH/VXVY=")</f>
        <v>#REF!</v>
      </c>
      <c r="CJ208" t="e">
        <f>AND(#REF!,"AAAAAH/VXVc=")</f>
        <v>#REF!</v>
      </c>
      <c r="CK208" t="e">
        <f>AND(#REF!,"AAAAAH/VXVg=")</f>
        <v>#REF!</v>
      </c>
      <c r="CL208" t="e">
        <f>AND(#REF!,"AAAAAH/VXVk=")</f>
        <v>#REF!</v>
      </c>
      <c r="CM208" t="e">
        <f>AND(#REF!,"AAAAAH/VXVo=")</f>
        <v>#REF!</v>
      </c>
      <c r="CN208" t="e">
        <f>AND(#REF!,"AAAAAH/VXVs=")</f>
        <v>#REF!</v>
      </c>
      <c r="CO208" t="e">
        <f>AND(#REF!,"AAAAAH/VXVw=")</f>
        <v>#REF!</v>
      </c>
      <c r="CP208" t="e">
        <f>IF(#REF!,"AAAAAH/VXV0=",0)</f>
        <v>#REF!</v>
      </c>
      <c r="CQ208" t="e">
        <f>AND(#REF!,"AAAAAH/VXV4=")</f>
        <v>#REF!</v>
      </c>
      <c r="CR208" t="e">
        <f>AND(#REF!,"AAAAAH/VXV8=")</f>
        <v>#REF!</v>
      </c>
      <c r="CS208" t="e">
        <f>AND(#REF!,"AAAAAH/VXWA=")</f>
        <v>#REF!</v>
      </c>
      <c r="CT208" t="e">
        <f>AND(#REF!,"AAAAAH/VXWE=")</f>
        <v>#REF!</v>
      </c>
      <c r="CU208" t="e">
        <f>AND(#REF!,"AAAAAH/VXWI=")</f>
        <v>#REF!</v>
      </c>
      <c r="CV208" t="e">
        <f>AND(#REF!,"AAAAAH/VXWM=")</f>
        <v>#REF!</v>
      </c>
      <c r="CW208" t="e">
        <f>AND(#REF!,"AAAAAH/VXWQ=")</f>
        <v>#REF!</v>
      </c>
      <c r="CX208" t="e">
        <f>AND(#REF!,"AAAAAH/VXWU=")</f>
        <v>#REF!</v>
      </c>
      <c r="CY208" t="e">
        <f>AND(#REF!,"AAAAAH/VXWY=")</f>
        <v>#REF!</v>
      </c>
      <c r="CZ208" t="e">
        <f>AND(#REF!,"AAAAAH/VXWc=")</f>
        <v>#REF!</v>
      </c>
      <c r="DA208" t="e">
        <f>AND(#REF!,"AAAAAH/VXWg=")</f>
        <v>#REF!</v>
      </c>
      <c r="DB208" t="e">
        <f>AND(#REF!,"AAAAAH/VXWk=")</f>
        <v>#REF!</v>
      </c>
      <c r="DC208" t="e">
        <f>AND(#REF!,"AAAAAH/VXWo=")</f>
        <v>#REF!</v>
      </c>
      <c r="DD208" t="e">
        <f>AND(#REF!,"AAAAAH/VXWs=")</f>
        <v>#REF!</v>
      </c>
      <c r="DE208" t="e">
        <f>AND(#REF!,"AAAAAH/VXWw=")</f>
        <v>#REF!</v>
      </c>
      <c r="DF208" t="e">
        <f>AND(#REF!,"AAAAAH/VXW0=")</f>
        <v>#REF!</v>
      </c>
      <c r="DG208" t="e">
        <f>AND(#REF!,"AAAAAH/VXW4=")</f>
        <v>#REF!</v>
      </c>
      <c r="DH208" t="e">
        <f>AND(#REF!,"AAAAAH/VXW8=")</f>
        <v>#REF!</v>
      </c>
      <c r="DI208" t="e">
        <f>AND(#REF!,"AAAAAH/VXXA=")</f>
        <v>#REF!</v>
      </c>
      <c r="DJ208" t="e">
        <f>AND(#REF!,"AAAAAH/VXXE=")</f>
        <v>#REF!</v>
      </c>
      <c r="DK208" t="e">
        <f>AND(#REF!,"AAAAAH/VXXI=")</f>
        <v>#REF!</v>
      </c>
      <c r="DL208" t="e">
        <f>AND(#REF!,"AAAAAH/VXXM=")</f>
        <v>#REF!</v>
      </c>
      <c r="DM208" t="e">
        <f>AND(#REF!,"AAAAAH/VXXQ=")</f>
        <v>#REF!</v>
      </c>
      <c r="DN208" t="e">
        <f>AND(#REF!,"AAAAAH/VXXU=")</f>
        <v>#REF!</v>
      </c>
      <c r="DO208" t="e">
        <f>IF(#REF!,"AAAAAH/VXXY=",0)</f>
        <v>#REF!</v>
      </c>
      <c r="DP208" t="e">
        <f>AND(#REF!,"AAAAAH/VXXc=")</f>
        <v>#REF!</v>
      </c>
      <c r="DQ208" t="e">
        <f>AND(#REF!,"AAAAAH/VXXg=")</f>
        <v>#REF!</v>
      </c>
      <c r="DR208" t="e">
        <f>AND(#REF!,"AAAAAH/VXXk=")</f>
        <v>#REF!</v>
      </c>
      <c r="DS208" t="e">
        <f>AND(#REF!,"AAAAAH/VXXo=")</f>
        <v>#REF!</v>
      </c>
      <c r="DT208" t="e">
        <f>AND(#REF!,"AAAAAH/VXXs=")</f>
        <v>#REF!</v>
      </c>
      <c r="DU208" t="e">
        <f>AND(#REF!,"AAAAAH/VXXw=")</f>
        <v>#REF!</v>
      </c>
      <c r="DV208" t="e">
        <f>AND(#REF!,"AAAAAH/VXX0=")</f>
        <v>#REF!</v>
      </c>
      <c r="DW208" t="e">
        <f>AND(#REF!,"AAAAAH/VXX4=")</f>
        <v>#REF!</v>
      </c>
      <c r="DX208" t="e">
        <f>AND(#REF!,"AAAAAH/VXX8=")</f>
        <v>#REF!</v>
      </c>
      <c r="DY208" t="e">
        <f>AND(#REF!,"AAAAAH/VXYA=")</f>
        <v>#REF!</v>
      </c>
      <c r="DZ208" t="e">
        <f>AND(#REF!,"AAAAAH/VXYE=")</f>
        <v>#REF!</v>
      </c>
      <c r="EA208" t="e">
        <f>AND(#REF!,"AAAAAH/VXYI=")</f>
        <v>#REF!</v>
      </c>
      <c r="EB208" t="e">
        <f>AND(#REF!,"AAAAAH/VXYM=")</f>
        <v>#REF!</v>
      </c>
      <c r="EC208" t="e">
        <f>AND(#REF!,"AAAAAH/VXYQ=")</f>
        <v>#REF!</v>
      </c>
      <c r="ED208" t="e">
        <f>AND(#REF!,"AAAAAH/VXYU=")</f>
        <v>#REF!</v>
      </c>
      <c r="EE208" t="e">
        <f>AND(#REF!,"AAAAAH/VXYY=")</f>
        <v>#REF!</v>
      </c>
      <c r="EF208" t="e">
        <f>AND(#REF!,"AAAAAH/VXYc=")</f>
        <v>#REF!</v>
      </c>
      <c r="EG208" t="e">
        <f>AND(#REF!,"AAAAAH/VXYg=")</f>
        <v>#REF!</v>
      </c>
      <c r="EH208" t="e">
        <f>AND(#REF!,"AAAAAH/VXYk=")</f>
        <v>#REF!</v>
      </c>
      <c r="EI208" t="e">
        <f>AND(#REF!,"AAAAAH/VXYo=")</f>
        <v>#REF!</v>
      </c>
      <c r="EJ208" t="e">
        <f>AND(#REF!,"AAAAAH/VXYs=")</f>
        <v>#REF!</v>
      </c>
      <c r="EK208" t="e">
        <f>AND(#REF!,"AAAAAH/VXYw=")</f>
        <v>#REF!</v>
      </c>
      <c r="EL208" t="e">
        <f>AND(#REF!,"AAAAAH/VXY0=")</f>
        <v>#REF!</v>
      </c>
      <c r="EM208" t="e">
        <f>AND(#REF!,"AAAAAH/VXY4=")</f>
        <v>#REF!</v>
      </c>
      <c r="EN208" t="e">
        <f>IF(#REF!,"AAAAAH/VXY8=",0)</f>
        <v>#REF!</v>
      </c>
      <c r="EO208" t="e">
        <f>AND(#REF!,"AAAAAH/VXZA=")</f>
        <v>#REF!</v>
      </c>
      <c r="EP208" t="e">
        <f>AND(#REF!,"AAAAAH/VXZE=")</f>
        <v>#REF!</v>
      </c>
      <c r="EQ208" t="e">
        <f>AND(#REF!,"AAAAAH/VXZI=")</f>
        <v>#REF!</v>
      </c>
      <c r="ER208" t="e">
        <f>AND(#REF!,"AAAAAH/VXZM=")</f>
        <v>#REF!</v>
      </c>
      <c r="ES208" t="e">
        <f>AND(#REF!,"AAAAAH/VXZQ=")</f>
        <v>#REF!</v>
      </c>
      <c r="ET208" t="e">
        <f>AND(#REF!,"AAAAAH/VXZU=")</f>
        <v>#REF!</v>
      </c>
      <c r="EU208" t="e">
        <f>AND(#REF!,"AAAAAH/VXZY=")</f>
        <v>#REF!</v>
      </c>
      <c r="EV208" t="e">
        <f>AND(#REF!,"AAAAAH/VXZc=")</f>
        <v>#REF!</v>
      </c>
      <c r="EW208" t="e">
        <f>AND(#REF!,"AAAAAH/VXZg=")</f>
        <v>#REF!</v>
      </c>
      <c r="EX208" t="e">
        <f>AND(#REF!,"AAAAAH/VXZk=")</f>
        <v>#REF!</v>
      </c>
      <c r="EY208" t="e">
        <f>AND(#REF!,"AAAAAH/VXZo=")</f>
        <v>#REF!</v>
      </c>
      <c r="EZ208" t="e">
        <f>AND(#REF!,"AAAAAH/VXZs=")</f>
        <v>#REF!</v>
      </c>
      <c r="FA208" t="e">
        <f>AND(#REF!,"AAAAAH/VXZw=")</f>
        <v>#REF!</v>
      </c>
      <c r="FB208" t="e">
        <f>AND(#REF!,"AAAAAH/VXZ0=")</f>
        <v>#REF!</v>
      </c>
      <c r="FC208" t="e">
        <f>AND(#REF!,"AAAAAH/VXZ4=")</f>
        <v>#REF!</v>
      </c>
      <c r="FD208" t="e">
        <f>AND(#REF!,"AAAAAH/VXZ8=")</f>
        <v>#REF!</v>
      </c>
      <c r="FE208" t="e">
        <f>AND(#REF!,"AAAAAH/VXaA=")</f>
        <v>#REF!</v>
      </c>
      <c r="FF208" t="e">
        <f>AND(#REF!,"AAAAAH/VXaE=")</f>
        <v>#REF!</v>
      </c>
      <c r="FG208" t="e">
        <f>AND(#REF!,"AAAAAH/VXaI=")</f>
        <v>#REF!</v>
      </c>
      <c r="FH208" t="e">
        <f>AND(#REF!,"AAAAAH/VXaM=")</f>
        <v>#REF!</v>
      </c>
      <c r="FI208" t="e">
        <f>AND(#REF!,"AAAAAH/VXaQ=")</f>
        <v>#REF!</v>
      </c>
      <c r="FJ208" t="e">
        <f>AND(#REF!,"AAAAAH/VXaU=")</f>
        <v>#REF!</v>
      </c>
      <c r="FK208" t="e">
        <f>AND(#REF!,"AAAAAH/VXaY=")</f>
        <v>#REF!</v>
      </c>
      <c r="FL208" t="e">
        <f>AND(#REF!,"AAAAAH/VXac=")</f>
        <v>#REF!</v>
      </c>
      <c r="FM208" t="e">
        <f>IF(#REF!,"AAAAAH/VXag=",0)</f>
        <v>#REF!</v>
      </c>
      <c r="FN208" t="e">
        <f>AND(#REF!,"AAAAAH/VXak=")</f>
        <v>#REF!</v>
      </c>
      <c r="FO208" t="e">
        <f>AND(#REF!,"AAAAAH/VXao=")</f>
        <v>#REF!</v>
      </c>
      <c r="FP208" t="e">
        <f>AND(#REF!,"AAAAAH/VXas=")</f>
        <v>#REF!</v>
      </c>
      <c r="FQ208" t="e">
        <f>AND(#REF!,"AAAAAH/VXaw=")</f>
        <v>#REF!</v>
      </c>
      <c r="FR208" t="e">
        <f>AND(#REF!,"AAAAAH/VXa0=")</f>
        <v>#REF!</v>
      </c>
      <c r="FS208" t="e">
        <f>AND(#REF!,"AAAAAH/VXa4=")</f>
        <v>#REF!</v>
      </c>
      <c r="FT208" t="e">
        <f>AND(#REF!,"AAAAAH/VXa8=")</f>
        <v>#REF!</v>
      </c>
      <c r="FU208" t="e">
        <f>AND(#REF!,"AAAAAH/VXbA=")</f>
        <v>#REF!</v>
      </c>
      <c r="FV208" t="e">
        <f>AND(#REF!,"AAAAAH/VXbE=")</f>
        <v>#REF!</v>
      </c>
      <c r="FW208" t="e">
        <f>AND(#REF!,"AAAAAH/VXbI=")</f>
        <v>#REF!</v>
      </c>
      <c r="FX208" t="e">
        <f>AND(#REF!,"AAAAAH/VXbM=")</f>
        <v>#REF!</v>
      </c>
      <c r="FY208" t="e">
        <f>AND(#REF!,"AAAAAH/VXbQ=")</f>
        <v>#REF!</v>
      </c>
      <c r="FZ208" t="e">
        <f>AND(#REF!,"AAAAAH/VXbU=")</f>
        <v>#REF!</v>
      </c>
      <c r="GA208" t="e">
        <f>AND(#REF!,"AAAAAH/VXbY=")</f>
        <v>#REF!</v>
      </c>
      <c r="GB208" t="e">
        <f>AND(#REF!,"AAAAAH/VXbc=")</f>
        <v>#REF!</v>
      </c>
      <c r="GC208" t="e">
        <f>AND(#REF!,"AAAAAH/VXbg=")</f>
        <v>#REF!</v>
      </c>
      <c r="GD208" t="e">
        <f>AND(#REF!,"AAAAAH/VXbk=")</f>
        <v>#REF!</v>
      </c>
      <c r="GE208" t="e">
        <f>AND(#REF!,"AAAAAH/VXbo=")</f>
        <v>#REF!</v>
      </c>
      <c r="GF208" t="e">
        <f>AND(#REF!,"AAAAAH/VXbs=")</f>
        <v>#REF!</v>
      </c>
      <c r="GG208" t="e">
        <f>AND(#REF!,"AAAAAH/VXbw=")</f>
        <v>#REF!</v>
      </c>
      <c r="GH208" t="e">
        <f>AND(#REF!,"AAAAAH/VXb0=")</f>
        <v>#REF!</v>
      </c>
      <c r="GI208" t="e">
        <f>AND(#REF!,"AAAAAH/VXb4=")</f>
        <v>#REF!</v>
      </c>
      <c r="GJ208" t="e">
        <f>AND(#REF!,"AAAAAH/VXb8=")</f>
        <v>#REF!</v>
      </c>
      <c r="GK208" t="e">
        <f>AND(#REF!,"AAAAAH/VXcA=")</f>
        <v>#REF!</v>
      </c>
      <c r="GL208" t="e">
        <f>IF(#REF!,"AAAAAH/VXcE=",0)</f>
        <v>#REF!</v>
      </c>
      <c r="GM208" t="e">
        <f>AND(#REF!,"AAAAAH/VXcI=")</f>
        <v>#REF!</v>
      </c>
      <c r="GN208" t="e">
        <f>AND(#REF!,"AAAAAH/VXcM=")</f>
        <v>#REF!</v>
      </c>
      <c r="GO208" t="e">
        <f>AND(#REF!,"AAAAAH/VXcQ=")</f>
        <v>#REF!</v>
      </c>
      <c r="GP208" t="e">
        <f>AND(#REF!,"AAAAAH/VXcU=")</f>
        <v>#REF!</v>
      </c>
      <c r="GQ208" t="e">
        <f>AND(#REF!,"AAAAAH/VXcY=")</f>
        <v>#REF!</v>
      </c>
      <c r="GR208" t="e">
        <f>AND(#REF!,"AAAAAH/VXcc=")</f>
        <v>#REF!</v>
      </c>
      <c r="GS208" t="e">
        <f>AND(#REF!,"AAAAAH/VXcg=")</f>
        <v>#REF!</v>
      </c>
      <c r="GT208" t="e">
        <f>AND(#REF!,"AAAAAH/VXck=")</f>
        <v>#REF!</v>
      </c>
      <c r="GU208" t="e">
        <f>AND(#REF!,"AAAAAH/VXco=")</f>
        <v>#REF!</v>
      </c>
      <c r="GV208" t="e">
        <f>AND(#REF!,"AAAAAH/VXcs=")</f>
        <v>#REF!</v>
      </c>
      <c r="GW208" t="e">
        <f>AND(#REF!,"AAAAAH/VXcw=")</f>
        <v>#REF!</v>
      </c>
      <c r="GX208" t="e">
        <f>AND(#REF!,"AAAAAH/VXc0=")</f>
        <v>#REF!</v>
      </c>
      <c r="GY208" t="e">
        <f>AND(#REF!,"AAAAAH/VXc4=")</f>
        <v>#REF!</v>
      </c>
      <c r="GZ208" t="e">
        <f>AND(#REF!,"AAAAAH/VXc8=")</f>
        <v>#REF!</v>
      </c>
      <c r="HA208" t="e">
        <f>AND(#REF!,"AAAAAH/VXdA=")</f>
        <v>#REF!</v>
      </c>
      <c r="HB208" t="e">
        <f>AND(#REF!,"AAAAAH/VXdE=")</f>
        <v>#REF!</v>
      </c>
      <c r="HC208" t="e">
        <f>AND(#REF!,"AAAAAH/VXdI=")</f>
        <v>#REF!</v>
      </c>
      <c r="HD208" t="e">
        <f>AND(#REF!,"AAAAAH/VXdM=")</f>
        <v>#REF!</v>
      </c>
      <c r="HE208" t="e">
        <f>AND(#REF!,"AAAAAH/VXdQ=")</f>
        <v>#REF!</v>
      </c>
      <c r="HF208" t="e">
        <f>AND(#REF!,"AAAAAH/VXdU=")</f>
        <v>#REF!</v>
      </c>
      <c r="HG208" t="e">
        <f>AND(#REF!,"AAAAAH/VXdY=")</f>
        <v>#REF!</v>
      </c>
      <c r="HH208" t="e">
        <f>AND(#REF!,"AAAAAH/VXdc=")</f>
        <v>#REF!</v>
      </c>
      <c r="HI208" t="e">
        <f>AND(#REF!,"AAAAAH/VXdg=")</f>
        <v>#REF!</v>
      </c>
      <c r="HJ208" t="e">
        <f>AND(#REF!,"AAAAAH/VXdk=")</f>
        <v>#REF!</v>
      </c>
      <c r="HK208" t="e">
        <f>IF(#REF!,"AAAAAH/VXdo=",0)</f>
        <v>#REF!</v>
      </c>
      <c r="HL208" t="e">
        <f>AND(#REF!,"AAAAAH/VXds=")</f>
        <v>#REF!</v>
      </c>
      <c r="HM208" t="e">
        <f>AND(#REF!,"AAAAAH/VXdw=")</f>
        <v>#REF!</v>
      </c>
      <c r="HN208" t="e">
        <f>AND(#REF!,"AAAAAH/VXd0=")</f>
        <v>#REF!</v>
      </c>
      <c r="HO208" t="e">
        <f>AND(#REF!,"AAAAAH/VXd4=")</f>
        <v>#REF!</v>
      </c>
      <c r="HP208" t="e">
        <f>AND(#REF!,"AAAAAH/VXd8=")</f>
        <v>#REF!</v>
      </c>
      <c r="HQ208" t="e">
        <f>AND(#REF!,"AAAAAH/VXeA=")</f>
        <v>#REF!</v>
      </c>
      <c r="HR208" t="e">
        <f>AND(#REF!,"AAAAAH/VXeE=")</f>
        <v>#REF!</v>
      </c>
      <c r="HS208" t="e">
        <f>AND(#REF!,"AAAAAH/VXeI=")</f>
        <v>#REF!</v>
      </c>
      <c r="HT208" t="e">
        <f>AND(#REF!,"AAAAAH/VXeM=")</f>
        <v>#REF!</v>
      </c>
      <c r="HU208" t="e">
        <f>AND(#REF!,"AAAAAH/VXeQ=")</f>
        <v>#REF!</v>
      </c>
      <c r="HV208" t="e">
        <f>AND(#REF!,"AAAAAH/VXeU=")</f>
        <v>#REF!</v>
      </c>
      <c r="HW208" t="e">
        <f>AND(#REF!,"AAAAAH/VXeY=")</f>
        <v>#REF!</v>
      </c>
      <c r="HX208" t="e">
        <f>AND(#REF!,"AAAAAH/VXec=")</f>
        <v>#REF!</v>
      </c>
      <c r="HY208" t="e">
        <f>AND(#REF!,"AAAAAH/VXeg=")</f>
        <v>#REF!</v>
      </c>
      <c r="HZ208" t="e">
        <f>AND(#REF!,"AAAAAH/VXek=")</f>
        <v>#REF!</v>
      </c>
      <c r="IA208" t="e">
        <f>AND(#REF!,"AAAAAH/VXeo=")</f>
        <v>#REF!</v>
      </c>
      <c r="IB208" t="e">
        <f>AND(#REF!,"AAAAAH/VXes=")</f>
        <v>#REF!</v>
      </c>
      <c r="IC208" t="e">
        <f>AND(#REF!,"AAAAAH/VXew=")</f>
        <v>#REF!</v>
      </c>
      <c r="ID208" t="e">
        <f>AND(#REF!,"AAAAAH/VXe0=")</f>
        <v>#REF!</v>
      </c>
      <c r="IE208" t="e">
        <f>AND(#REF!,"AAAAAH/VXe4=")</f>
        <v>#REF!</v>
      </c>
      <c r="IF208" t="e">
        <f>AND(#REF!,"AAAAAH/VXe8=")</f>
        <v>#REF!</v>
      </c>
      <c r="IG208" t="e">
        <f>AND(#REF!,"AAAAAH/VXfA=")</f>
        <v>#REF!</v>
      </c>
      <c r="IH208" t="e">
        <f>AND(#REF!,"AAAAAH/VXfE=")</f>
        <v>#REF!</v>
      </c>
      <c r="II208" t="e">
        <f>AND(#REF!,"AAAAAH/VXfI=")</f>
        <v>#REF!</v>
      </c>
      <c r="IJ208" t="e">
        <f>IF(#REF!,"AAAAAH/VXfM=",0)</f>
        <v>#REF!</v>
      </c>
      <c r="IK208" t="e">
        <f>AND(#REF!,"AAAAAH/VXfQ=")</f>
        <v>#REF!</v>
      </c>
      <c r="IL208" t="e">
        <f>AND(#REF!,"AAAAAH/VXfU=")</f>
        <v>#REF!</v>
      </c>
      <c r="IM208" t="e">
        <f>AND(#REF!,"AAAAAH/VXfY=")</f>
        <v>#REF!</v>
      </c>
      <c r="IN208" t="e">
        <f>AND(#REF!,"AAAAAH/VXfc=")</f>
        <v>#REF!</v>
      </c>
      <c r="IO208" t="e">
        <f>AND(#REF!,"AAAAAH/VXfg=")</f>
        <v>#REF!</v>
      </c>
      <c r="IP208" t="e">
        <f>AND(#REF!,"AAAAAH/VXfk=")</f>
        <v>#REF!</v>
      </c>
      <c r="IQ208" t="e">
        <f>AND(#REF!,"AAAAAH/VXfo=")</f>
        <v>#REF!</v>
      </c>
      <c r="IR208" t="e">
        <f>AND(#REF!,"AAAAAH/VXfs=")</f>
        <v>#REF!</v>
      </c>
      <c r="IS208" t="e">
        <f>AND(#REF!,"AAAAAH/VXfw=")</f>
        <v>#REF!</v>
      </c>
      <c r="IT208" t="e">
        <f>AND(#REF!,"AAAAAH/VXf0=")</f>
        <v>#REF!</v>
      </c>
      <c r="IU208" t="e">
        <f>AND(#REF!,"AAAAAH/VXf4=")</f>
        <v>#REF!</v>
      </c>
      <c r="IV208" t="e">
        <f>AND(#REF!,"AAAAAH/VXf8=")</f>
        <v>#REF!</v>
      </c>
    </row>
    <row r="209" spans="1:256">
      <c r="A209" t="e">
        <f>AND(#REF!,"AAAAAH/83wA=")</f>
        <v>#REF!</v>
      </c>
      <c r="B209" t="e">
        <f>AND(#REF!,"AAAAAH/83wE=")</f>
        <v>#REF!</v>
      </c>
      <c r="C209" t="e">
        <f>AND(#REF!,"AAAAAH/83wI=")</f>
        <v>#REF!</v>
      </c>
      <c r="D209" t="e">
        <f>AND(#REF!,"AAAAAH/83wM=")</f>
        <v>#REF!</v>
      </c>
      <c r="E209" t="e">
        <f>AND(#REF!,"AAAAAH/83wQ=")</f>
        <v>#REF!</v>
      </c>
      <c r="F209" t="e">
        <f>AND(#REF!,"AAAAAH/83wU=")</f>
        <v>#REF!</v>
      </c>
      <c r="G209" t="e">
        <f>AND(#REF!,"AAAAAH/83wY=")</f>
        <v>#REF!</v>
      </c>
      <c r="H209" t="e">
        <f>AND(#REF!,"AAAAAH/83wc=")</f>
        <v>#REF!</v>
      </c>
      <c r="I209" t="e">
        <f>AND(#REF!,"AAAAAH/83wg=")</f>
        <v>#REF!</v>
      </c>
      <c r="J209" t="e">
        <f>AND(#REF!,"AAAAAH/83wk=")</f>
        <v>#REF!</v>
      </c>
      <c r="K209" t="e">
        <f>AND(#REF!,"AAAAAH/83wo=")</f>
        <v>#REF!</v>
      </c>
      <c r="L209" t="e">
        <f>AND(#REF!,"AAAAAH/83ws=")</f>
        <v>#REF!</v>
      </c>
      <c r="M209" t="e">
        <f>IF(#REF!,"AAAAAH/83ww=",0)</f>
        <v>#REF!</v>
      </c>
      <c r="N209" t="e">
        <f>AND(#REF!,"AAAAAH/83w0=")</f>
        <v>#REF!</v>
      </c>
      <c r="O209" t="e">
        <f>AND(#REF!,"AAAAAH/83w4=")</f>
        <v>#REF!</v>
      </c>
      <c r="P209" t="e">
        <f>AND(#REF!,"AAAAAH/83w8=")</f>
        <v>#REF!</v>
      </c>
      <c r="Q209" t="e">
        <f>AND(#REF!,"AAAAAH/83xA=")</f>
        <v>#REF!</v>
      </c>
      <c r="R209" t="e">
        <f>AND(#REF!,"AAAAAH/83xE=")</f>
        <v>#REF!</v>
      </c>
      <c r="S209" t="e">
        <f>AND(#REF!,"AAAAAH/83xI=")</f>
        <v>#REF!</v>
      </c>
      <c r="T209" t="e">
        <f>AND(#REF!,"AAAAAH/83xM=")</f>
        <v>#REF!</v>
      </c>
      <c r="U209" t="e">
        <f>AND(#REF!,"AAAAAH/83xQ=")</f>
        <v>#REF!</v>
      </c>
      <c r="V209" t="e">
        <f>AND(#REF!,"AAAAAH/83xU=")</f>
        <v>#REF!</v>
      </c>
      <c r="W209" t="e">
        <f>AND(#REF!,"AAAAAH/83xY=")</f>
        <v>#REF!</v>
      </c>
      <c r="X209" t="e">
        <f>AND(#REF!,"AAAAAH/83xc=")</f>
        <v>#REF!</v>
      </c>
      <c r="Y209" t="e">
        <f>AND(#REF!,"AAAAAH/83xg=")</f>
        <v>#REF!</v>
      </c>
      <c r="Z209" t="e">
        <f>AND(#REF!,"AAAAAH/83xk=")</f>
        <v>#REF!</v>
      </c>
      <c r="AA209" t="e">
        <f>AND(#REF!,"AAAAAH/83xo=")</f>
        <v>#REF!</v>
      </c>
      <c r="AB209" t="e">
        <f>AND(#REF!,"AAAAAH/83xs=")</f>
        <v>#REF!</v>
      </c>
      <c r="AC209" t="e">
        <f>AND(#REF!,"AAAAAH/83xw=")</f>
        <v>#REF!</v>
      </c>
      <c r="AD209" t="e">
        <f>AND(#REF!,"AAAAAH/83x0=")</f>
        <v>#REF!</v>
      </c>
      <c r="AE209" t="e">
        <f>AND(#REF!,"AAAAAH/83x4=")</f>
        <v>#REF!</v>
      </c>
      <c r="AF209" t="e">
        <f>AND(#REF!,"AAAAAH/83x8=")</f>
        <v>#REF!</v>
      </c>
      <c r="AG209" t="e">
        <f>AND(#REF!,"AAAAAH/83yA=")</f>
        <v>#REF!</v>
      </c>
      <c r="AH209" t="e">
        <f>AND(#REF!,"AAAAAH/83yE=")</f>
        <v>#REF!</v>
      </c>
      <c r="AI209" t="e">
        <f>AND(#REF!,"AAAAAH/83yI=")</f>
        <v>#REF!</v>
      </c>
      <c r="AJ209" t="e">
        <f>AND(#REF!,"AAAAAH/83yM=")</f>
        <v>#REF!</v>
      </c>
      <c r="AK209" t="e">
        <f>AND(#REF!,"AAAAAH/83yQ=")</f>
        <v>#REF!</v>
      </c>
      <c r="AL209" t="e">
        <f>IF(#REF!,"AAAAAH/83yU=",0)</f>
        <v>#REF!</v>
      </c>
      <c r="AM209" t="e">
        <f>AND(#REF!,"AAAAAH/83yY=")</f>
        <v>#REF!</v>
      </c>
      <c r="AN209" t="e">
        <f>AND(#REF!,"AAAAAH/83yc=")</f>
        <v>#REF!</v>
      </c>
      <c r="AO209" t="e">
        <f>AND(#REF!,"AAAAAH/83yg=")</f>
        <v>#REF!</v>
      </c>
      <c r="AP209" t="e">
        <f>AND(#REF!,"AAAAAH/83yk=")</f>
        <v>#REF!</v>
      </c>
      <c r="AQ209" t="e">
        <f>AND(#REF!,"AAAAAH/83yo=")</f>
        <v>#REF!</v>
      </c>
      <c r="AR209" t="e">
        <f>AND(#REF!,"AAAAAH/83ys=")</f>
        <v>#REF!</v>
      </c>
      <c r="AS209" t="e">
        <f>AND(#REF!,"AAAAAH/83yw=")</f>
        <v>#REF!</v>
      </c>
      <c r="AT209" t="e">
        <f>AND(#REF!,"AAAAAH/83y0=")</f>
        <v>#REF!</v>
      </c>
      <c r="AU209" t="e">
        <f>AND(#REF!,"AAAAAH/83y4=")</f>
        <v>#REF!</v>
      </c>
      <c r="AV209" t="e">
        <f>AND(#REF!,"AAAAAH/83y8=")</f>
        <v>#REF!</v>
      </c>
      <c r="AW209" t="e">
        <f>AND(#REF!,"AAAAAH/83zA=")</f>
        <v>#REF!</v>
      </c>
      <c r="AX209" t="e">
        <f>AND(#REF!,"AAAAAH/83zE=")</f>
        <v>#REF!</v>
      </c>
      <c r="AY209" t="e">
        <f>AND(#REF!,"AAAAAH/83zI=")</f>
        <v>#REF!</v>
      </c>
      <c r="AZ209" t="e">
        <f>AND(#REF!,"AAAAAH/83zM=")</f>
        <v>#REF!</v>
      </c>
      <c r="BA209" t="e">
        <f>AND(#REF!,"AAAAAH/83zQ=")</f>
        <v>#REF!</v>
      </c>
      <c r="BB209" t="e">
        <f>AND(#REF!,"AAAAAH/83zU=")</f>
        <v>#REF!</v>
      </c>
      <c r="BC209" t="e">
        <f>AND(#REF!,"AAAAAH/83zY=")</f>
        <v>#REF!</v>
      </c>
      <c r="BD209" t="e">
        <f>AND(#REF!,"AAAAAH/83zc=")</f>
        <v>#REF!</v>
      </c>
      <c r="BE209" t="e">
        <f>AND(#REF!,"AAAAAH/83zg=")</f>
        <v>#REF!</v>
      </c>
      <c r="BF209" t="e">
        <f>AND(#REF!,"AAAAAH/83zk=")</f>
        <v>#REF!</v>
      </c>
      <c r="BG209" t="e">
        <f>AND(#REF!,"AAAAAH/83zo=")</f>
        <v>#REF!</v>
      </c>
      <c r="BH209" t="e">
        <f>AND(#REF!,"AAAAAH/83zs=")</f>
        <v>#REF!</v>
      </c>
      <c r="BI209" t="e">
        <f>AND(#REF!,"AAAAAH/83zw=")</f>
        <v>#REF!</v>
      </c>
      <c r="BJ209" t="e">
        <f>AND(#REF!,"AAAAAH/83z0=")</f>
        <v>#REF!</v>
      </c>
      <c r="BK209" t="e">
        <f>IF(#REF!,"AAAAAH/83z4=",0)</f>
        <v>#REF!</v>
      </c>
      <c r="BL209" t="e">
        <f>AND(#REF!,"AAAAAH/83z8=")</f>
        <v>#REF!</v>
      </c>
      <c r="BM209" t="e">
        <f>AND(#REF!,"AAAAAH/830A=")</f>
        <v>#REF!</v>
      </c>
      <c r="BN209" t="e">
        <f>AND(#REF!,"AAAAAH/830E=")</f>
        <v>#REF!</v>
      </c>
      <c r="BO209" t="e">
        <f>AND(#REF!,"AAAAAH/830I=")</f>
        <v>#REF!</v>
      </c>
      <c r="BP209" t="e">
        <f>AND(#REF!,"AAAAAH/830M=")</f>
        <v>#REF!</v>
      </c>
      <c r="BQ209" t="e">
        <f>AND(#REF!,"AAAAAH/830Q=")</f>
        <v>#REF!</v>
      </c>
      <c r="BR209" t="e">
        <f>AND(#REF!,"AAAAAH/830U=")</f>
        <v>#REF!</v>
      </c>
      <c r="BS209" t="e">
        <f>AND(#REF!,"AAAAAH/830Y=")</f>
        <v>#REF!</v>
      </c>
      <c r="BT209" t="e">
        <f>AND(#REF!,"AAAAAH/830c=")</f>
        <v>#REF!</v>
      </c>
      <c r="BU209" t="e">
        <f>AND(#REF!,"AAAAAH/830g=")</f>
        <v>#REF!</v>
      </c>
      <c r="BV209" t="e">
        <f>AND(#REF!,"AAAAAH/830k=")</f>
        <v>#REF!</v>
      </c>
      <c r="BW209" t="e">
        <f>AND(#REF!,"AAAAAH/830o=")</f>
        <v>#REF!</v>
      </c>
      <c r="BX209" t="e">
        <f>AND(#REF!,"AAAAAH/830s=")</f>
        <v>#REF!</v>
      </c>
      <c r="BY209" t="e">
        <f>AND(#REF!,"AAAAAH/830w=")</f>
        <v>#REF!</v>
      </c>
      <c r="BZ209" t="e">
        <f>AND(#REF!,"AAAAAH/8300=")</f>
        <v>#REF!</v>
      </c>
      <c r="CA209" t="e">
        <f>AND(#REF!,"AAAAAH/8304=")</f>
        <v>#REF!</v>
      </c>
      <c r="CB209" t="e">
        <f>AND(#REF!,"AAAAAH/8308=")</f>
        <v>#REF!</v>
      </c>
      <c r="CC209" t="e">
        <f>AND(#REF!,"AAAAAH/831A=")</f>
        <v>#REF!</v>
      </c>
      <c r="CD209" t="e">
        <f>AND(#REF!,"AAAAAH/831E=")</f>
        <v>#REF!</v>
      </c>
      <c r="CE209" t="e">
        <f>AND(#REF!,"AAAAAH/831I=")</f>
        <v>#REF!</v>
      </c>
      <c r="CF209" t="e">
        <f>AND(#REF!,"AAAAAH/831M=")</f>
        <v>#REF!</v>
      </c>
      <c r="CG209" t="e">
        <f>AND(#REF!,"AAAAAH/831Q=")</f>
        <v>#REF!</v>
      </c>
      <c r="CH209" t="e">
        <f>AND(#REF!,"AAAAAH/831U=")</f>
        <v>#REF!</v>
      </c>
      <c r="CI209" t="e">
        <f>AND(#REF!,"AAAAAH/831Y=")</f>
        <v>#REF!</v>
      </c>
      <c r="CJ209" t="e">
        <f>IF(#REF!,"AAAAAH/831c=",0)</f>
        <v>#REF!</v>
      </c>
      <c r="CK209" t="e">
        <f>AND(#REF!,"AAAAAH/831g=")</f>
        <v>#REF!</v>
      </c>
      <c r="CL209" t="e">
        <f>AND(#REF!,"AAAAAH/831k=")</f>
        <v>#REF!</v>
      </c>
      <c r="CM209" t="e">
        <f>AND(#REF!,"AAAAAH/831o=")</f>
        <v>#REF!</v>
      </c>
      <c r="CN209" t="e">
        <f>AND(#REF!,"AAAAAH/831s=")</f>
        <v>#REF!</v>
      </c>
      <c r="CO209" t="e">
        <f>AND(#REF!,"AAAAAH/831w=")</f>
        <v>#REF!</v>
      </c>
      <c r="CP209" t="e">
        <f>AND(#REF!,"AAAAAH/8310=")</f>
        <v>#REF!</v>
      </c>
      <c r="CQ209" t="e">
        <f>AND(#REF!,"AAAAAH/8314=")</f>
        <v>#REF!</v>
      </c>
      <c r="CR209" t="e">
        <f>AND(#REF!,"AAAAAH/8318=")</f>
        <v>#REF!</v>
      </c>
      <c r="CS209" t="e">
        <f>AND(#REF!,"AAAAAH/832A=")</f>
        <v>#REF!</v>
      </c>
      <c r="CT209" t="e">
        <f>AND(#REF!,"AAAAAH/832E=")</f>
        <v>#REF!</v>
      </c>
      <c r="CU209" t="e">
        <f>AND(#REF!,"AAAAAH/832I=")</f>
        <v>#REF!</v>
      </c>
      <c r="CV209" t="e">
        <f>AND(#REF!,"AAAAAH/832M=")</f>
        <v>#REF!</v>
      </c>
      <c r="CW209" t="e">
        <f>AND(#REF!,"AAAAAH/832Q=")</f>
        <v>#REF!</v>
      </c>
      <c r="CX209" t="e">
        <f>AND(#REF!,"AAAAAH/832U=")</f>
        <v>#REF!</v>
      </c>
      <c r="CY209" t="e">
        <f>AND(#REF!,"AAAAAH/832Y=")</f>
        <v>#REF!</v>
      </c>
      <c r="CZ209" t="e">
        <f>AND(#REF!,"AAAAAH/832c=")</f>
        <v>#REF!</v>
      </c>
      <c r="DA209" t="e">
        <f>AND(#REF!,"AAAAAH/832g=")</f>
        <v>#REF!</v>
      </c>
      <c r="DB209" t="e">
        <f>AND(#REF!,"AAAAAH/832k=")</f>
        <v>#REF!</v>
      </c>
      <c r="DC209" t="e">
        <f>AND(#REF!,"AAAAAH/832o=")</f>
        <v>#REF!</v>
      </c>
      <c r="DD209" t="e">
        <f>AND(#REF!,"AAAAAH/832s=")</f>
        <v>#REF!</v>
      </c>
      <c r="DE209" t="e">
        <f>AND(#REF!,"AAAAAH/832w=")</f>
        <v>#REF!</v>
      </c>
      <c r="DF209" t="e">
        <f>AND(#REF!,"AAAAAH/8320=")</f>
        <v>#REF!</v>
      </c>
      <c r="DG209" t="e">
        <f>AND(#REF!,"AAAAAH/8324=")</f>
        <v>#REF!</v>
      </c>
      <c r="DH209" t="e">
        <f>AND(#REF!,"AAAAAH/8328=")</f>
        <v>#REF!</v>
      </c>
      <c r="DI209" t="e">
        <f>IF(#REF!,"AAAAAH/833A=",0)</f>
        <v>#REF!</v>
      </c>
      <c r="DJ209" t="e">
        <f>AND(#REF!,"AAAAAH/833E=")</f>
        <v>#REF!</v>
      </c>
      <c r="DK209" t="e">
        <f>AND(#REF!,"AAAAAH/833I=")</f>
        <v>#REF!</v>
      </c>
      <c r="DL209" t="e">
        <f>AND(#REF!,"AAAAAH/833M=")</f>
        <v>#REF!</v>
      </c>
      <c r="DM209" t="e">
        <f>AND(#REF!,"AAAAAH/833Q=")</f>
        <v>#REF!</v>
      </c>
      <c r="DN209" t="e">
        <f>AND(#REF!,"AAAAAH/833U=")</f>
        <v>#REF!</v>
      </c>
      <c r="DO209" t="e">
        <f>AND(#REF!,"AAAAAH/833Y=")</f>
        <v>#REF!</v>
      </c>
      <c r="DP209" t="e">
        <f>AND(#REF!,"AAAAAH/833c=")</f>
        <v>#REF!</v>
      </c>
      <c r="DQ209" t="e">
        <f>AND(#REF!,"AAAAAH/833g=")</f>
        <v>#REF!</v>
      </c>
      <c r="DR209" t="e">
        <f>AND(#REF!,"AAAAAH/833k=")</f>
        <v>#REF!</v>
      </c>
      <c r="DS209" t="e">
        <f>AND(#REF!,"AAAAAH/833o=")</f>
        <v>#REF!</v>
      </c>
      <c r="DT209" t="e">
        <f>AND(#REF!,"AAAAAH/833s=")</f>
        <v>#REF!</v>
      </c>
      <c r="DU209" t="e">
        <f>AND(#REF!,"AAAAAH/833w=")</f>
        <v>#REF!</v>
      </c>
      <c r="DV209" t="e">
        <f>AND(#REF!,"AAAAAH/8330=")</f>
        <v>#REF!</v>
      </c>
      <c r="DW209" t="e">
        <f>AND(#REF!,"AAAAAH/8334=")</f>
        <v>#REF!</v>
      </c>
      <c r="DX209" t="e">
        <f>AND(#REF!,"AAAAAH/8338=")</f>
        <v>#REF!</v>
      </c>
      <c r="DY209" t="e">
        <f>AND(#REF!,"AAAAAH/834A=")</f>
        <v>#REF!</v>
      </c>
      <c r="DZ209" t="e">
        <f>AND(#REF!,"AAAAAH/834E=")</f>
        <v>#REF!</v>
      </c>
      <c r="EA209" t="e">
        <f>AND(#REF!,"AAAAAH/834I=")</f>
        <v>#REF!</v>
      </c>
      <c r="EB209" t="e">
        <f>AND(#REF!,"AAAAAH/834M=")</f>
        <v>#REF!</v>
      </c>
      <c r="EC209" t="e">
        <f>AND(#REF!,"AAAAAH/834Q=")</f>
        <v>#REF!</v>
      </c>
      <c r="ED209" t="e">
        <f>AND(#REF!,"AAAAAH/834U=")</f>
        <v>#REF!</v>
      </c>
      <c r="EE209" t="e">
        <f>AND(#REF!,"AAAAAH/834Y=")</f>
        <v>#REF!</v>
      </c>
      <c r="EF209" t="e">
        <f>AND(#REF!,"AAAAAH/834c=")</f>
        <v>#REF!</v>
      </c>
      <c r="EG209" t="e">
        <f>AND(#REF!,"AAAAAH/834g=")</f>
        <v>#REF!</v>
      </c>
      <c r="EH209" t="e">
        <f>IF(#REF!,"AAAAAH/834k=",0)</f>
        <v>#REF!</v>
      </c>
      <c r="EI209" t="e">
        <f>AND(#REF!,"AAAAAH/834o=")</f>
        <v>#REF!</v>
      </c>
      <c r="EJ209" t="e">
        <f>AND(#REF!,"AAAAAH/834s=")</f>
        <v>#REF!</v>
      </c>
      <c r="EK209" t="e">
        <f>AND(#REF!,"AAAAAH/834w=")</f>
        <v>#REF!</v>
      </c>
      <c r="EL209" t="e">
        <f>AND(#REF!,"AAAAAH/8340=")</f>
        <v>#REF!</v>
      </c>
      <c r="EM209" t="e">
        <f>AND(#REF!,"AAAAAH/8344=")</f>
        <v>#REF!</v>
      </c>
      <c r="EN209" t="e">
        <f>AND(#REF!,"AAAAAH/8348=")</f>
        <v>#REF!</v>
      </c>
      <c r="EO209" t="e">
        <f>AND(#REF!,"AAAAAH/835A=")</f>
        <v>#REF!</v>
      </c>
      <c r="EP209" t="e">
        <f>AND(#REF!,"AAAAAH/835E=")</f>
        <v>#REF!</v>
      </c>
      <c r="EQ209" t="e">
        <f>AND(#REF!,"AAAAAH/835I=")</f>
        <v>#REF!</v>
      </c>
      <c r="ER209" t="e">
        <f>AND(#REF!,"AAAAAH/835M=")</f>
        <v>#REF!</v>
      </c>
      <c r="ES209" t="e">
        <f>AND(#REF!,"AAAAAH/835Q=")</f>
        <v>#REF!</v>
      </c>
      <c r="ET209" t="e">
        <f>AND(#REF!,"AAAAAH/835U=")</f>
        <v>#REF!</v>
      </c>
      <c r="EU209" t="e">
        <f>AND(#REF!,"AAAAAH/835Y=")</f>
        <v>#REF!</v>
      </c>
      <c r="EV209" t="e">
        <f>AND(#REF!,"AAAAAH/835c=")</f>
        <v>#REF!</v>
      </c>
      <c r="EW209" t="e">
        <f>AND(#REF!,"AAAAAH/835g=")</f>
        <v>#REF!</v>
      </c>
      <c r="EX209" t="e">
        <f>AND(#REF!,"AAAAAH/835k=")</f>
        <v>#REF!</v>
      </c>
      <c r="EY209" t="e">
        <f>AND(#REF!,"AAAAAH/835o=")</f>
        <v>#REF!</v>
      </c>
      <c r="EZ209" t="e">
        <f>AND(#REF!,"AAAAAH/835s=")</f>
        <v>#REF!</v>
      </c>
      <c r="FA209" t="e">
        <f>AND(#REF!,"AAAAAH/835w=")</f>
        <v>#REF!</v>
      </c>
      <c r="FB209" t="e">
        <f>AND(#REF!,"AAAAAH/8350=")</f>
        <v>#REF!</v>
      </c>
      <c r="FC209" t="e">
        <f>AND(#REF!,"AAAAAH/8354=")</f>
        <v>#REF!</v>
      </c>
      <c r="FD209" t="e">
        <f>AND(#REF!,"AAAAAH/8358=")</f>
        <v>#REF!</v>
      </c>
      <c r="FE209" t="e">
        <f>AND(#REF!,"AAAAAH/836A=")</f>
        <v>#REF!</v>
      </c>
      <c r="FF209" t="e">
        <f>AND(#REF!,"AAAAAH/836E=")</f>
        <v>#REF!</v>
      </c>
      <c r="FG209" t="e">
        <f>IF(#REF!,"AAAAAH/836I=",0)</f>
        <v>#REF!</v>
      </c>
      <c r="FH209" t="e">
        <f>AND(#REF!,"AAAAAH/836M=")</f>
        <v>#REF!</v>
      </c>
      <c r="FI209" t="e">
        <f>AND(#REF!,"AAAAAH/836Q=")</f>
        <v>#REF!</v>
      </c>
      <c r="FJ209" t="e">
        <f>AND(#REF!,"AAAAAH/836U=")</f>
        <v>#REF!</v>
      </c>
      <c r="FK209" t="e">
        <f>AND(#REF!,"AAAAAH/836Y=")</f>
        <v>#REF!</v>
      </c>
      <c r="FL209" t="e">
        <f>AND(#REF!,"AAAAAH/836c=")</f>
        <v>#REF!</v>
      </c>
      <c r="FM209" t="e">
        <f>AND(#REF!,"AAAAAH/836g=")</f>
        <v>#REF!</v>
      </c>
      <c r="FN209" t="e">
        <f>AND(#REF!,"AAAAAH/836k=")</f>
        <v>#REF!</v>
      </c>
      <c r="FO209" t="e">
        <f>AND(#REF!,"AAAAAH/836o=")</f>
        <v>#REF!</v>
      </c>
      <c r="FP209" t="e">
        <f>AND(#REF!,"AAAAAH/836s=")</f>
        <v>#REF!</v>
      </c>
      <c r="FQ209" t="e">
        <f>AND(#REF!,"AAAAAH/836w=")</f>
        <v>#REF!</v>
      </c>
      <c r="FR209" t="e">
        <f>AND(#REF!,"AAAAAH/8360=")</f>
        <v>#REF!</v>
      </c>
      <c r="FS209" t="e">
        <f>AND(#REF!,"AAAAAH/8364=")</f>
        <v>#REF!</v>
      </c>
      <c r="FT209" t="e">
        <f>AND(#REF!,"AAAAAH/8368=")</f>
        <v>#REF!</v>
      </c>
      <c r="FU209" t="e">
        <f>AND(#REF!,"AAAAAH/837A=")</f>
        <v>#REF!</v>
      </c>
      <c r="FV209" t="e">
        <f>AND(#REF!,"AAAAAH/837E=")</f>
        <v>#REF!</v>
      </c>
      <c r="FW209" t="e">
        <f>AND(#REF!,"AAAAAH/837I=")</f>
        <v>#REF!</v>
      </c>
      <c r="FX209" t="e">
        <f>AND(#REF!,"AAAAAH/837M=")</f>
        <v>#REF!</v>
      </c>
      <c r="FY209" t="e">
        <f>AND(#REF!,"AAAAAH/837Q=")</f>
        <v>#REF!</v>
      </c>
      <c r="FZ209" t="e">
        <f>AND(#REF!,"AAAAAH/837U=")</f>
        <v>#REF!</v>
      </c>
      <c r="GA209" t="e">
        <f>AND(#REF!,"AAAAAH/837Y=")</f>
        <v>#REF!</v>
      </c>
      <c r="GB209" t="e">
        <f>AND(#REF!,"AAAAAH/837c=")</f>
        <v>#REF!</v>
      </c>
      <c r="GC209" t="e">
        <f>AND(#REF!,"AAAAAH/837g=")</f>
        <v>#REF!</v>
      </c>
      <c r="GD209" t="e">
        <f>AND(#REF!,"AAAAAH/837k=")</f>
        <v>#REF!</v>
      </c>
      <c r="GE209" t="e">
        <f>AND(#REF!,"AAAAAH/837o=")</f>
        <v>#REF!</v>
      </c>
      <c r="GF209" t="e">
        <f>IF(#REF!,"AAAAAH/837s=",0)</f>
        <v>#REF!</v>
      </c>
      <c r="GG209" t="e">
        <f>AND(#REF!,"AAAAAH/837w=")</f>
        <v>#REF!</v>
      </c>
      <c r="GH209" t="e">
        <f>AND(#REF!,"AAAAAH/8370=")</f>
        <v>#REF!</v>
      </c>
      <c r="GI209" t="e">
        <f>AND(#REF!,"AAAAAH/8374=")</f>
        <v>#REF!</v>
      </c>
      <c r="GJ209" t="e">
        <f>AND(#REF!,"AAAAAH/8378=")</f>
        <v>#REF!</v>
      </c>
      <c r="GK209" t="e">
        <f>AND(#REF!,"AAAAAH/838A=")</f>
        <v>#REF!</v>
      </c>
      <c r="GL209" t="e">
        <f>AND(#REF!,"AAAAAH/838E=")</f>
        <v>#REF!</v>
      </c>
      <c r="GM209" t="e">
        <f>AND(#REF!,"AAAAAH/838I=")</f>
        <v>#REF!</v>
      </c>
      <c r="GN209" t="e">
        <f>AND(#REF!,"AAAAAH/838M=")</f>
        <v>#REF!</v>
      </c>
      <c r="GO209" t="e">
        <f>AND(#REF!,"AAAAAH/838Q=")</f>
        <v>#REF!</v>
      </c>
      <c r="GP209" t="e">
        <f>AND(#REF!,"AAAAAH/838U=")</f>
        <v>#REF!</v>
      </c>
      <c r="GQ209" t="e">
        <f>AND(#REF!,"AAAAAH/838Y=")</f>
        <v>#REF!</v>
      </c>
      <c r="GR209" t="e">
        <f>AND(#REF!,"AAAAAH/838c=")</f>
        <v>#REF!</v>
      </c>
      <c r="GS209" t="e">
        <f>AND(#REF!,"AAAAAH/838g=")</f>
        <v>#REF!</v>
      </c>
      <c r="GT209" t="e">
        <f>AND(#REF!,"AAAAAH/838k=")</f>
        <v>#REF!</v>
      </c>
      <c r="GU209" t="e">
        <f>AND(#REF!,"AAAAAH/838o=")</f>
        <v>#REF!</v>
      </c>
      <c r="GV209" t="e">
        <f>AND(#REF!,"AAAAAH/838s=")</f>
        <v>#REF!</v>
      </c>
      <c r="GW209" t="e">
        <f>AND(#REF!,"AAAAAH/838w=")</f>
        <v>#REF!</v>
      </c>
      <c r="GX209" t="e">
        <f>AND(#REF!,"AAAAAH/8380=")</f>
        <v>#REF!</v>
      </c>
      <c r="GY209" t="e">
        <f>AND(#REF!,"AAAAAH/8384=")</f>
        <v>#REF!</v>
      </c>
      <c r="GZ209" t="e">
        <f>AND(#REF!,"AAAAAH/8388=")</f>
        <v>#REF!</v>
      </c>
      <c r="HA209" t="e">
        <f>AND(#REF!,"AAAAAH/839A=")</f>
        <v>#REF!</v>
      </c>
      <c r="HB209" t="e">
        <f>AND(#REF!,"AAAAAH/839E=")</f>
        <v>#REF!</v>
      </c>
      <c r="HC209" t="e">
        <f>AND(#REF!,"AAAAAH/839I=")</f>
        <v>#REF!</v>
      </c>
      <c r="HD209" t="e">
        <f>AND(#REF!,"AAAAAH/839M=")</f>
        <v>#REF!</v>
      </c>
      <c r="HE209" t="e">
        <f>IF(#REF!,"AAAAAH/839Q=",0)</f>
        <v>#REF!</v>
      </c>
      <c r="HF209" t="e">
        <f>AND(#REF!,"AAAAAH/839U=")</f>
        <v>#REF!</v>
      </c>
      <c r="HG209" t="e">
        <f>AND(#REF!,"AAAAAH/839Y=")</f>
        <v>#REF!</v>
      </c>
      <c r="HH209" t="e">
        <f>AND(#REF!,"AAAAAH/839c=")</f>
        <v>#REF!</v>
      </c>
      <c r="HI209" t="e">
        <f>AND(#REF!,"AAAAAH/839g=")</f>
        <v>#REF!</v>
      </c>
      <c r="HJ209" t="e">
        <f>AND(#REF!,"AAAAAH/839k=")</f>
        <v>#REF!</v>
      </c>
      <c r="HK209" t="e">
        <f>AND(#REF!,"AAAAAH/839o=")</f>
        <v>#REF!</v>
      </c>
      <c r="HL209" t="e">
        <f>AND(#REF!,"AAAAAH/839s=")</f>
        <v>#REF!</v>
      </c>
      <c r="HM209" t="e">
        <f>AND(#REF!,"AAAAAH/839w=")</f>
        <v>#REF!</v>
      </c>
      <c r="HN209" t="e">
        <f>AND(#REF!,"AAAAAH/8390=")</f>
        <v>#REF!</v>
      </c>
      <c r="HO209" t="e">
        <f>AND(#REF!,"AAAAAH/8394=")</f>
        <v>#REF!</v>
      </c>
      <c r="HP209" t="e">
        <f>AND(#REF!,"AAAAAH/8398=")</f>
        <v>#REF!</v>
      </c>
      <c r="HQ209" t="e">
        <f>AND(#REF!,"AAAAAH/83+A=")</f>
        <v>#REF!</v>
      </c>
      <c r="HR209" t="e">
        <f>AND(#REF!,"AAAAAH/83+E=")</f>
        <v>#REF!</v>
      </c>
      <c r="HS209" t="e">
        <f>AND(#REF!,"AAAAAH/83+I=")</f>
        <v>#REF!</v>
      </c>
      <c r="HT209" t="e">
        <f>AND(#REF!,"AAAAAH/83+M=")</f>
        <v>#REF!</v>
      </c>
      <c r="HU209" t="e">
        <f>AND(#REF!,"AAAAAH/83+Q=")</f>
        <v>#REF!</v>
      </c>
      <c r="HV209" t="e">
        <f>AND(#REF!,"AAAAAH/83+U=")</f>
        <v>#REF!</v>
      </c>
      <c r="HW209" t="e">
        <f>AND(#REF!,"AAAAAH/83+Y=")</f>
        <v>#REF!</v>
      </c>
      <c r="HX209" t="e">
        <f>AND(#REF!,"AAAAAH/83+c=")</f>
        <v>#REF!</v>
      </c>
      <c r="HY209" t="e">
        <f>AND(#REF!,"AAAAAH/83+g=")</f>
        <v>#REF!</v>
      </c>
      <c r="HZ209" t="e">
        <f>AND(#REF!,"AAAAAH/83+k=")</f>
        <v>#REF!</v>
      </c>
      <c r="IA209" t="e">
        <f>AND(#REF!,"AAAAAH/83+o=")</f>
        <v>#REF!</v>
      </c>
      <c r="IB209" t="e">
        <f>AND(#REF!,"AAAAAH/83+s=")</f>
        <v>#REF!</v>
      </c>
      <c r="IC209" t="e">
        <f>AND(#REF!,"AAAAAH/83+w=")</f>
        <v>#REF!</v>
      </c>
      <c r="ID209" t="e">
        <f>IF(#REF!,"AAAAAH/83+0=",0)</f>
        <v>#REF!</v>
      </c>
      <c r="IE209" t="e">
        <f>AND(#REF!,"AAAAAH/83+4=")</f>
        <v>#REF!</v>
      </c>
      <c r="IF209" t="e">
        <f>AND(#REF!,"AAAAAH/83+8=")</f>
        <v>#REF!</v>
      </c>
      <c r="IG209" t="e">
        <f>AND(#REF!,"AAAAAH/83/A=")</f>
        <v>#REF!</v>
      </c>
      <c r="IH209" t="e">
        <f>AND(#REF!,"AAAAAH/83/E=")</f>
        <v>#REF!</v>
      </c>
      <c r="II209" t="e">
        <f>AND(#REF!,"AAAAAH/83/I=")</f>
        <v>#REF!</v>
      </c>
      <c r="IJ209" t="e">
        <f>AND(#REF!,"AAAAAH/83/M=")</f>
        <v>#REF!</v>
      </c>
      <c r="IK209" t="e">
        <f>AND(#REF!,"AAAAAH/83/Q=")</f>
        <v>#REF!</v>
      </c>
      <c r="IL209" t="e">
        <f>AND(#REF!,"AAAAAH/83/U=")</f>
        <v>#REF!</v>
      </c>
      <c r="IM209" t="e">
        <f>AND(#REF!,"AAAAAH/83/Y=")</f>
        <v>#REF!</v>
      </c>
      <c r="IN209" t="e">
        <f>AND(#REF!,"AAAAAH/83/c=")</f>
        <v>#REF!</v>
      </c>
      <c r="IO209" t="e">
        <f>AND(#REF!,"AAAAAH/83/g=")</f>
        <v>#REF!</v>
      </c>
      <c r="IP209" t="e">
        <f>AND(#REF!,"AAAAAH/83/k=")</f>
        <v>#REF!</v>
      </c>
      <c r="IQ209" t="e">
        <f>AND(#REF!,"AAAAAH/83/o=")</f>
        <v>#REF!</v>
      </c>
      <c r="IR209" t="e">
        <f>AND(#REF!,"AAAAAH/83/s=")</f>
        <v>#REF!</v>
      </c>
      <c r="IS209" t="e">
        <f>AND(#REF!,"AAAAAH/83/w=")</f>
        <v>#REF!</v>
      </c>
      <c r="IT209" t="e">
        <f>AND(#REF!,"AAAAAH/83/0=")</f>
        <v>#REF!</v>
      </c>
      <c r="IU209" t="e">
        <f>AND(#REF!,"AAAAAH/83/4=")</f>
        <v>#REF!</v>
      </c>
      <c r="IV209" t="e">
        <f>AND(#REF!,"AAAAAH/83/8=")</f>
        <v>#REF!</v>
      </c>
    </row>
    <row r="210" spans="1:256">
      <c r="A210" t="e">
        <f>AND(#REF!,"AAAAAD5f/wA=")</f>
        <v>#REF!</v>
      </c>
      <c r="B210" t="e">
        <f>AND(#REF!,"AAAAAD5f/wE=")</f>
        <v>#REF!</v>
      </c>
      <c r="C210" t="e">
        <f>AND(#REF!,"AAAAAD5f/wI=")</f>
        <v>#REF!</v>
      </c>
      <c r="D210" t="e">
        <f>AND(#REF!,"AAAAAD5f/wM=")</f>
        <v>#REF!</v>
      </c>
      <c r="E210" t="e">
        <f>AND(#REF!,"AAAAAD5f/wQ=")</f>
        <v>#REF!</v>
      </c>
      <c r="F210" t="e">
        <f>AND(#REF!,"AAAAAD5f/wU=")</f>
        <v>#REF!</v>
      </c>
      <c r="G210" t="e">
        <f>IF(#REF!,"AAAAAD5f/wY=",0)</f>
        <v>#REF!</v>
      </c>
      <c r="H210" t="e">
        <f>AND(#REF!,"AAAAAD5f/wc=")</f>
        <v>#REF!</v>
      </c>
      <c r="I210" t="e">
        <f>AND(#REF!,"AAAAAD5f/wg=")</f>
        <v>#REF!</v>
      </c>
      <c r="J210" t="e">
        <f>AND(#REF!,"AAAAAD5f/wk=")</f>
        <v>#REF!</v>
      </c>
      <c r="K210" t="e">
        <f>AND(#REF!,"AAAAAD5f/wo=")</f>
        <v>#REF!</v>
      </c>
      <c r="L210" t="e">
        <f>AND(#REF!,"AAAAAD5f/ws=")</f>
        <v>#REF!</v>
      </c>
      <c r="M210" t="e">
        <f>AND(#REF!,"AAAAAD5f/ww=")</f>
        <v>#REF!</v>
      </c>
      <c r="N210" t="e">
        <f>AND(#REF!,"AAAAAD5f/w0=")</f>
        <v>#REF!</v>
      </c>
      <c r="O210" t="e">
        <f>AND(#REF!,"AAAAAD5f/w4=")</f>
        <v>#REF!</v>
      </c>
      <c r="P210" t="e">
        <f>AND(#REF!,"AAAAAD5f/w8=")</f>
        <v>#REF!</v>
      </c>
      <c r="Q210" t="e">
        <f>AND(#REF!,"AAAAAD5f/xA=")</f>
        <v>#REF!</v>
      </c>
      <c r="R210" t="e">
        <f>AND(#REF!,"AAAAAD5f/xE=")</f>
        <v>#REF!</v>
      </c>
      <c r="S210" t="e">
        <f>AND(#REF!,"AAAAAD5f/xI=")</f>
        <v>#REF!</v>
      </c>
      <c r="T210" t="e">
        <f>AND(#REF!,"AAAAAD5f/xM=")</f>
        <v>#REF!</v>
      </c>
      <c r="U210" t="e">
        <f>AND(#REF!,"AAAAAD5f/xQ=")</f>
        <v>#REF!</v>
      </c>
      <c r="V210" t="e">
        <f>AND(#REF!,"AAAAAD5f/xU=")</f>
        <v>#REF!</v>
      </c>
      <c r="W210" t="e">
        <f>AND(#REF!,"AAAAAD5f/xY=")</f>
        <v>#REF!</v>
      </c>
      <c r="X210" t="e">
        <f>AND(#REF!,"AAAAAD5f/xc=")</f>
        <v>#REF!</v>
      </c>
      <c r="Y210" t="e">
        <f>AND(#REF!,"AAAAAD5f/xg=")</f>
        <v>#REF!</v>
      </c>
      <c r="Z210" t="e">
        <f>AND(#REF!,"AAAAAD5f/xk=")</f>
        <v>#REF!</v>
      </c>
      <c r="AA210" t="e">
        <f>AND(#REF!,"AAAAAD5f/xo=")</f>
        <v>#REF!</v>
      </c>
      <c r="AB210" t="e">
        <f>AND(#REF!,"AAAAAD5f/xs=")</f>
        <v>#REF!</v>
      </c>
      <c r="AC210" t="e">
        <f>AND(#REF!,"AAAAAD5f/xw=")</f>
        <v>#REF!</v>
      </c>
      <c r="AD210" t="e">
        <f>AND(#REF!,"AAAAAD5f/x0=")</f>
        <v>#REF!</v>
      </c>
      <c r="AE210" t="e">
        <f>AND(#REF!,"AAAAAD5f/x4=")</f>
        <v>#REF!</v>
      </c>
      <c r="AF210" t="e">
        <f>IF(#REF!,"AAAAAD5f/x8=",0)</f>
        <v>#REF!</v>
      </c>
      <c r="AG210" t="e">
        <f>AND(#REF!,"AAAAAD5f/yA=")</f>
        <v>#REF!</v>
      </c>
      <c r="AH210" t="e">
        <f>AND(#REF!,"AAAAAD5f/yE=")</f>
        <v>#REF!</v>
      </c>
      <c r="AI210" t="e">
        <f>AND(#REF!,"AAAAAD5f/yI=")</f>
        <v>#REF!</v>
      </c>
      <c r="AJ210" t="e">
        <f>AND(#REF!,"AAAAAD5f/yM=")</f>
        <v>#REF!</v>
      </c>
      <c r="AK210" t="e">
        <f>AND(#REF!,"AAAAAD5f/yQ=")</f>
        <v>#REF!</v>
      </c>
      <c r="AL210" t="e">
        <f>AND(#REF!,"AAAAAD5f/yU=")</f>
        <v>#REF!</v>
      </c>
      <c r="AM210" t="e">
        <f>AND(#REF!,"AAAAAD5f/yY=")</f>
        <v>#REF!</v>
      </c>
      <c r="AN210" t="e">
        <f>AND(#REF!,"AAAAAD5f/yc=")</f>
        <v>#REF!</v>
      </c>
      <c r="AO210" t="e">
        <f>AND(#REF!,"AAAAAD5f/yg=")</f>
        <v>#REF!</v>
      </c>
      <c r="AP210" t="e">
        <f>AND(#REF!,"AAAAAD5f/yk=")</f>
        <v>#REF!</v>
      </c>
      <c r="AQ210" t="e">
        <f>AND(#REF!,"AAAAAD5f/yo=")</f>
        <v>#REF!</v>
      </c>
      <c r="AR210" t="e">
        <f>AND(#REF!,"AAAAAD5f/ys=")</f>
        <v>#REF!</v>
      </c>
      <c r="AS210" t="e">
        <f>AND(#REF!,"AAAAAD5f/yw=")</f>
        <v>#REF!</v>
      </c>
      <c r="AT210" t="e">
        <f>AND(#REF!,"AAAAAD5f/y0=")</f>
        <v>#REF!</v>
      </c>
      <c r="AU210" t="e">
        <f>AND(#REF!,"AAAAAD5f/y4=")</f>
        <v>#REF!</v>
      </c>
      <c r="AV210" t="e">
        <f>AND(#REF!,"AAAAAD5f/y8=")</f>
        <v>#REF!</v>
      </c>
      <c r="AW210" t="e">
        <f>AND(#REF!,"AAAAAD5f/zA=")</f>
        <v>#REF!</v>
      </c>
      <c r="AX210" t="e">
        <f>AND(#REF!,"AAAAAD5f/zE=")</f>
        <v>#REF!</v>
      </c>
      <c r="AY210" t="e">
        <f>AND(#REF!,"AAAAAD5f/zI=")</f>
        <v>#REF!</v>
      </c>
      <c r="AZ210" t="e">
        <f>AND(#REF!,"AAAAAD5f/zM=")</f>
        <v>#REF!</v>
      </c>
      <c r="BA210" t="e">
        <f>AND(#REF!,"AAAAAD5f/zQ=")</f>
        <v>#REF!</v>
      </c>
      <c r="BB210" t="e">
        <f>AND(#REF!,"AAAAAD5f/zU=")</f>
        <v>#REF!</v>
      </c>
      <c r="BC210" t="e">
        <f>AND(#REF!,"AAAAAD5f/zY=")</f>
        <v>#REF!</v>
      </c>
      <c r="BD210" t="e">
        <f>AND(#REF!,"AAAAAD5f/zc=")</f>
        <v>#REF!</v>
      </c>
      <c r="BE210" t="e">
        <f>IF(#REF!,"AAAAAD5f/zg=",0)</f>
        <v>#REF!</v>
      </c>
      <c r="BF210" t="e">
        <f>AND(#REF!,"AAAAAD5f/zk=")</f>
        <v>#REF!</v>
      </c>
      <c r="BG210" t="e">
        <f>AND(#REF!,"AAAAAD5f/zo=")</f>
        <v>#REF!</v>
      </c>
      <c r="BH210" t="e">
        <f>AND(#REF!,"AAAAAD5f/zs=")</f>
        <v>#REF!</v>
      </c>
      <c r="BI210" t="e">
        <f>AND(#REF!,"AAAAAD5f/zw=")</f>
        <v>#REF!</v>
      </c>
      <c r="BJ210" t="e">
        <f>AND(#REF!,"AAAAAD5f/z0=")</f>
        <v>#REF!</v>
      </c>
      <c r="BK210" t="e">
        <f>AND(#REF!,"AAAAAD5f/z4=")</f>
        <v>#REF!</v>
      </c>
      <c r="BL210" t="e">
        <f>AND(#REF!,"AAAAAD5f/z8=")</f>
        <v>#REF!</v>
      </c>
      <c r="BM210" t="e">
        <f>AND(#REF!,"AAAAAD5f/0A=")</f>
        <v>#REF!</v>
      </c>
      <c r="BN210" t="e">
        <f>AND(#REF!,"AAAAAD5f/0E=")</f>
        <v>#REF!</v>
      </c>
      <c r="BO210" t="e">
        <f>AND(#REF!,"AAAAAD5f/0I=")</f>
        <v>#REF!</v>
      </c>
      <c r="BP210" t="e">
        <f>AND(#REF!,"AAAAAD5f/0M=")</f>
        <v>#REF!</v>
      </c>
      <c r="BQ210" t="e">
        <f>AND(#REF!,"AAAAAD5f/0Q=")</f>
        <v>#REF!</v>
      </c>
      <c r="BR210" t="e">
        <f>AND(#REF!,"AAAAAD5f/0U=")</f>
        <v>#REF!</v>
      </c>
      <c r="BS210" t="e">
        <f>AND(#REF!,"AAAAAD5f/0Y=")</f>
        <v>#REF!</v>
      </c>
      <c r="BT210" t="e">
        <f>AND(#REF!,"AAAAAD5f/0c=")</f>
        <v>#REF!</v>
      </c>
      <c r="BU210" t="e">
        <f>AND(#REF!,"AAAAAD5f/0g=")</f>
        <v>#REF!</v>
      </c>
      <c r="BV210" t="e">
        <f>AND(#REF!,"AAAAAD5f/0k=")</f>
        <v>#REF!</v>
      </c>
      <c r="BW210" t="e">
        <f>AND(#REF!,"AAAAAD5f/0o=")</f>
        <v>#REF!</v>
      </c>
      <c r="BX210" t="e">
        <f>AND(#REF!,"AAAAAD5f/0s=")</f>
        <v>#REF!</v>
      </c>
      <c r="BY210" t="e">
        <f>AND(#REF!,"AAAAAD5f/0w=")</f>
        <v>#REF!</v>
      </c>
      <c r="BZ210" t="e">
        <f>AND(#REF!,"AAAAAD5f/00=")</f>
        <v>#REF!</v>
      </c>
      <c r="CA210" t="e">
        <f>AND(#REF!,"AAAAAD5f/04=")</f>
        <v>#REF!</v>
      </c>
      <c r="CB210" t="e">
        <f>AND(#REF!,"AAAAAD5f/08=")</f>
        <v>#REF!</v>
      </c>
      <c r="CC210" t="e">
        <f>AND(#REF!,"AAAAAD5f/1A=")</f>
        <v>#REF!</v>
      </c>
      <c r="CD210" t="e">
        <f>IF(#REF!,"AAAAAD5f/1E=",0)</f>
        <v>#REF!</v>
      </c>
      <c r="CE210" t="e">
        <f>AND(#REF!,"AAAAAD5f/1I=")</f>
        <v>#REF!</v>
      </c>
      <c r="CF210" t="e">
        <f>AND(#REF!,"AAAAAD5f/1M=")</f>
        <v>#REF!</v>
      </c>
      <c r="CG210" t="e">
        <f>AND(#REF!,"AAAAAD5f/1Q=")</f>
        <v>#REF!</v>
      </c>
      <c r="CH210" t="e">
        <f>AND(#REF!,"AAAAAD5f/1U=")</f>
        <v>#REF!</v>
      </c>
      <c r="CI210" t="e">
        <f>AND(#REF!,"AAAAAD5f/1Y=")</f>
        <v>#REF!</v>
      </c>
      <c r="CJ210" t="e">
        <f>AND(#REF!,"AAAAAD5f/1c=")</f>
        <v>#REF!</v>
      </c>
      <c r="CK210" t="e">
        <f>AND(#REF!,"AAAAAD5f/1g=")</f>
        <v>#REF!</v>
      </c>
      <c r="CL210" t="e">
        <f>AND(#REF!,"AAAAAD5f/1k=")</f>
        <v>#REF!</v>
      </c>
      <c r="CM210" t="e">
        <f>AND(#REF!,"AAAAAD5f/1o=")</f>
        <v>#REF!</v>
      </c>
      <c r="CN210" t="e">
        <f>AND(#REF!,"AAAAAD5f/1s=")</f>
        <v>#REF!</v>
      </c>
      <c r="CO210" t="e">
        <f>AND(#REF!,"AAAAAD5f/1w=")</f>
        <v>#REF!</v>
      </c>
      <c r="CP210" t="e">
        <f>AND(#REF!,"AAAAAD5f/10=")</f>
        <v>#REF!</v>
      </c>
      <c r="CQ210" t="e">
        <f>AND(#REF!,"AAAAAD5f/14=")</f>
        <v>#REF!</v>
      </c>
      <c r="CR210" t="e">
        <f>AND(#REF!,"AAAAAD5f/18=")</f>
        <v>#REF!</v>
      </c>
      <c r="CS210" t="e">
        <f>AND(#REF!,"AAAAAD5f/2A=")</f>
        <v>#REF!</v>
      </c>
      <c r="CT210" t="e">
        <f>AND(#REF!,"AAAAAD5f/2E=")</f>
        <v>#REF!</v>
      </c>
      <c r="CU210" t="e">
        <f>AND(#REF!,"AAAAAD5f/2I=")</f>
        <v>#REF!</v>
      </c>
      <c r="CV210" t="e">
        <f>AND(#REF!,"AAAAAD5f/2M=")</f>
        <v>#REF!</v>
      </c>
      <c r="CW210" t="e">
        <f>AND(#REF!,"AAAAAD5f/2Q=")</f>
        <v>#REF!</v>
      </c>
      <c r="CX210" t="e">
        <f>AND(#REF!,"AAAAAD5f/2U=")</f>
        <v>#REF!</v>
      </c>
      <c r="CY210" t="e">
        <f>AND(#REF!,"AAAAAD5f/2Y=")</f>
        <v>#REF!</v>
      </c>
      <c r="CZ210" t="e">
        <f>AND(#REF!,"AAAAAD5f/2c=")</f>
        <v>#REF!</v>
      </c>
      <c r="DA210" t="e">
        <f>AND(#REF!,"AAAAAD5f/2g=")</f>
        <v>#REF!</v>
      </c>
      <c r="DB210" t="e">
        <f>AND(#REF!,"AAAAAD5f/2k=")</f>
        <v>#REF!</v>
      </c>
      <c r="DC210" t="e">
        <f>IF(#REF!,"AAAAAD5f/2o=",0)</f>
        <v>#REF!</v>
      </c>
      <c r="DD210" t="e">
        <f>AND(#REF!,"AAAAAD5f/2s=")</f>
        <v>#REF!</v>
      </c>
      <c r="DE210" t="e">
        <f>AND(#REF!,"AAAAAD5f/2w=")</f>
        <v>#REF!</v>
      </c>
      <c r="DF210" t="e">
        <f>AND(#REF!,"AAAAAD5f/20=")</f>
        <v>#REF!</v>
      </c>
      <c r="DG210" t="e">
        <f>AND(#REF!,"AAAAAD5f/24=")</f>
        <v>#REF!</v>
      </c>
      <c r="DH210" t="e">
        <f>AND(#REF!,"AAAAAD5f/28=")</f>
        <v>#REF!</v>
      </c>
      <c r="DI210" t="e">
        <f>AND(#REF!,"AAAAAD5f/3A=")</f>
        <v>#REF!</v>
      </c>
      <c r="DJ210" t="e">
        <f>AND(#REF!,"AAAAAD5f/3E=")</f>
        <v>#REF!</v>
      </c>
      <c r="DK210" t="e">
        <f>AND(#REF!,"AAAAAD5f/3I=")</f>
        <v>#REF!</v>
      </c>
      <c r="DL210" t="e">
        <f>AND(#REF!,"AAAAAD5f/3M=")</f>
        <v>#REF!</v>
      </c>
      <c r="DM210" t="e">
        <f>AND(#REF!,"AAAAAD5f/3Q=")</f>
        <v>#REF!</v>
      </c>
      <c r="DN210" t="e">
        <f>AND(#REF!,"AAAAAD5f/3U=")</f>
        <v>#REF!</v>
      </c>
      <c r="DO210" t="e">
        <f>AND(#REF!,"AAAAAD5f/3Y=")</f>
        <v>#REF!</v>
      </c>
      <c r="DP210" t="e">
        <f>AND(#REF!,"AAAAAD5f/3c=")</f>
        <v>#REF!</v>
      </c>
      <c r="DQ210" t="e">
        <f>AND(#REF!,"AAAAAD5f/3g=")</f>
        <v>#REF!</v>
      </c>
      <c r="DR210" t="e">
        <f>AND(#REF!,"AAAAAD5f/3k=")</f>
        <v>#REF!</v>
      </c>
      <c r="DS210" t="e">
        <f>AND(#REF!,"AAAAAD5f/3o=")</f>
        <v>#REF!</v>
      </c>
      <c r="DT210" t="e">
        <f>AND(#REF!,"AAAAAD5f/3s=")</f>
        <v>#REF!</v>
      </c>
      <c r="DU210" t="e">
        <f>AND(#REF!,"AAAAAD5f/3w=")</f>
        <v>#REF!</v>
      </c>
      <c r="DV210" t="e">
        <f>AND(#REF!,"AAAAAD5f/30=")</f>
        <v>#REF!</v>
      </c>
      <c r="DW210" t="e">
        <f>AND(#REF!,"AAAAAD5f/34=")</f>
        <v>#REF!</v>
      </c>
      <c r="DX210" t="e">
        <f>AND(#REF!,"AAAAAD5f/38=")</f>
        <v>#REF!</v>
      </c>
      <c r="DY210" t="e">
        <f>AND(#REF!,"AAAAAD5f/4A=")</f>
        <v>#REF!</v>
      </c>
      <c r="DZ210" t="e">
        <f>AND(#REF!,"AAAAAD5f/4E=")</f>
        <v>#REF!</v>
      </c>
      <c r="EA210" t="e">
        <f>AND(#REF!,"AAAAAD5f/4I=")</f>
        <v>#REF!</v>
      </c>
      <c r="EB210" t="e">
        <f>IF(#REF!,"AAAAAD5f/4M=",0)</f>
        <v>#REF!</v>
      </c>
      <c r="EC210" t="e">
        <f>AND(#REF!,"AAAAAD5f/4Q=")</f>
        <v>#REF!</v>
      </c>
      <c r="ED210" t="e">
        <f>AND(#REF!,"AAAAAD5f/4U=")</f>
        <v>#REF!</v>
      </c>
      <c r="EE210" t="e">
        <f>AND(#REF!,"AAAAAD5f/4Y=")</f>
        <v>#REF!</v>
      </c>
      <c r="EF210" t="e">
        <f>AND(#REF!,"AAAAAD5f/4c=")</f>
        <v>#REF!</v>
      </c>
      <c r="EG210" t="e">
        <f>AND(#REF!,"AAAAAD5f/4g=")</f>
        <v>#REF!</v>
      </c>
      <c r="EH210" t="e">
        <f>AND(#REF!,"AAAAAD5f/4k=")</f>
        <v>#REF!</v>
      </c>
      <c r="EI210" t="e">
        <f>AND(#REF!,"AAAAAD5f/4o=")</f>
        <v>#REF!</v>
      </c>
      <c r="EJ210" t="e">
        <f>AND(#REF!,"AAAAAD5f/4s=")</f>
        <v>#REF!</v>
      </c>
      <c r="EK210" t="e">
        <f>AND(#REF!,"AAAAAD5f/4w=")</f>
        <v>#REF!</v>
      </c>
      <c r="EL210" t="e">
        <f>AND(#REF!,"AAAAAD5f/40=")</f>
        <v>#REF!</v>
      </c>
      <c r="EM210" t="e">
        <f>AND(#REF!,"AAAAAD5f/44=")</f>
        <v>#REF!</v>
      </c>
      <c r="EN210" t="e">
        <f>AND(#REF!,"AAAAAD5f/48=")</f>
        <v>#REF!</v>
      </c>
      <c r="EO210" t="e">
        <f>AND(#REF!,"AAAAAD5f/5A=")</f>
        <v>#REF!</v>
      </c>
      <c r="EP210" t="e">
        <f>AND(#REF!,"AAAAAD5f/5E=")</f>
        <v>#REF!</v>
      </c>
      <c r="EQ210" t="e">
        <f>AND(#REF!,"AAAAAD5f/5I=")</f>
        <v>#REF!</v>
      </c>
      <c r="ER210" t="e">
        <f>AND(#REF!,"AAAAAD5f/5M=")</f>
        <v>#REF!</v>
      </c>
      <c r="ES210" t="e">
        <f>AND(#REF!,"AAAAAD5f/5Q=")</f>
        <v>#REF!</v>
      </c>
      <c r="ET210" t="e">
        <f>AND(#REF!,"AAAAAD5f/5U=")</f>
        <v>#REF!</v>
      </c>
      <c r="EU210" t="e">
        <f>AND(#REF!,"AAAAAD5f/5Y=")</f>
        <v>#REF!</v>
      </c>
      <c r="EV210" t="e">
        <f>AND(#REF!,"AAAAAD5f/5c=")</f>
        <v>#REF!</v>
      </c>
      <c r="EW210" t="e">
        <f>AND(#REF!,"AAAAAD5f/5g=")</f>
        <v>#REF!</v>
      </c>
      <c r="EX210" t="e">
        <f>AND(#REF!,"AAAAAD5f/5k=")</f>
        <v>#REF!</v>
      </c>
      <c r="EY210" t="e">
        <f>AND(#REF!,"AAAAAD5f/5o=")</f>
        <v>#REF!</v>
      </c>
      <c r="EZ210" t="e">
        <f>AND(#REF!,"AAAAAD5f/5s=")</f>
        <v>#REF!</v>
      </c>
      <c r="FA210" t="e">
        <f>IF(#REF!,"AAAAAD5f/5w=",0)</f>
        <v>#REF!</v>
      </c>
      <c r="FB210" t="e">
        <f>AND(#REF!,"AAAAAD5f/50=")</f>
        <v>#REF!</v>
      </c>
      <c r="FC210" t="e">
        <f>AND(#REF!,"AAAAAD5f/54=")</f>
        <v>#REF!</v>
      </c>
      <c r="FD210" t="e">
        <f>AND(#REF!,"AAAAAD5f/58=")</f>
        <v>#REF!</v>
      </c>
      <c r="FE210" t="e">
        <f>AND(#REF!,"AAAAAD5f/6A=")</f>
        <v>#REF!</v>
      </c>
      <c r="FF210" t="e">
        <f>AND(#REF!,"AAAAAD5f/6E=")</f>
        <v>#REF!</v>
      </c>
      <c r="FG210" t="e">
        <f>AND(#REF!,"AAAAAD5f/6I=")</f>
        <v>#REF!</v>
      </c>
      <c r="FH210" t="e">
        <f>AND(#REF!,"AAAAAD5f/6M=")</f>
        <v>#REF!</v>
      </c>
      <c r="FI210" t="e">
        <f>AND(#REF!,"AAAAAD5f/6Q=")</f>
        <v>#REF!</v>
      </c>
      <c r="FJ210" t="e">
        <f>AND(#REF!,"AAAAAD5f/6U=")</f>
        <v>#REF!</v>
      </c>
      <c r="FK210" t="e">
        <f>AND(#REF!,"AAAAAD5f/6Y=")</f>
        <v>#REF!</v>
      </c>
      <c r="FL210" t="e">
        <f>AND(#REF!,"AAAAAD5f/6c=")</f>
        <v>#REF!</v>
      </c>
      <c r="FM210" t="e">
        <f>AND(#REF!,"AAAAAD5f/6g=")</f>
        <v>#REF!</v>
      </c>
      <c r="FN210" t="e">
        <f>AND(#REF!,"AAAAAD5f/6k=")</f>
        <v>#REF!</v>
      </c>
      <c r="FO210" t="e">
        <f>AND(#REF!,"AAAAAD5f/6o=")</f>
        <v>#REF!</v>
      </c>
      <c r="FP210" t="e">
        <f>AND(#REF!,"AAAAAD5f/6s=")</f>
        <v>#REF!</v>
      </c>
      <c r="FQ210" t="e">
        <f>AND(#REF!,"AAAAAD5f/6w=")</f>
        <v>#REF!</v>
      </c>
      <c r="FR210" t="e">
        <f>AND(#REF!,"AAAAAD5f/60=")</f>
        <v>#REF!</v>
      </c>
      <c r="FS210" t="e">
        <f>AND(#REF!,"AAAAAD5f/64=")</f>
        <v>#REF!</v>
      </c>
      <c r="FT210" t="e">
        <f>AND(#REF!,"AAAAAD5f/68=")</f>
        <v>#REF!</v>
      </c>
      <c r="FU210" t="e">
        <f>AND(#REF!,"AAAAAD5f/7A=")</f>
        <v>#REF!</v>
      </c>
      <c r="FV210" t="e">
        <f>AND(#REF!,"AAAAAD5f/7E=")</f>
        <v>#REF!</v>
      </c>
      <c r="FW210" t="e">
        <f>AND(#REF!,"AAAAAD5f/7I=")</f>
        <v>#REF!</v>
      </c>
      <c r="FX210" t="e">
        <f>AND(#REF!,"AAAAAD5f/7M=")</f>
        <v>#REF!</v>
      </c>
      <c r="FY210" t="e">
        <f>AND(#REF!,"AAAAAD5f/7Q=")</f>
        <v>#REF!</v>
      </c>
      <c r="FZ210" t="e">
        <f>IF(#REF!,"AAAAAD5f/7U=",0)</f>
        <v>#REF!</v>
      </c>
      <c r="GA210" t="e">
        <f>AND(#REF!,"AAAAAD5f/7Y=")</f>
        <v>#REF!</v>
      </c>
      <c r="GB210" t="e">
        <f>AND(#REF!,"AAAAAD5f/7c=")</f>
        <v>#REF!</v>
      </c>
      <c r="GC210" t="e">
        <f>AND(#REF!,"AAAAAD5f/7g=")</f>
        <v>#REF!</v>
      </c>
      <c r="GD210" t="e">
        <f>AND(#REF!,"AAAAAD5f/7k=")</f>
        <v>#REF!</v>
      </c>
      <c r="GE210" t="e">
        <f>AND(#REF!,"AAAAAD5f/7o=")</f>
        <v>#REF!</v>
      </c>
      <c r="GF210" t="e">
        <f>AND(#REF!,"AAAAAD5f/7s=")</f>
        <v>#REF!</v>
      </c>
      <c r="GG210" t="e">
        <f>AND(#REF!,"AAAAAD5f/7w=")</f>
        <v>#REF!</v>
      </c>
      <c r="GH210" t="e">
        <f>AND(#REF!,"AAAAAD5f/70=")</f>
        <v>#REF!</v>
      </c>
      <c r="GI210" t="e">
        <f>AND(#REF!,"AAAAAD5f/74=")</f>
        <v>#REF!</v>
      </c>
      <c r="GJ210" t="e">
        <f>AND(#REF!,"AAAAAD5f/78=")</f>
        <v>#REF!</v>
      </c>
      <c r="GK210" t="e">
        <f>AND(#REF!,"AAAAAD5f/8A=")</f>
        <v>#REF!</v>
      </c>
      <c r="GL210" t="e">
        <f>AND(#REF!,"AAAAAD5f/8E=")</f>
        <v>#REF!</v>
      </c>
      <c r="GM210" t="e">
        <f>AND(#REF!,"AAAAAD5f/8I=")</f>
        <v>#REF!</v>
      </c>
      <c r="GN210" t="e">
        <f>AND(#REF!,"AAAAAD5f/8M=")</f>
        <v>#REF!</v>
      </c>
      <c r="GO210" t="e">
        <f>AND(#REF!,"AAAAAD5f/8Q=")</f>
        <v>#REF!</v>
      </c>
      <c r="GP210" t="e">
        <f>AND(#REF!,"AAAAAD5f/8U=")</f>
        <v>#REF!</v>
      </c>
      <c r="GQ210" t="e">
        <f>AND(#REF!,"AAAAAD5f/8Y=")</f>
        <v>#REF!</v>
      </c>
      <c r="GR210" t="e">
        <f>AND(#REF!,"AAAAAD5f/8c=")</f>
        <v>#REF!</v>
      </c>
      <c r="GS210" t="e">
        <f>AND(#REF!,"AAAAAD5f/8g=")</f>
        <v>#REF!</v>
      </c>
      <c r="GT210" t="e">
        <f>AND(#REF!,"AAAAAD5f/8k=")</f>
        <v>#REF!</v>
      </c>
      <c r="GU210" t="e">
        <f>AND(#REF!,"AAAAAD5f/8o=")</f>
        <v>#REF!</v>
      </c>
      <c r="GV210" t="e">
        <f>AND(#REF!,"AAAAAD5f/8s=")</f>
        <v>#REF!</v>
      </c>
      <c r="GW210" t="e">
        <f>AND(#REF!,"AAAAAD5f/8w=")</f>
        <v>#REF!</v>
      </c>
      <c r="GX210" t="e">
        <f>AND(#REF!,"AAAAAD5f/80=")</f>
        <v>#REF!</v>
      </c>
      <c r="GY210" t="e">
        <f>IF(#REF!,"AAAAAD5f/84=",0)</f>
        <v>#REF!</v>
      </c>
      <c r="GZ210" t="e">
        <f>AND(#REF!,"AAAAAD5f/88=")</f>
        <v>#REF!</v>
      </c>
      <c r="HA210" t="e">
        <f>AND(#REF!,"AAAAAD5f/9A=")</f>
        <v>#REF!</v>
      </c>
      <c r="HB210" t="e">
        <f>AND(#REF!,"AAAAAD5f/9E=")</f>
        <v>#REF!</v>
      </c>
      <c r="HC210" t="e">
        <f>AND(#REF!,"AAAAAD5f/9I=")</f>
        <v>#REF!</v>
      </c>
      <c r="HD210" t="e">
        <f>AND(#REF!,"AAAAAD5f/9M=")</f>
        <v>#REF!</v>
      </c>
      <c r="HE210" t="e">
        <f>AND(#REF!,"AAAAAD5f/9Q=")</f>
        <v>#REF!</v>
      </c>
      <c r="HF210" t="e">
        <f>AND(#REF!,"AAAAAD5f/9U=")</f>
        <v>#REF!</v>
      </c>
      <c r="HG210" t="e">
        <f>AND(#REF!,"AAAAAD5f/9Y=")</f>
        <v>#REF!</v>
      </c>
      <c r="HH210" t="e">
        <f>AND(#REF!,"AAAAAD5f/9c=")</f>
        <v>#REF!</v>
      </c>
      <c r="HI210" t="e">
        <f>AND(#REF!,"AAAAAD5f/9g=")</f>
        <v>#REF!</v>
      </c>
      <c r="HJ210" t="e">
        <f>AND(#REF!,"AAAAAD5f/9k=")</f>
        <v>#REF!</v>
      </c>
      <c r="HK210" t="e">
        <f>AND(#REF!,"AAAAAD5f/9o=")</f>
        <v>#REF!</v>
      </c>
      <c r="HL210" t="e">
        <f>AND(#REF!,"AAAAAD5f/9s=")</f>
        <v>#REF!</v>
      </c>
      <c r="HM210" t="e">
        <f>AND(#REF!,"AAAAAD5f/9w=")</f>
        <v>#REF!</v>
      </c>
      <c r="HN210" t="e">
        <f>AND(#REF!,"AAAAAD5f/90=")</f>
        <v>#REF!</v>
      </c>
      <c r="HO210" t="e">
        <f>AND(#REF!,"AAAAAD5f/94=")</f>
        <v>#REF!</v>
      </c>
      <c r="HP210" t="e">
        <f>AND(#REF!,"AAAAAD5f/98=")</f>
        <v>#REF!</v>
      </c>
      <c r="HQ210" t="e">
        <f>AND(#REF!,"AAAAAD5f/+A=")</f>
        <v>#REF!</v>
      </c>
      <c r="HR210" t="e">
        <f>AND(#REF!,"AAAAAD5f/+E=")</f>
        <v>#REF!</v>
      </c>
      <c r="HS210" t="e">
        <f>AND(#REF!,"AAAAAD5f/+I=")</f>
        <v>#REF!</v>
      </c>
      <c r="HT210" t="e">
        <f>AND(#REF!,"AAAAAD5f/+M=")</f>
        <v>#REF!</v>
      </c>
      <c r="HU210" t="e">
        <f>AND(#REF!,"AAAAAD5f/+Q=")</f>
        <v>#REF!</v>
      </c>
      <c r="HV210" t="e">
        <f>AND(#REF!,"AAAAAD5f/+U=")</f>
        <v>#REF!</v>
      </c>
      <c r="HW210" t="e">
        <f>AND(#REF!,"AAAAAD5f/+Y=")</f>
        <v>#REF!</v>
      </c>
      <c r="HX210" t="e">
        <f>IF(#REF!,"AAAAAD5f/+c=",0)</f>
        <v>#REF!</v>
      </c>
      <c r="HY210" t="e">
        <f>AND(#REF!,"AAAAAD5f/+g=")</f>
        <v>#REF!</v>
      </c>
      <c r="HZ210" t="e">
        <f>AND(#REF!,"AAAAAD5f/+k=")</f>
        <v>#REF!</v>
      </c>
      <c r="IA210" t="e">
        <f>AND(#REF!,"AAAAAD5f/+o=")</f>
        <v>#REF!</v>
      </c>
      <c r="IB210" t="e">
        <f>AND(#REF!,"AAAAAD5f/+s=")</f>
        <v>#REF!</v>
      </c>
      <c r="IC210" t="e">
        <f>AND(#REF!,"AAAAAD5f/+w=")</f>
        <v>#REF!</v>
      </c>
      <c r="ID210" t="e">
        <f>AND(#REF!,"AAAAAD5f/+0=")</f>
        <v>#REF!</v>
      </c>
      <c r="IE210" t="e">
        <f>AND(#REF!,"AAAAAD5f/+4=")</f>
        <v>#REF!</v>
      </c>
      <c r="IF210" t="e">
        <f>AND(#REF!,"AAAAAD5f/+8=")</f>
        <v>#REF!</v>
      </c>
      <c r="IG210" t="e">
        <f>AND(#REF!,"AAAAAD5f//A=")</f>
        <v>#REF!</v>
      </c>
      <c r="IH210" t="e">
        <f>AND(#REF!,"AAAAAD5f//E=")</f>
        <v>#REF!</v>
      </c>
      <c r="II210" t="e">
        <f>AND(#REF!,"AAAAAD5f//I=")</f>
        <v>#REF!</v>
      </c>
      <c r="IJ210" t="e">
        <f>AND(#REF!,"AAAAAD5f//M=")</f>
        <v>#REF!</v>
      </c>
      <c r="IK210" t="e">
        <f>AND(#REF!,"AAAAAD5f//Q=")</f>
        <v>#REF!</v>
      </c>
      <c r="IL210" t="e">
        <f>AND(#REF!,"AAAAAD5f//U=")</f>
        <v>#REF!</v>
      </c>
      <c r="IM210" t="e">
        <f>AND(#REF!,"AAAAAD5f//Y=")</f>
        <v>#REF!</v>
      </c>
      <c r="IN210" t="e">
        <f>AND(#REF!,"AAAAAD5f//c=")</f>
        <v>#REF!</v>
      </c>
      <c r="IO210" t="e">
        <f>AND(#REF!,"AAAAAD5f//g=")</f>
        <v>#REF!</v>
      </c>
      <c r="IP210" t="e">
        <f>AND(#REF!,"AAAAAD5f//k=")</f>
        <v>#REF!</v>
      </c>
      <c r="IQ210" t="e">
        <f>AND(#REF!,"AAAAAD5f//o=")</f>
        <v>#REF!</v>
      </c>
      <c r="IR210" t="e">
        <f>AND(#REF!,"AAAAAD5f//s=")</f>
        <v>#REF!</v>
      </c>
      <c r="IS210" t="e">
        <f>AND(#REF!,"AAAAAD5f//w=")</f>
        <v>#REF!</v>
      </c>
      <c r="IT210" t="e">
        <f>AND(#REF!,"AAAAAD5f//0=")</f>
        <v>#REF!</v>
      </c>
      <c r="IU210" t="e">
        <f>AND(#REF!,"AAAAAD5f//4=")</f>
        <v>#REF!</v>
      </c>
      <c r="IV210" t="e">
        <f>AND(#REF!,"AAAAAD5f//8=")</f>
        <v>#REF!</v>
      </c>
    </row>
    <row r="211" spans="1:256">
      <c r="A211" t="e">
        <f>IF(#REF!,"AAAAAH9v5gA=",0)</f>
        <v>#REF!</v>
      </c>
      <c r="B211" t="e">
        <f>AND(#REF!,"AAAAAH9v5gE=")</f>
        <v>#REF!</v>
      </c>
      <c r="C211" t="e">
        <f>AND(#REF!,"AAAAAH9v5gI=")</f>
        <v>#REF!</v>
      </c>
      <c r="D211" t="e">
        <f>AND(#REF!,"AAAAAH9v5gM=")</f>
        <v>#REF!</v>
      </c>
      <c r="E211" t="e">
        <f>AND(#REF!,"AAAAAH9v5gQ=")</f>
        <v>#REF!</v>
      </c>
      <c r="F211" t="e">
        <f>AND(#REF!,"AAAAAH9v5gU=")</f>
        <v>#REF!</v>
      </c>
      <c r="G211" t="e">
        <f>AND(#REF!,"AAAAAH9v5gY=")</f>
        <v>#REF!</v>
      </c>
      <c r="H211" t="e">
        <f>AND(#REF!,"AAAAAH9v5gc=")</f>
        <v>#REF!</v>
      </c>
      <c r="I211" t="e">
        <f>AND(#REF!,"AAAAAH9v5gg=")</f>
        <v>#REF!</v>
      </c>
      <c r="J211" t="e">
        <f>AND(#REF!,"AAAAAH9v5gk=")</f>
        <v>#REF!</v>
      </c>
      <c r="K211" t="e">
        <f>AND(#REF!,"AAAAAH9v5go=")</f>
        <v>#REF!</v>
      </c>
      <c r="L211" t="e">
        <f>AND(#REF!,"AAAAAH9v5gs=")</f>
        <v>#REF!</v>
      </c>
      <c r="M211" t="e">
        <f>AND(#REF!,"AAAAAH9v5gw=")</f>
        <v>#REF!</v>
      </c>
      <c r="N211" t="e">
        <f>AND(#REF!,"AAAAAH9v5g0=")</f>
        <v>#REF!</v>
      </c>
      <c r="O211" t="e">
        <f>AND(#REF!,"AAAAAH9v5g4=")</f>
        <v>#REF!</v>
      </c>
      <c r="P211" t="e">
        <f>AND(#REF!,"AAAAAH9v5g8=")</f>
        <v>#REF!</v>
      </c>
      <c r="Q211" t="e">
        <f>AND(#REF!,"AAAAAH9v5hA=")</f>
        <v>#REF!</v>
      </c>
      <c r="R211" t="e">
        <f>AND(#REF!,"AAAAAH9v5hE=")</f>
        <v>#REF!</v>
      </c>
      <c r="S211" t="e">
        <f>AND(#REF!,"AAAAAH9v5hI=")</f>
        <v>#REF!</v>
      </c>
      <c r="T211" t="e">
        <f>AND(#REF!,"AAAAAH9v5hM=")</f>
        <v>#REF!</v>
      </c>
      <c r="U211" t="e">
        <f>AND(#REF!,"AAAAAH9v5hQ=")</f>
        <v>#REF!</v>
      </c>
      <c r="V211" t="e">
        <f>AND(#REF!,"AAAAAH9v5hU=")</f>
        <v>#REF!</v>
      </c>
      <c r="W211" t="e">
        <f>AND(#REF!,"AAAAAH9v5hY=")</f>
        <v>#REF!</v>
      </c>
      <c r="X211" t="e">
        <f>AND(#REF!,"AAAAAH9v5hc=")</f>
        <v>#REF!</v>
      </c>
      <c r="Y211" t="e">
        <f>AND(#REF!,"AAAAAH9v5hg=")</f>
        <v>#REF!</v>
      </c>
      <c r="Z211" t="e">
        <f>IF(#REF!,"AAAAAH9v5hk=",0)</f>
        <v>#REF!</v>
      </c>
      <c r="AA211" t="e">
        <f>AND(#REF!,"AAAAAH9v5ho=")</f>
        <v>#REF!</v>
      </c>
      <c r="AB211" t="e">
        <f>AND(#REF!,"AAAAAH9v5hs=")</f>
        <v>#REF!</v>
      </c>
      <c r="AC211" t="e">
        <f>AND(#REF!,"AAAAAH9v5hw=")</f>
        <v>#REF!</v>
      </c>
      <c r="AD211" t="e">
        <f>AND(#REF!,"AAAAAH9v5h0=")</f>
        <v>#REF!</v>
      </c>
      <c r="AE211" t="e">
        <f>AND(#REF!,"AAAAAH9v5h4=")</f>
        <v>#REF!</v>
      </c>
      <c r="AF211" t="e">
        <f>AND(#REF!,"AAAAAH9v5h8=")</f>
        <v>#REF!</v>
      </c>
      <c r="AG211" t="e">
        <f>AND(#REF!,"AAAAAH9v5iA=")</f>
        <v>#REF!</v>
      </c>
      <c r="AH211" t="e">
        <f>AND(#REF!,"AAAAAH9v5iE=")</f>
        <v>#REF!</v>
      </c>
      <c r="AI211" t="e">
        <f>AND(#REF!,"AAAAAH9v5iI=")</f>
        <v>#REF!</v>
      </c>
      <c r="AJ211" t="e">
        <f>AND(#REF!,"AAAAAH9v5iM=")</f>
        <v>#REF!</v>
      </c>
      <c r="AK211" t="e">
        <f>AND(#REF!,"AAAAAH9v5iQ=")</f>
        <v>#REF!</v>
      </c>
      <c r="AL211" t="e">
        <f>AND(#REF!,"AAAAAH9v5iU=")</f>
        <v>#REF!</v>
      </c>
      <c r="AM211" t="e">
        <f>AND(#REF!,"AAAAAH9v5iY=")</f>
        <v>#REF!</v>
      </c>
      <c r="AN211" t="e">
        <f>AND(#REF!,"AAAAAH9v5ic=")</f>
        <v>#REF!</v>
      </c>
      <c r="AO211" t="e">
        <f>AND(#REF!,"AAAAAH9v5ig=")</f>
        <v>#REF!</v>
      </c>
      <c r="AP211" t="e">
        <f>AND(#REF!,"AAAAAH9v5ik=")</f>
        <v>#REF!</v>
      </c>
      <c r="AQ211" t="e">
        <f>AND(#REF!,"AAAAAH9v5io=")</f>
        <v>#REF!</v>
      </c>
      <c r="AR211" t="e">
        <f>AND(#REF!,"AAAAAH9v5is=")</f>
        <v>#REF!</v>
      </c>
      <c r="AS211" t="e">
        <f>AND(#REF!,"AAAAAH9v5iw=")</f>
        <v>#REF!</v>
      </c>
      <c r="AT211" t="e">
        <f>AND(#REF!,"AAAAAH9v5i0=")</f>
        <v>#REF!</v>
      </c>
      <c r="AU211" t="e">
        <f>AND(#REF!,"AAAAAH9v5i4=")</f>
        <v>#REF!</v>
      </c>
      <c r="AV211" t="e">
        <f>AND(#REF!,"AAAAAH9v5i8=")</f>
        <v>#REF!</v>
      </c>
      <c r="AW211" t="e">
        <f>AND(#REF!,"AAAAAH9v5jA=")</f>
        <v>#REF!</v>
      </c>
      <c r="AX211" t="e">
        <f>AND(#REF!,"AAAAAH9v5jE=")</f>
        <v>#REF!</v>
      </c>
      <c r="AY211" t="e">
        <f>IF(#REF!,"AAAAAH9v5jI=",0)</f>
        <v>#REF!</v>
      </c>
      <c r="AZ211" t="e">
        <f>AND(#REF!,"AAAAAH9v5jM=")</f>
        <v>#REF!</v>
      </c>
      <c r="BA211" t="e">
        <f>AND(#REF!,"AAAAAH9v5jQ=")</f>
        <v>#REF!</v>
      </c>
      <c r="BB211" t="e">
        <f>AND(#REF!,"AAAAAH9v5jU=")</f>
        <v>#REF!</v>
      </c>
      <c r="BC211" t="e">
        <f>AND(#REF!,"AAAAAH9v5jY=")</f>
        <v>#REF!</v>
      </c>
      <c r="BD211" t="e">
        <f>AND(#REF!,"AAAAAH9v5jc=")</f>
        <v>#REF!</v>
      </c>
      <c r="BE211" t="e">
        <f>AND(#REF!,"AAAAAH9v5jg=")</f>
        <v>#REF!</v>
      </c>
      <c r="BF211" t="e">
        <f>AND(#REF!,"AAAAAH9v5jk=")</f>
        <v>#REF!</v>
      </c>
      <c r="BG211" t="e">
        <f>AND(#REF!,"AAAAAH9v5jo=")</f>
        <v>#REF!</v>
      </c>
      <c r="BH211" t="e">
        <f>AND(#REF!,"AAAAAH9v5js=")</f>
        <v>#REF!</v>
      </c>
      <c r="BI211" t="e">
        <f>AND(#REF!,"AAAAAH9v5jw=")</f>
        <v>#REF!</v>
      </c>
      <c r="BJ211" t="e">
        <f>AND(#REF!,"AAAAAH9v5j0=")</f>
        <v>#REF!</v>
      </c>
      <c r="BK211" t="e">
        <f>AND(#REF!,"AAAAAH9v5j4=")</f>
        <v>#REF!</v>
      </c>
      <c r="BL211" t="e">
        <f>AND(#REF!,"AAAAAH9v5j8=")</f>
        <v>#REF!</v>
      </c>
      <c r="BM211" t="e">
        <f>AND(#REF!,"AAAAAH9v5kA=")</f>
        <v>#REF!</v>
      </c>
      <c r="BN211" t="e">
        <f>AND(#REF!,"AAAAAH9v5kE=")</f>
        <v>#REF!</v>
      </c>
      <c r="BO211" t="e">
        <f>AND(#REF!,"AAAAAH9v5kI=")</f>
        <v>#REF!</v>
      </c>
      <c r="BP211" t="e">
        <f>AND(#REF!,"AAAAAH9v5kM=")</f>
        <v>#REF!</v>
      </c>
      <c r="BQ211" t="e">
        <f>AND(#REF!,"AAAAAH9v5kQ=")</f>
        <v>#REF!</v>
      </c>
      <c r="BR211" t="e">
        <f>AND(#REF!,"AAAAAH9v5kU=")</f>
        <v>#REF!</v>
      </c>
      <c r="BS211" t="e">
        <f>AND(#REF!,"AAAAAH9v5kY=")</f>
        <v>#REF!</v>
      </c>
      <c r="BT211" t="e">
        <f>AND(#REF!,"AAAAAH9v5kc=")</f>
        <v>#REF!</v>
      </c>
      <c r="BU211" t="e">
        <f>AND(#REF!,"AAAAAH9v5kg=")</f>
        <v>#REF!</v>
      </c>
      <c r="BV211" t="e">
        <f>AND(#REF!,"AAAAAH9v5kk=")</f>
        <v>#REF!</v>
      </c>
      <c r="BW211" t="e">
        <f>AND(#REF!,"AAAAAH9v5ko=")</f>
        <v>#REF!</v>
      </c>
      <c r="BX211" t="e">
        <f>IF(#REF!,"AAAAAH9v5ks=",0)</f>
        <v>#REF!</v>
      </c>
      <c r="BY211" t="e">
        <f>AND(#REF!,"AAAAAH9v5kw=")</f>
        <v>#REF!</v>
      </c>
      <c r="BZ211" t="e">
        <f>AND(#REF!,"AAAAAH9v5k0=")</f>
        <v>#REF!</v>
      </c>
      <c r="CA211" t="e">
        <f>AND(#REF!,"AAAAAH9v5k4=")</f>
        <v>#REF!</v>
      </c>
      <c r="CB211" t="e">
        <f>AND(#REF!,"AAAAAH9v5k8=")</f>
        <v>#REF!</v>
      </c>
      <c r="CC211" t="e">
        <f>AND(#REF!,"AAAAAH9v5lA=")</f>
        <v>#REF!</v>
      </c>
      <c r="CD211" t="e">
        <f>AND(#REF!,"AAAAAH9v5lE=")</f>
        <v>#REF!</v>
      </c>
      <c r="CE211" t="e">
        <f>AND(#REF!,"AAAAAH9v5lI=")</f>
        <v>#REF!</v>
      </c>
      <c r="CF211" t="e">
        <f>AND(#REF!,"AAAAAH9v5lM=")</f>
        <v>#REF!</v>
      </c>
      <c r="CG211" t="e">
        <f>AND(#REF!,"AAAAAH9v5lQ=")</f>
        <v>#REF!</v>
      </c>
      <c r="CH211" t="e">
        <f>AND(#REF!,"AAAAAH9v5lU=")</f>
        <v>#REF!</v>
      </c>
      <c r="CI211" t="e">
        <f>AND(#REF!,"AAAAAH9v5lY=")</f>
        <v>#REF!</v>
      </c>
      <c r="CJ211" t="e">
        <f>AND(#REF!,"AAAAAH9v5lc=")</f>
        <v>#REF!</v>
      </c>
      <c r="CK211" t="e">
        <f>AND(#REF!,"AAAAAH9v5lg=")</f>
        <v>#REF!</v>
      </c>
      <c r="CL211" t="e">
        <f>AND(#REF!,"AAAAAH9v5lk=")</f>
        <v>#REF!</v>
      </c>
      <c r="CM211" t="e">
        <f>AND(#REF!,"AAAAAH9v5lo=")</f>
        <v>#REF!</v>
      </c>
      <c r="CN211" t="e">
        <f>AND(#REF!,"AAAAAH9v5ls=")</f>
        <v>#REF!</v>
      </c>
      <c r="CO211" t="e">
        <f>AND(#REF!,"AAAAAH9v5lw=")</f>
        <v>#REF!</v>
      </c>
      <c r="CP211" t="e">
        <f>AND(#REF!,"AAAAAH9v5l0=")</f>
        <v>#REF!</v>
      </c>
      <c r="CQ211" t="e">
        <f>AND(#REF!,"AAAAAH9v5l4=")</f>
        <v>#REF!</v>
      </c>
      <c r="CR211" t="e">
        <f>AND(#REF!,"AAAAAH9v5l8=")</f>
        <v>#REF!</v>
      </c>
      <c r="CS211" t="e">
        <f>AND(#REF!,"AAAAAH9v5mA=")</f>
        <v>#REF!</v>
      </c>
      <c r="CT211" t="e">
        <f>AND(#REF!,"AAAAAH9v5mE=")</f>
        <v>#REF!</v>
      </c>
      <c r="CU211" t="e">
        <f>AND(#REF!,"AAAAAH9v5mI=")</f>
        <v>#REF!</v>
      </c>
      <c r="CV211" t="e">
        <f>AND(#REF!,"AAAAAH9v5mM=")</f>
        <v>#REF!</v>
      </c>
      <c r="CW211" t="e">
        <f>IF(#REF!,"AAAAAH9v5mQ=",0)</f>
        <v>#REF!</v>
      </c>
      <c r="CX211" t="e">
        <f>AND(#REF!,"AAAAAH9v5mU=")</f>
        <v>#REF!</v>
      </c>
      <c r="CY211" t="e">
        <f>AND(#REF!,"AAAAAH9v5mY=")</f>
        <v>#REF!</v>
      </c>
      <c r="CZ211" t="e">
        <f>AND(#REF!,"AAAAAH9v5mc=")</f>
        <v>#REF!</v>
      </c>
      <c r="DA211" t="e">
        <f>AND(#REF!,"AAAAAH9v5mg=")</f>
        <v>#REF!</v>
      </c>
      <c r="DB211" t="e">
        <f>AND(#REF!,"AAAAAH9v5mk=")</f>
        <v>#REF!</v>
      </c>
      <c r="DC211" t="e">
        <f>AND(#REF!,"AAAAAH9v5mo=")</f>
        <v>#REF!</v>
      </c>
      <c r="DD211" t="e">
        <f>AND(#REF!,"AAAAAH9v5ms=")</f>
        <v>#REF!</v>
      </c>
      <c r="DE211" t="e">
        <f>AND(#REF!,"AAAAAH9v5mw=")</f>
        <v>#REF!</v>
      </c>
      <c r="DF211" t="e">
        <f>AND(#REF!,"AAAAAH9v5m0=")</f>
        <v>#REF!</v>
      </c>
      <c r="DG211" t="e">
        <f>AND(#REF!,"AAAAAH9v5m4=")</f>
        <v>#REF!</v>
      </c>
      <c r="DH211" t="e">
        <f>AND(#REF!,"AAAAAH9v5m8=")</f>
        <v>#REF!</v>
      </c>
      <c r="DI211" t="e">
        <f>AND(#REF!,"AAAAAH9v5nA=")</f>
        <v>#REF!</v>
      </c>
      <c r="DJ211" t="e">
        <f>AND(#REF!,"AAAAAH9v5nE=")</f>
        <v>#REF!</v>
      </c>
      <c r="DK211" t="e">
        <f>AND(#REF!,"AAAAAH9v5nI=")</f>
        <v>#REF!</v>
      </c>
      <c r="DL211" t="e">
        <f>AND(#REF!,"AAAAAH9v5nM=")</f>
        <v>#REF!</v>
      </c>
      <c r="DM211" t="e">
        <f>AND(#REF!,"AAAAAH9v5nQ=")</f>
        <v>#REF!</v>
      </c>
      <c r="DN211" t="e">
        <f>AND(#REF!,"AAAAAH9v5nU=")</f>
        <v>#REF!</v>
      </c>
      <c r="DO211" t="e">
        <f>AND(#REF!,"AAAAAH9v5nY=")</f>
        <v>#REF!</v>
      </c>
      <c r="DP211" t="e">
        <f>AND(#REF!,"AAAAAH9v5nc=")</f>
        <v>#REF!</v>
      </c>
      <c r="DQ211" t="e">
        <f>AND(#REF!,"AAAAAH9v5ng=")</f>
        <v>#REF!</v>
      </c>
      <c r="DR211" t="e">
        <f>AND(#REF!,"AAAAAH9v5nk=")</f>
        <v>#REF!</v>
      </c>
      <c r="DS211" t="e">
        <f>AND(#REF!,"AAAAAH9v5no=")</f>
        <v>#REF!</v>
      </c>
      <c r="DT211" t="e">
        <f>AND(#REF!,"AAAAAH9v5ns=")</f>
        <v>#REF!</v>
      </c>
      <c r="DU211" t="e">
        <f>AND(#REF!,"AAAAAH9v5nw=")</f>
        <v>#REF!</v>
      </c>
      <c r="DV211" t="e">
        <f>IF(#REF!,"AAAAAH9v5n0=",0)</f>
        <v>#REF!</v>
      </c>
      <c r="DW211" t="e">
        <f>AND(#REF!,"AAAAAH9v5n4=")</f>
        <v>#REF!</v>
      </c>
      <c r="DX211" t="e">
        <f>AND(#REF!,"AAAAAH9v5n8=")</f>
        <v>#REF!</v>
      </c>
      <c r="DY211" t="e">
        <f>AND(#REF!,"AAAAAH9v5oA=")</f>
        <v>#REF!</v>
      </c>
      <c r="DZ211" t="e">
        <f>AND(#REF!,"AAAAAH9v5oE=")</f>
        <v>#REF!</v>
      </c>
      <c r="EA211" t="e">
        <f>AND(#REF!,"AAAAAH9v5oI=")</f>
        <v>#REF!</v>
      </c>
      <c r="EB211" t="e">
        <f>AND(#REF!,"AAAAAH9v5oM=")</f>
        <v>#REF!</v>
      </c>
      <c r="EC211" t="e">
        <f>AND(#REF!,"AAAAAH9v5oQ=")</f>
        <v>#REF!</v>
      </c>
      <c r="ED211" t="e">
        <f>AND(#REF!,"AAAAAH9v5oU=")</f>
        <v>#REF!</v>
      </c>
      <c r="EE211" t="e">
        <f>AND(#REF!,"AAAAAH9v5oY=")</f>
        <v>#REF!</v>
      </c>
      <c r="EF211" t="e">
        <f>AND(#REF!,"AAAAAH9v5oc=")</f>
        <v>#REF!</v>
      </c>
      <c r="EG211" t="e">
        <f>AND(#REF!,"AAAAAH9v5og=")</f>
        <v>#REF!</v>
      </c>
      <c r="EH211" t="e">
        <f>AND(#REF!,"AAAAAH9v5ok=")</f>
        <v>#REF!</v>
      </c>
      <c r="EI211" t="e">
        <f>AND(#REF!,"AAAAAH9v5oo=")</f>
        <v>#REF!</v>
      </c>
      <c r="EJ211" t="e">
        <f>AND(#REF!,"AAAAAH9v5os=")</f>
        <v>#REF!</v>
      </c>
      <c r="EK211" t="e">
        <f>AND(#REF!,"AAAAAH9v5ow=")</f>
        <v>#REF!</v>
      </c>
      <c r="EL211" t="e">
        <f>AND(#REF!,"AAAAAH9v5o0=")</f>
        <v>#REF!</v>
      </c>
      <c r="EM211" t="e">
        <f>AND(#REF!,"AAAAAH9v5o4=")</f>
        <v>#REF!</v>
      </c>
      <c r="EN211" t="e">
        <f>AND(#REF!,"AAAAAH9v5o8=")</f>
        <v>#REF!</v>
      </c>
      <c r="EO211" t="e">
        <f>AND(#REF!,"AAAAAH9v5pA=")</f>
        <v>#REF!</v>
      </c>
      <c r="EP211" t="e">
        <f>AND(#REF!,"AAAAAH9v5pE=")</f>
        <v>#REF!</v>
      </c>
      <c r="EQ211" t="e">
        <f>AND(#REF!,"AAAAAH9v5pI=")</f>
        <v>#REF!</v>
      </c>
      <c r="ER211" t="e">
        <f>AND(#REF!,"AAAAAH9v5pM=")</f>
        <v>#REF!</v>
      </c>
      <c r="ES211" t="e">
        <f>AND(#REF!,"AAAAAH9v5pQ=")</f>
        <v>#REF!</v>
      </c>
      <c r="ET211" t="e">
        <f>AND(#REF!,"AAAAAH9v5pU=")</f>
        <v>#REF!</v>
      </c>
      <c r="EU211" t="e">
        <f>IF(#REF!,"AAAAAH9v5pY=",0)</f>
        <v>#REF!</v>
      </c>
      <c r="EV211" t="e">
        <f>AND(#REF!,"AAAAAH9v5pc=")</f>
        <v>#REF!</v>
      </c>
      <c r="EW211" t="e">
        <f>AND(#REF!,"AAAAAH9v5pg=")</f>
        <v>#REF!</v>
      </c>
      <c r="EX211" t="e">
        <f>AND(#REF!,"AAAAAH9v5pk=")</f>
        <v>#REF!</v>
      </c>
      <c r="EY211" t="e">
        <f>AND(#REF!,"AAAAAH9v5po=")</f>
        <v>#REF!</v>
      </c>
      <c r="EZ211" t="e">
        <f>AND(#REF!,"AAAAAH9v5ps=")</f>
        <v>#REF!</v>
      </c>
      <c r="FA211" t="e">
        <f>AND(#REF!,"AAAAAH9v5pw=")</f>
        <v>#REF!</v>
      </c>
      <c r="FB211" t="e">
        <f>AND(#REF!,"AAAAAH9v5p0=")</f>
        <v>#REF!</v>
      </c>
      <c r="FC211" t="e">
        <f>AND(#REF!,"AAAAAH9v5p4=")</f>
        <v>#REF!</v>
      </c>
      <c r="FD211" t="e">
        <f>AND(#REF!,"AAAAAH9v5p8=")</f>
        <v>#REF!</v>
      </c>
      <c r="FE211" t="e">
        <f>AND(#REF!,"AAAAAH9v5qA=")</f>
        <v>#REF!</v>
      </c>
      <c r="FF211" t="e">
        <f>AND(#REF!,"AAAAAH9v5qE=")</f>
        <v>#REF!</v>
      </c>
      <c r="FG211" t="e">
        <f>AND(#REF!,"AAAAAH9v5qI=")</f>
        <v>#REF!</v>
      </c>
      <c r="FH211" t="e">
        <f>AND(#REF!,"AAAAAH9v5qM=")</f>
        <v>#REF!</v>
      </c>
      <c r="FI211" t="e">
        <f>AND(#REF!,"AAAAAH9v5qQ=")</f>
        <v>#REF!</v>
      </c>
      <c r="FJ211" t="e">
        <f>AND(#REF!,"AAAAAH9v5qU=")</f>
        <v>#REF!</v>
      </c>
      <c r="FK211" t="e">
        <f>AND(#REF!,"AAAAAH9v5qY=")</f>
        <v>#REF!</v>
      </c>
      <c r="FL211" t="e">
        <f>AND(#REF!,"AAAAAH9v5qc=")</f>
        <v>#REF!</v>
      </c>
      <c r="FM211" t="e">
        <f>AND(#REF!,"AAAAAH9v5qg=")</f>
        <v>#REF!</v>
      </c>
      <c r="FN211" t="e">
        <f>AND(#REF!,"AAAAAH9v5qk=")</f>
        <v>#REF!</v>
      </c>
      <c r="FO211" t="e">
        <f>AND(#REF!,"AAAAAH9v5qo=")</f>
        <v>#REF!</v>
      </c>
      <c r="FP211" t="e">
        <f>AND(#REF!,"AAAAAH9v5qs=")</f>
        <v>#REF!</v>
      </c>
      <c r="FQ211" t="e">
        <f>AND(#REF!,"AAAAAH9v5qw=")</f>
        <v>#REF!</v>
      </c>
      <c r="FR211" t="e">
        <f>AND(#REF!,"AAAAAH9v5q0=")</f>
        <v>#REF!</v>
      </c>
      <c r="FS211" t="e">
        <f>AND(#REF!,"AAAAAH9v5q4=")</f>
        <v>#REF!</v>
      </c>
      <c r="FT211" t="e">
        <f>IF(#REF!,"AAAAAH9v5q8=",0)</f>
        <v>#REF!</v>
      </c>
      <c r="FU211" t="e">
        <f>AND(#REF!,"AAAAAH9v5rA=")</f>
        <v>#REF!</v>
      </c>
      <c r="FV211" t="e">
        <f>AND(#REF!,"AAAAAH9v5rE=")</f>
        <v>#REF!</v>
      </c>
      <c r="FW211" t="e">
        <f>AND(#REF!,"AAAAAH9v5rI=")</f>
        <v>#REF!</v>
      </c>
      <c r="FX211" t="e">
        <f>AND(#REF!,"AAAAAH9v5rM=")</f>
        <v>#REF!</v>
      </c>
      <c r="FY211" t="e">
        <f>AND(#REF!,"AAAAAH9v5rQ=")</f>
        <v>#REF!</v>
      </c>
      <c r="FZ211" t="e">
        <f>AND(#REF!,"AAAAAH9v5rU=")</f>
        <v>#REF!</v>
      </c>
      <c r="GA211" t="e">
        <f>AND(#REF!,"AAAAAH9v5rY=")</f>
        <v>#REF!</v>
      </c>
      <c r="GB211" t="e">
        <f>AND(#REF!,"AAAAAH9v5rc=")</f>
        <v>#REF!</v>
      </c>
      <c r="GC211" t="e">
        <f>AND(#REF!,"AAAAAH9v5rg=")</f>
        <v>#REF!</v>
      </c>
      <c r="GD211" t="e">
        <f>AND(#REF!,"AAAAAH9v5rk=")</f>
        <v>#REF!</v>
      </c>
      <c r="GE211" t="e">
        <f>AND(#REF!,"AAAAAH9v5ro=")</f>
        <v>#REF!</v>
      </c>
      <c r="GF211" t="e">
        <f>AND(#REF!,"AAAAAH9v5rs=")</f>
        <v>#REF!</v>
      </c>
      <c r="GG211" t="e">
        <f>AND(#REF!,"AAAAAH9v5rw=")</f>
        <v>#REF!</v>
      </c>
      <c r="GH211" t="e">
        <f>AND(#REF!,"AAAAAH9v5r0=")</f>
        <v>#REF!</v>
      </c>
      <c r="GI211" t="e">
        <f>AND(#REF!,"AAAAAH9v5r4=")</f>
        <v>#REF!</v>
      </c>
      <c r="GJ211" t="e">
        <f>AND(#REF!,"AAAAAH9v5r8=")</f>
        <v>#REF!</v>
      </c>
      <c r="GK211" t="e">
        <f>AND(#REF!,"AAAAAH9v5sA=")</f>
        <v>#REF!</v>
      </c>
      <c r="GL211" t="e">
        <f>AND(#REF!,"AAAAAH9v5sE=")</f>
        <v>#REF!</v>
      </c>
      <c r="GM211" t="e">
        <f>AND(#REF!,"AAAAAH9v5sI=")</f>
        <v>#REF!</v>
      </c>
      <c r="GN211" t="e">
        <f>AND(#REF!,"AAAAAH9v5sM=")</f>
        <v>#REF!</v>
      </c>
      <c r="GO211" t="e">
        <f>AND(#REF!,"AAAAAH9v5sQ=")</f>
        <v>#REF!</v>
      </c>
      <c r="GP211" t="e">
        <f>AND(#REF!,"AAAAAH9v5sU=")</f>
        <v>#REF!</v>
      </c>
      <c r="GQ211" t="e">
        <f>AND(#REF!,"AAAAAH9v5sY=")</f>
        <v>#REF!</v>
      </c>
      <c r="GR211" t="e">
        <f>AND(#REF!,"AAAAAH9v5sc=")</f>
        <v>#REF!</v>
      </c>
      <c r="GS211" t="e">
        <f>IF(#REF!,"AAAAAH9v5sg=",0)</f>
        <v>#REF!</v>
      </c>
      <c r="GT211" t="e">
        <f>AND(#REF!,"AAAAAH9v5sk=")</f>
        <v>#REF!</v>
      </c>
      <c r="GU211" t="e">
        <f>AND(#REF!,"AAAAAH9v5so=")</f>
        <v>#REF!</v>
      </c>
      <c r="GV211" t="e">
        <f>AND(#REF!,"AAAAAH9v5ss=")</f>
        <v>#REF!</v>
      </c>
      <c r="GW211" t="e">
        <f>AND(#REF!,"AAAAAH9v5sw=")</f>
        <v>#REF!</v>
      </c>
      <c r="GX211" t="e">
        <f>AND(#REF!,"AAAAAH9v5s0=")</f>
        <v>#REF!</v>
      </c>
      <c r="GY211" t="e">
        <f>AND(#REF!,"AAAAAH9v5s4=")</f>
        <v>#REF!</v>
      </c>
      <c r="GZ211" t="e">
        <f>AND(#REF!,"AAAAAH9v5s8=")</f>
        <v>#REF!</v>
      </c>
      <c r="HA211" t="e">
        <f>AND(#REF!,"AAAAAH9v5tA=")</f>
        <v>#REF!</v>
      </c>
      <c r="HB211" t="e">
        <f>AND(#REF!,"AAAAAH9v5tE=")</f>
        <v>#REF!</v>
      </c>
      <c r="HC211" t="e">
        <f>AND(#REF!,"AAAAAH9v5tI=")</f>
        <v>#REF!</v>
      </c>
      <c r="HD211" t="e">
        <f>AND(#REF!,"AAAAAH9v5tM=")</f>
        <v>#REF!</v>
      </c>
      <c r="HE211" t="e">
        <f>AND(#REF!,"AAAAAH9v5tQ=")</f>
        <v>#REF!</v>
      </c>
      <c r="HF211" t="e">
        <f>AND(#REF!,"AAAAAH9v5tU=")</f>
        <v>#REF!</v>
      </c>
      <c r="HG211" t="e">
        <f>AND(#REF!,"AAAAAH9v5tY=")</f>
        <v>#REF!</v>
      </c>
      <c r="HH211" t="e">
        <f>AND(#REF!,"AAAAAH9v5tc=")</f>
        <v>#REF!</v>
      </c>
      <c r="HI211" t="e">
        <f>AND(#REF!,"AAAAAH9v5tg=")</f>
        <v>#REF!</v>
      </c>
      <c r="HJ211" t="e">
        <f>AND(#REF!,"AAAAAH9v5tk=")</f>
        <v>#REF!</v>
      </c>
      <c r="HK211" t="e">
        <f>AND(#REF!,"AAAAAH9v5to=")</f>
        <v>#REF!</v>
      </c>
      <c r="HL211" t="e">
        <f>AND(#REF!,"AAAAAH9v5ts=")</f>
        <v>#REF!</v>
      </c>
      <c r="HM211" t="e">
        <f>AND(#REF!,"AAAAAH9v5tw=")</f>
        <v>#REF!</v>
      </c>
      <c r="HN211" t="e">
        <f>AND(#REF!,"AAAAAH9v5t0=")</f>
        <v>#REF!</v>
      </c>
      <c r="HO211" t="e">
        <f>AND(#REF!,"AAAAAH9v5t4=")</f>
        <v>#REF!</v>
      </c>
      <c r="HP211" t="e">
        <f>AND(#REF!,"AAAAAH9v5t8=")</f>
        <v>#REF!</v>
      </c>
      <c r="HQ211" t="e">
        <f>AND(#REF!,"AAAAAH9v5uA=")</f>
        <v>#REF!</v>
      </c>
      <c r="HR211" t="e">
        <f>IF(#REF!,"AAAAAH9v5uE=",0)</f>
        <v>#REF!</v>
      </c>
      <c r="HS211" t="e">
        <f>AND(#REF!,"AAAAAH9v5uI=")</f>
        <v>#REF!</v>
      </c>
      <c r="HT211" t="e">
        <f>AND(#REF!,"AAAAAH9v5uM=")</f>
        <v>#REF!</v>
      </c>
      <c r="HU211" t="e">
        <f>AND(#REF!,"AAAAAH9v5uQ=")</f>
        <v>#REF!</v>
      </c>
      <c r="HV211" t="e">
        <f>AND(#REF!,"AAAAAH9v5uU=")</f>
        <v>#REF!</v>
      </c>
      <c r="HW211" t="e">
        <f>AND(#REF!,"AAAAAH9v5uY=")</f>
        <v>#REF!</v>
      </c>
      <c r="HX211" t="e">
        <f>AND(#REF!,"AAAAAH9v5uc=")</f>
        <v>#REF!</v>
      </c>
      <c r="HY211" t="e">
        <f>AND(#REF!,"AAAAAH9v5ug=")</f>
        <v>#REF!</v>
      </c>
      <c r="HZ211" t="e">
        <f>AND(#REF!,"AAAAAH9v5uk=")</f>
        <v>#REF!</v>
      </c>
      <c r="IA211" t="e">
        <f>AND(#REF!,"AAAAAH9v5uo=")</f>
        <v>#REF!</v>
      </c>
      <c r="IB211" t="e">
        <f>AND(#REF!,"AAAAAH9v5us=")</f>
        <v>#REF!</v>
      </c>
      <c r="IC211" t="e">
        <f>AND(#REF!,"AAAAAH9v5uw=")</f>
        <v>#REF!</v>
      </c>
      <c r="ID211" t="e">
        <f>AND(#REF!,"AAAAAH9v5u0=")</f>
        <v>#REF!</v>
      </c>
      <c r="IE211" t="e">
        <f>AND(#REF!,"AAAAAH9v5u4=")</f>
        <v>#REF!</v>
      </c>
      <c r="IF211" t="e">
        <f>AND(#REF!,"AAAAAH9v5u8=")</f>
        <v>#REF!</v>
      </c>
      <c r="IG211" t="e">
        <f>AND(#REF!,"AAAAAH9v5vA=")</f>
        <v>#REF!</v>
      </c>
      <c r="IH211" t="e">
        <f>AND(#REF!,"AAAAAH9v5vE=")</f>
        <v>#REF!</v>
      </c>
      <c r="II211" t="e">
        <f>AND(#REF!,"AAAAAH9v5vI=")</f>
        <v>#REF!</v>
      </c>
      <c r="IJ211" t="e">
        <f>AND(#REF!,"AAAAAH9v5vM=")</f>
        <v>#REF!</v>
      </c>
      <c r="IK211" t="e">
        <f>AND(#REF!,"AAAAAH9v5vQ=")</f>
        <v>#REF!</v>
      </c>
      <c r="IL211" t="e">
        <f>AND(#REF!,"AAAAAH9v5vU=")</f>
        <v>#REF!</v>
      </c>
      <c r="IM211" t="e">
        <f>AND(#REF!,"AAAAAH9v5vY=")</f>
        <v>#REF!</v>
      </c>
      <c r="IN211" t="e">
        <f>AND(#REF!,"AAAAAH9v5vc=")</f>
        <v>#REF!</v>
      </c>
      <c r="IO211" t="e">
        <f>AND(#REF!,"AAAAAH9v5vg=")</f>
        <v>#REF!</v>
      </c>
      <c r="IP211" t="e">
        <f>AND(#REF!,"AAAAAH9v5vk=")</f>
        <v>#REF!</v>
      </c>
      <c r="IQ211" t="e">
        <f>IF(#REF!,"AAAAAH9v5vo=",0)</f>
        <v>#REF!</v>
      </c>
      <c r="IR211" t="e">
        <f>AND(#REF!,"AAAAAH9v5vs=")</f>
        <v>#REF!</v>
      </c>
      <c r="IS211" t="e">
        <f>AND(#REF!,"AAAAAH9v5vw=")</f>
        <v>#REF!</v>
      </c>
      <c r="IT211" t="e">
        <f>AND(#REF!,"AAAAAH9v5v0=")</f>
        <v>#REF!</v>
      </c>
      <c r="IU211" t="e">
        <f>AND(#REF!,"AAAAAH9v5v4=")</f>
        <v>#REF!</v>
      </c>
      <c r="IV211" t="e">
        <f>AND(#REF!,"AAAAAH9v5v8=")</f>
        <v>#REF!</v>
      </c>
    </row>
    <row r="212" spans="1:256">
      <c r="A212" t="e">
        <f>AND(#REF!,"AAAAAD67/wA=")</f>
        <v>#REF!</v>
      </c>
      <c r="B212" t="e">
        <f>AND(#REF!,"AAAAAD67/wE=")</f>
        <v>#REF!</v>
      </c>
      <c r="C212" t="e">
        <f>AND(#REF!,"AAAAAD67/wI=")</f>
        <v>#REF!</v>
      </c>
      <c r="D212" t="e">
        <f>AND(#REF!,"AAAAAD67/wM=")</f>
        <v>#REF!</v>
      </c>
      <c r="E212" t="e">
        <f>AND(#REF!,"AAAAAD67/wQ=")</f>
        <v>#REF!</v>
      </c>
      <c r="F212" t="e">
        <f>AND(#REF!,"AAAAAD67/wU=")</f>
        <v>#REF!</v>
      </c>
      <c r="G212" t="e">
        <f>AND(#REF!,"AAAAAD67/wY=")</f>
        <v>#REF!</v>
      </c>
      <c r="H212" t="e">
        <f>AND(#REF!,"AAAAAD67/wc=")</f>
        <v>#REF!</v>
      </c>
      <c r="I212" t="e">
        <f>AND(#REF!,"AAAAAD67/wg=")</f>
        <v>#REF!</v>
      </c>
      <c r="J212" t="e">
        <f>AND(#REF!,"AAAAAD67/wk=")</f>
        <v>#REF!</v>
      </c>
      <c r="K212" t="e">
        <f>AND(#REF!,"AAAAAD67/wo=")</f>
        <v>#REF!</v>
      </c>
      <c r="L212" t="e">
        <f>AND(#REF!,"AAAAAD67/ws=")</f>
        <v>#REF!</v>
      </c>
      <c r="M212" t="e">
        <f>AND(#REF!,"AAAAAD67/ww=")</f>
        <v>#REF!</v>
      </c>
      <c r="N212" t="e">
        <f>AND(#REF!,"AAAAAD67/w0=")</f>
        <v>#REF!</v>
      </c>
      <c r="O212" t="e">
        <f>AND(#REF!,"AAAAAD67/w4=")</f>
        <v>#REF!</v>
      </c>
      <c r="P212" t="e">
        <f>AND(#REF!,"AAAAAD67/w8=")</f>
        <v>#REF!</v>
      </c>
      <c r="Q212" t="e">
        <f>AND(#REF!,"AAAAAD67/xA=")</f>
        <v>#REF!</v>
      </c>
      <c r="R212" t="e">
        <f>AND(#REF!,"AAAAAD67/xE=")</f>
        <v>#REF!</v>
      </c>
      <c r="S212" t="e">
        <f>AND(#REF!,"AAAAAD67/xI=")</f>
        <v>#REF!</v>
      </c>
      <c r="T212" t="e">
        <f>IF(#REF!,"AAAAAD67/xM=",0)</f>
        <v>#REF!</v>
      </c>
      <c r="U212" t="e">
        <f>AND(#REF!,"AAAAAD67/xQ=")</f>
        <v>#REF!</v>
      </c>
      <c r="V212" t="e">
        <f>AND(#REF!,"AAAAAD67/xU=")</f>
        <v>#REF!</v>
      </c>
      <c r="W212" t="e">
        <f>AND(#REF!,"AAAAAD67/xY=")</f>
        <v>#REF!</v>
      </c>
      <c r="X212" t="e">
        <f>AND(#REF!,"AAAAAD67/xc=")</f>
        <v>#REF!</v>
      </c>
      <c r="Y212" t="e">
        <f>AND(#REF!,"AAAAAD67/xg=")</f>
        <v>#REF!</v>
      </c>
      <c r="Z212" t="e">
        <f>AND(#REF!,"AAAAAD67/xk=")</f>
        <v>#REF!</v>
      </c>
      <c r="AA212" t="e">
        <f>AND(#REF!,"AAAAAD67/xo=")</f>
        <v>#REF!</v>
      </c>
      <c r="AB212" t="e">
        <f>AND(#REF!,"AAAAAD67/xs=")</f>
        <v>#REF!</v>
      </c>
      <c r="AC212" t="e">
        <f>AND(#REF!,"AAAAAD67/xw=")</f>
        <v>#REF!</v>
      </c>
      <c r="AD212" t="e">
        <f>AND(#REF!,"AAAAAD67/x0=")</f>
        <v>#REF!</v>
      </c>
      <c r="AE212" t="e">
        <f>AND(#REF!,"AAAAAD67/x4=")</f>
        <v>#REF!</v>
      </c>
      <c r="AF212" t="e">
        <f>AND(#REF!,"AAAAAD67/x8=")</f>
        <v>#REF!</v>
      </c>
      <c r="AG212" t="e">
        <f>AND(#REF!,"AAAAAD67/yA=")</f>
        <v>#REF!</v>
      </c>
      <c r="AH212" t="e">
        <f>AND(#REF!,"AAAAAD67/yE=")</f>
        <v>#REF!</v>
      </c>
      <c r="AI212" t="e">
        <f>AND(#REF!,"AAAAAD67/yI=")</f>
        <v>#REF!</v>
      </c>
      <c r="AJ212" t="e">
        <f>AND(#REF!,"AAAAAD67/yM=")</f>
        <v>#REF!</v>
      </c>
      <c r="AK212" t="e">
        <f>AND(#REF!,"AAAAAD67/yQ=")</f>
        <v>#REF!</v>
      </c>
      <c r="AL212" t="e">
        <f>AND(#REF!,"AAAAAD67/yU=")</f>
        <v>#REF!</v>
      </c>
      <c r="AM212" t="e">
        <f>AND(#REF!,"AAAAAD67/yY=")</f>
        <v>#REF!</v>
      </c>
      <c r="AN212" t="e">
        <f>AND(#REF!,"AAAAAD67/yc=")</f>
        <v>#REF!</v>
      </c>
      <c r="AO212" t="e">
        <f>AND(#REF!,"AAAAAD67/yg=")</f>
        <v>#REF!</v>
      </c>
      <c r="AP212" t="e">
        <f>AND(#REF!,"AAAAAD67/yk=")</f>
        <v>#REF!</v>
      </c>
      <c r="AQ212" t="e">
        <f>AND(#REF!,"AAAAAD67/yo=")</f>
        <v>#REF!</v>
      </c>
      <c r="AR212" t="e">
        <f>AND(#REF!,"AAAAAD67/ys=")</f>
        <v>#REF!</v>
      </c>
      <c r="AS212" t="e">
        <f>IF(#REF!,"AAAAAD67/yw=",0)</f>
        <v>#REF!</v>
      </c>
      <c r="AT212" t="e">
        <f>AND(#REF!,"AAAAAD67/y0=")</f>
        <v>#REF!</v>
      </c>
      <c r="AU212" t="e">
        <f>AND(#REF!,"AAAAAD67/y4=")</f>
        <v>#REF!</v>
      </c>
      <c r="AV212" t="e">
        <f>AND(#REF!,"AAAAAD67/y8=")</f>
        <v>#REF!</v>
      </c>
      <c r="AW212" t="e">
        <f>AND(#REF!,"AAAAAD67/zA=")</f>
        <v>#REF!</v>
      </c>
      <c r="AX212" t="e">
        <f>AND(#REF!,"AAAAAD67/zE=")</f>
        <v>#REF!</v>
      </c>
      <c r="AY212" t="e">
        <f>AND(#REF!,"AAAAAD67/zI=")</f>
        <v>#REF!</v>
      </c>
      <c r="AZ212" t="e">
        <f>AND(#REF!,"AAAAAD67/zM=")</f>
        <v>#REF!</v>
      </c>
      <c r="BA212" t="e">
        <f>AND(#REF!,"AAAAAD67/zQ=")</f>
        <v>#REF!</v>
      </c>
      <c r="BB212" t="e">
        <f>AND(#REF!,"AAAAAD67/zU=")</f>
        <v>#REF!</v>
      </c>
      <c r="BC212" t="e">
        <f>AND(#REF!,"AAAAAD67/zY=")</f>
        <v>#REF!</v>
      </c>
      <c r="BD212" t="e">
        <f>AND(#REF!,"AAAAAD67/zc=")</f>
        <v>#REF!</v>
      </c>
      <c r="BE212" t="e">
        <f>AND(#REF!,"AAAAAD67/zg=")</f>
        <v>#REF!</v>
      </c>
      <c r="BF212" t="e">
        <f>AND(#REF!,"AAAAAD67/zk=")</f>
        <v>#REF!</v>
      </c>
      <c r="BG212" t="e">
        <f>AND(#REF!,"AAAAAD67/zo=")</f>
        <v>#REF!</v>
      </c>
      <c r="BH212" t="e">
        <f>AND(#REF!,"AAAAAD67/zs=")</f>
        <v>#REF!</v>
      </c>
      <c r="BI212" t="e">
        <f>AND(#REF!,"AAAAAD67/zw=")</f>
        <v>#REF!</v>
      </c>
      <c r="BJ212" t="e">
        <f>AND(#REF!,"AAAAAD67/z0=")</f>
        <v>#REF!</v>
      </c>
      <c r="BK212" t="e">
        <f>AND(#REF!,"AAAAAD67/z4=")</f>
        <v>#REF!</v>
      </c>
      <c r="BL212" t="e">
        <f>AND(#REF!,"AAAAAD67/z8=")</f>
        <v>#REF!</v>
      </c>
      <c r="BM212" t="e">
        <f>AND(#REF!,"AAAAAD67/0A=")</f>
        <v>#REF!</v>
      </c>
      <c r="BN212" t="e">
        <f>AND(#REF!,"AAAAAD67/0E=")</f>
        <v>#REF!</v>
      </c>
      <c r="BO212" t="e">
        <f>AND(#REF!,"AAAAAD67/0I=")</f>
        <v>#REF!</v>
      </c>
      <c r="BP212" t="e">
        <f>AND(#REF!,"AAAAAD67/0M=")</f>
        <v>#REF!</v>
      </c>
      <c r="BQ212" t="e">
        <f>AND(#REF!,"AAAAAD67/0Q=")</f>
        <v>#REF!</v>
      </c>
      <c r="BR212" t="e">
        <f>IF(#REF!,"AAAAAD67/0U=",0)</f>
        <v>#REF!</v>
      </c>
      <c r="BS212" t="e">
        <f>AND(#REF!,"AAAAAD67/0Y=")</f>
        <v>#REF!</v>
      </c>
      <c r="BT212" t="e">
        <f>AND(#REF!,"AAAAAD67/0c=")</f>
        <v>#REF!</v>
      </c>
      <c r="BU212" t="e">
        <f>AND(#REF!,"AAAAAD67/0g=")</f>
        <v>#REF!</v>
      </c>
      <c r="BV212" t="e">
        <f>AND(#REF!,"AAAAAD67/0k=")</f>
        <v>#REF!</v>
      </c>
      <c r="BW212" t="e">
        <f>AND(#REF!,"AAAAAD67/0o=")</f>
        <v>#REF!</v>
      </c>
      <c r="BX212" t="e">
        <f>AND(#REF!,"AAAAAD67/0s=")</f>
        <v>#REF!</v>
      </c>
      <c r="BY212" t="e">
        <f>AND(#REF!,"AAAAAD67/0w=")</f>
        <v>#REF!</v>
      </c>
      <c r="BZ212" t="e">
        <f>AND(#REF!,"AAAAAD67/00=")</f>
        <v>#REF!</v>
      </c>
      <c r="CA212" t="e">
        <f>AND(#REF!,"AAAAAD67/04=")</f>
        <v>#REF!</v>
      </c>
      <c r="CB212" t="e">
        <f>AND(#REF!,"AAAAAD67/08=")</f>
        <v>#REF!</v>
      </c>
      <c r="CC212" t="e">
        <f>AND(#REF!,"AAAAAD67/1A=")</f>
        <v>#REF!</v>
      </c>
      <c r="CD212" t="e">
        <f>AND(#REF!,"AAAAAD67/1E=")</f>
        <v>#REF!</v>
      </c>
      <c r="CE212" t="e">
        <f>AND(#REF!,"AAAAAD67/1I=")</f>
        <v>#REF!</v>
      </c>
      <c r="CF212" t="e">
        <f>AND(#REF!,"AAAAAD67/1M=")</f>
        <v>#REF!</v>
      </c>
      <c r="CG212" t="e">
        <f>AND(#REF!,"AAAAAD67/1Q=")</f>
        <v>#REF!</v>
      </c>
      <c r="CH212" t="e">
        <f>AND(#REF!,"AAAAAD67/1U=")</f>
        <v>#REF!</v>
      </c>
      <c r="CI212" t="e">
        <f>AND(#REF!,"AAAAAD67/1Y=")</f>
        <v>#REF!</v>
      </c>
      <c r="CJ212" t="e">
        <f>AND(#REF!,"AAAAAD67/1c=")</f>
        <v>#REF!</v>
      </c>
      <c r="CK212" t="e">
        <f>AND(#REF!,"AAAAAD67/1g=")</f>
        <v>#REF!</v>
      </c>
      <c r="CL212" t="e">
        <f>AND(#REF!,"AAAAAD67/1k=")</f>
        <v>#REF!</v>
      </c>
      <c r="CM212" t="e">
        <f>AND(#REF!,"AAAAAD67/1o=")</f>
        <v>#REF!</v>
      </c>
      <c r="CN212" t="e">
        <f>AND(#REF!,"AAAAAD67/1s=")</f>
        <v>#REF!</v>
      </c>
      <c r="CO212" t="e">
        <f>AND(#REF!,"AAAAAD67/1w=")</f>
        <v>#REF!</v>
      </c>
      <c r="CP212" t="e">
        <f>AND(#REF!,"AAAAAD67/10=")</f>
        <v>#REF!</v>
      </c>
      <c r="CQ212" t="e">
        <f>IF(#REF!,"AAAAAD67/14=",0)</f>
        <v>#REF!</v>
      </c>
      <c r="CR212" t="e">
        <f>AND(#REF!,"AAAAAD67/18=")</f>
        <v>#REF!</v>
      </c>
      <c r="CS212" t="e">
        <f>AND(#REF!,"AAAAAD67/2A=")</f>
        <v>#REF!</v>
      </c>
      <c r="CT212" t="e">
        <f>AND(#REF!,"AAAAAD67/2E=")</f>
        <v>#REF!</v>
      </c>
      <c r="CU212" t="e">
        <f>AND(#REF!,"AAAAAD67/2I=")</f>
        <v>#REF!</v>
      </c>
      <c r="CV212" t="e">
        <f>AND(#REF!,"AAAAAD67/2M=")</f>
        <v>#REF!</v>
      </c>
      <c r="CW212" t="e">
        <f>AND(#REF!,"AAAAAD67/2Q=")</f>
        <v>#REF!</v>
      </c>
      <c r="CX212" t="e">
        <f>AND(#REF!,"AAAAAD67/2U=")</f>
        <v>#REF!</v>
      </c>
      <c r="CY212" t="e">
        <f>AND(#REF!,"AAAAAD67/2Y=")</f>
        <v>#REF!</v>
      </c>
      <c r="CZ212" t="e">
        <f>AND(#REF!,"AAAAAD67/2c=")</f>
        <v>#REF!</v>
      </c>
      <c r="DA212" t="e">
        <f>AND(#REF!,"AAAAAD67/2g=")</f>
        <v>#REF!</v>
      </c>
      <c r="DB212" t="e">
        <f>AND(#REF!,"AAAAAD67/2k=")</f>
        <v>#REF!</v>
      </c>
      <c r="DC212" t="e">
        <f>AND(#REF!,"AAAAAD67/2o=")</f>
        <v>#REF!</v>
      </c>
      <c r="DD212" t="e">
        <f>AND(#REF!,"AAAAAD67/2s=")</f>
        <v>#REF!</v>
      </c>
      <c r="DE212" t="e">
        <f>AND(#REF!,"AAAAAD67/2w=")</f>
        <v>#REF!</v>
      </c>
      <c r="DF212" t="e">
        <f>AND(#REF!,"AAAAAD67/20=")</f>
        <v>#REF!</v>
      </c>
      <c r="DG212" t="e">
        <f>AND(#REF!,"AAAAAD67/24=")</f>
        <v>#REF!</v>
      </c>
      <c r="DH212" t="e">
        <f>AND(#REF!,"AAAAAD67/28=")</f>
        <v>#REF!</v>
      </c>
      <c r="DI212" t="e">
        <f>AND(#REF!,"AAAAAD67/3A=")</f>
        <v>#REF!</v>
      </c>
      <c r="DJ212" t="e">
        <f>AND(#REF!,"AAAAAD67/3E=")</f>
        <v>#REF!</v>
      </c>
      <c r="DK212" t="e">
        <f>AND(#REF!,"AAAAAD67/3I=")</f>
        <v>#REF!</v>
      </c>
      <c r="DL212" t="e">
        <f>AND(#REF!,"AAAAAD67/3M=")</f>
        <v>#REF!</v>
      </c>
      <c r="DM212" t="e">
        <f>AND(#REF!,"AAAAAD67/3Q=")</f>
        <v>#REF!</v>
      </c>
      <c r="DN212" t="e">
        <f>AND(#REF!,"AAAAAD67/3U=")</f>
        <v>#REF!</v>
      </c>
      <c r="DO212" t="e">
        <f>AND(#REF!,"AAAAAD67/3Y=")</f>
        <v>#REF!</v>
      </c>
      <c r="DP212" t="e">
        <f>IF(#REF!,"AAAAAD67/3c=",0)</f>
        <v>#REF!</v>
      </c>
      <c r="DQ212" t="e">
        <f>AND(#REF!,"AAAAAD67/3g=")</f>
        <v>#REF!</v>
      </c>
      <c r="DR212" t="e">
        <f>AND(#REF!,"AAAAAD67/3k=")</f>
        <v>#REF!</v>
      </c>
      <c r="DS212" t="e">
        <f>AND(#REF!,"AAAAAD67/3o=")</f>
        <v>#REF!</v>
      </c>
      <c r="DT212" t="e">
        <f>AND(#REF!,"AAAAAD67/3s=")</f>
        <v>#REF!</v>
      </c>
      <c r="DU212" t="e">
        <f>AND(#REF!,"AAAAAD67/3w=")</f>
        <v>#REF!</v>
      </c>
      <c r="DV212" t="e">
        <f>AND(#REF!,"AAAAAD67/30=")</f>
        <v>#REF!</v>
      </c>
      <c r="DW212" t="e">
        <f>AND(#REF!,"AAAAAD67/34=")</f>
        <v>#REF!</v>
      </c>
      <c r="DX212" t="e">
        <f>AND(#REF!,"AAAAAD67/38=")</f>
        <v>#REF!</v>
      </c>
      <c r="DY212" t="e">
        <f>AND(#REF!,"AAAAAD67/4A=")</f>
        <v>#REF!</v>
      </c>
      <c r="DZ212" t="e">
        <f>AND(#REF!,"AAAAAD67/4E=")</f>
        <v>#REF!</v>
      </c>
      <c r="EA212" t="e">
        <f>AND(#REF!,"AAAAAD67/4I=")</f>
        <v>#REF!</v>
      </c>
      <c r="EB212" t="e">
        <f>AND(#REF!,"AAAAAD67/4M=")</f>
        <v>#REF!</v>
      </c>
      <c r="EC212" t="e">
        <f>AND(#REF!,"AAAAAD67/4Q=")</f>
        <v>#REF!</v>
      </c>
      <c r="ED212" t="e">
        <f>AND(#REF!,"AAAAAD67/4U=")</f>
        <v>#REF!</v>
      </c>
      <c r="EE212" t="e">
        <f>AND(#REF!,"AAAAAD67/4Y=")</f>
        <v>#REF!</v>
      </c>
      <c r="EF212" t="e">
        <f>AND(#REF!,"AAAAAD67/4c=")</f>
        <v>#REF!</v>
      </c>
      <c r="EG212" t="e">
        <f>AND(#REF!,"AAAAAD67/4g=")</f>
        <v>#REF!</v>
      </c>
      <c r="EH212" t="e">
        <f>AND(#REF!,"AAAAAD67/4k=")</f>
        <v>#REF!</v>
      </c>
      <c r="EI212" t="e">
        <f>AND(#REF!,"AAAAAD67/4o=")</f>
        <v>#REF!</v>
      </c>
      <c r="EJ212" t="e">
        <f>AND(#REF!,"AAAAAD67/4s=")</f>
        <v>#REF!</v>
      </c>
      <c r="EK212" t="e">
        <f>AND(#REF!,"AAAAAD67/4w=")</f>
        <v>#REF!</v>
      </c>
      <c r="EL212" t="e">
        <f>AND(#REF!,"AAAAAD67/40=")</f>
        <v>#REF!</v>
      </c>
      <c r="EM212" t="e">
        <f>AND(#REF!,"AAAAAD67/44=")</f>
        <v>#REF!</v>
      </c>
      <c r="EN212" t="e">
        <f>AND(#REF!,"AAAAAD67/48=")</f>
        <v>#REF!</v>
      </c>
      <c r="EO212" t="e">
        <f>IF(#REF!,"AAAAAD67/5A=",0)</f>
        <v>#REF!</v>
      </c>
      <c r="EP212" t="e">
        <f>AND(#REF!,"AAAAAD67/5E=")</f>
        <v>#REF!</v>
      </c>
      <c r="EQ212" t="e">
        <f>AND(#REF!,"AAAAAD67/5I=")</f>
        <v>#REF!</v>
      </c>
      <c r="ER212" t="e">
        <f>AND(#REF!,"AAAAAD67/5M=")</f>
        <v>#REF!</v>
      </c>
      <c r="ES212" t="e">
        <f>AND(#REF!,"AAAAAD67/5Q=")</f>
        <v>#REF!</v>
      </c>
      <c r="ET212" t="e">
        <f>AND(#REF!,"AAAAAD67/5U=")</f>
        <v>#REF!</v>
      </c>
      <c r="EU212" t="e">
        <f>AND(#REF!,"AAAAAD67/5Y=")</f>
        <v>#REF!</v>
      </c>
      <c r="EV212" t="e">
        <f>AND(#REF!,"AAAAAD67/5c=")</f>
        <v>#REF!</v>
      </c>
      <c r="EW212" t="e">
        <f>AND(#REF!,"AAAAAD67/5g=")</f>
        <v>#REF!</v>
      </c>
      <c r="EX212" t="e">
        <f>AND(#REF!,"AAAAAD67/5k=")</f>
        <v>#REF!</v>
      </c>
      <c r="EY212" t="e">
        <f>AND(#REF!,"AAAAAD67/5o=")</f>
        <v>#REF!</v>
      </c>
      <c r="EZ212" t="e">
        <f>AND(#REF!,"AAAAAD67/5s=")</f>
        <v>#REF!</v>
      </c>
      <c r="FA212" t="e">
        <f>AND(#REF!,"AAAAAD67/5w=")</f>
        <v>#REF!</v>
      </c>
      <c r="FB212" t="e">
        <f>AND(#REF!,"AAAAAD67/50=")</f>
        <v>#REF!</v>
      </c>
      <c r="FC212" t="e">
        <f>AND(#REF!,"AAAAAD67/54=")</f>
        <v>#REF!</v>
      </c>
      <c r="FD212" t="e">
        <f>AND(#REF!,"AAAAAD67/58=")</f>
        <v>#REF!</v>
      </c>
      <c r="FE212" t="e">
        <f>AND(#REF!,"AAAAAD67/6A=")</f>
        <v>#REF!</v>
      </c>
      <c r="FF212" t="e">
        <f>AND(#REF!,"AAAAAD67/6E=")</f>
        <v>#REF!</v>
      </c>
      <c r="FG212" t="e">
        <f>AND(#REF!,"AAAAAD67/6I=")</f>
        <v>#REF!</v>
      </c>
      <c r="FH212" t="e">
        <f>AND(#REF!,"AAAAAD67/6M=")</f>
        <v>#REF!</v>
      </c>
      <c r="FI212" t="e">
        <f>AND(#REF!,"AAAAAD67/6Q=")</f>
        <v>#REF!</v>
      </c>
      <c r="FJ212" t="e">
        <f>AND(#REF!,"AAAAAD67/6U=")</f>
        <v>#REF!</v>
      </c>
      <c r="FK212" t="e">
        <f>AND(#REF!,"AAAAAD67/6Y=")</f>
        <v>#REF!</v>
      </c>
      <c r="FL212" t="e">
        <f>AND(#REF!,"AAAAAD67/6c=")</f>
        <v>#REF!</v>
      </c>
      <c r="FM212" t="e">
        <f>AND(#REF!,"AAAAAD67/6g=")</f>
        <v>#REF!</v>
      </c>
      <c r="FN212" t="e">
        <f>IF(#REF!,"AAAAAD67/6k=",0)</f>
        <v>#REF!</v>
      </c>
      <c r="FO212" t="e">
        <f>AND(#REF!,"AAAAAD67/6o=")</f>
        <v>#REF!</v>
      </c>
      <c r="FP212" t="e">
        <f>AND(#REF!,"AAAAAD67/6s=")</f>
        <v>#REF!</v>
      </c>
      <c r="FQ212" t="e">
        <f>AND(#REF!,"AAAAAD67/6w=")</f>
        <v>#REF!</v>
      </c>
      <c r="FR212" t="e">
        <f>AND(#REF!,"AAAAAD67/60=")</f>
        <v>#REF!</v>
      </c>
      <c r="FS212" t="e">
        <f>AND(#REF!,"AAAAAD67/64=")</f>
        <v>#REF!</v>
      </c>
      <c r="FT212" t="e">
        <f>AND(#REF!,"AAAAAD67/68=")</f>
        <v>#REF!</v>
      </c>
      <c r="FU212" t="e">
        <f>AND(#REF!,"AAAAAD67/7A=")</f>
        <v>#REF!</v>
      </c>
      <c r="FV212" t="e">
        <f>AND(#REF!,"AAAAAD67/7E=")</f>
        <v>#REF!</v>
      </c>
      <c r="FW212" t="e">
        <f>AND(#REF!,"AAAAAD67/7I=")</f>
        <v>#REF!</v>
      </c>
      <c r="FX212" t="e">
        <f>AND(#REF!,"AAAAAD67/7M=")</f>
        <v>#REF!</v>
      </c>
      <c r="FY212" t="e">
        <f>AND(#REF!,"AAAAAD67/7Q=")</f>
        <v>#REF!</v>
      </c>
      <c r="FZ212" t="e">
        <f>AND(#REF!,"AAAAAD67/7U=")</f>
        <v>#REF!</v>
      </c>
      <c r="GA212" t="e">
        <f>AND(#REF!,"AAAAAD67/7Y=")</f>
        <v>#REF!</v>
      </c>
      <c r="GB212" t="e">
        <f>AND(#REF!,"AAAAAD67/7c=")</f>
        <v>#REF!</v>
      </c>
      <c r="GC212" t="e">
        <f>AND(#REF!,"AAAAAD67/7g=")</f>
        <v>#REF!</v>
      </c>
      <c r="GD212" t="e">
        <f>AND(#REF!,"AAAAAD67/7k=")</f>
        <v>#REF!</v>
      </c>
      <c r="GE212" t="e">
        <f>AND(#REF!,"AAAAAD67/7o=")</f>
        <v>#REF!</v>
      </c>
      <c r="GF212" t="e">
        <f>AND(#REF!,"AAAAAD67/7s=")</f>
        <v>#REF!</v>
      </c>
      <c r="GG212" t="e">
        <f>AND(#REF!,"AAAAAD67/7w=")</f>
        <v>#REF!</v>
      </c>
      <c r="GH212" t="e">
        <f>AND(#REF!,"AAAAAD67/70=")</f>
        <v>#REF!</v>
      </c>
      <c r="GI212" t="e">
        <f>AND(#REF!,"AAAAAD67/74=")</f>
        <v>#REF!</v>
      </c>
      <c r="GJ212" t="e">
        <f>AND(#REF!,"AAAAAD67/78=")</f>
        <v>#REF!</v>
      </c>
      <c r="GK212" t="e">
        <f>AND(#REF!,"AAAAAD67/8A=")</f>
        <v>#REF!</v>
      </c>
      <c r="GL212" t="e">
        <f>AND(#REF!,"AAAAAD67/8E=")</f>
        <v>#REF!</v>
      </c>
      <c r="GM212" t="e">
        <f>IF(#REF!,"AAAAAD67/8I=",0)</f>
        <v>#REF!</v>
      </c>
      <c r="GN212" t="e">
        <f>AND(#REF!,"AAAAAD67/8M=")</f>
        <v>#REF!</v>
      </c>
      <c r="GO212" t="e">
        <f>AND(#REF!,"AAAAAD67/8Q=")</f>
        <v>#REF!</v>
      </c>
      <c r="GP212" t="e">
        <f>AND(#REF!,"AAAAAD67/8U=")</f>
        <v>#REF!</v>
      </c>
      <c r="GQ212" t="e">
        <f>AND(#REF!,"AAAAAD67/8Y=")</f>
        <v>#REF!</v>
      </c>
      <c r="GR212" t="e">
        <f>AND(#REF!,"AAAAAD67/8c=")</f>
        <v>#REF!</v>
      </c>
      <c r="GS212" t="e">
        <f>AND(#REF!,"AAAAAD67/8g=")</f>
        <v>#REF!</v>
      </c>
      <c r="GT212" t="e">
        <f>AND(#REF!,"AAAAAD67/8k=")</f>
        <v>#REF!</v>
      </c>
      <c r="GU212" t="e">
        <f>AND(#REF!,"AAAAAD67/8o=")</f>
        <v>#REF!</v>
      </c>
      <c r="GV212" t="e">
        <f>AND(#REF!,"AAAAAD67/8s=")</f>
        <v>#REF!</v>
      </c>
      <c r="GW212" t="e">
        <f>AND(#REF!,"AAAAAD67/8w=")</f>
        <v>#REF!</v>
      </c>
      <c r="GX212" t="e">
        <f>AND(#REF!,"AAAAAD67/80=")</f>
        <v>#REF!</v>
      </c>
      <c r="GY212" t="e">
        <f>AND(#REF!,"AAAAAD67/84=")</f>
        <v>#REF!</v>
      </c>
      <c r="GZ212" t="e">
        <f>AND(#REF!,"AAAAAD67/88=")</f>
        <v>#REF!</v>
      </c>
      <c r="HA212" t="e">
        <f>AND(#REF!,"AAAAAD67/9A=")</f>
        <v>#REF!</v>
      </c>
      <c r="HB212" t="e">
        <f>AND(#REF!,"AAAAAD67/9E=")</f>
        <v>#REF!</v>
      </c>
      <c r="HC212" t="e">
        <f>AND(#REF!,"AAAAAD67/9I=")</f>
        <v>#REF!</v>
      </c>
      <c r="HD212" t="e">
        <f>AND(#REF!,"AAAAAD67/9M=")</f>
        <v>#REF!</v>
      </c>
      <c r="HE212" t="e">
        <f>AND(#REF!,"AAAAAD67/9Q=")</f>
        <v>#REF!</v>
      </c>
      <c r="HF212" t="e">
        <f>AND(#REF!,"AAAAAD67/9U=")</f>
        <v>#REF!</v>
      </c>
      <c r="HG212" t="e">
        <f>AND(#REF!,"AAAAAD67/9Y=")</f>
        <v>#REF!</v>
      </c>
      <c r="HH212" t="e">
        <f>AND(#REF!,"AAAAAD67/9c=")</f>
        <v>#REF!</v>
      </c>
      <c r="HI212" t="e">
        <f>AND(#REF!,"AAAAAD67/9g=")</f>
        <v>#REF!</v>
      </c>
      <c r="HJ212" t="e">
        <f>AND(#REF!,"AAAAAD67/9k=")</f>
        <v>#REF!</v>
      </c>
      <c r="HK212" t="e">
        <f>AND(#REF!,"AAAAAD67/9o=")</f>
        <v>#REF!</v>
      </c>
      <c r="HL212" t="e">
        <f>IF(#REF!,"AAAAAD67/9s=",0)</f>
        <v>#REF!</v>
      </c>
      <c r="HM212" t="e">
        <f>AND(#REF!,"AAAAAD67/9w=")</f>
        <v>#REF!</v>
      </c>
      <c r="HN212" t="e">
        <f>AND(#REF!,"AAAAAD67/90=")</f>
        <v>#REF!</v>
      </c>
      <c r="HO212" t="e">
        <f>AND(#REF!,"AAAAAD67/94=")</f>
        <v>#REF!</v>
      </c>
      <c r="HP212" t="e">
        <f>AND(#REF!,"AAAAAD67/98=")</f>
        <v>#REF!</v>
      </c>
      <c r="HQ212" t="e">
        <f>AND(#REF!,"AAAAAD67/+A=")</f>
        <v>#REF!</v>
      </c>
      <c r="HR212" t="e">
        <f>AND(#REF!,"AAAAAD67/+E=")</f>
        <v>#REF!</v>
      </c>
      <c r="HS212" t="e">
        <f>AND(#REF!,"AAAAAD67/+I=")</f>
        <v>#REF!</v>
      </c>
      <c r="HT212" t="e">
        <f>AND(#REF!,"AAAAAD67/+M=")</f>
        <v>#REF!</v>
      </c>
      <c r="HU212" t="e">
        <f>AND(#REF!,"AAAAAD67/+Q=")</f>
        <v>#REF!</v>
      </c>
      <c r="HV212" t="e">
        <f>AND(#REF!,"AAAAAD67/+U=")</f>
        <v>#REF!</v>
      </c>
      <c r="HW212" t="e">
        <f>AND(#REF!,"AAAAAD67/+Y=")</f>
        <v>#REF!</v>
      </c>
      <c r="HX212" t="e">
        <f>AND(#REF!,"AAAAAD67/+c=")</f>
        <v>#REF!</v>
      </c>
      <c r="HY212" t="e">
        <f>AND(#REF!,"AAAAAD67/+g=")</f>
        <v>#REF!</v>
      </c>
      <c r="HZ212" t="e">
        <f>AND(#REF!,"AAAAAD67/+k=")</f>
        <v>#REF!</v>
      </c>
      <c r="IA212" t="e">
        <f>AND(#REF!,"AAAAAD67/+o=")</f>
        <v>#REF!</v>
      </c>
      <c r="IB212" t="e">
        <f>AND(#REF!,"AAAAAD67/+s=")</f>
        <v>#REF!</v>
      </c>
      <c r="IC212" t="e">
        <f>AND(#REF!,"AAAAAD67/+w=")</f>
        <v>#REF!</v>
      </c>
      <c r="ID212" t="e">
        <f>AND(#REF!,"AAAAAD67/+0=")</f>
        <v>#REF!</v>
      </c>
      <c r="IE212" t="e">
        <f>AND(#REF!,"AAAAAD67/+4=")</f>
        <v>#REF!</v>
      </c>
      <c r="IF212" t="e">
        <f>AND(#REF!,"AAAAAD67/+8=")</f>
        <v>#REF!</v>
      </c>
      <c r="IG212" t="e">
        <f>AND(#REF!,"AAAAAD67//A=")</f>
        <v>#REF!</v>
      </c>
      <c r="IH212" t="e">
        <f>AND(#REF!,"AAAAAD67//E=")</f>
        <v>#REF!</v>
      </c>
      <c r="II212" t="e">
        <f>AND(#REF!,"AAAAAD67//I=")</f>
        <v>#REF!</v>
      </c>
      <c r="IJ212" t="e">
        <f>AND(#REF!,"AAAAAD67//M=")</f>
        <v>#REF!</v>
      </c>
      <c r="IK212" t="e">
        <f>IF(#REF!,"AAAAAD67//Q=",0)</f>
        <v>#REF!</v>
      </c>
      <c r="IL212" t="e">
        <f>AND(#REF!,"AAAAAD67//U=")</f>
        <v>#REF!</v>
      </c>
      <c r="IM212" t="e">
        <f>AND(#REF!,"AAAAAD67//Y=")</f>
        <v>#REF!</v>
      </c>
      <c r="IN212" t="e">
        <f>AND(#REF!,"AAAAAD67//c=")</f>
        <v>#REF!</v>
      </c>
      <c r="IO212" t="e">
        <f>AND(#REF!,"AAAAAD67//g=")</f>
        <v>#REF!</v>
      </c>
      <c r="IP212" t="e">
        <f>AND(#REF!,"AAAAAD67//k=")</f>
        <v>#REF!</v>
      </c>
      <c r="IQ212" t="e">
        <f>AND(#REF!,"AAAAAD67//o=")</f>
        <v>#REF!</v>
      </c>
      <c r="IR212" t="e">
        <f>AND(#REF!,"AAAAAD67//s=")</f>
        <v>#REF!</v>
      </c>
      <c r="IS212" t="e">
        <f>AND(#REF!,"AAAAAD67//w=")</f>
        <v>#REF!</v>
      </c>
      <c r="IT212" t="e">
        <f>AND(#REF!,"AAAAAD67//0=")</f>
        <v>#REF!</v>
      </c>
      <c r="IU212" t="e">
        <f>AND(#REF!,"AAAAAD67//4=")</f>
        <v>#REF!</v>
      </c>
      <c r="IV212" t="e">
        <f>AND(#REF!,"AAAAAD67//8=")</f>
        <v>#REF!</v>
      </c>
    </row>
    <row r="213" spans="1:256">
      <c r="A213" t="e">
        <f>AND(#REF!,"AAAAAD/k3wA=")</f>
        <v>#REF!</v>
      </c>
      <c r="B213" t="e">
        <f>AND(#REF!,"AAAAAD/k3wE=")</f>
        <v>#REF!</v>
      </c>
      <c r="C213" t="e">
        <f>AND(#REF!,"AAAAAD/k3wI=")</f>
        <v>#REF!</v>
      </c>
      <c r="D213" t="e">
        <f>AND(#REF!,"AAAAAD/k3wM=")</f>
        <v>#REF!</v>
      </c>
      <c r="E213" t="e">
        <f>AND(#REF!,"AAAAAD/k3wQ=")</f>
        <v>#REF!</v>
      </c>
      <c r="F213" t="e">
        <f>AND(#REF!,"AAAAAD/k3wU=")</f>
        <v>#REF!</v>
      </c>
      <c r="G213" t="e">
        <f>AND(#REF!,"AAAAAD/k3wY=")</f>
        <v>#REF!</v>
      </c>
      <c r="H213" t="e">
        <f>AND(#REF!,"AAAAAD/k3wc=")</f>
        <v>#REF!</v>
      </c>
      <c r="I213" t="e">
        <f>AND(#REF!,"AAAAAD/k3wg=")</f>
        <v>#REF!</v>
      </c>
      <c r="J213" t="e">
        <f>AND(#REF!,"AAAAAD/k3wk=")</f>
        <v>#REF!</v>
      </c>
      <c r="K213" t="e">
        <f>AND(#REF!,"AAAAAD/k3wo=")</f>
        <v>#REF!</v>
      </c>
      <c r="L213" t="e">
        <f>AND(#REF!,"AAAAAD/k3ws=")</f>
        <v>#REF!</v>
      </c>
      <c r="M213" t="e">
        <f>AND(#REF!,"AAAAAD/k3ww=")</f>
        <v>#REF!</v>
      </c>
      <c r="N213" t="e">
        <f>IF(#REF!,"AAAAAD/k3w0=",0)</f>
        <v>#REF!</v>
      </c>
      <c r="O213" t="e">
        <f>AND(#REF!,"AAAAAD/k3w4=")</f>
        <v>#REF!</v>
      </c>
      <c r="P213" t="e">
        <f>AND(#REF!,"AAAAAD/k3w8=")</f>
        <v>#REF!</v>
      </c>
      <c r="Q213" t="e">
        <f>AND(#REF!,"AAAAAD/k3xA=")</f>
        <v>#REF!</v>
      </c>
      <c r="R213" t="e">
        <f>AND(#REF!,"AAAAAD/k3xE=")</f>
        <v>#REF!</v>
      </c>
      <c r="S213" t="e">
        <f>AND(#REF!,"AAAAAD/k3xI=")</f>
        <v>#REF!</v>
      </c>
      <c r="T213" t="e">
        <f>AND(#REF!,"AAAAAD/k3xM=")</f>
        <v>#REF!</v>
      </c>
      <c r="U213" t="e">
        <f>AND(#REF!,"AAAAAD/k3xQ=")</f>
        <v>#REF!</v>
      </c>
      <c r="V213" t="e">
        <f>AND(#REF!,"AAAAAD/k3xU=")</f>
        <v>#REF!</v>
      </c>
      <c r="W213" t="e">
        <f>AND(#REF!,"AAAAAD/k3xY=")</f>
        <v>#REF!</v>
      </c>
      <c r="X213" t="e">
        <f>AND(#REF!,"AAAAAD/k3xc=")</f>
        <v>#REF!</v>
      </c>
      <c r="Y213" t="e">
        <f>AND(#REF!,"AAAAAD/k3xg=")</f>
        <v>#REF!</v>
      </c>
      <c r="Z213" t="e">
        <f>AND(#REF!,"AAAAAD/k3xk=")</f>
        <v>#REF!</v>
      </c>
      <c r="AA213" t="e">
        <f>AND(#REF!,"AAAAAD/k3xo=")</f>
        <v>#REF!</v>
      </c>
      <c r="AB213" t="e">
        <f>AND(#REF!,"AAAAAD/k3xs=")</f>
        <v>#REF!</v>
      </c>
      <c r="AC213" t="e">
        <f>AND(#REF!,"AAAAAD/k3xw=")</f>
        <v>#REF!</v>
      </c>
      <c r="AD213" t="e">
        <f>AND(#REF!,"AAAAAD/k3x0=")</f>
        <v>#REF!</v>
      </c>
      <c r="AE213" t="e">
        <f>AND(#REF!,"AAAAAD/k3x4=")</f>
        <v>#REF!</v>
      </c>
      <c r="AF213" t="e">
        <f>AND(#REF!,"AAAAAD/k3x8=")</f>
        <v>#REF!</v>
      </c>
      <c r="AG213" t="e">
        <f>AND(#REF!,"AAAAAD/k3yA=")</f>
        <v>#REF!</v>
      </c>
      <c r="AH213" t="e">
        <f>AND(#REF!,"AAAAAD/k3yE=")</f>
        <v>#REF!</v>
      </c>
      <c r="AI213" t="e">
        <f>AND(#REF!,"AAAAAD/k3yI=")</f>
        <v>#REF!</v>
      </c>
      <c r="AJ213" t="e">
        <f>AND(#REF!,"AAAAAD/k3yM=")</f>
        <v>#REF!</v>
      </c>
      <c r="AK213" t="e">
        <f>AND(#REF!,"AAAAAD/k3yQ=")</f>
        <v>#REF!</v>
      </c>
      <c r="AL213" t="e">
        <f>AND(#REF!,"AAAAAD/k3yU=")</f>
        <v>#REF!</v>
      </c>
      <c r="AM213" t="e">
        <f>IF(#REF!,"AAAAAD/k3yY=",0)</f>
        <v>#REF!</v>
      </c>
      <c r="AN213" t="e">
        <f>AND(#REF!,"AAAAAD/k3yc=")</f>
        <v>#REF!</v>
      </c>
      <c r="AO213" t="e">
        <f>AND(#REF!,"AAAAAD/k3yg=")</f>
        <v>#REF!</v>
      </c>
      <c r="AP213" t="e">
        <f>AND(#REF!,"AAAAAD/k3yk=")</f>
        <v>#REF!</v>
      </c>
      <c r="AQ213" t="e">
        <f>AND(#REF!,"AAAAAD/k3yo=")</f>
        <v>#REF!</v>
      </c>
      <c r="AR213" t="e">
        <f>AND(#REF!,"AAAAAD/k3ys=")</f>
        <v>#REF!</v>
      </c>
      <c r="AS213" t="e">
        <f>AND(#REF!,"AAAAAD/k3yw=")</f>
        <v>#REF!</v>
      </c>
      <c r="AT213" t="e">
        <f>AND(#REF!,"AAAAAD/k3y0=")</f>
        <v>#REF!</v>
      </c>
      <c r="AU213" t="e">
        <f>AND(#REF!,"AAAAAD/k3y4=")</f>
        <v>#REF!</v>
      </c>
      <c r="AV213" t="e">
        <f>AND(#REF!,"AAAAAD/k3y8=")</f>
        <v>#REF!</v>
      </c>
      <c r="AW213" t="e">
        <f>AND(#REF!,"AAAAAD/k3zA=")</f>
        <v>#REF!</v>
      </c>
      <c r="AX213" t="e">
        <f>AND(#REF!,"AAAAAD/k3zE=")</f>
        <v>#REF!</v>
      </c>
      <c r="AY213" t="e">
        <f>AND(#REF!,"AAAAAD/k3zI=")</f>
        <v>#REF!</v>
      </c>
      <c r="AZ213" t="e">
        <f>AND(#REF!,"AAAAAD/k3zM=")</f>
        <v>#REF!</v>
      </c>
      <c r="BA213" t="e">
        <f>AND(#REF!,"AAAAAD/k3zQ=")</f>
        <v>#REF!</v>
      </c>
      <c r="BB213" t="e">
        <f>AND(#REF!,"AAAAAD/k3zU=")</f>
        <v>#REF!</v>
      </c>
      <c r="BC213" t="e">
        <f>AND(#REF!,"AAAAAD/k3zY=")</f>
        <v>#REF!</v>
      </c>
      <c r="BD213" t="e">
        <f>AND(#REF!,"AAAAAD/k3zc=")</f>
        <v>#REF!</v>
      </c>
      <c r="BE213" t="e">
        <f>AND(#REF!,"AAAAAD/k3zg=")</f>
        <v>#REF!</v>
      </c>
      <c r="BF213" t="e">
        <f>AND(#REF!,"AAAAAD/k3zk=")</f>
        <v>#REF!</v>
      </c>
      <c r="BG213" t="e">
        <f>AND(#REF!,"AAAAAD/k3zo=")</f>
        <v>#REF!</v>
      </c>
      <c r="BH213" t="e">
        <f>AND(#REF!,"AAAAAD/k3zs=")</f>
        <v>#REF!</v>
      </c>
      <c r="BI213" t="e">
        <f>AND(#REF!,"AAAAAD/k3zw=")</f>
        <v>#REF!</v>
      </c>
      <c r="BJ213" t="e">
        <f>AND(#REF!,"AAAAAD/k3z0=")</f>
        <v>#REF!</v>
      </c>
      <c r="BK213" t="e">
        <f>AND(#REF!,"AAAAAD/k3z4=")</f>
        <v>#REF!</v>
      </c>
      <c r="BL213" t="e">
        <f>IF(#REF!,"AAAAAD/k3z8=",0)</f>
        <v>#REF!</v>
      </c>
      <c r="BM213" t="e">
        <f>AND(#REF!,"AAAAAD/k30A=")</f>
        <v>#REF!</v>
      </c>
      <c r="BN213" t="e">
        <f>AND(#REF!,"AAAAAD/k30E=")</f>
        <v>#REF!</v>
      </c>
      <c r="BO213" t="e">
        <f>AND(#REF!,"AAAAAD/k30I=")</f>
        <v>#REF!</v>
      </c>
      <c r="BP213" t="e">
        <f>AND(#REF!,"AAAAAD/k30M=")</f>
        <v>#REF!</v>
      </c>
      <c r="BQ213" t="e">
        <f>AND(#REF!,"AAAAAD/k30Q=")</f>
        <v>#REF!</v>
      </c>
      <c r="BR213" t="e">
        <f>AND(#REF!,"AAAAAD/k30U=")</f>
        <v>#REF!</v>
      </c>
      <c r="BS213" t="e">
        <f>AND(#REF!,"AAAAAD/k30Y=")</f>
        <v>#REF!</v>
      </c>
      <c r="BT213" t="e">
        <f>AND(#REF!,"AAAAAD/k30c=")</f>
        <v>#REF!</v>
      </c>
      <c r="BU213" t="e">
        <f>AND(#REF!,"AAAAAD/k30g=")</f>
        <v>#REF!</v>
      </c>
      <c r="BV213" t="e">
        <f>AND(#REF!,"AAAAAD/k30k=")</f>
        <v>#REF!</v>
      </c>
      <c r="BW213" t="e">
        <f>AND(#REF!,"AAAAAD/k30o=")</f>
        <v>#REF!</v>
      </c>
      <c r="BX213" t="e">
        <f>AND(#REF!,"AAAAAD/k30s=")</f>
        <v>#REF!</v>
      </c>
      <c r="BY213" t="e">
        <f>AND(#REF!,"AAAAAD/k30w=")</f>
        <v>#REF!</v>
      </c>
      <c r="BZ213" t="e">
        <f>AND(#REF!,"AAAAAD/k300=")</f>
        <v>#REF!</v>
      </c>
      <c r="CA213" t="e">
        <f>AND(#REF!,"AAAAAD/k304=")</f>
        <v>#REF!</v>
      </c>
      <c r="CB213" t="e">
        <f>AND(#REF!,"AAAAAD/k308=")</f>
        <v>#REF!</v>
      </c>
      <c r="CC213" t="e">
        <f>AND(#REF!,"AAAAAD/k31A=")</f>
        <v>#REF!</v>
      </c>
      <c r="CD213" t="e">
        <f>AND(#REF!,"AAAAAD/k31E=")</f>
        <v>#REF!</v>
      </c>
      <c r="CE213" t="e">
        <f>AND(#REF!,"AAAAAD/k31I=")</f>
        <v>#REF!</v>
      </c>
      <c r="CF213" t="e">
        <f>AND(#REF!,"AAAAAD/k31M=")</f>
        <v>#REF!</v>
      </c>
      <c r="CG213" t="e">
        <f>AND(#REF!,"AAAAAD/k31Q=")</f>
        <v>#REF!</v>
      </c>
      <c r="CH213" t="e">
        <f>AND(#REF!,"AAAAAD/k31U=")</f>
        <v>#REF!</v>
      </c>
      <c r="CI213" t="e">
        <f>AND(#REF!,"AAAAAD/k31Y=")</f>
        <v>#REF!</v>
      </c>
      <c r="CJ213" t="e">
        <f>AND(#REF!,"AAAAAD/k31c=")</f>
        <v>#REF!</v>
      </c>
      <c r="CK213" t="e">
        <f>IF(#REF!,"AAAAAD/k31g=",0)</f>
        <v>#REF!</v>
      </c>
      <c r="CL213" t="e">
        <f>AND(#REF!,"AAAAAD/k31k=")</f>
        <v>#REF!</v>
      </c>
      <c r="CM213" t="e">
        <f>AND(#REF!,"AAAAAD/k31o=")</f>
        <v>#REF!</v>
      </c>
      <c r="CN213" t="e">
        <f>AND(#REF!,"AAAAAD/k31s=")</f>
        <v>#REF!</v>
      </c>
      <c r="CO213" t="e">
        <f>AND(#REF!,"AAAAAD/k31w=")</f>
        <v>#REF!</v>
      </c>
      <c r="CP213" t="e">
        <f>AND(#REF!,"AAAAAD/k310=")</f>
        <v>#REF!</v>
      </c>
      <c r="CQ213" t="e">
        <f>AND(#REF!,"AAAAAD/k314=")</f>
        <v>#REF!</v>
      </c>
      <c r="CR213" t="e">
        <f>AND(#REF!,"AAAAAD/k318=")</f>
        <v>#REF!</v>
      </c>
      <c r="CS213" t="e">
        <f>AND(#REF!,"AAAAAD/k32A=")</f>
        <v>#REF!</v>
      </c>
      <c r="CT213" t="e">
        <f>AND(#REF!,"AAAAAD/k32E=")</f>
        <v>#REF!</v>
      </c>
      <c r="CU213" t="e">
        <f>AND(#REF!,"AAAAAD/k32I=")</f>
        <v>#REF!</v>
      </c>
      <c r="CV213" t="e">
        <f>AND(#REF!,"AAAAAD/k32M=")</f>
        <v>#REF!</v>
      </c>
      <c r="CW213" t="e">
        <f>AND(#REF!,"AAAAAD/k32Q=")</f>
        <v>#REF!</v>
      </c>
      <c r="CX213" t="e">
        <f>AND(#REF!,"AAAAAD/k32U=")</f>
        <v>#REF!</v>
      </c>
      <c r="CY213" t="e">
        <f>AND(#REF!,"AAAAAD/k32Y=")</f>
        <v>#REF!</v>
      </c>
      <c r="CZ213" t="e">
        <f>AND(#REF!,"AAAAAD/k32c=")</f>
        <v>#REF!</v>
      </c>
      <c r="DA213" t="e">
        <f>AND(#REF!,"AAAAAD/k32g=")</f>
        <v>#REF!</v>
      </c>
      <c r="DB213" t="e">
        <f>AND(#REF!,"AAAAAD/k32k=")</f>
        <v>#REF!</v>
      </c>
      <c r="DC213" t="e">
        <f>AND(#REF!,"AAAAAD/k32o=")</f>
        <v>#REF!</v>
      </c>
      <c r="DD213" t="e">
        <f>AND(#REF!,"AAAAAD/k32s=")</f>
        <v>#REF!</v>
      </c>
      <c r="DE213" t="e">
        <f>AND(#REF!,"AAAAAD/k32w=")</f>
        <v>#REF!</v>
      </c>
      <c r="DF213" t="e">
        <f>AND(#REF!,"AAAAAD/k320=")</f>
        <v>#REF!</v>
      </c>
      <c r="DG213" t="e">
        <f>AND(#REF!,"AAAAAD/k324=")</f>
        <v>#REF!</v>
      </c>
      <c r="DH213" t="e">
        <f>AND(#REF!,"AAAAAD/k328=")</f>
        <v>#REF!</v>
      </c>
      <c r="DI213" t="e">
        <f>AND(#REF!,"AAAAAD/k33A=")</f>
        <v>#REF!</v>
      </c>
      <c r="DJ213" t="e">
        <f>IF(#REF!,"AAAAAD/k33E=",0)</f>
        <v>#REF!</v>
      </c>
      <c r="DK213" t="e">
        <f>AND(#REF!,"AAAAAD/k33I=")</f>
        <v>#REF!</v>
      </c>
      <c r="DL213" t="e">
        <f>AND(#REF!,"AAAAAD/k33M=")</f>
        <v>#REF!</v>
      </c>
      <c r="DM213" t="e">
        <f>AND(#REF!,"AAAAAD/k33Q=")</f>
        <v>#REF!</v>
      </c>
      <c r="DN213" t="e">
        <f>AND(#REF!,"AAAAAD/k33U=")</f>
        <v>#REF!</v>
      </c>
      <c r="DO213" t="e">
        <f>AND(#REF!,"AAAAAD/k33Y=")</f>
        <v>#REF!</v>
      </c>
      <c r="DP213" t="e">
        <f>AND(#REF!,"AAAAAD/k33c=")</f>
        <v>#REF!</v>
      </c>
      <c r="DQ213" t="e">
        <f>AND(#REF!,"AAAAAD/k33g=")</f>
        <v>#REF!</v>
      </c>
      <c r="DR213" t="e">
        <f>AND(#REF!,"AAAAAD/k33k=")</f>
        <v>#REF!</v>
      </c>
      <c r="DS213" t="e">
        <f>AND(#REF!,"AAAAAD/k33o=")</f>
        <v>#REF!</v>
      </c>
      <c r="DT213" t="e">
        <f>AND(#REF!,"AAAAAD/k33s=")</f>
        <v>#REF!</v>
      </c>
      <c r="DU213" t="e">
        <f>AND(#REF!,"AAAAAD/k33w=")</f>
        <v>#REF!</v>
      </c>
      <c r="DV213" t="e">
        <f>AND(#REF!,"AAAAAD/k330=")</f>
        <v>#REF!</v>
      </c>
      <c r="DW213" t="e">
        <f>AND(#REF!,"AAAAAD/k334=")</f>
        <v>#REF!</v>
      </c>
      <c r="DX213" t="e">
        <f>AND(#REF!,"AAAAAD/k338=")</f>
        <v>#REF!</v>
      </c>
      <c r="DY213" t="e">
        <f>AND(#REF!,"AAAAAD/k34A=")</f>
        <v>#REF!</v>
      </c>
      <c r="DZ213" t="e">
        <f>AND(#REF!,"AAAAAD/k34E=")</f>
        <v>#REF!</v>
      </c>
      <c r="EA213" t="e">
        <f>AND(#REF!,"AAAAAD/k34I=")</f>
        <v>#REF!</v>
      </c>
      <c r="EB213" t="e">
        <f>AND(#REF!,"AAAAAD/k34M=")</f>
        <v>#REF!</v>
      </c>
      <c r="EC213" t="e">
        <f>AND(#REF!,"AAAAAD/k34Q=")</f>
        <v>#REF!</v>
      </c>
      <c r="ED213" t="e">
        <f>AND(#REF!,"AAAAAD/k34U=")</f>
        <v>#REF!</v>
      </c>
      <c r="EE213" t="e">
        <f>AND(#REF!,"AAAAAD/k34Y=")</f>
        <v>#REF!</v>
      </c>
      <c r="EF213" t="e">
        <f>AND(#REF!,"AAAAAD/k34c=")</f>
        <v>#REF!</v>
      </c>
      <c r="EG213" t="e">
        <f>AND(#REF!,"AAAAAD/k34g=")</f>
        <v>#REF!</v>
      </c>
      <c r="EH213" t="e">
        <f>AND(#REF!,"AAAAAD/k34k=")</f>
        <v>#REF!</v>
      </c>
      <c r="EI213" t="e">
        <f>IF(#REF!,"AAAAAD/k34o=",0)</f>
        <v>#REF!</v>
      </c>
      <c r="EJ213" t="e">
        <f>AND(#REF!,"AAAAAD/k34s=")</f>
        <v>#REF!</v>
      </c>
      <c r="EK213" t="e">
        <f>AND(#REF!,"AAAAAD/k34w=")</f>
        <v>#REF!</v>
      </c>
      <c r="EL213" t="e">
        <f>AND(#REF!,"AAAAAD/k340=")</f>
        <v>#REF!</v>
      </c>
      <c r="EM213" t="e">
        <f>AND(#REF!,"AAAAAD/k344=")</f>
        <v>#REF!</v>
      </c>
      <c r="EN213" t="e">
        <f>AND(#REF!,"AAAAAD/k348=")</f>
        <v>#REF!</v>
      </c>
      <c r="EO213" t="e">
        <f>AND(#REF!,"AAAAAD/k35A=")</f>
        <v>#REF!</v>
      </c>
      <c r="EP213" t="e">
        <f>AND(#REF!,"AAAAAD/k35E=")</f>
        <v>#REF!</v>
      </c>
      <c r="EQ213" t="e">
        <f>AND(#REF!,"AAAAAD/k35I=")</f>
        <v>#REF!</v>
      </c>
      <c r="ER213" t="e">
        <f>AND(#REF!,"AAAAAD/k35M=")</f>
        <v>#REF!</v>
      </c>
      <c r="ES213" t="e">
        <f>AND(#REF!,"AAAAAD/k35Q=")</f>
        <v>#REF!</v>
      </c>
      <c r="ET213" t="e">
        <f>AND(#REF!,"AAAAAD/k35U=")</f>
        <v>#REF!</v>
      </c>
      <c r="EU213" t="e">
        <f>AND(#REF!,"AAAAAD/k35Y=")</f>
        <v>#REF!</v>
      </c>
      <c r="EV213" t="e">
        <f>AND(#REF!,"AAAAAD/k35c=")</f>
        <v>#REF!</v>
      </c>
      <c r="EW213" t="e">
        <f>AND(#REF!,"AAAAAD/k35g=")</f>
        <v>#REF!</v>
      </c>
      <c r="EX213" t="e">
        <f>AND(#REF!,"AAAAAD/k35k=")</f>
        <v>#REF!</v>
      </c>
      <c r="EY213" t="e">
        <f>AND(#REF!,"AAAAAD/k35o=")</f>
        <v>#REF!</v>
      </c>
      <c r="EZ213" t="e">
        <f>AND(#REF!,"AAAAAD/k35s=")</f>
        <v>#REF!</v>
      </c>
      <c r="FA213" t="e">
        <f>AND(#REF!,"AAAAAD/k35w=")</f>
        <v>#REF!</v>
      </c>
      <c r="FB213" t="e">
        <f>AND(#REF!,"AAAAAD/k350=")</f>
        <v>#REF!</v>
      </c>
      <c r="FC213" t="e">
        <f>AND(#REF!,"AAAAAD/k354=")</f>
        <v>#REF!</v>
      </c>
      <c r="FD213" t="e">
        <f>AND(#REF!,"AAAAAD/k358=")</f>
        <v>#REF!</v>
      </c>
      <c r="FE213" t="e">
        <f>AND(#REF!,"AAAAAD/k36A=")</f>
        <v>#REF!</v>
      </c>
      <c r="FF213" t="e">
        <f>AND(#REF!,"AAAAAD/k36E=")</f>
        <v>#REF!</v>
      </c>
      <c r="FG213" t="e">
        <f>AND(#REF!,"AAAAAD/k36I=")</f>
        <v>#REF!</v>
      </c>
      <c r="FH213" t="e">
        <f>IF(#REF!,"AAAAAD/k36M=",0)</f>
        <v>#REF!</v>
      </c>
      <c r="FI213" t="e">
        <f>AND(#REF!,"AAAAAD/k36Q=")</f>
        <v>#REF!</v>
      </c>
      <c r="FJ213" t="e">
        <f>AND(#REF!,"AAAAAD/k36U=")</f>
        <v>#REF!</v>
      </c>
      <c r="FK213" t="e">
        <f>AND(#REF!,"AAAAAD/k36Y=")</f>
        <v>#REF!</v>
      </c>
      <c r="FL213" t="e">
        <f>AND(#REF!,"AAAAAD/k36c=")</f>
        <v>#REF!</v>
      </c>
      <c r="FM213" t="e">
        <f>AND(#REF!,"AAAAAD/k36g=")</f>
        <v>#REF!</v>
      </c>
      <c r="FN213" t="e">
        <f>AND(#REF!,"AAAAAD/k36k=")</f>
        <v>#REF!</v>
      </c>
      <c r="FO213" t="e">
        <f>AND(#REF!,"AAAAAD/k36o=")</f>
        <v>#REF!</v>
      </c>
      <c r="FP213" t="e">
        <f>AND(#REF!,"AAAAAD/k36s=")</f>
        <v>#REF!</v>
      </c>
      <c r="FQ213" t="e">
        <f>AND(#REF!,"AAAAAD/k36w=")</f>
        <v>#REF!</v>
      </c>
      <c r="FR213" t="e">
        <f>AND(#REF!,"AAAAAD/k360=")</f>
        <v>#REF!</v>
      </c>
      <c r="FS213" t="e">
        <f>AND(#REF!,"AAAAAD/k364=")</f>
        <v>#REF!</v>
      </c>
      <c r="FT213" t="e">
        <f>AND(#REF!,"AAAAAD/k368=")</f>
        <v>#REF!</v>
      </c>
      <c r="FU213" t="e">
        <f>AND(#REF!,"AAAAAD/k37A=")</f>
        <v>#REF!</v>
      </c>
      <c r="FV213" t="e">
        <f>AND(#REF!,"AAAAAD/k37E=")</f>
        <v>#REF!</v>
      </c>
      <c r="FW213" t="e">
        <f>AND(#REF!,"AAAAAD/k37I=")</f>
        <v>#REF!</v>
      </c>
      <c r="FX213" t="e">
        <f>AND(#REF!,"AAAAAD/k37M=")</f>
        <v>#REF!</v>
      </c>
      <c r="FY213" t="e">
        <f>AND(#REF!,"AAAAAD/k37Q=")</f>
        <v>#REF!</v>
      </c>
      <c r="FZ213" t="e">
        <f>AND(#REF!,"AAAAAD/k37U=")</f>
        <v>#REF!</v>
      </c>
      <c r="GA213" t="e">
        <f>AND(#REF!,"AAAAAD/k37Y=")</f>
        <v>#REF!</v>
      </c>
      <c r="GB213" t="e">
        <f>AND(#REF!,"AAAAAD/k37c=")</f>
        <v>#REF!</v>
      </c>
      <c r="GC213" t="e">
        <f>AND(#REF!,"AAAAAD/k37g=")</f>
        <v>#REF!</v>
      </c>
      <c r="GD213" t="e">
        <f>AND(#REF!,"AAAAAD/k37k=")</f>
        <v>#REF!</v>
      </c>
      <c r="GE213" t="e">
        <f>AND(#REF!,"AAAAAD/k37o=")</f>
        <v>#REF!</v>
      </c>
      <c r="GF213" t="e">
        <f>AND(#REF!,"AAAAAD/k37s=")</f>
        <v>#REF!</v>
      </c>
      <c r="GG213" t="e">
        <f>IF(#REF!,"AAAAAD/k37w=",0)</f>
        <v>#REF!</v>
      </c>
      <c r="GH213" t="e">
        <f>AND(#REF!,"AAAAAD/k370=")</f>
        <v>#REF!</v>
      </c>
      <c r="GI213" t="e">
        <f>AND(#REF!,"AAAAAD/k374=")</f>
        <v>#REF!</v>
      </c>
      <c r="GJ213" t="e">
        <f>AND(#REF!,"AAAAAD/k378=")</f>
        <v>#REF!</v>
      </c>
      <c r="GK213" t="e">
        <f>AND(#REF!,"AAAAAD/k38A=")</f>
        <v>#REF!</v>
      </c>
      <c r="GL213" t="e">
        <f>AND(#REF!,"AAAAAD/k38E=")</f>
        <v>#REF!</v>
      </c>
      <c r="GM213" t="e">
        <f>AND(#REF!,"AAAAAD/k38I=")</f>
        <v>#REF!</v>
      </c>
      <c r="GN213" t="e">
        <f>AND(#REF!,"AAAAAD/k38M=")</f>
        <v>#REF!</v>
      </c>
      <c r="GO213" t="e">
        <f>AND(#REF!,"AAAAAD/k38Q=")</f>
        <v>#REF!</v>
      </c>
      <c r="GP213" t="e">
        <f>AND(#REF!,"AAAAAD/k38U=")</f>
        <v>#REF!</v>
      </c>
      <c r="GQ213" t="e">
        <f>AND(#REF!,"AAAAAD/k38Y=")</f>
        <v>#REF!</v>
      </c>
      <c r="GR213" t="e">
        <f>AND(#REF!,"AAAAAD/k38c=")</f>
        <v>#REF!</v>
      </c>
      <c r="GS213" t="e">
        <f>AND(#REF!,"AAAAAD/k38g=")</f>
        <v>#REF!</v>
      </c>
      <c r="GT213" t="e">
        <f>AND(#REF!,"AAAAAD/k38k=")</f>
        <v>#REF!</v>
      </c>
      <c r="GU213" t="e">
        <f>AND(#REF!,"AAAAAD/k38o=")</f>
        <v>#REF!</v>
      </c>
      <c r="GV213" t="e">
        <f>AND(#REF!,"AAAAAD/k38s=")</f>
        <v>#REF!</v>
      </c>
      <c r="GW213" t="e">
        <f>AND(#REF!,"AAAAAD/k38w=")</f>
        <v>#REF!</v>
      </c>
      <c r="GX213" t="e">
        <f>AND(#REF!,"AAAAAD/k380=")</f>
        <v>#REF!</v>
      </c>
      <c r="GY213" t="e">
        <f>AND(#REF!,"AAAAAD/k384=")</f>
        <v>#REF!</v>
      </c>
      <c r="GZ213" t="e">
        <f>AND(#REF!,"AAAAAD/k388=")</f>
        <v>#REF!</v>
      </c>
      <c r="HA213" t="e">
        <f>AND(#REF!,"AAAAAD/k39A=")</f>
        <v>#REF!</v>
      </c>
      <c r="HB213" t="e">
        <f>AND(#REF!,"AAAAAD/k39E=")</f>
        <v>#REF!</v>
      </c>
      <c r="HC213" t="e">
        <f>AND(#REF!,"AAAAAD/k39I=")</f>
        <v>#REF!</v>
      </c>
      <c r="HD213" t="e">
        <f>AND(#REF!,"AAAAAD/k39M=")</f>
        <v>#REF!</v>
      </c>
      <c r="HE213" t="e">
        <f>AND(#REF!,"AAAAAD/k39Q=")</f>
        <v>#REF!</v>
      </c>
      <c r="HF213" t="e">
        <f>IF(#REF!,"AAAAAD/k39U=",0)</f>
        <v>#REF!</v>
      </c>
      <c r="HG213" t="e">
        <f>AND(#REF!,"AAAAAD/k39Y=")</f>
        <v>#REF!</v>
      </c>
      <c r="HH213" t="e">
        <f>AND(#REF!,"AAAAAD/k39c=")</f>
        <v>#REF!</v>
      </c>
      <c r="HI213" t="e">
        <f>AND(#REF!,"AAAAAD/k39g=")</f>
        <v>#REF!</v>
      </c>
      <c r="HJ213" t="e">
        <f>AND(#REF!,"AAAAAD/k39k=")</f>
        <v>#REF!</v>
      </c>
      <c r="HK213" t="e">
        <f>AND(#REF!,"AAAAAD/k39o=")</f>
        <v>#REF!</v>
      </c>
      <c r="HL213" t="e">
        <f>AND(#REF!,"AAAAAD/k39s=")</f>
        <v>#REF!</v>
      </c>
      <c r="HM213" t="e">
        <f>AND(#REF!,"AAAAAD/k39w=")</f>
        <v>#REF!</v>
      </c>
      <c r="HN213" t="e">
        <f>AND(#REF!,"AAAAAD/k390=")</f>
        <v>#REF!</v>
      </c>
      <c r="HO213" t="e">
        <f>AND(#REF!,"AAAAAD/k394=")</f>
        <v>#REF!</v>
      </c>
      <c r="HP213" t="e">
        <f>AND(#REF!,"AAAAAD/k398=")</f>
        <v>#REF!</v>
      </c>
      <c r="HQ213" t="e">
        <f>AND(#REF!,"AAAAAD/k3+A=")</f>
        <v>#REF!</v>
      </c>
      <c r="HR213" t="e">
        <f>AND(#REF!,"AAAAAD/k3+E=")</f>
        <v>#REF!</v>
      </c>
      <c r="HS213" t="e">
        <f>AND(#REF!,"AAAAAD/k3+I=")</f>
        <v>#REF!</v>
      </c>
      <c r="HT213" t="e">
        <f>AND(#REF!,"AAAAAD/k3+M=")</f>
        <v>#REF!</v>
      </c>
      <c r="HU213" t="e">
        <f>AND(#REF!,"AAAAAD/k3+Q=")</f>
        <v>#REF!</v>
      </c>
      <c r="HV213" t="e">
        <f>AND(#REF!,"AAAAAD/k3+U=")</f>
        <v>#REF!</v>
      </c>
      <c r="HW213" t="e">
        <f>AND(#REF!,"AAAAAD/k3+Y=")</f>
        <v>#REF!</v>
      </c>
      <c r="HX213" t="e">
        <f>AND(#REF!,"AAAAAD/k3+c=")</f>
        <v>#REF!</v>
      </c>
      <c r="HY213" t="e">
        <f>AND(#REF!,"AAAAAD/k3+g=")</f>
        <v>#REF!</v>
      </c>
      <c r="HZ213" t="e">
        <f>AND(#REF!,"AAAAAD/k3+k=")</f>
        <v>#REF!</v>
      </c>
      <c r="IA213" t="e">
        <f>AND(#REF!,"AAAAAD/k3+o=")</f>
        <v>#REF!</v>
      </c>
      <c r="IB213" t="e">
        <f>AND(#REF!,"AAAAAD/k3+s=")</f>
        <v>#REF!</v>
      </c>
      <c r="IC213" t="e">
        <f>AND(#REF!,"AAAAAD/k3+w=")</f>
        <v>#REF!</v>
      </c>
      <c r="ID213" t="e">
        <f>AND(#REF!,"AAAAAD/k3+0=")</f>
        <v>#REF!</v>
      </c>
      <c r="IE213" t="e">
        <f>IF(#REF!,"AAAAAD/k3+4=",0)</f>
        <v>#REF!</v>
      </c>
      <c r="IF213" t="e">
        <f>AND(#REF!,"AAAAAD/k3+8=")</f>
        <v>#REF!</v>
      </c>
      <c r="IG213" t="e">
        <f>AND(#REF!,"AAAAAD/k3/A=")</f>
        <v>#REF!</v>
      </c>
      <c r="IH213" t="e">
        <f>AND(#REF!,"AAAAAD/k3/E=")</f>
        <v>#REF!</v>
      </c>
      <c r="II213" t="e">
        <f>AND(#REF!,"AAAAAD/k3/I=")</f>
        <v>#REF!</v>
      </c>
      <c r="IJ213" t="e">
        <f>AND(#REF!,"AAAAAD/k3/M=")</f>
        <v>#REF!</v>
      </c>
      <c r="IK213" t="e">
        <f>AND(#REF!,"AAAAAD/k3/Q=")</f>
        <v>#REF!</v>
      </c>
      <c r="IL213" t="e">
        <f>AND(#REF!,"AAAAAD/k3/U=")</f>
        <v>#REF!</v>
      </c>
      <c r="IM213" t="e">
        <f>AND(#REF!,"AAAAAD/k3/Y=")</f>
        <v>#REF!</v>
      </c>
      <c r="IN213" t="e">
        <f>AND(#REF!,"AAAAAD/k3/c=")</f>
        <v>#REF!</v>
      </c>
      <c r="IO213" t="e">
        <f>AND(#REF!,"AAAAAD/k3/g=")</f>
        <v>#REF!</v>
      </c>
      <c r="IP213" t="e">
        <f>AND(#REF!,"AAAAAD/k3/k=")</f>
        <v>#REF!</v>
      </c>
      <c r="IQ213" t="e">
        <f>AND(#REF!,"AAAAAD/k3/o=")</f>
        <v>#REF!</v>
      </c>
      <c r="IR213" t="e">
        <f>AND(#REF!,"AAAAAD/k3/s=")</f>
        <v>#REF!</v>
      </c>
      <c r="IS213" t="e">
        <f>AND(#REF!,"AAAAAD/k3/w=")</f>
        <v>#REF!</v>
      </c>
      <c r="IT213" t="e">
        <f>AND(#REF!,"AAAAAD/k3/0=")</f>
        <v>#REF!</v>
      </c>
      <c r="IU213" t="e">
        <f>AND(#REF!,"AAAAAD/k3/4=")</f>
        <v>#REF!</v>
      </c>
      <c r="IV213" t="e">
        <f>AND(#REF!,"AAAAAD/k3/8=")</f>
        <v>#REF!</v>
      </c>
    </row>
    <row r="214" spans="1:256">
      <c r="A214" t="e">
        <f>AND(#REF!,"AAAAAH797gA=")</f>
        <v>#REF!</v>
      </c>
      <c r="B214" t="e">
        <f>AND(#REF!,"AAAAAH797gE=")</f>
        <v>#REF!</v>
      </c>
      <c r="C214" t="e">
        <f>AND(#REF!,"AAAAAH797gI=")</f>
        <v>#REF!</v>
      </c>
      <c r="D214" t="e">
        <f>AND(#REF!,"AAAAAH797gM=")</f>
        <v>#REF!</v>
      </c>
      <c r="E214" t="e">
        <f>AND(#REF!,"AAAAAH797gQ=")</f>
        <v>#REF!</v>
      </c>
      <c r="F214" t="e">
        <f>AND(#REF!,"AAAAAH797gU=")</f>
        <v>#REF!</v>
      </c>
      <c r="G214" t="e">
        <f>AND(#REF!,"AAAAAH797gY=")</f>
        <v>#REF!</v>
      </c>
      <c r="H214" t="e">
        <f>IF(#REF!,"AAAAAH797gc=",0)</f>
        <v>#REF!</v>
      </c>
      <c r="I214" t="e">
        <f>AND(#REF!,"AAAAAH797gg=")</f>
        <v>#REF!</v>
      </c>
      <c r="J214" t="e">
        <f>AND(#REF!,"AAAAAH797gk=")</f>
        <v>#REF!</v>
      </c>
      <c r="K214" t="e">
        <f>AND(#REF!,"AAAAAH797go=")</f>
        <v>#REF!</v>
      </c>
      <c r="L214" t="e">
        <f>AND(#REF!,"AAAAAH797gs=")</f>
        <v>#REF!</v>
      </c>
      <c r="M214" t="e">
        <f>AND(#REF!,"AAAAAH797gw=")</f>
        <v>#REF!</v>
      </c>
      <c r="N214" t="e">
        <f>AND(#REF!,"AAAAAH797g0=")</f>
        <v>#REF!</v>
      </c>
      <c r="O214" t="e">
        <f>AND(#REF!,"AAAAAH797g4=")</f>
        <v>#REF!</v>
      </c>
      <c r="P214" t="e">
        <f>AND(#REF!,"AAAAAH797g8=")</f>
        <v>#REF!</v>
      </c>
      <c r="Q214" t="e">
        <f>AND(#REF!,"AAAAAH797hA=")</f>
        <v>#REF!</v>
      </c>
      <c r="R214" t="e">
        <f>AND(#REF!,"AAAAAH797hE=")</f>
        <v>#REF!</v>
      </c>
      <c r="S214" t="e">
        <f>AND(#REF!,"AAAAAH797hI=")</f>
        <v>#REF!</v>
      </c>
      <c r="T214" t="e">
        <f>AND(#REF!,"AAAAAH797hM=")</f>
        <v>#REF!</v>
      </c>
      <c r="U214" t="e">
        <f>AND(#REF!,"AAAAAH797hQ=")</f>
        <v>#REF!</v>
      </c>
      <c r="V214" t="e">
        <f>AND(#REF!,"AAAAAH797hU=")</f>
        <v>#REF!</v>
      </c>
      <c r="W214" t="e">
        <f>AND(#REF!,"AAAAAH797hY=")</f>
        <v>#REF!</v>
      </c>
      <c r="X214" t="e">
        <f>AND(#REF!,"AAAAAH797hc=")</f>
        <v>#REF!</v>
      </c>
      <c r="Y214" t="e">
        <f>AND(#REF!,"AAAAAH797hg=")</f>
        <v>#REF!</v>
      </c>
      <c r="Z214" t="e">
        <f>AND(#REF!,"AAAAAH797hk=")</f>
        <v>#REF!</v>
      </c>
      <c r="AA214" t="e">
        <f>AND(#REF!,"AAAAAH797ho=")</f>
        <v>#REF!</v>
      </c>
      <c r="AB214" t="e">
        <f>AND(#REF!,"AAAAAH797hs=")</f>
        <v>#REF!</v>
      </c>
      <c r="AC214" t="e">
        <f>AND(#REF!,"AAAAAH797hw=")</f>
        <v>#REF!</v>
      </c>
      <c r="AD214" t="e">
        <f>AND(#REF!,"AAAAAH797h0=")</f>
        <v>#REF!</v>
      </c>
      <c r="AE214" t="e">
        <f>AND(#REF!,"AAAAAH797h4=")</f>
        <v>#REF!</v>
      </c>
      <c r="AF214" t="e">
        <f>AND(#REF!,"AAAAAH797h8=")</f>
        <v>#REF!</v>
      </c>
      <c r="AG214" t="e">
        <f>IF(#REF!,"AAAAAH797iA=",0)</f>
        <v>#REF!</v>
      </c>
      <c r="AH214" t="e">
        <f>AND(#REF!,"AAAAAH797iE=")</f>
        <v>#REF!</v>
      </c>
      <c r="AI214" t="e">
        <f>AND(#REF!,"AAAAAH797iI=")</f>
        <v>#REF!</v>
      </c>
      <c r="AJ214" t="e">
        <f>AND(#REF!,"AAAAAH797iM=")</f>
        <v>#REF!</v>
      </c>
      <c r="AK214" t="e">
        <f>AND(#REF!,"AAAAAH797iQ=")</f>
        <v>#REF!</v>
      </c>
      <c r="AL214" t="e">
        <f>AND(#REF!,"AAAAAH797iU=")</f>
        <v>#REF!</v>
      </c>
      <c r="AM214" t="e">
        <f>AND(#REF!,"AAAAAH797iY=")</f>
        <v>#REF!</v>
      </c>
      <c r="AN214" t="e">
        <f>AND(#REF!,"AAAAAH797ic=")</f>
        <v>#REF!</v>
      </c>
      <c r="AO214" t="e">
        <f>AND(#REF!,"AAAAAH797ig=")</f>
        <v>#REF!</v>
      </c>
      <c r="AP214" t="e">
        <f>AND(#REF!,"AAAAAH797ik=")</f>
        <v>#REF!</v>
      </c>
      <c r="AQ214" t="e">
        <f>AND(#REF!,"AAAAAH797io=")</f>
        <v>#REF!</v>
      </c>
      <c r="AR214" t="e">
        <f>AND(#REF!,"AAAAAH797is=")</f>
        <v>#REF!</v>
      </c>
      <c r="AS214" t="e">
        <f>AND(#REF!,"AAAAAH797iw=")</f>
        <v>#REF!</v>
      </c>
      <c r="AT214" t="e">
        <f>AND(#REF!,"AAAAAH797i0=")</f>
        <v>#REF!</v>
      </c>
      <c r="AU214" t="e">
        <f>AND(#REF!,"AAAAAH797i4=")</f>
        <v>#REF!</v>
      </c>
      <c r="AV214" t="e">
        <f>AND(#REF!,"AAAAAH797i8=")</f>
        <v>#REF!</v>
      </c>
      <c r="AW214" t="e">
        <f>AND(#REF!,"AAAAAH797jA=")</f>
        <v>#REF!</v>
      </c>
      <c r="AX214" t="e">
        <f>AND(#REF!,"AAAAAH797jE=")</f>
        <v>#REF!</v>
      </c>
      <c r="AY214" t="e">
        <f>AND(#REF!,"AAAAAH797jI=")</f>
        <v>#REF!</v>
      </c>
      <c r="AZ214" t="e">
        <f>AND(#REF!,"AAAAAH797jM=")</f>
        <v>#REF!</v>
      </c>
      <c r="BA214" t="e">
        <f>AND(#REF!,"AAAAAH797jQ=")</f>
        <v>#REF!</v>
      </c>
      <c r="BB214" t="e">
        <f>AND(#REF!,"AAAAAH797jU=")</f>
        <v>#REF!</v>
      </c>
      <c r="BC214" t="e">
        <f>AND(#REF!,"AAAAAH797jY=")</f>
        <v>#REF!</v>
      </c>
      <c r="BD214" t="e">
        <f>AND(#REF!,"AAAAAH797jc=")</f>
        <v>#REF!</v>
      </c>
      <c r="BE214" t="e">
        <f>AND(#REF!,"AAAAAH797jg=")</f>
        <v>#REF!</v>
      </c>
      <c r="BF214" t="e">
        <f>IF(#REF!,"AAAAAH797jk=",0)</f>
        <v>#REF!</v>
      </c>
      <c r="BG214" t="e">
        <f>AND(#REF!,"AAAAAH797jo=")</f>
        <v>#REF!</v>
      </c>
      <c r="BH214" t="e">
        <f>AND(#REF!,"AAAAAH797js=")</f>
        <v>#REF!</v>
      </c>
      <c r="BI214" t="e">
        <f>AND(#REF!,"AAAAAH797jw=")</f>
        <v>#REF!</v>
      </c>
      <c r="BJ214" t="e">
        <f>AND(#REF!,"AAAAAH797j0=")</f>
        <v>#REF!</v>
      </c>
      <c r="BK214" t="e">
        <f>AND(#REF!,"AAAAAH797j4=")</f>
        <v>#REF!</v>
      </c>
      <c r="BL214" t="e">
        <f>AND(#REF!,"AAAAAH797j8=")</f>
        <v>#REF!</v>
      </c>
      <c r="BM214" t="e">
        <f>AND(#REF!,"AAAAAH797kA=")</f>
        <v>#REF!</v>
      </c>
      <c r="BN214" t="e">
        <f>AND(#REF!,"AAAAAH797kE=")</f>
        <v>#REF!</v>
      </c>
      <c r="BO214" t="e">
        <f>AND(#REF!,"AAAAAH797kI=")</f>
        <v>#REF!</v>
      </c>
      <c r="BP214" t="e">
        <f>AND(#REF!,"AAAAAH797kM=")</f>
        <v>#REF!</v>
      </c>
      <c r="BQ214" t="e">
        <f>AND(#REF!,"AAAAAH797kQ=")</f>
        <v>#REF!</v>
      </c>
      <c r="BR214" t="e">
        <f>AND(#REF!,"AAAAAH797kU=")</f>
        <v>#REF!</v>
      </c>
      <c r="BS214" t="e">
        <f>AND(#REF!,"AAAAAH797kY=")</f>
        <v>#REF!</v>
      </c>
      <c r="BT214" t="e">
        <f>AND(#REF!,"AAAAAH797kc=")</f>
        <v>#REF!</v>
      </c>
      <c r="BU214" t="e">
        <f>AND(#REF!,"AAAAAH797kg=")</f>
        <v>#REF!</v>
      </c>
      <c r="BV214" t="e">
        <f>AND(#REF!,"AAAAAH797kk=")</f>
        <v>#REF!</v>
      </c>
      <c r="BW214" t="e">
        <f>AND(#REF!,"AAAAAH797ko=")</f>
        <v>#REF!</v>
      </c>
      <c r="BX214" t="e">
        <f>AND(#REF!,"AAAAAH797ks=")</f>
        <v>#REF!</v>
      </c>
      <c r="BY214" t="e">
        <f>AND(#REF!,"AAAAAH797kw=")</f>
        <v>#REF!</v>
      </c>
      <c r="BZ214" t="e">
        <f>AND(#REF!,"AAAAAH797k0=")</f>
        <v>#REF!</v>
      </c>
      <c r="CA214" t="e">
        <f>AND(#REF!,"AAAAAH797k4=")</f>
        <v>#REF!</v>
      </c>
      <c r="CB214" t="e">
        <f>AND(#REF!,"AAAAAH797k8=")</f>
        <v>#REF!</v>
      </c>
      <c r="CC214" t="e">
        <f>AND(#REF!,"AAAAAH797lA=")</f>
        <v>#REF!</v>
      </c>
      <c r="CD214" t="e">
        <f>AND(#REF!,"AAAAAH797lE=")</f>
        <v>#REF!</v>
      </c>
      <c r="CE214" t="e">
        <f>IF(#REF!,"AAAAAH797lI=",0)</f>
        <v>#REF!</v>
      </c>
      <c r="CF214" t="e">
        <f>AND(#REF!,"AAAAAH797lM=")</f>
        <v>#REF!</v>
      </c>
      <c r="CG214" t="e">
        <f>AND(#REF!,"AAAAAH797lQ=")</f>
        <v>#REF!</v>
      </c>
      <c r="CH214" t="e">
        <f>AND(#REF!,"AAAAAH797lU=")</f>
        <v>#REF!</v>
      </c>
      <c r="CI214" t="e">
        <f>AND(#REF!,"AAAAAH797lY=")</f>
        <v>#REF!</v>
      </c>
      <c r="CJ214" t="e">
        <f>AND(#REF!,"AAAAAH797lc=")</f>
        <v>#REF!</v>
      </c>
      <c r="CK214" t="e">
        <f>AND(#REF!,"AAAAAH797lg=")</f>
        <v>#REF!</v>
      </c>
      <c r="CL214" t="e">
        <f>AND(#REF!,"AAAAAH797lk=")</f>
        <v>#REF!</v>
      </c>
      <c r="CM214" t="e">
        <f>AND(#REF!,"AAAAAH797lo=")</f>
        <v>#REF!</v>
      </c>
      <c r="CN214" t="e">
        <f>AND(#REF!,"AAAAAH797ls=")</f>
        <v>#REF!</v>
      </c>
      <c r="CO214" t="e">
        <f>AND(#REF!,"AAAAAH797lw=")</f>
        <v>#REF!</v>
      </c>
      <c r="CP214" t="e">
        <f>AND(#REF!,"AAAAAH797l0=")</f>
        <v>#REF!</v>
      </c>
      <c r="CQ214" t="e">
        <f>AND(#REF!,"AAAAAH797l4=")</f>
        <v>#REF!</v>
      </c>
      <c r="CR214" t="e">
        <f>AND(#REF!,"AAAAAH797l8=")</f>
        <v>#REF!</v>
      </c>
      <c r="CS214" t="e">
        <f>AND(#REF!,"AAAAAH797mA=")</f>
        <v>#REF!</v>
      </c>
      <c r="CT214" t="e">
        <f>AND(#REF!,"AAAAAH797mE=")</f>
        <v>#REF!</v>
      </c>
      <c r="CU214" t="e">
        <f>AND(#REF!,"AAAAAH797mI=")</f>
        <v>#REF!</v>
      </c>
      <c r="CV214" t="e">
        <f>AND(#REF!,"AAAAAH797mM=")</f>
        <v>#REF!</v>
      </c>
      <c r="CW214" t="e">
        <f>AND(#REF!,"AAAAAH797mQ=")</f>
        <v>#REF!</v>
      </c>
      <c r="CX214" t="e">
        <f>AND(#REF!,"AAAAAH797mU=")</f>
        <v>#REF!</v>
      </c>
      <c r="CY214" t="e">
        <f>AND(#REF!,"AAAAAH797mY=")</f>
        <v>#REF!</v>
      </c>
      <c r="CZ214" t="e">
        <f>AND(#REF!,"AAAAAH797mc=")</f>
        <v>#REF!</v>
      </c>
      <c r="DA214" t="e">
        <f>AND(#REF!,"AAAAAH797mg=")</f>
        <v>#REF!</v>
      </c>
      <c r="DB214" t="e">
        <f>AND(#REF!,"AAAAAH797mk=")</f>
        <v>#REF!</v>
      </c>
      <c r="DC214" t="e">
        <f>AND(#REF!,"AAAAAH797mo=")</f>
        <v>#REF!</v>
      </c>
      <c r="DD214" t="e">
        <f>IF(#REF!,"AAAAAH797ms=",0)</f>
        <v>#REF!</v>
      </c>
      <c r="DE214" t="e">
        <f>AND(#REF!,"AAAAAH797mw=")</f>
        <v>#REF!</v>
      </c>
      <c r="DF214" t="e">
        <f>AND(#REF!,"AAAAAH797m0=")</f>
        <v>#REF!</v>
      </c>
      <c r="DG214" t="e">
        <f>AND(#REF!,"AAAAAH797m4=")</f>
        <v>#REF!</v>
      </c>
      <c r="DH214" t="e">
        <f>AND(#REF!,"AAAAAH797m8=")</f>
        <v>#REF!</v>
      </c>
      <c r="DI214" t="e">
        <f>AND(#REF!,"AAAAAH797nA=")</f>
        <v>#REF!</v>
      </c>
      <c r="DJ214" t="e">
        <f>AND(#REF!,"AAAAAH797nE=")</f>
        <v>#REF!</v>
      </c>
      <c r="DK214" t="e">
        <f>AND(#REF!,"AAAAAH797nI=")</f>
        <v>#REF!</v>
      </c>
      <c r="DL214" t="e">
        <f>AND(#REF!,"AAAAAH797nM=")</f>
        <v>#REF!</v>
      </c>
      <c r="DM214" t="e">
        <f>AND(#REF!,"AAAAAH797nQ=")</f>
        <v>#REF!</v>
      </c>
      <c r="DN214" t="e">
        <f>AND(#REF!,"AAAAAH797nU=")</f>
        <v>#REF!</v>
      </c>
      <c r="DO214" t="e">
        <f>AND(#REF!,"AAAAAH797nY=")</f>
        <v>#REF!</v>
      </c>
      <c r="DP214" t="e">
        <f>AND(#REF!,"AAAAAH797nc=")</f>
        <v>#REF!</v>
      </c>
      <c r="DQ214" t="e">
        <f>AND(#REF!,"AAAAAH797ng=")</f>
        <v>#REF!</v>
      </c>
      <c r="DR214" t="e">
        <f>AND(#REF!,"AAAAAH797nk=")</f>
        <v>#REF!</v>
      </c>
      <c r="DS214" t="e">
        <f>AND(#REF!,"AAAAAH797no=")</f>
        <v>#REF!</v>
      </c>
      <c r="DT214" t="e">
        <f>AND(#REF!,"AAAAAH797ns=")</f>
        <v>#REF!</v>
      </c>
      <c r="DU214" t="e">
        <f>AND(#REF!,"AAAAAH797nw=")</f>
        <v>#REF!</v>
      </c>
      <c r="DV214" t="e">
        <f>AND(#REF!,"AAAAAH797n0=")</f>
        <v>#REF!</v>
      </c>
      <c r="DW214" t="e">
        <f>AND(#REF!,"AAAAAH797n4=")</f>
        <v>#REF!</v>
      </c>
      <c r="DX214" t="e">
        <f>AND(#REF!,"AAAAAH797n8=")</f>
        <v>#REF!</v>
      </c>
      <c r="DY214" t="e">
        <f>AND(#REF!,"AAAAAH797oA=")</f>
        <v>#REF!</v>
      </c>
      <c r="DZ214" t="e">
        <f>AND(#REF!,"AAAAAH797oE=")</f>
        <v>#REF!</v>
      </c>
      <c r="EA214" t="e">
        <f>AND(#REF!,"AAAAAH797oI=")</f>
        <v>#REF!</v>
      </c>
      <c r="EB214" t="e">
        <f>AND(#REF!,"AAAAAH797oM=")</f>
        <v>#REF!</v>
      </c>
      <c r="EC214" t="e">
        <f>IF(#REF!,"AAAAAH797oQ=",0)</f>
        <v>#REF!</v>
      </c>
      <c r="ED214" t="e">
        <f>AND(#REF!,"AAAAAH797oU=")</f>
        <v>#REF!</v>
      </c>
      <c r="EE214" t="e">
        <f>AND(#REF!,"AAAAAH797oY=")</f>
        <v>#REF!</v>
      </c>
      <c r="EF214" t="e">
        <f>AND(#REF!,"AAAAAH797oc=")</f>
        <v>#REF!</v>
      </c>
      <c r="EG214" t="e">
        <f>AND(#REF!,"AAAAAH797og=")</f>
        <v>#REF!</v>
      </c>
      <c r="EH214" t="e">
        <f>AND(#REF!,"AAAAAH797ok=")</f>
        <v>#REF!</v>
      </c>
      <c r="EI214" t="e">
        <f>AND(#REF!,"AAAAAH797oo=")</f>
        <v>#REF!</v>
      </c>
      <c r="EJ214" t="e">
        <f>AND(#REF!,"AAAAAH797os=")</f>
        <v>#REF!</v>
      </c>
      <c r="EK214" t="e">
        <f>AND(#REF!,"AAAAAH797ow=")</f>
        <v>#REF!</v>
      </c>
      <c r="EL214" t="e">
        <f>AND(#REF!,"AAAAAH797o0=")</f>
        <v>#REF!</v>
      </c>
      <c r="EM214" t="e">
        <f>AND(#REF!,"AAAAAH797o4=")</f>
        <v>#REF!</v>
      </c>
      <c r="EN214" t="e">
        <f>AND(#REF!,"AAAAAH797o8=")</f>
        <v>#REF!</v>
      </c>
      <c r="EO214" t="e">
        <f>AND(#REF!,"AAAAAH797pA=")</f>
        <v>#REF!</v>
      </c>
      <c r="EP214" t="e">
        <f>AND(#REF!,"AAAAAH797pE=")</f>
        <v>#REF!</v>
      </c>
      <c r="EQ214" t="e">
        <f>AND(#REF!,"AAAAAH797pI=")</f>
        <v>#REF!</v>
      </c>
      <c r="ER214" t="e">
        <f>AND(#REF!,"AAAAAH797pM=")</f>
        <v>#REF!</v>
      </c>
      <c r="ES214" t="e">
        <f>AND(#REF!,"AAAAAH797pQ=")</f>
        <v>#REF!</v>
      </c>
      <c r="ET214" t="e">
        <f>AND(#REF!,"AAAAAH797pU=")</f>
        <v>#REF!</v>
      </c>
      <c r="EU214" t="e">
        <f>AND(#REF!,"AAAAAH797pY=")</f>
        <v>#REF!</v>
      </c>
      <c r="EV214" t="e">
        <f>AND(#REF!,"AAAAAH797pc=")</f>
        <v>#REF!</v>
      </c>
      <c r="EW214" t="e">
        <f>AND(#REF!,"AAAAAH797pg=")</f>
        <v>#REF!</v>
      </c>
      <c r="EX214" t="e">
        <f>AND(#REF!,"AAAAAH797pk=")</f>
        <v>#REF!</v>
      </c>
      <c r="EY214" t="e">
        <f>AND(#REF!,"AAAAAH797po=")</f>
        <v>#REF!</v>
      </c>
      <c r="EZ214" t="e">
        <f>AND(#REF!,"AAAAAH797ps=")</f>
        <v>#REF!</v>
      </c>
      <c r="FA214" t="e">
        <f>AND(#REF!,"AAAAAH797pw=")</f>
        <v>#REF!</v>
      </c>
      <c r="FB214" t="e">
        <f>IF(#REF!,"AAAAAH797p0=",0)</f>
        <v>#REF!</v>
      </c>
      <c r="FC214" t="e">
        <f>AND(#REF!,"AAAAAH797p4=")</f>
        <v>#REF!</v>
      </c>
      <c r="FD214" t="e">
        <f>AND(#REF!,"AAAAAH797p8=")</f>
        <v>#REF!</v>
      </c>
      <c r="FE214" t="e">
        <f>AND(#REF!,"AAAAAH797qA=")</f>
        <v>#REF!</v>
      </c>
      <c r="FF214" t="e">
        <f>AND(#REF!,"AAAAAH797qE=")</f>
        <v>#REF!</v>
      </c>
      <c r="FG214" t="e">
        <f>AND(#REF!,"AAAAAH797qI=")</f>
        <v>#REF!</v>
      </c>
      <c r="FH214" t="e">
        <f>AND(#REF!,"AAAAAH797qM=")</f>
        <v>#REF!</v>
      </c>
      <c r="FI214" t="e">
        <f>AND(#REF!,"AAAAAH797qQ=")</f>
        <v>#REF!</v>
      </c>
      <c r="FJ214" t="e">
        <f>AND(#REF!,"AAAAAH797qU=")</f>
        <v>#REF!</v>
      </c>
      <c r="FK214" t="e">
        <f>AND(#REF!,"AAAAAH797qY=")</f>
        <v>#REF!</v>
      </c>
      <c r="FL214" t="e">
        <f>AND(#REF!,"AAAAAH797qc=")</f>
        <v>#REF!</v>
      </c>
      <c r="FM214" t="e">
        <f>AND(#REF!,"AAAAAH797qg=")</f>
        <v>#REF!</v>
      </c>
      <c r="FN214" t="e">
        <f>AND(#REF!,"AAAAAH797qk=")</f>
        <v>#REF!</v>
      </c>
      <c r="FO214" t="e">
        <f>AND(#REF!,"AAAAAH797qo=")</f>
        <v>#REF!</v>
      </c>
      <c r="FP214" t="e">
        <f>AND(#REF!,"AAAAAH797qs=")</f>
        <v>#REF!</v>
      </c>
      <c r="FQ214" t="e">
        <f>AND(#REF!,"AAAAAH797qw=")</f>
        <v>#REF!</v>
      </c>
      <c r="FR214" t="e">
        <f>AND(#REF!,"AAAAAH797q0=")</f>
        <v>#REF!</v>
      </c>
      <c r="FS214" t="e">
        <f>AND(#REF!,"AAAAAH797q4=")</f>
        <v>#REF!</v>
      </c>
      <c r="FT214" t="e">
        <f>AND(#REF!,"AAAAAH797q8=")</f>
        <v>#REF!</v>
      </c>
      <c r="FU214" t="e">
        <f>AND(#REF!,"AAAAAH797rA=")</f>
        <v>#REF!</v>
      </c>
      <c r="FV214" t="e">
        <f>AND(#REF!,"AAAAAH797rE=")</f>
        <v>#REF!</v>
      </c>
      <c r="FW214" t="e">
        <f>AND(#REF!,"AAAAAH797rI=")</f>
        <v>#REF!</v>
      </c>
      <c r="FX214" t="e">
        <f>AND(#REF!,"AAAAAH797rM=")</f>
        <v>#REF!</v>
      </c>
      <c r="FY214" t="e">
        <f>AND(#REF!,"AAAAAH797rQ=")</f>
        <v>#REF!</v>
      </c>
      <c r="FZ214" t="e">
        <f>AND(#REF!,"AAAAAH797rU=")</f>
        <v>#REF!</v>
      </c>
      <c r="GA214" t="e">
        <f>IF(#REF!,"AAAAAH797rY=",0)</f>
        <v>#REF!</v>
      </c>
      <c r="GB214" t="e">
        <f>AND(#REF!,"AAAAAH797rc=")</f>
        <v>#REF!</v>
      </c>
      <c r="GC214" t="e">
        <f>AND(#REF!,"AAAAAH797rg=")</f>
        <v>#REF!</v>
      </c>
      <c r="GD214" t="e">
        <f>AND(#REF!,"AAAAAH797rk=")</f>
        <v>#REF!</v>
      </c>
      <c r="GE214" t="e">
        <f>AND(#REF!,"AAAAAH797ro=")</f>
        <v>#REF!</v>
      </c>
      <c r="GF214" t="e">
        <f>AND(#REF!,"AAAAAH797rs=")</f>
        <v>#REF!</v>
      </c>
      <c r="GG214" t="e">
        <f>AND(#REF!,"AAAAAH797rw=")</f>
        <v>#REF!</v>
      </c>
      <c r="GH214" t="e">
        <f>AND(#REF!,"AAAAAH797r0=")</f>
        <v>#REF!</v>
      </c>
      <c r="GI214" t="e">
        <f>AND(#REF!,"AAAAAH797r4=")</f>
        <v>#REF!</v>
      </c>
      <c r="GJ214" t="e">
        <f>AND(#REF!,"AAAAAH797r8=")</f>
        <v>#REF!</v>
      </c>
      <c r="GK214" t="e">
        <f>AND(#REF!,"AAAAAH797sA=")</f>
        <v>#REF!</v>
      </c>
      <c r="GL214" t="e">
        <f>AND(#REF!,"AAAAAH797sE=")</f>
        <v>#REF!</v>
      </c>
      <c r="GM214" t="e">
        <f>AND(#REF!,"AAAAAH797sI=")</f>
        <v>#REF!</v>
      </c>
      <c r="GN214" t="e">
        <f>AND(#REF!,"AAAAAH797sM=")</f>
        <v>#REF!</v>
      </c>
      <c r="GO214" t="e">
        <f>AND(#REF!,"AAAAAH797sQ=")</f>
        <v>#REF!</v>
      </c>
      <c r="GP214" t="e">
        <f>AND(#REF!,"AAAAAH797sU=")</f>
        <v>#REF!</v>
      </c>
      <c r="GQ214" t="e">
        <f>AND(#REF!,"AAAAAH797sY=")</f>
        <v>#REF!</v>
      </c>
      <c r="GR214" t="e">
        <f>AND(#REF!,"AAAAAH797sc=")</f>
        <v>#REF!</v>
      </c>
      <c r="GS214" t="e">
        <f>AND(#REF!,"AAAAAH797sg=")</f>
        <v>#REF!</v>
      </c>
      <c r="GT214" t="e">
        <f>AND(#REF!,"AAAAAH797sk=")</f>
        <v>#REF!</v>
      </c>
      <c r="GU214" t="e">
        <f>AND(#REF!,"AAAAAH797so=")</f>
        <v>#REF!</v>
      </c>
      <c r="GV214" t="e">
        <f>AND(#REF!,"AAAAAH797ss=")</f>
        <v>#REF!</v>
      </c>
      <c r="GW214" t="e">
        <f>AND(#REF!,"AAAAAH797sw=")</f>
        <v>#REF!</v>
      </c>
      <c r="GX214" t="e">
        <f>AND(#REF!,"AAAAAH797s0=")</f>
        <v>#REF!</v>
      </c>
      <c r="GY214" t="e">
        <f>AND(#REF!,"AAAAAH797s4=")</f>
        <v>#REF!</v>
      </c>
      <c r="GZ214" t="e">
        <f>IF(#REF!,"AAAAAH797s8=",0)</f>
        <v>#REF!</v>
      </c>
      <c r="HA214" t="e">
        <f>AND(#REF!,"AAAAAH797tA=")</f>
        <v>#REF!</v>
      </c>
      <c r="HB214" t="e">
        <f>AND(#REF!,"AAAAAH797tE=")</f>
        <v>#REF!</v>
      </c>
      <c r="HC214" t="e">
        <f>AND(#REF!,"AAAAAH797tI=")</f>
        <v>#REF!</v>
      </c>
      <c r="HD214" t="e">
        <f>AND(#REF!,"AAAAAH797tM=")</f>
        <v>#REF!</v>
      </c>
      <c r="HE214" t="e">
        <f>AND(#REF!,"AAAAAH797tQ=")</f>
        <v>#REF!</v>
      </c>
      <c r="HF214" t="e">
        <f>AND(#REF!,"AAAAAH797tU=")</f>
        <v>#REF!</v>
      </c>
      <c r="HG214" t="e">
        <f>AND(#REF!,"AAAAAH797tY=")</f>
        <v>#REF!</v>
      </c>
      <c r="HH214" t="e">
        <f>AND(#REF!,"AAAAAH797tc=")</f>
        <v>#REF!</v>
      </c>
      <c r="HI214" t="e">
        <f>AND(#REF!,"AAAAAH797tg=")</f>
        <v>#REF!</v>
      </c>
      <c r="HJ214" t="e">
        <f>AND(#REF!,"AAAAAH797tk=")</f>
        <v>#REF!</v>
      </c>
      <c r="HK214" t="e">
        <f>AND(#REF!,"AAAAAH797to=")</f>
        <v>#REF!</v>
      </c>
      <c r="HL214" t="e">
        <f>AND(#REF!,"AAAAAH797ts=")</f>
        <v>#REF!</v>
      </c>
      <c r="HM214" t="e">
        <f>AND(#REF!,"AAAAAH797tw=")</f>
        <v>#REF!</v>
      </c>
      <c r="HN214" t="e">
        <f>AND(#REF!,"AAAAAH797t0=")</f>
        <v>#REF!</v>
      </c>
      <c r="HO214" t="e">
        <f>AND(#REF!,"AAAAAH797t4=")</f>
        <v>#REF!</v>
      </c>
      <c r="HP214" t="e">
        <f>AND(#REF!,"AAAAAH797t8=")</f>
        <v>#REF!</v>
      </c>
      <c r="HQ214" t="e">
        <f>AND(#REF!,"AAAAAH797uA=")</f>
        <v>#REF!</v>
      </c>
      <c r="HR214" t="e">
        <f>AND(#REF!,"AAAAAH797uE=")</f>
        <v>#REF!</v>
      </c>
      <c r="HS214" t="e">
        <f>AND(#REF!,"AAAAAH797uI=")</f>
        <v>#REF!</v>
      </c>
      <c r="HT214" t="e">
        <f>AND(#REF!,"AAAAAH797uM=")</f>
        <v>#REF!</v>
      </c>
      <c r="HU214" t="e">
        <f>AND(#REF!,"AAAAAH797uQ=")</f>
        <v>#REF!</v>
      </c>
      <c r="HV214" t="e">
        <f>AND(#REF!,"AAAAAH797uU=")</f>
        <v>#REF!</v>
      </c>
      <c r="HW214" t="e">
        <f>AND(#REF!,"AAAAAH797uY=")</f>
        <v>#REF!</v>
      </c>
      <c r="HX214" t="e">
        <f>AND(#REF!,"AAAAAH797uc=")</f>
        <v>#REF!</v>
      </c>
      <c r="HY214" t="e">
        <f>IF(#REF!,"AAAAAH797ug=",0)</f>
        <v>#REF!</v>
      </c>
      <c r="HZ214" t="e">
        <f>AND(#REF!,"AAAAAH797uk=")</f>
        <v>#REF!</v>
      </c>
      <c r="IA214" t="e">
        <f>AND(#REF!,"AAAAAH797uo=")</f>
        <v>#REF!</v>
      </c>
      <c r="IB214" t="e">
        <f>AND(#REF!,"AAAAAH797us=")</f>
        <v>#REF!</v>
      </c>
      <c r="IC214" t="e">
        <f>AND(#REF!,"AAAAAH797uw=")</f>
        <v>#REF!</v>
      </c>
      <c r="ID214" t="e">
        <f>AND(#REF!,"AAAAAH797u0=")</f>
        <v>#REF!</v>
      </c>
      <c r="IE214" t="e">
        <f>AND(#REF!,"AAAAAH797u4=")</f>
        <v>#REF!</v>
      </c>
      <c r="IF214" t="e">
        <f>AND(#REF!,"AAAAAH797u8=")</f>
        <v>#REF!</v>
      </c>
      <c r="IG214" t="e">
        <f>AND(#REF!,"AAAAAH797vA=")</f>
        <v>#REF!</v>
      </c>
      <c r="IH214" t="e">
        <f>AND(#REF!,"AAAAAH797vE=")</f>
        <v>#REF!</v>
      </c>
      <c r="II214" t="e">
        <f>AND(#REF!,"AAAAAH797vI=")</f>
        <v>#REF!</v>
      </c>
      <c r="IJ214" t="e">
        <f>AND(#REF!,"AAAAAH797vM=")</f>
        <v>#REF!</v>
      </c>
      <c r="IK214" t="e">
        <f>AND(#REF!,"AAAAAH797vQ=")</f>
        <v>#REF!</v>
      </c>
      <c r="IL214" t="e">
        <f>AND(#REF!,"AAAAAH797vU=")</f>
        <v>#REF!</v>
      </c>
      <c r="IM214" t="e">
        <f>AND(#REF!,"AAAAAH797vY=")</f>
        <v>#REF!</v>
      </c>
      <c r="IN214" t="e">
        <f>AND(#REF!,"AAAAAH797vc=")</f>
        <v>#REF!</v>
      </c>
      <c r="IO214" t="e">
        <f>AND(#REF!,"AAAAAH797vg=")</f>
        <v>#REF!</v>
      </c>
      <c r="IP214" t="e">
        <f>AND(#REF!,"AAAAAH797vk=")</f>
        <v>#REF!</v>
      </c>
      <c r="IQ214" t="e">
        <f>AND(#REF!,"AAAAAH797vo=")</f>
        <v>#REF!</v>
      </c>
      <c r="IR214" t="e">
        <f>AND(#REF!,"AAAAAH797vs=")</f>
        <v>#REF!</v>
      </c>
      <c r="IS214" t="e">
        <f>AND(#REF!,"AAAAAH797vw=")</f>
        <v>#REF!</v>
      </c>
      <c r="IT214" t="e">
        <f>AND(#REF!,"AAAAAH797v0=")</f>
        <v>#REF!</v>
      </c>
      <c r="IU214" t="e">
        <f>AND(#REF!,"AAAAAH797v4=")</f>
        <v>#REF!</v>
      </c>
      <c r="IV214" t="e">
        <f>AND(#REF!,"AAAAAH797v8=")</f>
        <v>#REF!</v>
      </c>
    </row>
    <row r="215" spans="1:256">
      <c r="A215" t="e">
        <f>AND(#REF!,"AAAAAHfpfwA=")</f>
        <v>#REF!</v>
      </c>
      <c r="B215" t="e">
        <f>IF(#REF!,"AAAAAHfpfwE=",0)</f>
        <v>#REF!</v>
      </c>
      <c r="C215" t="e">
        <f>AND(#REF!,"AAAAAHfpfwI=")</f>
        <v>#REF!</v>
      </c>
      <c r="D215" t="e">
        <f>AND(#REF!,"AAAAAHfpfwM=")</f>
        <v>#REF!</v>
      </c>
      <c r="E215" t="e">
        <f>AND(#REF!,"AAAAAHfpfwQ=")</f>
        <v>#REF!</v>
      </c>
      <c r="F215" t="e">
        <f>AND(#REF!,"AAAAAHfpfwU=")</f>
        <v>#REF!</v>
      </c>
      <c r="G215" t="e">
        <f>AND(#REF!,"AAAAAHfpfwY=")</f>
        <v>#REF!</v>
      </c>
      <c r="H215" t="e">
        <f>AND(#REF!,"AAAAAHfpfwc=")</f>
        <v>#REF!</v>
      </c>
      <c r="I215" t="e">
        <f>AND(#REF!,"AAAAAHfpfwg=")</f>
        <v>#REF!</v>
      </c>
      <c r="J215" t="e">
        <f>AND(#REF!,"AAAAAHfpfwk=")</f>
        <v>#REF!</v>
      </c>
      <c r="K215" t="e">
        <f>AND(#REF!,"AAAAAHfpfwo=")</f>
        <v>#REF!</v>
      </c>
      <c r="L215" t="e">
        <f>AND(#REF!,"AAAAAHfpfws=")</f>
        <v>#REF!</v>
      </c>
      <c r="M215" t="e">
        <f>AND(#REF!,"AAAAAHfpfww=")</f>
        <v>#REF!</v>
      </c>
      <c r="N215" t="e">
        <f>AND(#REF!,"AAAAAHfpfw0=")</f>
        <v>#REF!</v>
      </c>
      <c r="O215" t="e">
        <f>AND(#REF!,"AAAAAHfpfw4=")</f>
        <v>#REF!</v>
      </c>
      <c r="P215" t="e">
        <f>AND(#REF!,"AAAAAHfpfw8=")</f>
        <v>#REF!</v>
      </c>
      <c r="Q215" t="e">
        <f>AND(#REF!,"AAAAAHfpfxA=")</f>
        <v>#REF!</v>
      </c>
      <c r="R215" t="e">
        <f>AND(#REF!,"AAAAAHfpfxE=")</f>
        <v>#REF!</v>
      </c>
      <c r="S215" t="e">
        <f>AND(#REF!,"AAAAAHfpfxI=")</f>
        <v>#REF!</v>
      </c>
      <c r="T215" t="e">
        <f>AND(#REF!,"AAAAAHfpfxM=")</f>
        <v>#REF!</v>
      </c>
      <c r="U215" t="e">
        <f>AND(#REF!,"AAAAAHfpfxQ=")</f>
        <v>#REF!</v>
      </c>
      <c r="V215" t="e">
        <f>AND(#REF!,"AAAAAHfpfxU=")</f>
        <v>#REF!</v>
      </c>
      <c r="W215" t="e">
        <f>AND(#REF!,"AAAAAHfpfxY=")</f>
        <v>#REF!</v>
      </c>
      <c r="X215" t="e">
        <f>AND(#REF!,"AAAAAHfpfxc=")</f>
        <v>#REF!</v>
      </c>
      <c r="Y215" t="e">
        <f>AND(#REF!,"AAAAAHfpfxg=")</f>
        <v>#REF!</v>
      </c>
      <c r="Z215" t="e">
        <f>AND(#REF!,"AAAAAHfpfxk=")</f>
        <v>#REF!</v>
      </c>
      <c r="AA215" t="e">
        <f>IF(#REF!,"AAAAAHfpfxo=",0)</f>
        <v>#REF!</v>
      </c>
      <c r="AB215" t="e">
        <f>AND(#REF!,"AAAAAHfpfxs=")</f>
        <v>#REF!</v>
      </c>
      <c r="AC215" t="e">
        <f>AND(#REF!,"AAAAAHfpfxw=")</f>
        <v>#REF!</v>
      </c>
      <c r="AD215" t="e">
        <f>AND(#REF!,"AAAAAHfpfx0=")</f>
        <v>#REF!</v>
      </c>
      <c r="AE215" t="e">
        <f>AND(#REF!,"AAAAAHfpfx4=")</f>
        <v>#REF!</v>
      </c>
      <c r="AF215" t="e">
        <f>AND(#REF!,"AAAAAHfpfx8=")</f>
        <v>#REF!</v>
      </c>
      <c r="AG215" t="e">
        <f>AND(#REF!,"AAAAAHfpfyA=")</f>
        <v>#REF!</v>
      </c>
      <c r="AH215" t="e">
        <f>AND(#REF!,"AAAAAHfpfyE=")</f>
        <v>#REF!</v>
      </c>
      <c r="AI215" t="e">
        <f>AND(#REF!,"AAAAAHfpfyI=")</f>
        <v>#REF!</v>
      </c>
      <c r="AJ215" t="e">
        <f>AND(#REF!,"AAAAAHfpfyM=")</f>
        <v>#REF!</v>
      </c>
      <c r="AK215" t="e">
        <f>AND(#REF!,"AAAAAHfpfyQ=")</f>
        <v>#REF!</v>
      </c>
      <c r="AL215" t="e">
        <f>AND(#REF!,"AAAAAHfpfyU=")</f>
        <v>#REF!</v>
      </c>
      <c r="AM215" t="e">
        <f>AND(#REF!,"AAAAAHfpfyY=")</f>
        <v>#REF!</v>
      </c>
      <c r="AN215" t="e">
        <f>AND(#REF!,"AAAAAHfpfyc=")</f>
        <v>#REF!</v>
      </c>
      <c r="AO215" t="e">
        <f>AND(#REF!,"AAAAAHfpfyg=")</f>
        <v>#REF!</v>
      </c>
      <c r="AP215" t="e">
        <f>AND(#REF!,"AAAAAHfpfyk=")</f>
        <v>#REF!</v>
      </c>
      <c r="AQ215" t="e">
        <f>AND(#REF!,"AAAAAHfpfyo=")</f>
        <v>#REF!</v>
      </c>
      <c r="AR215" t="e">
        <f>AND(#REF!,"AAAAAHfpfys=")</f>
        <v>#REF!</v>
      </c>
      <c r="AS215" t="e">
        <f>AND(#REF!,"AAAAAHfpfyw=")</f>
        <v>#REF!</v>
      </c>
      <c r="AT215" t="e">
        <f>AND(#REF!,"AAAAAHfpfy0=")</f>
        <v>#REF!</v>
      </c>
      <c r="AU215" t="e">
        <f>AND(#REF!,"AAAAAHfpfy4=")</f>
        <v>#REF!</v>
      </c>
      <c r="AV215" t="e">
        <f>AND(#REF!,"AAAAAHfpfy8=")</f>
        <v>#REF!</v>
      </c>
      <c r="AW215" t="e">
        <f>AND(#REF!,"AAAAAHfpfzA=")</f>
        <v>#REF!</v>
      </c>
      <c r="AX215" t="e">
        <f>AND(#REF!,"AAAAAHfpfzE=")</f>
        <v>#REF!</v>
      </c>
      <c r="AY215" t="e">
        <f>AND(#REF!,"AAAAAHfpfzI=")</f>
        <v>#REF!</v>
      </c>
      <c r="AZ215" t="e">
        <f>IF(#REF!,"AAAAAHfpfzM=",0)</f>
        <v>#REF!</v>
      </c>
      <c r="BA215" t="e">
        <f>AND(#REF!,"AAAAAHfpfzQ=")</f>
        <v>#REF!</v>
      </c>
      <c r="BB215" t="e">
        <f>AND(#REF!,"AAAAAHfpfzU=")</f>
        <v>#REF!</v>
      </c>
      <c r="BC215" t="e">
        <f>AND(#REF!,"AAAAAHfpfzY=")</f>
        <v>#REF!</v>
      </c>
      <c r="BD215" t="e">
        <f>AND(#REF!,"AAAAAHfpfzc=")</f>
        <v>#REF!</v>
      </c>
      <c r="BE215" t="e">
        <f>AND(#REF!,"AAAAAHfpfzg=")</f>
        <v>#REF!</v>
      </c>
      <c r="BF215" t="e">
        <f>AND(#REF!,"AAAAAHfpfzk=")</f>
        <v>#REF!</v>
      </c>
      <c r="BG215" t="e">
        <f>AND(#REF!,"AAAAAHfpfzo=")</f>
        <v>#REF!</v>
      </c>
      <c r="BH215" t="e">
        <f>AND(#REF!,"AAAAAHfpfzs=")</f>
        <v>#REF!</v>
      </c>
      <c r="BI215" t="e">
        <f>AND(#REF!,"AAAAAHfpfzw=")</f>
        <v>#REF!</v>
      </c>
      <c r="BJ215" t="e">
        <f>AND(#REF!,"AAAAAHfpfz0=")</f>
        <v>#REF!</v>
      </c>
      <c r="BK215" t="e">
        <f>AND(#REF!,"AAAAAHfpfz4=")</f>
        <v>#REF!</v>
      </c>
      <c r="BL215" t="e">
        <f>AND(#REF!,"AAAAAHfpfz8=")</f>
        <v>#REF!</v>
      </c>
      <c r="BM215" t="e">
        <f>AND(#REF!,"AAAAAHfpf0A=")</f>
        <v>#REF!</v>
      </c>
      <c r="BN215" t="e">
        <f>AND(#REF!,"AAAAAHfpf0E=")</f>
        <v>#REF!</v>
      </c>
      <c r="BO215" t="e">
        <f>AND(#REF!,"AAAAAHfpf0I=")</f>
        <v>#REF!</v>
      </c>
      <c r="BP215" t="e">
        <f>AND(#REF!,"AAAAAHfpf0M=")</f>
        <v>#REF!</v>
      </c>
      <c r="BQ215" t="e">
        <f>AND(#REF!,"AAAAAHfpf0Q=")</f>
        <v>#REF!</v>
      </c>
      <c r="BR215" t="e">
        <f>AND(#REF!,"AAAAAHfpf0U=")</f>
        <v>#REF!</v>
      </c>
      <c r="BS215" t="e">
        <f>AND(#REF!,"AAAAAHfpf0Y=")</f>
        <v>#REF!</v>
      </c>
      <c r="BT215" t="e">
        <f>AND(#REF!,"AAAAAHfpf0c=")</f>
        <v>#REF!</v>
      </c>
      <c r="BU215" t="e">
        <f>AND(#REF!,"AAAAAHfpf0g=")</f>
        <v>#REF!</v>
      </c>
      <c r="BV215" t="e">
        <f>AND(#REF!,"AAAAAHfpf0k=")</f>
        <v>#REF!</v>
      </c>
      <c r="BW215" t="e">
        <f>AND(#REF!,"AAAAAHfpf0o=")</f>
        <v>#REF!</v>
      </c>
      <c r="BX215" t="e">
        <f>AND(#REF!,"AAAAAHfpf0s=")</f>
        <v>#REF!</v>
      </c>
      <c r="BY215" t="e">
        <f>IF(#REF!,"AAAAAHfpf0w=",0)</f>
        <v>#REF!</v>
      </c>
      <c r="BZ215" t="e">
        <f>AND(#REF!,"AAAAAHfpf00=")</f>
        <v>#REF!</v>
      </c>
      <c r="CA215" t="e">
        <f>AND(#REF!,"AAAAAHfpf04=")</f>
        <v>#REF!</v>
      </c>
      <c r="CB215" t="e">
        <f>AND(#REF!,"AAAAAHfpf08=")</f>
        <v>#REF!</v>
      </c>
      <c r="CC215" t="e">
        <f>AND(#REF!,"AAAAAHfpf1A=")</f>
        <v>#REF!</v>
      </c>
      <c r="CD215" t="e">
        <f>AND(#REF!,"AAAAAHfpf1E=")</f>
        <v>#REF!</v>
      </c>
      <c r="CE215" t="e">
        <f>AND(#REF!,"AAAAAHfpf1I=")</f>
        <v>#REF!</v>
      </c>
      <c r="CF215" t="e">
        <f>AND(#REF!,"AAAAAHfpf1M=")</f>
        <v>#REF!</v>
      </c>
      <c r="CG215" t="e">
        <f>AND(#REF!,"AAAAAHfpf1Q=")</f>
        <v>#REF!</v>
      </c>
      <c r="CH215" t="e">
        <f>AND(#REF!,"AAAAAHfpf1U=")</f>
        <v>#REF!</v>
      </c>
      <c r="CI215" t="e">
        <f>AND(#REF!,"AAAAAHfpf1Y=")</f>
        <v>#REF!</v>
      </c>
      <c r="CJ215" t="e">
        <f>AND(#REF!,"AAAAAHfpf1c=")</f>
        <v>#REF!</v>
      </c>
      <c r="CK215" t="e">
        <f>AND(#REF!,"AAAAAHfpf1g=")</f>
        <v>#REF!</v>
      </c>
      <c r="CL215" t="e">
        <f>AND(#REF!,"AAAAAHfpf1k=")</f>
        <v>#REF!</v>
      </c>
      <c r="CM215" t="e">
        <f>AND(#REF!,"AAAAAHfpf1o=")</f>
        <v>#REF!</v>
      </c>
      <c r="CN215" t="e">
        <f>AND(#REF!,"AAAAAHfpf1s=")</f>
        <v>#REF!</v>
      </c>
      <c r="CO215" t="e">
        <f>AND(#REF!,"AAAAAHfpf1w=")</f>
        <v>#REF!</v>
      </c>
      <c r="CP215" t="e">
        <f>AND(#REF!,"AAAAAHfpf10=")</f>
        <v>#REF!</v>
      </c>
      <c r="CQ215" t="e">
        <f>AND(#REF!,"AAAAAHfpf14=")</f>
        <v>#REF!</v>
      </c>
      <c r="CR215" t="e">
        <f>AND(#REF!,"AAAAAHfpf18=")</f>
        <v>#REF!</v>
      </c>
      <c r="CS215" t="e">
        <f>AND(#REF!,"AAAAAHfpf2A=")</f>
        <v>#REF!</v>
      </c>
      <c r="CT215" t="e">
        <f>AND(#REF!,"AAAAAHfpf2E=")</f>
        <v>#REF!</v>
      </c>
      <c r="CU215" t="e">
        <f>AND(#REF!,"AAAAAHfpf2I=")</f>
        <v>#REF!</v>
      </c>
      <c r="CV215" t="e">
        <f>AND(#REF!,"AAAAAHfpf2M=")</f>
        <v>#REF!</v>
      </c>
      <c r="CW215" t="e">
        <f>AND(#REF!,"AAAAAHfpf2Q=")</f>
        <v>#REF!</v>
      </c>
      <c r="CX215" t="e">
        <f>IF(#REF!,"AAAAAHfpf2U=",0)</f>
        <v>#REF!</v>
      </c>
      <c r="CY215" t="e">
        <f>AND(#REF!,"AAAAAHfpf2Y=")</f>
        <v>#REF!</v>
      </c>
      <c r="CZ215" t="e">
        <f>AND(#REF!,"AAAAAHfpf2c=")</f>
        <v>#REF!</v>
      </c>
      <c r="DA215" t="e">
        <f>AND(#REF!,"AAAAAHfpf2g=")</f>
        <v>#REF!</v>
      </c>
      <c r="DB215" t="e">
        <f>AND(#REF!,"AAAAAHfpf2k=")</f>
        <v>#REF!</v>
      </c>
      <c r="DC215" t="e">
        <f>AND(#REF!,"AAAAAHfpf2o=")</f>
        <v>#REF!</v>
      </c>
      <c r="DD215" t="e">
        <f>AND(#REF!,"AAAAAHfpf2s=")</f>
        <v>#REF!</v>
      </c>
      <c r="DE215" t="e">
        <f>AND(#REF!,"AAAAAHfpf2w=")</f>
        <v>#REF!</v>
      </c>
      <c r="DF215" t="e">
        <f>AND(#REF!,"AAAAAHfpf20=")</f>
        <v>#REF!</v>
      </c>
      <c r="DG215" t="e">
        <f>AND(#REF!,"AAAAAHfpf24=")</f>
        <v>#REF!</v>
      </c>
      <c r="DH215" t="e">
        <f>AND(#REF!,"AAAAAHfpf28=")</f>
        <v>#REF!</v>
      </c>
      <c r="DI215" t="e">
        <f>AND(#REF!,"AAAAAHfpf3A=")</f>
        <v>#REF!</v>
      </c>
      <c r="DJ215" t="e">
        <f>AND(#REF!,"AAAAAHfpf3E=")</f>
        <v>#REF!</v>
      </c>
      <c r="DK215" t="e">
        <f>AND(#REF!,"AAAAAHfpf3I=")</f>
        <v>#REF!</v>
      </c>
      <c r="DL215" t="e">
        <f>AND(#REF!,"AAAAAHfpf3M=")</f>
        <v>#REF!</v>
      </c>
      <c r="DM215" t="e">
        <f>AND(#REF!,"AAAAAHfpf3Q=")</f>
        <v>#REF!</v>
      </c>
      <c r="DN215" t="e">
        <f>AND(#REF!,"AAAAAHfpf3U=")</f>
        <v>#REF!</v>
      </c>
      <c r="DO215" t="e">
        <f>AND(#REF!,"AAAAAHfpf3Y=")</f>
        <v>#REF!</v>
      </c>
      <c r="DP215" t="e">
        <f>AND(#REF!,"AAAAAHfpf3c=")</f>
        <v>#REF!</v>
      </c>
      <c r="DQ215" t="e">
        <f>AND(#REF!,"AAAAAHfpf3g=")</f>
        <v>#REF!</v>
      </c>
      <c r="DR215" t="e">
        <f>AND(#REF!,"AAAAAHfpf3k=")</f>
        <v>#REF!</v>
      </c>
      <c r="DS215" t="e">
        <f>AND(#REF!,"AAAAAHfpf3o=")</f>
        <v>#REF!</v>
      </c>
      <c r="DT215" t="e">
        <f>AND(#REF!,"AAAAAHfpf3s=")</f>
        <v>#REF!</v>
      </c>
      <c r="DU215" t="e">
        <f>AND(#REF!,"AAAAAHfpf3w=")</f>
        <v>#REF!</v>
      </c>
      <c r="DV215" t="e">
        <f>AND(#REF!,"AAAAAHfpf30=")</f>
        <v>#REF!</v>
      </c>
      <c r="DW215" t="e">
        <f>IF(#REF!,"AAAAAHfpf34=",0)</f>
        <v>#REF!</v>
      </c>
      <c r="DX215" t="e">
        <f>AND(#REF!,"AAAAAHfpf38=")</f>
        <v>#REF!</v>
      </c>
      <c r="DY215" t="e">
        <f>AND(#REF!,"AAAAAHfpf4A=")</f>
        <v>#REF!</v>
      </c>
      <c r="DZ215" t="e">
        <f>AND(#REF!,"AAAAAHfpf4E=")</f>
        <v>#REF!</v>
      </c>
      <c r="EA215" t="e">
        <f>AND(#REF!,"AAAAAHfpf4I=")</f>
        <v>#REF!</v>
      </c>
      <c r="EB215" t="e">
        <f>AND(#REF!,"AAAAAHfpf4M=")</f>
        <v>#REF!</v>
      </c>
      <c r="EC215" t="e">
        <f>AND(#REF!,"AAAAAHfpf4Q=")</f>
        <v>#REF!</v>
      </c>
      <c r="ED215" t="e">
        <f>AND(#REF!,"AAAAAHfpf4U=")</f>
        <v>#REF!</v>
      </c>
      <c r="EE215" t="e">
        <f>AND(#REF!,"AAAAAHfpf4Y=")</f>
        <v>#REF!</v>
      </c>
      <c r="EF215" t="e">
        <f>AND(#REF!,"AAAAAHfpf4c=")</f>
        <v>#REF!</v>
      </c>
      <c r="EG215" t="e">
        <f>AND(#REF!,"AAAAAHfpf4g=")</f>
        <v>#REF!</v>
      </c>
      <c r="EH215" t="e">
        <f>AND(#REF!,"AAAAAHfpf4k=")</f>
        <v>#REF!</v>
      </c>
      <c r="EI215" t="e">
        <f>AND(#REF!,"AAAAAHfpf4o=")</f>
        <v>#REF!</v>
      </c>
      <c r="EJ215" t="e">
        <f>AND(#REF!,"AAAAAHfpf4s=")</f>
        <v>#REF!</v>
      </c>
      <c r="EK215" t="e">
        <f>AND(#REF!,"AAAAAHfpf4w=")</f>
        <v>#REF!</v>
      </c>
      <c r="EL215" t="e">
        <f>AND(#REF!,"AAAAAHfpf40=")</f>
        <v>#REF!</v>
      </c>
      <c r="EM215" t="e">
        <f>AND(#REF!,"AAAAAHfpf44=")</f>
        <v>#REF!</v>
      </c>
      <c r="EN215" t="e">
        <f>AND(#REF!,"AAAAAHfpf48=")</f>
        <v>#REF!</v>
      </c>
      <c r="EO215" t="e">
        <f>AND(#REF!,"AAAAAHfpf5A=")</f>
        <v>#REF!</v>
      </c>
      <c r="EP215" t="e">
        <f>AND(#REF!,"AAAAAHfpf5E=")</f>
        <v>#REF!</v>
      </c>
      <c r="EQ215" t="e">
        <f>AND(#REF!,"AAAAAHfpf5I=")</f>
        <v>#REF!</v>
      </c>
      <c r="ER215" t="e">
        <f>AND(#REF!,"AAAAAHfpf5M=")</f>
        <v>#REF!</v>
      </c>
      <c r="ES215" t="e">
        <f>AND(#REF!,"AAAAAHfpf5Q=")</f>
        <v>#REF!</v>
      </c>
      <c r="ET215" t="e">
        <f>AND(#REF!,"AAAAAHfpf5U=")</f>
        <v>#REF!</v>
      </c>
      <c r="EU215" t="e">
        <f>AND(#REF!,"AAAAAHfpf5Y=")</f>
        <v>#REF!</v>
      </c>
      <c r="EV215" t="e">
        <f>IF(#REF!,"AAAAAHfpf5c=",0)</f>
        <v>#REF!</v>
      </c>
      <c r="EW215" t="e">
        <f>AND(#REF!,"AAAAAHfpf5g=")</f>
        <v>#REF!</v>
      </c>
      <c r="EX215" t="e">
        <f>AND(#REF!,"AAAAAHfpf5k=")</f>
        <v>#REF!</v>
      </c>
      <c r="EY215" t="e">
        <f>AND(#REF!,"AAAAAHfpf5o=")</f>
        <v>#REF!</v>
      </c>
      <c r="EZ215" t="e">
        <f>AND(#REF!,"AAAAAHfpf5s=")</f>
        <v>#REF!</v>
      </c>
      <c r="FA215" t="e">
        <f>AND(#REF!,"AAAAAHfpf5w=")</f>
        <v>#REF!</v>
      </c>
      <c r="FB215" t="e">
        <f>AND(#REF!,"AAAAAHfpf50=")</f>
        <v>#REF!</v>
      </c>
      <c r="FC215" t="e">
        <f>AND(#REF!,"AAAAAHfpf54=")</f>
        <v>#REF!</v>
      </c>
      <c r="FD215" t="e">
        <f>AND(#REF!,"AAAAAHfpf58=")</f>
        <v>#REF!</v>
      </c>
      <c r="FE215" t="e">
        <f>AND(#REF!,"AAAAAHfpf6A=")</f>
        <v>#REF!</v>
      </c>
      <c r="FF215" t="e">
        <f>AND(#REF!,"AAAAAHfpf6E=")</f>
        <v>#REF!</v>
      </c>
      <c r="FG215" t="e">
        <f>AND(#REF!,"AAAAAHfpf6I=")</f>
        <v>#REF!</v>
      </c>
      <c r="FH215" t="e">
        <f>AND(#REF!,"AAAAAHfpf6M=")</f>
        <v>#REF!</v>
      </c>
      <c r="FI215" t="e">
        <f>AND(#REF!,"AAAAAHfpf6Q=")</f>
        <v>#REF!</v>
      </c>
      <c r="FJ215" t="e">
        <f>AND(#REF!,"AAAAAHfpf6U=")</f>
        <v>#REF!</v>
      </c>
      <c r="FK215" t="e">
        <f>AND(#REF!,"AAAAAHfpf6Y=")</f>
        <v>#REF!</v>
      </c>
      <c r="FL215" t="e">
        <f>AND(#REF!,"AAAAAHfpf6c=")</f>
        <v>#REF!</v>
      </c>
      <c r="FM215" t="e">
        <f>AND(#REF!,"AAAAAHfpf6g=")</f>
        <v>#REF!</v>
      </c>
      <c r="FN215" t="e">
        <f>AND(#REF!,"AAAAAHfpf6k=")</f>
        <v>#REF!</v>
      </c>
      <c r="FO215" t="e">
        <f>AND(#REF!,"AAAAAHfpf6o=")</f>
        <v>#REF!</v>
      </c>
      <c r="FP215" t="e">
        <f>AND(#REF!,"AAAAAHfpf6s=")</f>
        <v>#REF!</v>
      </c>
      <c r="FQ215" t="e">
        <f>AND(#REF!,"AAAAAHfpf6w=")</f>
        <v>#REF!</v>
      </c>
      <c r="FR215" t="e">
        <f>AND(#REF!,"AAAAAHfpf60=")</f>
        <v>#REF!</v>
      </c>
      <c r="FS215" t="e">
        <f>AND(#REF!,"AAAAAHfpf64=")</f>
        <v>#REF!</v>
      </c>
      <c r="FT215" t="e">
        <f>AND(#REF!,"AAAAAHfpf68=")</f>
        <v>#REF!</v>
      </c>
      <c r="FU215" t="e">
        <f>IF(#REF!,"AAAAAHfpf7A=",0)</f>
        <v>#REF!</v>
      </c>
      <c r="FV215" t="e">
        <f>AND(#REF!,"AAAAAHfpf7E=")</f>
        <v>#REF!</v>
      </c>
      <c r="FW215" t="e">
        <f>AND(#REF!,"AAAAAHfpf7I=")</f>
        <v>#REF!</v>
      </c>
      <c r="FX215" t="e">
        <f>AND(#REF!,"AAAAAHfpf7M=")</f>
        <v>#REF!</v>
      </c>
      <c r="FY215" t="e">
        <f>AND(#REF!,"AAAAAHfpf7Q=")</f>
        <v>#REF!</v>
      </c>
      <c r="FZ215" t="e">
        <f>AND(#REF!,"AAAAAHfpf7U=")</f>
        <v>#REF!</v>
      </c>
      <c r="GA215" t="e">
        <f>AND(#REF!,"AAAAAHfpf7Y=")</f>
        <v>#REF!</v>
      </c>
      <c r="GB215" t="e">
        <f>AND(#REF!,"AAAAAHfpf7c=")</f>
        <v>#REF!</v>
      </c>
      <c r="GC215" t="e">
        <f>AND(#REF!,"AAAAAHfpf7g=")</f>
        <v>#REF!</v>
      </c>
      <c r="GD215" t="e">
        <f>AND(#REF!,"AAAAAHfpf7k=")</f>
        <v>#REF!</v>
      </c>
      <c r="GE215" t="e">
        <f>AND(#REF!,"AAAAAHfpf7o=")</f>
        <v>#REF!</v>
      </c>
      <c r="GF215" t="e">
        <f>AND(#REF!,"AAAAAHfpf7s=")</f>
        <v>#REF!</v>
      </c>
      <c r="GG215" t="e">
        <f>AND(#REF!,"AAAAAHfpf7w=")</f>
        <v>#REF!</v>
      </c>
      <c r="GH215" t="e">
        <f>AND(#REF!,"AAAAAHfpf70=")</f>
        <v>#REF!</v>
      </c>
      <c r="GI215" t="e">
        <f>AND(#REF!,"AAAAAHfpf74=")</f>
        <v>#REF!</v>
      </c>
      <c r="GJ215" t="e">
        <f>AND(#REF!,"AAAAAHfpf78=")</f>
        <v>#REF!</v>
      </c>
      <c r="GK215" t="e">
        <f>AND(#REF!,"AAAAAHfpf8A=")</f>
        <v>#REF!</v>
      </c>
      <c r="GL215" t="e">
        <f>AND(#REF!,"AAAAAHfpf8E=")</f>
        <v>#REF!</v>
      </c>
      <c r="GM215" t="e">
        <f>AND(#REF!,"AAAAAHfpf8I=")</f>
        <v>#REF!</v>
      </c>
      <c r="GN215" t="e">
        <f>AND(#REF!,"AAAAAHfpf8M=")</f>
        <v>#REF!</v>
      </c>
      <c r="GO215" t="e">
        <f>AND(#REF!,"AAAAAHfpf8Q=")</f>
        <v>#REF!</v>
      </c>
      <c r="GP215" t="e">
        <f>AND(#REF!,"AAAAAHfpf8U=")</f>
        <v>#REF!</v>
      </c>
      <c r="GQ215" t="e">
        <f>AND(#REF!,"AAAAAHfpf8Y=")</f>
        <v>#REF!</v>
      </c>
      <c r="GR215" t="e">
        <f>AND(#REF!,"AAAAAHfpf8c=")</f>
        <v>#REF!</v>
      </c>
      <c r="GS215" t="e">
        <f>AND(#REF!,"AAAAAHfpf8g=")</f>
        <v>#REF!</v>
      </c>
      <c r="GT215" t="e">
        <f>IF(#REF!,"AAAAAHfpf8k=",0)</f>
        <v>#REF!</v>
      </c>
      <c r="GU215" t="e">
        <f>AND(#REF!,"AAAAAHfpf8o=")</f>
        <v>#REF!</v>
      </c>
      <c r="GV215" t="e">
        <f>AND(#REF!,"AAAAAHfpf8s=")</f>
        <v>#REF!</v>
      </c>
      <c r="GW215" t="e">
        <f>AND(#REF!,"AAAAAHfpf8w=")</f>
        <v>#REF!</v>
      </c>
      <c r="GX215" t="e">
        <f>AND(#REF!,"AAAAAHfpf80=")</f>
        <v>#REF!</v>
      </c>
      <c r="GY215" t="e">
        <f>AND(#REF!,"AAAAAHfpf84=")</f>
        <v>#REF!</v>
      </c>
      <c r="GZ215" t="e">
        <f>AND(#REF!,"AAAAAHfpf88=")</f>
        <v>#REF!</v>
      </c>
      <c r="HA215" t="e">
        <f>AND(#REF!,"AAAAAHfpf9A=")</f>
        <v>#REF!</v>
      </c>
      <c r="HB215" t="e">
        <f>AND(#REF!,"AAAAAHfpf9E=")</f>
        <v>#REF!</v>
      </c>
      <c r="HC215" t="e">
        <f>AND(#REF!,"AAAAAHfpf9I=")</f>
        <v>#REF!</v>
      </c>
      <c r="HD215" t="e">
        <f>AND(#REF!,"AAAAAHfpf9M=")</f>
        <v>#REF!</v>
      </c>
      <c r="HE215" t="e">
        <f>AND(#REF!,"AAAAAHfpf9Q=")</f>
        <v>#REF!</v>
      </c>
      <c r="HF215" t="e">
        <f>AND(#REF!,"AAAAAHfpf9U=")</f>
        <v>#REF!</v>
      </c>
      <c r="HG215" t="e">
        <f>AND(#REF!,"AAAAAHfpf9Y=")</f>
        <v>#REF!</v>
      </c>
      <c r="HH215" t="e">
        <f>AND(#REF!,"AAAAAHfpf9c=")</f>
        <v>#REF!</v>
      </c>
      <c r="HI215" t="e">
        <f>AND(#REF!,"AAAAAHfpf9g=")</f>
        <v>#REF!</v>
      </c>
      <c r="HJ215" t="e">
        <f>AND(#REF!,"AAAAAHfpf9k=")</f>
        <v>#REF!</v>
      </c>
      <c r="HK215" t="e">
        <f>AND(#REF!,"AAAAAHfpf9o=")</f>
        <v>#REF!</v>
      </c>
      <c r="HL215" t="e">
        <f>AND(#REF!,"AAAAAHfpf9s=")</f>
        <v>#REF!</v>
      </c>
      <c r="HM215" t="e">
        <f>AND(#REF!,"AAAAAHfpf9w=")</f>
        <v>#REF!</v>
      </c>
      <c r="HN215" t="e">
        <f>AND(#REF!,"AAAAAHfpf90=")</f>
        <v>#REF!</v>
      </c>
      <c r="HO215" t="e">
        <f>AND(#REF!,"AAAAAHfpf94=")</f>
        <v>#REF!</v>
      </c>
      <c r="HP215" t="e">
        <f>AND(#REF!,"AAAAAHfpf98=")</f>
        <v>#REF!</v>
      </c>
      <c r="HQ215" t="e">
        <f>AND(#REF!,"AAAAAHfpf+A=")</f>
        <v>#REF!</v>
      </c>
      <c r="HR215" t="e">
        <f>AND(#REF!,"AAAAAHfpf+E=")</f>
        <v>#REF!</v>
      </c>
      <c r="HS215" t="e">
        <f>IF(#REF!,"AAAAAHfpf+I=",0)</f>
        <v>#REF!</v>
      </c>
      <c r="HT215" t="e">
        <f>AND(#REF!,"AAAAAHfpf+M=")</f>
        <v>#REF!</v>
      </c>
      <c r="HU215" t="e">
        <f>AND(#REF!,"AAAAAHfpf+Q=")</f>
        <v>#REF!</v>
      </c>
      <c r="HV215" t="e">
        <f>AND(#REF!,"AAAAAHfpf+U=")</f>
        <v>#REF!</v>
      </c>
      <c r="HW215" t="e">
        <f>AND(#REF!,"AAAAAHfpf+Y=")</f>
        <v>#REF!</v>
      </c>
      <c r="HX215" t="e">
        <f>AND(#REF!,"AAAAAHfpf+c=")</f>
        <v>#REF!</v>
      </c>
      <c r="HY215" t="e">
        <f>AND(#REF!,"AAAAAHfpf+g=")</f>
        <v>#REF!</v>
      </c>
      <c r="HZ215" t="e">
        <f>AND(#REF!,"AAAAAHfpf+k=")</f>
        <v>#REF!</v>
      </c>
      <c r="IA215" t="e">
        <f>AND(#REF!,"AAAAAHfpf+o=")</f>
        <v>#REF!</v>
      </c>
      <c r="IB215" t="e">
        <f>AND(#REF!,"AAAAAHfpf+s=")</f>
        <v>#REF!</v>
      </c>
      <c r="IC215" t="e">
        <f>AND(#REF!,"AAAAAHfpf+w=")</f>
        <v>#REF!</v>
      </c>
      <c r="ID215" t="e">
        <f>AND(#REF!,"AAAAAHfpf+0=")</f>
        <v>#REF!</v>
      </c>
      <c r="IE215" t="e">
        <f>AND(#REF!,"AAAAAHfpf+4=")</f>
        <v>#REF!</v>
      </c>
      <c r="IF215" t="e">
        <f>AND(#REF!,"AAAAAHfpf+8=")</f>
        <v>#REF!</v>
      </c>
      <c r="IG215" t="e">
        <f>AND(#REF!,"AAAAAHfpf/A=")</f>
        <v>#REF!</v>
      </c>
      <c r="IH215" t="e">
        <f>AND(#REF!,"AAAAAHfpf/E=")</f>
        <v>#REF!</v>
      </c>
      <c r="II215" t="e">
        <f>AND(#REF!,"AAAAAHfpf/I=")</f>
        <v>#REF!</v>
      </c>
      <c r="IJ215" t="e">
        <f>AND(#REF!,"AAAAAHfpf/M=")</f>
        <v>#REF!</v>
      </c>
      <c r="IK215" t="e">
        <f>AND(#REF!,"AAAAAHfpf/Q=")</f>
        <v>#REF!</v>
      </c>
      <c r="IL215" t="e">
        <f>AND(#REF!,"AAAAAHfpf/U=")</f>
        <v>#REF!</v>
      </c>
      <c r="IM215" t="e">
        <f>AND(#REF!,"AAAAAHfpf/Y=")</f>
        <v>#REF!</v>
      </c>
      <c r="IN215" t="e">
        <f>AND(#REF!,"AAAAAHfpf/c=")</f>
        <v>#REF!</v>
      </c>
      <c r="IO215" t="e">
        <f>AND(#REF!,"AAAAAHfpf/g=")</f>
        <v>#REF!</v>
      </c>
      <c r="IP215" t="e">
        <f>AND(#REF!,"AAAAAHfpf/k=")</f>
        <v>#REF!</v>
      </c>
      <c r="IQ215" t="e">
        <f>AND(#REF!,"AAAAAHfpf/o=")</f>
        <v>#REF!</v>
      </c>
      <c r="IR215" t="e">
        <f>IF(#REF!,"AAAAAHfpf/s=",0)</f>
        <v>#REF!</v>
      </c>
      <c r="IS215" t="e">
        <f>AND(#REF!,"AAAAAHfpf/w=")</f>
        <v>#REF!</v>
      </c>
      <c r="IT215" t="e">
        <f>AND(#REF!,"AAAAAHfpf/0=")</f>
        <v>#REF!</v>
      </c>
      <c r="IU215" t="e">
        <f>AND(#REF!,"AAAAAHfpf/4=")</f>
        <v>#REF!</v>
      </c>
      <c r="IV215" t="e">
        <f>AND(#REF!,"AAAAAHfpf/8=")</f>
        <v>#REF!</v>
      </c>
    </row>
    <row r="216" spans="1:256">
      <c r="A216" t="e">
        <f>AND(#REF!,"AAAAAHr/3wA=")</f>
        <v>#REF!</v>
      </c>
      <c r="B216" t="e">
        <f>AND(#REF!,"AAAAAHr/3wE=")</f>
        <v>#REF!</v>
      </c>
      <c r="C216" t="e">
        <f>AND(#REF!,"AAAAAHr/3wI=")</f>
        <v>#REF!</v>
      </c>
      <c r="D216" t="e">
        <f>AND(#REF!,"AAAAAHr/3wM=")</f>
        <v>#REF!</v>
      </c>
      <c r="E216" t="e">
        <f>AND(#REF!,"AAAAAHr/3wQ=")</f>
        <v>#REF!</v>
      </c>
      <c r="F216" t="e">
        <f>AND(#REF!,"AAAAAHr/3wU=")</f>
        <v>#REF!</v>
      </c>
      <c r="G216" t="e">
        <f>AND(#REF!,"AAAAAHr/3wY=")</f>
        <v>#REF!</v>
      </c>
      <c r="H216" t="e">
        <f>AND(#REF!,"AAAAAHr/3wc=")</f>
        <v>#REF!</v>
      </c>
      <c r="I216" t="e">
        <f>AND(#REF!,"AAAAAHr/3wg=")</f>
        <v>#REF!</v>
      </c>
      <c r="J216" t="e">
        <f>AND(#REF!,"AAAAAHr/3wk=")</f>
        <v>#REF!</v>
      </c>
      <c r="K216" t="e">
        <f>AND(#REF!,"AAAAAHr/3wo=")</f>
        <v>#REF!</v>
      </c>
      <c r="L216" t="e">
        <f>AND(#REF!,"AAAAAHr/3ws=")</f>
        <v>#REF!</v>
      </c>
      <c r="M216" t="e">
        <f>AND(#REF!,"AAAAAHr/3ww=")</f>
        <v>#REF!</v>
      </c>
      <c r="N216" t="e">
        <f>AND(#REF!,"AAAAAHr/3w0=")</f>
        <v>#REF!</v>
      </c>
      <c r="O216" t="e">
        <f>AND(#REF!,"AAAAAHr/3w4=")</f>
        <v>#REF!</v>
      </c>
      <c r="P216" t="e">
        <f>AND(#REF!,"AAAAAHr/3w8=")</f>
        <v>#REF!</v>
      </c>
      <c r="Q216" t="e">
        <f>AND(#REF!,"AAAAAHr/3xA=")</f>
        <v>#REF!</v>
      </c>
      <c r="R216" t="e">
        <f>AND(#REF!,"AAAAAHr/3xE=")</f>
        <v>#REF!</v>
      </c>
      <c r="S216" t="e">
        <f>AND(#REF!,"AAAAAHr/3xI=")</f>
        <v>#REF!</v>
      </c>
      <c r="T216" t="e">
        <f>AND(#REF!,"AAAAAHr/3xM=")</f>
        <v>#REF!</v>
      </c>
      <c r="U216" t="e">
        <f>IF(#REF!,"AAAAAHr/3xQ=",0)</f>
        <v>#REF!</v>
      </c>
      <c r="V216" t="e">
        <f>AND(#REF!,"AAAAAHr/3xU=")</f>
        <v>#REF!</v>
      </c>
      <c r="W216" t="e">
        <f>AND(#REF!,"AAAAAHr/3xY=")</f>
        <v>#REF!</v>
      </c>
      <c r="X216" t="e">
        <f>AND(#REF!,"AAAAAHr/3xc=")</f>
        <v>#REF!</v>
      </c>
      <c r="Y216" t="e">
        <f>AND(#REF!,"AAAAAHr/3xg=")</f>
        <v>#REF!</v>
      </c>
      <c r="Z216" t="e">
        <f>AND(#REF!,"AAAAAHr/3xk=")</f>
        <v>#REF!</v>
      </c>
      <c r="AA216" t="e">
        <f>AND(#REF!,"AAAAAHr/3xo=")</f>
        <v>#REF!</v>
      </c>
      <c r="AB216" t="e">
        <f>AND(#REF!,"AAAAAHr/3xs=")</f>
        <v>#REF!</v>
      </c>
      <c r="AC216" t="e">
        <f>AND(#REF!,"AAAAAHr/3xw=")</f>
        <v>#REF!</v>
      </c>
      <c r="AD216" t="e">
        <f>AND(#REF!,"AAAAAHr/3x0=")</f>
        <v>#REF!</v>
      </c>
      <c r="AE216" t="e">
        <f>AND(#REF!,"AAAAAHr/3x4=")</f>
        <v>#REF!</v>
      </c>
      <c r="AF216" t="e">
        <f>AND(#REF!,"AAAAAHr/3x8=")</f>
        <v>#REF!</v>
      </c>
      <c r="AG216" t="e">
        <f>AND(#REF!,"AAAAAHr/3yA=")</f>
        <v>#REF!</v>
      </c>
      <c r="AH216" t="e">
        <f>AND(#REF!,"AAAAAHr/3yE=")</f>
        <v>#REF!</v>
      </c>
      <c r="AI216" t="e">
        <f>AND(#REF!,"AAAAAHr/3yI=")</f>
        <v>#REF!</v>
      </c>
      <c r="AJ216" t="e">
        <f>AND(#REF!,"AAAAAHr/3yM=")</f>
        <v>#REF!</v>
      </c>
      <c r="AK216" t="e">
        <f>AND(#REF!,"AAAAAHr/3yQ=")</f>
        <v>#REF!</v>
      </c>
      <c r="AL216" t="e">
        <f>AND(#REF!,"AAAAAHr/3yU=")</f>
        <v>#REF!</v>
      </c>
      <c r="AM216" t="e">
        <f>AND(#REF!,"AAAAAHr/3yY=")</f>
        <v>#REF!</v>
      </c>
      <c r="AN216" t="e">
        <f>AND(#REF!,"AAAAAHr/3yc=")</f>
        <v>#REF!</v>
      </c>
      <c r="AO216" t="e">
        <f>AND(#REF!,"AAAAAHr/3yg=")</f>
        <v>#REF!</v>
      </c>
      <c r="AP216" t="e">
        <f>AND(#REF!,"AAAAAHr/3yk=")</f>
        <v>#REF!</v>
      </c>
      <c r="AQ216" t="e">
        <f>AND(#REF!,"AAAAAHr/3yo=")</f>
        <v>#REF!</v>
      </c>
      <c r="AR216" t="e">
        <f>AND(#REF!,"AAAAAHr/3ys=")</f>
        <v>#REF!</v>
      </c>
      <c r="AS216" t="e">
        <f>AND(#REF!,"AAAAAHr/3yw=")</f>
        <v>#REF!</v>
      </c>
      <c r="AT216" t="e">
        <f>IF(#REF!,"AAAAAHr/3y0=",0)</f>
        <v>#REF!</v>
      </c>
      <c r="AU216" t="e">
        <f>AND(#REF!,"AAAAAHr/3y4=")</f>
        <v>#REF!</v>
      </c>
      <c r="AV216" t="e">
        <f>AND(#REF!,"AAAAAHr/3y8=")</f>
        <v>#REF!</v>
      </c>
      <c r="AW216" t="e">
        <f>AND(#REF!,"AAAAAHr/3zA=")</f>
        <v>#REF!</v>
      </c>
      <c r="AX216" t="e">
        <f>AND(#REF!,"AAAAAHr/3zE=")</f>
        <v>#REF!</v>
      </c>
      <c r="AY216" t="e">
        <f>AND(#REF!,"AAAAAHr/3zI=")</f>
        <v>#REF!</v>
      </c>
      <c r="AZ216" t="e">
        <f>AND(#REF!,"AAAAAHr/3zM=")</f>
        <v>#REF!</v>
      </c>
      <c r="BA216" t="e">
        <f>AND(#REF!,"AAAAAHr/3zQ=")</f>
        <v>#REF!</v>
      </c>
      <c r="BB216" t="e">
        <f>AND(#REF!,"AAAAAHr/3zU=")</f>
        <v>#REF!</v>
      </c>
      <c r="BC216" t="e">
        <f>AND(#REF!,"AAAAAHr/3zY=")</f>
        <v>#REF!</v>
      </c>
      <c r="BD216" t="e">
        <f>AND(#REF!,"AAAAAHr/3zc=")</f>
        <v>#REF!</v>
      </c>
      <c r="BE216" t="e">
        <f>AND(#REF!,"AAAAAHr/3zg=")</f>
        <v>#REF!</v>
      </c>
      <c r="BF216" t="e">
        <f>AND(#REF!,"AAAAAHr/3zk=")</f>
        <v>#REF!</v>
      </c>
      <c r="BG216" t="e">
        <f>AND(#REF!,"AAAAAHr/3zo=")</f>
        <v>#REF!</v>
      </c>
      <c r="BH216" t="e">
        <f>AND(#REF!,"AAAAAHr/3zs=")</f>
        <v>#REF!</v>
      </c>
      <c r="BI216" t="e">
        <f>AND(#REF!,"AAAAAHr/3zw=")</f>
        <v>#REF!</v>
      </c>
      <c r="BJ216" t="e">
        <f>AND(#REF!,"AAAAAHr/3z0=")</f>
        <v>#REF!</v>
      </c>
      <c r="BK216" t="e">
        <f>AND(#REF!,"AAAAAHr/3z4=")</f>
        <v>#REF!</v>
      </c>
      <c r="BL216" t="e">
        <f>AND(#REF!,"AAAAAHr/3z8=")</f>
        <v>#REF!</v>
      </c>
      <c r="BM216" t="e">
        <f>AND(#REF!,"AAAAAHr/30A=")</f>
        <v>#REF!</v>
      </c>
      <c r="BN216" t="e">
        <f>AND(#REF!,"AAAAAHr/30E=")</f>
        <v>#REF!</v>
      </c>
      <c r="BO216" t="e">
        <f>AND(#REF!,"AAAAAHr/30I=")</f>
        <v>#REF!</v>
      </c>
      <c r="BP216" t="e">
        <f>AND(#REF!,"AAAAAHr/30M=")</f>
        <v>#REF!</v>
      </c>
      <c r="BQ216" t="e">
        <f>AND(#REF!,"AAAAAHr/30Q=")</f>
        <v>#REF!</v>
      </c>
      <c r="BR216" t="e">
        <f>AND(#REF!,"AAAAAHr/30U=")</f>
        <v>#REF!</v>
      </c>
      <c r="BS216" t="e">
        <f>IF(#REF!,"AAAAAHr/30Y=",0)</f>
        <v>#REF!</v>
      </c>
      <c r="BT216" t="e">
        <f>AND(#REF!,"AAAAAHr/30c=")</f>
        <v>#REF!</v>
      </c>
      <c r="BU216" t="e">
        <f>AND(#REF!,"AAAAAHr/30g=")</f>
        <v>#REF!</v>
      </c>
      <c r="BV216" t="e">
        <f>AND(#REF!,"AAAAAHr/30k=")</f>
        <v>#REF!</v>
      </c>
      <c r="BW216" t="e">
        <f>AND(#REF!,"AAAAAHr/30o=")</f>
        <v>#REF!</v>
      </c>
      <c r="BX216" t="e">
        <f>AND(#REF!,"AAAAAHr/30s=")</f>
        <v>#REF!</v>
      </c>
      <c r="BY216" t="e">
        <f>AND(#REF!,"AAAAAHr/30w=")</f>
        <v>#REF!</v>
      </c>
      <c r="BZ216" t="e">
        <f>AND(#REF!,"AAAAAHr/300=")</f>
        <v>#REF!</v>
      </c>
      <c r="CA216" t="e">
        <f>AND(#REF!,"AAAAAHr/304=")</f>
        <v>#REF!</v>
      </c>
      <c r="CB216" t="e">
        <f>AND(#REF!,"AAAAAHr/308=")</f>
        <v>#REF!</v>
      </c>
      <c r="CC216" t="e">
        <f>AND(#REF!,"AAAAAHr/31A=")</f>
        <v>#REF!</v>
      </c>
      <c r="CD216" t="e">
        <f>AND(#REF!,"AAAAAHr/31E=")</f>
        <v>#REF!</v>
      </c>
      <c r="CE216" t="e">
        <f>AND(#REF!,"AAAAAHr/31I=")</f>
        <v>#REF!</v>
      </c>
      <c r="CF216" t="e">
        <f>AND(#REF!,"AAAAAHr/31M=")</f>
        <v>#REF!</v>
      </c>
      <c r="CG216" t="e">
        <f>AND(#REF!,"AAAAAHr/31Q=")</f>
        <v>#REF!</v>
      </c>
      <c r="CH216" t="e">
        <f>AND(#REF!,"AAAAAHr/31U=")</f>
        <v>#REF!</v>
      </c>
      <c r="CI216" t="e">
        <f>AND(#REF!,"AAAAAHr/31Y=")</f>
        <v>#REF!</v>
      </c>
      <c r="CJ216" t="e">
        <f>AND(#REF!,"AAAAAHr/31c=")</f>
        <v>#REF!</v>
      </c>
      <c r="CK216" t="e">
        <f>AND(#REF!,"AAAAAHr/31g=")</f>
        <v>#REF!</v>
      </c>
      <c r="CL216" t="e">
        <f>AND(#REF!,"AAAAAHr/31k=")</f>
        <v>#REF!</v>
      </c>
      <c r="CM216" t="e">
        <f>AND(#REF!,"AAAAAHr/31o=")</f>
        <v>#REF!</v>
      </c>
      <c r="CN216" t="e">
        <f>AND(#REF!,"AAAAAHr/31s=")</f>
        <v>#REF!</v>
      </c>
      <c r="CO216" t="e">
        <f>AND(#REF!,"AAAAAHr/31w=")</f>
        <v>#REF!</v>
      </c>
      <c r="CP216" t="e">
        <f>AND(#REF!,"AAAAAHr/310=")</f>
        <v>#REF!</v>
      </c>
      <c r="CQ216" t="e">
        <f>AND(#REF!,"AAAAAHr/314=")</f>
        <v>#REF!</v>
      </c>
      <c r="CR216" t="e">
        <f>IF(#REF!,"AAAAAHr/318=",0)</f>
        <v>#REF!</v>
      </c>
      <c r="CS216" t="e">
        <f>AND(#REF!,"AAAAAHr/32A=")</f>
        <v>#REF!</v>
      </c>
      <c r="CT216" t="e">
        <f>AND(#REF!,"AAAAAHr/32E=")</f>
        <v>#REF!</v>
      </c>
      <c r="CU216" t="e">
        <f>AND(#REF!,"AAAAAHr/32I=")</f>
        <v>#REF!</v>
      </c>
      <c r="CV216" t="e">
        <f>AND(#REF!,"AAAAAHr/32M=")</f>
        <v>#REF!</v>
      </c>
      <c r="CW216" t="e">
        <f>AND(#REF!,"AAAAAHr/32Q=")</f>
        <v>#REF!</v>
      </c>
      <c r="CX216" t="e">
        <f>AND(#REF!,"AAAAAHr/32U=")</f>
        <v>#REF!</v>
      </c>
      <c r="CY216" t="e">
        <f>AND(#REF!,"AAAAAHr/32Y=")</f>
        <v>#REF!</v>
      </c>
      <c r="CZ216" t="e">
        <f>AND(#REF!,"AAAAAHr/32c=")</f>
        <v>#REF!</v>
      </c>
      <c r="DA216" t="e">
        <f>AND(#REF!,"AAAAAHr/32g=")</f>
        <v>#REF!</v>
      </c>
      <c r="DB216" t="e">
        <f>AND(#REF!,"AAAAAHr/32k=")</f>
        <v>#REF!</v>
      </c>
      <c r="DC216" t="e">
        <f>AND(#REF!,"AAAAAHr/32o=")</f>
        <v>#REF!</v>
      </c>
      <c r="DD216" t="e">
        <f>AND(#REF!,"AAAAAHr/32s=")</f>
        <v>#REF!</v>
      </c>
      <c r="DE216" t="e">
        <f>AND(#REF!,"AAAAAHr/32w=")</f>
        <v>#REF!</v>
      </c>
      <c r="DF216" t="e">
        <f>AND(#REF!,"AAAAAHr/320=")</f>
        <v>#REF!</v>
      </c>
      <c r="DG216" t="e">
        <f>AND(#REF!,"AAAAAHr/324=")</f>
        <v>#REF!</v>
      </c>
      <c r="DH216" t="e">
        <f>AND(#REF!,"AAAAAHr/328=")</f>
        <v>#REF!</v>
      </c>
      <c r="DI216" t="e">
        <f>AND(#REF!,"AAAAAHr/33A=")</f>
        <v>#REF!</v>
      </c>
      <c r="DJ216" t="e">
        <f>AND(#REF!,"AAAAAHr/33E=")</f>
        <v>#REF!</v>
      </c>
      <c r="DK216" t="e">
        <f>AND(#REF!,"AAAAAHr/33I=")</f>
        <v>#REF!</v>
      </c>
      <c r="DL216" t="e">
        <f>AND(#REF!,"AAAAAHr/33M=")</f>
        <v>#REF!</v>
      </c>
      <c r="DM216" t="e">
        <f>AND(#REF!,"AAAAAHr/33Q=")</f>
        <v>#REF!</v>
      </c>
      <c r="DN216" t="e">
        <f>AND(#REF!,"AAAAAHr/33U=")</f>
        <v>#REF!</v>
      </c>
      <c r="DO216" t="e">
        <f>AND(#REF!,"AAAAAHr/33Y=")</f>
        <v>#REF!</v>
      </c>
      <c r="DP216" t="e">
        <f>AND(#REF!,"AAAAAHr/33c=")</f>
        <v>#REF!</v>
      </c>
      <c r="DQ216" t="e">
        <f>IF(#REF!,"AAAAAHr/33g=",0)</f>
        <v>#REF!</v>
      </c>
      <c r="DR216" t="e">
        <f>AND(#REF!,"AAAAAHr/33k=")</f>
        <v>#REF!</v>
      </c>
      <c r="DS216" t="e">
        <f>AND(#REF!,"AAAAAHr/33o=")</f>
        <v>#REF!</v>
      </c>
      <c r="DT216" t="e">
        <f>AND(#REF!,"AAAAAHr/33s=")</f>
        <v>#REF!</v>
      </c>
      <c r="DU216" t="e">
        <f>AND(#REF!,"AAAAAHr/33w=")</f>
        <v>#REF!</v>
      </c>
      <c r="DV216" t="e">
        <f>AND(#REF!,"AAAAAHr/330=")</f>
        <v>#REF!</v>
      </c>
      <c r="DW216" t="e">
        <f>AND(#REF!,"AAAAAHr/334=")</f>
        <v>#REF!</v>
      </c>
      <c r="DX216" t="e">
        <f>AND(#REF!,"AAAAAHr/338=")</f>
        <v>#REF!</v>
      </c>
      <c r="DY216" t="e">
        <f>AND(#REF!,"AAAAAHr/34A=")</f>
        <v>#REF!</v>
      </c>
      <c r="DZ216" t="e">
        <f>AND(#REF!,"AAAAAHr/34E=")</f>
        <v>#REF!</v>
      </c>
      <c r="EA216" t="e">
        <f>AND(#REF!,"AAAAAHr/34I=")</f>
        <v>#REF!</v>
      </c>
      <c r="EB216" t="e">
        <f>AND(#REF!,"AAAAAHr/34M=")</f>
        <v>#REF!</v>
      </c>
      <c r="EC216" t="e">
        <f>AND(#REF!,"AAAAAHr/34Q=")</f>
        <v>#REF!</v>
      </c>
      <c r="ED216" t="e">
        <f>AND(#REF!,"AAAAAHr/34U=")</f>
        <v>#REF!</v>
      </c>
      <c r="EE216" t="e">
        <f>AND(#REF!,"AAAAAHr/34Y=")</f>
        <v>#REF!</v>
      </c>
      <c r="EF216" t="e">
        <f>AND(#REF!,"AAAAAHr/34c=")</f>
        <v>#REF!</v>
      </c>
      <c r="EG216" t="e">
        <f>AND(#REF!,"AAAAAHr/34g=")</f>
        <v>#REF!</v>
      </c>
      <c r="EH216" t="e">
        <f>AND(#REF!,"AAAAAHr/34k=")</f>
        <v>#REF!</v>
      </c>
      <c r="EI216" t="e">
        <f>AND(#REF!,"AAAAAHr/34o=")</f>
        <v>#REF!</v>
      </c>
      <c r="EJ216" t="e">
        <f>AND(#REF!,"AAAAAHr/34s=")</f>
        <v>#REF!</v>
      </c>
      <c r="EK216" t="e">
        <f>AND(#REF!,"AAAAAHr/34w=")</f>
        <v>#REF!</v>
      </c>
      <c r="EL216" t="e">
        <f>AND(#REF!,"AAAAAHr/340=")</f>
        <v>#REF!</v>
      </c>
      <c r="EM216" t="e">
        <f>AND(#REF!,"AAAAAHr/344=")</f>
        <v>#REF!</v>
      </c>
      <c r="EN216" t="e">
        <f>AND(#REF!,"AAAAAHr/348=")</f>
        <v>#REF!</v>
      </c>
      <c r="EO216" t="e">
        <f>AND(#REF!,"AAAAAHr/35A=")</f>
        <v>#REF!</v>
      </c>
      <c r="EP216" t="e">
        <f>IF(#REF!,"AAAAAHr/35E=",0)</f>
        <v>#REF!</v>
      </c>
      <c r="EQ216" t="e">
        <f>AND(#REF!,"AAAAAHr/35I=")</f>
        <v>#REF!</v>
      </c>
      <c r="ER216" t="e">
        <f>AND(#REF!,"AAAAAHr/35M=")</f>
        <v>#REF!</v>
      </c>
      <c r="ES216" t="e">
        <f>AND(#REF!,"AAAAAHr/35Q=")</f>
        <v>#REF!</v>
      </c>
      <c r="ET216" t="e">
        <f>AND(#REF!,"AAAAAHr/35U=")</f>
        <v>#REF!</v>
      </c>
      <c r="EU216" t="e">
        <f>AND(#REF!,"AAAAAHr/35Y=")</f>
        <v>#REF!</v>
      </c>
      <c r="EV216" t="e">
        <f>AND(#REF!,"AAAAAHr/35c=")</f>
        <v>#REF!</v>
      </c>
      <c r="EW216" t="e">
        <f>AND(#REF!,"AAAAAHr/35g=")</f>
        <v>#REF!</v>
      </c>
      <c r="EX216" t="e">
        <f>AND(#REF!,"AAAAAHr/35k=")</f>
        <v>#REF!</v>
      </c>
      <c r="EY216" t="e">
        <f>AND(#REF!,"AAAAAHr/35o=")</f>
        <v>#REF!</v>
      </c>
      <c r="EZ216" t="e">
        <f>AND(#REF!,"AAAAAHr/35s=")</f>
        <v>#REF!</v>
      </c>
      <c r="FA216" t="e">
        <f>AND(#REF!,"AAAAAHr/35w=")</f>
        <v>#REF!</v>
      </c>
      <c r="FB216" t="e">
        <f>AND(#REF!,"AAAAAHr/350=")</f>
        <v>#REF!</v>
      </c>
      <c r="FC216" t="e">
        <f>AND(#REF!,"AAAAAHr/354=")</f>
        <v>#REF!</v>
      </c>
      <c r="FD216" t="e">
        <f>AND(#REF!,"AAAAAHr/358=")</f>
        <v>#REF!</v>
      </c>
      <c r="FE216" t="e">
        <f>AND(#REF!,"AAAAAHr/36A=")</f>
        <v>#REF!</v>
      </c>
      <c r="FF216" t="e">
        <f>AND(#REF!,"AAAAAHr/36E=")</f>
        <v>#REF!</v>
      </c>
      <c r="FG216" t="e">
        <f>AND(#REF!,"AAAAAHr/36I=")</f>
        <v>#REF!</v>
      </c>
      <c r="FH216" t="e">
        <f>AND(#REF!,"AAAAAHr/36M=")</f>
        <v>#REF!</v>
      </c>
      <c r="FI216" t="e">
        <f>AND(#REF!,"AAAAAHr/36Q=")</f>
        <v>#REF!</v>
      </c>
      <c r="FJ216" t="e">
        <f>AND(#REF!,"AAAAAHr/36U=")</f>
        <v>#REF!</v>
      </c>
      <c r="FK216" t="e">
        <f>AND(#REF!,"AAAAAHr/36Y=")</f>
        <v>#REF!</v>
      </c>
      <c r="FL216" t="e">
        <f>AND(#REF!,"AAAAAHr/36c=")</f>
        <v>#REF!</v>
      </c>
      <c r="FM216" t="e">
        <f>AND(#REF!,"AAAAAHr/36g=")</f>
        <v>#REF!</v>
      </c>
      <c r="FN216" t="e">
        <f>AND(#REF!,"AAAAAHr/36k=")</f>
        <v>#REF!</v>
      </c>
      <c r="FO216" t="e">
        <f>IF(#REF!,"AAAAAHr/36o=",0)</f>
        <v>#REF!</v>
      </c>
      <c r="FP216" t="e">
        <f>AND(#REF!,"AAAAAHr/36s=")</f>
        <v>#REF!</v>
      </c>
      <c r="FQ216" t="e">
        <f>AND(#REF!,"AAAAAHr/36w=")</f>
        <v>#REF!</v>
      </c>
      <c r="FR216" t="e">
        <f>AND(#REF!,"AAAAAHr/360=")</f>
        <v>#REF!</v>
      </c>
      <c r="FS216" t="e">
        <f>AND(#REF!,"AAAAAHr/364=")</f>
        <v>#REF!</v>
      </c>
      <c r="FT216" t="e">
        <f>AND(#REF!,"AAAAAHr/368=")</f>
        <v>#REF!</v>
      </c>
      <c r="FU216" t="e">
        <f>AND(#REF!,"AAAAAHr/37A=")</f>
        <v>#REF!</v>
      </c>
      <c r="FV216" t="e">
        <f>AND(#REF!,"AAAAAHr/37E=")</f>
        <v>#REF!</v>
      </c>
      <c r="FW216" t="e">
        <f>AND(#REF!,"AAAAAHr/37I=")</f>
        <v>#REF!</v>
      </c>
      <c r="FX216" t="e">
        <f>AND(#REF!,"AAAAAHr/37M=")</f>
        <v>#REF!</v>
      </c>
      <c r="FY216" t="e">
        <f>AND(#REF!,"AAAAAHr/37Q=")</f>
        <v>#REF!</v>
      </c>
      <c r="FZ216" t="e">
        <f>AND(#REF!,"AAAAAHr/37U=")</f>
        <v>#REF!</v>
      </c>
      <c r="GA216" t="e">
        <f>AND(#REF!,"AAAAAHr/37Y=")</f>
        <v>#REF!</v>
      </c>
      <c r="GB216" t="e">
        <f>AND(#REF!,"AAAAAHr/37c=")</f>
        <v>#REF!</v>
      </c>
      <c r="GC216" t="e">
        <f>AND(#REF!,"AAAAAHr/37g=")</f>
        <v>#REF!</v>
      </c>
      <c r="GD216" t="e">
        <f>AND(#REF!,"AAAAAHr/37k=")</f>
        <v>#REF!</v>
      </c>
      <c r="GE216" t="e">
        <f>AND(#REF!,"AAAAAHr/37o=")</f>
        <v>#REF!</v>
      </c>
      <c r="GF216" t="e">
        <f>AND(#REF!,"AAAAAHr/37s=")</f>
        <v>#REF!</v>
      </c>
      <c r="GG216" t="e">
        <f>AND(#REF!,"AAAAAHr/37w=")</f>
        <v>#REF!</v>
      </c>
      <c r="GH216" t="e">
        <f>AND(#REF!,"AAAAAHr/370=")</f>
        <v>#REF!</v>
      </c>
      <c r="GI216" t="e">
        <f>AND(#REF!,"AAAAAHr/374=")</f>
        <v>#REF!</v>
      </c>
      <c r="GJ216" t="e">
        <f>AND(#REF!,"AAAAAHr/378=")</f>
        <v>#REF!</v>
      </c>
      <c r="GK216" t="e">
        <f>AND(#REF!,"AAAAAHr/38A=")</f>
        <v>#REF!</v>
      </c>
      <c r="GL216" t="e">
        <f>AND(#REF!,"AAAAAHr/38E=")</f>
        <v>#REF!</v>
      </c>
      <c r="GM216" t="e">
        <f>AND(#REF!,"AAAAAHr/38I=")</f>
        <v>#REF!</v>
      </c>
      <c r="GN216" t="e">
        <f>IF(#REF!,"AAAAAHr/38M=",0)</f>
        <v>#REF!</v>
      </c>
      <c r="GO216" t="e">
        <f>AND(#REF!,"AAAAAHr/38Q=")</f>
        <v>#REF!</v>
      </c>
      <c r="GP216" t="e">
        <f>AND(#REF!,"AAAAAHr/38U=")</f>
        <v>#REF!</v>
      </c>
      <c r="GQ216" t="e">
        <f>AND(#REF!,"AAAAAHr/38Y=")</f>
        <v>#REF!</v>
      </c>
      <c r="GR216" t="e">
        <f>AND(#REF!,"AAAAAHr/38c=")</f>
        <v>#REF!</v>
      </c>
      <c r="GS216" t="e">
        <f>AND(#REF!,"AAAAAHr/38g=")</f>
        <v>#REF!</v>
      </c>
      <c r="GT216" t="e">
        <f>AND(#REF!,"AAAAAHr/38k=")</f>
        <v>#REF!</v>
      </c>
      <c r="GU216" t="e">
        <f>AND(#REF!,"AAAAAHr/38o=")</f>
        <v>#REF!</v>
      </c>
      <c r="GV216" t="e">
        <f>AND(#REF!,"AAAAAHr/38s=")</f>
        <v>#REF!</v>
      </c>
      <c r="GW216" t="e">
        <f>AND(#REF!,"AAAAAHr/38w=")</f>
        <v>#REF!</v>
      </c>
      <c r="GX216" t="e">
        <f>AND(#REF!,"AAAAAHr/380=")</f>
        <v>#REF!</v>
      </c>
      <c r="GY216" t="e">
        <f>AND(#REF!,"AAAAAHr/384=")</f>
        <v>#REF!</v>
      </c>
      <c r="GZ216" t="e">
        <f>AND(#REF!,"AAAAAHr/388=")</f>
        <v>#REF!</v>
      </c>
      <c r="HA216" t="e">
        <f>AND(#REF!,"AAAAAHr/39A=")</f>
        <v>#REF!</v>
      </c>
      <c r="HB216" t="e">
        <f>AND(#REF!,"AAAAAHr/39E=")</f>
        <v>#REF!</v>
      </c>
      <c r="HC216" t="e">
        <f>AND(#REF!,"AAAAAHr/39I=")</f>
        <v>#REF!</v>
      </c>
      <c r="HD216" t="e">
        <f>AND(#REF!,"AAAAAHr/39M=")</f>
        <v>#REF!</v>
      </c>
      <c r="HE216" t="e">
        <f>AND(#REF!,"AAAAAHr/39Q=")</f>
        <v>#REF!</v>
      </c>
      <c r="HF216" t="e">
        <f>AND(#REF!,"AAAAAHr/39U=")</f>
        <v>#REF!</v>
      </c>
      <c r="HG216" t="e">
        <f>AND(#REF!,"AAAAAHr/39Y=")</f>
        <v>#REF!</v>
      </c>
      <c r="HH216" t="e">
        <f>AND(#REF!,"AAAAAHr/39c=")</f>
        <v>#REF!</v>
      </c>
      <c r="HI216" t="e">
        <f>AND(#REF!,"AAAAAHr/39g=")</f>
        <v>#REF!</v>
      </c>
      <c r="HJ216" t="e">
        <f>AND(#REF!,"AAAAAHr/39k=")</f>
        <v>#REF!</v>
      </c>
      <c r="HK216" t="e">
        <f>AND(#REF!,"AAAAAHr/39o=")</f>
        <v>#REF!</v>
      </c>
      <c r="HL216" t="e">
        <f>AND(#REF!,"AAAAAHr/39s=")</f>
        <v>#REF!</v>
      </c>
      <c r="HM216" t="e">
        <f>IF(#REF!,"AAAAAHr/39w=",0)</f>
        <v>#REF!</v>
      </c>
      <c r="HN216" t="e">
        <f>AND(#REF!,"AAAAAHr/390=")</f>
        <v>#REF!</v>
      </c>
      <c r="HO216" t="e">
        <f>AND(#REF!,"AAAAAHr/394=")</f>
        <v>#REF!</v>
      </c>
      <c r="HP216" t="e">
        <f>AND(#REF!,"AAAAAHr/398=")</f>
        <v>#REF!</v>
      </c>
      <c r="HQ216" t="e">
        <f>AND(#REF!,"AAAAAHr/3+A=")</f>
        <v>#REF!</v>
      </c>
      <c r="HR216" t="e">
        <f>AND(#REF!,"AAAAAHr/3+E=")</f>
        <v>#REF!</v>
      </c>
      <c r="HS216" t="e">
        <f>AND(#REF!,"AAAAAHr/3+I=")</f>
        <v>#REF!</v>
      </c>
      <c r="HT216" t="e">
        <f>AND(#REF!,"AAAAAHr/3+M=")</f>
        <v>#REF!</v>
      </c>
      <c r="HU216" t="e">
        <f>AND(#REF!,"AAAAAHr/3+Q=")</f>
        <v>#REF!</v>
      </c>
      <c r="HV216" t="e">
        <f>AND(#REF!,"AAAAAHr/3+U=")</f>
        <v>#REF!</v>
      </c>
      <c r="HW216" t="e">
        <f>AND(#REF!,"AAAAAHr/3+Y=")</f>
        <v>#REF!</v>
      </c>
      <c r="HX216" t="e">
        <f>AND(#REF!,"AAAAAHr/3+c=")</f>
        <v>#REF!</v>
      </c>
      <c r="HY216" t="e">
        <f>AND(#REF!,"AAAAAHr/3+g=")</f>
        <v>#REF!</v>
      </c>
      <c r="HZ216" t="e">
        <f>AND(#REF!,"AAAAAHr/3+k=")</f>
        <v>#REF!</v>
      </c>
      <c r="IA216" t="e">
        <f>AND(#REF!,"AAAAAHr/3+o=")</f>
        <v>#REF!</v>
      </c>
      <c r="IB216" t="e">
        <f>AND(#REF!,"AAAAAHr/3+s=")</f>
        <v>#REF!</v>
      </c>
      <c r="IC216" t="e">
        <f>AND(#REF!,"AAAAAHr/3+w=")</f>
        <v>#REF!</v>
      </c>
      <c r="ID216" t="e">
        <f>AND(#REF!,"AAAAAHr/3+0=")</f>
        <v>#REF!</v>
      </c>
      <c r="IE216" t="e">
        <f>AND(#REF!,"AAAAAHr/3+4=")</f>
        <v>#REF!</v>
      </c>
      <c r="IF216" t="e">
        <f>AND(#REF!,"AAAAAHr/3+8=")</f>
        <v>#REF!</v>
      </c>
      <c r="IG216" t="e">
        <f>AND(#REF!,"AAAAAHr/3/A=")</f>
        <v>#REF!</v>
      </c>
      <c r="IH216" t="e">
        <f>AND(#REF!,"AAAAAHr/3/E=")</f>
        <v>#REF!</v>
      </c>
      <c r="II216" t="e">
        <f>AND(#REF!,"AAAAAHr/3/I=")</f>
        <v>#REF!</v>
      </c>
      <c r="IJ216" t="e">
        <f>AND(#REF!,"AAAAAHr/3/M=")</f>
        <v>#REF!</v>
      </c>
      <c r="IK216" t="e">
        <f>AND(#REF!,"AAAAAHr/3/Q=")</f>
        <v>#REF!</v>
      </c>
      <c r="IL216" t="e">
        <f>IF(#REF!,"AAAAAHr/3/U=",0)</f>
        <v>#REF!</v>
      </c>
      <c r="IM216" t="e">
        <f>AND(#REF!,"AAAAAHr/3/Y=")</f>
        <v>#REF!</v>
      </c>
      <c r="IN216" t="e">
        <f>AND(#REF!,"AAAAAHr/3/c=")</f>
        <v>#REF!</v>
      </c>
      <c r="IO216" t="e">
        <f>AND(#REF!,"AAAAAHr/3/g=")</f>
        <v>#REF!</v>
      </c>
      <c r="IP216" t="e">
        <f>AND(#REF!,"AAAAAHr/3/k=")</f>
        <v>#REF!</v>
      </c>
      <c r="IQ216" t="e">
        <f>AND(#REF!,"AAAAAHr/3/o=")</f>
        <v>#REF!</v>
      </c>
      <c r="IR216" t="e">
        <f>AND(#REF!,"AAAAAHr/3/s=")</f>
        <v>#REF!</v>
      </c>
      <c r="IS216" t="e">
        <f>AND(#REF!,"AAAAAHr/3/w=")</f>
        <v>#REF!</v>
      </c>
      <c r="IT216" t="e">
        <f>AND(#REF!,"AAAAAHr/3/0=")</f>
        <v>#REF!</v>
      </c>
      <c r="IU216" t="e">
        <f>AND(#REF!,"AAAAAHr/3/4=")</f>
        <v>#REF!</v>
      </c>
      <c r="IV216" t="e">
        <f>AND(#REF!,"AAAAAHr/3/8=")</f>
        <v>#REF!</v>
      </c>
    </row>
    <row r="217" spans="1:256">
      <c r="A217" t="e">
        <f>AND(#REF!,"AAAAAHG7/QA=")</f>
        <v>#REF!</v>
      </c>
      <c r="B217" t="e">
        <f>AND(#REF!,"AAAAAHG7/QE=")</f>
        <v>#REF!</v>
      </c>
      <c r="C217" t="e">
        <f>AND(#REF!,"AAAAAHG7/QI=")</f>
        <v>#REF!</v>
      </c>
      <c r="D217" t="e">
        <f>AND(#REF!,"AAAAAHG7/QM=")</f>
        <v>#REF!</v>
      </c>
      <c r="E217" t="e">
        <f>AND(#REF!,"AAAAAHG7/QQ=")</f>
        <v>#REF!</v>
      </c>
      <c r="F217" t="e">
        <f>AND(#REF!,"AAAAAHG7/QU=")</f>
        <v>#REF!</v>
      </c>
      <c r="G217" t="e">
        <f>AND(#REF!,"AAAAAHG7/QY=")</f>
        <v>#REF!</v>
      </c>
      <c r="H217" t="e">
        <f>AND(#REF!,"AAAAAHG7/Qc=")</f>
        <v>#REF!</v>
      </c>
      <c r="I217" t="e">
        <f>AND(#REF!,"AAAAAHG7/Qg=")</f>
        <v>#REF!</v>
      </c>
      <c r="J217" t="e">
        <f>AND(#REF!,"AAAAAHG7/Qk=")</f>
        <v>#REF!</v>
      </c>
      <c r="K217" t="e">
        <f>AND(#REF!,"AAAAAHG7/Qo=")</f>
        <v>#REF!</v>
      </c>
      <c r="L217" t="e">
        <f>AND(#REF!,"AAAAAHG7/Qs=")</f>
        <v>#REF!</v>
      </c>
      <c r="M217" t="e">
        <f>AND(#REF!,"AAAAAHG7/Qw=")</f>
        <v>#REF!</v>
      </c>
      <c r="N217" t="e">
        <f>AND(#REF!,"AAAAAHG7/Q0=")</f>
        <v>#REF!</v>
      </c>
      <c r="O217" t="e">
        <f>IF(#REF!,"AAAAAHG7/Q4=",0)</f>
        <v>#REF!</v>
      </c>
      <c r="P217" t="e">
        <f>AND(#REF!,"AAAAAHG7/Q8=")</f>
        <v>#REF!</v>
      </c>
      <c r="Q217" t="e">
        <f>AND(#REF!,"AAAAAHG7/RA=")</f>
        <v>#REF!</v>
      </c>
      <c r="R217" t="e">
        <f>AND(#REF!,"AAAAAHG7/RE=")</f>
        <v>#REF!</v>
      </c>
      <c r="S217" t="e">
        <f>AND(#REF!,"AAAAAHG7/RI=")</f>
        <v>#REF!</v>
      </c>
      <c r="T217" t="e">
        <f>AND(#REF!,"AAAAAHG7/RM=")</f>
        <v>#REF!</v>
      </c>
      <c r="U217" t="e">
        <f>AND(#REF!,"AAAAAHG7/RQ=")</f>
        <v>#REF!</v>
      </c>
      <c r="V217" t="e">
        <f>AND(#REF!,"AAAAAHG7/RU=")</f>
        <v>#REF!</v>
      </c>
      <c r="W217" t="e">
        <f>AND(#REF!,"AAAAAHG7/RY=")</f>
        <v>#REF!</v>
      </c>
      <c r="X217" t="e">
        <f>AND(#REF!,"AAAAAHG7/Rc=")</f>
        <v>#REF!</v>
      </c>
      <c r="Y217" t="e">
        <f>AND(#REF!,"AAAAAHG7/Rg=")</f>
        <v>#REF!</v>
      </c>
      <c r="Z217" t="e">
        <f>AND(#REF!,"AAAAAHG7/Rk=")</f>
        <v>#REF!</v>
      </c>
      <c r="AA217" t="e">
        <f>AND(#REF!,"AAAAAHG7/Ro=")</f>
        <v>#REF!</v>
      </c>
      <c r="AB217" t="e">
        <f>AND(#REF!,"AAAAAHG7/Rs=")</f>
        <v>#REF!</v>
      </c>
      <c r="AC217" t="e">
        <f>AND(#REF!,"AAAAAHG7/Rw=")</f>
        <v>#REF!</v>
      </c>
      <c r="AD217" t="e">
        <f>AND(#REF!,"AAAAAHG7/R0=")</f>
        <v>#REF!</v>
      </c>
      <c r="AE217" t="e">
        <f>AND(#REF!,"AAAAAHG7/R4=")</f>
        <v>#REF!</v>
      </c>
      <c r="AF217" t="e">
        <f>AND(#REF!,"AAAAAHG7/R8=")</f>
        <v>#REF!</v>
      </c>
      <c r="AG217" t="e">
        <f>AND(#REF!,"AAAAAHG7/SA=")</f>
        <v>#REF!</v>
      </c>
      <c r="AH217" t="e">
        <f>AND(#REF!,"AAAAAHG7/SE=")</f>
        <v>#REF!</v>
      </c>
      <c r="AI217" t="e">
        <f>AND(#REF!,"AAAAAHG7/SI=")</f>
        <v>#REF!</v>
      </c>
      <c r="AJ217" t="e">
        <f>AND(#REF!,"AAAAAHG7/SM=")</f>
        <v>#REF!</v>
      </c>
      <c r="AK217" t="e">
        <f>AND(#REF!,"AAAAAHG7/SQ=")</f>
        <v>#REF!</v>
      </c>
      <c r="AL217" t="e">
        <f>AND(#REF!,"AAAAAHG7/SU=")</f>
        <v>#REF!</v>
      </c>
      <c r="AM217" t="e">
        <f>AND(#REF!,"AAAAAHG7/SY=")</f>
        <v>#REF!</v>
      </c>
      <c r="AN217" t="e">
        <f>IF(#REF!,"AAAAAHG7/Sc=",0)</f>
        <v>#REF!</v>
      </c>
      <c r="AO217" t="e">
        <f>AND(#REF!,"AAAAAHG7/Sg=")</f>
        <v>#REF!</v>
      </c>
      <c r="AP217" t="e">
        <f>AND(#REF!,"AAAAAHG7/Sk=")</f>
        <v>#REF!</v>
      </c>
      <c r="AQ217" t="e">
        <f>AND(#REF!,"AAAAAHG7/So=")</f>
        <v>#REF!</v>
      </c>
      <c r="AR217" t="e">
        <f>AND(#REF!,"AAAAAHG7/Ss=")</f>
        <v>#REF!</v>
      </c>
      <c r="AS217" t="e">
        <f>AND(#REF!,"AAAAAHG7/Sw=")</f>
        <v>#REF!</v>
      </c>
      <c r="AT217" t="e">
        <f>AND(#REF!,"AAAAAHG7/S0=")</f>
        <v>#REF!</v>
      </c>
      <c r="AU217" t="e">
        <f>AND(#REF!,"AAAAAHG7/S4=")</f>
        <v>#REF!</v>
      </c>
      <c r="AV217" t="e">
        <f>AND(#REF!,"AAAAAHG7/S8=")</f>
        <v>#REF!</v>
      </c>
      <c r="AW217" t="e">
        <f>AND(#REF!,"AAAAAHG7/TA=")</f>
        <v>#REF!</v>
      </c>
      <c r="AX217" t="e">
        <f>AND(#REF!,"AAAAAHG7/TE=")</f>
        <v>#REF!</v>
      </c>
      <c r="AY217" t="e">
        <f>AND(#REF!,"AAAAAHG7/TI=")</f>
        <v>#REF!</v>
      </c>
      <c r="AZ217" t="e">
        <f>AND(#REF!,"AAAAAHG7/TM=")</f>
        <v>#REF!</v>
      </c>
      <c r="BA217" t="e">
        <f>AND(#REF!,"AAAAAHG7/TQ=")</f>
        <v>#REF!</v>
      </c>
      <c r="BB217" t="e">
        <f>AND(#REF!,"AAAAAHG7/TU=")</f>
        <v>#REF!</v>
      </c>
      <c r="BC217" t="e">
        <f>AND(#REF!,"AAAAAHG7/TY=")</f>
        <v>#REF!</v>
      </c>
      <c r="BD217" t="e">
        <f>AND(#REF!,"AAAAAHG7/Tc=")</f>
        <v>#REF!</v>
      </c>
      <c r="BE217" t="e">
        <f>AND(#REF!,"AAAAAHG7/Tg=")</f>
        <v>#REF!</v>
      </c>
      <c r="BF217" t="e">
        <f>AND(#REF!,"AAAAAHG7/Tk=")</f>
        <v>#REF!</v>
      </c>
      <c r="BG217" t="e">
        <f>AND(#REF!,"AAAAAHG7/To=")</f>
        <v>#REF!</v>
      </c>
      <c r="BH217" t="e">
        <f>AND(#REF!,"AAAAAHG7/Ts=")</f>
        <v>#REF!</v>
      </c>
      <c r="BI217" t="e">
        <f>AND(#REF!,"AAAAAHG7/Tw=")</f>
        <v>#REF!</v>
      </c>
      <c r="BJ217" t="e">
        <f>AND(#REF!,"AAAAAHG7/T0=")</f>
        <v>#REF!</v>
      </c>
      <c r="BK217" t="e">
        <f>AND(#REF!,"AAAAAHG7/T4=")</f>
        <v>#REF!</v>
      </c>
      <c r="BL217" t="e">
        <f>AND(#REF!,"AAAAAHG7/T8=")</f>
        <v>#REF!</v>
      </c>
      <c r="BM217" t="e">
        <f>IF(#REF!,"AAAAAHG7/UA=",0)</f>
        <v>#REF!</v>
      </c>
      <c r="BN217" t="e">
        <f>AND(#REF!,"AAAAAHG7/UE=")</f>
        <v>#REF!</v>
      </c>
      <c r="BO217" t="e">
        <f>AND(#REF!,"AAAAAHG7/UI=")</f>
        <v>#REF!</v>
      </c>
      <c r="BP217" t="e">
        <f>AND(#REF!,"AAAAAHG7/UM=")</f>
        <v>#REF!</v>
      </c>
      <c r="BQ217" t="e">
        <f>AND(#REF!,"AAAAAHG7/UQ=")</f>
        <v>#REF!</v>
      </c>
      <c r="BR217" t="e">
        <f>AND(#REF!,"AAAAAHG7/UU=")</f>
        <v>#REF!</v>
      </c>
      <c r="BS217" t="e">
        <f>AND(#REF!,"AAAAAHG7/UY=")</f>
        <v>#REF!</v>
      </c>
      <c r="BT217" t="e">
        <f>AND(#REF!,"AAAAAHG7/Uc=")</f>
        <v>#REF!</v>
      </c>
      <c r="BU217" t="e">
        <f>AND(#REF!,"AAAAAHG7/Ug=")</f>
        <v>#REF!</v>
      </c>
      <c r="BV217" t="e">
        <f>AND(#REF!,"AAAAAHG7/Uk=")</f>
        <v>#REF!</v>
      </c>
      <c r="BW217" t="e">
        <f>AND(#REF!,"AAAAAHG7/Uo=")</f>
        <v>#REF!</v>
      </c>
      <c r="BX217" t="e">
        <f>AND(#REF!,"AAAAAHG7/Us=")</f>
        <v>#REF!</v>
      </c>
      <c r="BY217" t="e">
        <f>AND(#REF!,"AAAAAHG7/Uw=")</f>
        <v>#REF!</v>
      </c>
      <c r="BZ217" t="e">
        <f>AND(#REF!,"AAAAAHG7/U0=")</f>
        <v>#REF!</v>
      </c>
      <c r="CA217" t="e">
        <f>AND(#REF!,"AAAAAHG7/U4=")</f>
        <v>#REF!</v>
      </c>
      <c r="CB217" t="e">
        <f>AND(#REF!,"AAAAAHG7/U8=")</f>
        <v>#REF!</v>
      </c>
      <c r="CC217" t="e">
        <f>AND(#REF!,"AAAAAHG7/VA=")</f>
        <v>#REF!</v>
      </c>
      <c r="CD217" t="e">
        <f>AND(#REF!,"AAAAAHG7/VE=")</f>
        <v>#REF!</v>
      </c>
      <c r="CE217" t="e">
        <f>AND(#REF!,"AAAAAHG7/VI=")</f>
        <v>#REF!</v>
      </c>
      <c r="CF217" t="e">
        <f>AND(#REF!,"AAAAAHG7/VM=")</f>
        <v>#REF!</v>
      </c>
      <c r="CG217" t="e">
        <f>AND(#REF!,"AAAAAHG7/VQ=")</f>
        <v>#REF!</v>
      </c>
      <c r="CH217" t="e">
        <f>AND(#REF!,"AAAAAHG7/VU=")</f>
        <v>#REF!</v>
      </c>
      <c r="CI217" t="e">
        <f>AND(#REF!,"AAAAAHG7/VY=")</f>
        <v>#REF!</v>
      </c>
      <c r="CJ217" t="e">
        <f>AND(#REF!,"AAAAAHG7/Vc=")</f>
        <v>#REF!</v>
      </c>
      <c r="CK217" t="e">
        <f>AND(#REF!,"AAAAAHG7/Vg=")</f>
        <v>#REF!</v>
      </c>
      <c r="CL217" t="e">
        <f>IF(#REF!,"AAAAAHG7/Vk=",0)</f>
        <v>#REF!</v>
      </c>
      <c r="CM217" t="e">
        <f>AND(#REF!,"AAAAAHG7/Vo=")</f>
        <v>#REF!</v>
      </c>
      <c r="CN217" t="e">
        <f>AND(#REF!,"AAAAAHG7/Vs=")</f>
        <v>#REF!</v>
      </c>
      <c r="CO217" t="e">
        <f>AND(#REF!,"AAAAAHG7/Vw=")</f>
        <v>#REF!</v>
      </c>
      <c r="CP217" t="e">
        <f>AND(#REF!,"AAAAAHG7/V0=")</f>
        <v>#REF!</v>
      </c>
      <c r="CQ217" t="e">
        <f>AND(#REF!,"AAAAAHG7/V4=")</f>
        <v>#REF!</v>
      </c>
      <c r="CR217" t="e">
        <f>AND(#REF!,"AAAAAHG7/V8=")</f>
        <v>#REF!</v>
      </c>
      <c r="CS217" t="e">
        <f>AND(#REF!,"AAAAAHG7/WA=")</f>
        <v>#REF!</v>
      </c>
      <c r="CT217" t="e">
        <f>AND(#REF!,"AAAAAHG7/WE=")</f>
        <v>#REF!</v>
      </c>
      <c r="CU217" t="e">
        <f>AND(#REF!,"AAAAAHG7/WI=")</f>
        <v>#REF!</v>
      </c>
      <c r="CV217" t="e">
        <f>AND(#REF!,"AAAAAHG7/WM=")</f>
        <v>#REF!</v>
      </c>
      <c r="CW217" t="e">
        <f>AND(#REF!,"AAAAAHG7/WQ=")</f>
        <v>#REF!</v>
      </c>
      <c r="CX217" t="e">
        <f>AND(#REF!,"AAAAAHG7/WU=")</f>
        <v>#REF!</v>
      </c>
      <c r="CY217" t="e">
        <f>AND(#REF!,"AAAAAHG7/WY=")</f>
        <v>#REF!</v>
      </c>
      <c r="CZ217" t="e">
        <f>AND(#REF!,"AAAAAHG7/Wc=")</f>
        <v>#REF!</v>
      </c>
      <c r="DA217" t="e">
        <f>AND(#REF!,"AAAAAHG7/Wg=")</f>
        <v>#REF!</v>
      </c>
      <c r="DB217" t="e">
        <f>AND(#REF!,"AAAAAHG7/Wk=")</f>
        <v>#REF!</v>
      </c>
      <c r="DC217" t="e">
        <f>AND(#REF!,"AAAAAHG7/Wo=")</f>
        <v>#REF!</v>
      </c>
      <c r="DD217" t="e">
        <f>AND(#REF!,"AAAAAHG7/Ws=")</f>
        <v>#REF!</v>
      </c>
      <c r="DE217" t="e">
        <f>AND(#REF!,"AAAAAHG7/Ww=")</f>
        <v>#REF!</v>
      </c>
      <c r="DF217" t="e">
        <f>AND(#REF!,"AAAAAHG7/W0=")</f>
        <v>#REF!</v>
      </c>
      <c r="DG217" t="e">
        <f>AND(#REF!,"AAAAAHG7/W4=")</f>
        <v>#REF!</v>
      </c>
      <c r="DH217" t="e">
        <f>AND(#REF!,"AAAAAHG7/W8=")</f>
        <v>#REF!</v>
      </c>
      <c r="DI217" t="e">
        <f>AND(#REF!,"AAAAAHG7/XA=")</f>
        <v>#REF!</v>
      </c>
      <c r="DJ217" t="e">
        <f>AND(#REF!,"AAAAAHG7/XE=")</f>
        <v>#REF!</v>
      </c>
      <c r="DK217" t="e">
        <f>IF(#REF!,"AAAAAHG7/XI=",0)</f>
        <v>#REF!</v>
      </c>
      <c r="DL217" t="e">
        <f>AND(#REF!,"AAAAAHG7/XM=")</f>
        <v>#REF!</v>
      </c>
      <c r="DM217" t="e">
        <f>AND(#REF!,"AAAAAHG7/XQ=")</f>
        <v>#REF!</v>
      </c>
      <c r="DN217" t="e">
        <f>AND(#REF!,"AAAAAHG7/XU=")</f>
        <v>#REF!</v>
      </c>
      <c r="DO217" t="e">
        <f>AND(#REF!,"AAAAAHG7/XY=")</f>
        <v>#REF!</v>
      </c>
      <c r="DP217" t="e">
        <f>AND(#REF!,"AAAAAHG7/Xc=")</f>
        <v>#REF!</v>
      </c>
      <c r="DQ217" t="e">
        <f>AND(#REF!,"AAAAAHG7/Xg=")</f>
        <v>#REF!</v>
      </c>
      <c r="DR217" t="e">
        <f>AND(#REF!,"AAAAAHG7/Xk=")</f>
        <v>#REF!</v>
      </c>
      <c r="DS217" t="e">
        <f>AND(#REF!,"AAAAAHG7/Xo=")</f>
        <v>#REF!</v>
      </c>
      <c r="DT217" t="e">
        <f>AND(#REF!,"AAAAAHG7/Xs=")</f>
        <v>#REF!</v>
      </c>
      <c r="DU217" t="e">
        <f>AND(#REF!,"AAAAAHG7/Xw=")</f>
        <v>#REF!</v>
      </c>
      <c r="DV217" t="e">
        <f>AND(#REF!,"AAAAAHG7/X0=")</f>
        <v>#REF!</v>
      </c>
      <c r="DW217" t="e">
        <f>AND(#REF!,"AAAAAHG7/X4=")</f>
        <v>#REF!</v>
      </c>
      <c r="DX217" t="e">
        <f>AND(#REF!,"AAAAAHG7/X8=")</f>
        <v>#REF!</v>
      </c>
      <c r="DY217" t="e">
        <f>AND(#REF!,"AAAAAHG7/YA=")</f>
        <v>#REF!</v>
      </c>
      <c r="DZ217" t="e">
        <f>AND(#REF!,"AAAAAHG7/YE=")</f>
        <v>#REF!</v>
      </c>
      <c r="EA217" t="e">
        <f>AND(#REF!,"AAAAAHG7/YI=")</f>
        <v>#REF!</v>
      </c>
      <c r="EB217" t="e">
        <f>AND(#REF!,"AAAAAHG7/YM=")</f>
        <v>#REF!</v>
      </c>
      <c r="EC217" t="e">
        <f>AND(#REF!,"AAAAAHG7/YQ=")</f>
        <v>#REF!</v>
      </c>
      <c r="ED217" t="e">
        <f>AND(#REF!,"AAAAAHG7/YU=")</f>
        <v>#REF!</v>
      </c>
      <c r="EE217" t="e">
        <f>AND(#REF!,"AAAAAHG7/YY=")</f>
        <v>#REF!</v>
      </c>
      <c r="EF217" t="e">
        <f>AND(#REF!,"AAAAAHG7/Yc=")</f>
        <v>#REF!</v>
      </c>
      <c r="EG217" t="e">
        <f>AND(#REF!,"AAAAAHG7/Yg=")</f>
        <v>#REF!</v>
      </c>
      <c r="EH217" t="e">
        <f>AND(#REF!,"AAAAAHG7/Yk=")</f>
        <v>#REF!</v>
      </c>
      <c r="EI217" t="e">
        <f>AND(#REF!,"AAAAAHG7/Yo=")</f>
        <v>#REF!</v>
      </c>
      <c r="EJ217" t="e">
        <f>IF(#REF!,"AAAAAHG7/Ys=",0)</f>
        <v>#REF!</v>
      </c>
      <c r="EK217" t="e">
        <f>AND(#REF!,"AAAAAHG7/Yw=")</f>
        <v>#REF!</v>
      </c>
      <c r="EL217" t="e">
        <f>AND(#REF!,"AAAAAHG7/Y0=")</f>
        <v>#REF!</v>
      </c>
      <c r="EM217" t="e">
        <f>AND(#REF!,"AAAAAHG7/Y4=")</f>
        <v>#REF!</v>
      </c>
      <c r="EN217" t="e">
        <f>AND(#REF!,"AAAAAHG7/Y8=")</f>
        <v>#REF!</v>
      </c>
      <c r="EO217" t="e">
        <f>AND(#REF!,"AAAAAHG7/ZA=")</f>
        <v>#REF!</v>
      </c>
      <c r="EP217" t="e">
        <f>AND(#REF!,"AAAAAHG7/ZE=")</f>
        <v>#REF!</v>
      </c>
      <c r="EQ217" t="e">
        <f>AND(#REF!,"AAAAAHG7/ZI=")</f>
        <v>#REF!</v>
      </c>
      <c r="ER217" t="e">
        <f>AND(#REF!,"AAAAAHG7/ZM=")</f>
        <v>#REF!</v>
      </c>
      <c r="ES217" t="e">
        <f>AND(#REF!,"AAAAAHG7/ZQ=")</f>
        <v>#REF!</v>
      </c>
      <c r="ET217" t="e">
        <f>AND(#REF!,"AAAAAHG7/ZU=")</f>
        <v>#REF!</v>
      </c>
      <c r="EU217" t="e">
        <f>AND(#REF!,"AAAAAHG7/ZY=")</f>
        <v>#REF!</v>
      </c>
      <c r="EV217" t="e">
        <f>AND(#REF!,"AAAAAHG7/Zc=")</f>
        <v>#REF!</v>
      </c>
      <c r="EW217" t="e">
        <f>AND(#REF!,"AAAAAHG7/Zg=")</f>
        <v>#REF!</v>
      </c>
      <c r="EX217" t="e">
        <f>AND(#REF!,"AAAAAHG7/Zk=")</f>
        <v>#REF!</v>
      </c>
      <c r="EY217" t="e">
        <f>AND(#REF!,"AAAAAHG7/Zo=")</f>
        <v>#REF!</v>
      </c>
      <c r="EZ217" t="e">
        <f>AND(#REF!,"AAAAAHG7/Zs=")</f>
        <v>#REF!</v>
      </c>
      <c r="FA217" t="e">
        <f>AND(#REF!,"AAAAAHG7/Zw=")</f>
        <v>#REF!</v>
      </c>
      <c r="FB217" t="e">
        <f>AND(#REF!,"AAAAAHG7/Z0=")</f>
        <v>#REF!</v>
      </c>
      <c r="FC217" t="e">
        <f>AND(#REF!,"AAAAAHG7/Z4=")</f>
        <v>#REF!</v>
      </c>
      <c r="FD217" t="e">
        <f>AND(#REF!,"AAAAAHG7/Z8=")</f>
        <v>#REF!</v>
      </c>
      <c r="FE217" t="e">
        <f>AND(#REF!,"AAAAAHG7/aA=")</f>
        <v>#REF!</v>
      </c>
      <c r="FF217" t="e">
        <f>AND(#REF!,"AAAAAHG7/aE=")</f>
        <v>#REF!</v>
      </c>
      <c r="FG217" t="e">
        <f>AND(#REF!,"AAAAAHG7/aI=")</f>
        <v>#REF!</v>
      </c>
      <c r="FH217" t="e">
        <f>AND(#REF!,"AAAAAHG7/aM=")</f>
        <v>#REF!</v>
      </c>
      <c r="FI217" t="e">
        <f>IF(#REF!,"AAAAAHG7/aQ=",0)</f>
        <v>#REF!</v>
      </c>
      <c r="FJ217" t="e">
        <f>AND(#REF!,"AAAAAHG7/aU=")</f>
        <v>#REF!</v>
      </c>
      <c r="FK217" t="e">
        <f>AND(#REF!,"AAAAAHG7/aY=")</f>
        <v>#REF!</v>
      </c>
      <c r="FL217" t="e">
        <f>AND(#REF!,"AAAAAHG7/ac=")</f>
        <v>#REF!</v>
      </c>
      <c r="FM217" t="e">
        <f>AND(#REF!,"AAAAAHG7/ag=")</f>
        <v>#REF!</v>
      </c>
      <c r="FN217" t="e">
        <f>AND(#REF!,"AAAAAHG7/ak=")</f>
        <v>#REF!</v>
      </c>
      <c r="FO217" t="e">
        <f>AND(#REF!,"AAAAAHG7/ao=")</f>
        <v>#REF!</v>
      </c>
      <c r="FP217" t="e">
        <f>AND(#REF!,"AAAAAHG7/as=")</f>
        <v>#REF!</v>
      </c>
      <c r="FQ217" t="e">
        <f>AND(#REF!,"AAAAAHG7/aw=")</f>
        <v>#REF!</v>
      </c>
      <c r="FR217" t="e">
        <f>AND(#REF!,"AAAAAHG7/a0=")</f>
        <v>#REF!</v>
      </c>
      <c r="FS217" t="e">
        <f>AND(#REF!,"AAAAAHG7/a4=")</f>
        <v>#REF!</v>
      </c>
      <c r="FT217" t="e">
        <f>AND(#REF!,"AAAAAHG7/a8=")</f>
        <v>#REF!</v>
      </c>
      <c r="FU217" t="e">
        <f>AND(#REF!,"AAAAAHG7/bA=")</f>
        <v>#REF!</v>
      </c>
      <c r="FV217" t="e">
        <f>AND(#REF!,"AAAAAHG7/bE=")</f>
        <v>#REF!</v>
      </c>
      <c r="FW217" t="e">
        <f>AND(#REF!,"AAAAAHG7/bI=")</f>
        <v>#REF!</v>
      </c>
      <c r="FX217" t="e">
        <f>AND(#REF!,"AAAAAHG7/bM=")</f>
        <v>#REF!</v>
      </c>
      <c r="FY217" t="e">
        <f>AND(#REF!,"AAAAAHG7/bQ=")</f>
        <v>#REF!</v>
      </c>
      <c r="FZ217" t="e">
        <f>AND(#REF!,"AAAAAHG7/bU=")</f>
        <v>#REF!</v>
      </c>
      <c r="GA217" t="e">
        <f>AND(#REF!,"AAAAAHG7/bY=")</f>
        <v>#REF!</v>
      </c>
      <c r="GB217" t="e">
        <f>AND(#REF!,"AAAAAHG7/bc=")</f>
        <v>#REF!</v>
      </c>
      <c r="GC217" t="e">
        <f>AND(#REF!,"AAAAAHG7/bg=")</f>
        <v>#REF!</v>
      </c>
      <c r="GD217" t="e">
        <f>AND(#REF!,"AAAAAHG7/bk=")</f>
        <v>#REF!</v>
      </c>
      <c r="GE217" t="e">
        <f>AND(#REF!,"AAAAAHG7/bo=")</f>
        <v>#REF!</v>
      </c>
      <c r="GF217" t="e">
        <f>AND(#REF!,"AAAAAHG7/bs=")</f>
        <v>#REF!</v>
      </c>
      <c r="GG217" t="e">
        <f>AND(#REF!,"AAAAAHG7/bw=")</f>
        <v>#REF!</v>
      </c>
      <c r="GH217" t="e">
        <f>IF(#REF!,"AAAAAHG7/b0=",0)</f>
        <v>#REF!</v>
      </c>
      <c r="GI217" t="e">
        <f>AND(#REF!,"AAAAAHG7/b4=")</f>
        <v>#REF!</v>
      </c>
      <c r="GJ217" t="e">
        <f>AND(#REF!,"AAAAAHG7/b8=")</f>
        <v>#REF!</v>
      </c>
      <c r="GK217" t="e">
        <f>AND(#REF!,"AAAAAHG7/cA=")</f>
        <v>#REF!</v>
      </c>
      <c r="GL217" t="e">
        <f>AND(#REF!,"AAAAAHG7/cE=")</f>
        <v>#REF!</v>
      </c>
      <c r="GM217" t="e">
        <f>AND(#REF!,"AAAAAHG7/cI=")</f>
        <v>#REF!</v>
      </c>
      <c r="GN217" t="e">
        <f>AND(#REF!,"AAAAAHG7/cM=")</f>
        <v>#REF!</v>
      </c>
      <c r="GO217" t="e">
        <f>AND(#REF!,"AAAAAHG7/cQ=")</f>
        <v>#REF!</v>
      </c>
      <c r="GP217" t="e">
        <f>AND(#REF!,"AAAAAHG7/cU=")</f>
        <v>#REF!</v>
      </c>
      <c r="GQ217" t="e">
        <f>AND(#REF!,"AAAAAHG7/cY=")</f>
        <v>#REF!</v>
      </c>
      <c r="GR217" t="e">
        <f>AND(#REF!,"AAAAAHG7/cc=")</f>
        <v>#REF!</v>
      </c>
      <c r="GS217" t="e">
        <f>AND(#REF!,"AAAAAHG7/cg=")</f>
        <v>#REF!</v>
      </c>
      <c r="GT217" t="e">
        <f>AND(#REF!,"AAAAAHG7/ck=")</f>
        <v>#REF!</v>
      </c>
      <c r="GU217" t="e">
        <f>AND(#REF!,"AAAAAHG7/co=")</f>
        <v>#REF!</v>
      </c>
      <c r="GV217" t="e">
        <f>AND(#REF!,"AAAAAHG7/cs=")</f>
        <v>#REF!</v>
      </c>
      <c r="GW217" t="e">
        <f>AND(#REF!,"AAAAAHG7/cw=")</f>
        <v>#REF!</v>
      </c>
      <c r="GX217" t="e">
        <f>AND(#REF!,"AAAAAHG7/c0=")</f>
        <v>#REF!</v>
      </c>
      <c r="GY217" t="e">
        <f>AND(#REF!,"AAAAAHG7/c4=")</f>
        <v>#REF!</v>
      </c>
      <c r="GZ217" t="e">
        <f>AND(#REF!,"AAAAAHG7/c8=")</f>
        <v>#REF!</v>
      </c>
      <c r="HA217" t="e">
        <f>AND(#REF!,"AAAAAHG7/dA=")</f>
        <v>#REF!</v>
      </c>
      <c r="HB217" t="e">
        <f>AND(#REF!,"AAAAAHG7/dE=")</f>
        <v>#REF!</v>
      </c>
      <c r="HC217" t="e">
        <f>AND(#REF!,"AAAAAHG7/dI=")</f>
        <v>#REF!</v>
      </c>
      <c r="HD217" t="e">
        <f>AND(#REF!,"AAAAAHG7/dM=")</f>
        <v>#REF!</v>
      </c>
      <c r="HE217" t="e">
        <f>AND(#REF!,"AAAAAHG7/dQ=")</f>
        <v>#REF!</v>
      </c>
      <c r="HF217" t="e">
        <f>AND(#REF!,"AAAAAHG7/dU=")</f>
        <v>#REF!</v>
      </c>
      <c r="HG217" t="e">
        <f>IF(#REF!,"AAAAAHG7/dY=",0)</f>
        <v>#REF!</v>
      </c>
      <c r="HH217" t="e">
        <f>AND(#REF!,"AAAAAHG7/dc=")</f>
        <v>#REF!</v>
      </c>
      <c r="HI217" t="e">
        <f>AND(#REF!,"AAAAAHG7/dg=")</f>
        <v>#REF!</v>
      </c>
      <c r="HJ217" t="e">
        <f>AND(#REF!,"AAAAAHG7/dk=")</f>
        <v>#REF!</v>
      </c>
      <c r="HK217" t="e">
        <f>AND(#REF!,"AAAAAHG7/do=")</f>
        <v>#REF!</v>
      </c>
      <c r="HL217" t="e">
        <f>AND(#REF!,"AAAAAHG7/ds=")</f>
        <v>#REF!</v>
      </c>
      <c r="HM217" t="e">
        <f>AND(#REF!,"AAAAAHG7/dw=")</f>
        <v>#REF!</v>
      </c>
      <c r="HN217" t="e">
        <f>AND(#REF!,"AAAAAHG7/d0=")</f>
        <v>#REF!</v>
      </c>
      <c r="HO217" t="e">
        <f>AND(#REF!,"AAAAAHG7/d4=")</f>
        <v>#REF!</v>
      </c>
      <c r="HP217" t="e">
        <f>AND(#REF!,"AAAAAHG7/d8=")</f>
        <v>#REF!</v>
      </c>
      <c r="HQ217" t="e">
        <f>AND(#REF!,"AAAAAHG7/eA=")</f>
        <v>#REF!</v>
      </c>
      <c r="HR217" t="e">
        <f>AND(#REF!,"AAAAAHG7/eE=")</f>
        <v>#REF!</v>
      </c>
      <c r="HS217" t="e">
        <f>AND(#REF!,"AAAAAHG7/eI=")</f>
        <v>#REF!</v>
      </c>
      <c r="HT217" t="e">
        <f>AND(#REF!,"AAAAAHG7/eM=")</f>
        <v>#REF!</v>
      </c>
      <c r="HU217" t="e">
        <f>AND(#REF!,"AAAAAHG7/eQ=")</f>
        <v>#REF!</v>
      </c>
      <c r="HV217" t="e">
        <f>AND(#REF!,"AAAAAHG7/eU=")</f>
        <v>#REF!</v>
      </c>
      <c r="HW217" t="e">
        <f>AND(#REF!,"AAAAAHG7/eY=")</f>
        <v>#REF!</v>
      </c>
      <c r="HX217" t="e">
        <f>AND(#REF!,"AAAAAHG7/ec=")</f>
        <v>#REF!</v>
      </c>
      <c r="HY217" t="e">
        <f>AND(#REF!,"AAAAAHG7/eg=")</f>
        <v>#REF!</v>
      </c>
      <c r="HZ217" t="e">
        <f>AND(#REF!,"AAAAAHG7/ek=")</f>
        <v>#REF!</v>
      </c>
      <c r="IA217" t="e">
        <f>AND(#REF!,"AAAAAHG7/eo=")</f>
        <v>#REF!</v>
      </c>
      <c r="IB217" t="e">
        <f>AND(#REF!,"AAAAAHG7/es=")</f>
        <v>#REF!</v>
      </c>
      <c r="IC217" t="e">
        <f>AND(#REF!,"AAAAAHG7/ew=")</f>
        <v>#REF!</v>
      </c>
      <c r="ID217" t="e">
        <f>AND(#REF!,"AAAAAHG7/e0=")</f>
        <v>#REF!</v>
      </c>
      <c r="IE217" t="e">
        <f>AND(#REF!,"AAAAAHG7/e4=")</f>
        <v>#REF!</v>
      </c>
      <c r="IF217" t="e">
        <f>IF(#REF!,"AAAAAHG7/e8=",0)</f>
        <v>#REF!</v>
      </c>
      <c r="IG217" t="e">
        <f>AND(#REF!,"AAAAAHG7/fA=")</f>
        <v>#REF!</v>
      </c>
      <c r="IH217" t="e">
        <f>AND(#REF!,"AAAAAHG7/fE=")</f>
        <v>#REF!</v>
      </c>
      <c r="II217" t="e">
        <f>AND(#REF!,"AAAAAHG7/fI=")</f>
        <v>#REF!</v>
      </c>
      <c r="IJ217" t="e">
        <f>AND(#REF!,"AAAAAHG7/fM=")</f>
        <v>#REF!</v>
      </c>
      <c r="IK217" t="e">
        <f>AND(#REF!,"AAAAAHG7/fQ=")</f>
        <v>#REF!</v>
      </c>
      <c r="IL217" t="e">
        <f>AND(#REF!,"AAAAAHG7/fU=")</f>
        <v>#REF!</v>
      </c>
      <c r="IM217" t="e">
        <f>AND(#REF!,"AAAAAHG7/fY=")</f>
        <v>#REF!</v>
      </c>
      <c r="IN217" t="e">
        <f>AND(#REF!,"AAAAAHG7/fc=")</f>
        <v>#REF!</v>
      </c>
      <c r="IO217" t="e">
        <f>AND(#REF!,"AAAAAHG7/fg=")</f>
        <v>#REF!</v>
      </c>
      <c r="IP217" t="e">
        <f>AND(#REF!,"AAAAAHG7/fk=")</f>
        <v>#REF!</v>
      </c>
      <c r="IQ217" t="e">
        <f>AND(#REF!,"AAAAAHG7/fo=")</f>
        <v>#REF!</v>
      </c>
      <c r="IR217" t="e">
        <f>AND(#REF!,"AAAAAHG7/fs=")</f>
        <v>#REF!</v>
      </c>
      <c r="IS217" t="e">
        <f>AND(#REF!,"AAAAAHG7/fw=")</f>
        <v>#REF!</v>
      </c>
      <c r="IT217" t="e">
        <f>AND(#REF!,"AAAAAHG7/f0=")</f>
        <v>#REF!</v>
      </c>
      <c r="IU217" t="e">
        <f>AND(#REF!,"AAAAAHG7/f4=")</f>
        <v>#REF!</v>
      </c>
      <c r="IV217" t="e">
        <f>AND(#REF!,"AAAAAHG7/f8=")</f>
        <v>#REF!</v>
      </c>
    </row>
    <row r="218" spans="1:256">
      <c r="A218" t="e">
        <f>AND(#REF!,"AAAAAH3v5gA=")</f>
        <v>#REF!</v>
      </c>
      <c r="B218" t="e">
        <f>AND(#REF!,"AAAAAH3v5gE=")</f>
        <v>#REF!</v>
      </c>
      <c r="C218" t="e">
        <f>AND(#REF!,"AAAAAH3v5gI=")</f>
        <v>#REF!</v>
      </c>
      <c r="D218" t="e">
        <f>AND(#REF!,"AAAAAH3v5gM=")</f>
        <v>#REF!</v>
      </c>
      <c r="E218" t="e">
        <f>AND(#REF!,"AAAAAH3v5gQ=")</f>
        <v>#REF!</v>
      </c>
      <c r="F218" t="e">
        <f>AND(#REF!,"AAAAAH3v5gU=")</f>
        <v>#REF!</v>
      </c>
      <c r="G218" t="e">
        <f>AND(#REF!,"AAAAAH3v5gY=")</f>
        <v>#REF!</v>
      </c>
      <c r="H218" t="e">
        <f>AND(#REF!,"AAAAAH3v5gc=")</f>
        <v>#REF!</v>
      </c>
      <c r="I218" t="e">
        <f>IF(#REF!,"AAAAAH3v5gg=",0)</f>
        <v>#REF!</v>
      </c>
      <c r="J218" t="e">
        <f>AND(#REF!,"AAAAAH3v5gk=")</f>
        <v>#REF!</v>
      </c>
      <c r="K218" t="e">
        <f>AND(#REF!,"AAAAAH3v5go=")</f>
        <v>#REF!</v>
      </c>
      <c r="L218" t="e">
        <f>AND(#REF!,"AAAAAH3v5gs=")</f>
        <v>#REF!</v>
      </c>
      <c r="M218" t="e">
        <f>AND(#REF!,"AAAAAH3v5gw=")</f>
        <v>#REF!</v>
      </c>
      <c r="N218" t="e">
        <f>AND(#REF!,"AAAAAH3v5g0=")</f>
        <v>#REF!</v>
      </c>
      <c r="O218" t="e">
        <f>AND(#REF!,"AAAAAH3v5g4=")</f>
        <v>#REF!</v>
      </c>
      <c r="P218" t="e">
        <f>AND(#REF!,"AAAAAH3v5g8=")</f>
        <v>#REF!</v>
      </c>
      <c r="Q218" t="e">
        <f>AND(#REF!,"AAAAAH3v5hA=")</f>
        <v>#REF!</v>
      </c>
      <c r="R218" t="e">
        <f>AND(#REF!,"AAAAAH3v5hE=")</f>
        <v>#REF!</v>
      </c>
      <c r="S218" t="e">
        <f>AND(#REF!,"AAAAAH3v5hI=")</f>
        <v>#REF!</v>
      </c>
      <c r="T218" t="e">
        <f>AND(#REF!,"AAAAAH3v5hM=")</f>
        <v>#REF!</v>
      </c>
      <c r="U218" t="e">
        <f>AND(#REF!,"AAAAAH3v5hQ=")</f>
        <v>#REF!</v>
      </c>
      <c r="V218" t="e">
        <f>AND(#REF!,"AAAAAH3v5hU=")</f>
        <v>#REF!</v>
      </c>
      <c r="W218" t="e">
        <f>AND(#REF!,"AAAAAH3v5hY=")</f>
        <v>#REF!</v>
      </c>
      <c r="X218" t="e">
        <f>AND(#REF!,"AAAAAH3v5hc=")</f>
        <v>#REF!</v>
      </c>
      <c r="Y218" t="e">
        <f>AND(#REF!,"AAAAAH3v5hg=")</f>
        <v>#REF!</v>
      </c>
      <c r="Z218" t="e">
        <f>AND(#REF!,"AAAAAH3v5hk=")</f>
        <v>#REF!</v>
      </c>
      <c r="AA218" t="e">
        <f>AND(#REF!,"AAAAAH3v5ho=")</f>
        <v>#REF!</v>
      </c>
      <c r="AB218" t="e">
        <f>AND(#REF!,"AAAAAH3v5hs=")</f>
        <v>#REF!</v>
      </c>
      <c r="AC218" t="e">
        <f>AND(#REF!,"AAAAAH3v5hw=")</f>
        <v>#REF!</v>
      </c>
      <c r="AD218" t="e">
        <f>AND(#REF!,"AAAAAH3v5h0=")</f>
        <v>#REF!</v>
      </c>
      <c r="AE218" t="e">
        <f>AND(#REF!,"AAAAAH3v5h4=")</f>
        <v>#REF!</v>
      </c>
      <c r="AF218" t="e">
        <f>AND(#REF!,"AAAAAH3v5h8=")</f>
        <v>#REF!</v>
      </c>
      <c r="AG218" t="e">
        <f>AND(#REF!,"AAAAAH3v5iA=")</f>
        <v>#REF!</v>
      </c>
      <c r="AH218" t="e">
        <f>IF(#REF!,"AAAAAH3v5iE=",0)</f>
        <v>#REF!</v>
      </c>
      <c r="AI218" t="e">
        <f>AND(#REF!,"AAAAAH3v5iI=")</f>
        <v>#REF!</v>
      </c>
      <c r="AJ218" t="e">
        <f>AND(#REF!,"AAAAAH3v5iM=")</f>
        <v>#REF!</v>
      </c>
      <c r="AK218" t="e">
        <f>AND(#REF!,"AAAAAH3v5iQ=")</f>
        <v>#REF!</v>
      </c>
      <c r="AL218" t="e">
        <f>AND(#REF!,"AAAAAH3v5iU=")</f>
        <v>#REF!</v>
      </c>
      <c r="AM218" t="e">
        <f>AND(#REF!,"AAAAAH3v5iY=")</f>
        <v>#REF!</v>
      </c>
      <c r="AN218" t="e">
        <f>AND(#REF!,"AAAAAH3v5ic=")</f>
        <v>#REF!</v>
      </c>
      <c r="AO218" t="e">
        <f>AND(#REF!,"AAAAAH3v5ig=")</f>
        <v>#REF!</v>
      </c>
      <c r="AP218" t="e">
        <f>AND(#REF!,"AAAAAH3v5ik=")</f>
        <v>#REF!</v>
      </c>
      <c r="AQ218" t="e">
        <f>AND(#REF!,"AAAAAH3v5io=")</f>
        <v>#REF!</v>
      </c>
      <c r="AR218" t="e">
        <f>AND(#REF!,"AAAAAH3v5is=")</f>
        <v>#REF!</v>
      </c>
      <c r="AS218" t="e">
        <f>AND(#REF!,"AAAAAH3v5iw=")</f>
        <v>#REF!</v>
      </c>
      <c r="AT218" t="e">
        <f>AND(#REF!,"AAAAAH3v5i0=")</f>
        <v>#REF!</v>
      </c>
      <c r="AU218" t="e">
        <f>AND(#REF!,"AAAAAH3v5i4=")</f>
        <v>#REF!</v>
      </c>
      <c r="AV218" t="e">
        <f>AND(#REF!,"AAAAAH3v5i8=")</f>
        <v>#REF!</v>
      </c>
      <c r="AW218" t="e">
        <f>AND(#REF!,"AAAAAH3v5jA=")</f>
        <v>#REF!</v>
      </c>
      <c r="AX218" t="e">
        <f>AND(#REF!,"AAAAAH3v5jE=")</f>
        <v>#REF!</v>
      </c>
      <c r="AY218" t="e">
        <f>AND(#REF!,"AAAAAH3v5jI=")</f>
        <v>#REF!</v>
      </c>
      <c r="AZ218" t="e">
        <f>AND(#REF!,"AAAAAH3v5jM=")</f>
        <v>#REF!</v>
      </c>
      <c r="BA218" t="e">
        <f>AND(#REF!,"AAAAAH3v5jQ=")</f>
        <v>#REF!</v>
      </c>
      <c r="BB218" t="e">
        <f>AND(#REF!,"AAAAAH3v5jU=")</f>
        <v>#REF!</v>
      </c>
      <c r="BC218" t="e">
        <f>AND(#REF!,"AAAAAH3v5jY=")</f>
        <v>#REF!</v>
      </c>
      <c r="BD218" t="e">
        <f>AND(#REF!,"AAAAAH3v5jc=")</f>
        <v>#REF!</v>
      </c>
      <c r="BE218" t="e">
        <f>AND(#REF!,"AAAAAH3v5jg=")</f>
        <v>#REF!</v>
      </c>
      <c r="BF218" t="e">
        <f>AND(#REF!,"AAAAAH3v5jk=")</f>
        <v>#REF!</v>
      </c>
      <c r="BG218" t="e">
        <f>IF(#REF!,"AAAAAH3v5jo=",0)</f>
        <v>#REF!</v>
      </c>
      <c r="BH218" t="e">
        <f>AND(#REF!,"AAAAAH3v5js=")</f>
        <v>#REF!</v>
      </c>
      <c r="BI218" t="e">
        <f>AND(#REF!,"AAAAAH3v5jw=")</f>
        <v>#REF!</v>
      </c>
      <c r="BJ218" t="e">
        <f>AND(#REF!,"AAAAAH3v5j0=")</f>
        <v>#REF!</v>
      </c>
      <c r="BK218" t="e">
        <f>AND(#REF!,"AAAAAH3v5j4=")</f>
        <v>#REF!</v>
      </c>
      <c r="BL218" t="e">
        <f>AND(#REF!,"AAAAAH3v5j8=")</f>
        <v>#REF!</v>
      </c>
      <c r="BM218" t="e">
        <f>AND(#REF!,"AAAAAH3v5kA=")</f>
        <v>#REF!</v>
      </c>
      <c r="BN218" t="e">
        <f>AND(#REF!,"AAAAAH3v5kE=")</f>
        <v>#REF!</v>
      </c>
      <c r="BO218" t="e">
        <f>AND(#REF!,"AAAAAH3v5kI=")</f>
        <v>#REF!</v>
      </c>
      <c r="BP218" t="e">
        <f>AND(#REF!,"AAAAAH3v5kM=")</f>
        <v>#REF!</v>
      </c>
      <c r="BQ218" t="e">
        <f>AND(#REF!,"AAAAAH3v5kQ=")</f>
        <v>#REF!</v>
      </c>
      <c r="BR218" t="e">
        <f>AND(#REF!,"AAAAAH3v5kU=")</f>
        <v>#REF!</v>
      </c>
      <c r="BS218" t="e">
        <f>AND(#REF!,"AAAAAH3v5kY=")</f>
        <v>#REF!</v>
      </c>
      <c r="BT218" t="e">
        <f>AND(#REF!,"AAAAAH3v5kc=")</f>
        <v>#REF!</v>
      </c>
      <c r="BU218" t="e">
        <f>AND(#REF!,"AAAAAH3v5kg=")</f>
        <v>#REF!</v>
      </c>
      <c r="BV218" t="e">
        <f>AND(#REF!,"AAAAAH3v5kk=")</f>
        <v>#REF!</v>
      </c>
      <c r="BW218" t="e">
        <f>AND(#REF!,"AAAAAH3v5ko=")</f>
        <v>#REF!</v>
      </c>
      <c r="BX218" t="e">
        <f>AND(#REF!,"AAAAAH3v5ks=")</f>
        <v>#REF!</v>
      </c>
      <c r="BY218" t="e">
        <f>AND(#REF!,"AAAAAH3v5kw=")</f>
        <v>#REF!</v>
      </c>
      <c r="BZ218" t="e">
        <f>AND(#REF!,"AAAAAH3v5k0=")</f>
        <v>#REF!</v>
      </c>
      <c r="CA218" t="e">
        <f>AND(#REF!,"AAAAAH3v5k4=")</f>
        <v>#REF!</v>
      </c>
      <c r="CB218" t="e">
        <f>AND(#REF!,"AAAAAH3v5k8=")</f>
        <v>#REF!</v>
      </c>
      <c r="CC218" t="e">
        <f>AND(#REF!,"AAAAAH3v5lA=")</f>
        <v>#REF!</v>
      </c>
      <c r="CD218" t="e">
        <f>AND(#REF!,"AAAAAH3v5lE=")</f>
        <v>#REF!</v>
      </c>
      <c r="CE218" t="e">
        <f>AND(#REF!,"AAAAAH3v5lI=")</f>
        <v>#REF!</v>
      </c>
      <c r="CF218" t="e">
        <f>IF(#REF!,"AAAAAH3v5lM=",0)</f>
        <v>#REF!</v>
      </c>
      <c r="CG218" t="e">
        <f>AND(#REF!,"AAAAAH3v5lQ=")</f>
        <v>#REF!</v>
      </c>
      <c r="CH218" t="e">
        <f>AND(#REF!,"AAAAAH3v5lU=")</f>
        <v>#REF!</v>
      </c>
      <c r="CI218" t="e">
        <f>AND(#REF!,"AAAAAH3v5lY=")</f>
        <v>#REF!</v>
      </c>
      <c r="CJ218" t="e">
        <f>AND(#REF!,"AAAAAH3v5lc=")</f>
        <v>#REF!</v>
      </c>
      <c r="CK218" t="e">
        <f>AND(#REF!,"AAAAAH3v5lg=")</f>
        <v>#REF!</v>
      </c>
      <c r="CL218" t="e">
        <f>AND(#REF!,"AAAAAH3v5lk=")</f>
        <v>#REF!</v>
      </c>
      <c r="CM218" t="e">
        <f>AND(#REF!,"AAAAAH3v5lo=")</f>
        <v>#REF!</v>
      </c>
      <c r="CN218" t="e">
        <f>AND(#REF!,"AAAAAH3v5ls=")</f>
        <v>#REF!</v>
      </c>
      <c r="CO218" t="e">
        <f>AND(#REF!,"AAAAAH3v5lw=")</f>
        <v>#REF!</v>
      </c>
      <c r="CP218" t="e">
        <f>AND(#REF!,"AAAAAH3v5l0=")</f>
        <v>#REF!</v>
      </c>
      <c r="CQ218" t="e">
        <f>AND(#REF!,"AAAAAH3v5l4=")</f>
        <v>#REF!</v>
      </c>
      <c r="CR218" t="e">
        <f>AND(#REF!,"AAAAAH3v5l8=")</f>
        <v>#REF!</v>
      </c>
      <c r="CS218" t="e">
        <f>AND(#REF!,"AAAAAH3v5mA=")</f>
        <v>#REF!</v>
      </c>
      <c r="CT218" t="e">
        <f>AND(#REF!,"AAAAAH3v5mE=")</f>
        <v>#REF!</v>
      </c>
      <c r="CU218" t="e">
        <f>AND(#REF!,"AAAAAH3v5mI=")</f>
        <v>#REF!</v>
      </c>
      <c r="CV218" t="e">
        <f>AND(#REF!,"AAAAAH3v5mM=")</f>
        <v>#REF!</v>
      </c>
      <c r="CW218" t="e">
        <f>AND(#REF!,"AAAAAH3v5mQ=")</f>
        <v>#REF!</v>
      </c>
      <c r="CX218" t="e">
        <f>AND(#REF!,"AAAAAH3v5mU=")</f>
        <v>#REF!</v>
      </c>
      <c r="CY218" t="e">
        <f>AND(#REF!,"AAAAAH3v5mY=")</f>
        <v>#REF!</v>
      </c>
      <c r="CZ218" t="e">
        <f>AND(#REF!,"AAAAAH3v5mc=")</f>
        <v>#REF!</v>
      </c>
      <c r="DA218" t="e">
        <f>AND(#REF!,"AAAAAH3v5mg=")</f>
        <v>#REF!</v>
      </c>
      <c r="DB218" t="e">
        <f>AND(#REF!,"AAAAAH3v5mk=")</f>
        <v>#REF!</v>
      </c>
      <c r="DC218" t="e">
        <f>AND(#REF!,"AAAAAH3v5mo=")</f>
        <v>#REF!</v>
      </c>
      <c r="DD218" t="e">
        <f>AND(#REF!,"AAAAAH3v5ms=")</f>
        <v>#REF!</v>
      </c>
      <c r="DE218" t="e">
        <f>IF(#REF!,"AAAAAH3v5mw=",0)</f>
        <v>#REF!</v>
      </c>
      <c r="DF218" t="e">
        <f>AND(#REF!,"AAAAAH3v5m0=")</f>
        <v>#REF!</v>
      </c>
      <c r="DG218" t="e">
        <f>AND(#REF!,"AAAAAH3v5m4=")</f>
        <v>#REF!</v>
      </c>
      <c r="DH218" t="e">
        <f>AND(#REF!,"AAAAAH3v5m8=")</f>
        <v>#REF!</v>
      </c>
      <c r="DI218" t="e">
        <f>AND(#REF!,"AAAAAH3v5nA=")</f>
        <v>#REF!</v>
      </c>
      <c r="DJ218" t="e">
        <f>AND(#REF!,"AAAAAH3v5nE=")</f>
        <v>#REF!</v>
      </c>
      <c r="DK218" t="e">
        <f>AND(#REF!,"AAAAAH3v5nI=")</f>
        <v>#REF!</v>
      </c>
      <c r="DL218" t="e">
        <f>AND(#REF!,"AAAAAH3v5nM=")</f>
        <v>#REF!</v>
      </c>
      <c r="DM218" t="e">
        <f>AND(#REF!,"AAAAAH3v5nQ=")</f>
        <v>#REF!</v>
      </c>
      <c r="DN218" t="e">
        <f>AND(#REF!,"AAAAAH3v5nU=")</f>
        <v>#REF!</v>
      </c>
      <c r="DO218" t="e">
        <f>AND(#REF!,"AAAAAH3v5nY=")</f>
        <v>#REF!</v>
      </c>
      <c r="DP218" t="e">
        <f>AND(#REF!,"AAAAAH3v5nc=")</f>
        <v>#REF!</v>
      </c>
      <c r="DQ218" t="e">
        <f>AND(#REF!,"AAAAAH3v5ng=")</f>
        <v>#REF!</v>
      </c>
      <c r="DR218" t="e">
        <f>AND(#REF!,"AAAAAH3v5nk=")</f>
        <v>#REF!</v>
      </c>
      <c r="DS218" t="e">
        <f>AND(#REF!,"AAAAAH3v5no=")</f>
        <v>#REF!</v>
      </c>
      <c r="DT218" t="e">
        <f>AND(#REF!,"AAAAAH3v5ns=")</f>
        <v>#REF!</v>
      </c>
      <c r="DU218" t="e">
        <f>AND(#REF!,"AAAAAH3v5nw=")</f>
        <v>#REF!</v>
      </c>
      <c r="DV218" t="e">
        <f>AND(#REF!,"AAAAAH3v5n0=")</f>
        <v>#REF!</v>
      </c>
      <c r="DW218" t="e">
        <f>AND(#REF!,"AAAAAH3v5n4=")</f>
        <v>#REF!</v>
      </c>
      <c r="DX218" t="e">
        <f>AND(#REF!,"AAAAAH3v5n8=")</f>
        <v>#REF!</v>
      </c>
      <c r="DY218" t="e">
        <f>AND(#REF!,"AAAAAH3v5oA=")</f>
        <v>#REF!</v>
      </c>
      <c r="DZ218" t="e">
        <f>AND(#REF!,"AAAAAH3v5oE=")</f>
        <v>#REF!</v>
      </c>
      <c r="EA218" t="e">
        <f>AND(#REF!,"AAAAAH3v5oI=")</f>
        <v>#REF!</v>
      </c>
      <c r="EB218" t="e">
        <f>AND(#REF!,"AAAAAH3v5oM=")</f>
        <v>#REF!</v>
      </c>
      <c r="EC218" t="e">
        <f>AND(#REF!,"AAAAAH3v5oQ=")</f>
        <v>#REF!</v>
      </c>
      <c r="ED218" t="e">
        <f>IF(#REF!,"AAAAAH3v5oU=",0)</f>
        <v>#REF!</v>
      </c>
      <c r="EE218" t="e">
        <f>AND(#REF!,"AAAAAH3v5oY=")</f>
        <v>#REF!</v>
      </c>
      <c r="EF218" t="e">
        <f>AND(#REF!,"AAAAAH3v5oc=")</f>
        <v>#REF!</v>
      </c>
      <c r="EG218" t="e">
        <f>AND(#REF!,"AAAAAH3v5og=")</f>
        <v>#REF!</v>
      </c>
      <c r="EH218" t="e">
        <f>AND(#REF!,"AAAAAH3v5ok=")</f>
        <v>#REF!</v>
      </c>
      <c r="EI218" t="e">
        <f>AND(#REF!,"AAAAAH3v5oo=")</f>
        <v>#REF!</v>
      </c>
      <c r="EJ218" t="e">
        <f>AND(#REF!,"AAAAAH3v5os=")</f>
        <v>#REF!</v>
      </c>
      <c r="EK218" t="e">
        <f>AND(#REF!,"AAAAAH3v5ow=")</f>
        <v>#REF!</v>
      </c>
      <c r="EL218" t="e">
        <f>AND(#REF!,"AAAAAH3v5o0=")</f>
        <v>#REF!</v>
      </c>
      <c r="EM218" t="e">
        <f>AND(#REF!,"AAAAAH3v5o4=")</f>
        <v>#REF!</v>
      </c>
      <c r="EN218" t="e">
        <f>AND(#REF!,"AAAAAH3v5o8=")</f>
        <v>#REF!</v>
      </c>
      <c r="EO218" t="e">
        <f>AND(#REF!,"AAAAAH3v5pA=")</f>
        <v>#REF!</v>
      </c>
      <c r="EP218" t="e">
        <f>AND(#REF!,"AAAAAH3v5pE=")</f>
        <v>#REF!</v>
      </c>
      <c r="EQ218" t="e">
        <f>AND(#REF!,"AAAAAH3v5pI=")</f>
        <v>#REF!</v>
      </c>
      <c r="ER218" t="e">
        <f>AND(#REF!,"AAAAAH3v5pM=")</f>
        <v>#REF!</v>
      </c>
      <c r="ES218" t="e">
        <f>AND(#REF!,"AAAAAH3v5pQ=")</f>
        <v>#REF!</v>
      </c>
      <c r="ET218" t="e">
        <f>AND(#REF!,"AAAAAH3v5pU=")</f>
        <v>#REF!</v>
      </c>
      <c r="EU218" t="e">
        <f>AND(#REF!,"AAAAAH3v5pY=")</f>
        <v>#REF!</v>
      </c>
      <c r="EV218" t="e">
        <f>AND(#REF!,"AAAAAH3v5pc=")</f>
        <v>#REF!</v>
      </c>
      <c r="EW218" t="e">
        <f>AND(#REF!,"AAAAAH3v5pg=")</f>
        <v>#REF!</v>
      </c>
      <c r="EX218" t="e">
        <f>AND(#REF!,"AAAAAH3v5pk=")</f>
        <v>#REF!</v>
      </c>
      <c r="EY218" t="e">
        <f>AND(#REF!,"AAAAAH3v5po=")</f>
        <v>#REF!</v>
      </c>
      <c r="EZ218" t="e">
        <f>AND(#REF!,"AAAAAH3v5ps=")</f>
        <v>#REF!</v>
      </c>
      <c r="FA218" t="e">
        <f>AND(#REF!,"AAAAAH3v5pw=")</f>
        <v>#REF!</v>
      </c>
      <c r="FB218" t="e">
        <f>AND(#REF!,"AAAAAH3v5p0=")</f>
        <v>#REF!</v>
      </c>
      <c r="FC218" t="e">
        <f>IF(#REF!,"AAAAAH3v5p4=",0)</f>
        <v>#REF!</v>
      </c>
      <c r="FD218" t="e">
        <f>AND(#REF!,"AAAAAH3v5p8=")</f>
        <v>#REF!</v>
      </c>
      <c r="FE218" t="e">
        <f>AND(#REF!,"AAAAAH3v5qA=")</f>
        <v>#REF!</v>
      </c>
      <c r="FF218" t="e">
        <f>AND(#REF!,"AAAAAH3v5qE=")</f>
        <v>#REF!</v>
      </c>
      <c r="FG218" t="e">
        <f>AND(#REF!,"AAAAAH3v5qI=")</f>
        <v>#REF!</v>
      </c>
      <c r="FH218" t="e">
        <f>AND(#REF!,"AAAAAH3v5qM=")</f>
        <v>#REF!</v>
      </c>
      <c r="FI218" t="e">
        <f>AND(#REF!,"AAAAAH3v5qQ=")</f>
        <v>#REF!</v>
      </c>
      <c r="FJ218" t="e">
        <f>AND(#REF!,"AAAAAH3v5qU=")</f>
        <v>#REF!</v>
      </c>
      <c r="FK218" t="e">
        <f>AND(#REF!,"AAAAAH3v5qY=")</f>
        <v>#REF!</v>
      </c>
      <c r="FL218" t="e">
        <f>AND(#REF!,"AAAAAH3v5qc=")</f>
        <v>#REF!</v>
      </c>
      <c r="FM218" t="e">
        <f>AND(#REF!,"AAAAAH3v5qg=")</f>
        <v>#REF!</v>
      </c>
      <c r="FN218" t="e">
        <f>AND(#REF!,"AAAAAH3v5qk=")</f>
        <v>#REF!</v>
      </c>
      <c r="FO218" t="e">
        <f>AND(#REF!,"AAAAAH3v5qo=")</f>
        <v>#REF!</v>
      </c>
      <c r="FP218" t="e">
        <f>AND(#REF!,"AAAAAH3v5qs=")</f>
        <v>#REF!</v>
      </c>
      <c r="FQ218" t="e">
        <f>AND(#REF!,"AAAAAH3v5qw=")</f>
        <v>#REF!</v>
      </c>
      <c r="FR218" t="e">
        <f>AND(#REF!,"AAAAAH3v5q0=")</f>
        <v>#REF!</v>
      </c>
      <c r="FS218" t="e">
        <f>AND(#REF!,"AAAAAH3v5q4=")</f>
        <v>#REF!</v>
      </c>
      <c r="FT218" t="e">
        <f>AND(#REF!,"AAAAAH3v5q8=")</f>
        <v>#REF!</v>
      </c>
      <c r="FU218" t="e">
        <f>AND(#REF!,"AAAAAH3v5rA=")</f>
        <v>#REF!</v>
      </c>
      <c r="FV218" t="e">
        <f>AND(#REF!,"AAAAAH3v5rE=")</f>
        <v>#REF!</v>
      </c>
      <c r="FW218" t="e">
        <f>AND(#REF!,"AAAAAH3v5rI=")</f>
        <v>#REF!</v>
      </c>
      <c r="FX218" t="e">
        <f>AND(#REF!,"AAAAAH3v5rM=")</f>
        <v>#REF!</v>
      </c>
      <c r="FY218" t="e">
        <f>AND(#REF!,"AAAAAH3v5rQ=")</f>
        <v>#REF!</v>
      </c>
      <c r="FZ218" t="e">
        <f>AND(#REF!,"AAAAAH3v5rU=")</f>
        <v>#REF!</v>
      </c>
      <c r="GA218" t="e">
        <f>AND(#REF!,"AAAAAH3v5rY=")</f>
        <v>#REF!</v>
      </c>
      <c r="GB218" t="e">
        <f>IF(#REF!,"AAAAAH3v5rc=",0)</f>
        <v>#REF!</v>
      </c>
      <c r="GC218" t="e">
        <f>AND(#REF!,"AAAAAH3v5rg=")</f>
        <v>#REF!</v>
      </c>
      <c r="GD218" t="e">
        <f>AND(#REF!,"AAAAAH3v5rk=")</f>
        <v>#REF!</v>
      </c>
      <c r="GE218" t="e">
        <f>AND(#REF!,"AAAAAH3v5ro=")</f>
        <v>#REF!</v>
      </c>
      <c r="GF218" t="e">
        <f>AND(#REF!,"AAAAAH3v5rs=")</f>
        <v>#REF!</v>
      </c>
      <c r="GG218" t="e">
        <f>AND(#REF!,"AAAAAH3v5rw=")</f>
        <v>#REF!</v>
      </c>
      <c r="GH218" t="e">
        <f>AND(#REF!,"AAAAAH3v5r0=")</f>
        <v>#REF!</v>
      </c>
      <c r="GI218" t="e">
        <f>AND(#REF!,"AAAAAH3v5r4=")</f>
        <v>#REF!</v>
      </c>
      <c r="GJ218" t="e">
        <f>AND(#REF!,"AAAAAH3v5r8=")</f>
        <v>#REF!</v>
      </c>
      <c r="GK218" t="e">
        <f>AND(#REF!,"AAAAAH3v5sA=")</f>
        <v>#REF!</v>
      </c>
      <c r="GL218" t="e">
        <f>AND(#REF!,"AAAAAH3v5sE=")</f>
        <v>#REF!</v>
      </c>
      <c r="GM218" t="e">
        <f>AND(#REF!,"AAAAAH3v5sI=")</f>
        <v>#REF!</v>
      </c>
      <c r="GN218" t="e">
        <f>AND(#REF!,"AAAAAH3v5sM=")</f>
        <v>#REF!</v>
      </c>
      <c r="GO218" t="e">
        <f>AND(#REF!,"AAAAAH3v5sQ=")</f>
        <v>#REF!</v>
      </c>
      <c r="GP218" t="e">
        <f>AND(#REF!,"AAAAAH3v5sU=")</f>
        <v>#REF!</v>
      </c>
      <c r="GQ218" t="e">
        <f>AND(#REF!,"AAAAAH3v5sY=")</f>
        <v>#REF!</v>
      </c>
      <c r="GR218" t="e">
        <f>AND(#REF!,"AAAAAH3v5sc=")</f>
        <v>#REF!</v>
      </c>
      <c r="GS218" t="e">
        <f>AND(#REF!,"AAAAAH3v5sg=")</f>
        <v>#REF!</v>
      </c>
      <c r="GT218" t="e">
        <f>AND(#REF!,"AAAAAH3v5sk=")</f>
        <v>#REF!</v>
      </c>
      <c r="GU218" t="e">
        <f>AND(#REF!,"AAAAAH3v5so=")</f>
        <v>#REF!</v>
      </c>
      <c r="GV218" t="e">
        <f>AND(#REF!,"AAAAAH3v5ss=")</f>
        <v>#REF!</v>
      </c>
      <c r="GW218" t="e">
        <f>AND(#REF!,"AAAAAH3v5sw=")</f>
        <v>#REF!</v>
      </c>
      <c r="GX218" t="e">
        <f>AND(#REF!,"AAAAAH3v5s0=")</f>
        <v>#REF!</v>
      </c>
      <c r="GY218" t="e">
        <f>AND(#REF!,"AAAAAH3v5s4=")</f>
        <v>#REF!</v>
      </c>
      <c r="GZ218" t="e">
        <f>AND(#REF!,"AAAAAH3v5s8=")</f>
        <v>#REF!</v>
      </c>
      <c r="HA218" t="e">
        <f>IF(#REF!,"AAAAAH3v5tA=",0)</f>
        <v>#REF!</v>
      </c>
      <c r="HB218" t="e">
        <f>AND(#REF!,"AAAAAH3v5tE=")</f>
        <v>#REF!</v>
      </c>
      <c r="HC218" t="e">
        <f>AND(#REF!,"AAAAAH3v5tI=")</f>
        <v>#REF!</v>
      </c>
      <c r="HD218" t="e">
        <f>AND(#REF!,"AAAAAH3v5tM=")</f>
        <v>#REF!</v>
      </c>
      <c r="HE218" t="e">
        <f>AND(#REF!,"AAAAAH3v5tQ=")</f>
        <v>#REF!</v>
      </c>
      <c r="HF218" t="e">
        <f>AND(#REF!,"AAAAAH3v5tU=")</f>
        <v>#REF!</v>
      </c>
      <c r="HG218" t="e">
        <f>AND(#REF!,"AAAAAH3v5tY=")</f>
        <v>#REF!</v>
      </c>
      <c r="HH218" t="e">
        <f>AND(#REF!,"AAAAAH3v5tc=")</f>
        <v>#REF!</v>
      </c>
      <c r="HI218" t="e">
        <f>AND(#REF!,"AAAAAH3v5tg=")</f>
        <v>#REF!</v>
      </c>
      <c r="HJ218" t="e">
        <f>AND(#REF!,"AAAAAH3v5tk=")</f>
        <v>#REF!</v>
      </c>
      <c r="HK218" t="e">
        <f>AND(#REF!,"AAAAAH3v5to=")</f>
        <v>#REF!</v>
      </c>
      <c r="HL218" t="e">
        <f>AND(#REF!,"AAAAAH3v5ts=")</f>
        <v>#REF!</v>
      </c>
      <c r="HM218" t="e">
        <f>AND(#REF!,"AAAAAH3v5tw=")</f>
        <v>#REF!</v>
      </c>
      <c r="HN218" t="e">
        <f>AND(#REF!,"AAAAAH3v5t0=")</f>
        <v>#REF!</v>
      </c>
      <c r="HO218" t="e">
        <f>AND(#REF!,"AAAAAH3v5t4=")</f>
        <v>#REF!</v>
      </c>
      <c r="HP218" t="e">
        <f>AND(#REF!,"AAAAAH3v5t8=")</f>
        <v>#REF!</v>
      </c>
      <c r="HQ218" t="e">
        <f>AND(#REF!,"AAAAAH3v5uA=")</f>
        <v>#REF!</v>
      </c>
      <c r="HR218" t="e">
        <f>AND(#REF!,"AAAAAH3v5uE=")</f>
        <v>#REF!</v>
      </c>
      <c r="HS218" t="e">
        <f>AND(#REF!,"AAAAAH3v5uI=")</f>
        <v>#REF!</v>
      </c>
      <c r="HT218" t="e">
        <f>AND(#REF!,"AAAAAH3v5uM=")</f>
        <v>#REF!</v>
      </c>
      <c r="HU218" t="e">
        <f>AND(#REF!,"AAAAAH3v5uQ=")</f>
        <v>#REF!</v>
      </c>
      <c r="HV218" t="e">
        <f>AND(#REF!,"AAAAAH3v5uU=")</f>
        <v>#REF!</v>
      </c>
      <c r="HW218" t="e">
        <f>AND(#REF!,"AAAAAH3v5uY=")</f>
        <v>#REF!</v>
      </c>
      <c r="HX218" t="e">
        <f>AND(#REF!,"AAAAAH3v5uc=")</f>
        <v>#REF!</v>
      </c>
      <c r="HY218" t="e">
        <f>AND(#REF!,"AAAAAH3v5ug=")</f>
        <v>#REF!</v>
      </c>
      <c r="HZ218" t="e">
        <f>IF(#REF!,"AAAAAH3v5uk=",0)</f>
        <v>#REF!</v>
      </c>
      <c r="IA218" t="e">
        <f>AND(#REF!,"AAAAAH3v5uo=")</f>
        <v>#REF!</v>
      </c>
      <c r="IB218" t="e">
        <f>AND(#REF!,"AAAAAH3v5us=")</f>
        <v>#REF!</v>
      </c>
      <c r="IC218" t="e">
        <f>AND(#REF!,"AAAAAH3v5uw=")</f>
        <v>#REF!</v>
      </c>
      <c r="ID218" t="e">
        <f>AND(#REF!,"AAAAAH3v5u0=")</f>
        <v>#REF!</v>
      </c>
      <c r="IE218" t="e">
        <f>AND(#REF!,"AAAAAH3v5u4=")</f>
        <v>#REF!</v>
      </c>
      <c r="IF218" t="e">
        <f>AND(#REF!,"AAAAAH3v5u8=")</f>
        <v>#REF!</v>
      </c>
      <c r="IG218" t="e">
        <f>AND(#REF!,"AAAAAH3v5vA=")</f>
        <v>#REF!</v>
      </c>
      <c r="IH218" t="e">
        <f>AND(#REF!,"AAAAAH3v5vE=")</f>
        <v>#REF!</v>
      </c>
      <c r="II218" t="e">
        <f>AND(#REF!,"AAAAAH3v5vI=")</f>
        <v>#REF!</v>
      </c>
      <c r="IJ218" t="e">
        <f>AND(#REF!,"AAAAAH3v5vM=")</f>
        <v>#REF!</v>
      </c>
      <c r="IK218" t="e">
        <f>AND(#REF!,"AAAAAH3v5vQ=")</f>
        <v>#REF!</v>
      </c>
      <c r="IL218" t="e">
        <f>AND(#REF!,"AAAAAH3v5vU=")</f>
        <v>#REF!</v>
      </c>
      <c r="IM218" t="e">
        <f>AND(#REF!,"AAAAAH3v5vY=")</f>
        <v>#REF!</v>
      </c>
      <c r="IN218" t="e">
        <f>AND(#REF!,"AAAAAH3v5vc=")</f>
        <v>#REF!</v>
      </c>
      <c r="IO218" t="e">
        <f>AND(#REF!,"AAAAAH3v5vg=")</f>
        <v>#REF!</v>
      </c>
      <c r="IP218" t="e">
        <f>AND(#REF!,"AAAAAH3v5vk=")</f>
        <v>#REF!</v>
      </c>
      <c r="IQ218" t="e">
        <f>AND(#REF!,"AAAAAH3v5vo=")</f>
        <v>#REF!</v>
      </c>
      <c r="IR218" t="e">
        <f>AND(#REF!,"AAAAAH3v5vs=")</f>
        <v>#REF!</v>
      </c>
      <c r="IS218" t="e">
        <f>AND(#REF!,"AAAAAH3v5vw=")</f>
        <v>#REF!</v>
      </c>
      <c r="IT218" t="e">
        <f>AND(#REF!,"AAAAAH3v5v0=")</f>
        <v>#REF!</v>
      </c>
      <c r="IU218" t="e">
        <f>AND(#REF!,"AAAAAH3v5v4=")</f>
        <v>#REF!</v>
      </c>
      <c r="IV218" t="e">
        <f>AND(#REF!,"AAAAAH3v5v8=")</f>
        <v>#REF!</v>
      </c>
    </row>
    <row r="219" spans="1:256">
      <c r="A219" t="e">
        <f>AND(#REF!,"AAAAAD7n2wA=")</f>
        <v>#REF!</v>
      </c>
      <c r="B219" t="e">
        <f>AND(#REF!,"AAAAAD7n2wE=")</f>
        <v>#REF!</v>
      </c>
      <c r="C219" t="e">
        <f>IF(#REF!,"AAAAAD7n2wI=",0)</f>
        <v>#REF!</v>
      </c>
      <c r="D219" t="e">
        <f>AND(#REF!,"AAAAAD7n2wM=")</f>
        <v>#REF!</v>
      </c>
      <c r="E219" t="e">
        <f>AND(#REF!,"AAAAAD7n2wQ=")</f>
        <v>#REF!</v>
      </c>
      <c r="F219" t="e">
        <f>AND(#REF!,"AAAAAD7n2wU=")</f>
        <v>#REF!</v>
      </c>
      <c r="G219" t="e">
        <f>AND(#REF!,"AAAAAD7n2wY=")</f>
        <v>#REF!</v>
      </c>
      <c r="H219" t="e">
        <f>AND(#REF!,"AAAAAD7n2wc=")</f>
        <v>#REF!</v>
      </c>
      <c r="I219" t="e">
        <f>AND(#REF!,"AAAAAD7n2wg=")</f>
        <v>#REF!</v>
      </c>
      <c r="J219" t="e">
        <f>AND(#REF!,"AAAAAD7n2wk=")</f>
        <v>#REF!</v>
      </c>
      <c r="K219" t="e">
        <f>AND(#REF!,"AAAAAD7n2wo=")</f>
        <v>#REF!</v>
      </c>
      <c r="L219" t="e">
        <f>AND(#REF!,"AAAAAD7n2ws=")</f>
        <v>#REF!</v>
      </c>
      <c r="M219" t="e">
        <f>AND(#REF!,"AAAAAD7n2ww=")</f>
        <v>#REF!</v>
      </c>
      <c r="N219" t="e">
        <f>AND(#REF!,"AAAAAD7n2w0=")</f>
        <v>#REF!</v>
      </c>
      <c r="O219" t="e">
        <f>AND(#REF!,"AAAAAD7n2w4=")</f>
        <v>#REF!</v>
      </c>
      <c r="P219" t="e">
        <f>AND(#REF!,"AAAAAD7n2w8=")</f>
        <v>#REF!</v>
      </c>
      <c r="Q219" t="e">
        <f>AND(#REF!,"AAAAAD7n2xA=")</f>
        <v>#REF!</v>
      </c>
      <c r="R219" t="e">
        <f>AND(#REF!,"AAAAAD7n2xE=")</f>
        <v>#REF!</v>
      </c>
      <c r="S219" t="e">
        <f>AND(#REF!,"AAAAAD7n2xI=")</f>
        <v>#REF!</v>
      </c>
      <c r="T219" t="e">
        <f>AND(#REF!,"AAAAAD7n2xM=")</f>
        <v>#REF!</v>
      </c>
      <c r="U219" t="e">
        <f>AND(#REF!,"AAAAAD7n2xQ=")</f>
        <v>#REF!</v>
      </c>
      <c r="V219" t="e">
        <f>AND(#REF!,"AAAAAD7n2xU=")</f>
        <v>#REF!</v>
      </c>
      <c r="W219" t="e">
        <f>AND(#REF!,"AAAAAD7n2xY=")</f>
        <v>#REF!</v>
      </c>
      <c r="X219" t="e">
        <f>AND(#REF!,"AAAAAD7n2xc=")</f>
        <v>#REF!</v>
      </c>
      <c r="Y219" t="e">
        <f>AND(#REF!,"AAAAAD7n2xg=")</f>
        <v>#REF!</v>
      </c>
      <c r="Z219" t="e">
        <f>AND(#REF!,"AAAAAD7n2xk=")</f>
        <v>#REF!</v>
      </c>
      <c r="AA219" t="e">
        <f>AND(#REF!,"AAAAAD7n2xo=")</f>
        <v>#REF!</v>
      </c>
      <c r="AB219" t="e">
        <f>IF(#REF!,"AAAAAD7n2xs=",0)</f>
        <v>#REF!</v>
      </c>
      <c r="AC219" t="e">
        <f>AND(#REF!,"AAAAAD7n2xw=")</f>
        <v>#REF!</v>
      </c>
      <c r="AD219" t="e">
        <f>AND(#REF!,"AAAAAD7n2x0=")</f>
        <v>#REF!</v>
      </c>
      <c r="AE219" t="e">
        <f>AND(#REF!,"AAAAAD7n2x4=")</f>
        <v>#REF!</v>
      </c>
      <c r="AF219" t="e">
        <f>AND(#REF!,"AAAAAD7n2x8=")</f>
        <v>#REF!</v>
      </c>
      <c r="AG219" t="e">
        <f>AND(#REF!,"AAAAAD7n2yA=")</f>
        <v>#REF!</v>
      </c>
      <c r="AH219" t="e">
        <f>AND(#REF!,"AAAAAD7n2yE=")</f>
        <v>#REF!</v>
      </c>
      <c r="AI219" t="e">
        <f>AND(#REF!,"AAAAAD7n2yI=")</f>
        <v>#REF!</v>
      </c>
      <c r="AJ219" t="e">
        <f>AND(#REF!,"AAAAAD7n2yM=")</f>
        <v>#REF!</v>
      </c>
      <c r="AK219" t="e">
        <f>AND(#REF!,"AAAAAD7n2yQ=")</f>
        <v>#REF!</v>
      </c>
      <c r="AL219" t="e">
        <f>AND(#REF!,"AAAAAD7n2yU=")</f>
        <v>#REF!</v>
      </c>
      <c r="AM219" t="e">
        <f>AND(#REF!,"AAAAAD7n2yY=")</f>
        <v>#REF!</v>
      </c>
      <c r="AN219" t="e">
        <f>AND(#REF!,"AAAAAD7n2yc=")</f>
        <v>#REF!</v>
      </c>
      <c r="AO219" t="e">
        <f>AND(#REF!,"AAAAAD7n2yg=")</f>
        <v>#REF!</v>
      </c>
      <c r="AP219" t="e">
        <f>AND(#REF!,"AAAAAD7n2yk=")</f>
        <v>#REF!</v>
      </c>
      <c r="AQ219" t="e">
        <f>AND(#REF!,"AAAAAD7n2yo=")</f>
        <v>#REF!</v>
      </c>
      <c r="AR219" t="e">
        <f>AND(#REF!,"AAAAAD7n2ys=")</f>
        <v>#REF!</v>
      </c>
      <c r="AS219" t="e">
        <f>AND(#REF!,"AAAAAD7n2yw=")</f>
        <v>#REF!</v>
      </c>
      <c r="AT219" t="e">
        <f>AND(#REF!,"AAAAAD7n2y0=")</f>
        <v>#REF!</v>
      </c>
      <c r="AU219" t="e">
        <f>AND(#REF!,"AAAAAD7n2y4=")</f>
        <v>#REF!</v>
      </c>
      <c r="AV219" t="e">
        <f>AND(#REF!,"AAAAAD7n2y8=")</f>
        <v>#REF!</v>
      </c>
      <c r="AW219" t="e">
        <f>AND(#REF!,"AAAAAD7n2zA=")</f>
        <v>#REF!</v>
      </c>
      <c r="AX219" t="e">
        <f>AND(#REF!,"AAAAAD7n2zE=")</f>
        <v>#REF!</v>
      </c>
      <c r="AY219" t="e">
        <f>AND(#REF!,"AAAAAD7n2zI=")</f>
        <v>#REF!</v>
      </c>
      <c r="AZ219" t="e">
        <f>AND(#REF!,"AAAAAD7n2zM=")</f>
        <v>#REF!</v>
      </c>
      <c r="BA219" t="e">
        <f>IF(#REF!,"AAAAAD7n2zQ=",0)</f>
        <v>#REF!</v>
      </c>
      <c r="BB219" t="e">
        <f>AND(#REF!,"AAAAAD7n2zU=")</f>
        <v>#REF!</v>
      </c>
      <c r="BC219" t="e">
        <f>AND(#REF!,"AAAAAD7n2zY=")</f>
        <v>#REF!</v>
      </c>
      <c r="BD219" t="e">
        <f>AND(#REF!,"AAAAAD7n2zc=")</f>
        <v>#REF!</v>
      </c>
      <c r="BE219" t="e">
        <f>AND(#REF!,"AAAAAD7n2zg=")</f>
        <v>#REF!</v>
      </c>
      <c r="BF219" t="e">
        <f>AND(#REF!,"AAAAAD7n2zk=")</f>
        <v>#REF!</v>
      </c>
      <c r="BG219" t="e">
        <f>AND(#REF!,"AAAAAD7n2zo=")</f>
        <v>#REF!</v>
      </c>
      <c r="BH219" t="e">
        <f>AND(#REF!,"AAAAAD7n2zs=")</f>
        <v>#REF!</v>
      </c>
      <c r="BI219" t="e">
        <f>AND(#REF!,"AAAAAD7n2zw=")</f>
        <v>#REF!</v>
      </c>
      <c r="BJ219" t="e">
        <f>AND(#REF!,"AAAAAD7n2z0=")</f>
        <v>#REF!</v>
      </c>
      <c r="BK219" t="e">
        <f>AND(#REF!,"AAAAAD7n2z4=")</f>
        <v>#REF!</v>
      </c>
      <c r="BL219" t="e">
        <f>AND(#REF!,"AAAAAD7n2z8=")</f>
        <v>#REF!</v>
      </c>
      <c r="BM219" t="e">
        <f>AND(#REF!,"AAAAAD7n20A=")</f>
        <v>#REF!</v>
      </c>
      <c r="BN219" t="e">
        <f>AND(#REF!,"AAAAAD7n20E=")</f>
        <v>#REF!</v>
      </c>
      <c r="BO219" t="e">
        <f>AND(#REF!,"AAAAAD7n20I=")</f>
        <v>#REF!</v>
      </c>
      <c r="BP219" t="e">
        <f>AND(#REF!,"AAAAAD7n20M=")</f>
        <v>#REF!</v>
      </c>
      <c r="BQ219" t="e">
        <f>AND(#REF!,"AAAAAD7n20Q=")</f>
        <v>#REF!</v>
      </c>
      <c r="BR219" t="e">
        <f>AND(#REF!,"AAAAAD7n20U=")</f>
        <v>#REF!</v>
      </c>
      <c r="BS219" t="e">
        <f>AND(#REF!,"AAAAAD7n20Y=")</f>
        <v>#REF!</v>
      </c>
      <c r="BT219" t="e">
        <f>AND(#REF!,"AAAAAD7n20c=")</f>
        <v>#REF!</v>
      </c>
      <c r="BU219" t="e">
        <f>AND(#REF!,"AAAAAD7n20g=")</f>
        <v>#REF!</v>
      </c>
      <c r="BV219" t="e">
        <f>AND(#REF!,"AAAAAD7n20k=")</f>
        <v>#REF!</v>
      </c>
      <c r="BW219" t="e">
        <f>AND(#REF!,"AAAAAD7n20o=")</f>
        <v>#REF!</v>
      </c>
      <c r="BX219" t="e">
        <f>AND(#REF!,"AAAAAD7n20s=")</f>
        <v>#REF!</v>
      </c>
      <c r="BY219" t="e">
        <f>AND(#REF!,"AAAAAD7n20w=")</f>
        <v>#REF!</v>
      </c>
      <c r="BZ219" t="e">
        <f>IF(#REF!,"AAAAAD7n200=",0)</f>
        <v>#REF!</v>
      </c>
      <c r="CA219" t="e">
        <f>AND(#REF!,"AAAAAD7n204=")</f>
        <v>#REF!</v>
      </c>
      <c r="CB219" t="e">
        <f>AND(#REF!,"AAAAAD7n208=")</f>
        <v>#REF!</v>
      </c>
      <c r="CC219" t="e">
        <f>AND(#REF!,"AAAAAD7n21A=")</f>
        <v>#REF!</v>
      </c>
      <c r="CD219" t="e">
        <f>AND(#REF!,"AAAAAD7n21E=")</f>
        <v>#REF!</v>
      </c>
      <c r="CE219" t="e">
        <f>AND(#REF!,"AAAAAD7n21I=")</f>
        <v>#REF!</v>
      </c>
      <c r="CF219" t="e">
        <f>AND(#REF!,"AAAAAD7n21M=")</f>
        <v>#REF!</v>
      </c>
      <c r="CG219" t="e">
        <f>AND(#REF!,"AAAAAD7n21Q=")</f>
        <v>#REF!</v>
      </c>
      <c r="CH219" t="e">
        <f>AND(#REF!,"AAAAAD7n21U=")</f>
        <v>#REF!</v>
      </c>
      <c r="CI219" t="e">
        <f>AND(#REF!,"AAAAAD7n21Y=")</f>
        <v>#REF!</v>
      </c>
      <c r="CJ219" t="e">
        <f>AND(#REF!,"AAAAAD7n21c=")</f>
        <v>#REF!</v>
      </c>
      <c r="CK219" t="e">
        <f>AND(#REF!,"AAAAAD7n21g=")</f>
        <v>#REF!</v>
      </c>
      <c r="CL219" t="e">
        <f>AND(#REF!,"AAAAAD7n21k=")</f>
        <v>#REF!</v>
      </c>
      <c r="CM219" t="e">
        <f>AND(#REF!,"AAAAAD7n21o=")</f>
        <v>#REF!</v>
      </c>
      <c r="CN219" t="e">
        <f>AND(#REF!,"AAAAAD7n21s=")</f>
        <v>#REF!</v>
      </c>
      <c r="CO219" t="e">
        <f>AND(#REF!,"AAAAAD7n21w=")</f>
        <v>#REF!</v>
      </c>
      <c r="CP219" t="e">
        <f>AND(#REF!,"AAAAAD7n210=")</f>
        <v>#REF!</v>
      </c>
      <c r="CQ219" t="e">
        <f>AND(#REF!,"AAAAAD7n214=")</f>
        <v>#REF!</v>
      </c>
      <c r="CR219" t="e">
        <f>AND(#REF!,"AAAAAD7n218=")</f>
        <v>#REF!</v>
      </c>
      <c r="CS219" t="e">
        <f>AND(#REF!,"AAAAAD7n22A=")</f>
        <v>#REF!</v>
      </c>
      <c r="CT219" t="e">
        <f>AND(#REF!,"AAAAAD7n22E=")</f>
        <v>#REF!</v>
      </c>
      <c r="CU219" t="e">
        <f>AND(#REF!,"AAAAAD7n22I=")</f>
        <v>#REF!</v>
      </c>
      <c r="CV219" t="e">
        <f>AND(#REF!,"AAAAAD7n22M=")</f>
        <v>#REF!</v>
      </c>
      <c r="CW219" t="e">
        <f>AND(#REF!,"AAAAAD7n22Q=")</f>
        <v>#REF!</v>
      </c>
      <c r="CX219" t="e">
        <f>AND(#REF!,"AAAAAD7n22U=")</f>
        <v>#REF!</v>
      </c>
      <c r="CY219" t="e">
        <f>IF(#REF!,"AAAAAD7n22Y=",0)</f>
        <v>#REF!</v>
      </c>
      <c r="CZ219" t="e">
        <f>AND(#REF!,"AAAAAD7n22c=")</f>
        <v>#REF!</v>
      </c>
      <c r="DA219" t="e">
        <f>AND(#REF!,"AAAAAD7n22g=")</f>
        <v>#REF!</v>
      </c>
      <c r="DB219" t="e">
        <f>AND(#REF!,"AAAAAD7n22k=")</f>
        <v>#REF!</v>
      </c>
      <c r="DC219" t="e">
        <f>AND(#REF!,"AAAAAD7n22o=")</f>
        <v>#REF!</v>
      </c>
      <c r="DD219" t="e">
        <f>AND(#REF!,"AAAAAD7n22s=")</f>
        <v>#REF!</v>
      </c>
      <c r="DE219" t="e">
        <f>AND(#REF!,"AAAAAD7n22w=")</f>
        <v>#REF!</v>
      </c>
      <c r="DF219" t="e">
        <f>AND(#REF!,"AAAAAD7n220=")</f>
        <v>#REF!</v>
      </c>
      <c r="DG219" t="e">
        <f>AND(#REF!,"AAAAAD7n224=")</f>
        <v>#REF!</v>
      </c>
      <c r="DH219" t="e">
        <f>AND(#REF!,"AAAAAD7n228=")</f>
        <v>#REF!</v>
      </c>
      <c r="DI219" t="e">
        <f>AND(#REF!,"AAAAAD7n23A=")</f>
        <v>#REF!</v>
      </c>
      <c r="DJ219" t="e">
        <f>AND(#REF!,"AAAAAD7n23E=")</f>
        <v>#REF!</v>
      </c>
      <c r="DK219" t="e">
        <f>AND(#REF!,"AAAAAD7n23I=")</f>
        <v>#REF!</v>
      </c>
      <c r="DL219" t="e">
        <f>AND(#REF!,"AAAAAD7n23M=")</f>
        <v>#REF!</v>
      </c>
      <c r="DM219" t="e">
        <f>AND(#REF!,"AAAAAD7n23Q=")</f>
        <v>#REF!</v>
      </c>
      <c r="DN219" t="e">
        <f>AND(#REF!,"AAAAAD7n23U=")</f>
        <v>#REF!</v>
      </c>
      <c r="DO219" t="e">
        <f>AND(#REF!,"AAAAAD7n23Y=")</f>
        <v>#REF!</v>
      </c>
      <c r="DP219" t="e">
        <f>AND(#REF!,"AAAAAD7n23c=")</f>
        <v>#REF!</v>
      </c>
      <c r="DQ219" t="e">
        <f>AND(#REF!,"AAAAAD7n23g=")</f>
        <v>#REF!</v>
      </c>
      <c r="DR219" t="e">
        <f>AND(#REF!,"AAAAAD7n23k=")</f>
        <v>#REF!</v>
      </c>
      <c r="DS219" t="e">
        <f>AND(#REF!,"AAAAAD7n23o=")</f>
        <v>#REF!</v>
      </c>
      <c r="DT219" t="e">
        <f>AND(#REF!,"AAAAAD7n23s=")</f>
        <v>#REF!</v>
      </c>
      <c r="DU219" t="e">
        <f>AND(#REF!,"AAAAAD7n23w=")</f>
        <v>#REF!</v>
      </c>
      <c r="DV219" t="e">
        <f>AND(#REF!,"AAAAAD7n230=")</f>
        <v>#REF!</v>
      </c>
      <c r="DW219" t="e">
        <f>AND(#REF!,"AAAAAD7n234=")</f>
        <v>#REF!</v>
      </c>
      <c r="DX219" t="e">
        <f>IF(#REF!,"AAAAAD7n238=",0)</f>
        <v>#REF!</v>
      </c>
      <c r="DY219" t="e">
        <f>AND(#REF!,"AAAAAD7n24A=")</f>
        <v>#REF!</v>
      </c>
      <c r="DZ219" t="e">
        <f>AND(#REF!,"AAAAAD7n24E=")</f>
        <v>#REF!</v>
      </c>
      <c r="EA219" t="e">
        <f>AND(#REF!,"AAAAAD7n24I=")</f>
        <v>#REF!</v>
      </c>
      <c r="EB219" t="e">
        <f>AND(#REF!,"AAAAAD7n24M=")</f>
        <v>#REF!</v>
      </c>
      <c r="EC219" t="e">
        <f>AND(#REF!,"AAAAAD7n24Q=")</f>
        <v>#REF!</v>
      </c>
      <c r="ED219" t="e">
        <f>AND(#REF!,"AAAAAD7n24U=")</f>
        <v>#REF!</v>
      </c>
      <c r="EE219" t="e">
        <f>AND(#REF!,"AAAAAD7n24Y=")</f>
        <v>#REF!</v>
      </c>
      <c r="EF219" t="e">
        <f>AND(#REF!,"AAAAAD7n24c=")</f>
        <v>#REF!</v>
      </c>
      <c r="EG219" t="e">
        <f>AND(#REF!,"AAAAAD7n24g=")</f>
        <v>#REF!</v>
      </c>
      <c r="EH219" t="e">
        <f>AND(#REF!,"AAAAAD7n24k=")</f>
        <v>#REF!</v>
      </c>
      <c r="EI219" t="e">
        <f>AND(#REF!,"AAAAAD7n24o=")</f>
        <v>#REF!</v>
      </c>
      <c r="EJ219" t="e">
        <f>AND(#REF!,"AAAAAD7n24s=")</f>
        <v>#REF!</v>
      </c>
      <c r="EK219" t="e">
        <f>AND(#REF!,"AAAAAD7n24w=")</f>
        <v>#REF!</v>
      </c>
      <c r="EL219" t="e">
        <f>AND(#REF!,"AAAAAD7n240=")</f>
        <v>#REF!</v>
      </c>
      <c r="EM219" t="e">
        <f>AND(#REF!,"AAAAAD7n244=")</f>
        <v>#REF!</v>
      </c>
      <c r="EN219" t="e">
        <f>AND(#REF!,"AAAAAD7n248=")</f>
        <v>#REF!</v>
      </c>
      <c r="EO219" t="e">
        <f>AND(#REF!,"AAAAAD7n25A=")</f>
        <v>#REF!</v>
      </c>
      <c r="EP219" t="e">
        <f>AND(#REF!,"AAAAAD7n25E=")</f>
        <v>#REF!</v>
      </c>
      <c r="EQ219" t="e">
        <f>AND(#REF!,"AAAAAD7n25I=")</f>
        <v>#REF!</v>
      </c>
      <c r="ER219" t="e">
        <f>AND(#REF!,"AAAAAD7n25M=")</f>
        <v>#REF!</v>
      </c>
      <c r="ES219" t="e">
        <f>AND(#REF!,"AAAAAD7n25Q=")</f>
        <v>#REF!</v>
      </c>
      <c r="ET219" t="e">
        <f>AND(#REF!,"AAAAAD7n25U=")</f>
        <v>#REF!</v>
      </c>
      <c r="EU219" t="e">
        <f>AND(#REF!,"AAAAAD7n25Y=")</f>
        <v>#REF!</v>
      </c>
      <c r="EV219" t="e">
        <f>AND(#REF!,"AAAAAD7n25c=")</f>
        <v>#REF!</v>
      </c>
      <c r="EW219" t="e">
        <f>IF(#REF!,"AAAAAD7n25g=",0)</f>
        <v>#REF!</v>
      </c>
      <c r="EX219" t="e">
        <f>AND(#REF!,"AAAAAD7n25k=")</f>
        <v>#REF!</v>
      </c>
      <c r="EY219" t="e">
        <f>AND(#REF!,"AAAAAD7n25o=")</f>
        <v>#REF!</v>
      </c>
      <c r="EZ219" t="e">
        <f>AND(#REF!,"AAAAAD7n25s=")</f>
        <v>#REF!</v>
      </c>
      <c r="FA219" t="e">
        <f>AND(#REF!,"AAAAAD7n25w=")</f>
        <v>#REF!</v>
      </c>
      <c r="FB219" t="e">
        <f>AND(#REF!,"AAAAAD7n250=")</f>
        <v>#REF!</v>
      </c>
      <c r="FC219" t="e">
        <f>AND(#REF!,"AAAAAD7n254=")</f>
        <v>#REF!</v>
      </c>
      <c r="FD219" t="e">
        <f>AND(#REF!,"AAAAAD7n258=")</f>
        <v>#REF!</v>
      </c>
      <c r="FE219" t="e">
        <f>AND(#REF!,"AAAAAD7n26A=")</f>
        <v>#REF!</v>
      </c>
      <c r="FF219" t="e">
        <f>AND(#REF!,"AAAAAD7n26E=")</f>
        <v>#REF!</v>
      </c>
      <c r="FG219" t="e">
        <f>AND(#REF!,"AAAAAD7n26I=")</f>
        <v>#REF!</v>
      </c>
      <c r="FH219" t="e">
        <f>AND(#REF!,"AAAAAD7n26M=")</f>
        <v>#REF!</v>
      </c>
      <c r="FI219" t="e">
        <f>AND(#REF!,"AAAAAD7n26Q=")</f>
        <v>#REF!</v>
      </c>
      <c r="FJ219" t="e">
        <f>AND(#REF!,"AAAAAD7n26U=")</f>
        <v>#REF!</v>
      </c>
      <c r="FK219" t="e">
        <f>AND(#REF!,"AAAAAD7n26Y=")</f>
        <v>#REF!</v>
      </c>
      <c r="FL219" t="e">
        <f>AND(#REF!,"AAAAAD7n26c=")</f>
        <v>#REF!</v>
      </c>
      <c r="FM219" t="e">
        <f>AND(#REF!,"AAAAAD7n26g=")</f>
        <v>#REF!</v>
      </c>
      <c r="FN219" t="e">
        <f>AND(#REF!,"AAAAAD7n26k=")</f>
        <v>#REF!</v>
      </c>
      <c r="FO219" t="e">
        <f>AND(#REF!,"AAAAAD7n26o=")</f>
        <v>#REF!</v>
      </c>
      <c r="FP219" t="e">
        <f>AND(#REF!,"AAAAAD7n26s=")</f>
        <v>#REF!</v>
      </c>
      <c r="FQ219" t="e">
        <f>AND(#REF!,"AAAAAD7n26w=")</f>
        <v>#REF!</v>
      </c>
      <c r="FR219" t="e">
        <f>AND(#REF!,"AAAAAD7n260=")</f>
        <v>#REF!</v>
      </c>
      <c r="FS219" t="e">
        <f>AND(#REF!,"AAAAAD7n264=")</f>
        <v>#REF!</v>
      </c>
      <c r="FT219" t="e">
        <f>AND(#REF!,"AAAAAD7n268=")</f>
        <v>#REF!</v>
      </c>
      <c r="FU219" t="e">
        <f>AND(#REF!,"AAAAAD7n27A=")</f>
        <v>#REF!</v>
      </c>
      <c r="FV219" t="e">
        <f>IF(#REF!,"AAAAAD7n27E=",0)</f>
        <v>#REF!</v>
      </c>
      <c r="FW219" t="e">
        <f>AND(#REF!,"AAAAAD7n27I=")</f>
        <v>#REF!</v>
      </c>
      <c r="FX219" t="e">
        <f>AND(#REF!,"AAAAAD7n27M=")</f>
        <v>#REF!</v>
      </c>
      <c r="FY219" t="e">
        <f>AND(#REF!,"AAAAAD7n27Q=")</f>
        <v>#REF!</v>
      </c>
      <c r="FZ219" t="e">
        <f>AND(#REF!,"AAAAAD7n27U=")</f>
        <v>#REF!</v>
      </c>
      <c r="GA219" t="e">
        <f>AND(#REF!,"AAAAAD7n27Y=")</f>
        <v>#REF!</v>
      </c>
      <c r="GB219" t="e">
        <f>AND(#REF!,"AAAAAD7n27c=")</f>
        <v>#REF!</v>
      </c>
      <c r="GC219" t="e">
        <f>AND(#REF!,"AAAAAD7n27g=")</f>
        <v>#REF!</v>
      </c>
      <c r="GD219" t="e">
        <f>AND(#REF!,"AAAAAD7n27k=")</f>
        <v>#REF!</v>
      </c>
      <c r="GE219" t="e">
        <f>AND(#REF!,"AAAAAD7n27o=")</f>
        <v>#REF!</v>
      </c>
      <c r="GF219" t="e">
        <f>AND(#REF!,"AAAAAD7n27s=")</f>
        <v>#REF!</v>
      </c>
      <c r="GG219" t="e">
        <f>AND(#REF!,"AAAAAD7n27w=")</f>
        <v>#REF!</v>
      </c>
      <c r="GH219" t="e">
        <f>AND(#REF!,"AAAAAD7n270=")</f>
        <v>#REF!</v>
      </c>
      <c r="GI219" t="e">
        <f>AND(#REF!,"AAAAAD7n274=")</f>
        <v>#REF!</v>
      </c>
      <c r="GJ219" t="e">
        <f>AND(#REF!,"AAAAAD7n278=")</f>
        <v>#REF!</v>
      </c>
      <c r="GK219" t="e">
        <f>AND(#REF!,"AAAAAD7n28A=")</f>
        <v>#REF!</v>
      </c>
      <c r="GL219" t="e">
        <f>AND(#REF!,"AAAAAD7n28E=")</f>
        <v>#REF!</v>
      </c>
      <c r="GM219" t="e">
        <f>AND(#REF!,"AAAAAD7n28I=")</f>
        <v>#REF!</v>
      </c>
      <c r="GN219" t="e">
        <f>AND(#REF!,"AAAAAD7n28M=")</f>
        <v>#REF!</v>
      </c>
      <c r="GO219" t="e">
        <f>AND(#REF!,"AAAAAD7n28Q=")</f>
        <v>#REF!</v>
      </c>
      <c r="GP219" t="e">
        <f>AND(#REF!,"AAAAAD7n28U=")</f>
        <v>#REF!</v>
      </c>
      <c r="GQ219" t="e">
        <f>AND(#REF!,"AAAAAD7n28Y=")</f>
        <v>#REF!</v>
      </c>
      <c r="GR219" t="e">
        <f>AND(#REF!,"AAAAAD7n28c=")</f>
        <v>#REF!</v>
      </c>
      <c r="GS219" t="e">
        <f>AND(#REF!,"AAAAAD7n28g=")</f>
        <v>#REF!</v>
      </c>
      <c r="GT219" t="e">
        <f>AND(#REF!,"AAAAAD7n28k=")</f>
        <v>#REF!</v>
      </c>
      <c r="GU219" t="e">
        <f>IF(#REF!,"AAAAAD7n28o=",0)</f>
        <v>#REF!</v>
      </c>
      <c r="GV219" t="e">
        <f>AND(#REF!,"AAAAAD7n28s=")</f>
        <v>#REF!</v>
      </c>
      <c r="GW219" t="e">
        <f>AND(#REF!,"AAAAAD7n28w=")</f>
        <v>#REF!</v>
      </c>
      <c r="GX219" t="e">
        <f>AND(#REF!,"AAAAAD7n280=")</f>
        <v>#REF!</v>
      </c>
      <c r="GY219" t="e">
        <f>AND(#REF!,"AAAAAD7n284=")</f>
        <v>#REF!</v>
      </c>
      <c r="GZ219" t="e">
        <f>AND(#REF!,"AAAAAD7n288=")</f>
        <v>#REF!</v>
      </c>
      <c r="HA219" t="e">
        <f>AND(#REF!,"AAAAAD7n29A=")</f>
        <v>#REF!</v>
      </c>
      <c r="HB219" t="e">
        <f>AND(#REF!,"AAAAAD7n29E=")</f>
        <v>#REF!</v>
      </c>
      <c r="HC219" t="e">
        <f>AND(#REF!,"AAAAAD7n29I=")</f>
        <v>#REF!</v>
      </c>
      <c r="HD219" t="e">
        <f>AND(#REF!,"AAAAAD7n29M=")</f>
        <v>#REF!</v>
      </c>
      <c r="HE219" t="e">
        <f>AND(#REF!,"AAAAAD7n29Q=")</f>
        <v>#REF!</v>
      </c>
      <c r="HF219" t="e">
        <f>AND(#REF!,"AAAAAD7n29U=")</f>
        <v>#REF!</v>
      </c>
      <c r="HG219" t="e">
        <f>AND(#REF!,"AAAAAD7n29Y=")</f>
        <v>#REF!</v>
      </c>
      <c r="HH219" t="e">
        <f>AND(#REF!,"AAAAAD7n29c=")</f>
        <v>#REF!</v>
      </c>
      <c r="HI219" t="e">
        <f>AND(#REF!,"AAAAAD7n29g=")</f>
        <v>#REF!</v>
      </c>
      <c r="HJ219" t="e">
        <f>AND(#REF!,"AAAAAD7n29k=")</f>
        <v>#REF!</v>
      </c>
      <c r="HK219" t="e">
        <f>AND(#REF!,"AAAAAD7n29o=")</f>
        <v>#REF!</v>
      </c>
      <c r="HL219" t="e">
        <f>AND(#REF!,"AAAAAD7n29s=")</f>
        <v>#REF!</v>
      </c>
      <c r="HM219" t="e">
        <f>AND(#REF!,"AAAAAD7n29w=")</f>
        <v>#REF!</v>
      </c>
      <c r="HN219" t="e">
        <f>AND(#REF!,"AAAAAD7n290=")</f>
        <v>#REF!</v>
      </c>
      <c r="HO219" t="e">
        <f>AND(#REF!,"AAAAAD7n294=")</f>
        <v>#REF!</v>
      </c>
      <c r="HP219" t="e">
        <f>AND(#REF!,"AAAAAD7n298=")</f>
        <v>#REF!</v>
      </c>
      <c r="HQ219" t="e">
        <f>AND(#REF!,"AAAAAD7n2+A=")</f>
        <v>#REF!</v>
      </c>
      <c r="HR219" t="e">
        <f>AND(#REF!,"AAAAAD7n2+E=")</f>
        <v>#REF!</v>
      </c>
      <c r="HS219" t="e">
        <f>AND(#REF!,"AAAAAD7n2+I=")</f>
        <v>#REF!</v>
      </c>
      <c r="HT219" t="e">
        <f>IF(#REF!,"AAAAAD7n2+M=",0)</f>
        <v>#REF!</v>
      </c>
      <c r="HU219" t="e">
        <f>AND(#REF!,"AAAAAD7n2+Q=")</f>
        <v>#REF!</v>
      </c>
      <c r="HV219" t="e">
        <f>AND(#REF!,"AAAAAD7n2+U=")</f>
        <v>#REF!</v>
      </c>
      <c r="HW219" t="e">
        <f>AND(#REF!,"AAAAAD7n2+Y=")</f>
        <v>#REF!</v>
      </c>
      <c r="HX219" t="e">
        <f>AND(#REF!,"AAAAAD7n2+c=")</f>
        <v>#REF!</v>
      </c>
      <c r="HY219" t="e">
        <f>AND(#REF!,"AAAAAD7n2+g=")</f>
        <v>#REF!</v>
      </c>
      <c r="HZ219" t="e">
        <f>AND(#REF!,"AAAAAD7n2+k=")</f>
        <v>#REF!</v>
      </c>
      <c r="IA219" t="e">
        <f>AND(#REF!,"AAAAAD7n2+o=")</f>
        <v>#REF!</v>
      </c>
      <c r="IB219" t="e">
        <f>AND(#REF!,"AAAAAD7n2+s=")</f>
        <v>#REF!</v>
      </c>
      <c r="IC219" t="e">
        <f>AND(#REF!,"AAAAAD7n2+w=")</f>
        <v>#REF!</v>
      </c>
      <c r="ID219" t="e">
        <f>AND(#REF!,"AAAAAD7n2+0=")</f>
        <v>#REF!</v>
      </c>
      <c r="IE219" t="e">
        <f>AND(#REF!,"AAAAAD7n2+4=")</f>
        <v>#REF!</v>
      </c>
      <c r="IF219" t="e">
        <f>AND(#REF!,"AAAAAD7n2+8=")</f>
        <v>#REF!</v>
      </c>
      <c r="IG219" t="e">
        <f>AND(#REF!,"AAAAAD7n2/A=")</f>
        <v>#REF!</v>
      </c>
      <c r="IH219" t="e">
        <f>AND(#REF!,"AAAAAD7n2/E=")</f>
        <v>#REF!</v>
      </c>
      <c r="II219" t="e">
        <f>AND(#REF!,"AAAAAD7n2/I=")</f>
        <v>#REF!</v>
      </c>
      <c r="IJ219" t="e">
        <f>AND(#REF!,"AAAAAD7n2/M=")</f>
        <v>#REF!</v>
      </c>
      <c r="IK219" t="e">
        <f>AND(#REF!,"AAAAAD7n2/Q=")</f>
        <v>#REF!</v>
      </c>
      <c r="IL219" t="e">
        <f>AND(#REF!,"AAAAAD7n2/U=")</f>
        <v>#REF!</v>
      </c>
      <c r="IM219" t="e">
        <f>AND(#REF!,"AAAAAD7n2/Y=")</f>
        <v>#REF!</v>
      </c>
      <c r="IN219" t="e">
        <f>AND(#REF!,"AAAAAD7n2/c=")</f>
        <v>#REF!</v>
      </c>
      <c r="IO219" t="e">
        <f>AND(#REF!,"AAAAAD7n2/g=")</f>
        <v>#REF!</v>
      </c>
      <c r="IP219" t="e">
        <f>AND(#REF!,"AAAAAD7n2/k=")</f>
        <v>#REF!</v>
      </c>
      <c r="IQ219" t="e">
        <f>AND(#REF!,"AAAAAD7n2/o=")</f>
        <v>#REF!</v>
      </c>
      <c r="IR219" t="e">
        <f>AND(#REF!,"AAAAAD7n2/s=")</f>
        <v>#REF!</v>
      </c>
      <c r="IS219" t="e">
        <f>IF(#REF!,"AAAAAD7n2/w=",0)</f>
        <v>#REF!</v>
      </c>
      <c r="IT219" t="e">
        <f>AND(#REF!,"AAAAAD7n2/0=")</f>
        <v>#REF!</v>
      </c>
      <c r="IU219" t="e">
        <f>AND(#REF!,"AAAAAD7n2/4=")</f>
        <v>#REF!</v>
      </c>
      <c r="IV219" t="e">
        <f>AND(#REF!,"AAAAAD7n2/8=")</f>
        <v>#REF!</v>
      </c>
    </row>
    <row r="220" spans="1:256">
      <c r="A220" t="e">
        <f>AND(#REF!,"AAAAAG/VugA=")</f>
        <v>#REF!</v>
      </c>
      <c r="B220" t="e">
        <f>AND(#REF!,"AAAAAG/VugE=")</f>
        <v>#REF!</v>
      </c>
      <c r="C220" t="e">
        <f>AND(#REF!,"AAAAAG/VugI=")</f>
        <v>#REF!</v>
      </c>
      <c r="D220" t="e">
        <f>AND(#REF!,"AAAAAG/VugM=")</f>
        <v>#REF!</v>
      </c>
      <c r="E220" t="e">
        <f>AND(#REF!,"AAAAAG/VugQ=")</f>
        <v>#REF!</v>
      </c>
      <c r="F220" t="e">
        <f>AND(#REF!,"AAAAAG/VugU=")</f>
        <v>#REF!</v>
      </c>
      <c r="G220" t="e">
        <f>AND(#REF!,"AAAAAG/VugY=")</f>
        <v>#REF!</v>
      </c>
      <c r="H220" t="e">
        <f>AND(#REF!,"AAAAAG/Vugc=")</f>
        <v>#REF!</v>
      </c>
      <c r="I220" t="e">
        <f>AND(#REF!,"AAAAAG/Vugg=")</f>
        <v>#REF!</v>
      </c>
      <c r="J220" t="e">
        <f>AND(#REF!,"AAAAAG/Vugk=")</f>
        <v>#REF!</v>
      </c>
      <c r="K220" t="e">
        <f>AND(#REF!,"AAAAAG/Vugo=")</f>
        <v>#REF!</v>
      </c>
      <c r="L220" t="e">
        <f>AND(#REF!,"AAAAAG/Vugs=")</f>
        <v>#REF!</v>
      </c>
      <c r="M220" t="e">
        <f>AND(#REF!,"AAAAAG/Vugw=")</f>
        <v>#REF!</v>
      </c>
      <c r="N220" t="e">
        <f>AND(#REF!,"AAAAAG/Vug0=")</f>
        <v>#REF!</v>
      </c>
      <c r="O220" t="e">
        <f>AND(#REF!,"AAAAAG/Vug4=")</f>
        <v>#REF!</v>
      </c>
      <c r="P220" t="e">
        <f>AND(#REF!,"AAAAAG/Vug8=")</f>
        <v>#REF!</v>
      </c>
      <c r="Q220" t="e">
        <f>AND(#REF!,"AAAAAG/VuhA=")</f>
        <v>#REF!</v>
      </c>
      <c r="R220" t="e">
        <f>AND(#REF!,"AAAAAG/VuhE=")</f>
        <v>#REF!</v>
      </c>
      <c r="S220" t="e">
        <f>AND(#REF!,"AAAAAG/VuhI=")</f>
        <v>#REF!</v>
      </c>
      <c r="T220" t="e">
        <f>AND(#REF!,"AAAAAG/VuhM=")</f>
        <v>#REF!</v>
      </c>
      <c r="U220" t="e">
        <f>AND(#REF!,"AAAAAG/VuhQ=")</f>
        <v>#REF!</v>
      </c>
      <c r="V220" t="e">
        <f>IF(#REF!,"AAAAAG/VuhU=",0)</f>
        <v>#REF!</v>
      </c>
      <c r="W220" t="e">
        <f>AND(#REF!,"AAAAAG/VuhY=")</f>
        <v>#REF!</v>
      </c>
      <c r="X220" t="e">
        <f>AND(#REF!,"AAAAAG/Vuhc=")</f>
        <v>#REF!</v>
      </c>
      <c r="Y220" t="e">
        <f>AND(#REF!,"AAAAAG/Vuhg=")</f>
        <v>#REF!</v>
      </c>
      <c r="Z220" t="e">
        <f>AND(#REF!,"AAAAAG/Vuhk=")</f>
        <v>#REF!</v>
      </c>
      <c r="AA220" t="e">
        <f>AND(#REF!,"AAAAAG/Vuho=")</f>
        <v>#REF!</v>
      </c>
      <c r="AB220" t="e">
        <f>AND(#REF!,"AAAAAG/Vuhs=")</f>
        <v>#REF!</v>
      </c>
      <c r="AC220" t="e">
        <f>AND(#REF!,"AAAAAG/Vuhw=")</f>
        <v>#REF!</v>
      </c>
      <c r="AD220" t="e">
        <f>AND(#REF!,"AAAAAG/Vuh0=")</f>
        <v>#REF!</v>
      </c>
      <c r="AE220" t="e">
        <f>AND(#REF!,"AAAAAG/Vuh4=")</f>
        <v>#REF!</v>
      </c>
      <c r="AF220" t="e">
        <f>AND(#REF!,"AAAAAG/Vuh8=")</f>
        <v>#REF!</v>
      </c>
      <c r="AG220" t="e">
        <f>AND(#REF!,"AAAAAG/VuiA=")</f>
        <v>#REF!</v>
      </c>
      <c r="AH220" t="e">
        <f>AND(#REF!,"AAAAAG/VuiE=")</f>
        <v>#REF!</v>
      </c>
      <c r="AI220" t="e">
        <f>AND(#REF!,"AAAAAG/VuiI=")</f>
        <v>#REF!</v>
      </c>
      <c r="AJ220" t="e">
        <f>AND(#REF!,"AAAAAG/VuiM=")</f>
        <v>#REF!</v>
      </c>
      <c r="AK220" t="e">
        <f>AND(#REF!,"AAAAAG/VuiQ=")</f>
        <v>#REF!</v>
      </c>
      <c r="AL220" t="e">
        <f>AND(#REF!,"AAAAAG/VuiU=")</f>
        <v>#REF!</v>
      </c>
      <c r="AM220" t="e">
        <f>AND(#REF!,"AAAAAG/VuiY=")</f>
        <v>#REF!</v>
      </c>
      <c r="AN220" t="e">
        <f>AND(#REF!,"AAAAAG/Vuic=")</f>
        <v>#REF!</v>
      </c>
      <c r="AO220" t="e">
        <f>AND(#REF!,"AAAAAG/Vuig=")</f>
        <v>#REF!</v>
      </c>
      <c r="AP220" t="e">
        <f>AND(#REF!,"AAAAAG/Vuik=")</f>
        <v>#REF!</v>
      </c>
      <c r="AQ220" t="e">
        <f>AND(#REF!,"AAAAAG/Vuio=")</f>
        <v>#REF!</v>
      </c>
      <c r="AR220" t="e">
        <f>AND(#REF!,"AAAAAG/Vuis=")</f>
        <v>#REF!</v>
      </c>
      <c r="AS220" t="e">
        <f>AND(#REF!,"AAAAAG/Vuiw=")</f>
        <v>#REF!</v>
      </c>
      <c r="AT220" t="e">
        <f>AND(#REF!,"AAAAAG/Vui0=")</f>
        <v>#REF!</v>
      </c>
      <c r="AU220" t="e">
        <f>IF(#REF!,"AAAAAG/Vui4=",0)</f>
        <v>#REF!</v>
      </c>
      <c r="AV220" t="e">
        <f>AND(#REF!,"AAAAAG/Vui8=")</f>
        <v>#REF!</v>
      </c>
      <c r="AW220" t="e">
        <f>AND(#REF!,"AAAAAG/VujA=")</f>
        <v>#REF!</v>
      </c>
      <c r="AX220" t="e">
        <f>AND(#REF!,"AAAAAG/VujE=")</f>
        <v>#REF!</v>
      </c>
      <c r="AY220" t="e">
        <f>AND(#REF!,"AAAAAG/VujI=")</f>
        <v>#REF!</v>
      </c>
      <c r="AZ220" t="e">
        <f>AND(#REF!,"AAAAAG/VujM=")</f>
        <v>#REF!</v>
      </c>
      <c r="BA220" t="e">
        <f>AND(#REF!,"AAAAAG/VujQ=")</f>
        <v>#REF!</v>
      </c>
      <c r="BB220" t="e">
        <f>AND(#REF!,"AAAAAG/VujU=")</f>
        <v>#REF!</v>
      </c>
      <c r="BC220" t="e">
        <f>AND(#REF!,"AAAAAG/VujY=")</f>
        <v>#REF!</v>
      </c>
      <c r="BD220" t="e">
        <f>AND(#REF!,"AAAAAG/Vujc=")</f>
        <v>#REF!</v>
      </c>
      <c r="BE220" t="e">
        <f>AND(#REF!,"AAAAAG/Vujg=")</f>
        <v>#REF!</v>
      </c>
      <c r="BF220" t="e">
        <f>AND(#REF!,"AAAAAG/Vujk=")</f>
        <v>#REF!</v>
      </c>
      <c r="BG220" t="e">
        <f>AND(#REF!,"AAAAAG/Vujo=")</f>
        <v>#REF!</v>
      </c>
      <c r="BH220" t="e">
        <f>AND(#REF!,"AAAAAG/Vujs=")</f>
        <v>#REF!</v>
      </c>
      <c r="BI220" t="e">
        <f>AND(#REF!,"AAAAAG/Vujw=")</f>
        <v>#REF!</v>
      </c>
      <c r="BJ220" t="e">
        <f>AND(#REF!,"AAAAAG/Vuj0=")</f>
        <v>#REF!</v>
      </c>
      <c r="BK220" t="e">
        <f>AND(#REF!,"AAAAAG/Vuj4=")</f>
        <v>#REF!</v>
      </c>
      <c r="BL220" t="e">
        <f>AND(#REF!,"AAAAAG/Vuj8=")</f>
        <v>#REF!</v>
      </c>
      <c r="BM220" t="e">
        <f>AND(#REF!,"AAAAAG/VukA=")</f>
        <v>#REF!</v>
      </c>
      <c r="BN220" t="e">
        <f>AND(#REF!,"AAAAAG/VukE=")</f>
        <v>#REF!</v>
      </c>
      <c r="BO220" t="e">
        <f>AND(#REF!,"AAAAAG/VukI=")</f>
        <v>#REF!</v>
      </c>
      <c r="BP220" t="e">
        <f>AND(#REF!,"AAAAAG/VukM=")</f>
        <v>#REF!</v>
      </c>
      <c r="BQ220" t="e">
        <f>AND(#REF!,"AAAAAG/VukQ=")</f>
        <v>#REF!</v>
      </c>
      <c r="BR220" t="e">
        <f>AND(#REF!,"AAAAAG/VukU=")</f>
        <v>#REF!</v>
      </c>
      <c r="BS220" t="e">
        <f>AND(#REF!,"AAAAAG/VukY=")</f>
        <v>#REF!</v>
      </c>
      <c r="BT220" t="e">
        <f>IF(#REF!,"AAAAAG/Vukc=",0)</f>
        <v>#REF!</v>
      </c>
      <c r="BU220" t="e">
        <f>AND(#REF!,"AAAAAG/Vukg=")</f>
        <v>#REF!</v>
      </c>
      <c r="BV220" t="e">
        <f>AND(#REF!,"AAAAAG/Vukk=")</f>
        <v>#REF!</v>
      </c>
      <c r="BW220" t="e">
        <f>AND(#REF!,"AAAAAG/Vuko=")</f>
        <v>#REF!</v>
      </c>
      <c r="BX220" t="e">
        <f>AND(#REF!,"AAAAAG/Vuks=")</f>
        <v>#REF!</v>
      </c>
      <c r="BY220" t="e">
        <f>AND(#REF!,"AAAAAG/Vukw=")</f>
        <v>#REF!</v>
      </c>
      <c r="BZ220" t="e">
        <f>AND(#REF!,"AAAAAG/Vuk0=")</f>
        <v>#REF!</v>
      </c>
      <c r="CA220" t="e">
        <f>AND(#REF!,"AAAAAG/Vuk4=")</f>
        <v>#REF!</v>
      </c>
      <c r="CB220" t="e">
        <f>AND(#REF!,"AAAAAG/Vuk8=")</f>
        <v>#REF!</v>
      </c>
      <c r="CC220" t="e">
        <f>AND(#REF!,"AAAAAG/VulA=")</f>
        <v>#REF!</v>
      </c>
      <c r="CD220" t="e">
        <f>AND(#REF!,"AAAAAG/VulE=")</f>
        <v>#REF!</v>
      </c>
      <c r="CE220" t="e">
        <f>AND(#REF!,"AAAAAG/VulI=")</f>
        <v>#REF!</v>
      </c>
      <c r="CF220" t="e">
        <f>AND(#REF!,"AAAAAG/VulM=")</f>
        <v>#REF!</v>
      </c>
      <c r="CG220" t="e">
        <f>AND(#REF!,"AAAAAG/VulQ=")</f>
        <v>#REF!</v>
      </c>
      <c r="CH220" t="e">
        <f>AND(#REF!,"AAAAAG/VulU=")</f>
        <v>#REF!</v>
      </c>
      <c r="CI220" t="e">
        <f>AND(#REF!,"AAAAAG/VulY=")</f>
        <v>#REF!</v>
      </c>
      <c r="CJ220" t="e">
        <f>AND(#REF!,"AAAAAG/Vulc=")</f>
        <v>#REF!</v>
      </c>
      <c r="CK220" t="e">
        <f>AND(#REF!,"AAAAAG/Vulg=")</f>
        <v>#REF!</v>
      </c>
      <c r="CL220" t="e">
        <f>AND(#REF!,"AAAAAG/Vulk=")</f>
        <v>#REF!</v>
      </c>
      <c r="CM220" t="e">
        <f>AND(#REF!,"AAAAAG/Vulo=")</f>
        <v>#REF!</v>
      </c>
      <c r="CN220" t="e">
        <f>AND(#REF!,"AAAAAG/Vuls=")</f>
        <v>#REF!</v>
      </c>
      <c r="CO220" t="e">
        <f>AND(#REF!,"AAAAAG/Vulw=")</f>
        <v>#REF!</v>
      </c>
      <c r="CP220" t="e">
        <f>AND(#REF!,"AAAAAG/Vul0=")</f>
        <v>#REF!</v>
      </c>
      <c r="CQ220" t="e">
        <f>AND(#REF!,"AAAAAG/Vul4=")</f>
        <v>#REF!</v>
      </c>
      <c r="CR220" t="e">
        <f>AND(#REF!,"AAAAAG/Vul8=")</f>
        <v>#REF!</v>
      </c>
      <c r="CS220" t="e">
        <f>IF(#REF!,"AAAAAG/VumA=",0)</f>
        <v>#REF!</v>
      </c>
      <c r="CT220" t="e">
        <f>AND(#REF!,"AAAAAG/VumE=")</f>
        <v>#REF!</v>
      </c>
      <c r="CU220" t="e">
        <f>AND(#REF!,"AAAAAG/VumI=")</f>
        <v>#REF!</v>
      </c>
      <c r="CV220" t="e">
        <f>AND(#REF!,"AAAAAG/VumM=")</f>
        <v>#REF!</v>
      </c>
      <c r="CW220" t="e">
        <f>AND(#REF!,"AAAAAG/VumQ=")</f>
        <v>#REF!</v>
      </c>
      <c r="CX220" t="e">
        <f>AND(#REF!,"AAAAAG/VumU=")</f>
        <v>#REF!</v>
      </c>
      <c r="CY220" t="e">
        <f>AND(#REF!,"AAAAAG/VumY=")</f>
        <v>#REF!</v>
      </c>
      <c r="CZ220" t="e">
        <f>AND(#REF!,"AAAAAG/Vumc=")</f>
        <v>#REF!</v>
      </c>
      <c r="DA220" t="e">
        <f>AND(#REF!,"AAAAAG/Vumg=")</f>
        <v>#REF!</v>
      </c>
      <c r="DB220" t="e">
        <f>AND(#REF!,"AAAAAG/Vumk=")</f>
        <v>#REF!</v>
      </c>
      <c r="DC220" t="e">
        <f>AND(#REF!,"AAAAAG/Vumo=")</f>
        <v>#REF!</v>
      </c>
      <c r="DD220" t="e">
        <f>AND(#REF!,"AAAAAG/Vums=")</f>
        <v>#REF!</v>
      </c>
      <c r="DE220" t="e">
        <f>AND(#REF!,"AAAAAG/Vumw=")</f>
        <v>#REF!</v>
      </c>
      <c r="DF220" t="e">
        <f>AND(#REF!,"AAAAAG/Vum0=")</f>
        <v>#REF!</v>
      </c>
      <c r="DG220" t="e">
        <f>AND(#REF!,"AAAAAG/Vum4=")</f>
        <v>#REF!</v>
      </c>
      <c r="DH220" t="e">
        <f>AND(#REF!,"AAAAAG/Vum8=")</f>
        <v>#REF!</v>
      </c>
      <c r="DI220" t="e">
        <f>AND(#REF!,"AAAAAG/VunA=")</f>
        <v>#REF!</v>
      </c>
      <c r="DJ220" t="e">
        <f>AND(#REF!,"AAAAAG/VunE=")</f>
        <v>#REF!</v>
      </c>
      <c r="DK220" t="e">
        <f>AND(#REF!,"AAAAAG/VunI=")</f>
        <v>#REF!</v>
      </c>
      <c r="DL220" t="e">
        <f>AND(#REF!,"AAAAAG/VunM=")</f>
        <v>#REF!</v>
      </c>
      <c r="DM220" t="e">
        <f>AND(#REF!,"AAAAAG/VunQ=")</f>
        <v>#REF!</v>
      </c>
      <c r="DN220" t="e">
        <f>AND(#REF!,"AAAAAG/VunU=")</f>
        <v>#REF!</v>
      </c>
      <c r="DO220" t="e">
        <f>AND(#REF!,"AAAAAG/VunY=")</f>
        <v>#REF!</v>
      </c>
      <c r="DP220" t="e">
        <f>AND(#REF!,"AAAAAG/Vunc=")</f>
        <v>#REF!</v>
      </c>
      <c r="DQ220" t="e">
        <f>AND(#REF!,"AAAAAG/Vung=")</f>
        <v>#REF!</v>
      </c>
      <c r="DR220" t="e">
        <f>IF(#REF!,"AAAAAG/Vunk=",0)</f>
        <v>#REF!</v>
      </c>
      <c r="DS220" t="e">
        <f>AND(#REF!,"AAAAAG/Vuno=")</f>
        <v>#REF!</v>
      </c>
      <c r="DT220" t="e">
        <f>AND(#REF!,"AAAAAG/Vuns=")</f>
        <v>#REF!</v>
      </c>
      <c r="DU220" t="e">
        <f>AND(#REF!,"AAAAAG/Vunw=")</f>
        <v>#REF!</v>
      </c>
      <c r="DV220" t="e">
        <f>AND(#REF!,"AAAAAG/Vun0=")</f>
        <v>#REF!</v>
      </c>
      <c r="DW220" t="e">
        <f>AND(#REF!,"AAAAAG/Vun4=")</f>
        <v>#REF!</v>
      </c>
      <c r="DX220" t="e">
        <f>AND(#REF!,"AAAAAG/Vun8=")</f>
        <v>#REF!</v>
      </c>
      <c r="DY220" t="e">
        <f>AND(#REF!,"AAAAAG/VuoA=")</f>
        <v>#REF!</v>
      </c>
      <c r="DZ220" t="e">
        <f>AND(#REF!,"AAAAAG/VuoE=")</f>
        <v>#REF!</v>
      </c>
      <c r="EA220" t="e">
        <f>AND(#REF!,"AAAAAG/VuoI=")</f>
        <v>#REF!</v>
      </c>
      <c r="EB220" t="e">
        <f>AND(#REF!,"AAAAAG/VuoM=")</f>
        <v>#REF!</v>
      </c>
      <c r="EC220" t="e">
        <f>AND(#REF!,"AAAAAG/VuoQ=")</f>
        <v>#REF!</v>
      </c>
      <c r="ED220" t="e">
        <f>AND(#REF!,"AAAAAG/VuoU=")</f>
        <v>#REF!</v>
      </c>
      <c r="EE220" t="e">
        <f>AND(#REF!,"AAAAAG/VuoY=")</f>
        <v>#REF!</v>
      </c>
      <c r="EF220" t="e">
        <f>AND(#REF!,"AAAAAG/Vuoc=")</f>
        <v>#REF!</v>
      </c>
      <c r="EG220" t="e">
        <f>AND(#REF!,"AAAAAG/Vuog=")</f>
        <v>#REF!</v>
      </c>
      <c r="EH220" t="e">
        <f>AND(#REF!,"AAAAAG/Vuok=")</f>
        <v>#REF!</v>
      </c>
      <c r="EI220" t="e">
        <f>AND(#REF!,"AAAAAG/Vuoo=")</f>
        <v>#REF!</v>
      </c>
      <c r="EJ220" t="e">
        <f>AND(#REF!,"AAAAAG/Vuos=")</f>
        <v>#REF!</v>
      </c>
      <c r="EK220" t="e">
        <f>AND(#REF!,"AAAAAG/Vuow=")</f>
        <v>#REF!</v>
      </c>
      <c r="EL220" t="e">
        <f>AND(#REF!,"AAAAAG/Vuo0=")</f>
        <v>#REF!</v>
      </c>
      <c r="EM220" t="e">
        <f>AND(#REF!,"AAAAAG/Vuo4=")</f>
        <v>#REF!</v>
      </c>
      <c r="EN220" t="e">
        <f>AND(#REF!,"AAAAAG/Vuo8=")</f>
        <v>#REF!</v>
      </c>
      <c r="EO220" t="e">
        <f>AND(#REF!,"AAAAAG/VupA=")</f>
        <v>#REF!</v>
      </c>
      <c r="EP220" t="e">
        <f>AND(#REF!,"AAAAAG/VupE=")</f>
        <v>#REF!</v>
      </c>
      <c r="EQ220" t="e">
        <f>IF(#REF!,"AAAAAG/VupI=",0)</f>
        <v>#REF!</v>
      </c>
      <c r="ER220" t="e">
        <f>AND(#REF!,"AAAAAG/VupM=")</f>
        <v>#REF!</v>
      </c>
      <c r="ES220" t="e">
        <f>AND(#REF!,"AAAAAG/VupQ=")</f>
        <v>#REF!</v>
      </c>
      <c r="ET220" t="e">
        <f>AND(#REF!,"AAAAAG/VupU=")</f>
        <v>#REF!</v>
      </c>
      <c r="EU220" t="e">
        <f>AND(#REF!,"AAAAAG/VupY=")</f>
        <v>#REF!</v>
      </c>
      <c r="EV220" t="e">
        <f>AND(#REF!,"AAAAAG/Vupc=")</f>
        <v>#REF!</v>
      </c>
      <c r="EW220" t="e">
        <f>AND(#REF!,"AAAAAG/Vupg=")</f>
        <v>#REF!</v>
      </c>
      <c r="EX220" t="e">
        <f>AND(#REF!,"AAAAAG/Vupk=")</f>
        <v>#REF!</v>
      </c>
      <c r="EY220" t="e">
        <f>AND(#REF!,"AAAAAG/Vupo=")</f>
        <v>#REF!</v>
      </c>
      <c r="EZ220" t="e">
        <f>AND(#REF!,"AAAAAG/Vups=")</f>
        <v>#REF!</v>
      </c>
      <c r="FA220" t="e">
        <f>AND(#REF!,"AAAAAG/Vupw=")</f>
        <v>#REF!</v>
      </c>
      <c r="FB220" t="e">
        <f>AND(#REF!,"AAAAAG/Vup0=")</f>
        <v>#REF!</v>
      </c>
      <c r="FC220" t="e">
        <f>AND(#REF!,"AAAAAG/Vup4=")</f>
        <v>#REF!</v>
      </c>
      <c r="FD220" t="e">
        <f>AND(#REF!,"AAAAAG/Vup8=")</f>
        <v>#REF!</v>
      </c>
      <c r="FE220" t="e">
        <f>AND(#REF!,"AAAAAG/VuqA=")</f>
        <v>#REF!</v>
      </c>
      <c r="FF220" t="e">
        <f>AND(#REF!,"AAAAAG/VuqE=")</f>
        <v>#REF!</v>
      </c>
      <c r="FG220" t="e">
        <f>AND(#REF!,"AAAAAG/VuqI=")</f>
        <v>#REF!</v>
      </c>
      <c r="FH220" t="e">
        <f>AND(#REF!,"AAAAAG/VuqM=")</f>
        <v>#REF!</v>
      </c>
      <c r="FI220" t="e">
        <f>AND(#REF!,"AAAAAG/VuqQ=")</f>
        <v>#REF!</v>
      </c>
      <c r="FJ220" t="e">
        <f>AND(#REF!,"AAAAAG/VuqU=")</f>
        <v>#REF!</v>
      </c>
      <c r="FK220" t="e">
        <f>AND(#REF!,"AAAAAG/VuqY=")</f>
        <v>#REF!</v>
      </c>
      <c r="FL220" t="e">
        <f>AND(#REF!,"AAAAAG/Vuqc=")</f>
        <v>#REF!</v>
      </c>
      <c r="FM220" t="e">
        <f>AND(#REF!,"AAAAAG/Vuqg=")</f>
        <v>#REF!</v>
      </c>
      <c r="FN220" t="e">
        <f>AND(#REF!,"AAAAAG/Vuqk=")</f>
        <v>#REF!</v>
      </c>
      <c r="FO220" t="e">
        <f>AND(#REF!,"AAAAAG/Vuqo=")</f>
        <v>#REF!</v>
      </c>
      <c r="FP220" t="e">
        <f>IF(#REF!,"AAAAAG/Vuqs=",0)</f>
        <v>#REF!</v>
      </c>
      <c r="FQ220" t="e">
        <f>AND(#REF!,"AAAAAG/Vuqw=")</f>
        <v>#REF!</v>
      </c>
      <c r="FR220" t="e">
        <f>AND(#REF!,"AAAAAG/Vuq0=")</f>
        <v>#REF!</v>
      </c>
      <c r="FS220" t="e">
        <f>AND(#REF!,"AAAAAG/Vuq4=")</f>
        <v>#REF!</v>
      </c>
      <c r="FT220" t="e">
        <f>AND(#REF!,"AAAAAG/Vuq8=")</f>
        <v>#REF!</v>
      </c>
      <c r="FU220" t="e">
        <f>AND(#REF!,"AAAAAG/VurA=")</f>
        <v>#REF!</v>
      </c>
      <c r="FV220" t="e">
        <f>AND(#REF!,"AAAAAG/VurE=")</f>
        <v>#REF!</v>
      </c>
      <c r="FW220" t="e">
        <f>AND(#REF!,"AAAAAG/VurI=")</f>
        <v>#REF!</v>
      </c>
      <c r="FX220" t="e">
        <f>AND(#REF!,"AAAAAG/VurM=")</f>
        <v>#REF!</v>
      </c>
      <c r="FY220" t="e">
        <f>AND(#REF!,"AAAAAG/VurQ=")</f>
        <v>#REF!</v>
      </c>
      <c r="FZ220" t="e">
        <f>AND(#REF!,"AAAAAG/VurU=")</f>
        <v>#REF!</v>
      </c>
      <c r="GA220" t="e">
        <f>AND(#REF!,"AAAAAG/VurY=")</f>
        <v>#REF!</v>
      </c>
      <c r="GB220" t="e">
        <f>AND(#REF!,"AAAAAG/Vurc=")</f>
        <v>#REF!</v>
      </c>
      <c r="GC220" t="e">
        <f>AND(#REF!,"AAAAAG/Vurg=")</f>
        <v>#REF!</v>
      </c>
      <c r="GD220" t="e">
        <f>AND(#REF!,"AAAAAG/Vurk=")</f>
        <v>#REF!</v>
      </c>
      <c r="GE220" t="e">
        <f>AND(#REF!,"AAAAAG/Vuro=")</f>
        <v>#REF!</v>
      </c>
      <c r="GF220" t="e">
        <f>AND(#REF!,"AAAAAG/Vurs=")</f>
        <v>#REF!</v>
      </c>
      <c r="GG220" t="e">
        <f>AND(#REF!,"AAAAAG/Vurw=")</f>
        <v>#REF!</v>
      </c>
      <c r="GH220" t="e">
        <f>AND(#REF!,"AAAAAG/Vur0=")</f>
        <v>#REF!</v>
      </c>
      <c r="GI220" t="e">
        <f>AND(#REF!,"AAAAAG/Vur4=")</f>
        <v>#REF!</v>
      </c>
      <c r="GJ220" t="e">
        <f>AND(#REF!,"AAAAAG/Vur8=")</f>
        <v>#REF!</v>
      </c>
      <c r="GK220" t="e">
        <f>AND(#REF!,"AAAAAG/VusA=")</f>
        <v>#REF!</v>
      </c>
      <c r="GL220" t="e">
        <f>AND(#REF!,"AAAAAG/VusE=")</f>
        <v>#REF!</v>
      </c>
      <c r="GM220" t="e">
        <f>AND(#REF!,"AAAAAG/VusI=")</f>
        <v>#REF!</v>
      </c>
      <c r="GN220" t="e">
        <f>AND(#REF!,"AAAAAG/VusM=")</f>
        <v>#REF!</v>
      </c>
      <c r="GO220" t="e">
        <f>IF(#REF!,"AAAAAG/VusQ=",0)</f>
        <v>#REF!</v>
      </c>
      <c r="GP220" t="e">
        <f>AND(#REF!,"AAAAAG/VusU=")</f>
        <v>#REF!</v>
      </c>
      <c r="GQ220" t="e">
        <f>AND(#REF!,"AAAAAG/VusY=")</f>
        <v>#REF!</v>
      </c>
      <c r="GR220" t="e">
        <f>AND(#REF!,"AAAAAG/Vusc=")</f>
        <v>#REF!</v>
      </c>
      <c r="GS220" t="e">
        <f>AND(#REF!,"AAAAAG/Vusg=")</f>
        <v>#REF!</v>
      </c>
      <c r="GT220" t="e">
        <f>AND(#REF!,"AAAAAG/Vusk=")</f>
        <v>#REF!</v>
      </c>
      <c r="GU220" t="e">
        <f>AND(#REF!,"AAAAAG/Vuso=")</f>
        <v>#REF!</v>
      </c>
      <c r="GV220" t="e">
        <f>AND(#REF!,"AAAAAG/Vuss=")</f>
        <v>#REF!</v>
      </c>
      <c r="GW220" t="e">
        <f>AND(#REF!,"AAAAAG/Vusw=")</f>
        <v>#REF!</v>
      </c>
      <c r="GX220" t="e">
        <f>AND(#REF!,"AAAAAG/Vus0=")</f>
        <v>#REF!</v>
      </c>
      <c r="GY220" t="e">
        <f>AND(#REF!,"AAAAAG/Vus4=")</f>
        <v>#REF!</v>
      </c>
      <c r="GZ220" t="e">
        <f>AND(#REF!,"AAAAAG/Vus8=")</f>
        <v>#REF!</v>
      </c>
      <c r="HA220" t="e">
        <f>AND(#REF!,"AAAAAG/VutA=")</f>
        <v>#REF!</v>
      </c>
      <c r="HB220" t="e">
        <f>AND(#REF!,"AAAAAG/VutE=")</f>
        <v>#REF!</v>
      </c>
      <c r="HC220" t="e">
        <f>AND(#REF!,"AAAAAG/VutI=")</f>
        <v>#REF!</v>
      </c>
      <c r="HD220" t="e">
        <f>AND(#REF!,"AAAAAG/VutM=")</f>
        <v>#REF!</v>
      </c>
      <c r="HE220" t="e">
        <f>AND(#REF!,"AAAAAG/VutQ=")</f>
        <v>#REF!</v>
      </c>
      <c r="HF220" t="e">
        <f>AND(#REF!,"AAAAAG/VutU=")</f>
        <v>#REF!</v>
      </c>
      <c r="HG220" t="e">
        <f>AND(#REF!,"AAAAAG/VutY=")</f>
        <v>#REF!</v>
      </c>
      <c r="HH220" t="e">
        <f>AND(#REF!,"AAAAAG/Vutc=")</f>
        <v>#REF!</v>
      </c>
      <c r="HI220" t="e">
        <f>AND(#REF!,"AAAAAG/Vutg=")</f>
        <v>#REF!</v>
      </c>
      <c r="HJ220" t="e">
        <f>AND(#REF!,"AAAAAG/Vutk=")</f>
        <v>#REF!</v>
      </c>
      <c r="HK220" t="e">
        <f>AND(#REF!,"AAAAAG/Vuto=")</f>
        <v>#REF!</v>
      </c>
      <c r="HL220" t="e">
        <f>AND(#REF!,"AAAAAG/Vuts=")</f>
        <v>#REF!</v>
      </c>
      <c r="HM220" t="e">
        <f>AND(#REF!,"AAAAAG/Vutw=")</f>
        <v>#REF!</v>
      </c>
      <c r="HN220" t="e">
        <f>IF(#REF!,"AAAAAG/Vut0=",0)</f>
        <v>#REF!</v>
      </c>
      <c r="HO220" t="e">
        <f>AND(#REF!,"AAAAAG/Vut4=")</f>
        <v>#REF!</v>
      </c>
      <c r="HP220" t="e">
        <f>AND(#REF!,"AAAAAG/Vut8=")</f>
        <v>#REF!</v>
      </c>
      <c r="HQ220" t="e">
        <f>AND(#REF!,"AAAAAG/VuuA=")</f>
        <v>#REF!</v>
      </c>
      <c r="HR220" t="e">
        <f>AND(#REF!,"AAAAAG/VuuE=")</f>
        <v>#REF!</v>
      </c>
      <c r="HS220" t="e">
        <f>AND(#REF!,"AAAAAG/VuuI=")</f>
        <v>#REF!</v>
      </c>
      <c r="HT220" t="e">
        <f>AND(#REF!,"AAAAAG/VuuM=")</f>
        <v>#REF!</v>
      </c>
      <c r="HU220" t="e">
        <f>AND(#REF!,"AAAAAG/VuuQ=")</f>
        <v>#REF!</v>
      </c>
      <c r="HV220" t="e">
        <f>AND(#REF!,"AAAAAG/VuuU=")</f>
        <v>#REF!</v>
      </c>
      <c r="HW220" t="e">
        <f>AND(#REF!,"AAAAAG/VuuY=")</f>
        <v>#REF!</v>
      </c>
      <c r="HX220" t="e">
        <f>AND(#REF!,"AAAAAG/Vuuc=")</f>
        <v>#REF!</v>
      </c>
      <c r="HY220" t="e">
        <f>AND(#REF!,"AAAAAG/Vuug=")</f>
        <v>#REF!</v>
      </c>
      <c r="HZ220" t="e">
        <f>AND(#REF!,"AAAAAG/Vuuk=")</f>
        <v>#REF!</v>
      </c>
      <c r="IA220" t="e">
        <f>AND(#REF!,"AAAAAG/Vuuo=")</f>
        <v>#REF!</v>
      </c>
      <c r="IB220" t="e">
        <f>AND(#REF!,"AAAAAG/Vuus=")</f>
        <v>#REF!</v>
      </c>
      <c r="IC220" t="e">
        <f>AND(#REF!,"AAAAAG/Vuuw=")</f>
        <v>#REF!</v>
      </c>
      <c r="ID220" t="e">
        <f>AND(#REF!,"AAAAAG/Vuu0=")</f>
        <v>#REF!</v>
      </c>
      <c r="IE220" t="e">
        <f>AND(#REF!,"AAAAAG/Vuu4=")</f>
        <v>#REF!</v>
      </c>
      <c r="IF220" t="e">
        <f>AND(#REF!,"AAAAAG/Vuu8=")</f>
        <v>#REF!</v>
      </c>
      <c r="IG220" t="e">
        <f>AND(#REF!,"AAAAAG/VuvA=")</f>
        <v>#REF!</v>
      </c>
      <c r="IH220" t="e">
        <f>AND(#REF!,"AAAAAG/VuvE=")</f>
        <v>#REF!</v>
      </c>
      <c r="II220" t="e">
        <f>AND(#REF!,"AAAAAG/VuvI=")</f>
        <v>#REF!</v>
      </c>
      <c r="IJ220" t="e">
        <f>AND(#REF!,"AAAAAG/VuvM=")</f>
        <v>#REF!</v>
      </c>
      <c r="IK220" t="e">
        <f>AND(#REF!,"AAAAAG/VuvQ=")</f>
        <v>#REF!</v>
      </c>
      <c r="IL220" t="e">
        <f>AND(#REF!,"AAAAAG/VuvU=")</f>
        <v>#REF!</v>
      </c>
      <c r="IM220" t="e">
        <f>IF(#REF!,"AAAAAG/VuvY=",0)</f>
        <v>#REF!</v>
      </c>
      <c r="IN220" t="e">
        <f>AND(#REF!,"AAAAAG/Vuvc=")</f>
        <v>#REF!</v>
      </c>
      <c r="IO220" t="e">
        <f>AND(#REF!,"AAAAAG/Vuvg=")</f>
        <v>#REF!</v>
      </c>
      <c r="IP220" t="e">
        <f>AND(#REF!,"AAAAAG/Vuvk=")</f>
        <v>#REF!</v>
      </c>
      <c r="IQ220" t="e">
        <f>AND(#REF!,"AAAAAG/Vuvo=")</f>
        <v>#REF!</v>
      </c>
      <c r="IR220" t="e">
        <f>AND(#REF!,"AAAAAG/Vuvs=")</f>
        <v>#REF!</v>
      </c>
      <c r="IS220" t="e">
        <f>AND(#REF!,"AAAAAG/Vuvw=")</f>
        <v>#REF!</v>
      </c>
      <c r="IT220" t="e">
        <f>AND(#REF!,"AAAAAG/Vuv0=")</f>
        <v>#REF!</v>
      </c>
      <c r="IU220" t="e">
        <f>AND(#REF!,"AAAAAG/Vuv4=")</f>
        <v>#REF!</v>
      </c>
      <c r="IV220" t="e">
        <f>AND(#REF!,"AAAAAG/Vuv8=")</f>
        <v>#REF!</v>
      </c>
    </row>
    <row r="221" spans="1:256">
      <c r="A221" t="e">
        <f>AND(#REF!,"AAAAAHl+ygA=")</f>
        <v>#REF!</v>
      </c>
      <c r="B221" t="e">
        <f>AND(#REF!,"AAAAAHl+ygE=")</f>
        <v>#REF!</v>
      </c>
      <c r="C221" t="e">
        <f>AND(#REF!,"AAAAAHl+ygI=")</f>
        <v>#REF!</v>
      </c>
      <c r="D221" t="e">
        <f>AND(#REF!,"AAAAAHl+ygM=")</f>
        <v>#REF!</v>
      </c>
      <c r="E221" t="e">
        <f>AND(#REF!,"AAAAAHl+ygQ=")</f>
        <v>#REF!</v>
      </c>
      <c r="F221" t="e">
        <f>AND(#REF!,"AAAAAHl+ygU=")</f>
        <v>#REF!</v>
      </c>
      <c r="G221" t="e">
        <f>AND(#REF!,"AAAAAHl+ygY=")</f>
        <v>#REF!</v>
      </c>
      <c r="H221" t="e">
        <f>AND(#REF!,"AAAAAHl+ygc=")</f>
        <v>#REF!</v>
      </c>
      <c r="I221" t="e">
        <f>AND(#REF!,"AAAAAHl+ygg=")</f>
        <v>#REF!</v>
      </c>
      <c r="J221" t="e">
        <f>AND(#REF!,"AAAAAHl+ygk=")</f>
        <v>#REF!</v>
      </c>
      <c r="K221" t="e">
        <f>AND(#REF!,"AAAAAHl+ygo=")</f>
        <v>#REF!</v>
      </c>
      <c r="L221" t="e">
        <f>AND(#REF!,"AAAAAHl+ygs=")</f>
        <v>#REF!</v>
      </c>
      <c r="M221" t="e">
        <f>AND(#REF!,"AAAAAHl+ygw=")</f>
        <v>#REF!</v>
      </c>
      <c r="N221" t="e">
        <f>AND(#REF!,"AAAAAHl+yg0=")</f>
        <v>#REF!</v>
      </c>
      <c r="O221" t="e">
        <f>AND(#REF!,"AAAAAHl+yg4=")</f>
        <v>#REF!</v>
      </c>
      <c r="P221" t="e">
        <f>IF(#REF!,"AAAAAHl+yg8=",0)</f>
        <v>#REF!</v>
      </c>
      <c r="Q221" t="e">
        <f>AND(#REF!,"AAAAAHl+yhA=")</f>
        <v>#REF!</v>
      </c>
      <c r="R221" t="e">
        <f>AND(#REF!,"AAAAAHl+yhE=")</f>
        <v>#REF!</v>
      </c>
      <c r="S221" t="e">
        <f>AND(#REF!,"AAAAAHl+yhI=")</f>
        <v>#REF!</v>
      </c>
      <c r="T221" t="e">
        <f>AND(#REF!,"AAAAAHl+yhM=")</f>
        <v>#REF!</v>
      </c>
      <c r="U221" t="e">
        <f>AND(#REF!,"AAAAAHl+yhQ=")</f>
        <v>#REF!</v>
      </c>
      <c r="V221" t="e">
        <f>AND(#REF!,"AAAAAHl+yhU=")</f>
        <v>#REF!</v>
      </c>
      <c r="W221" t="e">
        <f>AND(#REF!,"AAAAAHl+yhY=")</f>
        <v>#REF!</v>
      </c>
      <c r="X221" t="e">
        <f>AND(#REF!,"AAAAAHl+yhc=")</f>
        <v>#REF!</v>
      </c>
      <c r="Y221" t="e">
        <f>AND(#REF!,"AAAAAHl+yhg=")</f>
        <v>#REF!</v>
      </c>
      <c r="Z221" t="e">
        <f>AND(#REF!,"AAAAAHl+yhk=")</f>
        <v>#REF!</v>
      </c>
      <c r="AA221" t="e">
        <f>AND(#REF!,"AAAAAHl+yho=")</f>
        <v>#REF!</v>
      </c>
      <c r="AB221" t="e">
        <f>AND(#REF!,"AAAAAHl+yhs=")</f>
        <v>#REF!</v>
      </c>
      <c r="AC221" t="e">
        <f>AND(#REF!,"AAAAAHl+yhw=")</f>
        <v>#REF!</v>
      </c>
      <c r="AD221" t="e">
        <f>AND(#REF!,"AAAAAHl+yh0=")</f>
        <v>#REF!</v>
      </c>
      <c r="AE221" t="e">
        <f>AND(#REF!,"AAAAAHl+yh4=")</f>
        <v>#REF!</v>
      </c>
      <c r="AF221" t="e">
        <f>AND(#REF!,"AAAAAHl+yh8=")</f>
        <v>#REF!</v>
      </c>
      <c r="AG221" t="e">
        <f>AND(#REF!,"AAAAAHl+yiA=")</f>
        <v>#REF!</v>
      </c>
      <c r="AH221" t="e">
        <f>AND(#REF!,"AAAAAHl+yiE=")</f>
        <v>#REF!</v>
      </c>
      <c r="AI221" t="e">
        <f>AND(#REF!,"AAAAAHl+yiI=")</f>
        <v>#REF!</v>
      </c>
      <c r="AJ221" t="e">
        <f>AND(#REF!,"AAAAAHl+yiM=")</f>
        <v>#REF!</v>
      </c>
      <c r="AK221" t="e">
        <f>AND(#REF!,"AAAAAHl+yiQ=")</f>
        <v>#REF!</v>
      </c>
      <c r="AL221" t="e">
        <f>AND(#REF!,"AAAAAHl+yiU=")</f>
        <v>#REF!</v>
      </c>
      <c r="AM221" t="e">
        <f>AND(#REF!,"AAAAAHl+yiY=")</f>
        <v>#REF!</v>
      </c>
      <c r="AN221" t="e">
        <f>AND(#REF!,"AAAAAHl+yic=")</f>
        <v>#REF!</v>
      </c>
      <c r="AO221" t="e">
        <f>IF(#REF!,"AAAAAHl+yig=",0)</f>
        <v>#REF!</v>
      </c>
      <c r="AP221" t="e">
        <f>AND(#REF!,"AAAAAHl+yik=")</f>
        <v>#REF!</v>
      </c>
      <c r="AQ221" t="e">
        <f>AND(#REF!,"AAAAAHl+yio=")</f>
        <v>#REF!</v>
      </c>
      <c r="AR221" t="e">
        <f>AND(#REF!,"AAAAAHl+yis=")</f>
        <v>#REF!</v>
      </c>
      <c r="AS221" t="e">
        <f>AND(#REF!,"AAAAAHl+yiw=")</f>
        <v>#REF!</v>
      </c>
      <c r="AT221" t="e">
        <f>AND(#REF!,"AAAAAHl+yi0=")</f>
        <v>#REF!</v>
      </c>
      <c r="AU221" t="e">
        <f>AND(#REF!,"AAAAAHl+yi4=")</f>
        <v>#REF!</v>
      </c>
      <c r="AV221" t="e">
        <f>AND(#REF!,"AAAAAHl+yi8=")</f>
        <v>#REF!</v>
      </c>
      <c r="AW221" t="e">
        <f>AND(#REF!,"AAAAAHl+yjA=")</f>
        <v>#REF!</v>
      </c>
      <c r="AX221" t="e">
        <f>AND(#REF!,"AAAAAHl+yjE=")</f>
        <v>#REF!</v>
      </c>
      <c r="AY221" t="e">
        <f>AND(#REF!,"AAAAAHl+yjI=")</f>
        <v>#REF!</v>
      </c>
      <c r="AZ221" t="e">
        <f>AND(#REF!,"AAAAAHl+yjM=")</f>
        <v>#REF!</v>
      </c>
      <c r="BA221" t="e">
        <f>AND(#REF!,"AAAAAHl+yjQ=")</f>
        <v>#REF!</v>
      </c>
      <c r="BB221" t="e">
        <f>AND(#REF!,"AAAAAHl+yjU=")</f>
        <v>#REF!</v>
      </c>
      <c r="BC221" t="e">
        <f>AND(#REF!,"AAAAAHl+yjY=")</f>
        <v>#REF!</v>
      </c>
      <c r="BD221" t="e">
        <f>AND(#REF!,"AAAAAHl+yjc=")</f>
        <v>#REF!</v>
      </c>
      <c r="BE221" t="e">
        <f>AND(#REF!,"AAAAAHl+yjg=")</f>
        <v>#REF!</v>
      </c>
      <c r="BF221" t="e">
        <f>AND(#REF!,"AAAAAHl+yjk=")</f>
        <v>#REF!</v>
      </c>
      <c r="BG221" t="e">
        <f>AND(#REF!,"AAAAAHl+yjo=")</f>
        <v>#REF!</v>
      </c>
      <c r="BH221" t="e">
        <f>AND(#REF!,"AAAAAHl+yjs=")</f>
        <v>#REF!</v>
      </c>
      <c r="BI221" t="e">
        <f>AND(#REF!,"AAAAAHl+yjw=")</f>
        <v>#REF!</v>
      </c>
      <c r="BJ221" t="e">
        <f>AND(#REF!,"AAAAAHl+yj0=")</f>
        <v>#REF!</v>
      </c>
      <c r="BK221" t="e">
        <f>AND(#REF!,"AAAAAHl+yj4=")</f>
        <v>#REF!</v>
      </c>
      <c r="BL221" t="e">
        <f>AND(#REF!,"AAAAAHl+yj8=")</f>
        <v>#REF!</v>
      </c>
      <c r="BM221" t="e">
        <f>AND(#REF!,"AAAAAHl+ykA=")</f>
        <v>#REF!</v>
      </c>
      <c r="BN221" t="e">
        <f>IF(#REF!,"AAAAAHl+ykE=",0)</f>
        <v>#REF!</v>
      </c>
      <c r="BO221" t="e">
        <f>AND(#REF!,"AAAAAHl+ykI=")</f>
        <v>#REF!</v>
      </c>
      <c r="BP221" t="e">
        <f>AND(#REF!,"AAAAAHl+ykM=")</f>
        <v>#REF!</v>
      </c>
      <c r="BQ221" t="e">
        <f>AND(#REF!,"AAAAAHl+ykQ=")</f>
        <v>#REF!</v>
      </c>
      <c r="BR221" t="e">
        <f>AND(#REF!,"AAAAAHl+ykU=")</f>
        <v>#REF!</v>
      </c>
      <c r="BS221" t="e">
        <f>AND(#REF!,"AAAAAHl+ykY=")</f>
        <v>#REF!</v>
      </c>
      <c r="BT221" t="e">
        <f>AND(#REF!,"AAAAAHl+ykc=")</f>
        <v>#REF!</v>
      </c>
      <c r="BU221" t="e">
        <f>AND(#REF!,"AAAAAHl+ykg=")</f>
        <v>#REF!</v>
      </c>
      <c r="BV221" t="e">
        <f>AND(#REF!,"AAAAAHl+ykk=")</f>
        <v>#REF!</v>
      </c>
      <c r="BW221" t="e">
        <f>AND(#REF!,"AAAAAHl+yko=")</f>
        <v>#REF!</v>
      </c>
      <c r="BX221" t="e">
        <f>AND(#REF!,"AAAAAHl+yks=")</f>
        <v>#REF!</v>
      </c>
      <c r="BY221" t="e">
        <f>AND(#REF!,"AAAAAHl+ykw=")</f>
        <v>#REF!</v>
      </c>
      <c r="BZ221" t="e">
        <f>AND(#REF!,"AAAAAHl+yk0=")</f>
        <v>#REF!</v>
      </c>
      <c r="CA221" t="e">
        <f>AND(#REF!,"AAAAAHl+yk4=")</f>
        <v>#REF!</v>
      </c>
      <c r="CB221" t="e">
        <f>AND(#REF!,"AAAAAHl+yk8=")</f>
        <v>#REF!</v>
      </c>
      <c r="CC221" t="e">
        <f>AND(#REF!,"AAAAAHl+ylA=")</f>
        <v>#REF!</v>
      </c>
      <c r="CD221" t="e">
        <f>AND(#REF!,"AAAAAHl+ylE=")</f>
        <v>#REF!</v>
      </c>
      <c r="CE221" t="e">
        <f>AND(#REF!,"AAAAAHl+ylI=")</f>
        <v>#REF!</v>
      </c>
      <c r="CF221" t="e">
        <f>AND(#REF!,"AAAAAHl+ylM=")</f>
        <v>#REF!</v>
      </c>
      <c r="CG221" t="e">
        <f>AND(#REF!,"AAAAAHl+ylQ=")</f>
        <v>#REF!</v>
      </c>
      <c r="CH221" t="e">
        <f>AND(#REF!,"AAAAAHl+ylU=")</f>
        <v>#REF!</v>
      </c>
      <c r="CI221" t="e">
        <f>AND(#REF!,"AAAAAHl+ylY=")</f>
        <v>#REF!</v>
      </c>
      <c r="CJ221" t="e">
        <f>AND(#REF!,"AAAAAHl+ylc=")</f>
        <v>#REF!</v>
      </c>
      <c r="CK221" t="e">
        <f>AND(#REF!,"AAAAAHl+ylg=")</f>
        <v>#REF!</v>
      </c>
      <c r="CL221" t="e">
        <f>AND(#REF!,"AAAAAHl+ylk=")</f>
        <v>#REF!</v>
      </c>
      <c r="CM221" t="e">
        <f>IF(#REF!,"AAAAAHl+ylo=",0)</f>
        <v>#REF!</v>
      </c>
      <c r="CN221" t="e">
        <f>AND(#REF!,"AAAAAHl+yls=")</f>
        <v>#REF!</v>
      </c>
      <c r="CO221" t="e">
        <f>AND(#REF!,"AAAAAHl+ylw=")</f>
        <v>#REF!</v>
      </c>
      <c r="CP221" t="e">
        <f>AND(#REF!,"AAAAAHl+yl0=")</f>
        <v>#REF!</v>
      </c>
      <c r="CQ221" t="e">
        <f>AND(#REF!,"AAAAAHl+yl4=")</f>
        <v>#REF!</v>
      </c>
      <c r="CR221" t="e">
        <f>AND(#REF!,"AAAAAHl+yl8=")</f>
        <v>#REF!</v>
      </c>
      <c r="CS221" t="e">
        <f>AND(#REF!,"AAAAAHl+ymA=")</f>
        <v>#REF!</v>
      </c>
      <c r="CT221" t="e">
        <f>AND(#REF!,"AAAAAHl+ymE=")</f>
        <v>#REF!</v>
      </c>
      <c r="CU221" t="e">
        <f>AND(#REF!,"AAAAAHl+ymI=")</f>
        <v>#REF!</v>
      </c>
      <c r="CV221" t="e">
        <f>AND(#REF!,"AAAAAHl+ymM=")</f>
        <v>#REF!</v>
      </c>
      <c r="CW221" t="e">
        <f>AND(#REF!,"AAAAAHl+ymQ=")</f>
        <v>#REF!</v>
      </c>
      <c r="CX221" t="e">
        <f>AND(#REF!,"AAAAAHl+ymU=")</f>
        <v>#REF!</v>
      </c>
      <c r="CY221" t="e">
        <f>AND(#REF!,"AAAAAHl+ymY=")</f>
        <v>#REF!</v>
      </c>
      <c r="CZ221" t="e">
        <f>AND(#REF!,"AAAAAHl+ymc=")</f>
        <v>#REF!</v>
      </c>
      <c r="DA221" t="e">
        <f>AND(#REF!,"AAAAAHl+ymg=")</f>
        <v>#REF!</v>
      </c>
      <c r="DB221" t="e">
        <f>AND(#REF!,"AAAAAHl+ymk=")</f>
        <v>#REF!</v>
      </c>
      <c r="DC221" t="e">
        <f>AND(#REF!,"AAAAAHl+ymo=")</f>
        <v>#REF!</v>
      </c>
      <c r="DD221" t="e">
        <f>AND(#REF!,"AAAAAHl+yms=")</f>
        <v>#REF!</v>
      </c>
      <c r="DE221" t="e">
        <f>AND(#REF!,"AAAAAHl+ymw=")</f>
        <v>#REF!</v>
      </c>
      <c r="DF221" t="e">
        <f>AND(#REF!,"AAAAAHl+ym0=")</f>
        <v>#REF!</v>
      </c>
      <c r="DG221" t="e">
        <f>AND(#REF!,"AAAAAHl+ym4=")</f>
        <v>#REF!</v>
      </c>
      <c r="DH221" t="e">
        <f>AND(#REF!,"AAAAAHl+ym8=")</f>
        <v>#REF!</v>
      </c>
      <c r="DI221" t="e">
        <f>AND(#REF!,"AAAAAHl+ynA=")</f>
        <v>#REF!</v>
      </c>
      <c r="DJ221" t="e">
        <f>AND(#REF!,"AAAAAHl+ynE=")</f>
        <v>#REF!</v>
      </c>
      <c r="DK221" t="e">
        <f>AND(#REF!,"AAAAAHl+ynI=")</f>
        <v>#REF!</v>
      </c>
      <c r="DL221" t="e">
        <f>IF(#REF!,"AAAAAHl+ynM=",0)</f>
        <v>#REF!</v>
      </c>
      <c r="DM221" t="e">
        <f>AND(#REF!,"AAAAAHl+ynQ=")</f>
        <v>#REF!</v>
      </c>
      <c r="DN221" t="e">
        <f>AND(#REF!,"AAAAAHl+ynU=")</f>
        <v>#REF!</v>
      </c>
      <c r="DO221" t="e">
        <f>AND(#REF!,"AAAAAHl+ynY=")</f>
        <v>#REF!</v>
      </c>
      <c r="DP221" t="e">
        <f>AND(#REF!,"AAAAAHl+ync=")</f>
        <v>#REF!</v>
      </c>
      <c r="DQ221" t="e">
        <f>AND(#REF!,"AAAAAHl+yng=")</f>
        <v>#REF!</v>
      </c>
      <c r="DR221" t="e">
        <f>AND(#REF!,"AAAAAHl+ynk=")</f>
        <v>#REF!</v>
      </c>
      <c r="DS221" t="e">
        <f>AND(#REF!,"AAAAAHl+yno=")</f>
        <v>#REF!</v>
      </c>
      <c r="DT221" t="e">
        <f>AND(#REF!,"AAAAAHl+yns=")</f>
        <v>#REF!</v>
      </c>
      <c r="DU221" t="e">
        <f>AND(#REF!,"AAAAAHl+ynw=")</f>
        <v>#REF!</v>
      </c>
      <c r="DV221" t="e">
        <f>AND(#REF!,"AAAAAHl+yn0=")</f>
        <v>#REF!</v>
      </c>
      <c r="DW221" t="e">
        <f>AND(#REF!,"AAAAAHl+yn4=")</f>
        <v>#REF!</v>
      </c>
      <c r="DX221" t="e">
        <f>AND(#REF!,"AAAAAHl+yn8=")</f>
        <v>#REF!</v>
      </c>
      <c r="DY221" t="e">
        <f>AND(#REF!,"AAAAAHl+yoA=")</f>
        <v>#REF!</v>
      </c>
      <c r="DZ221" t="e">
        <f>AND(#REF!,"AAAAAHl+yoE=")</f>
        <v>#REF!</v>
      </c>
      <c r="EA221" t="e">
        <f>AND(#REF!,"AAAAAHl+yoI=")</f>
        <v>#REF!</v>
      </c>
      <c r="EB221" t="e">
        <f>AND(#REF!,"AAAAAHl+yoM=")</f>
        <v>#REF!</v>
      </c>
      <c r="EC221" t="e">
        <f>AND(#REF!,"AAAAAHl+yoQ=")</f>
        <v>#REF!</v>
      </c>
      <c r="ED221" t="e">
        <f>AND(#REF!,"AAAAAHl+yoU=")</f>
        <v>#REF!</v>
      </c>
      <c r="EE221" t="e">
        <f>AND(#REF!,"AAAAAHl+yoY=")</f>
        <v>#REF!</v>
      </c>
      <c r="EF221" t="e">
        <f>AND(#REF!,"AAAAAHl+yoc=")</f>
        <v>#REF!</v>
      </c>
      <c r="EG221" t="e">
        <f>AND(#REF!,"AAAAAHl+yog=")</f>
        <v>#REF!</v>
      </c>
      <c r="EH221" t="e">
        <f>AND(#REF!,"AAAAAHl+yok=")</f>
        <v>#REF!</v>
      </c>
      <c r="EI221" t="e">
        <f>AND(#REF!,"AAAAAHl+yoo=")</f>
        <v>#REF!</v>
      </c>
      <c r="EJ221" t="e">
        <f>AND(#REF!,"AAAAAHl+yos=")</f>
        <v>#REF!</v>
      </c>
      <c r="EK221" t="e">
        <f>IF(#REF!,"AAAAAHl+yow=",0)</f>
        <v>#REF!</v>
      </c>
      <c r="EL221" t="e">
        <f>AND(#REF!,"AAAAAHl+yo0=")</f>
        <v>#REF!</v>
      </c>
      <c r="EM221" t="e">
        <f>AND(#REF!,"AAAAAHl+yo4=")</f>
        <v>#REF!</v>
      </c>
      <c r="EN221" t="e">
        <f>AND(#REF!,"AAAAAHl+yo8=")</f>
        <v>#REF!</v>
      </c>
      <c r="EO221" t="e">
        <f>AND(#REF!,"AAAAAHl+ypA=")</f>
        <v>#REF!</v>
      </c>
      <c r="EP221" t="e">
        <f>AND(#REF!,"AAAAAHl+ypE=")</f>
        <v>#REF!</v>
      </c>
      <c r="EQ221" t="e">
        <f>AND(#REF!,"AAAAAHl+ypI=")</f>
        <v>#REF!</v>
      </c>
      <c r="ER221" t="e">
        <f>AND(#REF!,"AAAAAHl+ypM=")</f>
        <v>#REF!</v>
      </c>
      <c r="ES221" t="e">
        <f>AND(#REF!,"AAAAAHl+ypQ=")</f>
        <v>#REF!</v>
      </c>
      <c r="ET221" t="e">
        <f>AND(#REF!,"AAAAAHl+ypU=")</f>
        <v>#REF!</v>
      </c>
      <c r="EU221" t="e">
        <f>AND(#REF!,"AAAAAHl+ypY=")</f>
        <v>#REF!</v>
      </c>
      <c r="EV221" t="e">
        <f>AND(#REF!,"AAAAAHl+ypc=")</f>
        <v>#REF!</v>
      </c>
      <c r="EW221" t="e">
        <f>AND(#REF!,"AAAAAHl+ypg=")</f>
        <v>#REF!</v>
      </c>
      <c r="EX221" t="e">
        <f>AND(#REF!,"AAAAAHl+ypk=")</f>
        <v>#REF!</v>
      </c>
      <c r="EY221" t="e">
        <f>AND(#REF!,"AAAAAHl+ypo=")</f>
        <v>#REF!</v>
      </c>
      <c r="EZ221" t="e">
        <f>AND(#REF!,"AAAAAHl+yps=")</f>
        <v>#REF!</v>
      </c>
      <c r="FA221" t="e">
        <f>AND(#REF!,"AAAAAHl+ypw=")</f>
        <v>#REF!</v>
      </c>
      <c r="FB221" t="e">
        <f>AND(#REF!,"AAAAAHl+yp0=")</f>
        <v>#REF!</v>
      </c>
      <c r="FC221" t="e">
        <f>AND(#REF!,"AAAAAHl+yp4=")</f>
        <v>#REF!</v>
      </c>
      <c r="FD221" t="e">
        <f>AND(#REF!,"AAAAAHl+yp8=")</f>
        <v>#REF!</v>
      </c>
      <c r="FE221" t="e">
        <f>AND(#REF!,"AAAAAHl+yqA=")</f>
        <v>#REF!</v>
      </c>
      <c r="FF221" t="e">
        <f>AND(#REF!,"AAAAAHl+yqE=")</f>
        <v>#REF!</v>
      </c>
      <c r="FG221" t="e">
        <f>AND(#REF!,"AAAAAHl+yqI=")</f>
        <v>#REF!</v>
      </c>
      <c r="FH221" t="e">
        <f>AND(#REF!,"AAAAAHl+yqM=")</f>
        <v>#REF!</v>
      </c>
      <c r="FI221" t="e">
        <f>AND(#REF!,"AAAAAHl+yqQ=")</f>
        <v>#REF!</v>
      </c>
      <c r="FJ221" t="e">
        <f>IF(#REF!,"AAAAAHl+yqU=",0)</f>
        <v>#REF!</v>
      </c>
      <c r="FK221" t="e">
        <f>AND(#REF!,"AAAAAHl+yqY=")</f>
        <v>#REF!</v>
      </c>
      <c r="FL221" t="e">
        <f>AND(#REF!,"AAAAAHl+yqc=")</f>
        <v>#REF!</v>
      </c>
      <c r="FM221" t="e">
        <f>AND(#REF!,"AAAAAHl+yqg=")</f>
        <v>#REF!</v>
      </c>
      <c r="FN221" t="e">
        <f>AND(#REF!,"AAAAAHl+yqk=")</f>
        <v>#REF!</v>
      </c>
      <c r="FO221" t="e">
        <f>AND(#REF!,"AAAAAHl+yqo=")</f>
        <v>#REF!</v>
      </c>
      <c r="FP221" t="e">
        <f>AND(#REF!,"AAAAAHl+yqs=")</f>
        <v>#REF!</v>
      </c>
      <c r="FQ221" t="e">
        <f>AND(#REF!,"AAAAAHl+yqw=")</f>
        <v>#REF!</v>
      </c>
      <c r="FR221" t="e">
        <f>AND(#REF!,"AAAAAHl+yq0=")</f>
        <v>#REF!</v>
      </c>
      <c r="FS221" t="e">
        <f>AND(#REF!,"AAAAAHl+yq4=")</f>
        <v>#REF!</v>
      </c>
      <c r="FT221" t="e">
        <f>AND(#REF!,"AAAAAHl+yq8=")</f>
        <v>#REF!</v>
      </c>
      <c r="FU221" t="e">
        <f>AND(#REF!,"AAAAAHl+yrA=")</f>
        <v>#REF!</v>
      </c>
      <c r="FV221" t="e">
        <f>AND(#REF!,"AAAAAHl+yrE=")</f>
        <v>#REF!</v>
      </c>
      <c r="FW221" t="e">
        <f>AND(#REF!,"AAAAAHl+yrI=")</f>
        <v>#REF!</v>
      </c>
      <c r="FX221" t="e">
        <f>AND(#REF!,"AAAAAHl+yrM=")</f>
        <v>#REF!</v>
      </c>
      <c r="FY221" t="e">
        <f>AND(#REF!,"AAAAAHl+yrQ=")</f>
        <v>#REF!</v>
      </c>
      <c r="FZ221" t="e">
        <f>AND(#REF!,"AAAAAHl+yrU=")</f>
        <v>#REF!</v>
      </c>
      <c r="GA221" t="e">
        <f>AND(#REF!,"AAAAAHl+yrY=")</f>
        <v>#REF!</v>
      </c>
      <c r="GB221" t="e">
        <f>AND(#REF!,"AAAAAHl+yrc=")</f>
        <v>#REF!</v>
      </c>
      <c r="GC221" t="e">
        <f>AND(#REF!,"AAAAAHl+yrg=")</f>
        <v>#REF!</v>
      </c>
      <c r="GD221" t="e">
        <f>AND(#REF!,"AAAAAHl+yrk=")</f>
        <v>#REF!</v>
      </c>
      <c r="GE221" t="e">
        <f>AND(#REF!,"AAAAAHl+yro=")</f>
        <v>#REF!</v>
      </c>
      <c r="GF221" t="e">
        <f>AND(#REF!,"AAAAAHl+yrs=")</f>
        <v>#REF!</v>
      </c>
      <c r="GG221" t="e">
        <f>AND(#REF!,"AAAAAHl+yrw=")</f>
        <v>#REF!</v>
      </c>
      <c r="GH221" t="e">
        <f>AND(#REF!,"AAAAAHl+yr0=")</f>
        <v>#REF!</v>
      </c>
      <c r="GI221" t="e">
        <f>IF(#REF!,"AAAAAHl+yr4=",0)</f>
        <v>#REF!</v>
      </c>
      <c r="GJ221" t="e">
        <f>AND(#REF!,"AAAAAHl+yr8=")</f>
        <v>#REF!</v>
      </c>
      <c r="GK221" t="e">
        <f>AND(#REF!,"AAAAAHl+ysA=")</f>
        <v>#REF!</v>
      </c>
      <c r="GL221" t="e">
        <f>AND(#REF!,"AAAAAHl+ysE=")</f>
        <v>#REF!</v>
      </c>
      <c r="GM221" t="e">
        <f>AND(#REF!,"AAAAAHl+ysI=")</f>
        <v>#REF!</v>
      </c>
      <c r="GN221" t="e">
        <f>AND(#REF!,"AAAAAHl+ysM=")</f>
        <v>#REF!</v>
      </c>
      <c r="GO221" t="e">
        <f>AND(#REF!,"AAAAAHl+ysQ=")</f>
        <v>#REF!</v>
      </c>
      <c r="GP221" t="e">
        <f>AND(#REF!,"AAAAAHl+ysU=")</f>
        <v>#REF!</v>
      </c>
      <c r="GQ221" t="e">
        <f>AND(#REF!,"AAAAAHl+ysY=")</f>
        <v>#REF!</v>
      </c>
      <c r="GR221" t="e">
        <f>AND(#REF!,"AAAAAHl+ysc=")</f>
        <v>#REF!</v>
      </c>
      <c r="GS221" t="e">
        <f>AND(#REF!,"AAAAAHl+ysg=")</f>
        <v>#REF!</v>
      </c>
      <c r="GT221" t="e">
        <f>AND(#REF!,"AAAAAHl+ysk=")</f>
        <v>#REF!</v>
      </c>
      <c r="GU221" t="e">
        <f>AND(#REF!,"AAAAAHl+yso=")</f>
        <v>#REF!</v>
      </c>
      <c r="GV221" t="e">
        <f>AND(#REF!,"AAAAAHl+yss=")</f>
        <v>#REF!</v>
      </c>
      <c r="GW221" t="e">
        <f>AND(#REF!,"AAAAAHl+ysw=")</f>
        <v>#REF!</v>
      </c>
      <c r="GX221" t="e">
        <f>AND(#REF!,"AAAAAHl+ys0=")</f>
        <v>#REF!</v>
      </c>
      <c r="GY221" t="e">
        <f>AND(#REF!,"AAAAAHl+ys4=")</f>
        <v>#REF!</v>
      </c>
      <c r="GZ221" t="e">
        <f>AND(#REF!,"AAAAAHl+ys8=")</f>
        <v>#REF!</v>
      </c>
      <c r="HA221" t="e">
        <f>AND(#REF!,"AAAAAHl+ytA=")</f>
        <v>#REF!</v>
      </c>
      <c r="HB221" t="e">
        <f>AND(#REF!,"AAAAAHl+ytE=")</f>
        <v>#REF!</v>
      </c>
      <c r="HC221" t="e">
        <f>AND(#REF!,"AAAAAHl+ytI=")</f>
        <v>#REF!</v>
      </c>
      <c r="HD221" t="e">
        <f>AND(#REF!,"AAAAAHl+ytM=")</f>
        <v>#REF!</v>
      </c>
      <c r="HE221" t="e">
        <f>AND(#REF!,"AAAAAHl+ytQ=")</f>
        <v>#REF!</v>
      </c>
      <c r="HF221" t="e">
        <f>AND(#REF!,"AAAAAHl+ytU=")</f>
        <v>#REF!</v>
      </c>
      <c r="HG221" t="e">
        <f>AND(#REF!,"AAAAAHl+ytY=")</f>
        <v>#REF!</v>
      </c>
      <c r="HH221" t="e">
        <f>IF(#REF!,"AAAAAHl+ytc=",0)</f>
        <v>#REF!</v>
      </c>
      <c r="HI221" t="e">
        <f>AND(#REF!,"AAAAAHl+ytg=")</f>
        <v>#REF!</v>
      </c>
      <c r="HJ221" t="e">
        <f>AND(#REF!,"AAAAAHl+ytk=")</f>
        <v>#REF!</v>
      </c>
      <c r="HK221" t="e">
        <f>AND(#REF!,"AAAAAHl+yto=")</f>
        <v>#REF!</v>
      </c>
      <c r="HL221" t="e">
        <f>AND(#REF!,"AAAAAHl+yts=")</f>
        <v>#REF!</v>
      </c>
      <c r="HM221" t="e">
        <f>AND(#REF!,"AAAAAHl+ytw=")</f>
        <v>#REF!</v>
      </c>
      <c r="HN221" t="e">
        <f>AND(#REF!,"AAAAAHl+yt0=")</f>
        <v>#REF!</v>
      </c>
      <c r="HO221" t="e">
        <f>AND(#REF!,"AAAAAHl+yt4=")</f>
        <v>#REF!</v>
      </c>
      <c r="HP221" t="e">
        <f>AND(#REF!,"AAAAAHl+yt8=")</f>
        <v>#REF!</v>
      </c>
      <c r="HQ221" t="e">
        <f>AND(#REF!,"AAAAAHl+yuA=")</f>
        <v>#REF!</v>
      </c>
      <c r="HR221" t="e">
        <f>AND(#REF!,"AAAAAHl+yuE=")</f>
        <v>#REF!</v>
      </c>
      <c r="HS221" t="e">
        <f>AND(#REF!,"AAAAAHl+yuI=")</f>
        <v>#REF!</v>
      </c>
      <c r="HT221" t="e">
        <f>AND(#REF!,"AAAAAHl+yuM=")</f>
        <v>#REF!</v>
      </c>
      <c r="HU221" t="e">
        <f>AND(#REF!,"AAAAAHl+yuQ=")</f>
        <v>#REF!</v>
      </c>
      <c r="HV221" t="e">
        <f>AND(#REF!,"AAAAAHl+yuU=")</f>
        <v>#REF!</v>
      </c>
      <c r="HW221" t="e">
        <f>AND(#REF!,"AAAAAHl+yuY=")</f>
        <v>#REF!</v>
      </c>
      <c r="HX221" t="e">
        <f>AND(#REF!,"AAAAAHl+yuc=")</f>
        <v>#REF!</v>
      </c>
      <c r="HY221" t="e">
        <f>AND(#REF!,"AAAAAHl+yug=")</f>
        <v>#REF!</v>
      </c>
      <c r="HZ221" t="e">
        <f>AND(#REF!,"AAAAAHl+yuk=")</f>
        <v>#REF!</v>
      </c>
      <c r="IA221" t="e">
        <f>AND(#REF!,"AAAAAHl+yuo=")</f>
        <v>#REF!</v>
      </c>
      <c r="IB221" t="e">
        <f>AND(#REF!,"AAAAAHl+yus=")</f>
        <v>#REF!</v>
      </c>
      <c r="IC221" t="e">
        <f>AND(#REF!,"AAAAAHl+yuw=")</f>
        <v>#REF!</v>
      </c>
      <c r="ID221" t="e">
        <f>AND(#REF!,"AAAAAHl+yu0=")</f>
        <v>#REF!</v>
      </c>
      <c r="IE221" t="e">
        <f>AND(#REF!,"AAAAAHl+yu4=")</f>
        <v>#REF!</v>
      </c>
      <c r="IF221" t="e">
        <f>AND(#REF!,"AAAAAHl+yu8=")</f>
        <v>#REF!</v>
      </c>
      <c r="IG221" t="e">
        <f>IF(#REF!,"AAAAAHl+yvA=",0)</f>
        <v>#REF!</v>
      </c>
      <c r="IH221" t="e">
        <f>AND(#REF!,"AAAAAHl+yvE=")</f>
        <v>#REF!</v>
      </c>
      <c r="II221" t="e">
        <f>AND(#REF!,"AAAAAHl+yvI=")</f>
        <v>#REF!</v>
      </c>
      <c r="IJ221" t="e">
        <f>AND(#REF!,"AAAAAHl+yvM=")</f>
        <v>#REF!</v>
      </c>
      <c r="IK221" t="e">
        <f>AND(#REF!,"AAAAAHl+yvQ=")</f>
        <v>#REF!</v>
      </c>
      <c r="IL221" t="e">
        <f>AND(#REF!,"AAAAAHl+yvU=")</f>
        <v>#REF!</v>
      </c>
      <c r="IM221" t="e">
        <f>AND(#REF!,"AAAAAHl+yvY=")</f>
        <v>#REF!</v>
      </c>
      <c r="IN221" t="e">
        <f>AND(#REF!,"AAAAAHl+yvc=")</f>
        <v>#REF!</v>
      </c>
      <c r="IO221" t="e">
        <f>AND(#REF!,"AAAAAHl+yvg=")</f>
        <v>#REF!</v>
      </c>
      <c r="IP221" t="e">
        <f>AND(#REF!,"AAAAAHl+yvk=")</f>
        <v>#REF!</v>
      </c>
      <c r="IQ221" t="e">
        <f>AND(#REF!,"AAAAAHl+yvo=")</f>
        <v>#REF!</v>
      </c>
      <c r="IR221" t="e">
        <f>AND(#REF!,"AAAAAHl+yvs=")</f>
        <v>#REF!</v>
      </c>
      <c r="IS221" t="e">
        <f>AND(#REF!,"AAAAAHl+yvw=")</f>
        <v>#REF!</v>
      </c>
      <c r="IT221" t="e">
        <f>AND(#REF!,"AAAAAHl+yv0=")</f>
        <v>#REF!</v>
      </c>
      <c r="IU221" t="e">
        <f>AND(#REF!,"AAAAAHl+yv4=")</f>
        <v>#REF!</v>
      </c>
      <c r="IV221" t="e">
        <f>AND(#REF!,"AAAAAHl+yv8=")</f>
        <v>#REF!</v>
      </c>
    </row>
    <row r="222" spans="1:256">
      <c r="A222" t="e">
        <f>AND(#REF!,"AAAAAGNpuwA=")</f>
        <v>#REF!</v>
      </c>
      <c r="B222" t="e">
        <f>AND(#REF!,"AAAAAGNpuwE=")</f>
        <v>#REF!</v>
      </c>
      <c r="C222" t="e">
        <f>AND(#REF!,"AAAAAGNpuwI=")</f>
        <v>#REF!</v>
      </c>
      <c r="D222" t="e">
        <f>AND(#REF!,"AAAAAGNpuwM=")</f>
        <v>#REF!</v>
      </c>
      <c r="E222" t="e">
        <f>AND(#REF!,"AAAAAGNpuwQ=")</f>
        <v>#REF!</v>
      </c>
      <c r="F222" t="e">
        <f>AND(#REF!,"AAAAAGNpuwU=")</f>
        <v>#REF!</v>
      </c>
      <c r="G222" t="e">
        <f>AND(#REF!,"AAAAAGNpuwY=")</f>
        <v>#REF!</v>
      </c>
      <c r="H222" t="e">
        <f>AND(#REF!,"AAAAAGNpuwc=")</f>
        <v>#REF!</v>
      </c>
      <c r="I222" t="e">
        <f>AND(#REF!,"AAAAAGNpuwg=")</f>
        <v>#REF!</v>
      </c>
      <c r="J222" t="e">
        <f>IF(#REF!,"AAAAAGNpuwk=",0)</f>
        <v>#REF!</v>
      </c>
      <c r="K222" t="e">
        <f>AND(#REF!,"AAAAAGNpuwo=")</f>
        <v>#REF!</v>
      </c>
      <c r="L222" t="e">
        <f>AND(#REF!,"AAAAAGNpuws=")</f>
        <v>#REF!</v>
      </c>
      <c r="M222" t="e">
        <f>AND(#REF!,"AAAAAGNpuww=")</f>
        <v>#REF!</v>
      </c>
      <c r="N222" t="e">
        <f>AND(#REF!,"AAAAAGNpuw0=")</f>
        <v>#REF!</v>
      </c>
      <c r="O222" t="e">
        <f>AND(#REF!,"AAAAAGNpuw4=")</f>
        <v>#REF!</v>
      </c>
      <c r="P222" t="e">
        <f>AND(#REF!,"AAAAAGNpuw8=")</f>
        <v>#REF!</v>
      </c>
      <c r="Q222" t="e">
        <f>AND(#REF!,"AAAAAGNpuxA=")</f>
        <v>#REF!</v>
      </c>
      <c r="R222" t="e">
        <f>AND(#REF!,"AAAAAGNpuxE=")</f>
        <v>#REF!</v>
      </c>
      <c r="S222" t="e">
        <f>AND(#REF!,"AAAAAGNpuxI=")</f>
        <v>#REF!</v>
      </c>
      <c r="T222" t="e">
        <f>AND(#REF!,"AAAAAGNpuxM=")</f>
        <v>#REF!</v>
      </c>
      <c r="U222" t="e">
        <f>AND(#REF!,"AAAAAGNpuxQ=")</f>
        <v>#REF!</v>
      </c>
      <c r="V222" t="e">
        <f>AND(#REF!,"AAAAAGNpuxU=")</f>
        <v>#REF!</v>
      </c>
      <c r="W222" t="e">
        <f>AND(#REF!,"AAAAAGNpuxY=")</f>
        <v>#REF!</v>
      </c>
      <c r="X222" t="e">
        <f>AND(#REF!,"AAAAAGNpuxc=")</f>
        <v>#REF!</v>
      </c>
      <c r="Y222" t="e">
        <f>AND(#REF!,"AAAAAGNpuxg=")</f>
        <v>#REF!</v>
      </c>
      <c r="Z222" t="e">
        <f>AND(#REF!,"AAAAAGNpuxk=")</f>
        <v>#REF!</v>
      </c>
      <c r="AA222" t="e">
        <f>AND(#REF!,"AAAAAGNpuxo=")</f>
        <v>#REF!</v>
      </c>
      <c r="AB222" t="e">
        <f>AND(#REF!,"AAAAAGNpuxs=")</f>
        <v>#REF!</v>
      </c>
      <c r="AC222" t="e">
        <f>AND(#REF!,"AAAAAGNpuxw=")</f>
        <v>#REF!</v>
      </c>
      <c r="AD222" t="e">
        <f>AND(#REF!,"AAAAAGNpux0=")</f>
        <v>#REF!</v>
      </c>
      <c r="AE222" t="e">
        <f>AND(#REF!,"AAAAAGNpux4=")</f>
        <v>#REF!</v>
      </c>
      <c r="AF222" t="e">
        <f>AND(#REF!,"AAAAAGNpux8=")</f>
        <v>#REF!</v>
      </c>
      <c r="AG222" t="e">
        <f>AND(#REF!,"AAAAAGNpuyA=")</f>
        <v>#REF!</v>
      </c>
      <c r="AH222" t="e">
        <f>AND(#REF!,"AAAAAGNpuyE=")</f>
        <v>#REF!</v>
      </c>
      <c r="AI222" t="e">
        <f>IF(#REF!,"AAAAAGNpuyI=",0)</f>
        <v>#REF!</v>
      </c>
      <c r="AJ222" t="e">
        <f>AND(#REF!,"AAAAAGNpuyM=")</f>
        <v>#REF!</v>
      </c>
      <c r="AK222" t="e">
        <f>AND(#REF!,"AAAAAGNpuyQ=")</f>
        <v>#REF!</v>
      </c>
      <c r="AL222" t="e">
        <f>AND(#REF!,"AAAAAGNpuyU=")</f>
        <v>#REF!</v>
      </c>
      <c r="AM222" t="e">
        <f>AND(#REF!,"AAAAAGNpuyY=")</f>
        <v>#REF!</v>
      </c>
      <c r="AN222" t="e">
        <f>AND(#REF!,"AAAAAGNpuyc=")</f>
        <v>#REF!</v>
      </c>
      <c r="AO222" t="e">
        <f>AND(#REF!,"AAAAAGNpuyg=")</f>
        <v>#REF!</v>
      </c>
      <c r="AP222" t="e">
        <f>AND(#REF!,"AAAAAGNpuyk=")</f>
        <v>#REF!</v>
      </c>
      <c r="AQ222" t="e">
        <f>AND(#REF!,"AAAAAGNpuyo=")</f>
        <v>#REF!</v>
      </c>
      <c r="AR222" t="e">
        <f>AND(#REF!,"AAAAAGNpuys=")</f>
        <v>#REF!</v>
      </c>
      <c r="AS222" t="e">
        <f>AND(#REF!,"AAAAAGNpuyw=")</f>
        <v>#REF!</v>
      </c>
      <c r="AT222" t="e">
        <f>AND(#REF!,"AAAAAGNpuy0=")</f>
        <v>#REF!</v>
      </c>
      <c r="AU222" t="e">
        <f>AND(#REF!,"AAAAAGNpuy4=")</f>
        <v>#REF!</v>
      </c>
      <c r="AV222" t="e">
        <f>AND(#REF!,"AAAAAGNpuy8=")</f>
        <v>#REF!</v>
      </c>
      <c r="AW222" t="e">
        <f>AND(#REF!,"AAAAAGNpuzA=")</f>
        <v>#REF!</v>
      </c>
      <c r="AX222" t="e">
        <f>AND(#REF!,"AAAAAGNpuzE=")</f>
        <v>#REF!</v>
      </c>
      <c r="AY222" t="e">
        <f>AND(#REF!,"AAAAAGNpuzI=")</f>
        <v>#REF!</v>
      </c>
      <c r="AZ222" t="e">
        <f>AND(#REF!,"AAAAAGNpuzM=")</f>
        <v>#REF!</v>
      </c>
      <c r="BA222" t="e">
        <f>AND(#REF!,"AAAAAGNpuzQ=")</f>
        <v>#REF!</v>
      </c>
      <c r="BB222" t="e">
        <f>AND(#REF!,"AAAAAGNpuzU=")</f>
        <v>#REF!</v>
      </c>
      <c r="BC222" t="e">
        <f>AND(#REF!,"AAAAAGNpuzY=")</f>
        <v>#REF!</v>
      </c>
      <c r="BD222" t="e">
        <f>AND(#REF!,"AAAAAGNpuzc=")</f>
        <v>#REF!</v>
      </c>
      <c r="BE222" t="e">
        <f>AND(#REF!,"AAAAAGNpuzg=")</f>
        <v>#REF!</v>
      </c>
      <c r="BF222" t="e">
        <f>AND(#REF!,"AAAAAGNpuzk=")</f>
        <v>#REF!</v>
      </c>
      <c r="BG222" t="e">
        <f>AND(#REF!,"AAAAAGNpuzo=")</f>
        <v>#REF!</v>
      </c>
      <c r="BH222" t="e">
        <f>IF(#REF!,"AAAAAGNpuzs=",0)</f>
        <v>#REF!</v>
      </c>
      <c r="BI222" t="e">
        <f>AND(#REF!,"AAAAAGNpuzw=")</f>
        <v>#REF!</v>
      </c>
      <c r="BJ222" t="e">
        <f>AND(#REF!,"AAAAAGNpuz0=")</f>
        <v>#REF!</v>
      </c>
      <c r="BK222" t="e">
        <f>AND(#REF!,"AAAAAGNpuz4=")</f>
        <v>#REF!</v>
      </c>
      <c r="BL222" t="e">
        <f>AND(#REF!,"AAAAAGNpuz8=")</f>
        <v>#REF!</v>
      </c>
      <c r="BM222" t="e">
        <f>AND(#REF!,"AAAAAGNpu0A=")</f>
        <v>#REF!</v>
      </c>
      <c r="BN222" t="e">
        <f>AND(#REF!,"AAAAAGNpu0E=")</f>
        <v>#REF!</v>
      </c>
      <c r="BO222" t="e">
        <f>AND(#REF!,"AAAAAGNpu0I=")</f>
        <v>#REF!</v>
      </c>
      <c r="BP222" t="e">
        <f>AND(#REF!,"AAAAAGNpu0M=")</f>
        <v>#REF!</v>
      </c>
      <c r="BQ222" t="e">
        <f>AND(#REF!,"AAAAAGNpu0Q=")</f>
        <v>#REF!</v>
      </c>
      <c r="BR222" t="e">
        <f>AND(#REF!,"AAAAAGNpu0U=")</f>
        <v>#REF!</v>
      </c>
      <c r="BS222" t="e">
        <f>AND(#REF!,"AAAAAGNpu0Y=")</f>
        <v>#REF!</v>
      </c>
      <c r="BT222" t="e">
        <f>AND(#REF!,"AAAAAGNpu0c=")</f>
        <v>#REF!</v>
      </c>
      <c r="BU222" t="e">
        <f>AND(#REF!,"AAAAAGNpu0g=")</f>
        <v>#REF!</v>
      </c>
      <c r="BV222" t="e">
        <f>AND(#REF!,"AAAAAGNpu0k=")</f>
        <v>#REF!</v>
      </c>
      <c r="BW222" t="e">
        <f>AND(#REF!,"AAAAAGNpu0o=")</f>
        <v>#REF!</v>
      </c>
      <c r="BX222" t="e">
        <f>AND(#REF!,"AAAAAGNpu0s=")</f>
        <v>#REF!</v>
      </c>
      <c r="BY222" t="e">
        <f>AND(#REF!,"AAAAAGNpu0w=")</f>
        <v>#REF!</v>
      </c>
      <c r="BZ222" t="e">
        <f>AND(#REF!,"AAAAAGNpu00=")</f>
        <v>#REF!</v>
      </c>
      <c r="CA222" t="e">
        <f>AND(#REF!,"AAAAAGNpu04=")</f>
        <v>#REF!</v>
      </c>
      <c r="CB222" t="e">
        <f>AND(#REF!,"AAAAAGNpu08=")</f>
        <v>#REF!</v>
      </c>
      <c r="CC222" t="e">
        <f>AND(#REF!,"AAAAAGNpu1A=")</f>
        <v>#REF!</v>
      </c>
      <c r="CD222" t="e">
        <f>AND(#REF!,"AAAAAGNpu1E=")</f>
        <v>#REF!</v>
      </c>
      <c r="CE222" t="e">
        <f>AND(#REF!,"AAAAAGNpu1I=")</f>
        <v>#REF!</v>
      </c>
      <c r="CF222" t="e">
        <f>AND(#REF!,"AAAAAGNpu1M=")</f>
        <v>#REF!</v>
      </c>
      <c r="CG222" t="e">
        <f>IF(#REF!,"AAAAAGNpu1Q=",0)</f>
        <v>#REF!</v>
      </c>
      <c r="CH222" t="e">
        <f>AND(#REF!,"AAAAAGNpu1U=")</f>
        <v>#REF!</v>
      </c>
      <c r="CI222" t="e">
        <f>AND(#REF!,"AAAAAGNpu1Y=")</f>
        <v>#REF!</v>
      </c>
      <c r="CJ222" t="e">
        <f>AND(#REF!,"AAAAAGNpu1c=")</f>
        <v>#REF!</v>
      </c>
      <c r="CK222" t="e">
        <f>AND(#REF!,"AAAAAGNpu1g=")</f>
        <v>#REF!</v>
      </c>
      <c r="CL222" t="e">
        <f>AND(#REF!,"AAAAAGNpu1k=")</f>
        <v>#REF!</v>
      </c>
      <c r="CM222" t="e">
        <f>AND(#REF!,"AAAAAGNpu1o=")</f>
        <v>#REF!</v>
      </c>
      <c r="CN222" t="e">
        <f>AND(#REF!,"AAAAAGNpu1s=")</f>
        <v>#REF!</v>
      </c>
      <c r="CO222" t="e">
        <f>AND(#REF!,"AAAAAGNpu1w=")</f>
        <v>#REF!</v>
      </c>
      <c r="CP222" t="e">
        <f>AND(#REF!,"AAAAAGNpu10=")</f>
        <v>#REF!</v>
      </c>
      <c r="CQ222" t="e">
        <f>AND(#REF!,"AAAAAGNpu14=")</f>
        <v>#REF!</v>
      </c>
      <c r="CR222" t="e">
        <f>AND(#REF!,"AAAAAGNpu18=")</f>
        <v>#REF!</v>
      </c>
      <c r="CS222" t="e">
        <f>AND(#REF!,"AAAAAGNpu2A=")</f>
        <v>#REF!</v>
      </c>
      <c r="CT222" t="e">
        <f>AND(#REF!,"AAAAAGNpu2E=")</f>
        <v>#REF!</v>
      </c>
      <c r="CU222" t="e">
        <f>AND(#REF!,"AAAAAGNpu2I=")</f>
        <v>#REF!</v>
      </c>
      <c r="CV222" t="e">
        <f>AND(#REF!,"AAAAAGNpu2M=")</f>
        <v>#REF!</v>
      </c>
      <c r="CW222" t="e">
        <f>AND(#REF!,"AAAAAGNpu2Q=")</f>
        <v>#REF!</v>
      </c>
      <c r="CX222" t="e">
        <f>AND(#REF!,"AAAAAGNpu2U=")</f>
        <v>#REF!</v>
      </c>
      <c r="CY222" t="e">
        <f>AND(#REF!,"AAAAAGNpu2Y=")</f>
        <v>#REF!</v>
      </c>
      <c r="CZ222" t="e">
        <f>AND(#REF!,"AAAAAGNpu2c=")</f>
        <v>#REF!</v>
      </c>
      <c r="DA222" t="e">
        <f>AND(#REF!,"AAAAAGNpu2g=")</f>
        <v>#REF!</v>
      </c>
      <c r="DB222" t="e">
        <f>AND(#REF!,"AAAAAGNpu2k=")</f>
        <v>#REF!</v>
      </c>
      <c r="DC222" t="e">
        <f>AND(#REF!,"AAAAAGNpu2o=")</f>
        <v>#REF!</v>
      </c>
      <c r="DD222" t="e">
        <f>AND(#REF!,"AAAAAGNpu2s=")</f>
        <v>#REF!</v>
      </c>
      <c r="DE222" t="e">
        <f>AND(#REF!,"AAAAAGNpu2w=")</f>
        <v>#REF!</v>
      </c>
      <c r="DF222" t="e">
        <f>IF(#REF!,"AAAAAGNpu20=",0)</f>
        <v>#REF!</v>
      </c>
      <c r="DG222" t="e">
        <f>AND(#REF!,"AAAAAGNpu24=")</f>
        <v>#REF!</v>
      </c>
      <c r="DH222" t="e">
        <f>AND(#REF!,"AAAAAGNpu28=")</f>
        <v>#REF!</v>
      </c>
      <c r="DI222" t="e">
        <f>AND(#REF!,"AAAAAGNpu3A=")</f>
        <v>#REF!</v>
      </c>
      <c r="DJ222" t="e">
        <f>AND(#REF!,"AAAAAGNpu3E=")</f>
        <v>#REF!</v>
      </c>
      <c r="DK222" t="e">
        <f>AND(#REF!,"AAAAAGNpu3I=")</f>
        <v>#REF!</v>
      </c>
      <c r="DL222" t="e">
        <f>AND(#REF!,"AAAAAGNpu3M=")</f>
        <v>#REF!</v>
      </c>
      <c r="DM222" t="e">
        <f>AND(#REF!,"AAAAAGNpu3Q=")</f>
        <v>#REF!</v>
      </c>
      <c r="DN222" t="e">
        <f>AND(#REF!,"AAAAAGNpu3U=")</f>
        <v>#REF!</v>
      </c>
      <c r="DO222" t="e">
        <f>AND(#REF!,"AAAAAGNpu3Y=")</f>
        <v>#REF!</v>
      </c>
      <c r="DP222" t="e">
        <f>AND(#REF!,"AAAAAGNpu3c=")</f>
        <v>#REF!</v>
      </c>
      <c r="DQ222" t="e">
        <f>AND(#REF!,"AAAAAGNpu3g=")</f>
        <v>#REF!</v>
      </c>
      <c r="DR222" t="e">
        <f>AND(#REF!,"AAAAAGNpu3k=")</f>
        <v>#REF!</v>
      </c>
      <c r="DS222" t="e">
        <f>AND(#REF!,"AAAAAGNpu3o=")</f>
        <v>#REF!</v>
      </c>
      <c r="DT222" t="e">
        <f>AND(#REF!,"AAAAAGNpu3s=")</f>
        <v>#REF!</v>
      </c>
      <c r="DU222" t="e">
        <f>AND(#REF!,"AAAAAGNpu3w=")</f>
        <v>#REF!</v>
      </c>
      <c r="DV222" t="e">
        <f>AND(#REF!,"AAAAAGNpu30=")</f>
        <v>#REF!</v>
      </c>
      <c r="DW222" t="e">
        <f>AND(#REF!,"AAAAAGNpu34=")</f>
        <v>#REF!</v>
      </c>
      <c r="DX222" t="e">
        <f>AND(#REF!,"AAAAAGNpu38=")</f>
        <v>#REF!</v>
      </c>
      <c r="DY222" t="e">
        <f>AND(#REF!,"AAAAAGNpu4A=")</f>
        <v>#REF!</v>
      </c>
      <c r="DZ222" t="e">
        <f>AND(#REF!,"AAAAAGNpu4E=")</f>
        <v>#REF!</v>
      </c>
      <c r="EA222" t="e">
        <f>AND(#REF!,"AAAAAGNpu4I=")</f>
        <v>#REF!</v>
      </c>
      <c r="EB222" t="e">
        <f>AND(#REF!,"AAAAAGNpu4M=")</f>
        <v>#REF!</v>
      </c>
      <c r="EC222" t="e">
        <f>AND(#REF!,"AAAAAGNpu4Q=")</f>
        <v>#REF!</v>
      </c>
      <c r="ED222" t="e">
        <f>AND(#REF!,"AAAAAGNpu4U=")</f>
        <v>#REF!</v>
      </c>
      <c r="EE222" t="e">
        <f>IF(#REF!,"AAAAAGNpu4Y=",0)</f>
        <v>#REF!</v>
      </c>
      <c r="EF222" t="e">
        <f>AND(#REF!,"AAAAAGNpu4c=")</f>
        <v>#REF!</v>
      </c>
      <c r="EG222" t="e">
        <f>AND(#REF!,"AAAAAGNpu4g=")</f>
        <v>#REF!</v>
      </c>
      <c r="EH222" t="e">
        <f>AND(#REF!,"AAAAAGNpu4k=")</f>
        <v>#REF!</v>
      </c>
      <c r="EI222" t="e">
        <f>AND(#REF!,"AAAAAGNpu4o=")</f>
        <v>#REF!</v>
      </c>
      <c r="EJ222" t="e">
        <f>AND(#REF!,"AAAAAGNpu4s=")</f>
        <v>#REF!</v>
      </c>
      <c r="EK222" t="e">
        <f>AND(#REF!,"AAAAAGNpu4w=")</f>
        <v>#REF!</v>
      </c>
      <c r="EL222" t="e">
        <f>AND(#REF!,"AAAAAGNpu40=")</f>
        <v>#REF!</v>
      </c>
      <c r="EM222" t="e">
        <f>AND(#REF!,"AAAAAGNpu44=")</f>
        <v>#REF!</v>
      </c>
      <c r="EN222" t="e">
        <f>AND(#REF!,"AAAAAGNpu48=")</f>
        <v>#REF!</v>
      </c>
      <c r="EO222" t="e">
        <f>AND(#REF!,"AAAAAGNpu5A=")</f>
        <v>#REF!</v>
      </c>
      <c r="EP222" t="e">
        <f>AND(#REF!,"AAAAAGNpu5E=")</f>
        <v>#REF!</v>
      </c>
      <c r="EQ222" t="e">
        <f>AND(#REF!,"AAAAAGNpu5I=")</f>
        <v>#REF!</v>
      </c>
      <c r="ER222" t="e">
        <f>AND(#REF!,"AAAAAGNpu5M=")</f>
        <v>#REF!</v>
      </c>
      <c r="ES222" t="e">
        <f>AND(#REF!,"AAAAAGNpu5Q=")</f>
        <v>#REF!</v>
      </c>
      <c r="ET222" t="e">
        <f>AND(#REF!,"AAAAAGNpu5U=")</f>
        <v>#REF!</v>
      </c>
      <c r="EU222" t="e">
        <f>AND(#REF!,"AAAAAGNpu5Y=")</f>
        <v>#REF!</v>
      </c>
      <c r="EV222" t="e">
        <f>AND(#REF!,"AAAAAGNpu5c=")</f>
        <v>#REF!</v>
      </c>
      <c r="EW222" t="e">
        <f>AND(#REF!,"AAAAAGNpu5g=")</f>
        <v>#REF!</v>
      </c>
      <c r="EX222" t="e">
        <f>AND(#REF!,"AAAAAGNpu5k=")</f>
        <v>#REF!</v>
      </c>
      <c r="EY222" t="e">
        <f>AND(#REF!,"AAAAAGNpu5o=")</f>
        <v>#REF!</v>
      </c>
      <c r="EZ222" t="e">
        <f>AND(#REF!,"AAAAAGNpu5s=")</f>
        <v>#REF!</v>
      </c>
      <c r="FA222" t="e">
        <f>AND(#REF!,"AAAAAGNpu5w=")</f>
        <v>#REF!</v>
      </c>
      <c r="FB222" t="e">
        <f>AND(#REF!,"AAAAAGNpu50=")</f>
        <v>#REF!</v>
      </c>
      <c r="FC222" t="e">
        <f>AND(#REF!,"AAAAAGNpu54=")</f>
        <v>#REF!</v>
      </c>
      <c r="FD222" t="e">
        <f>IF(#REF!,"AAAAAGNpu58=",0)</f>
        <v>#REF!</v>
      </c>
      <c r="FE222" t="e">
        <f>AND(#REF!,"AAAAAGNpu6A=")</f>
        <v>#REF!</v>
      </c>
      <c r="FF222" t="e">
        <f>AND(#REF!,"AAAAAGNpu6E=")</f>
        <v>#REF!</v>
      </c>
      <c r="FG222" t="e">
        <f>AND(#REF!,"AAAAAGNpu6I=")</f>
        <v>#REF!</v>
      </c>
      <c r="FH222" t="e">
        <f>AND(#REF!,"AAAAAGNpu6M=")</f>
        <v>#REF!</v>
      </c>
      <c r="FI222" t="e">
        <f>AND(#REF!,"AAAAAGNpu6Q=")</f>
        <v>#REF!</v>
      </c>
      <c r="FJ222" t="e">
        <f>AND(#REF!,"AAAAAGNpu6U=")</f>
        <v>#REF!</v>
      </c>
      <c r="FK222" t="e">
        <f>AND(#REF!,"AAAAAGNpu6Y=")</f>
        <v>#REF!</v>
      </c>
      <c r="FL222" t="e">
        <f>AND(#REF!,"AAAAAGNpu6c=")</f>
        <v>#REF!</v>
      </c>
      <c r="FM222" t="e">
        <f>AND(#REF!,"AAAAAGNpu6g=")</f>
        <v>#REF!</v>
      </c>
      <c r="FN222" t="e">
        <f>AND(#REF!,"AAAAAGNpu6k=")</f>
        <v>#REF!</v>
      </c>
      <c r="FO222" t="e">
        <f>AND(#REF!,"AAAAAGNpu6o=")</f>
        <v>#REF!</v>
      </c>
      <c r="FP222" t="e">
        <f>AND(#REF!,"AAAAAGNpu6s=")</f>
        <v>#REF!</v>
      </c>
      <c r="FQ222" t="e">
        <f>AND(#REF!,"AAAAAGNpu6w=")</f>
        <v>#REF!</v>
      </c>
      <c r="FR222" t="e">
        <f>AND(#REF!,"AAAAAGNpu60=")</f>
        <v>#REF!</v>
      </c>
      <c r="FS222" t="e">
        <f>AND(#REF!,"AAAAAGNpu64=")</f>
        <v>#REF!</v>
      </c>
      <c r="FT222" t="e">
        <f>AND(#REF!,"AAAAAGNpu68=")</f>
        <v>#REF!</v>
      </c>
      <c r="FU222" t="e">
        <f>AND(#REF!,"AAAAAGNpu7A=")</f>
        <v>#REF!</v>
      </c>
      <c r="FV222" t="e">
        <f>AND(#REF!,"AAAAAGNpu7E=")</f>
        <v>#REF!</v>
      </c>
      <c r="FW222" t="e">
        <f>AND(#REF!,"AAAAAGNpu7I=")</f>
        <v>#REF!</v>
      </c>
      <c r="FX222" t="e">
        <f>AND(#REF!,"AAAAAGNpu7M=")</f>
        <v>#REF!</v>
      </c>
      <c r="FY222" t="e">
        <f>AND(#REF!,"AAAAAGNpu7Q=")</f>
        <v>#REF!</v>
      </c>
      <c r="FZ222" t="e">
        <f>AND(#REF!,"AAAAAGNpu7U=")</f>
        <v>#REF!</v>
      </c>
      <c r="GA222" t="e">
        <f>AND(#REF!,"AAAAAGNpu7Y=")</f>
        <v>#REF!</v>
      </c>
      <c r="GB222" t="e">
        <f>AND(#REF!,"AAAAAGNpu7c=")</f>
        <v>#REF!</v>
      </c>
      <c r="GC222" t="e">
        <f>IF(#REF!,"AAAAAGNpu7g=",0)</f>
        <v>#REF!</v>
      </c>
      <c r="GD222" t="e">
        <f>AND(#REF!,"AAAAAGNpu7k=")</f>
        <v>#REF!</v>
      </c>
      <c r="GE222" t="e">
        <f>AND(#REF!,"AAAAAGNpu7o=")</f>
        <v>#REF!</v>
      </c>
      <c r="GF222" t="e">
        <f>AND(#REF!,"AAAAAGNpu7s=")</f>
        <v>#REF!</v>
      </c>
      <c r="GG222" t="e">
        <f>AND(#REF!,"AAAAAGNpu7w=")</f>
        <v>#REF!</v>
      </c>
      <c r="GH222" t="e">
        <f>AND(#REF!,"AAAAAGNpu70=")</f>
        <v>#REF!</v>
      </c>
      <c r="GI222" t="e">
        <f>AND(#REF!,"AAAAAGNpu74=")</f>
        <v>#REF!</v>
      </c>
      <c r="GJ222" t="e">
        <f>AND(#REF!,"AAAAAGNpu78=")</f>
        <v>#REF!</v>
      </c>
      <c r="GK222" t="e">
        <f>AND(#REF!,"AAAAAGNpu8A=")</f>
        <v>#REF!</v>
      </c>
      <c r="GL222" t="e">
        <f>AND(#REF!,"AAAAAGNpu8E=")</f>
        <v>#REF!</v>
      </c>
      <c r="GM222" t="e">
        <f>AND(#REF!,"AAAAAGNpu8I=")</f>
        <v>#REF!</v>
      </c>
      <c r="GN222" t="e">
        <f>AND(#REF!,"AAAAAGNpu8M=")</f>
        <v>#REF!</v>
      </c>
      <c r="GO222" t="e">
        <f>AND(#REF!,"AAAAAGNpu8Q=")</f>
        <v>#REF!</v>
      </c>
      <c r="GP222" t="e">
        <f>AND(#REF!,"AAAAAGNpu8U=")</f>
        <v>#REF!</v>
      </c>
      <c r="GQ222" t="e">
        <f>AND(#REF!,"AAAAAGNpu8Y=")</f>
        <v>#REF!</v>
      </c>
      <c r="GR222" t="e">
        <f>AND(#REF!,"AAAAAGNpu8c=")</f>
        <v>#REF!</v>
      </c>
      <c r="GS222" t="e">
        <f>AND(#REF!,"AAAAAGNpu8g=")</f>
        <v>#REF!</v>
      </c>
      <c r="GT222" t="e">
        <f>AND(#REF!,"AAAAAGNpu8k=")</f>
        <v>#REF!</v>
      </c>
      <c r="GU222" t="e">
        <f>AND(#REF!,"AAAAAGNpu8o=")</f>
        <v>#REF!</v>
      </c>
      <c r="GV222" t="e">
        <f>AND(#REF!,"AAAAAGNpu8s=")</f>
        <v>#REF!</v>
      </c>
      <c r="GW222" t="e">
        <f>AND(#REF!,"AAAAAGNpu8w=")</f>
        <v>#REF!</v>
      </c>
      <c r="GX222" t="e">
        <f>AND(#REF!,"AAAAAGNpu80=")</f>
        <v>#REF!</v>
      </c>
      <c r="GY222" t="e">
        <f>AND(#REF!,"AAAAAGNpu84=")</f>
        <v>#REF!</v>
      </c>
      <c r="GZ222" t="e">
        <f>AND(#REF!,"AAAAAGNpu88=")</f>
        <v>#REF!</v>
      </c>
      <c r="HA222" t="e">
        <f>AND(#REF!,"AAAAAGNpu9A=")</f>
        <v>#REF!</v>
      </c>
      <c r="HB222" t="e">
        <f>IF(#REF!,"AAAAAGNpu9E=",0)</f>
        <v>#REF!</v>
      </c>
      <c r="HC222" t="e">
        <f>AND(#REF!,"AAAAAGNpu9I=")</f>
        <v>#REF!</v>
      </c>
      <c r="HD222" t="e">
        <f>AND(#REF!,"AAAAAGNpu9M=")</f>
        <v>#REF!</v>
      </c>
      <c r="HE222" t="e">
        <f>AND(#REF!,"AAAAAGNpu9Q=")</f>
        <v>#REF!</v>
      </c>
      <c r="HF222" t="e">
        <f>AND(#REF!,"AAAAAGNpu9U=")</f>
        <v>#REF!</v>
      </c>
      <c r="HG222" t="e">
        <f>AND(#REF!,"AAAAAGNpu9Y=")</f>
        <v>#REF!</v>
      </c>
      <c r="HH222" t="e">
        <f>AND(#REF!,"AAAAAGNpu9c=")</f>
        <v>#REF!</v>
      </c>
      <c r="HI222" t="e">
        <f>AND(#REF!,"AAAAAGNpu9g=")</f>
        <v>#REF!</v>
      </c>
      <c r="HJ222" t="e">
        <f>AND(#REF!,"AAAAAGNpu9k=")</f>
        <v>#REF!</v>
      </c>
      <c r="HK222" t="e">
        <f>AND(#REF!,"AAAAAGNpu9o=")</f>
        <v>#REF!</v>
      </c>
      <c r="HL222" t="e">
        <f>AND(#REF!,"AAAAAGNpu9s=")</f>
        <v>#REF!</v>
      </c>
      <c r="HM222" t="e">
        <f>AND(#REF!,"AAAAAGNpu9w=")</f>
        <v>#REF!</v>
      </c>
      <c r="HN222" t="e">
        <f>AND(#REF!,"AAAAAGNpu90=")</f>
        <v>#REF!</v>
      </c>
      <c r="HO222" t="e">
        <f>AND(#REF!,"AAAAAGNpu94=")</f>
        <v>#REF!</v>
      </c>
      <c r="HP222" t="e">
        <f>AND(#REF!,"AAAAAGNpu98=")</f>
        <v>#REF!</v>
      </c>
      <c r="HQ222" t="e">
        <f>AND(#REF!,"AAAAAGNpu+A=")</f>
        <v>#REF!</v>
      </c>
      <c r="HR222" t="e">
        <f>AND(#REF!,"AAAAAGNpu+E=")</f>
        <v>#REF!</v>
      </c>
      <c r="HS222" t="e">
        <f>AND(#REF!,"AAAAAGNpu+I=")</f>
        <v>#REF!</v>
      </c>
      <c r="HT222" t="e">
        <f>AND(#REF!,"AAAAAGNpu+M=")</f>
        <v>#REF!</v>
      </c>
      <c r="HU222" t="e">
        <f>AND(#REF!,"AAAAAGNpu+Q=")</f>
        <v>#REF!</v>
      </c>
      <c r="HV222" t="e">
        <f>AND(#REF!,"AAAAAGNpu+U=")</f>
        <v>#REF!</v>
      </c>
      <c r="HW222" t="e">
        <f>AND(#REF!,"AAAAAGNpu+Y=")</f>
        <v>#REF!</v>
      </c>
      <c r="HX222" t="e">
        <f>AND(#REF!,"AAAAAGNpu+c=")</f>
        <v>#REF!</v>
      </c>
      <c r="HY222" t="e">
        <f>AND(#REF!,"AAAAAGNpu+g=")</f>
        <v>#REF!</v>
      </c>
      <c r="HZ222" t="e">
        <f>AND(#REF!,"AAAAAGNpu+k=")</f>
        <v>#REF!</v>
      </c>
      <c r="IA222" t="e">
        <f>IF(#REF!,"AAAAAGNpu+o=",0)</f>
        <v>#REF!</v>
      </c>
      <c r="IB222" t="e">
        <f>AND(#REF!,"AAAAAGNpu+s=")</f>
        <v>#REF!</v>
      </c>
      <c r="IC222" t="e">
        <f>AND(#REF!,"AAAAAGNpu+w=")</f>
        <v>#REF!</v>
      </c>
      <c r="ID222" t="e">
        <f>AND(#REF!,"AAAAAGNpu+0=")</f>
        <v>#REF!</v>
      </c>
      <c r="IE222" t="e">
        <f>AND(#REF!,"AAAAAGNpu+4=")</f>
        <v>#REF!</v>
      </c>
      <c r="IF222" t="e">
        <f>AND(#REF!,"AAAAAGNpu+8=")</f>
        <v>#REF!</v>
      </c>
      <c r="IG222" t="e">
        <f>AND(#REF!,"AAAAAGNpu/A=")</f>
        <v>#REF!</v>
      </c>
      <c r="IH222" t="e">
        <f>AND(#REF!,"AAAAAGNpu/E=")</f>
        <v>#REF!</v>
      </c>
      <c r="II222" t="e">
        <f>AND(#REF!,"AAAAAGNpu/I=")</f>
        <v>#REF!</v>
      </c>
      <c r="IJ222" t="e">
        <f>AND(#REF!,"AAAAAGNpu/M=")</f>
        <v>#REF!</v>
      </c>
      <c r="IK222" t="e">
        <f>AND(#REF!,"AAAAAGNpu/Q=")</f>
        <v>#REF!</v>
      </c>
      <c r="IL222" t="e">
        <f>AND(#REF!,"AAAAAGNpu/U=")</f>
        <v>#REF!</v>
      </c>
      <c r="IM222" t="e">
        <f>AND(#REF!,"AAAAAGNpu/Y=")</f>
        <v>#REF!</v>
      </c>
      <c r="IN222" t="e">
        <f>AND(#REF!,"AAAAAGNpu/c=")</f>
        <v>#REF!</v>
      </c>
      <c r="IO222" t="e">
        <f>AND(#REF!,"AAAAAGNpu/g=")</f>
        <v>#REF!</v>
      </c>
      <c r="IP222" t="e">
        <f>AND(#REF!,"AAAAAGNpu/k=")</f>
        <v>#REF!</v>
      </c>
      <c r="IQ222" t="e">
        <f>AND(#REF!,"AAAAAGNpu/o=")</f>
        <v>#REF!</v>
      </c>
      <c r="IR222" t="e">
        <f>AND(#REF!,"AAAAAGNpu/s=")</f>
        <v>#REF!</v>
      </c>
      <c r="IS222" t="e">
        <f>AND(#REF!,"AAAAAGNpu/w=")</f>
        <v>#REF!</v>
      </c>
      <c r="IT222" t="e">
        <f>AND(#REF!,"AAAAAGNpu/0=")</f>
        <v>#REF!</v>
      </c>
      <c r="IU222" t="e">
        <f>AND(#REF!,"AAAAAGNpu/4=")</f>
        <v>#REF!</v>
      </c>
      <c r="IV222" t="e">
        <f>AND(#REF!,"AAAAAGNpu/8=")</f>
        <v>#REF!</v>
      </c>
    </row>
    <row r="223" spans="1:256">
      <c r="A223" t="e">
        <f>AND(#REF!,"AAAAAFq+9wA=")</f>
        <v>#REF!</v>
      </c>
      <c r="B223" t="e">
        <f>AND(#REF!,"AAAAAFq+9wE=")</f>
        <v>#REF!</v>
      </c>
      <c r="C223" t="e">
        <f>AND(#REF!,"AAAAAFq+9wI=")</f>
        <v>#REF!</v>
      </c>
      <c r="D223" t="e">
        <f>IF(#REF!,"AAAAAFq+9wM=",0)</f>
        <v>#REF!</v>
      </c>
      <c r="E223" t="e">
        <f>AND(#REF!,"AAAAAFq+9wQ=")</f>
        <v>#REF!</v>
      </c>
      <c r="F223" t="e">
        <f>AND(#REF!,"AAAAAFq+9wU=")</f>
        <v>#REF!</v>
      </c>
      <c r="G223" t="e">
        <f>AND(#REF!,"AAAAAFq+9wY=")</f>
        <v>#REF!</v>
      </c>
      <c r="H223" t="e">
        <f>AND(#REF!,"AAAAAFq+9wc=")</f>
        <v>#REF!</v>
      </c>
      <c r="I223" t="e">
        <f>AND(#REF!,"AAAAAFq+9wg=")</f>
        <v>#REF!</v>
      </c>
      <c r="J223" t="e">
        <f>AND(#REF!,"AAAAAFq+9wk=")</f>
        <v>#REF!</v>
      </c>
      <c r="K223" t="e">
        <f>AND(#REF!,"AAAAAFq+9wo=")</f>
        <v>#REF!</v>
      </c>
      <c r="L223" t="e">
        <f>AND(#REF!,"AAAAAFq+9ws=")</f>
        <v>#REF!</v>
      </c>
      <c r="M223" t="e">
        <f>AND(#REF!,"AAAAAFq+9ww=")</f>
        <v>#REF!</v>
      </c>
      <c r="N223" t="e">
        <f>AND(#REF!,"AAAAAFq+9w0=")</f>
        <v>#REF!</v>
      </c>
      <c r="O223" t="e">
        <f>AND(#REF!,"AAAAAFq+9w4=")</f>
        <v>#REF!</v>
      </c>
      <c r="P223" t="e">
        <f>AND(#REF!,"AAAAAFq+9w8=")</f>
        <v>#REF!</v>
      </c>
      <c r="Q223" t="e">
        <f>AND(#REF!,"AAAAAFq+9xA=")</f>
        <v>#REF!</v>
      </c>
      <c r="R223" t="e">
        <f>AND(#REF!,"AAAAAFq+9xE=")</f>
        <v>#REF!</v>
      </c>
      <c r="S223" t="e">
        <f>AND(#REF!,"AAAAAFq+9xI=")</f>
        <v>#REF!</v>
      </c>
      <c r="T223" t="e">
        <f>AND(#REF!,"AAAAAFq+9xM=")</f>
        <v>#REF!</v>
      </c>
      <c r="U223" t="e">
        <f>AND(#REF!,"AAAAAFq+9xQ=")</f>
        <v>#REF!</v>
      </c>
      <c r="V223" t="e">
        <f>AND(#REF!,"AAAAAFq+9xU=")</f>
        <v>#REF!</v>
      </c>
      <c r="W223" t="e">
        <f>AND(#REF!,"AAAAAFq+9xY=")</f>
        <v>#REF!</v>
      </c>
      <c r="X223" t="e">
        <f>AND(#REF!,"AAAAAFq+9xc=")</f>
        <v>#REF!</v>
      </c>
      <c r="Y223" t="e">
        <f>AND(#REF!,"AAAAAFq+9xg=")</f>
        <v>#REF!</v>
      </c>
      <c r="Z223" t="e">
        <f>AND(#REF!,"AAAAAFq+9xk=")</f>
        <v>#REF!</v>
      </c>
      <c r="AA223" t="e">
        <f>AND(#REF!,"AAAAAFq+9xo=")</f>
        <v>#REF!</v>
      </c>
      <c r="AB223" t="e">
        <f>AND(#REF!,"AAAAAFq+9xs=")</f>
        <v>#REF!</v>
      </c>
      <c r="AC223" t="e">
        <f>IF(#REF!,"AAAAAFq+9xw=",0)</f>
        <v>#REF!</v>
      </c>
      <c r="AD223" t="e">
        <f>AND(#REF!,"AAAAAFq+9x0=")</f>
        <v>#REF!</v>
      </c>
      <c r="AE223" t="e">
        <f>AND(#REF!,"AAAAAFq+9x4=")</f>
        <v>#REF!</v>
      </c>
      <c r="AF223" t="e">
        <f>AND(#REF!,"AAAAAFq+9x8=")</f>
        <v>#REF!</v>
      </c>
      <c r="AG223" t="e">
        <f>AND(#REF!,"AAAAAFq+9yA=")</f>
        <v>#REF!</v>
      </c>
      <c r="AH223" t="e">
        <f>AND(#REF!,"AAAAAFq+9yE=")</f>
        <v>#REF!</v>
      </c>
      <c r="AI223" t="e">
        <f>AND(#REF!,"AAAAAFq+9yI=")</f>
        <v>#REF!</v>
      </c>
      <c r="AJ223" t="e">
        <f>AND(#REF!,"AAAAAFq+9yM=")</f>
        <v>#REF!</v>
      </c>
      <c r="AK223" t="e">
        <f>AND(#REF!,"AAAAAFq+9yQ=")</f>
        <v>#REF!</v>
      </c>
      <c r="AL223" t="e">
        <f>AND(#REF!,"AAAAAFq+9yU=")</f>
        <v>#REF!</v>
      </c>
      <c r="AM223" t="e">
        <f>AND(#REF!,"AAAAAFq+9yY=")</f>
        <v>#REF!</v>
      </c>
      <c r="AN223" t="e">
        <f>AND(#REF!,"AAAAAFq+9yc=")</f>
        <v>#REF!</v>
      </c>
      <c r="AO223" t="e">
        <f>AND(#REF!,"AAAAAFq+9yg=")</f>
        <v>#REF!</v>
      </c>
      <c r="AP223" t="e">
        <f>AND(#REF!,"AAAAAFq+9yk=")</f>
        <v>#REF!</v>
      </c>
      <c r="AQ223" t="e">
        <f>AND(#REF!,"AAAAAFq+9yo=")</f>
        <v>#REF!</v>
      </c>
      <c r="AR223" t="e">
        <f>AND(#REF!,"AAAAAFq+9ys=")</f>
        <v>#REF!</v>
      </c>
      <c r="AS223" t="e">
        <f>AND(#REF!,"AAAAAFq+9yw=")</f>
        <v>#REF!</v>
      </c>
      <c r="AT223" t="e">
        <f>AND(#REF!,"AAAAAFq+9y0=")</f>
        <v>#REF!</v>
      </c>
      <c r="AU223" t="e">
        <f>AND(#REF!,"AAAAAFq+9y4=")</f>
        <v>#REF!</v>
      </c>
      <c r="AV223" t="e">
        <f>AND(#REF!,"AAAAAFq+9y8=")</f>
        <v>#REF!</v>
      </c>
      <c r="AW223" t="e">
        <f>AND(#REF!,"AAAAAFq+9zA=")</f>
        <v>#REF!</v>
      </c>
      <c r="AX223" t="e">
        <f>AND(#REF!,"AAAAAFq+9zE=")</f>
        <v>#REF!</v>
      </c>
      <c r="AY223" t="e">
        <f>AND(#REF!,"AAAAAFq+9zI=")</f>
        <v>#REF!</v>
      </c>
      <c r="AZ223" t="e">
        <f>AND(#REF!,"AAAAAFq+9zM=")</f>
        <v>#REF!</v>
      </c>
      <c r="BA223" t="e">
        <f>AND(#REF!,"AAAAAFq+9zQ=")</f>
        <v>#REF!</v>
      </c>
      <c r="BB223" t="e">
        <f>IF(#REF!,"AAAAAFq+9zU=",0)</f>
        <v>#REF!</v>
      </c>
      <c r="BC223" t="e">
        <f>AND(#REF!,"AAAAAFq+9zY=")</f>
        <v>#REF!</v>
      </c>
      <c r="BD223" t="e">
        <f>AND(#REF!,"AAAAAFq+9zc=")</f>
        <v>#REF!</v>
      </c>
      <c r="BE223" t="e">
        <f>AND(#REF!,"AAAAAFq+9zg=")</f>
        <v>#REF!</v>
      </c>
      <c r="BF223" t="e">
        <f>AND(#REF!,"AAAAAFq+9zk=")</f>
        <v>#REF!</v>
      </c>
      <c r="BG223" t="e">
        <f>AND(#REF!,"AAAAAFq+9zo=")</f>
        <v>#REF!</v>
      </c>
      <c r="BH223" t="e">
        <f>AND(#REF!,"AAAAAFq+9zs=")</f>
        <v>#REF!</v>
      </c>
      <c r="BI223" t="e">
        <f>AND(#REF!,"AAAAAFq+9zw=")</f>
        <v>#REF!</v>
      </c>
      <c r="BJ223" t="e">
        <f>AND(#REF!,"AAAAAFq+9z0=")</f>
        <v>#REF!</v>
      </c>
      <c r="BK223" t="e">
        <f>AND(#REF!,"AAAAAFq+9z4=")</f>
        <v>#REF!</v>
      </c>
      <c r="BL223" t="e">
        <f>AND(#REF!,"AAAAAFq+9z8=")</f>
        <v>#REF!</v>
      </c>
      <c r="BM223" t="e">
        <f>AND(#REF!,"AAAAAFq+90A=")</f>
        <v>#REF!</v>
      </c>
      <c r="BN223" t="e">
        <f>AND(#REF!,"AAAAAFq+90E=")</f>
        <v>#REF!</v>
      </c>
      <c r="BO223" t="e">
        <f>AND(#REF!,"AAAAAFq+90I=")</f>
        <v>#REF!</v>
      </c>
      <c r="BP223" t="e">
        <f>AND(#REF!,"AAAAAFq+90M=")</f>
        <v>#REF!</v>
      </c>
      <c r="BQ223" t="e">
        <f>AND(#REF!,"AAAAAFq+90Q=")</f>
        <v>#REF!</v>
      </c>
      <c r="BR223" t="e">
        <f>AND(#REF!,"AAAAAFq+90U=")</f>
        <v>#REF!</v>
      </c>
      <c r="BS223" t="e">
        <f>AND(#REF!,"AAAAAFq+90Y=")</f>
        <v>#REF!</v>
      </c>
      <c r="BT223" t="e">
        <f>AND(#REF!,"AAAAAFq+90c=")</f>
        <v>#REF!</v>
      </c>
      <c r="BU223" t="e">
        <f>AND(#REF!,"AAAAAFq+90g=")</f>
        <v>#REF!</v>
      </c>
      <c r="BV223" t="e">
        <f>AND(#REF!,"AAAAAFq+90k=")</f>
        <v>#REF!</v>
      </c>
      <c r="BW223" t="e">
        <f>AND(#REF!,"AAAAAFq+90o=")</f>
        <v>#REF!</v>
      </c>
      <c r="BX223" t="e">
        <f>AND(#REF!,"AAAAAFq+90s=")</f>
        <v>#REF!</v>
      </c>
      <c r="BY223" t="e">
        <f>AND(#REF!,"AAAAAFq+90w=")</f>
        <v>#REF!</v>
      </c>
      <c r="BZ223" t="e">
        <f>AND(#REF!,"AAAAAFq+900=")</f>
        <v>#REF!</v>
      </c>
      <c r="CA223" t="e">
        <f>IF(#REF!,"AAAAAFq+904=",0)</f>
        <v>#REF!</v>
      </c>
      <c r="CB223" t="e">
        <f>AND(#REF!,"AAAAAFq+908=")</f>
        <v>#REF!</v>
      </c>
      <c r="CC223" t="e">
        <f>AND(#REF!,"AAAAAFq+91A=")</f>
        <v>#REF!</v>
      </c>
      <c r="CD223" t="e">
        <f>AND(#REF!,"AAAAAFq+91E=")</f>
        <v>#REF!</v>
      </c>
      <c r="CE223" t="e">
        <f>AND(#REF!,"AAAAAFq+91I=")</f>
        <v>#REF!</v>
      </c>
      <c r="CF223" t="e">
        <f>AND(#REF!,"AAAAAFq+91M=")</f>
        <v>#REF!</v>
      </c>
      <c r="CG223" t="e">
        <f>AND(#REF!,"AAAAAFq+91Q=")</f>
        <v>#REF!</v>
      </c>
      <c r="CH223" t="e">
        <f>AND(#REF!,"AAAAAFq+91U=")</f>
        <v>#REF!</v>
      </c>
      <c r="CI223" t="e">
        <f>AND(#REF!,"AAAAAFq+91Y=")</f>
        <v>#REF!</v>
      </c>
      <c r="CJ223" t="e">
        <f>AND(#REF!,"AAAAAFq+91c=")</f>
        <v>#REF!</v>
      </c>
      <c r="CK223" t="e">
        <f>AND(#REF!,"AAAAAFq+91g=")</f>
        <v>#REF!</v>
      </c>
      <c r="CL223" t="e">
        <f>AND(#REF!,"AAAAAFq+91k=")</f>
        <v>#REF!</v>
      </c>
      <c r="CM223" t="e">
        <f>AND(#REF!,"AAAAAFq+91o=")</f>
        <v>#REF!</v>
      </c>
      <c r="CN223" t="e">
        <f>AND(#REF!,"AAAAAFq+91s=")</f>
        <v>#REF!</v>
      </c>
      <c r="CO223" t="e">
        <f>AND(#REF!,"AAAAAFq+91w=")</f>
        <v>#REF!</v>
      </c>
      <c r="CP223" t="e">
        <f>AND(#REF!,"AAAAAFq+910=")</f>
        <v>#REF!</v>
      </c>
      <c r="CQ223" t="e">
        <f>AND(#REF!,"AAAAAFq+914=")</f>
        <v>#REF!</v>
      </c>
      <c r="CR223" t="e">
        <f>AND(#REF!,"AAAAAFq+918=")</f>
        <v>#REF!</v>
      </c>
      <c r="CS223" t="e">
        <f>AND(#REF!,"AAAAAFq+92A=")</f>
        <v>#REF!</v>
      </c>
      <c r="CT223" t="e">
        <f>AND(#REF!,"AAAAAFq+92E=")</f>
        <v>#REF!</v>
      </c>
      <c r="CU223" t="e">
        <f>AND(#REF!,"AAAAAFq+92I=")</f>
        <v>#REF!</v>
      </c>
      <c r="CV223" t="e">
        <f>AND(#REF!,"AAAAAFq+92M=")</f>
        <v>#REF!</v>
      </c>
      <c r="CW223" t="e">
        <f>AND(#REF!,"AAAAAFq+92Q=")</f>
        <v>#REF!</v>
      </c>
      <c r="CX223" t="e">
        <f>AND(#REF!,"AAAAAFq+92U=")</f>
        <v>#REF!</v>
      </c>
      <c r="CY223" t="e">
        <f>AND(#REF!,"AAAAAFq+92Y=")</f>
        <v>#REF!</v>
      </c>
      <c r="CZ223" t="e">
        <f>IF(#REF!,"AAAAAFq+92c=",0)</f>
        <v>#REF!</v>
      </c>
      <c r="DA223" t="e">
        <f>AND(#REF!,"AAAAAFq+92g=")</f>
        <v>#REF!</v>
      </c>
      <c r="DB223" t="e">
        <f>AND(#REF!,"AAAAAFq+92k=")</f>
        <v>#REF!</v>
      </c>
      <c r="DC223" t="e">
        <f>AND(#REF!,"AAAAAFq+92o=")</f>
        <v>#REF!</v>
      </c>
      <c r="DD223" t="e">
        <f>AND(#REF!,"AAAAAFq+92s=")</f>
        <v>#REF!</v>
      </c>
      <c r="DE223" t="e">
        <f>AND(#REF!,"AAAAAFq+92w=")</f>
        <v>#REF!</v>
      </c>
      <c r="DF223" t="e">
        <f>AND(#REF!,"AAAAAFq+920=")</f>
        <v>#REF!</v>
      </c>
      <c r="DG223" t="e">
        <f>AND(#REF!,"AAAAAFq+924=")</f>
        <v>#REF!</v>
      </c>
      <c r="DH223" t="e">
        <f>AND(#REF!,"AAAAAFq+928=")</f>
        <v>#REF!</v>
      </c>
      <c r="DI223" t="e">
        <f>AND(#REF!,"AAAAAFq+93A=")</f>
        <v>#REF!</v>
      </c>
      <c r="DJ223" t="e">
        <f>AND(#REF!,"AAAAAFq+93E=")</f>
        <v>#REF!</v>
      </c>
      <c r="DK223" t="e">
        <f>AND(#REF!,"AAAAAFq+93I=")</f>
        <v>#REF!</v>
      </c>
      <c r="DL223" t="e">
        <f>AND(#REF!,"AAAAAFq+93M=")</f>
        <v>#REF!</v>
      </c>
      <c r="DM223" t="e">
        <f>AND(#REF!,"AAAAAFq+93Q=")</f>
        <v>#REF!</v>
      </c>
      <c r="DN223" t="e">
        <f>AND(#REF!,"AAAAAFq+93U=")</f>
        <v>#REF!</v>
      </c>
      <c r="DO223" t="e">
        <f>AND(#REF!,"AAAAAFq+93Y=")</f>
        <v>#REF!</v>
      </c>
      <c r="DP223" t="e">
        <f>AND(#REF!,"AAAAAFq+93c=")</f>
        <v>#REF!</v>
      </c>
      <c r="DQ223" t="e">
        <f>AND(#REF!,"AAAAAFq+93g=")</f>
        <v>#REF!</v>
      </c>
      <c r="DR223" t="e">
        <f>AND(#REF!,"AAAAAFq+93k=")</f>
        <v>#REF!</v>
      </c>
      <c r="DS223" t="e">
        <f>AND(#REF!,"AAAAAFq+93o=")</f>
        <v>#REF!</v>
      </c>
      <c r="DT223" t="e">
        <f>AND(#REF!,"AAAAAFq+93s=")</f>
        <v>#REF!</v>
      </c>
      <c r="DU223" t="e">
        <f>AND(#REF!,"AAAAAFq+93w=")</f>
        <v>#REF!</v>
      </c>
      <c r="DV223" t="e">
        <f>AND(#REF!,"AAAAAFq+930=")</f>
        <v>#REF!</v>
      </c>
      <c r="DW223" t="e">
        <f>AND(#REF!,"AAAAAFq+934=")</f>
        <v>#REF!</v>
      </c>
      <c r="DX223" t="e">
        <f>AND(#REF!,"AAAAAFq+938=")</f>
        <v>#REF!</v>
      </c>
      <c r="DY223" t="e">
        <f>IF(#REF!,"AAAAAFq+94A=",0)</f>
        <v>#REF!</v>
      </c>
      <c r="DZ223" t="e">
        <f>AND(#REF!,"AAAAAFq+94E=")</f>
        <v>#REF!</v>
      </c>
      <c r="EA223" t="e">
        <f>AND(#REF!,"AAAAAFq+94I=")</f>
        <v>#REF!</v>
      </c>
      <c r="EB223" t="e">
        <f>AND(#REF!,"AAAAAFq+94M=")</f>
        <v>#REF!</v>
      </c>
      <c r="EC223" t="e">
        <f>AND(#REF!,"AAAAAFq+94Q=")</f>
        <v>#REF!</v>
      </c>
      <c r="ED223" t="e">
        <f>AND(#REF!,"AAAAAFq+94U=")</f>
        <v>#REF!</v>
      </c>
      <c r="EE223" t="e">
        <f>AND(#REF!,"AAAAAFq+94Y=")</f>
        <v>#REF!</v>
      </c>
      <c r="EF223" t="e">
        <f>AND(#REF!,"AAAAAFq+94c=")</f>
        <v>#REF!</v>
      </c>
      <c r="EG223" t="e">
        <f>AND(#REF!,"AAAAAFq+94g=")</f>
        <v>#REF!</v>
      </c>
      <c r="EH223" t="e">
        <f>AND(#REF!,"AAAAAFq+94k=")</f>
        <v>#REF!</v>
      </c>
      <c r="EI223" t="e">
        <f>AND(#REF!,"AAAAAFq+94o=")</f>
        <v>#REF!</v>
      </c>
      <c r="EJ223" t="e">
        <f>AND(#REF!,"AAAAAFq+94s=")</f>
        <v>#REF!</v>
      </c>
      <c r="EK223" t="e">
        <f>AND(#REF!,"AAAAAFq+94w=")</f>
        <v>#REF!</v>
      </c>
      <c r="EL223" t="e">
        <f>AND(#REF!,"AAAAAFq+940=")</f>
        <v>#REF!</v>
      </c>
      <c r="EM223" t="e">
        <f>AND(#REF!,"AAAAAFq+944=")</f>
        <v>#REF!</v>
      </c>
      <c r="EN223" t="e">
        <f>AND(#REF!,"AAAAAFq+948=")</f>
        <v>#REF!</v>
      </c>
      <c r="EO223" t="e">
        <f>AND(#REF!,"AAAAAFq+95A=")</f>
        <v>#REF!</v>
      </c>
      <c r="EP223" t="e">
        <f>AND(#REF!,"AAAAAFq+95E=")</f>
        <v>#REF!</v>
      </c>
      <c r="EQ223" t="e">
        <f>AND(#REF!,"AAAAAFq+95I=")</f>
        <v>#REF!</v>
      </c>
      <c r="ER223" t="e">
        <f>AND(#REF!,"AAAAAFq+95M=")</f>
        <v>#REF!</v>
      </c>
      <c r="ES223" t="e">
        <f>AND(#REF!,"AAAAAFq+95Q=")</f>
        <v>#REF!</v>
      </c>
      <c r="ET223" t="e">
        <f>AND(#REF!,"AAAAAFq+95U=")</f>
        <v>#REF!</v>
      </c>
      <c r="EU223" t="e">
        <f>AND(#REF!,"AAAAAFq+95Y=")</f>
        <v>#REF!</v>
      </c>
      <c r="EV223" t="e">
        <f>AND(#REF!,"AAAAAFq+95c=")</f>
        <v>#REF!</v>
      </c>
      <c r="EW223" t="e">
        <f>AND(#REF!,"AAAAAFq+95g=")</f>
        <v>#REF!</v>
      </c>
      <c r="EX223" t="e">
        <f>IF(#REF!,"AAAAAFq+95k=",0)</f>
        <v>#REF!</v>
      </c>
      <c r="EY223" t="e">
        <f>AND(#REF!,"AAAAAFq+95o=")</f>
        <v>#REF!</v>
      </c>
      <c r="EZ223" t="e">
        <f>AND(#REF!,"AAAAAFq+95s=")</f>
        <v>#REF!</v>
      </c>
      <c r="FA223" t="e">
        <f>AND(#REF!,"AAAAAFq+95w=")</f>
        <v>#REF!</v>
      </c>
      <c r="FB223" t="e">
        <f>AND(#REF!,"AAAAAFq+950=")</f>
        <v>#REF!</v>
      </c>
      <c r="FC223" t="e">
        <f>AND(#REF!,"AAAAAFq+954=")</f>
        <v>#REF!</v>
      </c>
      <c r="FD223" t="e">
        <f>AND(#REF!,"AAAAAFq+958=")</f>
        <v>#REF!</v>
      </c>
      <c r="FE223" t="e">
        <f>AND(#REF!,"AAAAAFq+96A=")</f>
        <v>#REF!</v>
      </c>
      <c r="FF223" t="e">
        <f>AND(#REF!,"AAAAAFq+96E=")</f>
        <v>#REF!</v>
      </c>
      <c r="FG223" t="e">
        <f>AND(#REF!,"AAAAAFq+96I=")</f>
        <v>#REF!</v>
      </c>
      <c r="FH223" t="e">
        <f>AND(#REF!,"AAAAAFq+96M=")</f>
        <v>#REF!</v>
      </c>
      <c r="FI223" t="e">
        <f>AND(#REF!,"AAAAAFq+96Q=")</f>
        <v>#REF!</v>
      </c>
      <c r="FJ223" t="e">
        <f>AND(#REF!,"AAAAAFq+96U=")</f>
        <v>#REF!</v>
      </c>
      <c r="FK223" t="e">
        <f>AND(#REF!,"AAAAAFq+96Y=")</f>
        <v>#REF!</v>
      </c>
      <c r="FL223" t="e">
        <f>AND(#REF!,"AAAAAFq+96c=")</f>
        <v>#REF!</v>
      </c>
      <c r="FM223" t="e">
        <f>AND(#REF!,"AAAAAFq+96g=")</f>
        <v>#REF!</v>
      </c>
      <c r="FN223" t="e">
        <f>AND(#REF!,"AAAAAFq+96k=")</f>
        <v>#REF!</v>
      </c>
      <c r="FO223" t="e">
        <f>AND(#REF!,"AAAAAFq+96o=")</f>
        <v>#REF!</v>
      </c>
      <c r="FP223" t="e">
        <f>AND(#REF!,"AAAAAFq+96s=")</f>
        <v>#REF!</v>
      </c>
      <c r="FQ223" t="e">
        <f>AND(#REF!,"AAAAAFq+96w=")</f>
        <v>#REF!</v>
      </c>
      <c r="FR223" t="e">
        <f>AND(#REF!,"AAAAAFq+960=")</f>
        <v>#REF!</v>
      </c>
      <c r="FS223" t="e">
        <f>AND(#REF!,"AAAAAFq+964=")</f>
        <v>#REF!</v>
      </c>
      <c r="FT223" t="e">
        <f>AND(#REF!,"AAAAAFq+968=")</f>
        <v>#REF!</v>
      </c>
      <c r="FU223" t="e">
        <f>AND(#REF!,"AAAAAFq+97A=")</f>
        <v>#REF!</v>
      </c>
      <c r="FV223" t="e">
        <f>AND(#REF!,"AAAAAFq+97E=")</f>
        <v>#REF!</v>
      </c>
      <c r="FW223" t="e">
        <f>IF(#REF!,"AAAAAFq+97I=",0)</f>
        <v>#REF!</v>
      </c>
      <c r="FX223" t="e">
        <f>AND(#REF!,"AAAAAFq+97M=")</f>
        <v>#REF!</v>
      </c>
      <c r="FY223" t="e">
        <f>AND(#REF!,"AAAAAFq+97Q=")</f>
        <v>#REF!</v>
      </c>
      <c r="FZ223" t="e">
        <f>AND(#REF!,"AAAAAFq+97U=")</f>
        <v>#REF!</v>
      </c>
      <c r="GA223" t="e">
        <f>AND(#REF!,"AAAAAFq+97Y=")</f>
        <v>#REF!</v>
      </c>
      <c r="GB223" t="e">
        <f>AND(#REF!,"AAAAAFq+97c=")</f>
        <v>#REF!</v>
      </c>
      <c r="GC223" t="e">
        <f>AND(#REF!,"AAAAAFq+97g=")</f>
        <v>#REF!</v>
      </c>
      <c r="GD223" t="e">
        <f>AND(#REF!,"AAAAAFq+97k=")</f>
        <v>#REF!</v>
      </c>
      <c r="GE223" t="e">
        <f>AND(#REF!,"AAAAAFq+97o=")</f>
        <v>#REF!</v>
      </c>
      <c r="GF223" t="e">
        <f>AND(#REF!,"AAAAAFq+97s=")</f>
        <v>#REF!</v>
      </c>
      <c r="GG223" t="e">
        <f>AND(#REF!,"AAAAAFq+97w=")</f>
        <v>#REF!</v>
      </c>
      <c r="GH223" t="e">
        <f>AND(#REF!,"AAAAAFq+970=")</f>
        <v>#REF!</v>
      </c>
      <c r="GI223" t="e">
        <f>AND(#REF!,"AAAAAFq+974=")</f>
        <v>#REF!</v>
      </c>
      <c r="GJ223" t="e">
        <f>AND(#REF!,"AAAAAFq+978=")</f>
        <v>#REF!</v>
      </c>
      <c r="GK223" t="e">
        <f>AND(#REF!,"AAAAAFq+98A=")</f>
        <v>#REF!</v>
      </c>
      <c r="GL223" t="e">
        <f>AND(#REF!,"AAAAAFq+98E=")</f>
        <v>#REF!</v>
      </c>
      <c r="GM223" t="e">
        <f>AND(#REF!,"AAAAAFq+98I=")</f>
        <v>#REF!</v>
      </c>
      <c r="GN223" t="e">
        <f>AND(#REF!,"AAAAAFq+98M=")</f>
        <v>#REF!</v>
      </c>
      <c r="GO223" t="e">
        <f>AND(#REF!,"AAAAAFq+98Q=")</f>
        <v>#REF!</v>
      </c>
      <c r="GP223" t="e">
        <f>AND(#REF!,"AAAAAFq+98U=")</f>
        <v>#REF!</v>
      </c>
      <c r="GQ223" t="e">
        <f>AND(#REF!,"AAAAAFq+98Y=")</f>
        <v>#REF!</v>
      </c>
      <c r="GR223" t="e">
        <f>AND(#REF!,"AAAAAFq+98c=")</f>
        <v>#REF!</v>
      </c>
      <c r="GS223" t="e">
        <f>AND(#REF!,"AAAAAFq+98g=")</f>
        <v>#REF!</v>
      </c>
      <c r="GT223" t="e">
        <f>AND(#REF!,"AAAAAFq+98k=")</f>
        <v>#REF!</v>
      </c>
      <c r="GU223" t="e">
        <f>AND(#REF!,"AAAAAFq+98o=")</f>
        <v>#REF!</v>
      </c>
      <c r="GV223" t="e">
        <f>IF(#REF!,"AAAAAFq+98s=",0)</f>
        <v>#REF!</v>
      </c>
      <c r="GW223" t="e">
        <f>AND(#REF!,"AAAAAFq+98w=")</f>
        <v>#REF!</v>
      </c>
      <c r="GX223" t="e">
        <f>AND(#REF!,"AAAAAFq+980=")</f>
        <v>#REF!</v>
      </c>
      <c r="GY223" t="e">
        <f>AND(#REF!,"AAAAAFq+984=")</f>
        <v>#REF!</v>
      </c>
      <c r="GZ223" t="e">
        <f>AND(#REF!,"AAAAAFq+988=")</f>
        <v>#REF!</v>
      </c>
      <c r="HA223" t="e">
        <f>AND(#REF!,"AAAAAFq+99A=")</f>
        <v>#REF!</v>
      </c>
      <c r="HB223" t="e">
        <f>AND(#REF!,"AAAAAFq+99E=")</f>
        <v>#REF!</v>
      </c>
      <c r="HC223" t="e">
        <f>AND(#REF!,"AAAAAFq+99I=")</f>
        <v>#REF!</v>
      </c>
      <c r="HD223" t="e">
        <f>AND(#REF!,"AAAAAFq+99M=")</f>
        <v>#REF!</v>
      </c>
      <c r="HE223" t="e">
        <f>AND(#REF!,"AAAAAFq+99Q=")</f>
        <v>#REF!</v>
      </c>
      <c r="HF223" t="e">
        <f>AND(#REF!,"AAAAAFq+99U=")</f>
        <v>#REF!</v>
      </c>
      <c r="HG223" t="e">
        <f>AND(#REF!,"AAAAAFq+99Y=")</f>
        <v>#REF!</v>
      </c>
      <c r="HH223" t="e">
        <f>AND(#REF!,"AAAAAFq+99c=")</f>
        <v>#REF!</v>
      </c>
      <c r="HI223" t="e">
        <f>AND(#REF!,"AAAAAFq+99g=")</f>
        <v>#REF!</v>
      </c>
      <c r="HJ223" t="e">
        <f>AND(#REF!,"AAAAAFq+99k=")</f>
        <v>#REF!</v>
      </c>
      <c r="HK223" t="e">
        <f>AND(#REF!,"AAAAAFq+99o=")</f>
        <v>#REF!</v>
      </c>
      <c r="HL223" t="e">
        <f>AND(#REF!,"AAAAAFq+99s=")</f>
        <v>#REF!</v>
      </c>
      <c r="HM223" t="e">
        <f>AND(#REF!,"AAAAAFq+99w=")</f>
        <v>#REF!</v>
      </c>
      <c r="HN223" t="e">
        <f>AND(#REF!,"AAAAAFq+990=")</f>
        <v>#REF!</v>
      </c>
      <c r="HO223" t="e">
        <f>AND(#REF!,"AAAAAFq+994=")</f>
        <v>#REF!</v>
      </c>
      <c r="HP223" t="e">
        <f>AND(#REF!,"AAAAAFq+998=")</f>
        <v>#REF!</v>
      </c>
      <c r="HQ223" t="e">
        <f>AND(#REF!,"AAAAAFq+9+A=")</f>
        <v>#REF!</v>
      </c>
      <c r="HR223" t="e">
        <f>AND(#REF!,"AAAAAFq+9+E=")</f>
        <v>#REF!</v>
      </c>
      <c r="HS223" t="e">
        <f>AND(#REF!,"AAAAAFq+9+I=")</f>
        <v>#REF!</v>
      </c>
      <c r="HT223" t="e">
        <f>AND(#REF!,"AAAAAFq+9+M=")</f>
        <v>#REF!</v>
      </c>
      <c r="HU223" t="e">
        <f>IF(#REF!,"AAAAAFq+9+Q=",0)</f>
        <v>#REF!</v>
      </c>
      <c r="HV223" t="e">
        <f>AND(#REF!,"AAAAAFq+9+U=")</f>
        <v>#REF!</v>
      </c>
      <c r="HW223" t="e">
        <f>AND(#REF!,"AAAAAFq+9+Y=")</f>
        <v>#REF!</v>
      </c>
      <c r="HX223" t="e">
        <f>AND(#REF!,"AAAAAFq+9+c=")</f>
        <v>#REF!</v>
      </c>
      <c r="HY223" t="e">
        <f>AND(#REF!,"AAAAAFq+9+g=")</f>
        <v>#REF!</v>
      </c>
      <c r="HZ223" t="e">
        <f>AND(#REF!,"AAAAAFq+9+k=")</f>
        <v>#REF!</v>
      </c>
      <c r="IA223" t="e">
        <f>AND(#REF!,"AAAAAFq+9+o=")</f>
        <v>#REF!</v>
      </c>
      <c r="IB223" t="e">
        <f>AND(#REF!,"AAAAAFq+9+s=")</f>
        <v>#REF!</v>
      </c>
      <c r="IC223" t="e">
        <f>AND(#REF!,"AAAAAFq+9+w=")</f>
        <v>#REF!</v>
      </c>
      <c r="ID223" t="e">
        <f>AND(#REF!,"AAAAAFq+9+0=")</f>
        <v>#REF!</v>
      </c>
      <c r="IE223" t="e">
        <f>AND(#REF!,"AAAAAFq+9+4=")</f>
        <v>#REF!</v>
      </c>
      <c r="IF223" t="e">
        <f>AND(#REF!,"AAAAAFq+9+8=")</f>
        <v>#REF!</v>
      </c>
      <c r="IG223" t="e">
        <f>AND(#REF!,"AAAAAFq+9/A=")</f>
        <v>#REF!</v>
      </c>
      <c r="IH223" t="e">
        <f>AND(#REF!,"AAAAAFq+9/E=")</f>
        <v>#REF!</v>
      </c>
      <c r="II223" t="e">
        <f>AND(#REF!,"AAAAAFq+9/I=")</f>
        <v>#REF!</v>
      </c>
      <c r="IJ223" t="e">
        <f>AND(#REF!,"AAAAAFq+9/M=")</f>
        <v>#REF!</v>
      </c>
      <c r="IK223" t="e">
        <f>AND(#REF!,"AAAAAFq+9/Q=")</f>
        <v>#REF!</v>
      </c>
      <c r="IL223" t="e">
        <f>AND(#REF!,"AAAAAFq+9/U=")</f>
        <v>#REF!</v>
      </c>
      <c r="IM223" t="e">
        <f>AND(#REF!,"AAAAAFq+9/Y=")</f>
        <v>#REF!</v>
      </c>
      <c r="IN223" t="e">
        <f>AND(#REF!,"AAAAAFq+9/c=")</f>
        <v>#REF!</v>
      </c>
      <c r="IO223" t="e">
        <f>AND(#REF!,"AAAAAFq+9/g=")</f>
        <v>#REF!</v>
      </c>
      <c r="IP223" t="e">
        <f>AND(#REF!,"AAAAAFq+9/k=")</f>
        <v>#REF!</v>
      </c>
      <c r="IQ223" t="e">
        <f>AND(#REF!,"AAAAAFq+9/o=")</f>
        <v>#REF!</v>
      </c>
      <c r="IR223" t="e">
        <f>AND(#REF!,"AAAAAFq+9/s=")</f>
        <v>#REF!</v>
      </c>
      <c r="IS223" t="e">
        <f>AND(#REF!,"AAAAAFq+9/w=")</f>
        <v>#REF!</v>
      </c>
      <c r="IT223" t="e">
        <f>IF(#REF!,"AAAAAFq+9/0=",0)</f>
        <v>#REF!</v>
      </c>
      <c r="IU223" t="e">
        <f>AND(#REF!,"AAAAAFq+9/4=")</f>
        <v>#REF!</v>
      </c>
      <c r="IV223" t="e">
        <f>AND(#REF!,"AAAAAFq+9/8=")</f>
        <v>#REF!</v>
      </c>
    </row>
    <row r="224" spans="1:256">
      <c r="A224" t="e">
        <f>AND(#REF!,"AAAAAC743wA=")</f>
        <v>#REF!</v>
      </c>
      <c r="B224" t="e">
        <f>AND(#REF!,"AAAAAC743wE=")</f>
        <v>#REF!</v>
      </c>
      <c r="C224" t="e">
        <f>AND(#REF!,"AAAAAC743wI=")</f>
        <v>#REF!</v>
      </c>
      <c r="D224" t="e">
        <f>AND(#REF!,"AAAAAC743wM=")</f>
        <v>#REF!</v>
      </c>
      <c r="E224" t="e">
        <f>AND(#REF!,"AAAAAC743wQ=")</f>
        <v>#REF!</v>
      </c>
      <c r="F224" t="e">
        <f>AND(#REF!,"AAAAAC743wU=")</f>
        <v>#REF!</v>
      </c>
      <c r="G224" t="e">
        <f>AND(#REF!,"AAAAAC743wY=")</f>
        <v>#REF!</v>
      </c>
      <c r="H224" t="e">
        <f>AND(#REF!,"AAAAAC743wc=")</f>
        <v>#REF!</v>
      </c>
      <c r="I224" t="e">
        <f>AND(#REF!,"AAAAAC743wg=")</f>
        <v>#REF!</v>
      </c>
      <c r="J224" t="e">
        <f>AND(#REF!,"AAAAAC743wk=")</f>
        <v>#REF!</v>
      </c>
      <c r="K224" t="e">
        <f>AND(#REF!,"AAAAAC743wo=")</f>
        <v>#REF!</v>
      </c>
      <c r="L224" t="e">
        <f>AND(#REF!,"AAAAAC743ws=")</f>
        <v>#REF!</v>
      </c>
      <c r="M224" t="e">
        <f>AND(#REF!,"AAAAAC743ww=")</f>
        <v>#REF!</v>
      </c>
      <c r="N224" t="e">
        <f>AND(#REF!,"AAAAAC743w0=")</f>
        <v>#REF!</v>
      </c>
      <c r="O224" t="e">
        <f>AND(#REF!,"AAAAAC743w4=")</f>
        <v>#REF!</v>
      </c>
      <c r="P224" t="e">
        <f>AND(#REF!,"AAAAAC743w8=")</f>
        <v>#REF!</v>
      </c>
      <c r="Q224" t="e">
        <f>AND(#REF!,"AAAAAC743xA=")</f>
        <v>#REF!</v>
      </c>
      <c r="R224" t="e">
        <f>AND(#REF!,"AAAAAC743xE=")</f>
        <v>#REF!</v>
      </c>
      <c r="S224" t="e">
        <f>AND(#REF!,"AAAAAC743xI=")</f>
        <v>#REF!</v>
      </c>
      <c r="T224" t="e">
        <f>AND(#REF!,"AAAAAC743xM=")</f>
        <v>#REF!</v>
      </c>
      <c r="U224" t="e">
        <f>AND(#REF!,"AAAAAC743xQ=")</f>
        <v>#REF!</v>
      </c>
      <c r="V224" t="e">
        <f>AND(#REF!,"AAAAAC743xU=")</f>
        <v>#REF!</v>
      </c>
      <c r="W224" t="e">
        <f>IF(#REF!,"AAAAAC743xY=",0)</f>
        <v>#REF!</v>
      </c>
      <c r="X224" t="e">
        <f>AND(#REF!,"AAAAAC743xc=")</f>
        <v>#REF!</v>
      </c>
      <c r="Y224" t="e">
        <f>AND(#REF!,"AAAAAC743xg=")</f>
        <v>#REF!</v>
      </c>
      <c r="Z224" t="e">
        <f>AND(#REF!,"AAAAAC743xk=")</f>
        <v>#REF!</v>
      </c>
      <c r="AA224" t="e">
        <f>AND(#REF!,"AAAAAC743xo=")</f>
        <v>#REF!</v>
      </c>
      <c r="AB224" t="e">
        <f>AND(#REF!,"AAAAAC743xs=")</f>
        <v>#REF!</v>
      </c>
      <c r="AC224" t="e">
        <f>AND(#REF!,"AAAAAC743xw=")</f>
        <v>#REF!</v>
      </c>
      <c r="AD224" t="e">
        <f>AND(#REF!,"AAAAAC743x0=")</f>
        <v>#REF!</v>
      </c>
      <c r="AE224" t="e">
        <f>AND(#REF!,"AAAAAC743x4=")</f>
        <v>#REF!</v>
      </c>
      <c r="AF224" t="e">
        <f>AND(#REF!,"AAAAAC743x8=")</f>
        <v>#REF!</v>
      </c>
      <c r="AG224" t="e">
        <f>AND(#REF!,"AAAAAC743yA=")</f>
        <v>#REF!</v>
      </c>
      <c r="AH224" t="e">
        <f>AND(#REF!,"AAAAAC743yE=")</f>
        <v>#REF!</v>
      </c>
      <c r="AI224" t="e">
        <f>AND(#REF!,"AAAAAC743yI=")</f>
        <v>#REF!</v>
      </c>
      <c r="AJ224" t="e">
        <f>AND(#REF!,"AAAAAC743yM=")</f>
        <v>#REF!</v>
      </c>
      <c r="AK224" t="e">
        <f>AND(#REF!,"AAAAAC743yQ=")</f>
        <v>#REF!</v>
      </c>
      <c r="AL224" t="e">
        <f>AND(#REF!,"AAAAAC743yU=")</f>
        <v>#REF!</v>
      </c>
      <c r="AM224" t="e">
        <f>AND(#REF!,"AAAAAC743yY=")</f>
        <v>#REF!</v>
      </c>
      <c r="AN224" t="e">
        <f>AND(#REF!,"AAAAAC743yc=")</f>
        <v>#REF!</v>
      </c>
      <c r="AO224" t="e">
        <f>AND(#REF!,"AAAAAC743yg=")</f>
        <v>#REF!</v>
      </c>
      <c r="AP224" t="e">
        <f>AND(#REF!,"AAAAAC743yk=")</f>
        <v>#REF!</v>
      </c>
      <c r="AQ224" t="e">
        <f>AND(#REF!,"AAAAAC743yo=")</f>
        <v>#REF!</v>
      </c>
      <c r="AR224" t="e">
        <f>AND(#REF!,"AAAAAC743ys=")</f>
        <v>#REF!</v>
      </c>
      <c r="AS224" t="e">
        <f>AND(#REF!,"AAAAAC743yw=")</f>
        <v>#REF!</v>
      </c>
      <c r="AT224" t="e">
        <f>AND(#REF!,"AAAAAC743y0=")</f>
        <v>#REF!</v>
      </c>
      <c r="AU224" t="e">
        <f>AND(#REF!,"AAAAAC743y4=")</f>
        <v>#REF!</v>
      </c>
      <c r="AV224" t="e">
        <f>IF(#REF!,"AAAAAC743y8=",0)</f>
        <v>#REF!</v>
      </c>
      <c r="AW224" t="e">
        <f>AND(#REF!,"AAAAAC743zA=")</f>
        <v>#REF!</v>
      </c>
      <c r="AX224" t="e">
        <f>AND(#REF!,"AAAAAC743zE=")</f>
        <v>#REF!</v>
      </c>
      <c r="AY224" t="e">
        <f>AND(#REF!,"AAAAAC743zI=")</f>
        <v>#REF!</v>
      </c>
      <c r="AZ224" t="e">
        <f>AND(#REF!,"AAAAAC743zM=")</f>
        <v>#REF!</v>
      </c>
      <c r="BA224" t="e">
        <f>AND(#REF!,"AAAAAC743zQ=")</f>
        <v>#REF!</v>
      </c>
      <c r="BB224" t="e">
        <f>AND(#REF!,"AAAAAC743zU=")</f>
        <v>#REF!</v>
      </c>
      <c r="BC224" t="e">
        <f>AND(#REF!,"AAAAAC743zY=")</f>
        <v>#REF!</v>
      </c>
      <c r="BD224" t="e">
        <f>AND(#REF!,"AAAAAC743zc=")</f>
        <v>#REF!</v>
      </c>
      <c r="BE224" t="e">
        <f>AND(#REF!,"AAAAAC743zg=")</f>
        <v>#REF!</v>
      </c>
      <c r="BF224" t="e">
        <f>AND(#REF!,"AAAAAC743zk=")</f>
        <v>#REF!</v>
      </c>
      <c r="BG224" t="e">
        <f>AND(#REF!,"AAAAAC743zo=")</f>
        <v>#REF!</v>
      </c>
      <c r="BH224" t="e">
        <f>AND(#REF!,"AAAAAC743zs=")</f>
        <v>#REF!</v>
      </c>
      <c r="BI224" t="e">
        <f>AND(#REF!,"AAAAAC743zw=")</f>
        <v>#REF!</v>
      </c>
      <c r="BJ224" t="e">
        <f>AND(#REF!,"AAAAAC743z0=")</f>
        <v>#REF!</v>
      </c>
      <c r="BK224" t="e">
        <f>AND(#REF!,"AAAAAC743z4=")</f>
        <v>#REF!</v>
      </c>
      <c r="BL224" t="e">
        <f>AND(#REF!,"AAAAAC743z8=")</f>
        <v>#REF!</v>
      </c>
      <c r="BM224" t="e">
        <f>AND(#REF!,"AAAAAC7430A=")</f>
        <v>#REF!</v>
      </c>
      <c r="BN224" t="e">
        <f>AND(#REF!,"AAAAAC7430E=")</f>
        <v>#REF!</v>
      </c>
      <c r="BO224" t="e">
        <f>AND(#REF!,"AAAAAC7430I=")</f>
        <v>#REF!</v>
      </c>
      <c r="BP224" t="e">
        <f>AND(#REF!,"AAAAAC7430M=")</f>
        <v>#REF!</v>
      </c>
      <c r="BQ224" t="e">
        <f>AND(#REF!,"AAAAAC7430Q=")</f>
        <v>#REF!</v>
      </c>
      <c r="BR224" t="e">
        <f>AND(#REF!,"AAAAAC7430U=")</f>
        <v>#REF!</v>
      </c>
      <c r="BS224" t="e">
        <f>AND(#REF!,"AAAAAC7430Y=")</f>
        <v>#REF!</v>
      </c>
      <c r="BT224" t="e">
        <f>AND(#REF!,"AAAAAC7430c=")</f>
        <v>#REF!</v>
      </c>
      <c r="BU224" t="e">
        <f>IF(#REF!,"AAAAAC7430g=",0)</f>
        <v>#REF!</v>
      </c>
      <c r="BV224" t="e">
        <f>AND(#REF!,"AAAAAC7430k=")</f>
        <v>#REF!</v>
      </c>
      <c r="BW224" t="e">
        <f>AND(#REF!,"AAAAAC7430o=")</f>
        <v>#REF!</v>
      </c>
      <c r="BX224" t="e">
        <f>AND(#REF!,"AAAAAC7430s=")</f>
        <v>#REF!</v>
      </c>
      <c r="BY224" t="e">
        <f>AND(#REF!,"AAAAAC7430w=")</f>
        <v>#REF!</v>
      </c>
      <c r="BZ224" t="e">
        <f>AND(#REF!,"AAAAAC74300=")</f>
        <v>#REF!</v>
      </c>
      <c r="CA224" t="e">
        <f>AND(#REF!,"AAAAAC74304=")</f>
        <v>#REF!</v>
      </c>
      <c r="CB224" t="e">
        <f>AND(#REF!,"AAAAAC74308=")</f>
        <v>#REF!</v>
      </c>
      <c r="CC224" t="e">
        <f>AND(#REF!,"AAAAAC7431A=")</f>
        <v>#REF!</v>
      </c>
      <c r="CD224" t="e">
        <f>AND(#REF!,"AAAAAC7431E=")</f>
        <v>#REF!</v>
      </c>
      <c r="CE224" t="e">
        <f>AND(#REF!,"AAAAAC7431I=")</f>
        <v>#REF!</v>
      </c>
      <c r="CF224" t="e">
        <f>AND(#REF!,"AAAAAC7431M=")</f>
        <v>#REF!</v>
      </c>
      <c r="CG224" t="e">
        <f>AND(#REF!,"AAAAAC7431Q=")</f>
        <v>#REF!</v>
      </c>
      <c r="CH224" t="e">
        <f>AND(#REF!,"AAAAAC7431U=")</f>
        <v>#REF!</v>
      </c>
      <c r="CI224" t="e">
        <f>AND(#REF!,"AAAAAC7431Y=")</f>
        <v>#REF!</v>
      </c>
      <c r="CJ224" t="e">
        <f>AND(#REF!,"AAAAAC7431c=")</f>
        <v>#REF!</v>
      </c>
      <c r="CK224" t="e">
        <f>AND(#REF!,"AAAAAC7431g=")</f>
        <v>#REF!</v>
      </c>
      <c r="CL224" t="e">
        <f>AND(#REF!,"AAAAAC7431k=")</f>
        <v>#REF!</v>
      </c>
      <c r="CM224" t="e">
        <f>AND(#REF!,"AAAAAC7431o=")</f>
        <v>#REF!</v>
      </c>
      <c r="CN224" t="e">
        <f>AND(#REF!,"AAAAAC7431s=")</f>
        <v>#REF!</v>
      </c>
      <c r="CO224" t="e">
        <f>AND(#REF!,"AAAAAC7431w=")</f>
        <v>#REF!</v>
      </c>
      <c r="CP224" t="e">
        <f>AND(#REF!,"AAAAAC74310=")</f>
        <v>#REF!</v>
      </c>
      <c r="CQ224" t="e">
        <f>AND(#REF!,"AAAAAC74314=")</f>
        <v>#REF!</v>
      </c>
      <c r="CR224" t="e">
        <f>AND(#REF!,"AAAAAC74318=")</f>
        <v>#REF!</v>
      </c>
      <c r="CS224" t="e">
        <f>AND(#REF!,"AAAAAC7432A=")</f>
        <v>#REF!</v>
      </c>
      <c r="CT224" t="e">
        <f>IF(#REF!,"AAAAAC7432E=",0)</f>
        <v>#REF!</v>
      </c>
      <c r="CU224" t="e">
        <f>AND(#REF!,"AAAAAC7432I=")</f>
        <v>#REF!</v>
      </c>
      <c r="CV224" t="e">
        <f>AND(#REF!,"AAAAAC7432M=")</f>
        <v>#REF!</v>
      </c>
      <c r="CW224" t="e">
        <f>AND(#REF!,"AAAAAC7432Q=")</f>
        <v>#REF!</v>
      </c>
      <c r="CX224" t="e">
        <f>AND(#REF!,"AAAAAC7432U=")</f>
        <v>#REF!</v>
      </c>
      <c r="CY224" t="e">
        <f>AND(#REF!,"AAAAAC7432Y=")</f>
        <v>#REF!</v>
      </c>
      <c r="CZ224" t="e">
        <f>AND(#REF!,"AAAAAC7432c=")</f>
        <v>#REF!</v>
      </c>
      <c r="DA224" t="e">
        <f>AND(#REF!,"AAAAAC7432g=")</f>
        <v>#REF!</v>
      </c>
      <c r="DB224" t="e">
        <f>AND(#REF!,"AAAAAC7432k=")</f>
        <v>#REF!</v>
      </c>
      <c r="DC224" t="e">
        <f>AND(#REF!,"AAAAAC7432o=")</f>
        <v>#REF!</v>
      </c>
      <c r="DD224" t="e">
        <f>AND(#REF!,"AAAAAC7432s=")</f>
        <v>#REF!</v>
      </c>
      <c r="DE224" t="e">
        <f>AND(#REF!,"AAAAAC7432w=")</f>
        <v>#REF!</v>
      </c>
      <c r="DF224" t="e">
        <f>AND(#REF!,"AAAAAC74320=")</f>
        <v>#REF!</v>
      </c>
      <c r="DG224" t="e">
        <f>AND(#REF!,"AAAAAC74324=")</f>
        <v>#REF!</v>
      </c>
      <c r="DH224" t="e">
        <f>AND(#REF!,"AAAAAC74328=")</f>
        <v>#REF!</v>
      </c>
      <c r="DI224" t="e">
        <f>AND(#REF!,"AAAAAC7433A=")</f>
        <v>#REF!</v>
      </c>
      <c r="DJ224" t="e">
        <f>AND(#REF!,"AAAAAC7433E=")</f>
        <v>#REF!</v>
      </c>
      <c r="DK224" t="e">
        <f>AND(#REF!,"AAAAAC7433I=")</f>
        <v>#REF!</v>
      </c>
      <c r="DL224" t="e">
        <f>AND(#REF!,"AAAAAC7433M=")</f>
        <v>#REF!</v>
      </c>
      <c r="DM224" t="e">
        <f>AND(#REF!,"AAAAAC7433Q=")</f>
        <v>#REF!</v>
      </c>
      <c r="DN224" t="e">
        <f>AND(#REF!,"AAAAAC7433U=")</f>
        <v>#REF!</v>
      </c>
      <c r="DO224" t="e">
        <f>AND(#REF!,"AAAAAC7433Y=")</f>
        <v>#REF!</v>
      </c>
      <c r="DP224" t="e">
        <f>AND(#REF!,"AAAAAC7433c=")</f>
        <v>#REF!</v>
      </c>
      <c r="DQ224" t="e">
        <f>AND(#REF!,"AAAAAC7433g=")</f>
        <v>#REF!</v>
      </c>
      <c r="DR224" t="e">
        <f>AND(#REF!,"AAAAAC7433k=")</f>
        <v>#REF!</v>
      </c>
      <c r="DS224" t="e">
        <f>IF(#REF!,"AAAAAC7433o=",0)</f>
        <v>#REF!</v>
      </c>
      <c r="DT224" t="e">
        <f>AND(#REF!,"AAAAAC7433s=")</f>
        <v>#REF!</v>
      </c>
      <c r="DU224" t="e">
        <f>AND(#REF!,"AAAAAC7433w=")</f>
        <v>#REF!</v>
      </c>
      <c r="DV224" t="e">
        <f>AND(#REF!,"AAAAAC74330=")</f>
        <v>#REF!</v>
      </c>
      <c r="DW224" t="e">
        <f>AND(#REF!,"AAAAAC74334=")</f>
        <v>#REF!</v>
      </c>
      <c r="DX224" t="e">
        <f>AND(#REF!,"AAAAAC74338=")</f>
        <v>#REF!</v>
      </c>
      <c r="DY224" t="e">
        <f>AND(#REF!,"AAAAAC7434A=")</f>
        <v>#REF!</v>
      </c>
      <c r="DZ224" t="e">
        <f>AND(#REF!,"AAAAAC7434E=")</f>
        <v>#REF!</v>
      </c>
      <c r="EA224" t="e">
        <f>AND(#REF!,"AAAAAC7434I=")</f>
        <v>#REF!</v>
      </c>
      <c r="EB224" t="e">
        <f>AND(#REF!,"AAAAAC7434M=")</f>
        <v>#REF!</v>
      </c>
      <c r="EC224" t="e">
        <f>AND(#REF!,"AAAAAC7434Q=")</f>
        <v>#REF!</v>
      </c>
      <c r="ED224" t="e">
        <f>AND(#REF!,"AAAAAC7434U=")</f>
        <v>#REF!</v>
      </c>
      <c r="EE224" t="e">
        <f>AND(#REF!,"AAAAAC7434Y=")</f>
        <v>#REF!</v>
      </c>
      <c r="EF224" t="e">
        <f>AND(#REF!,"AAAAAC7434c=")</f>
        <v>#REF!</v>
      </c>
      <c r="EG224" t="e">
        <f>AND(#REF!,"AAAAAC7434g=")</f>
        <v>#REF!</v>
      </c>
      <c r="EH224" t="e">
        <f>AND(#REF!,"AAAAAC7434k=")</f>
        <v>#REF!</v>
      </c>
      <c r="EI224" t="e">
        <f>AND(#REF!,"AAAAAC7434o=")</f>
        <v>#REF!</v>
      </c>
      <c r="EJ224" t="e">
        <f>AND(#REF!,"AAAAAC7434s=")</f>
        <v>#REF!</v>
      </c>
      <c r="EK224" t="e">
        <f>AND(#REF!,"AAAAAC7434w=")</f>
        <v>#REF!</v>
      </c>
      <c r="EL224" t="e">
        <f>AND(#REF!,"AAAAAC74340=")</f>
        <v>#REF!</v>
      </c>
      <c r="EM224" t="e">
        <f>AND(#REF!,"AAAAAC74344=")</f>
        <v>#REF!</v>
      </c>
      <c r="EN224" t="e">
        <f>AND(#REF!,"AAAAAC74348=")</f>
        <v>#REF!</v>
      </c>
      <c r="EO224" t="e">
        <f>AND(#REF!,"AAAAAC7435A=")</f>
        <v>#REF!</v>
      </c>
      <c r="EP224" t="e">
        <f>AND(#REF!,"AAAAAC7435E=")</f>
        <v>#REF!</v>
      </c>
      <c r="EQ224" t="e">
        <f>AND(#REF!,"AAAAAC7435I=")</f>
        <v>#REF!</v>
      </c>
      <c r="ER224" t="e">
        <f>IF(#REF!,"AAAAAC7435M=",0)</f>
        <v>#REF!</v>
      </c>
      <c r="ES224" t="e">
        <f>AND(#REF!,"AAAAAC7435Q=")</f>
        <v>#REF!</v>
      </c>
      <c r="ET224" t="e">
        <f>AND(#REF!,"AAAAAC7435U=")</f>
        <v>#REF!</v>
      </c>
      <c r="EU224" t="e">
        <f>AND(#REF!,"AAAAAC7435Y=")</f>
        <v>#REF!</v>
      </c>
      <c r="EV224" t="e">
        <f>AND(#REF!,"AAAAAC7435c=")</f>
        <v>#REF!</v>
      </c>
      <c r="EW224" t="e">
        <f>AND(#REF!,"AAAAAC7435g=")</f>
        <v>#REF!</v>
      </c>
      <c r="EX224" t="e">
        <f>AND(#REF!,"AAAAAC7435k=")</f>
        <v>#REF!</v>
      </c>
      <c r="EY224" t="e">
        <f>AND(#REF!,"AAAAAC7435o=")</f>
        <v>#REF!</v>
      </c>
      <c r="EZ224" t="e">
        <f>AND(#REF!,"AAAAAC7435s=")</f>
        <v>#REF!</v>
      </c>
      <c r="FA224" t="e">
        <f>AND(#REF!,"AAAAAC7435w=")</f>
        <v>#REF!</v>
      </c>
      <c r="FB224" t="e">
        <f>AND(#REF!,"AAAAAC74350=")</f>
        <v>#REF!</v>
      </c>
      <c r="FC224" t="e">
        <f>AND(#REF!,"AAAAAC74354=")</f>
        <v>#REF!</v>
      </c>
      <c r="FD224" t="e">
        <f>AND(#REF!,"AAAAAC74358=")</f>
        <v>#REF!</v>
      </c>
      <c r="FE224" t="e">
        <f>AND(#REF!,"AAAAAC7436A=")</f>
        <v>#REF!</v>
      </c>
      <c r="FF224" t="e">
        <f>AND(#REF!,"AAAAAC7436E=")</f>
        <v>#REF!</v>
      </c>
      <c r="FG224" t="e">
        <f>AND(#REF!,"AAAAAC7436I=")</f>
        <v>#REF!</v>
      </c>
      <c r="FH224" t="e">
        <f>AND(#REF!,"AAAAAC7436M=")</f>
        <v>#REF!</v>
      </c>
      <c r="FI224" t="e">
        <f>AND(#REF!,"AAAAAC7436Q=")</f>
        <v>#REF!</v>
      </c>
      <c r="FJ224" t="e">
        <f>AND(#REF!,"AAAAAC7436U=")</f>
        <v>#REF!</v>
      </c>
      <c r="FK224" t="e">
        <f>AND(#REF!,"AAAAAC7436Y=")</f>
        <v>#REF!</v>
      </c>
      <c r="FL224" t="e">
        <f>AND(#REF!,"AAAAAC7436c=")</f>
        <v>#REF!</v>
      </c>
      <c r="FM224" t="e">
        <f>AND(#REF!,"AAAAAC7436g=")</f>
        <v>#REF!</v>
      </c>
      <c r="FN224" t="e">
        <f>AND(#REF!,"AAAAAC7436k=")</f>
        <v>#REF!</v>
      </c>
      <c r="FO224" t="e">
        <f>AND(#REF!,"AAAAAC7436o=")</f>
        <v>#REF!</v>
      </c>
      <c r="FP224" t="e">
        <f>AND(#REF!,"AAAAAC7436s=")</f>
        <v>#REF!</v>
      </c>
      <c r="FQ224" t="e">
        <f>IF(#REF!,"AAAAAC7436w=",0)</f>
        <v>#REF!</v>
      </c>
      <c r="FR224" t="e">
        <f>AND(#REF!,"AAAAAC74360=")</f>
        <v>#REF!</v>
      </c>
      <c r="FS224" t="e">
        <f>AND(#REF!,"AAAAAC74364=")</f>
        <v>#REF!</v>
      </c>
      <c r="FT224" t="e">
        <f>AND(#REF!,"AAAAAC74368=")</f>
        <v>#REF!</v>
      </c>
      <c r="FU224" t="e">
        <f>AND(#REF!,"AAAAAC7437A=")</f>
        <v>#REF!</v>
      </c>
      <c r="FV224" t="e">
        <f>AND(#REF!,"AAAAAC7437E=")</f>
        <v>#REF!</v>
      </c>
      <c r="FW224" t="e">
        <f>AND(#REF!,"AAAAAC7437I=")</f>
        <v>#REF!</v>
      </c>
      <c r="FX224" t="e">
        <f>AND(#REF!,"AAAAAC7437M=")</f>
        <v>#REF!</v>
      </c>
      <c r="FY224" t="e">
        <f>AND(#REF!,"AAAAAC7437Q=")</f>
        <v>#REF!</v>
      </c>
      <c r="FZ224" t="e">
        <f>AND(#REF!,"AAAAAC7437U=")</f>
        <v>#REF!</v>
      </c>
      <c r="GA224" t="e">
        <f>AND(#REF!,"AAAAAC7437Y=")</f>
        <v>#REF!</v>
      </c>
      <c r="GB224" t="e">
        <f>AND(#REF!,"AAAAAC7437c=")</f>
        <v>#REF!</v>
      </c>
      <c r="GC224" t="e">
        <f>AND(#REF!,"AAAAAC7437g=")</f>
        <v>#REF!</v>
      </c>
      <c r="GD224" t="e">
        <f>AND(#REF!,"AAAAAC7437k=")</f>
        <v>#REF!</v>
      </c>
      <c r="GE224" t="e">
        <f>AND(#REF!,"AAAAAC7437o=")</f>
        <v>#REF!</v>
      </c>
      <c r="GF224" t="e">
        <f>AND(#REF!,"AAAAAC7437s=")</f>
        <v>#REF!</v>
      </c>
      <c r="GG224" t="e">
        <f>AND(#REF!,"AAAAAC7437w=")</f>
        <v>#REF!</v>
      </c>
      <c r="GH224" t="e">
        <f>AND(#REF!,"AAAAAC74370=")</f>
        <v>#REF!</v>
      </c>
      <c r="GI224" t="e">
        <f>AND(#REF!,"AAAAAC74374=")</f>
        <v>#REF!</v>
      </c>
      <c r="GJ224" t="e">
        <f>AND(#REF!,"AAAAAC74378=")</f>
        <v>#REF!</v>
      </c>
      <c r="GK224" t="e">
        <f>AND(#REF!,"AAAAAC7438A=")</f>
        <v>#REF!</v>
      </c>
      <c r="GL224" t="e">
        <f>AND(#REF!,"AAAAAC7438E=")</f>
        <v>#REF!</v>
      </c>
      <c r="GM224" t="e">
        <f>AND(#REF!,"AAAAAC7438I=")</f>
        <v>#REF!</v>
      </c>
      <c r="GN224" t="e">
        <f>AND(#REF!,"AAAAAC7438M=")</f>
        <v>#REF!</v>
      </c>
      <c r="GO224" t="e">
        <f>AND(#REF!,"AAAAAC7438Q=")</f>
        <v>#REF!</v>
      </c>
      <c r="GP224" t="e">
        <f>IF(#REF!,"AAAAAC7438U=",0)</f>
        <v>#REF!</v>
      </c>
      <c r="GQ224" t="e">
        <f>AND(#REF!,"AAAAAC7438Y=")</f>
        <v>#REF!</v>
      </c>
      <c r="GR224" t="e">
        <f>AND(#REF!,"AAAAAC7438c=")</f>
        <v>#REF!</v>
      </c>
      <c r="GS224" t="e">
        <f>AND(#REF!,"AAAAAC7438g=")</f>
        <v>#REF!</v>
      </c>
      <c r="GT224" t="e">
        <f>AND(#REF!,"AAAAAC7438k=")</f>
        <v>#REF!</v>
      </c>
      <c r="GU224" t="e">
        <f>AND(#REF!,"AAAAAC7438o=")</f>
        <v>#REF!</v>
      </c>
      <c r="GV224" t="e">
        <f>AND(#REF!,"AAAAAC7438s=")</f>
        <v>#REF!</v>
      </c>
      <c r="GW224" t="e">
        <f>AND(#REF!,"AAAAAC7438w=")</f>
        <v>#REF!</v>
      </c>
      <c r="GX224" t="e">
        <f>AND(#REF!,"AAAAAC74380=")</f>
        <v>#REF!</v>
      </c>
      <c r="GY224" t="e">
        <f>AND(#REF!,"AAAAAC74384=")</f>
        <v>#REF!</v>
      </c>
      <c r="GZ224" t="e">
        <f>AND(#REF!,"AAAAAC74388=")</f>
        <v>#REF!</v>
      </c>
      <c r="HA224" t="e">
        <f>AND(#REF!,"AAAAAC7439A=")</f>
        <v>#REF!</v>
      </c>
      <c r="HB224" t="e">
        <f>AND(#REF!,"AAAAAC7439E=")</f>
        <v>#REF!</v>
      </c>
      <c r="HC224" t="e">
        <f>AND(#REF!,"AAAAAC7439I=")</f>
        <v>#REF!</v>
      </c>
      <c r="HD224" t="e">
        <f>AND(#REF!,"AAAAAC7439M=")</f>
        <v>#REF!</v>
      </c>
      <c r="HE224" t="e">
        <f>AND(#REF!,"AAAAAC7439Q=")</f>
        <v>#REF!</v>
      </c>
      <c r="HF224" t="e">
        <f>AND(#REF!,"AAAAAC7439U=")</f>
        <v>#REF!</v>
      </c>
      <c r="HG224" t="e">
        <f>AND(#REF!,"AAAAAC7439Y=")</f>
        <v>#REF!</v>
      </c>
      <c r="HH224" t="e">
        <f>AND(#REF!,"AAAAAC7439c=")</f>
        <v>#REF!</v>
      </c>
      <c r="HI224" t="e">
        <f>AND(#REF!,"AAAAAC7439g=")</f>
        <v>#REF!</v>
      </c>
      <c r="HJ224" t="e">
        <f>AND(#REF!,"AAAAAC7439k=")</f>
        <v>#REF!</v>
      </c>
      <c r="HK224" t="e">
        <f>AND(#REF!,"AAAAAC7439o=")</f>
        <v>#REF!</v>
      </c>
      <c r="HL224" t="e">
        <f>AND(#REF!,"AAAAAC7439s=")</f>
        <v>#REF!</v>
      </c>
      <c r="HM224" t="e">
        <f>AND(#REF!,"AAAAAC7439w=")</f>
        <v>#REF!</v>
      </c>
      <c r="HN224" t="e">
        <f>AND(#REF!,"AAAAAC74390=")</f>
        <v>#REF!</v>
      </c>
      <c r="HO224" t="e">
        <f>IF(#REF!,"AAAAAC74394=",0)</f>
        <v>#REF!</v>
      </c>
      <c r="HP224" t="e">
        <f>AND(#REF!,"AAAAAC74398=")</f>
        <v>#REF!</v>
      </c>
      <c r="HQ224" t="e">
        <f>AND(#REF!,"AAAAAC743+A=")</f>
        <v>#REF!</v>
      </c>
      <c r="HR224" t="e">
        <f>AND(#REF!,"AAAAAC743+E=")</f>
        <v>#REF!</v>
      </c>
      <c r="HS224" t="e">
        <f>AND(#REF!,"AAAAAC743+I=")</f>
        <v>#REF!</v>
      </c>
      <c r="HT224" t="e">
        <f>AND(#REF!,"AAAAAC743+M=")</f>
        <v>#REF!</v>
      </c>
      <c r="HU224" t="e">
        <f>AND(#REF!,"AAAAAC743+Q=")</f>
        <v>#REF!</v>
      </c>
      <c r="HV224" t="e">
        <f>AND(#REF!,"AAAAAC743+U=")</f>
        <v>#REF!</v>
      </c>
      <c r="HW224" t="e">
        <f>AND(#REF!,"AAAAAC743+Y=")</f>
        <v>#REF!</v>
      </c>
      <c r="HX224" t="e">
        <f>AND(#REF!,"AAAAAC743+c=")</f>
        <v>#REF!</v>
      </c>
      <c r="HY224" t="e">
        <f>AND(#REF!,"AAAAAC743+g=")</f>
        <v>#REF!</v>
      </c>
      <c r="HZ224" t="e">
        <f>AND(#REF!,"AAAAAC743+k=")</f>
        <v>#REF!</v>
      </c>
      <c r="IA224" t="e">
        <f>AND(#REF!,"AAAAAC743+o=")</f>
        <v>#REF!</v>
      </c>
      <c r="IB224" t="e">
        <f>AND(#REF!,"AAAAAC743+s=")</f>
        <v>#REF!</v>
      </c>
      <c r="IC224" t="e">
        <f>AND(#REF!,"AAAAAC743+w=")</f>
        <v>#REF!</v>
      </c>
      <c r="ID224" t="e">
        <f>AND(#REF!,"AAAAAC743+0=")</f>
        <v>#REF!</v>
      </c>
      <c r="IE224" t="e">
        <f>AND(#REF!,"AAAAAC743+4=")</f>
        <v>#REF!</v>
      </c>
      <c r="IF224" t="e">
        <f>AND(#REF!,"AAAAAC743+8=")</f>
        <v>#REF!</v>
      </c>
      <c r="IG224" t="e">
        <f>AND(#REF!,"AAAAAC743/A=")</f>
        <v>#REF!</v>
      </c>
      <c r="IH224" t="e">
        <f>AND(#REF!,"AAAAAC743/E=")</f>
        <v>#REF!</v>
      </c>
      <c r="II224" t="e">
        <f>AND(#REF!,"AAAAAC743/I=")</f>
        <v>#REF!</v>
      </c>
      <c r="IJ224" t="e">
        <f>AND(#REF!,"AAAAAC743/M=")</f>
        <v>#REF!</v>
      </c>
      <c r="IK224" t="e">
        <f>AND(#REF!,"AAAAAC743/Q=")</f>
        <v>#REF!</v>
      </c>
      <c r="IL224" t="e">
        <f>AND(#REF!,"AAAAAC743/U=")</f>
        <v>#REF!</v>
      </c>
      <c r="IM224" t="e">
        <f>AND(#REF!,"AAAAAC743/Y=")</f>
        <v>#REF!</v>
      </c>
      <c r="IN224" t="e">
        <f>IF(#REF!,"AAAAAC743/c=",0)</f>
        <v>#REF!</v>
      </c>
      <c r="IO224" t="e">
        <f>AND(#REF!,"AAAAAC743/g=")</f>
        <v>#REF!</v>
      </c>
      <c r="IP224" t="e">
        <f>AND(#REF!,"AAAAAC743/k=")</f>
        <v>#REF!</v>
      </c>
      <c r="IQ224" t="e">
        <f>AND(#REF!,"AAAAAC743/o=")</f>
        <v>#REF!</v>
      </c>
      <c r="IR224" t="e">
        <f>AND(#REF!,"AAAAAC743/s=")</f>
        <v>#REF!</v>
      </c>
      <c r="IS224" t="e">
        <f>AND(#REF!,"AAAAAC743/w=")</f>
        <v>#REF!</v>
      </c>
      <c r="IT224" t="e">
        <f>AND(#REF!,"AAAAAC743/0=")</f>
        <v>#REF!</v>
      </c>
      <c r="IU224" t="e">
        <f>AND(#REF!,"AAAAAC743/4=")</f>
        <v>#REF!</v>
      </c>
      <c r="IV224" t="e">
        <f>AND(#REF!,"AAAAAC743/8=")</f>
        <v>#REF!</v>
      </c>
    </row>
    <row r="225" spans="1:256">
      <c r="A225" t="e">
        <f>AND(#REF!,"AAAAAD1/8wA=")</f>
        <v>#REF!</v>
      </c>
      <c r="B225" t="e">
        <f>AND(#REF!,"AAAAAD1/8wE=")</f>
        <v>#REF!</v>
      </c>
      <c r="C225" t="e">
        <f>AND(#REF!,"AAAAAD1/8wI=")</f>
        <v>#REF!</v>
      </c>
      <c r="D225" t="e">
        <f>AND(#REF!,"AAAAAD1/8wM=")</f>
        <v>#REF!</v>
      </c>
      <c r="E225" t="e">
        <f>AND(#REF!,"AAAAAD1/8wQ=")</f>
        <v>#REF!</v>
      </c>
      <c r="F225" t="e">
        <f>AND(#REF!,"AAAAAD1/8wU=")</f>
        <v>#REF!</v>
      </c>
      <c r="G225" t="e">
        <f>AND(#REF!,"AAAAAD1/8wY=")</f>
        <v>#REF!</v>
      </c>
      <c r="H225" t="e">
        <f>AND(#REF!,"AAAAAD1/8wc=")</f>
        <v>#REF!</v>
      </c>
      <c r="I225" t="e">
        <f>AND(#REF!,"AAAAAD1/8wg=")</f>
        <v>#REF!</v>
      </c>
      <c r="J225" t="e">
        <f>AND(#REF!,"AAAAAD1/8wk=")</f>
        <v>#REF!</v>
      </c>
      <c r="K225" t="e">
        <f>AND(#REF!,"AAAAAD1/8wo=")</f>
        <v>#REF!</v>
      </c>
      <c r="L225" t="e">
        <f>AND(#REF!,"AAAAAD1/8ws=")</f>
        <v>#REF!</v>
      </c>
      <c r="M225" t="e">
        <f>AND(#REF!,"AAAAAD1/8ww=")</f>
        <v>#REF!</v>
      </c>
      <c r="N225" t="e">
        <f>AND(#REF!,"AAAAAD1/8w0=")</f>
        <v>#REF!</v>
      </c>
      <c r="O225" t="e">
        <f>AND(#REF!,"AAAAAD1/8w4=")</f>
        <v>#REF!</v>
      </c>
      <c r="P225" t="e">
        <f>AND(#REF!,"AAAAAD1/8w8=")</f>
        <v>#REF!</v>
      </c>
      <c r="Q225" t="e">
        <f>IF(#REF!,"AAAAAD1/8xA=",0)</f>
        <v>#REF!</v>
      </c>
      <c r="R225" t="e">
        <f>AND(#REF!,"AAAAAD1/8xE=")</f>
        <v>#REF!</v>
      </c>
      <c r="S225" t="e">
        <f>AND(#REF!,"AAAAAD1/8xI=")</f>
        <v>#REF!</v>
      </c>
      <c r="T225" t="e">
        <f>AND(#REF!,"AAAAAD1/8xM=")</f>
        <v>#REF!</v>
      </c>
      <c r="U225" t="e">
        <f>AND(#REF!,"AAAAAD1/8xQ=")</f>
        <v>#REF!</v>
      </c>
      <c r="V225" t="e">
        <f>AND(#REF!,"AAAAAD1/8xU=")</f>
        <v>#REF!</v>
      </c>
      <c r="W225" t="e">
        <f>AND(#REF!,"AAAAAD1/8xY=")</f>
        <v>#REF!</v>
      </c>
      <c r="X225" t="e">
        <f>AND(#REF!,"AAAAAD1/8xc=")</f>
        <v>#REF!</v>
      </c>
      <c r="Y225" t="e">
        <f>AND(#REF!,"AAAAAD1/8xg=")</f>
        <v>#REF!</v>
      </c>
      <c r="Z225" t="e">
        <f>AND(#REF!,"AAAAAD1/8xk=")</f>
        <v>#REF!</v>
      </c>
      <c r="AA225" t="e">
        <f>AND(#REF!,"AAAAAD1/8xo=")</f>
        <v>#REF!</v>
      </c>
      <c r="AB225" t="e">
        <f>AND(#REF!,"AAAAAD1/8xs=")</f>
        <v>#REF!</v>
      </c>
      <c r="AC225" t="e">
        <f>AND(#REF!,"AAAAAD1/8xw=")</f>
        <v>#REF!</v>
      </c>
      <c r="AD225" t="e">
        <f>AND(#REF!,"AAAAAD1/8x0=")</f>
        <v>#REF!</v>
      </c>
      <c r="AE225" t="e">
        <f>AND(#REF!,"AAAAAD1/8x4=")</f>
        <v>#REF!</v>
      </c>
      <c r="AF225" t="e">
        <f>AND(#REF!,"AAAAAD1/8x8=")</f>
        <v>#REF!</v>
      </c>
      <c r="AG225" t="e">
        <f>AND(#REF!,"AAAAAD1/8yA=")</f>
        <v>#REF!</v>
      </c>
      <c r="AH225" t="e">
        <f>AND(#REF!,"AAAAAD1/8yE=")</f>
        <v>#REF!</v>
      </c>
      <c r="AI225" t="e">
        <f>AND(#REF!,"AAAAAD1/8yI=")</f>
        <v>#REF!</v>
      </c>
      <c r="AJ225" t="e">
        <f>AND(#REF!,"AAAAAD1/8yM=")</f>
        <v>#REF!</v>
      </c>
      <c r="AK225" t="e">
        <f>AND(#REF!,"AAAAAD1/8yQ=")</f>
        <v>#REF!</v>
      </c>
      <c r="AL225" t="e">
        <f>AND(#REF!,"AAAAAD1/8yU=")</f>
        <v>#REF!</v>
      </c>
      <c r="AM225" t="e">
        <f>AND(#REF!,"AAAAAD1/8yY=")</f>
        <v>#REF!</v>
      </c>
      <c r="AN225" t="e">
        <f>AND(#REF!,"AAAAAD1/8yc=")</f>
        <v>#REF!</v>
      </c>
      <c r="AO225" t="e">
        <f>AND(#REF!,"AAAAAD1/8yg=")</f>
        <v>#REF!</v>
      </c>
      <c r="AP225" t="e">
        <f>IF(#REF!,"AAAAAD1/8yk=",0)</f>
        <v>#REF!</v>
      </c>
      <c r="AQ225" t="e">
        <f>AND(#REF!,"AAAAAD1/8yo=")</f>
        <v>#REF!</v>
      </c>
      <c r="AR225" t="e">
        <f>AND(#REF!,"AAAAAD1/8ys=")</f>
        <v>#REF!</v>
      </c>
      <c r="AS225" t="e">
        <f>AND(#REF!,"AAAAAD1/8yw=")</f>
        <v>#REF!</v>
      </c>
      <c r="AT225" t="e">
        <f>AND(#REF!,"AAAAAD1/8y0=")</f>
        <v>#REF!</v>
      </c>
      <c r="AU225" t="e">
        <f>AND(#REF!,"AAAAAD1/8y4=")</f>
        <v>#REF!</v>
      </c>
      <c r="AV225" t="e">
        <f>AND(#REF!,"AAAAAD1/8y8=")</f>
        <v>#REF!</v>
      </c>
      <c r="AW225" t="e">
        <f>AND(#REF!,"AAAAAD1/8zA=")</f>
        <v>#REF!</v>
      </c>
      <c r="AX225" t="e">
        <f>AND(#REF!,"AAAAAD1/8zE=")</f>
        <v>#REF!</v>
      </c>
      <c r="AY225" t="e">
        <f>AND(#REF!,"AAAAAD1/8zI=")</f>
        <v>#REF!</v>
      </c>
      <c r="AZ225" t="e">
        <f>AND(#REF!,"AAAAAD1/8zM=")</f>
        <v>#REF!</v>
      </c>
      <c r="BA225" t="e">
        <f>AND(#REF!,"AAAAAD1/8zQ=")</f>
        <v>#REF!</v>
      </c>
      <c r="BB225" t="e">
        <f>AND(#REF!,"AAAAAD1/8zU=")</f>
        <v>#REF!</v>
      </c>
      <c r="BC225" t="e">
        <f>AND(#REF!,"AAAAAD1/8zY=")</f>
        <v>#REF!</v>
      </c>
      <c r="BD225" t="e">
        <f>AND(#REF!,"AAAAAD1/8zc=")</f>
        <v>#REF!</v>
      </c>
      <c r="BE225" t="e">
        <f>AND(#REF!,"AAAAAD1/8zg=")</f>
        <v>#REF!</v>
      </c>
      <c r="BF225" t="e">
        <f>AND(#REF!,"AAAAAD1/8zk=")</f>
        <v>#REF!</v>
      </c>
      <c r="BG225" t="e">
        <f>AND(#REF!,"AAAAAD1/8zo=")</f>
        <v>#REF!</v>
      </c>
      <c r="BH225" t="e">
        <f>AND(#REF!,"AAAAAD1/8zs=")</f>
        <v>#REF!</v>
      </c>
      <c r="BI225" t="e">
        <f>AND(#REF!,"AAAAAD1/8zw=")</f>
        <v>#REF!</v>
      </c>
      <c r="BJ225" t="e">
        <f>AND(#REF!,"AAAAAD1/8z0=")</f>
        <v>#REF!</v>
      </c>
      <c r="BK225" t="e">
        <f>AND(#REF!,"AAAAAD1/8z4=")</f>
        <v>#REF!</v>
      </c>
      <c r="BL225" t="e">
        <f>AND(#REF!,"AAAAAD1/8z8=")</f>
        <v>#REF!</v>
      </c>
      <c r="BM225" t="e">
        <f>AND(#REF!,"AAAAAD1/80A=")</f>
        <v>#REF!</v>
      </c>
      <c r="BN225" t="e">
        <f>AND(#REF!,"AAAAAD1/80E=")</f>
        <v>#REF!</v>
      </c>
      <c r="BO225" t="e">
        <f>IF(#REF!,"AAAAAD1/80I=",0)</f>
        <v>#REF!</v>
      </c>
      <c r="BP225" t="e">
        <f>AND(#REF!,"AAAAAD1/80M=")</f>
        <v>#REF!</v>
      </c>
      <c r="BQ225" t="e">
        <f>AND(#REF!,"AAAAAD1/80Q=")</f>
        <v>#REF!</v>
      </c>
      <c r="BR225" t="e">
        <f>AND(#REF!,"AAAAAD1/80U=")</f>
        <v>#REF!</v>
      </c>
      <c r="BS225" t="e">
        <f>AND(#REF!,"AAAAAD1/80Y=")</f>
        <v>#REF!</v>
      </c>
      <c r="BT225" t="e">
        <f>AND(#REF!,"AAAAAD1/80c=")</f>
        <v>#REF!</v>
      </c>
      <c r="BU225" t="e">
        <f>AND(#REF!,"AAAAAD1/80g=")</f>
        <v>#REF!</v>
      </c>
      <c r="BV225" t="e">
        <f>AND(#REF!,"AAAAAD1/80k=")</f>
        <v>#REF!</v>
      </c>
      <c r="BW225" t="e">
        <f>AND(#REF!,"AAAAAD1/80o=")</f>
        <v>#REF!</v>
      </c>
      <c r="BX225" t="e">
        <f>AND(#REF!,"AAAAAD1/80s=")</f>
        <v>#REF!</v>
      </c>
      <c r="BY225" t="e">
        <f>AND(#REF!,"AAAAAD1/80w=")</f>
        <v>#REF!</v>
      </c>
      <c r="BZ225" t="e">
        <f>AND(#REF!,"AAAAAD1/800=")</f>
        <v>#REF!</v>
      </c>
      <c r="CA225" t="e">
        <f>AND(#REF!,"AAAAAD1/804=")</f>
        <v>#REF!</v>
      </c>
      <c r="CB225" t="e">
        <f>AND(#REF!,"AAAAAD1/808=")</f>
        <v>#REF!</v>
      </c>
      <c r="CC225" t="e">
        <f>AND(#REF!,"AAAAAD1/81A=")</f>
        <v>#REF!</v>
      </c>
      <c r="CD225" t="e">
        <f>AND(#REF!,"AAAAAD1/81E=")</f>
        <v>#REF!</v>
      </c>
      <c r="CE225" t="e">
        <f>AND(#REF!,"AAAAAD1/81I=")</f>
        <v>#REF!</v>
      </c>
      <c r="CF225" t="e">
        <f>AND(#REF!,"AAAAAD1/81M=")</f>
        <v>#REF!</v>
      </c>
      <c r="CG225" t="e">
        <f>AND(#REF!,"AAAAAD1/81Q=")</f>
        <v>#REF!</v>
      </c>
      <c r="CH225" t="e">
        <f>AND(#REF!,"AAAAAD1/81U=")</f>
        <v>#REF!</v>
      </c>
      <c r="CI225" t="e">
        <f>AND(#REF!,"AAAAAD1/81Y=")</f>
        <v>#REF!</v>
      </c>
      <c r="CJ225" t="e">
        <f>AND(#REF!,"AAAAAD1/81c=")</f>
        <v>#REF!</v>
      </c>
      <c r="CK225" t="e">
        <f>AND(#REF!,"AAAAAD1/81g=")</f>
        <v>#REF!</v>
      </c>
      <c r="CL225" t="e">
        <f>AND(#REF!,"AAAAAD1/81k=")</f>
        <v>#REF!</v>
      </c>
      <c r="CM225" t="e">
        <f>AND(#REF!,"AAAAAD1/81o=")</f>
        <v>#REF!</v>
      </c>
      <c r="CN225" t="e">
        <f>IF(#REF!,"AAAAAD1/81s=",0)</f>
        <v>#REF!</v>
      </c>
      <c r="CO225" t="e">
        <f>AND(#REF!,"AAAAAD1/81w=")</f>
        <v>#REF!</v>
      </c>
      <c r="CP225" t="e">
        <f>AND(#REF!,"AAAAAD1/810=")</f>
        <v>#REF!</v>
      </c>
      <c r="CQ225" t="e">
        <f>AND(#REF!,"AAAAAD1/814=")</f>
        <v>#REF!</v>
      </c>
      <c r="CR225" t="e">
        <f>AND(#REF!,"AAAAAD1/818=")</f>
        <v>#REF!</v>
      </c>
      <c r="CS225" t="e">
        <f>AND(#REF!,"AAAAAD1/82A=")</f>
        <v>#REF!</v>
      </c>
      <c r="CT225" t="e">
        <f>AND(#REF!,"AAAAAD1/82E=")</f>
        <v>#REF!</v>
      </c>
      <c r="CU225" t="e">
        <f>AND(#REF!,"AAAAAD1/82I=")</f>
        <v>#REF!</v>
      </c>
      <c r="CV225" t="e">
        <f>AND(#REF!,"AAAAAD1/82M=")</f>
        <v>#REF!</v>
      </c>
      <c r="CW225" t="e">
        <f>AND(#REF!,"AAAAAD1/82Q=")</f>
        <v>#REF!</v>
      </c>
      <c r="CX225" t="e">
        <f>AND(#REF!,"AAAAAD1/82U=")</f>
        <v>#REF!</v>
      </c>
      <c r="CY225" t="e">
        <f>AND(#REF!,"AAAAAD1/82Y=")</f>
        <v>#REF!</v>
      </c>
      <c r="CZ225" t="e">
        <f>AND(#REF!,"AAAAAD1/82c=")</f>
        <v>#REF!</v>
      </c>
      <c r="DA225" t="e">
        <f>AND(#REF!,"AAAAAD1/82g=")</f>
        <v>#REF!</v>
      </c>
      <c r="DB225" t="e">
        <f>AND(#REF!,"AAAAAD1/82k=")</f>
        <v>#REF!</v>
      </c>
      <c r="DC225" t="e">
        <f>AND(#REF!,"AAAAAD1/82o=")</f>
        <v>#REF!</v>
      </c>
      <c r="DD225" t="e">
        <f>AND(#REF!,"AAAAAD1/82s=")</f>
        <v>#REF!</v>
      </c>
      <c r="DE225" t="e">
        <f>AND(#REF!,"AAAAAD1/82w=")</f>
        <v>#REF!</v>
      </c>
      <c r="DF225" t="e">
        <f>AND(#REF!,"AAAAAD1/820=")</f>
        <v>#REF!</v>
      </c>
      <c r="DG225" t="e">
        <f>AND(#REF!,"AAAAAD1/824=")</f>
        <v>#REF!</v>
      </c>
      <c r="DH225" t="e">
        <f>AND(#REF!,"AAAAAD1/828=")</f>
        <v>#REF!</v>
      </c>
      <c r="DI225" t="e">
        <f>AND(#REF!,"AAAAAD1/83A=")</f>
        <v>#REF!</v>
      </c>
      <c r="DJ225" t="e">
        <f>AND(#REF!,"AAAAAD1/83E=")</f>
        <v>#REF!</v>
      </c>
      <c r="DK225" t="e">
        <f>AND(#REF!,"AAAAAD1/83I=")</f>
        <v>#REF!</v>
      </c>
      <c r="DL225" t="e">
        <f>AND(#REF!,"AAAAAD1/83M=")</f>
        <v>#REF!</v>
      </c>
      <c r="DM225" t="e">
        <f>IF(#REF!,"AAAAAD1/83Q=",0)</f>
        <v>#REF!</v>
      </c>
      <c r="DN225" t="e">
        <f>AND(#REF!,"AAAAAD1/83U=")</f>
        <v>#REF!</v>
      </c>
      <c r="DO225" t="e">
        <f>AND(#REF!,"AAAAAD1/83Y=")</f>
        <v>#REF!</v>
      </c>
      <c r="DP225" t="e">
        <f>AND(#REF!,"AAAAAD1/83c=")</f>
        <v>#REF!</v>
      </c>
      <c r="DQ225" t="e">
        <f>AND(#REF!,"AAAAAD1/83g=")</f>
        <v>#REF!</v>
      </c>
      <c r="DR225" t="e">
        <f>AND(#REF!,"AAAAAD1/83k=")</f>
        <v>#REF!</v>
      </c>
      <c r="DS225" t="e">
        <f>AND(#REF!,"AAAAAD1/83o=")</f>
        <v>#REF!</v>
      </c>
      <c r="DT225" t="e">
        <f>AND(#REF!,"AAAAAD1/83s=")</f>
        <v>#REF!</v>
      </c>
      <c r="DU225" t="e">
        <f>AND(#REF!,"AAAAAD1/83w=")</f>
        <v>#REF!</v>
      </c>
      <c r="DV225" t="e">
        <f>AND(#REF!,"AAAAAD1/830=")</f>
        <v>#REF!</v>
      </c>
      <c r="DW225" t="e">
        <f>AND(#REF!,"AAAAAD1/834=")</f>
        <v>#REF!</v>
      </c>
      <c r="DX225" t="e">
        <f>AND(#REF!,"AAAAAD1/838=")</f>
        <v>#REF!</v>
      </c>
      <c r="DY225" t="e">
        <f>AND(#REF!,"AAAAAD1/84A=")</f>
        <v>#REF!</v>
      </c>
      <c r="DZ225" t="e">
        <f>AND(#REF!,"AAAAAD1/84E=")</f>
        <v>#REF!</v>
      </c>
      <c r="EA225" t="e">
        <f>AND(#REF!,"AAAAAD1/84I=")</f>
        <v>#REF!</v>
      </c>
      <c r="EB225" t="e">
        <f>AND(#REF!,"AAAAAD1/84M=")</f>
        <v>#REF!</v>
      </c>
      <c r="EC225" t="e">
        <f>AND(#REF!,"AAAAAD1/84Q=")</f>
        <v>#REF!</v>
      </c>
      <c r="ED225" t="e">
        <f>AND(#REF!,"AAAAAD1/84U=")</f>
        <v>#REF!</v>
      </c>
      <c r="EE225" t="e">
        <f>AND(#REF!,"AAAAAD1/84Y=")</f>
        <v>#REF!</v>
      </c>
      <c r="EF225" t="e">
        <f>AND(#REF!,"AAAAAD1/84c=")</f>
        <v>#REF!</v>
      </c>
      <c r="EG225" t="e">
        <f>AND(#REF!,"AAAAAD1/84g=")</f>
        <v>#REF!</v>
      </c>
      <c r="EH225" t="e">
        <f>AND(#REF!,"AAAAAD1/84k=")</f>
        <v>#REF!</v>
      </c>
      <c r="EI225" t="e">
        <f>AND(#REF!,"AAAAAD1/84o=")</f>
        <v>#REF!</v>
      </c>
      <c r="EJ225" t="e">
        <f>AND(#REF!,"AAAAAD1/84s=")</f>
        <v>#REF!</v>
      </c>
      <c r="EK225" t="e">
        <f>AND(#REF!,"AAAAAD1/84w=")</f>
        <v>#REF!</v>
      </c>
      <c r="EL225" t="e">
        <f>IF(#REF!,"AAAAAD1/840=",0)</f>
        <v>#REF!</v>
      </c>
      <c r="EM225" t="e">
        <f>AND(#REF!,"AAAAAD1/844=")</f>
        <v>#REF!</v>
      </c>
      <c r="EN225" t="e">
        <f>AND(#REF!,"AAAAAD1/848=")</f>
        <v>#REF!</v>
      </c>
      <c r="EO225" t="e">
        <f>AND(#REF!,"AAAAAD1/85A=")</f>
        <v>#REF!</v>
      </c>
      <c r="EP225" t="e">
        <f>AND(#REF!,"AAAAAD1/85E=")</f>
        <v>#REF!</v>
      </c>
      <c r="EQ225" t="e">
        <f>AND(#REF!,"AAAAAD1/85I=")</f>
        <v>#REF!</v>
      </c>
      <c r="ER225" t="e">
        <f>AND(#REF!,"AAAAAD1/85M=")</f>
        <v>#REF!</v>
      </c>
      <c r="ES225" t="e">
        <f>AND(#REF!,"AAAAAD1/85Q=")</f>
        <v>#REF!</v>
      </c>
      <c r="ET225" t="e">
        <f>AND(#REF!,"AAAAAD1/85U=")</f>
        <v>#REF!</v>
      </c>
      <c r="EU225" t="e">
        <f>AND(#REF!,"AAAAAD1/85Y=")</f>
        <v>#REF!</v>
      </c>
      <c r="EV225" t="e">
        <f>AND(#REF!,"AAAAAD1/85c=")</f>
        <v>#REF!</v>
      </c>
      <c r="EW225" t="e">
        <f>AND(#REF!,"AAAAAD1/85g=")</f>
        <v>#REF!</v>
      </c>
      <c r="EX225" t="e">
        <f>AND(#REF!,"AAAAAD1/85k=")</f>
        <v>#REF!</v>
      </c>
      <c r="EY225" t="e">
        <f>AND(#REF!,"AAAAAD1/85o=")</f>
        <v>#REF!</v>
      </c>
      <c r="EZ225" t="e">
        <f>AND(#REF!,"AAAAAD1/85s=")</f>
        <v>#REF!</v>
      </c>
      <c r="FA225" t="e">
        <f>AND(#REF!,"AAAAAD1/85w=")</f>
        <v>#REF!</v>
      </c>
      <c r="FB225" t="e">
        <f>AND(#REF!,"AAAAAD1/850=")</f>
        <v>#REF!</v>
      </c>
      <c r="FC225" t="e">
        <f>AND(#REF!,"AAAAAD1/854=")</f>
        <v>#REF!</v>
      </c>
      <c r="FD225" t="e">
        <f>AND(#REF!,"AAAAAD1/858=")</f>
        <v>#REF!</v>
      </c>
      <c r="FE225" t="e">
        <f>AND(#REF!,"AAAAAD1/86A=")</f>
        <v>#REF!</v>
      </c>
      <c r="FF225" t="e">
        <f>AND(#REF!,"AAAAAD1/86E=")</f>
        <v>#REF!</v>
      </c>
      <c r="FG225" t="e">
        <f>AND(#REF!,"AAAAAD1/86I=")</f>
        <v>#REF!</v>
      </c>
      <c r="FH225" t="e">
        <f>AND(#REF!,"AAAAAD1/86M=")</f>
        <v>#REF!</v>
      </c>
      <c r="FI225" t="e">
        <f>AND(#REF!,"AAAAAD1/86Q=")</f>
        <v>#REF!</v>
      </c>
      <c r="FJ225" t="e">
        <f>AND(#REF!,"AAAAAD1/86U=")</f>
        <v>#REF!</v>
      </c>
      <c r="FK225" t="e">
        <f>IF(#REF!,"AAAAAD1/86Y=",0)</f>
        <v>#REF!</v>
      </c>
      <c r="FL225" t="e">
        <f>AND(#REF!,"AAAAAD1/86c=")</f>
        <v>#REF!</v>
      </c>
      <c r="FM225" t="e">
        <f>AND(#REF!,"AAAAAD1/86g=")</f>
        <v>#REF!</v>
      </c>
      <c r="FN225" t="e">
        <f>AND(#REF!,"AAAAAD1/86k=")</f>
        <v>#REF!</v>
      </c>
      <c r="FO225" t="e">
        <f>AND(#REF!,"AAAAAD1/86o=")</f>
        <v>#REF!</v>
      </c>
      <c r="FP225" t="e">
        <f>AND(#REF!,"AAAAAD1/86s=")</f>
        <v>#REF!</v>
      </c>
      <c r="FQ225" t="e">
        <f>AND(#REF!,"AAAAAD1/86w=")</f>
        <v>#REF!</v>
      </c>
      <c r="FR225" t="e">
        <f>AND(#REF!,"AAAAAD1/860=")</f>
        <v>#REF!</v>
      </c>
      <c r="FS225" t="e">
        <f>AND(#REF!,"AAAAAD1/864=")</f>
        <v>#REF!</v>
      </c>
      <c r="FT225" t="e">
        <f>AND(#REF!,"AAAAAD1/868=")</f>
        <v>#REF!</v>
      </c>
      <c r="FU225" t="e">
        <f>AND(#REF!,"AAAAAD1/87A=")</f>
        <v>#REF!</v>
      </c>
      <c r="FV225" t="e">
        <f>AND(#REF!,"AAAAAD1/87E=")</f>
        <v>#REF!</v>
      </c>
      <c r="FW225" t="e">
        <f>AND(#REF!,"AAAAAD1/87I=")</f>
        <v>#REF!</v>
      </c>
      <c r="FX225" t="e">
        <f>AND(#REF!,"AAAAAD1/87M=")</f>
        <v>#REF!</v>
      </c>
      <c r="FY225" t="e">
        <f>AND(#REF!,"AAAAAD1/87Q=")</f>
        <v>#REF!</v>
      </c>
      <c r="FZ225" t="e">
        <f>AND(#REF!,"AAAAAD1/87U=")</f>
        <v>#REF!</v>
      </c>
      <c r="GA225" t="e">
        <f>AND(#REF!,"AAAAAD1/87Y=")</f>
        <v>#REF!</v>
      </c>
      <c r="GB225" t="e">
        <f>AND(#REF!,"AAAAAD1/87c=")</f>
        <v>#REF!</v>
      </c>
      <c r="GC225" t="e">
        <f>AND(#REF!,"AAAAAD1/87g=")</f>
        <v>#REF!</v>
      </c>
      <c r="GD225" t="e">
        <f>AND(#REF!,"AAAAAD1/87k=")</f>
        <v>#REF!</v>
      </c>
      <c r="GE225" t="e">
        <f>AND(#REF!,"AAAAAD1/87o=")</f>
        <v>#REF!</v>
      </c>
      <c r="GF225" t="e">
        <f>AND(#REF!,"AAAAAD1/87s=")</f>
        <v>#REF!</v>
      </c>
      <c r="GG225" t="e">
        <f>AND(#REF!,"AAAAAD1/87w=")</f>
        <v>#REF!</v>
      </c>
      <c r="GH225" t="e">
        <f>AND(#REF!,"AAAAAD1/870=")</f>
        <v>#REF!</v>
      </c>
      <c r="GI225" t="e">
        <f>AND(#REF!,"AAAAAD1/874=")</f>
        <v>#REF!</v>
      </c>
      <c r="GJ225" t="e">
        <f>IF(#REF!,"AAAAAD1/878=",0)</f>
        <v>#REF!</v>
      </c>
      <c r="GK225" t="e">
        <f>AND(#REF!,"AAAAAD1/88A=")</f>
        <v>#REF!</v>
      </c>
      <c r="GL225" t="e">
        <f>AND(#REF!,"AAAAAD1/88E=")</f>
        <v>#REF!</v>
      </c>
      <c r="GM225" t="e">
        <f>AND(#REF!,"AAAAAD1/88I=")</f>
        <v>#REF!</v>
      </c>
      <c r="GN225" t="e">
        <f>AND(#REF!,"AAAAAD1/88M=")</f>
        <v>#REF!</v>
      </c>
      <c r="GO225" t="e">
        <f>AND(#REF!,"AAAAAD1/88Q=")</f>
        <v>#REF!</v>
      </c>
      <c r="GP225" t="e">
        <f>AND(#REF!,"AAAAAD1/88U=")</f>
        <v>#REF!</v>
      </c>
      <c r="GQ225" t="e">
        <f>AND(#REF!,"AAAAAD1/88Y=")</f>
        <v>#REF!</v>
      </c>
      <c r="GR225" t="e">
        <f>AND(#REF!,"AAAAAD1/88c=")</f>
        <v>#REF!</v>
      </c>
      <c r="GS225" t="e">
        <f>AND(#REF!,"AAAAAD1/88g=")</f>
        <v>#REF!</v>
      </c>
      <c r="GT225" t="e">
        <f>AND(#REF!,"AAAAAD1/88k=")</f>
        <v>#REF!</v>
      </c>
      <c r="GU225" t="e">
        <f>AND(#REF!,"AAAAAD1/88o=")</f>
        <v>#REF!</v>
      </c>
      <c r="GV225" t="e">
        <f>AND(#REF!,"AAAAAD1/88s=")</f>
        <v>#REF!</v>
      </c>
      <c r="GW225" t="e">
        <f>AND(#REF!,"AAAAAD1/88w=")</f>
        <v>#REF!</v>
      </c>
      <c r="GX225" t="e">
        <f>AND(#REF!,"AAAAAD1/880=")</f>
        <v>#REF!</v>
      </c>
      <c r="GY225" t="e">
        <f>AND(#REF!,"AAAAAD1/884=")</f>
        <v>#REF!</v>
      </c>
      <c r="GZ225" t="e">
        <f>AND(#REF!,"AAAAAD1/888=")</f>
        <v>#REF!</v>
      </c>
      <c r="HA225" t="e">
        <f>AND(#REF!,"AAAAAD1/89A=")</f>
        <v>#REF!</v>
      </c>
      <c r="HB225" t="e">
        <f>AND(#REF!,"AAAAAD1/89E=")</f>
        <v>#REF!</v>
      </c>
      <c r="HC225" t="e">
        <f>AND(#REF!,"AAAAAD1/89I=")</f>
        <v>#REF!</v>
      </c>
      <c r="HD225" t="e">
        <f>AND(#REF!,"AAAAAD1/89M=")</f>
        <v>#REF!</v>
      </c>
      <c r="HE225" t="e">
        <f>AND(#REF!,"AAAAAD1/89Q=")</f>
        <v>#REF!</v>
      </c>
      <c r="HF225" t="e">
        <f>AND(#REF!,"AAAAAD1/89U=")</f>
        <v>#REF!</v>
      </c>
      <c r="HG225" t="e">
        <f>AND(#REF!,"AAAAAD1/89Y=")</f>
        <v>#REF!</v>
      </c>
      <c r="HH225" t="e">
        <f>AND(#REF!,"AAAAAD1/89c=")</f>
        <v>#REF!</v>
      </c>
      <c r="HI225" t="e">
        <f>IF(#REF!,"AAAAAD1/89g=",0)</f>
        <v>#REF!</v>
      </c>
      <c r="HJ225" t="e">
        <f>AND(#REF!,"AAAAAD1/89k=")</f>
        <v>#REF!</v>
      </c>
      <c r="HK225" t="e">
        <f>AND(#REF!,"AAAAAD1/89o=")</f>
        <v>#REF!</v>
      </c>
      <c r="HL225" t="e">
        <f>AND(#REF!,"AAAAAD1/89s=")</f>
        <v>#REF!</v>
      </c>
      <c r="HM225" t="e">
        <f>AND(#REF!,"AAAAAD1/89w=")</f>
        <v>#REF!</v>
      </c>
      <c r="HN225" t="e">
        <f>AND(#REF!,"AAAAAD1/890=")</f>
        <v>#REF!</v>
      </c>
      <c r="HO225" t="e">
        <f>AND(#REF!,"AAAAAD1/894=")</f>
        <v>#REF!</v>
      </c>
      <c r="HP225" t="e">
        <f>AND(#REF!,"AAAAAD1/898=")</f>
        <v>#REF!</v>
      </c>
      <c r="HQ225" t="e">
        <f>AND(#REF!,"AAAAAD1/8+A=")</f>
        <v>#REF!</v>
      </c>
      <c r="HR225" t="e">
        <f>AND(#REF!,"AAAAAD1/8+E=")</f>
        <v>#REF!</v>
      </c>
      <c r="HS225" t="e">
        <f>AND(#REF!,"AAAAAD1/8+I=")</f>
        <v>#REF!</v>
      </c>
      <c r="HT225" t="e">
        <f>AND(#REF!,"AAAAAD1/8+M=")</f>
        <v>#REF!</v>
      </c>
      <c r="HU225" t="e">
        <f>AND(#REF!,"AAAAAD1/8+Q=")</f>
        <v>#REF!</v>
      </c>
      <c r="HV225" t="e">
        <f>AND(#REF!,"AAAAAD1/8+U=")</f>
        <v>#REF!</v>
      </c>
      <c r="HW225" t="e">
        <f>AND(#REF!,"AAAAAD1/8+Y=")</f>
        <v>#REF!</v>
      </c>
      <c r="HX225" t="e">
        <f>AND(#REF!,"AAAAAD1/8+c=")</f>
        <v>#REF!</v>
      </c>
      <c r="HY225" t="e">
        <f>AND(#REF!,"AAAAAD1/8+g=")</f>
        <v>#REF!</v>
      </c>
      <c r="HZ225" t="e">
        <f>AND(#REF!,"AAAAAD1/8+k=")</f>
        <v>#REF!</v>
      </c>
      <c r="IA225" t="e">
        <f>AND(#REF!,"AAAAAD1/8+o=")</f>
        <v>#REF!</v>
      </c>
      <c r="IB225" t="e">
        <f>AND(#REF!,"AAAAAD1/8+s=")</f>
        <v>#REF!</v>
      </c>
      <c r="IC225" t="e">
        <f>AND(#REF!,"AAAAAD1/8+w=")</f>
        <v>#REF!</v>
      </c>
      <c r="ID225" t="e">
        <f>AND(#REF!,"AAAAAD1/8+0=")</f>
        <v>#REF!</v>
      </c>
      <c r="IE225" t="e">
        <f>AND(#REF!,"AAAAAD1/8+4=")</f>
        <v>#REF!</v>
      </c>
      <c r="IF225" t="e">
        <f>AND(#REF!,"AAAAAD1/8+8=")</f>
        <v>#REF!</v>
      </c>
      <c r="IG225" t="e">
        <f>AND(#REF!,"AAAAAD1/8/A=")</f>
        <v>#REF!</v>
      </c>
      <c r="IH225" t="e">
        <f>IF(#REF!,"AAAAAD1/8/E=",0)</f>
        <v>#REF!</v>
      </c>
      <c r="II225" t="e">
        <f>AND(#REF!,"AAAAAD1/8/I=")</f>
        <v>#REF!</v>
      </c>
      <c r="IJ225" t="e">
        <f>AND(#REF!,"AAAAAD1/8/M=")</f>
        <v>#REF!</v>
      </c>
      <c r="IK225" t="e">
        <f>AND(#REF!,"AAAAAD1/8/Q=")</f>
        <v>#REF!</v>
      </c>
      <c r="IL225" t="e">
        <f>AND(#REF!,"AAAAAD1/8/U=")</f>
        <v>#REF!</v>
      </c>
      <c r="IM225" t="e">
        <f>AND(#REF!,"AAAAAD1/8/Y=")</f>
        <v>#REF!</v>
      </c>
      <c r="IN225" t="e">
        <f>AND(#REF!,"AAAAAD1/8/c=")</f>
        <v>#REF!</v>
      </c>
      <c r="IO225" t="e">
        <f>AND(#REF!,"AAAAAD1/8/g=")</f>
        <v>#REF!</v>
      </c>
      <c r="IP225" t="e">
        <f>AND(#REF!,"AAAAAD1/8/k=")</f>
        <v>#REF!</v>
      </c>
      <c r="IQ225" t="e">
        <f>AND(#REF!,"AAAAAD1/8/o=")</f>
        <v>#REF!</v>
      </c>
      <c r="IR225" t="e">
        <f>AND(#REF!,"AAAAAD1/8/s=")</f>
        <v>#REF!</v>
      </c>
      <c r="IS225" t="e">
        <f>AND(#REF!,"AAAAAD1/8/w=")</f>
        <v>#REF!</v>
      </c>
      <c r="IT225" t="e">
        <f>AND(#REF!,"AAAAAD1/8/0=")</f>
        <v>#REF!</v>
      </c>
      <c r="IU225" t="e">
        <f>AND(#REF!,"AAAAAD1/8/4=")</f>
        <v>#REF!</v>
      </c>
      <c r="IV225" t="e">
        <f>AND(#REF!,"AAAAAD1/8/8=")</f>
        <v>#REF!</v>
      </c>
    </row>
    <row r="226" spans="1:256">
      <c r="A226" t="e">
        <f>AND(#REF!,"AAAAADeP+wA=")</f>
        <v>#REF!</v>
      </c>
      <c r="B226" t="e">
        <f>AND(#REF!,"AAAAADeP+wE=")</f>
        <v>#REF!</v>
      </c>
      <c r="C226" t="e">
        <f>AND(#REF!,"AAAAADeP+wI=")</f>
        <v>#REF!</v>
      </c>
      <c r="D226" t="e">
        <f>AND(#REF!,"AAAAADeP+wM=")</f>
        <v>#REF!</v>
      </c>
      <c r="E226" t="e">
        <f>AND(#REF!,"AAAAADeP+wQ=")</f>
        <v>#REF!</v>
      </c>
      <c r="F226" t="e">
        <f>AND(#REF!,"AAAAADeP+wU=")</f>
        <v>#REF!</v>
      </c>
      <c r="G226" t="e">
        <f>AND(#REF!,"AAAAADeP+wY=")</f>
        <v>#REF!</v>
      </c>
      <c r="H226" t="e">
        <f>AND(#REF!,"AAAAADeP+wc=")</f>
        <v>#REF!</v>
      </c>
      <c r="I226" t="e">
        <f>AND(#REF!,"AAAAADeP+wg=")</f>
        <v>#REF!</v>
      </c>
      <c r="J226" t="e">
        <f>AND(#REF!,"AAAAADeP+wk=")</f>
        <v>#REF!</v>
      </c>
      <c r="K226" t="e">
        <f>IF(#REF!,"AAAAADeP+wo=",0)</f>
        <v>#REF!</v>
      </c>
      <c r="L226" t="e">
        <f>AND(#REF!,"AAAAADeP+ws=")</f>
        <v>#REF!</v>
      </c>
      <c r="M226" t="e">
        <f>AND(#REF!,"AAAAADeP+ww=")</f>
        <v>#REF!</v>
      </c>
      <c r="N226" t="e">
        <f>AND(#REF!,"AAAAADeP+w0=")</f>
        <v>#REF!</v>
      </c>
      <c r="O226" t="e">
        <f>AND(#REF!,"AAAAADeP+w4=")</f>
        <v>#REF!</v>
      </c>
      <c r="P226" t="e">
        <f>AND(#REF!,"AAAAADeP+w8=")</f>
        <v>#REF!</v>
      </c>
      <c r="Q226" t="e">
        <f>AND(#REF!,"AAAAADeP+xA=")</f>
        <v>#REF!</v>
      </c>
      <c r="R226" t="e">
        <f>AND(#REF!,"AAAAADeP+xE=")</f>
        <v>#REF!</v>
      </c>
      <c r="S226" t="e">
        <f>AND(#REF!,"AAAAADeP+xI=")</f>
        <v>#REF!</v>
      </c>
      <c r="T226" t="e">
        <f>AND(#REF!,"AAAAADeP+xM=")</f>
        <v>#REF!</v>
      </c>
      <c r="U226" t="e">
        <f>AND(#REF!,"AAAAADeP+xQ=")</f>
        <v>#REF!</v>
      </c>
      <c r="V226" t="e">
        <f>AND(#REF!,"AAAAADeP+xU=")</f>
        <v>#REF!</v>
      </c>
      <c r="W226" t="e">
        <f>AND(#REF!,"AAAAADeP+xY=")</f>
        <v>#REF!</v>
      </c>
      <c r="X226" t="e">
        <f>AND(#REF!,"AAAAADeP+xc=")</f>
        <v>#REF!</v>
      </c>
      <c r="Y226" t="e">
        <f>AND(#REF!,"AAAAADeP+xg=")</f>
        <v>#REF!</v>
      </c>
      <c r="Z226" t="e">
        <f>AND(#REF!,"AAAAADeP+xk=")</f>
        <v>#REF!</v>
      </c>
      <c r="AA226" t="e">
        <f>AND(#REF!,"AAAAADeP+xo=")</f>
        <v>#REF!</v>
      </c>
      <c r="AB226" t="e">
        <f>AND(#REF!,"AAAAADeP+xs=")</f>
        <v>#REF!</v>
      </c>
      <c r="AC226" t="e">
        <f>AND(#REF!,"AAAAADeP+xw=")</f>
        <v>#REF!</v>
      </c>
      <c r="AD226" t="e">
        <f>AND(#REF!,"AAAAADeP+x0=")</f>
        <v>#REF!</v>
      </c>
      <c r="AE226" t="e">
        <f>AND(#REF!,"AAAAADeP+x4=")</f>
        <v>#REF!</v>
      </c>
      <c r="AF226" t="e">
        <f>AND(#REF!,"AAAAADeP+x8=")</f>
        <v>#REF!</v>
      </c>
      <c r="AG226" t="e">
        <f>AND(#REF!,"AAAAADeP+yA=")</f>
        <v>#REF!</v>
      </c>
      <c r="AH226" t="e">
        <f>AND(#REF!,"AAAAADeP+yE=")</f>
        <v>#REF!</v>
      </c>
      <c r="AI226" t="e">
        <f>AND(#REF!,"AAAAADeP+yI=")</f>
        <v>#REF!</v>
      </c>
      <c r="AJ226" t="e">
        <f>IF(#REF!,"AAAAADeP+yM=",0)</f>
        <v>#REF!</v>
      </c>
      <c r="AK226" t="e">
        <f>AND(#REF!,"AAAAADeP+yQ=")</f>
        <v>#REF!</v>
      </c>
      <c r="AL226" t="e">
        <f>AND(#REF!,"AAAAADeP+yU=")</f>
        <v>#REF!</v>
      </c>
      <c r="AM226" t="e">
        <f>AND(#REF!,"AAAAADeP+yY=")</f>
        <v>#REF!</v>
      </c>
      <c r="AN226" t="e">
        <f>AND(#REF!,"AAAAADeP+yc=")</f>
        <v>#REF!</v>
      </c>
      <c r="AO226" t="e">
        <f>AND(#REF!,"AAAAADeP+yg=")</f>
        <v>#REF!</v>
      </c>
      <c r="AP226" t="e">
        <f>AND(#REF!,"AAAAADeP+yk=")</f>
        <v>#REF!</v>
      </c>
      <c r="AQ226" t="e">
        <f>AND(#REF!,"AAAAADeP+yo=")</f>
        <v>#REF!</v>
      </c>
      <c r="AR226" t="e">
        <f>AND(#REF!,"AAAAADeP+ys=")</f>
        <v>#REF!</v>
      </c>
      <c r="AS226" t="e">
        <f>AND(#REF!,"AAAAADeP+yw=")</f>
        <v>#REF!</v>
      </c>
      <c r="AT226" t="e">
        <f>AND(#REF!,"AAAAADeP+y0=")</f>
        <v>#REF!</v>
      </c>
      <c r="AU226" t="e">
        <f>AND(#REF!,"AAAAADeP+y4=")</f>
        <v>#REF!</v>
      </c>
      <c r="AV226" t="e">
        <f>AND(#REF!,"AAAAADeP+y8=")</f>
        <v>#REF!</v>
      </c>
      <c r="AW226" t="e">
        <f>AND(#REF!,"AAAAADeP+zA=")</f>
        <v>#REF!</v>
      </c>
      <c r="AX226" t="e">
        <f>AND(#REF!,"AAAAADeP+zE=")</f>
        <v>#REF!</v>
      </c>
      <c r="AY226" t="e">
        <f>AND(#REF!,"AAAAADeP+zI=")</f>
        <v>#REF!</v>
      </c>
      <c r="AZ226" t="e">
        <f>AND(#REF!,"AAAAADeP+zM=")</f>
        <v>#REF!</v>
      </c>
      <c r="BA226" t="e">
        <f>AND(#REF!,"AAAAADeP+zQ=")</f>
        <v>#REF!</v>
      </c>
      <c r="BB226" t="e">
        <f>AND(#REF!,"AAAAADeP+zU=")</f>
        <v>#REF!</v>
      </c>
      <c r="BC226" t="e">
        <f>AND(#REF!,"AAAAADeP+zY=")</f>
        <v>#REF!</v>
      </c>
      <c r="BD226" t="e">
        <f>AND(#REF!,"AAAAADeP+zc=")</f>
        <v>#REF!</v>
      </c>
      <c r="BE226" t="e">
        <f>AND(#REF!,"AAAAADeP+zg=")</f>
        <v>#REF!</v>
      </c>
      <c r="BF226" t="e">
        <f>AND(#REF!,"AAAAADeP+zk=")</f>
        <v>#REF!</v>
      </c>
      <c r="BG226" t="e">
        <f>AND(#REF!,"AAAAADeP+zo=")</f>
        <v>#REF!</v>
      </c>
      <c r="BH226" t="e">
        <f>AND(#REF!,"AAAAADeP+zs=")</f>
        <v>#REF!</v>
      </c>
      <c r="BI226" t="e">
        <f>IF(#REF!,"AAAAADeP+zw=",0)</f>
        <v>#REF!</v>
      </c>
      <c r="BJ226" t="e">
        <f>AND(#REF!,"AAAAADeP+z0=")</f>
        <v>#REF!</v>
      </c>
      <c r="BK226" t="e">
        <f>AND(#REF!,"AAAAADeP+z4=")</f>
        <v>#REF!</v>
      </c>
      <c r="BL226" t="e">
        <f>AND(#REF!,"AAAAADeP+z8=")</f>
        <v>#REF!</v>
      </c>
      <c r="BM226" t="e">
        <f>AND(#REF!,"AAAAADeP+0A=")</f>
        <v>#REF!</v>
      </c>
      <c r="BN226" t="e">
        <f>AND(#REF!,"AAAAADeP+0E=")</f>
        <v>#REF!</v>
      </c>
      <c r="BO226" t="e">
        <f>AND(#REF!,"AAAAADeP+0I=")</f>
        <v>#REF!</v>
      </c>
      <c r="BP226" t="e">
        <f>AND(#REF!,"AAAAADeP+0M=")</f>
        <v>#REF!</v>
      </c>
      <c r="BQ226" t="e">
        <f>AND(#REF!,"AAAAADeP+0Q=")</f>
        <v>#REF!</v>
      </c>
      <c r="BR226" t="e">
        <f>AND(#REF!,"AAAAADeP+0U=")</f>
        <v>#REF!</v>
      </c>
      <c r="BS226" t="e">
        <f>AND(#REF!,"AAAAADeP+0Y=")</f>
        <v>#REF!</v>
      </c>
      <c r="BT226" t="e">
        <f>AND(#REF!,"AAAAADeP+0c=")</f>
        <v>#REF!</v>
      </c>
      <c r="BU226" t="e">
        <f>AND(#REF!,"AAAAADeP+0g=")</f>
        <v>#REF!</v>
      </c>
      <c r="BV226" t="e">
        <f>AND(#REF!,"AAAAADeP+0k=")</f>
        <v>#REF!</v>
      </c>
      <c r="BW226" t="e">
        <f>AND(#REF!,"AAAAADeP+0o=")</f>
        <v>#REF!</v>
      </c>
      <c r="BX226" t="e">
        <f>AND(#REF!,"AAAAADeP+0s=")</f>
        <v>#REF!</v>
      </c>
      <c r="BY226" t="e">
        <f>AND(#REF!,"AAAAADeP+0w=")</f>
        <v>#REF!</v>
      </c>
      <c r="BZ226" t="e">
        <f>AND(#REF!,"AAAAADeP+00=")</f>
        <v>#REF!</v>
      </c>
      <c r="CA226" t="e">
        <f>AND(#REF!,"AAAAADeP+04=")</f>
        <v>#REF!</v>
      </c>
      <c r="CB226" t="e">
        <f>AND(#REF!,"AAAAADeP+08=")</f>
        <v>#REF!</v>
      </c>
      <c r="CC226" t="e">
        <f>AND(#REF!,"AAAAADeP+1A=")</f>
        <v>#REF!</v>
      </c>
      <c r="CD226" t="e">
        <f>AND(#REF!,"AAAAADeP+1E=")</f>
        <v>#REF!</v>
      </c>
      <c r="CE226" t="e">
        <f>AND(#REF!,"AAAAADeP+1I=")</f>
        <v>#REF!</v>
      </c>
      <c r="CF226" t="e">
        <f>AND(#REF!,"AAAAADeP+1M=")</f>
        <v>#REF!</v>
      </c>
      <c r="CG226" t="e">
        <f>AND(#REF!,"AAAAADeP+1Q=")</f>
        <v>#REF!</v>
      </c>
      <c r="CH226" t="e">
        <f>IF(#REF!,"AAAAADeP+1U=",0)</f>
        <v>#REF!</v>
      </c>
      <c r="CI226" t="e">
        <f>AND(#REF!,"AAAAADeP+1Y=")</f>
        <v>#REF!</v>
      </c>
      <c r="CJ226" t="e">
        <f>AND(#REF!,"AAAAADeP+1c=")</f>
        <v>#REF!</v>
      </c>
      <c r="CK226" t="e">
        <f>AND(#REF!,"AAAAADeP+1g=")</f>
        <v>#REF!</v>
      </c>
      <c r="CL226" t="e">
        <f>AND(#REF!,"AAAAADeP+1k=")</f>
        <v>#REF!</v>
      </c>
      <c r="CM226" t="e">
        <f>AND(#REF!,"AAAAADeP+1o=")</f>
        <v>#REF!</v>
      </c>
      <c r="CN226" t="e">
        <f>AND(#REF!,"AAAAADeP+1s=")</f>
        <v>#REF!</v>
      </c>
      <c r="CO226" t="e">
        <f>AND(#REF!,"AAAAADeP+1w=")</f>
        <v>#REF!</v>
      </c>
      <c r="CP226" t="e">
        <f>AND(#REF!,"AAAAADeP+10=")</f>
        <v>#REF!</v>
      </c>
      <c r="CQ226" t="e">
        <f>AND(#REF!,"AAAAADeP+14=")</f>
        <v>#REF!</v>
      </c>
      <c r="CR226" t="e">
        <f>AND(#REF!,"AAAAADeP+18=")</f>
        <v>#REF!</v>
      </c>
      <c r="CS226" t="e">
        <f>AND(#REF!,"AAAAADeP+2A=")</f>
        <v>#REF!</v>
      </c>
      <c r="CT226" t="e">
        <f>AND(#REF!,"AAAAADeP+2E=")</f>
        <v>#REF!</v>
      </c>
      <c r="CU226" t="e">
        <f>AND(#REF!,"AAAAADeP+2I=")</f>
        <v>#REF!</v>
      </c>
      <c r="CV226" t="e">
        <f>AND(#REF!,"AAAAADeP+2M=")</f>
        <v>#REF!</v>
      </c>
      <c r="CW226" t="e">
        <f>AND(#REF!,"AAAAADeP+2Q=")</f>
        <v>#REF!</v>
      </c>
      <c r="CX226" t="e">
        <f>AND(#REF!,"AAAAADeP+2U=")</f>
        <v>#REF!</v>
      </c>
      <c r="CY226" t="e">
        <f>AND(#REF!,"AAAAADeP+2Y=")</f>
        <v>#REF!</v>
      </c>
      <c r="CZ226" t="e">
        <f>AND(#REF!,"AAAAADeP+2c=")</f>
        <v>#REF!</v>
      </c>
      <c r="DA226" t="e">
        <f>AND(#REF!,"AAAAADeP+2g=")</f>
        <v>#REF!</v>
      </c>
      <c r="DB226" t="e">
        <f>AND(#REF!,"AAAAADeP+2k=")</f>
        <v>#REF!</v>
      </c>
      <c r="DC226" t="e">
        <f>AND(#REF!,"AAAAADeP+2o=")</f>
        <v>#REF!</v>
      </c>
      <c r="DD226" t="e">
        <f>AND(#REF!,"AAAAADeP+2s=")</f>
        <v>#REF!</v>
      </c>
      <c r="DE226" t="e">
        <f>AND(#REF!,"AAAAADeP+2w=")</f>
        <v>#REF!</v>
      </c>
      <c r="DF226" t="e">
        <f>AND(#REF!,"AAAAADeP+20=")</f>
        <v>#REF!</v>
      </c>
      <c r="DG226" t="e">
        <f>IF(#REF!,"AAAAADeP+24=",0)</f>
        <v>#REF!</v>
      </c>
      <c r="DH226" t="e">
        <f>AND(#REF!,"AAAAADeP+28=")</f>
        <v>#REF!</v>
      </c>
      <c r="DI226" t="e">
        <f>AND(#REF!,"AAAAADeP+3A=")</f>
        <v>#REF!</v>
      </c>
      <c r="DJ226" t="e">
        <f>AND(#REF!,"AAAAADeP+3E=")</f>
        <v>#REF!</v>
      </c>
      <c r="DK226" t="e">
        <f>AND(#REF!,"AAAAADeP+3I=")</f>
        <v>#REF!</v>
      </c>
      <c r="DL226" t="e">
        <f>AND(#REF!,"AAAAADeP+3M=")</f>
        <v>#REF!</v>
      </c>
      <c r="DM226" t="e">
        <f>AND(#REF!,"AAAAADeP+3Q=")</f>
        <v>#REF!</v>
      </c>
      <c r="DN226" t="e">
        <f>AND(#REF!,"AAAAADeP+3U=")</f>
        <v>#REF!</v>
      </c>
      <c r="DO226" t="e">
        <f>AND(#REF!,"AAAAADeP+3Y=")</f>
        <v>#REF!</v>
      </c>
      <c r="DP226" t="e">
        <f>AND(#REF!,"AAAAADeP+3c=")</f>
        <v>#REF!</v>
      </c>
      <c r="DQ226" t="e">
        <f>AND(#REF!,"AAAAADeP+3g=")</f>
        <v>#REF!</v>
      </c>
      <c r="DR226" t="e">
        <f>AND(#REF!,"AAAAADeP+3k=")</f>
        <v>#REF!</v>
      </c>
      <c r="DS226" t="e">
        <f>AND(#REF!,"AAAAADeP+3o=")</f>
        <v>#REF!</v>
      </c>
      <c r="DT226" t="e">
        <f>AND(#REF!,"AAAAADeP+3s=")</f>
        <v>#REF!</v>
      </c>
      <c r="DU226" t="e">
        <f>AND(#REF!,"AAAAADeP+3w=")</f>
        <v>#REF!</v>
      </c>
      <c r="DV226" t="e">
        <f>AND(#REF!,"AAAAADeP+30=")</f>
        <v>#REF!</v>
      </c>
      <c r="DW226" t="e">
        <f>AND(#REF!,"AAAAADeP+34=")</f>
        <v>#REF!</v>
      </c>
      <c r="DX226" t="e">
        <f>AND(#REF!,"AAAAADeP+38=")</f>
        <v>#REF!</v>
      </c>
      <c r="DY226" t="e">
        <f>AND(#REF!,"AAAAADeP+4A=")</f>
        <v>#REF!</v>
      </c>
      <c r="DZ226" t="e">
        <f>AND(#REF!,"AAAAADeP+4E=")</f>
        <v>#REF!</v>
      </c>
      <c r="EA226" t="e">
        <f>AND(#REF!,"AAAAADeP+4I=")</f>
        <v>#REF!</v>
      </c>
      <c r="EB226" t="e">
        <f>AND(#REF!,"AAAAADeP+4M=")</f>
        <v>#REF!</v>
      </c>
      <c r="EC226" t="e">
        <f>AND(#REF!,"AAAAADeP+4Q=")</f>
        <v>#REF!</v>
      </c>
      <c r="ED226" t="e">
        <f>AND(#REF!,"AAAAADeP+4U=")</f>
        <v>#REF!</v>
      </c>
      <c r="EE226" t="e">
        <f>AND(#REF!,"AAAAADeP+4Y=")</f>
        <v>#REF!</v>
      </c>
      <c r="EF226" t="e">
        <f>IF(#REF!,"AAAAADeP+4c=",0)</f>
        <v>#REF!</v>
      </c>
      <c r="EG226" t="e">
        <f>AND(#REF!,"AAAAADeP+4g=")</f>
        <v>#REF!</v>
      </c>
      <c r="EH226" t="e">
        <f>AND(#REF!,"AAAAADeP+4k=")</f>
        <v>#REF!</v>
      </c>
      <c r="EI226" t="e">
        <f>AND(#REF!,"AAAAADeP+4o=")</f>
        <v>#REF!</v>
      </c>
      <c r="EJ226" t="e">
        <f>AND(#REF!,"AAAAADeP+4s=")</f>
        <v>#REF!</v>
      </c>
      <c r="EK226" t="e">
        <f>AND(#REF!,"AAAAADeP+4w=")</f>
        <v>#REF!</v>
      </c>
      <c r="EL226" t="e">
        <f>AND(#REF!,"AAAAADeP+40=")</f>
        <v>#REF!</v>
      </c>
      <c r="EM226" t="e">
        <f>AND(#REF!,"AAAAADeP+44=")</f>
        <v>#REF!</v>
      </c>
      <c r="EN226" t="e">
        <f>AND(#REF!,"AAAAADeP+48=")</f>
        <v>#REF!</v>
      </c>
      <c r="EO226" t="e">
        <f>AND(#REF!,"AAAAADeP+5A=")</f>
        <v>#REF!</v>
      </c>
      <c r="EP226" t="e">
        <f>AND(#REF!,"AAAAADeP+5E=")</f>
        <v>#REF!</v>
      </c>
      <c r="EQ226" t="e">
        <f>AND(#REF!,"AAAAADeP+5I=")</f>
        <v>#REF!</v>
      </c>
      <c r="ER226" t="e">
        <f>AND(#REF!,"AAAAADeP+5M=")</f>
        <v>#REF!</v>
      </c>
      <c r="ES226" t="e">
        <f>AND(#REF!,"AAAAADeP+5Q=")</f>
        <v>#REF!</v>
      </c>
      <c r="ET226" t="e">
        <f>AND(#REF!,"AAAAADeP+5U=")</f>
        <v>#REF!</v>
      </c>
      <c r="EU226" t="e">
        <f>AND(#REF!,"AAAAADeP+5Y=")</f>
        <v>#REF!</v>
      </c>
      <c r="EV226" t="e">
        <f>AND(#REF!,"AAAAADeP+5c=")</f>
        <v>#REF!</v>
      </c>
      <c r="EW226" t="e">
        <f>AND(#REF!,"AAAAADeP+5g=")</f>
        <v>#REF!</v>
      </c>
      <c r="EX226" t="e">
        <f>AND(#REF!,"AAAAADeP+5k=")</f>
        <v>#REF!</v>
      </c>
      <c r="EY226" t="e">
        <f>AND(#REF!,"AAAAADeP+5o=")</f>
        <v>#REF!</v>
      </c>
      <c r="EZ226" t="e">
        <f>AND(#REF!,"AAAAADeP+5s=")</f>
        <v>#REF!</v>
      </c>
      <c r="FA226" t="e">
        <f>AND(#REF!,"AAAAADeP+5w=")</f>
        <v>#REF!</v>
      </c>
      <c r="FB226" t="e">
        <f>AND(#REF!,"AAAAADeP+50=")</f>
        <v>#REF!</v>
      </c>
      <c r="FC226" t="e">
        <f>AND(#REF!,"AAAAADeP+54=")</f>
        <v>#REF!</v>
      </c>
      <c r="FD226" t="e">
        <f>AND(#REF!,"AAAAADeP+58=")</f>
        <v>#REF!</v>
      </c>
      <c r="FE226" t="e">
        <f>IF(#REF!,"AAAAADeP+6A=",0)</f>
        <v>#REF!</v>
      </c>
      <c r="FF226" t="e">
        <f>AND(#REF!,"AAAAADeP+6E=")</f>
        <v>#REF!</v>
      </c>
      <c r="FG226" t="e">
        <f>AND(#REF!,"AAAAADeP+6I=")</f>
        <v>#REF!</v>
      </c>
      <c r="FH226" t="e">
        <f>AND(#REF!,"AAAAADeP+6M=")</f>
        <v>#REF!</v>
      </c>
      <c r="FI226" t="e">
        <f>AND(#REF!,"AAAAADeP+6Q=")</f>
        <v>#REF!</v>
      </c>
      <c r="FJ226" t="e">
        <f>AND(#REF!,"AAAAADeP+6U=")</f>
        <v>#REF!</v>
      </c>
      <c r="FK226" t="e">
        <f>AND(#REF!,"AAAAADeP+6Y=")</f>
        <v>#REF!</v>
      </c>
      <c r="FL226" t="e">
        <f>AND(#REF!,"AAAAADeP+6c=")</f>
        <v>#REF!</v>
      </c>
      <c r="FM226" t="e">
        <f>AND(#REF!,"AAAAADeP+6g=")</f>
        <v>#REF!</v>
      </c>
      <c r="FN226" t="e">
        <f>AND(#REF!,"AAAAADeP+6k=")</f>
        <v>#REF!</v>
      </c>
      <c r="FO226" t="e">
        <f>AND(#REF!,"AAAAADeP+6o=")</f>
        <v>#REF!</v>
      </c>
      <c r="FP226" t="e">
        <f>AND(#REF!,"AAAAADeP+6s=")</f>
        <v>#REF!</v>
      </c>
      <c r="FQ226" t="e">
        <f>AND(#REF!,"AAAAADeP+6w=")</f>
        <v>#REF!</v>
      </c>
      <c r="FR226" t="e">
        <f>AND(#REF!,"AAAAADeP+60=")</f>
        <v>#REF!</v>
      </c>
      <c r="FS226" t="e">
        <f>AND(#REF!,"AAAAADeP+64=")</f>
        <v>#REF!</v>
      </c>
      <c r="FT226" t="e">
        <f>AND(#REF!,"AAAAADeP+68=")</f>
        <v>#REF!</v>
      </c>
      <c r="FU226" t="e">
        <f>AND(#REF!,"AAAAADeP+7A=")</f>
        <v>#REF!</v>
      </c>
      <c r="FV226" t="e">
        <f>AND(#REF!,"AAAAADeP+7E=")</f>
        <v>#REF!</v>
      </c>
      <c r="FW226" t="e">
        <f>AND(#REF!,"AAAAADeP+7I=")</f>
        <v>#REF!</v>
      </c>
      <c r="FX226" t="e">
        <f>AND(#REF!,"AAAAADeP+7M=")</f>
        <v>#REF!</v>
      </c>
      <c r="FY226" t="e">
        <f>AND(#REF!,"AAAAADeP+7Q=")</f>
        <v>#REF!</v>
      </c>
      <c r="FZ226" t="e">
        <f>AND(#REF!,"AAAAADeP+7U=")</f>
        <v>#REF!</v>
      </c>
      <c r="GA226" t="e">
        <f>AND(#REF!,"AAAAADeP+7Y=")</f>
        <v>#REF!</v>
      </c>
      <c r="GB226" t="e">
        <f>AND(#REF!,"AAAAADeP+7c=")</f>
        <v>#REF!</v>
      </c>
      <c r="GC226" t="e">
        <f>AND(#REF!,"AAAAADeP+7g=")</f>
        <v>#REF!</v>
      </c>
      <c r="GD226" t="e">
        <f>IF(#REF!,"AAAAADeP+7k=",0)</f>
        <v>#REF!</v>
      </c>
      <c r="GE226" t="e">
        <f>AND(#REF!,"AAAAADeP+7o=")</f>
        <v>#REF!</v>
      </c>
      <c r="GF226" t="e">
        <f>AND(#REF!,"AAAAADeP+7s=")</f>
        <v>#REF!</v>
      </c>
      <c r="GG226" t="e">
        <f>AND(#REF!,"AAAAADeP+7w=")</f>
        <v>#REF!</v>
      </c>
      <c r="GH226" t="e">
        <f>AND(#REF!,"AAAAADeP+70=")</f>
        <v>#REF!</v>
      </c>
      <c r="GI226" t="e">
        <f>AND(#REF!,"AAAAADeP+74=")</f>
        <v>#REF!</v>
      </c>
      <c r="GJ226" t="e">
        <f>AND(#REF!,"AAAAADeP+78=")</f>
        <v>#REF!</v>
      </c>
      <c r="GK226" t="e">
        <f>AND(#REF!,"AAAAADeP+8A=")</f>
        <v>#REF!</v>
      </c>
      <c r="GL226" t="e">
        <f>AND(#REF!,"AAAAADeP+8E=")</f>
        <v>#REF!</v>
      </c>
      <c r="GM226" t="e">
        <f>AND(#REF!,"AAAAADeP+8I=")</f>
        <v>#REF!</v>
      </c>
      <c r="GN226" t="e">
        <f>AND(#REF!,"AAAAADeP+8M=")</f>
        <v>#REF!</v>
      </c>
      <c r="GO226" t="e">
        <f>AND(#REF!,"AAAAADeP+8Q=")</f>
        <v>#REF!</v>
      </c>
      <c r="GP226" t="e">
        <f>AND(#REF!,"AAAAADeP+8U=")</f>
        <v>#REF!</v>
      </c>
      <c r="GQ226" t="e">
        <f>AND(#REF!,"AAAAADeP+8Y=")</f>
        <v>#REF!</v>
      </c>
      <c r="GR226" t="e">
        <f>AND(#REF!,"AAAAADeP+8c=")</f>
        <v>#REF!</v>
      </c>
      <c r="GS226" t="e">
        <f>AND(#REF!,"AAAAADeP+8g=")</f>
        <v>#REF!</v>
      </c>
      <c r="GT226" t="e">
        <f>AND(#REF!,"AAAAADeP+8k=")</f>
        <v>#REF!</v>
      </c>
      <c r="GU226" t="e">
        <f>AND(#REF!,"AAAAADeP+8o=")</f>
        <v>#REF!</v>
      </c>
      <c r="GV226" t="e">
        <f>AND(#REF!,"AAAAADeP+8s=")</f>
        <v>#REF!</v>
      </c>
      <c r="GW226" t="e">
        <f>AND(#REF!,"AAAAADeP+8w=")</f>
        <v>#REF!</v>
      </c>
      <c r="GX226" t="e">
        <f>AND(#REF!,"AAAAADeP+80=")</f>
        <v>#REF!</v>
      </c>
      <c r="GY226" t="e">
        <f>AND(#REF!,"AAAAADeP+84=")</f>
        <v>#REF!</v>
      </c>
      <c r="GZ226" t="e">
        <f>AND(#REF!,"AAAAADeP+88=")</f>
        <v>#REF!</v>
      </c>
      <c r="HA226" t="e">
        <f>AND(#REF!,"AAAAADeP+9A=")</f>
        <v>#REF!</v>
      </c>
      <c r="HB226" t="e">
        <f>AND(#REF!,"AAAAADeP+9E=")</f>
        <v>#REF!</v>
      </c>
      <c r="HC226" t="e">
        <f>IF(#REF!,"AAAAADeP+9I=",0)</f>
        <v>#REF!</v>
      </c>
      <c r="HD226" t="e">
        <f>AND(#REF!,"AAAAADeP+9M=")</f>
        <v>#REF!</v>
      </c>
      <c r="HE226" t="e">
        <f>AND(#REF!,"AAAAADeP+9Q=")</f>
        <v>#REF!</v>
      </c>
      <c r="HF226" t="e">
        <f>AND(#REF!,"AAAAADeP+9U=")</f>
        <v>#REF!</v>
      </c>
      <c r="HG226" t="e">
        <f>AND(#REF!,"AAAAADeP+9Y=")</f>
        <v>#REF!</v>
      </c>
      <c r="HH226" t="e">
        <f>AND(#REF!,"AAAAADeP+9c=")</f>
        <v>#REF!</v>
      </c>
      <c r="HI226" t="e">
        <f>AND(#REF!,"AAAAADeP+9g=")</f>
        <v>#REF!</v>
      </c>
      <c r="HJ226" t="e">
        <f>AND(#REF!,"AAAAADeP+9k=")</f>
        <v>#REF!</v>
      </c>
      <c r="HK226" t="e">
        <f>AND(#REF!,"AAAAADeP+9o=")</f>
        <v>#REF!</v>
      </c>
      <c r="HL226" t="e">
        <f>AND(#REF!,"AAAAADeP+9s=")</f>
        <v>#REF!</v>
      </c>
      <c r="HM226" t="e">
        <f>AND(#REF!,"AAAAADeP+9w=")</f>
        <v>#REF!</v>
      </c>
      <c r="HN226" t="e">
        <f>AND(#REF!,"AAAAADeP+90=")</f>
        <v>#REF!</v>
      </c>
      <c r="HO226" t="e">
        <f>AND(#REF!,"AAAAADeP+94=")</f>
        <v>#REF!</v>
      </c>
      <c r="HP226" t="e">
        <f>AND(#REF!,"AAAAADeP+98=")</f>
        <v>#REF!</v>
      </c>
      <c r="HQ226" t="e">
        <f>AND(#REF!,"AAAAADeP++A=")</f>
        <v>#REF!</v>
      </c>
      <c r="HR226" t="e">
        <f>AND(#REF!,"AAAAADeP++E=")</f>
        <v>#REF!</v>
      </c>
      <c r="HS226" t="e">
        <f>AND(#REF!,"AAAAADeP++I=")</f>
        <v>#REF!</v>
      </c>
      <c r="HT226" t="e">
        <f>AND(#REF!,"AAAAADeP++M=")</f>
        <v>#REF!</v>
      </c>
      <c r="HU226" t="e">
        <f>AND(#REF!,"AAAAADeP++Q=")</f>
        <v>#REF!</v>
      </c>
      <c r="HV226" t="e">
        <f>AND(#REF!,"AAAAADeP++U=")</f>
        <v>#REF!</v>
      </c>
      <c r="HW226" t="e">
        <f>AND(#REF!,"AAAAADeP++Y=")</f>
        <v>#REF!</v>
      </c>
      <c r="HX226" t="e">
        <f>AND(#REF!,"AAAAADeP++c=")</f>
        <v>#REF!</v>
      </c>
      <c r="HY226" t="e">
        <f>AND(#REF!,"AAAAADeP++g=")</f>
        <v>#REF!</v>
      </c>
      <c r="HZ226" t="e">
        <f>AND(#REF!,"AAAAADeP++k=")</f>
        <v>#REF!</v>
      </c>
      <c r="IA226" t="e">
        <f>AND(#REF!,"AAAAADeP++o=")</f>
        <v>#REF!</v>
      </c>
      <c r="IB226" t="e">
        <f>IF(#REF!,"AAAAADeP++s=",0)</f>
        <v>#REF!</v>
      </c>
      <c r="IC226" t="e">
        <f>AND(#REF!,"AAAAADeP++w=")</f>
        <v>#REF!</v>
      </c>
      <c r="ID226" t="e">
        <f>AND(#REF!,"AAAAADeP++0=")</f>
        <v>#REF!</v>
      </c>
      <c r="IE226" t="e">
        <f>AND(#REF!,"AAAAADeP++4=")</f>
        <v>#REF!</v>
      </c>
      <c r="IF226" t="e">
        <f>AND(#REF!,"AAAAADeP++8=")</f>
        <v>#REF!</v>
      </c>
      <c r="IG226" t="e">
        <f>AND(#REF!,"AAAAADeP+/A=")</f>
        <v>#REF!</v>
      </c>
      <c r="IH226" t="e">
        <f>AND(#REF!,"AAAAADeP+/E=")</f>
        <v>#REF!</v>
      </c>
      <c r="II226" t="e">
        <f>AND(#REF!,"AAAAADeP+/I=")</f>
        <v>#REF!</v>
      </c>
      <c r="IJ226" t="e">
        <f>AND(#REF!,"AAAAADeP+/M=")</f>
        <v>#REF!</v>
      </c>
      <c r="IK226" t="e">
        <f>AND(#REF!,"AAAAADeP+/Q=")</f>
        <v>#REF!</v>
      </c>
      <c r="IL226" t="e">
        <f>AND(#REF!,"AAAAADeP+/U=")</f>
        <v>#REF!</v>
      </c>
      <c r="IM226" t="e">
        <f>AND(#REF!,"AAAAADeP+/Y=")</f>
        <v>#REF!</v>
      </c>
      <c r="IN226" t="e">
        <f>AND(#REF!,"AAAAADeP+/c=")</f>
        <v>#REF!</v>
      </c>
      <c r="IO226" t="e">
        <f>AND(#REF!,"AAAAADeP+/g=")</f>
        <v>#REF!</v>
      </c>
      <c r="IP226" t="e">
        <f>AND(#REF!,"AAAAADeP+/k=")</f>
        <v>#REF!</v>
      </c>
      <c r="IQ226" t="e">
        <f>AND(#REF!,"AAAAADeP+/o=")</f>
        <v>#REF!</v>
      </c>
      <c r="IR226" t="e">
        <f>AND(#REF!,"AAAAADeP+/s=")</f>
        <v>#REF!</v>
      </c>
      <c r="IS226" t="e">
        <f>AND(#REF!,"AAAAADeP+/w=")</f>
        <v>#REF!</v>
      </c>
      <c r="IT226" t="e">
        <f>AND(#REF!,"AAAAADeP+/0=")</f>
        <v>#REF!</v>
      </c>
      <c r="IU226" t="e">
        <f>AND(#REF!,"AAAAADeP+/4=")</f>
        <v>#REF!</v>
      </c>
      <c r="IV226" t="e">
        <f>AND(#REF!,"AAAAADeP+/8=")</f>
        <v>#REF!</v>
      </c>
    </row>
    <row r="227" spans="1:256">
      <c r="A227" t="e">
        <f>AND(#REF!,"AAAAAC7f/gA=")</f>
        <v>#REF!</v>
      </c>
      <c r="B227" t="e">
        <f>AND(#REF!,"AAAAAC7f/gE=")</f>
        <v>#REF!</v>
      </c>
      <c r="C227" t="e">
        <f>AND(#REF!,"AAAAAC7f/gI=")</f>
        <v>#REF!</v>
      </c>
      <c r="D227" t="e">
        <f>AND(#REF!,"AAAAAC7f/gM=")</f>
        <v>#REF!</v>
      </c>
      <c r="E227" t="e">
        <f>IF(#REF!,"AAAAAC7f/gQ=",0)</f>
        <v>#REF!</v>
      </c>
      <c r="F227" t="e">
        <f>AND(#REF!,"AAAAAC7f/gU=")</f>
        <v>#REF!</v>
      </c>
      <c r="G227" t="e">
        <f>AND(#REF!,"AAAAAC7f/gY=")</f>
        <v>#REF!</v>
      </c>
      <c r="H227" t="e">
        <f>AND(#REF!,"AAAAAC7f/gc=")</f>
        <v>#REF!</v>
      </c>
      <c r="I227" t="e">
        <f>AND(#REF!,"AAAAAC7f/gg=")</f>
        <v>#REF!</v>
      </c>
      <c r="J227" t="e">
        <f>AND(#REF!,"AAAAAC7f/gk=")</f>
        <v>#REF!</v>
      </c>
      <c r="K227" t="e">
        <f>AND(#REF!,"AAAAAC7f/go=")</f>
        <v>#REF!</v>
      </c>
      <c r="L227" t="e">
        <f>AND(#REF!,"AAAAAC7f/gs=")</f>
        <v>#REF!</v>
      </c>
      <c r="M227" t="e">
        <f>AND(#REF!,"AAAAAC7f/gw=")</f>
        <v>#REF!</v>
      </c>
      <c r="N227" t="e">
        <f>AND(#REF!,"AAAAAC7f/g0=")</f>
        <v>#REF!</v>
      </c>
      <c r="O227" t="e">
        <f>AND(#REF!,"AAAAAC7f/g4=")</f>
        <v>#REF!</v>
      </c>
      <c r="P227" t="e">
        <f>AND(#REF!,"AAAAAC7f/g8=")</f>
        <v>#REF!</v>
      </c>
      <c r="Q227" t="e">
        <f>AND(#REF!,"AAAAAC7f/hA=")</f>
        <v>#REF!</v>
      </c>
      <c r="R227" t="e">
        <f>AND(#REF!,"AAAAAC7f/hE=")</f>
        <v>#REF!</v>
      </c>
      <c r="S227" t="e">
        <f>AND(#REF!,"AAAAAC7f/hI=")</f>
        <v>#REF!</v>
      </c>
      <c r="T227" t="e">
        <f>AND(#REF!,"AAAAAC7f/hM=")</f>
        <v>#REF!</v>
      </c>
      <c r="U227" t="e">
        <f>AND(#REF!,"AAAAAC7f/hQ=")</f>
        <v>#REF!</v>
      </c>
      <c r="V227" t="e">
        <f>AND(#REF!,"AAAAAC7f/hU=")</f>
        <v>#REF!</v>
      </c>
      <c r="W227" t="e">
        <f>AND(#REF!,"AAAAAC7f/hY=")</f>
        <v>#REF!</v>
      </c>
      <c r="X227" t="e">
        <f>AND(#REF!,"AAAAAC7f/hc=")</f>
        <v>#REF!</v>
      </c>
      <c r="Y227" t="e">
        <f>AND(#REF!,"AAAAAC7f/hg=")</f>
        <v>#REF!</v>
      </c>
      <c r="Z227" t="e">
        <f>AND(#REF!,"AAAAAC7f/hk=")</f>
        <v>#REF!</v>
      </c>
      <c r="AA227" t="e">
        <f>AND(#REF!,"AAAAAC7f/ho=")</f>
        <v>#REF!</v>
      </c>
      <c r="AB227" t="e">
        <f>AND(#REF!,"AAAAAC7f/hs=")</f>
        <v>#REF!</v>
      </c>
      <c r="AC227" t="e">
        <f>AND(#REF!,"AAAAAC7f/hw=")</f>
        <v>#REF!</v>
      </c>
      <c r="AD227" t="e">
        <f>IF(#REF!,"AAAAAC7f/h0=",0)</f>
        <v>#REF!</v>
      </c>
      <c r="AE227" t="e">
        <f>AND(#REF!,"AAAAAC7f/h4=")</f>
        <v>#REF!</v>
      </c>
      <c r="AF227" t="e">
        <f>AND(#REF!,"AAAAAC7f/h8=")</f>
        <v>#REF!</v>
      </c>
      <c r="AG227" t="e">
        <f>AND(#REF!,"AAAAAC7f/iA=")</f>
        <v>#REF!</v>
      </c>
      <c r="AH227" t="e">
        <f>AND(#REF!,"AAAAAC7f/iE=")</f>
        <v>#REF!</v>
      </c>
      <c r="AI227" t="e">
        <f>AND(#REF!,"AAAAAC7f/iI=")</f>
        <v>#REF!</v>
      </c>
      <c r="AJ227" t="e">
        <f>AND(#REF!,"AAAAAC7f/iM=")</f>
        <v>#REF!</v>
      </c>
      <c r="AK227" t="e">
        <f>AND(#REF!,"AAAAAC7f/iQ=")</f>
        <v>#REF!</v>
      </c>
      <c r="AL227" t="e">
        <f>AND(#REF!,"AAAAAC7f/iU=")</f>
        <v>#REF!</v>
      </c>
      <c r="AM227" t="e">
        <f>AND(#REF!,"AAAAAC7f/iY=")</f>
        <v>#REF!</v>
      </c>
      <c r="AN227" t="e">
        <f>AND(#REF!,"AAAAAC7f/ic=")</f>
        <v>#REF!</v>
      </c>
      <c r="AO227" t="e">
        <f>AND(#REF!,"AAAAAC7f/ig=")</f>
        <v>#REF!</v>
      </c>
      <c r="AP227" t="e">
        <f>AND(#REF!,"AAAAAC7f/ik=")</f>
        <v>#REF!</v>
      </c>
      <c r="AQ227" t="e">
        <f>AND(#REF!,"AAAAAC7f/io=")</f>
        <v>#REF!</v>
      </c>
      <c r="AR227" t="e">
        <f>AND(#REF!,"AAAAAC7f/is=")</f>
        <v>#REF!</v>
      </c>
      <c r="AS227" t="e">
        <f>AND(#REF!,"AAAAAC7f/iw=")</f>
        <v>#REF!</v>
      </c>
      <c r="AT227" t="e">
        <f>AND(#REF!,"AAAAAC7f/i0=")</f>
        <v>#REF!</v>
      </c>
      <c r="AU227" t="e">
        <f>AND(#REF!,"AAAAAC7f/i4=")</f>
        <v>#REF!</v>
      </c>
      <c r="AV227" t="e">
        <f>AND(#REF!,"AAAAAC7f/i8=")</f>
        <v>#REF!</v>
      </c>
      <c r="AW227" t="e">
        <f>AND(#REF!,"AAAAAC7f/jA=")</f>
        <v>#REF!</v>
      </c>
      <c r="AX227" t="e">
        <f>AND(#REF!,"AAAAAC7f/jE=")</f>
        <v>#REF!</v>
      </c>
      <c r="AY227" t="e">
        <f>AND(#REF!,"AAAAAC7f/jI=")</f>
        <v>#REF!</v>
      </c>
      <c r="AZ227" t="e">
        <f>AND(#REF!,"AAAAAC7f/jM=")</f>
        <v>#REF!</v>
      </c>
      <c r="BA227" t="e">
        <f>AND(#REF!,"AAAAAC7f/jQ=")</f>
        <v>#REF!</v>
      </c>
      <c r="BB227" t="e">
        <f>AND(#REF!,"AAAAAC7f/jU=")</f>
        <v>#REF!</v>
      </c>
      <c r="BC227" t="e">
        <f>IF(#REF!,"AAAAAC7f/jY=",0)</f>
        <v>#REF!</v>
      </c>
      <c r="BD227" t="e">
        <f>AND(#REF!,"AAAAAC7f/jc=")</f>
        <v>#REF!</v>
      </c>
      <c r="BE227" t="e">
        <f>AND(#REF!,"AAAAAC7f/jg=")</f>
        <v>#REF!</v>
      </c>
      <c r="BF227" t="e">
        <f>AND(#REF!,"AAAAAC7f/jk=")</f>
        <v>#REF!</v>
      </c>
      <c r="BG227" t="e">
        <f>AND(#REF!,"AAAAAC7f/jo=")</f>
        <v>#REF!</v>
      </c>
      <c r="BH227" t="e">
        <f>AND(#REF!,"AAAAAC7f/js=")</f>
        <v>#REF!</v>
      </c>
      <c r="BI227" t="e">
        <f>AND(#REF!,"AAAAAC7f/jw=")</f>
        <v>#REF!</v>
      </c>
      <c r="BJ227" t="e">
        <f>AND(#REF!,"AAAAAC7f/j0=")</f>
        <v>#REF!</v>
      </c>
      <c r="BK227" t="e">
        <f>AND(#REF!,"AAAAAC7f/j4=")</f>
        <v>#REF!</v>
      </c>
      <c r="BL227" t="e">
        <f>AND(#REF!,"AAAAAC7f/j8=")</f>
        <v>#REF!</v>
      </c>
      <c r="BM227" t="e">
        <f>AND(#REF!,"AAAAAC7f/kA=")</f>
        <v>#REF!</v>
      </c>
      <c r="BN227" t="e">
        <f>AND(#REF!,"AAAAAC7f/kE=")</f>
        <v>#REF!</v>
      </c>
      <c r="BO227" t="e">
        <f>AND(#REF!,"AAAAAC7f/kI=")</f>
        <v>#REF!</v>
      </c>
      <c r="BP227" t="e">
        <f>AND(#REF!,"AAAAAC7f/kM=")</f>
        <v>#REF!</v>
      </c>
      <c r="BQ227" t="e">
        <f>AND(#REF!,"AAAAAC7f/kQ=")</f>
        <v>#REF!</v>
      </c>
      <c r="BR227" t="e">
        <f>AND(#REF!,"AAAAAC7f/kU=")</f>
        <v>#REF!</v>
      </c>
      <c r="BS227" t="e">
        <f>AND(#REF!,"AAAAAC7f/kY=")</f>
        <v>#REF!</v>
      </c>
      <c r="BT227" t="e">
        <f>AND(#REF!,"AAAAAC7f/kc=")</f>
        <v>#REF!</v>
      </c>
      <c r="BU227" t="e">
        <f>AND(#REF!,"AAAAAC7f/kg=")</f>
        <v>#REF!</v>
      </c>
      <c r="BV227" t="e">
        <f>AND(#REF!,"AAAAAC7f/kk=")</f>
        <v>#REF!</v>
      </c>
      <c r="BW227" t="e">
        <f>AND(#REF!,"AAAAAC7f/ko=")</f>
        <v>#REF!</v>
      </c>
      <c r="BX227" t="e">
        <f>AND(#REF!,"AAAAAC7f/ks=")</f>
        <v>#REF!</v>
      </c>
      <c r="BY227" t="e">
        <f>AND(#REF!,"AAAAAC7f/kw=")</f>
        <v>#REF!</v>
      </c>
      <c r="BZ227" t="e">
        <f>AND(#REF!,"AAAAAC7f/k0=")</f>
        <v>#REF!</v>
      </c>
      <c r="CA227" t="e">
        <f>AND(#REF!,"AAAAAC7f/k4=")</f>
        <v>#REF!</v>
      </c>
      <c r="CB227" t="e">
        <f>IF(#REF!,"AAAAAC7f/k8=",0)</f>
        <v>#REF!</v>
      </c>
      <c r="CC227" t="e">
        <f>AND(#REF!,"AAAAAC7f/lA=")</f>
        <v>#REF!</v>
      </c>
      <c r="CD227" t="e">
        <f>AND(#REF!,"AAAAAC7f/lE=")</f>
        <v>#REF!</v>
      </c>
      <c r="CE227" t="e">
        <f>AND(#REF!,"AAAAAC7f/lI=")</f>
        <v>#REF!</v>
      </c>
      <c r="CF227" t="e">
        <f>AND(#REF!,"AAAAAC7f/lM=")</f>
        <v>#REF!</v>
      </c>
      <c r="CG227" t="e">
        <f>AND(#REF!,"AAAAAC7f/lQ=")</f>
        <v>#REF!</v>
      </c>
      <c r="CH227" t="e">
        <f>AND(#REF!,"AAAAAC7f/lU=")</f>
        <v>#REF!</v>
      </c>
      <c r="CI227" t="e">
        <f>AND(#REF!,"AAAAAC7f/lY=")</f>
        <v>#REF!</v>
      </c>
      <c r="CJ227" t="e">
        <f>AND(#REF!,"AAAAAC7f/lc=")</f>
        <v>#REF!</v>
      </c>
      <c r="CK227" t="e">
        <f>AND(#REF!,"AAAAAC7f/lg=")</f>
        <v>#REF!</v>
      </c>
      <c r="CL227" t="e">
        <f>AND(#REF!,"AAAAAC7f/lk=")</f>
        <v>#REF!</v>
      </c>
      <c r="CM227" t="e">
        <f>AND(#REF!,"AAAAAC7f/lo=")</f>
        <v>#REF!</v>
      </c>
      <c r="CN227" t="e">
        <f>AND(#REF!,"AAAAAC7f/ls=")</f>
        <v>#REF!</v>
      </c>
      <c r="CO227" t="e">
        <f>AND(#REF!,"AAAAAC7f/lw=")</f>
        <v>#REF!</v>
      </c>
      <c r="CP227" t="e">
        <f>AND(#REF!,"AAAAAC7f/l0=")</f>
        <v>#REF!</v>
      </c>
      <c r="CQ227" t="e">
        <f>AND(#REF!,"AAAAAC7f/l4=")</f>
        <v>#REF!</v>
      </c>
      <c r="CR227" t="e">
        <f>AND(#REF!,"AAAAAC7f/l8=")</f>
        <v>#REF!</v>
      </c>
      <c r="CS227" t="e">
        <f>AND(#REF!,"AAAAAC7f/mA=")</f>
        <v>#REF!</v>
      </c>
      <c r="CT227" t="e">
        <f>AND(#REF!,"AAAAAC7f/mE=")</f>
        <v>#REF!</v>
      </c>
      <c r="CU227" t="e">
        <f>AND(#REF!,"AAAAAC7f/mI=")</f>
        <v>#REF!</v>
      </c>
      <c r="CV227" t="e">
        <f>AND(#REF!,"AAAAAC7f/mM=")</f>
        <v>#REF!</v>
      </c>
      <c r="CW227" t="e">
        <f>AND(#REF!,"AAAAAC7f/mQ=")</f>
        <v>#REF!</v>
      </c>
      <c r="CX227" t="e">
        <f>AND(#REF!,"AAAAAC7f/mU=")</f>
        <v>#REF!</v>
      </c>
      <c r="CY227" t="e">
        <f>AND(#REF!,"AAAAAC7f/mY=")</f>
        <v>#REF!</v>
      </c>
      <c r="CZ227" t="e">
        <f>AND(#REF!,"AAAAAC7f/mc=")</f>
        <v>#REF!</v>
      </c>
      <c r="DA227" t="e">
        <f>IF(#REF!,"AAAAAC7f/mg=",0)</f>
        <v>#REF!</v>
      </c>
      <c r="DB227" t="e">
        <f>AND(#REF!,"AAAAAC7f/mk=")</f>
        <v>#REF!</v>
      </c>
      <c r="DC227" t="e">
        <f>AND(#REF!,"AAAAAC7f/mo=")</f>
        <v>#REF!</v>
      </c>
      <c r="DD227" t="e">
        <f>AND(#REF!,"AAAAAC7f/ms=")</f>
        <v>#REF!</v>
      </c>
      <c r="DE227" t="e">
        <f>AND(#REF!,"AAAAAC7f/mw=")</f>
        <v>#REF!</v>
      </c>
      <c r="DF227" t="e">
        <f>AND(#REF!,"AAAAAC7f/m0=")</f>
        <v>#REF!</v>
      </c>
      <c r="DG227" t="e">
        <f>AND(#REF!,"AAAAAC7f/m4=")</f>
        <v>#REF!</v>
      </c>
      <c r="DH227" t="e">
        <f>AND(#REF!,"AAAAAC7f/m8=")</f>
        <v>#REF!</v>
      </c>
      <c r="DI227" t="e">
        <f>AND(#REF!,"AAAAAC7f/nA=")</f>
        <v>#REF!</v>
      </c>
      <c r="DJ227" t="e">
        <f>AND(#REF!,"AAAAAC7f/nE=")</f>
        <v>#REF!</v>
      </c>
      <c r="DK227" t="e">
        <f>AND(#REF!,"AAAAAC7f/nI=")</f>
        <v>#REF!</v>
      </c>
      <c r="DL227" t="e">
        <f>AND(#REF!,"AAAAAC7f/nM=")</f>
        <v>#REF!</v>
      </c>
      <c r="DM227" t="e">
        <f>AND(#REF!,"AAAAAC7f/nQ=")</f>
        <v>#REF!</v>
      </c>
      <c r="DN227" t="e">
        <f>AND(#REF!,"AAAAAC7f/nU=")</f>
        <v>#REF!</v>
      </c>
      <c r="DO227" t="e">
        <f>AND(#REF!,"AAAAAC7f/nY=")</f>
        <v>#REF!</v>
      </c>
      <c r="DP227" t="e">
        <f>AND(#REF!,"AAAAAC7f/nc=")</f>
        <v>#REF!</v>
      </c>
      <c r="DQ227" t="e">
        <f>AND(#REF!,"AAAAAC7f/ng=")</f>
        <v>#REF!</v>
      </c>
      <c r="DR227" t="e">
        <f>AND(#REF!,"AAAAAC7f/nk=")</f>
        <v>#REF!</v>
      </c>
      <c r="DS227" t="e">
        <f>AND(#REF!,"AAAAAC7f/no=")</f>
        <v>#REF!</v>
      </c>
      <c r="DT227" t="e">
        <f>AND(#REF!,"AAAAAC7f/ns=")</f>
        <v>#REF!</v>
      </c>
      <c r="DU227" t="e">
        <f>AND(#REF!,"AAAAAC7f/nw=")</f>
        <v>#REF!</v>
      </c>
      <c r="DV227" t="e">
        <f>AND(#REF!,"AAAAAC7f/n0=")</f>
        <v>#REF!</v>
      </c>
      <c r="DW227" t="e">
        <f>AND(#REF!,"AAAAAC7f/n4=")</f>
        <v>#REF!</v>
      </c>
      <c r="DX227" t="e">
        <f>AND(#REF!,"AAAAAC7f/n8=")</f>
        <v>#REF!</v>
      </c>
      <c r="DY227" t="e">
        <f>AND(#REF!,"AAAAAC7f/oA=")</f>
        <v>#REF!</v>
      </c>
      <c r="DZ227" t="e">
        <f>IF(#REF!,"AAAAAC7f/oE=",0)</f>
        <v>#REF!</v>
      </c>
      <c r="EA227" t="e">
        <f>AND(#REF!,"AAAAAC7f/oI=")</f>
        <v>#REF!</v>
      </c>
      <c r="EB227" t="e">
        <f>AND(#REF!,"AAAAAC7f/oM=")</f>
        <v>#REF!</v>
      </c>
      <c r="EC227" t="e">
        <f>AND(#REF!,"AAAAAC7f/oQ=")</f>
        <v>#REF!</v>
      </c>
      <c r="ED227" t="e">
        <f>AND(#REF!,"AAAAAC7f/oU=")</f>
        <v>#REF!</v>
      </c>
      <c r="EE227" t="e">
        <f>AND(#REF!,"AAAAAC7f/oY=")</f>
        <v>#REF!</v>
      </c>
      <c r="EF227" t="e">
        <f>AND(#REF!,"AAAAAC7f/oc=")</f>
        <v>#REF!</v>
      </c>
      <c r="EG227" t="e">
        <f>AND(#REF!,"AAAAAC7f/og=")</f>
        <v>#REF!</v>
      </c>
      <c r="EH227" t="e">
        <f>AND(#REF!,"AAAAAC7f/ok=")</f>
        <v>#REF!</v>
      </c>
      <c r="EI227" t="e">
        <f>AND(#REF!,"AAAAAC7f/oo=")</f>
        <v>#REF!</v>
      </c>
      <c r="EJ227" t="e">
        <f>AND(#REF!,"AAAAAC7f/os=")</f>
        <v>#REF!</v>
      </c>
      <c r="EK227" t="e">
        <f>AND(#REF!,"AAAAAC7f/ow=")</f>
        <v>#REF!</v>
      </c>
      <c r="EL227" t="e">
        <f>AND(#REF!,"AAAAAC7f/o0=")</f>
        <v>#REF!</v>
      </c>
      <c r="EM227" t="e">
        <f>AND(#REF!,"AAAAAC7f/o4=")</f>
        <v>#REF!</v>
      </c>
      <c r="EN227" t="e">
        <f>AND(#REF!,"AAAAAC7f/o8=")</f>
        <v>#REF!</v>
      </c>
      <c r="EO227" t="e">
        <f>AND(#REF!,"AAAAAC7f/pA=")</f>
        <v>#REF!</v>
      </c>
      <c r="EP227" t="e">
        <f>AND(#REF!,"AAAAAC7f/pE=")</f>
        <v>#REF!</v>
      </c>
      <c r="EQ227" t="e">
        <f>AND(#REF!,"AAAAAC7f/pI=")</f>
        <v>#REF!</v>
      </c>
      <c r="ER227" t="e">
        <f>AND(#REF!,"AAAAAC7f/pM=")</f>
        <v>#REF!</v>
      </c>
      <c r="ES227" t="e">
        <f>AND(#REF!,"AAAAAC7f/pQ=")</f>
        <v>#REF!</v>
      </c>
      <c r="ET227" t="e">
        <f>AND(#REF!,"AAAAAC7f/pU=")</f>
        <v>#REF!</v>
      </c>
      <c r="EU227" t="e">
        <f>AND(#REF!,"AAAAAC7f/pY=")</f>
        <v>#REF!</v>
      </c>
      <c r="EV227" t="e">
        <f>AND(#REF!,"AAAAAC7f/pc=")</f>
        <v>#REF!</v>
      </c>
      <c r="EW227" t="e">
        <f>AND(#REF!,"AAAAAC7f/pg=")</f>
        <v>#REF!</v>
      </c>
      <c r="EX227" t="e">
        <f>AND(#REF!,"AAAAAC7f/pk=")</f>
        <v>#REF!</v>
      </c>
      <c r="EY227" t="e">
        <f>IF(#REF!,"AAAAAC7f/po=",0)</f>
        <v>#REF!</v>
      </c>
      <c r="EZ227" t="e">
        <f>AND(#REF!,"AAAAAC7f/ps=")</f>
        <v>#REF!</v>
      </c>
      <c r="FA227" t="e">
        <f>AND(#REF!,"AAAAAC7f/pw=")</f>
        <v>#REF!</v>
      </c>
      <c r="FB227" t="e">
        <f>AND(#REF!,"AAAAAC7f/p0=")</f>
        <v>#REF!</v>
      </c>
      <c r="FC227" t="e">
        <f>AND(#REF!,"AAAAAC7f/p4=")</f>
        <v>#REF!</v>
      </c>
      <c r="FD227" t="e">
        <f>AND(#REF!,"AAAAAC7f/p8=")</f>
        <v>#REF!</v>
      </c>
      <c r="FE227" t="e">
        <f>AND(#REF!,"AAAAAC7f/qA=")</f>
        <v>#REF!</v>
      </c>
      <c r="FF227" t="e">
        <f>AND(#REF!,"AAAAAC7f/qE=")</f>
        <v>#REF!</v>
      </c>
      <c r="FG227" t="e">
        <f>AND(#REF!,"AAAAAC7f/qI=")</f>
        <v>#REF!</v>
      </c>
      <c r="FH227" t="e">
        <f>AND(#REF!,"AAAAAC7f/qM=")</f>
        <v>#REF!</v>
      </c>
      <c r="FI227" t="e">
        <f>AND(#REF!,"AAAAAC7f/qQ=")</f>
        <v>#REF!</v>
      </c>
      <c r="FJ227" t="e">
        <f>AND(#REF!,"AAAAAC7f/qU=")</f>
        <v>#REF!</v>
      </c>
      <c r="FK227" t="e">
        <f>AND(#REF!,"AAAAAC7f/qY=")</f>
        <v>#REF!</v>
      </c>
      <c r="FL227" t="e">
        <f>AND(#REF!,"AAAAAC7f/qc=")</f>
        <v>#REF!</v>
      </c>
      <c r="FM227" t="e">
        <f>AND(#REF!,"AAAAAC7f/qg=")</f>
        <v>#REF!</v>
      </c>
      <c r="FN227" t="e">
        <f>AND(#REF!,"AAAAAC7f/qk=")</f>
        <v>#REF!</v>
      </c>
      <c r="FO227" t="e">
        <f>AND(#REF!,"AAAAAC7f/qo=")</f>
        <v>#REF!</v>
      </c>
      <c r="FP227" t="e">
        <f>AND(#REF!,"AAAAAC7f/qs=")</f>
        <v>#REF!</v>
      </c>
      <c r="FQ227" t="e">
        <f>AND(#REF!,"AAAAAC7f/qw=")</f>
        <v>#REF!</v>
      </c>
      <c r="FR227" t="e">
        <f>AND(#REF!,"AAAAAC7f/q0=")</f>
        <v>#REF!</v>
      </c>
      <c r="FS227" t="e">
        <f>AND(#REF!,"AAAAAC7f/q4=")</f>
        <v>#REF!</v>
      </c>
      <c r="FT227" t="e">
        <f>AND(#REF!,"AAAAAC7f/q8=")</f>
        <v>#REF!</v>
      </c>
      <c r="FU227" t="e">
        <f>AND(#REF!,"AAAAAC7f/rA=")</f>
        <v>#REF!</v>
      </c>
      <c r="FV227" t="e">
        <f>AND(#REF!,"AAAAAC7f/rE=")</f>
        <v>#REF!</v>
      </c>
      <c r="FW227" t="e">
        <f>AND(#REF!,"AAAAAC7f/rI=")</f>
        <v>#REF!</v>
      </c>
      <c r="FX227" t="e">
        <f>IF(#REF!,"AAAAAC7f/rM=",0)</f>
        <v>#REF!</v>
      </c>
      <c r="FY227" t="e">
        <f>AND(#REF!,"AAAAAC7f/rQ=")</f>
        <v>#REF!</v>
      </c>
      <c r="FZ227" t="e">
        <f>AND(#REF!,"AAAAAC7f/rU=")</f>
        <v>#REF!</v>
      </c>
      <c r="GA227" t="e">
        <f>AND(#REF!,"AAAAAC7f/rY=")</f>
        <v>#REF!</v>
      </c>
      <c r="GB227" t="e">
        <f>AND(#REF!,"AAAAAC7f/rc=")</f>
        <v>#REF!</v>
      </c>
      <c r="GC227" t="e">
        <f>AND(#REF!,"AAAAAC7f/rg=")</f>
        <v>#REF!</v>
      </c>
      <c r="GD227" t="e">
        <f>AND(#REF!,"AAAAAC7f/rk=")</f>
        <v>#REF!</v>
      </c>
      <c r="GE227" t="e">
        <f>AND(#REF!,"AAAAAC7f/ro=")</f>
        <v>#REF!</v>
      </c>
      <c r="GF227" t="e">
        <f>AND(#REF!,"AAAAAC7f/rs=")</f>
        <v>#REF!</v>
      </c>
      <c r="GG227" t="e">
        <f>AND(#REF!,"AAAAAC7f/rw=")</f>
        <v>#REF!</v>
      </c>
      <c r="GH227" t="e">
        <f>AND(#REF!,"AAAAAC7f/r0=")</f>
        <v>#REF!</v>
      </c>
      <c r="GI227" t="e">
        <f>AND(#REF!,"AAAAAC7f/r4=")</f>
        <v>#REF!</v>
      </c>
      <c r="GJ227" t="e">
        <f>AND(#REF!,"AAAAAC7f/r8=")</f>
        <v>#REF!</v>
      </c>
      <c r="GK227" t="e">
        <f>AND(#REF!,"AAAAAC7f/sA=")</f>
        <v>#REF!</v>
      </c>
      <c r="GL227" t="e">
        <f>AND(#REF!,"AAAAAC7f/sE=")</f>
        <v>#REF!</v>
      </c>
      <c r="GM227" t="e">
        <f>AND(#REF!,"AAAAAC7f/sI=")</f>
        <v>#REF!</v>
      </c>
      <c r="GN227" t="e">
        <f>AND(#REF!,"AAAAAC7f/sM=")</f>
        <v>#REF!</v>
      </c>
      <c r="GO227" t="e">
        <f>AND(#REF!,"AAAAAC7f/sQ=")</f>
        <v>#REF!</v>
      </c>
      <c r="GP227" t="e">
        <f>AND(#REF!,"AAAAAC7f/sU=")</f>
        <v>#REF!</v>
      </c>
      <c r="GQ227" t="e">
        <f>AND(#REF!,"AAAAAC7f/sY=")</f>
        <v>#REF!</v>
      </c>
      <c r="GR227" t="e">
        <f>AND(#REF!,"AAAAAC7f/sc=")</f>
        <v>#REF!</v>
      </c>
      <c r="GS227" t="e">
        <f>AND(#REF!,"AAAAAC7f/sg=")</f>
        <v>#REF!</v>
      </c>
      <c r="GT227" t="e">
        <f>AND(#REF!,"AAAAAC7f/sk=")</f>
        <v>#REF!</v>
      </c>
      <c r="GU227" t="e">
        <f>AND(#REF!,"AAAAAC7f/so=")</f>
        <v>#REF!</v>
      </c>
      <c r="GV227" t="e">
        <f>AND(#REF!,"AAAAAC7f/ss=")</f>
        <v>#REF!</v>
      </c>
      <c r="GW227" t="e">
        <f>IF(#REF!,"AAAAAC7f/sw=",0)</f>
        <v>#REF!</v>
      </c>
      <c r="GX227" t="e">
        <f>AND(#REF!,"AAAAAC7f/s0=")</f>
        <v>#REF!</v>
      </c>
      <c r="GY227" t="e">
        <f>AND(#REF!,"AAAAAC7f/s4=")</f>
        <v>#REF!</v>
      </c>
      <c r="GZ227" t="e">
        <f>AND(#REF!,"AAAAAC7f/s8=")</f>
        <v>#REF!</v>
      </c>
      <c r="HA227" t="e">
        <f>AND(#REF!,"AAAAAC7f/tA=")</f>
        <v>#REF!</v>
      </c>
      <c r="HB227" t="e">
        <f>AND(#REF!,"AAAAAC7f/tE=")</f>
        <v>#REF!</v>
      </c>
      <c r="HC227" t="e">
        <f>AND(#REF!,"AAAAAC7f/tI=")</f>
        <v>#REF!</v>
      </c>
      <c r="HD227" t="e">
        <f>AND(#REF!,"AAAAAC7f/tM=")</f>
        <v>#REF!</v>
      </c>
      <c r="HE227" t="e">
        <f>AND(#REF!,"AAAAAC7f/tQ=")</f>
        <v>#REF!</v>
      </c>
      <c r="HF227" t="e">
        <f>AND(#REF!,"AAAAAC7f/tU=")</f>
        <v>#REF!</v>
      </c>
      <c r="HG227" t="e">
        <f>AND(#REF!,"AAAAAC7f/tY=")</f>
        <v>#REF!</v>
      </c>
      <c r="HH227" t="e">
        <f>AND(#REF!,"AAAAAC7f/tc=")</f>
        <v>#REF!</v>
      </c>
      <c r="HI227" t="e">
        <f>AND(#REF!,"AAAAAC7f/tg=")</f>
        <v>#REF!</v>
      </c>
      <c r="HJ227" t="e">
        <f>AND(#REF!,"AAAAAC7f/tk=")</f>
        <v>#REF!</v>
      </c>
      <c r="HK227" t="e">
        <f>AND(#REF!,"AAAAAC7f/to=")</f>
        <v>#REF!</v>
      </c>
      <c r="HL227" t="e">
        <f>AND(#REF!,"AAAAAC7f/ts=")</f>
        <v>#REF!</v>
      </c>
      <c r="HM227" t="e">
        <f>AND(#REF!,"AAAAAC7f/tw=")</f>
        <v>#REF!</v>
      </c>
      <c r="HN227" t="e">
        <f>AND(#REF!,"AAAAAC7f/t0=")</f>
        <v>#REF!</v>
      </c>
      <c r="HO227" t="e">
        <f>AND(#REF!,"AAAAAC7f/t4=")</f>
        <v>#REF!</v>
      </c>
      <c r="HP227" t="e">
        <f>AND(#REF!,"AAAAAC7f/t8=")</f>
        <v>#REF!</v>
      </c>
      <c r="HQ227" t="e">
        <f>AND(#REF!,"AAAAAC7f/uA=")</f>
        <v>#REF!</v>
      </c>
      <c r="HR227" t="e">
        <f>AND(#REF!,"AAAAAC7f/uE=")</f>
        <v>#REF!</v>
      </c>
      <c r="HS227" t="e">
        <f>AND(#REF!,"AAAAAC7f/uI=")</f>
        <v>#REF!</v>
      </c>
      <c r="HT227" t="e">
        <f>AND(#REF!,"AAAAAC7f/uM=")</f>
        <v>#REF!</v>
      </c>
      <c r="HU227" t="e">
        <f>AND(#REF!,"AAAAAC7f/uQ=")</f>
        <v>#REF!</v>
      </c>
      <c r="HV227" t="e">
        <f>IF(#REF!,"AAAAAC7f/uU=",0)</f>
        <v>#REF!</v>
      </c>
      <c r="HW227" t="e">
        <f>AND(#REF!,"AAAAAC7f/uY=")</f>
        <v>#REF!</v>
      </c>
      <c r="HX227" t="e">
        <f>AND(#REF!,"AAAAAC7f/uc=")</f>
        <v>#REF!</v>
      </c>
      <c r="HY227" t="e">
        <f>AND(#REF!,"AAAAAC7f/ug=")</f>
        <v>#REF!</v>
      </c>
      <c r="HZ227" t="e">
        <f>AND(#REF!,"AAAAAC7f/uk=")</f>
        <v>#REF!</v>
      </c>
      <c r="IA227" t="e">
        <f>AND(#REF!,"AAAAAC7f/uo=")</f>
        <v>#REF!</v>
      </c>
      <c r="IB227" t="e">
        <f>AND(#REF!,"AAAAAC7f/us=")</f>
        <v>#REF!</v>
      </c>
      <c r="IC227" t="e">
        <f>AND(#REF!,"AAAAAC7f/uw=")</f>
        <v>#REF!</v>
      </c>
      <c r="ID227" t="e">
        <f>AND(#REF!,"AAAAAC7f/u0=")</f>
        <v>#REF!</v>
      </c>
      <c r="IE227" t="e">
        <f>AND(#REF!,"AAAAAC7f/u4=")</f>
        <v>#REF!</v>
      </c>
      <c r="IF227" t="e">
        <f>AND(#REF!,"AAAAAC7f/u8=")</f>
        <v>#REF!</v>
      </c>
      <c r="IG227" t="e">
        <f>AND(#REF!,"AAAAAC7f/vA=")</f>
        <v>#REF!</v>
      </c>
      <c r="IH227" t="e">
        <f>AND(#REF!,"AAAAAC7f/vE=")</f>
        <v>#REF!</v>
      </c>
      <c r="II227" t="e">
        <f>AND(#REF!,"AAAAAC7f/vI=")</f>
        <v>#REF!</v>
      </c>
      <c r="IJ227" t="e">
        <f>AND(#REF!,"AAAAAC7f/vM=")</f>
        <v>#REF!</v>
      </c>
      <c r="IK227" t="e">
        <f>AND(#REF!,"AAAAAC7f/vQ=")</f>
        <v>#REF!</v>
      </c>
      <c r="IL227" t="e">
        <f>AND(#REF!,"AAAAAC7f/vU=")</f>
        <v>#REF!</v>
      </c>
      <c r="IM227" t="e">
        <f>AND(#REF!,"AAAAAC7f/vY=")</f>
        <v>#REF!</v>
      </c>
      <c r="IN227" t="e">
        <f>AND(#REF!,"AAAAAC7f/vc=")</f>
        <v>#REF!</v>
      </c>
      <c r="IO227" t="e">
        <f>AND(#REF!,"AAAAAC7f/vg=")</f>
        <v>#REF!</v>
      </c>
      <c r="IP227" t="e">
        <f>AND(#REF!,"AAAAAC7f/vk=")</f>
        <v>#REF!</v>
      </c>
      <c r="IQ227" t="e">
        <f>AND(#REF!,"AAAAAC7f/vo=")</f>
        <v>#REF!</v>
      </c>
      <c r="IR227" t="e">
        <f>AND(#REF!,"AAAAAC7f/vs=")</f>
        <v>#REF!</v>
      </c>
      <c r="IS227" t="e">
        <f>AND(#REF!,"AAAAAC7f/vw=")</f>
        <v>#REF!</v>
      </c>
      <c r="IT227" t="e">
        <f>AND(#REF!,"AAAAAC7f/v0=")</f>
        <v>#REF!</v>
      </c>
      <c r="IU227" t="e">
        <f>IF(#REF!,"AAAAAC7f/v4=",0)</f>
        <v>#REF!</v>
      </c>
      <c r="IV227" t="e">
        <f>AND(#REF!,"AAAAAC7f/v8=")</f>
        <v>#REF!</v>
      </c>
    </row>
    <row r="228" spans="1:256">
      <c r="A228" t="e">
        <f>AND(#REF!,"AAAAAHP/cgA=")</f>
        <v>#REF!</v>
      </c>
      <c r="B228" t="e">
        <f>AND(#REF!,"AAAAAHP/cgE=")</f>
        <v>#REF!</v>
      </c>
      <c r="C228" t="e">
        <f>AND(#REF!,"AAAAAHP/cgI=")</f>
        <v>#REF!</v>
      </c>
      <c r="D228" t="e">
        <f>AND(#REF!,"AAAAAHP/cgM=")</f>
        <v>#REF!</v>
      </c>
      <c r="E228" t="e">
        <f>AND(#REF!,"AAAAAHP/cgQ=")</f>
        <v>#REF!</v>
      </c>
      <c r="F228" t="e">
        <f>AND(#REF!,"AAAAAHP/cgU=")</f>
        <v>#REF!</v>
      </c>
      <c r="G228" t="e">
        <f>AND(#REF!,"AAAAAHP/cgY=")</f>
        <v>#REF!</v>
      </c>
      <c r="H228" t="e">
        <f>AND(#REF!,"AAAAAHP/cgc=")</f>
        <v>#REF!</v>
      </c>
      <c r="I228" t="e">
        <f>AND(#REF!,"AAAAAHP/cgg=")</f>
        <v>#REF!</v>
      </c>
      <c r="J228" t="e">
        <f>AND(#REF!,"AAAAAHP/cgk=")</f>
        <v>#REF!</v>
      </c>
      <c r="K228" t="e">
        <f>AND(#REF!,"AAAAAHP/cgo=")</f>
        <v>#REF!</v>
      </c>
      <c r="L228" t="e">
        <f>AND(#REF!,"AAAAAHP/cgs=")</f>
        <v>#REF!</v>
      </c>
      <c r="M228" t="e">
        <f>AND(#REF!,"AAAAAHP/cgw=")</f>
        <v>#REF!</v>
      </c>
      <c r="N228" t="e">
        <f>AND(#REF!,"AAAAAHP/cg0=")</f>
        <v>#REF!</v>
      </c>
      <c r="O228" t="e">
        <f>AND(#REF!,"AAAAAHP/cg4=")</f>
        <v>#REF!</v>
      </c>
      <c r="P228" t="e">
        <f>AND(#REF!,"AAAAAHP/cg8=")</f>
        <v>#REF!</v>
      </c>
      <c r="Q228" t="e">
        <f>AND(#REF!,"AAAAAHP/chA=")</f>
        <v>#REF!</v>
      </c>
      <c r="R228" t="e">
        <f>AND(#REF!,"AAAAAHP/chE=")</f>
        <v>#REF!</v>
      </c>
      <c r="S228" t="e">
        <f>AND(#REF!,"AAAAAHP/chI=")</f>
        <v>#REF!</v>
      </c>
      <c r="T228" t="e">
        <f>AND(#REF!,"AAAAAHP/chM=")</f>
        <v>#REF!</v>
      </c>
      <c r="U228" t="e">
        <f>AND(#REF!,"AAAAAHP/chQ=")</f>
        <v>#REF!</v>
      </c>
      <c r="V228" t="e">
        <f>AND(#REF!,"AAAAAHP/chU=")</f>
        <v>#REF!</v>
      </c>
      <c r="W228" t="e">
        <f>AND(#REF!,"AAAAAHP/chY=")</f>
        <v>#REF!</v>
      </c>
      <c r="X228" t="e">
        <f>IF(#REF!,"AAAAAHP/chc=",0)</f>
        <v>#REF!</v>
      </c>
      <c r="Y228" t="e">
        <f>AND(#REF!,"AAAAAHP/chg=")</f>
        <v>#REF!</v>
      </c>
      <c r="Z228" t="e">
        <f>AND(#REF!,"AAAAAHP/chk=")</f>
        <v>#REF!</v>
      </c>
      <c r="AA228" t="e">
        <f>AND(#REF!,"AAAAAHP/cho=")</f>
        <v>#REF!</v>
      </c>
      <c r="AB228" t="e">
        <f>AND(#REF!,"AAAAAHP/chs=")</f>
        <v>#REF!</v>
      </c>
      <c r="AC228" t="e">
        <f>AND(#REF!,"AAAAAHP/chw=")</f>
        <v>#REF!</v>
      </c>
      <c r="AD228" t="e">
        <f>AND(#REF!,"AAAAAHP/ch0=")</f>
        <v>#REF!</v>
      </c>
      <c r="AE228" t="e">
        <f>AND(#REF!,"AAAAAHP/ch4=")</f>
        <v>#REF!</v>
      </c>
      <c r="AF228" t="e">
        <f>AND(#REF!,"AAAAAHP/ch8=")</f>
        <v>#REF!</v>
      </c>
      <c r="AG228" t="e">
        <f>AND(#REF!,"AAAAAHP/ciA=")</f>
        <v>#REF!</v>
      </c>
      <c r="AH228" t="e">
        <f>AND(#REF!,"AAAAAHP/ciE=")</f>
        <v>#REF!</v>
      </c>
      <c r="AI228" t="e">
        <f>AND(#REF!,"AAAAAHP/ciI=")</f>
        <v>#REF!</v>
      </c>
      <c r="AJ228" t="e">
        <f>AND(#REF!,"AAAAAHP/ciM=")</f>
        <v>#REF!</v>
      </c>
      <c r="AK228" t="e">
        <f>AND(#REF!,"AAAAAHP/ciQ=")</f>
        <v>#REF!</v>
      </c>
      <c r="AL228" t="e">
        <f>AND(#REF!,"AAAAAHP/ciU=")</f>
        <v>#REF!</v>
      </c>
      <c r="AM228" t="e">
        <f>AND(#REF!,"AAAAAHP/ciY=")</f>
        <v>#REF!</v>
      </c>
      <c r="AN228" t="e">
        <f>AND(#REF!,"AAAAAHP/cic=")</f>
        <v>#REF!</v>
      </c>
      <c r="AO228" t="e">
        <f>AND(#REF!,"AAAAAHP/cig=")</f>
        <v>#REF!</v>
      </c>
      <c r="AP228" t="e">
        <f>AND(#REF!,"AAAAAHP/cik=")</f>
        <v>#REF!</v>
      </c>
      <c r="AQ228" t="e">
        <f>AND(#REF!,"AAAAAHP/cio=")</f>
        <v>#REF!</v>
      </c>
      <c r="AR228" t="e">
        <f>AND(#REF!,"AAAAAHP/cis=")</f>
        <v>#REF!</v>
      </c>
      <c r="AS228" t="e">
        <f>AND(#REF!,"AAAAAHP/ciw=")</f>
        <v>#REF!</v>
      </c>
      <c r="AT228" t="e">
        <f>AND(#REF!,"AAAAAHP/ci0=")</f>
        <v>#REF!</v>
      </c>
      <c r="AU228" t="e">
        <f>AND(#REF!,"AAAAAHP/ci4=")</f>
        <v>#REF!</v>
      </c>
      <c r="AV228" t="e">
        <f>AND(#REF!,"AAAAAHP/ci8=")</f>
        <v>#REF!</v>
      </c>
      <c r="AW228" t="e">
        <f>IF(#REF!,"AAAAAHP/cjA=",0)</f>
        <v>#REF!</v>
      </c>
      <c r="AX228" t="e">
        <f>AND(#REF!,"AAAAAHP/cjE=")</f>
        <v>#REF!</v>
      </c>
      <c r="AY228" t="e">
        <f>AND(#REF!,"AAAAAHP/cjI=")</f>
        <v>#REF!</v>
      </c>
      <c r="AZ228" t="e">
        <f>AND(#REF!,"AAAAAHP/cjM=")</f>
        <v>#REF!</v>
      </c>
      <c r="BA228" t="e">
        <f>AND(#REF!,"AAAAAHP/cjQ=")</f>
        <v>#REF!</v>
      </c>
      <c r="BB228" t="e">
        <f>AND(#REF!,"AAAAAHP/cjU=")</f>
        <v>#REF!</v>
      </c>
      <c r="BC228" t="e">
        <f>AND(#REF!,"AAAAAHP/cjY=")</f>
        <v>#REF!</v>
      </c>
      <c r="BD228" t="e">
        <f>AND(#REF!,"AAAAAHP/cjc=")</f>
        <v>#REF!</v>
      </c>
      <c r="BE228" t="e">
        <f>AND(#REF!,"AAAAAHP/cjg=")</f>
        <v>#REF!</v>
      </c>
      <c r="BF228" t="e">
        <f>AND(#REF!,"AAAAAHP/cjk=")</f>
        <v>#REF!</v>
      </c>
      <c r="BG228" t="e">
        <f>AND(#REF!,"AAAAAHP/cjo=")</f>
        <v>#REF!</v>
      </c>
      <c r="BH228" t="e">
        <f>AND(#REF!,"AAAAAHP/cjs=")</f>
        <v>#REF!</v>
      </c>
      <c r="BI228" t="e">
        <f>AND(#REF!,"AAAAAHP/cjw=")</f>
        <v>#REF!</v>
      </c>
      <c r="BJ228" t="e">
        <f>AND(#REF!,"AAAAAHP/cj0=")</f>
        <v>#REF!</v>
      </c>
      <c r="BK228" t="e">
        <f>AND(#REF!,"AAAAAHP/cj4=")</f>
        <v>#REF!</v>
      </c>
      <c r="BL228" t="e">
        <f>AND(#REF!,"AAAAAHP/cj8=")</f>
        <v>#REF!</v>
      </c>
      <c r="BM228" t="e">
        <f>AND(#REF!,"AAAAAHP/ckA=")</f>
        <v>#REF!</v>
      </c>
      <c r="BN228" t="e">
        <f>AND(#REF!,"AAAAAHP/ckE=")</f>
        <v>#REF!</v>
      </c>
      <c r="BO228" t="e">
        <f>AND(#REF!,"AAAAAHP/ckI=")</f>
        <v>#REF!</v>
      </c>
      <c r="BP228" t="e">
        <f>AND(#REF!,"AAAAAHP/ckM=")</f>
        <v>#REF!</v>
      </c>
      <c r="BQ228" t="e">
        <f>AND(#REF!,"AAAAAHP/ckQ=")</f>
        <v>#REF!</v>
      </c>
      <c r="BR228" t="e">
        <f>AND(#REF!,"AAAAAHP/ckU=")</f>
        <v>#REF!</v>
      </c>
      <c r="BS228" t="e">
        <f>AND(#REF!,"AAAAAHP/ckY=")</f>
        <v>#REF!</v>
      </c>
      <c r="BT228" t="e">
        <f>AND(#REF!,"AAAAAHP/ckc=")</f>
        <v>#REF!</v>
      </c>
      <c r="BU228" t="e">
        <f>AND(#REF!,"AAAAAHP/ckg=")</f>
        <v>#REF!</v>
      </c>
      <c r="BV228" t="e">
        <f>IF(#REF!,"AAAAAHP/ckk=",0)</f>
        <v>#REF!</v>
      </c>
      <c r="BW228" t="e">
        <f>AND(#REF!,"AAAAAHP/cko=")</f>
        <v>#REF!</v>
      </c>
      <c r="BX228" t="e">
        <f>AND(#REF!,"AAAAAHP/cks=")</f>
        <v>#REF!</v>
      </c>
      <c r="BY228" t="e">
        <f>AND(#REF!,"AAAAAHP/ckw=")</f>
        <v>#REF!</v>
      </c>
      <c r="BZ228" t="e">
        <f>AND(#REF!,"AAAAAHP/ck0=")</f>
        <v>#REF!</v>
      </c>
      <c r="CA228" t="e">
        <f>AND(#REF!,"AAAAAHP/ck4=")</f>
        <v>#REF!</v>
      </c>
      <c r="CB228" t="e">
        <f>AND(#REF!,"AAAAAHP/ck8=")</f>
        <v>#REF!</v>
      </c>
      <c r="CC228" t="e">
        <f>AND(#REF!,"AAAAAHP/clA=")</f>
        <v>#REF!</v>
      </c>
      <c r="CD228" t="e">
        <f>AND(#REF!,"AAAAAHP/clE=")</f>
        <v>#REF!</v>
      </c>
      <c r="CE228" t="e">
        <f>AND(#REF!,"AAAAAHP/clI=")</f>
        <v>#REF!</v>
      </c>
      <c r="CF228" t="e">
        <f>AND(#REF!,"AAAAAHP/clM=")</f>
        <v>#REF!</v>
      </c>
      <c r="CG228" t="e">
        <f>AND(#REF!,"AAAAAHP/clQ=")</f>
        <v>#REF!</v>
      </c>
      <c r="CH228" t="e">
        <f>AND(#REF!,"AAAAAHP/clU=")</f>
        <v>#REF!</v>
      </c>
      <c r="CI228" t="e">
        <f>AND(#REF!,"AAAAAHP/clY=")</f>
        <v>#REF!</v>
      </c>
      <c r="CJ228" t="e">
        <f>AND(#REF!,"AAAAAHP/clc=")</f>
        <v>#REF!</v>
      </c>
      <c r="CK228" t="e">
        <f>AND(#REF!,"AAAAAHP/clg=")</f>
        <v>#REF!</v>
      </c>
      <c r="CL228" t="e">
        <f>AND(#REF!,"AAAAAHP/clk=")</f>
        <v>#REF!</v>
      </c>
      <c r="CM228" t="e">
        <f>AND(#REF!,"AAAAAHP/clo=")</f>
        <v>#REF!</v>
      </c>
      <c r="CN228" t="e">
        <f>AND(#REF!,"AAAAAHP/cls=")</f>
        <v>#REF!</v>
      </c>
      <c r="CO228" t="e">
        <f>AND(#REF!,"AAAAAHP/clw=")</f>
        <v>#REF!</v>
      </c>
      <c r="CP228" t="e">
        <f>AND(#REF!,"AAAAAHP/cl0=")</f>
        <v>#REF!</v>
      </c>
      <c r="CQ228" t="e">
        <f>AND(#REF!,"AAAAAHP/cl4=")</f>
        <v>#REF!</v>
      </c>
      <c r="CR228" t="e">
        <f>AND(#REF!,"AAAAAHP/cl8=")</f>
        <v>#REF!</v>
      </c>
      <c r="CS228" t="e">
        <f>AND(#REF!,"AAAAAHP/cmA=")</f>
        <v>#REF!</v>
      </c>
      <c r="CT228" t="e">
        <f>AND(#REF!,"AAAAAHP/cmE=")</f>
        <v>#REF!</v>
      </c>
      <c r="CU228" t="e">
        <f>IF(#REF!,"AAAAAHP/cmI=",0)</f>
        <v>#REF!</v>
      </c>
      <c r="CV228" t="e">
        <f>AND(#REF!,"AAAAAHP/cmM=")</f>
        <v>#REF!</v>
      </c>
      <c r="CW228" t="e">
        <f>AND(#REF!,"AAAAAHP/cmQ=")</f>
        <v>#REF!</v>
      </c>
      <c r="CX228" t="e">
        <f>AND(#REF!,"AAAAAHP/cmU=")</f>
        <v>#REF!</v>
      </c>
      <c r="CY228" t="e">
        <f>AND(#REF!,"AAAAAHP/cmY=")</f>
        <v>#REF!</v>
      </c>
      <c r="CZ228" t="e">
        <f>AND(#REF!,"AAAAAHP/cmc=")</f>
        <v>#REF!</v>
      </c>
      <c r="DA228" t="e">
        <f>AND(#REF!,"AAAAAHP/cmg=")</f>
        <v>#REF!</v>
      </c>
      <c r="DB228" t="e">
        <f>AND(#REF!,"AAAAAHP/cmk=")</f>
        <v>#REF!</v>
      </c>
      <c r="DC228" t="e">
        <f>AND(#REF!,"AAAAAHP/cmo=")</f>
        <v>#REF!</v>
      </c>
      <c r="DD228" t="e">
        <f>AND(#REF!,"AAAAAHP/cms=")</f>
        <v>#REF!</v>
      </c>
      <c r="DE228" t="e">
        <f>AND(#REF!,"AAAAAHP/cmw=")</f>
        <v>#REF!</v>
      </c>
      <c r="DF228" t="e">
        <f>AND(#REF!,"AAAAAHP/cm0=")</f>
        <v>#REF!</v>
      </c>
      <c r="DG228" t="e">
        <f>AND(#REF!,"AAAAAHP/cm4=")</f>
        <v>#REF!</v>
      </c>
      <c r="DH228" t="e">
        <f>AND(#REF!,"AAAAAHP/cm8=")</f>
        <v>#REF!</v>
      </c>
      <c r="DI228" t="e">
        <f>AND(#REF!,"AAAAAHP/cnA=")</f>
        <v>#REF!</v>
      </c>
      <c r="DJ228" t="e">
        <f>AND(#REF!,"AAAAAHP/cnE=")</f>
        <v>#REF!</v>
      </c>
      <c r="DK228" t="e">
        <f>AND(#REF!,"AAAAAHP/cnI=")</f>
        <v>#REF!</v>
      </c>
      <c r="DL228" t="e">
        <f>AND(#REF!,"AAAAAHP/cnM=")</f>
        <v>#REF!</v>
      </c>
      <c r="DM228" t="e">
        <f>AND(#REF!,"AAAAAHP/cnQ=")</f>
        <v>#REF!</v>
      </c>
      <c r="DN228" t="e">
        <f>AND(#REF!,"AAAAAHP/cnU=")</f>
        <v>#REF!</v>
      </c>
      <c r="DO228" t="e">
        <f>AND(#REF!,"AAAAAHP/cnY=")</f>
        <v>#REF!</v>
      </c>
      <c r="DP228" t="e">
        <f>AND(#REF!,"AAAAAHP/cnc=")</f>
        <v>#REF!</v>
      </c>
      <c r="DQ228" t="e">
        <f>AND(#REF!,"AAAAAHP/cng=")</f>
        <v>#REF!</v>
      </c>
      <c r="DR228" t="e">
        <f>AND(#REF!,"AAAAAHP/cnk=")</f>
        <v>#REF!</v>
      </c>
      <c r="DS228" t="e">
        <f>AND(#REF!,"AAAAAHP/cno=")</f>
        <v>#REF!</v>
      </c>
      <c r="DT228" t="e">
        <f>IF(#REF!,"AAAAAHP/cns=",0)</f>
        <v>#REF!</v>
      </c>
      <c r="DU228" t="e">
        <f>AND(#REF!,"AAAAAHP/cnw=")</f>
        <v>#REF!</v>
      </c>
      <c r="DV228" t="e">
        <f>AND(#REF!,"AAAAAHP/cn0=")</f>
        <v>#REF!</v>
      </c>
      <c r="DW228" t="e">
        <f>AND(#REF!,"AAAAAHP/cn4=")</f>
        <v>#REF!</v>
      </c>
      <c r="DX228" t="e">
        <f>AND(#REF!,"AAAAAHP/cn8=")</f>
        <v>#REF!</v>
      </c>
      <c r="DY228" t="e">
        <f>AND(#REF!,"AAAAAHP/coA=")</f>
        <v>#REF!</v>
      </c>
      <c r="DZ228" t="e">
        <f>AND(#REF!,"AAAAAHP/coE=")</f>
        <v>#REF!</v>
      </c>
      <c r="EA228" t="e">
        <f>AND(#REF!,"AAAAAHP/coI=")</f>
        <v>#REF!</v>
      </c>
      <c r="EB228" t="e">
        <f>AND(#REF!,"AAAAAHP/coM=")</f>
        <v>#REF!</v>
      </c>
      <c r="EC228" t="e">
        <f>AND(#REF!,"AAAAAHP/coQ=")</f>
        <v>#REF!</v>
      </c>
      <c r="ED228" t="e">
        <f>AND(#REF!,"AAAAAHP/coU=")</f>
        <v>#REF!</v>
      </c>
      <c r="EE228" t="e">
        <f>AND(#REF!,"AAAAAHP/coY=")</f>
        <v>#REF!</v>
      </c>
      <c r="EF228" t="e">
        <f>AND(#REF!,"AAAAAHP/coc=")</f>
        <v>#REF!</v>
      </c>
      <c r="EG228" t="e">
        <f>AND(#REF!,"AAAAAHP/cog=")</f>
        <v>#REF!</v>
      </c>
      <c r="EH228" t="e">
        <f>AND(#REF!,"AAAAAHP/cok=")</f>
        <v>#REF!</v>
      </c>
      <c r="EI228" t="e">
        <f>AND(#REF!,"AAAAAHP/coo=")</f>
        <v>#REF!</v>
      </c>
      <c r="EJ228" t="e">
        <f>AND(#REF!,"AAAAAHP/cos=")</f>
        <v>#REF!</v>
      </c>
      <c r="EK228" t="e">
        <f>AND(#REF!,"AAAAAHP/cow=")</f>
        <v>#REF!</v>
      </c>
      <c r="EL228" t="e">
        <f>AND(#REF!,"AAAAAHP/co0=")</f>
        <v>#REF!</v>
      </c>
      <c r="EM228" t="e">
        <f>AND(#REF!,"AAAAAHP/co4=")</f>
        <v>#REF!</v>
      </c>
      <c r="EN228" t="e">
        <f>AND(#REF!,"AAAAAHP/co8=")</f>
        <v>#REF!</v>
      </c>
      <c r="EO228" t="e">
        <f>AND(#REF!,"AAAAAHP/cpA=")</f>
        <v>#REF!</v>
      </c>
      <c r="EP228" t="e">
        <f>AND(#REF!,"AAAAAHP/cpE=")</f>
        <v>#REF!</v>
      </c>
      <c r="EQ228" t="e">
        <f>AND(#REF!,"AAAAAHP/cpI=")</f>
        <v>#REF!</v>
      </c>
      <c r="ER228" t="e">
        <f>AND(#REF!,"AAAAAHP/cpM=")</f>
        <v>#REF!</v>
      </c>
      <c r="ES228" t="e">
        <f>IF(#REF!,"AAAAAHP/cpQ=",0)</f>
        <v>#REF!</v>
      </c>
      <c r="ET228" t="e">
        <f>AND(#REF!,"AAAAAHP/cpU=")</f>
        <v>#REF!</v>
      </c>
      <c r="EU228" t="e">
        <f>AND(#REF!,"AAAAAHP/cpY=")</f>
        <v>#REF!</v>
      </c>
      <c r="EV228" t="e">
        <f>AND(#REF!,"AAAAAHP/cpc=")</f>
        <v>#REF!</v>
      </c>
      <c r="EW228" t="e">
        <f>AND(#REF!,"AAAAAHP/cpg=")</f>
        <v>#REF!</v>
      </c>
      <c r="EX228" t="e">
        <f>AND(#REF!,"AAAAAHP/cpk=")</f>
        <v>#REF!</v>
      </c>
      <c r="EY228" t="e">
        <f>AND(#REF!,"AAAAAHP/cpo=")</f>
        <v>#REF!</v>
      </c>
      <c r="EZ228" t="e">
        <f>AND(#REF!,"AAAAAHP/cps=")</f>
        <v>#REF!</v>
      </c>
      <c r="FA228" t="e">
        <f>AND(#REF!,"AAAAAHP/cpw=")</f>
        <v>#REF!</v>
      </c>
      <c r="FB228" t="e">
        <f>AND(#REF!,"AAAAAHP/cp0=")</f>
        <v>#REF!</v>
      </c>
      <c r="FC228" t="e">
        <f>AND(#REF!,"AAAAAHP/cp4=")</f>
        <v>#REF!</v>
      </c>
      <c r="FD228" t="e">
        <f>AND(#REF!,"AAAAAHP/cp8=")</f>
        <v>#REF!</v>
      </c>
      <c r="FE228" t="e">
        <f>AND(#REF!,"AAAAAHP/cqA=")</f>
        <v>#REF!</v>
      </c>
      <c r="FF228" t="e">
        <f>AND(#REF!,"AAAAAHP/cqE=")</f>
        <v>#REF!</v>
      </c>
      <c r="FG228" t="e">
        <f>AND(#REF!,"AAAAAHP/cqI=")</f>
        <v>#REF!</v>
      </c>
      <c r="FH228" t="e">
        <f>AND(#REF!,"AAAAAHP/cqM=")</f>
        <v>#REF!</v>
      </c>
      <c r="FI228" t="e">
        <f>AND(#REF!,"AAAAAHP/cqQ=")</f>
        <v>#REF!</v>
      </c>
      <c r="FJ228" t="e">
        <f>AND(#REF!,"AAAAAHP/cqU=")</f>
        <v>#REF!</v>
      </c>
      <c r="FK228" t="e">
        <f>AND(#REF!,"AAAAAHP/cqY=")</f>
        <v>#REF!</v>
      </c>
      <c r="FL228" t="e">
        <f>AND(#REF!,"AAAAAHP/cqc=")</f>
        <v>#REF!</v>
      </c>
      <c r="FM228" t="e">
        <f>AND(#REF!,"AAAAAHP/cqg=")</f>
        <v>#REF!</v>
      </c>
      <c r="FN228" t="e">
        <f>AND(#REF!,"AAAAAHP/cqk=")</f>
        <v>#REF!</v>
      </c>
      <c r="FO228" t="e">
        <f>AND(#REF!,"AAAAAHP/cqo=")</f>
        <v>#REF!</v>
      </c>
      <c r="FP228" t="e">
        <f>AND(#REF!,"AAAAAHP/cqs=")</f>
        <v>#REF!</v>
      </c>
      <c r="FQ228" t="e">
        <f>AND(#REF!,"AAAAAHP/cqw=")</f>
        <v>#REF!</v>
      </c>
      <c r="FR228" t="e">
        <f>IF(#REF!,"AAAAAHP/cq0=",0)</f>
        <v>#REF!</v>
      </c>
      <c r="FS228" t="e">
        <f>AND(#REF!,"AAAAAHP/cq4=")</f>
        <v>#REF!</v>
      </c>
      <c r="FT228" t="e">
        <f>AND(#REF!,"AAAAAHP/cq8=")</f>
        <v>#REF!</v>
      </c>
      <c r="FU228" t="e">
        <f>AND(#REF!,"AAAAAHP/crA=")</f>
        <v>#REF!</v>
      </c>
      <c r="FV228" t="e">
        <f>AND(#REF!,"AAAAAHP/crE=")</f>
        <v>#REF!</v>
      </c>
      <c r="FW228" t="e">
        <f>AND(#REF!,"AAAAAHP/crI=")</f>
        <v>#REF!</v>
      </c>
      <c r="FX228" t="e">
        <f>AND(#REF!,"AAAAAHP/crM=")</f>
        <v>#REF!</v>
      </c>
      <c r="FY228" t="e">
        <f>AND(#REF!,"AAAAAHP/crQ=")</f>
        <v>#REF!</v>
      </c>
      <c r="FZ228" t="e">
        <f>AND(#REF!,"AAAAAHP/crU=")</f>
        <v>#REF!</v>
      </c>
      <c r="GA228" t="e">
        <f>AND(#REF!,"AAAAAHP/crY=")</f>
        <v>#REF!</v>
      </c>
      <c r="GB228" t="e">
        <f>AND(#REF!,"AAAAAHP/crc=")</f>
        <v>#REF!</v>
      </c>
      <c r="GC228" t="e">
        <f>AND(#REF!,"AAAAAHP/crg=")</f>
        <v>#REF!</v>
      </c>
      <c r="GD228" t="e">
        <f>AND(#REF!,"AAAAAHP/crk=")</f>
        <v>#REF!</v>
      </c>
      <c r="GE228" t="e">
        <f>AND(#REF!,"AAAAAHP/cro=")</f>
        <v>#REF!</v>
      </c>
      <c r="GF228" t="e">
        <f>AND(#REF!,"AAAAAHP/crs=")</f>
        <v>#REF!</v>
      </c>
      <c r="GG228" t="e">
        <f>AND(#REF!,"AAAAAHP/crw=")</f>
        <v>#REF!</v>
      </c>
      <c r="GH228" t="e">
        <f>AND(#REF!,"AAAAAHP/cr0=")</f>
        <v>#REF!</v>
      </c>
      <c r="GI228" t="e">
        <f>AND(#REF!,"AAAAAHP/cr4=")</f>
        <v>#REF!</v>
      </c>
      <c r="GJ228" t="e">
        <f>AND(#REF!,"AAAAAHP/cr8=")</f>
        <v>#REF!</v>
      </c>
      <c r="GK228" t="e">
        <f>AND(#REF!,"AAAAAHP/csA=")</f>
        <v>#REF!</v>
      </c>
      <c r="GL228" t="e">
        <f>AND(#REF!,"AAAAAHP/csE=")</f>
        <v>#REF!</v>
      </c>
      <c r="GM228" t="e">
        <f>AND(#REF!,"AAAAAHP/csI=")</f>
        <v>#REF!</v>
      </c>
      <c r="GN228" t="e">
        <f>AND(#REF!,"AAAAAHP/csM=")</f>
        <v>#REF!</v>
      </c>
      <c r="GO228" t="e">
        <f>AND(#REF!,"AAAAAHP/csQ=")</f>
        <v>#REF!</v>
      </c>
      <c r="GP228" t="e">
        <f>AND(#REF!,"AAAAAHP/csU=")</f>
        <v>#REF!</v>
      </c>
      <c r="GQ228" t="e">
        <f>IF(#REF!,"AAAAAHP/csY=",0)</f>
        <v>#REF!</v>
      </c>
      <c r="GR228" t="e">
        <f>AND(#REF!,"AAAAAHP/csc=")</f>
        <v>#REF!</v>
      </c>
      <c r="GS228" t="e">
        <f>AND(#REF!,"AAAAAHP/csg=")</f>
        <v>#REF!</v>
      </c>
      <c r="GT228" t="e">
        <f>AND(#REF!,"AAAAAHP/csk=")</f>
        <v>#REF!</v>
      </c>
      <c r="GU228" t="e">
        <f>AND(#REF!,"AAAAAHP/cso=")</f>
        <v>#REF!</v>
      </c>
      <c r="GV228" t="e">
        <f>AND(#REF!,"AAAAAHP/css=")</f>
        <v>#REF!</v>
      </c>
      <c r="GW228" t="e">
        <f>AND(#REF!,"AAAAAHP/csw=")</f>
        <v>#REF!</v>
      </c>
      <c r="GX228" t="e">
        <f>AND(#REF!,"AAAAAHP/cs0=")</f>
        <v>#REF!</v>
      </c>
      <c r="GY228" t="e">
        <f>AND(#REF!,"AAAAAHP/cs4=")</f>
        <v>#REF!</v>
      </c>
      <c r="GZ228" t="e">
        <f>AND(#REF!,"AAAAAHP/cs8=")</f>
        <v>#REF!</v>
      </c>
      <c r="HA228" t="e">
        <f>AND(#REF!,"AAAAAHP/ctA=")</f>
        <v>#REF!</v>
      </c>
      <c r="HB228" t="e">
        <f>AND(#REF!,"AAAAAHP/ctE=")</f>
        <v>#REF!</v>
      </c>
      <c r="HC228" t="e">
        <f>AND(#REF!,"AAAAAHP/ctI=")</f>
        <v>#REF!</v>
      </c>
      <c r="HD228" t="e">
        <f>AND(#REF!,"AAAAAHP/ctM=")</f>
        <v>#REF!</v>
      </c>
      <c r="HE228" t="e">
        <f>AND(#REF!,"AAAAAHP/ctQ=")</f>
        <v>#REF!</v>
      </c>
      <c r="HF228" t="e">
        <f>AND(#REF!,"AAAAAHP/ctU=")</f>
        <v>#REF!</v>
      </c>
      <c r="HG228" t="e">
        <f>AND(#REF!,"AAAAAHP/ctY=")</f>
        <v>#REF!</v>
      </c>
      <c r="HH228" t="e">
        <f>AND(#REF!,"AAAAAHP/ctc=")</f>
        <v>#REF!</v>
      </c>
      <c r="HI228" t="e">
        <f>AND(#REF!,"AAAAAHP/ctg=")</f>
        <v>#REF!</v>
      </c>
      <c r="HJ228" t="e">
        <f>AND(#REF!,"AAAAAHP/ctk=")</f>
        <v>#REF!</v>
      </c>
      <c r="HK228" t="e">
        <f>AND(#REF!,"AAAAAHP/cto=")</f>
        <v>#REF!</v>
      </c>
      <c r="HL228" t="e">
        <f>AND(#REF!,"AAAAAHP/cts=")</f>
        <v>#REF!</v>
      </c>
      <c r="HM228" t="e">
        <f>AND(#REF!,"AAAAAHP/ctw=")</f>
        <v>#REF!</v>
      </c>
      <c r="HN228" t="e">
        <f>AND(#REF!,"AAAAAHP/ct0=")</f>
        <v>#REF!</v>
      </c>
      <c r="HO228" t="e">
        <f>AND(#REF!,"AAAAAHP/ct4=")</f>
        <v>#REF!</v>
      </c>
      <c r="HP228" t="e">
        <f>IF(#REF!,"AAAAAHP/ct8=",0)</f>
        <v>#REF!</v>
      </c>
      <c r="HQ228" t="e">
        <f>AND(#REF!,"AAAAAHP/cuA=")</f>
        <v>#REF!</v>
      </c>
      <c r="HR228" t="e">
        <f>AND(#REF!,"AAAAAHP/cuE=")</f>
        <v>#REF!</v>
      </c>
      <c r="HS228" t="e">
        <f>AND(#REF!,"AAAAAHP/cuI=")</f>
        <v>#REF!</v>
      </c>
      <c r="HT228" t="e">
        <f>AND(#REF!,"AAAAAHP/cuM=")</f>
        <v>#REF!</v>
      </c>
      <c r="HU228" t="e">
        <f>AND(#REF!,"AAAAAHP/cuQ=")</f>
        <v>#REF!</v>
      </c>
      <c r="HV228" t="e">
        <f>AND(#REF!,"AAAAAHP/cuU=")</f>
        <v>#REF!</v>
      </c>
      <c r="HW228" t="e">
        <f>AND(#REF!,"AAAAAHP/cuY=")</f>
        <v>#REF!</v>
      </c>
      <c r="HX228" t="e">
        <f>AND(#REF!,"AAAAAHP/cuc=")</f>
        <v>#REF!</v>
      </c>
      <c r="HY228" t="e">
        <f>AND(#REF!,"AAAAAHP/cug=")</f>
        <v>#REF!</v>
      </c>
      <c r="HZ228" t="e">
        <f>AND(#REF!,"AAAAAHP/cuk=")</f>
        <v>#REF!</v>
      </c>
      <c r="IA228" t="e">
        <f>AND(#REF!,"AAAAAHP/cuo=")</f>
        <v>#REF!</v>
      </c>
      <c r="IB228" t="e">
        <f>AND(#REF!,"AAAAAHP/cus=")</f>
        <v>#REF!</v>
      </c>
      <c r="IC228" t="e">
        <f>AND(#REF!,"AAAAAHP/cuw=")</f>
        <v>#REF!</v>
      </c>
      <c r="ID228" t="e">
        <f>AND(#REF!,"AAAAAHP/cu0=")</f>
        <v>#REF!</v>
      </c>
      <c r="IE228" t="e">
        <f>AND(#REF!,"AAAAAHP/cu4=")</f>
        <v>#REF!</v>
      </c>
      <c r="IF228" t="e">
        <f>AND(#REF!,"AAAAAHP/cu8=")</f>
        <v>#REF!</v>
      </c>
      <c r="IG228" t="e">
        <f>AND(#REF!,"AAAAAHP/cvA=")</f>
        <v>#REF!</v>
      </c>
      <c r="IH228" t="e">
        <f>AND(#REF!,"AAAAAHP/cvE=")</f>
        <v>#REF!</v>
      </c>
      <c r="II228" t="e">
        <f>AND(#REF!,"AAAAAHP/cvI=")</f>
        <v>#REF!</v>
      </c>
      <c r="IJ228" t="e">
        <f>AND(#REF!,"AAAAAHP/cvM=")</f>
        <v>#REF!</v>
      </c>
      <c r="IK228" t="e">
        <f>AND(#REF!,"AAAAAHP/cvQ=")</f>
        <v>#REF!</v>
      </c>
      <c r="IL228" t="e">
        <f>AND(#REF!,"AAAAAHP/cvU=")</f>
        <v>#REF!</v>
      </c>
      <c r="IM228" t="e">
        <f>AND(#REF!,"AAAAAHP/cvY=")</f>
        <v>#REF!</v>
      </c>
      <c r="IN228" t="e">
        <f>AND(#REF!,"AAAAAHP/cvc=")</f>
        <v>#REF!</v>
      </c>
      <c r="IO228" t="e">
        <f>IF(#REF!,"AAAAAHP/cvg=",0)</f>
        <v>#REF!</v>
      </c>
      <c r="IP228" t="e">
        <f>AND(#REF!,"AAAAAHP/cvk=")</f>
        <v>#REF!</v>
      </c>
      <c r="IQ228" t="e">
        <f>AND(#REF!,"AAAAAHP/cvo=")</f>
        <v>#REF!</v>
      </c>
      <c r="IR228" t="e">
        <f>AND(#REF!,"AAAAAHP/cvs=")</f>
        <v>#REF!</v>
      </c>
      <c r="IS228" t="e">
        <f>AND(#REF!,"AAAAAHP/cvw=")</f>
        <v>#REF!</v>
      </c>
      <c r="IT228" t="e">
        <f>AND(#REF!,"AAAAAHP/cv0=")</f>
        <v>#REF!</v>
      </c>
      <c r="IU228" t="e">
        <f>AND(#REF!,"AAAAAHP/cv4=")</f>
        <v>#REF!</v>
      </c>
      <c r="IV228" t="e">
        <f>AND(#REF!,"AAAAAHP/cv8=")</f>
        <v>#REF!</v>
      </c>
    </row>
    <row r="229" spans="1:256">
      <c r="A229" t="e">
        <f>AND(#REF!,"AAAAAH+V/wA=")</f>
        <v>#REF!</v>
      </c>
      <c r="B229" t="e">
        <f>AND(#REF!,"AAAAAH+V/wE=")</f>
        <v>#REF!</v>
      </c>
      <c r="C229" t="e">
        <f>AND(#REF!,"AAAAAH+V/wI=")</f>
        <v>#REF!</v>
      </c>
      <c r="D229" t="e">
        <f>AND(#REF!,"AAAAAH+V/wM=")</f>
        <v>#REF!</v>
      </c>
      <c r="E229" t="e">
        <f>AND(#REF!,"AAAAAH+V/wQ=")</f>
        <v>#REF!</v>
      </c>
      <c r="F229" t="e">
        <f>AND(#REF!,"AAAAAH+V/wU=")</f>
        <v>#REF!</v>
      </c>
      <c r="G229" t="e">
        <f>AND(#REF!,"AAAAAH+V/wY=")</f>
        <v>#REF!</v>
      </c>
      <c r="H229" t="e">
        <f>AND(#REF!,"AAAAAH+V/wc=")</f>
        <v>#REF!</v>
      </c>
      <c r="I229" t="e">
        <f>AND(#REF!,"AAAAAH+V/wg=")</f>
        <v>#REF!</v>
      </c>
      <c r="J229" t="e">
        <f>AND(#REF!,"AAAAAH+V/wk=")</f>
        <v>#REF!</v>
      </c>
      <c r="K229" t="e">
        <f>AND(#REF!,"AAAAAH+V/wo=")</f>
        <v>#REF!</v>
      </c>
      <c r="L229" t="e">
        <f>AND(#REF!,"AAAAAH+V/ws=")</f>
        <v>#REF!</v>
      </c>
      <c r="M229" t="e">
        <f>AND(#REF!,"AAAAAH+V/ww=")</f>
        <v>#REF!</v>
      </c>
      <c r="N229" t="e">
        <f>AND(#REF!,"AAAAAH+V/w0=")</f>
        <v>#REF!</v>
      </c>
      <c r="O229" t="e">
        <f>AND(#REF!,"AAAAAH+V/w4=")</f>
        <v>#REF!</v>
      </c>
      <c r="P229" t="e">
        <f>AND(#REF!,"AAAAAH+V/w8=")</f>
        <v>#REF!</v>
      </c>
      <c r="Q229" t="e">
        <f>AND(#REF!,"AAAAAH+V/xA=")</f>
        <v>#REF!</v>
      </c>
      <c r="R229" t="e">
        <f>IF(#REF!,"AAAAAH+V/xE=",0)</f>
        <v>#REF!</v>
      </c>
      <c r="S229" t="e">
        <f>AND(#REF!,"AAAAAH+V/xI=")</f>
        <v>#REF!</v>
      </c>
      <c r="T229" t="e">
        <f>AND(#REF!,"AAAAAH+V/xM=")</f>
        <v>#REF!</v>
      </c>
      <c r="U229" t="e">
        <f>AND(#REF!,"AAAAAH+V/xQ=")</f>
        <v>#REF!</v>
      </c>
      <c r="V229" t="e">
        <f>AND(#REF!,"AAAAAH+V/xU=")</f>
        <v>#REF!</v>
      </c>
      <c r="W229" t="e">
        <f>AND(#REF!,"AAAAAH+V/xY=")</f>
        <v>#REF!</v>
      </c>
      <c r="X229" t="e">
        <f>AND(#REF!,"AAAAAH+V/xc=")</f>
        <v>#REF!</v>
      </c>
      <c r="Y229" t="e">
        <f>AND(#REF!,"AAAAAH+V/xg=")</f>
        <v>#REF!</v>
      </c>
      <c r="Z229" t="e">
        <f>AND(#REF!,"AAAAAH+V/xk=")</f>
        <v>#REF!</v>
      </c>
      <c r="AA229" t="e">
        <f>AND(#REF!,"AAAAAH+V/xo=")</f>
        <v>#REF!</v>
      </c>
      <c r="AB229" t="e">
        <f>AND(#REF!,"AAAAAH+V/xs=")</f>
        <v>#REF!</v>
      </c>
      <c r="AC229" t="e">
        <f>AND(#REF!,"AAAAAH+V/xw=")</f>
        <v>#REF!</v>
      </c>
      <c r="AD229" t="e">
        <f>AND(#REF!,"AAAAAH+V/x0=")</f>
        <v>#REF!</v>
      </c>
      <c r="AE229" t="e">
        <f>AND(#REF!,"AAAAAH+V/x4=")</f>
        <v>#REF!</v>
      </c>
      <c r="AF229" t="e">
        <f>AND(#REF!,"AAAAAH+V/x8=")</f>
        <v>#REF!</v>
      </c>
      <c r="AG229" t="e">
        <f>AND(#REF!,"AAAAAH+V/yA=")</f>
        <v>#REF!</v>
      </c>
      <c r="AH229" t="e">
        <f>AND(#REF!,"AAAAAH+V/yE=")</f>
        <v>#REF!</v>
      </c>
      <c r="AI229" t="e">
        <f>AND(#REF!,"AAAAAH+V/yI=")</f>
        <v>#REF!</v>
      </c>
      <c r="AJ229" t="e">
        <f>AND(#REF!,"AAAAAH+V/yM=")</f>
        <v>#REF!</v>
      </c>
      <c r="AK229" t="e">
        <f>AND(#REF!,"AAAAAH+V/yQ=")</f>
        <v>#REF!</v>
      </c>
      <c r="AL229" t="e">
        <f>AND(#REF!,"AAAAAH+V/yU=")</f>
        <v>#REF!</v>
      </c>
      <c r="AM229" t="e">
        <f>AND(#REF!,"AAAAAH+V/yY=")</f>
        <v>#REF!</v>
      </c>
      <c r="AN229" t="e">
        <f>AND(#REF!,"AAAAAH+V/yc=")</f>
        <v>#REF!</v>
      </c>
      <c r="AO229" t="e">
        <f>AND(#REF!,"AAAAAH+V/yg=")</f>
        <v>#REF!</v>
      </c>
      <c r="AP229" t="e">
        <f>AND(#REF!,"AAAAAH+V/yk=")</f>
        <v>#REF!</v>
      </c>
      <c r="AQ229" t="e">
        <f>IF(#REF!,"AAAAAH+V/yo=",0)</f>
        <v>#REF!</v>
      </c>
      <c r="AR229" t="e">
        <f>AND(#REF!,"AAAAAH+V/ys=")</f>
        <v>#REF!</v>
      </c>
      <c r="AS229" t="e">
        <f>AND(#REF!,"AAAAAH+V/yw=")</f>
        <v>#REF!</v>
      </c>
      <c r="AT229" t="e">
        <f>AND(#REF!,"AAAAAH+V/y0=")</f>
        <v>#REF!</v>
      </c>
      <c r="AU229" t="e">
        <f>AND(#REF!,"AAAAAH+V/y4=")</f>
        <v>#REF!</v>
      </c>
      <c r="AV229" t="e">
        <f>AND(#REF!,"AAAAAH+V/y8=")</f>
        <v>#REF!</v>
      </c>
      <c r="AW229" t="e">
        <f>AND(#REF!,"AAAAAH+V/zA=")</f>
        <v>#REF!</v>
      </c>
      <c r="AX229" t="e">
        <f>AND(#REF!,"AAAAAH+V/zE=")</f>
        <v>#REF!</v>
      </c>
      <c r="AY229" t="e">
        <f>AND(#REF!,"AAAAAH+V/zI=")</f>
        <v>#REF!</v>
      </c>
      <c r="AZ229" t="e">
        <f>AND(#REF!,"AAAAAH+V/zM=")</f>
        <v>#REF!</v>
      </c>
      <c r="BA229" t="e">
        <f>AND(#REF!,"AAAAAH+V/zQ=")</f>
        <v>#REF!</v>
      </c>
      <c r="BB229" t="e">
        <f>AND(#REF!,"AAAAAH+V/zU=")</f>
        <v>#REF!</v>
      </c>
      <c r="BC229" t="e">
        <f>AND(#REF!,"AAAAAH+V/zY=")</f>
        <v>#REF!</v>
      </c>
      <c r="BD229" t="e">
        <f>AND(#REF!,"AAAAAH+V/zc=")</f>
        <v>#REF!</v>
      </c>
      <c r="BE229" t="e">
        <f>AND(#REF!,"AAAAAH+V/zg=")</f>
        <v>#REF!</v>
      </c>
      <c r="BF229" t="e">
        <f>AND(#REF!,"AAAAAH+V/zk=")</f>
        <v>#REF!</v>
      </c>
      <c r="BG229" t="e">
        <f>AND(#REF!,"AAAAAH+V/zo=")</f>
        <v>#REF!</v>
      </c>
      <c r="BH229" t="e">
        <f>AND(#REF!,"AAAAAH+V/zs=")</f>
        <v>#REF!</v>
      </c>
      <c r="BI229" t="e">
        <f>AND(#REF!,"AAAAAH+V/zw=")</f>
        <v>#REF!</v>
      </c>
      <c r="BJ229" t="e">
        <f>AND(#REF!,"AAAAAH+V/z0=")</f>
        <v>#REF!</v>
      </c>
      <c r="BK229" t="e">
        <f>AND(#REF!,"AAAAAH+V/z4=")</f>
        <v>#REF!</v>
      </c>
      <c r="BL229" t="e">
        <f>AND(#REF!,"AAAAAH+V/z8=")</f>
        <v>#REF!</v>
      </c>
      <c r="BM229" t="e">
        <f>AND(#REF!,"AAAAAH+V/0A=")</f>
        <v>#REF!</v>
      </c>
      <c r="BN229" t="e">
        <f>AND(#REF!,"AAAAAH+V/0E=")</f>
        <v>#REF!</v>
      </c>
      <c r="BO229" t="e">
        <f>AND(#REF!,"AAAAAH+V/0I=")</f>
        <v>#REF!</v>
      </c>
      <c r="BP229" t="e">
        <f>IF(#REF!,"AAAAAH+V/0M=",0)</f>
        <v>#REF!</v>
      </c>
      <c r="BQ229" t="e">
        <f>AND(#REF!,"AAAAAH+V/0Q=")</f>
        <v>#REF!</v>
      </c>
      <c r="BR229" t="e">
        <f>AND(#REF!,"AAAAAH+V/0U=")</f>
        <v>#REF!</v>
      </c>
      <c r="BS229" t="e">
        <f>AND(#REF!,"AAAAAH+V/0Y=")</f>
        <v>#REF!</v>
      </c>
      <c r="BT229" t="e">
        <f>AND(#REF!,"AAAAAH+V/0c=")</f>
        <v>#REF!</v>
      </c>
      <c r="BU229" t="e">
        <f>AND(#REF!,"AAAAAH+V/0g=")</f>
        <v>#REF!</v>
      </c>
      <c r="BV229" t="e">
        <f>AND(#REF!,"AAAAAH+V/0k=")</f>
        <v>#REF!</v>
      </c>
      <c r="BW229" t="e">
        <f>AND(#REF!,"AAAAAH+V/0o=")</f>
        <v>#REF!</v>
      </c>
      <c r="BX229" t="e">
        <f>AND(#REF!,"AAAAAH+V/0s=")</f>
        <v>#REF!</v>
      </c>
      <c r="BY229" t="e">
        <f>AND(#REF!,"AAAAAH+V/0w=")</f>
        <v>#REF!</v>
      </c>
      <c r="BZ229" t="e">
        <f>AND(#REF!,"AAAAAH+V/00=")</f>
        <v>#REF!</v>
      </c>
      <c r="CA229" t="e">
        <f>AND(#REF!,"AAAAAH+V/04=")</f>
        <v>#REF!</v>
      </c>
      <c r="CB229" t="e">
        <f>AND(#REF!,"AAAAAH+V/08=")</f>
        <v>#REF!</v>
      </c>
      <c r="CC229" t="e">
        <f>AND(#REF!,"AAAAAH+V/1A=")</f>
        <v>#REF!</v>
      </c>
      <c r="CD229" t="e">
        <f>AND(#REF!,"AAAAAH+V/1E=")</f>
        <v>#REF!</v>
      </c>
      <c r="CE229" t="e">
        <f>AND(#REF!,"AAAAAH+V/1I=")</f>
        <v>#REF!</v>
      </c>
      <c r="CF229" t="e">
        <f>AND(#REF!,"AAAAAH+V/1M=")</f>
        <v>#REF!</v>
      </c>
      <c r="CG229" t="e">
        <f>AND(#REF!,"AAAAAH+V/1Q=")</f>
        <v>#REF!</v>
      </c>
      <c r="CH229" t="e">
        <f>AND(#REF!,"AAAAAH+V/1U=")</f>
        <v>#REF!</v>
      </c>
      <c r="CI229" t="e">
        <f>AND(#REF!,"AAAAAH+V/1Y=")</f>
        <v>#REF!</v>
      </c>
      <c r="CJ229" t="e">
        <f>AND(#REF!,"AAAAAH+V/1c=")</f>
        <v>#REF!</v>
      </c>
      <c r="CK229" t="e">
        <f>AND(#REF!,"AAAAAH+V/1g=")</f>
        <v>#REF!</v>
      </c>
      <c r="CL229" t="e">
        <f>AND(#REF!,"AAAAAH+V/1k=")</f>
        <v>#REF!</v>
      </c>
      <c r="CM229" t="e">
        <f>AND(#REF!,"AAAAAH+V/1o=")</f>
        <v>#REF!</v>
      </c>
      <c r="CN229" t="e">
        <f>AND(#REF!,"AAAAAH+V/1s=")</f>
        <v>#REF!</v>
      </c>
      <c r="CO229" t="e">
        <f>IF(#REF!,"AAAAAH+V/1w=",0)</f>
        <v>#REF!</v>
      </c>
      <c r="CP229" t="e">
        <f>AND(#REF!,"AAAAAH+V/10=")</f>
        <v>#REF!</v>
      </c>
      <c r="CQ229" t="e">
        <f>AND(#REF!,"AAAAAH+V/14=")</f>
        <v>#REF!</v>
      </c>
      <c r="CR229" t="e">
        <f>AND(#REF!,"AAAAAH+V/18=")</f>
        <v>#REF!</v>
      </c>
      <c r="CS229" t="e">
        <f>AND(#REF!,"AAAAAH+V/2A=")</f>
        <v>#REF!</v>
      </c>
      <c r="CT229" t="e">
        <f>AND(#REF!,"AAAAAH+V/2E=")</f>
        <v>#REF!</v>
      </c>
      <c r="CU229" t="e">
        <f>AND(#REF!,"AAAAAH+V/2I=")</f>
        <v>#REF!</v>
      </c>
      <c r="CV229" t="e">
        <f>AND(#REF!,"AAAAAH+V/2M=")</f>
        <v>#REF!</v>
      </c>
      <c r="CW229" t="e">
        <f>AND(#REF!,"AAAAAH+V/2Q=")</f>
        <v>#REF!</v>
      </c>
      <c r="CX229" t="e">
        <f>AND(#REF!,"AAAAAH+V/2U=")</f>
        <v>#REF!</v>
      </c>
      <c r="CY229" t="e">
        <f>AND(#REF!,"AAAAAH+V/2Y=")</f>
        <v>#REF!</v>
      </c>
      <c r="CZ229" t="e">
        <f>AND(#REF!,"AAAAAH+V/2c=")</f>
        <v>#REF!</v>
      </c>
      <c r="DA229" t="e">
        <f>AND(#REF!,"AAAAAH+V/2g=")</f>
        <v>#REF!</v>
      </c>
      <c r="DB229" t="e">
        <f>AND(#REF!,"AAAAAH+V/2k=")</f>
        <v>#REF!</v>
      </c>
      <c r="DC229" t="e">
        <f>AND(#REF!,"AAAAAH+V/2o=")</f>
        <v>#REF!</v>
      </c>
      <c r="DD229" t="e">
        <f>AND(#REF!,"AAAAAH+V/2s=")</f>
        <v>#REF!</v>
      </c>
      <c r="DE229" t="e">
        <f>AND(#REF!,"AAAAAH+V/2w=")</f>
        <v>#REF!</v>
      </c>
      <c r="DF229" t="e">
        <f>AND(#REF!,"AAAAAH+V/20=")</f>
        <v>#REF!</v>
      </c>
      <c r="DG229" t="e">
        <f>AND(#REF!,"AAAAAH+V/24=")</f>
        <v>#REF!</v>
      </c>
      <c r="DH229" t="e">
        <f>AND(#REF!,"AAAAAH+V/28=")</f>
        <v>#REF!</v>
      </c>
      <c r="DI229" t="e">
        <f>AND(#REF!,"AAAAAH+V/3A=")</f>
        <v>#REF!</v>
      </c>
      <c r="DJ229" t="e">
        <f>AND(#REF!,"AAAAAH+V/3E=")</f>
        <v>#REF!</v>
      </c>
      <c r="DK229" t="e">
        <f>AND(#REF!,"AAAAAH+V/3I=")</f>
        <v>#REF!</v>
      </c>
      <c r="DL229" t="e">
        <f>AND(#REF!,"AAAAAH+V/3M=")</f>
        <v>#REF!</v>
      </c>
      <c r="DM229" t="e">
        <f>AND(#REF!,"AAAAAH+V/3Q=")</f>
        <v>#REF!</v>
      </c>
      <c r="DN229" t="e">
        <f>IF(#REF!,"AAAAAH+V/3U=",0)</f>
        <v>#REF!</v>
      </c>
      <c r="DO229" t="e">
        <f>AND(#REF!,"AAAAAH+V/3Y=")</f>
        <v>#REF!</v>
      </c>
      <c r="DP229" t="e">
        <f>AND(#REF!,"AAAAAH+V/3c=")</f>
        <v>#REF!</v>
      </c>
      <c r="DQ229" t="e">
        <f>AND(#REF!,"AAAAAH+V/3g=")</f>
        <v>#REF!</v>
      </c>
      <c r="DR229" t="e">
        <f>AND(#REF!,"AAAAAH+V/3k=")</f>
        <v>#REF!</v>
      </c>
      <c r="DS229" t="e">
        <f>AND(#REF!,"AAAAAH+V/3o=")</f>
        <v>#REF!</v>
      </c>
      <c r="DT229" t="e">
        <f>AND(#REF!,"AAAAAH+V/3s=")</f>
        <v>#REF!</v>
      </c>
      <c r="DU229" t="e">
        <f>AND(#REF!,"AAAAAH+V/3w=")</f>
        <v>#REF!</v>
      </c>
      <c r="DV229" t="e">
        <f>AND(#REF!,"AAAAAH+V/30=")</f>
        <v>#REF!</v>
      </c>
      <c r="DW229" t="e">
        <f>AND(#REF!,"AAAAAH+V/34=")</f>
        <v>#REF!</v>
      </c>
      <c r="DX229" t="e">
        <f>AND(#REF!,"AAAAAH+V/38=")</f>
        <v>#REF!</v>
      </c>
      <c r="DY229" t="e">
        <f>AND(#REF!,"AAAAAH+V/4A=")</f>
        <v>#REF!</v>
      </c>
      <c r="DZ229" t="e">
        <f>AND(#REF!,"AAAAAH+V/4E=")</f>
        <v>#REF!</v>
      </c>
      <c r="EA229" t="e">
        <f>AND(#REF!,"AAAAAH+V/4I=")</f>
        <v>#REF!</v>
      </c>
      <c r="EB229" t="e">
        <f>AND(#REF!,"AAAAAH+V/4M=")</f>
        <v>#REF!</v>
      </c>
      <c r="EC229" t="e">
        <f>AND(#REF!,"AAAAAH+V/4Q=")</f>
        <v>#REF!</v>
      </c>
      <c r="ED229" t="e">
        <f>AND(#REF!,"AAAAAH+V/4U=")</f>
        <v>#REF!</v>
      </c>
      <c r="EE229" t="e">
        <f>AND(#REF!,"AAAAAH+V/4Y=")</f>
        <v>#REF!</v>
      </c>
      <c r="EF229" t="e">
        <f>AND(#REF!,"AAAAAH+V/4c=")</f>
        <v>#REF!</v>
      </c>
      <c r="EG229" t="e">
        <f>AND(#REF!,"AAAAAH+V/4g=")</f>
        <v>#REF!</v>
      </c>
      <c r="EH229" t="e">
        <f>AND(#REF!,"AAAAAH+V/4k=")</f>
        <v>#REF!</v>
      </c>
      <c r="EI229" t="e">
        <f>AND(#REF!,"AAAAAH+V/4o=")</f>
        <v>#REF!</v>
      </c>
      <c r="EJ229" t="e">
        <f>AND(#REF!,"AAAAAH+V/4s=")</f>
        <v>#REF!</v>
      </c>
      <c r="EK229" t="e">
        <f>AND(#REF!,"AAAAAH+V/4w=")</f>
        <v>#REF!</v>
      </c>
      <c r="EL229" t="e">
        <f>AND(#REF!,"AAAAAH+V/40=")</f>
        <v>#REF!</v>
      </c>
      <c r="EM229" t="e">
        <f>IF(#REF!,"AAAAAH+V/44=",0)</f>
        <v>#REF!</v>
      </c>
      <c r="EN229" t="e">
        <f>AND(#REF!,"AAAAAH+V/48=")</f>
        <v>#REF!</v>
      </c>
      <c r="EO229" t="e">
        <f>AND(#REF!,"AAAAAH+V/5A=")</f>
        <v>#REF!</v>
      </c>
      <c r="EP229" t="e">
        <f>AND(#REF!,"AAAAAH+V/5E=")</f>
        <v>#REF!</v>
      </c>
      <c r="EQ229" t="e">
        <f>AND(#REF!,"AAAAAH+V/5I=")</f>
        <v>#REF!</v>
      </c>
      <c r="ER229" t="e">
        <f>AND(#REF!,"AAAAAH+V/5M=")</f>
        <v>#REF!</v>
      </c>
      <c r="ES229" t="e">
        <f>AND(#REF!,"AAAAAH+V/5Q=")</f>
        <v>#REF!</v>
      </c>
      <c r="ET229" t="e">
        <f>AND(#REF!,"AAAAAH+V/5U=")</f>
        <v>#REF!</v>
      </c>
      <c r="EU229" t="e">
        <f>AND(#REF!,"AAAAAH+V/5Y=")</f>
        <v>#REF!</v>
      </c>
      <c r="EV229" t="e">
        <f>AND(#REF!,"AAAAAH+V/5c=")</f>
        <v>#REF!</v>
      </c>
      <c r="EW229" t="e">
        <f>AND(#REF!,"AAAAAH+V/5g=")</f>
        <v>#REF!</v>
      </c>
      <c r="EX229" t="e">
        <f>AND(#REF!,"AAAAAH+V/5k=")</f>
        <v>#REF!</v>
      </c>
      <c r="EY229" t="e">
        <f>AND(#REF!,"AAAAAH+V/5o=")</f>
        <v>#REF!</v>
      </c>
      <c r="EZ229" t="e">
        <f>AND(#REF!,"AAAAAH+V/5s=")</f>
        <v>#REF!</v>
      </c>
      <c r="FA229" t="e">
        <f>AND(#REF!,"AAAAAH+V/5w=")</f>
        <v>#REF!</v>
      </c>
      <c r="FB229" t="e">
        <f>AND(#REF!,"AAAAAH+V/50=")</f>
        <v>#REF!</v>
      </c>
      <c r="FC229" t="e">
        <f>AND(#REF!,"AAAAAH+V/54=")</f>
        <v>#REF!</v>
      </c>
      <c r="FD229" t="e">
        <f>AND(#REF!,"AAAAAH+V/58=")</f>
        <v>#REF!</v>
      </c>
      <c r="FE229" t="e">
        <f>AND(#REF!,"AAAAAH+V/6A=")</f>
        <v>#REF!</v>
      </c>
      <c r="FF229" t="e">
        <f>AND(#REF!,"AAAAAH+V/6E=")</f>
        <v>#REF!</v>
      </c>
      <c r="FG229" t="e">
        <f>AND(#REF!,"AAAAAH+V/6I=")</f>
        <v>#REF!</v>
      </c>
      <c r="FH229" t="e">
        <f>AND(#REF!,"AAAAAH+V/6M=")</f>
        <v>#REF!</v>
      </c>
      <c r="FI229" t="e">
        <f>AND(#REF!,"AAAAAH+V/6Q=")</f>
        <v>#REF!</v>
      </c>
      <c r="FJ229" t="e">
        <f>AND(#REF!,"AAAAAH+V/6U=")</f>
        <v>#REF!</v>
      </c>
      <c r="FK229" t="e">
        <f>AND(#REF!,"AAAAAH+V/6Y=")</f>
        <v>#REF!</v>
      </c>
      <c r="FL229" t="e">
        <f>IF(#REF!,"AAAAAH+V/6c=",0)</f>
        <v>#REF!</v>
      </c>
      <c r="FM229" t="e">
        <f>AND(#REF!,"AAAAAH+V/6g=")</f>
        <v>#REF!</v>
      </c>
      <c r="FN229" t="e">
        <f>AND(#REF!,"AAAAAH+V/6k=")</f>
        <v>#REF!</v>
      </c>
      <c r="FO229" t="e">
        <f>AND(#REF!,"AAAAAH+V/6o=")</f>
        <v>#REF!</v>
      </c>
      <c r="FP229" t="e">
        <f>AND(#REF!,"AAAAAH+V/6s=")</f>
        <v>#REF!</v>
      </c>
      <c r="FQ229" t="e">
        <f>AND(#REF!,"AAAAAH+V/6w=")</f>
        <v>#REF!</v>
      </c>
      <c r="FR229" t="e">
        <f>AND(#REF!,"AAAAAH+V/60=")</f>
        <v>#REF!</v>
      </c>
      <c r="FS229" t="e">
        <f>AND(#REF!,"AAAAAH+V/64=")</f>
        <v>#REF!</v>
      </c>
      <c r="FT229" t="e">
        <f>AND(#REF!,"AAAAAH+V/68=")</f>
        <v>#REF!</v>
      </c>
      <c r="FU229" t="e">
        <f>AND(#REF!,"AAAAAH+V/7A=")</f>
        <v>#REF!</v>
      </c>
      <c r="FV229" t="e">
        <f>AND(#REF!,"AAAAAH+V/7E=")</f>
        <v>#REF!</v>
      </c>
      <c r="FW229" t="e">
        <f>AND(#REF!,"AAAAAH+V/7I=")</f>
        <v>#REF!</v>
      </c>
      <c r="FX229" t="e">
        <f>AND(#REF!,"AAAAAH+V/7M=")</f>
        <v>#REF!</v>
      </c>
      <c r="FY229" t="e">
        <f>AND(#REF!,"AAAAAH+V/7Q=")</f>
        <v>#REF!</v>
      </c>
      <c r="FZ229" t="e">
        <f>AND(#REF!,"AAAAAH+V/7U=")</f>
        <v>#REF!</v>
      </c>
      <c r="GA229" t="e">
        <f>AND(#REF!,"AAAAAH+V/7Y=")</f>
        <v>#REF!</v>
      </c>
      <c r="GB229" t="e">
        <f>AND(#REF!,"AAAAAH+V/7c=")</f>
        <v>#REF!</v>
      </c>
      <c r="GC229" t="e">
        <f>AND(#REF!,"AAAAAH+V/7g=")</f>
        <v>#REF!</v>
      </c>
      <c r="GD229" t="e">
        <f>AND(#REF!,"AAAAAH+V/7k=")</f>
        <v>#REF!</v>
      </c>
      <c r="GE229" t="e">
        <f>AND(#REF!,"AAAAAH+V/7o=")</f>
        <v>#REF!</v>
      </c>
      <c r="GF229" t="e">
        <f>AND(#REF!,"AAAAAH+V/7s=")</f>
        <v>#REF!</v>
      </c>
      <c r="GG229" t="e">
        <f>AND(#REF!,"AAAAAH+V/7w=")</f>
        <v>#REF!</v>
      </c>
      <c r="GH229" t="e">
        <f>AND(#REF!,"AAAAAH+V/70=")</f>
        <v>#REF!</v>
      </c>
      <c r="GI229" t="e">
        <f>AND(#REF!,"AAAAAH+V/74=")</f>
        <v>#REF!</v>
      </c>
      <c r="GJ229" t="e">
        <f>AND(#REF!,"AAAAAH+V/78=")</f>
        <v>#REF!</v>
      </c>
      <c r="GK229" t="e">
        <f>IF(#REF!,"AAAAAH+V/8A=",0)</f>
        <v>#REF!</v>
      </c>
      <c r="GL229" t="e">
        <f>AND(#REF!,"AAAAAH+V/8E=")</f>
        <v>#REF!</v>
      </c>
      <c r="GM229" t="e">
        <f>AND(#REF!,"AAAAAH+V/8I=")</f>
        <v>#REF!</v>
      </c>
      <c r="GN229" t="e">
        <f>AND(#REF!,"AAAAAH+V/8M=")</f>
        <v>#REF!</v>
      </c>
      <c r="GO229" t="e">
        <f>AND(#REF!,"AAAAAH+V/8Q=")</f>
        <v>#REF!</v>
      </c>
      <c r="GP229" t="e">
        <f>AND(#REF!,"AAAAAH+V/8U=")</f>
        <v>#REF!</v>
      </c>
      <c r="GQ229" t="e">
        <f>AND(#REF!,"AAAAAH+V/8Y=")</f>
        <v>#REF!</v>
      </c>
      <c r="GR229" t="e">
        <f>AND(#REF!,"AAAAAH+V/8c=")</f>
        <v>#REF!</v>
      </c>
      <c r="GS229" t="e">
        <f>AND(#REF!,"AAAAAH+V/8g=")</f>
        <v>#REF!</v>
      </c>
      <c r="GT229" t="e">
        <f>AND(#REF!,"AAAAAH+V/8k=")</f>
        <v>#REF!</v>
      </c>
      <c r="GU229" t="e">
        <f>AND(#REF!,"AAAAAH+V/8o=")</f>
        <v>#REF!</v>
      </c>
      <c r="GV229" t="e">
        <f>AND(#REF!,"AAAAAH+V/8s=")</f>
        <v>#REF!</v>
      </c>
      <c r="GW229" t="e">
        <f>AND(#REF!,"AAAAAH+V/8w=")</f>
        <v>#REF!</v>
      </c>
      <c r="GX229" t="e">
        <f>AND(#REF!,"AAAAAH+V/80=")</f>
        <v>#REF!</v>
      </c>
      <c r="GY229" t="e">
        <f>AND(#REF!,"AAAAAH+V/84=")</f>
        <v>#REF!</v>
      </c>
      <c r="GZ229" t="e">
        <f>AND(#REF!,"AAAAAH+V/88=")</f>
        <v>#REF!</v>
      </c>
      <c r="HA229" t="e">
        <f>AND(#REF!,"AAAAAH+V/9A=")</f>
        <v>#REF!</v>
      </c>
      <c r="HB229" t="e">
        <f>AND(#REF!,"AAAAAH+V/9E=")</f>
        <v>#REF!</v>
      </c>
      <c r="HC229" t="e">
        <f>AND(#REF!,"AAAAAH+V/9I=")</f>
        <v>#REF!</v>
      </c>
      <c r="HD229" t="e">
        <f>AND(#REF!,"AAAAAH+V/9M=")</f>
        <v>#REF!</v>
      </c>
      <c r="HE229" t="e">
        <f>AND(#REF!,"AAAAAH+V/9Q=")</f>
        <v>#REF!</v>
      </c>
      <c r="HF229" t="e">
        <f>AND(#REF!,"AAAAAH+V/9U=")</f>
        <v>#REF!</v>
      </c>
      <c r="HG229" t="e">
        <f>AND(#REF!,"AAAAAH+V/9Y=")</f>
        <v>#REF!</v>
      </c>
      <c r="HH229" t="e">
        <f>AND(#REF!,"AAAAAH+V/9c=")</f>
        <v>#REF!</v>
      </c>
      <c r="HI229" t="e">
        <f>AND(#REF!,"AAAAAH+V/9g=")</f>
        <v>#REF!</v>
      </c>
      <c r="HJ229" t="e">
        <f>IF(#REF!,"AAAAAH+V/9k=",0)</f>
        <v>#REF!</v>
      </c>
      <c r="HK229" t="e">
        <f>AND(#REF!,"AAAAAH+V/9o=")</f>
        <v>#REF!</v>
      </c>
      <c r="HL229" t="e">
        <f>AND(#REF!,"AAAAAH+V/9s=")</f>
        <v>#REF!</v>
      </c>
      <c r="HM229" t="e">
        <f>AND(#REF!,"AAAAAH+V/9w=")</f>
        <v>#REF!</v>
      </c>
      <c r="HN229" t="e">
        <f>AND(#REF!,"AAAAAH+V/90=")</f>
        <v>#REF!</v>
      </c>
      <c r="HO229" t="e">
        <f>AND(#REF!,"AAAAAH+V/94=")</f>
        <v>#REF!</v>
      </c>
      <c r="HP229" t="e">
        <f>AND(#REF!,"AAAAAH+V/98=")</f>
        <v>#REF!</v>
      </c>
      <c r="HQ229" t="e">
        <f>AND(#REF!,"AAAAAH+V/+A=")</f>
        <v>#REF!</v>
      </c>
      <c r="HR229" t="e">
        <f>AND(#REF!,"AAAAAH+V/+E=")</f>
        <v>#REF!</v>
      </c>
      <c r="HS229" t="e">
        <f>AND(#REF!,"AAAAAH+V/+I=")</f>
        <v>#REF!</v>
      </c>
      <c r="HT229" t="e">
        <f>AND(#REF!,"AAAAAH+V/+M=")</f>
        <v>#REF!</v>
      </c>
      <c r="HU229" t="e">
        <f>AND(#REF!,"AAAAAH+V/+Q=")</f>
        <v>#REF!</v>
      </c>
      <c r="HV229" t="e">
        <f>AND(#REF!,"AAAAAH+V/+U=")</f>
        <v>#REF!</v>
      </c>
      <c r="HW229" t="e">
        <f>AND(#REF!,"AAAAAH+V/+Y=")</f>
        <v>#REF!</v>
      </c>
      <c r="HX229" t="e">
        <f>AND(#REF!,"AAAAAH+V/+c=")</f>
        <v>#REF!</v>
      </c>
      <c r="HY229" t="e">
        <f>AND(#REF!,"AAAAAH+V/+g=")</f>
        <v>#REF!</v>
      </c>
      <c r="HZ229" t="e">
        <f>AND(#REF!,"AAAAAH+V/+k=")</f>
        <v>#REF!</v>
      </c>
      <c r="IA229" t="e">
        <f>AND(#REF!,"AAAAAH+V/+o=")</f>
        <v>#REF!</v>
      </c>
      <c r="IB229" t="e">
        <f>AND(#REF!,"AAAAAH+V/+s=")</f>
        <v>#REF!</v>
      </c>
      <c r="IC229" t="e">
        <f>AND(#REF!,"AAAAAH+V/+w=")</f>
        <v>#REF!</v>
      </c>
      <c r="ID229" t="e">
        <f>AND(#REF!,"AAAAAH+V/+0=")</f>
        <v>#REF!</v>
      </c>
      <c r="IE229" t="e">
        <f>AND(#REF!,"AAAAAH+V/+4=")</f>
        <v>#REF!</v>
      </c>
      <c r="IF229" t="e">
        <f>AND(#REF!,"AAAAAH+V/+8=")</f>
        <v>#REF!</v>
      </c>
      <c r="IG229" t="e">
        <f>AND(#REF!,"AAAAAH+V//A=")</f>
        <v>#REF!</v>
      </c>
      <c r="IH229" t="e">
        <f>AND(#REF!,"AAAAAH+V//E=")</f>
        <v>#REF!</v>
      </c>
      <c r="II229" t="e">
        <f>IF(#REF!,"AAAAAH+V//I=",0)</f>
        <v>#REF!</v>
      </c>
      <c r="IJ229" t="e">
        <f>AND(#REF!,"AAAAAH+V//M=")</f>
        <v>#REF!</v>
      </c>
      <c r="IK229" t="e">
        <f>AND(#REF!,"AAAAAH+V//Q=")</f>
        <v>#REF!</v>
      </c>
      <c r="IL229" t="e">
        <f>AND(#REF!,"AAAAAH+V//U=")</f>
        <v>#REF!</v>
      </c>
      <c r="IM229" t="e">
        <f>AND(#REF!,"AAAAAH+V//Y=")</f>
        <v>#REF!</v>
      </c>
      <c r="IN229" t="e">
        <f>AND(#REF!,"AAAAAH+V//c=")</f>
        <v>#REF!</v>
      </c>
      <c r="IO229" t="e">
        <f>AND(#REF!,"AAAAAH+V//g=")</f>
        <v>#REF!</v>
      </c>
      <c r="IP229" t="e">
        <f>AND(#REF!,"AAAAAH+V//k=")</f>
        <v>#REF!</v>
      </c>
      <c r="IQ229" t="e">
        <f>AND(#REF!,"AAAAAH+V//o=")</f>
        <v>#REF!</v>
      </c>
      <c r="IR229" t="e">
        <f>AND(#REF!,"AAAAAH+V//s=")</f>
        <v>#REF!</v>
      </c>
      <c r="IS229" t="e">
        <f>AND(#REF!,"AAAAAH+V//w=")</f>
        <v>#REF!</v>
      </c>
      <c r="IT229" t="e">
        <f>AND(#REF!,"AAAAAH+V//0=")</f>
        <v>#REF!</v>
      </c>
      <c r="IU229" t="e">
        <f>AND(#REF!,"AAAAAH+V//4=")</f>
        <v>#REF!</v>
      </c>
      <c r="IV229" t="e">
        <f>AND(#REF!,"AAAAAH+V//8=")</f>
        <v>#REF!</v>
      </c>
    </row>
    <row r="230" spans="1:256">
      <c r="A230" t="e">
        <f>AND(#REF!,"AAAAAH7/fwA=")</f>
        <v>#REF!</v>
      </c>
      <c r="B230" t="e">
        <f>AND(#REF!,"AAAAAH7/fwE=")</f>
        <v>#REF!</v>
      </c>
      <c r="C230" t="e">
        <f>AND(#REF!,"AAAAAH7/fwI=")</f>
        <v>#REF!</v>
      </c>
      <c r="D230" t="e">
        <f>AND(#REF!,"AAAAAH7/fwM=")</f>
        <v>#REF!</v>
      </c>
      <c r="E230" t="e">
        <f>AND(#REF!,"AAAAAH7/fwQ=")</f>
        <v>#REF!</v>
      </c>
      <c r="F230" t="e">
        <f>AND(#REF!,"AAAAAH7/fwU=")</f>
        <v>#REF!</v>
      </c>
      <c r="G230" t="e">
        <f>AND(#REF!,"AAAAAH7/fwY=")</f>
        <v>#REF!</v>
      </c>
      <c r="H230" t="e">
        <f>AND(#REF!,"AAAAAH7/fwc=")</f>
        <v>#REF!</v>
      </c>
      <c r="I230" t="e">
        <f>AND(#REF!,"AAAAAH7/fwg=")</f>
        <v>#REF!</v>
      </c>
      <c r="J230" t="e">
        <f>AND(#REF!,"AAAAAH7/fwk=")</f>
        <v>#REF!</v>
      </c>
      <c r="K230" t="e">
        <f>AND(#REF!,"AAAAAH7/fwo=")</f>
        <v>#REF!</v>
      </c>
      <c r="L230" t="e">
        <f>IF(#REF!,"AAAAAH7/fws=",0)</f>
        <v>#REF!</v>
      </c>
      <c r="M230" t="e">
        <f>AND(#REF!,"AAAAAH7/fww=")</f>
        <v>#REF!</v>
      </c>
      <c r="N230" t="e">
        <f>AND(#REF!,"AAAAAH7/fw0=")</f>
        <v>#REF!</v>
      </c>
      <c r="O230" t="e">
        <f>AND(#REF!,"AAAAAH7/fw4=")</f>
        <v>#REF!</v>
      </c>
      <c r="P230" t="e">
        <f>AND(#REF!,"AAAAAH7/fw8=")</f>
        <v>#REF!</v>
      </c>
      <c r="Q230" t="e">
        <f>AND(#REF!,"AAAAAH7/fxA=")</f>
        <v>#REF!</v>
      </c>
      <c r="R230" t="e">
        <f>AND(#REF!,"AAAAAH7/fxE=")</f>
        <v>#REF!</v>
      </c>
      <c r="S230" t="e">
        <f>AND(#REF!,"AAAAAH7/fxI=")</f>
        <v>#REF!</v>
      </c>
      <c r="T230" t="e">
        <f>AND(#REF!,"AAAAAH7/fxM=")</f>
        <v>#REF!</v>
      </c>
      <c r="U230" t="e">
        <f>AND(#REF!,"AAAAAH7/fxQ=")</f>
        <v>#REF!</v>
      </c>
      <c r="V230" t="e">
        <f>AND(#REF!,"AAAAAH7/fxU=")</f>
        <v>#REF!</v>
      </c>
      <c r="W230" t="e">
        <f>AND(#REF!,"AAAAAH7/fxY=")</f>
        <v>#REF!</v>
      </c>
      <c r="X230" t="e">
        <f>AND(#REF!,"AAAAAH7/fxc=")</f>
        <v>#REF!</v>
      </c>
      <c r="Y230" t="e">
        <f>AND(#REF!,"AAAAAH7/fxg=")</f>
        <v>#REF!</v>
      </c>
      <c r="Z230" t="e">
        <f>AND(#REF!,"AAAAAH7/fxk=")</f>
        <v>#REF!</v>
      </c>
      <c r="AA230" t="e">
        <f>AND(#REF!,"AAAAAH7/fxo=")</f>
        <v>#REF!</v>
      </c>
      <c r="AB230" t="e">
        <f>AND(#REF!,"AAAAAH7/fxs=")</f>
        <v>#REF!</v>
      </c>
      <c r="AC230" t="e">
        <f>AND(#REF!,"AAAAAH7/fxw=")</f>
        <v>#REF!</v>
      </c>
      <c r="AD230" t="e">
        <f>AND(#REF!,"AAAAAH7/fx0=")</f>
        <v>#REF!</v>
      </c>
      <c r="AE230" t="e">
        <f>AND(#REF!,"AAAAAH7/fx4=")</f>
        <v>#REF!</v>
      </c>
      <c r="AF230" t="e">
        <f>AND(#REF!,"AAAAAH7/fx8=")</f>
        <v>#REF!</v>
      </c>
      <c r="AG230" t="e">
        <f>AND(#REF!,"AAAAAH7/fyA=")</f>
        <v>#REF!</v>
      </c>
      <c r="AH230" t="e">
        <f>AND(#REF!,"AAAAAH7/fyE=")</f>
        <v>#REF!</v>
      </c>
      <c r="AI230" t="e">
        <f>AND(#REF!,"AAAAAH7/fyI=")</f>
        <v>#REF!</v>
      </c>
      <c r="AJ230" t="e">
        <f>AND(#REF!,"AAAAAH7/fyM=")</f>
        <v>#REF!</v>
      </c>
      <c r="AK230" t="e">
        <f>IF(#REF!,"AAAAAH7/fyQ=",0)</f>
        <v>#REF!</v>
      </c>
      <c r="AL230" t="e">
        <f>AND(#REF!,"AAAAAH7/fyU=")</f>
        <v>#REF!</v>
      </c>
      <c r="AM230" t="e">
        <f>AND(#REF!,"AAAAAH7/fyY=")</f>
        <v>#REF!</v>
      </c>
      <c r="AN230" t="e">
        <f>AND(#REF!,"AAAAAH7/fyc=")</f>
        <v>#REF!</v>
      </c>
      <c r="AO230" t="e">
        <f>AND(#REF!,"AAAAAH7/fyg=")</f>
        <v>#REF!</v>
      </c>
      <c r="AP230" t="e">
        <f>AND(#REF!,"AAAAAH7/fyk=")</f>
        <v>#REF!</v>
      </c>
      <c r="AQ230" t="e">
        <f>AND(#REF!,"AAAAAH7/fyo=")</f>
        <v>#REF!</v>
      </c>
      <c r="AR230" t="e">
        <f>AND(#REF!,"AAAAAH7/fys=")</f>
        <v>#REF!</v>
      </c>
      <c r="AS230" t="e">
        <f>AND(#REF!,"AAAAAH7/fyw=")</f>
        <v>#REF!</v>
      </c>
      <c r="AT230" t="e">
        <f>AND(#REF!,"AAAAAH7/fy0=")</f>
        <v>#REF!</v>
      </c>
      <c r="AU230" t="e">
        <f>AND(#REF!,"AAAAAH7/fy4=")</f>
        <v>#REF!</v>
      </c>
      <c r="AV230" t="e">
        <f>AND(#REF!,"AAAAAH7/fy8=")</f>
        <v>#REF!</v>
      </c>
      <c r="AW230" t="e">
        <f>AND(#REF!,"AAAAAH7/fzA=")</f>
        <v>#REF!</v>
      </c>
      <c r="AX230" t="e">
        <f>AND(#REF!,"AAAAAH7/fzE=")</f>
        <v>#REF!</v>
      </c>
      <c r="AY230" t="e">
        <f>AND(#REF!,"AAAAAH7/fzI=")</f>
        <v>#REF!</v>
      </c>
      <c r="AZ230" t="e">
        <f>AND(#REF!,"AAAAAH7/fzM=")</f>
        <v>#REF!</v>
      </c>
      <c r="BA230" t="e">
        <f>AND(#REF!,"AAAAAH7/fzQ=")</f>
        <v>#REF!</v>
      </c>
      <c r="BB230" t="e">
        <f>AND(#REF!,"AAAAAH7/fzU=")</f>
        <v>#REF!</v>
      </c>
      <c r="BC230" t="e">
        <f>AND(#REF!,"AAAAAH7/fzY=")</f>
        <v>#REF!</v>
      </c>
      <c r="BD230" t="e">
        <f>AND(#REF!,"AAAAAH7/fzc=")</f>
        <v>#REF!</v>
      </c>
      <c r="BE230" t="e">
        <f>AND(#REF!,"AAAAAH7/fzg=")</f>
        <v>#REF!</v>
      </c>
      <c r="BF230" t="e">
        <f>AND(#REF!,"AAAAAH7/fzk=")</f>
        <v>#REF!</v>
      </c>
      <c r="BG230" t="e">
        <f>AND(#REF!,"AAAAAH7/fzo=")</f>
        <v>#REF!</v>
      </c>
      <c r="BH230" t="e">
        <f>AND(#REF!,"AAAAAH7/fzs=")</f>
        <v>#REF!</v>
      </c>
      <c r="BI230" t="e">
        <f>AND(#REF!,"AAAAAH7/fzw=")</f>
        <v>#REF!</v>
      </c>
      <c r="BJ230" t="e">
        <f>IF(#REF!,"AAAAAH7/fz0=",0)</f>
        <v>#REF!</v>
      </c>
      <c r="BK230" t="e">
        <f>AND(#REF!,"AAAAAH7/fz4=")</f>
        <v>#REF!</v>
      </c>
      <c r="BL230" t="e">
        <f>AND(#REF!,"AAAAAH7/fz8=")</f>
        <v>#REF!</v>
      </c>
      <c r="BM230" t="e">
        <f>AND(#REF!,"AAAAAH7/f0A=")</f>
        <v>#REF!</v>
      </c>
      <c r="BN230" t="e">
        <f>AND(#REF!,"AAAAAH7/f0E=")</f>
        <v>#REF!</v>
      </c>
      <c r="BO230" t="e">
        <f>AND(#REF!,"AAAAAH7/f0I=")</f>
        <v>#REF!</v>
      </c>
      <c r="BP230" t="e">
        <f>AND(#REF!,"AAAAAH7/f0M=")</f>
        <v>#REF!</v>
      </c>
      <c r="BQ230" t="e">
        <f>AND(#REF!,"AAAAAH7/f0Q=")</f>
        <v>#REF!</v>
      </c>
      <c r="BR230" t="e">
        <f>AND(#REF!,"AAAAAH7/f0U=")</f>
        <v>#REF!</v>
      </c>
      <c r="BS230" t="e">
        <f>AND(#REF!,"AAAAAH7/f0Y=")</f>
        <v>#REF!</v>
      </c>
      <c r="BT230" t="e">
        <f>AND(#REF!,"AAAAAH7/f0c=")</f>
        <v>#REF!</v>
      </c>
      <c r="BU230" t="e">
        <f>AND(#REF!,"AAAAAH7/f0g=")</f>
        <v>#REF!</v>
      </c>
      <c r="BV230" t="e">
        <f>AND(#REF!,"AAAAAH7/f0k=")</f>
        <v>#REF!</v>
      </c>
      <c r="BW230" t="e">
        <f>AND(#REF!,"AAAAAH7/f0o=")</f>
        <v>#REF!</v>
      </c>
      <c r="BX230" t="e">
        <f>AND(#REF!,"AAAAAH7/f0s=")</f>
        <v>#REF!</v>
      </c>
      <c r="BY230" t="e">
        <f>AND(#REF!,"AAAAAH7/f0w=")</f>
        <v>#REF!</v>
      </c>
      <c r="BZ230" t="e">
        <f>AND(#REF!,"AAAAAH7/f00=")</f>
        <v>#REF!</v>
      </c>
      <c r="CA230" t="e">
        <f>AND(#REF!,"AAAAAH7/f04=")</f>
        <v>#REF!</v>
      </c>
      <c r="CB230" t="e">
        <f>AND(#REF!,"AAAAAH7/f08=")</f>
        <v>#REF!</v>
      </c>
      <c r="CC230" t="e">
        <f>AND(#REF!,"AAAAAH7/f1A=")</f>
        <v>#REF!</v>
      </c>
      <c r="CD230" t="e">
        <f>AND(#REF!,"AAAAAH7/f1E=")</f>
        <v>#REF!</v>
      </c>
      <c r="CE230" t="e">
        <f>AND(#REF!,"AAAAAH7/f1I=")</f>
        <v>#REF!</v>
      </c>
      <c r="CF230" t="e">
        <f>AND(#REF!,"AAAAAH7/f1M=")</f>
        <v>#REF!</v>
      </c>
      <c r="CG230" t="e">
        <f>AND(#REF!,"AAAAAH7/f1Q=")</f>
        <v>#REF!</v>
      </c>
      <c r="CH230" t="e">
        <f>AND(#REF!,"AAAAAH7/f1U=")</f>
        <v>#REF!</v>
      </c>
      <c r="CI230" t="e">
        <f>IF(#REF!,"AAAAAH7/f1Y=",0)</f>
        <v>#REF!</v>
      </c>
      <c r="CJ230" t="e">
        <f>AND(#REF!,"AAAAAH7/f1c=")</f>
        <v>#REF!</v>
      </c>
      <c r="CK230" t="e">
        <f>AND(#REF!,"AAAAAH7/f1g=")</f>
        <v>#REF!</v>
      </c>
      <c r="CL230" t="e">
        <f>AND(#REF!,"AAAAAH7/f1k=")</f>
        <v>#REF!</v>
      </c>
      <c r="CM230" t="e">
        <f>AND(#REF!,"AAAAAH7/f1o=")</f>
        <v>#REF!</v>
      </c>
      <c r="CN230" t="e">
        <f>AND(#REF!,"AAAAAH7/f1s=")</f>
        <v>#REF!</v>
      </c>
      <c r="CO230" t="e">
        <f>AND(#REF!,"AAAAAH7/f1w=")</f>
        <v>#REF!</v>
      </c>
      <c r="CP230" t="e">
        <f>AND(#REF!,"AAAAAH7/f10=")</f>
        <v>#REF!</v>
      </c>
      <c r="CQ230" t="e">
        <f>AND(#REF!,"AAAAAH7/f14=")</f>
        <v>#REF!</v>
      </c>
      <c r="CR230" t="e">
        <f>AND(#REF!,"AAAAAH7/f18=")</f>
        <v>#REF!</v>
      </c>
      <c r="CS230" t="e">
        <f>AND(#REF!,"AAAAAH7/f2A=")</f>
        <v>#REF!</v>
      </c>
      <c r="CT230" t="e">
        <f>AND(#REF!,"AAAAAH7/f2E=")</f>
        <v>#REF!</v>
      </c>
      <c r="CU230" t="e">
        <f>AND(#REF!,"AAAAAH7/f2I=")</f>
        <v>#REF!</v>
      </c>
      <c r="CV230" t="e">
        <f>AND(#REF!,"AAAAAH7/f2M=")</f>
        <v>#REF!</v>
      </c>
      <c r="CW230" t="e">
        <f>AND(#REF!,"AAAAAH7/f2Q=")</f>
        <v>#REF!</v>
      </c>
      <c r="CX230" t="e">
        <f>AND(#REF!,"AAAAAH7/f2U=")</f>
        <v>#REF!</v>
      </c>
      <c r="CY230" t="e">
        <f>AND(#REF!,"AAAAAH7/f2Y=")</f>
        <v>#REF!</v>
      </c>
      <c r="CZ230" t="e">
        <f>AND(#REF!,"AAAAAH7/f2c=")</f>
        <v>#REF!</v>
      </c>
      <c r="DA230" t="e">
        <f>AND(#REF!,"AAAAAH7/f2g=")</f>
        <v>#REF!</v>
      </c>
      <c r="DB230" t="e">
        <f>AND(#REF!,"AAAAAH7/f2k=")</f>
        <v>#REF!</v>
      </c>
      <c r="DC230" t="e">
        <f>AND(#REF!,"AAAAAH7/f2o=")</f>
        <v>#REF!</v>
      </c>
      <c r="DD230" t="e">
        <f>AND(#REF!,"AAAAAH7/f2s=")</f>
        <v>#REF!</v>
      </c>
      <c r="DE230" t="e">
        <f>AND(#REF!,"AAAAAH7/f2w=")</f>
        <v>#REF!</v>
      </c>
      <c r="DF230" t="e">
        <f>AND(#REF!,"AAAAAH7/f20=")</f>
        <v>#REF!</v>
      </c>
      <c r="DG230" t="e">
        <f>AND(#REF!,"AAAAAH7/f24=")</f>
        <v>#REF!</v>
      </c>
      <c r="DH230" t="e">
        <f>IF(#REF!,"AAAAAH7/f28=",0)</f>
        <v>#REF!</v>
      </c>
      <c r="DI230" t="e">
        <f>AND(#REF!,"AAAAAH7/f3A=")</f>
        <v>#REF!</v>
      </c>
      <c r="DJ230" t="e">
        <f>AND(#REF!,"AAAAAH7/f3E=")</f>
        <v>#REF!</v>
      </c>
      <c r="DK230" t="e">
        <f>AND(#REF!,"AAAAAH7/f3I=")</f>
        <v>#REF!</v>
      </c>
      <c r="DL230" t="e">
        <f>AND(#REF!,"AAAAAH7/f3M=")</f>
        <v>#REF!</v>
      </c>
      <c r="DM230" t="e">
        <f>AND(#REF!,"AAAAAH7/f3Q=")</f>
        <v>#REF!</v>
      </c>
      <c r="DN230" t="e">
        <f>AND(#REF!,"AAAAAH7/f3U=")</f>
        <v>#REF!</v>
      </c>
      <c r="DO230" t="e">
        <f>AND(#REF!,"AAAAAH7/f3Y=")</f>
        <v>#REF!</v>
      </c>
      <c r="DP230" t="e">
        <f>AND(#REF!,"AAAAAH7/f3c=")</f>
        <v>#REF!</v>
      </c>
      <c r="DQ230" t="e">
        <f>AND(#REF!,"AAAAAH7/f3g=")</f>
        <v>#REF!</v>
      </c>
      <c r="DR230" t="e">
        <f>AND(#REF!,"AAAAAH7/f3k=")</f>
        <v>#REF!</v>
      </c>
      <c r="DS230" t="e">
        <f>AND(#REF!,"AAAAAH7/f3o=")</f>
        <v>#REF!</v>
      </c>
      <c r="DT230" t="e">
        <f>AND(#REF!,"AAAAAH7/f3s=")</f>
        <v>#REF!</v>
      </c>
      <c r="DU230" t="e">
        <f>AND(#REF!,"AAAAAH7/f3w=")</f>
        <v>#REF!</v>
      </c>
      <c r="DV230" t="e">
        <f>AND(#REF!,"AAAAAH7/f30=")</f>
        <v>#REF!</v>
      </c>
      <c r="DW230" t="e">
        <f>AND(#REF!,"AAAAAH7/f34=")</f>
        <v>#REF!</v>
      </c>
      <c r="DX230" t="e">
        <f>AND(#REF!,"AAAAAH7/f38=")</f>
        <v>#REF!</v>
      </c>
      <c r="DY230" t="e">
        <f>AND(#REF!,"AAAAAH7/f4A=")</f>
        <v>#REF!</v>
      </c>
      <c r="DZ230" t="e">
        <f>AND(#REF!,"AAAAAH7/f4E=")</f>
        <v>#REF!</v>
      </c>
      <c r="EA230" t="e">
        <f>AND(#REF!,"AAAAAH7/f4I=")</f>
        <v>#REF!</v>
      </c>
      <c r="EB230" t="e">
        <f>AND(#REF!,"AAAAAH7/f4M=")</f>
        <v>#REF!</v>
      </c>
      <c r="EC230" t="e">
        <f>AND(#REF!,"AAAAAH7/f4Q=")</f>
        <v>#REF!</v>
      </c>
      <c r="ED230" t="e">
        <f>AND(#REF!,"AAAAAH7/f4U=")</f>
        <v>#REF!</v>
      </c>
      <c r="EE230" t="e">
        <f>AND(#REF!,"AAAAAH7/f4Y=")</f>
        <v>#REF!</v>
      </c>
      <c r="EF230" t="e">
        <f>AND(#REF!,"AAAAAH7/f4c=")</f>
        <v>#REF!</v>
      </c>
      <c r="EG230" t="e">
        <f>IF(#REF!,"AAAAAH7/f4g=",0)</f>
        <v>#REF!</v>
      </c>
      <c r="EH230" t="e">
        <f>AND(#REF!,"AAAAAH7/f4k=")</f>
        <v>#REF!</v>
      </c>
      <c r="EI230" t="e">
        <f>AND(#REF!,"AAAAAH7/f4o=")</f>
        <v>#REF!</v>
      </c>
      <c r="EJ230" t="e">
        <f>AND(#REF!,"AAAAAH7/f4s=")</f>
        <v>#REF!</v>
      </c>
      <c r="EK230" t="e">
        <f>AND(#REF!,"AAAAAH7/f4w=")</f>
        <v>#REF!</v>
      </c>
      <c r="EL230" t="e">
        <f>AND(#REF!,"AAAAAH7/f40=")</f>
        <v>#REF!</v>
      </c>
      <c r="EM230" t="e">
        <f>AND(#REF!,"AAAAAH7/f44=")</f>
        <v>#REF!</v>
      </c>
      <c r="EN230" t="e">
        <f>AND(#REF!,"AAAAAH7/f48=")</f>
        <v>#REF!</v>
      </c>
      <c r="EO230" t="e">
        <f>AND(#REF!,"AAAAAH7/f5A=")</f>
        <v>#REF!</v>
      </c>
      <c r="EP230" t="e">
        <f>AND(#REF!,"AAAAAH7/f5E=")</f>
        <v>#REF!</v>
      </c>
      <c r="EQ230" t="e">
        <f>AND(#REF!,"AAAAAH7/f5I=")</f>
        <v>#REF!</v>
      </c>
      <c r="ER230" t="e">
        <f>AND(#REF!,"AAAAAH7/f5M=")</f>
        <v>#REF!</v>
      </c>
      <c r="ES230" t="e">
        <f>AND(#REF!,"AAAAAH7/f5Q=")</f>
        <v>#REF!</v>
      </c>
      <c r="ET230" t="e">
        <f>AND(#REF!,"AAAAAH7/f5U=")</f>
        <v>#REF!</v>
      </c>
      <c r="EU230" t="e">
        <f>AND(#REF!,"AAAAAH7/f5Y=")</f>
        <v>#REF!</v>
      </c>
      <c r="EV230" t="e">
        <f>AND(#REF!,"AAAAAH7/f5c=")</f>
        <v>#REF!</v>
      </c>
      <c r="EW230" t="e">
        <f>AND(#REF!,"AAAAAH7/f5g=")</f>
        <v>#REF!</v>
      </c>
      <c r="EX230" t="e">
        <f>AND(#REF!,"AAAAAH7/f5k=")</f>
        <v>#REF!</v>
      </c>
      <c r="EY230" t="e">
        <f>AND(#REF!,"AAAAAH7/f5o=")</f>
        <v>#REF!</v>
      </c>
      <c r="EZ230" t="e">
        <f>AND(#REF!,"AAAAAH7/f5s=")</f>
        <v>#REF!</v>
      </c>
      <c r="FA230" t="e">
        <f>AND(#REF!,"AAAAAH7/f5w=")</f>
        <v>#REF!</v>
      </c>
      <c r="FB230" t="e">
        <f>AND(#REF!,"AAAAAH7/f50=")</f>
        <v>#REF!</v>
      </c>
      <c r="FC230" t="e">
        <f>AND(#REF!,"AAAAAH7/f54=")</f>
        <v>#REF!</v>
      </c>
      <c r="FD230" t="e">
        <f>AND(#REF!,"AAAAAH7/f58=")</f>
        <v>#REF!</v>
      </c>
      <c r="FE230" t="e">
        <f>AND(#REF!,"AAAAAH7/f6A=")</f>
        <v>#REF!</v>
      </c>
      <c r="FF230" t="e">
        <f>IF(#REF!,"AAAAAH7/f6E=",0)</f>
        <v>#REF!</v>
      </c>
      <c r="FG230" t="e">
        <f>AND(#REF!,"AAAAAH7/f6I=")</f>
        <v>#REF!</v>
      </c>
      <c r="FH230" t="e">
        <f>AND(#REF!,"AAAAAH7/f6M=")</f>
        <v>#REF!</v>
      </c>
      <c r="FI230" t="e">
        <f>AND(#REF!,"AAAAAH7/f6Q=")</f>
        <v>#REF!</v>
      </c>
      <c r="FJ230" t="e">
        <f>AND(#REF!,"AAAAAH7/f6U=")</f>
        <v>#REF!</v>
      </c>
      <c r="FK230" t="e">
        <f>AND(#REF!,"AAAAAH7/f6Y=")</f>
        <v>#REF!</v>
      </c>
      <c r="FL230" t="e">
        <f>AND(#REF!,"AAAAAH7/f6c=")</f>
        <v>#REF!</v>
      </c>
      <c r="FM230" t="e">
        <f>AND(#REF!,"AAAAAH7/f6g=")</f>
        <v>#REF!</v>
      </c>
      <c r="FN230" t="e">
        <f>AND(#REF!,"AAAAAH7/f6k=")</f>
        <v>#REF!</v>
      </c>
      <c r="FO230" t="e">
        <f>AND(#REF!,"AAAAAH7/f6o=")</f>
        <v>#REF!</v>
      </c>
      <c r="FP230" t="e">
        <f>AND(#REF!,"AAAAAH7/f6s=")</f>
        <v>#REF!</v>
      </c>
      <c r="FQ230" t="e">
        <f>AND(#REF!,"AAAAAH7/f6w=")</f>
        <v>#REF!</v>
      </c>
      <c r="FR230" t="e">
        <f>AND(#REF!,"AAAAAH7/f60=")</f>
        <v>#REF!</v>
      </c>
      <c r="FS230" t="e">
        <f>AND(#REF!,"AAAAAH7/f64=")</f>
        <v>#REF!</v>
      </c>
      <c r="FT230" t="e">
        <f>AND(#REF!,"AAAAAH7/f68=")</f>
        <v>#REF!</v>
      </c>
      <c r="FU230" t="e">
        <f>AND(#REF!,"AAAAAH7/f7A=")</f>
        <v>#REF!</v>
      </c>
      <c r="FV230" t="e">
        <f>AND(#REF!,"AAAAAH7/f7E=")</f>
        <v>#REF!</v>
      </c>
      <c r="FW230" t="e">
        <f>AND(#REF!,"AAAAAH7/f7I=")</f>
        <v>#REF!</v>
      </c>
      <c r="FX230" t="e">
        <f>AND(#REF!,"AAAAAH7/f7M=")</f>
        <v>#REF!</v>
      </c>
      <c r="FY230" t="e">
        <f>AND(#REF!,"AAAAAH7/f7Q=")</f>
        <v>#REF!</v>
      </c>
      <c r="FZ230" t="e">
        <f>AND(#REF!,"AAAAAH7/f7U=")</f>
        <v>#REF!</v>
      </c>
      <c r="GA230" t="e">
        <f>AND(#REF!,"AAAAAH7/f7Y=")</f>
        <v>#REF!</v>
      </c>
      <c r="GB230" t="e">
        <f>AND(#REF!,"AAAAAH7/f7c=")</f>
        <v>#REF!</v>
      </c>
      <c r="GC230" t="e">
        <f>AND(#REF!,"AAAAAH7/f7g=")</f>
        <v>#REF!</v>
      </c>
      <c r="GD230" t="e">
        <f>AND(#REF!,"AAAAAH7/f7k=")</f>
        <v>#REF!</v>
      </c>
      <c r="GE230" t="e">
        <f>IF(#REF!,"AAAAAH7/f7o=",0)</f>
        <v>#REF!</v>
      </c>
      <c r="GF230" t="e">
        <f>AND(#REF!,"AAAAAH7/f7s=")</f>
        <v>#REF!</v>
      </c>
      <c r="GG230" t="e">
        <f>AND(#REF!,"AAAAAH7/f7w=")</f>
        <v>#REF!</v>
      </c>
      <c r="GH230" t="e">
        <f>AND(#REF!,"AAAAAH7/f70=")</f>
        <v>#REF!</v>
      </c>
      <c r="GI230" t="e">
        <f>AND(#REF!,"AAAAAH7/f74=")</f>
        <v>#REF!</v>
      </c>
      <c r="GJ230" t="e">
        <f>AND(#REF!,"AAAAAH7/f78=")</f>
        <v>#REF!</v>
      </c>
      <c r="GK230" t="e">
        <f>AND(#REF!,"AAAAAH7/f8A=")</f>
        <v>#REF!</v>
      </c>
      <c r="GL230" t="e">
        <f>AND(#REF!,"AAAAAH7/f8E=")</f>
        <v>#REF!</v>
      </c>
      <c r="GM230" t="e">
        <f>AND(#REF!,"AAAAAH7/f8I=")</f>
        <v>#REF!</v>
      </c>
      <c r="GN230" t="e">
        <f>AND(#REF!,"AAAAAH7/f8M=")</f>
        <v>#REF!</v>
      </c>
      <c r="GO230" t="e">
        <f>AND(#REF!,"AAAAAH7/f8Q=")</f>
        <v>#REF!</v>
      </c>
      <c r="GP230" t="e">
        <f>AND(#REF!,"AAAAAH7/f8U=")</f>
        <v>#REF!</v>
      </c>
      <c r="GQ230" t="e">
        <f>AND(#REF!,"AAAAAH7/f8Y=")</f>
        <v>#REF!</v>
      </c>
      <c r="GR230" t="e">
        <f>AND(#REF!,"AAAAAH7/f8c=")</f>
        <v>#REF!</v>
      </c>
      <c r="GS230" t="e">
        <f>AND(#REF!,"AAAAAH7/f8g=")</f>
        <v>#REF!</v>
      </c>
      <c r="GT230" t="e">
        <f>AND(#REF!,"AAAAAH7/f8k=")</f>
        <v>#REF!</v>
      </c>
      <c r="GU230" t="e">
        <f>AND(#REF!,"AAAAAH7/f8o=")</f>
        <v>#REF!</v>
      </c>
      <c r="GV230" t="e">
        <f>AND(#REF!,"AAAAAH7/f8s=")</f>
        <v>#REF!</v>
      </c>
      <c r="GW230" t="e">
        <f>AND(#REF!,"AAAAAH7/f8w=")</f>
        <v>#REF!</v>
      </c>
      <c r="GX230" t="e">
        <f>AND(#REF!,"AAAAAH7/f80=")</f>
        <v>#REF!</v>
      </c>
      <c r="GY230" t="e">
        <f>AND(#REF!,"AAAAAH7/f84=")</f>
        <v>#REF!</v>
      </c>
      <c r="GZ230" t="e">
        <f>AND(#REF!,"AAAAAH7/f88=")</f>
        <v>#REF!</v>
      </c>
      <c r="HA230" t="e">
        <f>AND(#REF!,"AAAAAH7/f9A=")</f>
        <v>#REF!</v>
      </c>
      <c r="HB230" t="e">
        <f>AND(#REF!,"AAAAAH7/f9E=")</f>
        <v>#REF!</v>
      </c>
      <c r="HC230" t="e">
        <f>AND(#REF!,"AAAAAH7/f9I=")</f>
        <v>#REF!</v>
      </c>
      <c r="HD230" t="e">
        <f>IF(#REF!,"AAAAAH7/f9M=",0)</f>
        <v>#REF!</v>
      </c>
      <c r="HE230" t="e">
        <f>AND(#REF!,"AAAAAH7/f9Q=")</f>
        <v>#REF!</v>
      </c>
      <c r="HF230" t="e">
        <f>AND(#REF!,"AAAAAH7/f9U=")</f>
        <v>#REF!</v>
      </c>
      <c r="HG230" t="e">
        <f>AND(#REF!,"AAAAAH7/f9Y=")</f>
        <v>#REF!</v>
      </c>
      <c r="HH230" t="e">
        <f>AND(#REF!,"AAAAAH7/f9c=")</f>
        <v>#REF!</v>
      </c>
      <c r="HI230" t="e">
        <f>AND(#REF!,"AAAAAH7/f9g=")</f>
        <v>#REF!</v>
      </c>
      <c r="HJ230" t="e">
        <f>AND(#REF!,"AAAAAH7/f9k=")</f>
        <v>#REF!</v>
      </c>
      <c r="HK230" t="e">
        <f>AND(#REF!,"AAAAAH7/f9o=")</f>
        <v>#REF!</v>
      </c>
      <c r="HL230" t="e">
        <f>AND(#REF!,"AAAAAH7/f9s=")</f>
        <v>#REF!</v>
      </c>
      <c r="HM230" t="e">
        <f>AND(#REF!,"AAAAAH7/f9w=")</f>
        <v>#REF!</v>
      </c>
      <c r="HN230" t="e">
        <f>AND(#REF!,"AAAAAH7/f90=")</f>
        <v>#REF!</v>
      </c>
      <c r="HO230" t="e">
        <f>AND(#REF!,"AAAAAH7/f94=")</f>
        <v>#REF!</v>
      </c>
      <c r="HP230" t="e">
        <f>AND(#REF!,"AAAAAH7/f98=")</f>
        <v>#REF!</v>
      </c>
      <c r="HQ230" t="e">
        <f>AND(#REF!,"AAAAAH7/f+A=")</f>
        <v>#REF!</v>
      </c>
      <c r="HR230" t="e">
        <f>AND(#REF!,"AAAAAH7/f+E=")</f>
        <v>#REF!</v>
      </c>
      <c r="HS230" t="e">
        <f>AND(#REF!,"AAAAAH7/f+I=")</f>
        <v>#REF!</v>
      </c>
      <c r="HT230" t="e">
        <f>AND(#REF!,"AAAAAH7/f+M=")</f>
        <v>#REF!</v>
      </c>
      <c r="HU230" t="e">
        <f>AND(#REF!,"AAAAAH7/f+Q=")</f>
        <v>#REF!</v>
      </c>
      <c r="HV230" t="e">
        <f>AND(#REF!,"AAAAAH7/f+U=")</f>
        <v>#REF!</v>
      </c>
      <c r="HW230" t="e">
        <f>AND(#REF!,"AAAAAH7/f+Y=")</f>
        <v>#REF!</v>
      </c>
      <c r="HX230" t="e">
        <f>AND(#REF!,"AAAAAH7/f+c=")</f>
        <v>#REF!</v>
      </c>
      <c r="HY230" t="e">
        <f>AND(#REF!,"AAAAAH7/f+g=")</f>
        <v>#REF!</v>
      </c>
      <c r="HZ230" t="e">
        <f>AND(#REF!,"AAAAAH7/f+k=")</f>
        <v>#REF!</v>
      </c>
      <c r="IA230" t="e">
        <f>AND(#REF!,"AAAAAH7/f+o=")</f>
        <v>#REF!</v>
      </c>
      <c r="IB230" t="e">
        <f>AND(#REF!,"AAAAAH7/f+s=")</f>
        <v>#REF!</v>
      </c>
      <c r="IC230" t="e">
        <f>IF(#REF!,"AAAAAH7/f+w=",0)</f>
        <v>#REF!</v>
      </c>
      <c r="ID230" t="e">
        <f>AND(#REF!,"AAAAAH7/f+0=")</f>
        <v>#REF!</v>
      </c>
      <c r="IE230" t="e">
        <f>AND(#REF!,"AAAAAH7/f+4=")</f>
        <v>#REF!</v>
      </c>
      <c r="IF230" t="e">
        <f>AND(#REF!,"AAAAAH7/f+8=")</f>
        <v>#REF!</v>
      </c>
      <c r="IG230" t="e">
        <f>AND(#REF!,"AAAAAH7/f/A=")</f>
        <v>#REF!</v>
      </c>
      <c r="IH230" t="e">
        <f>AND(#REF!,"AAAAAH7/f/E=")</f>
        <v>#REF!</v>
      </c>
      <c r="II230" t="e">
        <f>AND(#REF!,"AAAAAH7/f/I=")</f>
        <v>#REF!</v>
      </c>
      <c r="IJ230" t="e">
        <f>AND(#REF!,"AAAAAH7/f/M=")</f>
        <v>#REF!</v>
      </c>
      <c r="IK230" t="e">
        <f>AND(#REF!,"AAAAAH7/f/Q=")</f>
        <v>#REF!</v>
      </c>
      <c r="IL230" t="e">
        <f>AND(#REF!,"AAAAAH7/f/U=")</f>
        <v>#REF!</v>
      </c>
      <c r="IM230" t="e">
        <f>AND(#REF!,"AAAAAH7/f/Y=")</f>
        <v>#REF!</v>
      </c>
      <c r="IN230" t="e">
        <f>AND(#REF!,"AAAAAH7/f/c=")</f>
        <v>#REF!</v>
      </c>
      <c r="IO230" t="e">
        <f>AND(#REF!,"AAAAAH7/f/g=")</f>
        <v>#REF!</v>
      </c>
      <c r="IP230" t="e">
        <f>AND(#REF!,"AAAAAH7/f/k=")</f>
        <v>#REF!</v>
      </c>
      <c r="IQ230" t="e">
        <f>AND(#REF!,"AAAAAH7/f/o=")</f>
        <v>#REF!</v>
      </c>
      <c r="IR230" t="e">
        <f>AND(#REF!,"AAAAAH7/f/s=")</f>
        <v>#REF!</v>
      </c>
      <c r="IS230" t="e">
        <f>AND(#REF!,"AAAAAH7/f/w=")</f>
        <v>#REF!</v>
      </c>
      <c r="IT230" t="e">
        <f>AND(#REF!,"AAAAAH7/f/0=")</f>
        <v>#REF!</v>
      </c>
      <c r="IU230" t="e">
        <f>AND(#REF!,"AAAAAH7/f/4=")</f>
        <v>#REF!</v>
      </c>
      <c r="IV230" t="e">
        <f>AND(#REF!,"AAAAAH7/f/8=")</f>
        <v>#REF!</v>
      </c>
    </row>
    <row r="231" spans="1:256">
      <c r="A231" t="e">
        <f>AND(#REF!,"AAAAAH61+gA=")</f>
        <v>#REF!</v>
      </c>
      <c r="B231" t="e">
        <f>AND(#REF!,"AAAAAH61+gE=")</f>
        <v>#REF!</v>
      </c>
      <c r="C231" t="e">
        <f>AND(#REF!,"AAAAAH61+gI=")</f>
        <v>#REF!</v>
      </c>
      <c r="D231" t="e">
        <f>AND(#REF!,"AAAAAH61+gM=")</f>
        <v>#REF!</v>
      </c>
      <c r="E231" t="e">
        <f>AND(#REF!,"AAAAAH61+gQ=")</f>
        <v>#REF!</v>
      </c>
      <c r="F231" t="e">
        <f>IF(#REF!,"AAAAAH61+gU=",0)</f>
        <v>#REF!</v>
      </c>
      <c r="G231" t="e">
        <f>AND(#REF!,"AAAAAH61+gY=")</f>
        <v>#REF!</v>
      </c>
      <c r="H231" t="e">
        <f>AND(#REF!,"AAAAAH61+gc=")</f>
        <v>#REF!</v>
      </c>
      <c r="I231" t="e">
        <f>AND(#REF!,"AAAAAH61+gg=")</f>
        <v>#REF!</v>
      </c>
      <c r="J231" t="e">
        <f>AND(#REF!,"AAAAAH61+gk=")</f>
        <v>#REF!</v>
      </c>
      <c r="K231" t="e">
        <f>AND(#REF!,"AAAAAH61+go=")</f>
        <v>#REF!</v>
      </c>
      <c r="L231" t="e">
        <f>AND(#REF!,"AAAAAH61+gs=")</f>
        <v>#REF!</v>
      </c>
      <c r="M231" t="e">
        <f>AND(#REF!,"AAAAAH61+gw=")</f>
        <v>#REF!</v>
      </c>
      <c r="N231" t="e">
        <f>AND(#REF!,"AAAAAH61+g0=")</f>
        <v>#REF!</v>
      </c>
      <c r="O231" t="e">
        <f>AND(#REF!,"AAAAAH61+g4=")</f>
        <v>#REF!</v>
      </c>
      <c r="P231" t="e">
        <f>AND(#REF!,"AAAAAH61+g8=")</f>
        <v>#REF!</v>
      </c>
      <c r="Q231" t="e">
        <f>AND(#REF!,"AAAAAH61+hA=")</f>
        <v>#REF!</v>
      </c>
      <c r="R231" t="e">
        <f>AND(#REF!,"AAAAAH61+hE=")</f>
        <v>#REF!</v>
      </c>
      <c r="S231" t="e">
        <f>AND(#REF!,"AAAAAH61+hI=")</f>
        <v>#REF!</v>
      </c>
      <c r="T231" t="e">
        <f>AND(#REF!,"AAAAAH61+hM=")</f>
        <v>#REF!</v>
      </c>
      <c r="U231" t="e">
        <f>AND(#REF!,"AAAAAH61+hQ=")</f>
        <v>#REF!</v>
      </c>
      <c r="V231" t="e">
        <f>AND(#REF!,"AAAAAH61+hU=")</f>
        <v>#REF!</v>
      </c>
      <c r="W231" t="e">
        <f>AND(#REF!,"AAAAAH61+hY=")</f>
        <v>#REF!</v>
      </c>
      <c r="X231" t="e">
        <f>AND(#REF!,"AAAAAH61+hc=")</f>
        <v>#REF!</v>
      </c>
      <c r="Y231" t="e">
        <f>AND(#REF!,"AAAAAH61+hg=")</f>
        <v>#REF!</v>
      </c>
      <c r="Z231" t="e">
        <f>AND(#REF!,"AAAAAH61+hk=")</f>
        <v>#REF!</v>
      </c>
      <c r="AA231" t="e">
        <f>AND(#REF!,"AAAAAH61+ho=")</f>
        <v>#REF!</v>
      </c>
      <c r="AB231" t="e">
        <f>AND(#REF!,"AAAAAH61+hs=")</f>
        <v>#REF!</v>
      </c>
      <c r="AC231" t="e">
        <f>AND(#REF!,"AAAAAH61+hw=")</f>
        <v>#REF!</v>
      </c>
      <c r="AD231" t="e">
        <f>AND(#REF!,"AAAAAH61+h0=")</f>
        <v>#REF!</v>
      </c>
      <c r="AE231" t="e">
        <f>IF(#REF!,"AAAAAH61+h4=",0)</f>
        <v>#REF!</v>
      </c>
      <c r="AF231" t="e">
        <f>AND(#REF!,"AAAAAH61+h8=")</f>
        <v>#REF!</v>
      </c>
      <c r="AG231" t="e">
        <f>AND(#REF!,"AAAAAH61+iA=")</f>
        <v>#REF!</v>
      </c>
      <c r="AH231" t="e">
        <f>AND(#REF!,"AAAAAH61+iE=")</f>
        <v>#REF!</v>
      </c>
      <c r="AI231" t="e">
        <f>AND(#REF!,"AAAAAH61+iI=")</f>
        <v>#REF!</v>
      </c>
      <c r="AJ231" t="e">
        <f>AND(#REF!,"AAAAAH61+iM=")</f>
        <v>#REF!</v>
      </c>
      <c r="AK231" t="e">
        <f>AND(#REF!,"AAAAAH61+iQ=")</f>
        <v>#REF!</v>
      </c>
      <c r="AL231" t="e">
        <f>AND(#REF!,"AAAAAH61+iU=")</f>
        <v>#REF!</v>
      </c>
      <c r="AM231" t="e">
        <f>AND(#REF!,"AAAAAH61+iY=")</f>
        <v>#REF!</v>
      </c>
      <c r="AN231" t="e">
        <f>AND(#REF!,"AAAAAH61+ic=")</f>
        <v>#REF!</v>
      </c>
      <c r="AO231" t="e">
        <f>AND(#REF!,"AAAAAH61+ig=")</f>
        <v>#REF!</v>
      </c>
      <c r="AP231" t="e">
        <f>AND(#REF!,"AAAAAH61+ik=")</f>
        <v>#REF!</v>
      </c>
      <c r="AQ231" t="e">
        <f>AND(#REF!,"AAAAAH61+io=")</f>
        <v>#REF!</v>
      </c>
      <c r="AR231" t="e">
        <f>AND(#REF!,"AAAAAH61+is=")</f>
        <v>#REF!</v>
      </c>
      <c r="AS231" t="e">
        <f>AND(#REF!,"AAAAAH61+iw=")</f>
        <v>#REF!</v>
      </c>
      <c r="AT231" t="e">
        <f>AND(#REF!,"AAAAAH61+i0=")</f>
        <v>#REF!</v>
      </c>
      <c r="AU231" t="e">
        <f>AND(#REF!,"AAAAAH61+i4=")</f>
        <v>#REF!</v>
      </c>
      <c r="AV231" t="e">
        <f>AND(#REF!,"AAAAAH61+i8=")</f>
        <v>#REF!</v>
      </c>
      <c r="AW231" t="e">
        <f>AND(#REF!,"AAAAAH61+jA=")</f>
        <v>#REF!</v>
      </c>
      <c r="AX231" t="e">
        <f>AND(#REF!,"AAAAAH61+jE=")</f>
        <v>#REF!</v>
      </c>
      <c r="AY231" t="e">
        <f>AND(#REF!,"AAAAAH61+jI=")</f>
        <v>#REF!</v>
      </c>
      <c r="AZ231" t="e">
        <f>AND(#REF!,"AAAAAH61+jM=")</f>
        <v>#REF!</v>
      </c>
      <c r="BA231" t="e">
        <f>AND(#REF!,"AAAAAH61+jQ=")</f>
        <v>#REF!</v>
      </c>
      <c r="BB231" t="e">
        <f>AND(#REF!,"AAAAAH61+jU=")</f>
        <v>#REF!</v>
      </c>
      <c r="BC231" t="e">
        <f>AND(#REF!,"AAAAAH61+jY=")</f>
        <v>#REF!</v>
      </c>
      <c r="BD231" t="e">
        <f>IF(#REF!,"AAAAAH61+jc=",0)</f>
        <v>#REF!</v>
      </c>
      <c r="BE231" t="e">
        <f>AND(#REF!,"AAAAAH61+jg=")</f>
        <v>#REF!</v>
      </c>
      <c r="BF231" t="e">
        <f>AND(#REF!,"AAAAAH61+jk=")</f>
        <v>#REF!</v>
      </c>
      <c r="BG231" t="e">
        <f>AND(#REF!,"AAAAAH61+jo=")</f>
        <v>#REF!</v>
      </c>
      <c r="BH231" t="e">
        <f>AND(#REF!,"AAAAAH61+js=")</f>
        <v>#REF!</v>
      </c>
      <c r="BI231" t="e">
        <f>AND(#REF!,"AAAAAH61+jw=")</f>
        <v>#REF!</v>
      </c>
      <c r="BJ231" t="e">
        <f>AND(#REF!,"AAAAAH61+j0=")</f>
        <v>#REF!</v>
      </c>
      <c r="BK231" t="e">
        <f>AND(#REF!,"AAAAAH61+j4=")</f>
        <v>#REF!</v>
      </c>
      <c r="BL231" t="e">
        <f>AND(#REF!,"AAAAAH61+j8=")</f>
        <v>#REF!</v>
      </c>
      <c r="BM231" t="e">
        <f>AND(#REF!,"AAAAAH61+kA=")</f>
        <v>#REF!</v>
      </c>
      <c r="BN231" t="e">
        <f>AND(#REF!,"AAAAAH61+kE=")</f>
        <v>#REF!</v>
      </c>
      <c r="BO231" t="e">
        <f>AND(#REF!,"AAAAAH61+kI=")</f>
        <v>#REF!</v>
      </c>
      <c r="BP231" t="e">
        <f>AND(#REF!,"AAAAAH61+kM=")</f>
        <v>#REF!</v>
      </c>
      <c r="BQ231" t="e">
        <f>AND(#REF!,"AAAAAH61+kQ=")</f>
        <v>#REF!</v>
      </c>
      <c r="BR231" t="e">
        <f>AND(#REF!,"AAAAAH61+kU=")</f>
        <v>#REF!</v>
      </c>
      <c r="BS231" t="e">
        <f>AND(#REF!,"AAAAAH61+kY=")</f>
        <v>#REF!</v>
      </c>
      <c r="BT231" t="e">
        <f>AND(#REF!,"AAAAAH61+kc=")</f>
        <v>#REF!</v>
      </c>
      <c r="BU231" t="e">
        <f>AND(#REF!,"AAAAAH61+kg=")</f>
        <v>#REF!</v>
      </c>
      <c r="BV231" t="e">
        <f>AND(#REF!,"AAAAAH61+kk=")</f>
        <v>#REF!</v>
      </c>
      <c r="BW231" t="e">
        <f>AND(#REF!,"AAAAAH61+ko=")</f>
        <v>#REF!</v>
      </c>
      <c r="BX231" t="e">
        <f>AND(#REF!,"AAAAAH61+ks=")</f>
        <v>#REF!</v>
      </c>
      <c r="BY231" t="e">
        <f>AND(#REF!,"AAAAAH61+kw=")</f>
        <v>#REF!</v>
      </c>
      <c r="BZ231" t="e">
        <f>AND(#REF!,"AAAAAH61+k0=")</f>
        <v>#REF!</v>
      </c>
      <c r="CA231" t="e">
        <f>AND(#REF!,"AAAAAH61+k4=")</f>
        <v>#REF!</v>
      </c>
      <c r="CB231" t="e">
        <f>AND(#REF!,"AAAAAH61+k8=")</f>
        <v>#REF!</v>
      </c>
      <c r="CC231" t="e">
        <f>IF(#REF!,"AAAAAH61+lA=",0)</f>
        <v>#REF!</v>
      </c>
      <c r="CD231" t="e">
        <f>AND(#REF!,"AAAAAH61+lE=")</f>
        <v>#REF!</v>
      </c>
      <c r="CE231" t="e">
        <f>AND(#REF!,"AAAAAH61+lI=")</f>
        <v>#REF!</v>
      </c>
      <c r="CF231" t="e">
        <f>AND(#REF!,"AAAAAH61+lM=")</f>
        <v>#REF!</v>
      </c>
      <c r="CG231" t="e">
        <f>AND(#REF!,"AAAAAH61+lQ=")</f>
        <v>#REF!</v>
      </c>
      <c r="CH231" t="e">
        <f>AND(#REF!,"AAAAAH61+lU=")</f>
        <v>#REF!</v>
      </c>
      <c r="CI231" t="e">
        <f>AND(#REF!,"AAAAAH61+lY=")</f>
        <v>#REF!</v>
      </c>
      <c r="CJ231" t="e">
        <f>AND(#REF!,"AAAAAH61+lc=")</f>
        <v>#REF!</v>
      </c>
      <c r="CK231" t="e">
        <f>AND(#REF!,"AAAAAH61+lg=")</f>
        <v>#REF!</v>
      </c>
      <c r="CL231" t="e">
        <f>AND(#REF!,"AAAAAH61+lk=")</f>
        <v>#REF!</v>
      </c>
      <c r="CM231" t="e">
        <f>AND(#REF!,"AAAAAH61+lo=")</f>
        <v>#REF!</v>
      </c>
      <c r="CN231" t="e">
        <f>AND(#REF!,"AAAAAH61+ls=")</f>
        <v>#REF!</v>
      </c>
      <c r="CO231" t="e">
        <f>AND(#REF!,"AAAAAH61+lw=")</f>
        <v>#REF!</v>
      </c>
      <c r="CP231" t="e">
        <f>AND(#REF!,"AAAAAH61+l0=")</f>
        <v>#REF!</v>
      </c>
      <c r="CQ231" t="e">
        <f>AND(#REF!,"AAAAAH61+l4=")</f>
        <v>#REF!</v>
      </c>
      <c r="CR231" t="e">
        <f>AND(#REF!,"AAAAAH61+l8=")</f>
        <v>#REF!</v>
      </c>
      <c r="CS231" t="e">
        <f>AND(#REF!,"AAAAAH61+mA=")</f>
        <v>#REF!</v>
      </c>
      <c r="CT231" t="e">
        <f>AND(#REF!,"AAAAAH61+mE=")</f>
        <v>#REF!</v>
      </c>
      <c r="CU231" t="e">
        <f>AND(#REF!,"AAAAAH61+mI=")</f>
        <v>#REF!</v>
      </c>
      <c r="CV231" t="e">
        <f>AND(#REF!,"AAAAAH61+mM=")</f>
        <v>#REF!</v>
      </c>
      <c r="CW231" t="e">
        <f>AND(#REF!,"AAAAAH61+mQ=")</f>
        <v>#REF!</v>
      </c>
      <c r="CX231" t="e">
        <f>AND(#REF!,"AAAAAH61+mU=")</f>
        <v>#REF!</v>
      </c>
      <c r="CY231" t="e">
        <f>AND(#REF!,"AAAAAH61+mY=")</f>
        <v>#REF!</v>
      </c>
      <c r="CZ231" t="e">
        <f>AND(#REF!,"AAAAAH61+mc=")</f>
        <v>#REF!</v>
      </c>
      <c r="DA231" t="e">
        <f>AND(#REF!,"AAAAAH61+mg=")</f>
        <v>#REF!</v>
      </c>
      <c r="DB231" t="e">
        <f>IF(#REF!,"AAAAAH61+mk=",0)</f>
        <v>#REF!</v>
      </c>
      <c r="DC231" t="e">
        <f>AND(#REF!,"AAAAAH61+mo=")</f>
        <v>#REF!</v>
      </c>
      <c r="DD231" t="e">
        <f>AND(#REF!,"AAAAAH61+ms=")</f>
        <v>#REF!</v>
      </c>
      <c r="DE231" t="e">
        <f>AND(#REF!,"AAAAAH61+mw=")</f>
        <v>#REF!</v>
      </c>
      <c r="DF231" t="e">
        <f>AND(#REF!,"AAAAAH61+m0=")</f>
        <v>#REF!</v>
      </c>
      <c r="DG231" t="e">
        <f>AND(#REF!,"AAAAAH61+m4=")</f>
        <v>#REF!</v>
      </c>
      <c r="DH231" t="e">
        <f>AND(#REF!,"AAAAAH61+m8=")</f>
        <v>#REF!</v>
      </c>
      <c r="DI231" t="e">
        <f>AND(#REF!,"AAAAAH61+nA=")</f>
        <v>#REF!</v>
      </c>
      <c r="DJ231" t="e">
        <f>AND(#REF!,"AAAAAH61+nE=")</f>
        <v>#REF!</v>
      </c>
      <c r="DK231" t="e">
        <f>AND(#REF!,"AAAAAH61+nI=")</f>
        <v>#REF!</v>
      </c>
      <c r="DL231" t="e">
        <f>AND(#REF!,"AAAAAH61+nM=")</f>
        <v>#REF!</v>
      </c>
      <c r="DM231" t="e">
        <f>AND(#REF!,"AAAAAH61+nQ=")</f>
        <v>#REF!</v>
      </c>
      <c r="DN231" t="e">
        <f>AND(#REF!,"AAAAAH61+nU=")</f>
        <v>#REF!</v>
      </c>
      <c r="DO231" t="e">
        <f>AND(#REF!,"AAAAAH61+nY=")</f>
        <v>#REF!</v>
      </c>
      <c r="DP231" t="e">
        <f>AND(#REF!,"AAAAAH61+nc=")</f>
        <v>#REF!</v>
      </c>
      <c r="DQ231" t="e">
        <f>AND(#REF!,"AAAAAH61+ng=")</f>
        <v>#REF!</v>
      </c>
      <c r="DR231" t="e">
        <f>AND(#REF!,"AAAAAH61+nk=")</f>
        <v>#REF!</v>
      </c>
      <c r="DS231" t="e">
        <f>AND(#REF!,"AAAAAH61+no=")</f>
        <v>#REF!</v>
      </c>
      <c r="DT231" t="e">
        <f>AND(#REF!,"AAAAAH61+ns=")</f>
        <v>#REF!</v>
      </c>
      <c r="DU231" t="e">
        <f>AND(#REF!,"AAAAAH61+nw=")</f>
        <v>#REF!</v>
      </c>
      <c r="DV231" t="e">
        <f>AND(#REF!,"AAAAAH61+n0=")</f>
        <v>#REF!</v>
      </c>
      <c r="DW231" t="e">
        <f>AND(#REF!,"AAAAAH61+n4=")</f>
        <v>#REF!</v>
      </c>
      <c r="DX231" t="e">
        <f>AND(#REF!,"AAAAAH61+n8=")</f>
        <v>#REF!</v>
      </c>
      <c r="DY231" t="e">
        <f>AND(#REF!,"AAAAAH61+oA=")</f>
        <v>#REF!</v>
      </c>
      <c r="DZ231" t="e">
        <f>AND(#REF!,"AAAAAH61+oE=")</f>
        <v>#REF!</v>
      </c>
      <c r="EA231" t="e">
        <f>IF(#REF!,"AAAAAH61+oI=",0)</f>
        <v>#REF!</v>
      </c>
      <c r="EB231" t="e">
        <f>AND(#REF!,"AAAAAH61+oM=")</f>
        <v>#REF!</v>
      </c>
      <c r="EC231" t="e">
        <f>AND(#REF!,"AAAAAH61+oQ=")</f>
        <v>#REF!</v>
      </c>
      <c r="ED231" t="e">
        <f>AND(#REF!,"AAAAAH61+oU=")</f>
        <v>#REF!</v>
      </c>
      <c r="EE231" t="e">
        <f>AND(#REF!,"AAAAAH61+oY=")</f>
        <v>#REF!</v>
      </c>
      <c r="EF231" t="e">
        <f>AND(#REF!,"AAAAAH61+oc=")</f>
        <v>#REF!</v>
      </c>
      <c r="EG231" t="e">
        <f>AND(#REF!,"AAAAAH61+og=")</f>
        <v>#REF!</v>
      </c>
      <c r="EH231" t="e">
        <f>AND(#REF!,"AAAAAH61+ok=")</f>
        <v>#REF!</v>
      </c>
      <c r="EI231" t="e">
        <f>AND(#REF!,"AAAAAH61+oo=")</f>
        <v>#REF!</v>
      </c>
      <c r="EJ231" t="e">
        <f>AND(#REF!,"AAAAAH61+os=")</f>
        <v>#REF!</v>
      </c>
      <c r="EK231" t="e">
        <f>AND(#REF!,"AAAAAH61+ow=")</f>
        <v>#REF!</v>
      </c>
      <c r="EL231" t="e">
        <f>AND(#REF!,"AAAAAH61+o0=")</f>
        <v>#REF!</v>
      </c>
      <c r="EM231" t="e">
        <f>AND(#REF!,"AAAAAH61+o4=")</f>
        <v>#REF!</v>
      </c>
      <c r="EN231" t="e">
        <f>AND(#REF!,"AAAAAH61+o8=")</f>
        <v>#REF!</v>
      </c>
      <c r="EO231" t="e">
        <f>AND(#REF!,"AAAAAH61+pA=")</f>
        <v>#REF!</v>
      </c>
      <c r="EP231" t="e">
        <f>AND(#REF!,"AAAAAH61+pE=")</f>
        <v>#REF!</v>
      </c>
      <c r="EQ231" t="e">
        <f>AND(#REF!,"AAAAAH61+pI=")</f>
        <v>#REF!</v>
      </c>
      <c r="ER231" t="e">
        <f>AND(#REF!,"AAAAAH61+pM=")</f>
        <v>#REF!</v>
      </c>
      <c r="ES231" t="e">
        <f>AND(#REF!,"AAAAAH61+pQ=")</f>
        <v>#REF!</v>
      </c>
      <c r="ET231" t="e">
        <f>AND(#REF!,"AAAAAH61+pU=")</f>
        <v>#REF!</v>
      </c>
      <c r="EU231" t="e">
        <f>AND(#REF!,"AAAAAH61+pY=")</f>
        <v>#REF!</v>
      </c>
      <c r="EV231" t="e">
        <f>AND(#REF!,"AAAAAH61+pc=")</f>
        <v>#REF!</v>
      </c>
      <c r="EW231" t="e">
        <f>AND(#REF!,"AAAAAH61+pg=")</f>
        <v>#REF!</v>
      </c>
      <c r="EX231" t="e">
        <f>AND(#REF!,"AAAAAH61+pk=")</f>
        <v>#REF!</v>
      </c>
      <c r="EY231" t="e">
        <f>AND(#REF!,"AAAAAH61+po=")</f>
        <v>#REF!</v>
      </c>
      <c r="EZ231" t="e">
        <f>IF(#REF!,"AAAAAH61+ps=",0)</f>
        <v>#REF!</v>
      </c>
      <c r="FA231" t="e">
        <f>AND(#REF!,"AAAAAH61+pw=")</f>
        <v>#REF!</v>
      </c>
      <c r="FB231" t="e">
        <f>AND(#REF!,"AAAAAH61+p0=")</f>
        <v>#REF!</v>
      </c>
      <c r="FC231" t="e">
        <f>AND(#REF!,"AAAAAH61+p4=")</f>
        <v>#REF!</v>
      </c>
      <c r="FD231" t="e">
        <f>AND(#REF!,"AAAAAH61+p8=")</f>
        <v>#REF!</v>
      </c>
      <c r="FE231" t="e">
        <f>AND(#REF!,"AAAAAH61+qA=")</f>
        <v>#REF!</v>
      </c>
      <c r="FF231" t="e">
        <f>AND(#REF!,"AAAAAH61+qE=")</f>
        <v>#REF!</v>
      </c>
      <c r="FG231" t="e">
        <f>AND(#REF!,"AAAAAH61+qI=")</f>
        <v>#REF!</v>
      </c>
      <c r="FH231" t="e">
        <f>AND(#REF!,"AAAAAH61+qM=")</f>
        <v>#REF!</v>
      </c>
      <c r="FI231" t="e">
        <f>AND(#REF!,"AAAAAH61+qQ=")</f>
        <v>#REF!</v>
      </c>
      <c r="FJ231" t="e">
        <f>AND(#REF!,"AAAAAH61+qU=")</f>
        <v>#REF!</v>
      </c>
      <c r="FK231" t="e">
        <f>AND(#REF!,"AAAAAH61+qY=")</f>
        <v>#REF!</v>
      </c>
      <c r="FL231" t="e">
        <f>AND(#REF!,"AAAAAH61+qc=")</f>
        <v>#REF!</v>
      </c>
      <c r="FM231" t="e">
        <f>AND(#REF!,"AAAAAH61+qg=")</f>
        <v>#REF!</v>
      </c>
      <c r="FN231" t="e">
        <f>AND(#REF!,"AAAAAH61+qk=")</f>
        <v>#REF!</v>
      </c>
      <c r="FO231" t="e">
        <f>AND(#REF!,"AAAAAH61+qo=")</f>
        <v>#REF!</v>
      </c>
      <c r="FP231" t="e">
        <f>AND(#REF!,"AAAAAH61+qs=")</f>
        <v>#REF!</v>
      </c>
      <c r="FQ231" t="e">
        <f>AND(#REF!,"AAAAAH61+qw=")</f>
        <v>#REF!</v>
      </c>
      <c r="FR231" t="e">
        <f>AND(#REF!,"AAAAAH61+q0=")</f>
        <v>#REF!</v>
      </c>
      <c r="FS231" t="e">
        <f>AND(#REF!,"AAAAAH61+q4=")</f>
        <v>#REF!</v>
      </c>
      <c r="FT231" t="e">
        <f>AND(#REF!,"AAAAAH61+q8=")</f>
        <v>#REF!</v>
      </c>
      <c r="FU231" t="e">
        <f>AND(#REF!,"AAAAAH61+rA=")</f>
        <v>#REF!</v>
      </c>
      <c r="FV231" t="e">
        <f>AND(#REF!,"AAAAAH61+rE=")</f>
        <v>#REF!</v>
      </c>
      <c r="FW231" t="e">
        <f>AND(#REF!,"AAAAAH61+rI=")</f>
        <v>#REF!</v>
      </c>
      <c r="FX231" t="e">
        <f>AND(#REF!,"AAAAAH61+rM=")</f>
        <v>#REF!</v>
      </c>
      <c r="FY231" t="e">
        <f>IF(#REF!,"AAAAAH61+rQ=",0)</f>
        <v>#REF!</v>
      </c>
      <c r="FZ231" t="e">
        <f>AND(#REF!,"AAAAAH61+rU=")</f>
        <v>#REF!</v>
      </c>
      <c r="GA231" t="e">
        <f>AND(#REF!,"AAAAAH61+rY=")</f>
        <v>#REF!</v>
      </c>
      <c r="GB231" t="e">
        <f>AND(#REF!,"AAAAAH61+rc=")</f>
        <v>#REF!</v>
      </c>
      <c r="GC231" t="e">
        <f>AND(#REF!,"AAAAAH61+rg=")</f>
        <v>#REF!</v>
      </c>
      <c r="GD231" t="e">
        <f>AND(#REF!,"AAAAAH61+rk=")</f>
        <v>#REF!</v>
      </c>
      <c r="GE231" t="e">
        <f>AND(#REF!,"AAAAAH61+ro=")</f>
        <v>#REF!</v>
      </c>
      <c r="GF231" t="e">
        <f>AND(#REF!,"AAAAAH61+rs=")</f>
        <v>#REF!</v>
      </c>
      <c r="GG231" t="e">
        <f>AND(#REF!,"AAAAAH61+rw=")</f>
        <v>#REF!</v>
      </c>
      <c r="GH231" t="e">
        <f>AND(#REF!,"AAAAAH61+r0=")</f>
        <v>#REF!</v>
      </c>
      <c r="GI231" t="e">
        <f>AND(#REF!,"AAAAAH61+r4=")</f>
        <v>#REF!</v>
      </c>
      <c r="GJ231" t="e">
        <f>AND(#REF!,"AAAAAH61+r8=")</f>
        <v>#REF!</v>
      </c>
      <c r="GK231" t="e">
        <f>AND(#REF!,"AAAAAH61+sA=")</f>
        <v>#REF!</v>
      </c>
      <c r="GL231" t="e">
        <f>AND(#REF!,"AAAAAH61+sE=")</f>
        <v>#REF!</v>
      </c>
      <c r="GM231" t="e">
        <f>AND(#REF!,"AAAAAH61+sI=")</f>
        <v>#REF!</v>
      </c>
      <c r="GN231" t="e">
        <f>AND(#REF!,"AAAAAH61+sM=")</f>
        <v>#REF!</v>
      </c>
      <c r="GO231" t="e">
        <f>AND(#REF!,"AAAAAH61+sQ=")</f>
        <v>#REF!</v>
      </c>
      <c r="GP231" t="e">
        <f>AND(#REF!,"AAAAAH61+sU=")</f>
        <v>#REF!</v>
      </c>
      <c r="GQ231" t="e">
        <f>AND(#REF!,"AAAAAH61+sY=")</f>
        <v>#REF!</v>
      </c>
      <c r="GR231" t="e">
        <f>AND(#REF!,"AAAAAH61+sc=")</f>
        <v>#REF!</v>
      </c>
      <c r="GS231" t="e">
        <f>AND(#REF!,"AAAAAH61+sg=")</f>
        <v>#REF!</v>
      </c>
      <c r="GT231" t="e">
        <f>AND(#REF!,"AAAAAH61+sk=")</f>
        <v>#REF!</v>
      </c>
      <c r="GU231" t="e">
        <f>AND(#REF!,"AAAAAH61+so=")</f>
        <v>#REF!</v>
      </c>
      <c r="GV231" t="e">
        <f>AND(#REF!,"AAAAAH61+ss=")</f>
        <v>#REF!</v>
      </c>
      <c r="GW231" t="e">
        <f>AND(#REF!,"AAAAAH61+sw=")</f>
        <v>#REF!</v>
      </c>
      <c r="GX231" t="e">
        <f>IF(#REF!,"AAAAAH61+s0=",0)</f>
        <v>#REF!</v>
      </c>
      <c r="GY231" t="e">
        <f>AND(#REF!,"AAAAAH61+s4=")</f>
        <v>#REF!</v>
      </c>
      <c r="GZ231" t="e">
        <f>AND(#REF!,"AAAAAH61+s8=")</f>
        <v>#REF!</v>
      </c>
      <c r="HA231" t="e">
        <f>AND(#REF!,"AAAAAH61+tA=")</f>
        <v>#REF!</v>
      </c>
      <c r="HB231" t="e">
        <f>AND(#REF!,"AAAAAH61+tE=")</f>
        <v>#REF!</v>
      </c>
      <c r="HC231" t="e">
        <f>AND(#REF!,"AAAAAH61+tI=")</f>
        <v>#REF!</v>
      </c>
      <c r="HD231" t="e">
        <f>AND(#REF!,"AAAAAH61+tM=")</f>
        <v>#REF!</v>
      </c>
      <c r="HE231" t="e">
        <f>AND(#REF!,"AAAAAH61+tQ=")</f>
        <v>#REF!</v>
      </c>
      <c r="HF231" t="e">
        <f>AND(#REF!,"AAAAAH61+tU=")</f>
        <v>#REF!</v>
      </c>
      <c r="HG231" t="e">
        <f>AND(#REF!,"AAAAAH61+tY=")</f>
        <v>#REF!</v>
      </c>
      <c r="HH231" t="e">
        <f>AND(#REF!,"AAAAAH61+tc=")</f>
        <v>#REF!</v>
      </c>
      <c r="HI231" t="e">
        <f>AND(#REF!,"AAAAAH61+tg=")</f>
        <v>#REF!</v>
      </c>
      <c r="HJ231" t="e">
        <f>AND(#REF!,"AAAAAH61+tk=")</f>
        <v>#REF!</v>
      </c>
      <c r="HK231" t="e">
        <f>AND(#REF!,"AAAAAH61+to=")</f>
        <v>#REF!</v>
      </c>
      <c r="HL231" t="e">
        <f>AND(#REF!,"AAAAAH61+ts=")</f>
        <v>#REF!</v>
      </c>
      <c r="HM231" t="e">
        <f>AND(#REF!,"AAAAAH61+tw=")</f>
        <v>#REF!</v>
      </c>
      <c r="HN231" t="e">
        <f>AND(#REF!,"AAAAAH61+t0=")</f>
        <v>#REF!</v>
      </c>
      <c r="HO231" t="e">
        <f>AND(#REF!,"AAAAAH61+t4=")</f>
        <v>#REF!</v>
      </c>
      <c r="HP231" t="e">
        <f>AND(#REF!,"AAAAAH61+t8=")</f>
        <v>#REF!</v>
      </c>
      <c r="HQ231" t="e">
        <f>AND(#REF!,"AAAAAH61+uA=")</f>
        <v>#REF!</v>
      </c>
      <c r="HR231" t="e">
        <f>AND(#REF!,"AAAAAH61+uE=")</f>
        <v>#REF!</v>
      </c>
      <c r="HS231" t="e">
        <f>AND(#REF!,"AAAAAH61+uI=")</f>
        <v>#REF!</v>
      </c>
      <c r="HT231" t="e">
        <f>AND(#REF!,"AAAAAH61+uM=")</f>
        <v>#REF!</v>
      </c>
      <c r="HU231" t="e">
        <f>AND(#REF!,"AAAAAH61+uQ=")</f>
        <v>#REF!</v>
      </c>
      <c r="HV231" t="e">
        <f>AND(#REF!,"AAAAAH61+uU=")</f>
        <v>#REF!</v>
      </c>
      <c r="HW231" t="e">
        <f>IF(#REF!,"AAAAAH61+uY=",0)</f>
        <v>#REF!</v>
      </c>
      <c r="HX231" t="e">
        <f>AND(#REF!,"AAAAAH61+uc=")</f>
        <v>#REF!</v>
      </c>
      <c r="HY231" t="e">
        <f>AND(#REF!,"AAAAAH61+ug=")</f>
        <v>#REF!</v>
      </c>
      <c r="HZ231" t="e">
        <f>AND(#REF!,"AAAAAH61+uk=")</f>
        <v>#REF!</v>
      </c>
      <c r="IA231" t="e">
        <f>AND(#REF!,"AAAAAH61+uo=")</f>
        <v>#REF!</v>
      </c>
      <c r="IB231" t="e">
        <f>AND(#REF!,"AAAAAH61+us=")</f>
        <v>#REF!</v>
      </c>
      <c r="IC231" t="e">
        <f>AND(#REF!,"AAAAAH61+uw=")</f>
        <v>#REF!</v>
      </c>
      <c r="ID231" t="e">
        <f>AND(#REF!,"AAAAAH61+u0=")</f>
        <v>#REF!</v>
      </c>
      <c r="IE231" t="e">
        <f>AND(#REF!,"AAAAAH61+u4=")</f>
        <v>#REF!</v>
      </c>
      <c r="IF231" t="e">
        <f>AND(#REF!,"AAAAAH61+u8=")</f>
        <v>#REF!</v>
      </c>
      <c r="IG231" t="e">
        <f>AND(#REF!,"AAAAAH61+vA=")</f>
        <v>#REF!</v>
      </c>
      <c r="IH231" t="e">
        <f>AND(#REF!,"AAAAAH61+vE=")</f>
        <v>#REF!</v>
      </c>
      <c r="II231" t="e">
        <f>AND(#REF!,"AAAAAH61+vI=")</f>
        <v>#REF!</v>
      </c>
      <c r="IJ231" t="e">
        <f>AND(#REF!,"AAAAAH61+vM=")</f>
        <v>#REF!</v>
      </c>
      <c r="IK231" t="e">
        <f>AND(#REF!,"AAAAAH61+vQ=")</f>
        <v>#REF!</v>
      </c>
      <c r="IL231" t="e">
        <f>AND(#REF!,"AAAAAH61+vU=")</f>
        <v>#REF!</v>
      </c>
      <c r="IM231" t="e">
        <f>AND(#REF!,"AAAAAH61+vY=")</f>
        <v>#REF!</v>
      </c>
      <c r="IN231" t="e">
        <f>AND(#REF!,"AAAAAH61+vc=")</f>
        <v>#REF!</v>
      </c>
      <c r="IO231" t="e">
        <f>AND(#REF!,"AAAAAH61+vg=")</f>
        <v>#REF!</v>
      </c>
      <c r="IP231" t="e">
        <f>AND(#REF!,"AAAAAH61+vk=")</f>
        <v>#REF!</v>
      </c>
      <c r="IQ231" t="e">
        <f>AND(#REF!,"AAAAAH61+vo=")</f>
        <v>#REF!</v>
      </c>
      <c r="IR231" t="e">
        <f>AND(#REF!,"AAAAAH61+vs=")</f>
        <v>#REF!</v>
      </c>
      <c r="IS231" t="e">
        <f>AND(#REF!,"AAAAAH61+vw=")</f>
        <v>#REF!</v>
      </c>
      <c r="IT231" t="e">
        <f>AND(#REF!,"AAAAAH61+v0=")</f>
        <v>#REF!</v>
      </c>
      <c r="IU231" t="e">
        <f>AND(#REF!,"AAAAAH61+v4=")</f>
        <v>#REF!</v>
      </c>
      <c r="IV231" t="e">
        <f>IF(#REF!,"AAAAAH61+v8=",0)</f>
        <v>#REF!</v>
      </c>
    </row>
    <row r="232" spans="1:256">
      <c r="A232" t="e">
        <f>AND(#REF!,"AAAAAH2v7wA=")</f>
        <v>#REF!</v>
      </c>
      <c r="B232" t="e">
        <f>AND(#REF!,"AAAAAH2v7wE=")</f>
        <v>#REF!</v>
      </c>
      <c r="C232" t="e">
        <f>AND(#REF!,"AAAAAH2v7wI=")</f>
        <v>#REF!</v>
      </c>
      <c r="D232" t="e">
        <f>AND(#REF!,"AAAAAH2v7wM=")</f>
        <v>#REF!</v>
      </c>
      <c r="E232" t="e">
        <f>AND(#REF!,"AAAAAH2v7wQ=")</f>
        <v>#REF!</v>
      </c>
      <c r="F232" t="e">
        <f>AND(#REF!,"AAAAAH2v7wU=")</f>
        <v>#REF!</v>
      </c>
      <c r="G232" t="e">
        <f>AND(#REF!,"AAAAAH2v7wY=")</f>
        <v>#REF!</v>
      </c>
      <c r="H232" t="e">
        <f>AND(#REF!,"AAAAAH2v7wc=")</f>
        <v>#REF!</v>
      </c>
      <c r="I232" t="e">
        <f>AND(#REF!,"AAAAAH2v7wg=")</f>
        <v>#REF!</v>
      </c>
      <c r="J232" t="e">
        <f>AND(#REF!,"AAAAAH2v7wk=")</f>
        <v>#REF!</v>
      </c>
      <c r="K232" t="e">
        <f>AND(#REF!,"AAAAAH2v7wo=")</f>
        <v>#REF!</v>
      </c>
      <c r="L232" t="e">
        <f>AND(#REF!,"AAAAAH2v7ws=")</f>
        <v>#REF!</v>
      </c>
      <c r="M232" t="e">
        <f>AND(#REF!,"AAAAAH2v7ww=")</f>
        <v>#REF!</v>
      </c>
      <c r="N232" t="e">
        <f>AND(#REF!,"AAAAAH2v7w0=")</f>
        <v>#REF!</v>
      </c>
      <c r="O232" t="e">
        <f>AND(#REF!,"AAAAAH2v7w4=")</f>
        <v>#REF!</v>
      </c>
      <c r="P232" t="e">
        <f>AND(#REF!,"AAAAAH2v7w8=")</f>
        <v>#REF!</v>
      </c>
      <c r="Q232" t="e">
        <f>AND(#REF!,"AAAAAH2v7xA=")</f>
        <v>#REF!</v>
      </c>
      <c r="R232" t="e">
        <f>AND(#REF!,"AAAAAH2v7xE=")</f>
        <v>#REF!</v>
      </c>
      <c r="S232" t="e">
        <f>AND(#REF!,"AAAAAH2v7xI=")</f>
        <v>#REF!</v>
      </c>
      <c r="T232" t="e">
        <f>AND(#REF!,"AAAAAH2v7xM=")</f>
        <v>#REF!</v>
      </c>
      <c r="U232" t="e">
        <f>AND(#REF!,"AAAAAH2v7xQ=")</f>
        <v>#REF!</v>
      </c>
      <c r="V232" t="e">
        <f>AND(#REF!,"AAAAAH2v7xU=")</f>
        <v>#REF!</v>
      </c>
      <c r="W232" t="e">
        <f>AND(#REF!,"AAAAAH2v7xY=")</f>
        <v>#REF!</v>
      </c>
      <c r="X232" t="e">
        <f>AND(#REF!,"AAAAAH2v7xc=")</f>
        <v>#REF!</v>
      </c>
      <c r="Y232" t="e">
        <f>IF(#REF!,"AAAAAH2v7xg=",0)</f>
        <v>#REF!</v>
      </c>
      <c r="Z232" t="e">
        <f>AND(#REF!,"AAAAAH2v7xk=")</f>
        <v>#REF!</v>
      </c>
      <c r="AA232" t="e">
        <f>AND(#REF!,"AAAAAH2v7xo=")</f>
        <v>#REF!</v>
      </c>
      <c r="AB232" t="e">
        <f>AND(#REF!,"AAAAAH2v7xs=")</f>
        <v>#REF!</v>
      </c>
      <c r="AC232" t="e">
        <f>AND(#REF!,"AAAAAH2v7xw=")</f>
        <v>#REF!</v>
      </c>
      <c r="AD232" t="e">
        <f>AND(#REF!,"AAAAAH2v7x0=")</f>
        <v>#REF!</v>
      </c>
      <c r="AE232" t="e">
        <f>AND(#REF!,"AAAAAH2v7x4=")</f>
        <v>#REF!</v>
      </c>
      <c r="AF232" t="e">
        <f>AND(#REF!,"AAAAAH2v7x8=")</f>
        <v>#REF!</v>
      </c>
      <c r="AG232" t="e">
        <f>AND(#REF!,"AAAAAH2v7yA=")</f>
        <v>#REF!</v>
      </c>
      <c r="AH232" t="e">
        <f>AND(#REF!,"AAAAAH2v7yE=")</f>
        <v>#REF!</v>
      </c>
      <c r="AI232" t="e">
        <f>AND(#REF!,"AAAAAH2v7yI=")</f>
        <v>#REF!</v>
      </c>
      <c r="AJ232" t="e">
        <f>AND(#REF!,"AAAAAH2v7yM=")</f>
        <v>#REF!</v>
      </c>
      <c r="AK232" t="e">
        <f>AND(#REF!,"AAAAAH2v7yQ=")</f>
        <v>#REF!</v>
      </c>
      <c r="AL232" t="e">
        <f>AND(#REF!,"AAAAAH2v7yU=")</f>
        <v>#REF!</v>
      </c>
      <c r="AM232" t="e">
        <f>AND(#REF!,"AAAAAH2v7yY=")</f>
        <v>#REF!</v>
      </c>
      <c r="AN232" t="e">
        <f>AND(#REF!,"AAAAAH2v7yc=")</f>
        <v>#REF!</v>
      </c>
      <c r="AO232" t="e">
        <f>AND(#REF!,"AAAAAH2v7yg=")</f>
        <v>#REF!</v>
      </c>
      <c r="AP232" t="e">
        <f>AND(#REF!,"AAAAAH2v7yk=")</f>
        <v>#REF!</v>
      </c>
      <c r="AQ232" t="e">
        <f>AND(#REF!,"AAAAAH2v7yo=")</f>
        <v>#REF!</v>
      </c>
      <c r="AR232" t="e">
        <f>AND(#REF!,"AAAAAH2v7ys=")</f>
        <v>#REF!</v>
      </c>
      <c r="AS232" t="e">
        <f>AND(#REF!,"AAAAAH2v7yw=")</f>
        <v>#REF!</v>
      </c>
      <c r="AT232" t="e">
        <f>AND(#REF!,"AAAAAH2v7y0=")</f>
        <v>#REF!</v>
      </c>
      <c r="AU232" t="e">
        <f>AND(#REF!,"AAAAAH2v7y4=")</f>
        <v>#REF!</v>
      </c>
      <c r="AV232" t="e">
        <f>AND(#REF!,"AAAAAH2v7y8=")</f>
        <v>#REF!</v>
      </c>
      <c r="AW232" t="e">
        <f>AND(#REF!,"AAAAAH2v7zA=")</f>
        <v>#REF!</v>
      </c>
      <c r="AX232" t="e">
        <f>IF(#REF!,"AAAAAH2v7zE=",0)</f>
        <v>#REF!</v>
      </c>
      <c r="AY232" t="e">
        <f>AND(#REF!,"AAAAAH2v7zI=")</f>
        <v>#REF!</v>
      </c>
      <c r="AZ232" t="e">
        <f>AND(#REF!,"AAAAAH2v7zM=")</f>
        <v>#REF!</v>
      </c>
      <c r="BA232" t="e">
        <f>AND(#REF!,"AAAAAH2v7zQ=")</f>
        <v>#REF!</v>
      </c>
      <c r="BB232" t="e">
        <f>AND(#REF!,"AAAAAH2v7zU=")</f>
        <v>#REF!</v>
      </c>
      <c r="BC232" t="e">
        <f>AND(#REF!,"AAAAAH2v7zY=")</f>
        <v>#REF!</v>
      </c>
      <c r="BD232" t="e">
        <f>AND(#REF!,"AAAAAH2v7zc=")</f>
        <v>#REF!</v>
      </c>
      <c r="BE232" t="e">
        <f>AND(#REF!,"AAAAAH2v7zg=")</f>
        <v>#REF!</v>
      </c>
      <c r="BF232" t="e">
        <f>AND(#REF!,"AAAAAH2v7zk=")</f>
        <v>#REF!</v>
      </c>
      <c r="BG232" t="e">
        <f>AND(#REF!,"AAAAAH2v7zo=")</f>
        <v>#REF!</v>
      </c>
      <c r="BH232" t="e">
        <f>AND(#REF!,"AAAAAH2v7zs=")</f>
        <v>#REF!</v>
      </c>
      <c r="BI232" t="e">
        <f>AND(#REF!,"AAAAAH2v7zw=")</f>
        <v>#REF!</v>
      </c>
      <c r="BJ232" t="e">
        <f>AND(#REF!,"AAAAAH2v7z0=")</f>
        <v>#REF!</v>
      </c>
      <c r="BK232" t="e">
        <f>AND(#REF!,"AAAAAH2v7z4=")</f>
        <v>#REF!</v>
      </c>
      <c r="BL232" t="e">
        <f>AND(#REF!,"AAAAAH2v7z8=")</f>
        <v>#REF!</v>
      </c>
      <c r="BM232" t="e">
        <f>AND(#REF!,"AAAAAH2v70A=")</f>
        <v>#REF!</v>
      </c>
      <c r="BN232" t="e">
        <f>AND(#REF!,"AAAAAH2v70E=")</f>
        <v>#REF!</v>
      </c>
      <c r="BO232" t="e">
        <f>AND(#REF!,"AAAAAH2v70I=")</f>
        <v>#REF!</v>
      </c>
      <c r="BP232" t="e">
        <f>AND(#REF!,"AAAAAH2v70M=")</f>
        <v>#REF!</v>
      </c>
      <c r="BQ232" t="e">
        <f>AND(#REF!,"AAAAAH2v70Q=")</f>
        <v>#REF!</v>
      </c>
      <c r="BR232" t="e">
        <f>AND(#REF!,"AAAAAH2v70U=")</f>
        <v>#REF!</v>
      </c>
      <c r="BS232" t="e">
        <f>AND(#REF!,"AAAAAH2v70Y=")</f>
        <v>#REF!</v>
      </c>
      <c r="BT232" t="e">
        <f>AND(#REF!,"AAAAAH2v70c=")</f>
        <v>#REF!</v>
      </c>
      <c r="BU232" t="e">
        <f>AND(#REF!,"AAAAAH2v70g=")</f>
        <v>#REF!</v>
      </c>
      <c r="BV232" t="e">
        <f>AND(#REF!,"AAAAAH2v70k=")</f>
        <v>#REF!</v>
      </c>
      <c r="BW232" t="e">
        <f>IF(#REF!,"AAAAAH2v70o=",0)</f>
        <v>#REF!</v>
      </c>
      <c r="BX232" t="e">
        <f>AND(#REF!,"AAAAAH2v70s=")</f>
        <v>#REF!</v>
      </c>
      <c r="BY232" t="e">
        <f>AND(#REF!,"AAAAAH2v70w=")</f>
        <v>#REF!</v>
      </c>
      <c r="BZ232" t="e">
        <f>AND(#REF!,"AAAAAH2v700=")</f>
        <v>#REF!</v>
      </c>
      <c r="CA232" t="e">
        <f>AND(#REF!,"AAAAAH2v704=")</f>
        <v>#REF!</v>
      </c>
      <c r="CB232" t="e">
        <f>AND(#REF!,"AAAAAH2v708=")</f>
        <v>#REF!</v>
      </c>
      <c r="CC232" t="e">
        <f>AND(#REF!,"AAAAAH2v71A=")</f>
        <v>#REF!</v>
      </c>
      <c r="CD232" t="e">
        <f>AND(#REF!,"AAAAAH2v71E=")</f>
        <v>#REF!</v>
      </c>
      <c r="CE232" t="e">
        <f>AND(#REF!,"AAAAAH2v71I=")</f>
        <v>#REF!</v>
      </c>
      <c r="CF232" t="e">
        <f>AND(#REF!,"AAAAAH2v71M=")</f>
        <v>#REF!</v>
      </c>
      <c r="CG232" t="e">
        <f>AND(#REF!,"AAAAAH2v71Q=")</f>
        <v>#REF!</v>
      </c>
      <c r="CH232" t="e">
        <f>AND(#REF!,"AAAAAH2v71U=")</f>
        <v>#REF!</v>
      </c>
      <c r="CI232" t="e">
        <f>AND(#REF!,"AAAAAH2v71Y=")</f>
        <v>#REF!</v>
      </c>
      <c r="CJ232" t="e">
        <f>AND(#REF!,"AAAAAH2v71c=")</f>
        <v>#REF!</v>
      </c>
      <c r="CK232" t="e">
        <f>AND(#REF!,"AAAAAH2v71g=")</f>
        <v>#REF!</v>
      </c>
      <c r="CL232" t="e">
        <f>AND(#REF!,"AAAAAH2v71k=")</f>
        <v>#REF!</v>
      </c>
      <c r="CM232" t="e">
        <f>AND(#REF!,"AAAAAH2v71o=")</f>
        <v>#REF!</v>
      </c>
      <c r="CN232" t="e">
        <f>AND(#REF!,"AAAAAH2v71s=")</f>
        <v>#REF!</v>
      </c>
      <c r="CO232" t="e">
        <f>AND(#REF!,"AAAAAH2v71w=")</f>
        <v>#REF!</v>
      </c>
      <c r="CP232" t="e">
        <f>AND(#REF!,"AAAAAH2v710=")</f>
        <v>#REF!</v>
      </c>
      <c r="CQ232" t="e">
        <f>AND(#REF!,"AAAAAH2v714=")</f>
        <v>#REF!</v>
      </c>
      <c r="CR232" t="e">
        <f>AND(#REF!,"AAAAAH2v718=")</f>
        <v>#REF!</v>
      </c>
      <c r="CS232" t="e">
        <f>AND(#REF!,"AAAAAH2v72A=")</f>
        <v>#REF!</v>
      </c>
      <c r="CT232" t="e">
        <f>AND(#REF!,"AAAAAH2v72E=")</f>
        <v>#REF!</v>
      </c>
      <c r="CU232" t="e">
        <f>AND(#REF!,"AAAAAH2v72I=")</f>
        <v>#REF!</v>
      </c>
      <c r="CV232" t="e">
        <f>IF(#REF!,"AAAAAH2v72M=",0)</f>
        <v>#REF!</v>
      </c>
      <c r="CW232" t="e">
        <f>AND(#REF!,"AAAAAH2v72Q=")</f>
        <v>#REF!</v>
      </c>
      <c r="CX232" t="e">
        <f>AND(#REF!,"AAAAAH2v72U=")</f>
        <v>#REF!</v>
      </c>
      <c r="CY232" t="e">
        <f>AND(#REF!,"AAAAAH2v72Y=")</f>
        <v>#REF!</v>
      </c>
      <c r="CZ232" t="e">
        <f>AND(#REF!,"AAAAAH2v72c=")</f>
        <v>#REF!</v>
      </c>
      <c r="DA232" t="e">
        <f>AND(#REF!,"AAAAAH2v72g=")</f>
        <v>#REF!</v>
      </c>
      <c r="DB232" t="e">
        <f>AND(#REF!,"AAAAAH2v72k=")</f>
        <v>#REF!</v>
      </c>
      <c r="DC232" t="e">
        <f>AND(#REF!,"AAAAAH2v72o=")</f>
        <v>#REF!</v>
      </c>
      <c r="DD232" t="e">
        <f>AND(#REF!,"AAAAAH2v72s=")</f>
        <v>#REF!</v>
      </c>
      <c r="DE232" t="e">
        <f>AND(#REF!,"AAAAAH2v72w=")</f>
        <v>#REF!</v>
      </c>
      <c r="DF232" t="e">
        <f>AND(#REF!,"AAAAAH2v720=")</f>
        <v>#REF!</v>
      </c>
      <c r="DG232" t="e">
        <f>AND(#REF!,"AAAAAH2v724=")</f>
        <v>#REF!</v>
      </c>
      <c r="DH232" t="e">
        <f>AND(#REF!,"AAAAAH2v728=")</f>
        <v>#REF!</v>
      </c>
      <c r="DI232" t="e">
        <f>AND(#REF!,"AAAAAH2v73A=")</f>
        <v>#REF!</v>
      </c>
      <c r="DJ232" t="e">
        <f>AND(#REF!,"AAAAAH2v73E=")</f>
        <v>#REF!</v>
      </c>
      <c r="DK232" t="e">
        <f>AND(#REF!,"AAAAAH2v73I=")</f>
        <v>#REF!</v>
      </c>
      <c r="DL232" t="e">
        <f>AND(#REF!,"AAAAAH2v73M=")</f>
        <v>#REF!</v>
      </c>
      <c r="DM232" t="e">
        <f>AND(#REF!,"AAAAAH2v73Q=")</f>
        <v>#REF!</v>
      </c>
      <c r="DN232" t="e">
        <f>AND(#REF!,"AAAAAH2v73U=")</f>
        <v>#REF!</v>
      </c>
      <c r="DO232" t="e">
        <f>AND(#REF!,"AAAAAH2v73Y=")</f>
        <v>#REF!</v>
      </c>
      <c r="DP232" t="e">
        <f>AND(#REF!,"AAAAAH2v73c=")</f>
        <v>#REF!</v>
      </c>
      <c r="DQ232" t="e">
        <f>AND(#REF!,"AAAAAH2v73g=")</f>
        <v>#REF!</v>
      </c>
      <c r="DR232" t="e">
        <f>AND(#REF!,"AAAAAH2v73k=")</f>
        <v>#REF!</v>
      </c>
      <c r="DS232" t="e">
        <f>AND(#REF!,"AAAAAH2v73o=")</f>
        <v>#REF!</v>
      </c>
      <c r="DT232" t="e">
        <f>AND(#REF!,"AAAAAH2v73s=")</f>
        <v>#REF!</v>
      </c>
      <c r="DU232" t="e">
        <f>IF(#REF!,"AAAAAH2v73w=",0)</f>
        <v>#REF!</v>
      </c>
      <c r="DV232" t="e">
        <f>AND(#REF!,"AAAAAH2v730=")</f>
        <v>#REF!</v>
      </c>
      <c r="DW232" t="e">
        <f>AND(#REF!,"AAAAAH2v734=")</f>
        <v>#REF!</v>
      </c>
      <c r="DX232" t="e">
        <f>AND(#REF!,"AAAAAH2v738=")</f>
        <v>#REF!</v>
      </c>
      <c r="DY232" t="e">
        <f>AND(#REF!,"AAAAAH2v74A=")</f>
        <v>#REF!</v>
      </c>
      <c r="DZ232" t="e">
        <f>AND(#REF!,"AAAAAH2v74E=")</f>
        <v>#REF!</v>
      </c>
      <c r="EA232" t="e">
        <f>AND(#REF!,"AAAAAH2v74I=")</f>
        <v>#REF!</v>
      </c>
      <c r="EB232" t="e">
        <f>AND(#REF!,"AAAAAH2v74M=")</f>
        <v>#REF!</v>
      </c>
      <c r="EC232" t="e">
        <f>AND(#REF!,"AAAAAH2v74Q=")</f>
        <v>#REF!</v>
      </c>
      <c r="ED232" t="e">
        <f>AND(#REF!,"AAAAAH2v74U=")</f>
        <v>#REF!</v>
      </c>
      <c r="EE232" t="e">
        <f>AND(#REF!,"AAAAAH2v74Y=")</f>
        <v>#REF!</v>
      </c>
      <c r="EF232" t="e">
        <f>AND(#REF!,"AAAAAH2v74c=")</f>
        <v>#REF!</v>
      </c>
      <c r="EG232" t="e">
        <f>AND(#REF!,"AAAAAH2v74g=")</f>
        <v>#REF!</v>
      </c>
      <c r="EH232" t="e">
        <f>AND(#REF!,"AAAAAH2v74k=")</f>
        <v>#REF!</v>
      </c>
      <c r="EI232" t="e">
        <f>AND(#REF!,"AAAAAH2v74o=")</f>
        <v>#REF!</v>
      </c>
      <c r="EJ232" t="e">
        <f>AND(#REF!,"AAAAAH2v74s=")</f>
        <v>#REF!</v>
      </c>
      <c r="EK232" t="e">
        <f>AND(#REF!,"AAAAAH2v74w=")</f>
        <v>#REF!</v>
      </c>
      <c r="EL232" t="e">
        <f>AND(#REF!,"AAAAAH2v740=")</f>
        <v>#REF!</v>
      </c>
      <c r="EM232" t="e">
        <f>AND(#REF!,"AAAAAH2v744=")</f>
        <v>#REF!</v>
      </c>
      <c r="EN232" t="e">
        <f>AND(#REF!,"AAAAAH2v748=")</f>
        <v>#REF!</v>
      </c>
      <c r="EO232" t="e">
        <f>AND(#REF!,"AAAAAH2v75A=")</f>
        <v>#REF!</v>
      </c>
      <c r="EP232" t="e">
        <f>AND(#REF!,"AAAAAH2v75E=")</f>
        <v>#REF!</v>
      </c>
      <c r="EQ232" t="e">
        <f>AND(#REF!,"AAAAAH2v75I=")</f>
        <v>#REF!</v>
      </c>
      <c r="ER232" t="e">
        <f>AND(#REF!,"AAAAAH2v75M=")</f>
        <v>#REF!</v>
      </c>
      <c r="ES232" t="e">
        <f>AND(#REF!,"AAAAAH2v75Q=")</f>
        <v>#REF!</v>
      </c>
      <c r="ET232" t="e">
        <f>IF(#REF!,"AAAAAH2v75U=",0)</f>
        <v>#REF!</v>
      </c>
      <c r="EU232" t="e">
        <f>AND(#REF!,"AAAAAH2v75Y=")</f>
        <v>#REF!</v>
      </c>
      <c r="EV232" t="e">
        <f>AND(#REF!,"AAAAAH2v75c=")</f>
        <v>#REF!</v>
      </c>
      <c r="EW232" t="e">
        <f>AND(#REF!,"AAAAAH2v75g=")</f>
        <v>#REF!</v>
      </c>
      <c r="EX232" t="e">
        <f>AND(#REF!,"AAAAAH2v75k=")</f>
        <v>#REF!</v>
      </c>
      <c r="EY232" t="e">
        <f>AND(#REF!,"AAAAAH2v75o=")</f>
        <v>#REF!</v>
      </c>
      <c r="EZ232" t="e">
        <f>AND(#REF!,"AAAAAH2v75s=")</f>
        <v>#REF!</v>
      </c>
      <c r="FA232" t="e">
        <f>AND(#REF!,"AAAAAH2v75w=")</f>
        <v>#REF!</v>
      </c>
      <c r="FB232" t="e">
        <f>AND(#REF!,"AAAAAH2v750=")</f>
        <v>#REF!</v>
      </c>
      <c r="FC232" t="e">
        <f>AND(#REF!,"AAAAAH2v754=")</f>
        <v>#REF!</v>
      </c>
      <c r="FD232" t="e">
        <f>AND(#REF!,"AAAAAH2v758=")</f>
        <v>#REF!</v>
      </c>
      <c r="FE232" t="e">
        <f>AND(#REF!,"AAAAAH2v76A=")</f>
        <v>#REF!</v>
      </c>
      <c r="FF232" t="e">
        <f>AND(#REF!,"AAAAAH2v76E=")</f>
        <v>#REF!</v>
      </c>
      <c r="FG232" t="e">
        <f>AND(#REF!,"AAAAAH2v76I=")</f>
        <v>#REF!</v>
      </c>
      <c r="FH232" t="e">
        <f>AND(#REF!,"AAAAAH2v76M=")</f>
        <v>#REF!</v>
      </c>
      <c r="FI232" t="e">
        <f>AND(#REF!,"AAAAAH2v76Q=")</f>
        <v>#REF!</v>
      </c>
      <c r="FJ232" t="e">
        <f>AND(#REF!,"AAAAAH2v76U=")</f>
        <v>#REF!</v>
      </c>
      <c r="FK232" t="e">
        <f>AND(#REF!,"AAAAAH2v76Y=")</f>
        <v>#REF!</v>
      </c>
      <c r="FL232" t="e">
        <f>AND(#REF!,"AAAAAH2v76c=")</f>
        <v>#REF!</v>
      </c>
      <c r="FM232" t="e">
        <f>AND(#REF!,"AAAAAH2v76g=")</f>
        <v>#REF!</v>
      </c>
      <c r="FN232" t="e">
        <f>AND(#REF!,"AAAAAH2v76k=")</f>
        <v>#REF!</v>
      </c>
      <c r="FO232" t="e">
        <f>AND(#REF!,"AAAAAH2v76o=")</f>
        <v>#REF!</v>
      </c>
      <c r="FP232" t="e">
        <f>AND(#REF!,"AAAAAH2v76s=")</f>
        <v>#REF!</v>
      </c>
      <c r="FQ232" t="e">
        <f>AND(#REF!,"AAAAAH2v76w=")</f>
        <v>#REF!</v>
      </c>
      <c r="FR232" t="e">
        <f>AND(#REF!,"AAAAAH2v760=")</f>
        <v>#REF!</v>
      </c>
      <c r="FS232" t="e">
        <f>IF(#REF!,"AAAAAH2v764=",0)</f>
        <v>#REF!</v>
      </c>
      <c r="FT232" t="e">
        <f>AND(#REF!,"AAAAAH2v768=")</f>
        <v>#REF!</v>
      </c>
      <c r="FU232" t="e">
        <f>AND(#REF!,"AAAAAH2v77A=")</f>
        <v>#REF!</v>
      </c>
      <c r="FV232" t="e">
        <f>AND(#REF!,"AAAAAH2v77E=")</f>
        <v>#REF!</v>
      </c>
      <c r="FW232" t="e">
        <f>AND(#REF!,"AAAAAH2v77I=")</f>
        <v>#REF!</v>
      </c>
      <c r="FX232" t="e">
        <f>AND(#REF!,"AAAAAH2v77M=")</f>
        <v>#REF!</v>
      </c>
      <c r="FY232" t="e">
        <f>AND(#REF!,"AAAAAH2v77Q=")</f>
        <v>#REF!</v>
      </c>
      <c r="FZ232" t="e">
        <f>AND(#REF!,"AAAAAH2v77U=")</f>
        <v>#REF!</v>
      </c>
      <c r="GA232" t="e">
        <f>AND(#REF!,"AAAAAH2v77Y=")</f>
        <v>#REF!</v>
      </c>
      <c r="GB232" t="e">
        <f>AND(#REF!,"AAAAAH2v77c=")</f>
        <v>#REF!</v>
      </c>
      <c r="GC232" t="e">
        <f>AND(#REF!,"AAAAAH2v77g=")</f>
        <v>#REF!</v>
      </c>
      <c r="GD232" t="e">
        <f>AND(#REF!,"AAAAAH2v77k=")</f>
        <v>#REF!</v>
      </c>
      <c r="GE232" t="e">
        <f>AND(#REF!,"AAAAAH2v77o=")</f>
        <v>#REF!</v>
      </c>
      <c r="GF232" t="e">
        <f>AND(#REF!,"AAAAAH2v77s=")</f>
        <v>#REF!</v>
      </c>
      <c r="GG232" t="e">
        <f>AND(#REF!,"AAAAAH2v77w=")</f>
        <v>#REF!</v>
      </c>
      <c r="GH232" t="e">
        <f>AND(#REF!,"AAAAAH2v770=")</f>
        <v>#REF!</v>
      </c>
      <c r="GI232" t="e">
        <f>AND(#REF!,"AAAAAH2v774=")</f>
        <v>#REF!</v>
      </c>
      <c r="GJ232" t="e">
        <f>AND(#REF!,"AAAAAH2v778=")</f>
        <v>#REF!</v>
      </c>
      <c r="GK232" t="e">
        <f>AND(#REF!,"AAAAAH2v78A=")</f>
        <v>#REF!</v>
      </c>
      <c r="GL232" t="e">
        <f>AND(#REF!,"AAAAAH2v78E=")</f>
        <v>#REF!</v>
      </c>
      <c r="GM232" t="e">
        <f>AND(#REF!,"AAAAAH2v78I=")</f>
        <v>#REF!</v>
      </c>
      <c r="GN232" t="e">
        <f>AND(#REF!,"AAAAAH2v78M=")</f>
        <v>#REF!</v>
      </c>
      <c r="GO232" t="e">
        <f>AND(#REF!,"AAAAAH2v78Q=")</f>
        <v>#REF!</v>
      </c>
      <c r="GP232" t="e">
        <f>AND(#REF!,"AAAAAH2v78U=")</f>
        <v>#REF!</v>
      </c>
      <c r="GQ232" t="e">
        <f>AND(#REF!,"AAAAAH2v78Y=")</f>
        <v>#REF!</v>
      </c>
      <c r="GR232" t="e">
        <f>IF(#REF!,"AAAAAH2v78c=",0)</f>
        <v>#REF!</v>
      </c>
      <c r="GS232" t="e">
        <f>AND(#REF!,"AAAAAH2v78g=")</f>
        <v>#REF!</v>
      </c>
      <c r="GT232" t="e">
        <f>AND(#REF!,"AAAAAH2v78k=")</f>
        <v>#REF!</v>
      </c>
      <c r="GU232" t="e">
        <f>AND(#REF!,"AAAAAH2v78o=")</f>
        <v>#REF!</v>
      </c>
      <c r="GV232" t="e">
        <f>AND(#REF!,"AAAAAH2v78s=")</f>
        <v>#REF!</v>
      </c>
      <c r="GW232" t="e">
        <f>AND(#REF!,"AAAAAH2v78w=")</f>
        <v>#REF!</v>
      </c>
      <c r="GX232" t="e">
        <f>AND(#REF!,"AAAAAH2v780=")</f>
        <v>#REF!</v>
      </c>
      <c r="GY232" t="e">
        <f>AND(#REF!,"AAAAAH2v784=")</f>
        <v>#REF!</v>
      </c>
      <c r="GZ232" t="e">
        <f>AND(#REF!,"AAAAAH2v788=")</f>
        <v>#REF!</v>
      </c>
      <c r="HA232" t="e">
        <f>AND(#REF!,"AAAAAH2v79A=")</f>
        <v>#REF!</v>
      </c>
      <c r="HB232" t="e">
        <f>AND(#REF!,"AAAAAH2v79E=")</f>
        <v>#REF!</v>
      </c>
      <c r="HC232" t="e">
        <f>AND(#REF!,"AAAAAH2v79I=")</f>
        <v>#REF!</v>
      </c>
      <c r="HD232" t="e">
        <f>AND(#REF!,"AAAAAH2v79M=")</f>
        <v>#REF!</v>
      </c>
      <c r="HE232" t="e">
        <f>AND(#REF!,"AAAAAH2v79Q=")</f>
        <v>#REF!</v>
      </c>
      <c r="HF232" t="e">
        <f>AND(#REF!,"AAAAAH2v79U=")</f>
        <v>#REF!</v>
      </c>
      <c r="HG232" t="e">
        <f>AND(#REF!,"AAAAAH2v79Y=")</f>
        <v>#REF!</v>
      </c>
      <c r="HH232" t="e">
        <f>AND(#REF!,"AAAAAH2v79c=")</f>
        <v>#REF!</v>
      </c>
      <c r="HI232" t="e">
        <f>AND(#REF!,"AAAAAH2v79g=")</f>
        <v>#REF!</v>
      </c>
      <c r="HJ232" t="e">
        <f>AND(#REF!,"AAAAAH2v79k=")</f>
        <v>#REF!</v>
      </c>
      <c r="HK232" t="e">
        <f>AND(#REF!,"AAAAAH2v79o=")</f>
        <v>#REF!</v>
      </c>
      <c r="HL232" t="e">
        <f>AND(#REF!,"AAAAAH2v79s=")</f>
        <v>#REF!</v>
      </c>
      <c r="HM232" t="e">
        <f>AND(#REF!,"AAAAAH2v79w=")</f>
        <v>#REF!</v>
      </c>
      <c r="HN232" t="e">
        <f>AND(#REF!,"AAAAAH2v790=")</f>
        <v>#REF!</v>
      </c>
      <c r="HO232" t="e">
        <f>AND(#REF!,"AAAAAH2v794=")</f>
        <v>#REF!</v>
      </c>
      <c r="HP232" t="e">
        <f>AND(#REF!,"AAAAAH2v798=")</f>
        <v>#REF!</v>
      </c>
      <c r="HQ232" t="e">
        <f>IF(#REF!,"AAAAAH2v7+A=",0)</f>
        <v>#REF!</v>
      </c>
      <c r="HR232" t="e">
        <f>AND(#REF!,"AAAAAH2v7+E=")</f>
        <v>#REF!</v>
      </c>
      <c r="HS232" t="e">
        <f>AND(#REF!,"AAAAAH2v7+I=")</f>
        <v>#REF!</v>
      </c>
      <c r="HT232" t="e">
        <f>AND(#REF!,"AAAAAH2v7+M=")</f>
        <v>#REF!</v>
      </c>
      <c r="HU232" t="e">
        <f>AND(#REF!,"AAAAAH2v7+Q=")</f>
        <v>#REF!</v>
      </c>
      <c r="HV232" t="e">
        <f>AND(#REF!,"AAAAAH2v7+U=")</f>
        <v>#REF!</v>
      </c>
      <c r="HW232" t="e">
        <f>AND(#REF!,"AAAAAH2v7+Y=")</f>
        <v>#REF!</v>
      </c>
      <c r="HX232" t="e">
        <f>AND(#REF!,"AAAAAH2v7+c=")</f>
        <v>#REF!</v>
      </c>
      <c r="HY232" t="e">
        <f>AND(#REF!,"AAAAAH2v7+g=")</f>
        <v>#REF!</v>
      </c>
      <c r="HZ232" t="e">
        <f>AND(#REF!,"AAAAAH2v7+k=")</f>
        <v>#REF!</v>
      </c>
      <c r="IA232" t="e">
        <f>AND(#REF!,"AAAAAH2v7+o=")</f>
        <v>#REF!</v>
      </c>
      <c r="IB232" t="e">
        <f>AND(#REF!,"AAAAAH2v7+s=")</f>
        <v>#REF!</v>
      </c>
      <c r="IC232" t="e">
        <f>AND(#REF!,"AAAAAH2v7+w=")</f>
        <v>#REF!</v>
      </c>
      <c r="ID232" t="e">
        <f>AND(#REF!,"AAAAAH2v7+0=")</f>
        <v>#REF!</v>
      </c>
      <c r="IE232" t="e">
        <f>AND(#REF!,"AAAAAH2v7+4=")</f>
        <v>#REF!</v>
      </c>
      <c r="IF232" t="e">
        <f>AND(#REF!,"AAAAAH2v7+8=")</f>
        <v>#REF!</v>
      </c>
      <c r="IG232" t="e">
        <f>AND(#REF!,"AAAAAH2v7/A=")</f>
        <v>#REF!</v>
      </c>
      <c r="IH232" t="e">
        <f>AND(#REF!,"AAAAAH2v7/E=")</f>
        <v>#REF!</v>
      </c>
      <c r="II232" t="e">
        <f>AND(#REF!,"AAAAAH2v7/I=")</f>
        <v>#REF!</v>
      </c>
      <c r="IJ232" t="e">
        <f>AND(#REF!,"AAAAAH2v7/M=")</f>
        <v>#REF!</v>
      </c>
      <c r="IK232" t="e">
        <f>AND(#REF!,"AAAAAH2v7/Q=")</f>
        <v>#REF!</v>
      </c>
      <c r="IL232" t="e">
        <f>AND(#REF!,"AAAAAH2v7/U=")</f>
        <v>#REF!</v>
      </c>
      <c r="IM232" t="e">
        <f>AND(#REF!,"AAAAAH2v7/Y=")</f>
        <v>#REF!</v>
      </c>
      <c r="IN232" t="e">
        <f>AND(#REF!,"AAAAAH2v7/c=")</f>
        <v>#REF!</v>
      </c>
      <c r="IO232" t="e">
        <f>AND(#REF!,"AAAAAH2v7/g=")</f>
        <v>#REF!</v>
      </c>
      <c r="IP232" t="e">
        <f>IF(#REF!,"AAAAAH2v7/k=",0)</f>
        <v>#REF!</v>
      </c>
      <c r="IQ232" t="e">
        <f>AND(#REF!,"AAAAAH2v7/o=")</f>
        <v>#REF!</v>
      </c>
      <c r="IR232" t="e">
        <f>AND(#REF!,"AAAAAH2v7/s=")</f>
        <v>#REF!</v>
      </c>
      <c r="IS232" t="e">
        <f>AND(#REF!,"AAAAAH2v7/w=")</f>
        <v>#REF!</v>
      </c>
      <c r="IT232" t="e">
        <f>AND(#REF!,"AAAAAH2v7/0=")</f>
        <v>#REF!</v>
      </c>
      <c r="IU232" t="e">
        <f>AND(#REF!,"AAAAAH2v7/4=")</f>
        <v>#REF!</v>
      </c>
      <c r="IV232" t="e">
        <f>AND(#REF!,"AAAAAH2v7/8=")</f>
        <v>#REF!</v>
      </c>
    </row>
    <row r="233" spans="1:256">
      <c r="A233" t="e">
        <f>AND(#REF!,"AAAAAG/t/wA=")</f>
        <v>#REF!</v>
      </c>
      <c r="B233" t="e">
        <f>AND(#REF!,"AAAAAG/t/wE=")</f>
        <v>#REF!</v>
      </c>
      <c r="C233" t="e">
        <f>AND(#REF!,"AAAAAG/t/wI=")</f>
        <v>#REF!</v>
      </c>
      <c r="D233" t="e">
        <f>AND(#REF!,"AAAAAG/t/wM=")</f>
        <v>#REF!</v>
      </c>
      <c r="E233" t="e">
        <f>AND(#REF!,"AAAAAG/t/wQ=")</f>
        <v>#REF!</v>
      </c>
      <c r="F233" t="e">
        <f>AND(#REF!,"AAAAAG/t/wU=")</f>
        <v>#REF!</v>
      </c>
      <c r="G233" t="e">
        <f>AND(#REF!,"AAAAAG/t/wY=")</f>
        <v>#REF!</v>
      </c>
      <c r="H233" t="e">
        <f>AND(#REF!,"AAAAAG/t/wc=")</f>
        <v>#REF!</v>
      </c>
      <c r="I233" t="e">
        <f>AND(#REF!,"AAAAAG/t/wg=")</f>
        <v>#REF!</v>
      </c>
      <c r="J233" t="e">
        <f>AND(#REF!,"AAAAAG/t/wk=")</f>
        <v>#REF!</v>
      </c>
      <c r="K233" t="e">
        <f>AND(#REF!,"AAAAAG/t/wo=")</f>
        <v>#REF!</v>
      </c>
      <c r="L233" t="e">
        <f>AND(#REF!,"AAAAAG/t/ws=")</f>
        <v>#REF!</v>
      </c>
      <c r="M233" t="e">
        <f>AND(#REF!,"AAAAAG/t/ww=")</f>
        <v>#REF!</v>
      </c>
      <c r="N233" t="e">
        <f>AND(#REF!,"AAAAAG/t/w0=")</f>
        <v>#REF!</v>
      </c>
      <c r="O233" t="e">
        <f>AND(#REF!,"AAAAAG/t/w4=")</f>
        <v>#REF!</v>
      </c>
      <c r="P233" t="e">
        <f>AND(#REF!,"AAAAAG/t/w8=")</f>
        <v>#REF!</v>
      </c>
      <c r="Q233" t="e">
        <f>AND(#REF!,"AAAAAG/t/xA=")</f>
        <v>#REF!</v>
      </c>
      <c r="R233" t="e">
        <f>AND(#REF!,"AAAAAG/t/xE=")</f>
        <v>#REF!</v>
      </c>
      <c r="S233" t="e">
        <f>IF(#REF!,"AAAAAG/t/xI=",0)</f>
        <v>#REF!</v>
      </c>
      <c r="T233" t="e">
        <f>AND(#REF!,"AAAAAG/t/xM=")</f>
        <v>#REF!</v>
      </c>
      <c r="U233" t="e">
        <f>AND(#REF!,"AAAAAG/t/xQ=")</f>
        <v>#REF!</v>
      </c>
      <c r="V233" t="e">
        <f>AND(#REF!,"AAAAAG/t/xU=")</f>
        <v>#REF!</v>
      </c>
      <c r="W233" t="e">
        <f>AND(#REF!,"AAAAAG/t/xY=")</f>
        <v>#REF!</v>
      </c>
      <c r="X233" t="e">
        <f>AND(#REF!,"AAAAAG/t/xc=")</f>
        <v>#REF!</v>
      </c>
      <c r="Y233" t="e">
        <f>AND(#REF!,"AAAAAG/t/xg=")</f>
        <v>#REF!</v>
      </c>
      <c r="Z233" t="e">
        <f>AND(#REF!,"AAAAAG/t/xk=")</f>
        <v>#REF!</v>
      </c>
      <c r="AA233" t="e">
        <f>AND(#REF!,"AAAAAG/t/xo=")</f>
        <v>#REF!</v>
      </c>
      <c r="AB233" t="e">
        <f>AND(#REF!,"AAAAAG/t/xs=")</f>
        <v>#REF!</v>
      </c>
      <c r="AC233" t="e">
        <f>AND(#REF!,"AAAAAG/t/xw=")</f>
        <v>#REF!</v>
      </c>
      <c r="AD233" t="e">
        <f>AND(#REF!,"AAAAAG/t/x0=")</f>
        <v>#REF!</v>
      </c>
      <c r="AE233" t="e">
        <f>AND(#REF!,"AAAAAG/t/x4=")</f>
        <v>#REF!</v>
      </c>
      <c r="AF233" t="e">
        <f>AND(#REF!,"AAAAAG/t/x8=")</f>
        <v>#REF!</v>
      </c>
      <c r="AG233" t="e">
        <f>AND(#REF!,"AAAAAG/t/yA=")</f>
        <v>#REF!</v>
      </c>
      <c r="AH233" t="e">
        <f>AND(#REF!,"AAAAAG/t/yE=")</f>
        <v>#REF!</v>
      </c>
      <c r="AI233" t="e">
        <f>AND(#REF!,"AAAAAG/t/yI=")</f>
        <v>#REF!</v>
      </c>
      <c r="AJ233" t="e">
        <f>AND(#REF!,"AAAAAG/t/yM=")</f>
        <v>#REF!</v>
      </c>
      <c r="AK233" t="e">
        <f>AND(#REF!,"AAAAAG/t/yQ=")</f>
        <v>#REF!</v>
      </c>
      <c r="AL233" t="e">
        <f>AND(#REF!,"AAAAAG/t/yU=")</f>
        <v>#REF!</v>
      </c>
      <c r="AM233" t="e">
        <f>AND(#REF!,"AAAAAG/t/yY=")</f>
        <v>#REF!</v>
      </c>
      <c r="AN233" t="e">
        <f>AND(#REF!,"AAAAAG/t/yc=")</f>
        <v>#REF!</v>
      </c>
      <c r="AO233" t="e">
        <f>AND(#REF!,"AAAAAG/t/yg=")</f>
        <v>#REF!</v>
      </c>
      <c r="AP233" t="e">
        <f>AND(#REF!,"AAAAAG/t/yk=")</f>
        <v>#REF!</v>
      </c>
      <c r="AQ233" t="e">
        <f>AND(#REF!,"AAAAAG/t/yo=")</f>
        <v>#REF!</v>
      </c>
      <c r="AR233" t="e">
        <f>IF(#REF!,"AAAAAG/t/ys=",0)</f>
        <v>#REF!</v>
      </c>
      <c r="AS233" t="e">
        <f>AND(#REF!,"AAAAAG/t/yw=")</f>
        <v>#REF!</v>
      </c>
      <c r="AT233" t="e">
        <f>AND(#REF!,"AAAAAG/t/y0=")</f>
        <v>#REF!</v>
      </c>
      <c r="AU233" t="e">
        <f>AND(#REF!,"AAAAAG/t/y4=")</f>
        <v>#REF!</v>
      </c>
      <c r="AV233" t="e">
        <f>AND(#REF!,"AAAAAG/t/y8=")</f>
        <v>#REF!</v>
      </c>
      <c r="AW233" t="e">
        <f>AND(#REF!,"AAAAAG/t/zA=")</f>
        <v>#REF!</v>
      </c>
      <c r="AX233" t="e">
        <f>AND(#REF!,"AAAAAG/t/zE=")</f>
        <v>#REF!</v>
      </c>
      <c r="AY233" t="e">
        <f>AND(#REF!,"AAAAAG/t/zI=")</f>
        <v>#REF!</v>
      </c>
      <c r="AZ233" t="e">
        <f>AND(#REF!,"AAAAAG/t/zM=")</f>
        <v>#REF!</v>
      </c>
      <c r="BA233" t="e">
        <f>AND(#REF!,"AAAAAG/t/zQ=")</f>
        <v>#REF!</v>
      </c>
      <c r="BB233" t="e">
        <f>AND(#REF!,"AAAAAG/t/zU=")</f>
        <v>#REF!</v>
      </c>
      <c r="BC233" t="e">
        <f>AND(#REF!,"AAAAAG/t/zY=")</f>
        <v>#REF!</v>
      </c>
      <c r="BD233" t="e">
        <f>AND(#REF!,"AAAAAG/t/zc=")</f>
        <v>#REF!</v>
      </c>
      <c r="BE233" t="e">
        <f>AND(#REF!,"AAAAAG/t/zg=")</f>
        <v>#REF!</v>
      </c>
      <c r="BF233" t="e">
        <f>AND(#REF!,"AAAAAG/t/zk=")</f>
        <v>#REF!</v>
      </c>
      <c r="BG233" t="e">
        <f>AND(#REF!,"AAAAAG/t/zo=")</f>
        <v>#REF!</v>
      </c>
      <c r="BH233" t="e">
        <f>AND(#REF!,"AAAAAG/t/zs=")</f>
        <v>#REF!</v>
      </c>
      <c r="BI233" t="e">
        <f>AND(#REF!,"AAAAAG/t/zw=")</f>
        <v>#REF!</v>
      </c>
      <c r="BJ233" t="e">
        <f>AND(#REF!,"AAAAAG/t/z0=")</f>
        <v>#REF!</v>
      </c>
      <c r="BK233" t="e">
        <f>AND(#REF!,"AAAAAG/t/z4=")</f>
        <v>#REF!</v>
      </c>
      <c r="BL233" t="e">
        <f>AND(#REF!,"AAAAAG/t/z8=")</f>
        <v>#REF!</v>
      </c>
      <c r="BM233" t="e">
        <f>AND(#REF!,"AAAAAG/t/0A=")</f>
        <v>#REF!</v>
      </c>
      <c r="BN233" t="e">
        <f>AND(#REF!,"AAAAAG/t/0E=")</f>
        <v>#REF!</v>
      </c>
      <c r="BO233" t="e">
        <f>AND(#REF!,"AAAAAG/t/0I=")</f>
        <v>#REF!</v>
      </c>
      <c r="BP233" t="e">
        <f>AND(#REF!,"AAAAAG/t/0M=")</f>
        <v>#REF!</v>
      </c>
      <c r="BQ233" t="e">
        <f>IF(#REF!,"AAAAAG/t/0Q=",0)</f>
        <v>#REF!</v>
      </c>
      <c r="BR233" t="e">
        <f>AND(#REF!,"AAAAAG/t/0U=")</f>
        <v>#REF!</v>
      </c>
      <c r="BS233" t="e">
        <f>AND(#REF!,"AAAAAG/t/0Y=")</f>
        <v>#REF!</v>
      </c>
      <c r="BT233" t="e">
        <f>AND(#REF!,"AAAAAG/t/0c=")</f>
        <v>#REF!</v>
      </c>
      <c r="BU233" t="e">
        <f>AND(#REF!,"AAAAAG/t/0g=")</f>
        <v>#REF!</v>
      </c>
      <c r="BV233" t="e">
        <f>AND(#REF!,"AAAAAG/t/0k=")</f>
        <v>#REF!</v>
      </c>
      <c r="BW233" t="e">
        <f>AND(#REF!,"AAAAAG/t/0o=")</f>
        <v>#REF!</v>
      </c>
      <c r="BX233" t="e">
        <f>AND(#REF!,"AAAAAG/t/0s=")</f>
        <v>#REF!</v>
      </c>
      <c r="BY233" t="e">
        <f>AND(#REF!,"AAAAAG/t/0w=")</f>
        <v>#REF!</v>
      </c>
      <c r="BZ233" t="e">
        <f>AND(#REF!,"AAAAAG/t/00=")</f>
        <v>#REF!</v>
      </c>
      <c r="CA233" t="e">
        <f>AND(#REF!,"AAAAAG/t/04=")</f>
        <v>#REF!</v>
      </c>
      <c r="CB233" t="e">
        <f>AND(#REF!,"AAAAAG/t/08=")</f>
        <v>#REF!</v>
      </c>
      <c r="CC233" t="e">
        <f>AND(#REF!,"AAAAAG/t/1A=")</f>
        <v>#REF!</v>
      </c>
      <c r="CD233" t="e">
        <f>AND(#REF!,"AAAAAG/t/1E=")</f>
        <v>#REF!</v>
      </c>
      <c r="CE233" t="e">
        <f>AND(#REF!,"AAAAAG/t/1I=")</f>
        <v>#REF!</v>
      </c>
      <c r="CF233" t="e">
        <f>AND(#REF!,"AAAAAG/t/1M=")</f>
        <v>#REF!</v>
      </c>
      <c r="CG233" t="e">
        <f>AND(#REF!,"AAAAAG/t/1Q=")</f>
        <v>#REF!</v>
      </c>
      <c r="CH233" t="e">
        <f>AND(#REF!,"AAAAAG/t/1U=")</f>
        <v>#REF!</v>
      </c>
      <c r="CI233" t="e">
        <f>AND(#REF!,"AAAAAG/t/1Y=")</f>
        <v>#REF!</v>
      </c>
      <c r="CJ233" t="e">
        <f>AND(#REF!,"AAAAAG/t/1c=")</f>
        <v>#REF!</v>
      </c>
      <c r="CK233" t="e">
        <f>AND(#REF!,"AAAAAG/t/1g=")</f>
        <v>#REF!</v>
      </c>
      <c r="CL233" t="e">
        <f>AND(#REF!,"AAAAAG/t/1k=")</f>
        <v>#REF!</v>
      </c>
      <c r="CM233" t="e">
        <f>AND(#REF!,"AAAAAG/t/1o=")</f>
        <v>#REF!</v>
      </c>
      <c r="CN233" t="e">
        <f>AND(#REF!,"AAAAAG/t/1s=")</f>
        <v>#REF!</v>
      </c>
      <c r="CO233" t="e">
        <f>AND(#REF!,"AAAAAG/t/1w=")</f>
        <v>#REF!</v>
      </c>
      <c r="CP233" t="e">
        <f>IF(#REF!,"AAAAAG/t/10=",0)</f>
        <v>#REF!</v>
      </c>
      <c r="CQ233" t="e">
        <f>AND(#REF!,"AAAAAG/t/14=")</f>
        <v>#REF!</v>
      </c>
      <c r="CR233" t="e">
        <f>AND(#REF!,"AAAAAG/t/18=")</f>
        <v>#REF!</v>
      </c>
      <c r="CS233" t="e">
        <f>AND(#REF!,"AAAAAG/t/2A=")</f>
        <v>#REF!</v>
      </c>
      <c r="CT233" t="e">
        <f>AND(#REF!,"AAAAAG/t/2E=")</f>
        <v>#REF!</v>
      </c>
      <c r="CU233" t="e">
        <f>AND(#REF!,"AAAAAG/t/2I=")</f>
        <v>#REF!</v>
      </c>
      <c r="CV233" t="e">
        <f>AND(#REF!,"AAAAAG/t/2M=")</f>
        <v>#REF!</v>
      </c>
      <c r="CW233" t="e">
        <f>AND(#REF!,"AAAAAG/t/2Q=")</f>
        <v>#REF!</v>
      </c>
      <c r="CX233" t="e">
        <f>AND(#REF!,"AAAAAG/t/2U=")</f>
        <v>#REF!</v>
      </c>
      <c r="CY233" t="e">
        <f>AND(#REF!,"AAAAAG/t/2Y=")</f>
        <v>#REF!</v>
      </c>
      <c r="CZ233" t="e">
        <f>AND(#REF!,"AAAAAG/t/2c=")</f>
        <v>#REF!</v>
      </c>
      <c r="DA233" t="e">
        <f>AND(#REF!,"AAAAAG/t/2g=")</f>
        <v>#REF!</v>
      </c>
      <c r="DB233" t="e">
        <f>AND(#REF!,"AAAAAG/t/2k=")</f>
        <v>#REF!</v>
      </c>
      <c r="DC233" t="e">
        <f>AND(#REF!,"AAAAAG/t/2o=")</f>
        <v>#REF!</v>
      </c>
      <c r="DD233" t="e">
        <f>AND(#REF!,"AAAAAG/t/2s=")</f>
        <v>#REF!</v>
      </c>
      <c r="DE233" t="e">
        <f>AND(#REF!,"AAAAAG/t/2w=")</f>
        <v>#REF!</v>
      </c>
      <c r="DF233" t="e">
        <f>AND(#REF!,"AAAAAG/t/20=")</f>
        <v>#REF!</v>
      </c>
      <c r="DG233" t="e">
        <f>AND(#REF!,"AAAAAG/t/24=")</f>
        <v>#REF!</v>
      </c>
      <c r="DH233" t="e">
        <f>AND(#REF!,"AAAAAG/t/28=")</f>
        <v>#REF!</v>
      </c>
      <c r="DI233" t="e">
        <f>AND(#REF!,"AAAAAG/t/3A=")</f>
        <v>#REF!</v>
      </c>
      <c r="DJ233" t="e">
        <f>AND(#REF!,"AAAAAG/t/3E=")</f>
        <v>#REF!</v>
      </c>
      <c r="DK233" t="e">
        <f>AND(#REF!,"AAAAAG/t/3I=")</f>
        <v>#REF!</v>
      </c>
      <c r="DL233" t="e">
        <f>AND(#REF!,"AAAAAG/t/3M=")</f>
        <v>#REF!</v>
      </c>
      <c r="DM233" t="e">
        <f>AND(#REF!,"AAAAAG/t/3Q=")</f>
        <v>#REF!</v>
      </c>
      <c r="DN233" t="e">
        <f>AND(#REF!,"AAAAAG/t/3U=")</f>
        <v>#REF!</v>
      </c>
      <c r="DO233" t="e">
        <f>IF(#REF!,"AAAAAG/t/3Y=",0)</f>
        <v>#REF!</v>
      </c>
      <c r="DP233" t="e">
        <f>AND(#REF!,"AAAAAG/t/3c=")</f>
        <v>#REF!</v>
      </c>
      <c r="DQ233" t="e">
        <f>AND(#REF!,"AAAAAG/t/3g=")</f>
        <v>#REF!</v>
      </c>
      <c r="DR233" t="e">
        <f>AND(#REF!,"AAAAAG/t/3k=")</f>
        <v>#REF!</v>
      </c>
      <c r="DS233" t="e">
        <f>AND(#REF!,"AAAAAG/t/3o=")</f>
        <v>#REF!</v>
      </c>
      <c r="DT233" t="e">
        <f>AND(#REF!,"AAAAAG/t/3s=")</f>
        <v>#REF!</v>
      </c>
      <c r="DU233" t="e">
        <f>AND(#REF!,"AAAAAG/t/3w=")</f>
        <v>#REF!</v>
      </c>
      <c r="DV233" t="e">
        <f>AND(#REF!,"AAAAAG/t/30=")</f>
        <v>#REF!</v>
      </c>
      <c r="DW233" t="e">
        <f>AND(#REF!,"AAAAAG/t/34=")</f>
        <v>#REF!</v>
      </c>
      <c r="DX233" t="e">
        <f>AND(#REF!,"AAAAAG/t/38=")</f>
        <v>#REF!</v>
      </c>
      <c r="DY233" t="e">
        <f>AND(#REF!,"AAAAAG/t/4A=")</f>
        <v>#REF!</v>
      </c>
      <c r="DZ233" t="e">
        <f>AND(#REF!,"AAAAAG/t/4E=")</f>
        <v>#REF!</v>
      </c>
      <c r="EA233" t="e">
        <f>AND(#REF!,"AAAAAG/t/4I=")</f>
        <v>#REF!</v>
      </c>
      <c r="EB233" t="e">
        <f>AND(#REF!,"AAAAAG/t/4M=")</f>
        <v>#REF!</v>
      </c>
      <c r="EC233" t="e">
        <f>AND(#REF!,"AAAAAG/t/4Q=")</f>
        <v>#REF!</v>
      </c>
      <c r="ED233" t="e">
        <f>AND(#REF!,"AAAAAG/t/4U=")</f>
        <v>#REF!</v>
      </c>
      <c r="EE233" t="e">
        <f>AND(#REF!,"AAAAAG/t/4Y=")</f>
        <v>#REF!</v>
      </c>
      <c r="EF233" t="e">
        <f>AND(#REF!,"AAAAAG/t/4c=")</f>
        <v>#REF!</v>
      </c>
      <c r="EG233" t="e">
        <f>AND(#REF!,"AAAAAG/t/4g=")</f>
        <v>#REF!</v>
      </c>
      <c r="EH233" t="e">
        <f>AND(#REF!,"AAAAAG/t/4k=")</f>
        <v>#REF!</v>
      </c>
      <c r="EI233" t="e">
        <f>AND(#REF!,"AAAAAG/t/4o=")</f>
        <v>#REF!</v>
      </c>
      <c r="EJ233" t="e">
        <f>AND(#REF!,"AAAAAG/t/4s=")</f>
        <v>#REF!</v>
      </c>
      <c r="EK233" t="e">
        <f>AND(#REF!,"AAAAAG/t/4w=")</f>
        <v>#REF!</v>
      </c>
      <c r="EL233" t="e">
        <f>AND(#REF!,"AAAAAG/t/40=")</f>
        <v>#REF!</v>
      </c>
      <c r="EM233" t="e">
        <f>AND(#REF!,"AAAAAG/t/44=")</f>
        <v>#REF!</v>
      </c>
      <c r="EN233" t="e">
        <f>IF(#REF!,"AAAAAG/t/48=",0)</f>
        <v>#REF!</v>
      </c>
      <c r="EO233" t="e">
        <f>AND(#REF!,"AAAAAG/t/5A=")</f>
        <v>#REF!</v>
      </c>
      <c r="EP233" t="e">
        <f>AND(#REF!,"AAAAAG/t/5E=")</f>
        <v>#REF!</v>
      </c>
      <c r="EQ233" t="e">
        <f>AND(#REF!,"AAAAAG/t/5I=")</f>
        <v>#REF!</v>
      </c>
      <c r="ER233" t="e">
        <f>AND(#REF!,"AAAAAG/t/5M=")</f>
        <v>#REF!</v>
      </c>
      <c r="ES233" t="e">
        <f>AND(#REF!,"AAAAAG/t/5Q=")</f>
        <v>#REF!</v>
      </c>
      <c r="ET233" t="e">
        <f>AND(#REF!,"AAAAAG/t/5U=")</f>
        <v>#REF!</v>
      </c>
      <c r="EU233" t="e">
        <f>AND(#REF!,"AAAAAG/t/5Y=")</f>
        <v>#REF!</v>
      </c>
      <c r="EV233" t="e">
        <f>AND(#REF!,"AAAAAG/t/5c=")</f>
        <v>#REF!</v>
      </c>
      <c r="EW233" t="e">
        <f>AND(#REF!,"AAAAAG/t/5g=")</f>
        <v>#REF!</v>
      </c>
      <c r="EX233" t="e">
        <f>AND(#REF!,"AAAAAG/t/5k=")</f>
        <v>#REF!</v>
      </c>
      <c r="EY233" t="e">
        <f>AND(#REF!,"AAAAAG/t/5o=")</f>
        <v>#REF!</v>
      </c>
      <c r="EZ233" t="e">
        <f>AND(#REF!,"AAAAAG/t/5s=")</f>
        <v>#REF!</v>
      </c>
      <c r="FA233" t="e">
        <f>AND(#REF!,"AAAAAG/t/5w=")</f>
        <v>#REF!</v>
      </c>
      <c r="FB233" t="e">
        <f>AND(#REF!,"AAAAAG/t/50=")</f>
        <v>#REF!</v>
      </c>
      <c r="FC233" t="e">
        <f>AND(#REF!,"AAAAAG/t/54=")</f>
        <v>#REF!</v>
      </c>
      <c r="FD233" t="e">
        <f>AND(#REF!,"AAAAAG/t/58=")</f>
        <v>#REF!</v>
      </c>
      <c r="FE233" t="e">
        <f>AND(#REF!,"AAAAAG/t/6A=")</f>
        <v>#REF!</v>
      </c>
      <c r="FF233" t="e">
        <f>AND(#REF!,"AAAAAG/t/6E=")</f>
        <v>#REF!</v>
      </c>
      <c r="FG233" t="e">
        <f>AND(#REF!,"AAAAAG/t/6I=")</f>
        <v>#REF!</v>
      </c>
      <c r="FH233" t="e">
        <f>AND(#REF!,"AAAAAG/t/6M=")</f>
        <v>#REF!</v>
      </c>
      <c r="FI233" t="e">
        <f>AND(#REF!,"AAAAAG/t/6Q=")</f>
        <v>#REF!</v>
      </c>
      <c r="FJ233" t="e">
        <f>AND(#REF!,"AAAAAG/t/6U=")</f>
        <v>#REF!</v>
      </c>
      <c r="FK233" t="e">
        <f>AND(#REF!,"AAAAAG/t/6Y=")</f>
        <v>#REF!</v>
      </c>
      <c r="FL233" t="e">
        <f>AND(#REF!,"AAAAAG/t/6c=")</f>
        <v>#REF!</v>
      </c>
      <c r="FM233" t="e">
        <f>IF(#REF!,"AAAAAG/t/6g=",0)</f>
        <v>#REF!</v>
      </c>
      <c r="FN233" t="e">
        <f>AND(#REF!,"AAAAAG/t/6k=")</f>
        <v>#REF!</v>
      </c>
      <c r="FO233" t="e">
        <f>AND(#REF!,"AAAAAG/t/6o=")</f>
        <v>#REF!</v>
      </c>
      <c r="FP233" t="e">
        <f>AND(#REF!,"AAAAAG/t/6s=")</f>
        <v>#REF!</v>
      </c>
      <c r="FQ233" t="e">
        <f>AND(#REF!,"AAAAAG/t/6w=")</f>
        <v>#REF!</v>
      </c>
      <c r="FR233" t="e">
        <f>AND(#REF!,"AAAAAG/t/60=")</f>
        <v>#REF!</v>
      </c>
      <c r="FS233" t="e">
        <f>AND(#REF!,"AAAAAG/t/64=")</f>
        <v>#REF!</v>
      </c>
      <c r="FT233" t="e">
        <f>AND(#REF!,"AAAAAG/t/68=")</f>
        <v>#REF!</v>
      </c>
      <c r="FU233" t="e">
        <f>AND(#REF!,"AAAAAG/t/7A=")</f>
        <v>#REF!</v>
      </c>
      <c r="FV233" t="e">
        <f>AND(#REF!,"AAAAAG/t/7E=")</f>
        <v>#REF!</v>
      </c>
      <c r="FW233" t="e">
        <f>AND(#REF!,"AAAAAG/t/7I=")</f>
        <v>#REF!</v>
      </c>
      <c r="FX233" t="e">
        <f>AND(#REF!,"AAAAAG/t/7M=")</f>
        <v>#REF!</v>
      </c>
      <c r="FY233" t="e">
        <f>AND(#REF!,"AAAAAG/t/7Q=")</f>
        <v>#REF!</v>
      </c>
      <c r="FZ233" t="e">
        <f>AND(#REF!,"AAAAAG/t/7U=")</f>
        <v>#REF!</v>
      </c>
      <c r="GA233" t="e">
        <f>AND(#REF!,"AAAAAG/t/7Y=")</f>
        <v>#REF!</v>
      </c>
      <c r="GB233" t="e">
        <f>AND(#REF!,"AAAAAG/t/7c=")</f>
        <v>#REF!</v>
      </c>
      <c r="GC233" t="e">
        <f>AND(#REF!,"AAAAAG/t/7g=")</f>
        <v>#REF!</v>
      </c>
      <c r="GD233" t="e">
        <f>AND(#REF!,"AAAAAG/t/7k=")</f>
        <v>#REF!</v>
      </c>
      <c r="GE233" t="e">
        <f>AND(#REF!,"AAAAAG/t/7o=")</f>
        <v>#REF!</v>
      </c>
      <c r="GF233" t="e">
        <f>AND(#REF!,"AAAAAG/t/7s=")</f>
        <v>#REF!</v>
      </c>
      <c r="GG233" t="e">
        <f>AND(#REF!,"AAAAAG/t/7w=")</f>
        <v>#REF!</v>
      </c>
      <c r="GH233" t="e">
        <f>AND(#REF!,"AAAAAG/t/70=")</f>
        <v>#REF!</v>
      </c>
      <c r="GI233" t="e">
        <f>AND(#REF!,"AAAAAG/t/74=")</f>
        <v>#REF!</v>
      </c>
      <c r="GJ233" t="e">
        <f>AND(#REF!,"AAAAAG/t/78=")</f>
        <v>#REF!</v>
      </c>
      <c r="GK233" t="e">
        <f>AND(#REF!,"AAAAAG/t/8A=")</f>
        <v>#REF!</v>
      </c>
      <c r="GL233" t="e">
        <f>IF(#REF!,"AAAAAG/t/8E=",0)</f>
        <v>#REF!</v>
      </c>
      <c r="GM233" t="e">
        <f>AND(#REF!,"AAAAAG/t/8I=")</f>
        <v>#REF!</v>
      </c>
      <c r="GN233" t="e">
        <f>AND(#REF!,"AAAAAG/t/8M=")</f>
        <v>#REF!</v>
      </c>
      <c r="GO233" t="e">
        <f>AND(#REF!,"AAAAAG/t/8Q=")</f>
        <v>#REF!</v>
      </c>
      <c r="GP233" t="e">
        <f>AND(#REF!,"AAAAAG/t/8U=")</f>
        <v>#REF!</v>
      </c>
      <c r="GQ233" t="e">
        <f>AND(#REF!,"AAAAAG/t/8Y=")</f>
        <v>#REF!</v>
      </c>
      <c r="GR233" t="e">
        <f>AND(#REF!,"AAAAAG/t/8c=")</f>
        <v>#REF!</v>
      </c>
      <c r="GS233" t="e">
        <f>AND(#REF!,"AAAAAG/t/8g=")</f>
        <v>#REF!</v>
      </c>
      <c r="GT233" t="e">
        <f>AND(#REF!,"AAAAAG/t/8k=")</f>
        <v>#REF!</v>
      </c>
      <c r="GU233" t="e">
        <f>AND(#REF!,"AAAAAG/t/8o=")</f>
        <v>#REF!</v>
      </c>
      <c r="GV233" t="e">
        <f>AND(#REF!,"AAAAAG/t/8s=")</f>
        <v>#REF!</v>
      </c>
      <c r="GW233" t="e">
        <f>AND(#REF!,"AAAAAG/t/8w=")</f>
        <v>#REF!</v>
      </c>
      <c r="GX233" t="e">
        <f>AND(#REF!,"AAAAAG/t/80=")</f>
        <v>#REF!</v>
      </c>
      <c r="GY233" t="e">
        <f>AND(#REF!,"AAAAAG/t/84=")</f>
        <v>#REF!</v>
      </c>
      <c r="GZ233" t="e">
        <f>AND(#REF!,"AAAAAG/t/88=")</f>
        <v>#REF!</v>
      </c>
      <c r="HA233" t="e">
        <f>AND(#REF!,"AAAAAG/t/9A=")</f>
        <v>#REF!</v>
      </c>
      <c r="HB233" t="e">
        <f>AND(#REF!,"AAAAAG/t/9E=")</f>
        <v>#REF!</v>
      </c>
      <c r="HC233" t="e">
        <f>AND(#REF!,"AAAAAG/t/9I=")</f>
        <v>#REF!</v>
      </c>
      <c r="HD233" t="e">
        <f>AND(#REF!,"AAAAAG/t/9M=")</f>
        <v>#REF!</v>
      </c>
      <c r="HE233" t="e">
        <f>AND(#REF!,"AAAAAG/t/9Q=")</f>
        <v>#REF!</v>
      </c>
      <c r="HF233" t="e">
        <f>AND(#REF!,"AAAAAG/t/9U=")</f>
        <v>#REF!</v>
      </c>
      <c r="HG233" t="e">
        <f>AND(#REF!,"AAAAAG/t/9Y=")</f>
        <v>#REF!</v>
      </c>
      <c r="HH233" t="e">
        <f>AND(#REF!,"AAAAAG/t/9c=")</f>
        <v>#REF!</v>
      </c>
      <c r="HI233" t="e">
        <f>AND(#REF!,"AAAAAG/t/9g=")</f>
        <v>#REF!</v>
      </c>
      <c r="HJ233" t="e">
        <f>AND(#REF!,"AAAAAG/t/9k=")</f>
        <v>#REF!</v>
      </c>
      <c r="HK233" t="e">
        <f>IF(#REF!,"AAAAAG/t/9o=",0)</f>
        <v>#REF!</v>
      </c>
      <c r="HL233" t="e">
        <f>AND(#REF!,"AAAAAG/t/9s=")</f>
        <v>#REF!</v>
      </c>
      <c r="HM233" t="e">
        <f>AND(#REF!,"AAAAAG/t/9w=")</f>
        <v>#REF!</v>
      </c>
      <c r="HN233" t="e">
        <f>AND(#REF!,"AAAAAG/t/90=")</f>
        <v>#REF!</v>
      </c>
      <c r="HO233" t="e">
        <f>AND(#REF!,"AAAAAG/t/94=")</f>
        <v>#REF!</v>
      </c>
      <c r="HP233" t="e">
        <f>AND(#REF!,"AAAAAG/t/98=")</f>
        <v>#REF!</v>
      </c>
      <c r="HQ233" t="e">
        <f>AND(#REF!,"AAAAAG/t/+A=")</f>
        <v>#REF!</v>
      </c>
      <c r="HR233" t="e">
        <f>AND(#REF!,"AAAAAG/t/+E=")</f>
        <v>#REF!</v>
      </c>
      <c r="HS233" t="e">
        <f>AND(#REF!,"AAAAAG/t/+I=")</f>
        <v>#REF!</v>
      </c>
      <c r="HT233" t="e">
        <f>AND(#REF!,"AAAAAG/t/+M=")</f>
        <v>#REF!</v>
      </c>
      <c r="HU233" t="e">
        <f>AND(#REF!,"AAAAAG/t/+Q=")</f>
        <v>#REF!</v>
      </c>
      <c r="HV233" t="e">
        <f>AND(#REF!,"AAAAAG/t/+U=")</f>
        <v>#REF!</v>
      </c>
      <c r="HW233" t="e">
        <f>AND(#REF!,"AAAAAG/t/+Y=")</f>
        <v>#REF!</v>
      </c>
      <c r="HX233" t="e">
        <f>AND(#REF!,"AAAAAG/t/+c=")</f>
        <v>#REF!</v>
      </c>
      <c r="HY233" t="e">
        <f>AND(#REF!,"AAAAAG/t/+g=")</f>
        <v>#REF!</v>
      </c>
      <c r="HZ233" t="e">
        <f>AND(#REF!,"AAAAAG/t/+k=")</f>
        <v>#REF!</v>
      </c>
      <c r="IA233" t="e">
        <f>AND(#REF!,"AAAAAG/t/+o=")</f>
        <v>#REF!</v>
      </c>
      <c r="IB233" t="e">
        <f>AND(#REF!,"AAAAAG/t/+s=")</f>
        <v>#REF!</v>
      </c>
      <c r="IC233" t="e">
        <f>AND(#REF!,"AAAAAG/t/+w=")</f>
        <v>#REF!</v>
      </c>
      <c r="ID233" t="e">
        <f>AND(#REF!,"AAAAAG/t/+0=")</f>
        <v>#REF!</v>
      </c>
      <c r="IE233" t="e">
        <f>AND(#REF!,"AAAAAG/t/+4=")</f>
        <v>#REF!</v>
      </c>
      <c r="IF233" t="e">
        <f>AND(#REF!,"AAAAAG/t/+8=")</f>
        <v>#REF!</v>
      </c>
      <c r="IG233" t="e">
        <f>AND(#REF!,"AAAAAG/t//A=")</f>
        <v>#REF!</v>
      </c>
      <c r="IH233" t="e">
        <f>AND(#REF!,"AAAAAG/t//E=")</f>
        <v>#REF!</v>
      </c>
      <c r="II233" t="e">
        <f>AND(#REF!,"AAAAAG/t//I=")</f>
        <v>#REF!</v>
      </c>
      <c r="IJ233" t="e">
        <f>IF(#REF!,"AAAAAG/t//M=",0)</f>
        <v>#REF!</v>
      </c>
      <c r="IK233" t="e">
        <f>AND(#REF!,"AAAAAG/t//Q=")</f>
        <v>#REF!</v>
      </c>
      <c r="IL233" t="e">
        <f>AND(#REF!,"AAAAAG/t//U=")</f>
        <v>#REF!</v>
      </c>
      <c r="IM233" t="e">
        <f>AND(#REF!,"AAAAAG/t//Y=")</f>
        <v>#REF!</v>
      </c>
      <c r="IN233" t="e">
        <f>AND(#REF!,"AAAAAG/t//c=")</f>
        <v>#REF!</v>
      </c>
      <c r="IO233" t="e">
        <f>AND(#REF!,"AAAAAG/t//g=")</f>
        <v>#REF!</v>
      </c>
      <c r="IP233" t="e">
        <f>AND(#REF!,"AAAAAG/t//k=")</f>
        <v>#REF!</v>
      </c>
      <c r="IQ233" t="e">
        <f>AND(#REF!,"AAAAAG/t//o=")</f>
        <v>#REF!</v>
      </c>
      <c r="IR233" t="e">
        <f>AND(#REF!,"AAAAAG/t//s=")</f>
        <v>#REF!</v>
      </c>
      <c r="IS233" t="e">
        <f>AND(#REF!,"AAAAAG/t//w=")</f>
        <v>#REF!</v>
      </c>
      <c r="IT233" t="e">
        <f>AND(#REF!,"AAAAAG/t//0=")</f>
        <v>#REF!</v>
      </c>
      <c r="IU233" t="e">
        <f>AND(#REF!,"AAAAAG/t//4=")</f>
        <v>#REF!</v>
      </c>
      <c r="IV233" t="e">
        <f>AND(#REF!,"AAAAAG/t//8=")</f>
        <v>#REF!</v>
      </c>
    </row>
    <row r="234" spans="1:256">
      <c r="A234" t="e">
        <f>AND(#REF!,"AAAAAHN87wA=")</f>
        <v>#REF!</v>
      </c>
      <c r="B234" t="e">
        <f>AND(#REF!,"AAAAAHN87wE=")</f>
        <v>#REF!</v>
      </c>
      <c r="C234" t="e">
        <f>AND(#REF!,"AAAAAHN87wI=")</f>
        <v>#REF!</v>
      </c>
      <c r="D234" t="e">
        <f>AND(#REF!,"AAAAAHN87wM=")</f>
        <v>#REF!</v>
      </c>
      <c r="E234" t="e">
        <f>AND(#REF!,"AAAAAHN87wQ=")</f>
        <v>#REF!</v>
      </c>
      <c r="F234" t="e">
        <f>AND(#REF!,"AAAAAHN87wU=")</f>
        <v>#REF!</v>
      </c>
      <c r="G234" t="e">
        <f>AND(#REF!,"AAAAAHN87wY=")</f>
        <v>#REF!</v>
      </c>
      <c r="H234" t="e">
        <f>AND(#REF!,"AAAAAHN87wc=")</f>
        <v>#REF!</v>
      </c>
      <c r="I234" t="e">
        <f>AND(#REF!,"AAAAAHN87wg=")</f>
        <v>#REF!</v>
      </c>
      <c r="J234" t="e">
        <f>AND(#REF!,"AAAAAHN87wk=")</f>
        <v>#REF!</v>
      </c>
      <c r="K234" t="e">
        <f>AND(#REF!,"AAAAAHN87wo=")</f>
        <v>#REF!</v>
      </c>
      <c r="L234" t="e">
        <f>AND(#REF!,"AAAAAHN87ws=")</f>
        <v>#REF!</v>
      </c>
      <c r="M234" t="e">
        <f>IF(#REF!,"AAAAAHN87ww=",0)</f>
        <v>#REF!</v>
      </c>
      <c r="N234" t="e">
        <f>AND(#REF!,"AAAAAHN87w0=")</f>
        <v>#REF!</v>
      </c>
      <c r="O234" t="e">
        <f>AND(#REF!,"AAAAAHN87w4=")</f>
        <v>#REF!</v>
      </c>
      <c r="P234" t="e">
        <f>AND(#REF!,"AAAAAHN87w8=")</f>
        <v>#REF!</v>
      </c>
      <c r="Q234" t="e">
        <f>AND(#REF!,"AAAAAHN87xA=")</f>
        <v>#REF!</v>
      </c>
      <c r="R234" t="e">
        <f>AND(#REF!,"AAAAAHN87xE=")</f>
        <v>#REF!</v>
      </c>
      <c r="S234" t="e">
        <f>AND(#REF!,"AAAAAHN87xI=")</f>
        <v>#REF!</v>
      </c>
      <c r="T234" t="e">
        <f>AND(#REF!,"AAAAAHN87xM=")</f>
        <v>#REF!</v>
      </c>
      <c r="U234" t="e">
        <f>AND(#REF!,"AAAAAHN87xQ=")</f>
        <v>#REF!</v>
      </c>
      <c r="V234" t="e">
        <f>AND(#REF!,"AAAAAHN87xU=")</f>
        <v>#REF!</v>
      </c>
      <c r="W234" t="e">
        <f>AND(#REF!,"AAAAAHN87xY=")</f>
        <v>#REF!</v>
      </c>
      <c r="X234" t="e">
        <f>AND(#REF!,"AAAAAHN87xc=")</f>
        <v>#REF!</v>
      </c>
      <c r="Y234" t="e">
        <f>AND(#REF!,"AAAAAHN87xg=")</f>
        <v>#REF!</v>
      </c>
      <c r="Z234" t="e">
        <f>AND(#REF!,"AAAAAHN87xk=")</f>
        <v>#REF!</v>
      </c>
      <c r="AA234" t="e">
        <f>AND(#REF!,"AAAAAHN87xo=")</f>
        <v>#REF!</v>
      </c>
      <c r="AB234" t="e">
        <f>AND(#REF!,"AAAAAHN87xs=")</f>
        <v>#REF!</v>
      </c>
      <c r="AC234" t="e">
        <f>AND(#REF!,"AAAAAHN87xw=")</f>
        <v>#REF!</v>
      </c>
      <c r="AD234" t="e">
        <f>AND(#REF!,"AAAAAHN87x0=")</f>
        <v>#REF!</v>
      </c>
      <c r="AE234" t="e">
        <f>AND(#REF!,"AAAAAHN87x4=")</f>
        <v>#REF!</v>
      </c>
      <c r="AF234" t="e">
        <f>AND(#REF!,"AAAAAHN87x8=")</f>
        <v>#REF!</v>
      </c>
      <c r="AG234" t="e">
        <f>AND(#REF!,"AAAAAHN87yA=")</f>
        <v>#REF!</v>
      </c>
      <c r="AH234" t="e">
        <f>AND(#REF!,"AAAAAHN87yE=")</f>
        <v>#REF!</v>
      </c>
      <c r="AI234" t="e">
        <f>AND(#REF!,"AAAAAHN87yI=")</f>
        <v>#REF!</v>
      </c>
      <c r="AJ234" t="e">
        <f>AND(#REF!,"AAAAAHN87yM=")</f>
        <v>#REF!</v>
      </c>
      <c r="AK234" t="e">
        <f>AND(#REF!,"AAAAAHN87yQ=")</f>
        <v>#REF!</v>
      </c>
      <c r="AL234" t="e">
        <f>IF(#REF!,"AAAAAHN87yU=",0)</f>
        <v>#REF!</v>
      </c>
      <c r="AM234" t="e">
        <f>AND(#REF!,"AAAAAHN87yY=")</f>
        <v>#REF!</v>
      </c>
      <c r="AN234" t="e">
        <f>AND(#REF!,"AAAAAHN87yc=")</f>
        <v>#REF!</v>
      </c>
      <c r="AO234" t="e">
        <f>AND(#REF!,"AAAAAHN87yg=")</f>
        <v>#REF!</v>
      </c>
      <c r="AP234" t="e">
        <f>AND(#REF!,"AAAAAHN87yk=")</f>
        <v>#REF!</v>
      </c>
      <c r="AQ234" t="e">
        <f>AND(#REF!,"AAAAAHN87yo=")</f>
        <v>#REF!</v>
      </c>
      <c r="AR234" t="e">
        <f>AND(#REF!,"AAAAAHN87ys=")</f>
        <v>#REF!</v>
      </c>
      <c r="AS234" t="e">
        <f>AND(#REF!,"AAAAAHN87yw=")</f>
        <v>#REF!</v>
      </c>
      <c r="AT234" t="e">
        <f>AND(#REF!,"AAAAAHN87y0=")</f>
        <v>#REF!</v>
      </c>
      <c r="AU234" t="e">
        <f>AND(#REF!,"AAAAAHN87y4=")</f>
        <v>#REF!</v>
      </c>
      <c r="AV234" t="e">
        <f>AND(#REF!,"AAAAAHN87y8=")</f>
        <v>#REF!</v>
      </c>
      <c r="AW234" t="e">
        <f>AND(#REF!,"AAAAAHN87zA=")</f>
        <v>#REF!</v>
      </c>
      <c r="AX234" t="e">
        <f>AND(#REF!,"AAAAAHN87zE=")</f>
        <v>#REF!</v>
      </c>
      <c r="AY234" t="e">
        <f>AND(#REF!,"AAAAAHN87zI=")</f>
        <v>#REF!</v>
      </c>
      <c r="AZ234" t="e">
        <f>AND(#REF!,"AAAAAHN87zM=")</f>
        <v>#REF!</v>
      </c>
      <c r="BA234" t="e">
        <f>AND(#REF!,"AAAAAHN87zQ=")</f>
        <v>#REF!</v>
      </c>
      <c r="BB234" t="e">
        <f>AND(#REF!,"AAAAAHN87zU=")</f>
        <v>#REF!</v>
      </c>
      <c r="BC234" t="e">
        <f>AND(#REF!,"AAAAAHN87zY=")</f>
        <v>#REF!</v>
      </c>
      <c r="BD234" t="e">
        <f>AND(#REF!,"AAAAAHN87zc=")</f>
        <v>#REF!</v>
      </c>
      <c r="BE234" t="e">
        <f>AND(#REF!,"AAAAAHN87zg=")</f>
        <v>#REF!</v>
      </c>
      <c r="BF234" t="e">
        <f>AND(#REF!,"AAAAAHN87zk=")</f>
        <v>#REF!</v>
      </c>
      <c r="BG234" t="e">
        <f>AND(#REF!,"AAAAAHN87zo=")</f>
        <v>#REF!</v>
      </c>
      <c r="BH234" t="e">
        <f>AND(#REF!,"AAAAAHN87zs=")</f>
        <v>#REF!</v>
      </c>
      <c r="BI234" t="e">
        <f>AND(#REF!,"AAAAAHN87zw=")</f>
        <v>#REF!</v>
      </c>
      <c r="BJ234" t="e">
        <f>AND(#REF!,"AAAAAHN87z0=")</f>
        <v>#REF!</v>
      </c>
      <c r="BK234" t="e">
        <f>IF(#REF!,"AAAAAHN87z4=",0)</f>
        <v>#REF!</v>
      </c>
      <c r="BL234" t="e">
        <f>AND(#REF!,"AAAAAHN87z8=")</f>
        <v>#REF!</v>
      </c>
      <c r="BM234" t="e">
        <f>AND(#REF!,"AAAAAHN870A=")</f>
        <v>#REF!</v>
      </c>
      <c r="BN234" t="e">
        <f>AND(#REF!,"AAAAAHN870E=")</f>
        <v>#REF!</v>
      </c>
      <c r="BO234" t="e">
        <f>AND(#REF!,"AAAAAHN870I=")</f>
        <v>#REF!</v>
      </c>
      <c r="BP234" t="e">
        <f>AND(#REF!,"AAAAAHN870M=")</f>
        <v>#REF!</v>
      </c>
      <c r="BQ234" t="e">
        <f>AND(#REF!,"AAAAAHN870Q=")</f>
        <v>#REF!</v>
      </c>
      <c r="BR234" t="e">
        <f>AND(#REF!,"AAAAAHN870U=")</f>
        <v>#REF!</v>
      </c>
      <c r="BS234" t="e">
        <f>AND(#REF!,"AAAAAHN870Y=")</f>
        <v>#REF!</v>
      </c>
      <c r="BT234" t="e">
        <f>AND(#REF!,"AAAAAHN870c=")</f>
        <v>#REF!</v>
      </c>
      <c r="BU234" t="e">
        <f>AND(#REF!,"AAAAAHN870g=")</f>
        <v>#REF!</v>
      </c>
      <c r="BV234" t="e">
        <f>AND(#REF!,"AAAAAHN870k=")</f>
        <v>#REF!</v>
      </c>
      <c r="BW234" t="e">
        <f>AND(#REF!,"AAAAAHN870o=")</f>
        <v>#REF!</v>
      </c>
      <c r="BX234" t="e">
        <f>AND(#REF!,"AAAAAHN870s=")</f>
        <v>#REF!</v>
      </c>
      <c r="BY234" t="e">
        <f>AND(#REF!,"AAAAAHN870w=")</f>
        <v>#REF!</v>
      </c>
      <c r="BZ234" t="e">
        <f>AND(#REF!,"AAAAAHN8700=")</f>
        <v>#REF!</v>
      </c>
      <c r="CA234" t="e">
        <f>AND(#REF!,"AAAAAHN8704=")</f>
        <v>#REF!</v>
      </c>
      <c r="CB234" t="e">
        <f>AND(#REF!,"AAAAAHN8708=")</f>
        <v>#REF!</v>
      </c>
      <c r="CC234" t="e">
        <f>AND(#REF!,"AAAAAHN871A=")</f>
        <v>#REF!</v>
      </c>
      <c r="CD234" t="e">
        <f>AND(#REF!,"AAAAAHN871E=")</f>
        <v>#REF!</v>
      </c>
      <c r="CE234" t="e">
        <f>AND(#REF!,"AAAAAHN871I=")</f>
        <v>#REF!</v>
      </c>
      <c r="CF234" t="e">
        <f>AND(#REF!,"AAAAAHN871M=")</f>
        <v>#REF!</v>
      </c>
      <c r="CG234" t="e">
        <f>AND(#REF!,"AAAAAHN871Q=")</f>
        <v>#REF!</v>
      </c>
      <c r="CH234" t="e">
        <f>AND(#REF!,"AAAAAHN871U=")</f>
        <v>#REF!</v>
      </c>
      <c r="CI234" t="e">
        <f>AND(#REF!,"AAAAAHN871Y=")</f>
        <v>#REF!</v>
      </c>
      <c r="CJ234" t="e">
        <f>IF(#REF!,"AAAAAHN871c=",0)</f>
        <v>#REF!</v>
      </c>
      <c r="CK234" t="e">
        <f>AND(#REF!,"AAAAAHN871g=")</f>
        <v>#REF!</v>
      </c>
      <c r="CL234" t="e">
        <f>AND(#REF!,"AAAAAHN871k=")</f>
        <v>#REF!</v>
      </c>
      <c r="CM234" t="e">
        <f>AND(#REF!,"AAAAAHN871o=")</f>
        <v>#REF!</v>
      </c>
      <c r="CN234" t="e">
        <f>AND(#REF!,"AAAAAHN871s=")</f>
        <v>#REF!</v>
      </c>
      <c r="CO234" t="e">
        <f>AND(#REF!,"AAAAAHN871w=")</f>
        <v>#REF!</v>
      </c>
      <c r="CP234" t="e">
        <f>AND(#REF!,"AAAAAHN8710=")</f>
        <v>#REF!</v>
      </c>
      <c r="CQ234" t="e">
        <f>AND(#REF!,"AAAAAHN8714=")</f>
        <v>#REF!</v>
      </c>
      <c r="CR234" t="e">
        <f>AND(#REF!,"AAAAAHN8718=")</f>
        <v>#REF!</v>
      </c>
      <c r="CS234" t="e">
        <f>AND(#REF!,"AAAAAHN872A=")</f>
        <v>#REF!</v>
      </c>
      <c r="CT234" t="e">
        <f>AND(#REF!,"AAAAAHN872E=")</f>
        <v>#REF!</v>
      </c>
      <c r="CU234" t="e">
        <f>AND(#REF!,"AAAAAHN872I=")</f>
        <v>#REF!</v>
      </c>
      <c r="CV234" t="e">
        <f>AND(#REF!,"AAAAAHN872M=")</f>
        <v>#REF!</v>
      </c>
      <c r="CW234" t="e">
        <f>AND(#REF!,"AAAAAHN872Q=")</f>
        <v>#REF!</v>
      </c>
      <c r="CX234" t="e">
        <f>AND(#REF!,"AAAAAHN872U=")</f>
        <v>#REF!</v>
      </c>
      <c r="CY234" t="e">
        <f>AND(#REF!,"AAAAAHN872Y=")</f>
        <v>#REF!</v>
      </c>
      <c r="CZ234" t="e">
        <f>AND(#REF!,"AAAAAHN872c=")</f>
        <v>#REF!</v>
      </c>
      <c r="DA234" t="e">
        <f>AND(#REF!,"AAAAAHN872g=")</f>
        <v>#REF!</v>
      </c>
      <c r="DB234" t="e">
        <f>AND(#REF!,"AAAAAHN872k=")</f>
        <v>#REF!</v>
      </c>
      <c r="DC234" t="e">
        <f>AND(#REF!,"AAAAAHN872o=")</f>
        <v>#REF!</v>
      </c>
      <c r="DD234" t="e">
        <f>AND(#REF!,"AAAAAHN872s=")</f>
        <v>#REF!</v>
      </c>
      <c r="DE234" t="e">
        <f>AND(#REF!,"AAAAAHN872w=")</f>
        <v>#REF!</v>
      </c>
      <c r="DF234" t="e">
        <f>AND(#REF!,"AAAAAHN8720=")</f>
        <v>#REF!</v>
      </c>
      <c r="DG234" t="e">
        <f>AND(#REF!,"AAAAAHN8724=")</f>
        <v>#REF!</v>
      </c>
      <c r="DH234" t="e">
        <f>AND(#REF!,"AAAAAHN8728=")</f>
        <v>#REF!</v>
      </c>
      <c r="DI234" t="e">
        <f>IF(#REF!,"AAAAAHN873A=",0)</f>
        <v>#REF!</v>
      </c>
      <c r="DJ234" t="e">
        <f>AND(#REF!,"AAAAAHN873E=")</f>
        <v>#REF!</v>
      </c>
      <c r="DK234" t="e">
        <f>AND(#REF!,"AAAAAHN873I=")</f>
        <v>#REF!</v>
      </c>
      <c r="DL234" t="e">
        <f>AND(#REF!,"AAAAAHN873M=")</f>
        <v>#REF!</v>
      </c>
      <c r="DM234" t="e">
        <f>AND(#REF!,"AAAAAHN873Q=")</f>
        <v>#REF!</v>
      </c>
      <c r="DN234" t="e">
        <f>AND(#REF!,"AAAAAHN873U=")</f>
        <v>#REF!</v>
      </c>
      <c r="DO234" t="e">
        <f>AND(#REF!,"AAAAAHN873Y=")</f>
        <v>#REF!</v>
      </c>
      <c r="DP234" t="e">
        <f>AND(#REF!,"AAAAAHN873c=")</f>
        <v>#REF!</v>
      </c>
      <c r="DQ234" t="e">
        <f>AND(#REF!,"AAAAAHN873g=")</f>
        <v>#REF!</v>
      </c>
      <c r="DR234" t="e">
        <f>AND(#REF!,"AAAAAHN873k=")</f>
        <v>#REF!</v>
      </c>
      <c r="DS234" t="e">
        <f>AND(#REF!,"AAAAAHN873o=")</f>
        <v>#REF!</v>
      </c>
      <c r="DT234" t="e">
        <f>AND(#REF!,"AAAAAHN873s=")</f>
        <v>#REF!</v>
      </c>
      <c r="DU234" t="e">
        <f>AND(#REF!,"AAAAAHN873w=")</f>
        <v>#REF!</v>
      </c>
      <c r="DV234" t="e">
        <f>AND(#REF!,"AAAAAHN8730=")</f>
        <v>#REF!</v>
      </c>
      <c r="DW234" t="e">
        <f>AND(#REF!,"AAAAAHN8734=")</f>
        <v>#REF!</v>
      </c>
      <c r="DX234" t="e">
        <f>AND(#REF!,"AAAAAHN8738=")</f>
        <v>#REF!</v>
      </c>
      <c r="DY234" t="e">
        <f>AND(#REF!,"AAAAAHN874A=")</f>
        <v>#REF!</v>
      </c>
      <c r="DZ234" t="e">
        <f>AND(#REF!,"AAAAAHN874E=")</f>
        <v>#REF!</v>
      </c>
      <c r="EA234" t="e">
        <f>AND(#REF!,"AAAAAHN874I=")</f>
        <v>#REF!</v>
      </c>
      <c r="EB234" t="e">
        <f>AND(#REF!,"AAAAAHN874M=")</f>
        <v>#REF!</v>
      </c>
      <c r="EC234" t="e">
        <f>AND(#REF!,"AAAAAHN874Q=")</f>
        <v>#REF!</v>
      </c>
      <c r="ED234" t="e">
        <f>AND(#REF!,"AAAAAHN874U=")</f>
        <v>#REF!</v>
      </c>
      <c r="EE234" t="e">
        <f>AND(#REF!,"AAAAAHN874Y=")</f>
        <v>#REF!</v>
      </c>
      <c r="EF234" t="e">
        <f>AND(#REF!,"AAAAAHN874c=")</f>
        <v>#REF!</v>
      </c>
      <c r="EG234" t="e">
        <f>AND(#REF!,"AAAAAHN874g=")</f>
        <v>#REF!</v>
      </c>
      <c r="EH234" t="e">
        <f>IF(#REF!,"AAAAAHN874k=",0)</f>
        <v>#REF!</v>
      </c>
      <c r="EI234" t="e">
        <f>AND(#REF!,"AAAAAHN874o=")</f>
        <v>#REF!</v>
      </c>
      <c r="EJ234" t="e">
        <f>AND(#REF!,"AAAAAHN874s=")</f>
        <v>#REF!</v>
      </c>
      <c r="EK234" t="e">
        <f>AND(#REF!,"AAAAAHN874w=")</f>
        <v>#REF!</v>
      </c>
      <c r="EL234" t="e">
        <f>AND(#REF!,"AAAAAHN8740=")</f>
        <v>#REF!</v>
      </c>
      <c r="EM234" t="e">
        <f>AND(#REF!,"AAAAAHN8744=")</f>
        <v>#REF!</v>
      </c>
      <c r="EN234" t="e">
        <f>AND(#REF!,"AAAAAHN8748=")</f>
        <v>#REF!</v>
      </c>
      <c r="EO234" t="e">
        <f>AND(#REF!,"AAAAAHN875A=")</f>
        <v>#REF!</v>
      </c>
      <c r="EP234" t="e">
        <f>AND(#REF!,"AAAAAHN875E=")</f>
        <v>#REF!</v>
      </c>
      <c r="EQ234" t="e">
        <f>AND(#REF!,"AAAAAHN875I=")</f>
        <v>#REF!</v>
      </c>
      <c r="ER234" t="e">
        <f>AND(#REF!,"AAAAAHN875M=")</f>
        <v>#REF!</v>
      </c>
      <c r="ES234" t="e">
        <f>AND(#REF!,"AAAAAHN875Q=")</f>
        <v>#REF!</v>
      </c>
      <c r="ET234" t="e">
        <f>AND(#REF!,"AAAAAHN875U=")</f>
        <v>#REF!</v>
      </c>
      <c r="EU234" t="e">
        <f>AND(#REF!,"AAAAAHN875Y=")</f>
        <v>#REF!</v>
      </c>
      <c r="EV234" t="e">
        <f>AND(#REF!,"AAAAAHN875c=")</f>
        <v>#REF!</v>
      </c>
      <c r="EW234" t="e">
        <f>AND(#REF!,"AAAAAHN875g=")</f>
        <v>#REF!</v>
      </c>
      <c r="EX234" t="e">
        <f>AND(#REF!,"AAAAAHN875k=")</f>
        <v>#REF!</v>
      </c>
      <c r="EY234" t="e">
        <f>AND(#REF!,"AAAAAHN875o=")</f>
        <v>#REF!</v>
      </c>
      <c r="EZ234" t="e">
        <f>AND(#REF!,"AAAAAHN875s=")</f>
        <v>#REF!</v>
      </c>
      <c r="FA234" t="e">
        <f>AND(#REF!,"AAAAAHN875w=")</f>
        <v>#REF!</v>
      </c>
      <c r="FB234" t="e">
        <f>AND(#REF!,"AAAAAHN8750=")</f>
        <v>#REF!</v>
      </c>
      <c r="FC234" t="e">
        <f>AND(#REF!,"AAAAAHN8754=")</f>
        <v>#REF!</v>
      </c>
      <c r="FD234" t="e">
        <f>AND(#REF!,"AAAAAHN8758=")</f>
        <v>#REF!</v>
      </c>
      <c r="FE234" t="e">
        <f>AND(#REF!,"AAAAAHN876A=")</f>
        <v>#REF!</v>
      </c>
      <c r="FF234" t="e">
        <f>AND(#REF!,"AAAAAHN876E=")</f>
        <v>#REF!</v>
      </c>
      <c r="FG234" t="e">
        <f>IF(#REF!,"AAAAAHN876I=",0)</f>
        <v>#REF!</v>
      </c>
      <c r="FH234" t="e">
        <f>AND(#REF!,"AAAAAHN876M=")</f>
        <v>#REF!</v>
      </c>
      <c r="FI234" t="e">
        <f>AND(#REF!,"AAAAAHN876Q=")</f>
        <v>#REF!</v>
      </c>
      <c r="FJ234" t="e">
        <f>AND(#REF!,"AAAAAHN876U=")</f>
        <v>#REF!</v>
      </c>
      <c r="FK234" t="e">
        <f>AND(#REF!,"AAAAAHN876Y=")</f>
        <v>#REF!</v>
      </c>
      <c r="FL234" t="e">
        <f>AND(#REF!,"AAAAAHN876c=")</f>
        <v>#REF!</v>
      </c>
      <c r="FM234" t="e">
        <f>AND(#REF!,"AAAAAHN876g=")</f>
        <v>#REF!</v>
      </c>
      <c r="FN234" t="e">
        <f>AND(#REF!,"AAAAAHN876k=")</f>
        <v>#REF!</v>
      </c>
      <c r="FO234" t="e">
        <f>AND(#REF!,"AAAAAHN876o=")</f>
        <v>#REF!</v>
      </c>
      <c r="FP234" t="e">
        <f>AND(#REF!,"AAAAAHN876s=")</f>
        <v>#REF!</v>
      </c>
      <c r="FQ234" t="e">
        <f>AND(#REF!,"AAAAAHN876w=")</f>
        <v>#REF!</v>
      </c>
      <c r="FR234" t="e">
        <f>AND(#REF!,"AAAAAHN8760=")</f>
        <v>#REF!</v>
      </c>
      <c r="FS234" t="e">
        <f>AND(#REF!,"AAAAAHN8764=")</f>
        <v>#REF!</v>
      </c>
      <c r="FT234" t="e">
        <f>AND(#REF!,"AAAAAHN8768=")</f>
        <v>#REF!</v>
      </c>
      <c r="FU234" t="e">
        <f>AND(#REF!,"AAAAAHN877A=")</f>
        <v>#REF!</v>
      </c>
      <c r="FV234" t="e">
        <f>AND(#REF!,"AAAAAHN877E=")</f>
        <v>#REF!</v>
      </c>
      <c r="FW234" t="e">
        <f>AND(#REF!,"AAAAAHN877I=")</f>
        <v>#REF!</v>
      </c>
      <c r="FX234" t="e">
        <f>AND(#REF!,"AAAAAHN877M=")</f>
        <v>#REF!</v>
      </c>
      <c r="FY234" t="e">
        <f>AND(#REF!,"AAAAAHN877Q=")</f>
        <v>#REF!</v>
      </c>
      <c r="FZ234" t="e">
        <f>AND(#REF!,"AAAAAHN877U=")</f>
        <v>#REF!</v>
      </c>
      <c r="GA234" t="e">
        <f>AND(#REF!,"AAAAAHN877Y=")</f>
        <v>#REF!</v>
      </c>
      <c r="GB234" t="e">
        <f>AND(#REF!,"AAAAAHN877c=")</f>
        <v>#REF!</v>
      </c>
      <c r="GC234" t="e">
        <f>AND(#REF!,"AAAAAHN877g=")</f>
        <v>#REF!</v>
      </c>
      <c r="GD234" t="e">
        <f>AND(#REF!,"AAAAAHN877k=")</f>
        <v>#REF!</v>
      </c>
      <c r="GE234" t="e">
        <f>AND(#REF!,"AAAAAHN877o=")</f>
        <v>#REF!</v>
      </c>
      <c r="GF234" t="e">
        <f>IF(#REF!,"AAAAAHN877s=",0)</f>
        <v>#REF!</v>
      </c>
      <c r="GG234" t="e">
        <f>AND(#REF!,"AAAAAHN877w=")</f>
        <v>#REF!</v>
      </c>
      <c r="GH234" t="e">
        <f>AND(#REF!,"AAAAAHN8770=")</f>
        <v>#REF!</v>
      </c>
      <c r="GI234" t="e">
        <f>AND(#REF!,"AAAAAHN8774=")</f>
        <v>#REF!</v>
      </c>
      <c r="GJ234" t="e">
        <f>AND(#REF!,"AAAAAHN8778=")</f>
        <v>#REF!</v>
      </c>
      <c r="GK234" t="e">
        <f>AND(#REF!,"AAAAAHN878A=")</f>
        <v>#REF!</v>
      </c>
      <c r="GL234" t="e">
        <f>AND(#REF!,"AAAAAHN878E=")</f>
        <v>#REF!</v>
      </c>
      <c r="GM234" t="e">
        <f>AND(#REF!,"AAAAAHN878I=")</f>
        <v>#REF!</v>
      </c>
      <c r="GN234" t="e">
        <f>AND(#REF!,"AAAAAHN878M=")</f>
        <v>#REF!</v>
      </c>
      <c r="GO234" t="e">
        <f>AND(#REF!,"AAAAAHN878Q=")</f>
        <v>#REF!</v>
      </c>
      <c r="GP234" t="e">
        <f>AND(#REF!,"AAAAAHN878U=")</f>
        <v>#REF!</v>
      </c>
      <c r="GQ234" t="e">
        <f>AND(#REF!,"AAAAAHN878Y=")</f>
        <v>#REF!</v>
      </c>
      <c r="GR234" t="e">
        <f>AND(#REF!,"AAAAAHN878c=")</f>
        <v>#REF!</v>
      </c>
      <c r="GS234" t="e">
        <f>AND(#REF!,"AAAAAHN878g=")</f>
        <v>#REF!</v>
      </c>
      <c r="GT234" t="e">
        <f>AND(#REF!,"AAAAAHN878k=")</f>
        <v>#REF!</v>
      </c>
      <c r="GU234" t="e">
        <f>AND(#REF!,"AAAAAHN878o=")</f>
        <v>#REF!</v>
      </c>
      <c r="GV234" t="e">
        <f>AND(#REF!,"AAAAAHN878s=")</f>
        <v>#REF!</v>
      </c>
      <c r="GW234" t="e">
        <f>AND(#REF!,"AAAAAHN878w=")</f>
        <v>#REF!</v>
      </c>
      <c r="GX234" t="e">
        <f>AND(#REF!,"AAAAAHN8780=")</f>
        <v>#REF!</v>
      </c>
      <c r="GY234" t="e">
        <f>AND(#REF!,"AAAAAHN8784=")</f>
        <v>#REF!</v>
      </c>
      <c r="GZ234" t="e">
        <f>AND(#REF!,"AAAAAHN8788=")</f>
        <v>#REF!</v>
      </c>
      <c r="HA234" t="e">
        <f>AND(#REF!,"AAAAAHN879A=")</f>
        <v>#REF!</v>
      </c>
      <c r="HB234" t="e">
        <f>AND(#REF!,"AAAAAHN879E=")</f>
        <v>#REF!</v>
      </c>
      <c r="HC234" t="e">
        <f>AND(#REF!,"AAAAAHN879I=")</f>
        <v>#REF!</v>
      </c>
      <c r="HD234" t="e">
        <f>AND(#REF!,"AAAAAHN879M=")</f>
        <v>#REF!</v>
      </c>
      <c r="HE234" t="e">
        <f>IF(#REF!,"AAAAAHN879Q=",0)</f>
        <v>#REF!</v>
      </c>
      <c r="HF234" t="e">
        <f>AND(#REF!,"AAAAAHN879U=")</f>
        <v>#REF!</v>
      </c>
      <c r="HG234" t="e">
        <f>AND(#REF!,"AAAAAHN879Y=")</f>
        <v>#REF!</v>
      </c>
      <c r="HH234" t="e">
        <f>AND(#REF!,"AAAAAHN879c=")</f>
        <v>#REF!</v>
      </c>
      <c r="HI234" t="e">
        <f>AND(#REF!,"AAAAAHN879g=")</f>
        <v>#REF!</v>
      </c>
      <c r="HJ234" t="e">
        <f>AND(#REF!,"AAAAAHN879k=")</f>
        <v>#REF!</v>
      </c>
      <c r="HK234" t="e">
        <f>AND(#REF!,"AAAAAHN879o=")</f>
        <v>#REF!</v>
      </c>
      <c r="HL234" t="e">
        <f>AND(#REF!,"AAAAAHN879s=")</f>
        <v>#REF!</v>
      </c>
      <c r="HM234" t="e">
        <f>AND(#REF!,"AAAAAHN879w=")</f>
        <v>#REF!</v>
      </c>
      <c r="HN234" t="e">
        <f>AND(#REF!,"AAAAAHN8790=")</f>
        <v>#REF!</v>
      </c>
      <c r="HO234" t="e">
        <f>AND(#REF!,"AAAAAHN8794=")</f>
        <v>#REF!</v>
      </c>
      <c r="HP234" t="e">
        <f>AND(#REF!,"AAAAAHN8798=")</f>
        <v>#REF!</v>
      </c>
      <c r="HQ234" t="e">
        <f>AND(#REF!,"AAAAAHN87+A=")</f>
        <v>#REF!</v>
      </c>
      <c r="HR234" t="e">
        <f>AND(#REF!,"AAAAAHN87+E=")</f>
        <v>#REF!</v>
      </c>
      <c r="HS234" t="e">
        <f>AND(#REF!,"AAAAAHN87+I=")</f>
        <v>#REF!</v>
      </c>
      <c r="HT234" t="e">
        <f>AND(#REF!,"AAAAAHN87+M=")</f>
        <v>#REF!</v>
      </c>
      <c r="HU234" t="e">
        <f>AND(#REF!,"AAAAAHN87+Q=")</f>
        <v>#REF!</v>
      </c>
      <c r="HV234" t="e">
        <f>AND(#REF!,"AAAAAHN87+U=")</f>
        <v>#REF!</v>
      </c>
      <c r="HW234" t="e">
        <f>AND(#REF!,"AAAAAHN87+Y=")</f>
        <v>#REF!</v>
      </c>
      <c r="HX234" t="e">
        <f>AND(#REF!,"AAAAAHN87+c=")</f>
        <v>#REF!</v>
      </c>
      <c r="HY234" t="e">
        <f>AND(#REF!,"AAAAAHN87+g=")</f>
        <v>#REF!</v>
      </c>
      <c r="HZ234" t="e">
        <f>AND(#REF!,"AAAAAHN87+k=")</f>
        <v>#REF!</v>
      </c>
      <c r="IA234" t="e">
        <f>AND(#REF!,"AAAAAHN87+o=")</f>
        <v>#REF!</v>
      </c>
      <c r="IB234" t="e">
        <f>AND(#REF!,"AAAAAHN87+s=")</f>
        <v>#REF!</v>
      </c>
      <c r="IC234" t="e">
        <f>AND(#REF!,"AAAAAHN87+w=")</f>
        <v>#REF!</v>
      </c>
      <c r="ID234" t="e">
        <f>IF(#REF!,"AAAAAHN87+0=",0)</f>
        <v>#REF!</v>
      </c>
      <c r="IE234" t="e">
        <f>AND(#REF!,"AAAAAHN87+4=")</f>
        <v>#REF!</v>
      </c>
      <c r="IF234" t="e">
        <f>AND(#REF!,"AAAAAHN87+8=")</f>
        <v>#REF!</v>
      </c>
      <c r="IG234" t="e">
        <f>AND(#REF!,"AAAAAHN87/A=")</f>
        <v>#REF!</v>
      </c>
      <c r="IH234" t="e">
        <f>AND(#REF!,"AAAAAHN87/E=")</f>
        <v>#REF!</v>
      </c>
      <c r="II234" t="e">
        <f>AND(#REF!,"AAAAAHN87/I=")</f>
        <v>#REF!</v>
      </c>
      <c r="IJ234" t="e">
        <f>AND(#REF!,"AAAAAHN87/M=")</f>
        <v>#REF!</v>
      </c>
      <c r="IK234" t="e">
        <f>AND(#REF!,"AAAAAHN87/Q=")</f>
        <v>#REF!</v>
      </c>
      <c r="IL234" t="e">
        <f>AND(#REF!,"AAAAAHN87/U=")</f>
        <v>#REF!</v>
      </c>
      <c r="IM234" t="e">
        <f>AND(#REF!,"AAAAAHN87/Y=")</f>
        <v>#REF!</v>
      </c>
      <c r="IN234" t="e">
        <f>AND(#REF!,"AAAAAHN87/c=")</f>
        <v>#REF!</v>
      </c>
      <c r="IO234" t="e">
        <f>AND(#REF!,"AAAAAHN87/g=")</f>
        <v>#REF!</v>
      </c>
      <c r="IP234" t="e">
        <f>AND(#REF!,"AAAAAHN87/k=")</f>
        <v>#REF!</v>
      </c>
      <c r="IQ234" t="e">
        <f>AND(#REF!,"AAAAAHN87/o=")</f>
        <v>#REF!</v>
      </c>
      <c r="IR234" t="e">
        <f>AND(#REF!,"AAAAAHN87/s=")</f>
        <v>#REF!</v>
      </c>
      <c r="IS234" t="e">
        <f>AND(#REF!,"AAAAAHN87/w=")</f>
        <v>#REF!</v>
      </c>
      <c r="IT234" t="e">
        <f>AND(#REF!,"AAAAAHN87/0=")</f>
        <v>#REF!</v>
      </c>
      <c r="IU234" t="e">
        <f>AND(#REF!,"AAAAAHN87/4=")</f>
        <v>#REF!</v>
      </c>
      <c r="IV234" t="e">
        <f>AND(#REF!,"AAAAAHN87/8=")</f>
        <v>#REF!</v>
      </c>
    </row>
    <row r="235" spans="1:256">
      <c r="A235" t="e">
        <f>AND(#REF!,"AAAAAEq3pAA=")</f>
        <v>#REF!</v>
      </c>
      <c r="B235" t="e">
        <f>AND(#REF!,"AAAAAEq3pAE=")</f>
        <v>#REF!</v>
      </c>
      <c r="C235" t="e">
        <f>AND(#REF!,"AAAAAEq3pAI=")</f>
        <v>#REF!</v>
      </c>
      <c r="D235" t="e">
        <f>AND(#REF!,"AAAAAEq3pAM=")</f>
        <v>#REF!</v>
      </c>
      <c r="E235" t="e">
        <f>AND(#REF!,"AAAAAEq3pAQ=")</f>
        <v>#REF!</v>
      </c>
      <c r="F235" t="e">
        <f>AND(#REF!,"AAAAAEq3pAU=")</f>
        <v>#REF!</v>
      </c>
      <c r="G235" t="e">
        <f>IF(#REF!,"AAAAAEq3pAY=",0)</f>
        <v>#REF!</v>
      </c>
      <c r="H235" t="e">
        <f>AND(#REF!,"AAAAAEq3pAc=")</f>
        <v>#REF!</v>
      </c>
      <c r="I235" t="e">
        <f>AND(#REF!,"AAAAAEq3pAg=")</f>
        <v>#REF!</v>
      </c>
      <c r="J235" t="e">
        <f>AND(#REF!,"AAAAAEq3pAk=")</f>
        <v>#REF!</v>
      </c>
      <c r="K235" t="e">
        <f>AND(#REF!,"AAAAAEq3pAo=")</f>
        <v>#REF!</v>
      </c>
      <c r="L235" t="e">
        <f>AND(#REF!,"AAAAAEq3pAs=")</f>
        <v>#REF!</v>
      </c>
      <c r="M235" t="e">
        <f>AND(#REF!,"AAAAAEq3pAw=")</f>
        <v>#REF!</v>
      </c>
      <c r="N235" t="e">
        <f>AND(#REF!,"AAAAAEq3pA0=")</f>
        <v>#REF!</v>
      </c>
      <c r="O235" t="e">
        <f>AND(#REF!,"AAAAAEq3pA4=")</f>
        <v>#REF!</v>
      </c>
      <c r="P235" t="e">
        <f>AND(#REF!,"AAAAAEq3pA8=")</f>
        <v>#REF!</v>
      </c>
      <c r="Q235" t="e">
        <f>AND(#REF!,"AAAAAEq3pBA=")</f>
        <v>#REF!</v>
      </c>
      <c r="R235" t="e">
        <f>AND(#REF!,"AAAAAEq3pBE=")</f>
        <v>#REF!</v>
      </c>
      <c r="S235" t="e">
        <f>AND(#REF!,"AAAAAEq3pBI=")</f>
        <v>#REF!</v>
      </c>
      <c r="T235" t="e">
        <f>AND(#REF!,"AAAAAEq3pBM=")</f>
        <v>#REF!</v>
      </c>
      <c r="U235" t="e">
        <f>AND(#REF!,"AAAAAEq3pBQ=")</f>
        <v>#REF!</v>
      </c>
      <c r="V235" t="e">
        <f>AND(#REF!,"AAAAAEq3pBU=")</f>
        <v>#REF!</v>
      </c>
      <c r="W235" t="e">
        <f>AND(#REF!,"AAAAAEq3pBY=")</f>
        <v>#REF!</v>
      </c>
      <c r="X235" t="e">
        <f>AND(#REF!,"AAAAAEq3pBc=")</f>
        <v>#REF!</v>
      </c>
      <c r="Y235" t="e">
        <f>AND(#REF!,"AAAAAEq3pBg=")</f>
        <v>#REF!</v>
      </c>
      <c r="Z235" t="e">
        <f>AND(#REF!,"AAAAAEq3pBk=")</f>
        <v>#REF!</v>
      </c>
      <c r="AA235" t="e">
        <f>AND(#REF!,"AAAAAEq3pBo=")</f>
        <v>#REF!</v>
      </c>
      <c r="AB235" t="e">
        <f>AND(#REF!,"AAAAAEq3pBs=")</f>
        <v>#REF!</v>
      </c>
      <c r="AC235" t="e">
        <f>AND(#REF!,"AAAAAEq3pBw=")</f>
        <v>#REF!</v>
      </c>
      <c r="AD235" t="e">
        <f>AND(#REF!,"AAAAAEq3pB0=")</f>
        <v>#REF!</v>
      </c>
      <c r="AE235" t="e">
        <f>AND(#REF!,"AAAAAEq3pB4=")</f>
        <v>#REF!</v>
      </c>
      <c r="AF235" t="e">
        <f>IF(#REF!,"AAAAAEq3pB8=",0)</f>
        <v>#REF!</v>
      </c>
      <c r="AG235" t="e">
        <f>AND(#REF!,"AAAAAEq3pCA=")</f>
        <v>#REF!</v>
      </c>
      <c r="AH235" t="e">
        <f>AND(#REF!,"AAAAAEq3pCE=")</f>
        <v>#REF!</v>
      </c>
      <c r="AI235" t="e">
        <f>AND(#REF!,"AAAAAEq3pCI=")</f>
        <v>#REF!</v>
      </c>
      <c r="AJ235" t="e">
        <f>AND(#REF!,"AAAAAEq3pCM=")</f>
        <v>#REF!</v>
      </c>
      <c r="AK235" t="e">
        <f>AND(#REF!,"AAAAAEq3pCQ=")</f>
        <v>#REF!</v>
      </c>
      <c r="AL235" t="e">
        <f>AND(#REF!,"AAAAAEq3pCU=")</f>
        <v>#REF!</v>
      </c>
      <c r="AM235" t="e">
        <f>AND(#REF!,"AAAAAEq3pCY=")</f>
        <v>#REF!</v>
      </c>
      <c r="AN235" t="e">
        <f>AND(#REF!,"AAAAAEq3pCc=")</f>
        <v>#REF!</v>
      </c>
      <c r="AO235" t="e">
        <f>AND(#REF!,"AAAAAEq3pCg=")</f>
        <v>#REF!</v>
      </c>
      <c r="AP235" t="e">
        <f>AND(#REF!,"AAAAAEq3pCk=")</f>
        <v>#REF!</v>
      </c>
      <c r="AQ235" t="e">
        <f>AND(#REF!,"AAAAAEq3pCo=")</f>
        <v>#REF!</v>
      </c>
      <c r="AR235" t="e">
        <f>AND(#REF!,"AAAAAEq3pCs=")</f>
        <v>#REF!</v>
      </c>
      <c r="AS235" t="e">
        <f>AND(#REF!,"AAAAAEq3pCw=")</f>
        <v>#REF!</v>
      </c>
      <c r="AT235" t="e">
        <f>AND(#REF!,"AAAAAEq3pC0=")</f>
        <v>#REF!</v>
      </c>
      <c r="AU235" t="e">
        <f>AND(#REF!,"AAAAAEq3pC4=")</f>
        <v>#REF!</v>
      </c>
      <c r="AV235" t="e">
        <f>AND(#REF!,"AAAAAEq3pC8=")</f>
        <v>#REF!</v>
      </c>
      <c r="AW235" t="e">
        <f>AND(#REF!,"AAAAAEq3pDA=")</f>
        <v>#REF!</v>
      </c>
      <c r="AX235" t="e">
        <f>AND(#REF!,"AAAAAEq3pDE=")</f>
        <v>#REF!</v>
      </c>
      <c r="AY235" t="e">
        <f>AND(#REF!,"AAAAAEq3pDI=")</f>
        <v>#REF!</v>
      </c>
      <c r="AZ235" t="e">
        <f>AND(#REF!,"AAAAAEq3pDM=")</f>
        <v>#REF!</v>
      </c>
      <c r="BA235" t="e">
        <f>AND(#REF!,"AAAAAEq3pDQ=")</f>
        <v>#REF!</v>
      </c>
      <c r="BB235" t="e">
        <f>AND(#REF!,"AAAAAEq3pDU=")</f>
        <v>#REF!</v>
      </c>
      <c r="BC235" t="e">
        <f>AND(#REF!,"AAAAAEq3pDY=")</f>
        <v>#REF!</v>
      </c>
      <c r="BD235" t="e">
        <f>AND(#REF!,"AAAAAEq3pDc=")</f>
        <v>#REF!</v>
      </c>
      <c r="BE235" t="e">
        <f>IF(#REF!,"AAAAAEq3pDg=",0)</f>
        <v>#REF!</v>
      </c>
      <c r="BF235" t="e">
        <f>AND(#REF!,"AAAAAEq3pDk=")</f>
        <v>#REF!</v>
      </c>
      <c r="BG235" t="e">
        <f>AND(#REF!,"AAAAAEq3pDo=")</f>
        <v>#REF!</v>
      </c>
      <c r="BH235" t="e">
        <f>AND(#REF!,"AAAAAEq3pDs=")</f>
        <v>#REF!</v>
      </c>
      <c r="BI235" t="e">
        <f>AND(#REF!,"AAAAAEq3pDw=")</f>
        <v>#REF!</v>
      </c>
      <c r="BJ235" t="e">
        <f>AND(#REF!,"AAAAAEq3pD0=")</f>
        <v>#REF!</v>
      </c>
      <c r="BK235" t="e">
        <f>AND(#REF!,"AAAAAEq3pD4=")</f>
        <v>#REF!</v>
      </c>
      <c r="BL235" t="e">
        <f>AND(#REF!,"AAAAAEq3pD8=")</f>
        <v>#REF!</v>
      </c>
      <c r="BM235" t="e">
        <f>AND(#REF!,"AAAAAEq3pEA=")</f>
        <v>#REF!</v>
      </c>
      <c r="BN235" t="e">
        <f>AND(#REF!,"AAAAAEq3pEE=")</f>
        <v>#REF!</v>
      </c>
      <c r="BO235" t="e">
        <f>AND(#REF!,"AAAAAEq3pEI=")</f>
        <v>#REF!</v>
      </c>
      <c r="BP235" t="e">
        <f>AND(#REF!,"AAAAAEq3pEM=")</f>
        <v>#REF!</v>
      </c>
      <c r="BQ235" t="e">
        <f>AND(#REF!,"AAAAAEq3pEQ=")</f>
        <v>#REF!</v>
      </c>
      <c r="BR235" t="e">
        <f>AND(#REF!,"AAAAAEq3pEU=")</f>
        <v>#REF!</v>
      </c>
      <c r="BS235" t="e">
        <f>AND(#REF!,"AAAAAEq3pEY=")</f>
        <v>#REF!</v>
      </c>
      <c r="BT235" t="e">
        <f>AND(#REF!,"AAAAAEq3pEc=")</f>
        <v>#REF!</v>
      </c>
      <c r="BU235" t="e">
        <f>AND(#REF!,"AAAAAEq3pEg=")</f>
        <v>#REF!</v>
      </c>
      <c r="BV235" t="e">
        <f>AND(#REF!,"AAAAAEq3pEk=")</f>
        <v>#REF!</v>
      </c>
      <c r="BW235" t="e">
        <f>AND(#REF!,"AAAAAEq3pEo=")</f>
        <v>#REF!</v>
      </c>
      <c r="BX235" t="e">
        <f>AND(#REF!,"AAAAAEq3pEs=")</f>
        <v>#REF!</v>
      </c>
      <c r="BY235" t="e">
        <f>AND(#REF!,"AAAAAEq3pEw=")</f>
        <v>#REF!</v>
      </c>
      <c r="BZ235" t="e">
        <f>AND(#REF!,"AAAAAEq3pE0=")</f>
        <v>#REF!</v>
      </c>
      <c r="CA235" t="e">
        <f>AND(#REF!,"AAAAAEq3pE4=")</f>
        <v>#REF!</v>
      </c>
      <c r="CB235" t="e">
        <f>AND(#REF!,"AAAAAEq3pE8=")</f>
        <v>#REF!</v>
      </c>
      <c r="CC235" t="e">
        <f>AND(#REF!,"AAAAAEq3pFA=")</f>
        <v>#REF!</v>
      </c>
      <c r="CD235" t="e">
        <f>IF(#REF!,"AAAAAEq3pFE=",0)</f>
        <v>#REF!</v>
      </c>
      <c r="CE235" t="e">
        <f>AND(#REF!,"AAAAAEq3pFI=")</f>
        <v>#REF!</v>
      </c>
      <c r="CF235" t="e">
        <f>AND(#REF!,"AAAAAEq3pFM=")</f>
        <v>#REF!</v>
      </c>
      <c r="CG235" t="e">
        <f>AND(#REF!,"AAAAAEq3pFQ=")</f>
        <v>#REF!</v>
      </c>
      <c r="CH235" t="e">
        <f>AND(#REF!,"AAAAAEq3pFU=")</f>
        <v>#REF!</v>
      </c>
      <c r="CI235" t="e">
        <f>AND(#REF!,"AAAAAEq3pFY=")</f>
        <v>#REF!</v>
      </c>
      <c r="CJ235" t="e">
        <f>AND(#REF!,"AAAAAEq3pFc=")</f>
        <v>#REF!</v>
      </c>
      <c r="CK235" t="e">
        <f>AND(#REF!,"AAAAAEq3pFg=")</f>
        <v>#REF!</v>
      </c>
      <c r="CL235" t="e">
        <f>AND(#REF!,"AAAAAEq3pFk=")</f>
        <v>#REF!</v>
      </c>
      <c r="CM235" t="e">
        <f>AND(#REF!,"AAAAAEq3pFo=")</f>
        <v>#REF!</v>
      </c>
      <c r="CN235" t="e">
        <f>AND(#REF!,"AAAAAEq3pFs=")</f>
        <v>#REF!</v>
      </c>
      <c r="CO235" t="e">
        <f>AND(#REF!,"AAAAAEq3pFw=")</f>
        <v>#REF!</v>
      </c>
      <c r="CP235" t="e">
        <f>AND(#REF!,"AAAAAEq3pF0=")</f>
        <v>#REF!</v>
      </c>
      <c r="CQ235" t="e">
        <f>AND(#REF!,"AAAAAEq3pF4=")</f>
        <v>#REF!</v>
      </c>
      <c r="CR235" t="e">
        <f>AND(#REF!,"AAAAAEq3pF8=")</f>
        <v>#REF!</v>
      </c>
      <c r="CS235" t="e">
        <f>AND(#REF!,"AAAAAEq3pGA=")</f>
        <v>#REF!</v>
      </c>
      <c r="CT235" t="e">
        <f>AND(#REF!,"AAAAAEq3pGE=")</f>
        <v>#REF!</v>
      </c>
      <c r="CU235" t="e">
        <f>AND(#REF!,"AAAAAEq3pGI=")</f>
        <v>#REF!</v>
      </c>
      <c r="CV235" t="e">
        <f>AND(#REF!,"AAAAAEq3pGM=")</f>
        <v>#REF!</v>
      </c>
      <c r="CW235" t="e">
        <f>AND(#REF!,"AAAAAEq3pGQ=")</f>
        <v>#REF!</v>
      </c>
      <c r="CX235" t="e">
        <f>AND(#REF!,"AAAAAEq3pGU=")</f>
        <v>#REF!</v>
      </c>
      <c r="CY235" t="e">
        <f>AND(#REF!,"AAAAAEq3pGY=")</f>
        <v>#REF!</v>
      </c>
      <c r="CZ235" t="e">
        <f>AND(#REF!,"AAAAAEq3pGc=")</f>
        <v>#REF!</v>
      </c>
      <c r="DA235" t="e">
        <f>AND(#REF!,"AAAAAEq3pGg=")</f>
        <v>#REF!</v>
      </c>
      <c r="DB235" t="e">
        <f>AND(#REF!,"AAAAAEq3pGk=")</f>
        <v>#REF!</v>
      </c>
      <c r="DC235" t="e">
        <f>IF(#REF!,"AAAAAEq3pGo=",0)</f>
        <v>#REF!</v>
      </c>
      <c r="DD235" t="e">
        <f>AND(#REF!,"AAAAAEq3pGs=")</f>
        <v>#REF!</v>
      </c>
      <c r="DE235" t="e">
        <f>AND(#REF!,"AAAAAEq3pGw=")</f>
        <v>#REF!</v>
      </c>
      <c r="DF235" t="e">
        <f>AND(#REF!,"AAAAAEq3pG0=")</f>
        <v>#REF!</v>
      </c>
      <c r="DG235" t="e">
        <f>AND(#REF!,"AAAAAEq3pG4=")</f>
        <v>#REF!</v>
      </c>
      <c r="DH235" t="e">
        <f>AND(#REF!,"AAAAAEq3pG8=")</f>
        <v>#REF!</v>
      </c>
      <c r="DI235" t="e">
        <f>AND(#REF!,"AAAAAEq3pHA=")</f>
        <v>#REF!</v>
      </c>
      <c r="DJ235" t="e">
        <f>AND(#REF!,"AAAAAEq3pHE=")</f>
        <v>#REF!</v>
      </c>
      <c r="DK235" t="e">
        <f>AND(#REF!,"AAAAAEq3pHI=")</f>
        <v>#REF!</v>
      </c>
      <c r="DL235" t="e">
        <f>AND(#REF!,"AAAAAEq3pHM=")</f>
        <v>#REF!</v>
      </c>
      <c r="DM235" t="e">
        <f>AND(#REF!,"AAAAAEq3pHQ=")</f>
        <v>#REF!</v>
      </c>
      <c r="DN235" t="e">
        <f>AND(#REF!,"AAAAAEq3pHU=")</f>
        <v>#REF!</v>
      </c>
      <c r="DO235" t="e">
        <f>AND(#REF!,"AAAAAEq3pHY=")</f>
        <v>#REF!</v>
      </c>
      <c r="DP235" t="e">
        <f>AND(#REF!,"AAAAAEq3pHc=")</f>
        <v>#REF!</v>
      </c>
      <c r="DQ235" t="e">
        <f>AND(#REF!,"AAAAAEq3pHg=")</f>
        <v>#REF!</v>
      </c>
      <c r="DR235" t="e">
        <f>AND(#REF!,"AAAAAEq3pHk=")</f>
        <v>#REF!</v>
      </c>
      <c r="DS235" t="e">
        <f>AND(#REF!,"AAAAAEq3pHo=")</f>
        <v>#REF!</v>
      </c>
      <c r="DT235" t="e">
        <f>AND(#REF!,"AAAAAEq3pHs=")</f>
        <v>#REF!</v>
      </c>
      <c r="DU235" t="e">
        <f>AND(#REF!,"AAAAAEq3pHw=")</f>
        <v>#REF!</v>
      </c>
      <c r="DV235" t="e">
        <f>AND(#REF!,"AAAAAEq3pH0=")</f>
        <v>#REF!</v>
      </c>
      <c r="DW235" t="e">
        <f>AND(#REF!,"AAAAAEq3pH4=")</f>
        <v>#REF!</v>
      </c>
      <c r="DX235" t="e">
        <f>AND(#REF!,"AAAAAEq3pH8=")</f>
        <v>#REF!</v>
      </c>
      <c r="DY235" t="e">
        <f>AND(#REF!,"AAAAAEq3pIA=")</f>
        <v>#REF!</v>
      </c>
      <c r="DZ235" t="e">
        <f>AND(#REF!,"AAAAAEq3pIE=")</f>
        <v>#REF!</v>
      </c>
      <c r="EA235" t="e">
        <f>AND(#REF!,"AAAAAEq3pII=")</f>
        <v>#REF!</v>
      </c>
      <c r="EB235" t="e">
        <f>IF(#REF!,"AAAAAEq3pIM=",0)</f>
        <v>#REF!</v>
      </c>
      <c r="EC235" t="e">
        <f>AND(#REF!,"AAAAAEq3pIQ=")</f>
        <v>#REF!</v>
      </c>
      <c r="ED235" t="e">
        <f>AND(#REF!,"AAAAAEq3pIU=")</f>
        <v>#REF!</v>
      </c>
      <c r="EE235" t="e">
        <f>AND(#REF!,"AAAAAEq3pIY=")</f>
        <v>#REF!</v>
      </c>
      <c r="EF235" t="e">
        <f>AND(#REF!,"AAAAAEq3pIc=")</f>
        <v>#REF!</v>
      </c>
      <c r="EG235" t="e">
        <f>AND(#REF!,"AAAAAEq3pIg=")</f>
        <v>#REF!</v>
      </c>
      <c r="EH235" t="e">
        <f>AND(#REF!,"AAAAAEq3pIk=")</f>
        <v>#REF!</v>
      </c>
      <c r="EI235" t="e">
        <f>AND(#REF!,"AAAAAEq3pIo=")</f>
        <v>#REF!</v>
      </c>
      <c r="EJ235" t="e">
        <f>AND(#REF!,"AAAAAEq3pIs=")</f>
        <v>#REF!</v>
      </c>
      <c r="EK235" t="e">
        <f>AND(#REF!,"AAAAAEq3pIw=")</f>
        <v>#REF!</v>
      </c>
      <c r="EL235" t="e">
        <f>AND(#REF!,"AAAAAEq3pI0=")</f>
        <v>#REF!</v>
      </c>
      <c r="EM235" t="e">
        <f>AND(#REF!,"AAAAAEq3pI4=")</f>
        <v>#REF!</v>
      </c>
      <c r="EN235" t="e">
        <f>AND(#REF!,"AAAAAEq3pI8=")</f>
        <v>#REF!</v>
      </c>
      <c r="EO235" t="e">
        <f>AND(#REF!,"AAAAAEq3pJA=")</f>
        <v>#REF!</v>
      </c>
      <c r="EP235" t="e">
        <f>AND(#REF!,"AAAAAEq3pJE=")</f>
        <v>#REF!</v>
      </c>
      <c r="EQ235" t="e">
        <f>AND(#REF!,"AAAAAEq3pJI=")</f>
        <v>#REF!</v>
      </c>
      <c r="ER235" t="e">
        <f>AND(#REF!,"AAAAAEq3pJM=")</f>
        <v>#REF!</v>
      </c>
      <c r="ES235" t="e">
        <f>AND(#REF!,"AAAAAEq3pJQ=")</f>
        <v>#REF!</v>
      </c>
      <c r="ET235" t="e">
        <f>AND(#REF!,"AAAAAEq3pJU=")</f>
        <v>#REF!</v>
      </c>
      <c r="EU235" t="e">
        <f>AND(#REF!,"AAAAAEq3pJY=")</f>
        <v>#REF!</v>
      </c>
      <c r="EV235" t="e">
        <f>AND(#REF!,"AAAAAEq3pJc=")</f>
        <v>#REF!</v>
      </c>
      <c r="EW235" t="e">
        <f>AND(#REF!,"AAAAAEq3pJg=")</f>
        <v>#REF!</v>
      </c>
      <c r="EX235" t="e">
        <f>AND(#REF!,"AAAAAEq3pJk=")</f>
        <v>#REF!</v>
      </c>
      <c r="EY235" t="e">
        <f>AND(#REF!,"AAAAAEq3pJo=")</f>
        <v>#REF!</v>
      </c>
      <c r="EZ235" t="e">
        <f>AND(#REF!,"AAAAAEq3pJs=")</f>
        <v>#REF!</v>
      </c>
      <c r="FA235" t="e">
        <f>IF(#REF!,"AAAAAEq3pJw=",0)</f>
        <v>#REF!</v>
      </c>
      <c r="FB235" t="e">
        <f>AND(#REF!,"AAAAAEq3pJ0=")</f>
        <v>#REF!</v>
      </c>
      <c r="FC235" t="e">
        <f>AND(#REF!,"AAAAAEq3pJ4=")</f>
        <v>#REF!</v>
      </c>
      <c r="FD235" t="e">
        <f>AND(#REF!,"AAAAAEq3pJ8=")</f>
        <v>#REF!</v>
      </c>
      <c r="FE235" t="e">
        <f>AND(#REF!,"AAAAAEq3pKA=")</f>
        <v>#REF!</v>
      </c>
      <c r="FF235" t="e">
        <f>AND(#REF!,"AAAAAEq3pKE=")</f>
        <v>#REF!</v>
      </c>
      <c r="FG235" t="e">
        <f>AND(#REF!,"AAAAAEq3pKI=")</f>
        <v>#REF!</v>
      </c>
      <c r="FH235" t="e">
        <f>AND(#REF!,"AAAAAEq3pKM=")</f>
        <v>#REF!</v>
      </c>
      <c r="FI235" t="e">
        <f>AND(#REF!,"AAAAAEq3pKQ=")</f>
        <v>#REF!</v>
      </c>
      <c r="FJ235" t="e">
        <f>AND(#REF!,"AAAAAEq3pKU=")</f>
        <v>#REF!</v>
      </c>
      <c r="FK235" t="e">
        <f>AND(#REF!,"AAAAAEq3pKY=")</f>
        <v>#REF!</v>
      </c>
      <c r="FL235" t="e">
        <f>AND(#REF!,"AAAAAEq3pKc=")</f>
        <v>#REF!</v>
      </c>
      <c r="FM235" t="e">
        <f>AND(#REF!,"AAAAAEq3pKg=")</f>
        <v>#REF!</v>
      </c>
      <c r="FN235" t="e">
        <f>AND(#REF!,"AAAAAEq3pKk=")</f>
        <v>#REF!</v>
      </c>
      <c r="FO235" t="e">
        <f>AND(#REF!,"AAAAAEq3pKo=")</f>
        <v>#REF!</v>
      </c>
      <c r="FP235" t="e">
        <f>AND(#REF!,"AAAAAEq3pKs=")</f>
        <v>#REF!</v>
      </c>
      <c r="FQ235" t="e">
        <f>AND(#REF!,"AAAAAEq3pKw=")</f>
        <v>#REF!</v>
      </c>
      <c r="FR235" t="e">
        <f>AND(#REF!,"AAAAAEq3pK0=")</f>
        <v>#REF!</v>
      </c>
      <c r="FS235" t="e">
        <f>AND(#REF!,"AAAAAEq3pK4=")</f>
        <v>#REF!</v>
      </c>
      <c r="FT235" t="e">
        <f>AND(#REF!,"AAAAAEq3pK8=")</f>
        <v>#REF!</v>
      </c>
      <c r="FU235" t="e">
        <f>AND(#REF!,"AAAAAEq3pLA=")</f>
        <v>#REF!</v>
      </c>
      <c r="FV235" t="e">
        <f>AND(#REF!,"AAAAAEq3pLE=")</f>
        <v>#REF!</v>
      </c>
      <c r="FW235" t="e">
        <f>AND(#REF!,"AAAAAEq3pLI=")</f>
        <v>#REF!</v>
      </c>
      <c r="FX235" t="e">
        <f>AND(#REF!,"AAAAAEq3pLM=")</f>
        <v>#REF!</v>
      </c>
      <c r="FY235" t="e">
        <f>AND(#REF!,"AAAAAEq3pLQ=")</f>
        <v>#REF!</v>
      </c>
      <c r="FZ235" t="e">
        <f>IF(#REF!,"AAAAAEq3pLU=",0)</f>
        <v>#REF!</v>
      </c>
      <c r="GA235" t="e">
        <f>AND(#REF!,"AAAAAEq3pLY=")</f>
        <v>#REF!</v>
      </c>
      <c r="GB235" t="e">
        <f>AND(#REF!,"AAAAAEq3pLc=")</f>
        <v>#REF!</v>
      </c>
      <c r="GC235" t="e">
        <f>AND(#REF!,"AAAAAEq3pLg=")</f>
        <v>#REF!</v>
      </c>
      <c r="GD235" t="e">
        <f>AND(#REF!,"AAAAAEq3pLk=")</f>
        <v>#REF!</v>
      </c>
      <c r="GE235" t="e">
        <f>AND(#REF!,"AAAAAEq3pLo=")</f>
        <v>#REF!</v>
      </c>
      <c r="GF235" t="e">
        <f>AND(#REF!,"AAAAAEq3pLs=")</f>
        <v>#REF!</v>
      </c>
      <c r="GG235" t="e">
        <f>AND(#REF!,"AAAAAEq3pLw=")</f>
        <v>#REF!</v>
      </c>
      <c r="GH235" t="e">
        <f>AND(#REF!,"AAAAAEq3pL0=")</f>
        <v>#REF!</v>
      </c>
      <c r="GI235" t="e">
        <f>AND(#REF!,"AAAAAEq3pL4=")</f>
        <v>#REF!</v>
      </c>
      <c r="GJ235" t="e">
        <f>AND(#REF!,"AAAAAEq3pL8=")</f>
        <v>#REF!</v>
      </c>
      <c r="GK235" t="e">
        <f>AND(#REF!,"AAAAAEq3pMA=")</f>
        <v>#REF!</v>
      </c>
      <c r="GL235" t="e">
        <f>AND(#REF!,"AAAAAEq3pME=")</f>
        <v>#REF!</v>
      </c>
      <c r="GM235" t="e">
        <f>AND(#REF!,"AAAAAEq3pMI=")</f>
        <v>#REF!</v>
      </c>
      <c r="GN235" t="e">
        <f>AND(#REF!,"AAAAAEq3pMM=")</f>
        <v>#REF!</v>
      </c>
      <c r="GO235" t="e">
        <f>AND(#REF!,"AAAAAEq3pMQ=")</f>
        <v>#REF!</v>
      </c>
      <c r="GP235" t="e">
        <f>AND(#REF!,"AAAAAEq3pMU=")</f>
        <v>#REF!</v>
      </c>
      <c r="GQ235" t="e">
        <f>AND(#REF!,"AAAAAEq3pMY=")</f>
        <v>#REF!</v>
      </c>
      <c r="GR235" t="e">
        <f>AND(#REF!,"AAAAAEq3pMc=")</f>
        <v>#REF!</v>
      </c>
      <c r="GS235" t="e">
        <f>AND(#REF!,"AAAAAEq3pMg=")</f>
        <v>#REF!</v>
      </c>
      <c r="GT235" t="e">
        <f>AND(#REF!,"AAAAAEq3pMk=")</f>
        <v>#REF!</v>
      </c>
      <c r="GU235" t="e">
        <f>AND(#REF!,"AAAAAEq3pMo=")</f>
        <v>#REF!</v>
      </c>
      <c r="GV235" t="e">
        <f>AND(#REF!,"AAAAAEq3pMs=")</f>
        <v>#REF!</v>
      </c>
      <c r="GW235" t="e">
        <f>AND(#REF!,"AAAAAEq3pMw=")</f>
        <v>#REF!</v>
      </c>
      <c r="GX235" t="e">
        <f>AND(#REF!,"AAAAAEq3pM0=")</f>
        <v>#REF!</v>
      </c>
      <c r="GY235" t="e">
        <f>IF(#REF!,"AAAAAEq3pM4=",0)</f>
        <v>#REF!</v>
      </c>
      <c r="GZ235" t="e">
        <f>AND(#REF!,"AAAAAEq3pM8=")</f>
        <v>#REF!</v>
      </c>
      <c r="HA235" t="e">
        <f>AND(#REF!,"AAAAAEq3pNA=")</f>
        <v>#REF!</v>
      </c>
      <c r="HB235" t="e">
        <f>AND(#REF!,"AAAAAEq3pNE=")</f>
        <v>#REF!</v>
      </c>
      <c r="HC235" t="e">
        <f>AND(#REF!,"AAAAAEq3pNI=")</f>
        <v>#REF!</v>
      </c>
      <c r="HD235" t="e">
        <f>AND(#REF!,"AAAAAEq3pNM=")</f>
        <v>#REF!</v>
      </c>
      <c r="HE235" t="e">
        <f>AND(#REF!,"AAAAAEq3pNQ=")</f>
        <v>#REF!</v>
      </c>
      <c r="HF235" t="e">
        <f>AND(#REF!,"AAAAAEq3pNU=")</f>
        <v>#REF!</v>
      </c>
      <c r="HG235" t="e">
        <f>AND(#REF!,"AAAAAEq3pNY=")</f>
        <v>#REF!</v>
      </c>
      <c r="HH235" t="e">
        <f>AND(#REF!,"AAAAAEq3pNc=")</f>
        <v>#REF!</v>
      </c>
      <c r="HI235" t="e">
        <f>AND(#REF!,"AAAAAEq3pNg=")</f>
        <v>#REF!</v>
      </c>
      <c r="HJ235" t="e">
        <f>AND(#REF!,"AAAAAEq3pNk=")</f>
        <v>#REF!</v>
      </c>
      <c r="HK235" t="e">
        <f>AND(#REF!,"AAAAAEq3pNo=")</f>
        <v>#REF!</v>
      </c>
      <c r="HL235" t="e">
        <f>AND(#REF!,"AAAAAEq3pNs=")</f>
        <v>#REF!</v>
      </c>
      <c r="HM235" t="e">
        <f>AND(#REF!,"AAAAAEq3pNw=")</f>
        <v>#REF!</v>
      </c>
      <c r="HN235" t="e">
        <f>AND(#REF!,"AAAAAEq3pN0=")</f>
        <v>#REF!</v>
      </c>
      <c r="HO235" t="e">
        <f>AND(#REF!,"AAAAAEq3pN4=")</f>
        <v>#REF!</v>
      </c>
      <c r="HP235" t="e">
        <f>AND(#REF!,"AAAAAEq3pN8=")</f>
        <v>#REF!</v>
      </c>
      <c r="HQ235" t="e">
        <f>AND(#REF!,"AAAAAEq3pOA=")</f>
        <v>#REF!</v>
      </c>
      <c r="HR235" t="e">
        <f>AND(#REF!,"AAAAAEq3pOE=")</f>
        <v>#REF!</v>
      </c>
      <c r="HS235" t="e">
        <f>AND(#REF!,"AAAAAEq3pOI=")</f>
        <v>#REF!</v>
      </c>
      <c r="HT235" t="e">
        <f>AND(#REF!,"AAAAAEq3pOM=")</f>
        <v>#REF!</v>
      </c>
      <c r="HU235" t="e">
        <f>AND(#REF!,"AAAAAEq3pOQ=")</f>
        <v>#REF!</v>
      </c>
      <c r="HV235" t="e">
        <f>AND(#REF!,"AAAAAEq3pOU=")</f>
        <v>#REF!</v>
      </c>
      <c r="HW235" t="e">
        <f>AND(#REF!,"AAAAAEq3pOY=")</f>
        <v>#REF!</v>
      </c>
      <c r="HX235" t="e">
        <f>IF(#REF!,"AAAAAEq3pOc=",0)</f>
        <v>#REF!</v>
      </c>
      <c r="HY235" t="e">
        <f>AND(#REF!,"AAAAAEq3pOg=")</f>
        <v>#REF!</v>
      </c>
      <c r="HZ235" t="e">
        <f>AND(#REF!,"AAAAAEq3pOk=")</f>
        <v>#REF!</v>
      </c>
      <c r="IA235" t="e">
        <f>AND(#REF!,"AAAAAEq3pOo=")</f>
        <v>#REF!</v>
      </c>
      <c r="IB235" t="e">
        <f>AND(#REF!,"AAAAAEq3pOs=")</f>
        <v>#REF!</v>
      </c>
      <c r="IC235" t="e">
        <f>AND(#REF!,"AAAAAEq3pOw=")</f>
        <v>#REF!</v>
      </c>
      <c r="ID235" t="e">
        <f>AND(#REF!,"AAAAAEq3pO0=")</f>
        <v>#REF!</v>
      </c>
      <c r="IE235" t="e">
        <f>AND(#REF!,"AAAAAEq3pO4=")</f>
        <v>#REF!</v>
      </c>
      <c r="IF235" t="e">
        <f>AND(#REF!,"AAAAAEq3pO8=")</f>
        <v>#REF!</v>
      </c>
      <c r="IG235" t="e">
        <f>AND(#REF!,"AAAAAEq3pPA=")</f>
        <v>#REF!</v>
      </c>
      <c r="IH235" t="e">
        <f>AND(#REF!,"AAAAAEq3pPE=")</f>
        <v>#REF!</v>
      </c>
      <c r="II235" t="e">
        <f>AND(#REF!,"AAAAAEq3pPI=")</f>
        <v>#REF!</v>
      </c>
      <c r="IJ235" t="e">
        <f>AND(#REF!,"AAAAAEq3pPM=")</f>
        <v>#REF!</v>
      </c>
      <c r="IK235" t="e">
        <f>AND(#REF!,"AAAAAEq3pPQ=")</f>
        <v>#REF!</v>
      </c>
      <c r="IL235" t="e">
        <f>AND(#REF!,"AAAAAEq3pPU=")</f>
        <v>#REF!</v>
      </c>
      <c r="IM235" t="e">
        <f>AND(#REF!,"AAAAAEq3pPY=")</f>
        <v>#REF!</v>
      </c>
      <c r="IN235" t="e">
        <f>AND(#REF!,"AAAAAEq3pPc=")</f>
        <v>#REF!</v>
      </c>
      <c r="IO235" t="e">
        <f>AND(#REF!,"AAAAAEq3pPg=")</f>
        <v>#REF!</v>
      </c>
      <c r="IP235" t="e">
        <f>AND(#REF!,"AAAAAEq3pPk=")</f>
        <v>#REF!</v>
      </c>
      <c r="IQ235" t="e">
        <f>AND(#REF!,"AAAAAEq3pPo=")</f>
        <v>#REF!</v>
      </c>
      <c r="IR235" t="e">
        <f>AND(#REF!,"AAAAAEq3pPs=")</f>
        <v>#REF!</v>
      </c>
      <c r="IS235" t="e">
        <f>AND(#REF!,"AAAAAEq3pPw=")</f>
        <v>#REF!</v>
      </c>
      <c r="IT235" t="e">
        <f>AND(#REF!,"AAAAAEq3pP0=")</f>
        <v>#REF!</v>
      </c>
      <c r="IU235" t="e">
        <f>AND(#REF!,"AAAAAEq3pP4=")</f>
        <v>#REF!</v>
      </c>
      <c r="IV235" t="e">
        <f>AND(#REF!,"AAAAAEq3pP8=")</f>
        <v>#REF!</v>
      </c>
    </row>
    <row r="236" spans="1:256">
      <c r="A236" t="e">
        <f>IF(#REF!,"AAAAAH9/XgA=",0)</f>
        <v>#REF!</v>
      </c>
      <c r="B236" t="e">
        <f>AND(#REF!,"AAAAAH9/XgE=")</f>
        <v>#REF!</v>
      </c>
      <c r="C236" t="e">
        <f>AND(#REF!,"AAAAAH9/XgI=")</f>
        <v>#REF!</v>
      </c>
      <c r="D236" t="e">
        <f>AND(#REF!,"AAAAAH9/XgM=")</f>
        <v>#REF!</v>
      </c>
      <c r="E236" t="e">
        <f>AND(#REF!,"AAAAAH9/XgQ=")</f>
        <v>#REF!</v>
      </c>
      <c r="F236" t="e">
        <f>AND(#REF!,"AAAAAH9/XgU=")</f>
        <v>#REF!</v>
      </c>
      <c r="G236" t="e">
        <f>AND(#REF!,"AAAAAH9/XgY=")</f>
        <v>#REF!</v>
      </c>
      <c r="H236" t="e">
        <f>AND(#REF!,"AAAAAH9/Xgc=")</f>
        <v>#REF!</v>
      </c>
      <c r="I236" t="e">
        <f>AND(#REF!,"AAAAAH9/Xgg=")</f>
        <v>#REF!</v>
      </c>
      <c r="J236" t="e">
        <f>AND(#REF!,"AAAAAH9/Xgk=")</f>
        <v>#REF!</v>
      </c>
      <c r="K236" t="e">
        <f>AND(#REF!,"AAAAAH9/Xgo=")</f>
        <v>#REF!</v>
      </c>
      <c r="L236" t="e">
        <f>AND(#REF!,"AAAAAH9/Xgs=")</f>
        <v>#REF!</v>
      </c>
      <c r="M236" t="e">
        <f>AND(#REF!,"AAAAAH9/Xgw=")</f>
        <v>#REF!</v>
      </c>
      <c r="N236" t="e">
        <f>AND(#REF!,"AAAAAH9/Xg0=")</f>
        <v>#REF!</v>
      </c>
      <c r="O236" t="e">
        <f>AND(#REF!,"AAAAAH9/Xg4=")</f>
        <v>#REF!</v>
      </c>
      <c r="P236" t="e">
        <f>AND(#REF!,"AAAAAH9/Xg8=")</f>
        <v>#REF!</v>
      </c>
      <c r="Q236" t="e">
        <f>AND(#REF!,"AAAAAH9/XhA=")</f>
        <v>#REF!</v>
      </c>
      <c r="R236" t="e">
        <f>AND(#REF!,"AAAAAH9/XhE=")</f>
        <v>#REF!</v>
      </c>
      <c r="S236" t="e">
        <f>AND(#REF!,"AAAAAH9/XhI=")</f>
        <v>#REF!</v>
      </c>
      <c r="T236" t="e">
        <f>AND(#REF!,"AAAAAH9/XhM=")</f>
        <v>#REF!</v>
      </c>
      <c r="U236" t="e">
        <f>AND(#REF!,"AAAAAH9/XhQ=")</f>
        <v>#REF!</v>
      </c>
      <c r="V236" t="e">
        <f>AND(#REF!,"AAAAAH9/XhU=")</f>
        <v>#REF!</v>
      </c>
      <c r="W236" t="e">
        <f>AND(#REF!,"AAAAAH9/XhY=")</f>
        <v>#REF!</v>
      </c>
      <c r="X236" t="e">
        <f>AND(#REF!,"AAAAAH9/Xhc=")</f>
        <v>#REF!</v>
      </c>
      <c r="Y236" t="e">
        <f>AND(#REF!,"AAAAAH9/Xhg=")</f>
        <v>#REF!</v>
      </c>
      <c r="Z236" t="e">
        <f>IF(#REF!,"AAAAAH9/Xhk=",0)</f>
        <v>#REF!</v>
      </c>
      <c r="AA236" t="e">
        <f>AND(#REF!,"AAAAAH9/Xho=")</f>
        <v>#REF!</v>
      </c>
      <c r="AB236" t="e">
        <f>AND(#REF!,"AAAAAH9/Xhs=")</f>
        <v>#REF!</v>
      </c>
      <c r="AC236" t="e">
        <f>AND(#REF!,"AAAAAH9/Xhw=")</f>
        <v>#REF!</v>
      </c>
      <c r="AD236" t="e">
        <f>AND(#REF!,"AAAAAH9/Xh0=")</f>
        <v>#REF!</v>
      </c>
      <c r="AE236" t="e">
        <f>AND(#REF!,"AAAAAH9/Xh4=")</f>
        <v>#REF!</v>
      </c>
      <c r="AF236" t="e">
        <f>AND(#REF!,"AAAAAH9/Xh8=")</f>
        <v>#REF!</v>
      </c>
      <c r="AG236" t="e">
        <f>AND(#REF!,"AAAAAH9/XiA=")</f>
        <v>#REF!</v>
      </c>
      <c r="AH236" t="e">
        <f>AND(#REF!,"AAAAAH9/XiE=")</f>
        <v>#REF!</v>
      </c>
      <c r="AI236" t="e">
        <f>AND(#REF!,"AAAAAH9/XiI=")</f>
        <v>#REF!</v>
      </c>
      <c r="AJ236" t="e">
        <f>AND(#REF!,"AAAAAH9/XiM=")</f>
        <v>#REF!</v>
      </c>
      <c r="AK236" t="e">
        <f>AND(#REF!,"AAAAAH9/XiQ=")</f>
        <v>#REF!</v>
      </c>
      <c r="AL236" t="e">
        <f>AND(#REF!,"AAAAAH9/XiU=")</f>
        <v>#REF!</v>
      </c>
      <c r="AM236" t="e">
        <f>AND(#REF!,"AAAAAH9/XiY=")</f>
        <v>#REF!</v>
      </c>
      <c r="AN236" t="e">
        <f>AND(#REF!,"AAAAAH9/Xic=")</f>
        <v>#REF!</v>
      </c>
      <c r="AO236" t="e">
        <f>AND(#REF!,"AAAAAH9/Xig=")</f>
        <v>#REF!</v>
      </c>
      <c r="AP236" t="e">
        <f>AND(#REF!,"AAAAAH9/Xik=")</f>
        <v>#REF!</v>
      </c>
      <c r="AQ236" t="e">
        <f>AND(#REF!,"AAAAAH9/Xio=")</f>
        <v>#REF!</v>
      </c>
      <c r="AR236" t="e">
        <f>AND(#REF!,"AAAAAH9/Xis=")</f>
        <v>#REF!</v>
      </c>
      <c r="AS236" t="e">
        <f>AND(#REF!,"AAAAAH9/Xiw=")</f>
        <v>#REF!</v>
      </c>
      <c r="AT236" t="e">
        <f>AND(#REF!,"AAAAAH9/Xi0=")</f>
        <v>#REF!</v>
      </c>
      <c r="AU236" t="e">
        <f>AND(#REF!,"AAAAAH9/Xi4=")</f>
        <v>#REF!</v>
      </c>
      <c r="AV236" t="e">
        <f>AND(#REF!,"AAAAAH9/Xi8=")</f>
        <v>#REF!</v>
      </c>
      <c r="AW236" t="e">
        <f>AND(#REF!,"AAAAAH9/XjA=")</f>
        <v>#REF!</v>
      </c>
      <c r="AX236" t="e">
        <f>AND(#REF!,"AAAAAH9/XjE=")</f>
        <v>#REF!</v>
      </c>
      <c r="AY236" t="e">
        <f>IF(#REF!,"AAAAAH9/XjI=",0)</f>
        <v>#REF!</v>
      </c>
      <c r="AZ236" t="e">
        <f>AND(#REF!,"AAAAAH9/XjM=")</f>
        <v>#REF!</v>
      </c>
      <c r="BA236" t="e">
        <f>AND(#REF!,"AAAAAH9/XjQ=")</f>
        <v>#REF!</v>
      </c>
      <c r="BB236" t="e">
        <f>AND(#REF!,"AAAAAH9/XjU=")</f>
        <v>#REF!</v>
      </c>
      <c r="BC236" t="e">
        <f>AND(#REF!,"AAAAAH9/XjY=")</f>
        <v>#REF!</v>
      </c>
      <c r="BD236" t="e">
        <f>AND(#REF!,"AAAAAH9/Xjc=")</f>
        <v>#REF!</v>
      </c>
      <c r="BE236" t="e">
        <f>AND(#REF!,"AAAAAH9/Xjg=")</f>
        <v>#REF!</v>
      </c>
      <c r="BF236" t="e">
        <f>AND(#REF!,"AAAAAH9/Xjk=")</f>
        <v>#REF!</v>
      </c>
      <c r="BG236" t="e">
        <f>AND(#REF!,"AAAAAH9/Xjo=")</f>
        <v>#REF!</v>
      </c>
      <c r="BH236" t="e">
        <f>AND(#REF!,"AAAAAH9/Xjs=")</f>
        <v>#REF!</v>
      </c>
      <c r="BI236" t="e">
        <f>AND(#REF!,"AAAAAH9/Xjw=")</f>
        <v>#REF!</v>
      </c>
      <c r="BJ236" t="e">
        <f>AND(#REF!,"AAAAAH9/Xj0=")</f>
        <v>#REF!</v>
      </c>
      <c r="BK236" t="e">
        <f>AND(#REF!,"AAAAAH9/Xj4=")</f>
        <v>#REF!</v>
      </c>
      <c r="BL236" t="e">
        <f>AND(#REF!,"AAAAAH9/Xj8=")</f>
        <v>#REF!</v>
      </c>
      <c r="BM236" t="e">
        <f>AND(#REF!,"AAAAAH9/XkA=")</f>
        <v>#REF!</v>
      </c>
      <c r="BN236" t="e">
        <f>AND(#REF!,"AAAAAH9/XkE=")</f>
        <v>#REF!</v>
      </c>
      <c r="BO236" t="e">
        <f>AND(#REF!,"AAAAAH9/XkI=")</f>
        <v>#REF!</v>
      </c>
      <c r="BP236" t="e">
        <f>AND(#REF!,"AAAAAH9/XkM=")</f>
        <v>#REF!</v>
      </c>
      <c r="BQ236" t="e">
        <f>AND(#REF!,"AAAAAH9/XkQ=")</f>
        <v>#REF!</v>
      </c>
      <c r="BR236" t="e">
        <f>AND(#REF!,"AAAAAH9/XkU=")</f>
        <v>#REF!</v>
      </c>
      <c r="BS236" t="e">
        <f>AND(#REF!,"AAAAAH9/XkY=")</f>
        <v>#REF!</v>
      </c>
      <c r="BT236" t="e">
        <f>AND(#REF!,"AAAAAH9/Xkc=")</f>
        <v>#REF!</v>
      </c>
      <c r="BU236" t="e">
        <f>AND(#REF!,"AAAAAH9/Xkg=")</f>
        <v>#REF!</v>
      </c>
      <c r="BV236" t="e">
        <f>AND(#REF!,"AAAAAH9/Xkk=")</f>
        <v>#REF!</v>
      </c>
      <c r="BW236" t="e">
        <f>AND(#REF!,"AAAAAH9/Xko=")</f>
        <v>#REF!</v>
      </c>
      <c r="BX236" t="e">
        <f>IF(#REF!,"AAAAAH9/Xks=",0)</f>
        <v>#REF!</v>
      </c>
      <c r="BY236" t="e">
        <f>AND(#REF!,"AAAAAH9/Xkw=")</f>
        <v>#REF!</v>
      </c>
      <c r="BZ236" t="e">
        <f>AND(#REF!,"AAAAAH9/Xk0=")</f>
        <v>#REF!</v>
      </c>
      <c r="CA236" t="e">
        <f>AND(#REF!,"AAAAAH9/Xk4=")</f>
        <v>#REF!</v>
      </c>
      <c r="CB236" t="e">
        <f>AND(#REF!,"AAAAAH9/Xk8=")</f>
        <v>#REF!</v>
      </c>
      <c r="CC236" t="e">
        <f>AND(#REF!,"AAAAAH9/XlA=")</f>
        <v>#REF!</v>
      </c>
      <c r="CD236" t="e">
        <f>AND(#REF!,"AAAAAH9/XlE=")</f>
        <v>#REF!</v>
      </c>
      <c r="CE236" t="e">
        <f>AND(#REF!,"AAAAAH9/XlI=")</f>
        <v>#REF!</v>
      </c>
      <c r="CF236" t="e">
        <f>AND(#REF!,"AAAAAH9/XlM=")</f>
        <v>#REF!</v>
      </c>
      <c r="CG236" t="e">
        <f>AND(#REF!,"AAAAAH9/XlQ=")</f>
        <v>#REF!</v>
      </c>
      <c r="CH236" t="e">
        <f>AND(#REF!,"AAAAAH9/XlU=")</f>
        <v>#REF!</v>
      </c>
      <c r="CI236" t="e">
        <f>AND(#REF!,"AAAAAH9/XlY=")</f>
        <v>#REF!</v>
      </c>
      <c r="CJ236" t="e">
        <f>AND(#REF!,"AAAAAH9/Xlc=")</f>
        <v>#REF!</v>
      </c>
      <c r="CK236" t="e">
        <f>AND(#REF!,"AAAAAH9/Xlg=")</f>
        <v>#REF!</v>
      </c>
      <c r="CL236" t="e">
        <f>AND(#REF!,"AAAAAH9/Xlk=")</f>
        <v>#REF!</v>
      </c>
      <c r="CM236" t="e">
        <f>AND(#REF!,"AAAAAH9/Xlo=")</f>
        <v>#REF!</v>
      </c>
      <c r="CN236" t="e">
        <f>AND(#REF!,"AAAAAH9/Xls=")</f>
        <v>#REF!</v>
      </c>
      <c r="CO236" t="e">
        <f>AND(#REF!,"AAAAAH9/Xlw=")</f>
        <v>#REF!</v>
      </c>
      <c r="CP236" t="e">
        <f>AND(#REF!,"AAAAAH9/Xl0=")</f>
        <v>#REF!</v>
      </c>
      <c r="CQ236" t="e">
        <f>AND(#REF!,"AAAAAH9/Xl4=")</f>
        <v>#REF!</v>
      </c>
      <c r="CR236" t="e">
        <f>AND(#REF!,"AAAAAH9/Xl8=")</f>
        <v>#REF!</v>
      </c>
      <c r="CS236" t="e">
        <f>AND(#REF!,"AAAAAH9/XmA=")</f>
        <v>#REF!</v>
      </c>
      <c r="CT236" t="e">
        <f>AND(#REF!,"AAAAAH9/XmE=")</f>
        <v>#REF!</v>
      </c>
      <c r="CU236" t="e">
        <f>AND(#REF!,"AAAAAH9/XmI=")</f>
        <v>#REF!</v>
      </c>
      <c r="CV236" t="e">
        <f>AND(#REF!,"AAAAAH9/XmM=")</f>
        <v>#REF!</v>
      </c>
      <c r="CW236" t="e">
        <f>IF(#REF!,"AAAAAH9/XmQ=",0)</f>
        <v>#REF!</v>
      </c>
      <c r="CX236" t="e">
        <f>AND(#REF!,"AAAAAH9/XmU=")</f>
        <v>#REF!</v>
      </c>
      <c r="CY236" t="e">
        <f>AND(#REF!,"AAAAAH9/XmY=")</f>
        <v>#REF!</v>
      </c>
      <c r="CZ236" t="e">
        <f>AND(#REF!,"AAAAAH9/Xmc=")</f>
        <v>#REF!</v>
      </c>
      <c r="DA236" t="e">
        <f>AND(#REF!,"AAAAAH9/Xmg=")</f>
        <v>#REF!</v>
      </c>
      <c r="DB236" t="e">
        <f>AND(#REF!,"AAAAAH9/Xmk=")</f>
        <v>#REF!</v>
      </c>
      <c r="DC236" t="e">
        <f>AND(#REF!,"AAAAAH9/Xmo=")</f>
        <v>#REF!</v>
      </c>
      <c r="DD236" t="e">
        <f>AND(#REF!,"AAAAAH9/Xms=")</f>
        <v>#REF!</v>
      </c>
      <c r="DE236" t="e">
        <f>AND(#REF!,"AAAAAH9/Xmw=")</f>
        <v>#REF!</v>
      </c>
      <c r="DF236" t="e">
        <f>AND(#REF!,"AAAAAH9/Xm0=")</f>
        <v>#REF!</v>
      </c>
      <c r="DG236" t="e">
        <f>AND(#REF!,"AAAAAH9/Xm4=")</f>
        <v>#REF!</v>
      </c>
      <c r="DH236" t="e">
        <f>AND(#REF!,"AAAAAH9/Xm8=")</f>
        <v>#REF!</v>
      </c>
      <c r="DI236" t="e">
        <f>AND(#REF!,"AAAAAH9/XnA=")</f>
        <v>#REF!</v>
      </c>
      <c r="DJ236" t="e">
        <f>AND(#REF!,"AAAAAH9/XnE=")</f>
        <v>#REF!</v>
      </c>
      <c r="DK236" t="e">
        <f>AND(#REF!,"AAAAAH9/XnI=")</f>
        <v>#REF!</v>
      </c>
      <c r="DL236" t="e">
        <f>AND(#REF!,"AAAAAH9/XnM=")</f>
        <v>#REF!</v>
      </c>
      <c r="DM236" t="e">
        <f>AND(#REF!,"AAAAAH9/XnQ=")</f>
        <v>#REF!</v>
      </c>
      <c r="DN236" t="e">
        <f>AND(#REF!,"AAAAAH9/XnU=")</f>
        <v>#REF!</v>
      </c>
      <c r="DO236" t="e">
        <f>AND(#REF!,"AAAAAH9/XnY=")</f>
        <v>#REF!</v>
      </c>
      <c r="DP236" t="e">
        <f>AND(#REF!,"AAAAAH9/Xnc=")</f>
        <v>#REF!</v>
      </c>
      <c r="DQ236" t="e">
        <f>AND(#REF!,"AAAAAH9/Xng=")</f>
        <v>#REF!</v>
      </c>
      <c r="DR236" t="e">
        <f>AND(#REF!,"AAAAAH9/Xnk=")</f>
        <v>#REF!</v>
      </c>
      <c r="DS236" t="e">
        <f>AND(#REF!,"AAAAAH9/Xno=")</f>
        <v>#REF!</v>
      </c>
      <c r="DT236" t="e">
        <f>AND(#REF!,"AAAAAH9/Xns=")</f>
        <v>#REF!</v>
      </c>
      <c r="DU236" t="e">
        <f>AND(#REF!,"AAAAAH9/Xnw=")</f>
        <v>#REF!</v>
      </c>
      <c r="DV236" t="e">
        <f>IF(#REF!,"AAAAAH9/Xn0=",0)</f>
        <v>#REF!</v>
      </c>
      <c r="DW236" t="e">
        <f>AND(#REF!,"AAAAAH9/Xn4=")</f>
        <v>#REF!</v>
      </c>
      <c r="DX236" t="e">
        <f>AND(#REF!,"AAAAAH9/Xn8=")</f>
        <v>#REF!</v>
      </c>
      <c r="DY236" t="e">
        <f>AND(#REF!,"AAAAAH9/XoA=")</f>
        <v>#REF!</v>
      </c>
      <c r="DZ236" t="e">
        <f>AND(#REF!,"AAAAAH9/XoE=")</f>
        <v>#REF!</v>
      </c>
      <c r="EA236" t="e">
        <f>AND(#REF!,"AAAAAH9/XoI=")</f>
        <v>#REF!</v>
      </c>
      <c r="EB236" t="e">
        <f>AND(#REF!,"AAAAAH9/XoM=")</f>
        <v>#REF!</v>
      </c>
      <c r="EC236" t="e">
        <f>AND(#REF!,"AAAAAH9/XoQ=")</f>
        <v>#REF!</v>
      </c>
      <c r="ED236" t="e">
        <f>AND(#REF!,"AAAAAH9/XoU=")</f>
        <v>#REF!</v>
      </c>
      <c r="EE236" t="e">
        <f>AND(#REF!,"AAAAAH9/XoY=")</f>
        <v>#REF!</v>
      </c>
      <c r="EF236" t="e">
        <f>AND(#REF!,"AAAAAH9/Xoc=")</f>
        <v>#REF!</v>
      </c>
      <c r="EG236" t="e">
        <f>AND(#REF!,"AAAAAH9/Xog=")</f>
        <v>#REF!</v>
      </c>
      <c r="EH236" t="e">
        <f>AND(#REF!,"AAAAAH9/Xok=")</f>
        <v>#REF!</v>
      </c>
      <c r="EI236" t="e">
        <f>AND(#REF!,"AAAAAH9/Xoo=")</f>
        <v>#REF!</v>
      </c>
      <c r="EJ236" t="e">
        <f>AND(#REF!,"AAAAAH9/Xos=")</f>
        <v>#REF!</v>
      </c>
      <c r="EK236" t="e">
        <f>AND(#REF!,"AAAAAH9/Xow=")</f>
        <v>#REF!</v>
      </c>
      <c r="EL236" t="e">
        <f>AND(#REF!,"AAAAAH9/Xo0=")</f>
        <v>#REF!</v>
      </c>
      <c r="EM236" t="e">
        <f>AND(#REF!,"AAAAAH9/Xo4=")</f>
        <v>#REF!</v>
      </c>
      <c r="EN236" t="e">
        <f>AND(#REF!,"AAAAAH9/Xo8=")</f>
        <v>#REF!</v>
      </c>
      <c r="EO236" t="e">
        <f>AND(#REF!,"AAAAAH9/XpA=")</f>
        <v>#REF!</v>
      </c>
      <c r="EP236" t="e">
        <f>AND(#REF!,"AAAAAH9/XpE=")</f>
        <v>#REF!</v>
      </c>
      <c r="EQ236" t="e">
        <f>AND(#REF!,"AAAAAH9/XpI=")</f>
        <v>#REF!</v>
      </c>
      <c r="ER236" t="e">
        <f>AND(#REF!,"AAAAAH9/XpM=")</f>
        <v>#REF!</v>
      </c>
      <c r="ES236" t="e">
        <f>AND(#REF!,"AAAAAH9/XpQ=")</f>
        <v>#REF!</v>
      </c>
      <c r="ET236" t="e">
        <f>AND(#REF!,"AAAAAH9/XpU=")</f>
        <v>#REF!</v>
      </c>
      <c r="EU236" t="e">
        <f>IF(#REF!,"AAAAAH9/XpY=",0)</f>
        <v>#REF!</v>
      </c>
      <c r="EV236" t="e">
        <f>AND(#REF!,"AAAAAH9/Xpc=")</f>
        <v>#REF!</v>
      </c>
      <c r="EW236" t="e">
        <f>AND(#REF!,"AAAAAH9/Xpg=")</f>
        <v>#REF!</v>
      </c>
      <c r="EX236" t="e">
        <f>AND(#REF!,"AAAAAH9/Xpk=")</f>
        <v>#REF!</v>
      </c>
      <c r="EY236" t="e">
        <f>AND(#REF!,"AAAAAH9/Xpo=")</f>
        <v>#REF!</v>
      </c>
      <c r="EZ236" t="e">
        <f>AND(#REF!,"AAAAAH9/Xps=")</f>
        <v>#REF!</v>
      </c>
      <c r="FA236" t="e">
        <f>AND(#REF!,"AAAAAH9/Xpw=")</f>
        <v>#REF!</v>
      </c>
      <c r="FB236" t="e">
        <f>AND(#REF!,"AAAAAH9/Xp0=")</f>
        <v>#REF!</v>
      </c>
      <c r="FC236" t="e">
        <f>AND(#REF!,"AAAAAH9/Xp4=")</f>
        <v>#REF!</v>
      </c>
      <c r="FD236" t="e">
        <f>AND(#REF!,"AAAAAH9/Xp8=")</f>
        <v>#REF!</v>
      </c>
      <c r="FE236" t="e">
        <f>AND(#REF!,"AAAAAH9/XqA=")</f>
        <v>#REF!</v>
      </c>
      <c r="FF236" t="e">
        <f>AND(#REF!,"AAAAAH9/XqE=")</f>
        <v>#REF!</v>
      </c>
      <c r="FG236" t="e">
        <f>AND(#REF!,"AAAAAH9/XqI=")</f>
        <v>#REF!</v>
      </c>
      <c r="FH236" t="e">
        <f>AND(#REF!,"AAAAAH9/XqM=")</f>
        <v>#REF!</v>
      </c>
      <c r="FI236" t="e">
        <f>AND(#REF!,"AAAAAH9/XqQ=")</f>
        <v>#REF!</v>
      </c>
      <c r="FJ236" t="e">
        <f>AND(#REF!,"AAAAAH9/XqU=")</f>
        <v>#REF!</v>
      </c>
      <c r="FK236" t="e">
        <f>AND(#REF!,"AAAAAH9/XqY=")</f>
        <v>#REF!</v>
      </c>
      <c r="FL236" t="e">
        <f>AND(#REF!,"AAAAAH9/Xqc=")</f>
        <v>#REF!</v>
      </c>
      <c r="FM236" t="e">
        <f>AND(#REF!,"AAAAAH9/Xqg=")</f>
        <v>#REF!</v>
      </c>
      <c r="FN236" t="e">
        <f>AND(#REF!,"AAAAAH9/Xqk=")</f>
        <v>#REF!</v>
      </c>
      <c r="FO236" t="e">
        <f>AND(#REF!,"AAAAAH9/Xqo=")</f>
        <v>#REF!</v>
      </c>
      <c r="FP236" t="e">
        <f>AND(#REF!,"AAAAAH9/Xqs=")</f>
        <v>#REF!</v>
      </c>
      <c r="FQ236" t="e">
        <f>AND(#REF!,"AAAAAH9/Xqw=")</f>
        <v>#REF!</v>
      </c>
      <c r="FR236" t="e">
        <f>AND(#REF!,"AAAAAH9/Xq0=")</f>
        <v>#REF!</v>
      </c>
      <c r="FS236" t="e">
        <f>AND(#REF!,"AAAAAH9/Xq4=")</f>
        <v>#REF!</v>
      </c>
      <c r="FT236" t="e">
        <f>IF(#REF!,"AAAAAH9/Xq8=",0)</f>
        <v>#REF!</v>
      </c>
      <c r="FU236" t="e">
        <f>AND(#REF!,"AAAAAH9/XrA=")</f>
        <v>#REF!</v>
      </c>
      <c r="FV236" t="e">
        <f>AND(#REF!,"AAAAAH9/XrE=")</f>
        <v>#REF!</v>
      </c>
      <c r="FW236" t="e">
        <f>AND(#REF!,"AAAAAH9/XrI=")</f>
        <v>#REF!</v>
      </c>
      <c r="FX236" t="e">
        <f>AND(#REF!,"AAAAAH9/XrM=")</f>
        <v>#REF!</v>
      </c>
      <c r="FY236" t="e">
        <f>AND(#REF!,"AAAAAH9/XrQ=")</f>
        <v>#REF!</v>
      </c>
      <c r="FZ236" t="e">
        <f>AND(#REF!,"AAAAAH9/XrU=")</f>
        <v>#REF!</v>
      </c>
      <c r="GA236" t="e">
        <f>AND(#REF!,"AAAAAH9/XrY=")</f>
        <v>#REF!</v>
      </c>
      <c r="GB236" t="e">
        <f>AND(#REF!,"AAAAAH9/Xrc=")</f>
        <v>#REF!</v>
      </c>
      <c r="GC236" t="e">
        <f>AND(#REF!,"AAAAAH9/Xrg=")</f>
        <v>#REF!</v>
      </c>
      <c r="GD236" t="e">
        <f>AND(#REF!,"AAAAAH9/Xrk=")</f>
        <v>#REF!</v>
      </c>
      <c r="GE236" t="e">
        <f>AND(#REF!,"AAAAAH9/Xro=")</f>
        <v>#REF!</v>
      </c>
      <c r="GF236" t="e">
        <f>AND(#REF!,"AAAAAH9/Xrs=")</f>
        <v>#REF!</v>
      </c>
      <c r="GG236" t="e">
        <f>AND(#REF!,"AAAAAH9/Xrw=")</f>
        <v>#REF!</v>
      </c>
      <c r="GH236" t="e">
        <f>AND(#REF!,"AAAAAH9/Xr0=")</f>
        <v>#REF!</v>
      </c>
      <c r="GI236" t="e">
        <f>AND(#REF!,"AAAAAH9/Xr4=")</f>
        <v>#REF!</v>
      </c>
      <c r="GJ236" t="e">
        <f>AND(#REF!,"AAAAAH9/Xr8=")</f>
        <v>#REF!</v>
      </c>
      <c r="GK236" t="e">
        <f>AND(#REF!,"AAAAAH9/XsA=")</f>
        <v>#REF!</v>
      </c>
      <c r="GL236" t="e">
        <f>AND(#REF!,"AAAAAH9/XsE=")</f>
        <v>#REF!</v>
      </c>
      <c r="GM236" t="e">
        <f>AND(#REF!,"AAAAAH9/XsI=")</f>
        <v>#REF!</v>
      </c>
      <c r="GN236" t="e">
        <f>AND(#REF!,"AAAAAH9/XsM=")</f>
        <v>#REF!</v>
      </c>
      <c r="GO236" t="e">
        <f>AND(#REF!,"AAAAAH9/XsQ=")</f>
        <v>#REF!</v>
      </c>
      <c r="GP236" t="e">
        <f>AND(#REF!,"AAAAAH9/XsU=")</f>
        <v>#REF!</v>
      </c>
      <c r="GQ236" t="e">
        <f>AND(#REF!,"AAAAAH9/XsY=")</f>
        <v>#REF!</v>
      </c>
      <c r="GR236" t="e">
        <f>AND(#REF!,"AAAAAH9/Xsc=")</f>
        <v>#REF!</v>
      </c>
      <c r="GS236" t="e">
        <f>IF(#REF!,"AAAAAH9/Xsg=",0)</f>
        <v>#REF!</v>
      </c>
      <c r="GT236" t="e">
        <f>AND(#REF!,"AAAAAH9/Xsk=")</f>
        <v>#REF!</v>
      </c>
      <c r="GU236" t="e">
        <f>AND(#REF!,"AAAAAH9/Xso=")</f>
        <v>#REF!</v>
      </c>
      <c r="GV236" t="e">
        <f>AND(#REF!,"AAAAAH9/Xss=")</f>
        <v>#REF!</v>
      </c>
      <c r="GW236" t="e">
        <f>AND(#REF!,"AAAAAH9/Xsw=")</f>
        <v>#REF!</v>
      </c>
      <c r="GX236" t="e">
        <f>AND(#REF!,"AAAAAH9/Xs0=")</f>
        <v>#REF!</v>
      </c>
      <c r="GY236" t="e">
        <f>AND(#REF!,"AAAAAH9/Xs4=")</f>
        <v>#REF!</v>
      </c>
      <c r="GZ236" t="e">
        <f>AND(#REF!,"AAAAAH9/Xs8=")</f>
        <v>#REF!</v>
      </c>
      <c r="HA236" t="e">
        <f>AND(#REF!,"AAAAAH9/XtA=")</f>
        <v>#REF!</v>
      </c>
      <c r="HB236" t="e">
        <f>AND(#REF!,"AAAAAH9/XtE=")</f>
        <v>#REF!</v>
      </c>
      <c r="HC236" t="e">
        <f>AND(#REF!,"AAAAAH9/XtI=")</f>
        <v>#REF!</v>
      </c>
      <c r="HD236" t="e">
        <f>AND(#REF!,"AAAAAH9/XtM=")</f>
        <v>#REF!</v>
      </c>
      <c r="HE236" t="e">
        <f>AND(#REF!,"AAAAAH9/XtQ=")</f>
        <v>#REF!</v>
      </c>
      <c r="HF236" t="e">
        <f>AND(#REF!,"AAAAAH9/XtU=")</f>
        <v>#REF!</v>
      </c>
      <c r="HG236" t="e">
        <f>AND(#REF!,"AAAAAH9/XtY=")</f>
        <v>#REF!</v>
      </c>
      <c r="HH236" t="e">
        <f>AND(#REF!,"AAAAAH9/Xtc=")</f>
        <v>#REF!</v>
      </c>
      <c r="HI236" t="e">
        <f>AND(#REF!,"AAAAAH9/Xtg=")</f>
        <v>#REF!</v>
      </c>
      <c r="HJ236" t="e">
        <f>AND(#REF!,"AAAAAH9/Xtk=")</f>
        <v>#REF!</v>
      </c>
      <c r="HK236" t="e">
        <f>AND(#REF!,"AAAAAH9/Xto=")</f>
        <v>#REF!</v>
      </c>
      <c r="HL236" t="e">
        <f>AND(#REF!,"AAAAAH9/Xts=")</f>
        <v>#REF!</v>
      </c>
      <c r="HM236" t="e">
        <f>AND(#REF!,"AAAAAH9/Xtw=")</f>
        <v>#REF!</v>
      </c>
      <c r="HN236" t="e">
        <f>AND(#REF!,"AAAAAH9/Xt0=")</f>
        <v>#REF!</v>
      </c>
      <c r="HO236" t="e">
        <f>AND(#REF!,"AAAAAH9/Xt4=")</f>
        <v>#REF!</v>
      </c>
      <c r="HP236" t="e">
        <f>AND(#REF!,"AAAAAH9/Xt8=")</f>
        <v>#REF!</v>
      </c>
      <c r="HQ236" t="e">
        <f>AND(#REF!,"AAAAAH9/XuA=")</f>
        <v>#REF!</v>
      </c>
      <c r="HR236" t="e">
        <f>IF(#REF!,"AAAAAH9/XuE=",0)</f>
        <v>#REF!</v>
      </c>
      <c r="HS236" t="e">
        <f>AND(#REF!,"AAAAAH9/XuI=")</f>
        <v>#REF!</v>
      </c>
      <c r="HT236" t="e">
        <f>AND(#REF!,"AAAAAH9/XuM=")</f>
        <v>#REF!</v>
      </c>
      <c r="HU236" t="e">
        <f>AND(#REF!,"AAAAAH9/XuQ=")</f>
        <v>#REF!</v>
      </c>
      <c r="HV236" t="e">
        <f>AND(#REF!,"AAAAAH9/XuU=")</f>
        <v>#REF!</v>
      </c>
      <c r="HW236" t="e">
        <f>AND(#REF!,"AAAAAH9/XuY=")</f>
        <v>#REF!</v>
      </c>
      <c r="HX236" t="e">
        <f>AND(#REF!,"AAAAAH9/Xuc=")</f>
        <v>#REF!</v>
      </c>
      <c r="HY236" t="e">
        <f>AND(#REF!,"AAAAAH9/Xug=")</f>
        <v>#REF!</v>
      </c>
      <c r="HZ236" t="e">
        <f>AND(#REF!,"AAAAAH9/Xuk=")</f>
        <v>#REF!</v>
      </c>
      <c r="IA236" t="e">
        <f>AND(#REF!,"AAAAAH9/Xuo=")</f>
        <v>#REF!</v>
      </c>
      <c r="IB236" t="e">
        <f>AND(#REF!,"AAAAAH9/Xus=")</f>
        <v>#REF!</v>
      </c>
      <c r="IC236" t="e">
        <f>AND(#REF!,"AAAAAH9/Xuw=")</f>
        <v>#REF!</v>
      </c>
      <c r="ID236" t="e">
        <f>AND(#REF!,"AAAAAH9/Xu0=")</f>
        <v>#REF!</v>
      </c>
      <c r="IE236" t="e">
        <f>AND(#REF!,"AAAAAH9/Xu4=")</f>
        <v>#REF!</v>
      </c>
      <c r="IF236" t="e">
        <f>AND(#REF!,"AAAAAH9/Xu8=")</f>
        <v>#REF!</v>
      </c>
      <c r="IG236" t="e">
        <f>AND(#REF!,"AAAAAH9/XvA=")</f>
        <v>#REF!</v>
      </c>
      <c r="IH236" t="e">
        <f>AND(#REF!,"AAAAAH9/XvE=")</f>
        <v>#REF!</v>
      </c>
      <c r="II236" t="e">
        <f>AND(#REF!,"AAAAAH9/XvI=")</f>
        <v>#REF!</v>
      </c>
      <c r="IJ236" t="e">
        <f>AND(#REF!,"AAAAAH9/XvM=")</f>
        <v>#REF!</v>
      </c>
      <c r="IK236" t="e">
        <f>AND(#REF!,"AAAAAH9/XvQ=")</f>
        <v>#REF!</v>
      </c>
      <c r="IL236" t="e">
        <f>AND(#REF!,"AAAAAH9/XvU=")</f>
        <v>#REF!</v>
      </c>
      <c r="IM236" t="e">
        <f>AND(#REF!,"AAAAAH9/XvY=")</f>
        <v>#REF!</v>
      </c>
      <c r="IN236" t="e">
        <f>AND(#REF!,"AAAAAH9/Xvc=")</f>
        <v>#REF!</v>
      </c>
      <c r="IO236" t="e">
        <f>AND(#REF!,"AAAAAH9/Xvg=")</f>
        <v>#REF!</v>
      </c>
      <c r="IP236" t="e">
        <f>AND(#REF!,"AAAAAH9/Xvk=")</f>
        <v>#REF!</v>
      </c>
      <c r="IQ236" t="e">
        <f>IF(#REF!,"AAAAAH9/Xvo=",0)</f>
        <v>#REF!</v>
      </c>
      <c r="IR236" t="e">
        <f>AND(#REF!,"AAAAAH9/Xvs=")</f>
        <v>#REF!</v>
      </c>
      <c r="IS236" t="e">
        <f>AND(#REF!,"AAAAAH9/Xvw=")</f>
        <v>#REF!</v>
      </c>
      <c r="IT236" t="e">
        <f>AND(#REF!,"AAAAAH9/Xv0=")</f>
        <v>#REF!</v>
      </c>
      <c r="IU236" t="e">
        <f>AND(#REF!,"AAAAAH9/Xv4=")</f>
        <v>#REF!</v>
      </c>
      <c r="IV236" t="e">
        <f>AND(#REF!,"AAAAAH9/Xv8=")</f>
        <v>#REF!</v>
      </c>
    </row>
    <row r="237" spans="1:256">
      <c r="A237" t="e">
        <f>AND(#REF!,"AAAAAA9/3AA=")</f>
        <v>#REF!</v>
      </c>
      <c r="B237" t="e">
        <f>AND(#REF!,"AAAAAA9/3AE=")</f>
        <v>#REF!</v>
      </c>
      <c r="C237" t="e">
        <f>AND(#REF!,"AAAAAA9/3AI=")</f>
        <v>#REF!</v>
      </c>
      <c r="D237" t="e">
        <f>AND(#REF!,"AAAAAA9/3AM=")</f>
        <v>#REF!</v>
      </c>
      <c r="E237" t="e">
        <f>AND(#REF!,"AAAAAA9/3AQ=")</f>
        <v>#REF!</v>
      </c>
      <c r="F237" t="e">
        <f>AND(#REF!,"AAAAAA9/3AU=")</f>
        <v>#REF!</v>
      </c>
      <c r="G237" t="e">
        <f>AND(#REF!,"AAAAAA9/3AY=")</f>
        <v>#REF!</v>
      </c>
      <c r="H237" t="e">
        <f>AND(#REF!,"AAAAAA9/3Ac=")</f>
        <v>#REF!</v>
      </c>
      <c r="I237" t="e">
        <f>AND(#REF!,"AAAAAA9/3Ag=")</f>
        <v>#REF!</v>
      </c>
      <c r="J237" t="e">
        <f>AND(#REF!,"AAAAAA9/3Ak=")</f>
        <v>#REF!</v>
      </c>
      <c r="K237" t="e">
        <f>AND(#REF!,"AAAAAA9/3Ao=")</f>
        <v>#REF!</v>
      </c>
      <c r="L237" t="e">
        <f>AND(#REF!,"AAAAAA9/3As=")</f>
        <v>#REF!</v>
      </c>
      <c r="M237" t="e">
        <f>AND(#REF!,"AAAAAA9/3Aw=")</f>
        <v>#REF!</v>
      </c>
      <c r="N237" t="e">
        <f>AND(#REF!,"AAAAAA9/3A0=")</f>
        <v>#REF!</v>
      </c>
      <c r="O237" t="e">
        <f>AND(#REF!,"AAAAAA9/3A4=")</f>
        <v>#REF!</v>
      </c>
      <c r="P237" t="e">
        <f>AND(#REF!,"AAAAAA9/3A8=")</f>
        <v>#REF!</v>
      </c>
      <c r="Q237" t="e">
        <f>AND(#REF!,"AAAAAA9/3BA=")</f>
        <v>#REF!</v>
      </c>
      <c r="R237" t="e">
        <f>AND(#REF!,"AAAAAA9/3BE=")</f>
        <v>#REF!</v>
      </c>
      <c r="S237" t="e">
        <f>AND(#REF!,"AAAAAA9/3BI=")</f>
        <v>#REF!</v>
      </c>
      <c r="T237" t="e">
        <f>IF(#REF!,"AAAAAA9/3BM=",0)</f>
        <v>#REF!</v>
      </c>
      <c r="U237" t="e">
        <f>AND(#REF!,"AAAAAA9/3BQ=")</f>
        <v>#REF!</v>
      </c>
      <c r="V237" t="e">
        <f>AND(#REF!,"AAAAAA9/3BU=")</f>
        <v>#REF!</v>
      </c>
      <c r="W237" t="e">
        <f>AND(#REF!,"AAAAAA9/3BY=")</f>
        <v>#REF!</v>
      </c>
      <c r="X237" t="e">
        <f>AND(#REF!,"AAAAAA9/3Bc=")</f>
        <v>#REF!</v>
      </c>
      <c r="Y237" t="e">
        <f>AND(#REF!,"AAAAAA9/3Bg=")</f>
        <v>#REF!</v>
      </c>
      <c r="Z237" t="e">
        <f>AND(#REF!,"AAAAAA9/3Bk=")</f>
        <v>#REF!</v>
      </c>
      <c r="AA237" t="e">
        <f>AND(#REF!,"AAAAAA9/3Bo=")</f>
        <v>#REF!</v>
      </c>
      <c r="AB237" t="e">
        <f>AND(#REF!,"AAAAAA9/3Bs=")</f>
        <v>#REF!</v>
      </c>
      <c r="AC237" t="e">
        <f>AND(#REF!,"AAAAAA9/3Bw=")</f>
        <v>#REF!</v>
      </c>
      <c r="AD237" t="e">
        <f>AND(#REF!,"AAAAAA9/3B0=")</f>
        <v>#REF!</v>
      </c>
      <c r="AE237" t="e">
        <f>AND(#REF!,"AAAAAA9/3B4=")</f>
        <v>#REF!</v>
      </c>
      <c r="AF237" t="e">
        <f>AND(#REF!,"AAAAAA9/3B8=")</f>
        <v>#REF!</v>
      </c>
      <c r="AG237" t="e">
        <f>AND(#REF!,"AAAAAA9/3CA=")</f>
        <v>#REF!</v>
      </c>
      <c r="AH237" t="e">
        <f>AND(#REF!,"AAAAAA9/3CE=")</f>
        <v>#REF!</v>
      </c>
      <c r="AI237" t="e">
        <f>AND(#REF!,"AAAAAA9/3CI=")</f>
        <v>#REF!</v>
      </c>
      <c r="AJ237" t="e">
        <f>AND(#REF!,"AAAAAA9/3CM=")</f>
        <v>#REF!</v>
      </c>
      <c r="AK237" t="e">
        <f>AND(#REF!,"AAAAAA9/3CQ=")</f>
        <v>#REF!</v>
      </c>
      <c r="AL237" t="e">
        <f>AND(#REF!,"AAAAAA9/3CU=")</f>
        <v>#REF!</v>
      </c>
      <c r="AM237" t="e">
        <f>AND(#REF!,"AAAAAA9/3CY=")</f>
        <v>#REF!</v>
      </c>
      <c r="AN237" t="e">
        <f>AND(#REF!,"AAAAAA9/3Cc=")</f>
        <v>#REF!</v>
      </c>
      <c r="AO237" t="e">
        <f>AND(#REF!,"AAAAAA9/3Cg=")</f>
        <v>#REF!</v>
      </c>
      <c r="AP237" t="e">
        <f>AND(#REF!,"AAAAAA9/3Ck=")</f>
        <v>#REF!</v>
      </c>
      <c r="AQ237" t="e">
        <f>AND(#REF!,"AAAAAA9/3Co=")</f>
        <v>#REF!</v>
      </c>
      <c r="AR237" t="e">
        <f>AND(#REF!,"AAAAAA9/3Cs=")</f>
        <v>#REF!</v>
      </c>
      <c r="AS237" t="e">
        <f>IF(#REF!,"AAAAAA9/3Cw=",0)</f>
        <v>#REF!</v>
      </c>
      <c r="AT237" t="e">
        <f>AND(#REF!,"AAAAAA9/3C0=")</f>
        <v>#REF!</v>
      </c>
      <c r="AU237" t="e">
        <f>AND(#REF!,"AAAAAA9/3C4=")</f>
        <v>#REF!</v>
      </c>
      <c r="AV237" t="e">
        <f>AND(#REF!,"AAAAAA9/3C8=")</f>
        <v>#REF!</v>
      </c>
      <c r="AW237" t="e">
        <f>AND(#REF!,"AAAAAA9/3DA=")</f>
        <v>#REF!</v>
      </c>
      <c r="AX237" t="e">
        <f>AND(#REF!,"AAAAAA9/3DE=")</f>
        <v>#REF!</v>
      </c>
      <c r="AY237" t="e">
        <f>AND(#REF!,"AAAAAA9/3DI=")</f>
        <v>#REF!</v>
      </c>
      <c r="AZ237" t="e">
        <f>AND(#REF!,"AAAAAA9/3DM=")</f>
        <v>#REF!</v>
      </c>
      <c r="BA237" t="e">
        <f>AND(#REF!,"AAAAAA9/3DQ=")</f>
        <v>#REF!</v>
      </c>
      <c r="BB237" t="e">
        <f>AND(#REF!,"AAAAAA9/3DU=")</f>
        <v>#REF!</v>
      </c>
      <c r="BC237" t="e">
        <f>AND(#REF!,"AAAAAA9/3DY=")</f>
        <v>#REF!</v>
      </c>
      <c r="BD237" t="e">
        <f>AND(#REF!,"AAAAAA9/3Dc=")</f>
        <v>#REF!</v>
      </c>
      <c r="BE237" t="e">
        <f>AND(#REF!,"AAAAAA9/3Dg=")</f>
        <v>#REF!</v>
      </c>
      <c r="BF237" t="e">
        <f>AND(#REF!,"AAAAAA9/3Dk=")</f>
        <v>#REF!</v>
      </c>
      <c r="BG237" t="e">
        <f>AND(#REF!,"AAAAAA9/3Do=")</f>
        <v>#REF!</v>
      </c>
      <c r="BH237" t="e">
        <f>AND(#REF!,"AAAAAA9/3Ds=")</f>
        <v>#REF!</v>
      </c>
      <c r="BI237" t="e">
        <f>AND(#REF!,"AAAAAA9/3Dw=")</f>
        <v>#REF!</v>
      </c>
      <c r="BJ237" t="e">
        <f>AND(#REF!,"AAAAAA9/3D0=")</f>
        <v>#REF!</v>
      </c>
      <c r="BK237" t="e">
        <f>AND(#REF!,"AAAAAA9/3D4=")</f>
        <v>#REF!</v>
      </c>
      <c r="BL237" t="e">
        <f>AND(#REF!,"AAAAAA9/3D8=")</f>
        <v>#REF!</v>
      </c>
      <c r="BM237" t="e">
        <f>AND(#REF!,"AAAAAA9/3EA=")</f>
        <v>#REF!</v>
      </c>
      <c r="BN237" t="e">
        <f>AND(#REF!,"AAAAAA9/3EE=")</f>
        <v>#REF!</v>
      </c>
      <c r="BO237" t="e">
        <f>AND(#REF!,"AAAAAA9/3EI=")</f>
        <v>#REF!</v>
      </c>
      <c r="BP237" t="e">
        <f>AND(#REF!,"AAAAAA9/3EM=")</f>
        <v>#REF!</v>
      </c>
      <c r="BQ237" t="e">
        <f>AND(#REF!,"AAAAAA9/3EQ=")</f>
        <v>#REF!</v>
      </c>
      <c r="BR237" t="e">
        <f>IF(#REF!,"AAAAAA9/3EU=",0)</f>
        <v>#REF!</v>
      </c>
      <c r="BS237" t="e">
        <f>AND(#REF!,"AAAAAA9/3EY=")</f>
        <v>#REF!</v>
      </c>
      <c r="BT237" t="e">
        <f>AND(#REF!,"AAAAAA9/3Ec=")</f>
        <v>#REF!</v>
      </c>
      <c r="BU237" t="e">
        <f>AND(#REF!,"AAAAAA9/3Eg=")</f>
        <v>#REF!</v>
      </c>
      <c r="BV237" t="e">
        <f>AND(#REF!,"AAAAAA9/3Ek=")</f>
        <v>#REF!</v>
      </c>
      <c r="BW237" t="e">
        <f>AND(#REF!,"AAAAAA9/3Eo=")</f>
        <v>#REF!</v>
      </c>
      <c r="BX237" t="e">
        <f>AND(#REF!,"AAAAAA9/3Es=")</f>
        <v>#REF!</v>
      </c>
      <c r="BY237" t="e">
        <f>AND(#REF!,"AAAAAA9/3Ew=")</f>
        <v>#REF!</v>
      </c>
      <c r="BZ237" t="e">
        <f>AND(#REF!,"AAAAAA9/3E0=")</f>
        <v>#REF!</v>
      </c>
      <c r="CA237" t="e">
        <f>AND(#REF!,"AAAAAA9/3E4=")</f>
        <v>#REF!</v>
      </c>
      <c r="CB237" t="e">
        <f>AND(#REF!,"AAAAAA9/3E8=")</f>
        <v>#REF!</v>
      </c>
      <c r="CC237" t="e">
        <f>AND(#REF!,"AAAAAA9/3FA=")</f>
        <v>#REF!</v>
      </c>
      <c r="CD237" t="e">
        <f>AND(#REF!,"AAAAAA9/3FE=")</f>
        <v>#REF!</v>
      </c>
      <c r="CE237" t="e">
        <f>AND(#REF!,"AAAAAA9/3FI=")</f>
        <v>#REF!</v>
      </c>
      <c r="CF237" t="e">
        <f>AND(#REF!,"AAAAAA9/3FM=")</f>
        <v>#REF!</v>
      </c>
      <c r="CG237" t="e">
        <f>AND(#REF!,"AAAAAA9/3FQ=")</f>
        <v>#REF!</v>
      </c>
      <c r="CH237" t="e">
        <f>AND(#REF!,"AAAAAA9/3FU=")</f>
        <v>#REF!</v>
      </c>
      <c r="CI237" t="e">
        <f>AND(#REF!,"AAAAAA9/3FY=")</f>
        <v>#REF!</v>
      </c>
      <c r="CJ237" t="e">
        <f>AND(#REF!,"AAAAAA9/3Fc=")</f>
        <v>#REF!</v>
      </c>
      <c r="CK237" t="e">
        <f>AND(#REF!,"AAAAAA9/3Fg=")</f>
        <v>#REF!</v>
      </c>
      <c r="CL237" t="e">
        <f>AND(#REF!,"AAAAAA9/3Fk=")</f>
        <v>#REF!</v>
      </c>
      <c r="CM237" t="e">
        <f>AND(#REF!,"AAAAAA9/3Fo=")</f>
        <v>#REF!</v>
      </c>
      <c r="CN237" t="e">
        <f>AND(#REF!,"AAAAAA9/3Fs=")</f>
        <v>#REF!</v>
      </c>
      <c r="CO237" t="e">
        <f>AND(#REF!,"AAAAAA9/3Fw=")</f>
        <v>#REF!</v>
      </c>
      <c r="CP237" t="e">
        <f>AND(#REF!,"AAAAAA9/3F0=")</f>
        <v>#REF!</v>
      </c>
      <c r="CQ237" t="e">
        <f>IF(#REF!,"AAAAAA9/3F4=",0)</f>
        <v>#REF!</v>
      </c>
      <c r="CR237" t="e">
        <f>AND(#REF!,"AAAAAA9/3F8=")</f>
        <v>#REF!</v>
      </c>
      <c r="CS237" t="e">
        <f>AND(#REF!,"AAAAAA9/3GA=")</f>
        <v>#REF!</v>
      </c>
      <c r="CT237" t="e">
        <f>AND(#REF!,"AAAAAA9/3GE=")</f>
        <v>#REF!</v>
      </c>
      <c r="CU237" t="e">
        <f>AND(#REF!,"AAAAAA9/3GI=")</f>
        <v>#REF!</v>
      </c>
      <c r="CV237" t="e">
        <f>AND(#REF!,"AAAAAA9/3GM=")</f>
        <v>#REF!</v>
      </c>
      <c r="CW237" t="e">
        <f>AND(#REF!,"AAAAAA9/3GQ=")</f>
        <v>#REF!</v>
      </c>
      <c r="CX237" t="e">
        <f>AND(#REF!,"AAAAAA9/3GU=")</f>
        <v>#REF!</v>
      </c>
      <c r="CY237" t="e">
        <f>AND(#REF!,"AAAAAA9/3GY=")</f>
        <v>#REF!</v>
      </c>
      <c r="CZ237" t="e">
        <f>AND(#REF!,"AAAAAA9/3Gc=")</f>
        <v>#REF!</v>
      </c>
      <c r="DA237" t="e">
        <f>AND(#REF!,"AAAAAA9/3Gg=")</f>
        <v>#REF!</v>
      </c>
      <c r="DB237" t="e">
        <f>AND(#REF!,"AAAAAA9/3Gk=")</f>
        <v>#REF!</v>
      </c>
      <c r="DC237" t="e">
        <f>AND(#REF!,"AAAAAA9/3Go=")</f>
        <v>#REF!</v>
      </c>
      <c r="DD237" t="e">
        <f>AND(#REF!,"AAAAAA9/3Gs=")</f>
        <v>#REF!</v>
      </c>
      <c r="DE237" t="e">
        <f>AND(#REF!,"AAAAAA9/3Gw=")</f>
        <v>#REF!</v>
      </c>
      <c r="DF237" t="e">
        <f>AND(#REF!,"AAAAAA9/3G0=")</f>
        <v>#REF!</v>
      </c>
      <c r="DG237" t="e">
        <f>AND(#REF!,"AAAAAA9/3G4=")</f>
        <v>#REF!</v>
      </c>
      <c r="DH237" t="e">
        <f>AND(#REF!,"AAAAAA9/3G8=")</f>
        <v>#REF!</v>
      </c>
      <c r="DI237" t="e">
        <f>AND(#REF!,"AAAAAA9/3HA=")</f>
        <v>#REF!</v>
      </c>
      <c r="DJ237" t="e">
        <f>AND(#REF!,"AAAAAA9/3HE=")</f>
        <v>#REF!</v>
      </c>
      <c r="DK237" t="e">
        <f>AND(#REF!,"AAAAAA9/3HI=")</f>
        <v>#REF!</v>
      </c>
      <c r="DL237" t="e">
        <f>AND(#REF!,"AAAAAA9/3HM=")</f>
        <v>#REF!</v>
      </c>
      <c r="DM237" t="e">
        <f>AND(#REF!,"AAAAAA9/3HQ=")</f>
        <v>#REF!</v>
      </c>
      <c r="DN237" t="e">
        <f>AND(#REF!,"AAAAAA9/3HU=")</f>
        <v>#REF!</v>
      </c>
      <c r="DO237" t="e">
        <f>AND(#REF!,"AAAAAA9/3HY=")</f>
        <v>#REF!</v>
      </c>
      <c r="DP237" t="e">
        <f>IF(#REF!,"AAAAAA9/3Hc=",0)</f>
        <v>#REF!</v>
      </c>
      <c r="DQ237" t="e">
        <f>AND(#REF!,"AAAAAA9/3Hg=")</f>
        <v>#REF!</v>
      </c>
      <c r="DR237" t="e">
        <f>AND(#REF!,"AAAAAA9/3Hk=")</f>
        <v>#REF!</v>
      </c>
      <c r="DS237" t="e">
        <f>AND(#REF!,"AAAAAA9/3Ho=")</f>
        <v>#REF!</v>
      </c>
      <c r="DT237" t="e">
        <f>AND(#REF!,"AAAAAA9/3Hs=")</f>
        <v>#REF!</v>
      </c>
      <c r="DU237" t="e">
        <f>AND(#REF!,"AAAAAA9/3Hw=")</f>
        <v>#REF!</v>
      </c>
      <c r="DV237" t="e">
        <f>AND(#REF!,"AAAAAA9/3H0=")</f>
        <v>#REF!</v>
      </c>
      <c r="DW237" t="e">
        <f>AND(#REF!,"AAAAAA9/3H4=")</f>
        <v>#REF!</v>
      </c>
      <c r="DX237" t="e">
        <f>AND(#REF!,"AAAAAA9/3H8=")</f>
        <v>#REF!</v>
      </c>
      <c r="DY237" t="e">
        <f>AND(#REF!,"AAAAAA9/3IA=")</f>
        <v>#REF!</v>
      </c>
      <c r="DZ237" t="e">
        <f>AND(#REF!,"AAAAAA9/3IE=")</f>
        <v>#REF!</v>
      </c>
      <c r="EA237" t="e">
        <f>AND(#REF!,"AAAAAA9/3II=")</f>
        <v>#REF!</v>
      </c>
      <c r="EB237" t="e">
        <f>AND(#REF!,"AAAAAA9/3IM=")</f>
        <v>#REF!</v>
      </c>
      <c r="EC237" t="e">
        <f>AND(#REF!,"AAAAAA9/3IQ=")</f>
        <v>#REF!</v>
      </c>
      <c r="ED237" t="e">
        <f>AND(#REF!,"AAAAAA9/3IU=")</f>
        <v>#REF!</v>
      </c>
      <c r="EE237" t="e">
        <f>AND(#REF!,"AAAAAA9/3IY=")</f>
        <v>#REF!</v>
      </c>
      <c r="EF237" t="e">
        <f>AND(#REF!,"AAAAAA9/3Ic=")</f>
        <v>#REF!</v>
      </c>
      <c r="EG237" t="e">
        <f>AND(#REF!,"AAAAAA9/3Ig=")</f>
        <v>#REF!</v>
      </c>
      <c r="EH237" t="e">
        <f>AND(#REF!,"AAAAAA9/3Ik=")</f>
        <v>#REF!</v>
      </c>
      <c r="EI237" t="e">
        <f>AND(#REF!,"AAAAAA9/3Io=")</f>
        <v>#REF!</v>
      </c>
      <c r="EJ237" t="e">
        <f>AND(#REF!,"AAAAAA9/3Is=")</f>
        <v>#REF!</v>
      </c>
      <c r="EK237" t="e">
        <f>AND(#REF!,"AAAAAA9/3Iw=")</f>
        <v>#REF!</v>
      </c>
      <c r="EL237" t="e">
        <f>AND(#REF!,"AAAAAA9/3I0=")</f>
        <v>#REF!</v>
      </c>
      <c r="EM237" t="e">
        <f>AND(#REF!,"AAAAAA9/3I4=")</f>
        <v>#REF!</v>
      </c>
      <c r="EN237" t="e">
        <f>AND(#REF!,"AAAAAA9/3I8=")</f>
        <v>#REF!</v>
      </c>
      <c r="EO237" t="e">
        <f>IF(#REF!,"AAAAAA9/3JA=",0)</f>
        <v>#REF!</v>
      </c>
      <c r="EP237" t="e">
        <f>AND(#REF!,"AAAAAA9/3JE=")</f>
        <v>#REF!</v>
      </c>
      <c r="EQ237" t="e">
        <f>AND(#REF!,"AAAAAA9/3JI=")</f>
        <v>#REF!</v>
      </c>
      <c r="ER237" t="e">
        <f>AND(#REF!,"AAAAAA9/3JM=")</f>
        <v>#REF!</v>
      </c>
      <c r="ES237" t="e">
        <f>AND(#REF!,"AAAAAA9/3JQ=")</f>
        <v>#REF!</v>
      </c>
      <c r="ET237" t="e">
        <f>AND(#REF!,"AAAAAA9/3JU=")</f>
        <v>#REF!</v>
      </c>
      <c r="EU237" t="e">
        <f>AND(#REF!,"AAAAAA9/3JY=")</f>
        <v>#REF!</v>
      </c>
      <c r="EV237" t="e">
        <f>AND(#REF!,"AAAAAA9/3Jc=")</f>
        <v>#REF!</v>
      </c>
      <c r="EW237" t="e">
        <f>AND(#REF!,"AAAAAA9/3Jg=")</f>
        <v>#REF!</v>
      </c>
      <c r="EX237" t="e">
        <f>AND(#REF!,"AAAAAA9/3Jk=")</f>
        <v>#REF!</v>
      </c>
      <c r="EY237" t="e">
        <f>AND(#REF!,"AAAAAA9/3Jo=")</f>
        <v>#REF!</v>
      </c>
      <c r="EZ237" t="e">
        <f>AND(#REF!,"AAAAAA9/3Js=")</f>
        <v>#REF!</v>
      </c>
      <c r="FA237" t="e">
        <f>AND(#REF!,"AAAAAA9/3Jw=")</f>
        <v>#REF!</v>
      </c>
      <c r="FB237" t="e">
        <f>AND(#REF!,"AAAAAA9/3J0=")</f>
        <v>#REF!</v>
      </c>
      <c r="FC237" t="e">
        <f>AND(#REF!,"AAAAAA9/3J4=")</f>
        <v>#REF!</v>
      </c>
      <c r="FD237" t="e">
        <f>AND(#REF!,"AAAAAA9/3J8=")</f>
        <v>#REF!</v>
      </c>
      <c r="FE237" t="e">
        <f>AND(#REF!,"AAAAAA9/3KA=")</f>
        <v>#REF!</v>
      </c>
      <c r="FF237" t="e">
        <f>AND(#REF!,"AAAAAA9/3KE=")</f>
        <v>#REF!</v>
      </c>
      <c r="FG237" t="e">
        <f>AND(#REF!,"AAAAAA9/3KI=")</f>
        <v>#REF!</v>
      </c>
      <c r="FH237" t="e">
        <f>AND(#REF!,"AAAAAA9/3KM=")</f>
        <v>#REF!</v>
      </c>
      <c r="FI237" t="e">
        <f>AND(#REF!,"AAAAAA9/3KQ=")</f>
        <v>#REF!</v>
      </c>
      <c r="FJ237" t="e">
        <f>AND(#REF!,"AAAAAA9/3KU=")</f>
        <v>#REF!</v>
      </c>
      <c r="FK237" t="e">
        <f>AND(#REF!,"AAAAAA9/3KY=")</f>
        <v>#REF!</v>
      </c>
      <c r="FL237" t="e">
        <f>AND(#REF!,"AAAAAA9/3Kc=")</f>
        <v>#REF!</v>
      </c>
      <c r="FM237" t="e">
        <f>AND(#REF!,"AAAAAA9/3Kg=")</f>
        <v>#REF!</v>
      </c>
      <c r="FN237" t="e">
        <f>IF(#REF!,"AAAAAA9/3Kk=",0)</f>
        <v>#REF!</v>
      </c>
      <c r="FO237" t="e">
        <f>AND(#REF!,"AAAAAA9/3Ko=")</f>
        <v>#REF!</v>
      </c>
      <c r="FP237" t="e">
        <f>AND(#REF!,"AAAAAA9/3Ks=")</f>
        <v>#REF!</v>
      </c>
      <c r="FQ237" t="e">
        <f>AND(#REF!,"AAAAAA9/3Kw=")</f>
        <v>#REF!</v>
      </c>
      <c r="FR237" t="e">
        <f>AND(#REF!,"AAAAAA9/3K0=")</f>
        <v>#REF!</v>
      </c>
      <c r="FS237" t="e">
        <f>AND(#REF!,"AAAAAA9/3K4=")</f>
        <v>#REF!</v>
      </c>
      <c r="FT237" t="e">
        <f>AND(#REF!,"AAAAAA9/3K8=")</f>
        <v>#REF!</v>
      </c>
      <c r="FU237" t="e">
        <f>AND(#REF!,"AAAAAA9/3LA=")</f>
        <v>#REF!</v>
      </c>
      <c r="FV237" t="e">
        <f>AND(#REF!,"AAAAAA9/3LE=")</f>
        <v>#REF!</v>
      </c>
      <c r="FW237" t="e">
        <f>AND(#REF!,"AAAAAA9/3LI=")</f>
        <v>#REF!</v>
      </c>
      <c r="FX237" t="e">
        <f>AND(#REF!,"AAAAAA9/3LM=")</f>
        <v>#REF!</v>
      </c>
      <c r="FY237" t="e">
        <f>AND(#REF!,"AAAAAA9/3LQ=")</f>
        <v>#REF!</v>
      </c>
      <c r="FZ237" t="e">
        <f>AND(#REF!,"AAAAAA9/3LU=")</f>
        <v>#REF!</v>
      </c>
      <c r="GA237" t="e">
        <f>AND(#REF!,"AAAAAA9/3LY=")</f>
        <v>#REF!</v>
      </c>
      <c r="GB237" t="e">
        <f>AND(#REF!,"AAAAAA9/3Lc=")</f>
        <v>#REF!</v>
      </c>
      <c r="GC237" t="e">
        <f>AND(#REF!,"AAAAAA9/3Lg=")</f>
        <v>#REF!</v>
      </c>
      <c r="GD237" t="e">
        <f>AND(#REF!,"AAAAAA9/3Lk=")</f>
        <v>#REF!</v>
      </c>
      <c r="GE237" t="e">
        <f>AND(#REF!,"AAAAAA9/3Lo=")</f>
        <v>#REF!</v>
      </c>
      <c r="GF237" t="e">
        <f>AND(#REF!,"AAAAAA9/3Ls=")</f>
        <v>#REF!</v>
      </c>
      <c r="GG237" t="e">
        <f>AND(#REF!,"AAAAAA9/3Lw=")</f>
        <v>#REF!</v>
      </c>
      <c r="GH237" t="e">
        <f>AND(#REF!,"AAAAAA9/3L0=")</f>
        <v>#REF!</v>
      </c>
      <c r="GI237" t="e">
        <f>AND(#REF!,"AAAAAA9/3L4=")</f>
        <v>#REF!</v>
      </c>
      <c r="GJ237" t="e">
        <f>AND(#REF!,"AAAAAA9/3L8=")</f>
        <v>#REF!</v>
      </c>
      <c r="GK237" t="e">
        <f>AND(#REF!,"AAAAAA9/3MA=")</f>
        <v>#REF!</v>
      </c>
      <c r="GL237" t="e">
        <f>AND(#REF!,"AAAAAA9/3ME=")</f>
        <v>#REF!</v>
      </c>
      <c r="GM237" t="e">
        <f>IF(#REF!,"AAAAAA9/3MI=",0)</f>
        <v>#REF!</v>
      </c>
      <c r="GN237" t="e">
        <f>AND(#REF!,"AAAAAA9/3MM=")</f>
        <v>#REF!</v>
      </c>
      <c r="GO237" t="e">
        <f>AND(#REF!,"AAAAAA9/3MQ=")</f>
        <v>#REF!</v>
      </c>
      <c r="GP237" t="e">
        <f>AND(#REF!,"AAAAAA9/3MU=")</f>
        <v>#REF!</v>
      </c>
      <c r="GQ237" t="e">
        <f>AND(#REF!,"AAAAAA9/3MY=")</f>
        <v>#REF!</v>
      </c>
      <c r="GR237" t="e">
        <f>AND(#REF!,"AAAAAA9/3Mc=")</f>
        <v>#REF!</v>
      </c>
      <c r="GS237" t="e">
        <f>AND(#REF!,"AAAAAA9/3Mg=")</f>
        <v>#REF!</v>
      </c>
      <c r="GT237" t="e">
        <f>AND(#REF!,"AAAAAA9/3Mk=")</f>
        <v>#REF!</v>
      </c>
      <c r="GU237" t="e">
        <f>AND(#REF!,"AAAAAA9/3Mo=")</f>
        <v>#REF!</v>
      </c>
      <c r="GV237" t="e">
        <f>AND(#REF!,"AAAAAA9/3Ms=")</f>
        <v>#REF!</v>
      </c>
      <c r="GW237" t="e">
        <f>AND(#REF!,"AAAAAA9/3Mw=")</f>
        <v>#REF!</v>
      </c>
      <c r="GX237" t="e">
        <f>AND(#REF!,"AAAAAA9/3M0=")</f>
        <v>#REF!</v>
      </c>
      <c r="GY237" t="e">
        <f>AND(#REF!,"AAAAAA9/3M4=")</f>
        <v>#REF!</v>
      </c>
      <c r="GZ237" t="e">
        <f>AND(#REF!,"AAAAAA9/3M8=")</f>
        <v>#REF!</v>
      </c>
      <c r="HA237" t="e">
        <f>AND(#REF!,"AAAAAA9/3NA=")</f>
        <v>#REF!</v>
      </c>
      <c r="HB237" t="e">
        <f>AND(#REF!,"AAAAAA9/3NE=")</f>
        <v>#REF!</v>
      </c>
      <c r="HC237" t="e">
        <f>AND(#REF!,"AAAAAA9/3NI=")</f>
        <v>#REF!</v>
      </c>
      <c r="HD237" t="e">
        <f>AND(#REF!,"AAAAAA9/3NM=")</f>
        <v>#REF!</v>
      </c>
      <c r="HE237" t="e">
        <f>AND(#REF!,"AAAAAA9/3NQ=")</f>
        <v>#REF!</v>
      </c>
      <c r="HF237" t="e">
        <f>AND(#REF!,"AAAAAA9/3NU=")</f>
        <v>#REF!</v>
      </c>
      <c r="HG237" t="e">
        <f>AND(#REF!,"AAAAAA9/3NY=")</f>
        <v>#REF!</v>
      </c>
      <c r="HH237" t="e">
        <f>AND(#REF!,"AAAAAA9/3Nc=")</f>
        <v>#REF!</v>
      </c>
      <c r="HI237" t="e">
        <f>AND(#REF!,"AAAAAA9/3Ng=")</f>
        <v>#REF!</v>
      </c>
      <c r="HJ237" t="e">
        <f>AND(#REF!,"AAAAAA9/3Nk=")</f>
        <v>#REF!</v>
      </c>
      <c r="HK237" t="e">
        <f>AND(#REF!,"AAAAAA9/3No=")</f>
        <v>#REF!</v>
      </c>
      <c r="HL237" t="e">
        <f>IF(#REF!,"AAAAAA9/3Ns=",0)</f>
        <v>#REF!</v>
      </c>
      <c r="HM237" t="e">
        <f>AND(#REF!,"AAAAAA9/3Nw=")</f>
        <v>#REF!</v>
      </c>
      <c r="HN237" t="e">
        <f>AND(#REF!,"AAAAAA9/3N0=")</f>
        <v>#REF!</v>
      </c>
      <c r="HO237" t="e">
        <f>AND(#REF!,"AAAAAA9/3N4=")</f>
        <v>#REF!</v>
      </c>
      <c r="HP237" t="e">
        <f>AND(#REF!,"AAAAAA9/3N8=")</f>
        <v>#REF!</v>
      </c>
      <c r="HQ237" t="e">
        <f>AND(#REF!,"AAAAAA9/3OA=")</f>
        <v>#REF!</v>
      </c>
      <c r="HR237" t="e">
        <f>AND(#REF!,"AAAAAA9/3OE=")</f>
        <v>#REF!</v>
      </c>
      <c r="HS237" t="e">
        <f>AND(#REF!,"AAAAAA9/3OI=")</f>
        <v>#REF!</v>
      </c>
      <c r="HT237" t="e">
        <f>AND(#REF!,"AAAAAA9/3OM=")</f>
        <v>#REF!</v>
      </c>
      <c r="HU237" t="e">
        <f>AND(#REF!,"AAAAAA9/3OQ=")</f>
        <v>#REF!</v>
      </c>
      <c r="HV237" t="e">
        <f>AND(#REF!,"AAAAAA9/3OU=")</f>
        <v>#REF!</v>
      </c>
      <c r="HW237" t="e">
        <f>AND(#REF!,"AAAAAA9/3OY=")</f>
        <v>#REF!</v>
      </c>
      <c r="HX237" t="e">
        <f>AND(#REF!,"AAAAAA9/3Oc=")</f>
        <v>#REF!</v>
      </c>
      <c r="HY237" t="e">
        <f>AND(#REF!,"AAAAAA9/3Og=")</f>
        <v>#REF!</v>
      </c>
      <c r="HZ237" t="e">
        <f>AND(#REF!,"AAAAAA9/3Ok=")</f>
        <v>#REF!</v>
      </c>
      <c r="IA237" t="e">
        <f>AND(#REF!,"AAAAAA9/3Oo=")</f>
        <v>#REF!</v>
      </c>
      <c r="IB237" t="e">
        <f>AND(#REF!,"AAAAAA9/3Os=")</f>
        <v>#REF!</v>
      </c>
      <c r="IC237" t="e">
        <f>AND(#REF!,"AAAAAA9/3Ow=")</f>
        <v>#REF!</v>
      </c>
      <c r="ID237" t="e">
        <f>AND(#REF!,"AAAAAA9/3O0=")</f>
        <v>#REF!</v>
      </c>
      <c r="IE237" t="e">
        <f>AND(#REF!,"AAAAAA9/3O4=")</f>
        <v>#REF!</v>
      </c>
      <c r="IF237" t="e">
        <f>AND(#REF!,"AAAAAA9/3O8=")</f>
        <v>#REF!</v>
      </c>
      <c r="IG237" t="e">
        <f>AND(#REF!,"AAAAAA9/3PA=")</f>
        <v>#REF!</v>
      </c>
      <c r="IH237" t="e">
        <f>AND(#REF!,"AAAAAA9/3PE=")</f>
        <v>#REF!</v>
      </c>
      <c r="II237" t="e">
        <f>AND(#REF!,"AAAAAA9/3PI=")</f>
        <v>#REF!</v>
      </c>
      <c r="IJ237" t="e">
        <f>AND(#REF!,"AAAAAA9/3PM=")</f>
        <v>#REF!</v>
      </c>
      <c r="IK237" t="e">
        <f>IF(#REF!,"AAAAAA9/3PQ=",0)</f>
        <v>#REF!</v>
      </c>
      <c r="IL237" t="e">
        <f>AND(#REF!,"AAAAAA9/3PU=")</f>
        <v>#REF!</v>
      </c>
      <c r="IM237" t="e">
        <f>AND(#REF!,"AAAAAA9/3PY=")</f>
        <v>#REF!</v>
      </c>
      <c r="IN237" t="e">
        <f>AND(#REF!,"AAAAAA9/3Pc=")</f>
        <v>#REF!</v>
      </c>
      <c r="IO237" t="e">
        <f>AND(#REF!,"AAAAAA9/3Pg=")</f>
        <v>#REF!</v>
      </c>
      <c r="IP237" t="e">
        <f>AND(#REF!,"AAAAAA9/3Pk=")</f>
        <v>#REF!</v>
      </c>
      <c r="IQ237" t="e">
        <f>AND(#REF!,"AAAAAA9/3Po=")</f>
        <v>#REF!</v>
      </c>
      <c r="IR237" t="e">
        <f>AND(#REF!,"AAAAAA9/3Ps=")</f>
        <v>#REF!</v>
      </c>
      <c r="IS237" t="e">
        <f>AND(#REF!,"AAAAAA9/3Pw=")</f>
        <v>#REF!</v>
      </c>
      <c r="IT237" t="e">
        <f>AND(#REF!,"AAAAAA9/3P0=")</f>
        <v>#REF!</v>
      </c>
      <c r="IU237" t="e">
        <f>AND(#REF!,"AAAAAA9/3P4=")</f>
        <v>#REF!</v>
      </c>
      <c r="IV237" t="e">
        <f>AND(#REF!,"AAAAAA9/3P8=")</f>
        <v>#REF!</v>
      </c>
    </row>
    <row r="238" spans="1:256">
      <c r="A238" t="e">
        <f>AND(#REF!,"AAAAAD33cwA=")</f>
        <v>#REF!</v>
      </c>
      <c r="B238" t="e">
        <f>AND(#REF!,"AAAAAD33cwE=")</f>
        <v>#REF!</v>
      </c>
      <c r="C238" t="e">
        <f>AND(#REF!,"AAAAAD33cwI=")</f>
        <v>#REF!</v>
      </c>
      <c r="D238" t="e">
        <f>AND(#REF!,"AAAAAD33cwM=")</f>
        <v>#REF!</v>
      </c>
      <c r="E238" t="e">
        <f>AND(#REF!,"AAAAAD33cwQ=")</f>
        <v>#REF!</v>
      </c>
      <c r="F238" t="e">
        <f>AND(#REF!,"AAAAAD33cwU=")</f>
        <v>#REF!</v>
      </c>
      <c r="G238" t="e">
        <f>AND(#REF!,"AAAAAD33cwY=")</f>
        <v>#REF!</v>
      </c>
      <c r="H238" t="e">
        <f>AND(#REF!,"AAAAAD33cwc=")</f>
        <v>#REF!</v>
      </c>
      <c r="I238" t="e">
        <f>AND(#REF!,"AAAAAD33cwg=")</f>
        <v>#REF!</v>
      </c>
      <c r="J238" t="e">
        <f>AND(#REF!,"AAAAAD33cwk=")</f>
        <v>#REF!</v>
      </c>
      <c r="K238" t="e">
        <f>AND(#REF!,"AAAAAD33cwo=")</f>
        <v>#REF!</v>
      </c>
      <c r="L238" t="e">
        <f>AND(#REF!,"AAAAAD33cws=")</f>
        <v>#REF!</v>
      </c>
      <c r="M238" t="e">
        <f>AND(#REF!,"AAAAAD33cww=")</f>
        <v>#REF!</v>
      </c>
      <c r="N238" t="e">
        <f>IF(#REF!,"AAAAAD33cw0=",0)</f>
        <v>#REF!</v>
      </c>
      <c r="O238" t="e">
        <f>AND(#REF!,"AAAAAD33cw4=")</f>
        <v>#REF!</v>
      </c>
      <c r="P238" t="e">
        <f>AND(#REF!,"AAAAAD33cw8=")</f>
        <v>#REF!</v>
      </c>
      <c r="Q238" t="e">
        <f>AND(#REF!,"AAAAAD33cxA=")</f>
        <v>#REF!</v>
      </c>
      <c r="R238" t="e">
        <f>AND(#REF!,"AAAAAD33cxE=")</f>
        <v>#REF!</v>
      </c>
      <c r="S238" t="e">
        <f>AND(#REF!,"AAAAAD33cxI=")</f>
        <v>#REF!</v>
      </c>
      <c r="T238" t="e">
        <f>AND(#REF!,"AAAAAD33cxM=")</f>
        <v>#REF!</v>
      </c>
      <c r="U238" t="e">
        <f>AND(#REF!,"AAAAAD33cxQ=")</f>
        <v>#REF!</v>
      </c>
      <c r="V238" t="e">
        <f>AND(#REF!,"AAAAAD33cxU=")</f>
        <v>#REF!</v>
      </c>
      <c r="W238" t="e">
        <f>AND(#REF!,"AAAAAD33cxY=")</f>
        <v>#REF!</v>
      </c>
      <c r="X238" t="e">
        <f>AND(#REF!,"AAAAAD33cxc=")</f>
        <v>#REF!</v>
      </c>
      <c r="Y238" t="e">
        <f>AND(#REF!,"AAAAAD33cxg=")</f>
        <v>#REF!</v>
      </c>
      <c r="Z238" t="e">
        <f>AND(#REF!,"AAAAAD33cxk=")</f>
        <v>#REF!</v>
      </c>
      <c r="AA238" t="e">
        <f>AND(#REF!,"AAAAAD33cxo=")</f>
        <v>#REF!</v>
      </c>
      <c r="AB238" t="e">
        <f>AND(#REF!,"AAAAAD33cxs=")</f>
        <v>#REF!</v>
      </c>
      <c r="AC238" t="e">
        <f>AND(#REF!,"AAAAAD33cxw=")</f>
        <v>#REF!</v>
      </c>
      <c r="AD238" t="e">
        <f>AND(#REF!,"AAAAAD33cx0=")</f>
        <v>#REF!</v>
      </c>
      <c r="AE238" t="e">
        <f>AND(#REF!,"AAAAAD33cx4=")</f>
        <v>#REF!</v>
      </c>
      <c r="AF238" t="e">
        <f>AND(#REF!,"AAAAAD33cx8=")</f>
        <v>#REF!</v>
      </c>
      <c r="AG238" t="e">
        <f>AND(#REF!,"AAAAAD33cyA=")</f>
        <v>#REF!</v>
      </c>
      <c r="AH238" t="e">
        <f>AND(#REF!,"AAAAAD33cyE=")</f>
        <v>#REF!</v>
      </c>
      <c r="AI238" t="e">
        <f>AND(#REF!,"AAAAAD33cyI=")</f>
        <v>#REF!</v>
      </c>
      <c r="AJ238" t="e">
        <f>AND(#REF!,"AAAAAD33cyM=")</f>
        <v>#REF!</v>
      </c>
      <c r="AK238" t="e">
        <f>AND(#REF!,"AAAAAD33cyQ=")</f>
        <v>#REF!</v>
      </c>
      <c r="AL238" t="e">
        <f>AND(#REF!,"AAAAAD33cyU=")</f>
        <v>#REF!</v>
      </c>
      <c r="AM238" t="e">
        <f>IF(#REF!,"AAAAAD33cyY=",0)</f>
        <v>#REF!</v>
      </c>
      <c r="AN238" t="e">
        <f>AND(#REF!,"AAAAAD33cyc=")</f>
        <v>#REF!</v>
      </c>
      <c r="AO238" t="e">
        <f>AND(#REF!,"AAAAAD33cyg=")</f>
        <v>#REF!</v>
      </c>
      <c r="AP238" t="e">
        <f>AND(#REF!,"AAAAAD33cyk=")</f>
        <v>#REF!</v>
      </c>
      <c r="AQ238" t="e">
        <f>AND(#REF!,"AAAAAD33cyo=")</f>
        <v>#REF!</v>
      </c>
      <c r="AR238" t="e">
        <f>AND(#REF!,"AAAAAD33cys=")</f>
        <v>#REF!</v>
      </c>
      <c r="AS238" t="e">
        <f>AND(#REF!,"AAAAAD33cyw=")</f>
        <v>#REF!</v>
      </c>
      <c r="AT238" t="e">
        <f>AND(#REF!,"AAAAAD33cy0=")</f>
        <v>#REF!</v>
      </c>
      <c r="AU238" t="e">
        <f>AND(#REF!,"AAAAAD33cy4=")</f>
        <v>#REF!</v>
      </c>
      <c r="AV238" t="e">
        <f>AND(#REF!,"AAAAAD33cy8=")</f>
        <v>#REF!</v>
      </c>
      <c r="AW238" t="e">
        <f>AND(#REF!,"AAAAAD33czA=")</f>
        <v>#REF!</v>
      </c>
      <c r="AX238" t="e">
        <f>AND(#REF!,"AAAAAD33czE=")</f>
        <v>#REF!</v>
      </c>
      <c r="AY238" t="e">
        <f>AND(#REF!,"AAAAAD33czI=")</f>
        <v>#REF!</v>
      </c>
      <c r="AZ238" t="e">
        <f>AND(#REF!,"AAAAAD33czM=")</f>
        <v>#REF!</v>
      </c>
      <c r="BA238" t="e">
        <f>AND(#REF!,"AAAAAD33czQ=")</f>
        <v>#REF!</v>
      </c>
      <c r="BB238" t="e">
        <f>AND(#REF!,"AAAAAD33czU=")</f>
        <v>#REF!</v>
      </c>
      <c r="BC238" t="e">
        <f>AND(#REF!,"AAAAAD33czY=")</f>
        <v>#REF!</v>
      </c>
      <c r="BD238" t="e">
        <f>AND(#REF!,"AAAAAD33czc=")</f>
        <v>#REF!</v>
      </c>
      <c r="BE238" t="e">
        <f>AND(#REF!,"AAAAAD33czg=")</f>
        <v>#REF!</v>
      </c>
      <c r="BF238" t="e">
        <f>AND(#REF!,"AAAAAD33czk=")</f>
        <v>#REF!</v>
      </c>
      <c r="BG238" t="e">
        <f>AND(#REF!,"AAAAAD33czo=")</f>
        <v>#REF!</v>
      </c>
      <c r="BH238" t="e">
        <f>AND(#REF!,"AAAAAD33czs=")</f>
        <v>#REF!</v>
      </c>
      <c r="BI238" t="e">
        <f>AND(#REF!,"AAAAAD33czw=")</f>
        <v>#REF!</v>
      </c>
      <c r="BJ238" t="e">
        <f>AND(#REF!,"AAAAAD33cz0=")</f>
        <v>#REF!</v>
      </c>
      <c r="BK238" t="e">
        <f>AND(#REF!,"AAAAAD33cz4=")</f>
        <v>#REF!</v>
      </c>
      <c r="BL238" t="e">
        <f>IF(#REF!,"AAAAAD33cz8=",0)</f>
        <v>#REF!</v>
      </c>
      <c r="BM238" t="e">
        <f>AND(#REF!,"AAAAAD33c0A=")</f>
        <v>#REF!</v>
      </c>
      <c r="BN238" t="e">
        <f>AND(#REF!,"AAAAAD33c0E=")</f>
        <v>#REF!</v>
      </c>
      <c r="BO238" t="e">
        <f>AND(#REF!,"AAAAAD33c0I=")</f>
        <v>#REF!</v>
      </c>
      <c r="BP238" t="e">
        <f>AND(#REF!,"AAAAAD33c0M=")</f>
        <v>#REF!</v>
      </c>
      <c r="BQ238" t="e">
        <f>AND(#REF!,"AAAAAD33c0Q=")</f>
        <v>#REF!</v>
      </c>
      <c r="BR238" t="e">
        <f>AND(#REF!,"AAAAAD33c0U=")</f>
        <v>#REF!</v>
      </c>
      <c r="BS238" t="e">
        <f>AND(#REF!,"AAAAAD33c0Y=")</f>
        <v>#REF!</v>
      </c>
      <c r="BT238" t="e">
        <f>AND(#REF!,"AAAAAD33c0c=")</f>
        <v>#REF!</v>
      </c>
      <c r="BU238" t="e">
        <f>AND(#REF!,"AAAAAD33c0g=")</f>
        <v>#REF!</v>
      </c>
      <c r="BV238" t="e">
        <f>AND(#REF!,"AAAAAD33c0k=")</f>
        <v>#REF!</v>
      </c>
      <c r="BW238" t="e">
        <f>AND(#REF!,"AAAAAD33c0o=")</f>
        <v>#REF!</v>
      </c>
      <c r="BX238" t="e">
        <f>AND(#REF!,"AAAAAD33c0s=")</f>
        <v>#REF!</v>
      </c>
      <c r="BY238" t="e">
        <f>AND(#REF!,"AAAAAD33c0w=")</f>
        <v>#REF!</v>
      </c>
      <c r="BZ238" t="e">
        <f>AND(#REF!,"AAAAAD33c00=")</f>
        <v>#REF!</v>
      </c>
      <c r="CA238" t="e">
        <f>AND(#REF!,"AAAAAD33c04=")</f>
        <v>#REF!</v>
      </c>
      <c r="CB238" t="e">
        <f>AND(#REF!,"AAAAAD33c08=")</f>
        <v>#REF!</v>
      </c>
      <c r="CC238" t="e">
        <f>AND(#REF!,"AAAAAD33c1A=")</f>
        <v>#REF!</v>
      </c>
      <c r="CD238" t="e">
        <f>AND(#REF!,"AAAAAD33c1E=")</f>
        <v>#REF!</v>
      </c>
      <c r="CE238" t="e">
        <f>AND(#REF!,"AAAAAD33c1I=")</f>
        <v>#REF!</v>
      </c>
      <c r="CF238" t="e">
        <f>AND(#REF!,"AAAAAD33c1M=")</f>
        <v>#REF!</v>
      </c>
      <c r="CG238" t="e">
        <f>AND(#REF!,"AAAAAD33c1Q=")</f>
        <v>#REF!</v>
      </c>
      <c r="CH238" t="e">
        <f>AND(#REF!,"AAAAAD33c1U=")</f>
        <v>#REF!</v>
      </c>
      <c r="CI238" t="e">
        <f>AND(#REF!,"AAAAAD33c1Y=")</f>
        <v>#REF!</v>
      </c>
      <c r="CJ238" t="e">
        <f>AND(#REF!,"AAAAAD33c1c=")</f>
        <v>#REF!</v>
      </c>
      <c r="CK238" t="e">
        <f>IF(#REF!,"AAAAAD33c1g=",0)</f>
        <v>#REF!</v>
      </c>
      <c r="CL238" t="e">
        <f>AND(#REF!,"AAAAAD33c1k=")</f>
        <v>#REF!</v>
      </c>
      <c r="CM238" t="e">
        <f>AND(#REF!,"AAAAAD33c1o=")</f>
        <v>#REF!</v>
      </c>
      <c r="CN238" t="e">
        <f>AND(#REF!,"AAAAAD33c1s=")</f>
        <v>#REF!</v>
      </c>
      <c r="CO238" t="e">
        <f>AND(#REF!,"AAAAAD33c1w=")</f>
        <v>#REF!</v>
      </c>
      <c r="CP238" t="e">
        <f>AND(#REF!,"AAAAAD33c10=")</f>
        <v>#REF!</v>
      </c>
      <c r="CQ238" t="e">
        <f>AND(#REF!,"AAAAAD33c14=")</f>
        <v>#REF!</v>
      </c>
      <c r="CR238" t="e">
        <f>AND(#REF!,"AAAAAD33c18=")</f>
        <v>#REF!</v>
      </c>
      <c r="CS238" t="e">
        <f>AND(#REF!,"AAAAAD33c2A=")</f>
        <v>#REF!</v>
      </c>
      <c r="CT238" t="e">
        <f>AND(#REF!,"AAAAAD33c2E=")</f>
        <v>#REF!</v>
      </c>
      <c r="CU238" t="e">
        <f>AND(#REF!,"AAAAAD33c2I=")</f>
        <v>#REF!</v>
      </c>
      <c r="CV238" t="e">
        <f>AND(#REF!,"AAAAAD33c2M=")</f>
        <v>#REF!</v>
      </c>
      <c r="CW238" t="e">
        <f>AND(#REF!,"AAAAAD33c2Q=")</f>
        <v>#REF!</v>
      </c>
      <c r="CX238" t="e">
        <f>AND(#REF!,"AAAAAD33c2U=")</f>
        <v>#REF!</v>
      </c>
      <c r="CY238" t="e">
        <f>AND(#REF!,"AAAAAD33c2Y=")</f>
        <v>#REF!</v>
      </c>
      <c r="CZ238" t="e">
        <f>AND(#REF!,"AAAAAD33c2c=")</f>
        <v>#REF!</v>
      </c>
      <c r="DA238" t="e">
        <f>AND(#REF!,"AAAAAD33c2g=")</f>
        <v>#REF!</v>
      </c>
      <c r="DB238" t="e">
        <f>AND(#REF!,"AAAAAD33c2k=")</f>
        <v>#REF!</v>
      </c>
      <c r="DC238" t="e">
        <f>AND(#REF!,"AAAAAD33c2o=")</f>
        <v>#REF!</v>
      </c>
      <c r="DD238" t="e">
        <f>AND(#REF!,"AAAAAD33c2s=")</f>
        <v>#REF!</v>
      </c>
      <c r="DE238" t="e">
        <f>AND(#REF!,"AAAAAD33c2w=")</f>
        <v>#REF!</v>
      </c>
      <c r="DF238" t="e">
        <f>AND(#REF!,"AAAAAD33c20=")</f>
        <v>#REF!</v>
      </c>
      <c r="DG238" t="e">
        <f>AND(#REF!,"AAAAAD33c24=")</f>
        <v>#REF!</v>
      </c>
      <c r="DH238" t="e">
        <f>AND(#REF!,"AAAAAD33c28=")</f>
        <v>#REF!</v>
      </c>
      <c r="DI238" t="e">
        <f>AND(#REF!,"AAAAAD33c3A=")</f>
        <v>#REF!</v>
      </c>
      <c r="DJ238" t="e">
        <f>IF(#REF!,"AAAAAD33c3E=",0)</f>
        <v>#REF!</v>
      </c>
      <c r="DK238" t="e">
        <f>AND(#REF!,"AAAAAD33c3I=")</f>
        <v>#REF!</v>
      </c>
      <c r="DL238" t="e">
        <f>AND(#REF!,"AAAAAD33c3M=")</f>
        <v>#REF!</v>
      </c>
      <c r="DM238" t="e">
        <f>AND(#REF!,"AAAAAD33c3Q=")</f>
        <v>#REF!</v>
      </c>
      <c r="DN238" t="e">
        <f>AND(#REF!,"AAAAAD33c3U=")</f>
        <v>#REF!</v>
      </c>
      <c r="DO238" t="e">
        <f>AND(#REF!,"AAAAAD33c3Y=")</f>
        <v>#REF!</v>
      </c>
      <c r="DP238" t="e">
        <f>AND(#REF!,"AAAAAD33c3c=")</f>
        <v>#REF!</v>
      </c>
      <c r="DQ238" t="e">
        <f>AND(#REF!,"AAAAAD33c3g=")</f>
        <v>#REF!</v>
      </c>
      <c r="DR238" t="e">
        <f>AND(#REF!,"AAAAAD33c3k=")</f>
        <v>#REF!</v>
      </c>
      <c r="DS238" t="e">
        <f>AND(#REF!,"AAAAAD33c3o=")</f>
        <v>#REF!</v>
      </c>
      <c r="DT238" t="e">
        <f>AND(#REF!,"AAAAAD33c3s=")</f>
        <v>#REF!</v>
      </c>
      <c r="DU238" t="e">
        <f>AND(#REF!,"AAAAAD33c3w=")</f>
        <v>#REF!</v>
      </c>
      <c r="DV238" t="e">
        <f>AND(#REF!,"AAAAAD33c30=")</f>
        <v>#REF!</v>
      </c>
      <c r="DW238" t="e">
        <f>AND(#REF!,"AAAAAD33c34=")</f>
        <v>#REF!</v>
      </c>
      <c r="DX238" t="e">
        <f>AND(#REF!,"AAAAAD33c38=")</f>
        <v>#REF!</v>
      </c>
      <c r="DY238" t="e">
        <f>AND(#REF!,"AAAAAD33c4A=")</f>
        <v>#REF!</v>
      </c>
      <c r="DZ238" t="e">
        <f>AND(#REF!,"AAAAAD33c4E=")</f>
        <v>#REF!</v>
      </c>
      <c r="EA238" t="e">
        <f>AND(#REF!,"AAAAAD33c4I=")</f>
        <v>#REF!</v>
      </c>
      <c r="EB238" t="e">
        <f>AND(#REF!,"AAAAAD33c4M=")</f>
        <v>#REF!</v>
      </c>
      <c r="EC238" t="e">
        <f>AND(#REF!,"AAAAAD33c4Q=")</f>
        <v>#REF!</v>
      </c>
      <c r="ED238" t="e">
        <f>AND(#REF!,"AAAAAD33c4U=")</f>
        <v>#REF!</v>
      </c>
      <c r="EE238" t="e">
        <f>AND(#REF!,"AAAAAD33c4Y=")</f>
        <v>#REF!</v>
      </c>
      <c r="EF238" t="e">
        <f>AND(#REF!,"AAAAAD33c4c=")</f>
        <v>#REF!</v>
      </c>
      <c r="EG238" t="e">
        <f>AND(#REF!,"AAAAAD33c4g=")</f>
        <v>#REF!</v>
      </c>
      <c r="EH238" t="e">
        <f>AND(#REF!,"AAAAAD33c4k=")</f>
        <v>#REF!</v>
      </c>
      <c r="EI238" t="e">
        <f>IF(#REF!,"AAAAAD33c4o=",0)</f>
        <v>#REF!</v>
      </c>
      <c r="EJ238" t="e">
        <f>AND(#REF!,"AAAAAD33c4s=")</f>
        <v>#REF!</v>
      </c>
      <c r="EK238" t="e">
        <f>AND(#REF!,"AAAAAD33c4w=")</f>
        <v>#REF!</v>
      </c>
      <c r="EL238" t="e">
        <f>AND(#REF!,"AAAAAD33c40=")</f>
        <v>#REF!</v>
      </c>
      <c r="EM238" t="e">
        <f>AND(#REF!,"AAAAAD33c44=")</f>
        <v>#REF!</v>
      </c>
      <c r="EN238" t="e">
        <f>AND(#REF!,"AAAAAD33c48=")</f>
        <v>#REF!</v>
      </c>
      <c r="EO238" t="e">
        <f>AND(#REF!,"AAAAAD33c5A=")</f>
        <v>#REF!</v>
      </c>
      <c r="EP238" t="e">
        <f>AND(#REF!,"AAAAAD33c5E=")</f>
        <v>#REF!</v>
      </c>
      <c r="EQ238" t="e">
        <f>AND(#REF!,"AAAAAD33c5I=")</f>
        <v>#REF!</v>
      </c>
      <c r="ER238" t="e">
        <f>AND(#REF!,"AAAAAD33c5M=")</f>
        <v>#REF!</v>
      </c>
      <c r="ES238" t="e">
        <f>AND(#REF!,"AAAAAD33c5Q=")</f>
        <v>#REF!</v>
      </c>
      <c r="ET238" t="e">
        <f>AND(#REF!,"AAAAAD33c5U=")</f>
        <v>#REF!</v>
      </c>
      <c r="EU238" t="e">
        <f>AND(#REF!,"AAAAAD33c5Y=")</f>
        <v>#REF!</v>
      </c>
      <c r="EV238" t="e">
        <f>AND(#REF!,"AAAAAD33c5c=")</f>
        <v>#REF!</v>
      </c>
      <c r="EW238" t="e">
        <f>AND(#REF!,"AAAAAD33c5g=")</f>
        <v>#REF!</v>
      </c>
      <c r="EX238" t="e">
        <f>AND(#REF!,"AAAAAD33c5k=")</f>
        <v>#REF!</v>
      </c>
      <c r="EY238" t="e">
        <f>AND(#REF!,"AAAAAD33c5o=")</f>
        <v>#REF!</v>
      </c>
      <c r="EZ238" t="e">
        <f>AND(#REF!,"AAAAAD33c5s=")</f>
        <v>#REF!</v>
      </c>
      <c r="FA238" t="e">
        <f>AND(#REF!,"AAAAAD33c5w=")</f>
        <v>#REF!</v>
      </c>
      <c r="FB238" t="e">
        <f>AND(#REF!,"AAAAAD33c50=")</f>
        <v>#REF!</v>
      </c>
      <c r="FC238" t="e">
        <f>AND(#REF!,"AAAAAD33c54=")</f>
        <v>#REF!</v>
      </c>
      <c r="FD238" t="e">
        <f>AND(#REF!,"AAAAAD33c58=")</f>
        <v>#REF!</v>
      </c>
      <c r="FE238" t="e">
        <f>AND(#REF!,"AAAAAD33c6A=")</f>
        <v>#REF!</v>
      </c>
      <c r="FF238" t="e">
        <f>AND(#REF!,"AAAAAD33c6E=")</f>
        <v>#REF!</v>
      </c>
      <c r="FG238" t="e">
        <f>AND(#REF!,"AAAAAD33c6I=")</f>
        <v>#REF!</v>
      </c>
      <c r="FH238" t="e">
        <f>IF(#REF!,"AAAAAD33c6M=",0)</f>
        <v>#REF!</v>
      </c>
      <c r="FI238" t="e">
        <f>AND(#REF!,"AAAAAD33c6Q=")</f>
        <v>#REF!</v>
      </c>
      <c r="FJ238" t="e">
        <f>AND(#REF!,"AAAAAD33c6U=")</f>
        <v>#REF!</v>
      </c>
      <c r="FK238" t="e">
        <f>AND(#REF!,"AAAAAD33c6Y=")</f>
        <v>#REF!</v>
      </c>
      <c r="FL238" t="e">
        <f>AND(#REF!,"AAAAAD33c6c=")</f>
        <v>#REF!</v>
      </c>
      <c r="FM238" t="e">
        <f>AND(#REF!,"AAAAAD33c6g=")</f>
        <v>#REF!</v>
      </c>
      <c r="FN238" t="e">
        <f>AND(#REF!,"AAAAAD33c6k=")</f>
        <v>#REF!</v>
      </c>
      <c r="FO238" t="e">
        <f>AND(#REF!,"AAAAAD33c6o=")</f>
        <v>#REF!</v>
      </c>
      <c r="FP238" t="e">
        <f>AND(#REF!,"AAAAAD33c6s=")</f>
        <v>#REF!</v>
      </c>
      <c r="FQ238" t="e">
        <f>AND(#REF!,"AAAAAD33c6w=")</f>
        <v>#REF!</v>
      </c>
      <c r="FR238" t="e">
        <f>AND(#REF!,"AAAAAD33c60=")</f>
        <v>#REF!</v>
      </c>
      <c r="FS238" t="e">
        <f>AND(#REF!,"AAAAAD33c64=")</f>
        <v>#REF!</v>
      </c>
      <c r="FT238" t="e">
        <f>AND(#REF!,"AAAAAD33c68=")</f>
        <v>#REF!</v>
      </c>
      <c r="FU238" t="e">
        <f>AND(#REF!,"AAAAAD33c7A=")</f>
        <v>#REF!</v>
      </c>
      <c r="FV238" t="e">
        <f>AND(#REF!,"AAAAAD33c7E=")</f>
        <v>#REF!</v>
      </c>
      <c r="FW238" t="e">
        <f>AND(#REF!,"AAAAAD33c7I=")</f>
        <v>#REF!</v>
      </c>
      <c r="FX238" t="e">
        <f>AND(#REF!,"AAAAAD33c7M=")</f>
        <v>#REF!</v>
      </c>
      <c r="FY238" t="e">
        <f>AND(#REF!,"AAAAAD33c7Q=")</f>
        <v>#REF!</v>
      </c>
      <c r="FZ238" t="e">
        <f>AND(#REF!,"AAAAAD33c7U=")</f>
        <v>#REF!</v>
      </c>
      <c r="GA238" t="e">
        <f>AND(#REF!,"AAAAAD33c7Y=")</f>
        <v>#REF!</v>
      </c>
      <c r="GB238" t="e">
        <f>AND(#REF!,"AAAAAD33c7c=")</f>
        <v>#REF!</v>
      </c>
      <c r="GC238" t="e">
        <f>AND(#REF!,"AAAAAD33c7g=")</f>
        <v>#REF!</v>
      </c>
      <c r="GD238" t="e">
        <f>AND(#REF!,"AAAAAD33c7k=")</f>
        <v>#REF!</v>
      </c>
      <c r="GE238" t="e">
        <f>AND(#REF!,"AAAAAD33c7o=")</f>
        <v>#REF!</v>
      </c>
      <c r="GF238" t="e">
        <f>AND(#REF!,"AAAAAD33c7s=")</f>
        <v>#REF!</v>
      </c>
      <c r="GG238" t="e">
        <f>IF(#REF!,"AAAAAD33c7w=",0)</f>
        <v>#REF!</v>
      </c>
      <c r="GH238" t="e">
        <f>AND(#REF!,"AAAAAD33c70=")</f>
        <v>#REF!</v>
      </c>
      <c r="GI238" t="e">
        <f>AND(#REF!,"AAAAAD33c74=")</f>
        <v>#REF!</v>
      </c>
      <c r="GJ238" t="e">
        <f>AND(#REF!,"AAAAAD33c78=")</f>
        <v>#REF!</v>
      </c>
      <c r="GK238" t="e">
        <f>AND(#REF!,"AAAAAD33c8A=")</f>
        <v>#REF!</v>
      </c>
      <c r="GL238" t="e">
        <f>AND(#REF!,"AAAAAD33c8E=")</f>
        <v>#REF!</v>
      </c>
      <c r="GM238" t="e">
        <f>AND(#REF!,"AAAAAD33c8I=")</f>
        <v>#REF!</v>
      </c>
      <c r="GN238" t="e">
        <f>AND(#REF!,"AAAAAD33c8M=")</f>
        <v>#REF!</v>
      </c>
      <c r="GO238" t="e">
        <f>AND(#REF!,"AAAAAD33c8Q=")</f>
        <v>#REF!</v>
      </c>
      <c r="GP238" t="e">
        <f>AND(#REF!,"AAAAAD33c8U=")</f>
        <v>#REF!</v>
      </c>
      <c r="GQ238" t="e">
        <f>AND(#REF!,"AAAAAD33c8Y=")</f>
        <v>#REF!</v>
      </c>
      <c r="GR238" t="e">
        <f>AND(#REF!,"AAAAAD33c8c=")</f>
        <v>#REF!</v>
      </c>
      <c r="GS238" t="e">
        <f>AND(#REF!,"AAAAAD33c8g=")</f>
        <v>#REF!</v>
      </c>
      <c r="GT238" t="e">
        <f>AND(#REF!,"AAAAAD33c8k=")</f>
        <v>#REF!</v>
      </c>
      <c r="GU238" t="e">
        <f>AND(#REF!,"AAAAAD33c8o=")</f>
        <v>#REF!</v>
      </c>
      <c r="GV238" t="e">
        <f>AND(#REF!,"AAAAAD33c8s=")</f>
        <v>#REF!</v>
      </c>
      <c r="GW238" t="e">
        <f>AND(#REF!,"AAAAAD33c8w=")</f>
        <v>#REF!</v>
      </c>
      <c r="GX238" t="e">
        <f>AND(#REF!,"AAAAAD33c80=")</f>
        <v>#REF!</v>
      </c>
      <c r="GY238" t="e">
        <f>AND(#REF!,"AAAAAD33c84=")</f>
        <v>#REF!</v>
      </c>
      <c r="GZ238" t="e">
        <f>AND(#REF!,"AAAAAD33c88=")</f>
        <v>#REF!</v>
      </c>
      <c r="HA238" t="e">
        <f>AND(#REF!,"AAAAAD33c9A=")</f>
        <v>#REF!</v>
      </c>
      <c r="HB238" t="e">
        <f>AND(#REF!,"AAAAAD33c9E=")</f>
        <v>#REF!</v>
      </c>
      <c r="HC238" t="e">
        <f>AND(#REF!,"AAAAAD33c9I=")</f>
        <v>#REF!</v>
      </c>
      <c r="HD238" t="e">
        <f>AND(#REF!,"AAAAAD33c9M=")</f>
        <v>#REF!</v>
      </c>
      <c r="HE238" t="e">
        <f>AND(#REF!,"AAAAAD33c9Q=")</f>
        <v>#REF!</v>
      </c>
      <c r="HF238" t="e">
        <f>IF(#REF!,"AAAAAD33c9U=",0)</f>
        <v>#REF!</v>
      </c>
      <c r="HG238" t="e">
        <f>AND(#REF!,"AAAAAD33c9Y=")</f>
        <v>#REF!</v>
      </c>
      <c r="HH238" t="e">
        <f>AND(#REF!,"AAAAAD33c9c=")</f>
        <v>#REF!</v>
      </c>
      <c r="HI238" t="e">
        <f>AND(#REF!,"AAAAAD33c9g=")</f>
        <v>#REF!</v>
      </c>
      <c r="HJ238" t="e">
        <f>AND(#REF!,"AAAAAD33c9k=")</f>
        <v>#REF!</v>
      </c>
      <c r="HK238" t="e">
        <f>AND(#REF!,"AAAAAD33c9o=")</f>
        <v>#REF!</v>
      </c>
      <c r="HL238" t="e">
        <f>AND(#REF!,"AAAAAD33c9s=")</f>
        <v>#REF!</v>
      </c>
      <c r="HM238" t="e">
        <f>AND(#REF!,"AAAAAD33c9w=")</f>
        <v>#REF!</v>
      </c>
      <c r="HN238" t="e">
        <f>AND(#REF!,"AAAAAD33c90=")</f>
        <v>#REF!</v>
      </c>
      <c r="HO238" t="e">
        <f>AND(#REF!,"AAAAAD33c94=")</f>
        <v>#REF!</v>
      </c>
      <c r="HP238" t="e">
        <f>AND(#REF!,"AAAAAD33c98=")</f>
        <v>#REF!</v>
      </c>
      <c r="HQ238" t="e">
        <f>AND(#REF!,"AAAAAD33c+A=")</f>
        <v>#REF!</v>
      </c>
      <c r="HR238" t="e">
        <f>AND(#REF!,"AAAAAD33c+E=")</f>
        <v>#REF!</v>
      </c>
      <c r="HS238" t="e">
        <f>AND(#REF!,"AAAAAD33c+I=")</f>
        <v>#REF!</v>
      </c>
      <c r="HT238" t="e">
        <f>AND(#REF!,"AAAAAD33c+M=")</f>
        <v>#REF!</v>
      </c>
      <c r="HU238" t="e">
        <f>AND(#REF!,"AAAAAD33c+Q=")</f>
        <v>#REF!</v>
      </c>
      <c r="HV238" t="e">
        <f>AND(#REF!,"AAAAAD33c+U=")</f>
        <v>#REF!</v>
      </c>
      <c r="HW238" t="e">
        <f>AND(#REF!,"AAAAAD33c+Y=")</f>
        <v>#REF!</v>
      </c>
      <c r="HX238" t="e">
        <f>AND(#REF!,"AAAAAD33c+c=")</f>
        <v>#REF!</v>
      </c>
      <c r="HY238" t="e">
        <f>AND(#REF!,"AAAAAD33c+g=")</f>
        <v>#REF!</v>
      </c>
      <c r="HZ238" t="e">
        <f>AND(#REF!,"AAAAAD33c+k=")</f>
        <v>#REF!</v>
      </c>
      <c r="IA238" t="e">
        <f>AND(#REF!,"AAAAAD33c+o=")</f>
        <v>#REF!</v>
      </c>
      <c r="IB238" t="e">
        <f>AND(#REF!,"AAAAAD33c+s=")</f>
        <v>#REF!</v>
      </c>
      <c r="IC238" t="e">
        <f>AND(#REF!,"AAAAAD33c+w=")</f>
        <v>#REF!</v>
      </c>
      <c r="ID238" t="e">
        <f>AND(#REF!,"AAAAAD33c+0=")</f>
        <v>#REF!</v>
      </c>
      <c r="IE238" t="e">
        <f>IF(#REF!,"AAAAAD33c+4=",0)</f>
        <v>#REF!</v>
      </c>
      <c r="IF238" t="e">
        <f>AND(#REF!,"AAAAAD33c+8=")</f>
        <v>#REF!</v>
      </c>
      <c r="IG238" t="e">
        <f>AND(#REF!,"AAAAAD33c/A=")</f>
        <v>#REF!</v>
      </c>
      <c r="IH238" t="e">
        <f>AND(#REF!,"AAAAAD33c/E=")</f>
        <v>#REF!</v>
      </c>
      <c r="II238" t="e">
        <f>AND(#REF!,"AAAAAD33c/I=")</f>
        <v>#REF!</v>
      </c>
      <c r="IJ238" t="e">
        <f>AND(#REF!,"AAAAAD33c/M=")</f>
        <v>#REF!</v>
      </c>
      <c r="IK238" t="e">
        <f>AND(#REF!,"AAAAAD33c/Q=")</f>
        <v>#REF!</v>
      </c>
      <c r="IL238" t="e">
        <f>AND(#REF!,"AAAAAD33c/U=")</f>
        <v>#REF!</v>
      </c>
      <c r="IM238" t="e">
        <f>AND(#REF!,"AAAAAD33c/Y=")</f>
        <v>#REF!</v>
      </c>
      <c r="IN238" t="e">
        <f>AND(#REF!,"AAAAAD33c/c=")</f>
        <v>#REF!</v>
      </c>
      <c r="IO238" t="e">
        <f>AND(#REF!,"AAAAAD33c/g=")</f>
        <v>#REF!</v>
      </c>
      <c r="IP238" t="e">
        <f>AND(#REF!,"AAAAAD33c/k=")</f>
        <v>#REF!</v>
      </c>
      <c r="IQ238" t="e">
        <f>AND(#REF!,"AAAAAD33c/o=")</f>
        <v>#REF!</v>
      </c>
      <c r="IR238" t="e">
        <f>AND(#REF!,"AAAAAD33c/s=")</f>
        <v>#REF!</v>
      </c>
      <c r="IS238" t="e">
        <f>AND(#REF!,"AAAAAD33c/w=")</f>
        <v>#REF!</v>
      </c>
      <c r="IT238" t="e">
        <f>AND(#REF!,"AAAAAD33c/0=")</f>
        <v>#REF!</v>
      </c>
      <c r="IU238" t="e">
        <f>AND(#REF!,"AAAAAD33c/4=")</f>
        <v>#REF!</v>
      </c>
      <c r="IV238" t="e">
        <f>AND(#REF!,"AAAAAD33c/8=")</f>
        <v>#REF!</v>
      </c>
    </row>
    <row r="239" spans="1:256">
      <c r="A239" t="e">
        <f>AND(#REF!,"AAAAAH3fvgA=")</f>
        <v>#REF!</v>
      </c>
      <c r="B239" t="e">
        <f>AND(#REF!,"AAAAAH3fvgE=")</f>
        <v>#REF!</v>
      </c>
      <c r="C239" t="e">
        <f>AND(#REF!,"AAAAAH3fvgI=")</f>
        <v>#REF!</v>
      </c>
      <c r="D239" t="e">
        <f>AND(#REF!,"AAAAAH3fvgM=")</f>
        <v>#REF!</v>
      </c>
      <c r="E239" t="e">
        <f>AND(#REF!,"AAAAAH3fvgQ=")</f>
        <v>#REF!</v>
      </c>
      <c r="F239" t="e">
        <f>AND(#REF!,"AAAAAH3fvgU=")</f>
        <v>#REF!</v>
      </c>
      <c r="G239" t="e">
        <f>AND(#REF!,"AAAAAH3fvgY=")</f>
        <v>#REF!</v>
      </c>
      <c r="H239" t="e">
        <f>IF(#REF!,"AAAAAH3fvgc=",0)</f>
        <v>#REF!</v>
      </c>
      <c r="I239" t="e">
        <f>AND(#REF!,"AAAAAH3fvgg=")</f>
        <v>#REF!</v>
      </c>
      <c r="J239" t="e">
        <f>AND(#REF!,"AAAAAH3fvgk=")</f>
        <v>#REF!</v>
      </c>
      <c r="K239" t="e">
        <f>AND(#REF!,"AAAAAH3fvgo=")</f>
        <v>#REF!</v>
      </c>
      <c r="L239" t="e">
        <f>AND(#REF!,"AAAAAH3fvgs=")</f>
        <v>#REF!</v>
      </c>
      <c r="M239" t="e">
        <f>AND(#REF!,"AAAAAH3fvgw=")</f>
        <v>#REF!</v>
      </c>
      <c r="N239" t="e">
        <f>AND(#REF!,"AAAAAH3fvg0=")</f>
        <v>#REF!</v>
      </c>
      <c r="O239" t="e">
        <f>AND(#REF!,"AAAAAH3fvg4=")</f>
        <v>#REF!</v>
      </c>
      <c r="P239" t="e">
        <f>AND(#REF!,"AAAAAH3fvg8=")</f>
        <v>#REF!</v>
      </c>
      <c r="Q239" t="e">
        <f>AND(#REF!,"AAAAAH3fvhA=")</f>
        <v>#REF!</v>
      </c>
      <c r="R239" t="e">
        <f>AND(#REF!,"AAAAAH3fvhE=")</f>
        <v>#REF!</v>
      </c>
      <c r="S239" t="e">
        <f>AND(#REF!,"AAAAAH3fvhI=")</f>
        <v>#REF!</v>
      </c>
      <c r="T239" t="e">
        <f>AND(#REF!,"AAAAAH3fvhM=")</f>
        <v>#REF!</v>
      </c>
      <c r="U239" t="e">
        <f>AND(#REF!,"AAAAAH3fvhQ=")</f>
        <v>#REF!</v>
      </c>
      <c r="V239" t="e">
        <f>AND(#REF!,"AAAAAH3fvhU=")</f>
        <v>#REF!</v>
      </c>
      <c r="W239" t="e">
        <f>AND(#REF!,"AAAAAH3fvhY=")</f>
        <v>#REF!</v>
      </c>
      <c r="X239" t="e">
        <f>AND(#REF!,"AAAAAH3fvhc=")</f>
        <v>#REF!</v>
      </c>
      <c r="Y239" t="e">
        <f>AND(#REF!,"AAAAAH3fvhg=")</f>
        <v>#REF!</v>
      </c>
      <c r="Z239" t="e">
        <f>AND(#REF!,"AAAAAH3fvhk=")</f>
        <v>#REF!</v>
      </c>
      <c r="AA239" t="e">
        <f>AND(#REF!,"AAAAAH3fvho=")</f>
        <v>#REF!</v>
      </c>
      <c r="AB239" t="e">
        <f>AND(#REF!,"AAAAAH3fvhs=")</f>
        <v>#REF!</v>
      </c>
      <c r="AC239" t="e">
        <f>AND(#REF!,"AAAAAH3fvhw=")</f>
        <v>#REF!</v>
      </c>
      <c r="AD239" t="e">
        <f>AND(#REF!,"AAAAAH3fvh0=")</f>
        <v>#REF!</v>
      </c>
      <c r="AE239" t="e">
        <f>AND(#REF!,"AAAAAH3fvh4=")</f>
        <v>#REF!</v>
      </c>
      <c r="AF239" t="e">
        <f>AND(#REF!,"AAAAAH3fvh8=")</f>
        <v>#REF!</v>
      </c>
      <c r="AG239" t="e">
        <f>IF(#REF!,"AAAAAH3fviA=",0)</f>
        <v>#REF!</v>
      </c>
      <c r="AH239" t="e">
        <f>AND(#REF!,"AAAAAH3fviE=")</f>
        <v>#REF!</v>
      </c>
      <c r="AI239" t="e">
        <f>AND(#REF!,"AAAAAH3fviI=")</f>
        <v>#REF!</v>
      </c>
      <c r="AJ239" t="e">
        <f>AND(#REF!,"AAAAAH3fviM=")</f>
        <v>#REF!</v>
      </c>
      <c r="AK239" t="e">
        <f>AND(#REF!,"AAAAAH3fviQ=")</f>
        <v>#REF!</v>
      </c>
      <c r="AL239" t="e">
        <f>AND(#REF!,"AAAAAH3fviU=")</f>
        <v>#REF!</v>
      </c>
      <c r="AM239" t="e">
        <f>AND(#REF!,"AAAAAH3fviY=")</f>
        <v>#REF!</v>
      </c>
      <c r="AN239" t="e">
        <f>AND(#REF!,"AAAAAH3fvic=")</f>
        <v>#REF!</v>
      </c>
      <c r="AO239" t="e">
        <f>AND(#REF!,"AAAAAH3fvig=")</f>
        <v>#REF!</v>
      </c>
      <c r="AP239" t="e">
        <f>AND(#REF!,"AAAAAH3fvik=")</f>
        <v>#REF!</v>
      </c>
      <c r="AQ239" t="e">
        <f>AND(#REF!,"AAAAAH3fvio=")</f>
        <v>#REF!</v>
      </c>
      <c r="AR239" t="e">
        <f>AND(#REF!,"AAAAAH3fvis=")</f>
        <v>#REF!</v>
      </c>
      <c r="AS239" t="e">
        <f>AND(#REF!,"AAAAAH3fviw=")</f>
        <v>#REF!</v>
      </c>
      <c r="AT239" t="e">
        <f>AND(#REF!,"AAAAAH3fvi0=")</f>
        <v>#REF!</v>
      </c>
      <c r="AU239" t="e">
        <f>AND(#REF!,"AAAAAH3fvi4=")</f>
        <v>#REF!</v>
      </c>
      <c r="AV239" t="e">
        <f>AND(#REF!,"AAAAAH3fvi8=")</f>
        <v>#REF!</v>
      </c>
      <c r="AW239" t="e">
        <f>AND(#REF!,"AAAAAH3fvjA=")</f>
        <v>#REF!</v>
      </c>
      <c r="AX239" t="e">
        <f>AND(#REF!,"AAAAAH3fvjE=")</f>
        <v>#REF!</v>
      </c>
      <c r="AY239" t="e">
        <f>AND(#REF!,"AAAAAH3fvjI=")</f>
        <v>#REF!</v>
      </c>
      <c r="AZ239" t="e">
        <f>AND(#REF!,"AAAAAH3fvjM=")</f>
        <v>#REF!</v>
      </c>
      <c r="BA239" t="e">
        <f>AND(#REF!,"AAAAAH3fvjQ=")</f>
        <v>#REF!</v>
      </c>
      <c r="BB239" t="e">
        <f>AND(#REF!,"AAAAAH3fvjU=")</f>
        <v>#REF!</v>
      </c>
      <c r="BC239" t="e">
        <f>AND(#REF!,"AAAAAH3fvjY=")</f>
        <v>#REF!</v>
      </c>
      <c r="BD239" t="e">
        <f>AND(#REF!,"AAAAAH3fvjc=")</f>
        <v>#REF!</v>
      </c>
      <c r="BE239" t="e">
        <f>AND(#REF!,"AAAAAH3fvjg=")</f>
        <v>#REF!</v>
      </c>
      <c r="BF239" t="e">
        <f>IF(#REF!,"AAAAAH3fvjk=",0)</f>
        <v>#REF!</v>
      </c>
      <c r="BG239" t="e">
        <f>AND(#REF!,"AAAAAH3fvjo=")</f>
        <v>#REF!</v>
      </c>
      <c r="BH239" t="e">
        <f>AND(#REF!,"AAAAAH3fvjs=")</f>
        <v>#REF!</v>
      </c>
      <c r="BI239" t="e">
        <f>AND(#REF!,"AAAAAH3fvjw=")</f>
        <v>#REF!</v>
      </c>
      <c r="BJ239" t="e">
        <f>AND(#REF!,"AAAAAH3fvj0=")</f>
        <v>#REF!</v>
      </c>
      <c r="BK239" t="e">
        <f>AND(#REF!,"AAAAAH3fvj4=")</f>
        <v>#REF!</v>
      </c>
      <c r="BL239" t="e">
        <f>AND(#REF!,"AAAAAH3fvj8=")</f>
        <v>#REF!</v>
      </c>
      <c r="BM239" t="e">
        <f>AND(#REF!,"AAAAAH3fvkA=")</f>
        <v>#REF!</v>
      </c>
      <c r="BN239" t="e">
        <f>AND(#REF!,"AAAAAH3fvkE=")</f>
        <v>#REF!</v>
      </c>
      <c r="BO239" t="e">
        <f>AND(#REF!,"AAAAAH3fvkI=")</f>
        <v>#REF!</v>
      </c>
      <c r="BP239" t="e">
        <f>AND(#REF!,"AAAAAH3fvkM=")</f>
        <v>#REF!</v>
      </c>
      <c r="BQ239" t="e">
        <f>AND(#REF!,"AAAAAH3fvkQ=")</f>
        <v>#REF!</v>
      </c>
      <c r="BR239" t="e">
        <f>AND(#REF!,"AAAAAH3fvkU=")</f>
        <v>#REF!</v>
      </c>
      <c r="BS239" t="e">
        <f>AND(#REF!,"AAAAAH3fvkY=")</f>
        <v>#REF!</v>
      </c>
      <c r="BT239" t="e">
        <f>AND(#REF!,"AAAAAH3fvkc=")</f>
        <v>#REF!</v>
      </c>
      <c r="BU239" t="e">
        <f>AND(#REF!,"AAAAAH3fvkg=")</f>
        <v>#REF!</v>
      </c>
      <c r="BV239" t="e">
        <f>AND(#REF!,"AAAAAH3fvkk=")</f>
        <v>#REF!</v>
      </c>
      <c r="BW239" t="e">
        <f>AND(#REF!,"AAAAAH3fvko=")</f>
        <v>#REF!</v>
      </c>
      <c r="BX239" t="e">
        <f>AND(#REF!,"AAAAAH3fvks=")</f>
        <v>#REF!</v>
      </c>
      <c r="BY239" t="e">
        <f>AND(#REF!,"AAAAAH3fvkw=")</f>
        <v>#REF!</v>
      </c>
      <c r="BZ239" t="e">
        <f>AND(#REF!,"AAAAAH3fvk0=")</f>
        <v>#REF!</v>
      </c>
      <c r="CA239" t="e">
        <f>AND(#REF!,"AAAAAH3fvk4=")</f>
        <v>#REF!</v>
      </c>
      <c r="CB239" t="e">
        <f>AND(#REF!,"AAAAAH3fvk8=")</f>
        <v>#REF!</v>
      </c>
      <c r="CC239" t="e">
        <f>AND(#REF!,"AAAAAH3fvlA=")</f>
        <v>#REF!</v>
      </c>
      <c r="CD239" t="e">
        <f>AND(#REF!,"AAAAAH3fvlE=")</f>
        <v>#REF!</v>
      </c>
      <c r="CE239" t="e">
        <f>IF(#REF!,"AAAAAH3fvlI=",0)</f>
        <v>#REF!</v>
      </c>
      <c r="CF239" t="e">
        <f>AND(#REF!,"AAAAAH3fvlM=")</f>
        <v>#REF!</v>
      </c>
      <c r="CG239" t="e">
        <f>AND(#REF!,"AAAAAH3fvlQ=")</f>
        <v>#REF!</v>
      </c>
      <c r="CH239" t="e">
        <f>AND(#REF!,"AAAAAH3fvlU=")</f>
        <v>#REF!</v>
      </c>
      <c r="CI239" t="e">
        <f>AND(#REF!,"AAAAAH3fvlY=")</f>
        <v>#REF!</v>
      </c>
      <c r="CJ239" t="e">
        <f>AND(#REF!,"AAAAAH3fvlc=")</f>
        <v>#REF!</v>
      </c>
      <c r="CK239" t="e">
        <f>AND(#REF!,"AAAAAH3fvlg=")</f>
        <v>#REF!</v>
      </c>
      <c r="CL239" t="e">
        <f>AND(#REF!,"AAAAAH3fvlk=")</f>
        <v>#REF!</v>
      </c>
      <c r="CM239" t="e">
        <f>AND(#REF!,"AAAAAH3fvlo=")</f>
        <v>#REF!</v>
      </c>
      <c r="CN239" t="e">
        <f>AND(#REF!,"AAAAAH3fvls=")</f>
        <v>#REF!</v>
      </c>
      <c r="CO239" t="e">
        <f>AND(#REF!,"AAAAAH3fvlw=")</f>
        <v>#REF!</v>
      </c>
      <c r="CP239" t="e">
        <f>AND(#REF!,"AAAAAH3fvl0=")</f>
        <v>#REF!</v>
      </c>
      <c r="CQ239" t="e">
        <f>AND(#REF!,"AAAAAH3fvl4=")</f>
        <v>#REF!</v>
      </c>
      <c r="CR239" t="e">
        <f>AND(#REF!,"AAAAAH3fvl8=")</f>
        <v>#REF!</v>
      </c>
      <c r="CS239" t="e">
        <f>AND(#REF!,"AAAAAH3fvmA=")</f>
        <v>#REF!</v>
      </c>
      <c r="CT239" t="e">
        <f>AND(#REF!,"AAAAAH3fvmE=")</f>
        <v>#REF!</v>
      </c>
      <c r="CU239" t="e">
        <f>AND(#REF!,"AAAAAH3fvmI=")</f>
        <v>#REF!</v>
      </c>
      <c r="CV239" t="e">
        <f>AND(#REF!,"AAAAAH3fvmM=")</f>
        <v>#REF!</v>
      </c>
      <c r="CW239" t="e">
        <f>AND(#REF!,"AAAAAH3fvmQ=")</f>
        <v>#REF!</v>
      </c>
      <c r="CX239" t="e">
        <f>AND(#REF!,"AAAAAH3fvmU=")</f>
        <v>#REF!</v>
      </c>
      <c r="CY239" t="e">
        <f>AND(#REF!,"AAAAAH3fvmY=")</f>
        <v>#REF!</v>
      </c>
      <c r="CZ239" t="e">
        <f>AND(#REF!,"AAAAAH3fvmc=")</f>
        <v>#REF!</v>
      </c>
      <c r="DA239" t="e">
        <f>AND(#REF!,"AAAAAH3fvmg=")</f>
        <v>#REF!</v>
      </c>
      <c r="DB239" t="e">
        <f>AND(#REF!,"AAAAAH3fvmk=")</f>
        <v>#REF!</v>
      </c>
      <c r="DC239" t="e">
        <f>AND(#REF!,"AAAAAH3fvmo=")</f>
        <v>#REF!</v>
      </c>
      <c r="DD239" t="e">
        <f>IF(#REF!,"AAAAAH3fvms=",0)</f>
        <v>#REF!</v>
      </c>
      <c r="DE239" t="e">
        <f>AND(#REF!,"AAAAAH3fvmw=")</f>
        <v>#REF!</v>
      </c>
      <c r="DF239" t="e">
        <f>AND(#REF!,"AAAAAH3fvm0=")</f>
        <v>#REF!</v>
      </c>
      <c r="DG239" t="e">
        <f>AND(#REF!,"AAAAAH3fvm4=")</f>
        <v>#REF!</v>
      </c>
      <c r="DH239" t="e">
        <f>AND(#REF!,"AAAAAH3fvm8=")</f>
        <v>#REF!</v>
      </c>
      <c r="DI239" t="e">
        <f>AND(#REF!,"AAAAAH3fvnA=")</f>
        <v>#REF!</v>
      </c>
      <c r="DJ239" t="e">
        <f>AND(#REF!,"AAAAAH3fvnE=")</f>
        <v>#REF!</v>
      </c>
      <c r="DK239" t="e">
        <f>AND(#REF!,"AAAAAH3fvnI=")</f>
        <v>#REF!</v>
      </c>
      <c r="DL239" t="e">
        <f>AND(#REF!,"AAAAAH3fvnM=")</f>
        <v>#REF!</v>
      </c>
      <c r="DM239" t="e">
        <f>AND(#REF!,"AAAAAH3fvnQ=")</f>
        <v>#REF!</v>
      </c>
      <c r="DN239" t="e">
        <f>AND(#REF!,"AAAAAH3fvnU=")</f>
        <v>#REF!</v>
      </c>
      <c r="DO239" t="e">
        <f>AND(#REF!,"AAAAAH3fvnY=")</f>
        <v>#REF!</v>
      </c>
      <c r="DP239" t="e">
        <f>AND(#REF!,"AAAAAH3fvnc=")</f>
        <v>#REF!</v>
      </c>
      <c r="DQ239" t="e">
        <f>AND(#REF!,"AAAAAH3fvng=")</f>
        <v>#REF!</v>
      </c>
      <c r="DR239" t="e">
        <f>AND(#REF!,"AAAAAH3fvnk=")</f>
        <v>#REF!</v>
      </c>
      <c r="DS239" t="e">
        <f>AND(#REF!,"AAAAAH3fvno=")</f>
        <v>#REF!</v>
      </c>
      <c r="DT239" t="e">
        <f>AND(#REF!,"AAAAAH3fvns=")</f>
        <v>#REF!</v>
      </c>
      <c r="DU239" t="e">
        <f>AND(#REF!,"AAAAAH3fvnw=")</f>
        <v>#REF!</v>
      </c>
      <c r="DV239" t="e">
        <f>AND(#REF!,"AAAAAH3fvn0=")</f>
        <v>#REF!</v>
      </c>
      <c r="DW239" t="e">
        <f>AND(#REF!,"AAAAAH3fvn4=")</f>
        <v>#REF!</v>
      </c>
      <c r="DX239" t="e">
        <f>AND(#REF!,"AAAAAH3fvn8=")</f>
        <v>#REF!</v>
      </c>
      <c r="DY239" t="e">
        <f>AND(#REF!,"AAAAAH3fvoA=")</f>
        <v>#REF!</v>
      </c>
      <c r="DZ239" t="e">
        <f>AND(#REF!,"AAAAAH3fvoE=")</f>
        <v>#REF!</v>
      </c>
      <c r="EA239" t="e">
        <f>AND(#REF!,"AAAAAH3fvoI=")</f>
        <v>#REF!</v>
      </c>
      <c r="EB239" t="e">
        <f>AND(#REF!,"AAAAAH3fvoM=")</f>
        <v>#REF!</v>
      </c>
      <c r="EC239" t="e">
        <f>IF(#REF!,"AAAAAH3fvoQ=",0)</f>
        <v>#REF!</v>
      </c>
      <c r="ED239" t="e">
        <f>AND(#REF!,"AAAAAH3fvoU=")</f>
        <v>#REF!</v>
      </c>
      <c r="EE239" t="e">
        <f>AND(#REF!,"AAAAAH3fvoY=")</f>
        <v>#REF!</v>
      </c>
      <c r="EF239" t="e">
        <f>AND(#REF!,"AAAAAH3fvoc=")</f>
        <v>#REF!</v>
      </c>
      <c r="EG239" t="e">
        <f>AND(#REF!,"AAAAAH3fvog=")</f>
        <v>#REF!</v>
      </c>
      <c r="EH239" t="e">
        <f>AND(#REF!,"AAAAAH3fvok=")</f>
        <v>#REF!</v>
      </c>
      <c r="EI239" t="e">
        <f>AND(#REF!,"AAAAAH3fvoo=")</f>
        <v>#REF!</v>
      </c>
      <c r="EJ239" t="e">
        <f>AND(#REF!,"AAAAAH3fvos=")</f>
        <v>#REF!</v>
      </c>
      <c r="EK239" t="e">
        <f>AND(#REF!,"AAAAAH3fvow=")</f>
        <v>#REF!</v>
      </c>
      <c r="EL239" t="e">
        <f>AND(#REF!,"AAAAAH3fvo0=")</f>
        <v>#REF!</v>
      </c>
      <c r="EM239" t="e">
        <f>AND(#REF!,"AAAAAH3fvo4=")</f>
        <v>#REF!</v>
      </c>
      <c r="EN239" t="e">
        <f>AND(#REF!,"AAAAAH3fvo8=")</f>
        <v>#REF!</v>
      </c>
      <c r="EO239" t="e">
        <f>AND(#REF!,"AAAAAH3fvpA=")</f>
        <v>#REF!</v>
      </c>
      <c r="EP239" t="e">
        <f>AND(#REF!,"AAAAAH3fvpE=")</f>
        <v>#REF!</v>
      </c>
      <c r="EQ239" t="e">
        <f>AND(#REF!,"AAAAAH3fvpI=")</f>
        <v>#REF!</v>
      </c>
      <c r="ER239" t="e">
        <f>AND(#REF!,"AAAAAH3fvpM=")</f>
        <v>#REF!</v>
      </c>
      <c r="ES239" t="e">
        <f>AND(#REF!,"AAAAAH3fvpQ=")</f>
        <v>#REF!</v>
      </c>
      <c r="ET239" t="e">
        <f>AND(#REF!,"AAAAAH3fvpU=")</f>
        <v>#REF!</v>
      </c>
      <c r="EU239" t="e">
        <f>AND(#REF!,"AAAAAH3fvpY=")</f>
        <v>#REF!</v>
      </c>
      <c r="EV239" t="e">
        <f>AND(#REF!,"AAAAAH3fvpc=")</f>
        <v>#REF!</v>
      </c>
      <c r="EW239" t="e">
        <f>AND(#REF!,"AAAAAH3fvpg=")</f>
        <v>#REF!</v>
      </c>
      <c r="EX239" t="e">
        <f>AND(#REF!,"AAAAAH3fvpk=")</f>
        <v>#REF!</v>
      </c>
      <c r="EY239" t="e">
        <f>AND(#REF!,"AAAAAH3fvpo=")</f>
        <v>#REF!</v>
      </c>
      <c r="EZ239" t="e">
        <f>AND(#REF!,"AAAAAH3fvps=")</f>
        <v>#REF!</v>
      </c>
      <c r="FA239" t="e">
        <f>AND(#REF!,"AAAAAH3fvpw=")</f>
        <v>#REF!</v>
      </c>
      <c r="FB239" t="e">
        <f>IF(#REF!,"AAAAAH3fvp0=",0)</f>
        <v>#REF!</v>
      </c>
      <c r="FC239" t="e">
        <f>AND(#REF!,"AAAAAH3fvp4=")</f>
        <v>#REF!</v>
      </c>
      <c r="FD239" t="e">
        <f>AND(#REF!,"AAAAAH3fvp8=")</f>
        <v>#REF!</v>
      </c>
      <c r="FE239" t="e">
        <f>AND(#REF!,"AAAAAH3fvqA=")</f>
        <v>#REF!</v>
      </c>
      <c r="FF239" t="e">
        <f>AND(#REF!,"AAAAAH3fvqE=")</f>
        <v>#REF!</v>
      </c>
      <c r="FG239" t="e">
        <f>AND(#REF!,"AAAAAH3fvqI=")</f>
        <v>#REF!</v>
      </c>
      <c r="FH239" t="e">
        <f>AND(#REF!,"AAAAAH3fvqM=")</f>
        <v>#REF!</v>
      </c>
      <c r="FI239" t="e">
        <f>AND(#REF!,"AAAAAH3fvqQ=")</f>
        <v>#REF!</v>
      </c>
      <c r="FJ239" t="e">
        <f>AND(#REF!,"AAAAAH3fvqU=")</f>
        <v>#REF!</v>
      </c>
      <c r="FK239" t="e">
        <f>AND(#REF!,"AAAAAH3fvqY=")</f>
        <v>#REF!</v>
      </c>
      <c r="FL239" t="e">
        <f>AND(#REF!,"AAAAAH3fvqc=")</f>
        <v>#REF!</v>
      </c>
      <c r="FM239" t="e">
        <f>AND(#REF!,"AAAAAH3fvqg=")</f>
        <v>#REF!</v>
      </c>
      <c r="FN239" t="e">
        <f>AND(#REF!,"AAAAAH3fvqk=")</f>
        <v>#REF!</v>
      </c>
      <c r="FO239" t="e">
        <f>AND(#REF!,"AAAAAH3fvqo=")</f>
        <v>#REF!</v>
      </c>
      <c r="FP239" t="e">
        <f>AND(#REF!,"AAAAAH3fvqs=")</f>
        <v>#REF!</v>
      </c>
      <c r="FQ239" t="e">
        <f>AND(#REF!,"AAAAAH3fvqw=")</f>
        <v>#REF!</v>
      </c>
      <c r="FR239" t="e">
        <f>AND(#REF!,"AAAAAH3fvq0=")</f>
        <v>#REF!</v>
      </c>
      <c r="FS239" t="e">
        <f>AND(#REF!,"AAAAAH3fvq4=")</f>
        <v>#REF!</v>
      </c>
      <c r="FT239" t="e">
        <f>AND(#REF!,"AAAAAH3fvq8=")</f>
        <v>#REF!</v>
      </c>
      <c r="FU239" t="e">
        <f>AND(#REF!,"AAAAAH3fvrA=")</f>
        <v>#REF!</v>
      </c>
      <c r="FV239" t="e">
        <f>AND(#REF!,"AAAAAH3fvrE=")</f>
        <v>#REF!</v>
      </c>
      <c r="FW239" t="e">
        <f>AND(#REF!,"AAAAAH3fvrI=")</f>
        <v>#REF!</v>
      </c>
      <c r="FX239" t="e">
        <f>AND(#REF!,"AAAAAH3fvrM=")</f>
        <v>#REF!</v>
      </c>
      <c r="FY239" t="e">
        <f>AND(#REF!,"AAAAAH3fvrQ=")</f>
        <v>#REF!</v>
      </c>
      <c r="FZ239" t="e">
        <f>AND(#REF!,"AAAAAH3fvrU=")</f>
        <v>#REF!</v>
      </c>
      <c r="GA239" t="e">
        <f>IF(#REF!,"AAAAAH3fvrY=",0)</f>
        <v>#REF!</v>
      </c>
      <c r="GB239" t="e">
        <f>AND(#REF!,"AAAAAH3fvrc=")</f>
        <v>#REF!</v>
      </c>
      <c r="GC239" t="e">
        <f>AND(#REF!,"AAAAAH3fvrg=")</f>
        <v>#REF!</v>
      </c>
      <c r="GD239" t="e">
        <f>AND(#REF!,"AAAAAH3fvrk=")</f>
        <v>#REF!</v>
      </c>
      <c r="GE239" t="e">
        <f>AND(#REF!,"AAAAAH3fvro=")</f>
        <v>#REF!</v>
      </c>
      <c r="GF239" t="e">
        <f>AND(#REF!,"AAAAAH3fvrs=")</f>
        <v>#REF!</v>
      </c>
      <c r="GG239" t="e">
        <f>AND(#REF!,"AAAAAH3fvrw=")</f>
        <v>#REF!</v>
      </c>
      <c r="GH239" t="e">
        <f>AND(#REF!,"AAAAAH3fvr0=")</f>
        <v>#REF!</v>
      </c>
      <c r="GI239" t="e">
        <f>AND(#REF!,"AAAAAH3fvr4=")</f>
        <v>#REF!</v>
      </c>
      <c r="GJ239" t="e">
        <f>AND(#REF!,"AAAAAH3fvr8=")</f>
        <v>#REF!</v>
      </c>
      <c r="GK239" t="e">
        <f>AND(#REF!,"AAAAAH3fvsA=")</f>
        <v>#REF!</v>
      </c>
      <c r="GL239" t="e">
        <f>AND(#REF!,"AAAAAH3fvsE=")</f>
        <v>#REF!</v>
      </c>
      <c r="GM239" t="e">
        <f>AND(#REF!,"AAAAAH3fvsI=")</f>
        <v>#REF!</v>
      </c>
      <c r="GN239" t="e">
        <f>AND(#REF!,"AAAAAH3fvsM=")</f>
        <v>#REF!</v>
      </c>
      <c r="GO239" t="e">
        <f>AND(#REF!,"AAAAAH3fvsQ=")</f>
        <v>#REF!</v>
      </c>
      <c r="GP239" t="e">
        <f>AND(#REF!,"AAAAAH3fvsU=")</f>
        <v>#REF!</v>
      </c>
      <c r="GQ239" t="e">
        <f>AND(#REF!,"AAAAAH3fvsY=")</f>
        <v>#REF!</v>
      </c>
      <c r="GR239" t="e">
        <f>AND(#REF!,"AAAAAH3fvsc=")</f>
        <v>#REF!</v>
      </c>
      <c r="GS239" t="e">
        <f>AND(#REF!,"AAAAAH3fvsg=")</f>
        <v>#REF!</v>
      </c>
      <c r="GT239" t="e">
        <f>AND(#REF!,"AAAAAH3fvsk=")</f>
        <v>#REF!</v>
      </c>
      <c r="GU239" t="e">
        <f>AND(#REF!,"AAAAAH3fvso=")</f>
        <v>#REF!</v>
      </c>
      <c r="GV239" t="e">
        <f>AND(#REF!,"AAAAAH3fvss=")</f>
        <v>#REF!</v>
      </c>
      <c r="GW239" t="e">
        <f>AND(#REF!,"AAAAAH3fvsw=")</f>
        <v>#REF!</v>
      </c>
      <c r="GX239" t="e">
        <f>AND(#REF!,"AAAAAH3fvs0=")</f>
        <v>#REF!</v>
      </c>
      <c r="GY239" t="e">
        <f>AND(#REF!,"AAAAAH3fvs4=")</f>
        <v>#REF!</v>
      </c>
      <c r="GZ239" t="e">
        <f>IF(#REF!,"AAAAAH3fvs8=",0)</f>
        <v>#REF!</v>
      </c>
      <c r="HA239" t="e">
        <f>AND(#REF!,"AAAAAH3fvtA=")</f>
        <v>#REF!</v>
      </c>
      <c r="HB239" t="e">
        <f>AND(#REF!,"AAAAAH3fvtE=")</f>
        <v>#REF!</v>
      </c>
      <c r="HC239" t="e">
        <f>AND(#REF!,"AAAAAH3fvtI=")</f>
        <v>#REF!</v>
      </c>
      <c r="HD239" t="e">
        <f>AND(#REF!,"AAAAAH3fvtM=")</f>
        <v>#REF!</v>
      </c>
      <c r="HE239" t="e">
        <f>AND(#REF!,"AAAAAH3fvtQ=")</f>
        <v>#REF!</v>
      </c>
      <c r="HF239" t="e">
        <f>AND(#REF!,"AAAAAH3fvtU=")</f>
        <v>#REF!</v>
      </c>
      <c r="HG239" t="e">
        <f>AND(#REF!,"AAAAAH3fvtY=")</f>
        <v>#REF!</v>
      </c>
      <c r="HH239" t="e">
        <f>AND(#REF!,"AAAAAH3fvtc=")</f>
        <v>#REF!</v>
      </c>
      <c r="HI239" t="e">
        <f>AND(#REF!,"AAAAAH3fvtg=")</f>
        <v>#REF!</v>
      </c>
      <c r="HJ239" t="e">
        <f>AND(#REF!,"AAAAAH3fvtk=")</f>
        <v>#REF!</v>
      </c>
      <c r="HK239" t="e">
        <f>AND(#REF!,"AAAAAH3fvto=")</f>
        <v>#REF!</v>
      </c>
      <c r="HL239" t="e">
        <f>AND(#REF!,"AAAAAH3fvts=")</f>
        <v>#REF!</v>
      </c>
      <c r="HM239" t="e">
        <f>AND(#REF!,"AAAAAH3fvtw=")</f>
        <v>#REF!</v>
      </c>
      <c r="HN239" t="e">
        <f>AND(#REF!,"AAAAAH3fvt0=")</f>
        <v>#REF!</v>
      </c>
      <c r="HO239" t="e">
        <f>AND(#REF!,"AAAAAH3fvt4=")</f>
        <v>#REF!</v>
      </c>
      <c r="HP239" t="e">
        <f>AND(#REF!,"AAAAAH3fvt8=")</f>
        <v>#REF!</v>
      </c>
      <c r="HQ239" t="e">
        <f>AND(#REF!,"AAAAAH3fvuA=")</f>
        <v>#REF!</v>
      </c>
      <c r="HR239" t="e">
        <f>AND(#REF!,"AAAAAH3fvuE=")</f>
        <v>#REF!</v>
      </c>
      <c r="HS239" t="e">
        <f>AND(#REF!,"AAAAAH3fvuI=")</f>
        <v>#REF!</v>
      </c>
      <c r="HT239" t="e">
        <f>AND(#REF!,"AAAAAH3fvuM=")</f>
        <v>#REF!</v>
      </c>
      <c r="HU239" t="e">
        <f>AND(#REF!,"AAAAAH3fvuQ=")</f>
        <v>#REF!</v>
      </c>
      <c r="HV239" t="e">
        <f>AND(#REF!,"AAAAAH3fvuU=")</f>
        <v>#REF!</v>
      </c>
      <c r="HW239" t="e">
        <f>AND(#REF!,"AAAAAH3fvuY=")</f>
        <v>#REF!</v>
      </c>
      <c r="HX239" t="e">
        <f>AND(#REF!,"AAAAAH3fvuc=")</f>
        <v>#REF!</v>
      </c>
      <c r="HY239" t="e">
        <f>IF(#REF!,"AAAAAH3fvug=",0)</f>
        <v>#REF!</v>
      </c>
      <c r="HZ239" t="e">
        <f>AND(#REF!,"AAAAAH3fvuk=")</f>
        <v>#REF!</v>
      </c>
      <c r="IA239" t="e">
        <f>AND(#REF!,"AAAAAH3fvuo=")</f>
        <v>#REF!</v>
      </c>
      <c r="IB239" t="e">
        <f>AND(#REF!,"AAAAAH3fvus=")</f>
        <v>#REF!</v>
      </c>
      <c r="IC239" t="e">
        <f>AND(#REF!,"AAAAAH3fvuw=")</f>
        <v>#REF!</v>
      </c>
      <c r="ID239" t="e">
        <f>AND(#REF!,"AAAAAH3fvu0=")</f>
        <v>#REF!</v>
      </c>
      <c r="IE239" t="e">
        <f>AND(#REF!,"AAAAAH3fvu4=")</f>
        <v>#REF!</v>
      </c>
      <c r="IF239" t="e">
        <f>AND(#REF!,"AAAAAH3fvu8=")</f>
        <v>#REF!</v>
      </c>
      <c r="IG239" t="e">
        <f>AND(#REF!,"AAAAAH3fvvA=")</f>
        <v>#REF!</v>
      </c>
      <c r="IH239" t="e">
        <f>AND(#REF!,"AAAAAH3fvvE=")</f>
        <v>#REF!</v>
      </c>
      <c r="II239" t="e">
        <f>AND(#REF!,"AAAAAH3fvvI=")</f>
        <v>#REF!</v>
      </c>
      <c r="IJ239" t="e">
        <f>AND(#REF!,"AAAAAH3fvvM=")</f>
        <v>#REF!</v>
      </c>
      <c r="IK239" t="e">
        <f>AND(#REF!,"AAAAAH3fvvQ=")</f>
        <v>#REF!</v>
      </c>
      <c r="IL239" t="e">
        <f>AND(#REF!,"AAAAAH3fvvU=")</f>
        <v>#REF!</v>
      </c>
      <c r="IM239" t="e">
        <f>AND(#REF!,"AAAAAH3fvvY=")</f>
        <v>#REF!</v>
      </c>
      <c r="IN239" t="e">
        <f>AND(#REF!,"AAAAAH3fvvc=")</f>
        <v>#REF!</v>
      </c>
      <c r="IO239" t="e">
        <f>AND(#REF!,"AAAAAH3fvvg=")</f>
        <v>#REF!</v>
      </c>
      <c r="IP239" t="e">
        <f>AND(#REF!,"AAAAAH3fvvk=")</f>
        <v>#REF!</v>
      </c>
      <c r="IQ239" t="e">
        <f>AND(#REF!,"AAAAAH3fvvo=")</f>
        <v>#REF!</v>
      </c>
      <c r="IR239" t="e">
        <f>AND(#REF!,"AAAAAH3fvvs=")</f>
        <v>#REF!</v>
      </c>
      <c r="IS239" t="e">
        <f>AND(#REF!,"AAAAAH3fvvw=")</f>
        <v>#REF!</v>
      </c>
      <c r="IT239" t="e">
        <f>AND(#REF!,"AAAAAH3fvv0=")</f>
        <v>#REF!</v>
      </c>
      <c r="IU239" t="e">
        <f>AND(#REF!,"AAAAAH3fvv4=")</f>
        <v>#REF!</v>
      </c>
      <c r="IV239" t="e">
        <f>AND(#REF!,"AAAAAH3fvv8=")</f>
        <v>#REF!</v>
      </c>
    </row>
    <row r="240" spans="1:256">
      <c r="A240" t="e">
        <f>AND(#REF!,"AAAAAH//qwA=")</f>
        <v>#REF!</v>
      </c>
      <c r="B240" t="e">
        <f>IF(#REF!,"AAAAAH//qwE=",0)</f>
        <v>#REF!</v>
      </c>
      <c r="C240" t="e">
        <f>AND(#REF!,"AAAAAH//qwI=")</f>
        <v>#REF!</v>
      </c>
      <c r="D240" t="e">
        <f>AND(#REF!,"AAAAAH//qwM=")</f>
        <v>#REF!</v>
      </c>
      <c r="E240" t="e">
        <f>AND(#REF!,"AAAAAH//qwQ=")</f>
        <v>#REF!</v>
      </c>
      <c r="F240" t="e">
        <f>AND(#REF!,"AAAAAH//qwU=")</f>
        <v>#REF!</v>
      </c>
      <c r="G240" t="e">
        <f>AND(#REF!,"AAAAAH//qwY=")</f>
        <v>#REF!</v>
      </c>
      <c r="H240" t="e">
        <f>AND(#REF!,"AAAAAH//qwc=")</f>
        <v>#REF!</v>
      </c>
      <c r="I240" t="e">
        <f>AND(#REF!,"AAAAAH//qwg=")</f>
        <v>#REF!</v>
      </c>
      <c r="J240" t="e">
        <f>AND(#REF!,"AAAAAH//qwk=")</f>
        <v>#REF!</v>
      </c>
      <c r="K240" t="e">
        <f>AND(#REF!,"AAAAAH//qwo=")</f>
        <v>#REF!</v>
      </c>
      <c r="L240" t="e">
        <f>AND(#REF!,"AAAAAH//qws=")</f>
        <v>#REF!</v>
      </c>
      <c r="M240" t="e">
        <f>AND(#REF!,"AAAAAH//qww=")</f>
        <v>#REF!</v>
      </c>
      <c r="N240" t="e">
        <f>AND(#REF!,"AAAAAH//qw0=")</f>
        <v>#REF!</v>
      </c>
      <c r="O240" t="e">
        <f>AND(#REF!,"AAAAAH//qw4=")</f>
        <v>#REF!</v>
      </c>
      <c r="P240" t="e">
        <f>AND(#REF!,"AAAAAH//qw8=")</f>
        <v>#REF!</v>
      </c>
      <c r="Q240" t="e">
        <f>AND(#REF!,"AAAAAH//qxA=")</f>
        <v>#REF!</v>
      </c>
      <c r="R240" t="e">
        <f>AND(#REF!,"AAAAAH//qxE=")</f>
        <v>#REF!</v>
      </c>
      <c r="S240" t="e">
        <f>AND(#REF!,"AAAAAH//qxI=")</f>
        <v>#REF!</v>
      </c>
      <c r="T240" t="e">
        <f>AND(#REF!,"AAAAAH//qxM=")</f>
        <v>#REF!</v>
      </c>
      <c r="U240" t="e">
        <f>AND(#REF!,"AAAAAH//qxQ=")</f>
        <v>#REF!</v>
      </c>
      <c r="V240" t="e">
        <f>AND(#REF!,"AAAAAH//qxU=")</f>
        <v>#REF!</v>
      </c>
      <c r="W240" t="e">
        <f>AND(#REF!,"AAAAAH//qxY=")</f>
        <v>#REF!</v>
      </c>
      <c r="X240" t="e">
        <f>AND(#REF!,"AAAAAH//qxc=")</f>
        <v>#REF!</v>
      </c>
      <c r="Y240" t="e">
        <f>AND(#REF!,"AAAAAH//qxg=")</f>
        <v>#REF!</v>
      </c>
      <c r="Z240" t="e">
        <f>AND(#REF!,"AAAAAH//qxk=")</f>
        <v>#REF!</v>
      </c>
      <c r="AA240" t="e">
        <f>IF(#REF!,"AAAAAH//qxo=",0)</f>
        <v>#REF!</v>
      </c>
      <c r="AB240" t="e">
        <f>AND(#REF!,"AAAAAH//qxs=")</f>
        <v>#REF!</v>
      </c>
      <c r="AC240" t="e">
        <f>AND(#REF!,"AAAAAH//qxw=")</f>
        <v>#REF!</v>
      </c>
      <c r="AD240" t="e">
        <f>AND(#REF!,"AAAAAH//qx0=")</f>
        <v>#REF!</v>
      </c>
      <c r="AE240" t="e">
        <f>AND(#REF!,"AAAAAH//qx4=")</f>
        <v>#REF!</v>
      </c>
      <c r="AF240" t="e">
        <f>AND(#REF!,"AAAAAH//qx8=")</f>
        <v>#REF!</v>
      </c>
      <c r="AG240" t="e">
        <f>AND(#REF!,"AAAAAH//qyA=")</f>
        <v>#REF!</v>
      </c>
      <c r="AH240" t="e">
        <f>AND(#REF!,"AAAAAH//qyE=")</f>
        <v>#REF!</v>
      </c>
      <c r="AI240" t="e">
        <f>AND(#REF!,"AAAAAH//qyI=")</f>
        <v>#REF!</v>
      </c>
      <c r="AJ240" t="e">
        <f>AND(#REF!,"AAAAAH//qyM=")</f>
        <v>#REF!</v>
      </c>
      <c r="AK240" t="e">
        <f>AND(#REF!,"AAAAAH//qyQ=")</f>
        <v>#REF!</v>
      </c>
      <c r="AL240" t="e">
        <f>AND(#REF!,"AAAAAH//qyU=")</f>
        <v>#REF!</v>
      </c>
      <c r="AM240" t="e">
        <f>AND(#REF!,"AAAAAH//qyY=")</f>
        <v>#REF!</v>
      </c>
      <c r="AN240" t="e">
        <f>AND(#REF!,"AAAAAH//qyc=")</f>
        <v>#REF!</v>
      </c>
      <c r="AO240" t="e">
        <f>AND(#REF!,"AAAAAH//qyg=")</f>
        <v>#REF!</v>
      </c>
      <c r="AP240" t="e">
        <f>AND(#REF!,"AAAAAH//qyk=")</f>
        <v>#REF!</v>
      </c>
      <c r="AQ240" t="e">
        <f>AND(#REF!,"AAAAAH//qyo=")</f>
        <v>#REF!</v>
      </c>
      <c r="AR240" t="e">
        <f>AND(#REF!,"AAAAAH//qys=")</f>
        <v>#REF!</v>
      </c>
      <c r="AS240" t="e">
        <f>AND(#REF!,"AAAAAH//qyw=")</f>
        <v>#REF!</v>
      </c>
      <c r="AT240" t="e">
        <f>AND(#REF!,"AAAAAH//qy0=")</f>
        <v>#REF!</v>
      </c>
      <c r="AU240" t="e">
        <f>AND(#REF!,"AAAAAH//qy4=")</f>
        <v>#REF!</v>
      </c>
      <c r="AV240" t="e">
        <f>AND(#REF!,"AAAAAH//qy8=")</f>
        <v>#REF!</v>
      </c>
      <c r="AW240" t="e">
        <f>AND(#REF!,"AAAAAH//qzA=")</f>
        <v>#REF!</v>
      </c>
      <c r="AX240" t="e">
        <f>AND(#REF!,"AAAAAH//qzE=")</f>
        <v>#REF!</v>
      </c>
      <c r="AY240" t="e">
        <f>AND(#REF!,"AAAAAH//qzI=")</f>
        <v>#REF!</v>
      </c>
      <c r="AZ240" t="e">
        <f>IF(#REF!,"AAAAAH//qzM=",0)</f>
        <v>#REF!</v>
      </c>
      <c r="BA240" t="e">
        <f>AND(#REF!,"AAAAAH//qzQ=")</f>
        <v>#REF!</v>
      </c>
      <c r="BB240" t="e">
        <f>AND(#REF!,"AAAAAH//qzU=")</f>
        <v>#REF!</v>
      </c>
      <c r="BC240" t="e">
        <f>AND(#REF!,"AAAAAH//qzY=")</f>
        <v>#REF!</v>
      </c>
      <c r="BD240" t="e">
        <f>AND(#REF!,"AAAAAH//qzc=")</f>
        <v>#REF!</v>
      </c>
      <c r="BE240" t="e">
        <f>AND(#REF!,"AAAAAH//qzg=")</f>
        <v>#REF!</v>
      </c>
      <c r="BF240" t="e">
        <f>AND(#REF!,"AAAAAH//qzk=")</f>
        <v>#REF!</v>
      </c>
      <c r="BG240" t="e">
        <f>AND(#REF!,"AAAAAH//qzo=")</f>
        <v>#REF!</v>
      </c>
      <c r="BH240" t="e">
        <f>AND(#REF!,"AAAAAH//qzs=")</f>
        <v>#REF!</v>
      </c>
      <c r="BI240" t="e">
        <f>AND(#REF!,"AAAAAH//qzw=")</f>
        <v>#REF!</v>
      </c>
      <c r="BJ240" t="e">
        <f>AND(#REF!,"AAAAAH//qz0=")</f>
        <v>#REF!</v>
      </c>
      <c r="BK240" t="e">
        <f>AND(#REF!,"AAAAAH//qz4=")</f>
        <v>#REF!</v>
      </c>
      <c r="BL240" t="e">
        <f>AND(#REF!,"AAAAAH//qz8=")</f>
        <v>#REF!</v>
      </c>
      <c r="BM240" t="e">
        <f>AND(#REF!,"AAAAAH//q0A=")</f>
        <v>#REF!</v>
      </c>
      <c r="BN240" t="e">
        <f>AND(#REF!,"AAAAAH//q0E=")</f>
        <v>#REF!</v>
      </c>
      <c r="BO240" t="e">
        <f>AND(#REF!,"AAAAAH//q0I=")</f>
        <v>#REF!</v>
      </c>
      <c r="BP240" t="e">
        <f>AND(#REF!,"AAAAAH//q0M=")</f>
        <v>#REF!</v>
      </c>
      <c r="BQ240" t="e">
        <f>AND(#REF!,"AAAAAH//q0Q=")</f>
        <v>#REF!</v>
      </c>
      <c r="BR240" t="e">
        <f>AND(#REF!,"AAAAAH//q0U=")</f>
        <v>#REF!</v>
      </c>
      <c r="BS240" t="e">
        <f>AND(#REF!,"AAAAAH//q0Y=")</f>
        <v>#REF!</v>
      </c>
      <c r="BT240" t="e">
        <f>AND(#REF!,"AAAAAH//q0c=")</f>
        <v>#REF!</v>
      </c>
      <c r="BU240" t="e">
        <f>AND(#REF!,"AAAAAH//q0g=")</f>
        <v>#REF!</v>
      </c>
      <c r="BV240" t="e">
        <f>AND(#REF!,"AAAAAH//q0k=")</f>
        <v>#REF!</v>
      </c>
      <c r="BW240" t="e">
        <f>AND(#REF!,"AAAAAH//q0o=")</f>
        <v>#REF!</v>
      </c>
      <c r="BX240" t="e">
        <f>AND(#REF!,"AAAAAH//q0s=")</f>
        <v>#REF!</v>
      </c>
      <c r="BY240" t="e">
        <f>IF(#REF!,"AAAAAH//q0w=",0)</f>
        <v>#REF!</v>
      </c>
      <c r="BZ240" t="e">
        <f>AND(#REF!,"AAAAAH//q00=")</f>
        <v>#REF!</v>
      </c>
      <c r="CA240" t="e">
        <f>AND(#REF!,"AAAAAH//q04=")</f>
        <v>#REF!</v>
      </c>
      <c r="CB240" t="e">
        <f>AND(#REF!,"AAAAAH//q08=")</f>
        <v>#REF!</v>
      </c>
      <c r="CC240" t="e">
        <f>AND(#REF!,"AAAAAH//q1A=")</f>
        <v>#REF!</v>
      </c>
      <c r="CD240" t="e">
        <f>AND(#REF!,"AAAAAH//q1E=")</f>
        <v>#REF!</v>
      </c>
      <c r="CE240" t="e">
        <f>AND(#REF!,"AAAAAH//q1I=")</f>
        <v>#REF!</v>
      </c>
      <c r="CF240" t="e">
        <f>AND(#REF!,"AAAAAH//q1M=")</f>
        <v>#REF!</v>
      </c>
      <c r="CG240" t="e">
        <f>AND(#REF!,"AAAAAH//q1Q=")</f>
        <v>#REF!</v>
      </c>
      <c r="CH240" t="e">
        <f>AND(#REF!,"AAAAAH//q1U=")</f>
        <v>#REF!</v>
      </c>
      <c r="CI240" t="e">
        <f>AND(#REF!,"AAAAAH//q1Y=")</f>
        <v>#REF!</v>
      </c>
      <c r="CJ240" t="e">
        <f>AND(#REF!,"AAAAAH//q1c=")</f>
        <v>#REF!</v>
      </c>
      <c r="CK240" t="e">
        <f>AND(#REF!,"AAAAAH//q1g=")</f>
        <v>#REF!</v>
      </c>
      <c r="CL240" t="e">
        <f>AND(#REF!,"AAAAAH//q1k=")</f>
        <v>#REF!</v>
      </c>
      <c r="CM240" t="e">
        <f>AND(#REF!,"AAAAAH//q1o=")</f>
        <v>#REF!</v>
      </c>
      <c r="CN240" t="e">
        <f>AND(#REF!,"AAAAAH//q1s=")</f>
        <v>#REF!</v>
      </c>
      <c r="CO240" t="e">
        <f>AND(#REF!,"AAAAAH//q1w=")</f>
        <v>#REF!</v>
      </c>
      <c r="CP240" t="e">
        <f>AND(#REF!,"AAAAAH//q10=")</f>
        <v>#REF!</v>
      </c>
      <c r="CQ240" t="e">
        <f>AND(#REF!,"AAAAAH//q14=")</f>
        <v>#REF!</v>
      </c>
      <c r="CR240" t="e">
        <f>AND(#REF!,"AAAAAH//q18=")</f>
        <v>#REF!</v>
      </c>
      <c r="CS240" t="e">
        <f>AND(#REF!,"AAAAAH//q2A=")</f>
        <v>#REF!</v>
      </c>
      <c r="CT240" t="e">
        <f>AND(#REF!,"AAAAAH//q2E=")</f>
        <v>#REF!</v>
      </c>
      <c r="CU240" t="e">
        <f>AND(#REF!,"AAAAAH//q2I=")</f>
        <v>#REF!</v>
      </c>
      <c r="CV240" t="e">
        <f>AND(#REF!,"AAAAAH//q2M=")</f>
        <v>#REF!</v>
      </c>
      <c r="CW240" t="e">
        <f>AND(#REF!,"AAAAAH//q2Q=")</f>
        <v>#REF!</v>
      </c>
      <c r="CX240" t="e">
        <f>IF(#REF!,"AAAAAH//q2U=",0)</f>
        <v>#REF!</v>
      </c>
      <c r="CY240" t="e">
        <f>AND(#REF!,"AAAAAH//q2Y=")</f>
        <v>#REF!</v>
      </c>
      <c r="CZ240" t="e">
        <f>AND(#REF!,"AAAAAH//q2c=")</f>
        <v>#REF!</v>
      </c>
      <c r="DA240" t="e">
        <f>AND(#REF!,"AAAAAH//q2g=")</f>
        <v>#REF!</v>
      </c>
      <c r="DB240" t="e">
        <f>AND(#REF!,"AAAAAH//q2k=")</f>
        <v>#REF!</v>
      </c>
      <c r="DC240" t="e">
        <f>AND(#REF!,"AAAAAH//q2o=")</f>
        <v>#REF!</v>
      </c>
      <c r="DD240" t="e">
        <f>AND(#REF!,"AAAAAH//q2s=")</f>
        <v>#REF!</v>
      </c>
      <c r="DE240" t="e">
        <f>AND(#REF!,"AAAAAH//q2w=")</f>
        <v>#REF!</v>
      </c>
      <c r="DF240" t="e">
        <f>AND(#REF!,"AAAAAH//q20=")</f>
        <v>#REF!</v>
      </c>
      <c r="DG240" t="e">
        <f>AND(#REF!,"AAAAAH//q24=")</f>
        <v>#REF!</v>
      </c>
      <c r="DH240" t="e">
        <f>AND(#REF!,"AAAAAH//q28=")</f>
        <v>#REF!</v>
      </c>
      <c r="DI240" t="e">
        <f>AND(#REF!,"AAAAAH//q3A=")</f>
        <v>#REF!</v>
      </c>
      <c r="DJ240" t="e">
        <f>AND(#REF!,"AAAAAH//q3E=")</f>
        <v>#REF!</v>
      </c>
      <c r="DK240" t="e">
        <f>AND(#REF!,"AAAAAH//q3I=")</f>
        <v>#REF!</v>
      </c>
      <c r="DL240" t="e">
        <f>AND(#REF!,"AAAAAH//q3M=")</f>
        <v>#REF!</v>
      </c>
      <c r="DM240" t="e">
        <f>AND(#REF!,"AAAAAH//q3Q=")</f>
        <v>#REF!</v>
      </c>
      <c r="DN240" t="e">
        <f>AND(#REF!,"AAAAAH//q3U=")</f>
        <v>#REF!</v>
      </c>
      <c r="DO240" t="e">
        <f>AND(#REF!,"AAAAAH//q3Y=")</f>
        <v>#REF!</v>
      </c>
      <c r="DP240" t="e">
        <f>AND(#REF!,"AAAAAH//q3c=")</f>
        <v>#REF!</v>
      </c>
      <c r="DQ240" t="e">
        <f>AND(#REF!,"AAAAAH//q3g=")</f>
        <v>#REF!</v>
      </c>
      <c r="DR240" t="e">
        <f>AND(#REF!,"AAAAAH//q3k=")</f>
        <v>#REF!</v>
      </c>
      <c r="DS240" t="e">
        <f>AND(#REF!,"AAAAAH//q3o=")</f>
        <v>#REF!</v>
      </c>
      <c r="DT240" t="e">
        <f>AND(#REF!,"AAAAAH//q3s=")</f>
        <v>#REF!</v>
      </c>
      <c r="DU240" t="e">
        <f>AND(#REF!,"AAAAAH//q3w=")</f>
        <v>#REF!</v>
      </c>
      <c r="DV240" t="e">
        <f>AND(#REF!,"AAAAAH//q30=")</f>
        <v>#REF!</v>
      </c>
      <c r="DW240" t="e">
        <f>IF(#REF!,"AAAAAH//q34=",0)</f>
        <v>#REF!</v>
      </c>
      <c r="DX240" t="e">
        <f>AND(#REF!,"AAAAAH//q38=")</f>
        <v>#REF!</v>
      </c>
      <c r="DY240" t="e">
        <f>AND(#REF!,"AAAAAH//q4A=")</f>
        <v>#REF!</v>
      </c>
      <c r="DZ240" t="e">
        <f>AND(#REF!,"AAAAAH//q4E=")</f>
        <v>#REF!</v>
      </c>
      <c r="EA240" t="e">
        <f>AND(#REF!,"AAAAAH//q4I=")</f>
        <v>#REF!</v>
      </c>
      <c r="EB240" t="e">
        <f>AND(#REF!,"AAAAAH//q4M=")</f>
        <v>#REF!</v>
      </c>
      <c r="EC240" t="e">
        <f>AND(#REF!,"AAAAAH//q4Q=")</f>
        <v>#REF!</v>
      </c>
      <c r="ED240" t="e">
        <f>AND(#REF!,"AAAAAH//q4U=")</f>
        <v>#REF!</v>
      </c>
      <c r="EE240" t="e">
        <f>AND(#REF!,"AAAAAH//q4Y=")</f>
        <v>#REF!</v>
      </c>
      <c r="EF240" t="e">
        <f>AND(#REF!,"AAAAAH//q4c=")</f>
        <v>#REF!</v>
      </c>
      <c r="EG240" t="e">
        <f>AND(#REF!,"AAAAAH//q4g=")</f>
        <v>#REF!</v>
      </c>
      <c r="EH240" t="e">
        <f>AND(#REF!,"AAAAAH//q4k=")</f>
        <v>#REF!</v>
      </c>
      <c r="EI240" t="e">
        <f>AND(#REF!,"AAAAAH//q4o=")</f>
        <v>#REF!</v>
      </c>
      <c r="EJ240" t="e">
        <f>AND(#REF!,"AAAAAH//q4s=")</f>
        <v>#REF!</v>
      </c>
      <c r="EK240" t="e">
        <f>AND(#REF!,"AAAAAH//q4w=")</f>
        <v>#REF!</v>
      </c>
      <c r="EL240" t="e">
        <f>AND(#REF!,"AAAAAH//q40=")</f>
        <v>#REF!</v>
      </c>
      <c r="EM240" t="e">
        <f>AND(#REF!,"AAAAAH//q44=")</f>
        <v>#REF!</v>
      </c>
      <c r="EN240" t="e">
        <f>AND(#REF!,"AAAAAH//q48=")</f>
        <v>#REF!</v>
      </c>
      <c r="EO240" t="e">
        <f>AND(#REF!,"AAAAAH//q5A=")</f>
        <v>#REF!</v>
      </c>
      <c r="EP240" t="e">
        <f>AND(#REF!,"AAAAAH//q5E=")</f>
        <v>#REF!</v>
      </c>
      <c r="EQ240" t="e">
        <f>AND(#REF!,"AAAAAH//q5I=")</f>
        <v>#REF!</v>
      </c>
      <c r="ER240" t="e">
        <f>AND(#REF!,"AAAAAH//q5M=")</f>
        <v>#REF!</v>
      </c>
      <c r="ES240" t="e">
        <f>AND(#REF!,"AAAAAH//q5Q=")</f>
        <v>#REF!</v>
      </c>
      <c r="ET240" t="e">
        <f>AND(#REF!,"AAAAAH//q5U=")</f>
        <v>#REF!</v>
      </c>
      <c r="EU240" t="e">
        <f>AND(#REF!,"AAAAAH//q5Y=")</f>
        <v>#REF!</v>
      </c>
      <c r="EV240" t="e">
        <f>IF(#REF!,"AAAAAH//q5c=",0)</f>
        <v>#REF!</v>
      </c>
      <c r="EW240" t="e">
        <f>AND(#REF!,"AAAAAH//q5g=")</f>
        <v>#REF!</v>
      </c>
      <c r="EX240" t="e">
        <f>AND(#REF!,"AAAAAH//q5k=")</f>
        <v>#REF!</v>
      </c>
      <c r="EY240" t="e">
        <f>AND(#REF!,"AAAAAH//q5o=")</f>
        <v>#REF!</v>
      </c>
      <c r="EZ240" t="e">
        <f>AND(#REF!,"AAAAAH//q5s=")</f>
        <v>#REF!</v>
      </c>
      <c r="FA240" t="e">
        <f>AND(#REF!,"AAAAAH//q5w=")</f>
        <v>#REF!</v>
      </c>
      <c r="FB240" t="e">
        <f>AND(#REF!,"AAAAAH//q50=")</f>
        <v>#REF!</v>
      </c>
      <c r="FC240" t="e">
        <f>AND(#REF!,"AAAAAH//q54=")</f>
        <v>#REF!</v>
      </c>
      <c r="FD240" t="e">
        <f>AND(#REF!,"AAAAAH//q58=")</f>
        <v>#REF!</v>
      </c>
      <c r="FE240" t="e">
        <f>AND(#REF!,"AAAAAH//q6A=")</f>
        <v>#REF!</v>
      </c>
      <c r="FF240" t="e">
        <f>AND(#REF!,"AAAAAH//q6E=")</f>
        <v>#REF!</v>
      </c>
      <c r="FG240" t="e">
        <f>AND(#REF!,"AAAAAH//q6I=")</f>
        <v>#REF!</v>
      </c>
      <c r="FH240" t="e">
        <f>AND(#REF!,"AAAAAH//q6M=")</f>
        <v>#REF!</v>
      </c>
      <c r="FI240" t="e">
        <f>AND(#REF!,"AAAAAH//q6Q=")</f>
        <v>#REF!</v>
      </c>
      <c r="FJ240" t="e">
        <f>AND(#REF!,"AAAAAH//q6U=")</f>
        <v>#REF!</v>
      </c>
      <c r="FK240" t="e">
        <f>AND(#REF!,"AAAAAH//q6Y=")</f>
        <v>#REF!</v>
      </c>
      <c r="FL240" t="e">
        <f>AND(#REF!,"AAAAAH//q6c=")</f>
        <v>#REF!</v>
      </c>
      <c r="FM240" t="e">
        <f>AND(#REF!,"AAAAAH//q6g=")</f>
        <v>#REF!</v>
      </c>
      <c r="FN240" t="e">
        <f>AND(#REF!,"AAAAAH//q6k=")</f>
        <v>#REF!</v>
      </c>
      <c r="FO240" t="e">
        <f>AND(#REF!,"AAAAAH//q6o=")</f>
        <v>#REF!</v>
      </c>
      <c r="FP240" t="e">
        <f>AND(#REF!,"AAAAAH//q6s=")</f>
        <v>#REF!</v>
      </c>
      <c r="FQ240" t="e">
        <f>AND(#REF!,"AAAAAH//q6w=")</f>
        <v>#REF!</v>
      </c>
      <c r="FR240" t="e">
        <f>AND(#REF!,"AAAAAH//q60=")</f>
        <v>#REF!</v>
      </c>
      <c r="FS240" t="e">
        <f>AND(#REF!,"AAAAAH//q64=")</f>
        <v>#REF!</v>
      </c>
      <c r="FT240" t="e">
        <f>AND(#REF!,"AAAAAH//q68=")</f>
        <v>#REF!</v>
      </c>
      <c r="FU240" t="e">
        <f>IF(#REF!,"AAAAAH//q7A=",0)</f>
        <v>#REF!</v>
      </c>
      <c r="FV240" t="e">
        <f>AND(#REF!,"AAAAAH//q7E=")</f>
        <v>#REF!</v>
      </c>
      <c r="FW240" t="e">
        <f>AND(#REF!,"AAAAAH//q7I=")</f>
        <v>#REF!</v>
      </c>
      <c r="FX240" t="e">
        <f>AND(#REF!,"AAAAAH//q7M=")</f>
        <v>#REF!</v>
      </c>
      <c r="FY240" t="e">
        <f>AND(#REF!,"AAAAAH//q7Q=")</f>
        <v>#REF!</v>
      </c>
      <c r="FZ240" t="e">
        <f>AND(#REF!,"AAAAAH//q7U=")</f>
        <v>#REF!</v>
      </c>
      <c r="GA240" t="e">
        <f>AND(#REF!,"AAAAAH//q7Y=")</f>
        <v>#REF!</v>
      </c>
      <c r="GB240" t="e">
        <f>AND(#REF!,"AAAAAH//q7c=")</f>
        <v>#REF!</v>
      </c>
      <c r="GC240" t="e">
        <f>AND(#REF!,"AAAAAH//q7g=")</f>
        <v>#REF!</v>
      </c>
      <c r="GD240" t="e">
        <f>AND(#REF!,"AAAAAH//q7k=")</f>
        <v>#REF!</v>
      </c>
      <c r="GE240" t="e">
        <f>AND(#REF!,"AAAAAH//q7o=")</f>
        <v>#REF!</v>
      </c>
      <c r="GF240" t="e">
        <f>AND(#REF!,"AAAAAH//q7s=")</f>
        <v>#REF!</v>
      </c>
      <c r="GG240" t="e">
        <f>AND(#REF!,"AAAAAH//q7w=")</f>
        <v>#REF!</v>
      </c>
      <c r="GH240" t="e">
        <f>AND(#REF!,"AAAAAH//q70=")</f>
        <v>#REF!</v>
      </c>
      <c r="GI240" t="e">
        <f>AND(#REF!,"AAAAAH//q74=")</f>
        <v>#REF!</v>
      </c>
      <c r="GJ240" t="e">
        <f>AND(#REF!,"AAAAAH//q78=")</f>
        <v>#REF!</v>
      </c>
      <c r="GK240" t="e">
        <f>AND(#REF!,"AAAAAH//q8A=")</f>
        <v>#REF!</v>
      </c>
      <c r="GL240" t="e">
        <f>AND(#REF!,"AAAAAH//q8E=")</f>
        <v>#REF!</v>
      </c>
      <c r="GM240" t="e">
        <f>AND(#REF!,"AAAAAH//q8I=")</f>
        <v>#REF!</v>
      </c>
      <c r="GN240" t="e">
        <f>AND(#REF!,"AAAAAH//q8M=")</f>
        <v>#REF!</v>
      </c>
      <c r="GO240" t="e">
        <f>AND(#REF!,"AAAAAH//q8Q=")</f>
        <v>#REF!</v>
      </c>
      <c r="GP240" t="e">
        <f>AND(#REF!,"AAAAAH//q8U=")</f>
        <v>#REF!</v>
      </c>
      <c r="GQ240" t="e">
        <f>AND(#REF!,"AAAAAH//q8Y=")</f>
        <v>#REF!</v>
      </c>
      <c r="GR240" t="e">
        <f>AND(#REF!,"AAAAAH//q8c=")</f>
        <v>#REF!</v>
      </c>
      <c r="GS240" t="e">
        <f>AND(#REF!,"AAAAAH//q8g=")</f>
        <v>#REF!</v>
      </c>
      <c r="GT240" t="e">
        <f>IF(#REF!,"AAAAAH//q8k=",0)</f>
        <v>#REF!</v>
      </c>
      <c r="GU240" t="e">
        <f>AND(#REF!,"AAAAAH//q8o=")</f>
        <v>#REF!</v>
      </c>
      <c r="GV240" t="e">
        <f>AND(#REF!,"AAAAAH//q8s=")</f>
        <v>#REF!</v>
      </c>
      <c r="GW240" t="e">
        <f>AND(#REF!,"AAAAAH//q8w=")</f>
        <v>#REF!</v>
      </c>
      <c r="GX240" t="e">
        <f>AND(#REF!,"AAAAAH//q80=")</f>
        <v>#REF!</v>
      </c>
      <c r="GY240" t="e">
        <f>AND(#REF!,"AAAAAH//q84=")</f>
        <v>#REF!</v>
      </c>
      <c r="GZ240" t="e">
        <f>AND(#REF!,"AAAAAH//q88=")</f>
        <v>#REF!</v>
      </c>
      <c r="HA240" t="e">
        <f>AND(#REF!,"AAAAAH//q9A=")</f>
        <v>#REF!</v>
      </c>
      <c r="HB240" t="e">
        <f>AND(#REF!,"AAAAAH//q9E=")</f>
        <v>#REF!</v>
      </c>
      <c r="HC240" t="e">
        <f>AND(#REF!,"AAAAAH//q9I=")</f>
        <v>#REF!</v>
      </c>
      <c r="HD240" t="e">
        <f>AND(#REF!,"AAAAAH//q9M=")</f>
        <v>#REF!</v>
      </c>
      <c r="HE240" t="e">
        <f>AND(#REF!,"AAAAAH//q9Q=")</f>
        <v>#REF!</v>
      </c>
      <c r="HF240" t="e">
        <f>AND(#REF!,"AAAAAH//q9U=")</f>
        <v>#REF!</v>
      </c>
      <c r="HG240" t="e">
        <f>AND(#REF!,"AAAAAH//q9Y=")</f>
        <v>#REF!</v>
      </c>
      <c r="HH240" t="e">
        <f>AND(#REF!,"AAAAAH//q9c=")</f>
        <v>#REF!</v>
      </c>
      <c r="HI240" t="e">
        <f>AND(#REF!,"AAAAAH//q9g=")</f>
        <v>#REF!</v>
      </c>
      <c r="HJ240" t="e">
        <f>AND(#REF!,"AAAAAH//q9k=")</f>
        <v>#REF!</v>
      </c>
      <c r="HK240" t="e">
        <f>AND(#REF!,"AAAAAH//q9o=")</f>
        <v>#REF!</v>
      </c>
      <c r="HL240" t="e">
        <f>AND(#REF!,"AAAAAH//q9s=")</f>
        <v>#REF!</v>
      </c>
      <c r="HM240" t="e">
        <f>AND(#REF!,"AAAAAH//q9w=")</f>
        <v>#REF!</v>
      </c>
      <c r="HN240" t="e">
        <f>AND(#REF!,"AAAAAH//q90=")</f>
        <v>#REF!</v>
      </c>
      <c r="HO240" t="e">
        <f>AND(#REF!,"AAAAAH//q94=")</f>
        <v>#REF!</v>
      </c>
      <c r="HP240" t="e">
        <f>AND(#REF!,"AAAAAH//q98=")</f>
        <v>#REF!</v>
      </c>
      <c r="HQ240" t="e">
        <f>AND(#REF!,"AAAAAH//q+A=")</f>
        <v>#REF!</v>
      </c>
      <c r="HR240" t="e">
        <f>AND(#REF!,"AAAAAH//q+E=")</f>
        <v>#REF!</v>
      </c>
      <c r="HS240" t="e">
        <f>IF(#REF!,"AAAAAH//q+I=",0)</f>
        <v>#REF!</v>
      </c>
      <c r="HT240" t="e">
        <f>AND(#REF!,"AAAAAH//q+M=")</f>
        <v>#REF!</v>
      </c>
      <c r="HU240" t="e">
        <f>AND(#REF!,"AAAAAH//q+Q=")</f>
        <v>#REF!</v>
      </c>
      <c r="HV240" t="e">
        <f>AND(#REF!,"AAAAAH//q+U=")</f>
        <v>#REF!</v>
      </c>
      <c r="HW240" t="e">
        <f>AND(#REF!,"AAAAAH//q+Y=")</f>
        <v>#REF!</v>
      </c>
      <c r="HX240" t="e">
        <f>AND(#REF!,"AAAAAH//q+c=")</f>
        <v>#REF!</v>
      </c>
      <c r="HY240" t="e">
        <f>AND(#REF!,"AAAAAH//q+g=")</f>
        <v>#REF!</v>
      </c>
      <c r="HZ240" t="e">
        <f>AND(#REF!,"AAAAAH//q+k=")</f>
        <v>#REF!</v>
      </c>
      <c r="IA240" t="e">
        <f>AND(#REF!,"AAAAAH//q+o=")</f>
        <v>#REF!</v>
      </c>
      <c r="IB240" t="e">
        <f>AND(#REF!,"AAAAAH//q+s=")</f>
        <v>#REF!</v>
      </c>
      <c r="IC240" t="e">
        <f>AND(#REF!,"AAAAAH//q+w=")</f>
        <v>#REF!</v>
      </c>
      <c r="ID240" t="e">
        <f>AND(#REF!,"AAAAAH//q+0=")</f>
        <v>#REF!</v>
      </c>
      <c r="IE240" t="e">
        <f>AND(#REF!,"AAAAAH//q+4=")</f>
        <v>#REF!</v>
      </c>
      <c r="IF240" t="e">
        <f>AND(#REF!,"AAAAAH//q+8=")</f>
        <v>#REF!</v>
      </c>
      <c r="IG240" t="e">
        <f>AND(#REF!,"AAAAAH//q/A=")</f>
        <v>#REF!</v>
      </c>
      <c r="IH240" t="e">
        <f>AND(#REF!,"AAAAAH//q/E=")</f>
        <v>#REF!</v>
      </c>
      <c r="II240" t="e">
        <f>AND(#REF!,"AAAAAH//q/I=")</f>
        <v>#REF!</v>
      </c>
      <c r="IJ240" t="e">
        <f>AND(#REF!,"AAAAAH//q/M=")</f>
        <v>#REF!</v>
      </c>
      <c r="IK240" t="e">
        <f>AND(#REF!,"AAAAAH//q/Q=")</f>
        <v>#REF!</v>
      </c>
      <c r="IL240" t="e">
        <f>AND(#REF!,"AAAAAH//q/U=")</f>
        <v>#REF!</v>
      </c>
      <c r="IM240" t="e">
        <f>AND(#REF!,"AAAAAH//q/Y=")</f>
        <v>#REF!</v>
      </c>
      <c r="IN240" t="e">
        <f>AND(#REF!,"AAAAAH//q/c=")</f>
        <v>#REF!</v>
      </c>
      <c r="IO240" t="e">
        <f>AND(#REF!,"AAAAAH//q/g=")</f>
        <v>#REF!</v>
      </c>
      <c r="IP240" t="e">
        <f>AND(#REF!,"AAAAAH//q/k=")</f>
        <v>#REF!</v>
      </c>
      <c r="IQ240" t="e">
        <f>AND(#REF!,"AAAAAH//q/o=")</f>
        <v>#REF!</v>
      </c>
      <c r="IR240" t="e">
        <f>IF(#REF!,"AAAAAH//q/s=",0)</f>
        <v>#REF!</v>
      </c>
      <c r="IS240" t="e">
        <f>AND(#REF!,"AAAAAH//q/w=")</f>
        <v>#REF!</v>
      </c>
      <c r="IT240" t="e">
        <f>AND(#REF!,"AAAAAH//q/0=")</f>
        <v>#REF!</v>
      </c>
      <c r="IU240" t="e">
        <f>AND(#REF!,"AAAAAH//q/4=")</f>
        <v>#REF!</v>
      </c>
      <c r="IV240" t="e">
        <f>AND(#REF!,"AAAAAH//q/8=")</f>
        <v>#REF!</v>
      </c>
    </row>
    <row r="241" spans="1:256">
      <c r="A241" t="e">
        <f>AND(#REF!,"AAAAAHkfXgA=")</f>
        <v>#REF!</v>
      </c>
      <c r="B241" t="e">
        <f>AND(#REF!,"AAAAAHkfXgE=")</f>
        <v>#REF!</v>
      </c>
      <c r="C241" t="e">
        <f>AND(#REF!,"AAAAAHkfXgI=")</f>
        <v>#REF!</v>
      </c>
      <c r="D241" t="e">
        <f>AND(#REF!,"AAAAAHkfXgM=")</f>
        <v>#REF!</v>
      </c>
      <c r="E241" t="e">
        <f>AND(#REF!,"AAAAAHkfXgQ=")</f>
        <v>#REF!</v>
      </c>
      <c r="F241" t="e">
        <f>AND(#REF!,"AAAAAHkfXgU=")</f>
        <v>#REF!</v>
      </c>
      <c r="G241" t="e">
        <f>AND(#REF!,"AAAAAHkfXgY=")</f>
        <v>#REF!</v>
      </c>
      <c r="H241" t="e">
        <f>AND(#REF!,"AAAAAHkfXgc=")</f>
        <v>#REF!</v>
      </c>
      <c r="I241" t="e">
        <f>AND(#REF!,"AAAAAHkfXgg=")</f>
        <v>#REF!</v>
      </c>
      <c r="J241" t="e">
        <f>AND(#REF!,"AAAAAHkfXgk=")</f>
        <v>#REF!</v>
      </c>
      <c r="K241" t="e">
        <f>AND(#REF!,"AAAAAHkfXgo=")</f>
        <v>#REF!</v>
      </c>
      <c r="L241" t="e">
        <f>AND(#REF!,"AAAAAHkfXgs=")</f>
        <v>#REF!</v>
      </c>
      <c r="M241" t="e">
        <f>AND(#REF!,"AAAAAHkfXgw=")</f>
        <v>#REF!</v>
      </c>
      <c r="N241" t="e">
        <f>AND(#REF!,"AAAAAHkfXg0=")</f>
        <v>#REF!</v>
      </c>
      <c r="O241" t="e">
        <f>AND(#REF!,"AAAAAHkfXg4=")</f>
        <v>#REF!</v>
      </c>
      <c r="P241" t="e">
        <f>AND(#REF!,"AAAAAHkfXg8=")</f>
        <v>#REF!</v>
      </c>
      <c r="Q241" t="e">
        <f>AND(#REF!,"AAAAAHkfXhA=")</f>
        <v>#REF!</v>
      </c>
      <c r="R241" t="e">
        <f>AND(#REF!,"AAAAAHkfXhE=")</f>
        <v>#REF!</v>
      </c>
      <c r="S241" t="e">
        <f>AND(#REF!,"AAAAAHkfXhI=")</f>
        <v>#REF!</v>
      </c>
      <c r="T241" t="e">
        <f>AND(#REF!,"AAAAAHkfXhM=")</f>
        <v>#REF!</v>
      </c>
      <c r="U241" t="e">
        <f>IF(#REF!,"AAAAAHkfXhQ=",0)</f>
        <v>#REF!</v>
      </c>
      <c r="V241" t="e">
        <f>AND(#REF!,"AAAAAHkfXhU=")</f>
        <v>#REF!</v>
      </c>
      <c r="W241" t="e">
        <f>AND(#REF!,"AAAAAHkfXhY=")</f>
        <v>#REF!</v>
      </c>
      <c r="X241" t="e">
        <f>AND(#REF!,"AAAAAHkfXhc=")</f>
        <v>#REF!</v>
      </c>
      <c r="Y241" t="e">
        <f>AND(#REF!,"AAAAAHkfXhg=")</f>
        <v>#REF!</v>
      </c>
      <c r="Z241" t="e">
        <f>AND(#REF!,"AAAAAHkfXhk=")</f>
        <v>#REF!</v>
      </c>
      <c r="AA241" t="e">
        <f>AND(#REF!,"AAAAAHkfXho=")</f>
        <v>#REF!</v>
      </c>
      <c r="AB241" t="e">
        <f>AND(#REF!,"AAAAAHkfXhs=")</f>
        <v>#REF!</v>
      </c>
      <c r="AC241" t="e">
        <f>AND(#REF!,"AAAAAHkfXhw=")</f>
        <v>#REF!</v>
      </c>
      <c r="AD241" t="e">
        <f>AND(#REF!,"AAAAAHkfXh0=")</f>
        <v>#REF!</v>
      </c>
      <c r="AE241" t="e">
        <f>AND(#REF!,"AAAAAHkfXh4=")</f>
        <v>#REF!</v>
      </c>
      <c r="AF241" t="e">
        <f>AND(#REF!,"AAAAAHkfXh8=")</f>
        <v>#REF!</v>
      </c>
      <c r="AG241" t="e">
        <f>AND(#REF!,"AAAAAHkfXiA=")</f>
        <v>#REF!</v>
      </c>
      <c r="AH241" t="e">
        <f>AND(#REF!,"AAAAAHkfXiE=")</f>
        <v>#REF!</v>
      </c>
      <c r="AI241" t="e">
        <f>AND(#REF!,"AAAAAHkfXiI=")</f>
        <v>#REF!</v>
      </c>
      <c r="AJ241" t="e">
        <f>AND(#REF!,"AAAAAHkfXiM=")</f>
        <v>#REF!</v>
      </c>
      <c r="AK241" t="e">
        <f>AND(#REF!,"AAAAAHkfXiQ=")</f>
        <v>#REF!</v>
      </c>
      <c r="AL241" t="e">
        <f>AND(#REF!,"AAAAAHkfXiU=")</f>
        <v>#REF!</v>
      </c>
      <c r="AM241" t="e">
        <f>AND(#REF!,"AAAAAHkfXiY=")</f>
        <v>#REF!</v>
      </c>
      <c r="AN241" t="e">
        <f>AND(#REF!,"AAAAAHkfXic=")</f>
        <v>#REF!</v>
      </c>
      <c r="AO241" t="e">
        <f>AND(#REF!,"AAAAAHkfXig=")</f>
        <v>#REF!</v>
      </c>
      <c r="AP241" t="e">
        <f>AND(#REF!,"AAAAAHkfXik=")</f>
        <v>#REF!</v>
      </c>
      <c r="AQ241" t="e">
        <f>AND(#REF!,"AAAAAHkfXio=")</f>
        <v>#REF!</v>
      </c>
      <c r="AR241" t="e">
        <f>AND(#REF!,"AAAAAHkfXis=")</f>
        <v>#REF!</v>
      </c>
      <c r="AS241" t="e">
        <f>AND(#REF!,"AAAAAHkfXiw=")</f>
        <v>#REF!</v>
      </c>
      <c r="AT241" t="e">
        <f>IF(#REF!,"AAAAAHkfXi0=",0)</f>
        <v>#REF!</v>
      </c>
      <c r="AU241" t="e">
        <f>AND(#REF!,"AAAAAHkfXi4=")</f>
        <v>#REF!</v>
      </c>
      <c r="AV241" t="e">
        <f>AND(#REF!,"AAAAAHkfXi8=")</f>
        <v>#REF!</v>
      </c>
      <c r="AW241" t="e">
        <f>AND(#REF!,"AAAAAHkfXjA=")</f>
        <v>#REF!</v>
      </c>
      <c r="AX241" t="e">
        <f>AND(#REF!,"AAAAAHkfXjE=")</f>
        <v>#REF!</v>
      </c>
      <c r="AY241" t="e">
        <f>AND(#REF!,"AAAAAHkfXjI=")</f>
        <v>#REF!</v>
      </c>
      <c r="AZ241" t="e">
        <f>AND(#REF!,"AAAAAHkfXjM=")</f>
        <v>#REF!</v>
      </c>
      <c r="BA241" t="e">
        <f>AND(#REF!,"AAAAAHkfXjQ=")</f>
        <v>#REF!</v>
      </c>
      <c r="BB241" t="e">
        <f>AND(#REF!,"AAAAAHkfXjU=")</f>
        <v>#REF!</v>
      </c>
      <c r="BC241" t="e">
        <f>AND(#REF!,"AAAAAHkfXjY=")</f>
        <v>#REF!</v>
      </c>
      <c r="BD241" t="e">
        <f>AND(#REF!,"AAAAAHkfXjc=")</f>
        <v>#REF!</v>
      </c>
      <c r="BE241" t="e">
        <f>AND(#REF!,"AAAAAHkfXjg=")</f>
        <v>#REF!</v>
      </c>
      <c r="BF241" t="e">
        <f>AND(#REF!,"AAAAAHkfXjk=")</f>
        <v>#REF!</v>
      </c>
      <c r="BG241" t="e">
        <f>AND(#REF!,"AAAAAHkfXjo=")</f>
        <v>#REF!</v>
      </c>
      <c r="BH241" t="e">
        <f>AND(#REF!,"AAAAAHkfXjs=")</f>
        <v>#REF!</v>
      </c>
      <c r="BI241" t="e">
        <f>AND(#REF!,"AAAAAHkfXjw=")</f>
        <v>#REF!</v>
      </c>
      <c r="BJ241" t="e">
        <f>AND(#REF!,"AAAAAHkfXj0=")</f>
        <v>#REF!</v>
      </c>
      <c r="BK241" t="e">
        <f>AND(#REF!,"AAAAAHkfXj4=")</f>
        <v>#REF!</v>
      </c>
      <c r="BL241" t="e">
        <f>AND(#REF!,"AAAAAHkfXj8=")</f>
        <v>#REF!</v>
      </c>
      <c r="BM241" t="e">
        <f>AND(#REF!,"AAAAAHkfXkA=")</f>
        <v>#REF!</v>
      </c>
      <c r="BN241" t="e">
        <f>AND(#REF!,"AAAAAHkfXkE=")</f>
        <v>#REF!</v>
      </c>
      <c r="BO241" t="e">
        <f>AND(#REF!,"AAAAAHkfXkI=")</f>
        <v>#REF!</v>
      </c>
      <c r="BP241" t="e">
        <f>AND(#REF!,"AAAAAHkfXkM=")</f>
        <v>#REF!</v>
      </c>
      <c r="BQ241" t="e">
        <f>AND(#REF!,"AAAAAHkfXkQ=")</f>
        <v>#REF!</v>
      </c>
      <c r="BR241" t="e">
        <f>AND(#REF!,"AAAAAHkfXkU=")</f>
        <v>#REF!</v>
      </c>
      <c r="BS241" t="e">
        <f>IF(#REF!,"AAAAAHkfXkY=",0)</f>
        <v>#REF!</v>
      </c>
      <c r="BT241" t="e">
        <f>AND(#REF!,"AAAAAHkfXkc=")</f>
        <v>#REF!</v>
      </c>
      <c r="BU241" t="e">
        <f>AND(#REF!,"AAAAAHkfXkg=")</f>
        <v>#REF!</v>
      </c>
      <c r="BV241" t="e">
        <f>AND(#REF!,"AAAAAHkfXkk=")</f>
        <v>#REF!</v>
      </c>
      <c r="BW241" t="e">
        <f>AND(#REF!,"AAAAAHkfXko=")</f>
        <v>#REF!</v>
      </c>
      <c r="BX241" t="e">
        <f>AND(#REF!,"AAAAAHkfXks=")</f>
        <v>#REF!</v>
      </c>
      <c r="BY241" t="e">
        <f>AND(#REF!,"AAAAAHkfXkw=")</f>
        <v>#REF!</v>
      </c>
      <c r="BZ241" t="e">
        <f>AND(#REF!,"AAAAAHkfXk0=")</f>
        <v>#REF!</v>
      </c>
      <c r="CA241" t="e">
        <f>AND(#REF!,"AAAAAHkfXk4=")</f>
        <v>#REF!</v>
      </c>
      <c r="CB241" t="e">
        <f>AND(#REF!,"AAAAAHkfXk8=")</f>
        <v>#REF!</v>
      </c>
      <c r="CC241" t="e">
        <f>AND(#REF!,"AAAAAHkfXlA=")</f>
        <v>#REF!</v>
      </c>
      <c r="CD241" t="e">
        <f>AND(#REF!,"AAAAAHkfXlE=")</f>
        <v>#REF!</v>
      </c>
      <c r="CE241" t="e">
        <f>AND(#REF!,"AAAAAHkfXlI=")</f>
        <v>#REF!</v>
      </c>
      <c r="CF241" t="e">
        <f>AND(#REF!,"AAAAAHkfXlM=")</f>
        <v>#REF!</v>
      </c>
      <c r="CG241" t="e">
        <f>AND(#REF!,"AAAAAHkfXlQ=")</f>
        <v>#REF!</v>
      </c>
      <c r="CH241" t="e">
        <f>AND(#REF!,"AAAAAHkfXlU=")</f>
        <v>#REF!</v>
      </c>
      <c r="CI241" t="e">
        <f>AND(#REF!,"AAAAAHkfXlY=")</f>
        <v>#REF!</v>
      </c>
      <c r="CJ241" t="e">
        <f>AND(#REF!,"AAAAAHkfXlc=")</f>
        <v>#REF!</v>
      </c>
      <c r="CK241" t="e">
        <f>AND(#REF!,"AAAAAHkfXlg=")</f>
        <v>#REF!</v>
      </c>
      <c r="CL241" t="e">
        <f>AND(#REF!,"AAAAAHkfXlk=")</f>
        <v>#REF!</v>
      </c>
      <c r="CM241" t="e">
        <f>AND(#REF!,"AAAAAHkfXlo=")</f>
        <v>#REF!</v>
      </c>
      <c r="CN241" t="e">
        <f>AND(#REF!,"AAAAAHkfXls=")</f>
        <v>#REF!</v>
      </c>
      <c r="CO241" t="e">
        <f>AND(#REF!,"AAAAAHkfXlw=")</f>
        <v>#REF!</v>
      </c>
      <c r="CP241" t="e">
        <f>AND(#REF!,"AAAAAHkfXl0=")</f>
        <v>#REF!</v>
      </c>
      <c r="CQ241" t="e">
        <f>AND(#REF!,"AAAAAHkfXl4=")</f>
        <v>#REF!</v>
      </c>
      <c r="CR241" t="e">
        <f>IF(#REF!,"AAAAAHkfXl8=",0)</f>
        <v>#REF!</v>
      </c>
      <c r="CS241" t="e">
        <f>AND(#REF!,"AAAAAHkfXmA=")</f>
        <v>#REF!</v>
      </c>
      <c r="CT241" t="e">
        <f>AND(#REF!,"AAAAAHkfXmE=")</f>
        <v>#REF!</v>
      </c>
      <c r="CU241" t="e">
        <f>AND(#REF!,"AAAAAHkfXmI=")</f>
        <v>#REF!</v>
      </c>
      <c r="CV241" t="e">
        <f>AND(#REF!,"AAAAAHkfXmM=")</f>
        <v>#REF!</v>
      </c>
      <c r="CW241" t="e">
        <f>AND(#REF!,"AAAAAHkfXmQ=")</f>
        <v>#REF!</v>
      </c>
      <c r="CX241" t="e">
        <f>AND(#REF!,"AAAAAHkfXmU=")</f>
        <v>#REF!</v>
      </c>
      <c r="CY241" t="e">
        <f>AND(#REF!,"AAAAAHkfXmY=")</f>
        <v>#REF!</v>
      </c>
      <c r="CZ241" t="e">
        <f>AND(#REF!,"AAAAAHkfXmc=")</f>
        <v>#REF!</v>
      </c>
      <c r="DA241" t="e">
        <f>AND(#REF!,"AAAAAHkfXmg=")</f>
        <v>#REF!</v>
      </c>
      <c r="DB241" t="e">
        <f>AND(#REF!,"AAAAAHkfXmk=")</f>
        <v>#REF!</v>
      </c>
      <c r="DC241" t="e">
        <f>AND(#REF!,"AAAAAHkfXmo=")</f>
        <v>#REF!</v>
      </c>
      <c r="DD241" t="e">
        <f>AND(#REF!,"AAAAAHkfXms=")</f>
        <v>#REF!</v>
      </c>
      <c r="DE241" t="e">
        <f>AND(#REF!,"AAAAAHkfXmw=")</f>
        <v>#REF!</v>
      </c>
      <c r="DF241" t="e">
        <f>AND(#REF!,"AAAAAHkfXm0=")</f>
        <v>#REF!</v>
      </c>
      <c r="DG241" t="e">
        <f>AND(#REF!,"AAAAAHkfXm4=")</f>
        <v>#REF!</v>
      </c>
      <c r="DH241" t="e">
        <f>AND(#REF!,"AAAAAHkfXm8=")</f>
        <v>#REF!</v>
      </c>
      <c r="DI241" t="e">
        <f>AND(#REF!,"AAAAAHkfXnA=")</f>
        <v>#REF!</v>
      </c>
      <c r="DJ241" t="e">
        <f>AND(#REF!,"AAAAAHkfXnE=")</f>
        <v>#REF!</v>
      </c>
      <c r="DK241" t="e">
        <f>AND(#REF!,"AAAAAHkfXnI=")</f>
        <v>#REF!</v>
      </c>
      <c r="DL241" t="e">
        <f>AND(#REF!,"AAAAAHkfXnM=")</f>
        <v>#REF!</v>
      </c>
      <c r="DM241" t="e">
        <f>AND(#REF!,"AAAAAHkfXnQ=")</f>
        <v>#REF!</v>
      </c>
      <c r="DN241" t="e">
        <f>AND(#REF!,"AAAAAHkfXnU=")</f>
        <v>#REF!</v>
      </c>
      <c r="DO241" t="e">
        <f>AND(#REF!,"AAAAAHkfXnY=")</f>
        <v>#REF!</v>
      </c>
      <c r="DP241" t="e">
        <f>AND(#REF!,"AAAAAHkfXnc=")</f>
        <v>#REF!</v>
      </c>
      <c r="DQ241" t="e">
        <f>IF(#REF!,"AAAAAHkfXng=",0)</f>
        <v>#REF!</v>
      </c>
      <c r="DR241" t="e">
        <f>AND(#REF!,"AAAAAHkfXnk=")</f>
        <v>#REF!</v>
      </c>
      <c r="DS241" t="e">
        <f>AND(#REF!,"AAAAAHkfXno=")</f>
        <v>#REF!</v>
      </c>
      <c r="DT241" t="e">
        <f>AND(#REF!,"AAAAAHkfXns=")</f>
        <v>#REF!</v>
      </c>
      <c r="DU241" t="e">
        <f>AND(#REF!,"AAAAAHkfXnw=")</f>
        <v>#REF!</v>
      </c>
      <c r="DV241" t="e">
        <f>AND(#REF!,"AAAAAHkfXn0=")</f>
        <v>#REF!</v>
      </c>
      <c r="DW241" t="e">
        <f>AND(#REF!,"AAAAAHkfXn4=")</f>
        <v>#REF!</v>
      </c>
      <c r="DX241" t="e">
        <f>AND(#REF!,"AAAAAHkfXn8=")</f>
        <v>#REF!</v>
      </c>
      <c r="DY241" t="e">
        <f>AND(#REF!,"AAAAAHkfXoA=")</f>
        <v>#REF!</v>
      </c>
      <c r="DZ241" t="e">
        <f>AND(#REF!,"AAAAAHkfXoE=")</f>
        <v>#REF!</v>
      </c>
      <c r="EA241" t="e">
        <f>AND(#REF!,"AAAAAHkfXoI=")</f>
        <v>#REF!</v>
      </c>
      <c r="EB241" t="e">
        <f>AND(#REF!,"AAAAAHkfXoM=")</f>
        <v>#REF!</v>
      </c>
      <c r="EC241" t="e">
        <f>AND(#REF!,"AAAAAHkfXoQ=")</f>
        <v>#REF!</v>
      </c>
      <c r="ED241" t="e">
        <f>AND(#REF!,"AAAAAHkfXoU=")</f>
        <v>#REF!</v>
      </c>
      <c r="EE241" t="e">
        <f>AND(#REF!,"AAAAAHkfXoY=")</f>
        <v>#REF!</v>
      </c>
      <c r="EF241" t="e">
        <f>AND(#REF!,"AAAAAHkfXoc=")</f>
        <v>#REF!</v>
      </c>
      <c r="EG241" t="e">
        <f>AND(#REF!,"AAAAAHkfXog=")</f>
        <v>#REF!</v>
      </c>
      <c r="EH241" t="e">
        <f>AND(#REF!,"AAAAAHkfXok=")</f>
        <v>#REF!</v>
      </c>
      <c r="EI241" t="e">
        <f>AND(#REF!,"AAAAAHkfXoo=")</f>
        <v>#REF!</v>
      </c>
      <c r="EJ241" t="e">
        <f>AND(#REF!,"AAAAAHkfXos=")</f>
        <v>#REF!</v>
      </c>
      <c r="EK241" t="e">
        <f>AND(#REF!,"AAAAAHkfXow=")</f>
        <v>#REF!</v>
      </c>
      <c r="EL241" t="e">
        <f>AND(#REF!,"AAAAAHkfXo0=")</f>
        <v>#REF!</v>
      </c>
      <c r="EM241" t="e">
        <f>AND(#REF!,"AAAAAHkfXo4=")</f>
        <v>#REF!</v>
      </c>
      <c r="EN241" t="e">
        <f>AND(#REF!,"AAAAAHkfXo8=")</f>
        <v>#REF!</v>
      </c>
      <c r="EO241" t="e">
        <f>AND(#REF!,"AAAAAHkfXpA=")</f>
        <v>#REF!</v>
      </c>
      <c r="EP241" t="e">
        <f>IF(#REF!,"AAAAAHkfXpE=",0)</f>
        <v>#REF!</v>
      </c>
      <c r="EQ241" t="e">
        <f>AND(#REF!,"AAAAAHkfXpI=")</f>
        <v>#REF!</v>
      </c>
      <c r="ER241" t="e">
        <f>AND(#REF!,"AAAAAHkfXpM=")</f>
        <v>#REF!</v>
      </c>
      <c r="ES241" t="e">
        <f>AND(#REF!,"AAAAAHkfXpQ=")</f>
        <v>#REF!</v>
      </c>
      <c r="ET241" t="e">
        <f>AND(#REF!,"AAAAAHkfXpU=")</f>
        <v>#REF!</v>
      </c>
      <c r="EU241" t="e">
        <f>AND(#REF!,"AAAAAHkfXpY=")</f>
        <v>#REF!</v>
      </c>
      <c r="EV241" t="e">
        <f>AND(#REF!,"AAAAAHkfXpc=")</f>
        <v>#REF!</v>
      </c>
      <c r="EW241" t="e">
        <f>AND(#REF!,"AAAAAHkfXpg=")</f>
        <v>#REF!</v>
      </c>
      <c r="EX241" t="e">
        <f>AND(#REF!,"AAAAAHkfXpk=")</f>
        <v>#REF!</v>
      </c>
      <c r="EY241" t="e">
        <f>AND(#REF!,"AAAAAHkfXpo=")</f>
        <v>#REF!</v>
      </c>
      <c r="EZ241" t="e">
        <f>AND(#REF!,"AAAAAHkfXps=")</f>
        <v>#REF!</v>
      </c>
      <c r="FA241" t="e">
        <f>AND(#REF!,"AAAAAHkfXpw=")</f>
        <v>#REF!</v>
      </c>
      <c r="FB241" t="e">
        <f>AND(#REF!,"AAAAAHkfXp0=")</f>
        <v>#REF!</v>
      </c>
      <c r="FC241" t="e">
        <f>AND(#REF!,"AAAAAHkfXp4=")</f>
        <v>#REF!</v>
      </c>
      <c r="FD241" t="e">
        <f>AND(#REF!,"AAAAAHkfXp8=")</f>
        <v>#REF!</v>
      </c>
      <c r="FE241" t="e">
        <f>AND(#REF!,"AAAAAHkfXqA=")</f>
        <v>#REF!</v>
      </c>
      <c r="FF241" t="e">
        <f>AND(#REF!,"AAAAAHkfXqE=")</f>
        <v>#REF!</v>
      </c>
      <c r="FG241" t="e">
        <f>AND(#REF!,"AAAAAHkfXqI=")</f>
        <v>#REF!</v>
      </c>
      <c r="FH241" t="e">
        <f>AND(#REF!,"AAAAAHkfXqM=")</f>
        <v>#REF!</v>
      </c>
      <c r="FI241" t="e">
        <f>AND(#REF!,"AAAAAHkfXqQ=")</f>
        <v>#REF!</v>
      </c>
      <c r="FJ241" t="e">
        <f>AND(#REF!,"AAAAAHkfXqU=")</f>
        <v>#REF!</v>
      </c>
      <c r="FK241" t="e">
        <f>AND(#REF!,"AAAAAHkfXqY=")</f>
        <v>#REF!</v>
      </c>
      <c r="FL241" t="e">
        <f>AND(#REF!,"AAAAAHkfXqc=")</f>
        <v>#REF!</v>
      </c>
      <c r="FM241" t="e">
        <f>AND(#REF!,"AAAAAHkfXqg=")</f>
        <v>#REF!</v>
      </c>
      <c r="FN241" t="e">
        <f>AND(#REF!,"AAAAAHkfXqk=")</f>
        <v>#REF!</v>
      </c>
      <c r="FO241" t="e">
        <f>IF(#REF!,"AAAAAHkfXqo=",0)</f>
        <v>#REF!</v>
      </c>
      <c r="FP241" t="e">
        <f>AND(#REF!,"AAAAAHkfXqs=")</f>
        <v>#REF!</v>
      </c>
      <c r="FQ241" t="e">
        <f>AND(#REF!,"AAAAAHkfXqw=")</f>
        <v>#REF!</v>
      </c>
      <c r="FR241" t="e">
        <f>AND(#REF!,"AAAAAHkfXq0=")</f>
        <v>#REF!</v>
      </c>
      <c r="FS241" t="e">
        <f>AND(#REF!,"AAAAAHkfXq4=")</f>
        <v>#REF!</v>
      </c>
      <c r="FT241" t="e">
        <f>AND(#REF!,"AAAAAHkfXq8=")</f>
        <v>#REF!</v>
      </c>
      <c r="FU241" t="e">
        <f>AND(#REF!,"AAAAAHkfXrA=")</f>
        <v>#REF!</v>
      </c>
      <c r="FV241" t="e">
        <f>AND(#REF!,"AAAAAHkfXrE=")</f>
        <v>#REF!</v>
      </c>
      <c r="FW241" t="e">
        <f>AND(#REF!,"AAAAAHkfXrI=")</f>
        <v>#REF!</v>
      </c>
      <c r="FX241" t="e">
        <f>AND(#REF!,"AAAAAHkfXrM=")</f>
        <v>#REF!</v>
      </c>
      <c r="FY241" t="e">
        <f>AND(#REF!,"AAAAAHkfXrQ=")</f>
        <v>#REF!</v>
      </c>
      <c r="FZ241" t="e">
        <f>AND(#REF!,"AAAAAHkfXrU=")</f>
        <v>#REF!</v>
      </c>
      <c r="GA241" t="e">
        <f>AND(#REF!,"AAAAAHkfXrY=")</f>
        <v>#REF!</v>
      </c>
      <c r="GB241" t="e">
        <f>AND(#REF!,"AAAAAHkfXrc=")</f>
        <v>#REF!</v>
      </c>
      <c r="GC241" t="e">
        <f>AND(#REF!,"AAAAAHkfXrg=")</f>
        <v>#REF!</v>
      </c>
      <c r="GD241" t="e">
        <f>AND(#REF!,"AAAAAHkfXrk=")</f>
        <v>#REF!</v>
      </c>
      <c r="GE241" t="e">
        <f>AND(#REF!,"AAAAAHkfXro=")</f>
        <v>#REF!</v>
      </c>
      <c r="GF241" t="e">
        <f>AND(#REF!,"AAAAAHkfXrs=")</f>
        <v>#REF!</v>
      </c>
      <c r="GG241" t="e">
        <f>AND(#REF!,"AAAAAHkfXrw=")</f>
        <v>#REF!</v>
      </c>
      <c r="GH241" t="e">
        <f>AND(#REF!,"AAAAAHkfXr0=")</f>
        <v>#REF!</v>
      </c>
      <c r="GI241" t="e">
        <f>AND(#REF!,"AAAAAHkfXr4=")</f>
        <v>#REF!</v>
      </c>
      <c r="GJ241" t="e">
        <f>AND(#REF!,"AAAAAHkfXr8=")</f>
        <v>#REF!</v>
      </c>
      <c r="GK241" t="e">
        <f>AND(#REF!,"AAAAAHkfXsA=")</f>
        <v>#REF!</v>
      </c>
      <c r="GL241" t="e">
        <f>AND(#REF!,"AAAAAHkfXsE=")</f>
        <v>#REF!</v>
      </c>
      <c r="GM241" t="e">
        <f>AND(#REF!,"AAAAAHkfXsI=")</f>
        <v>#REF!</v>
      </c>
      <c r="GN241" t="e">
        <f>IF(#REF!,"AAAAAHkfXsM=",0)</f>
        <v>#REF!</v>
      </c>
      <c r="GO241" t="e">
        <f>AND(#REF!,"AAAAAHkfXsQ=")</f>
        <v>#REF!</v>
      </c>
      <c r="GP241" t="e">
        <f>AND(#REF!,"AAAAAHkfXsU=")</f>
        <v>#REF!</v>
      </c>
      <c r="GQ241" t="e">
        <f>AND(#REF!,"AAAAAHkfXsY=")</f>
        <v>#REF!</v>
      </c>
      <c r="GR241" t="e">
        <f>AND(#REF!,"AAAAAHkfXsc=")</f>
        <v>#REF!</v>
      </c>
      <c r="GS241" t="e">
        <f>AND(#REF!,"AAAAAHkfXsg=")</f>
        <v>#REF!</v>
      </c>
      <c r="GT241" t="e">
        <f>AND(#REF!,"AAAAAHkfXsk=")</f>
        <v>#REF!</v>
      </c>
      <c r="GU241" t="e">
        <f>AND(#REF!,"AAAAAHkfXso=")</f>
        <v>#REF!</v>
      </c>
      <c r="GV241" t="e">
        <f>AND(#REF!,"AAAAAHkfXss=")</f>
        <v>#REF!</v>
      </c>
      <c r="GW241" t="e">
        <f>AND(#REF!,"AAAAAHkfXsw=")</f>
        <v>#REF!</v>
      </c>
      <c r="GX241" t="e">
        <f>AND(#REF!,"AAAAAHkfXs0=")</f>
        <v>#REF!</v>
      </c>
      <c r="GY241" t="e">
        <f>AND(#REF!,"AAAAAHkfXs4=")</f>
        <v>#REF!</v>
      </c>
      <c r="GZ241" t="e">
        <f>AND(#REF!,"AAAAAHkfXs8=")</f>
        <v>#REF!</v>
      </c>
      <c r="HA241" t="e">
        <f>AND(#REF!,"AAAAAHkfXtA=")</f>
        <v>#REF!</v>
      </c>
      <c r="HB241" t="e">
        <f>AND(#REF!,"AAAAAHkfXtE=")</f>
        <v>#REF!</v>
      </c>
      <c r="HC241" t="e">
        <f>AND(#REF!,"AAAAAHkfXtI=")</f>
        <v>#REF!</v>
      </c>
      <c r="HD241" t="e">
        <f>AND(#REF!,"AAAAAHkfXtM=")</f>
        <v>#REF!</v>
      </c>
      <c r="HE241" t="e">
        <f>AND(#REF!,"AAAAAHkfXtQ=")</f>
        <v>#REF!</v>
      </c>
      <c r="HF241" t="e">
        <f>AND(#REF!,"AAAAAHkfXtU=")</f>
        <v>#REF!</v>
      </c>
      <c r="HG241" t="e">
        <f>AND(#REF!,"AAAAAHkfXtY=")</f>
        <v>#REF!</v>
      </c>
      <c r="HH241" t="e">
        <f>AND(#REF!,"AAAAAHkfXtc=")</f>
        <v>#REF!</v>
      </c>
      <c r="HI241" t="e">
        <f>AND(#REF!,"AAAAAHkfXtg=")</f>
        <v>#REF!</v>
      </c>
      <c r="HJ241" t="e">
        <f>AND(#REF!,"AAAAAHkfXtk=")</f>
        <v>#REF!</v>
      </c>
      <c r="HK241" t="e">
        <f>AND(#REF!,"AAAAAHkfXto=")</f>
        <v>#REF!</v>
      </c>
      <c r="HL241" t="e">
        <f>AND(#REF!,"AAAAAHkfXts=")</f>
        <v>#REF!</v>
      </c>
      <c r="HM241" t="e">
        <f>IF(#REF!,"AAAAAHkfXtw=",0)</f>
        <v>#REF!</v>
      </c>
      <c r="HN241" t="e">
        <f>AND(#REF!,"AAAAAHkfXt0=")</f>
        <v>#REF!</v>
      </c>
      <c r="HO241" t="e">
        <f>AND(#REF!,"AAAAAHkfXt4=")</f>
        <v>#REF!</v>
      </c>
      <c r="HP241" t="e">
        <f>AND(#REF!,"AAAAAHkfXt8=")</f>
        <v>#REF!</v>
      </c>
      <c r="HQ241" t="e">
        <f>AND(#REF!,"AAAAAHkfXuA=")</f>
        <v>#REF!</v>
      </c>
      <c r="HR241" t="e">
        <f>AND(#REF!,"AAAAAHkfXuE=")</f>
        <v>#REF!</v>
      </c>
      <c r="HS241" t="e">
        <f>AND(#REF!,"AAAAAHkfXuI=")</f>
        <v>#REF!</v>
      </c>
      <c r="HT241" t="e">
        <f>AND(#REF!,"AAAAAHkfXuM=")</f>
        <v>#REF!</v>
      </c>
      <c r="HU241" t="e">
        <f>AND(#REF!,"AAAAAHkfXuQ=")</f>
        <v>#REF!</v>
      </c>
      <c r="HV241" t="e">
        <f>AND(#REF!,"AAAAAHkfXuU=")</f>
        <v>#REF!</v>
      </c>
      <c r="HW241" t="e">
        <f>AND(#REF!,"AAAAAHkfXuY=")</f>
        <v>#REF!</v>
      </c>
      <c r="HX241" t="e">
        <f>AND(#REF!,"AAAAAHkfXuc=")</f>
        <v>#REF!</v>
      </c>
      <c r="HY241" t="e">
        <f>AND(#REF!,"AAAAAHkfXug=")</f>
        <v>#REF!</v>
      </c>
      <c r="HZ241" t="e">
        <f>AND(#REF!,"AAAAAHkfXuk=")</f>
        <v>#REF!</v>
      </c>
      <c r="IA241" t="e">
        <f>AND(#REF!,"AAAAAHkfXuo=")</f>
        <v>#REF!</v>
      </c>
      <c r="IB241" t="e">
        <f>AND(#REF!,"AAAAAHkfXus=")</f>
        <v>#REF!</v>
      </c>
      <c r="IC241" t="e">
        <f>AND(#REF!,"AAAAAHkfXuw=")</f>
        <v>#REF!</v>
      </c>
      <c r="ID241" t="e">
        <f>AND(#REF!,"AAAAAHkfXu0=")</f>
        <v>#REF!</v>
      </c>
      <c r="IE241" t="e">
        <f>AND(#REF!,"AAAAAHkfXu4=")</f>
        <v>#REF!</v>
      </c>
      <c r="IF241" t="e">
        <f>AND(#REF!,"AAAAAHkfXu8=")</f>
        <v>#REF!</v>
      </c>
      <c r="IG241" t="e">
        <f>AND(#REF!,"AAAAAHkfXvA=")</f>
        <v>#REF!</v>
      </c>
      <c r="IH241" t="e">
        <f>AND(#REF!,"AAAAAHkfXvE=")</f>
        <v>#REF!</v>
      </c>
      <c r="II241" t="e">
        <f>AND(#REF!,"AAAAAHkfXvI=")</f>
        <v>#REF!</v>
      </c>
      <c r="IJ241" t="e">
        <f>AND(#REF!,"AAAAAHkfXvM=")</f>
        <v>#REF!</v>
      </c>
      <c r="IK241" t="e">
        <f>AND(#REF!,"AAAAAHkfXvQ=")</f>
        <v>#REF!</v>
      </c>
      <c r="IL241" t="e">
        <f>IF(#REF!,"AAAAAHkfXvU=",0)</f>
        <v>#REF!</v>
      </c>
      <c r="IM241" t="e">
        <f>AND(#REF!,"AAAAAHkfXvY=")</f>
        <v>#REF!</v>
      </c>
      <c r="IN241" t="e">
        <f>AND(#REF!,"AAAAAHkfXvc=")</f>
        <v>#REF!</v>
      </c>
      <c r="IO241" t="e">
        <f>AND(#REF!,"AAAAAHkfXvg=")</f>
        <v>#REF!</v>
      </c>
      <c r="IP241" t="e">
        <f>AND(#REF!,"AAAAAHkfXvk=")</f>
        <v>#REF!</v>
      </c>
      <c r="IQ241" t="e">
        <f>AND(#REF!,"AAAAAHkfXvo=")</f>
        <v>#REF!</v>
      </c>
      <c r="IR241" t="e">
        <f>AND(#REF!,"AAAAAHkfXvs=")</f>
        <v>#REF!</v>
      </c>
      <c r="IS241" t="e">
        <f>AND(#REF!,"AAAAAHkfXvw=")</f>
        <v>#REF!</v>
      </c>
      <c r="IT241" t="e">
        <f>AND(#REF!,"AAAAAHkfXv0=")</f>
        <v>#REF!</v>
      </c>
      <c r="IU241" t="e">
        <f>AND(#REF!,"AAAAAHkfXv4=")</f>
        <v>#REF!</v>
      </c>
      <c r="IV241" t="e">
        <f>AND(#REF!,"AAAAAHkfXv8=")</f>
        <v>#REF!</v>
      </c>
    </row>
    <row r="242" spans="1:256">
      <c r="A242" t="e">
        <f>AND(#REF!,"AAAAABt2fAA=")</f>
        <v>#REF!</v>
      </c>
      <c r="B242" t="e">
        <f>AND(#REF!,"AAAAABt2fAE=")</f>
        <v>#REF!</v>
      </c>
      <c r="C242" t="e">
        <f>AND(#REF!,"AAAAABt2fAI=")</f>
        <v>#REF!</v>
      </c>
      <c r="D242" t="e">
        <f>AND(#REF!,"AAAAABt2fAM=")</f>
        <v>#REF!</v>
      </c>
      <c r="E242" t="e">
        <f>AND(#REF!,"AAAAABt2fAQ=")</f>
        <v>#REF!</v>
      </c>
      <c r="F242" t="e">
        <f>AND(#REF!,"AAAAABt2fAU=")</f>
        <v>#REF!</v>
      </c>
      <c r="G242" t="e">
        <f>AND(#REF!,"AAAAABt2fAY=")</f>
        <v>#REF!</v>
      </c>
      <c r="H242" t="e">
        <f>AND(#REF!,"AAAAABt2fAc=")</f>
        <v>#REF!</v>
      </c>
      <c r="I242" t="e">
        <f>AND(#REF!,"AAAAABt2fAg=")</f>
        <v>#REF!</v>
      </c>
      <c r="J242" t="e">
        <f>AND(#REF!,"AAAAABt2fAk=")</f>
        <v>#REF!</v>
      </c>
      <c r="K242" t="e">
        <f>AND(#REF!,"AAAAABt2fAo=")</f>
        <v>#REF!</v>
      </c>
      <c r="L242" t="e">
        <f>AND(#REF!,"AAAAABt2fAs=")</f>
        <v>#REF!</v>
      </c>
      <c r="M242" t="e">
        <f>AND(#REF!,"AAAAABt2fAw=")</f>
        <v>#REF!</v>
      </c>
      <c r="N242" t="e">
        <f>AND(#REF!,"AAAAABt2fA0=")</f>
        <v>#REF!</v>
      </c>
      <c r="O242" t="e">
        <f>IF(#REF!,"AAAAABt2fA4=",0)</f>
        <v>#REF!</v>
      </c>
      <c r="P242" t="e">
        <f>AND(#REF!,"AAAAABt2fA8=")</f>
        <v>#REF!</v>
      </c>
      <c r="Q242" t="e">
        <f>AND(#REF!,"AAAAABt2fBA=")</f>
        <v>#REF!</v>
      </c>
      <c r="R242" t="e">
        <f>AND(#REF!,"AAAAABt2fBE=")</f>
        <v>#REF!</v>
      </c>
      <c r="S242" t="e">
        <f>AND(#REF!,"AAAAABt2fBI=")</f>
        <v>#REF!</v>
      </c>
      <c r="T242" t="e">
        <f>AND(#REF!,"AAAAABt2fBM=")</f>
        <v>#REF!</v>
      </c>
      <c r="U242" t="e">
        <f>AND(#REF!,"AAAAABt2fBQ=")</f>
        <v>#REF!</v>
      </c>
      <c r="V242" t="e">
        <f>AND(#REF!,"AAAAABt2fBU=")</f>
        <v>#REF!</v>
      </c>
      <c r="W242" t="e">
        <f>AND(#REF!,"AAAAABt2fBY=")</f>
        <v>#REF!</v>
      </c>
      <c r="X242" t="e">
        <f>AND(#REF!,"AAAAABt2fBc=")</f>
        <v>#REF!</v>
      </c>
      <c r="Y242" t="e">
        <f>AND(#REF!,"AAAAABt2fBg=")</f>
        <v>#REF!</v>
      </c>
      <c r="Z242" t="e">
        <f>AND(#REF!,"AAAAABt2fBk=")</f>
        <v>#REF!</v>
      </c>
      <c r="AA242" t="e">
        <f>AND(#REF!,"AAAAABt2fBo=")</f>
        <v>#REF!</v>
      </c>
      <c r="AB242" t="e">
        <f>AND(#REF!,"AAAAABt2fBs=")</f>
        <v>#REF!</v>
      </c>
      <c r="AC242" t="e">
        <f>AND(#REF!,"AAAAABt2fBw=")</f>
        <v>#REF!</v>
      </c>
      <c r="AD242" t="e">
        <f>AND(#REF!,"AAAAABt2fB0=")</f>
        <v>#REF!</v>
      </c>
      <c r="AE242" t="e">
        <f>AND(#REF!,"AAAAABt2fB4=")</f>
        <v>#REF!</v>
      </c>
      <c r="AF242" t="e">
        <f>AND(#REF!,"AAAAABt2fB8=")</f>
        <v>#REF!</v>
      </c>
      <c r="AG242" t="e">
        <f>AND(#REF!,"AAAAABt2fCA=")</f>
        <v>#REF!</v>
      </c>
      <c r="AH242" t="e">
        <f>AND(#REF!,"AAAAABt2fCE=")</f>
        <v>#REF!</v>
      </c>
      <c r="AI242" t="e">
        <f>AND(#REF!,"AAAAABt2fCI=")</f>
        <v>#REF!</v>
      </c>
      <c r="AJ242" t="e">
        <f>AND(#REF!,"AAAAABt2fCM=")</f>
        <v>#REF!</v>
      </c>
      <c r="AK242" t="e">
        <f>AND(#REF!,"AAAAABt2fCQ=")</f>
        <v>#REF!</v>
      </c>
      <c r="AL242" t="e">
        <f>AND(#REF!,"AAAAABt2fCU=")</f>
        <v>#REF!</v>
      </c>
      <c r="AM242" t="e">
        <f>AND(#REF!,"AAAAABt2fCY=")</f>
        <v>#REF!</v>
      </c>
      <c r="AN242" t="e">
        <f>IF(#REF!,"AAAAABt2fCc=",0)</f>
        <v>#REF!</v>
      </c>
      <c r="AO242" t="e">
        <f>AND(#REF!,"AAAAABt2fCg=")</f>
        <v>#REF!</v>
      </c>
      <c r="AP242" t="e">
        <f>AND(#REF!,"AAAAABt2fCk=")</f>
        <v>#REF!</v>
      </c>
      <c r="AQ242" t="e">
        <f>AND(#REF!,"AAAAABt2fCo=")</f>
        <v>#REF!</v>
      </c>
      <c r="AR242" t="e">
        <f>AND(#REF!,"AAAAABt2fCs=")</f>
        <v>#REF!</v>
      </c>
      <c r="AS242" t="e">
        <f>AND(#REF!,"AAAAABt2fCw=")</f>
        <v>#REF!</v>
      </c>
      <c r="AT242" t="e">
        <f>AND(#REF!,"AAAAABt2fC0=")</f>
        <v>#REF!</v>
      </c>
      <c r="AU242" t="e">
        <f>AND(#REF!,"AAAAABt2fC4=")</f>
        <v>#REF!</v>
      </c>
      <c r="AV242" t="e">
        <f>AND(#REF!,"AAAAABt2fC8=")</f>
        <v>#REF!</v>
      </c>
      <c r="AW242" t="e">
        <f>AND(#REF!,"AAAAABt2fDA=")</f>
        <v>#REF!</v>
      </c>
      <c r="AX242" t="e">
        <f>AND(#REF!,"AAAAABt2fDE=")</f>
        <v>#REF!</v>
      </c>
      <c r="AY242" t="e">
        <f>AND(#REF!,"AAAAABt2fDI=")</f>
        <v>#REF!</v>
      </c>
      <c r="AZ242" t="e">
        <f>AND(#REF!,"AAAAABt2fDM=")</f>
        <v>#REF!</v>
      </c>
      <c r="BA242" t="e">
        <f>AND(#REF!,"AAAAABt2fDQ=")</f>
        <v>#REF!</v>
      </c>
      <c r="BB242" t="e">
        <f>AND(#REF!,"AAAAABt2fDU=")</f>
        <v>#REF!</v>
      </c>
      <c r="BC242" t="e">
        <f>AND(#REF!,"AAAAABt2fDY=")</f>
        <v>#REF!</v>
      </c>
      <c r="BD242" t="e">
        <f>AND(#REF!,"AAAAABt2fDc=")</f>
        <v>#REF!</v>
      </c>
      <c r="BE242" t="e">
        <f>AND(#REF!,"AAAAABt2fDg=")</f>
        <v>#REF!</v>
      </c>
      <c r="BF242" t="e">
        <f>AND(#REF!,"AAAAABt2fDk=")</f>
        <v>#REF!</v>
      </c>
      <c r="BG242" t="e">
        <f>AND(#REF!,"AAAAABt2fDo=")</f>
        <v>#REF!</v>
      </c>
      <c r="BH242" t="e">
        <f>AND(#REF!,"AAAAABt2fDs=")</f>
        <v>#REF!</v>
      </c>
      <c r="BI242" t="e">
        <f>AND(#REF!,"AAAAABt2fDw=")</f>
        <v>#REF!</v>
      </c>
      <c r="BJ242" t="e">
        <f>AND(#REF!,"AAAAABt2fD0=")</f>
        <v>#REF!</v>
      </c>
      <c r="BK242" t="e">
        <f>AND(#REF!,"AAAAABt2fD4=")</f>
        <v>#REF!</v>
      </c>
      <c r="BL242" t="e">
        <f>AND(#REF!,"AAAAABt2fD8=")</f>
        <v>#REF!</v>
      </c>
      <c r="BM242" t="e">
        <f>IF(#REF!,"AAAAABt2fEA=",0)</f>
        <v>#REF!</v>
      </c>
      <c r="BN242" t="e">
        <f>AND(#REF!,"AAAAABt2fEE=")</f>
        <v>#REF!</v>
      </c>
      <c r="BO242" t="e">
        <f>AND(#REF!,"AAAAABt2fEI=")</f>
        <v>#REF!</v>
      </c>
      <c r="BP242" t="e">
        <f>AND(#REF!,"AAAAABt2fEM=")</f>
        <v>#REF!</v>
      </c>
      <c r="BQ242" t="e">
        <f>AND(#REF!,"AAAAABt2fEQ=")</f>
        <v>#REF!</v>
      </c>
      <c r="BR242" t="e">
        <f>AND(#REF!,"AAAAABt2fEU=")</f>
        <v>#REF!</v>
      </c>
      <c r="BS242" t="e">
        <f>AND(#REF!,"AAAAABt2fEY=")</f>
        <v>#REF!</v>
      </c>
      <c r="BT242" t="e">
        <f>AND(#REF!,"AAAAABt2fEc=")</f>
        <v>#REF!</v>
      </c>
      <c r="BU242" t="e">
        <f>AND(#REF!,"AAAAABt2fEg=")</f>
        <v>#REF!</v>
      </c>
      <c r="BV242" t="e">
        <f>AND(#REF!,"AAAAABt2fEk=")</f>
        <v>#REF!</v>
      </c>
      <c r="BW242" t="e">
        <f>AND(#REF!,"AAAAABt2fEo=")</f>
        <v>#REF!</v>
      </c>
      <c r="BX242" t="e">
        <f>AND(#REF!,"AAAAABt2fEs=")</f>
        <v>#REF!</v>
      </c>
      <c r="BY242" t="e">
        <f>AND(#REF!,"AAAAABt2fEw=")</f>
        <v>#REF!</v>
      </c>
      <c r="BZ242" t="e">
        <f>AND(#REF!,"AAAAABt2fE0=")</f>
        <v>#REF!</v>
      </c>
      <c r="CA242" t="e">
        <f>AND(#REF!,"AAAAABt2fE4=")</f>
        <v>#REF!</v>
      </c>
      <c r="CB242" t="e">
        <f>AND(#REF!,"AAAAABt2fE8=")</f>
        <v>#REF!</v>
      </c>
      <c r="CC242" t="e">
        <f>AND(#REF!,"AAAAABt2fFA=")</f>
        <v>#REF!</v>
      </c>
      <c r="CD242" t="e">
        <f>AND(#REF!,"AAAAABt2fFE=")</f>
        <v>#REF!</v>
      </c>
      <c r="CE242" t="e">
        <f>AND(#REF!,"AAAAABt2fFI=")</f>
        <v>#REF!</v>
      </c>
      <c r="CF242" t="e">
        <f>AND(#REF!,"AAAAABt2fFM=")</f>
        <v>#REF!</v>
      </c>
      <c r="CG242" t="e">
        <f>AND(#REF!,"AAAAABt2fFQ=")</f>
        <v>#REF!</v>
      </c>
      <c r="CH242" t="e">
        <f>AND(#REF!,"AAAAABt2fFU=")</f>
        <v>#REF!</v>
      </c>
      <c r="CI242" t="e">
        <f>AND(#REF!,"AAAAABt2fFY=")</f>
        <v>#REF!</v>
      </c>
      <c r="CJ242" t="e">
        <f>AND(#REF!,"AAAAABt2fFc=")</f>
        <v>#REF!</v>
      </c>
      <c r="CK242" t="e">
        <f>AND(#REF!,"AAAAABt2fFg=")</f>
        <v>#REF!</v>
      </c>
      <c r="CL242" t="e">
        <f>IF(#REF!,"AAAAABt2fFk=",0)</f>
        <v>#REF!</v>
      </c>
      <c r="CM242" t="e">
        <f>AND(#REF!,"AAAAABt2fFo=")</f>
        <v>#REF!</v>
      </c>
      <c r="CN242" t="e">
        <f>AND(#REF!,"AAAAABt2fFs=")</f>
        <v>#REF!</v>
      </c>
      <c r="CO242" t="e">
        <f>AND(#REF!,"AAAAABt2fFw=")</f>
        <v>#REF!</v>
      </c>
      <c r="CP242" t="e">
        <f>AND(#REF!,"AAAAABt2fF0=")</f>
        <v>#REF!</v>
      </c>
      <c r="CQ242" t="e">
        <f>AND(#REF!,"AAAAABt2fF4=")</f>
        <v>#REF!</v>
      </c>
      <c r="CR242" t="e">
        <f>AND(#REF!,"AAAAABt2fF8=")</f>
        <v>#REF!</v>
      </c>
      <c r="CS242" t="e">
        <f>AND(#REF!,"AAAAABt2fGA=")</f>
        <v>#REF!</v>
      </c>
      <c r="CT242" t="e">
        <f>AND(#REF!,"AAAAABt2fGE=")</f>
        <v>#REF!</v>
      </c>
      <c r="CU242" t="e">
        <f>AND(#REF!,"AAAAABt2fGI=")</f>
        <v>#REF!</v>
      </c>
      <c r="CV242" t="e">
        <f>AND(#REF!,"AAAAABt2fGM=")</f>
        <v>#REF!</v>
      </c>
      <c r="CW242" t="e">
        <f>AND(#REF!,"AAAAABt2fGQ=")</f>
        <v>#REF!</v>
      </c>
      <c r="CX242" t="e">
        <f>AND(#REF!,"AAAAABt2fGU=")</f>
        <v>#REF!</v>
      </c>
      <c r="CY242" t="e">
        <f>AND(#REF!,"AAAAABt2fGY=")</f>
        <v>#REF!</v>
      </c>
      <c r="CZ242" t="e">
        <f>AND(#REF!,"AAAAABt2fGc=")</f>
        <v>#REF!</v>
      </c>
      <c r="DA242" t="e">
        <f>AND(#REF!,"AAAAABt2fGg=")</f>
        <v>#REF!</v>
      </c>
      <c r="DB242" t="e">
        <f>AND(#REF!,"AAAAABt2fGk=")</f>
        <v>#REF!</v>
      </c>
      <c r="DC242" t="e">
        <f>AND(#REF!,"AAAAABt2fGo=")</f>
        <v>#REF!</v>
      </c>
      <c r="DD242" t="e">
        <f>AND(#REF!,"AAAAABt2fGs=")</f>
        <v>#REF!</v>
      </c>
      <c r="DE242" t="e">
        <f>AND(#REF!,"AAAAABt2fGw=")</f>
        <v>#REF!</v>
      </c>
      <c r="DF242" t="e">
        <f>AND(#REF!,"AAAAABt2fG0=")</f>
        <v>#REF!</v>
      </c>
      <c r="DG242" t="e">
        <f>AND(#REF!,"AAAAABt2fG4=")</f>
        <v>#REF!</v>
      </c>
      <c r="DH242" t="e">
        <f>AND(#REF!,"AAAAABt2fG8=")</f>
        <v>#REF!</v>
      </c>
      <c r="DI242" t="e">
        <f>AND(#REF!,"AAAAABt2fHA=")</f>
        <v>#REF!</v>
      </c>
      <c r="DJ242" t="e">
        <f>AND(#REF!,"AAAAABt2fHE=")</f>
        <v>#REF!</v>
      </c>
      <c r="DK242" t="e">
        <f>IF(#REF!,"AAAAABt2fHI=",0)</f>
        <v>#REF!</v>
      </c>
      <c r="DL242" t="e">
        <f>AND(#REF!,"AAAAABt2fHM=")</f>
        <v>#REF!</v>
      </c>
      <c r="DM242" t="e">
        <f>AND(#REF!,"AAAAABt2fHQ=")</f>
        <v>#REF!</v>
      </c>
      <c r="DN242" t="e">
        <f>AND(#REF!,"AAAAABt2fHU=")</f>
        <v>#REF!</v>
      </c>
      <c r="DO242" t="e">
        <f>AND(#REF!,"AAAAABt2fHY=")</f>
        <v>#REF!</v>
      </c>
      <c r="DP242" t="e">
        <f>AND(#REF!,"AAAAABt2fHc=")</f>
        <v>#REF!</v>
      </c>
      <c r="DQ242" t="e">
        <f>AND(#REF!,"AAAAABt2fHg=")</f>
        <v>#REF!</v>
      </c>
      <c r="DR242" t="e">
        <f>AND(#REF!,"AAAAABt2fHk=")</f>
        <v>#REF!</v>
      </c>
      <c r="DS242" t="e">
        <f>AND(#REF!,"AAAAABt2fHo=")</f>
        <v>#REF!</v>
      </c>
      <c r="DT242" t="e">
        <f>AND(#REF!,"AAAAABt2fHs=")</f>
        <v>#REF!</v>
      </c>
      <c r="DU242" t="e">
        <f>AND(#REF!,"AAAAABt2fHw=")</f>
        <v>#REF!</v>
      </c>
      <c r="DV242" t="e">
        <f>AND(#REF!,"AAAAABt2fH0=")</f>
        <v>#REF!</v>
      </c>
      <c r="DW242" t="e">
        <f>AND(#REF!,"AAAAABt2fH4=")</f>
        <v>#REF!</v>
      </c>
      <c r="DX242" t="e">
        <f>AND(#REF!,"AAAAABt2fH8=")</f>
        <v>#REF!</v>
      </c>
      <c r="DY242" t="e">
        <f>AND(#REF!,"AAAAABt2fIA=")</f>
        <v>#REF!</v>
      </c>
      <c r="DZ242" t="e">
        <f>AND(#REF!,"AAAAABt2fIE=")</f>
        <v>#REF!</v>
      </c>
      <c r="EA242" t="e">
        <f>AND(#REF!,"AAAAABt2fII=")</f>
        <v>#REF!</v>
      </c>
      <c r="EB242" t="e">
        <f>AND(#REF!,"AAAAABt2fIM=")</f>
        <v>#REF!</v>
      </c>
      <c r="EC242" t="e">
        <f>AND(#REF!,"AAAAABt2fIQ=")</f>
        <v>#REF!</v>
      </c>
      <c r="ED242" t="e">
        <f>AND(#REF!,"AAAAABt2fIU=")</f>
        <v>#REF!</v>
      </c>
      <c r="EE242" t="e">
        <f>AND(#REF!,"AAAAABt2fIY=")</f>
        <v>#REF!</v>
      </c>
      <c r="EF242" t="e">
        <f>AND(#REF!,"AAAAABt2fIc=")</f>
        <v>#REF!</v>
      </c>
      <c r="EG242" t="e">
        <f>AND(#REF!,"AAAAABt2fIg=")</f>
        <v>#REF!</v>
      </c>
      <c r="EH242" t="e">
        <f>AND(#REF!,"AAAAABt2fIk=")</f>
        <v>#REF!</v>
      </c>
      <c r="EI242" t="e">
        <f>AND(#REF!,"AAAAABt2fIo=")</f>
        <v>#REF!</v>
      </c>
      <c r="EJ242" t="e">
        <f>IF(#REF!,"AAAAABt2fIs=",0)</f>
        <v>#REF!</v>
      </c>
      <c r="EK242" t="e">
        <f>AND(#REF!,"AAAAABt2fIw=")</f>
        <v>#REF!</v>
      </c>
      <c r="EL242" t="e">
        <f>AND(#REF!,"AAAAABt2fI0=")</f>
        <v>#REF!</v>
      </c>
      <c r="EM242" t="e">
        <f>AND(#REF!,"AAAAABt2fI4=")</f>
        <v>#REF!</v>
      </c>
      <c r="EN242" t="e">
        <f>AND(#REF!,"AAAAABt2fI8=")</f>
        <v>#REF!</v>
      </c>
      <c r="EO242" t="e">
        <f>AND(#REF!,"AAAAABt2fJA=")</f>
        <v>#REF!</v>
      </c>
      <c r="EP242" t="e">
        <f>AND(#REF!,"AAAAABt2fJE=")</f>
        <v>#REF!</v>
      </c>
      <c r="EQ242" t="e">
        <f>AND(#REF!,"AAAAABt2fJI=")</f>
        <v>#REF!</v>
      </c>
      <c r="ER242" t="e">
        <f>AND(#REF!,"AAAAABt2fJM=")</f>
        <v>#REF!</v>
      </c>
      <c r="ES242" t="e">
        <f>AND(#REF!,"AAAAABt2fJQ=")</f>
        <v>#REF!</v>
      </c>
      <c r="ET242" t="e">
        <f>AND(#REF!,"AAAAABt2fJU=")</f>
        <v>#REF!</v>
      </c>
      <c r="EU242" t="e">
        <f>AND(#REF!,"AAAAABt2fJY=")</f>
        <v>#REF!</v>
      </c>
      <c r="EV242" t="e">
        <f>AND(#REF!,"AAAAABt2fJc=")</f>
        <v>#REF!</v>
      </c>
      <c r="EW242" t="e">
        <f>AND(#REF!,"AAAAABt2fJg=")</f>
        <v>#REF!</v>
      </c>
      <c r="EX242" t="e">
        <f>AND(#REF!,"AAAAABt2fJk=")</f>
        <v>#REF!</v>
      </c>
      <c r="EY242" t="e">
        <f>AND(#REF!,"AAAAABt2fJo=")</f>
        <v>#REF!</v>
      </c>
      <c r="EZ242" t="e">
        <f>AND(#REF!,"AAAAABt2fJs=")</f>
        <v>#REF!</v>
      </c>
      <c r="FA242" t="e">
        <f>AND(#REF!,"AAAAABt2fJw=")</f>
        <v>#REF!</v>
      </c>
      <c r="FB242" t="e">
        <f>AND(#REF!,"AAAAABt2fJ0=")</f>
        <v>#REF!</v>
      </c>
      <c r="FC242" t="e">
        <f>AND(#REF!,"AAAAABt2fJ4=")</f>
        <v>#REF!</v>
      </c>
      <c r="FD242" t="e">
        <f>AND(#REF!,"AAAAABt2fJ8=")</f>
        <v>#REF!</v>
      </c>
      <c r="FE242" t="e">
        <f>AND(#REF!,"AAAAABt2fKA=")</f>
        <v>#REF!</v>
      </c>
      <c r="FF242" t="e">
        <f>AND(#REF!,"AAAAABt2fKE=")</f>
        <v>#REF!</v>
      </c>
      <c r="FG242" t="e">
        <f>AND(#REF!,"AAAAABt2fKI=")</f>
        <v>#REF!</v>
      </c>
      <c r="FH242" t="e">
        <f>AND(#REF!,"AAAAABt2fKM=")</f>
        <v>#REF!</v>
      </c>
      <c r="FI242" t="e">
        <f>IF(#REF!,"AAAAABt2fKQ=",0)</f>
        <v>#REF!</v>
      </c>
      <c r="FJ242" t="e">
        <f>AND(#REF!,"AAAAABt2fKU=")</f>
        <v>#REF!</v>
      </c>
      <c r="FK242" t="e">
        <f>AND(#REF!,"AAAAABt2fKY=")</f>
        <v>#REF!</v>
      </c>
      <c r="FL242" t="e">
        <f>AND(#REF!,"AAAAABt2fKc=")</f>
        <v>#REF!</v>
      </c>
      <c r="FM242" t="e">
        <f>AND(#REF!,"AAAAABt2fKg=")</f>
        <v>#REF!</v>
      </c>
      <c r="FN242" t="e">
        <f>AND(#REF!,"AAAAABt2fKk=")</f>
        <v>#REF!</v>
      </c>
      <c r="FO242" t="e">
        <f>AND(#REF!,"AAAAABt2fKo=")</f>
        <v>#REF!</v>
      </c>
      <c r="FP242" t="e">
        <f>AND(#REF!,"AAAAABt2fKs=")</f>
        <v>#REF!</v>
      </c>
      <c r="FQ242" t="e">
        <f>AND(#REF!,"AAAAABt2fKw=")</f>
        <v>#REF!</v>
      </c>
      <c r="FR242" t="e">
        <f>AND(#REF!,"AAAAABt2fK0=")</f>
        <v>#REF!</v>
      </c>
      <c r="FS242" t="e">
        <f>AND(#REF!,"AAAAABt2fK4=")</f>
        <v>#REF!</v>
      </c>
      <c r="FT242" t="e">
        <f>AND(#REF!,"AAAAABt2fK8=")</f>
        <v>#REF!</v>
      </c>
      <c r="FU242" t="e">
        <f>AND(#REF!,"AAAAABt2fLA=")</f>
        <v>#REF!</v>
      </c>
      <c r="FV242" t="e">
        <f>AND(#REF!,"AAAAABt2fLE=")</f>
        <v>#REF!</v>
      </c>
      <c r="FW242" t="e">
        <f>AND(#REF!,"AAAAABt2fLI=")</f>
        <v>#REF!</v>
      </c>
      <c r="FX242" t="e">
        <f>AND(#REF!,"AAAAABt2fLM=")</f>
        <v>#REF!</v>
      </c>
      <c r="FY242" t="e">
        <f>AND(#REF!,"AAAAABt2fLQ=")</f>
        <v>#REF!</v>
      </c>
      <c r="FZ242" t="e">
        <f>AND(#REF!,"AAAAABt2fLU=")</f>
        <v>#REF!</v>
      </c>
      <c r="GA242" t="e">
        <f>AND(#REF!,"AAAAABt2fLY=")</f>
        <v>#REF!</v>
      </c>
      <c r="GB242" t="e">
        <f>AND(#REF!,"AAAAABt2fLc=")</f>
        <v>#REF!</v>
      </c>
      <c r="GC242" t="e">
        <f>AND(#REF!,"AAAAABt2fLg=")</f>
        <v>#REF!</v>
      </c>
      <c r="GD242" t="e">
        <f>AND(#REF!,"AAAAABt2fLk=")</f>
        <v>#REF!</v>
      </c>
      <c r="GE242" t="e">
        <f>AND(#REF!,"AAAAABt2fLo=")</f>
        <v>#REF!</v>
      </c>
      <c r="GF242" t="e">
        <f>AND(#REF!,"AAAAABt2fLs=")</f>
        <v>#REF!</v>
      </c>
      <c r="GG242" t="e">
        <f>AND(#REF!,"AAAAABt2fLw=")</f>
        <v>#REF!</v>
      </c>
      <c r="GH242" t="e">
        <f>IF(#REF!,"AAAAABt2fL0=",0)</f>
        <v>#REF!</v>
      </c>
      <c r="GI242" t="e">
        <f>AND(#REF!,"AAAAABt2fL4=")</f>
        <v>#REF!</v>
      </c>
      <c r="GJ242" t="e">
        <f>AND(#REF!,"AAAAABt2fL8=")</f>
        <v>#REF!</v>
      </c>
      <c r="GK242" t="e">
        <f>AND(#REF!,"AAAAABt2fMA=")</f>
        <v>#REF!</v>
      </c>
      <c r="GL242" t="e">
        <f>AND(#REF!,"AAAAABt2fME=")</f>
        <v>#REF!</v>
      </c>
      <c r="GM242" t="e">
        <f>AND(#REF!,"AAAAABt2fMI=")</f>
        <v>#REF!</v>
      </c>
      <c r="GN242" t="e">
        <f>AND(#REF!,"AAAAABt2fMM=")</f>
        <v>#REF!</v>
      </c>
      <c r="GO242" t="e">
        <f>AND(#REF!,"AAAAABt2fMQ=")</f>
        <v>#REF!</v>
      </c>
      <c r="GP242" t="e">
        <f>AND(#REF!,"AAAAABt2fMU=")</f>
        <v>#REF!</v>
      </c>
      <c r="GQ242" t="e">
        <f>AND(#REF!,"AAAAABt2fMY=")</f>
        <v>#REF!</v>
      </c>
      <c r="GR242" t="e">
        <f>AND(#REF!,"AAAAABt2fMc=")</f>
        <v>#REF!</v>
      </c>
      <c r="GS242" t="e">
        <f>AND(#REF!,"AAAAABt2fMg=")</f>
        <v>#REF!</v>
      </c>
      <c r="GT242" t="e">
        <f>AND(#REF!,"AAAAABt2fMk=")</f>
        <v>#REF!</v>
      </c>
      <c r="GU242" t="e">
        <f>AND(#REF!,"AAAAABt2fMo=")</f>
        <v>#REF!</v>
      </c>
      <c r="GV242" t="e">
        <f>AND(#REF!,"AAAAABt2fMs=")</f>
        <v>#REF!</v>
      </c>
      <c r="GW242" t="e">
        <f>AND(#REF!,"AAAAABt2fMw=")</f>
        <v>#REF!</v>
      </c>
      <c r="GX242" t="e">
        <f>AND(#REF!,"AAAAABt2fM0=")</f>
        <v>#REF!</v>
      </c>
      <c r="GY242" t="e">
        <f>AND(#REF!,"AAAAABt2fM4=")</f>
        <v>#REF!</v>
      </c>
      <c r="GZ242" t="e">
        <f>AND(#REF!,"AAAAABt2fM8=")</f>
        <v>#REF!</v>
      </c>
      <c r="HA242" t="e">
        <f>AND(#REF!,"AAAAABt2fNA=")</f>
        <v>#REF!</v>
      </c>
      <c r="HB242" t="e">
        <f>AND(#REF!,"AAAAABt2fNE=")</f>
        <v>#REF!</v>
      </c>
      <c r="HC242" t="e">
        <f>AND(#REF!,"AAAAABt2fNI=")</f>
        <v>#REF!</v>
      </c>
      <c r="HD242" t="e">
        <f>AND(#REF!,"AAAAABt2fNM=")</f>
        <v>#REF!</v>
      </c>
      <c r="HE242" t="e">
        <f>AND(#REF!,"AAAAABt2fNQ=")</f>
        <v>#REF!</v>
      </c>
      <c r="HF242" t="e">
        <f>AND(#REF!,"AAAAABt2fNU=")</f>
        <v>#REF!</v>
      </c>
      <c r="HG242" t="e">
        <f>IF(#REF!,"AAAAABt2fNY=",0)</f>
        <v>#REF!</v>
      </c>
      <c r="HH242" t="e">
        <f>AND(#REF!,"AAAAABt2fNc=")</f>
        <v>#REF!</v>
      </c>
      <c r="HI242" t="e">
        <f>AND(#REF!,"AAAAABt2fNg=")</f>
        <v>#REF!</v>
      </c>
      <c r="HJ242" t="e">
        <f>AND(#REF!,"AAAAABt2fNk=")</f>
        <v>#REF!</v>
      </c>
      <c r="HK242" t="e">
        <f>AND(#REF!,"AAAAABt2fNo=")</f>
        <v>#REF!</v>
      </c>
      <c r="HL242" t="e">
        <f>AND(#REF!,"AAAAABt2fNs=")</f>
        <v>#REF!</v>
      </c>
      <c r="HM242" t="e">
        <f>AND(#REF!,"AAAAABt2fNw=")</f>
        <v>#REF!</v>
      </c>
      <c r="HN242" t="e">
        <f>AND(#REF!,"AAAAABt2fN0=")</f>
        <v>#REF!</v>
      </c>
      <c r="HO242" t="e">
        <f>AND(#REF!,"AAAAABt2fN4=")</f>
        <v>#REF!</v>
      </c>
      <c r="HP242" t="e">
        <f>AND(#REF!,"AAAAABt2fN8=")</f>
        <v>#REF!</v>
      </c>
      <c r="HQ242" t="e">
        <f>AND(#REF!,"AAAAABt2fOA=")</f>
        <v>#REF!</v>
      </c>
      <c r="HR242" t="e">
        <f>AND(#REF!,"AAAAABt2fOE=")</f>
        <v>#REF!</v>
      </c>
      <c r="HS242" t="e">
        <f>AND(#REF!,"AAAAABt2fOI=")</f>
        <v>#REF!</v>
      </c>
      <c r="HT242" t="e">
        <f>AND(#REF!,"AAAAABt2fOM=")</f>
        <v>#REF!</v>
      </c>
      <c r="HU242" t="e">
        <f>AND(#REF!,"AAAAABt2fOQ=")</f>
        <v>#REF!</v>
      </c>
      <c r="HV242" t="e">
        <f>AND(#REF!,"AAAAABt2fOU=")</f>
        <v>#REF!</v>
      </c>
      <c r="HW242" t="e">
        <f>AND(#REF!,"AAAAABt2fOY=")</f>
        <v>#REF!</v>
      </c>
      <c r="HX242" t="e">
        <f>AND(#REF!,"AAAAABt2fOc=")</f>
        <v>#REF!</v>
      </c>
      <c r="HY242" t="e">
        <f>AND(#REF!,"AAAAABt2fOg=")</f>
        <v>#REF!</v>
      </c>
      <c r="HZ242" t="e">
        <f>AND(#REF!,"AAAAABt2fOk=")</f>
        <v>#REF!</v>
      </c>
      <c r="IA242" t="e">
        <f>AND(#REF!,"AAAAABt2fOo=")</f>
        <v>#REF!</v>
      </c>
      <c r="IB242" t="e">
        <f>AND(#REF!,"AAAAABt2fOs=")</f>
        <v>#REF!</v>
      </c>
      <c r="IC242" t="e">
        <f>AND(#REF!,"AAAAABt2fOw=")</f>
        <v>#REF!</v>
      </c>
      <c r="ID242" t="e">
        <f>AND(#REF!,"AAAAABt2fO0=")</f>
        <v>#REF!</v>
      </c>
      <c r="IE242" t="e">
        <f>AND(#REF!,"AAAAABt2fO4=")</f>
        <v>#REF!</v>
      </c>
      <c r="IF242" t="e">
        <f>IF(#REF!,"AAAAABt2fO8=",0)</f>
        <v>#REF!</v>
      </c>
      <c r="IG242" t="e">
        <f>AND(#REF!,"AAAAABt2fPA=")</f>
        <v>#REF!</v>
      </c>
      <c r="IH242" t="e">
        <f>AND(#REF!,"AAAAABt2fPE=")</f>
        <v>#REF!</v>
      </c>
      <c r="II242" t="e">
        <f>AND(#REF!,"AAAAABt2fPI=")</f>
        <v>#REF!</v>
      </c>
      <c r="IJ242" t="e">
        <f>AND(#REF!,"AAAAABt2fPM=")</f>
        <v>#REF!</v>
      </c>
      <c r="IK242" t="e">
        <f>AND(#REF!,"AAAAABt2fPQ=")</f>
        <v>#REF!</v>
      </c>
      <c r="IL242" t="e">
        <f>AND(#REF!,"AAAAABt2fPU=")</f>
        <v>#REF!</v>
      </c>
      <c r="IM242" t="e">
        <f>AND(#REF!,"AAAAABt2fPY=")</f>
        <v>#REF!</v>
      </c>
      <c r="IN242" t="e">
        <f>AND(#REF!,"AAAAABt2fPc=")</f>
        <v>#REF!</v>
      </c>
      <c r="IO242" t="e">
        <f>AND(#REF!,"AAAAABt2fPg=")</f>
        <v>#REF!</v>
      </c>
      <c r="IP242" t="e">
        <f>AND(#REF!,"AAAAABt2fPk=")</f>
        <v>#REF!</v>
      </c>
      <c r="IQ242" t="e">
        <f>AND(#REF!,"AAAAABt2fPo=")</f>
        <v>#REF!</v>
      </c>
      <c r="IR242" t="e">
        <f>AND(#REF!,"AAAAABt2fPs=")</f>
        <v>#REF!</v>
      </c>
      <c r="IS242" t="e">
        <f>AND(#REF!,"AAAAABt2fPw=")</f>
        <v>#REF!</v>
      </c>
      <c r="IT242" t="e">
        <f>AND(#REF!,"AAAAABt2fP0=")</f>
        <v>#REF!</v>
      </c>
      <c r="IU242" t="e">
        <f>AND(#REF!,"AAAAABt2fP4=")</f>
        <v>#REF!</v>
      </c>
      <c r="IV242" t="e">
        <f>AND(#REF!,"AAAAABt2fP8=")</f>
        <v>#REF!</v>
      </c>
    </row>
    <row r="243" spans="1:256">
      <c r="A243" t="e">
        <f>AND(#REF!,"AAAAAH9/egA=")</f>
        <v>#REF!</v>
      </c>
      <c r="B243" t="e">
        <f>AND(#REF!,"AAAAAH9/egE=")</f>
        <v>#REF!</v>
      </c>
      <c r="C243" t="e">
        <f>AND(#REF!,"AAAAAH9/egI=")</f>
        <v>#REF!</v>
      </c>
      <c r="D243" t="e">
        <f>AND(#REF!,"AAAAAH9/egM=")</f>
        <v>#REF!</v>
      </c>
      <c r="E243" t="e">
        <f>AND(#REF!,"AAAAAH9/egQ=")</f>
        <v>#REF!</v>
      </c>
      <c r="F243" t="e">
        <f>AND(#REF!,"AAAAAH9/egU=")</f>
        <v>#REF!</v>
      </c>
      <c r="G243" t="e">
        <f>AND(#REF!,"AAAAAH9/egY=")</f>
        <v>#REF!</v>
      </c>
      <c r="H243" t="e">
        <f>AND(#REF!,"AAAAAH9/egc=")</f>
        <v>#REF!</v>
      </c>
      <c r="I243" t="e">
        <f>IF(#REF!,"AAAAAH9/egg=",0)</f>
        <v>#REF!</v>
      </c>
      <c r="J243" t="e">
        <f>AND(#REF!,"AAAAAH9/egk=")</f>
        <v>#REF!</v>
      </c>
      <c r="K243" t="e">
        <f>AND(#REF!,"AAAAAH9/ego=")</f>
        <v>#REF!</v>
      </c>
      <c r="L243" t="e">
        <f>AND(#REF!,"AAAAAH9/egs=")</f>
        <v>#REF!</v>
      </c>
      <c r="M243" t="e">
        <f>AND(#REF!,"AAAAAH9/egw=")</f>
        <v>#REF!</v>
      </c>
      <c r="N243" t="e">
        <f>AND(#REF!,"AAAAAH9/eg0=")</f>
        <v>#REF!</v>
      </c>
      <c r="O243" t="e">
        <f>AND(#REF!,"AAAAAH9/eg4=")</f>
        <v>#REF!</v>
      </c>
      <c r="P243" t="e">
        <f>AND(#REF!,"AAAAAH9/eg8=")</f>
        <v>#REF!</v>
      </c>
      <c r="Q243" t="e">
        <f>AND(#REF!,"AAAAAH9/ehA=")</f>
        <v>#REF!</v>
      </c>
      <c r="R243" t="e">
        <f>AND(#REF!,"AAAAAH9/ehE=")</f>
        <v>#REF!</v>
      </c>
      <c r="S243" t="e">
        <f>AND(#REF!,"AAAAAH9/ehI=")</f>
        <v>#REF!</v>
      </c>
      <c r="T243" t="e">
        <f>AND(#REF!,"AAAAAH9/ehM=")</f>
        <v>#REF!</v>
      </c>
      <c r="U243" t="e">
        <f>AND(#REF!,"AAAAAH9/ehQ=")</f>
        <v>#REF!</v>
      </c>
      <c r="V243" t="e">
        <f>AND(#REF!,"AAAAAH9/ehU=")</f>
        <v>#REF!</v>
      </c>
      <c r="W243" t="e">
        <f>AND(#REF!,"AAAAAH9/ehY=")</f>
        <v>#REF!</v>
      </c>
      <c r="X243" t="e">
        <f>AND(#REF!,"AAAAAH9/ehc=")</f>
        <v>#REF!</v>
      </c>
      <c r="Y243" t="e">
        <f>AND(#REF!,"AAAAAH9/ehg=")</f>
        <v>#REF!</v>
      </c>
      <c r="Z243" t="e">
        <f>AND(#REF!,"AAAAAH9/ehk=")</f>
        <v>#REF!</v>
      </c>
      <c r="AA243" t="e">
        <f>AND(#REF!,"AAAAAH9/eho=")</f>
        <v>#REF!</v>
      </c>
      <c r="AB243" t="e">
        <f>AND(#REF!,"AAAAAH9/ehs=")</f>
        <v>#REF!</v>
      </c>
      <c r="AC243" t="e">
        <f>AND(#REF!,"AAAAAH9/ehw=")</f>
        <v>#REF!</v>
      </c>
      <c r="AD243" t="e">
        <f>AND(#REF!,"AAAAAH9/eh0=")</f>
        <v>#REF!</v>
      </c>
      <c r="AE243" t="e">
        <f>AND(#REF!,"AAAAAH9/eh4=")</f>
        <v>#REF!</v>
      </c>
      <c r="AF243" t="e">
        <f>AND(#REF!,"AAAAAH9/eh8=")</f>
        <v>#REF!</v>
      </c>
      <c r="AG243" t="e">
        <f>AND(#REF!,"AAAAAH9/eiA=")</f>
        <v>#REF!</v>
      </c>
      <c r="AH243" t="e">
        <f>IF(#REF!,"AAAAAH9/eiE=",0)</f>
        <v>#REF!</v>
      </c>
      <c r="AI243" t="e">
        <f>AND(#REF!,"AAAAAH9/eiI=")</f>
        <v>#REF!</v>
      </c>
      <c r="AJ243" t="e">
        <f>AND(#REF!,"AAAAAH9/eiM=")</f>
        <v>#REF!</v>
      </c>
      <c r="AK243" t="e">
        <f>AND(#REF!,"AAAAAH9/eiQ=")</f>
        <v>#REF!</v>
      </c>
      <c r="AL243" t="e">
        <f>AND(#REF!,"AAAAAH9/eiU=")</f>
        <v>#REF!</v>
      </c>
      <c r="AM243" t="e">
        <f>AND(#REF!,"AAAAAH9/eiY=")</f>
        <v>#REF!</v>
      </c>
      <c r="AN243" t="e">
        <f>AND(#REF!,"AAAAAH9/eic=")</f>
        <v>#REF!</v>
      </c>
      <c r="AO243" t="e">
        <f>AND(#REF!,"AAAAAH9/eig=")</f>
        <v>#REF!</v>
      </c>
      <c r="AP243" t="e">
        <f>AND(#REF!,"AAAAAH9/eik=")</f>
        <v>#REF!</v>
      </c>
      <c r="AQ243" t="e">
        <f>AND(#REF!,"AAAAAH9/eio=")</f>
        <v>#REF!</v>
      </c>
      <c r="AR243" t="e">
        <f>AND(#REF!,"AAAAAH9/eis=")</f>
        <v>#REF!</v>
      </c>
      <c r="AS243" t="e">
        <f>AND(#REF!,"AAAAAH9/eiw=")</f>
        <v>#REF!</v>
      </c>
      <c r="AT243" t="e">
        <f>AND(#REF!,"AAAAAH9/ei0=")</f>
        <v>#REF!</v>
      </c>
      <c r="AU243" t="e">
        <f>AND(#REF!,"AAAAAH9/ei4=")</f>
        <v>#REF!</v>
      </c>
      <c r="AV243" t="e">
        <f>AND(#REF!,"AAAAAH9/ei8=")</f>
        <v>#REF!</v>
      </c>
      <c r="AW243" t="e">
        <f>AND(#REF!,"AAAAAH9/ejA=")</f>
        <v>#REF!</v>
      </c>
      <c r="AX243" t="e">
        <f>AND(#REF!,"AAAAAH9/ejE=")</f>
        <v>#REF!</v>
      </c>
      <c r="AY243" t="e">
        <f>AND(#REF!,"AAAAAH9/ejI=")</f>
        <v>#REF!</v>
      </c>
      <c r="AZ243" t="e">
        <f>AND(#REF!,"AAAAAH9/ejM=")</f>
        <v>#REF!</v>
      </c>
      <c r="BA243" t="e">
        <f>AND(#REF!,"AAAAAH9/ejQ=")</f>
        <v>#REF!</v>
      </c>
      <c r="BB243" t="e">
        <f>AND(#REF!,"AAAAAH9/ejU=")</f>
        <v>#REF!</v>
      </c>
      <c r="BC243" t="e">
        <f>AND(#REF!,"AAAAAH9/ejY=")</f>
        <v>#REF!</v>
      </c>
      <c r="BD243" t="e">
        <f>AND(#REF!,"AAAAAH9/ejc=")</f>
        <v>#REF!</v>
      </c>
      <c r="BE243" t="e">
        <f>AND(#REF!,"AAAAAH9/ejg=")</f>
        <v>#REF!</v>
      </c>
      <c r="BF243" t="e">
        <f>AND(#REF!,"AAAAAH9/ejk=")</f>
        <v>#REF!</v>
      </c>
      <c r="BG243" t="e">
        <f>IF(#REF!,"AAAAAH9/ejo=",0)</f>
        <v>#REF!</v>
      </c>
      <c r="BH243" t="e">
        <f>AND(#REF!,"AAAAAH9/ejs=")</f>
        <v>#REF!</v>
      </c>
      <c r="BI243" t="e">
        <f>AND(#REF!,"AAAAAH9/ejw=")</f>
        <v>#REF!</v>
      </c>
      <c r="BJ243" t="e">
        <f>AND(#REF!,"AAAAAH9/ej0=")</f>
        <v>#REF!</v>
      </c>
      <c r="BK243" t="e">
        <f>AND(#REF!,"AAAAAH9/ej4=")</f>
        <v>#REF!</v>
      </c>
      <c r="BL243" t="e">
        <f>AND(#REF!,"AAAAAH9/ej8=")</f>
        <v>#REF!</v>
      </c>
      <c r="BM243" t="e">
        <f>AND(#REF!,"AAAAAH9/ekA=")</f>
        <v>#REF!</v>
      </c>
      <c r="BN243" t="e">
        <f>AND(#REF!,"AAAAAH9/ekE=")</f>
        <v>#REF!</v>
      </c>
      <c r="BO243" t="e">
        <f>AND(#REF!,"AAAAAH9/ekI=")</f>
        <v>#REF!</v>
      </c>
      <c r="BP243" t="e">
        <f>AND(#REF!,"AAAAAH9/ekM=")</f>
        <v>#REF!</v>
      </c>
      <c r="BQ243" t="e">
        <f>AND(#REF!,"AAAAAH9/ekQ=")</f>
        <v>#REF!</v>
      </c>
      <c r="BR243" t="e">
        <f>AND(#REF!,"AAAAAH9/ekU=")</f>
        <v>#REF!</v>
      </c>
      <c r="BS243" t="e">
        <f>AND(#REF!,"AAAAAH9/ekY=")</f>
        <v>#REF!</v>
      </c>
      <c r="BT243" t="e">
        <f>AND(#REF!,"AAAAAH9/ekc=")</f>
        <v>#REF!</v>
      </c>
      <c r="BU243" t="e">
        <f>AND(#REF!,"AAAAAH9/ekg=")</f>
        <v>#REF!</v>
      </c>
      <c r="BV243" t="e">
        <f>AND(#REF!,"AAAAAH9/ekk=")</f>
        <v>#REF!</v>
      </c>
      <c r="BW243" t="e">
        <f>AND(#REF!,"AAAAAH9/eko=")</f>
        <v>#REF!</v>
      </c>
      <c r="BX243" t="e">
        <f>AND(#REF!,"AAAAAH9/eks=")</f>
        <v>#REF!</v>
      </c>
      <c r="BY243" t="e">
        <f>AND(#REF!,"AAAAAH9/ekw=")</f>
        <v>#REF!</v>
      </c>
      <c r="BZ243" t="e">
        <f>AND(#REF!,"AAAAAH9/ek0=")</f>
        <v>#REF!</v>
      </c>
      <c r="CA243" t="e">
        <f>AND(#REF!,"AAAAAH9/ek4=")</f>
        <v>#REF!</v>
      </c>
      <c r="CB243" t="e">
        <f>AND(#REF!,"AAAAAH9/ek8=")</f>
        <v>#REF!</v>
      </c>
      <c r="CC243" t="e">
        <f>AND(#REF!,"AAAAAH9/elA=")</f>
        <v>#REF!</v>
      </c>
      <c r="CD243" t="e">
        <f>AND(#REF!,"AAAAAH9/elE=")</f>
        <v>#REF!</v>
      </c>
      <c r="CE243" t="e">
        <f>AND(#REF!,"AAAAAH9/elI=")</f>
        <v>#REF!</v>
      </c>
      <c r="CF243" t="e">
        <f>IF(#REF!,"AAAAAH9/elM=",0)</f>
        <v>#REF!</v>
      </c>
      <c r="CG243" t="e">
        <f>AND(#REF!,"AAAAAH9/elQ=")</f>
        <v>#REF!</v>
      </c>
      <c r="CH243" t="e">
        <f>AND(#REF!,"AAAAAH9/elU=")</f>
        <v>#REF!</v>
      </c>
      <c r="CI243" t="e">
        <f>AND(#REF!,"AAAAAH9/elY=")</f>
        <v>#REF!</v>
      </c>
      <c r="CJ243" t="e">
        <f>AND(#REF!,"AAAAAH9/elc=")</f>
        <v>#REF!</v>
      </c>
      <c r="CK243" t="e">
        <f>AND(#REF!,"AAAAAH9/elg=")</f>
        <v>#REF!</v>
      </c>
      <c r="CL243" t="e">
        <f>AND(#REF!,"AAAAAH9/elk=")</f>
        <v>#REF!</v>
      </c>
      <c r="CM243" t="e">
        <f>AND(#REF!,"AAAAAH9/elo=")</f>
        <v>#REF!</v>
      </c>
      <c r="CN243" t="e">
        <f>AND(#REF!,"AAAAAH9/els=")</f>
        <v>#REF!</v>
      </c>
      <c r="CO243" t="e">
        <f>AND(#REF!,"AAAAAH9/elw=")</f>
        <v>#REF!</v>
      </c>
      <c r="CP243" t="e">
        <f>AND(#REF!,"AAAAAH9/el0=")</f>
        <v>#REF!</v>
      </c>
      <c r="CQ243" t="e">
        <f>AND(#REF!,"AAAAAH9/el4=")</f>
        <v>#REF!</v>
      </c>
      <c r="CR243" t="e">
        <f>AND(#REF!,"AAAAAH9/el8=")</f>
        <v>#REF!</v>
      </c>
      <c r="CS243" t="e">
        <f>AND(#REF!,"AAAAAH9/emA=")</f>
        <v>#REF!</v>
      </c>
      <c r="CT243" t="e">
        <f>AND(#REF!,"AAAAAH9/emE=")</f>
        <v>#REF!</v>
      </c>
      <c r="CU243" t="e">
        <f>AND(#REF!,"AAAAAH9/emI=")</f>
        <v>#REF!</v>
      </c>
      <c r="CV243" t="e">
        <f>AND(#REF!,"AAAAAH9/emM=")</f>
        <v>#REF!</v>
      </c>
      <c r="CW243" t="e">
        <f>AND(#REF!,"AAAAAH9/emQ=")</f>
        <v>#REF!</v>
      </c>
      <c r="CX243" t="e">
        <f>AND(#REF!,"AAAAAH9/emU=")</f>
        <v>#REF!</v>
      </c>
      <c r="CY243" t="e">
        <f>AND(#REF!,"AAAAAH9/emY=")</f>
        <v>#REF!</v>
      </c>
      <c r="CZ243" t="e">
        <f>AND(#REF!,"AAAAAH9/emc=")</f>
        <v>#REF!</v>
      </c>
      <c r="DA243" t="e">
        <f>AND(#REF!,"AAAAAH9/emg=")</f>
        <v>#REF!</v>
      </c>
      <c r="DB243" t="e">
        <f>AND(#REF!,"AAAAAH9/emk=")</f>
        <v>#REF!</v>
      </c>
      <c r="DC243" t="e">
        <f>AND(#REF!,"AAAAAH9/emo=")</f>
        <v>#REF!</v>
      </c>
      <c r="DD243" t="e">
        <f>AND(#REF!,"AAAAAH9/ems=")</f>
        <v>#REF!</v>
      </c>
      <c r="DE243" t="e">
        <f>IF(#REF!,"AAAAAH9/emw=",0)</f>
        <v>#REF!</v>
      </c>
      <c r="DF243" t="e">
        <f>AND(#REF!,"AAAAAH9/em0=")</f>
        <v>#REF!</v>
      </c>
      <c r="DG243" t="e">
        <f>AND(#REF!,"AAAAAH9/em4=")</f>
        <v>#REF!</v>
      </c>
      <c r="DH243" t="e">
        <f>AND(#REF!,"AAAAAH9/em8=")</f>
        <v>#REF!</v>
      </c>
      <c r="DI243" t="e">
        <f>AND(#REF!,"AAAAAH9/enA=")</f>
        <v>#REF!</v>
      </c>
      <c r="DJ243" t="e">
        <f>AND(#REF!,"AAAAAH9/enE=")</f>
        <v>#REF!</v>
      </c>
      <c r="DK243" t="e">
        <f>AND(#REF!,"AAAAAH9/enI=")</f>
        <v>#REF!</v>
      </c>
      <c r="DL243" t="e">
        <f>AND(#REF!,"AAAAAH9/enM=")</f>
        <v>#REF!</v>
      </c>
      <c r="DM243" t="e">
        <f>AND(#REF!,"AAAAAH9/enQ=")</f>
        <v>#REF!</v>
      </c>
      <c r="DN243" t="e">
        <f>AND(#REF!,"AAAAAH9/enU=")</f>
        <v>#REF!</v>
      </c>
      <c r="DO243" t="e">
        <f>AND(#REF!,"AAAAAH9/enY=")</f>
        <v>#REF!</v>
      </c>
      <c r="DP243" t="e">
        <f>AND(#REF!,"AAAAAH9/enc=")</f>
        <v>#REF!</v>
      </c>
      <c r="DQ243" t="e">
        <f>AND(#REF!,"AAAAAH9/eng=")</f>
        <v>#REF!</v>
      </c>
      <c r="DR243" t="e">
        <f>AND(#REF!,"AAAAAH9/enk=")</f>
        <v>#REF!</v>
      </c>
      <c r="DS243" t="e">
        <f>AND(#REF!,"AAAAAH9/eno=")</f>
        <v>#REF!</v>
      </c>
      <c r="DT243" t="e">
        <f>AND(#REF!,"AAAAAH9/ens=")</f>
        <v>#REF!</v>
      </c>
      <c r="DU243" t="e">
        <f>AND(#REF!,"AAAAAH9/enw=")</f>
        <v>#REF!</v>
      </c>
      <c r="DV243" t="e">
        <f>AND(#REF!,"AAAAAH9/en0=")</f>
        <v>#REF!</v>
      </c>
      <c r="DW243" t="e">
        <f>AND(#REF!,"AAAAAH9/en4=")</f>
        <v>#REF!</v>
      </c>
      <c r="DX243" t="e">
        <f>AND(#REF!,"AAAAAH9/en8=")</f>
        <v>#REF!</v>
      </c>
      <c r="DY243" t="e">
        <f>AND(#REF!,"AAAAAH9/eoA=")</f>
        <v>#REF!</v>
      </c>
      <c r="DZ243" t="e">
        <f>AND(#REF!,"AAAAAH9/eoE=")</f>
        <v>#REF!</v>
      </c>
      <c r="EA243" t="e">
        <f>AND(#REF!,"AAAAAH9/eoI=")</f>
        <v>#REF!</v>
      </c>
      <c r="EB243" t="e">
        <f>AND(#REF!,"AAAAAH9/eoM=")</f>
        <v>#REF!</v>
      </c>
      <c r="EC243" t="e">
        <f>AND(#REF!,"AAAAAH9/eoQ=")</f>
        <v>#REF!</v>
      </c>
      <c r="ED243" t="e">
        <f>IF(#REF!,"AAAAAH9/eoU=",0)</f>
        <v>#REF!</v>
      </c>
      <c r="EE243" t="e">
        <f>AND(#REF!,"AAAAAH9/eoY=")</f>
        <v>#REF!</v>
      </c>
      <c r="EF243" t="e">
        <f>AND(#REF!,"AAAAAH9/eoc=")</f>
        <v>#REF!</v>
      </c>
      <c r="EG243" t="e">
        <f>AND(#REF!,"AAAAAH9/eog=")</f>
        <v>#REF!</v>
      </c>
      <c r="EH243" t="e">
        <f>AND(#REF!,"AAAAAH9/eok=")</f>
        <v>#REF!</v>
      </c>
      <c r="EI243" t="e">
        <f>AND(#REF!,"AAAAAH9/eoo=")</f>
        <v>#REF!</v>
      </c>
      <c r="EJ243" t="e">
        <f>AND(#REF!,"AAAAAH9/eos=")</f>
        <v>#REF!</v>
      </c>
      <c r="EK243" t="e">
        <f>AND(#REF!,"AAAAAH9/eow=")</f>
        <v>#REF!</v>
      </c>
      <c r="EL243" t="e">
        <f>AND(#REF!,"AAAAAH9/eo0=")</f>
        <v>#REF!</v>
      </c>
      <c r="EM243" t="e">
        <f>AND(#REF!,"AAAAAH9/eo4=")</f>
        <v>#REF!</v>
      </c>
      <c r="EN243" t="e">
        <f>AND(#REF!,"AAAAAH9/eo8=")</f>
        <v>#REF!</v>
      </c>
      <c r="EO243" t="e">
        <f>AND(#REF!,"AAAAAH9/epA=")</f>
        <v>#REF!</v>
      </c>
      <c r="EP243" t="e">
        <f>AND(#REF!,"AAAAAH9/epE=")</f>
        <v>#REF!</v>
      </c>
      <c r="EQ243" t="e">
        <f>AND(#REF!,"AAAAAH9/epI=")</f>
        <v>#REF!</v>
      </c>
      <c r="ER243" t="e">
        <f>AND(#REF!,"AAAAAH9/epM=")</f>
        <v>#REF!</v>
      </c>
      <c r="ES243" t="e">
        <f>AND(#REF!,"AAAAAH9/epQ=")</f>
        <v>#REF!</v>
      </c>
      <c r="ET243" t="e">
        <f>AND(#REF!,"AAAAAH9/epU=")</f>
        <v>#REF!</v>
      </c>
      <c r="EU243" t="e">
        <f>AND(#REF!,"AAAAAH9/epY=")</f>
        <v>#REF!</v>
      </c>
      <c r="EV243" t="e">
        <f>AND(#REF!,"AAAAAH9/epc=")</f>
        <v>#REF!</v>
      </c>
      <c r="EW243" t="e">
        <f>AND(#REF!,"AAAAAH9/epg=")</f>
        <v>#REF!</v>
      </c>
      <c r="EX243" t="e">
        <f>AND(#REF!,"AAAAAH9/epk=")</f>
        <v>#REF!</v>
      </c>
      <c r="EY243" t="e">
        <f>AND(#REF!,"AAAAAH9/epo=")</f>
        <v>#REF!</v>
      </c>
      <c r="EZ243" t="e">
        <f>AND(#REF!,"AAAAAH9/eps=")</f>
        <v>#REF!</v>
      </c>
      <c r="FA243" t="e">
        <f>AND(#REF!,"AAAAAH9/epw=")</f>
        <v>#REF!</v>
      </c>
      <c r="FB243" t="e">
        <f>AND(#REF!,"AAAAAH9/ep0=")</f>
        <v>#REF!</v>
      </c>
      <c r="FC243" t="e">
        <f>IF(#REF!,"AAAAAH9/ep4=",0)</f>
        <v>#REF!</v>
      </c>
      <c r="FD243" t="e">
        <f>AND(#REF!,"AAAAAH9/ep8=")</f>
        <v>#REF!</v>
      </c>
      <c r="FE243" t="e">
        <f>AND(#REF!,"AAAAAH9/eqA=")</f>
        <v>#REF!</v>
      </c>
      <c r="FF243" t="e">
        <f>AND(#REF!,"AAAAAH9/eqE=")</f>
        <v>#REF!</v>
      </c>
      <c r="FG243" t="e">
        <f>AND(#REF!,"AAAAAH9/eqI=")</f>
        <v>#REF!</v>
      </c>
      <c r="FH243" t="e">
        <f>AND(#REF!,"AAAAAH9/eqM=")</f>
        <v>#REF!</v>
      </c>
      <c r="FI243" t="e">
        <f>AND(#REF!,"AAAAAH9/eqQ=")</f>
        <v>#REF!</v>
      </c>
      <c r="FJ243" t="e">
        <f>AND(#REF!,"AAAAAH9/eqU=")</f>
        <v>#REF!</v>
      </c>
      <c r="FK243" t="e">
        <f>AND(#REF!,"AAAAAH9/eqY=")</f>
        <v>#REF!</v>
      </c>
      <c r="FL243" t="e">
        <f>AND(#REF!,"AAAAAH9/eqc=")</f>
        <v>#REF!</v>
      </c>
      <c r="FM243" t="e">
        <f>AND(#REF!,"AAAAAH9/eqg=")</f>
        <v>#REF!</v>
      </c>
      <c r="FN243" t="e">
        <f>AND(#REF!,"AAAAAH9/eqk=")</f>
        <v>#REF!</v>
      </c>
      <c r="FO243" t="e">
        <f>AND(#REF!,"AAAAAH9/eqo=")</f>
        <v>#REF!</v>
      </c>
      <c r="FP243" t="e">
        <f>AND(#REF!,"AAAAAH9/eqs=")</f>
        <v>#REF!</v>
      </c>
      <c r="FQ243" t="e">
        <f>AND(#REF!,"AAAAAH9/eqw=")</f>
        <v>#REF!</v>
      </c>
      <c r="FR243" t="e">
        <f>AND(#REF!,"AAAAAH9/eq0=")</f>
        <v>#REF!</v>
      </c>
      <c r="FS243" t="e">
        <f>AND(#REF!,"AAAAAH9/eq4=")</f>
        <v>#REF!</v>
      </c>
      <c r="FT243" t="e">
        <f>AND(#REF!,"AAAAAH9/eq8=")</f>
        <v>#REF!</v>
      </c>
      <c r="FU243" t="e">
        <f>AND(#REF!,"AAAAAH9/erA=")</f>
        <v>#REF!</v>
      </c>
      <c r="FV243" t="e">
        <f>AND(#REF!,"AAAAAH9/erE=")</f>
        <v>#REF!</v>
      </c>
      <c r="FW243" t="e">
        <f>AND(#REF!,"AAAAAH9/erI=")</f>
        <v>#REF!</v>
      </c>
      <c r="FX243" t="e">
        <f>AND(#REF!,"AAAAAH9/erM=")</f>
        <v>#REF!</v>
      </c>
      <c r="FY243" t="e">
        <f>AND(#REF!,"AAAAAH9/erQ=")</f>
        <v>#REF!</v>
      </c>
      <c r="FZ243" t="e">
        <f>AND(#REF!,"AAAAAH9/erU=")</f>
        <v>#REF!</v>
      </c>
      <c r="GA243" t="e">
        <f>AND(#REF!,"AAAAAH9/erY=")</f>
        <v>#REF!</v>
      </c>
      <c r="GB243" t="e">
        <f>IF(#REF!,"AAAAAH9/erc=",0)</f>
        <v>#REF!</v>
      </c>
      <c r="GC243" t="e">
        <f>AND(#REF!,"AAAAAH9/erg=")</f>
        <v>#REF!</v>
      </c>
      <c r="GD243" t="e">
        <f>AND(#REF!,"AAAAAH9/erk=")</f>
        <v>#REF!</v>
      </c>
      <c r="GE243" t="e">
        <f>AND(#REF!,"AAAAAH9/ero=")</f>
        <v>#REF!</v>
      </c>
      <c r="GF243" t="e">
        <f>AND(#REF!,"AAAAAH9/ers=")</f>
        <v>#REF!</v>
      </c>
      <c r="GG243" t="e">
        <f>AND(#REF!,"AAAAAH9/erw=")</f>
        <v>#REF!</v>
      </c>
      <c r="GH243" t="e">
        <f>AND(#REF!,"AAAAAH9/er0=")</f>
        <v>#REF!</v>
      </c>
      <c r="GI243" t="e">
        <f>AND(#REF!,"AAAAAH9/er4=")</f>
        <v>#REF!</v>
      </c>
      <c r="GJ243" t="e">
        <f>AND(#REF!,"AAAAAH9/er8=")</f>
        <v>#REF!</v>
      </c>
      <c r="GK243" t="e">
        <f>AND(#REF!,"AAAAAH9/esA=")</f>
        <v>#REF!</v>
      </c>
      <c r="GL243" t="e">
        <f>AND(#REF!,"AAAAAH9/esE=")</f>
        <v>#REF!</v>
      </c>
      <c r="GM243" t="e">
        <f>AND(#REF!,"AAAAAH9/esI=")</f>
        <v>#REF!</v>
      </c>
      <c r="GN243" t="e">
        <f>AND(#REF!,"AAAAAH9/esM=")</f>
        <v>#REF!</v>
      </c>
      <c r="GO243" t="e">
        <f>AND(#REF!,"AAAAAH9/esQ=")</f>
        <v>#REF!</v>
      </c>
      <c r="GP243" t="e">
        <f>AND(#REF!,"AAAAAH9/esU=")</f>
        <v>#REF!</v>
      </c>
      <c r="GQ243" t="e">
        <f>AND(#REF!,"AAAAAH9/esY=")</f>
        <v>#REF!</v>
      </c>
      <c r="GR243" t="e">
        <f>AND(#REF!,"AAAAAH9/esc=")</f>
        <v>#REF!</v>
      </c>
      <c r="GS243" t="e">
        <f>AND(#REF!,"AAAAAH9/esg=")</f>
        <v>#REF!</v>
      </c>
      <c r="GT243" t="e">
        <f>AND(#REF!,"AAAAAH9/esk=")</f>
        <v>#REF!</v>
      </c>
      <c r="GU243" t="e">
        <f>AND(#REF!,"AAAAAH9/eso=")</f>
        <v>#REF!</v>
      </c>
      <c r="GV243" t="e">
        <f>AND(#REF!,"AAAAAH9/ess=")</f>
        <v>#REF!</v>
      </c>
      <c r="GW243" t="e">
        <f>AND(#REF!,"AAAAAH9/esw=")</f>
        <v>#REF!</v>
      </c>
      <c r="GX243" t="e">
        <f>AND(#REF!,"AAAAAH9/es0=")</f>
        <v>#REF!</v>
      </c>
      <c r="GY243" t="e">
        <f>AND(#REF!,"AAAAAH9/es4=")</f>
        <v>#REF!</v>
      </c>
      <c r="GZ243" t="e">
        <f>AND(#REF!,"AAAAAH9/es8=")</f>
        <v>#REF!</v>
      </c>
      <c r="HA243" t="e">
        <f>IF(#REF!,"AAAAAH9/etA=",0)</f>
        <v>#REF!</v>
      </c>
      <c r="HB243" t="e">
        <f>AND(#REF!,"AAAAAH9/etE=")</f>
        <v>#REF!</v>
      </c>
      <c r="HC243" t="e">
        <f>AND(#REF!,"AAAAAH9/etI=")</f>
        <v>#REF!</v>
      </c>
      <c r="HD243" t="e">
        <f>AND(#REF!,"AAAAAH9/etM=")</f>
        <v>#REF!</v>
      </c>
      <c r="HE243" t="e">
        <f>AND(#REF!,"AAAAAH9/etQ=")</f>
        <v>#REF!</v>
      </c>
      <c r="HF243" t="e">
        <f>AND(#REF!,"AAAAAH9/etU=")</f>
        <v>#REF!</v>
      </c>
      <c r="HG243" t="e">
        <f>AND(#REF!,"AAAAAH9/etY=")</f>
        <v>#REF!</v>
      </c>
      <c r="HH243" t="e">
        <f>AND(#REF!,"AAAAAH9/etc=")</f>
        <v>#REF!</v>
      </c>
      <c r="HI243" t="e">
        <f>AND(#REF!,"AAAAAH9/etg=")</f>
        <v>#REF!</v>
      </c>
      <c r="HJ243" t="e">
        <f>AND(#REF!,"AAAAAH9/etk=")</f>
        <v>#REF!</v>
      </c>
      <c r="HK243" t="e">
        <f>AND(#REF!,"AAAAAH9/eto=")</f>
        <v>#REF!</v>
      </c>
      <c r="HL243" t="e">
        <f>AND(#REF!,"AAAAAH9/ets=")</f>
        <v>#REF!</v>
      </c>
      <c r="HM243" t="e">
        <f>AND(#REF!,"AAAAAH9/etw=")</f>
        <v>#REF!</v>
      </c>
      <c r="HN243" t="e">
        <f>AND(#REF!,"AAAAAH9/et0=")</f>
        <v>#REF!</v>
      </c>
      <c r="HO243" t="e">
        <f>AND(#REF!,"AAAAAH9/et4=")</f>
        <v>#REF!</v>
      </c>
      <c r="HP243" t="e">
        <f>AND(#REF!,"AAAAAH9/et8=")</f>
        <v>#REF!</v>
      </c>
      <c r="HQ243" t="e">
        <f>AND(#REF!,"AAAAAH9/euA=")</f>
        <v>#REF!</v>
      </c>
      <c r="HR243" t="e">
        <f>AND(#REF!,"AAAAAH9/euE=")</f>
        <v>#REF!</v>
      </c>
      <c r="HS243" t="e">
        <f>AND(#REF!,"AAAAAH9/euI=")</f>
        <v>#REF!</v>
      </c>
      <c r="HT243" t="e">
        <f>AND(#REF!,"AAAAAH9/euM=")</f>
        <v>#REF!</v>
      </c>
      <c r="HU243" t="e">
        <f>AND(#REF!,"AAAAAH9/euQ=")</f>
        <v>#REF!</v>
      </c>
      <c r="HV243" t="e">
        <f>AND(#REF!,"AAAAAH9/euU=")</f>
        <v>#REF!</v>
      </c>
      <c r="HW243" t="e">
        <f>AND(#REF!,"AAAAAH9/euY=")</f>
        <v>#REF!</v>
      </c>
      <c r="HX243" t="e">
        <f>AND(#REF!,"AAAAAH9/euc=")</f>
        <v>#REF!</v>
      </c>
      <c r="HY243" t="e">
        <f>AND(#REF!,"AAAAAH9/eug=")</f>
        <v>#REF!</v>
      </c>
      <c r="HZ243" t="e">
        <f>IF(#REF!,"AAAAAH9/euk=",0)</f>
        <v>#REF!</v>
      </c>
      <c r="IA243" t="e">
        <f>AND(#REF!,"AAAAAH9/euo=")</f>
        <v>#REF!</v>
      </c>
      <c r="IB243" t="e">
        <f>AND(#REF!,"AAAAAH9/eus=")</f>
        <v>#REF!</v>
      </c>
      <c r="IC243" t="e">
        <f>AND(#REF!,"AAAAAH9/euw=")</f>
        <v>#REF!</v>
      </c>
      <c r="ID243" t="e">
        <f>AND(#REF!,"AAAAAH9/eu0=")</f>
        <v>#REF!</v>
      </c>
      <c r="IE243" t="e">
        <f>AND(#REF!,"AAAAAH9/eu4=")</f>
        <v>#REF!</v>
      </c>
      <c r="IF243" t="e">
        <f>AND(#REF!,"AAAAAH9/eu8=")</f>
        <v>#REF!</v>
      </c>
      <c r="IG243" t="e">
        <f>AND(#REF!,"AAAAAH9/evA=")</f>
        <v>#REF!</v>
      </c>
      <c r="IH243" t="e">
        <f>AND(#REF!,"AAAAAH9/evE=")</f>
        <v>#REF!</v>
      </c>
      <c r="II243" t="e">
        <f>AND(#REF!,"AAAAAH9/evI=")</f>
        <v>#REF!</v>
      </c>
      <c r="IJ243" t="e">
        <f>AND(#REF!,"AAAAAH9/evM=")</f>
        <v>#REF!</v>
      </c>
      <c r="IK243" t="e">
        <f>AND(#REF!,"AAAAAH9/evQ=")</f>
        <v>#REF!</v>
      </c>
      <c r="IL243" t="e">
        <f>AND(#REF!,"AAAAAH9/evU=")</f>
        <v>#REF!</v>
      </c>
      <c r="IM243" t="e">
        <f>AND(#REF!,"AAAAAH9/evY=")</f>
        <v>#REF!</v>
      </c>
      <c r="IN243" t="e">
        <f>AND(#REF!,"AAAAAH9/evc=")</f>
        <v>#REF!</v>
      </c>
      <c r="IO243" t="e">
        <f>AND(#REF!,"AAAAAH9/evg=")</f>
        <v>#REF!</v>
      </c>
      <c r="IP243" t="e">
        <f>AND(#REF!,"AAAAAH9/evk=")</f>
        <v>#REF!</v>
      </c>
      <c r="IQ243" t="e">
        <f>AND(#REF!,"AAAAAH9/evo=")</f>
        <v>#REF!</v>
      </c>
      <c r="IR243" t="e">
        <f>AND(#REF!,"AAAAAH9/evs=")</f>
        <v>#REF!</v>
      </c>
      <c r="IS243" t="e">
        <f>AND(#REF!,"AAAAAH9/evw=")</f>
        <v>#REF!</v>
      </c>
      <c r="IT243" t="e">
        <f>AND(#REF!,"AAAAAH9/ev0=")</f>
        <v>#REF!</v>
      </c>
      <c r="IU243" t="e">
        <f>AND(#REF!,"AAAAAH9/ev4=")</f>
        <v>#REF!</v>
      </c>
      <c r="IV243" t="e">
        <f>AND(#REF!,"AAAAAH9/ev8=")</f>
        <v>#REF!</v>
      </c>
    </row>
    <row r="244" spans="1:256">
      <c r="A244" t="e">
        <f>AND(#REF!,"AAAAAD/dTwA=")</f>
        <v>#REF!</v>
      </c>
      <c r="B244" t="e">
        <f>AND(#REF!,"AAAAAD/dTwE=")</f>
        <v>#REF!</v>
      </c>
      <c r="C244" t="e">
        <f>IF(#REF!,"AAAAAD/dTwI=",0)</f>
        <v>#REF!</v>
      </c>
      <c r="D244" t="e">
        <f>AND(#REF!,"AAAAAD/dTwM=")</f>
        <v>#REF!</v>
      </c>
      <c r="E244" t="e">
        <f>AND(#REF!,"AAAAAD/dTwQ=")</f>
        <v>#REF!</v>
      </c>
      <c r="F244" t="e">
        <f>AND(#REF!,"AAAAAD/dTwU=")</f>
        <v>#REF!</v>
      </c>
      <c r="G244" t="e">
        <f>AND(#REF!,"AAAAAD/dTwY=")</f>
        <v>#REF!</v>
      </c>
      <c r="H244" t="e">
        <f>AND(#REF!,"AAAAAD/dTwc=")</f>
        <v>#REF!</v>
      </c>
      <c r="I244" t="e">
        <f>AND(#REF!,"AAAAAD/dTwg=")</f>
        <v>#REF!</v>
      </c>
      <c r="J244" t="e">
        <f>AND(#REF!,"AAAAAD/dTwk=")</f>
        <v>#REF!</v>
      </c>
      <c r="K244" t="e">
        <f>AND(#REF!,"AAAAAD/dTwo=")</f>
        <v>#REF!</v>
      </c>
      <c r="L244" t="e">
        <f>AND(#REF!,"AAAAAD/dTws=")</f>
        <v>#REF!</v>
      </c>
      <c r="M244" t="e">
        <f>AND(#REF!,"AAAAAD/dTww=")</f>
        <v>#REF!</v>
      </c>
      <c r="N244" t="e">
        <f>AND(#REF!,"AAAAAD/dTw0=")</f>
        <v>#REF!</v>
      </c>
      <c r="O244" t="e">
        <f>AND(#REF!,"AAAAAD/dTw4=")</f>
        <v>#REF!</v>
      </c>
      <c r="P244" t="e">
        <f>AND(#REF!,"AAAAAD/dTw8=")</f>
        <v>#REF!</v>
      </c>
      <c r="Q244" t="e">
        <f>AND(#REF!,"AAAAAD/dTxA=")</f>
        <v>#REF!</v>
      </c>
      <c r="R244" t="e">
        <f>AND(#REF!,"AAAAAD/dTxE=")</f>
        <v>#REF!</v>
      </c>
      <c r="S244" t="e">
        <f>AND(#REF!,"AAAAAD/dTxI=")</f>
        <v>#REF!</v>
      </c>
      <c r="T244" t="e">
        <f>AND(#REF!,"AAAAAD/dTxM=")</f>
        <v>#REF!</v>
      </c>
      <c r="U244" t="e">
        <f>AND(#REF!,"AAAAAD/dTxQ=")</f>
        <v>#REF!</v>
      </c>
      <c r="V244" t="e">
        <f>AND(#REF!,"AAAAAD/dTxU=")</f>
        <v>#REF!</v>
      </c>
      <c r="W244" t="e">
        <f>AND(#REF!,"AAAAAD/dTxY=")</f>
        <v>#REF!</v>
      </c>
      <c r="X244" t="e">
        <f>AND(#REF!,"AAAAAD/dTxc=")</f>
        <v>#REF!</v>
      </c>
      <c r="Y244" t="e">
        <f>AND(#REF!,"AAAAAD/dTxg=")</f>
        <v>#REF!</v>
      </c>
      <c r="Z244" t="e">
        <f>AND(#REF!,"AAAAAD/dTxk=")</f>
        <v>#REF!</v>
      </c>
      <c r="AA244" t="e">
        <f>AND(#REF!,"AAAAAD/dTxo=")</f>
        <v>#REF!</v>
      </c>
      <c r="AB244" t="e">
        <f>IF(#REF!,"AAAAAD/dTxs=",0)</f>
        <v>#REF!</v>
      </c>
      <c r="AC244" t="e">
        <f>AND(#REF!,"AAAAAD/dTxw=")</f>
        <v>#REF!</v>
      </c>
      <c r="AD244" t="e">
        <f>AND(#REF!,"AAAAAD/dTx0=")</f>
        <v>#REF!</v>
      </c>
      <c r="AE244" t="e">
        <f>AND(#REF!,"AAAAAD/dTx4=")</f>
        <v>#REF!</v>
      </c>
      <c r="AF244" t="e">
        <f>AND(#REF!,"AAAAAD/dTx8=")</f>
        <v>#REF!</v>
      </c>
      <c r="AG244" t="e">
        <f>AND(#REF!,"AAAAAD/dTyA=")</f>
        <v>#REF!</v>
      </c>
      <c r="AH244" t="e">
        <f>AND(#REF!,"AAAAAD/dTyE=")</f>
        <v>#REF!</v>
      </c>
      <c r="AI244" t="e">
        <f>AND(#REF!,"AAAAAD/dTyI=")</f>
        <v>#REF!</v>
      </c>
      <c r="AJ244" t="e">
        <f>AND(#REF!,"AAAAAD/dTyM=")</f>
        <v>#REF!</v>
      </c>
      <c r="AK244" t="e">
        <f>AND(#REF!,"AAAAAD/dTyQ=")</f>
        <v>#REF!</v>
      </c>
      <c r="AL244" t="e">
        <f>AND(#REF!,"AAAAAD/dTyU=")</f>
        <v>#REF!</v>
      </c>
      <c r="AM244" t="e">
        <f>AND(#REF!,"AAAAAD/dTyY=")</f>
        <v>#REF!</v>
      </c>
      <c r="AN244" t="e">
        <f>AND(#REF!,"AAAAAD/dTyc=")</f>
        <v>#REF!</v>
      </c>
      <c r="AO244" t="e">
        <f>AND(#REF!,"AAAAAD/dTyg=")</f>
        <v>#REF!</v>
      </c>
      <c r="AP244" t="e">
        <f>AND(#REF!,"AAAAAD/dTyk=")</f>
        <v>#REF!</v>
      </c>
      <c r="AQ244" t="e">
        <f>AND(#REF!,"AAAAAD/dTyo=")</f>
        <v>#REF!</v>
      </c>
      <c r="AR244" t="e">
        <f>AND(#REF!,"AAAAAD/dTys=")</f>
        <v>#REF!</v>
      </c>
      <c r="AS244" t="e">
        <f>AND(#REF!,"AAAAAD/dTyw=")</f>
        <v>#REF!</v>
      </c>
      <c r="AT244" t="e">
        <f>AND(#REF!,"AAAAAD/dTy0=")</f>
        <v>#REF!</v>
      </c>
      <c r="AU244" t="e">
        <f>AND(#REF!,"AAAAAD/dTy4=")</f>
        <v>#REF!</v>
      </c>
      <c r="AV244" t="e">
        <f>AND(#REF!,"AAAAAD/dTy8=")</f>
        <v>#REF!</v>
      </c>
      <c r="AW244" t="e">
        <f>AND(#REF!,"AAAAAD/dTzA=")</f>
        <v>#REF!</v>
      </c>
      <c r="AX244" t="e">
        <f>AND(#REF!,"AAAAAD/dTzE=")</f>
        <v>#REF!</v>
      </c>
      <c r="AY244" t="e">
        <f>AND(#REF!,"AAAAAD/dTzI=")</f>
        <v>#REF!</v>
      </c>
      <c r="AZ244" t="e">
        <f>AND(#REF!,"AAAAAD/dTzM=")</f>
        <v>#REF!</v>
      </c>
      <c r="BA244" t="e">
        <f>IF(#REF!,"AAAAAD/dTzQ=",0)</f>
        <v>#REF!</v>
      </c>
      <c r="BB244" t="e">
        <f>AND(#REF!,"AAAAAD/dTzU=")</f>
        <v>#REF!</v>
      </c>
      <c r="BC244" t="e">
        <f>AND(#REF!,"AAAAAD/dTzY=")</f>
        <v>#REF!</v>
      </c>
      <c r="BD244" t="e">
        <f>AND(#REF!,"AAAAAD/dTzc=")</f>
        <v>#REF!</v>
      </c>
      <c r="BE244" t="e">
        <f>AND(#REF!,"AAAAAD/dTzg=")</f>
        <v>#REF!</v>
      </c>
      <c r="BF244" t="e">
        <f>AND(#REF!,"AAAAAD/dTzk=")</f>
        <v>#REF!</v>
      </c>
      <c r="BG244" t="e">
        <f>AND(#REF!,"AAAAAD/dTzo=")</f>
        <v>#REF!</v>
      </c>
      <c r="BH244" t="e">
        <f>AND(#REF!,"AAAAAD/dTzs=")</f>
        <v>#REF!</v>
      </c>
      <c r="BI244" t="e">
        <f>AND(#REF!,"AAAAAD/dTzw=")</f>
        <v>#REF!</v>
      </c>
      <c r="BJ244" t="e">
        <f>AND(#REF!,"AAAAAD/dTz0=")</f>
        <v>#REF!</v>
      </c>
      <c r="BK244" t="e">
        <f>AND(#REF!,"AAAAAD/dTz4=")</f>
        <v>#REF!</v>
      </c>
      <c r="BL244" t="e">
        <f>AND(#REF!,"AAAAAD/dTz8=")</f>
        <v>#REF!</v>
      </c>
      <c r="BM244" t="e">
        <f>AND(#REF!,"AAAAAD/dT0A=")</f>
        <v>#REF!</v>
      </c>
      <c r="BN244" t="e">
        <f>AND(#REF!,"AAAAAD/dT0E=")</f>
        <v>#REF!</v>
      </c>
      <c r="BO244" t="e">
        <f>AND(#REF!,"AAAAAD/dT0I=")</f>
        <v>#REF!</v>
      </c>
      <c r="BP244" t="e">
        <f>AND(#REF!,"AAAAAD/dT0M=")</f>
        <v>#REF!</v>
      </c>
      <c r="BQ244" t="e">
        <f>AND(#REF!,"AAAAAD/dT0Q=")</f>
        <v>#REF!</v>
      </c>
      <c r="BR244" t="e">
        <f>AND(#REF!,"AAAAAD/dT0U=")</f>
        <v>#REF!</v>
      </c>
      <c r="BS244" t="e">
        <f>AND(#REF!,"AAAAAD/dT0Y=")</f>
        <v>#REF!</v>
      </c>
      <c r="BT244" t="e">
        <f>AND(#REF!,"AAAAAD/dT0c=")</f>
        <v>#REF!</v>
      </c>
      <c r="BU244" t="e">
        <f>AND(#REF!,"AAAAAD/dT0g=")</f>
        <v>#REF!</v>
      </c>
      <c r="BV244" t="e">
        <f>AND(#REF!,"AAAAAD/dT0k=")</f>
        <v>#REF!</v>
      </c>
      <c r="BW244" t="e">
        <f>AND(#REF!,"AAAAAD/dT0o=")</f>
        <v>#REF!</v>
      </c>
      <c r="BX244" t="e">
        <f>AND(#REF!,"AAAAAD/dT0s=")</f>
        <v>#REF!</v>
      </c>
      <c r="BY244" t="e">
        <f>AND(#REF!,"AAAAAD/dT0w=")</f>
        <v>#REF!</v>
      </c>
      <c r="BZ244" t="e">
        <f>IF(#REF!,"AAAAAD/dT00=",0)</f>
        <v>#REF!</v>
      </c>
      <c r="CA244" t="e">
        <f>AND(#REF!,"AAAAAD/dT04=")</f>
        <v>#REF!</v>
      </c>
      <c r="CB244" t="e">
        <f>AND(#REF!,"AAAAAD/dT08=")</f>
        <v>#REF!</v>
      </c>
      <c r="CC244" t="e">
        <f>AND(#REF!,"AAAAAD/dT1A=")</f>
        <v>#REF!</v>
      </c>
      <c r="CD244" t="e">
        <f>AND(#REF!,"AAAAAD/dT1E=")</f>
        <v>#REF!</v>
      </c>
      <c r="CE244" t="e">
        <f>AND(#REF!,"AAAAAD/dT1I=")</f>
        <v>#REF!</v>
      </c>
      <c r="CF244" t="e">
        <f>AND(#REF!,"AAAAAD/dT1M=")</f>
        <v>#REF!</v>
      </c>
      <c r="CG244" t="e">
        <f>AND(#REF!,"AAAAAD/dT1Q=")</f>
        <v>#REF!</v>
      </c>
      <c r="CH244" t="e">
        <f>AND(#REF!,"AAAAAD/dT1U=")</f>
        <v>#REF!</v>
      </c>
      <c r="CI244" t="e">
        <f>AND(#REF!,"AAAAAD/dT1Y=")</f>
        <v>#REF!</v>
      </c>
      <c r="CJ244" t="e">
        <f>AND(#REF!,"AAAAAD/dT1c=")</f>
        <v>#REF!</v>
      </c>
      <c r="CK244" t="e">
        <f>AND(#REF!,"AAAAAD/dT1g=")</f>
        <v>#REF!</v>
      </c>
      <c r="CL244" t="e">
        <f>AND(#REF!,"AAAAAD/dT1k=")</f>
        <v>#REF!</v>
      </c>
      <c r="CM244" t="e">
        <f>AND(#REF!,"AAAAAD/dT1o=")</f>
        <v>#REF!</v>
      </c>
      <c r="CN244" t="e">
        <f>AND(#REF!,"AAAAAD/dT1s=")</f>
        <v>#REF!</v>
      </c>
      <c r="CO244" t="e">
        <f>AND(#REF!,"AAAAAD/dT1w=")</f>
        <v>#REF!</v>
      </c>
      <c r="CP244" t="e">
        <f>AND(#REF!,"AAAAAD/dT10=")</f>
        <v>#REF!</v>
      </c>
      <c r="CQ244" t="e">
        <f>AND(#REF!,"AAAAAD/dT14=")</f>
        <v>#REF!</v>
      </c>
      <c r="CR244" t="e">
        <f>AND(#REF!,"AAAAAD/dT18=")</f>
        <v>#REF!</v>
      </c>
      <c r="CS244" t="e">
        <f>AND(#REF!,"AAAAAD/dT2A=")</f>
        <v>#REF!</v>
      </c>
      <c r="CT244" t="e">
        <f>AND(#REF!,"AAAAAD/dT2E=")</f>
        <v>#REF!</v>
      </c>
      <c r="CU244" t="e">
        <f>AND(#REF!,"AAAAAD/dT2I=")</f>
        <v>#REF!</v>
      </c>
      <c r="CV244" t="e">
        <f>AND(#REF!,"AAAAAD/dT2M=")</f>
        <v>#REF!</v>
      </c>
      <c r="CW244" t="e">
        <f>AND(#REF!,"AAAAAD/dT2Q=")</f>
        <v>#REF!</v>
      </c>
      <c r="CX244" t="e">
        <f>AND(#REF!,"AAAAAD/dT2U=")</f>
        <v>#REF!</v>
      </c>
      <c r="CY244" t="e">
        <f>IF(#REF!,"AAAAAD/dT2Y=",0)</f>
        <v>#REF!</v>
      </c>
      <c r="CZ244" t="e">
        <f>AND(#REF!,"AAAAAD/dT2c=")</f>
        <v>#REF!</v>
      </c>
      <c r="DA244" t="e">
        <f>AND(#REF!,"AAAAAD/dT2g=")</f>
        <v>#REF!</v>
      </c>
      <c r="DB244" t="e">
        <f>AND(#REF!,"AAAAAD/dT2k=")</f>
        <v>#REF!</v>
      </c>
      <c r="DC244" t="e">
        <f>AND(#REF!,"AAAAAD/dT2o=")</f>
        <v>#REF!</v>
      </c>
      <c r="DD244" t="e">
        <f>AND(#REF!,"AAAAAD/dT2s=")</f>
        <v>#REF!</v>
      </c>
      <c r="DE244" t="e">
        <f>AND(#REF!,"AAAAAD/dT2w=")</f>
        <v>#REF!</v>
      </c>
      <c r="DF244" t="e">
        <f>AND(#REF!,"AAAAAD/dT20=")</f>
        <v>#REF!</v>
      </c>
      <c r="DG244" t="e">
        <f>AND(#REF!,"AAAAAD/dT24=")</f>
        <v>#REF!</v>
      </c>
      <c r="DH244" t="e">
        <f>AND(#REF!,"AAAAAD/dT28=")</f>
        <v>#REF!</v>
      </c>
      <c r="DI244" t="e">
        <f>AND(#REF!,"AAAAAD/dT3A=")</f>
        <v>#REF!</v>
      </c>
      <c r="DJ244" t="e">
        <f>AND(#REF!,"AAAAAD/dT3E=")</f>
        <v>#REF!</v>
      </c>
      <c r="DK244" t="e">
        <f>AND(#REF!,"AAAAAD/dT3I=")</f>
        <v>#REF!</v>
      </c>
      <c r="DL244" t="e">
        <f>AND(#REF!,"AAAAAD/dT3M=")</f>
        <v>#REF!</v>
      </c>
      <c r="DM244" t="e">
        <f>AND(#REF!,"AAAAAD/dT3Q=")</f>
        <v>#REF!</v>
      </c>
      <c r="DN244" t="e">
        <f>AND(#REF!,"AAAAAD/dT3U=")</f>
        <v>#REF!</v>
      </c>
      <c r="DO244" t="e">
        <f>AND(#REF!,"AAAAAD/dT3Y=")</f>
        <v>#REF!</v>
      </c>
      <c r="DP244" t="e">
        <f>AND(#REF!,"AAAAAD/dT3c=")</f>
        <v>#REF!</v>
      </c>
      <c r="DQ244" t="e">
        <f>AND(#REF!,"AAAAAD/dT3g=")</f>
        <v>#REF!</v>
      </c>
      <c r="DR244" t="e">
        <f>AND(#REF!,"AAAAAD/dT3k=")</f>
        <v>#REF!</v>
      </c>
      <c r="DS244" t="e">
        <f>AND(#REF!,"AAAAAD/dT3o=")</f>
        <v>#REF!</v>
      </c>
      <c r="DT244" t="e">
        <f>AND(#REF!,"AAAAAD/dT3s=")</f>
        <v>#REF!</v>
      </c>
      <c r="DU244" t="e">
        <f>AND(#REF!,"AAAAAD/dT3w=")</f>
        <v>#REF!</v>
      </c>
      <c r="DV244" t="e">
        <f>AND(#REF!,"AAAAAD/dT30=")</f>
        <v>#REF!</v>
      </c>
      <c r="DW244" t="e">
        <f>AND(#REF!,"AAAAAD/dT34=")</f>
        <v>#REF!</v>
      </c>
      <c r="DX244" t="e">
        <f>IF(#REF!,"AAAAAD/dT38=",0)</f>
        <v>#REF!</v>
      </c>
      <c r="DY244" t="e">
        <f>AND(#REF!,"AAAAAD/dT4A=")</f>
        <v>#REF!</v>
      </c>
      <c r="DZ244" t="e">
        <f>AND(#REF!,"AAAAAD/dT4E=")</f>
        <v>#REF!</v>
      </c>
      <c r="EA244" t="e">
        <f>AND(#REF!,"AAAAAD/dT4I=")</f>
        <v>#REF!</v>
      </c>
      <c r="EB244" t="e">
        <f>AND(#REF!,"AAAAAD/dT4M=")</f>
        <v>#REF!</v>
      </c>
      <c r="EC244" t="e">
        <f>AND(#REF!,"AAAAAD/dT4Q=")</f>
        <v>#REF!</v>
      </c>
      <c r="ED244" t="e">
        <f>AND(#REF!,"AAAAAD/dT4U=")</f>
        <v>#REF!</v>
      </c>
      <c r="EE244" t="e">
        <f>AND(#REF!,"AAAAAD/dT4Y=")</f>
        <v>#REF!</v>
      </c>
      <c r="EF244" t="e">
        <f>AND(#REF!,"AAAAAD/dT4c=")</f>
        <v>#REF!</v>
      </c>
      <c r="EG244" t="e">
        <f>AND(#REF!,"AAAAAD/dT4g=")</f>
        <v>#REF!</v>
      </c>
      <c r="EH244" t="e">
        <f>AND(#REF!,"AAAAAD/dT4k=")</f>
        <v>#REF!</v>
      </c>
      <c r="EI244" t="e">
        <f>AND(#REF!,"AAAAAD/dT4o=")</f>
        <v>#REF!</v>
      </c>
      <c r="EJ244" t="e">
        <f>AND(#REF!,"AAAAAD/dT4s=")</f>
        <v>#REF!</v>
      </c>
      <c r="EK244" t="e">
        <f>AND(#REF!,"AAAAAD/dT4w=")</f>
        <v>#REF!</v>
      </c>
      <c r="EL244" t="e">
        <f>AND(#REF!,"AAAAAD/dT40=")</f>
        <v>#REF!</v>
      </c>
      <c r="EM244" t="e">
        <f>AND(#REF!,"AAAAAD/dT44=")</f>
        <v>#REF!</v>
      </c>
      <c r="EN244" t="e">
        <f>AND(#REF!,"AAAAAD/dT48=")</f>
        <v>#REF!</v>
      </c>
      <c r="EO244" t="e">
        <f>AND(#REF!,"AAAAAD/dT5A=")</f>
        <v>#REF!</v>
      </c>
      <c r="EP244" t="e">
        <f>AND(#REF!,"AAAAAD/dT5E=")</f>
        <v>#REF!</v>
      </c>
      <c r="EQ244" t="e">
        <f>AND(#REF!,"AAAAAD/dT5I=")</f>
        <v>#REF!</v>
      </c>
      <c r="ER244" t="e">
        <f>AND(#REF!,"AAAAAD/dT5M=")</f>
        <v>#REF!</v>
      </c>
      <c r="ES244" t="e">
        <f>AND(#REF!,"AAAAAD/dT5Q=")</f>
        <v>#REF!</v>
      </c>
      <c r="ET244" t="e">
        <f>AND(#REF!,"AAAAAD/dT5U=")</f>
        <v>#REF!</v>
      </c>
      <c r="EU244" t="e">
        <f>AND(#REF!,"AAAAAD/dT5Y=")</f>
        <v>#REF!</v>
      </c>
      <c r="EV244" t="e">
        <f>AND(#REF!,"AAAAAD/dT5c=")</f>
        <v>#REF!</v>
      </c>
      <c r="EW244" t="e">
        <f>IF(#REF!,"AAAAAD/dT5g=",0)</f>
        <v>#REF!</v>
      </c>
      <c r="EX244" t="e">
        <f>AND(#REF!,"AAAAAD/dT5k=")</f>
        <v>#REF!</v>
      </c>
      <c r="EY244" t="e">
        <f>AND(#REF!,"AAAAAD/dT5o=")</f>
        <v>#REF!</v>
      </c>
      <c r="EZ244" t="e">
        <f>AND(#REF!,"AAAAAD/dT5s=")</f>
        <v>#REF!</v>
      </c>
      <c r="FA244" t="e">
        <f>AND(#REF!,"AAAAAD/dT5w=")</f>
        <v>#REF!</v>
      </c>
      <c r="FB244" t="e">
        <f>AND(#REF!,"AAAAAD/dT50=")</f>
        <v>#REF!</v>
      </c>
      <c r="FC244" t="e">
        <f>AND(#REF!,"AAAAAD/dT54=")</f>
        <v>#REF!</v>
      </c>
      <c r="FD244" t="e">
        <f>AND(#REF!,"AAAAAD/dT58=")</f>
        <v>#REF!</v>
      </c>
      <c r="FE244" t="e">
        <f>AND(#REF!,"AAAAAD/dT6A=")</f>
        <v>#REF!</v>
      </c>
      <c r="FF244" t="e">
        <f>AND(#REF!,"AAAAAD/dT6E=")</f>
        <v>#REF!</v>
      </c>
      <c r="FG244" t="e">
        <f>AND(#REF!,"AAAAAD/dT6I=")</f>
        <v>#REF!</v>
      </c>
      <c r="FH244" t="e">
        <f>AND(#REF!,"AAAAAD/dT6M=")</f>
        <v>#REF!</v>
      </c>
      <c r="FI244" t="e">
        <f>AND(#REF!,"AAAAAD/dT6Q=")</f>
        <v>#REF!</v>
      </c>
      <c r="FJ244" t="e">
        <f>AND(#REF!,"AAAAAD/dT6U=")</f>
        <v>#REF!</v>
      </c>
      <c r="FK244" t="e">
        <f>AND(#REF!,"AAAAAD/dT6Y=")</f>
        <v>#REF!</v>
      </c>
      <c r="FL244" t="e">
        <f>AND(#REF!,"AAAAAD/dT6c=")</f>
        <v>#REF!</v>
      </c>
      <c r="FM244" t="e">
        <f>AND(#REF!,"AAAAAD/dT6g=")</f>
        <v>#REF!</v>
      </c>
      <c r="FN244" t="e">
        <f>AND(#REF!,"AAAAAD/dT6k=")</f>
        <v>#REF!</v>
      </c>
      <c r="FO244" t="e">
        <f>AND(#REF!,"AAAAAD/dT6o=")</f>
        <v>#REF!</v>
      </c>
      <c r="FP244" t="e">
        <f>AND(#REF!,"AAAAAD/dT6s=")</f>
        <v>#REF!</v>
      </c>
      <c r="FQ244" t="e">
        <f>AND(#REF!,"AAAAAD/dT6w=")</f>
        <v>#REF!</v>
      </c>
      <c r="FR244" t="e">
        <f>AND(#REF!,"AAAAAD/dT60=")</f>
        <v>#REF!</v>
      </c>
      <c r="FS244" t="e">
        <f>AND(#REF!,"AAAAAD/dT64=")</f>
        <v>#REF!</v>
      </c>
      <c r="FT244" t="e">
        <f>AND(#REF!,"AAAAAD/dT68=")</f>
        <v>#REF!</v>
      </c>
      <c r="FU244" t="e">
        <f>AND(#REF!,"AAAAAD/dT7A=")</f>
        <v>#REF!</v>
      </c>
      <c r="FV244" t="e">
        <f>IF(#REF!,"AAAAAD/dT7E=",0)</f>
        <v>#REF!</v>
      </c>
      <c r="FW244" t="e">
        <f>AND(#REF!,"AAAAAD/dT7I=")</f>
        <v>#REF!</v>
      </c>
      <c r="FX244" t="e">
        <f>AND(#REF!,"AAAAAD/dT7M=")</f>
        <v>#REF!</v>
      </c>
      <c r="FY244" t="e">
        <f>AND(#REF!,"AAAAAD/dT7Q=")</f>
        <v>#REF!</v>
      </c>
      <c r="FZ244" t="e">
        <f>AND(#REF!,"AAAAAD/dT7U=")</f>
        <v>#REF!</v>
      </c>
      <c r="GA244" t="e">
        <f>AND(#REF!,"AAAAAD/dT7Y=")</f>
        <v>#REF!</v>
      </c>
      <c r="GB244" t="e">
        <f>AND(#REF!,"AAAAAD/dT7c=")</f>
        <v>#REF!</v>
      </c>
      <c r="GC244" t="e">
        <f>AND(#REF!,"AAAAAD/dT7g=")</f>
        <v>#REF!</v>
      </c>
      <c r="GD244" t="e">
        <f>AND(#REF!,"AAAAAD/dT7k=")</f>
        <v>#REF!</v>
      </c>
      <c r="GE244" t="e">
        <f>AND(#REF!,"AAAAAD/dT7o=")</f>
        <v>#REF!</v>
      </c>
      <c r="GF244" t="e">
        <f>AND(#REF!,"AAAAAD/dT7s=")</f>
        <v>#REF!</v>
      </c>
      <c r="GG244" t="e">
        <f>AND(#REF!,"AAAAAD/dT7w=")</f>
        <v>#REF!</v>
      </c>
      <c r="GH244" t="e">
        <f>AND(#REF!,"AAAAAD/dT70=")</f>
        <v>#REF!</v>
      </c>
      <c r="GI244" t="e">
        <f>AND(#REF!,"AAAAAD/dT74=")</f>
        <v>#REF!</v>
      </c>
      <c r="GJ244" t="e">
        <f>AND(#REF!,"AAAAAD/dT78=")</f>
        <v>#REF!</v>
      </c>
      <c r="GK244" t="e">
        <f>AND(#REF!,"AAAAAD/dT8A=")</f>
        <v>#REF!</v>
      </c>
      <c r="GL244" t="e">
        <f>AND(#REF!,"AAAAAD/dT8E=")</f>
        <v>#REF!</v>
      </c>
      <c r="GM244" t="e">
        <f>AND(#REF!,"AAAAAD/dT8I=")</f>
        <v>#REF!</v>
      </c>
      <c r="GN244" t="e">
        <f>AND(#REF!,"AAAAAD/dT8M=")</f>
        <v>#REF!</v>
      </c>
      <c r="GO244" t="e">
        <f>AND(#REF!,"AAAAAD/dT8Q=")</f>
        <v>#REF!</v>
      </c>
      <c r="GP244" t="e">
        <f>AND(#REF!,"AAAAAD/dT8U=")</f>
        <v>#REF!</v>
      </c>
      <c r="GQ244" t="e">
        <f>AND(#REF!,"AAAAAD/dT8Y=")</f>
        <v>#REF!</v>
      </c>
      <c r="GR244" t="e">
        <f>AND(#REF!,"AAAAAD/dT8c=")</f>
        <v>#REF!</v>
      </c>
      <c r="GS244" t="e">
        <f>AND(#REF!,"AAAAAD/dT8g=")</f>
        <v>#REF!</v>
      </c>
      <c r="GT244" t="e">
        <f>AND(#REF!,"AAAAAD/dT8k=")</f>
        <v>#REF!</v>
      </c>
      <c r="GU244" t="e">
        <f>IF(#REF!,"AAAAAD/dT8o=",0)</f>
        <v>#REF!</v>
      </c>
      <c r="GV244" t="e">
        <f>AND(#REF!,"AAAAAD/dT8s=")</f>
        <v>#REF!</v>
      </c>
      <c r="GW244" t="e">
        <f>AND(#REF!,"AAAAAD/dT8w=")</f>
        <v>#REF!</v>
      </c>
      <c r="GX244" t="e">
        <f>AND(#REF!,"AAAAAD/dT80=")</f>
        <v>#REF!</v>
      </c>
      <c r="GY244" t="e">
        <f>AND(#REF!,"AAAAAD/dT84=")</f>
        <v>#REF!</v>
      </c>
      <c r="GZ244" t="e">
        <f>AND(#REF!,"AAAAAD/dT88=")</f>
        <v>#REF!</v>
      </c>
      <c r="HA244" t="e">
        <f>AND(#REF!,"AAAAAD/dT9A=")</f>
        <v>#REF!</v>
      </c>
      <c r="HB244" t="e">
        <f>AND(#REF!,"AAAAAD/dT9E=")</f>
        <v>#REF!</v>
      </c>
      <c r="HC244" t="e">
        <f>AND(#REF!,"AAAAAD/dT9I=")</f>
        <v>#REF!</v>
      </c>
      <c r="HD244" t="e">
        <f>AND(#REF!,"AAAAAD/dT9M=")</f>
        <v>#REF!</v>
      </c>
      <c r="HE244" t="e">
        <f>AND(#REF!,"AAAAAD/dT9Q=")</f>
        <v>#REF!</v>
      </c>
      <c r="HF244" t="e">
        <f>AND(#REF!,"AAAAAD/dT9U=")</f>
        <v>#REF!</v>
      </c>
      <c r="HG244" t="e">
        <f>AND(#REF!,"AAAAAD/dT9Y=")</f>
        <v>#REF!</v>
      </c>
      <c r="HH244" t="e">
        <f>AND(#REF!,"AAAAAD/dT9c=")</f>
        <v>#REF!</v>
      </c>
      <c r="HI244" t="e">
        <f>AND(#REF!,"AAAAAD/dT9g=")</f>
        <v>#REF!</v>
      </c>
      <c r="HJ244" t="e">
        <f>AND(#REF!,"AAAAAD/dT9k=")</f>
        <v>#REF!</v>
      </c>
      <c r="HK244" t="e">
        <f>AND(#REF!,"AAAAAD/dT9o=")</f>
        <v>#REF!</v>
      </c>
      <c r="HL244" t="e">
        <f>AND(#REF!,"AAAAAD/dT9s=")</f>
        <v>#REF!</v>
      </c>
      <c r="HM244" t="e">
        <f>AND(#REF!,"AAAAAD/dT9w=")</f>
        <v>#REF!</v>
      </c>
      <c r="HN244" t="e">
        <f>AND(#REF!,"AAAAAD/dT90=")</f>
        <v>#REF!</v>
      </c>
      <c r="HO244" t="e">
        <f>AND(#REF!,"AAAAAD/dT94=")</f>
        <v>#REF!</v>
      </c>
      <c r="HP244" t="e">
        <f>AND(#REF!,"AAAAAD/dT98=")</f>
        <v>#REF!</v>
      </c>
      <c r="HQ244" t="e">
        <f>AND(#REF!,"AAAAAD/dT+A=")</f>
        <v>#REF!</v>
      </c>
      <c r="HR244" t="e">
        <f>AND(#REF!,"AAAAAD/dT+E=")</f>
        <v>#REF!</v>
      </c>
      <c r="HS244" t="e">
        <f>AND(#REF!,"AAAAAD/dT+I=")</f>
        <v>#REF!</v>
      </c>
      <c r="HT244" t="e">
        <f>IF(#REF!,"AAAAAD/dT+M=",0)</f>
        <v>#REF!</v>
      </c>
      <c r="HU244" t="e">
        <f>AND(#REF!,"AAAAAD/dT+Q=")</f>
        <v>#REF!</v>
      </c>
      <c r="HV244" t="e">
        <f>AND(#REF!,"AAAAAD/dT+U=")</f>
        <v>#REF!</v>
      </c>
      <c r="HW244" t="e">
        <f>AND(#REF!,"AAAAAD/dT+Y=")</f>
        <v>#REF!</v>
      </c>
      <c r="HX244" t="e">
        <f>AND(#REF!,"AAAAAD/dT+c=")</f>
        <v>#REF!</v>
      </c>
      <c r="HY244" t="e">
        <f>AND(#REF!,"AAAAAD/dT+g=")</f>
        <v>#REF!</v>
      </c>
      <c r="HZ244" t="e">
        <f>AND(#REF!,"AAAAAD/dT+k=")</f>
        <v>#REF!</v>
      </c>
      <c r="IA244" t="e">
        <f>AND(#REF!,"AAAAAD/dT+o=")</f>
        <v>#REF!</v>
      </c>
      <c r="IB244" t="e">
        <f>AND(#REF!,"AAAAAD/dT+s=")</f>
        <v>#REF!</v>
      </c>
      <c r="IC244" t="e">
        <f>AND(#REF!,"AAAAAD/dT+w=")</f>
        <v>#REF!</v>
      </c>
      <c r="ID244" t="e">
        <f>AND(#REF!,"AAAAAD/dT+0=")</f>
        <v>#REF!</v>
      </c>
      <c r="IE244" t="e">
        <f>AND(#REF!,"AAAAAD/dT+4=")</f>
        <v>#REF!</v>
      </c>
      <c r="IF244" t="e">
        <f>AND(#REF!,"AAAAAD/dT+8=")</f>
        <v>#REF!</v>
      </c>
      <c r="IG244" t="e">
        <f>AND(#REF!,"AAAAAD/dT/A=")</f>
        <v>#REF!</v>
      </c>
      <c r="IH244" t="e">
        <f>AND(#REF!,"AAAAAD/dT/E=")</f>
        <v>#REF!</v>
      </c>
      <c r="II244" t="e">
        <f>AND(#REF!,"AAAAAD/dT/I=")</f>
        <v>#REF!</v>
      </c>
      <c r="IJ244" t="e">
        <f>AND(#REF!,"AAAAAD/dT/M=")</f>
        <v>#REF!</v>
      </c>
      <c r="IK244" t="e">
        <f>AND(#REF!,"AAAAAD/dT/Q=")</f>
        <v>#REF!</v>
      </c>
      <c r="IL244" t="e">
        <f>AND(#REF!,"AAAAAD/dT/U=")</f>
        <v>#REF!</v>
      </c>
      <c r="IM244" t="e">
        <f>AND(#REF!,"AAAAAD/dT/Y=")</f>
        <v>#REF!</v>
      </c>
      <c r="IN244" t="e">
        <f>AND(#REF!,"AAAAAD/dT/c=")</f>
        <v>#REF!</v>
      </c>
      <c r="IO244" t="e">
        <f>AND(#REF!,"AAAAAD/dT/g=")</f>
        <v>#REF!</v>
      </c>
      <c r="IP244" t="e">
        <f>AND(#REF!,"AAAAAD/dT/k=")</f>
        <v>#REF!</v>
      </c>
      <c r="IQ244" t="e">
        <f>AND(#REF!,"AAAAAD/dT/o=")</f>
        <v>#REF!</v>
      </c>
      <c r="IR244" t="e">
        <f>AND(#REF!,"AAAAAD/dT/s=")</f>
        <v>#REF!</v>
      </c>
      <c r="IS244" t="e">
        <f>IF(#REF!,"AAAAAD/dT/w=",0)</f>
        <v>#REF!</v>
      </c>
      <c r="IT244" t="e">
        <f>AND(#REF!,"AAAAAD/dT/0=")</f>
        <v>#REF!</v>
      </c>
      <c r="IU244" t="e">
        <f>AND(#REF!,"AAAAAD/dT/4=")</f>
        <v>#REF!</v>
      </c>
      <c r="IV244" t="e">
        <f>AND(#REF!,"AAAAAD/dT/8=")</f>
        <v>#REF!</v>
      </c>
    </row>
    <row r="245" spans="1:256">
      <c r="A245" t="e">
        <f>AND(#REF!,"AAAAAG/U3wA=")</f>
        <v>#REF!</v>
      </c>
      <c r="B245" t="e">
        <f>AND(#REF!,"AAAAAG/U3wE=")</f>
        <v>#REF!</v>
      </c>
      <c r="C245" t="e">
        <f>AND(#REF!,"AAAAAG/U3wI=")</f>
        <v>#REF!</v>
      </c>
      <c r="D245" t="e">
        <f>AND(#REF!,"AAAAAG/U3wM=")</f>
        <v>#REF!</v>
      </c>
      <c r="E245" t="e">
        <f>AND(#REF!,"AAAAAG/U3wQ=")</f>
        <v>#REF!</v>
      </c>
      <c r="F245" t="e">
        <f>AND(#REF!,"AAAAAG/U3wU=")</f>
        <v>#REF!</v>
      </c>
      <c r="G245" t="e">
        <f>AND(#REF!,"AAAAAG/U3wY=")</f>
        <v>#REF!</v>
      </c>
      <c r="H245" t="e">
        <f>AND(#REF!,"AAAAAG/U3wc=")</f>
        <v>#REF!</v>
      </c>
      <c r="I245" t="e">
        <f>AND(#REF!,"AAAAAG/U3wg=")</f>
        <v>#REF!</v>
      </c>
      <c r="J245" t="e">
        <f>AND(#REF!,"AAAAAG/U3wk=")</f>
        <v>#REF!</v>
      </c>
      <c r="K245" t="e">
        <f>AND(#REF!,"AAAAAG/U3wo=")</f>
        <v>#REF!</v>
      </c>
      <c r="L245" t="e">
        <f>AND(#REF!,"AAAAAG/U3ws=")</f>
        <v>#REF!</v>
      </c>
      <c r="M245" t="e">
        <f>AND(#REF!,"AAAAAG/U3ww=")</f>
        <v>#REF!</v>
      </c>
      <c r="N245" t="e">
        <f>AND(#REF!,"AAAAAG/U3w0=")</f>
        <v>#REF!</v>
      </c>
      <c r="O245" t="e">
        <f>AND(#REF!,"AAAAAG/U3w4=")</f>
        <v>#REF!</v>
      </c>
      <c r="P245" t="e">
        <f>AND(#REF!,"AAAAAG/U3w8=")</f>
        <v>#REF!</v>
      </c>
      <c r="Q245" t="e">
        <f>AND(#REF!,"AAAAAG/U3xA=")</f>
        <v>#REF!</v>
      </c>
      <c r="R245" t="e">
        <f>AND(#REF!,"AAAAAG/U3xE=")</f>
        <v>#REF!</v>
      </c>
      <c r="S245" t="e">
        <f>AND(#REF!,"AAAAAG/U3xI=")</f>
        <v>#REF!</v>
      </c>
      <c r="T245" t="e">
        <f>AND(#REF!,"AAAAAG/U3xM=")</f>
        <v>#REF!</v>
      </c>
      <c r="U245" t="e">
        <f>AND(#REF!,"AAAAAG/U3xQ=")</f>
        <v>#REF!</v>
      </c>
      <c r="V245" t="e">
        <f>IF(#REF!,"AAAAAG/U3xU=",0)</f>
        <v>#REF!</v>
      </c>
      <c r="W245" t="e">
        <f>AND(#REF!,"AAAAAG/U3xY=")</f>
        <v>#REF!</v>
      </c>
      <c r="X245" t="e">
        <f>AND(#REF!,"AAAAAG/U3xc=")</f>
        <v>#REF!</v>
      </c>
      <c r="Y245" t="e">
        <f>AND(#REF!,"AAAAAG/U3xg=")</f>
        <v>#REF!</v>
      </c>
      <c r="Z245" t="e">
        <f>AND(#REF!,"AAAAAG/U3xk=")</f>
        <v>#REF!</v>
      </c>
      <c r="AA245" t="e">
        <f>AND(#REF!,"AAAAAG/U3xo=")</f>
        <v>#REF!</v>
      </c>
      <c r="AB245" t="e">
        <f>AND(#REF!,"AAAAAG/U3xs=")</f>
        <v>#REF!</v>
      </c>
      <c r="AC245" t="e">
        <f>AND(#REF!,"AAAAAG/U3xw=")</f>
        <v>#REF!</v>
      </c>
      <c r="AD245" t="e">
        <f>AND(#REF!,"AAAAAG/U3x0=")</f>
        <v>#REF!</v>
      </c>
      <c r="AE245" t="e">
        <f>AND(#REF!,"AAAAAG/U3x4=")</f>
        <v>#REF!</v>
      </c>
      <c r="AF245" t="e">
        <f>AND(#REF!,"AAAAAG/U3x8=")</f>
        <v>#REF!</v>
      </c>
      <c r="AG245" t="e">
        <f>AND(#REF!,"AAAAAG/U3yA=")</f>
        <v>#REF!</v>
      </c>
      <c r="AH245" t="e">
        <f>AND(#REF!,"AAAAAG/U3yE=")</f>
        <v>#REF!</v>
      </c>
      <c r="AI245" t="e">
        <f>AND(#REF!,"AAAAAG/U3yI=")</f>
        <v>#REF!</v>
      </c>
      <c r="AJ245" t="e">
        <f>AND(#REF!,"AAAAAG/U3yM=")</f>
        <v>#REF!</v>
      </c>
      <c r="AK245" t="e">
        <f>AND(#REF!,"AAAAAG/U3yQ=")</f>
        <v>#REF!</v>
      </c>
      <c r="AL245" t="e">
        <f>AND(#REF!,"AAAAAG/U3yU=")</f>
        <v>#REF!</v>
      </c>
      <c r="AM245" t="e">
        <f>AND(#REF!,"AAAAAG/U3yY=")</f>
        <v>#REF!</v>
      </c>
      <c r="AN245" t="e">
        <f>AND(#REF!,"AAAAAG/U3yc=")</f>
        <v>#REF!</v>
      </c>
      <c r="AO245" t="e">
        <f>AND(#REF!,"AAAAAG/U3yg=")</f>
        <v>#REF!</v>
      </c>
      <c r="AP245" t="e">
        <f>AND(#REF!,"AAAAAG/U3yk=")</f>
        <v>#REF!</v>
      </c>
      <c r="AQ245" t="e">
        <f>AND(#REF!,"AAAAAG/U3yo=")</f>
        <v>#REF!</v>
      </c>
      <c r="AR245" t="e">
        <f>AND(#REF!,"AAAAAG/U3ys=")</f>
        <v>#REF!</v>
      </c>
      <c r="AS245" t="e">
        <f>AND(#REF!,"AAAAAG/U3yw=")</f>
        <v>#REF!</v>
      </c>
      <c r="AT245" t="e">
        <f>AND(#REF!,"AAAAAG/U3y0=")</f>
        <v>#REF!</v>
      </c>
      <c r="AU245" t="e">
        <f>IF(#REF!,"AAAAAG/U3y4=",0)</f>
        <v>#REF!</v>
      </c>
      <c r="AV245" t="e">
        <f>AND(#REF!,"AAAAAG/U3y8=")</f>
        <v>#REF!</v>
      </c>
      <c r="AW245" t="e">
        <f>AND(#REF!,"AAAAAG/U3zA=")</f>
        <v>#REF!</v>
      </c>
      <c r="AX245" t="e">
        <f>AND(#REF!,"AAAAAG/U3zE=")</f>
        <v>#REF!</v>
      </c>
      <c r="AY245" t="e">
        <f>AND(#REF!,"AAAAAG/U3zI=")</f>
        <v>#REF!</v>
      </c>
      <c r="AZ245" t="e">
        <f>AND(#REF!,"AAAAAG/U3zM=")</f>
        <v>#REF!</v>
      </c>
      <c r="BA245" t="e">
        <f>AND(#REF!,"AAAAAG/U3zQ=")</f>
        <v>#REF!</v>
      </c>
      <c r="BB245" t="e">
        <f>AND(#REF!,"AAAAAG/U3zU=")</f>
        <v>#REF!</v>
      </c>
      <c r="BC245" t="e">
        <f>AND(#REF!,"AAAAAG/U3zY=")</f>
        <v>#REF!</v>
      </c>
      <c r="BD245" t="e">
        <f>AND(#REF!,"AAAAAG/U3zc=")</f>
        <v>#REF!</v>
      </c>
      <c r="BE245" t="e">
        <f>AND(#REF!,"AAAAAG/U3zg=")</f>
        <v>#REF!</v>
      </c>
      <c r="BF245" t="e">
        <f>AND(#REF!,"AAAAAG/U3zk=")</f>
        <v>#REF!</v>
      </c>
      <c r="BG245" t="e">
        <f>AND(#REF!,"AAAAAG/U3zo=")</f>
        <v>#REF!</v>
      </c>
      <c r="BH245" t="e">
        <f>AND(#REF!,"AAAAAG/U3zs=")</f>
        <v>#REF!</v>
      </c>
      <c r="BI245" t="e">
        <f>AND(#REF!,"AAAAAG/U3zw=")</f>
        <v>#REF!</v>
      </c>
      <c r="BJ245" t="e">
        <f>AND(#REF!,"AAAAAG/U3z0=")</f>
        <v>#REF!</v>
      </c>
      <c r="BK245" t="e">
        <f>AND(#REF!,"AAAAAG/U3z4=")</f>
        <v>#REF!</v>
      </c>
      <c r="BL245" t="e">
        <f>AND(#REF!,"AAAAAG/U3z8=")</f>
        <v>#REF!</v>
      </c>
      <c r="BM245" t="e">
        <f>AND(#REF!,"AAAAAG/U30A=")</f>
        <v>#REF!</v>
      </c>
      <c r="BN245" t="e">
        <f>AND(#REF!,"AAAAAG/U30E=")</f>
        <v>#REF!</v>
      </c>
      <c r="BO245" t="e">
        <f>AND(#REF!,"AAAAAG/U30I=")</f>
        <v>#REF!</v>
      </c>
      <c r="BP245" t="e">
        <f>AND(#REF!,"AAAAAG/U30M=")</f>
        <v>#REF!</v>
      </c>
      <c r="BQ245" t="e">
        <f>AND(#REF!,"AAAAAG/U30Q=")</f>
        <v>#REF!</v>
      </c>
      <c r="BR245" t="e">
        <f>AND(#REF!,"AAAAAG/U30U=")</f>
        <v>#REF!</v>
      </c>
      <c r="BS245" t="e">
        <f>AND(#REF!,"AAAAAG/U30Y=")</f>
        <v>#REF!</v>
      </c>
      <c r="BT245" t="e">
        <f>IF(#REF!,"AAAAAG/U30c=",0)</f>
        <v>#REF!</v>
      </c>
      <c r="BU245" t="e">
        <f>AND(#REF!,"AAAAAG/U30g=")</f>
        <v>#REF!</v>
      </c>
      <c r="BV245" t="e">
        <f>AND(#REF!,"AAAAAG/U30k=")</f>
        <v>#REF!</v>
      </c>
      <c r="BW245" t="e">
        <f>AND(#REF!,"AAAAAG/U30o=")</f>
        <v>#REF!</v>
      </c>
      <c r="BX245" t="e">
        <f>AND(#REF!,"AAAAAG/U30s=")</f>
        <v>#REF!</v>
      </c>
      <c r="BY245" t="e">
        <f>AND(#REF!,"AAAAAG/U30w=")</f>
        <v>#REF!</v>
      </c>
      <c r="BZ245" t="e">
        <f>AND(#REF!,"AAAAAG/U300=")</f>
        <v>#REF!</v>
      </c>
      <c r="CA245" t="e">
        <f>AND(#REF!,"AAAAAG/U304=")</f>
        <v>#REF!</v>
      </c>
      <c r="CB245" t="e">
        <f>AND(#REF!,"AAAAAG/U308=")</f>
        <v>#REF!</v>
      </c>
      <c r="CC245" t="e">
        <f>AND(#REF!,"AAAAAG/U31A=")</f>
        <v>#REF!</v>
      </c>
      <c r="CD245" t="e">
        <f>AND(#REF!,"AAAAAG/U31E=")</f>
        <v>#REF!</v>
      </c>
      <c r="CE245" t="e">
        <f>AND(#REF!,"AAAAAG/U31I=")</f>
        <v>#REF!</v>
      </c>
      <c r="CF245" t="e">
        <f>AND(#REF!,"AAAAAG/U31M=")</f>
        <v>#REF!</v>
      </c>
      <c r="CG245" t="e">
        <f>AND(#REF!,"AAAAAG/U31Q=")</f>
        <v>#REF!</v>
      </c>
      <c r="CH245" t="e">
        <f>AND(#REF!,"AAAAAG/U31U=")</f>
        <v>#REF!</v>
      </c>
      <c r="CI245" t="e">
        <f>AND(#REF!,"AAAAAG/U31Y=")</f>
        <v>#REF!</v>
      </c>
      <c r="CJ245" t="e">
        <f>AND(#REF!,"AAAAAG/U31c=")</f>
        <v>#REF!</v>
      </c>
      <c r="CK245" t="e">
        <f>AND(#REF!,"AAAAAG/U31g=")</f>
        <v>#REF!</v>
      </c>
      <c r="CL245" t="e">
        <f>AND(#REF!,"AAAAAG/U31k=")</f>
        <v>#REF!</v>
      </c>
      <c r="CM245" t="e">
        <f>AND(#REF!,"AAAAAG/U31o=")</f>
        <v>#REF!</v>
      </c>
      <c r="CN245" t="e">
        <f>AND(#REF!,"AAAAAG/U31s=")</f>
        <v>#REF!</v>
      </c>
      <c r="CO245" t="e">
        <f>AND(#REF!,"AAAAAG/U31w=")</f>
        <v>#REF!</v>
      </c>
      <c r="CP245" t="e">
        <f>AND(#REF!,"AAAAAG/U310=")</f>
        <v>#REF!</v>
      </c>
      <c r="CQ245" t="e">
        <f>AND(#REF!,"AAAAAG/U314=")</f>
        <v>#REF!</v>
      </c>
      <c r="CR245" t="e">
        <f>AND(#REF!,"AAAAAG/U318=")</f>
        <v>#REF!</v>
      </c>
      <c r="CS245" t="e">
        <f>IF(#REF!,"AAAAAG/U32A=",0)</f>
        <v>#REF!</v>
      </c>
      <c r="CT245" t="e">
        <f>AND(#REF!,"AAAAAG/U32E=")</f>
        <v>#REF!</v>
      </c>
      <c r="CU245" t="e">
        <f>AND(#REF!,"AAAAAG/U32I=")</f>
        <v>#REF!</v>
      </c>
      <c r="CV245" t="e">
        <f>AND(#REF!,"AAAAAG/U32M=")</f>
        <v>#REF!</v>
      </c>
      <c r="CW245" t="e">
        <f>AND(#REF!,"AAAAAG/U32Q=")</f>
        <v>#REF!</v>
      </c>
      <c r="CX245" t="e">
        <f>AND(#REF!,"AAAAAG/U32U=")</f>
        <v>#REF!</v>
      </c>
      <c r="CY245" t="e">
        <f>AND(#REF!,"AAAAAG/U32Y=")</f>
        <v>#REF!</v>
      </c>
      <c r="CZ245" t="e">
        <f>AND(#REF!,"AAAAAG/U32c=")</f>
        <v>#REF!</v>
      </c>
      <c r="DA245" t="e">
        <f>AND(#REF!,"AAAAAG/U32g=")</f>
        <v>#REF!</v>
      </c>
      <c r="DB245" t="e">
        <f>AND(#REF!,"AAAAAG/U32k=")</f>
        <v>#REF!</v>
      </c>
      <c r="DC245" t="e">
        <f>AND(#REF!,"AAAAAG/U32o=")</f>
        <v>#REF!</v>
      </c>
      <c r="DD245" t="e">
        <f>AND(#REF!,"AAAAAG/U32s=")</f>
        <v>#REF!</v>
      </c>
      <c r="DE245" t="e">
        <f>AND(#REF!,"AAAAAG/U32w=")</f>
        <v>#REF!</v>
      </c>
      <c r="DF245" t="e">
        <f>AND(#REF!,"AAAAAG/U320=")</f>
        <v>#REF!</v>
      </c>
      <c r="DG245" t="e">
        <f>AND(#REF!,"AAAAAG/U324=")</f>
        <v>#REF!</v>
      </c>
      <c r="DH245" t="e">
        <f>AND(#REF!,"AAAAAG/U328=")</f>
        <v>#REF!</v>
      </c>
      <c r="DI245" t="e">
        <f>AND(#REF!,"AAAAAG/U33A=")</f>
        <v>#REF!</v>
      </c>
      <c r="DJ245" t="e">
        <f>AND(#REF!,"AAAAAG/U33E=")</f>
        <v>#REF!</v>
      </c>
      <c r="DK245" t="e">
        <f>AND(#REF!,"AAAAAG/U33I=")</f>
        <v>#REF!</v>
      </c>
      <c r="DL245" t="e">
        <f>AND(#REF!,"AAAAAG/U33M=")</f>
        <v>#REF!</v>
      </c>
      <c r="DM245" t="e">
        <f>AND(#REF!,"AAAAAG/U33Q=")</f>
        <v>#REF!</v>
      </c>
      <c r="DN245" t="e">
        <f>AND(#REF!,"AAAAAG/U33U=")</f>
        <v>#REF!</v>
      </c>
      <c r="DO245" t="e">
        <f>AND(#REF!,"AAAAAG/U33Y=")</f>
        <v>#REF!</v>
      </c>
      <c r="DP245" t="e">
        <f>AND(#REF!,"AAAAAG/U33c=")</f>
        <v>#REF!</v>
      </c>
      <c r="DQ245" t="e">
        <f>AND(#REF!,"AAAAAG/U33g=")</f>
        <v>#REF!</v>
      </c>
      <c r="DR245" t="e">
        <f>IF(#REF!,"AAAAAG/U33k=",0)</f>
        <v>#REF!</v>
      </c>
      <c r="DS245" t="e">
        <f>AND(#REF!,"AAAAAG/U33o=")</f>
        <v>#REF!</v>
      </c>
      <c r="DT245" t="e">
        <f>AND(#REF!,"AAAAAG/U33s=")</f>
        <v>#REF!</v>
      </c>
      <c r="DU245" t="e">
        <f>AND(#REF!,"AAAAAG/U33w=")</f>
        <v>#REF!</v>
      </c>
      <c r="DV245" t="e">
        <f>AND(#REF!,"AAAAAG/U330=")</f>
        <v>#REF!</v>
      </c>
      <c r="DW245" t="e">
        <f>AND(#REF!,"AAAAAG/U334=")</f>
        <v>#REF!</v>
      </c>
      <c r="DX245" t="e">
        <f>AND(#REF!,"AAAAAG/U338=")</f>
        <v>#REF!</v>
      </c>
      <c r="DY245" t="e">
        <f>AND(#REF!,"AAAAAG/U34A=")</f>
        <v>#REF!</v>
      </c>
      <c r="DZ245" t="e">
        <f>AND(#REF!,"AAAAAG/U34E=")</f>
        <v>#REF!</v>
      </c>
      <c r="EA245" t="e">
        <f>AND(#REF!,"AAAAAG/U34I=")</f>
        <v>#REF!</v>
      </c>
      <c r="EB245" t="e">
        <f>AND(#REF!,"AAAAAG/U34M=")</f>
        <v>#REF!</v>
      </c>
      <c r="EC245" t="e">
        <f>AND(#REF!,"AAAAAG/U34Q=")</f>
        <v>#REF!</v>
      </c>
      <c r="ED245" t="e">
        <f>AND(#REF!,"AAAAAG/U34U=")</f>
        <v>#REF!</v>
      </c>
      <c r="EE245" t="e">
        <f>AND(#REF!,"AAAAAG/U34Y=")</f>
        <v>#REF!</v>
      </c>
      <c r="EF245" t="e">
        <f>AND(#REF!,"AAAAAG/U34c=")</f>
        <v>#REF!</v>
      </c>
      <c r="EG245" t="e">
        <f>AND(#REF!,"AAAAAG/U34g=")</f>
        <v>#REF!</v>
      </c>
      <c r="EH245" t="e">
        <f>AND(#REF!,"AAAAAG/U34k=")</f>
        <v>#REF!</v>
      </c>
      <c r="EI245" t="e">
        <f>AND(#REF!,"AAAAAG/U34o=")</f>
        <v>#REF!</v>
      </c>
      <c r="EJ245" t="e">
        <f>AND(#REF!,"AAAAAG/U34s=")</f>
        <v>#REF!</v>
      </c>
      <c r="EK245" t="e">
        <f>AND(#REF!,"AAAAAG/U34w=")</f>
        <v>#REF!</v>
      </c>
      <c r="EL245" t="e">
        <f>AND(#REF!,"AAAAAG/U340=")</f>
        <v>#REF!</v>
      </c>
      <c r="EM245" t="e">
        <f>AND(#REF!,"AAAAAG/U344=")</f>
        <v>#REF!</v>
      </c>
      <c r="EN245" t="e">
        <f>AND(#REF!,"AAAAAG/U348=")</f>
        <v>#REF!</v>
      </c>
      <c r="EO245" t="e">
        <f>AND(#REF!,"AAAAAG/U35A=")</f>
        <v>#REF!</v>
      </c>
      <c r="EP245" t="e">
        <f>AND(#REF!,"AAAAAG/U35E=")</f>
        <v>#REF!</v>
      </c>
      <c r="EQ245" t="e">
        <f>IF(#REF!,"AAAAAG/U35I=",0)</f>
        <v>#REF!</v>
      </c>
      <c r="ER245" t="e">
        <f>AND(#REF!,"AAAAAG/U35M=")</f>
        <v>#REF!</v>
      </c>
      <c r="ES245" t="e">
        <f>AND(#REF!,"AAAAAG/U35Q=")</f>
        <v>#REF!</v>
      </c>
      <c r="ET245" t="e">
        <f>AND(#REF!,"AAAAAG/U35U=")</f>
        <v>#REF!</v>
      </c>
      <c r="EU245" t="e">
        <f>AND(#REF!,"AAAAAG/U35Y=")</f>
        <v>#REF!</v>
      </c>
      <c r="EV245" t="e">
        <f>AND(#REF!,"AAAAAG/U35c=")</f>
        <v>#REF!</v>
      </c>
      <c r="EW245" t="e">
        <f>AND(#REF!,"AAAAAG/U35g=")</f>
        <v>#REF!</v>
      </c>
      <c r="EX245" t="e">
        <f>AND(#REF!,"AAAAAG/U35k=")</f>
        <v>#REF!</v>
      </c>
      <c r="EY245" t="e">
        <f>AND(#REF!,"AAAAAG/U35o=")</f>
        <v>#REF!</v>
      </c>
      <c r="EZ245" t="e">
        <f>AND(#REF!,"AAAAAG/U35s=")</f>
        <v>#REF!</v>
      </c>
      <c r="FA245" t="e">
        <f>AND(#REF!,"AAAAAG/U35w=")</f>
        <v>#REF!</v>
      </c>
      <c r="FB245" t="e">
        <f>AND(#REF!,"AAAAAG/U350=")</f>
        <v>#REF!</v>
      </c>
      <c r="FC245" t="e">
        <f>AND(#REF!,"AAAAAG/U354=")</f>
        <v>#REF!</v>
      </c>
      <c r="FD245" t="e">
        <f>AND(#REF!,"AAAAAG/U358=")</f>
        <v>#REF!</v>
      </c>
      <c r="FE245" t="e">
        <f>AND(#REF!,"AAAAAG/U36A=")</f>
        <v>#REF!</v>
      </c>
      <c r="FF245" t="e">
        <f>AND(#REF!,"AAAAAG/U36E=")</f>
        <v>#REF!</v>
      </c>
      <c r="FG245" t="e">
        <f>AND(#REF!,"AAAAAG/U36I=")</f>
        <v>#REF!</v>
      </c>
      <c r="FH245" t="e">
        <f>AND(#REF!,"AAAAAG/U36M=")</f>
        <v>#REF!</v>
      </c>
      <c r="FI245" t="e">
        <f>AND(#REF!,"AAAAAG/U36Q=")</f>
        <v>#REF!</v>
      </c>
      <c r="FJ245" t="e">
        <f>AND(#REF!,"AAAAAG/U36U=")</f>
        <v>#REF!</v>
      </c>
      <c r="FK245" t="e">
        <f>AND(#REF!,"AAAAAG/U36Y=")</f>
        <v>#REF!</v>
      </c>
      <c r="FL245" t="e">
        <f>AND(#REF!,"AAAAAG/U36c=")</f>
        <v>#REF!</v>
      </c>
      <c r="FM245" t="e">
        <f>AND(#REF!,"AAAAAG/U36g=")</f>
        <v>#REF!</v>
      </c>
      <c r="FN245" t="e">
        <f>AND(#REF!,"AAAAAG/U36k=")</f>
        <v>#REF!</v>
      </c>
      <c r="FO245" t="e">
        <f>AND(#REF!,"AAAAAG/U36o=")</f>
        <v>#REF!</v>
      </c>
      <c r="FP245" t="e">
        <f>IF(#REF!,"AAAAAG/U36s=",0)</f>
        <v>#REF!</v>
      </c>
      <c r="FQ245" t="e">
        <f>AND(#REF!,"AAAAAG/U36w=")</f>
        <v>#REF!</v>
      </c>
      <c r="FR245" t="e">
        <f>AND(#REF!,"AAAAAG/U360=")</f>
        <v>#REF!</v>
      </c>
      <c r="FS245" t="e">
        <f>AND(#REF!,"AAAAAG/U364=")</f>
        <v>#REF!</v>
      </c>
      <c r="FT245" t="e">
        <f>AND(#REF!,"AAAAAG/U368=")</f>
        <v>#REF!</v>
      </c>
      <c r="FU245" t="e">
        <f>AND(#REF!,"AAAAAG/U37A=")</f>
        <v>#REF!</v>
      </c>
      <c r="FV245" t="e">
        <f>AND(#REF!,"AAAAAG/U37E=")</f>
        <v>#REF!</v>
      </c>
      <c r="FW245" t="e">
        <f>AND(#REF!,"AAAAAG/U37I=")</f>
        <v>#REF!</v>
      </c>
      <c r="FX245" t="e">
        <f>AND(#REF!,"AAAAAG/U37M=")</f>
        <v>#REF!</v>
      </c>
      <c r="FY245" t="e">
        <f>AND(#REF!,"AAAAAG/U37Q=")</f>
        <v>#REF!</v>
      </c>
      <c r="FZ245" t="e">
        <f>AND(#REF!,"AAAAAG/U37U=")</f>
        <v>#REF!</v>
      </c>
      <c r="GA245" t="e">
        <f>AND(#REF!,"AAAAAG/U37Y=")</f>
        <v>#REF!</v>
      </c>
      <c r="GB245" t="e">
        <f>AND(#REF!,"AAAAAG/U37c=")</f>
        <v>#REF!</v>
      </c>
      <c r="GC245" t="e">
        <f>AND(#REF!,"AAAAAG/U37g=")</f>
        <v>#REF!</v>
      </c>
      <c r="GD245" t="e">
        <f>AND(#REF!,"AAAAAG/U37k=")</f>
        <v>#REF!</v>
      </c>
      <c r="GE245" t="e">
        <f>AND(#REF!,"AAAAAG/U37o=")</f>
        <v>#REF!</v>
      </c>
      <c r="GF245" t="e">
        <f>AND(#REF!,"AAAAAG/U37s=")</f>
        <v>#REF!</v>
      </c>
      <c r="GG245" t="e">
        <f>AND(#REF!,"AAAAAG/U37w=")</f>
        <v>#REF!</v>
      </c>
      <c r="GH245" t="e">
        <f>AND(#REF!,"AAAAAG/U370=")</f>
        <v>#REF!</v>
      </c>
      <c r="GI245" t="e">
        <f>AND(#REF!,"AAAAAG/U374=")</f>
        <v>#REF!</v>
      </c>
      <c r="GJ245" t="e">
        <f>AND(#REF!,"AAAAAG/U378=")</f>
        <v>#REF!</v>
      </c>
      <c r="GK245" t="e">
        <f>AND(#REF!,"AAAAAG/U38A=")</f>
        <v>#REF!</v>
      </c>
      <c r="GL245" t="e">
        <f>AND(#REF!,"AAAAAG/U38E=")</f>
        <v>#REF!</v>
      </c>
      <c r="GM245" t="e">
        <f>AND(#REF!,"AAAAAG/U38I=")</f>
        <v>#REF!</v>
      </c>
      <c r="GN245" t="e">
        <f>AND(#REF!,"AAAAAG/U38M=")</f>
        <v>#REF!</v>
      </c>
      <c r="GO245" t="e">
        <f>IF(#REF!,"AAAAAG/U38Q=",0)</f>
        <v>#REF!</v>
      </c>
      <c r="GP245" t="e">
        <f>AND(#REF!,"AAAAAG/U38U=")</f>
        <v>#REF!</v>
      </c>
      <c r="GQ245" t="e">
        <f>AND(#REF!,"AAAAAG/U38Y=")</f>
        <v>#REF!</v>
      </c>
      <c r="GR245" t="e">
        <f>AND(#REF!,"AAAAAG/U38c=")</f>
        <v>#REF!</v>
      </c>
      <c r="GS245" t="e">
        <f>AND(#REF!,"AAAAAG/U38g=")</f>
        <v>#REF!</v>
      </c>
      <c r="GT245" t="e">
        <f>AND(#REF!,"AAAAAG/U38k=")</f>
        <v>#REF!</v>
      </c>
      <c r="GU245" t="e">
        <f>AND(#REF!,"AAAAAG/U38o=")</f>
        <v>#REF!</v>
      </c>
      <c r="GV245" t="e">
        <f>AND(#REF!,"AAAAAG/U38s=")</f>
        <v>#REF!</v>
      </c>
      <c r="GW245" t="e">
        <f>AND(#REF!,"AAAAAG/U38w=")</f>
        <v>#REF!</v>
      </c>
      <c r="GX245" t="e">
        <f>AND(#REF!,"AAAAAG/U380=")</f>
        <v>#REF!</v>
      </c>
      <c r="GY245" t="e">
        <f>AND(#REF!,"AAAAAG/U384=")</f>
        <v>#REF!</v>
      </c>
      <c r="GZ245" t="e">
        <f>AND(#REF!,"AAAAAG/U388=")</f>
        <v>#REF!</v>
      </c>
      <c r="HA245" t="e">
        <f>AND(#REF!,"AAAAAG/U39A=")</f>
        <v>#REF!</v>
      </c>
      <c r="HB245" t="e">
        <f>AND(#REF!,"AAAAAG/U39E=")</f>
        <v>#REF!</v>
      </c>
      <c r="HC245" t="e">
        <f>AND(#REF!,"AAAAAG/U39I=")</f>
        <v>#REF!</v>
      </c>
      <c r="HD245" t="e">
        <f>AND(#REF!,"AAAAAG/U39M=")</f>
        <v>#REF!</v>
      </c>
      <c r="HE245" t="e">
        <f>AND(#REF!,"AAAAAG/U39Q=")</f>
        <v>#REF!</v>
      </c>
      <c r="HF245" t="e">
        <f>AND(#REF!,"AAAAAG/U39U=")</f>
        <v>#REF!</v>
      </c>
      <c r="HG245" t="e">
        <f>AND(#REF!,"AAAAAG/U39Y=")</f>
        <v>#REF!</v>
      </c>
      <c r="HH245" t="e">
        <f>AND(#REF!,"AAAAAG/U39c=")</f>
        <v>#REF!</v>
      </c>
      <c r="HI245" t="e">
        <f>AND(#REF!,"AAAAAG/U39g=")</f>
        <v>#REF!</v>
      </c>
      <c r="HJ245" t="e">
        <f>AND(#REF!,"AAAAAG/U39k=")</f>
        <v>#REF!</v>
      </c>
      <c r="HK245" t="e">
        <f>AND(#REF!,"AAAAAG/U39o=")</f>
        <v>#REF!</v>
      </c>
      <c r="HL245" t="e">
        <f>AND(#REF!,"AAAAAG/U39s=")</f>
        <v>#REF!</v>
      </c>
      <c r="HM245" t="e">
        <f>AND(#REF!,"AAAAAG/U39w=")</f>
        <v>#REF!</v>
      </c>
      <c r="HN245" t="e">
        <f>IF(#REF!,"AAAAAG/U390=",0)</f>
        <v>#REF!</v>
      </c>
      <c r="HO245" t="e">
        <f>AND(#REF!,"AAAAAG/U394=")</f>
        <v>#REF!</v>
      </c>
      <c r="HP245" t="e">
        <f>AND(#REF!,"AAAAAG/U398=")</f>
        <v>#REF!</v>
      </c>
      <c r="HQ245" t="e">
        <f>AND(#REF!,"AAAAAG/U3+A=")</f>
        <v>#REF!</v>
      </c>
      <c r="HR245" t="e">
        <f>AND(#REF!,"AAAAAG/U3+E=")</f>
        <v>#REF!</v>
      </c>
      <c r="HS245" t="e">
        <f>AND(#REF!,"AAAAAG/U3+I=")</f>
        <v>#REF!</v>
      </c>
      <c r="HT245" t="e">
        <f>AND(#REF!,"AAAAAG/U3+M=")</f>
        <v>#REF!</v>
      </c>
      <c r="HU245" t="e">
        <f>AND(#REF!,"AAAAAG/U3+Q=")</f>
        <v>#REF!</v>
      </c>
      <c r="HV245" t="e">
        <f>AND(#REF!,"AAAAAG/U3+U=")</f>
        <v>#REF!</v>
      </c>
      <c r="HW245" t="e">
        <f>AND(#REF!,"AAAAAG/U3+Y=")</f>
        <v>#REF!</v>
      </c>
      <c r="HX245" t="e">
        <f>AND(#REF!,"AAAAAG/U3+c=")</f>
        <v>#REF!</v>
      </c>
      <c r="HY245" t="e">
        <f>AND(#REF!,"AAAAAG/U3+g=")</f>
        <v>#REF!</v>
      </c>
      <c r="HZ245" t="e">
        <f>AND(#REF!,"AAAAAG/U3+k=")</f>
        <v>#REF!</v>
      </c>
      <c r="IA245" t="e">
        <f>AND(#REF!,"AAAAAG/U3+o=")</f>
        <v>#REF!</v>
      </c>
      <c r="IB245" t="e">
        <f>AND(#REF!,"AAAAAG/U3+s=")</f>
        <v>#REF!</v>
      </c>
      <c r="IC245" t="e">
        <f>AND(#REF!,"AAAAAG/U3+w=")</f>
        <v>#REF!</v>
      </c>
      <c r="ID245" t="e">
        <f>AND(#REF!,"AAAAAG/U3+0=")</f>
        <v>#REF!</v>
      </c>
      <c r="IE245" t="e">
        <f>AND(#REF!,"AAAAAG/U3+4=")</f>
        <v>#REF!</v>
      </c>
      <c r="IF245" t="e">
        <f>AND(#REF!,"AAAAAG/U3+8=")</f>
        <v>#REF!</v>
      </c>
      <c r="IG245" t="e">
        <f>AND(#REF!,"AAAAAG/U3/A=")</f>
        <v>#REF!</v>
      </c>
      <c r="IH245" t="e">
        <f>AND(#REF!,"AAAAAG/U3/E=")</f>
        <v>#REF!</v>
      </c>
      <c r="II245" t="e">
        <f>AND(#REF!,"AAAAAG/U3/I=")</f>
        <v>#REF!</v>
      </c>
      <c r="IJ245" t="e">
        <f>AND(#REF!,"AAAAAG/U3/M=")</f>
        <v>#REF!</v>
      </c>
      <c r="IK245" t="e">
        <f>AND(#REF!,"AAAAAG/U3/Q=")</f>
        <v>#REF!</v>
      </c>
      <c r="IL245" t="e">
        <f>AND(#REF!,"AAAAAG/U3/U=")</f>
        <v>#REF!</v>
      </c>
      <c r="IM245" t="e">
        <f>IF(#REF!,"AAAAAG/U3/Y=",0)</f>
        <v>#REF!</v>
      </c>
      <c r="IN245" t="e">
        <f>AND(#REF!,"AAAAAG/U3/c=")</f>
        <v>#REF!</v>
      </c>
      <c r="IO245" t="e">
        <f>AND(#REF!,"AAAAAG/U3/g=")</f>
        <v>#REF!</v>
      </c>
      <c r="IP245" t="e">
        <f>AND(#REF!,"AAAAAG/U3/k=")</f>
        <v>#REF!</v>
      </c>
      <c r="IQ245" t="e">
        <f>AND(#REF!,"AAAAAG/U3/o=")</f>
        <v>#REF!</v>
      </c>
      <c r="IR245" t="e">
        <f>AND(#REF!,"AAAAAG/U3/s=")</f>
        <v>#REF!</v>
      </c>
      <c r="IS245" t="e">
        <f>AND(#REF!,"AAAAAG/U3/w=")</f>
        <v>#REF!</v>
      </c>
      <c r="IT245" t="e">
        <f>AND(#REF!,"AAAAAG/U3/0=")</f>
        <v>#REF!</v>
      </c>
      <c r="IU245" t="e">
        <f>AND(#REF!,"AAAAAG/U3/4=")</f>
        <v>#REF!</v>
      </c>
      <c r="IV245" t="e">
        <f>AND(#REF!,"AAAAAG/U3/8=")</f>
        <v>#REF!</v>
      </c>
    </row>
    <row r="246" spans="1:256">
      <c r="A246" t="e">
        <f>AND(#REF!,"AAAAAD/3ygA=")</f>
        <v>#REF!</v>
      </c>
      <c r="B246" t="e">
        <f>AND(#REF!,"AAAAAD/3ygE=")</f>
        <v>#REF!</v>
      </c>
      <c r="C246" t="e">
        <f>AND(#REF!,"AAAAAD/3ygI=")</f>
        <v>#REF!</v>
      </c>
      <c r="D246" t="e">
        <f>AND(#REF!,"AAAAAD/3ygM=")</f>
        <v>#REF!</v>
      </c>
      <c r="E246" t="e">
        <f>AND(#REF!,"AAAAAD/3ygQ=")</f>
        <v>#REF!</v>
      </c>
      <c r="F246" t="e">
        <f>AND(#REF!,"AAAAAD/3ygU=")</f>
        <v>#REF!</v>
      </c>
      <c r="G246" t="e">
        <f>AND(#REF!,"AAAAAD/3ygY=")</f>
        <v>#REF!</v>
      </c>
      <c r="H246" t="e">
        <f>AND(#REF!,"AAAAAD/3ygc=")</f>
        <v>#REF!</v>
      </c>
      <c r="I246" t="e">
        <f>AND(#REF!,"AAAAAD/3ygg=")</f>
        <v>#REF!</v>
      </c>
      <c r="J246" t="e">
        <f>AND(#REF!,"AAAAAD/3ygk=")</f>
        <v>#REF!</v>
      </c>
      <c r="K246" t="e">
        <f>AND(#REF!,"AAAAAD/3ygo=")</f>
        <v>#REF!</v>
      </c>
      <c r="L246" t="e">
        <f>AND(#REF!,"AAAAAD/3ygs=")</f>
        <v>#REF!</v>
      </c>
      <c r="M246" t="e">
        <f>AND(#REF!,"AAAAAD/3ygw=")</f>
        <v>#REF!</v>
      </c>
      <c r="N246" t="e">
        <f>AND(#REF!,"AAAAAD/3yg0=")</f>
        <v>#REF!</v>
      </c>
      <c r="O246" t="e">
        <f>AND(#REF!,"AAAAAD/3yg4=")</f>
        <v>#REF!</v>
      </c>
      <c r="P246" t="e">
        <f>IF(#REF!,"AAAAAD/3yg8=",0)</f>
        <v>#REF!</v>
      </c>
      <c r="Q246" t="e">
        <f>AND(#REF!,"AAAAAD/3yhA=")</f>
        <v>#REF!</v>
      </c>
      <c r="R246" t="e">
        <f>AND(#REF!,"AAAAAD/3yhE=")</f>
        <v>#REF!</v>
      </c>
      <c r="S246" t="e">
        <f>AND(#REF!,"AAAAAD/3yhI=")</f>
        <v>#REF!</v>
      </c>
      <c r="T246" t="e">
        <f>AND(#REF!,"AAAAAD/3yhM=")</f>
        <v>#REF!</v>
      </c>
      <c r="U246" t="e">
        <f>AND(#REF!,"AAAAAD/3yhQ=")</f>
        <v>#REF!</v>
      </c>
      <c r="V246" t="e">
        <f>AND(#REF!,"AAAAAD/3yhU=")</f>
        <v>#REF!</v>
      </c>
      <c r="W246" t="e">
        <f>AND(#REF!,"AAAAAD/3yhY=")</f>
        <v>#REF!</v>
      </c>
      <c r="X246" t="e">
        <f>AND(#REF!,"AAAAAD/3yhc=")</f>
        <v>#REF!</v>
      </c>
      <c r="Y246" t="e">
        <f>AND(#REF!,"AAAAAD/3yhg=")</f>
        <v>#REF!</v>
      </c>
      <c r="Z246" t="e">
        <f>AND(#REF!,"AAAAAD/3yhk=")</f>
        <v>#REF!</v>
      </c>
      <c r="AA246" t="e">
        <f>AND(#REF!,"AAAAAD/3yho=")</f>
        <v>#REF!</v>
      </c>
      <c r="AB246" t="e">
        <f>AND(#REF!,"AAAAAD/3yhs=")</f>
        <v>#REF!</v>
      </c>
      <c r="AC246" t="e">
        <f>AND(#REF!,"AAAAAD/3yhw=")</f>
        <v>#REF!</v>
      </c>
      <c r="AD246" t="e">
        <f>AND(#REF!,"AAAAAD/3yh0=")</f>
        <v>#REF!</v>
      </c>
      <c r="AE246" t="e">
        <f>AND(#REF!,"AAAAAD/3yh4=")</f>
        <v>#REF!</v>
      </c>
      <c r="AF246" t="e">
        <f>AND(#REF!,"AAAAAD/3yh8=")</f>
        <v>#REF!</v>
      </c>
      <c r="AG246" t="e">
        <f>AND(#REF!,"AAAAAD/3yiA=")</f>
        <v>#REF!</v>
      </c>
      <c r="AH246" t="e">
        <f>AND(#REF!,"AAAAAD/3yiE=")</f>
        <v>#REF!</v>
      </c>
      <c r="AI246" t="e">
        <f>AND(#REF!,"AAAAAD/3yiI=")</f>
        <v>#REF!</v>
      </c>
      <c r="AJ246" t="e">
        <f>AND(#REF!,"AAAAAD/3yiM=")</f>
        <v>#REF!</v>
      </c>
      <c r="AK246" t="e">
        <f>AND(#REF!,"AAAAAD/3yiQ=")</f>
        <v>#REF!</v>
      </c>
      <c r="AL246" t="e">
        <f>AND(#REF!,"AAAAAD/3yiU=")</f>
        <v>#REF!</v>
      </c>
      <c r="AM246" t="e">
        <f>AND(#REF!,"AAAAAD/3yiY=")</f>
        <v>#REF!</v>
      </c>
      <c r="AN246" t="e">
        <f>AND(#REF!,"AAAAAD/3yic=")</f>
        <v>#REF!</v>
      </c>
      <c r="AO246" t="e">
        <f>IF(#REF!,"AAAAAD/3yig=",0)</f>
        <v>#REF!</v>
      </c>
      <c r="AP246" t="e">
        <f>AND(#REF!,"AAAAAD/3yik=")</f>
        <v>#REF!</v>
      </c>
      <c r="AQ246" t="e">
        <f>AND(#REF!,"AAAAAD/3yio=")</f>
        <v>#REF!</v>
      </c>
      <c r="AR246" t="e">
        <f>AND(#REF!,"AAAAAD/3yis=")</f>
        <v>#REF!</v>
      </c>
      <c r="AS246" t="e">
        <f>AND(#REF!,"AAAAAD/3yiw=")</f>
        <v>#REF!</v>
      </c>
      <c r="AT246" t="e">
        <f>AND(#REF!,"AAAAAD/3yi0=")</f>
        <v>#REF!</v>
      </c>
      <c r="AU246" t="e">
        <f>AND(#REF!,"AAAAAD/3yi4=")</f>
        <v>#REF!</v>
      </c>
      <c r="AV246" t="e">
        <f>AND(#REF!,"AAAAAD/3yi8=")</f>
        <v>#REF!</v>
      </c>
      <c r="AW246" t="e">
        <f>AND(#REF!,"AAAAAD/3yjA=")</f>
        <v>#REF!</v>
      </c>
      <c r="AX246" t="e">
        <f>AND(#REF!,"AAAAAD/3yjE=")</f>
        <v>#REF!</v>
      </c>
      <c r="AY246" t="e">
        <f>AND(#REF!,"AAAAAD/3yjI=")</f>
        <v>#REF!</v>
      </c>
      <c r="AZ246" t="e">
        <f>AND(#REF!,"AAAAAD/3yjM=")</f>
        <v>#REF!</v>
      </c>
      <c r="BA246" t="e">
        <f>AND(#REF!,"AAAAAD/3yjQ=")</f>
        <v>#REF!</v>
      </c>
      <c r="BB246" t="e">
        <f>AND(#REF!,"AAAAAD/3yjU=")</f>
        <v>#REF!</v>
      </c>
      <c r="BC246" t="e">
        <f>AND(#REF!,"AAAAAD/3yjY=")</f>
        <v>#REF!</v>
      </c>
      <c r="BD246" t="e">
        <f>AND(#REF!,"AAAAAD/3yjc=")</f>
        <v>#REF!</v>
      </c>
      <c r="BE246" t="e">
        <f>AND(#REF!,"AAAAAD/3yjg=")</f>
        <v>#REF!</v>
      </c>
      <c r="BF246" t="e">
        <f>AND(#REF!,"AAAAAD/3yjk=")</f>
        <v>#REF!</v>
      </c>
      <c r="BG246" t="e">
        <f>AND(#REF!,"AAAAAD/3yjo=")</f>
        <v>#REF!</v>
      </c>
      <c r="BH246" t="e">
        <f>AND(#REF!,"AAAAAD/3yjs=")</f>
        <v>#REF!</v>
      </c>
      <c r="BI246" t="e">
        <f>AND(#REF!,"AAAAAD/3yjw=")</f>
        <v>#REF!</v>
      </c>
      <c r="BJ246" t="e">
        <f>AND(#REF!,"AAAAAD/3yj0=")</f>
        <v>#REF!</v>
      </c>
      <c r="BK246" t="e">
        <f>AND(#REF!,"AAAAAD/3yj4=")</f>
        <v>#REF!</v>
      </c>
      <c r="BL246" t="e">
        <f>AND(#REF!,"AAAAAD/3yj8=")</f>
        <v>#REF!</v>
      </c>
      <c r="BM246" t="e">
        <f>AND(#REF!,"AAAAAD/3ykA=")</f>
        <v>#REF!</v>
      </c>
      <c r="BN246" t="e">
        <f>IF(#REF!,"AAAAAD/3ykE=",0)</f>
        <v>#REF!</v>
      </c>
      <c r="BO246" t="e">
        <f>AND(#REF!,"AAAAAD/3ykI=")</f>
        <v>#REF!</v>
      </c>
      <c r="BP246" t="e">
        <f>AND(#REF!,"AAAAAD/3ykM=")</f>
        <v>#REF!</v>
      </c>
      <c r="BQ246" t="e">
        <f>AND(#REF!,"AAAAAD/3ykQ=")</f>
        <v>#REF!</v>
      </c>
      <c r="BR246" t="e">
        <f>AND(#REF!,"AAAAAD/3ykU=")</f>
        <v>#REF!</v>
      </c>
      <c r="BS246" t="e">
        <f>AND(#REF!,"AAAAAD/3ykY=")</f>
        <v>#REF!</v>
      </c>
      <c r="BT246" t="e">
        <f>AND(#REF!,"AAAAAD/3ykc=")</f>
        <v>#REF!</v>
      </c>
      <c r="BU246" t="e">
        <f>AND(#REF!,"AAAAAD/3ykg=")</f>
        <v>#REF!</v>
      </c>
      <c r="BV246" t="e">
        <f>AND(#REF!,"AAAAAD/3ykk=")</f>
        <v>#REF!</v>
      </c>
      <c r="BW246" t="e">
        <f>AND(#REF!,"AAAAAD/3yko=")</f>
        <v>#REF!</v>
      </c>
      <c r="BX246" t="e">
        <f>AND(#REF!,"AAAAAD/3yks=")</f>
        <v>#REF!</v>
      </c>
      <c r="BY246" t="e">
        <f>AND(#REF!,"AAAAAD/3ykw=")</f>
        <v>#REF!</v>
      </c>
      <c r="BZ246" t="e">
        <f>AND(#REF!,"AAAAAD/3yk0=")</f>
        <v>#REF!</v>
      </c>
      <c r="CA246" t="e">
        <f>AND(#REF!,"AAAAAD/3yk4=")</f>
        <v>#REF!</v>
      </c>
      <c r="CB246" t="e">
        <f>AND(#REF!,"AAAAAD/3yk8=")</f>
        <v>#REF!</v>
      </c>
      <c r="CC246" t="e">
        <f>AND(#REF!,"AAAAAD/3ylA=")</f>
        <v>#REF!</v>
      </c>
      <c r="CD246" t="e">
        <f>AND(#REF!,"AAAAAD/3ylE=")</f>
        <v>#REF!</v>
      </c>
      <c r="CE246" t="e">
        <f>AND(#REF!,"AAAAAD/3ylI=")</f>
        <v>#REF!</v>
      </c>
      <c r="CF246" t="e">
        <f>AND(#REF!,"AAAAAD/3ylM=")</f>
        <v>#REF!</v>
      </c>
      <c r="CG246" t="e">
        <f>AND(#REF!,"AAAAAD/3ylQ=")</f>
        <v>#REF!</v>
      </c>
      <c r="CH246" t="e">
        <f>AND(#REF!,"AAAAAD/3ylU=")</f>
        <v>#REF!</v>
      </c>
      <c r="CI246" t="e">
        <f>AND(#REF!,"AAAAAD/3ylY=")</f>
        <v>#REF!</v>
      </c>
      <c r="CJ246" t="e">
        <f>AND(#REF!,"AAAAAD/3ylc=")</f>
        <v>#REF!</v>
      </c>
      <c r="CK246" t="e">
        <f>AND(#REF!,"AAAAAD/3ylg=")</f>
        <v>#REF!</v>
      </c>
      <c r="CL246" t="e">
        <f>AND(#REF!,"AAAAAD/3ylk=")</f>
        <v>#REF!</v>
      </c>
      <c r="CM246" t="e">
        <f>IF(#REF!,"AAAAAD/3ylo=",0)</f>
        <v>#REF!</v>
      </c>
      <c r="CN246" t="e">
        <f>AND(#REF!,"AAAAAD/3yls=")</f>
        <v>#REF!</v>
      </c>
      <c r="CO246" t="e">
        <f>AND(#REF!,"AAAAAD/3ylw=")</f>
        <v>#REF!</v>
      </c>
      <c r="CP246" t="e">
        <f>AND(#REF!,"AAAAAD/3yl0=")</f>
        <v>#REF!</v>
      </c>
      <c r="CQ246" t="e">
        <f>AND(#REF!,"AAAAAD/3yl4=")</f>
        <v>#REF!</v>
      </c>
      <c r="CR246" t="e">
        <f>AND(#REF!,"AAAAAD/3yl8=")</f>
        <v>#REF!</v>
      </c>
      <c r="CS246" t="e">
        <f>AND(#REF!,"AAAAAD/3ymA=")</f>
        <v>#REF!</v>
      </c>
      <c r="CT246" t="e">
        <f>AND(#REF!,"AAAAAD/3ymE=")</f>
        <v>#REF!</v>
      </c>
      <c r="CU246" t="e">
        <f>AND(#REF!,"AAAAAD/3ymI=")</f>
        <v>#REF!</v>
      </c>
      <c r="CV246" t="e">
        <f>AND(#REF!,"AAAAAD/3ymM=")</f>
        <v>#REF!</v>
      </c>
      <c r="CW246" t="e">
        <f>AND(#REF!,"AAAAAD/3ymQ=")</f>
        <v>#REF!</v>
      </c>
      <c r="CX246" t="e">
        <f>AND(#REF!,"AAAAAD/3ymU=")</f>
        <v>#REF!</v>
      </c>
      <c r="CY246" t="e">
        <f>AND(#REF!,"AAAAAD/3ymY=")</f>
        <v>#REF!</v>
      </c>
      <c r="CZ246" t="e">
        <f>AND(#REF!,"AAAAAD/3ymc=")</f>
        <v>#REF!</v>
      </c>
      <c r="DA246" t="e">
        <f>AND(#REF!,"AAAAAD/3ymg=")</f>
        <v>#REF!</v>
      </c>
      <c r="DB246" t="e">
        <f>AND(#REF!,"AAAAAD/3ymk=")</f>
        <v>#REF!</v>
      </c>
      <c r="DC246" t="e">
        <f>AND(#REF!,"AAAAAD/3ymo=")</f>
        <v>#REF!</v>
      </c>
      <c r="DD246" t="e">
        <f>AND(#REF!,"AAAAAD/3yms=")</f>
        <v>#REF!</v>
      </c>
      <c r="DE246" t="e">
        <f>AND(#REF!,"AAAAAD/3ymw=")</f>
        <v>#REF!</v>
      </c>
      <c r="DF246" t="e">
        <f>AND(#REF!,"AAAAAD/3ym0=")</f>
        <v>#REF!</v>
      </c>
      <c r="DG246" t="e">
        <f>AND(#REF!,"AAAAAD/3ym4=")</f>
        <v>#REF!</v>
      </c>
      <c r="DH246" t="e">
        <f>AND(#REF!,"AAAAAD/3ym8=")</f>
        <v>#REF!</v>
      </c>
      <c r="DI246" t="e">
        <f>AND(#REF!,"AAAAAD/3ynA=")</f>
        <v>#REF!</v>
      </c>
      <c r="DJ246" t="e">
        <f>AND(#REF!,"AAAAAD/3ynE=")</f>
        <v>#REF!</v>
      </c>
      <c r="DK246" t="e">
        <f>AND(#REF!,"AAAAAD/3ynI=")</f>
        <v>#REF!</v>
      </c>
      <c r="DL246" t="e">
        <f>IF(#REF!,"AAAAAD/3ynM=",0)</f>
        <v>#REF!</v>
      </c>
      <c r="DM246" t="e">
        <f>AND(#REF!,"AAAAAD/3ynQ=")</f>
        <v>#REF!</v>
      </c>
      <c r="DN246" t="e">
        <f>AND(#REF!,"AAAAAD/3ynU=")</f>
        <v>#REF!</v>
      </c>
      <c r="DO246" t="e">
        <f>AND(#REF!,"AAAAAD/3ynY=")</f>
        <v>#REF!</v>
      </c>
      <c r="DP246" t="e">
        <f>AND(#REF!,"AAAAAD/3ync=")</f>
        <v>#REF!</v>
      </c>
      <c r="DQ246" t="e">
        <f>AND(#REF!,"AAAAAD/3yng=")</f>
        <v>#REF!</v>
      </c>
      <c r="DR246" t="e">
        <f>AND(#REF!,"AAAAAD/3ynk=")</f>
        <v>#REF!</v>
      </c>
      <c r="DS246" t="e">
        <f>AND(#REF!,"AAAAAD/3yno=")</f>
        <v>#REF!</v>
      </c>
      <c r="DT246" t="e">
        <f>AND(#REF!,"AAAAAD/3yns=")</f>
        <v>#REF!</v>
      </c>
      <c r="DU246" t="e">
        <f>AND(#REF!,"AAAAAD/3ynw=")</f>
        <v>#REF!</v>
      </c>
      <c r="DV246" t="e">
        <f>AND(#REF!,"AAAAAD/3yn0=")</f>
        <v>#REF!</v>
      </c>
      <c r="DW246" t="e">
        <f>AND(#REF!,"AAAAAD/3yn4=")</f>
        <v>#REF!</v>
      </c>
      <c r="DX246" t="e">
        <f>AND(#REF!,"AAAAAD/3yn8=")</f>
        <v>#REF!</v>
      </c>
      <c r="DY246" t="e">
        <f>AND(#REF!,"AAAAAD/3yoA=")</f>
        <v>#REF!</v>
      </c>
      <c r="DZ246" t="e">
        <f>AND(#REF!,"AAAAAD/3yoE=")</f>
        <v>#REF!</v>
      </c>
      <c r="EA246" t="e">
        <f>AND(#REF!,"AAAAAD/3yoI=")</f>
        <v>#REF!</v>
      </c>
      <c r="EB246" t="e">
        <f>AND(#REF!,"AAAAAD/3yoM=")</f>
        <v>#REF!</v>
      </c>
      <c r="EC246" t="e">
        <f>AND(#REF!,"AAAAAD/3yoQ=")</f>
        <v>#REF!</v>
      </c>
      <c r="ED246" t="e">
        <f>AND(#REF!,"AAAAAD/3yoU=")</f>
        <v>#REF!</v>
      </c>
      <c r="EE246" t="e">
        <f>AND(#REF!,"AAAAAD/3yoY=")</f>
        <v>#REF!</v>
      </c>
      <c r="EF246" t="e">
        <f>AND(#REF!,"AAAAAD/3yoc=")</f>
        <v>#REF!</v>
      </c>
      <c r="EG246" t="e">
        <f>AND(#REF!,"AAAAAD/3yog=")</f>
        <v>#REF!</v>
      </c>
      <c r="EH246" t="e">
        <f>AND(#REF!,"AAAAAD/3yok=")</f>
        <v>#REF!</v>
      </c>
      <c r="EI246" t="e">
        <f>AND(#REF!,"AAAAAD/3yoo=")</f>
        <v>#REF!</v>
      </c>
      <c r="EJ246" t="e">
        <f>AND(#REF!,"AAAAAD/3yos=")</f>
        <v>#REF!</v>
      </c>
      <c r="EK246" t="e">
        <f>IF(#REF!,"AAAAAD/3yow=",0)</f>
        <v>#REF!</v>
      </c>
      <c r="EL246" t="e">
        <f>AND(#REF!,"AAAAAD/3yo0=")</f>
        <v>#REF!</v>
      </c>
      <c r="EM246" t="e">
        <f>AND(#REF!,"AAAAAD/3yo4=")</f>
        <v>#REF!</v>
      </c>
      <c r="EN246" t="e">
        <f>AND(#REF!,"AAAAAD/3yo8=")</f>
        <v>#REF!</v>
      </c>
      <c r="EO246" t="e">
        <f>AND(#REF!,"AAAAAD/3ypA=")</f>
        <v>#REF!</v>
      </c>
      <c r="EP246" t="e">
        <f>AND(#REF!,"AAAAAD/3ypE=")</f>
        <v>#REF!</v>
      </c>
      <c r="EQ246" t="e">
        <f>AND(#REF!,"AAAAAD/3ypI=")</f>
        <v>#REF!</v>
      </c>
      <c r="ER246" t="e">
        <f>AND(#REF!,"AAAAAD/3ypM=")</f>
        <v>#REF!</v>
      </c>
      <c r="ES246" t="e">
        <f>AND(#REF!,"AAAAAD/3ypQ=")</f>
        <v>#REF!</v>
      </c>
      <c r="ET246" t="e">
        <f>AND(#REF!,"AAAAAD/3ypU=")</f>
        <v>#REF!</v>
      </c>
      <c r="EU246" t="e">
        <f>AND(#REF!,"AAAAAD/3ypY=")</f>
        <v>#REF!</v>
      </c>
      <c r="EV246" t="e">
        <f>AND(#REF!,"AAAAAD/3ypc=")</f>
        <v>#REF!</v>
      </c>
      <c r="EW246" t="e">
        <f>AND(#REF!,"AAAAAD/3ypg=")</f>
        <v>#REF!</v>
      </c>
      <c r="EX246" t="e">
        <f>AND(#REF!,"AAAAAD/3ypk=")</f>
        <v>#REF!</v>
      </c>
      <c r="EY246" t="e">
        <f>AND(#REF!,"AAAAAD/3ypo=")</f>
        <v>#REF!</v>
      </c>
      <c r="EZ246" t="e">
        <f>AND(#REF!,"AAAAAD/3yps=")</f>
        <v>#REF!</v>
      </c>
      <c r="FA246" t="e">
        <f>AND(#REF!,"AAAAAD/3ypw=")</f>
        <v>#REF!</v>
      </c>
      <c r="FB246" t="e">
        <f>AND(#REF!,"AAAAAD/3yp0=")</f>
        <v>#REF!</v>
      </c>
      <c r="FC246" t="e">
        <f>AND(#REF!,"AAAAAD/3yp4=")</f>
        <v>#REF!</v>
      </c>
      <c r="FD246" t="e">
        <f>AND(#REF!,"AAAAAD/3yp8=")</f>
        <v>#REF!</v>
      </c>
      <c r="FE246" t="e">
        <f>AND(#REF!,"AAAAAD/3yqA=")</f>
        <v>#REF!</v>
      </c>
      <c r="FF246" t="e">
        <f>AND(#REF!,"AAAAAD/3yqE=")</f>
        <v>#REF!</v>
      </c>
      <c r="FG246" t="e">
        <f>AND(#REF!,"AAAAAD/3yqI=")</f>
        <v>#REF!</v>
      </c>
      <c r="FH246" t="e">
        <f>AND(#REF!,"AAAAAD/3yqM=")</f>
        <v>#REF!</v>
      </c>
      <c r="FI246" t="e">
        <f>AND(#REF!,"AAAAAD/3yqQ=")</f>
        <v>#REF!</v>
      </c>
      <c r="FJ246" t="e">
        <f>IF(#REF!,"AAAAAD/3yqU=",0)</f>
        <v>#REF!</v>
      </c>
      <c r="FK246" t="e">
        <f>AND(#REF!,"AAAAAD/3yqY=")</f>
        <v>#REF!</v>
      </c>
      <c r="FL246" t="e">
        <f>AND(#REF!,"AAAAAD/3yqc=")</f>
        <v>#REF!</v>
      </c>
      <c r="FM246" t="e">
        <f>AND(#REF!,"AAAAAD/3yqg=")</f>
        <v>#REF!</v>
      </c>
      <c r="FN246" t="e">
        <f>AND(#REF!,"AAAAAD/3yqk=")</f>
        <v>#REF!</v>
      </c>
      <c r="FO246" t="e">
        <f>AND(#REF!,"AAAAAD/3yqo=")</f>
        <v>#REF!</v>
      </c>
      <c r="FP246" t="e">
        <f>AND(#REF!,"AAAAAD/3yqs=")</f>
        <v>#REF!</v>
      </c>
      <c r="FQ246" t="e">
        <f>AND(#REF!,"AAAAAD/3yqw=")</f>
        <v>#REF!</v>
      </c>
      <c r="FR246" t="e">
        <f>AND(#REF!,"AAAAAD/3yq0=")</f>
        <v>#REF!</v>
      </c>
      <c r="FS246" t="e">
        <f>AND(#REF!,"AAAAAD/3yq4=")</f>
        <v>#REF!</v>
      </c>
      <c r="FT246" t="e">
        <f>AND(#REF!,"AAAAAD/3yq8=")</f>
        <v>#REF!</v>
      </c>
      <c r="FU246" t="e">
        <f>AND(#REF!,"AAAAAD/3yrA=")</f>
        <v>#REF!</v>
      </c>
      <c r="FV246" t="e">
        <f>AND(#REF!,"AAAAAD/3yrE=")</f>
        <v>#REF!</v>
      </c>
      <c r="FW246" t="e">
        <f>AND(#REF!,"AAAAAD/3yrI=")</f>
        <v>#REF!</v>
      </c>
      <c r="FX246" t="e">
        <f>AND(#REF!,"AAAAAD/3yrM=")</f>
        <v>#REF!</v>
      </c>
      <c r="FY246" t="e">
        <f>AND(#REF!,"AAAAAD/3yrQ=")</f>
        <v>#REF!</v>
      </c>
      <c r="FZ246" t="e">
        <f>AND(#REF!,"AAAAAD/3yrU=")</f>
        <v>#REF!</v>
      </c>
      <c r="GA246" t="e">
        <f>AND(#REF!,"AAAAAD/3yrY=")</f>
        <v>#REF!</v>
      </c>
      <c r="GB246" t="e">
        <f>AND(#REF!,"AAAAAD/3yrc=")</f>
        <v>#REF!</v>
      </c>
      <c r="GC246" t="e">
        <f>AND(#REF!,"AAAAAD/3yrg=")</f>
        <v>#REF!</v>
      </c>
      <c r="GD246" t="e">
        <f>AND(#REF!,"AAAAAD/3yrk=")</f>
        <v>#REF!</v>
      </c>
      <c r="GE246" t="e">
        <f>AND(#REF!,"AAAAAD/3yro=")</f>
        <v>#REF!</v>
      </c>
      <c r="GF246" t="e">
        <f>AND(#REF!,"AAAAAD/3yrs=")</f>
        <v>#REF!</v>
      </c>
      <c r="GG246" t="e">
        <f>AND(#REF!,"AAAAAD/3yrw=")</f>
        <v>#REF!</v>
      </c>
      <c r="GH246" t="e">
        <f>AND(#REF!,"AAAAAD/3yr0=")</f>
        <v>#REF!</v>
      </c>
      <c r="GI246" t="e">
        <f>IF(#REF!,"AAAAAD/3yr4=",0)</f>
        <v>#REF!</v>
      </c>
      <c r="GJ246" t="e">
        <f>AND(#REF!,"AAAAAD/3yr8=")</f>
        <v>#REF!</v>
      </c>
      <c r="GK246" t="e">
        <f>AND(#REF!,"AAAAAD/3ysA=")</f>
        <v>#REF!</v>
      </c>
      <c r="GL246" t="e">
        <f>AND(#REF!,"AAAAAD/3ysE=")</f>
        <v>#REF!</v>
      </c>
      <c r="GM246" t="e">
        <f>AND(#REF!,"AAAAAD/3ysI=")</f>
        <v>#REF!</v>
      </c>
      <c r="GN246" t="e">
        <f>AND(#REF!,"AAAAAD/3ysM=")</f>
        <v>#REF!</v>
      </c>
      <c r="GO246" t="e">
        <f>AND(#REF!,"AAAAAD/3ysQ=")</f>
        <v>#REF!</v>
      </c>
      <c r="GP246" t="e">
        <f>AND(#REF!,"AAAAAD/3ysU=")</f>
        <v>#REF!</v>
      </c>
      <c r="GQ246" t="e">
        <f>AND(#REF!,"AAAAAD/3ysY=")</f>
        <v>#REF!</v>
      </c>
      <c r="GR246" t="e">
        <f>AND(#REF!,"AAAAAD/3ysc=")</f>
        <v>#REF!</v>
      </c>
      <c r="GS246" t="e">
        <f>AND(#REF!,"AAAAAD/3ysg=")</f>
        <v>#REF!</v>
      </c>
      <c r="GT246" t="e">
        <f>AND(#REF!,"AAAAAD/3ysk=")</f>
        <v>#REF!</v>
      </c>
      <c r="GU246" t="e">
        <f>AND(#REF!,"AAAAAD/3yso=")</f>
        <v>#REF!</v>
      </c>
      <c r="GV246" t="e">
        <f>AND(#REF!,"AAAAAD/3yss=")</f>
        <v>#REF!</v>
      </c>
      <c r="GW246" t="e">
        <f>AND(#REF!,"AAAAAD/3ysw=")</f>
        <v>#REF!</v>
      </c>
      <c r="GX246" t="e">
        <f>AND(#REF!,"AAAAAD/3ys0=")</f>
        <v>#REF!</v>
      </c>
      <c r="GY246" t="e">
        <f>AND(#REF!,"AAAAAD/3ys4=")</f>
        <v>#REF!</v>
      </c>
      <c r="GZ246" t="e">
        <f>AND(#REF!,"AAAAAD/3ys8=")</f>
        <v>#REF!</v>
      </c>
      <c r="HA246" t="e">
        <f>AND(#REF!,"AAAAAD/3ytA=")</f>
        <v>#REF!</v>
      </c>
      <c r="HB246" t="e">
        <f>AND(#REF!,"AAAAAD/3ytE=")</f>
        <v>#REF!</v>
      </c>
      <c r="HC246" t="e">
        <f>AND(#REF!,"AAAAAD/3ytI=")</f>
        <v>#REF!</v>
      </c>
      <c r="HD246" t="e">
        <f>AND(#REF!,"AAAAAD/3ytM=")</f>
        <v>#REF!</v>
      </c>
      <c r="HE246" t="e">
        <f>AND(#REF!,"AAAAAD/3ytQ=")</f>
        <v>#REF!</v>
      </c>
      <c r="HF246" t="e">
        <f>AND(#REF!,"AAAAAD/3ytU=")</f>
        <v>#REF!</v>
      </c>
      <c r="HG246" t="e">
        <f>AND(#REF!,"AAAAAD/3ytY=")</f>
        <v>#REF!</v>
      </c>
      <c r="HH246" t="e">
        <f>IF(#REF!,"AAAAAD/3ytc=",0)</f>
        <v>#REF!</v>
      </c>
      <c r="HI246" t="e">
        <f>AND(#REF!,"AAAAAD/3ytg=")</f>
        <v>#REF!</v>
      </c>
      <c r="HJ246" t="e">
        <f>AND(#REF!,"AAAAAD/3ytk=")</f>
        <v>#REF!</v>
      </c>
      <c r="HK246" t="e">
        <f>AND(#REF!,"AAAAAD/3yto=")</f>
        <v>#REF!</v>
      </c>
      <c r="HL246" t="e">
        <f>AND(#REF!,"AAAAAD/3yts=")</f>
        <v>#REF!</v>
      </c>
      <c r="HM246" t="e">
        <f>AND(#REF!,"AAAAAD/3ytw=")</f>
        <v>#REF!</v>
      </c>
      <c r="HN246" t="e">
        <f>AND(#REF!,"AAAAAD/3yt0=")</f>
        <v>#REF!</v>
      </c>
      <c r="HO246" t="e">
        <f>AND(#REF!,"AAAAAD/3yt4=")</f>
        <v>#REF!</v>
      </c>
      <c r="HP246" t="e">
        <f>AND(#REF!,"AAAAAD/3yt8=")</f>
        <v>#REF!</v>
      </c>
      <c r="HQ246" t="e">
        <f>AND(#REF!,"AAAAAD/3yuA=")</f>
        <v>#REF!</v>
      </c>
      <c r="HR246" t="e">
        <f>AND(#REF!,"AAAAAD/3yuE=")</f>
        <v>#REF!</v>
      </c>
      <c r="HS246" t="e">
        <f>AND(#REF!,"AAAAAD/3yuI=")</f>
        <v>#REF!</v>
      </c>
      <c r="HT246" t="e">
        <f>AND(#REF!,"AAAAAD/3yuM=")</f>
        <v>#REF!</v>
      </c>
      <c r="HU246" t="e">
        <f>AND(#REF!,"AAAAAD/3yuQ=")</f>
        <v>#REF!</v>
      </c>
      <c r="HV246" t="e">
        <f>AND(#REF!,"AAAAAD/3yuU=")</f>
        <v>#REF!</v>
      </c>
      <c r="HW246" t="e">
        <f>AND(#REF!,"AAAAAD/3yuY=")</f>
        <v>#REF!</v>
      </c>
      <c r="HX246" t="e">
        <f>AND(#REF!,"AAAAAD/3yuc=")</f>
        <v>#REF!</v>
      </c>
      <c r="HY246" t="e">
        <f>AND(#REF!,"AAAAAD/3yug=")</f>
        <v>#REF!</v>
      </c>
      <c r="HZ246" t="e">
        <f>AND(#REF!,"AAAAAD/3yuk=")</f>
        <v>#REF!</v>
      </c>
      <c r="IA246" t="e">
        <f>AND(#REF!,"AAAAAD/3yuo=")</f>
        <v>#REF!</v>
      </c>
      <c r="IB246" t="e">
        <f>AND(#REF!,"AAAAAD/3yus=")</f>
        <v>#REF!</v>
      </c>
      <c r="IC246" t="e">
        <f>AND(#REF!,"AAAAAD/3yuw=")</f>
        <v>#REF!</v>
      </c>
      <c r="ID246" t="e">
        <f>AND(#REF!,"AAAAAD/3yu0=")</f>
        <v>#REF!</v>
      </c>
      <c r="IE246" t="e">
        <f>AND(#REF!,"AAAAAD/3yu4=")</f>
        <v>#REF!</v>
      </c>
      <c r="IF246" t="e">
        <f>AND(#REF!,"AAAAAD/3yu8=")</f>
        <v>#REF!</v>
      </c>
      <c r="IG246" t="e">
        <f>IF(#REF!,"AAAAAD/3yvA=",0)</f>
        <v>#REF!</v>
      </c>
      <c r="IH246" t="e">
        <f>AND(#REF!,"AAAAAD/3yvE=")</f>
        <v>#REF!</v>
      </c>
      <c r="II246" t="e">
        <f>AND(#REF!,"AAAAAD/3yvI=")</f>
        <v>#REF!</v>
      </c>
      <c r="IJ246" t="e">
        <f>AND(#REF!,"AAAAAD/3yvM=")</f>
        <v>#REF!</v>
      </c>
      <c r="IK246" t="e">
        <f>AND(#REF!,"AAAAAD/3yvQ=")</f>
        <v>#REF!</v>
      </c>
      <c r="IL246" t="e">
        <f>AND(#REF!,"AAAAAD/3yvU=")</f>
        <v>#REF!</v>
      </c>
      <c r="IM246" t="e">
        <f>AND(#REF!,"AAAAAD/3yvY=")</f>
        <v>#REF!</v>
      </c>
      <c r="IN246" t="e">
        <f>AND(#REF!,"AAAAAD/3yvc=")</f>
        <v>#REF!</v>
      </c>
      <c r="IO246" t="e">
        <f>AND(#REF!,"AAAAAD/3yvg=")</f>
        <v>#REF!</v>
      </c>
      <c r="IP246" t="e">
        <f>AND(#REF!,"AAAAAD/3yvk=")</f>
        <v>#REF!</v>
      </c>
      <c r="IQ246" t="e">
        <f>AND(#REF!,"AAAAAD/3yvo=")</f>
        <v>#REF!</v>
      </c>
      <c r="IR246" t="e">
        <f>AND(#REF!,"AAAAAD/3yvs=")</f>
        <v>#REF!</v>
      </c>
      <c r="IS246" t="e">
        <f>AND(#REF!,"AAAAAD/3yvw=")</f>
        <v>#REF!</v>
      </c>
      <c r="IT246" t="e">
        <f>AND(#REF!,"AAAAAD/3yv0=")</f>
        <v>#REF!</v>
      </c>
      <c r="IU246" t="e">
        <f>AND(#REF!,"AAAAAD/3yv4=")</f>
        <v>#REF!</v>
      </c>
      <c r="IV246" t="e">
        <f>AND(#REF!,"AAAAAD/3yv8=")</f>
        <v>#REF!</v>
      </c>
    </row>
    <row r="247" spans="1:256">
      <c r="A247" t="e">
        <f>AND(#REF!,"AAAAAC/f/wA=")</f>
        <v>#REF!</v>
      </c>
      <c r="B247" t="e">
        <f>AND(#REF!,"AAAAAC/f/wE=")</f>
        <v>#REF!</v>
      </c>
      <c r="C247" t="e">
        <f>AND(#REF!,"AAAAAC/f/wI=")</f>
        <v>#REF!</v>
      </c>
      <c r="D247" t="e">
        <f>AND(#REF!,"AAAAAC/f/wM=")</f>
        <v>#REF!</v>
      </c>
      <c r="E247" t="e">
        <f>AND(#REF!,"AAAAAC/f/wQ=")</f>
        <v>#REF!</v>
      </c>
      <c r="F247" t="e">
        <f>AND(#REF!,"AAAAAC/f/wU=")</f>
        <v>#REF!</v>
      </c>
      <c r="G247" t="e">
        <f>AND(#REF!,"AAAAAC/f/wY=")</f>
        <v>#REF!</v>
      </c>
      <c r="H247" t="e">
        <f>AND(#REF!,"AAAAAC/f/wc=")</f>
        <v>#REF!</v>
      </c>
      <c r="I247" t="e">
        <f>AND(#REF!,"AAAAAC/f/wg=")</f>
        <v>#REF!</v>
      </c>
      <c r="J247" t="e">
        <f>IF(#REF!,"AAAAAC/f/wk=",0)</f>
        <v>#REF!</v>
      </c>
      <c r="K247" t="e">
        <f>AND(#REF!,"AAAAAC/f/wo=")</f>
        <v>#REF!</v>
      </c>
      <c r="L247" t="e">
        <f>AND(#REF!,"AAAAAC/f/ws=")</f>
        <v>#REF!</v>
      </c>
      <c r="M247" t="e">
        <f>AND(#REF!,"AAAAAC/f/ww=")</f>
        <v>#REF!</v>
      </c>
      <c r="N247" t="e">
        <f>AND(#REF!,"AAAAAC/f/w0=")</f>
        <v>#REF!</v>
      </c>
      <c r="O247" t="e">
        <f>AND(#REF!,"AAAAAC/f/w4=")</f>
        <v>#REF!</v>
      </c>
      <c r="P247" t="e">
        <f>AND(#REF!,"AAAAAC/f/w8=")</f>
        <v>#REF!</v>
      </c>
      <c r="Q247" t="e">
        <f>AND(#REF!,"AAAAAC/f/xA=")</f>
        <v>#REF!</v>
      </c>
      <c r="R247" t="e">
        <f>AND(#REF!,"AAAAAC/f/xE=")</f>
        <v>#REF!</v>
      </c>
      <c r="S247" t="e">
        <f>AND(#REF!,"AAAAAC/f/xI=")</f>
        <v>#REF!</v>
      </c>
      <c r="T247" t="e">
        <f>AND(#REF!,"AAAAAC/f/xM=")</f>
        <v>#REF!</v>
      </c>
      <c r="U247" t="e">
        <f>AND(#REF!,"AAAAAC/f/xQ=")</f>
        <v>#REF!</v>
      </c>
      <c r="V247" t="e">
        <f>AND(#REF!,"AAAAAC/f/xU=")</f>
        <v>#REF!</v>
      </c>
      <c r="W247" t="e">
        <f>AND(#REF!,"AAAAAC/f/xY=")</f>
        <v>#REF!</v>
      </c>
      <c r="X247" t="e">
        <f>AND(#REF!,"AAAAAC/f/xc=")</f>
        <v>#REF!</v>
      </c>
      <c r="Y247" t="e">
        <f>AND(#REF!,"AAAAAC/f/xg=")</f>
        <v>#REF!</v>
      </c>
      <c r="Z247" t="e">
        <f>AND(#REF!,"AAAAAC/f/xk=")</f>
        <v>#REF!</v>
      </c>
      <c r="AA247" t="e">
        <f>AND(#REF!,"AAAAAC/f/xo=")</f>
        <v>#REF!</v>
      </c>
      <c r="AB247" t="e">
        <f>AND(#REF!,"AAAAAC/f/xs=")</f>
        <v>#REF!</v>
      </c>
      <c r="AC247" t="e">
        <f>AND(#REF!,"AAAAAC/f/xw=")</f>
        <v>#REF!</v>
      </c>
      <c r="AD247" t="e">
        <f>AND(#REF!,"AAAAAC/f/x0=")</f>
        <v>#REF!</v>
      </c>
      <c r="AE247" t="e">
        <f>AND(#REF!,"AAAAAC/f/x4=")</f>
        <v>#REF!</v>
      </c>
      <c r="AF247" t="e">
        <f>AND(#REF!,"AAAAAC/f/x8=")</f>
        <v>#REF!</v>
      </c>
      <c r="AG247" t="e">
        <f>AND(#REF!,"AAAAAC/f/yA=")</f>
        <v>#REF!</v>
      </c>
      <c r="AH247" t="e">
        <f>AND(#REF!,"AAAAAC/f/yE=")</f>
        <v>#REF!</v>
      </c>
      <c r="AI247" t="e">
        <f>IF(#REF!,"AAAAAC/f/yI=",0)</f>
        <v>#REF!</v>
      </c>
      <c r="AJ247" t="e">
        <f>AND(#REF!,"AAAAAC/f/yM=")</f>
        <v>#REF!</v>
      </c>
      <c r="AK247" t="e">
        <f>AND(#REF!,"AAAAAC/f/yQ=")</f>
        <v>#REF!</v>
      </c>
      <c r="AL247" t="e">
        <f>AND(#REF!,"AAAAAC/f/yU=")</f>
        <v>#REF!</v>
      </c>
      <c r="AM247" t="e">
        <f>AND(#REF!,"AAAAAC/f/yY=")</f>
        <v>#REF!</v>
      </c>
      <c r="AN247" t="e">
        <f>AND(#REF!,"AAAAAC/f/yc=")</f>
        <v>#REF!</v>
      </c>
      <c r="AO247" t="e">
        <f>AND(#REF!,"AAAAAC/f/yg=")</f>
        <v>#REF!</v>
      </c>
      <c r="AP247" t="e">
        <f>AND(#REF!,"AAAAAC/f/yk=")</f>
        <v>#REF!</v>
      </c>
      <c r="AQ247" t="e">
        <f>AND(#REF!,"AAAAAC/f/yo=")</f>
        <v>#REF!</v>
      </c>
      <c r="AR247" t="e">
        <f>AND(#REF!,"AAAAAC/f/ys=")</f>
        <v>#REF!</v>
      </c>
      <c r="AS247" t="e">
        <f>AND(#REF!,"AAAAAC/f/yw=")</f>
        <v>#REF!</v>
      </c>
      <c r="AT247" t="e">
        <f>AND(#REF!,"AAAAAC/f/y0=")</f>
        <v>#REF!</v>
      </c>
      <c r="AU247" t="e">
        <f>AND(#REF!,"AAAAAC/f/y4=")</f>
        <v>#REF!</v>
      </c>
      <c r="AV247" t="e">
        <f>AND(#REF!,"AAAAAC/f/y8=")</f>
        <v>#REF!</v>
      </c>
      <c r="AW247" t="e">
        <f>AND(#REF!,"AAAAAC/f/zA=")</f>
        <v>#REF!</v>
      </c>
      <c r="AX247" t="e">
        <f>AND(#REF!,"AAAAAC/f/zE=")</f>
        <v>#REF!</v>
      </c>
      <c r="AY247" t="e">
        <f>AND(#REF!,"AAAAAC/f/zI=")</f>
        <v>#REF!</v>
      </c>
      <c r="AZ247" t="e">
        <f>AND(#REF!,"AAAAAC/f/zM=")</f>
        <v>#REF!</v>
      </c>
      <c r="BA247" t="e">
        <f>AND(#REF!,"AAAAAC/f/zQ=")</f>
        <v>#REF!</v>
      </c>
      <c r="BB247" t="e">
        <f>AND(#REF!,"AAAAAC/f/zU=")</f>
        <v>#REF!</v>
      </c>
      <c r="BC247" t="e">
        <f>AND(#REF!,"AAAAAC/f/zY=")</f>
        <v>#REF!</v>
      </c>
      <c r="BD247" t="e">
        <f>AND(#REF!,"AAAAAC/f/zc=")</f>
        <v>#REF!</v>
      </c>
      <c r="BE247" t="e">
        <f>AND(#REF!,"AAAAAC/f/zg=")</f>
        <v>#REF!</v>
      </c>
      <c r="BF247" t="e">
        <f>AND(#REF!,"AAAAAC/f/zk=")</f>
        <v>#REF!</v>
      </c>
      <c r="BG247" t="e">
        <f>AND(#REF!,"AAAAAC/f/zo=")</f>
        <v>#REF!</v>
      </c>
      <c r="BH247" t="e">
        <f>IF(#REF!,"AAAAAC/f/zs=",0)</f>
        <v>#REF!</v>
      </c>
      <c r="BI247" t="e">
        <f>AND(#REF!,"AAAAAC/f/zw=")</f>
        <v>#REF!</v>
      </c>
      <c r="BJ247" t="e">
        <f>AND(#REF!,"AAAAAC/f/z0=")</f>
        <v>#REF!</v>
      </c>
      <c r="BK247" t="e">
        <f>AND(#REF!,"AAAAAC/f/z4=")</f>
        <v>#REF!</v>
      </c>
      <c r="BL247" t="e">
        <f>AND(#REF!,"AAAAAC/f/z8=")</f>
        <v>#REF!</v>
      </c>
      <c r="BM247" t="e">
        <f>AND(#REF!,"AAAAAC/f/0A=")</f>
        <v>#REF!</v>
      </c>
      <c r="BN247" t="e">
        <f>AND(#REF!,"AAAAAC/f/0E=")</f>
        <v>#REF!</v>
      </c>
      <c r="BO247" t="e">
        <f>AND(#REF!,"AAAAAC/f/0I=")</f>
        <v>#REF!</v>
      </c>
      <c r="BP247" t="e">
        <f>AND(#REF!,"AAAAAC/f/0M=")</f>
        <v>#REF!</v>
      </c>
      <c r="BQ247" t="e">
        <f>AND(#REF!,"AAAAAC/f/0Q=")</f>
        <v>#REF!</v>
      </c>
      <c r="BR247" t="e">
        <f>AND(#REF!,"AAAAAC/f/0U=")</f>
        <v>#REF!</v>
      </c>
      <c r="BS247" t="e">
        <f>AND(#REF!,"AAAAAC/f/0Y=")</f>
        <v>#REF!</v>
      </c>
      <c r="BT247" t="e">
        <f>AND(#REF!,"AAAAAC/f/0c=")</f>
        <v>#REF!</v>
      </c>
      <c r="BU247" t="e">
        <f>AND(#REF!,"AAAAAC/f/0g=")</f>
        <v>#REF!</v>
      </c>
      <c r="BV247" t="e">
        <f>AND(#REF!,"AAAAAC/f/0k=")</f>
        <v>#REF!</v>
      </c>
      <c r="BW247" t="e">
        <f>AND(#REF!,"AAAAAC/f/0o=")</f>
        <v>#REF!</v>
      </c>
      <c r="BX247" t="e">
        <f>AND(#REF!,"AAAAAC/f/0s=")</f>
        <v>#REF!</v>
      </c>
      <c r="BY247" t="e">
        <f>AND(#REF!,"AAAAAC/f/0w=")</f>
        <v>#REF!</v>
      </c>
      <c r="BZ247" t="e">
        <f>AND(#REF!,"AAAAAC/f/00=")</f>
        <v>#REF!</v>
      </c>
      <c r="CA247" t="e">
        <f>AND(#REF!,"AAAAAC/f/04=")</f>
        <v>#REF!</v>
      </c>
      <c r="CB247" t="e">
        <f>AND(#REF!,"AAAAAC/f/08=")</f>
        <v>#REF!</v>
      </c>
      <c r="CC247" t="e">
        <f>AND(#REF!,"AAAAAC/f/1A=")</f>
        <v>#REF!</v>
      </c>
      <c r="CD247" t="e">
        <f>AND(#REF!,"AAAAAC/f/1E=")</f>
        <v>#REF!</v>
      </c>
      <c r="CE247" t="e">
        <f>AND(#REF!,"AAAAAC/f/1I=")</f>
        <v>#REF!</v>
      </c>
      <c r="CF247" t="e">
        <f>AND(#REF!,"AAAAAC/f/1M=")</f>
        <v>#REF!</v>
      </c>
      <c r="CG247" t="e">
        <f>IF(#REF!,"AAAAAC/f/1Q=",0)</f>
        <v>#REF!</v>
      </c>
      <c r="CH247" t="e">
        <f>AND(#REF!,"AAAAAC/f/1U=")</f>
        <v>#REF!</v>
      </c>
      <c r="CI247" t="e">
        <f>AND(#REF!,"AAAAAC/f/1Y=")</f>
        <v>#REF!</v>
      </c>
      <c r="CJ247" t="e">
        <f>AND(#REF!,"AAAAAC/f/1c=")</f>
        <v>#REF!</v>
      </c>
      <c r="CK247" t="e">
        <f>AND(#REF!,"AAAAAC/f/1g=")</f>
        <v>#REF!</v>
      </c>
      <c r="CL247" t="e">
        <f>AND(#REF!,"AAAAAC/f/1k=")</f>
        <v>#REF!</v>
      </c>
      <c r="CM247" t="e">
        <f>AND(#REF!,"AAAAAC/f/1o=")</f>
        <v>#REF!</v>
      </c>
      <c r="CN247" t="e">
        <f>AND(#REF!,"AAAAAC/f/1s=")</f>
        <v>#REF!</v>
      </c>
      <c r="CO247" t="e">
        <f>AND(#REF!,"AAAAAC/f/1w=")</f>
        <v>#REF!</v>
      </c>
      <c r="CP247" t="e">
        <f>AND(#REF!,"AAAAAC/f/10=")</f>
        <v>#REF!</v>
      </c>
      <c r="CQ247" t="e">
        <f>AND(#REF!,"AAAAAC/f/14=")</f>
        <v>#REF!</v>
      </c>
      <c r="CR247" t="e">
        <f>AND(#REF!,"AAAAAC/f/18=")</f>
        <v>#REF!</v>
      </c>
      <c r="CS247" t="e">
        <f>AND(#REF!,"AAAAAC/f/2A=")</f>
        <v>#REF!</v>
      </c>
      <c r="CT247" t="e">
        <f>AND(#REF!,"AAAAAC/f/2E=")</f>
        <v>#REF!</v>
      </c>
      <c r="CU247" t="e">
        <f>AND(#REF!,"AAAAAC/f/2I=")</f>
        <v>#REF!</v>
      </c>
      <c r="CV247" t="e">
        <f>AND(#REF!,"AAAAAC/f/2M=")</f>
        <v>#REF!</v>
      </c>
      <c r="CW247" t="e">
        <f>AND(#REF!,"AAAAAC/f/2Q=")</f>
        <v>#REF!</v>
      </c>
      <c r="CX247" t="e">
        <f>AND(#REF!,"AAAAAC/f/2U=")</f>
        <v>#REF!</v>
      </c>
      <c r="CY247" t="e">
        <f>AND(#REF!,"AAAAAC/f/2Y=")</f>
        <v>#REF!</v>
      </c>
      <c r="CZ247" t="e">
        <f>AND(#REF!,"AAAAAC/f/2c=")</f>
        <v>#REF!</v>
      </c>
      <c r="DA247" t="e">
        <f>AND(#REF!,"AAAAAC/f/2g=")</f>
        <v>#REF!</v>
      </c>
      <c r="DB247" t="e">
        <f>AND(#REF!,"AAAAAC/f/2k=")</f>
        <v>#REF!</v>
      </c>
      <c r="DC247" t="e">
        <f>AND(#REF!,"AAAAAC/f/2o=")</f>
        <v>#REF!</v>
      </c>
      <c r="DD247" t="e">
        <f>AND(#REF!,"AAAAAC/f/2s=")</f>
        <v>#REF!</v>
      </c>
      <c r="DE247" t="e">
        <f>AND(#REF!,"AAAAAC/f/2w=")</f>
        <v>#REF!</v>
      </c>
      <c r="DF247" t="e">
        <f>IF(#REF!,"AAAAAC/f/20=",0)</f>
        <v>#REF!</v>
      </c>
      <c r="DG247" t="e">
        <f>AND(#REF!,"AAAAAC/f/24=")</f>
        <v>#REF!</v>
      </c>
      <c r="DH247" t="e">
        <f>AND(#REF!,"AAAAAC/f/28=")</f>
        <v>#REF!</v>
      </c>
      <c r="DI247" t="e">
        <f>AND(#REF!,"AAAAAC/f/3A=")</f>
        <v>#REF!</v>
      </c>
      <c r="DJ247" t="e">
        <f>AND(#REF!,"AAAAAC/f/3E=")</f>
        <v>#REF!</v>
      </c>
      <c r="DK247" t="e">
        <f>AND(#REF!,"AAAAAC/f/3I=")</f>
        <v>#REF!</v>
      </c>
      <c r="DL247" t="e">
        <f>AND(#REF!,"AAAAAC/f/3M=")</f>
        <v>#REF!</v>
      </c>
      <c r="DM247" t="e">
        <f>AND(#REF!,"AAAAAC/f/3Q=")</f>
        <v>#REF!</v>
      </c>
      <c r="DN247" t="e">
        <f>AND(#REF!,"AAAAAC/f/3U=")</f>
        <v>#REF!</v>
      </c>
      <c r="DO247" t="e">
        <f>AND(#REF!,"AAAAAC/f/3Y=")</f>
        <v>#REF!</v>
      </c>
      <c r="DP247" t="e">
        <f>AND(#REF!,"AAAAAC/f/3c=")</f>
        <v>#REF!</v>
      </c>
      <c r="DQ247" t="e">
        <f>AND(#REF!,"AAAAAC/f/3g=")</f>
        <v>#REF!</v>
      </c>
      <c r="DR247" t="e">
        <f>AND(#REF!,"AAAAAC/f/3k=")</f>
        <v>#REF!</v>
      </c>
      <c r="DS247" t="e">
        <f>AND(#REF!,"AAAAAC/f/3o=")</f>
        <v>#REF!</v>
      </c>
      <c r="DT247" t="e">
        <f>AND(#REF!,"AAAAAC/f/3s=")</f>
        <v>#REF!</v>
      </c>
      <c r="DU247" t="e">
        <f>AND(#REF!,"AAAAAC/f/3w=")</f>
        <v>#REF!</v>
      </c>
      <c r="DV247" t="e">
        <f>AND(#REF!,"AAAAAC/f/30=")</f>
        <v>#REF!</v>
      </c>
      <c r="DW247" t="e">
        <f>AND(#REF!,"AAAAAC/f/34=")</f>
        <v>#REF!</v>
      </c>
      <c r="DX247" t="e">
        <f>AND(#REF!,"AAAAAC/f/38=")</f>
        <v>#REF!</v>
      </c>
      <c r="DY247" t="e">
        <f>AND(#REF!,"AAAAAC/f/4A=")</f>
        <v>#REF!</v>
      </c>
      <c r="DZ247" t="e">
        <f>AND(#REF!,"AAAAAC/f/4E=")</f>
        <v>#REF!</v>
      </c>
      <c r="EA247" t="e">
        <f>AND(#REF!,"AAAAAC/f/4I=")</f>
        <v>#REF!</v>
      </c>
      <c r="EB247" t="e">
        <f>AND(#REF!,"AAAAAC/f/4M=")</f>
        <v>#REF!</v>
      </c>
      <c r="EC247" t="e">
        <f>AND(#REF!,"AAAAAC/f/4Q=")</f>
        <v>#REF!</v>
      </c>
      <c r="ED247" t="e">
        <f>AND(#REF!,"AAAAAC/f/4U=")</f>
        <v>#REF!</v>
      </c>
      <c r="EE247" t="e">
        <f>IF(#REF!,"AAAAAC/f/4Y=",0)</f>
        <v>#REF!</v>
      </c>
      <c r="EF247" t="e">
        <f>AND(#REF!,"AAAAAC/f/4c=")</f>
        <v>#REF!</v>
      </c>
      <c r="EG247" t="e">
        <f>AND(#REF!,"AAAAAC/f/4g=")</f>
        <v>#REF!</v>
      </c>
      <c r="EH247" t="e">
        <f>AND(#REF!,"AAAAAC/f/4k=")</f>
        <v>#REF!</v>
      </c>
      <c r="EI247" t="e">
        <f>AND(#REF!,"AAAAAC/f/4o=")</f>
        <v>#REF!</v>
      </c>
      <c r="EJ247" t="e">
        <f>AND(#REF!,"AAAAAC/f/4s=")</f>
        <v>#REF!</v>
      </c>
      <c r="EK247" t="e">
        <f>AND(#REF!,"AAAAAC/f/4w=")</f>
        <v>#REF!</v>
      </c>
      <c r="EL247" t="e">
        <f>AND(#REF!,"AAAAAC/f/40=")</f>
        <v>#REF!</v>
      </c>
      <c r="EM247" t="e">
        <f>AND(#REF!,"AAAAAC/f/44=")</f>
        <v>#REF!</v>
      </c>
      <c r="EN247" t="e">
        <f>AND(#REF!,"AAAAAC/f/48=")</f>
        <v>#REF!</v>
      </c>
      <c r="EO247" t="e">
        <f>AND(#REF!,"AAAAAC/f/5A=")</f>
        <v>#REF!</v>
      </c>
      <c r="EP247" t="e">
        <f>AND(#REF!,"AAAAAC/f/5E=")</f>
        <v>#REF!</v>
      </c>
      <c r="EQ247" t="e">
        <f>AND(#REF!,"AAAAAC/f/5I=")</f>
        <v>#REF!</v>
      </c>
      <c r="ER247" t="e">
        <f>AND(#REF!,"AAAAAC/f/5M=")</f>
        <v>#REF!</v>
      </c>
      <c r="ES247" t="e">
        <f>AND(#REF!,"AAAAAC/f/5Q=")</f>
        <v>#REF!</v>
      </c>
      <c r="ET247" t="e">
        <f>AND(#REF!,"AAAAAC/f/5U=")</f>
        <v>#REF!</v>
      </c>
      <c r="EU247" t="e">
        <f>AND(#REF!,"AAAAAC/f/5Y=")</f>
        <v>#REF!</v>
      </c>
      <c r="EV247" t="e">
        <f>AND(#REF!,"AAAAAC/f/5c=")</f>
        <v>#REF!</v>
      </c>
      <c r="EW247" t="e">
        <f>AND(#REF!,"AAAAAC/f/5g=")</f>
        <v>#REF!</v>
      </c>
      <c r="EX247" t="e">
        <f>AND(#REF!,"AAAAAC/f/5k=")</f>
        <v>#REF!</v>
      </c>
      <c r="EY247" t="e">
        <f>AND(#REF!,"AAAAAC/f/5o=")</f>
        <v>#REF!</v>
      </c>
      <c r="EZ247" t="e">
        <f>AND(#REF!,"AAAAAC/f/5s=")</f>
        <v>#REF!</v>
      </c>
      <c r="FA247" t="e">
        <f>AND(#REF!,"AAAAAC/f/5w=")</f>
        <v>#REF!</v>
      </c>
      <c r="FB247" t="e">
        <f>AND(#REF!,"AAAAAC/f/50=")</f>
        <v>#REF!</v>
      </c>
      <c r="FC247" t="e">
        <f>AND(#REF!,"AAAAAC/f/54=")</f>
        <v>#REF!</v>
      </c>
      <c r="FD247" t="e">
        <f>IF(#REF!,"AAAAAC/f/58=",0)</f>
        <v>#REF!</v>
      </c>
      <c r="FE247" t="e">
        <f>AND(#REF!,"AAAAAC/f/6A=")</f>
        <v>#REF!</v>
      </c>
      <c r="FF247" t="e">
        <f>AND(#REF!,"AAAAAC/f/6E=")</f>
        <v>#REF!</v>
      </c>
      <c r="FG247" t="e">
        <f>AND(#REF!,"AAAAAC/f/6I=")</f>
        <v>#REF!</v>
      </c>
      <c r="FH247" t="e">
        <f>AND(#REF!,"AAAAAC/f/6M=")</f>
        <v>#REF!</v>
      </c>
      <c r="FI247" t="e">
        <f>AND(#REF!,"AAAAAC/f/6Q=")</f>
        <v>#REF!</v>
      </c>
      <c r="FJ247" t="e">
        <f>AND(#REF!,"AAAAAC/f/6U=")</f>
        <v>#REF!</v>
      </c>
      <c r="FK247" t="e">
        <f>AND(#REF!,"AAAAAC/f/6Y=")</f>
        <v>#REF!</v>
      </c>
      <c r="FL247" t="e">
        <f>AND(#REF!,"AAAAAC/f/6c=")</f>
        <v>#REF!</v>
      </c>
      <c r="FM247" t="e">
        <f>AND(#REF!,"AAAAAC/f/6g=")</f>
        <v>#REF!</v>
      </c>
      <c r="FN247" t="e">
        <f>AND(#REF!,"AAAAAC/f/6k=")</f>
        <v>#REF!</v>
      </c>
      <c r="FO247" t="e">
        <f>AND(#REF!,"AAAAAC/f/6o=")</f>
        <v>#REF!</v>
      </c>
      <c r="FP247" t="e">
        <f>AND(#REF!,"AAAAAC/f/6s=")</f>
        <v>#REF!</v>
      </c>
      <c r="FQ247" t="e">
        <f>AND(#REF!,"AAAAAC/f/6w=")</f>
        <v>#REF!</v>
      </c>
      <c r="FR247" t="e">
        <f>AND(#REF!,"AAAAAC/f/60=")</f>
        <v>#REF!</v>
      </c>
      <c r="FS247" t="e">
        <f>AND(#REF!,"AAAAAC/f/64=")</f>
        <v>#REF!</v>
      </c>
      <c r="FT247" t="e">
        <f>AND(#REF!,"AAAAAC/f/68=")</f>
        <v>#REF!</v>
      </c>
      <c r="FU247" t="e">
        <f>AND(#REF!,"AAAAAC/f/7A=")</f>
        <v>#REF!</v>
      </c>
      <c r="FV247" t="e">
        <f>AND(#REF!,"AAAAAC/f/7E=")</f>
        <v>#REF!</v>
      </c>
      <c r="FW247" t="e">
        <f>AND(#REF!,"AAAAAC/f/7I=")</f>
        <v>#REF!</v>
      </c>
      <c r="FX247" t="e">
        <f>AND(#REF!,"AAAAAC/f/7M=")</f>
        <v>#REF!</v>
      </c>
      <c r="FY247" t="e">
        <f>AND(#REF!,"AAAAAC/f/7Q=")</f>
        <v>#REF!</v>
      </c>
      <c r="FZ247" t="e">
        <f>AND(#REF!,"AAAAAC/f/7U=")</f>
        <v>#REF!</v>
      </c>
      <c r="GA247" t="e">
        <f>AND(#REF!,"AAAAAC/f/7Y=")</f>
        <v>#REF!</v>
      </c>
      <c r="GB247" t="e">
        <f>AND(#REF!,"AAAAAC/f/7c=")</f>
        <v>#REF!</v>
      </c>
      <c r="GC247" t="e">
        <f>IF(#REF!,"AAAAAC/f/7g=",0)</f>
        <v>#REF!</v>
      </c>
      <c r="GD247" t="e">
        <f>AND(#REF!,"AAAAAC/f/7k=")</f>
        <v>#REF!</v>
      </c>
      <c r="GE247" t="e">
        <f>AND(#REF!,"AAAAAC/f/7o=")</f>
        <v>#REF!</v>
      </c>
      <c r="GF247" t="e">
        <f>AND(#REF!,"AAAAAC/f/7s=")</f>
        <v>#REF!</v>
      </c>
      <c r="GG247" t="e">
        <f>AND(#REF!,"AAAAAC/f/7w=")</f>
        <v>#REF!</v>
      </c>
      <c r="GH247" t="e">
        <f>AND(#REF!,"AAAAAC/f/70=")</f>
        <v>#REF!</v>
      </c>
      <c r="GI247" t="e">
        <f>AND(#REF!,"AAAAAC/f/74=")</f>
        <v>#REF!</v>
      </c>
      <c r="GJ247" t="e">
        <f>AND(#REF!,"AAAAAC/f/78=")</f>
        <v>#REF!</v>
      </c>
      <c r="GK247" t="e">
        <f>AND(#REF!,"AAAAAC/f/8A=")</f>
        <v>#REF!</v>
      </c>
      <c r="GL247" t="e">
        <f>AND(#REF!,"AAAAAC/f/8E=")</f>
        <v>#REF!</v>
      </c>
      <c r="GM247" t="e">
        <f>AND(#REF!,"AAAAAC/f/8I=")</f>
        <v>#REF!</v>
      </c>
      <c r="GN247" t="e">
        <f>AND(#REF!,"AAAAAC/f/8M=")</f>
        <v>#REF!</v>
      </c>
      <c r="GO247" t="e">
        <f>AND(#REF!,"AAAAAC/f/8Q=")</f>
        <v>#REF!</v>
      </c>
      <c r="GP247" t="e">
        <f>AND(#REF!,"AAAAAC/f/8U=")</f>
        <v>#REF!</v>
      </c>
      <c r="GQ247" t="e">
        <f>AND(#REF!,"AAAAAC/f/8Y=")</f>
        <v>#REF!</v>
      </c>
      <c r="GR247" t="e">
        <f>AND(#REF!,"AAAAAC/f/8c=")</f>
        <v>#REF!</v>
      </c>
      <c r="GS247" t="e">
        <f>AND(#REF!,"AAAAAC/f/8g=")</f>
        <v>#REF!</v>
      </c>
      <c r="GT247" t="e">
        <f>AND(#REF!,"AAAAAC/f/8k=")</f>
        <v>#REF!</v>
      </c>
      <c r="GU247" t="e">
        <f>AND(#REF!,"AAAAAC/f/8o=")</f>
        <v>#REF!</v>
      </c>
      <c r="GV247" t="e">
        <f>AND(#REF!,"AAAAAC/f/8s=")</f>
        <v>#REF!</v>
      </c>
      <c r="GW247" t="e">
        <f>AND(#REF!,"AAAAAC/f/8w=")</f>
        <v>#REF!</v>
      </c>
      <c r="GX247" t="e">
        <f>AND(#REF!,"AAAAAC/f/80=")</f>
        <v>#REF!</v>
      </c>
      <c r="GY247" t="e">
        <f>AND(#REF!,"AAAAAC/f/84=")</f>
        <v>#REF!</v>
      </c>
      <c r="GZ247" t="e">
        <f>AND(#REF!,"AAAAAC/f/88=")</f>
        <v>#REF!</v>
      </c>
      <c r="HA247" t="e">
        <f>AND(#REF!,"AAAAAC/f/9A=")</f>
        <v>#REF!</v>
      </c>
      <c r="HB247" t="e">
        <f>IF(#REF!,"AAAAAC/f/9E=",0)</f>
        <v>#REF!</v>
      </c>
      <c r="HC247" t="e">
        <f>AND(#REF!,"AAAAAC/f/9I=")</f>
        <v>#REF!</v>
      </c>
      <c r="HD247" t="e">
        <f>AND(#REF!,"AAAAAC/f/9M=")</f>
        <v>#REF!</v>
      </c>
      <c r="HE247" t="e">
        <f>AND(#REF!,"AAAAAC/f/9Q=")</f>
        <v>#REF!</v>
      </c>
      <c r="HF247" t="e">
        <f>AND(#REF!,"AAAAAC/f/9U=")</f>
        <v>#REF!</v>
      </c>
      <c r="HG247" t="e">
        <f>AND(#REF!,"AAAAAC/f/9Y=")</f>
        <v>#REF!</v>
      </c>
      <c r="HH247" t="e">
        <f>AND(#REF!,"AAAAAC/f/9c=")</f>
        <v>#REF!</v>
      </c>
      <c r="HI247" t="e">
        <f>AND(#REF!,"AAAAAC/f/9g=")</f>
        <v>#REF!</v>
      </c>
      <c r="HJ247" t="e">
        <f>AND(#REF!,"AAAAAC/f/9k=")</f>
        <v>#REF!</v>
      </c>
      <c r="HK247" t="e">
        <f>AND(#REF!,"AAAAAC/f/9o=")</f>
        <v>#REF!</v>
      </c>
      <c r="HL247" t="e">
        <f>AND(#REF!,"AAAAAC/f/9s=")</f>
        <v>#REF!</v>
      </c>
      <c r="HM247" t="e">
        <f>AND(#REF!,"AAAAAC/f/9w=")</f>
        <v>#REF!</v>
      </c>
      <c r="HN247" t="e">
        <f>AND(#REF!,"AAAAAC/f/90=")</f>
        <v>#REF!</v>
      </c>
      <c r="HO247" t="e">
        <f>AND(#REF!,"AAAAAC/f/94=")</f>
        <v>#REF!</v>
      </c>
      <c r="HP247" t="e">
        <f>AND(#REF!,"AAAAAC/f/98=")</f>
        <v>#REF!</v>
      </c>
      <c r="HQ247" t="e">
        <f>AND(#REF!,"AAAAAC/f/+A=")</f>
        <v>#REF!</v>
      </c>
      <c r="HR247" t="e">
        <f>AND(#REF!,"AAAAAC/f/+E=")</f>
        <v>#REF!</v>
      </c>
      <c r="HS247" t="e">
        <f>AND(#REF!,"AAAAAC/f/+I=")</f>
        <v>#REF!</v>
      </c>
      <c r="HT247" t="e">
        <f>AND(#REF!,"AAAAAC/f/+M=")</f>
        <v>#REF!</v>
      </c>
      <c r="HU247" t="e">
        <f>AND(#REF!,"AAAAAC/f/+Q=")</f>
        <v>#REF!</v>
      </c>
      <c r="HV247" t="e">
        <f>AND(#REF!,"AAAAAC/f/+U=")</f>
        <v>#REF!</v>
      </c>
      <c r="HW247" t="e">
        <f>AND(#REF!,"AAAAAC/f/+Y=")</f>
        <v>#REF!</v>
      </c>
      <c r="HX247" t="e">
        <f>AND(#REF!,"AAAAAC/f/+c=")</f>
        <v>#REF!</v>
      </c>
      <c r="HY247" t="e">
        <f>AND(#REF!,"AAAAAC/f/+g=")</f>
        <v>#REF!</v>
      </c>
      <c r="HZ247" t="e">
        <f>AND(#REF!,"AAAAAC/f/+k=")</f>
        <v>#REF!</v>
      </c>
      <c r="IA247" t="e">
        <f>IF(#REF!,"AAAAAC/f/+o=",0)</f>
        <v>#REF!</v>
      </c>
      <c r="IB247" t="e">
        <f>AND(#REF!,"AAAAAC/f/+s=")</f>
        <v>#REF!</v>
      </c>
      <c r="IC247" t="e">
        <f>AND(#REF!,"AAAAAC/f/+w=")</f>
        <v>#REF!</v>
      </c>
      <c r="ID247" t="e">
        <f>AND(#REF!,"AAAAAC/f/+0=")</f>
        <v>#REF!</v>
      </c>
      <c r="IE247" t="e">
        <f>AND(#REF!,"AAAAAC/f/+4=")</f>
        <v>#REF!</v>
      </c>
      <c r="IF247" t="e">
        <f>AND(#REF!,"AAAAAC/f/+8=")</f>
        <v>#REF!</v>
      </c>
      <c r="IG247" t="e">
        <f>AND(#REF!,"AAAAAC/f//A=")</f>
        <v>#REF!</v>
      </c>
      <c r="IH247" t="e">
        <f>AND(#REF!,"AAAAAC/f//E=")</f>
        <v>#REF!</v>
      </c>
      <c r="II247" t="e">
        <f>AND(#REF!,"AAAAAC/f//I=")</f>
        <v>#REF!</v>
      </c>
      <c r="IJ247" t="e">
        <f>AND(#REF!,"AAAAAC/f//M=")</f>
        <v>#REF!</v>
      </c>
      <c r="IK247" t="e">
        <f>AND(#REF!,"AAAAAC/f//Q=")</f>
        <v>#REF!</v>
      </c>
      <c r="IL247" t="e">
        <f>AND(#REF!,"AAAAAC/f//U=")</f>
        <v>#REF!</v>
      </c>
      <c r="IM247" t="e">
        <f>AND(#REF!,"AAAAAC/f//Y=")</f>
        <v>#REF!</v>
      </c>
      <c r="IN247" t="e">
        <f>AND(#REF!,"AAAAAC/f//c=")</f>
        <v>#REF!</v>
      </c>
      <c r="IO247" t="e">
        <f>AND(#REF!,"AAAAAC/f//g=")</f>
        <v>#REF!</v>
      </c>
      <c r="IP247" t="e">
        <f>AND(#REF!,"AAAAAC/f//k=")</f>
        <v>#REF!</v>
      </c>
      <c r="IQ247" t="e">
        <f>AND(#REF!,"AAAAAC/f//o=")</f>
        <v>#REF!</v>
      </c>
      <c r="IR247" t="e">
        <f>AND(#REF!,"AAAAAC/f//s=")</f>
        <v>#REF!</v>
      </c>
      <c r="IS247" t="e">
        <f>AND(#REF!,"AAAAAC/f//w=")</f>
        <v>#REF!</v>
      </c>
      <c r="IT247" t="e">
        <f>AND(#REF!,"AAAAAC/f//0=")</f>
        <v>#REF!</v>
      </c>
      <c r="IU247" t="e">
        <f>AND(#REF!,"AAAAAC/f//4=")</f>
        <v>#REF!</v>
      </c>
      <c r="IV247" t="e">
        <f>AND(#REF!,"AAAAAC/f//8=")</f>
        <v>#REF!</v>
      </c>
    </row>
    <row r="248" spans="1:256">
      <c r="A248" t="e">
        <f>AND(#REF!,"AAAAAHrn1wA=")</f>
        <v>#REF!</v>
      </c>
      <c r="B248" t="e">
        <f>AND(#REF!,"AAAAAHrn1wE=")</f>
        <v>#REF!</v>
      </c>
      <c r="C248" t="e">
        <f>AND(#REF!,"AAAAAHrn1wI=")</f>
        <v>#REF!</v>
      </c>
      <c r="D248" t="e">
        <f>IF(#REF!,"AAAAAHrn1wM=",0)</f>
        <v>#REF!</v>
      </c>
      <c r="E248" t="e">
        <f>AND(#REF!,"AAAAAHrn1wQ=")</f>
        <v>#REF!</v>
      </c>
      <c r="F248" t="e">
        <f>AND(#REF!,"AAAAAHrn1wU=")</f>
        <v>#REF!</v>
      </c>
      <c r="G248" t="e">
        <f>AND(#REF!,"AAAAAHrn1wY=")</f>
        <v>#REF!</v>
      </c>
      <c r="H248" t="e">
        <f>AND(#REF!,"AAAAAHrn1wc=")</f>
        <v>#REF!</v>
      </c>
      <c r="I248" t="e">
        <f>AND(#REF!,"AAAAAHrn1wg=")</f>
        <v>#REF!</v>
      </c>
      <c r="J248" t="e">
        <f>AND(#REF!,"AAAAAHrn1wk=")</f>
        <v>#REF!</v>
      </c>
      <c r="K248" t="e">
        <f>AND(#REF!,"AAAAAHrn1wo=")</f>
        <v>#REF!</v>
      </c>
      <c r="L248" t="e">
        <f>AND(#REF!,"AAAAAHrn1ws=")</f>
        <v>#REF!</v>
      </c>
      <c r="M248" t="e">
        <f>AND(#REF!,"AAAAAHrn1ww=")</f>
        <v>#REF!</v>
      </c>
      <c r="N248" t="e">
        <f>AND(#REF!,"AAAAAHrn1w0=")</f>
        <v>#REF!</v>
      </c>
      <c r="O248" t="e">
        <f>AND(#REF!,"AAAAAHrn1w4=")</f>
        <v>#REF!</v>
      </c>
      <c r="P248" t="e">
        <f>AND(#REF!,"AAAAAHrn1w8=")</f>
        <v>#REF!</v>
      </c>
      <c r="Q248" t="e">
        <f>AND(#REF!,"AAAAAHrn1xA=")</f>
        <v>#REF!</v>
      </c>
      <c r="R248" t="e">
        <f>AND(#REF!,"AAAAAHrn1xE=")</f>
        <v>#REF!</v>
      </c>
      <c r="S248" t="e">
        <f>AND(#REF!,"AAAAAHrn1xI=")</f>
        <v>#REF!</v>
      </c>
      <c r="T248" t="e">
        <f>AND(#REF!,"AAAAAHrn1xM=")</f>
        <v>#REF!</v>
      </c>
      <c r="U248" t="e">
        <f>AND(#REF!,"AAAAAHrn1xQ=")</f>
        <v>#REF!</v>
      </c>
      <c r="V248" t="e">
        <f>AND(#REF!,"AAAAAHrn1xU=")</f>
        <v>#REF!</v>
      </c>
      <c r="W248" t="e">
        <f>AND(#REF!,"AAAAAHrn1xY=")</f>
        <v>#REF!</v>
      </c>
      <c r="X248" t="e">
        <f>AND(#REF!,"AAAAAHrn1xc=")</f>
        <v>#REF!</v>
      </c>
      <c r="Y248" t="e">
        <f>AND(#REF!,"AAAAAHrn1xg=")</f>
        <v>#REF!</v>
      </c>
      <c r="Z248" t="e">
        <f>AND(#REF!,"AAAAAHrn1xk=")</f>
        <v>#REF!</v>
      </c>
      <c r="AA248" t="e">
        <f>AND(#REF!,"AAAAAHrn1xo=")</f>
        <v>#REF!</v>
      </c>
      <c r="AB248" t="e">
        <f>AND(#REF!,"AAAAAHrn1xs=")</f>
        <v>#REF!</v>
      </c>
      <c r="AC248" t="e">
        <f>IF(#REF!,"AAAAAHrn1xw=",0)</f>
        <v>#REF!</v>
      </c>
      <c r="AD248" t="e">
        <f>AND(#REF!,"AAAAAHrn1x0=")</f>
        <v>#REF!</v>
      </c>
      <c r="AE248" t="e">
        <f>AND(#REF!,"AAAAAHrn1x4=")</f>
        <v>#REF!</v>
      </c>
      <c r="AF248" t="e">
        <f>AND(#REF!,"AAAAAHrn1x8=")</f>
        <v>#REF!</v>
      </c>
      <c r="AG248" t="e">
        <f>AND(#REF!,"AAAAAHrn1yA=")</f>
        <v>#REF!</v>
      </c>
      <c r="AH248" t="e">
        <f>AND(#REF!,"AAAAAHrn1yE=")</f>
        <v>#REF!</v>
      </c>
      <c r="AI248" t="e">
        <f>AND(#REF!,"AAAAAHrn1yI=")</f>
        <v>#REF!</v>
      </c>
      <c r="AJ248" t="e">
        <f>AND(#REF!,"AAAAAHrn1yM=")</f>
        <v>#REF!</v>
      </c>
      <c r="AK248" t="e">
        <f>AND(#REF!,"AAAAAHrn1yQ=")</f>
        <v>#REF!</v>
      </c>
      <c r="AL248" t="e">
        <f>AND(#REF!,"AAAAAHrn1yU=")</f>
        <v>#REF!</v>
      </c>
      <c r="AM248" t="e">
        <f>AND(#REF!,"AAAAAHrn1yY=")</f>
        <v>#REF!</v>
      </c>
      <c r="AN248" t="e">
        <f>AND(#REF!,"AAAAAHrn1yc=")</f>
        <v>#REF!</v>
      </c>
      <c r="AO248" t="e">
        <f>AND(#REF!,"AAAAAHrn1yg=")</f>
        <v>#REF!</v>
      </c>
      <c r="AP248" t="e">
        <f>AND(#REF!,"AAAAAHrn1yk=")</f>
        <v>#REF!</v>
      </c>
      <c r="AQ248" t="e">
        <f>AND(#REF!,"AAAAAHrn1yo=")</f>
        <v>#REF!</v>
      </c>
      <c r="AR248" t="e">
        <f>AND(#REF!,"AAAAAHrn1ys=")</f>
        <v>#REF!</v>
      </c>
      <c r="AS248" t="e">
        <f>AND(#REF!,"AAAAAHrn1yw=")</f>
        <v>#REF!</v>
      </c>
      <c r="AT248" t="e">
        <f>AND(#REF!,"AAAAAHrn1y0=")</f>
        <v>#REF!</v>
      </c>
      <c r="AU248" t="e">
        <f>AND(#REF!,"AAAAAHrn1y4=")</f>
        <v>#REF!</v>
      </c>
      <c r="AV248" t="e">
        <f>AND(#REF!,"AAAAAHrn1y8=")</f>
        <v>#REF!</v>
      </c>
      <c r="AW248" t="e">
        <f>AND(#REF!,"AAAAAHrn1zA=")</f>
        <v>#REF!</v>
      </c>
      <c r="AX248" t="e">
        <f>AND(#REF!,"AAAAAHrn1zE=")</f>
        <v>#REF!</v>
      </c>
      <c r="AY248" t="e">
        <f>AND(#REF!,"AAAAAHrn1zI=")</f>
        <v>#REF!</v>
      </c>
      <c r="AZ248" t="e">
        <f>AND(#REF!,"AAAAAHrn1zM=")</f>
        <v>#REF!</v>
      </c>
      <c r="BA248" t="e">
        <f>AND(#REF!,"AAAAAHrn1zQ=")</f>
        <v>#REF!</v>
      </c>
      <c r="BB248" t="e">
        <f>IF(#REF!,"AAAAAHrn1zU=",0)</f>
        <v>#REF!</v>
      </c>
      <c r="BC248" t="e">
        <f>AND(#REF!,"AAAAAHrn1zY=")</f>
        <v>#REF!</v>
      </c>
      <c r="BD248" t="e">
        <f>AND(#REF!,"AAAAAHrn1zc=")</f>
        <v>#REF!</v>
      </c>
      <c r="BE248" t="e">
        <f>AND(#REF!,"AAAAAHrn1zg=")</f>
        <v>#REF!</v>
      </c>
      <c r="BF248" t="e">
        <f>AND(#REF!,"AAAAAHrn1zk=")</f>
        <v>#REF!</v>
      </c>
      <c r="BG248" t="e">
        <f>AND(#REF!,"AAAAAHrn1zo=")</f>
        <v>#REF!</v>
      </c>
      <c r="BH248" t="e">
        <f>AND(#REF!,"AAAAAHrn1zs=")</f>
        <v>#REF!</v>
      </c>
      <c r="BI248" t="e">
        <f>AND(#REF!,"AAAAAHrn1zw=")</f>
        <v>#REF!</v>
      </c>
      <c r="BJ248" t="e">
        <f>AND(#REF!,"AAAAAHrn1z0=")</f>
        <v>#REF!</v>
      </c>
      <c r="BK248" t="e">
        <f>AND(#REF!,"AAAAAHrn1z4=")</f>
        <v>#REF!</v>
      </c>
      <c r="BL248" t="e">
        <f>AND(#REF!,"AAAAAHrn1z8=")</f>
        <v>#REF!</v>
      </c>
      <c r="BM248" t="e">
        <f>AND(#REF!,"AAAAAHrn10A=")</f>
        <v>#REF!</v>
      </c>
      <c r="BN248" t="e">
        <f>AND(#REF!,"AAAAAHrn10E=")</f>
        <v>#REF!</v>
      </c>
      <c r="BO248" t="e">
        <f>AND(#REF!,"AAAAAHrn10I=")</f>
        <v>#REF!</v>
      </c>
      <c r="BP248" t="e">
        <f>AND(#REF!,"AAAAAHrn10M=")</f>
        <v>#REF!</v>
      </c>
      <c r="BQ248" t="e">
        <f>AND(#REF!,"AAAAAHrn10Q=")</f>
        <v>#REF!</v>
      </c>
      <c r="BR248" t="e">
        <f>AND(#REF!,"AAAAAHrn10U=")</f>
        <v>#REF!</v>
      </c>
      <c r="BS248" t="e">
        <f>AND(#REF!,"AAAAAHrn10Y=")</f>
        <v>#REF!</v>
      </c>
      <c r="BT248" t="e">
        <f>AND(#REF!,"AAAAAHrn10c=")</f>
        <v>#REF!</v>
      </c>
      <c r="BU248" t="e">
        <f>AND(#REF!,"AAAAAHrn10g=")</f>
        <v>#REF!</v>
      </c>
      <c r="BV248" t="e">
        <f>AND(#REF!,"AAAAAHrn10k=")</f>
        <v>#REF!</v>
      </c>
      <c r="BW248" t="e">
        <f>AND(#REF!,"AAAAAHrn10o=")</f>
        <v>#REF!</v>
      </c>
      <c r="BX248" t="e">
        <f>AND(#REF!,"AAAAAHrn10s=")</f>
        <v>#REF!</v>
      </c>
      <c r="BY248" t="e">
        <f>AND(#REF!,"AAAAAHrn10w=")</f>
        <v>#REF!</v>
      </c>
      <c r="BZ248" t="e">
        <f>AND(#REF!,"AAAAAHrn100=")</f>
        <v>#REF!</v>
      </c>
      <c r="CA248" t="e">
        <f>IF(#REF!,"AAAAAHrn104=",0)</f>
        <v>#REF!</v>
      </c>
      <c r="CB248" t="e">
        <f>AND(#REF!,"AAAAAHrn108=")</f>
        <v>#REF!</v>
      </c>
      <c r="CC248" t="e">
        <f>AND(#REF!,"AAAAAHrn11A=")</f>
        <v>#REF!</v>
      </c>
      <c r="CD248" t="e">
        <f>AND(#REF!,"AAAAAHrn11E=")</f>
        <v>#REF!</v>
      </c>
      <c r="CE248" t="e">
        <f>AND(#REF!,"AAAAAHrn11I=")</f>
        <v>#REF!</v>
      </c>
      <c r="CF248" t="e">
        <f>AND(#REF!,"AAAAAHrn11M=")</f>
        <v>#REF!</v>
      </c>
      <c r="CG248" t="e">
        <f>AND(#REF!,"AAAAAHrn11Q=")</f>
        <v>#REF!</v>
      </c>
      <c r="CH248" t="e">
        <f>AND(#REF!,"AAAAAHrn11U=")</f>
        <v>#REF!</v>
      </c>
      <c r="CI248" t="e">
        <f>AND(#REF!,"AAAAAHrn11Y=")</f>
        <v>#REF!</v>
      </c>
      <c r="CJ248" t="e">
        <f>AND(#REF!,"AAAAAHrn11c=")</f>
        <v>#REF!</v>
      </c>
      <c r="CK248" t="e">
        <f>AND(#REF!,"AAAAAHrn11g=")</f>
        <v>#REF!</v>
      </c>
      <c r="CL248" t="e">
        <f>AND(#REF!,"AAAAAHrn11k=")</f>
        <v>#REF!</v>
      </c>
      <c r="CM248" t="e">
        <f>AND(#REF!,"AAAAAHrn11o=")</f>
        <v>#REF!</v>
      </c>
      <c r="CN248" t="e">
        <f>AND(#REF!,"AAAAAHrn11s=")</f>
        <v>#REF!</v>
      </c>
      <c r="CO248" t="e">
        <f>AND(#REF!,"AAAAAHrn11w=")</f>
        <v>#REF!</v>
      </c>
      <c r="CP248" t="e">
        <f>AND(#REF!,"AAAAAHrn110=")</f>
        <v>#REF!</v>
      </c>
      <c r="CQ248" t="e">
        <f>AND(#REF!,"AAAAAHrn114=")</f>
        <v>#REF!</v>
      </c>
      <c r="CR248" t="e">
        <f>AND(#REF!,"AAAAAHrn118=")</f>
        <v>#REF!</v>
      </c>
      <c r="CS248" t="e">
        <f>AND(#REF!,"AAAAAHrn12A=")</f>
        <v>#REF!</v>
      </c>
      <c r="CT248" t="e">
        <f>AND(#REF!,"AAAAAHrn12E=")</f>
        <v>#REF!</v>
      </c>
      <c r="CU248" t="e">
        <f>AND(#REF!,"AAAAAHrn12I=")</f>
        <v>#REF!</v>
      </c>
      <c r="CV248" t="e">
        <f>AND(#REF!,"AAAAAHrn12M=")</f>
        <v>#REF!</v>
      </c>
      <c r="CW248" t="e">
        <f>AND(#REF!,"AAAAAHrn12Q=")</f>
        <v>#REF!</v>
      </c>
      <c r="CX248" t="e">
        <f>AND(#REF!,"AAAAAHrn12U=")</f>
        <v>#REF!</v>
      </c>
      <c r="CY248" t="e">
        <f>AND(#REF!,"AAAAAHrn12Y=")</f>
        <v>#REF!</v>
      </c>
      <c r="CZ248" t="e">
        <f>IF(#REF!,"AAAAAHrn12c=",0)</f>
        <v>#REF!</v>
      </c>
      <c r="DA248" t="e">
        <f>AND(#REF!,"AAAAAHrn12g=")</f>
        <v>#REF!</v>
      </c>
      <c r="DB248" t="e">
        <f>AND(#REF!,"AAAAAHrn12k=")</f>
        <v>#REF!</v>
      </c>
      <c r="DC248" t="e">
        <f>AND(#REF!,"AAAAAHrn12o=")</f>
        <v>#REF!</v>
      </c>
      <c r="DD248" t="e">
        <f>AND(#REF!,"AAAAAHrn12s=")</f>
        <v>#REF!</v>
      </c>
      <c r="DE248" t="e">
        <f>AND(#REF!,"AAAAAHrn12w=")</f>
        <v>#REF!</v>
      </c>
      <c r="DF248" t="e">
        <f>AND(#REF!,"AAAAAHrn120=")</f>
        <v>#REF!</v>
      </c>
      <c r="DG248" t="e">
        <f>AND(#REF!,"AAAAAHrn124=")</f>
        <v>#REF!</v>
      </c>
      <c r="DH248" t="e">
        <f>AND(#REF!,"AAAAAHrn128=")</f>
        <v>#REF!</v>
      </c>
      <c r="DI248" t="e">
        <f>AND(#REF!,"AAAAAHrn13A=")</f>
        <v>#REF!</v>
      </c>
      <c r="DJ248" t="e">
        <f>AND(#REF!,"AAAAAHrn13E=")</f>
        <v>#REF!</v>
      </c>
      <c r="DK248" t="e">
        <f>AND(#REF!,"AAAAAHrn13I=")</f>
        <v>#REF!</v>
      </c>
      <c r="DL248" t="e">
        <f>AND(#REF!,"AAAAAHrn13M=")</f>
        <v>#REF!</v>
      </c>
      <c r="DM248" t="e">
        <f>AND(#REF!,"AAAAAHrn13Q=")</f>
        <v>#REF!</v>
      </c>
      <c r="DN248" t="e">
        <f>AND(#REF!,"AAAAAHrn13U=")</f>
        <v>#REF!</v>
      </c>
      <c r="DO248" t="e">
        <f>AND(#REF!,"AAAAAHrn13Y=")</f>
        <v>#REF!</v>
      </c>
      <c r="DP248" t="e">
        <f>AND(#REF!,"AAAAAHrn13c=")</f>
        <v>#REF!</v>
      </c>
      <c r="DQ248" t="e">
        <f>AND(#REF!,"AAAAAHrn13g=")</f>
        <v>#REF!</v>
      </c>
      <c r="DR248" t="e">
        <f>AND(#REF!,"AAAAAHrn13k=")</f>
        <v>#REF!</v>
      </c>
      <c r="DS248" t="e">
        <f>AND(#REF!,"AAAAAHrn13o=")</f>
        <v>#REF!</v>
      </c>
      <c r="DT248" t="e">
        <f>AND(#REF!,"AAAAAHrn13s=")</f>
        <v>#REF!</v>
      </c>
      <c r="DU248" t="e">
        <f>AND(#REF!,"AAAAAHrn13w=")</f>
        <v>#REF!</v>
      </c>
      <c r="DV248" t="e">
        <f>AND(#REF!,"AAAAAHrn130=")</f>
        <v>#REF!</v>
      </c>
      <c r="DW248" t="e">
        <f>AND(#REF!,"AAAAAHrn134=")</f>
        <v>#REF!</v>
      </c>
      <c r="DX248" t="e">
        <f>AND(#REF!,"AAAAAHrn138=")</f>
        <v>#REF!</v>
      </c>
      <c r="DY248" t="e">
        <f>IF(#REF!,"AAAAAHrn14A=",0)</f>
        <v>#REF!</v>
      </c>
      <c r="DZ248" t="e">
        <f>AND(#REF!,"AAAAAHrn14E=")</f>
        <v>#REF!</v>
      </c>
      <c r="EA248" t="e">
        <f>AND(#REF!,"AAAAAHrn14I=")</f>
        <v>#REF!</v>
      </c>
      <c r="EB248" t="e">
        <f>AND(#REF!,"AAAAAHrn14M=")</f>
        <v>#REF!</v>
      </c>
      <c r="EC248" t="e">
        <f>AND(#REF!,"AAAAAHrn14Q=")</f>
        <v>#REF!</v>
      </c>
      <c r="ED248" t="e">
        <f>AND(#REF!,"AAAAAHrn14U=")</f>
        <v>#REF!</v>
      </c>
      <c r="EE248" t="e">
        <f>AND(#REF!,"AAAAAHrn14Y=")</f>
        <v>#REF!</v>
      </c>
      <c r="EF248" t="e">
        <f>AND(#REF!,"AAAAAHrn14c=")</f>
        <v>#REF!</v>
      </c>
      <c r="EG248" t="e">
        <f>AND(#REF!,"AAAAAHrn14g=")</f>
        <v>#REF!</v>
      </c>
      <c r="EH248" t="e">
        <f>AND(#REF!,"AAAAAHrn14k=")</f>
        <v>#REF!</v>
      </c>
      <c r="EI248" t="e">
        <f>AND(#REF!,"AAAAAHrn14o=")</f>
        <v>#REF!</v>
      </c>
      <c r="EJ248" t="e">
        <f>AND(#REF!,"AAAAAHrn14s=")</f>
        <v>#REF!</v>
      </c>
      <c r="EK248" t="e">
        <f>AND(#REF!,"AAAAAHrn14w=")</f>
        <v>#REF!</v>
      </c>
      <c r="EL248" t="e">
        <f>AND(#REF!,"AAAAAHrn140=")</f>
        <v>#REF!</v>
      </c>
      <c r="EM248" t="e">
        <f>AND(#REF!,"AAAAAHrn144=")</f>
        <v>#REF!</v>
      </c>
      <c r="EN248" t="e">
        <f>AND(#REF!,"AAAAAHrn148=")</f>
        <v>#REF!</v>
      </c>
      <c r="EO248" t="e">
        <f>AND(#REF!,"AAAAAHrn15A=")</f>
        <v>#REF!</v>
      </c>
      <c r="EP248" t="e">
        <f>AND(#REF!,"AAAAAHrn15E=")</f>
        <v>#REF!</v>
      </c>
      <c r="EQ248" t="e">
        <f>AND(#REF!,"AAAAAHrn15I=")</f>
        <v>#REF!</v>
      </c>
      <c r="ER248" t="e">
        <f>AND(#REF!,"AAAAAHrn15M=")</f>
        <v>#REF!</v>
      </c>
      <c r="ES248" t="e">
        <f>AND(#REF!,"AAAAAHrn15Q=")</f>
        <v>#REF!</v>
      </c>
      <c r="ET248" t="e">
        <f>AND(#REF!,"AAAAAHrn15U=")</f>
        <v>#REF!</v>
      </c>
      <c r="EU248" t="e">
        <f>AND(#REF!,"AAAAAHrn15Y=")</f>
        <v>#REF!</v>
      </c>
      <c r="EV248" t="e">
        <f>AND(#REF!,"AAAAAHrn15c=")</f>
        <v>#REF!</v>
      </c>
      <c r="EW248" t="e">
        <f>AND(#REF!,"AAAAAHrn15g=")</f>
        <v>#REF!</v>
      </c>
      <c r="EX248" t="e">
        <f>IF(#REF!,"AAAAAHrn15k=",0)</f>
        <v>#REF!</v>
      </c>
      <c r="EY248" t="e">
        <f>AND(#REF!,"AAAAAHrn15o=")</f>
        <v>#REF!</v>
      </c>
      <c r="EZ248" t="e">
        <f>AND(#REF!,"AAAAAHrn15s=")</f>
        <v>#REF!</v>
      </c>
      <c r="FA248" t="e">
        <f>AND(#REF!,"AAAAAHrn15w=")</f>
        <v>#REF!</v>
      </c>
      <c r="FB248" t="e">
        <f>AND(#REF!,"AAAAAHrn150=")</f>
        <v>#REF!</v>
      </c>
      <c r="FC248" t="e">
        <f>AND(#REF!,"AAAAAHrn154=")</f>
        <v>#REF!</v>
      </c>
      <c r="FD248" t="e">
        <f>AND(#REF!,"AAAAAHrn158=")</f>
        <v>#REF!</v>
      </c>
      <c r="FE248" t="e">
        <f>AND(#REF!,"AAAAAHrn16A=")</f>
        <v>#REF!</v>
      </c>
      <c r="FF248" t="e">
        <f>AND(#REF!,"AAAAAHrn16E=")</f>
        <v>#REF!</v>
      </c>
      <c r="FG248" t="e">
        <f>AND(#REF!,"AAAAAHrn16I=")</f>
        <v>#REF!</v>
      </c>
      <c r="FH248" t="e">
        <f>AND(#REF!,"AAAAAHrn16M=")</f>
        <v>#REF!</v>
      </c>
      <c r="FI248" t="e">
        <f>AND(#REF!,"AAAAAHrn16Q=")</f>
        <v>#REF!</v>
      </c>
      <c r="FJ248" t="e">
        <f>AND(#REF!,"AAAAAHrn16U=")</f>
        <v>#REF!</v>
      </c>
      <c r="FK248" t="e">
        <f>AND(#REF!,"AAAAAHrn16Y=")</f>
        <v>#REF!</v>
      </c>
      <c r="FL248" t="e">
        <f>AND(#REF!,"AAAAAHrn16c=")</f>
        <v>#REF!</v>
      </c>
      <c r="FM248" t="e">
        <f>AND(#REF!,"AAAAAHrn16g=")</f>
        <v>#REF!</v>
      </c>
      <c r="FN248" t="e">
        <f>AND(#REF!,"AAAAAHrn16k=")</f>
        <v>#REF!</v>
      </c>
      <c r="FO248" t="e">
        <f>AND(#REF!,"AAAAAHrn16o=")</f>
        <v>#REF!</v>
      </c>
      <c r="FP248" t="e">
        <f>AND(#REF!,"AAAAAHrn16s=")</f>
        <v>#REF!</v>
      </c>
      <c r="FQ248" t="e">
        <f>AND(#REF!,"AAAAAHrn16w=")</f>
        <v>#REF!</v>
      </c>
      <c r="FR248" t="e">
        <f>AND(#REF!,"AAAAAHrn160=")</f>
        <v>#REF!</v>
      </c>
      <c r="FS248" t="e">
        <f>AND(#REF!,"AAAAAHrn164=")</f>
        <v>#REF!</v>
      </c>
      <c r="FT248" t="e">
        <f>AND(#REF!,"AAAAAHrn168=")</f>
        <v>#REF!</v>
      </c>
      <c r="FU248" t="e">
        <f>AND(#REF!,"AAAAAHrn17A=")</f>
        <v>#REF!</v>
      </c>
      <c r="FV248" t="e">
        <f>AND(#REF!,"AAAAAHrn17E=")</f>
        <v>#REF!</v>
      </c>
      <c r="FW248" t="e">
        <f>IF(#REF!,"AAAAAHrn17I=",0)</f>
        <v>#REF!</v>
      </c>
      <c r="FX248" t="e">
        <f>AND(#REF!,"AAAAAHrn17M=")</f>
        <v>#REF!</v>
      </c>
      <c r="FY248" t="e">
        <f>AND(#REF!,"AAAAAHrn17Q=")</f>
        <v>#REF!</v>
      </c>
      <c r="FZ248" t="e">
        <f>AND(#REF!,"AAAAAHrn17U=")</f>
        <v>#REF!</v>
      </c>
      <c r="GA248" t="e">
        <f>AND(#REF!,"AAAAAHrn17Y=")</f>
        <v>#REF!</v>
      </c>
      <c r="GB248" t="e">
        <f>AND(#REF!,"AAAAAHrn17c=")</f>
        <v>#REF!</v>
      </c>
      <c r="GC248" t="e">
        <f>AND(#REF!,"AAAAAHrn17g=")</f>
        <v>#REF!</v>
      </c>
      <c r="GD248" t="e">
        <f>AND(#REF!,"AAAAAHrn17k=")</f>
        <v>#REF!</v>
      </c>
      <c r="GE248" t="e">
        <f>AND(#REF!,"AAAAAHrn17o=")</f>
        <v>#REF!</v>
      </c>
      <c r="GF248" t="e">
        <f>AND(#REF!,"AAAAAHrn17s=")</f>
        <v>#REF!</v>
      </c>
      <c r="GG248" t="e">
        <f>AND(#REF!,"AAAAAHrn17w=")</f>
        <v>#REF!</v>
      </c>
      <c r="GH248" t="e">
        <f>AND(#REF!,"AAAAAHrn170=")</f>
        <v>#REF!</v>
      </c>
      <c r="GI248" t="e">
        <f>AND(#REF!,"AAAAAHrn174=")</f>
        <v>#REF!</v>
      </c>
      <c r="GJ248" t="e">
        <f>AND(#REF!,"AAAAAHrn178=")</f>
        <v>#REF!</v>
      </c>
      <c r="GK248" t="e">
        <f>AND(#REF!,"AAAAAHrn18A=")</f>
        <v>#REF!</v>
      </c>
      <c r="GL248" t="e">
        <f>AND(#REF!,"AAAAAHrn18E=")</f>
        <v>#REF!</v>
      </c>
      <c r="GM248" t="e">
        <f>AND(#REF!,"AAAAAHrn18I=")</f>
        <v>#REF!</v>
      </c>
      <c r="GN248" t="e">
        <f>AND(#REF!,"AAAAAHrn18M=")</f>
        <v>#REF!</v>
      </c>
      <c r="GO248" t="e">
        <f>AND(#REF!,"AAAAAHrn18Q=")</f>
        <v>#REF!</v>
      </c>
      <c r="GP248" t="e">
        <f>AND(#REF!,"AAAAAHrn18U=")</f>
        <v>#REF!</v>
      </c>
      <c r="GQ248" t="e">
        <f>AND(#REF!,"AAAAAHrn18Y=")</f>
        <v>#REF!</v>
      </c>
      <c r="GR248" t="e">
        <f>AND(#REF!,"AAAAAHrn18c=")</f>
        <v>#REF!</v>
      </c>
      <c r="GS248" t="e">
        <f>AND(#REF!,"AAAAAHrn18g=")</f>
        <v>#REF!</v>
      </c>
      <c r="GT248" t="e">
        <f>AND(#REF!,"AAAAAHrn18k=")</f>
        <v>#REF!</v>
      </c>
      <c r="GU248" t="e">
        <f>AND(#REF!,"AAAAAHrn18o=")</f>
        <v>#REF!</v>
      </c>
      <c r="GV248" t="e">
        <f>IF(#REF!,"AAAAAHrn18s=",0)</f>
        <v>#REF!</v>
      </c>
      <c r="GW248" t="e">
        <f>AND(#REF!,"AAAAAHrn18w=")</f>
        <v>#REF!</v>
      </c>
      <c r="GX248" t="e">
        <f>AND(#REF!,"AAAAAHrn180=")</f>
        <v>#REF!</v>
      </c>
      <c r="GY248" t="e">
        <f>AND(#REF!,"AAAAAHrn184=")</f>
        <v>#REF!</v>
      </c>
      <c r="GZ248" t="e">
        <f>AND(#REF!,"AAAAAHrn188=")</f>
        <v>#REF!</v>
      </c>
      <c r="HA248" t="e">
        <f>AND(#REF!,"AAAAAHrn19A=")</f>
        <v>#REF!</v>
      </c>
      <c r="HB248" t="e">
        <f>AND(#REF!,"AAAAAHrn19E=")</f>
        <v>#REF!</v>
      </c>
      <c r="HC248" t="e">
        <f>AND(#REF!,"AAAAAHrn19I=")</f>
        <v>#REF!</v>
      </c>
      <c r="HD248" t="e">
        <f>AND(#REF!,"AAAAAHrn19M=")</f>
        <v>#REF!</v>
      </c>
      <c r="HE248" t="e">
        <f>AND(#REF!,"AAAAAHrn19Q=")</f>
        <v>#REF!</v>
      </c>
      <c r="HF248" t="e">
        <f>AND(#REF!,"AAAAAHrn19U=")</f>
        <v>#REF!</v>
      </c>
      <c r="HG248" t="e">
        <f>AND(#REF!,"AAAAAHrn19Y=")</f>
        <v>#REF!</v>
      </c>
      <c r="HH248" t="e">
        <f>AND(#REF!,"AAAAAHrn19c=")</f>
        <v>#REF!</v>
      </c>
      <c r="HI248" t="e">
        <f>AND(#REF!,"AAAAAHrn19g=")</f>
        <v>#REF!</v>
      </c>
      <c r="HJ248" t="e">
        <f>AND(#REF!,"AAAAAHrn19k=")</f>
        <v>#REF!</v>
      </c>
      <c r="HK248" t="e">
        <f>AND(#REF!,"AAAAAHrn19o=")</f>
        <v>#REF!</v>
      </c>
      <c r="HL248" t="e">
        <f>AND(#REF!,"AAAAAHrn19s=")</f>
        <v>#REF!</v>
      </c>
      <c r="HM248" t="e">
        <f>AND(#REF!,"AAAAAHrn19w=")</f>
        <v>#REF!</v>
      </c>
      <c r="HN248" t="e">
        <f>AND(#REF!,"AAAAAHrn190=")</f>
        <v>#REF!</v>
      </c>
      <c r="HO248" t="e">
        <f>AND(#REF!,"AAAAAHrn194=")</f>
        <v>#REF!</v>
      </c>
      <c r="HP248" t="e">
        <f>AND(#REF!,"AAAAAHrn198=")</f>
        <v>#REF!</v>
      </c>
      <c r="HQ248" t="e">
        <f>AND(#REF!,"AAAAAHrn1+A=")</f>
        <v>#REF!</v>
      </c>
      <c r="HR248" t="e">
        <f>AND(#REF!,"AAAAAHrn1+E=")</f>
        <v>#REF!</v>
      </c>
      <c r="HS248" t="e">
        <f>AND(#REF!,"AAAAAHrn1+I=")</f>
        <v>#REF!</v>
      </c>
      <c r="HT248" t="e">
        <f>AND(#REF!,"AAAAAHrn1+M=")</f>
        <v>#REF!</v>
      </c>
      <c r="HU248" t="e">
        <f>IF(#REF!,"AAAAAHrn1+Q=",0)</f>
        <v>#REF!</v>
      </c>
      <c r="HV248" t="e">
        <f>AND(#REF!,"AAAAAHrn1+U=")</f>
        <v>#REF!</v>
      </c>
      <c r="HW248" t="e">
        <f>AND(#REF!,"AAAAAHrn1+Y=")</f>
        <v>#REF!</v>
      </c>
      <c r="HX248" t="e">
        <f>AND(#REF!,"AAAAAHrn1+c=")</f>
        <v>#REF!</v>
      </c>
      <c r="HY248" t="e">
        <f>AND(#REF!,"AAAAAHrn1+g=")</f>
        <v>#REF!</v>
      </c>
      <c r="HZ248" t="e">
        <f>AND(#REF!,"AAAAAHrn1+k=")</f>
        <v>#REF!</v>
      </c>
      <c r="IA248" t="e">
        <f>AND(#REF!,"AAAAAHrn1+o=")</f>
        <v>#REF!</v>
      </c>
      <c r="IB248" t="e">
        <f>AND(#REF!,"AAAAAHrn1+s=")</f>
        <v>#REF!</v>
      </c>
      <c r="IC248" t="e">
        <f>AND(#REF!,"AAAAAHrn1+w=")</f>
        <v>#REF!</v>
      </c>
      <c r="ID248" t="e">
        <f>AND(#REF!,"AAAAAHrn1+0=")</f>
        <v>#REF!</v>
      </c>
      <c r="IE248" t="e">
        <f>AND(#REF!,"AAAAAHrn1+4=")</f>
        <v>#REF!</v>
      </c>
      <c r="IF248" t="e">
        <f>AND(#REF!,"AAAAAHrn1+8=")</f>
        <v>#REF!</v>
      </c>
      <c r="IG248" t="e">
        <f>AND(#REF!,"AAAAAHrn1/A=")</f>
        <v>#REF!</v>
      </c>
      <c r="IH248" t="e">
        <f>AND(#REF!,"AAAAAHrn1/E=")</f>
        <v>#REF!</v>
      </c>
      <c r="II248" t="e">
        <f>AND(#REF!,"AAAAAHrn1/I=")</f>
        <v>#REF!</v>
      </c>
      <c r="IJ248" t="e">
        <f>AND(#REF!,"AAAAAHrn1/M=")</f>
        <v>#REF!</v>
      </c>
      <c r="IK248" t="e">
        <f>AND(#REF!,"AAAAAHrn1/Q=")</f>
        <v>#REF!</v>
      </c>
      <c r="IL248" t="e">
        <f>AND(#REF!,"AAAAAHrn1/U=")</f>
        <v>#REF!</v>
      </c>
      <c r="IM248" t="e">
        <f>AND(#REF!,"AAAAAHrn1/Y=")</f>
        <v>#REF!</v>
      </c>
      <c r="IN248" t="e">
        <f>AND(#REF!,"AAAAAHrn1/c=")</f>
        <v>#REF!</v>
      </c>
      <c r="IO248" t="e">
        <f>AND(#REF!,"AAAAAHrn1/g=")</f>
        <v>#REF!</v>
      </c>
      <c r="IP248" t="e">
        <f>AND(#REF!,"AAAAAHrn1/k=")</f>
        <v>#REF!</v>
      </c>
      <c r="IQ248" t="e">
        <f>AND(#REF!,"AAAAAHrn1/o=")</f>
        <v>#REF!</v>
      </c>
      <c r="IR248" t="e">
        <f>AND(#REF!,"AAAAAHrn1/s=")</f>
        <v>#REF!</v>
      </c>
      <c r="IS248" t="e">
        <f>AND(#REF!,"AAAAAHrn1/w=")</f>
        <v>#REF!</v>
      </c>
      <c r="IT248" t="e">
        <f>IF(#REF!,"AAAAAHrn1/0=",0)</f>
        <v>#REF!</v>
      </c>
      <c r="IU248" t="e">
        <f>AND(#REF!,"AAAAAHrn1/4=")</f>
        <v>#REF!</v>
      </c>
      <c r="IV248" t="e">
        <f>AND(#REF!,"AAAAAHrn1/8=")</f>
        <v>#REF!</v>
      </c>
    </row>
    <row r="249" spans="1:256">
      <c r="A249" t="e">
        <f>AND(#REF!,"AAAAABPp/QA=")</f>
        <v>#REF!</v>
      </c>
      <c r="B249" t="e">
        <f>AND(#REF!,"AAAAABPp/QE=")</f>
        <v>#REF!</v>
      </c>
      <c r="C249" t="e">
        <f>AND(#REF!,"AAAAABPp/QI=")</f>
        <v>#REF!</v>
      </c>
      <c r="D249" t="e">
        <f>AND(#REF!,"AAAAABPp/QM=")</f>
        <v>#REF!</v>
      </c>
      <c r="E249" t="e">
        <f>AND(#REF!,"AAAAABPp/QQ=")</f>
        <v>#REF!</v>
      </c>
      <c r="F249" t="e">
        <f>AND(#REF!,"AAAAABPp/QU=")</f>
        <v>#REF!</v>
      </c>
      <c r="G249" t="e">
        <f>AND(#REF!,"AAAAABPp/QY=")</f>
        <v>#REF!</v>
      </c>
      <c r="H249" t="e">
        <f>AND(#REF!,"AAAAABPp/Qc=")</f>
        <v>#REF!</v>
      </c>
      <c r="I249" t="e">
        <f>AND(#REF!,"AAAAABPp/Qg=")</f>
        <v>#REF!</v>
      </c>
      <c r="J249" t="e">
        <f>AND(#REF!,"AAAAABPp/Qk=")</f>
        <v>#REF!</v>
      </c>
      <c r="K249" t="e">
        <f>AND(#REF!,"AAAAABPp/Qo=")</f>
        <v>#REF!</v>
      </c>
      <c r="L249" t="e">
        <f>AND(#REF!,"AAAAABPp/Qs=")</f>
        <v>#REF!</v>
      </c>
      <c r="M249" t="e">
        <f>AND(#REF!,"AAAAABPp/Qw=")</f>
        <v>#REF!</v>
      </c>
      <c r="N249" t="e">
        <f>AND(#REF!,"AAAAABPp/Q0=")</f>
        <v>#REF!</v>
      </c>
      <c r="O249" t="e">
        <f>AND(#REF!,"AAAAABPp/Q4=")</f>
        <v>#REF!</v>
      </c>
      <c r="P249" t="e">
        <f>AND(#REF!,"AAAAABPp/Q8=")</f>
        <v>#REF!</v>
      </c>
      <c r="Q249" t="e">
        <f>AND(#REF!,"AAAAABPp/RA=")</f>
        <v>#REF!</v>
      </c>
      <c r="R249" t="e">
        <f>AND(#REF!,"AAAAABPp/RE=")</f>
        <v>#REF!</v>
      </c>
      <c r="S249" t="e">
        <f>AND(#REF!,"AAAAABPp/RI=")</f>
        <v>#REF!</v>
      </c>
      <c r="T249" t="e">
        <f>AND(#REF!,"AAAAABPp/RM=")</f>
        <v>#REF!</v>
      </c>
      <c r="U249" t="e">
        <f>AND(#REF!,"AAAAABPp/RQ=")</f>
        <v>#REF!</v>
      </c>
      <c r="V249" t="e">
        <f>AND(#REF!,"AAAAABPp/RU=")</f>
        <v>#REF!</v>
      </c>
      <c r="W249" t="e">
        <f>IF(#REF!,"AAAAABPp/RY=",0)</f>
        <v>#REF!</v>
      </c>
      <c r="X249" t="e">
        <f>AND(#REF!,"AAAAABPp/Rc=")</f>
        <v>#REF!</v>
      </c>
      <c r="Y249" t="e">
        <f>AND(#REF!,"AAAAABPp/Rg=")</f>
        <v>#REF!</v>
      </c>
      <c r="Z249" t="e">
        <f>AND(#REF!,"AAAAABPp/Rk=")</f>
        <v>#REF!</v>
      </c>
      <c r="AA249" t="e">
        <f>AND(#REF!,"AAAAABPp/Ro=")</f>
        <v>#REF!</v>
      </c>
      <c r="AB249" t="e">
        <f>AND(#REF!,"AAAAABPp/Rs=")</f>
        <v>#REF!</v>
      </c>
      <c r="AC249" t="e">
        <f>AND(#REF!,"AAAAABPp/Rw=")</f>
        <v>#REF!</v>
      </c>
      <c r="AD249" t="e">
        <f>AND(#REF!,"AAAAABPp/R0=")</f>
        <v>#REF!</v>
      </c>
      <c r="AE249" t="e">
        <f>AND(#REF!,"AAAAABPp/R4=")</f>
        <v>#REF!</v>
      </c>
      <c r="AF249" t="e">
        <f>AND(#REF!,"AAAAABPp/R8=")</f>
        <v>#REF!</v>
      </c>
      <c r="AG249" t="e">
        <f>AND(#REF!,"AAAAABPp/SA=")</f>
        <v>#REF!</v>
      </c>
      <c r="AH249" t="e">
        <f>AND(#REF!,"AAAAABPp/SE=")</f>
        <v>#REF!</v>
      </c>
      <c r="AI249" t="e">
        <f>AND(#REF!,"AAAAABPp/SI=")</f>
        <v>#REF!</v>
      </c>
      <c r="AJ249" t="e">
        <f>AND(#REF!,"AAAAABPp/SM=")</f>
        <v>#REF!</v>
      </c>
      <c r="AK249" t="e">
        <f>AND(#REF!,"AAAAABPp/SQ=")</f>
        <v>#REF!</v>
      </c>
      <c r="AL249" t="e">
        <f>AND(#REF!,"AAAAABPp/SU=")</f>
        <v>#REF!</v>
      </c>
      <c r="AM249" t="e">
        <f>AND(#REF!,"AAAAABPp/SY=")</f>
        <v>#REF!</v>
      </c>
      <c r="AN249" t="e">
        <f>AND(#REF!,"AAAAABPp/Sc=")</f>
        <v>#REF!</v>
      </c>
      <c r="AO249" t="e">
        <f>AND(#REF!,"AAAAABPp/Sg=")</f>
        <v>#REF!</v>
      </c>
      <c r="AP249" t="e">
        <f>AND(#REF!,"AAAAABPp/Sk=")</f>
        <v>#REF!</v>
      </c>
      <c r="AQ249" t="e">
        <f>AND(#REF!,"AAAAABPp/So=")</f>
        <v>#REF!</v>
      </c>
      <c r="AR249" t="e">
        <f>AND(#REF!,"AAAAABPp/Ss=")</f>
        <v>#REF!</v>
      </c>
      <c r="AS249" t="e">
        <f>AND(#REF!,"AAAAABPp/Sw=")</f>
        <v>#REF!</v>
      </c>
      <c r="AT249" t="e">
        <f>AND(#REF!,"AAAAABPp/S0=")</f>
        <v>#REF!</v>
      </c>
      <c r="AU249" t="e">
        <f>AND(#REF!,"AAAAABPp/S4=")</f>
        <v>#REF!</v>
      </c>
      <c r="AV249" t="e">
        <f>IF(#REF!,"AAAAABPp/S8=",0)</f>
        <v>#REF!</v>
      </c>
      <c r="AW249" t="e">
        <f>AND(#REF!,"AAAAABPp/TA=")</f>
        <v>#REF!</v>
      </c>
      <c r="AX249" t="e">
        <f>AND(#REF!,"AAAAABPp/TE=")</f>
        <v>#REF!</v>
      </c>
      <c r="AY249" t="e">
        <f>AND(#REF!,"AAAAABPp/TI=")</f>
        <v>#REF!</v>
      </c>
      <c r="AZ249" t="e">
        <f>AND(#REF!,"AAAAABPp/TM=")</f>
        <v>#REF!</v>
      </c>
      <c r="BA249" t="e">
        <f>AND(#REF!,"AAAAABPp/TQ=")</f>
        <v>#REF!</v>
      </c>
      <c r="BB249" t="e">
        <f>AND(#REF!,"AAAAABPp/TU=")</f>
        <v>#REF!</v>
      </c>
      <c r="BC249" t="e">
        <f>AND(#REF!,"AAAAABPp/TY=")</f>
        <v>#REF!</v>
      </c>
      <c r="BD249" t="e">
        <f>AND(#REF!,"AAAAABPp/Tc=")</f>
        <v>#REF!</v>
      </c>
      <c r="BE249" t="e">
        <f>AND(#REF!,"AAAAABPp/Tg=")</f>
        <v>#REF!</v>
      </c>
      <c r="BF249" t="e">
        <f>AND(#REF!,"AAAAABPp/Tk=")</f>
        <v>#REF!</v>
      </c>
      <c r="BG249" t="e">
        <f>AND(#REF!,"AAAAABPp/To=")</f>
        <v>#REF!</v>
      </c>
      <c r="BH249" t="e">
        <f>AND(#REF!,"AAAAABPp/Ts=")</f>
        <v>#REF!</v>
      </c>
      <c r="BI249" t="e">
        <f>AND(#REF!,"AAAAABPp/Tw=")</f>
        <v>#REF!</v>
      </c>
      <c r="BJ249" t="e">
        <f>AND(#REF!,"AAAAABPp/T0=")</f>
        <v>#REF!</v>
      </c>
      <c r="BK249" t="e">
        <f>AND(#REF!,"AAAAABPp/T4=")</f>
        <v>#REF!</v>
      </c>
      <c r="BL249" t="e">
        <f>AND(#REF!,"AAAAABPp/T8=")</f>
        <v>#REF!</v>
      </c>
      <c r="BM249" t="e">
        <f>AND(#REF!,"AAAAABPp/UA=")</f>
        <v>#REF!</v>
      </c>
      <c r="BN249" t="e">
        <f>AND(#REF!,"AAAAABPp/UE=")</f>
        <v>#REF!</v>
      </c>
      <c r="BO249" t="e">
        <f>AND(#REF!,"AAAAABPp/UI=")</f>
        <v>#REF!</v>
      </c>
      <c r="BP249" t="e">
        <f>AND(#REF!,"AAAAABPp/UM=")</f>
        <v>#REF!</v>
      </c>
      <c r="BQ249" t="e">
        <f>AND(#REF!,"AAAAABPp/UQ=")</f>
        <v>#REF!</v>
      </c>
      <c r="BR249" t="e">
        <f>AND(#REF!,"AAAAABPp/UU=")</f>
        <v>#REF!</v>
      </c>
      <c r="BS249" t="e">
        <f>AND(#REF!,"AAAAABPp/UY=")</f>
        <v>#REF!</v>
      </c>
      <c r="BT249" t="e">
        <f>AND(#REF!,"AAAAABPp/Uc=")</f>
        <v>#REF!</v>
      </c>
      <c r="BU249" t="e">
        <f>IF(#REF!,"AAAAABPp/Ug=",0)</f>
        <v>#REF!</v>
      </c>
      <c r="BV249" t="e">
        <f>AND(#REF!,"AAAAABPp/Uk=")</f>
        <v>#REF!</v>
      </c>
      <c r="BW249" t="e">
        <f>AND(#REF!,"AAAAABPp/Uo=")</f>
        <v>#REF!</v>
      </c>
      <c r="BX249" t="e">
        <f>AND(#REF!,"AAAAABPp/Us=")</f>
        <v>#REF!</v>
      </c>
      <c r="BY249" t="e">
        <f>AND(#REF!,"AAAAABPp/Uw=")</f>
        <v>#REF!</v>
      </c>
      <c r="BZ249" t="e">
        <f>AND(#REF!,"AAAAABPp/U0=")</f>
        <v>#REF!</v>
      </c>
      <c r="CA249" t="e">
        <f>AND(#REF!,"AAAAABPp/U4=")</f>
        <v>#REF!</v>
      </c>
      <c r="CB249" t="e">
        <f>AND(#REF!,"AAAAABPp/U8=")</f>
        <v>#REF!</v>
      </c>
      <c r="CC249" t="e">
        <f>AND(#REF!,"AAAAABPp/VA=")</f>
        <v>#REF!</v>
      </c>
      <c r="CD249" t="e">
        <f>AND(#REF!,"AAAAABPp/VE=")</f>
        <v>#REF!</v>
      </c>
      <c r="CE249" t="e">
        <f>AND(#REF!,"AAAAABPp/VI=")</f>
        <v>#REF!</v>
      </c>
      <c r="CF249" t="e">
        <f>AND(#REF!,"AAAAABPp/VM=")</f>
        <v>#REF!</v>
      </c>
      <c r="CG249" t="e">
        <f>AND(#REF!,"AAAAABPp/VQ=")</f>
        <v>#REF!</v>
      </c>
      <c r="CH249" t="e">
        <f>AND(#REF!,"AAAAABPp/VU=")</f>
        <v>#REF!</v>
      </c>
      <c r="CI249" t="e">
        <f>AND(#REF!,"AAAAABPp/VY=")</f>
        <v>#REF!</v>
      </c>
      <c r="CJ249" t="e">
        <f>AND(#REF!,"AAAAABPp/Vc=")</f>
        <v>#REF!</v>
      </c>
      <c r="CK249" t="e">
        <f>AND(#REF!,"AAAAABPp/Vg=")</f>
        <v>#REF!</v>
      </c>
      <c r="CL249" t="e">
        <f>AND(#REF!,"AAAAABPp/Vk=")</f>
        <v>#REF!</v>
      </c>
      <c r="CM249" t="e">
        <f>AND(#REF!,"AAAAABPp/Vo=")</f>
        <v>#REF!</v>
      </c>
      <c r="CN249" t="e">
        <f>AND(#REF!,"AAAAABPp/Vs=")</f>
        <v>#REF!</v>
      </c>
      <c r="CO249" t="e">
        <f>AND(#REF!,"AAAAABPp/Vw=")</f>
        <v>#REF!</v>
      </c>
      <c r="CP249" t="e">
        <f>AND(#REF!,"AAAAABPp/V0=")</f>
        <v>#REF!</v>
      </c>
      <c r="CQ249" t="e">
        <f>AND(#REF!,"AAAAABPp/V4=")</f>
        <v>#REF!</v>
      </c>
      <c r="CR249" t="e">
        <f>AND(#REF!,"AAAAABPp/V8=")</f>
        <v>#REF!</v>
      </c>
      <c r="CS249" t="e">
        <f>AND(#REF!,"AAAAABPp/WA=")</f>
        <v>#REF!</v>
      </c>
      <c r="CT249" t="e">
        <f>IF(#REF!,"AAAAABPp/WE=",0)</f>
        <v>#REF!</v>
      </c>
      <c r="CU249" t="e">
        <f>AND(#REF!,"AAAAABPp/WI=")</f>
        <v>#REF!</v>
      </c>
      <c r="CV249" t="e">
        <f>AND(#REF!,"AAAAABPp/WM=")</f>
        <v>#REF!</v>
      </c>
      <c r="CW249" t="e">
        <f>AND(#REF!,"AAAAABPp/WQ=")</f>
        <v>#REF!</v>
      </c>
      <c r="CX249" t="e">
        <f>AND(#REF!,"AAAAABPp/WU=")</f>
        <v>#REF!</v>
      </c>
      <c r="CY249" t="e">
        <f>AND(#REF!,"AAAAABPp/WY=")</f>
        <v>#REF!</v>
      </c>
      <c r="CZ249" t="e">
        <f>AND(#REF!,"AAAAABPp/Wc=")</f>
        <v>#REF!</v>
      </c>
      <c r="DA249" t="e">
        <f>AND(#REF!,"AAAAABPp/Wg=")</f>
        <v>#REF!</v>
      </c>
      <c r="DB249" t="e">
        <f>AND(#REF!,"AAAAABPp/Wk=")</f>
        <v>#REF!</v>
      </c>
      <c r="DC249" t="e">
        <f>AND(#REF!,"AAAAABPp/Wo=")</f>
        <v>#REF!</v>
      </c>
      <c r="DD249" t="e">
        <f>AND(#REF!,"AAAAABPp/Ws=")</f>
        <v>#REF!</v>
      </c>
      <c r="DE249" t="e">
        <f>AND(#REF!,"AAAAABPp/Ww=")</f>
        <v>#REF!</v>
      </c>
      <c r="DF249" t="e">
        <f>AND(#REF!,"AAAAABPp/W0=")</f>
        <v>#REF!</v>
      </c>
      <c r="DG249" t="e">
        <f>AND(#REF!,"AAAAABPp/W4=")</f>
        <v>#REF!</v>
      </c>
      <c r="DH249" t="e">
        <f>AND(#REF!,"AAAAABPp/W8=")</f>
        <v>#REF!</v>
      </c>
      <c r="DI249" t="e">
        <f>AND(#REF!,"AAAAABPp/XA=")</f>
        <v>#REF!</v>
      </c>
      <c r="DJ249" t="e">
        <f>AND(#REF!,"AAAAABPp/XE=")</f>
        <v>#REF!</v>
      </c>
      <c r="DK249" t="e">
        <f>AND(#REF!,"AAAAABPp/XI=")</f>
        <v>#REF!</v>
      </c>
      <c r="DL249" t="e">
        <f>AND(#REF!,"AAAAABPp/XM=")</f>
        <v>#REF!</v>
      </c>
      <c r="DM249" t="e">
        <f>AND(#REF!,"AAAAABPp/XQ=")</f>
        <v>#REF!</v>
      </c>
      <c r="DN249" t="e">
        <f>AND(#REF!,"AAAAABPp/XU=")</f>
        <v>#REF!</v>
      </c>
      <c r="DO249" t="e">
        <f>AND(#REF!,"AAAAABPp/XY=")</f>
        <v>#REF!</v>
      </c>
      <c r="DP249" t="e">
        <f>AND(#REF!,"AAAAABPp/Xc=")</f>
        <v>#REF!</v>
      </c>
      <c r="DQ249" t="e">
        <f>AND(#REF!,"AAAAABPp/Xg=")</f>
        <v>#REF!</v>
      </c>
      <c r="DR249" t="e">
        <f>AND(#REF!,"AAAAABPp/Xk=")</f>
        <v>#REF!</v>
      </c>
      <c r="DS249" t="e">
        <f>IF(#REF!,"AAAAABPp/Xo=",0)</f>
        <v>#REF!</v>
      </c>
      <c r="DT249" t="e">
        <f>AND(#REF!,"AAAAABPp/Xs=")</f>
        <v>#REF!</v>
      </c>
      <c r="DU249" t="e">
        <f>AND(#REF!,"AAAAABPp/Xw=")</f>
        <v>#REF!</v>
      </c>
      <c r="DV249" t="e">
        <f>AND(#REF!,"AAAAABPp/X0=")</f>
        <v>#REF!</v>
      </c>
      <c r="DW249" t="e">
        <f>AND(#REF!,"AAAAABPp/X4=")</f>
        <v>#REF!</v>
      </c>
      <c r="DX249" t="e">
        <f>AND(#REF!,"AAAAABPp/X8=")</f>
        <v>#REF!</v>
      </c>
      <c r="DY249" t="e">
        <f>AND(#REF!,"AAAAABPp/YA=")</f>
        <v>#REF!</v>
      </c>
      <c r="DZ249" t="e">
        <f>AND(#REF!,"AAAAABPp/YE=")</f>
        <v>#REF!</v>
      </c>
      <c r="EA249" t="e">
        <f>AND(#REF!,"AAAAABPp/YI=")</f>
        <v>#REF!</v>
      </c>
      <c r="EB249" t="e">
        <f>AND(#REF!,"AAAAABPp/YM=")</f>
        <v>#REF!</v>
      </c>
      <c r="EC249" t="e">
        <f>AND(#REF!,"AAAAABPp/YQ=")</f>
        <v>#REF!</v>
      </c>
      <c r="ED249" t="e">
        <f>AND(#REF!,"AAAAABPp/YU=")</f>
        <v>#REF!</v>
      </c>
      <c r="EE249" t="e">
        <f>AND(#REF!,"AAAAABPp/YY=")</f>
        <v>#REF!</v>
      </c>
      <c r="EF249" t="e">
        <f>AND(#REF!,"AAAAABPp/Yc=")</f>
        <v>#REF!</v>
      </c>
      <c r="EG249" t="e">
        <f>AND(#REF!,"AAAAABPp/Yg=")</f>
        <v>#REF!</v>
      </c>
      <c r="EH249" t="e">
        <f>AND(#REF!,"AAAAABPp/Yk=")</f>
        <v>#REF!</v>
      </c>
      <c r="EI249" t="e">
        <f>AND(#REF!,"AAAAABPp/Yo=")</f>
        <v>#REF!</v>
      </c>
      <c r="EJ249" t="e">
        <f>AND(#REF!,"AAAAABPp/Ys=")</f>
        <v>#REF!</v>
      </c>
      <c r="EK249" t="e">
        <f>AND(#REF!,"AAAAABPp/Yw=")</f>
        <v>#REF!</v>
      </c>
      <c r="EL249" t="e">
        <f>AND(#REF!,"AAAAABPp/Y0=")</f>
        <v>#REF!</v>
      </c>
      <c r="EM249" t="e">
        <f>AND(#REF!,"AAAAABPp/Y4=")</f>
        <v>#REF!</v>
      </c>
      <c r="EN249" t="e">
        <f>AND(#REF!,"AAAAABPp/Y8=")</f>
        <v>#REF!</v>
      </c>
      <c r="EO249" t="e">
        <f>AND(#REF!,"AAAAABPp/ZA=")</f>
        <v>#REF!</v>
      </c>
      <c r="EP249" t="e">
        <f>AND(#REF!,"AAAAABPp/ZE=")</f>
        <v>#REF!</v>
      </c>
      <c r="EQ249" t="e">
        <f>AND(#REF!,"AAAAABPp/ZI=")</f>
        <v>#REF!</v>
      </c>
      <c r="ER249" t="e">
        <f>IF(#REF!,"AAAAABPp/ZM=",0)</f>
        <v>#REF!</v>
      </c>
      <c r="ES249" t="e">
        <f>AND(#REF!,"AAAAABPp/ZQ=")</f>
        <v>#REF!</v>
      </c>
      <c r="ET249" t="e">
        <f>AND(#REF!,"AAAAABPp/ZU=")</f>
        <v>#REF!</v>
      </c>
      <c r="EU249" t="e">
        <f>AND(#REF!,"AAAAABPp/ZY=")</f>
        <v>#REF!</v>
      </c>
      <c r="EV249" t="e">
        <f>AND(#REF!,"AAAAABPp/Zc=")</f>
        <v>#REF!</v>
      </c>
      <c r="EW249" t="e">
        <f>AND(#REF!,"AAAAABPp/Zg=")</f>
        <v>#REF!</v>
      </c>
      <c r="EX249" t="e">
        <f>AND(#REF!,"AAAAABPp/Zk=")</f>
        <v>#REF!</v>
      </c>
      <c r="EY249" t="e">
        <f>AND(#REF!,"AAAAABPp/Zo=")</f>
        <v>#REF!</v>
      </c>
      <c r="EZ249" t="e">
        <f>AND(#REF!,"AAAAABPp/Zs=")</f>
        <v>#REF!</v>
      </c>
      <c r="FA249" t="e">
        <f>AND(#REF!,"AAAAABPp/Zw=")</f>
        <v>#REF!</v>
      </c>
      <c r="FB249" t="e">
        <f>AND(#REF!,"AAAAABPp/Z0=")</f>
        <v>#REF!</v>
      </c>
      <c r="FC249" t="e">
        <f>AND(#REF!,"AAAAABPp/Z4=")</f>
        <v>#REF!</v>
      </c>
      <c r="FD249" t="e">
        <f>AND(#REF!,"AAAAABPp/Z8=")</f>
        <v>#REF!</v>
      </c>
      <c r="FE249" t="e">
        <f>AND(#REF!,"AAAAABPp/aA=")</f>
        <v>#REF!</v>
      </c>
      <c r="FF249" t="e">
        <f>AND(#REF!,"AAAAABPp/aE=")</f>
        <v>#REF!</v>
      </c>
      <c r="FG249" t="e">
        <f>AND(#REF!,"AAAAABPp/aI=")</f>
        <v>#REF!</v>
      </c>
      <c r="FH249" t="e">
        <f>AND(#REF!,"AAAAABPp/aM=")</f>
        <v>#REF!</v>
      </c>
      <c r="FI249" t="e">
        <f>AND(#REF!,"AAAAABPp/aQ=")</f>
        <v>#REF!</v>
      </c>
      <c r="FJ249" t="e">
        <f>AND(#REF!,"AAAAABPp/aU=")</f>
        <v>#REF!</v>
      </c>
      <c r="FK249" t="e">
        <f>AND(#REF!,"AAAAABPp/aY=")</f>
        <v>#REF!</v>
      </c>
      <c r="FL249" t="e">
        <f>AND(#REF!,"AAAAABPp/ac=")</f>
        <v>#REF!</v>
      </c>
      <c r="FM249" t="e">
        <f>AND(#REF!,"AAAAABPp/ag=")</f>
        <v>#REF!</v>
      </c>
      <c r="FN249" t="e">
        <f>AND(#REF!,"AAAAABPp/ak=")</f>
        <v>#REF!</v>
      </c>
      <c r="FO249" t="e">
        <f>AND(#REF!,"AAAAABPp/ao=")</f>
        <v>#REF!</v>
      </c>
      <c r="FP249" t="e">
        <f>AND(#REF!,"AAAAABPp/as=")</f>
        <v>#REF!</v>
      </c>
      <c r="FQ249" t="e">
        <f>IF(#REF!,"AAAAABPp/aw=",0)</f>
        <v>#REF!</v>
      </c>
      <c r="FR249" t="e">
        <f>AND(#REF!,"AAAAABPp/a0=")</f>
        <v>#REF!</v>
      </c>
      <c r="FS249" t="e">
        <f>AND(#REF!,"AAAAABPp/a4=")</f>
        <v>#REF!</v>
      </c>
      <c r="FT249" t="e">
        <f>AND(#REF!,"AAAAABPp/a8=")</f>
        <v>#REF!</v>
      </c>
      <c r="FU249" t="e">
        <f>AND(#REF!,"AAAAABPp/bA=")</f>
        <v>#REF!</v>
      </c>
      <c r="FV249" t="e">
        <f>AND(#REF!,"AAAAABPp/bE=")</f>
        <v>#REF!</v>
      </c>
      <c r="FW249" t="e">
        <f>AND(#REF!,"AAAAABPp/bI=")</f>
        <v>#REF!</v>
      </c>
      <c r="FX249" t="e">
        <f>AND(#REF!,"AAAAABPp/bM=")</f>
        <v>#REF!</v>
      </c>
      <c r="FY249" t="e">
        <f>AND(#REF!,"AAAAABPp/bQ=")</f>
        <v>#REF!</v>
      </c>
      <c r="FZ249" t="e">
        <f>AND(#REF!,"AAAAABPp/bU=")</f>
        <v>#REF!</v>
      </c>
      <c r="GA249" t="e">
        <f>AND(#REF!,"AAAAABPp/bY=")</f>
        <v>#REF!</v>
      </c>
      <c r="GB249" t="e">
        <f>AND(#REF!,"AAAAABPp/bc=")</f>
        <v>#REF!</v>
      </c>
      <c r="GC249" t="e">
        <f>AND(#REF!,"AAAAABPp/bg=")</f>
        <v>#REF!</v>
      </c>
      <c r="GD249" t="e">
        <f>AND(#REF!,"AAAAABPp/bk=")</f>
        <v>#REF!</v>
      </c>
      <c r="GE249" t="e">
        <f>AND(#REF!,"AAAAABPp/bo=")</f>
        <v>#REF!</v>
      </c>
      <c r="GF249" t="e">
        <f>AND(#REF!,"AAAAABPp/bs=")</f>
        <v>#REF!</v>
      </c>
      <c r="GG249" t="e">
        <f>AND(#REF!,"AAAAABPp/bw=")</f>
        <v>#REF!</v>
      </c>
      <c r="GH249" t="e">
        <f>AND(#REF!,"AAAAABPp/b0=")</f>
        <v>#REF!</v>
      </c>
      <c r="GI249" t="e">
        <f>AND(#REF!,"AAAAABPp/b4=")</f>
        <v>#REF!</v>
      </c>
      <c r="GJ249" t="e">
        <f>AND(#REF!,"AAAAABPp/b8=")</f>
        <v>#REF!</v>
      </c>
      <c r="GK249" t="e">
        <f>AND(#REF!,"AAAAABPp/cA=")</f>
        <v>#REF!</v>
      </c>
      <c r="GL249" t="e">
        <f>AND(#REF!,"AAAAABPp/cE=")</f>
        <v>#REF!</v>
      </c>
      <c r="GM249" t="e">
        <f>AND(#REF!,"AAAAABPp/cI=")</f>
        <v>#REF!</v>
      </c>
      <c r="GN249" t="e">
        <f>AND(#REF!,"AAAAABPp/cM=")</f>
        <v>#REF!</v>
      </c>
      <c r="GO249" t="e">
        <f>AND(#REF!,"AAAAABPp/cQ=")</f>
        <v>#REF!</v>
      </c>
      <c r="GP249" t="e">
        <f>IF(#REF!,"AAAAABPp/cU=",0)</f>
        <v>#REF!</v>
      </c>
      <c r="GQ249" t="e">
        <f>AND(#REF!,"AAAAABPp/cY=")</f>
        <v>#REF!</v>
      </c>
      <c r="GR249" t="e">
        <f>AND(#REF!,"AAAAABPp/cc=")</f>
        <v>#REF!</v>
      </c>
      <c r="GS249" t="e">
        <f>AND(#REF!,"AAAAABPp/cg=")</f>
        <v>#REF!</v>
      </c>
      <c r="GT249" t="e">
        <f>AND(#REF!,"AAAAABPp/ck=")</f>
        <v>#REF!</v>
      </c>
      <c r="GU249" t="e">
        <f>AND(#REF!,"AAAAABPp/co=")</f>
        <v>#REF!</v>
      </c>
      <c r="GV249" t="e">
        <f>AND(#REF!,"AAAAABPp/cs=")</f>
        <v>#REF!</v>
      </c>
      <c r="GW249" t="e">
        <f>AND(#REF!,"AAAAABPp/cw=")</f>
        <v>#REF!</v>
      </c>
      <c r="GX249" t="e">
        <f>AND(#REF!,"AAAAABPp/c0=")</f>
        <v>#REF!</v>
      </c>
      <c r="GY249" t="e">
        <f>AND(#REF!,"AAAAABPp/c4=")</f>
        <v>#REF!</v>
      </c>
      <c r="GZ249" t="e">
        <f>AND(#REF!,"AAAAABPp/c8=")</f>
        <v>#REF!</v>
      </c>
      <c r="HA249" t="e">
        <f>AND(#REF!,"AAAAABPp/dA=")</f>
        <v>#REF!</v>
      </c>
      <c r="HB249" t="e">
        <f>AND(#REF!,"AAAAABPp/dE=")</f>
        <v>#REF!</v>
      </c>
      <c r="HC249" t="e">
        <f>AND(#REF!,"AAAAABPp/dI=")</f>
        <v>#REF!</v>
      </c>
      <c r="HD249" t="e">
        <f>AND(#REF!,"AAAAABPp/dM=")</f>
        <v>#REF!</v>
      </c>
      <c r="HE249" t="e">
        <f>AND(#REF!,"AAAAABPp/dQ=")</f>
        <v>#REF!</v>
      </c>
      <c r="HF249" t="e">
        <f>AND(#REF!,"AAAAABPp/dU=")</f>
        <v>#REF!</v>
      </c>
      <c r="HG249" t="e">
        <f>AND(#REF!,"AAAAABPp/dY=")</f>
        <v>#REF!</v>
      </c>
      <c r="HH249" t="e">
        <f>AND(#REF!,"AAAAABPp/dc=")</f>
        <v>#REF!</v>
      </c>
      <c r="HI249" t="e">
        <f>AND(#REF!,"AAAAABPp/dg=")</f>
        <v>#REF!</v>
      </c>
      <c r="HJ249" t="e">
        <f>AND(#REF!,"AAAAABPp/dk=")</f>
        <v>#REF!</v>
      </c>
      <c r="HK249" t="e">
        <f>AND(#REF!,"AAAAABPp/do=")</f>
        <v>#REF!</v>
      </c>
      <c r="HL249" t="e">
        <f>AND(#REF!,"AAAAABPp/ds=")</f>
        <v>#REF!</v>
      </c>
      <c r="HM249" t="e">
        <f>AND(#REF!,"AAAAABPp/dw=")</f>
        <v>#REF!</v>
      </c>
      <c r="HN249" t="e">
        <f>AND(#REF!,"AAAAABPp/d0=")</f>
        <v>#REF!</v>
      </c>
      <c r="HO249" t="e">
        <f>IF(#REF!,"AAAAABPp/d4=",0)</f>
        <v>#REF!</v>
      </c>
      <c r="HP249" t="e">
        <f>AND(#REF!,"AAAAABPp/d8=")</f>
        <v>#REF!</v>
      </c>
      <c r="HQ249" t="e">
        <f>AND(#REF!,"AAAAABPp/eA=")</f>
        <v>#REF!</v>
      </c>
      <c r="HR249" t="e">
        <f>AND(#REF!,"AAAAABPp/eE=")</f>
        <v>#REF!</v>
      </c>
      <c r="HS249" t="e">
        <f>AND(#REF!,"AAAAABPp/eI=")</f>
        <v>#REF!</v>
      </c>
      <c r="HT249" t="e">
        <f>AND(#REF!,"AAAAABPp/eM=")</f>
        <v>#REF!</v>
      </c>
      <c r="HU249" t="e">
        <f>AND(#REF!,"AAAAABPp/eQ=")</f>
        <v>#REF!</v>
      </c>
      <c r="HV249" t="e">
        <f>AND(#REF!,"AAAAABPp/eU=")</f>
        <v>#REF!</v>
      </c>
      <c r="HW249" t="e">
        <f>AND(#REF!,"AAAAABPp/eY=")</f>
        <v>#REF!</v>
      </c>
      <c r="HX249" t="e">
        <f>AND(#REF!,"AAAAABPp/ec=")</f>
        <v>#REF!</v>
      </c>
      <c r="HY249" t="e">
        <f>AND(#REF!,"AAAAABPp/eg=")</f>
        <v>#REF!</v>
      </c>
      <c r="HZ249" t="e">
        <f>AND(#REF!,"AAAAABPp/ek=")</f>
        <v>#REF!</v>
      </c>
      <c r="IA249" t="e">
        <f>AND(#REF!,"AAAAABPp/eo=")</f>
        <v>#REF!</v>
      </c>
      <c r="IB249" t="e">
        <f>AND(#REF!,"AAAAABPp/es=")</f>
        <v>#REF!</v>
      </c>
      <c r="IC249" t="e">
        <f>AND(#REF!,"AAAAABPp/ew=")</f>
        <v>#REF!</v>
      </c>
      <c r="ID249" t="e">
        <f>AND(#REF!,"AAAAABPp/e0=")</f>
        <v>#REF!</v>
      </c>
      <c r="IE249" t="e">
        <f>AND(#REF!,"AAAAABPp/e4=")</f>
        <v>#REF!</v>
      </c>
      <c r="IF249" t="e">
        <f>AND(#REF!,"AAAAABPp/e8=")</f>
        <v>#REF!</v>
      </c>
      <c r="IG249" t="e">
        <f>AND(#REF!,"AAAAABPp/fA=")</f>
        <v>#REF!</v>
      </c>
      <c r="IH249" t="e">
        <f>AND(#REF!,"AAAAABPp/fE=")</f>
        <v>#REF!</v>
      </c>
      <c r="II249" t="e">
        <f>AND(#REF!,"AAAAABPp/fI=")</f>
        <v>#REF!</v>
      </c>
      <c r="IJ249" t="e">
        <f>AND(#REF!,"AAAAABPp/fM=")</f>
        <v>#REF!</v>
      </c>
      <c r="IK249" t="e">
        <f>AND(#REF!,"AAAAABPp/fQ=")</f>
        <v>#REF!</v>
      </c>
      <c r="IL249" t="e">
        <f>AND(#REF!,"AAAAABPp/fU=")</f>
        <v>#REF!</v>
      </c>
      <c r="IM249" t="e">
        <f>AND(#REF!,"AAAAABPp/fY=")</f>
        <v>#REF!</v>
      </c>
      <c r="IN249" t="e">
        <f>IF(#REF!,"AAAAABPp/fc=",0)</f>
        <v>#REF!</v>
      </c>
      <c r="IO249" t="e">
        <f>AND(#REF!,"AAAAABPp/fg=")</f>
        <v>#REF!</v>
      </c>
      <c r="IP249" t="e">
        <f>AND(#REF!,"AAAAABPp/fk=")</f>
        <v>#REF!</v>
      </c>
      <c r="IQ249" t="e">
        <f>AND(#REF!,"AAAAABPp/fo=")</f>
        <v>#REF!</v>
      </c>
      <c r="IR249" t="e">
        <f>AND(#REF!,"AAAAABPp/fs=")</f>
        <v>#REF!</v>
      </c>
      <c r="IS249" t="e">
        <f>AND(#REF!,"AAAAABPp/fw=")</f>
        <v>#REF!</v>
      </c>
      <c r="IT249" t="e">
        <f>AND(#REF!,"AAAAABPp/f0=")</f>
        <v>#REF!</v>
      </c>
      <c r="IU249" t="e">
        <f>AND(#REF!,"AAAAABPp/f4=")</f>
        <v>#REF!</v>
      </c>
      <c r="IV249" t="e">
        <f>AND(#REF!,"AAAAABPp/f8=")</f>
        <v>#REF!</v>
      </c>
    </row>
    <row r="250" spans="1:256">
      <c r="A250" t="e">
        <f>AND(#REF!,"AAAAAH8f6wA=")</f>
        <v>#REF!</v>
      </c>
      <c r="B250" t="e">
        <f>AND(#REF!,"AAAAAH8f6wE=")</f>
        <v>#REF!</v>
      </c>
      <c r="C250" t="e">
        <f>AND(#REF!,"AAAAAH8f6wI=")</f>
        <v>#REF!</v>
      </c>
      <c r="D250" t="e">
        <f>AND(#REF!,"AAAAAH8f6wM=")</f>
        <v>#REF!</v>
      </c>
      <c r="E250" t="e">
        <f>AND(#REF!,"AAAAAH8f6wQ=")</f>
        <v>#REF!</v>
      </c>
      <c r="F250" t="e">
        <f>AND(#REF!,"AAAAAH8f6wU=")</f>
        <v>#REF!</v>
      </c>
      <c r="G250" t="e">
        <f>AND(#REF!,"AAAAAH8f6wY=")</f>
        <v>#REF!</v>
      </c>
      <c r="H250" t="e">
        <f>AND(#REF!,"AAAAAH8f6wc=")</f>
        <v>#REF!</v>
      </c>
      <c r="I250" t="e">
        <f>AND(#REF!,"AAAAAH8f6wg=")</f>
        <v>#REF!</v>
      </c>
      <c r="J250" t="e">
        <f>AND(#REF!,"AAAAAH8f6wk=")</f>
        <v>#REF!</v>
      </c>
      <c r="K250" t="e">
        <f>AND(#REF!,"AAAAAH8f6wo=")</f>
        <v>#REF!</v>
      </c>
      <c r="L250" t="e">
        <f>AND(#REF!,"AAAAAH8f6ws=")</f>
        <v>#REF!</v>
      </c>
      <c r="M250" t="e">
        <f>AND(#REF!,"AAAAAH8f6ww=")</f>
        <v>#REF!</v>
      </c>
      <c r="N250" t="e">
        <f>AND(#REF!,"AAAAAH8f6w0=")</f>
        <v>#REF!</v>
      </c>
      <c r="O250" t="e">
        <f>AND(#REF!,"AAAAAH8f6w4=")</f>
        <v>#REF!</v>
      </c>
      <c r="P250" t="e">
        <f>AND(#REF!,"AAAAAH8f6w8=")</f>
        <v>#REF!</v>
      </c>
      <c r="Q250" t="e">
        <f>IF(#REF!,"AAAAAH8f6xA=",0)</f>
        <v>#REF!</v>
      </c>
      <c r="R250" t="e">
        <f>AND(#REF!,"AAAAAH8f6xE=")</f>
        <v>#REF!</v>
      </c>
      <c r="S250" t="e">
        <f>AND(#REF!,"AAAAAH8f6xI=")</f>
        <v>#REF!</v>
      </c>
      <c r="T250" t="e">
        <f>AND(#REF!,"AAAAAH8f6xM=")</f>
        <v>#REF!</v>
      </c>
      <c r="U250" t="e">
        <f>AND(#REF!,"AAAAAH8f6xQ=")</f>
        <v>#REF!</v>
      </c>
      <c r="V250" t="e">
        <f>AND(#REF!,"AAAAAH8f6xU=")</f>
        <v>#REF!</v>
      </c>
      <c r="W250" t="e">
        <f>AND(#REF!,"AAAAAH8f6xY=")</f>
        <v>#REF!</v>
      </c>
      <c r="X250" t="e">
        <f>AND(#REF!,"AAAAAH8f6xc=")</f>
        <v>#REF!</v>
      </c>
      <c r="Y250" t="e">
        <f>AND(#REF!,"AAAAAH8f6xg=")</f>
        <v>#REF!</v>
      </c>
      <c r="Z250" t="e">
        <f>AND(#REF!,"AAAAAH8f6xk=")</f>
        <v>#REF!</v>
      </c>
      <c r="AA250" t="e">
        <f>AND(#REF!,"AAAAAH8f6xo=")</f>
        <v>#REF!</v>
      </c>
      <c r="AB250" t="e">
        <f>AND(#REF!,"AAAAAH8f6xs=")</f>
        <v>#REF!</v>
      </c>
      <c r="AC250" t="e">
        <f>AND(#REF!,"AAAAAH8f6xw=")</f>
        <v>#REF!</v>
      </c>
      <c r="AD250" t="e">
        <f>AND(#REF!,"AAAAAH8f6x0=")</f>
        <v>#REF!</v>
      </c>
      <c r="AE250" t="e">
        <f>AND(#REF!,"AAAAAH8f6x4=")</f>
        <v>#REF!</v>
      </c>
      <c r="AF250" t="e">
        <f>AND(#REF!,"AAAAAH8f6x8=")</f>
        <v>#REF!</v>
      </c>
      <c r="AG250" t="e">
        <f>AND(#REF!,"AAAAAH8f6yA=")</f>
        <v>#REF!</v>
      </c>
      <c r="AH250" t="e">
        <f>AND(#REF!,"AAAAAH8f6yE=")</f>
        <v>#REF!</v>
      </c>
      <c r="AI250" t="e">
        <f>AND(#REF!,"AAAAAH8f6yI=")</f>
        <v>#REF!</v>
      </c>
      <c r="AJ250" t="e">
        <f>AND(#REF!,"AAAAAH8f6yM=")</f>
        <v>#REF!</v>
      </c>
      <c r="AK250" t="e">
        <f>AND(#REF!,"AAAAAH8f6yQ=")</f>
        <v>#REF!</v>
      </c>
      <c r="AL250" t="e">
        <f>AND(#REF!,"AAAAAH8f6yU=")</f>
        <v>#REF!</v>
      </c>
      <c r="AM250" t="e">
        <f>AND(#REF!,"AAAAAH8f6yY=")</f>
        <v>#REF!</v>
      </c>
      <c r="AN250" t="e">
        <f>AND(#REF!,"AAAAAH8f6yc=")</f>
        <v>#REF!</v>
      </c>
      <c r="AO250" t="e">
        <f>AND(#REF!,"AAAAAH8f6yg=")</f>
        <v>#REF!</v>
      </c>
      <c r="AP250" t="e">
        <f>IF(#REF!,"AAAAAH8f6yk=",0)</f>
        <v>#REF!</v>
      </c>
      <c r="AQ250" t="e">
        <f>AND(#REF!,"AAAAAH8f6yo=")</f>
        <v>#REF!</v>
      </c>
      <c r="AR250" t="e">
        <f>AND(#REF!,"AAAAAH8f6ys=")</f>
        <v>#REF!</v>
      </c>
      <c r="AS250" t="e">
        <f>AND(#REF!,"AAAAAH8f6yw=")</f>
        <v>#REF!</v>
      </c>
      <c r="AT250" t="e">
        <f>AND(#REF!,"AAAAAH8f6y0=")</f>
        <v>#REF!</v>
      </c>
      <c r="AU250" t="e">
        <f>AND(#REF!,"AAAAAH8f6y4=")</f>
        <v>#REF!</v>
      </c>
      <c r="AV250" t="e">
        <f>AND(#REF!,"AAAAAH8f6y8=")</f>
        <v>#REF!</v>
      </c>
      <c r="AW250" t="e">
        <f>AND(#REF!,"AAAAAH8f6zA=")</f>
        <v>#REF!</v>
      </c>
      <c r="AX250" t="e">
        <f>AND(#REF!,"AAAAAH8f6zE=")</f>
        <v>#REF!</v>
      </c>
      <c r="AY250" t="e">
        <f>AND(#REF!,"AAAAAH8f6zI=")</f>
        <v>#REF!</v>
      </c>
      <c r="AZ250" t="e">
        <f>AND(#REF!,"AAAAAH8f6zM=")</f>
        <v>#REF!</v>
      </c>
      <c r="BA250" t="e">
        <f>AND(#REF!,"AAAAAH8f6zQ=")</f>
        <v>#REF!</v>
      </c>
      <c r="BB250" t="e">
        <f>AND(#REF!,"AAAAAH8f6zU=")</f>
        <v>#REF!</v>
      </c>
      <c r="BC250" t="e">
        <f>AND(#REF!,"AAAAAH8f6zY=")</f>
        <v>#REF!</v>
      </c>
      <c r="BD250" t="e">
        <f>AND(#REF!,"AAAAAH8f6zc=")</f>
        <v>#REF!</v>
      </c>
      <c r="BE250" t="e">
        <f>AND(#REF!,"AAAAAH8f6zg=")</f>
        <v>#REF!</v>
      </c>
      <c r="BF250" t="e">
        <f>AND(#REF!,"AAAAAH8f6zk=")</f>
        <v>#REF!</v>
      </c>
      <c r="BG250" t="e">
        <f>AND(#REF!,"AAAAAH8f6zo=")</f>
        <v>#REF!</v>
      </c>
      <c r="BH250" t="e">
        <f>AND(#REF!,"AAAAAH8f6zs=")</f>
        <v>#REF!</v>
      </c>
      <c r="BI250" t="e">
        <f>AND(#REF!,"AAAAAH8f6zw=")</f>
        <v>#REF!</v>
      </c>
      <c r="BJ250" t="e">
        <f>AND(#REF!,"AAAAAH8f6z0=")</f>
        <v>#REF!</v>
      </c>
      <c r="BK250" t="e">
        <f>AND(#REF!,"AAAAAH8f6z4=")</f>
        <v>#REF!</v>
      </c>
      <c r="BL250" t="e">
        <f>AND(#REF!,"AAAAAH8f6z8=")</f>
        <v>#REF!</v>
      </c>
      <c r="BM250" t="e">
        <f>AND(#REF!,"AAAAAH8f60A=")</f>
        <v>#REF!</v>
      </c>
      <c r="BN250" t="e">
        <f>AND(#REF!,"AAAAAH8f60E=")</f>
        <v>#REF!</v>
      </c>
      <c r="BO250" t="e">
        <f>IF(#REF!,"AAAAAH8f60I=",0)</f>
        <v>#REF!</v>
      </c>
      <c r="BP250" t="e">
        <f>AND(#REF!,"AAAAAH8f60M=")</f>
        <v>#REF!</v>
      </c>
      <c r="BQ250" t="e">
        <f>AND(#REF!,"AAAAAH8f60Q=")</f>
        <v>#REF!</v>
      </c>
      <c r="BR250" t="e">
        <f>AND(#REF!,"AAAAAH8f60U=")</f>
        <v>#REF!</v>
      </c>
      <c r="BS250" t="e">
        <f>AND(#REF!,"AAAAAH8f60Y=")</f>
        <v>#REF!</v>
      </c>
      <c r="BT250" t="e">
        <f>AND(#REF!,"AAAAAH8f60c=")</f>
        <v>#REF!</v>
      </c>
      <c r="BU250" t="e">
        <f>AND(#REF!,"AAAAAH8f60g=")</f>
        <v>#REF!</v>
      </c>
      <c r="BV250" t="e">
        <f>AND(#REF!,"AAAAAH8f60k=")</f>
        <v>#REF!</v>
      </c>
      <c r="BW250" t="e">
        <f>AND(#REF!,"AAAAAH8f60o=")</f>
        <v>#REF!</v>
      </c>
      <c r="BX250" t="e">
        <f>AND(#REF!,"AAAAAH8f60s=")</f>
        <v>#REF!</v>
      </c>
      <c r="BY250" t="e">
        <f>AND(#REF!,"AAAAAH8f60w=")</f>
        <v>#REF!</v>
      </c>
      <c r="BZ250" t="e">
        <f>AND(#REF!,"AAAAAH8f600=")</f>
        <v>#REF!</v>
      </c>
      <c r="CA250" t="e">
        <f>AND(#REF!,"AAAAAH8f604=")</f>
        <v>#REF!</v>
      </c>
      <c r="CB250" t="e">
        <f>AND(#REF!,"AAAAAH8f608=")</f>
        <v>#REF!</v>
      </c>
      <c r="CC250" t="e">
        <f>AND(#REF!,"AAAAAH8f61A=")</f>
        <v>#REF!</v>
      </c>
      <c r="CD250" t="e">
        <f>AND(#REF!,"AAAAAH8f61E=")</f>
        <v>#REF!</v>
      </c>
      <c r="CE250" t="e">
        <f>AND(#REF!,"AAAAAH8f61I=")</f>
        <v>#REF!</v>
      </c>
      <c r="CF250" t="e">
        <f>AND(#REF!,"AAAAAH8f61M=")</f>
        <v>#REF!</v>
      </c>
      <c r="CG250" t="e">
        <f>AND(#REF!,"AAAAAH8f61Q=")</f>
        <v>#REF!</v>
      </c>
      <c r="CH250" t="e">
        <f>AND(#REF!,"AAAAAH8f61U=")</f>
        <v>#REF!</v>
      </c>
      <c r="CI250" t="e">
        <f>AND(#REF!,"AAAAAH8f61Y=")</f>
        <v>#REF!</v>
      </c>
      <c r="CJ250" t="e">
        <f>AND(#REF!,"AAAAAH8f61c=")</f>
        <v>#REF!</v>
      </c>
      <c r="CK250" t="e">
        <f>AND(#REF!,"AAAAAH8f61g=")</f>
        <v>#REF!</v>
      </c>
      <c r="CL250" t="e">
        <f>AND(#REF!,"AAAAAH8f61k=")</f>
        <v>#REF!</v>
      </c>
      <c r="CM250" t="e">
        <f>AND(#REF!,"AAAAAH8f61o=")</f>
        <v>#REF!</v>
      </c>
      <c r="CN250" t="e">
        <f>IF(#REF!,"AAAAAH8f61s=",0)</f>
        <v>#REF!</v>
      </c>
      <c r="CO250" t="e">
        <f>AND(#REF!,"AAAAAH8f61w=")</f>
        <v>#REF!</v>
      </c>
      <c r="CP250" t="e">
        <f>AND(#REF!,"AAAAAH8f610=")</f>
        <v>#REF!</v>
      </c>
      <c r="CQ250" t="e">
        <f>AND(#REF!,"AAAAAH8f614=")</f>
        <v>#REF!</v>
      </c>
      <c r="CR250" t="e">
        <f>AND(#REF!,"AAAAAH8f618=")</f>
        <v>#REF!</v>
      </c>
      <c r="CS250" t="e">
        <f>AND(#REF!,"AAAAAH8f62A=")</f>
        <v>#REF!</v>
      </c>
      <c r="CT250" t="e">
        <f>AND(#REF!,"AAAAAH8f62E=")</f>
        <v>#REF!</v>
      </c>
      <c r="CU250" t="e">
        <f>AND(#REF!,"AAAAAH8f62I=")</f>
        <v>#REF!</v>
      </c>
      <c r="CV250" t="e">
        <f>AND(#REF!,"AAAAAH8f62M=")</f>
        <v>#REF!</v>
      </c>
      <c r="CW250" t="e">
        <f>AND(#REF!,"AAAAAH8f62Q=")</f>
        <v>#REF!</v>
      </c>
      <c r="CX250" t="e">
        <f>AND(#REF!,"AAAAAH8f62U=")</f>
        <v>#REF!</v>
      </c>
      <c r="CY250" t="e">
        <f>AND(#REF!,"AAAAAH8f62Y=")</f>
        <v>#REF!</v>
      </c>
      <c r="CZ250" t="e">
        <f>AND(#REF!,"AAAAAH8f62c=")</f>
        <v>#REF!</v>
      </c>
      <c r="DA250" t="e">
        <f>AND(#REF!,"AAAAAH8f62g=")</f>
        <v>#REF!</v>
      </c>
      <c r="DB250" t="e">
        <f>AND(#REF!,"AAAAAH8f62k=")</f>
        <v>#REF!</v>
      </c>
      <c r="DC250" t="e">
        <f>AND(#REF!,"AAAAAH8f62o=")</f>
        <v>#REF!</v>
      </c>
      <c r="DD250" t="e">
        <f>AND(#REF!,"AAAAAH8f62s=")</f>
        <v>#REF!</v>
      </c>
      <c r="DE250" t="e">
        <f>AND(#REF!,"AAAAAH8f62w=")</f>
        <v>#REF!</v>
      </c>
      <c r="DF250" t="e">
        <f>AND(#REF!,"AAAAAH8f620=")</f>
        <v>#REF!</v>
      </c>
      <c r="DG250" t="e">
        <f>AND(#REF!,"AAAAAH8f624=")</f>
        <v>#REF!</v>
      </c>
      <c r="DH250" t="e">
        <f>AND(#REF!,"AAAAAH8f628=")</f>
        <v>#REF!</v>
      </c>
      <c r="DI250" t="e">
        <f>AND(#REF!,"AAAAAH8f63A=")</f>
        <v>#REF!</v>
      </c>
      <c r="DJ250" t="e">
        <f>AND(#REF!,"AAAAAH8f63E=")</f>
        <v>#REF!</v>
      </c>
      <c r="DK250" t="e">
        <f>AND(#REF!,"AAAAAH8f63I=")</f>
        <v>#REF!</v>
      </c>
      <c r="DL250" t="e">
        <f>AND(#REF!,"AAAAAH8f63M=")</f>
        <v>#REF!</v>
      </c>
      <c r="DM250" t="e">
        <f>IF(#REF!,"AAAAAH8f63Q=",0)</f>
        <v>#REF!</v>
      </c>
      <c r="DN250" t="e">
        <f>AND(#REF!,"AAAAAH8f63U=")</f>
        <v>#REF!</v>
      </c>
      <c r="DO250" t="e">
        <f>AND(#REF!,"AAAAAH8f63Y=")</f>
        <v>#REF!</v>
      </c>
      <c r="DP250" t="e">
        <f>AND(#REF!,"AAAAAH8f63c=")</f>
        <v>#REF!</v>
      </c>
      <c r="DQ250" t="e">
        <f>AND(#REF!,"AAAAAH8f63g=")</f>
        <v>#REF!</v>
      </c>
      <c r="DR250" t="e">
        <f>AND(#REF!,"AAAAAH8f63k=")</f>
        <v>#REF!</v>
      </c>
      <c r="DS250" t="e">
        <f>AND(#REF!,"AAAAAH8f63o=")</f>
        <v>#REF!</v>
      </c>
      <c r="DT250" t="e">
        <f>AND(#REF!,"AAAAAH8f63s=")</f>
        <v>#REF!</v>
      </c>
      <c r="DU250" t="e">
        <f>AND(#REF!,"AAAAAH8f63w=")</f>
        <v>#REF!</v>
      </c>
      <c r="DV250" t="e">
        <f>AND(#REF!,"AAAAAH8f630=")</f>
        <v>#REF!</v>
      </c>
      <c r="DW250" t="e">
        <f>AND(#REF!,"AAAAAH8f634=")</f>
        <v>#REF!</v>
      </c>
      <c r="DX250" t="e">
        <f>AND(#REF!,"AAAAAH8f638=")</f>
        <v>#REF!</v>
      </c>
      <c r="DY250" t="e">
        <f>AND(#REF!,"AAAAAH8f64A=")</f>
        <v>#REF!</v>
      </c>
      <c r="DZ250" t="e">
        <f>AND(#REF!,"AAAAAH8f64E=")</f>
        <v>#REF!</v>
      </c>
      <c r="EA250" t="e">
        <f>AND(#REF!,"AAAAAH8f64I=")</f>
        <v>#REF!</v>
      </c>
      <c r="EB250" t="e">
        <f>AND(#REF!,"AAAAAH8f64M=")</f>
        <v>#REF!</v>
      </c>
      <c r="EC250" t="e">
        <f>AND(#REF!,"AAAAAH8f64Q=")</f>
        <v>#REF!</v>
      </c>
      <c r="ED250" t="e">
        <f>AND(#REF!,"AAAAAH8f64U=")</f>
        <v>#REF!</v>
      </c>
      <c r="EE250" t="e">
        <f>AND(#REF!,"AAAAAH8f64Y=")</f>
        <v>#REF!</v>
      </c>
      <c r="EF250" t="e">
        <f>AND(#REF!,"AAAAAH8f64c=")</f>
        <v>#REF!</v>
      </c>
      <c r="EG250" t="e">
        <f>AND(#REF!,"AAAAAH8f64g=")</f>
        <v>#REF!</v>
      </c>
      <c r="EH250" t="e">
        <f>AND(#REF!,"AAAAAH8f64k=")</f>
        <v>#REF!</v>
      </c>
      <c r="EI250" t="e">
        <f>AND(#REF!,"AAAAAH8f64o=")</f>
        <v>#REF!</v>
      </c>
      <c r="EJ250" t="e">
        <f>AND(#REF!,"AAAAAH8f64s=")</f>
        <v>#REF!</v>
      </c>
      <c r="EK250" t="e">
        <f>AND(#REF!,"AAAAAH8f64w=")</f>
        <v>#REF!</v>
      </c>
      <c r="EL250" t="e">
        <f>IF(#REF!,"AAAAAH8f640=",0)</f>
        <v>#REF!</v>
      </c>
      <c r="EM250" t="e">
        <f>AND(#REF!,"AAAAAH8f644=")</f>
        <v>#REF!</v>
      </c>
      <c r="EN250" t="e">
        <f>AND(#REF!,"AAAAAH8f648=")</f>
        <v>#REF!</v>
      </c>
      <c r="EO250" t="e">
        <f>AND(#REF!,"AAAAAH8f65A=")</f>
        <v>#REF!</v>
      </c>
      <c r="EP250" t="e">
        <f>AND(#REF!,"AAAAAH8f65E=")</f>
        <v>#REF!</v>
      </c>
      <c r="EQ250" t="e">
        <f>AND(#REF!,"AAAAAH8f65I=")</f>
        <v>#REF!</v>
      </c>
      <c r="ER250" t="e">
        <f>AND(#REF!,"AAAAAH8f65M=")</f>
        <v>#REF!</v>
      </c>
      <c r="ES250" t="e">
        <f>AND(#REF!,"AAAAAH8f65Q=")</f>
        <v>#REF!</v>
      </c>
      <c r="ET250" t="e">
        <f>AND(#REF!,"AAAAAH8f65U=")</f>
        <v>#REF!</v>
      </c>
      <c r="EU250" t="e">
        <f>AND(#REF!,"AAAAAH8f65Y=")</f>
        <v>#REF!</v>
      </c>
      <c r="EV250" t="e">
        <f>AND(#REF!,"AAAAAH8f65c=")</f>
        <v>#REF!</v>
      </c>
      <c r="EW250" t="e">
        <f>AND(#REF!,"AAAAAH8f65g=")</f>
        <v>#REF!</v>
      </c>
      <c r="EX250" t="e">
        <f>AND(#REF!,"AAAAAH8f65k=")</f>
        <v>#REF!</v>
      </c>
      <c r="EY250" t="e">
        <f>AND(#REF!,"AAAAAH8f65o=")</f>
        <v>#REF!</v>
      </c>
      <c r="EZ250" t="e">
        <f>AND(#REF!,"AAAAAH8f65s=")</f>
        <v>#REF!</v>
      </c>
      <c r="FA250" t="e">
        <f>AND(#REF!,"AAAAAH8f65w=")</f>
        <v>#REF!</v>
      </c>
      <c r="FB250" t="e">
        <f>AND(#REF!,"AAAAAH8f650=")</f>
        <v>#REF!</v>
      </c>
      <c r="FC250" t="e">
        <f>AND(#REF!,"AAAAAH8f654=")</f>
        <v>#REF!</v>
      </c>
      <c r="FD250" t="e">
        <f>AND(#REF!,"AAAAAH8f658=")</f>
        <v>#REF!</v>
      </c>
      <c r="FE250" t="e">
        <f>AND(#REF!,"AAAAAH8f66A=")</f>
        <v>#REF!</v>
      </c>
      <c r="FF250" t="e">
        <f>AND(#REF!,"AAAAAH8f66E=")</f>
        <v>#REF!</v>
      </c>
      <c r="FG250" t="e">
        <f>AND(#REF!,"AAAAAH8f66I=")</f>
        <v>#REF!</v>
      </c>
      <c r="FH250" t="e">
        <f>AND(#REF!,"AAAAAH8f66M=")</f>
        <v>#REF!</v>
      </c>
      <c r="FI250" t="e">
        <f>AND(#REF!,"AAAAAH8f66Q=")</f>
        <v>#REF!</v>
      </c>
      <c r="FJ250" t="e">
        <f>AND(#REF!,"AAAAAH8f66U=")</f>
        <v>#REF!</v>
      </c>
      <c r="FK250" t="e">
        <f>IF(#REF!,"AAAAAH8f66Y=",0)</f>
        <v>#REF!</v>
      </c>
      <c r="FL250" t="e">
        <f>AND(#REF!,"AAAAAH8f66c=")</f>
        <v>#REF!</v>
      </c>
      <c r="FM250" t="e">
        <f>AND(#REF!,"AAAAAH8f66g=")</f>
        <v>#REF!</v>
      </c>
      <c r="FN250" t="e">
        <f>AND(#REF!,"AAAAAH8f66k=")</f>
        <v>#REF!</v>
      </c>
      <c r="FO250" t="e">
        <f>AND(#REF!,"AAAAAH8f66o=")</f>
        <v>#REF!</v>
      </c>
      <c r="FP250" t="e">
        <f>AND(#REF!,"AAAAAH8f66s=")</f>
        <v>#REF!</v>
      </c>
      <c r="FQ250" t="e">
        <f>AND(#REF!,"AAAAAH8f66w=")</f>
        <v>#REF!</v>
      </c>
      <c r="FR250" t="e">
        <f>AND(#REF!,"AAAAAH8f660=")</f>
        <v>#REF!</v>
      </c>
      <c r="FS250" t="e">
        <f>AND(#REF!,"AAAAAH8f664=")</f>
        <v>#REF!</v>
      </c>
      <c r="FT250" t="e">
        <f>AND(#REF!,"AAAAAH8f668=")</f>
        <v>#REF!</v>
      </c>
      <c r="FU250" t="e">
        <f>AND(#REF!,"AAAAAH8f67A=")</f>
        <v>#REF!</v>
      </c>
      <c r="FV250" t="e">
        <f>AND(#REF!,"AAAAAH8f67E=")</f>
        <v>#REF!</v>
      </c>
      <c r="FW250" t="e">
        <f>AND(#REF!,"AAAAAH8f67I=")</f>
        <v>#REF!</v>
      </c>
      <c r="FX250" t="e">
        <f>AND(#REF!,"AAAAAH8f67M=")</f>
        <v>#REF!</v>
      </c>
      <c r="FY250" t="e">
        <f>AND(#REF!,"AAAAAH8f67Q=")</f>
        <v>#REF!</v>
      </c>
      <c r="FZ250" t="e">
        <f>AND(#REF!,"AAAAAH8f67U=")</f>
        <v>#REF!</v>
      </c>
      <c r="GA250" t="e">
        <f>AND(#REF!,"AAAAAH8f67Y=")</f>
        <v>#REF!</v>
      </c>
      <c r="GB250" t="e">
        <f>AND(#REF!,"AAAAAH8f67c=")</f>
        <v>#REF!</v>
      </c>
      <c r="GC250" t="e">
        <f>AND(#REF!,"AAAAAH8f67g=")</f>
        <v>#REF!</v>
      </c>
      <c r="GD250" t="e">
        <f>AND(#REF!,"AAAAAH8f67k=")</f>
        <v>#REF!</v>
      </c>
      <c r="GE250" t="e">
        <f>AND(#REF!,"AAAAAH8f67o=")</f>
        <v>#REF!</v>
      </c>
      <c r="GF250" t="e">
        <f>AND(#REF!,"AAAAAH8f67s=")</f>
        <v>#REF!</v>
      </c>
      <c r="GG250" t="e">
        <f>AND(#REF!,"AAAAAH8f67w=")</f>
        <v>#REF!</v>
      </c>
      <c r="GH250" t="e">
        <f>AND(#REF!,"AAAAAH8f670=")</f>
        <v>#REF!</v>
      </c>
      <c r="GI250" t="e">
        <f>AND(#REF!,"AAAAAH8f674=")</f>
        <v>#REF!</v>
      </c>
      <c r="GJ250" t="e">
        <f>IF(#REF!,"AAAAAH8f678=",0)</f>
        <v>#REF!</v>
      </c>
      <c r="GK250" t="e">
        <f>AND(#REF!,"AAAAAH8f68A=")</f>
        <v>#REF!</v>
      </c>
      <c r="GL250" t="e">
        <f>AND(#REF!,"AAAAAH8f68E=")</f>
        <v>#REF!</v>
      </c>
      <c r="GM250" t="e">
        <f>AND(#REF!,"AAAAAH8f68I=")</f>
        <v>#REF!</v>
      </c>
      <c r="GN250" t="e">
        <f>AND(#REF!,"AAAAAH8f68M=")</f>
        <v>#REF!</v>
      </c>
      <c r="GO250" t="e">
        <f>AND(#REF!,"AAAAAH8f68Q=")</f>
        <v>#REF!</v>
      </c>
      <c r="GP250" t="e">
        <f>AND(#REF!,"AAAAAH8f68U=")</f>
        <v>#REF!</v>
      </c>
      <c r="GQ250" t="e">
        <f>AND(#REF!,"AAAAAH8f68Y=")</f>
        <v>#REF!</v>
      </c>
      <c r="GR250" t="e">
        <f>AND(#REF!,"AAAAAH8f68c=")</f>
        <v>#REF!</v>
      </c>
      <c r="GS250" t="e">
        <f>AND(#REF!,"AAAAAH8f68g=")</f>
        <v>#REF!</v>
      </c>
      <c r="GT250" t="e">
        <f>AND(#REF!,"AAAAAH8f68k=")</f>
        <v>#REF!</v>
      </c>
      <c r="GU250" t="e">
        <f>AND(#REF!,"AAAAAH8f68o=")</f>
        <v>#REF!</v>
      </c>
      <c r="GV250" t="e">
        <f>AND(#REF!,"AAAAAH8f68s=")</f>
        <v>#REF!</v>
      </c>
      <c r="GW250" t="e">
        <f>AND(#REF!,"AAAAAH8f68w=")</f>
        <v>#REF!</v>
      </c>
      <c r="GX250" t="e">
        <f>AND(#REF!,"AAAAAH8f680=")</f>
        <v>#REF!</v>
      </c>
      <c r="GY250" t="e">
        <f>AND(#REF!,"AAAAAH8f684=")</f>
        <v>#REF!</v>
      </c>
      <c r="GZ250" t="e">
        <f>AND(#REF!,"AAAAAH8f688=")</f>
        <v>#REF!</v>
      </c>
      <c r="HA250" t="e">
        <f>AND(#REF!,"AAAAAH8f69A=")</f>
        <v>#REF!</v>
      </c>
      <c r="HB250" t="e">
        <f>AND(#REF!,"AAAAAH8f69E=")</f>
        <v>#REF!</v>
      </c>
      <c r="HC250" t="e">
        <f>AND(#REF!,"AAAAAH8f69I=")</f>
        <v>#REF!</v>
      </c>
      <c r="HD250" t="e">
        <f>AND(#REF!,"AAAAAH8f69M=")</f>
        <v>#REF!</v>
      </c>
      <c r="HE250" t="e">
        <f>AND(#REF!,"AAAAAH8f69Q=")</f>
        <v>#REF!</v>
      </c>
      <c r="HF250" t="e">
        <f>AND(#REF!,"AAAAAH8f69U=")</f>
        <v>#REF!</v>
      </c>
      <c r="HG250" t="e">
        <f>AND(#REF!,"AAAAAH8f69Y=")</f>
        <v>#REF!</v>
      </c>
      <c r="HH250" t="e">
        <f>AND(#REF!,"AAAAAH8f69c=")</f>
        <v>#REF!</v>
      </c>
      <c r="HI250" t="e">
        <f>IF(#REF!,"AAAAAH8f69g=",0)</f>
        <v>#REF!</v>
      </c>
      <c r="HJ250" t="e">
        <f>AND(#REF!,"AAAAAH8f69k=")</f>
        <v>#REF!</v>
      </c>
      <c r="HK250" t="e">
        <f>AND(#REF!,"AAAAAH8f69o=")</f>
        <v>#REF!</v>
      </c>
      <c r="HL250" t="e">
        <f>AND(#REF!,"AAAAAH8f69s=")</f>
        <v>#REF!</v>
      </c>
      <c r="HM250" t="e">
        <f>AND(#REF!,"AAAAAH8f69w=")</f>
        <v>#REF!</v>
      </c>
      <c r="HN250" t="e">
        <f>AND(#REF!,"AAAAAH8f690=")</f>
        <v>#REF!</v>
      </c>
      <c r="HO250" t="e">
        <f>AND(#REF!,"AAAAAH8f694=")</f>
        <v>#REF!</v>
      </c>
      <c r="HP250" t="e">
        <f>AND(#REF!,"AAAAAH8f698=")</f>
        <v>#REF!</v>
      </c>
      <c r="HQ250" t="e">
        <f>AND(#REF!,"AAAAAH8f6+A=")</f>
        <v>#REF!</v>
      </c>
      <c r="HR250" t="e">
        <f>AND(#REF!,"AAAAAH8f6+E=")</f>
        <v>#REF!</v>
      </c>
      <c r="HS250" t="e">
        <f>AND(#REF!,"AAAAAH8f6+I=")</f>
        <v>#REF!</v>
      </c>
      <c r="HT250" t="e">
        <f>AND(#REF!,"AAAAAH8f6+M=")</f>
        <v>#REF!</v>
      </c>
      <c r="HU250" t="e">
        <f>AND(#REF!,"AAAAAH8f6+Q=")</f>
        <v>#REF!</v>
      </c>
      <c r="HV250" t="e">
        <f>AND(#REF!,"AAAAAH8f6+U=")</f>
        <v>#REF!</v>
      </c>
      <c r="HW250" t="e">
        <f>AND(#REF!,"AAAAAH8f6+Y=")</f>
        <v>#REF!</v>
      </c>
      <c r="HX250" t="e">
        <f>AND(#REF!,"AAAAAH8f6+c=")</f>
        <v>#REF!</v>
      </c>
      <c r="HY250" t="e">
        <f>AND(#REF!,"AAAAAH8f6+g=")</f>
        <v>#REF!</v>
      </c>
      <c r="HZ250" t="e">
        <f>AND(#REF!,"AAAAAH8f6+k=")</f>
        <v>#REF!</v>
      </c>
      <c r="IA250" t="e">
        <f>AND(#REF!,"AAAAAH8f6+o=")</f>
        <v>#REF!</v>
      </c>
      <c r="IB250" t="e">
        <f>AND(#REF!,"AAAAAH8f6+s=")</f>
        <v>#REF!</v>
      </c>
      <c r="IC250" t="e">
        <f>AND(#REF!,"AAAAAH8f6+w=")</f>
        <v>#REF!</v>
      </c>
      <c r="ID250" t="e">
        <f>AND(#REF!,"AAAAAH8f6+0=")</f>
        <v>#REF!</v>
      </c>
      <c r="IE250" t="e">
        <f>AND(#REF!,"AAAAAH8f6+4=")</f>
        <v>#REF!</v>
      </c>
      <c r="IF250" t="e">
        <f>AND(#REF!,"AAAAAH8f6+8=")</f>
        <v>#REF!</v>
      </c>
      <c r="IG250" t="e">
        <f>AND(#REF!,"AAAAAH8f6/A=")</f>
        <v>#REF!</v>
      </c>
      <c r="IH250" t="e">
        <f>IF(#REF!,"AAAAAH8f6/E=",0)</f>
        <v>#REF!</v>
      </c>
      <c r="II250" t="e">
        <f>AND(#REF!,"AAAAAH8f6/I=")</f>
        <v>#REF!</v>
      </c>
      <c r="IJ250" t="e">
        <f>AND(#REF!,"AAAAAH8f6/M=")</f>
        <v>#REF!</v>
      </c>
      <c r="IK250" t="e">
        <f>AND(#REF!,"AAAAAH8f6/Q=")</f>
        <v>#REF!</v>
      </c>
      <c r="IL250" t="e">
        <f>AND(#REF!,"AAAAAH8f6/U=")</f>
        <v>#REF!</v>
      </c>
      <c r="IM250" t="e">
        <f>AND(#REF!,"AAAAAH8f6/Y=")</f>
        <v>#REF!</v>
      </c>
      <c r="IN250" t="e">
        <f>AND(#REF!,"AAAAAH8f6/c=")</f>
        <v>#REF!</v>
      </c>
      <c r="IO250" t="e">
        <f>AND(#REF!,"AAAAAH8f6/g=")</f>
        <v>#REF!</v>
      </c>
      <c r="IP250" t="e">
        <f>AND(#REF!,"AAAAAH8f6/k=")</f>
        <v>#REF!</v>
      </c>
      <c r="IQ250" t="e">
        <f>AND(#REF!,"AAAAAH8f6/o=")</f>
        <v>#REF!</v>
      </c>
      <c r="IR250" t="e">
        <f>AND(#REF!,"AAAAAH8f6/s=")</f>
        <v>#REF!</v>
      </c>
      <c r="IS250" t="e">
        <f>AND(#REF!,"AAAAAH8f6/w=")</f>
        <v>#REF!</v>
      </c>
      <c r="IT250" t="e">
        <f>AND(#REF!,"AAAAAH8f6/0=")</f>
        <v>#REF!</v>
      </c>
      <c r="IU250" t="e">
        <f>AND(#REF!,"AAAAAH8f6/4=")</f>
        <v>#REF!</v>
      </c>
      <c r="IV250" t="e">
        <f>AND(#REF!,"AAAAAH8f6/8=")</f>
        <v>#REF!</v>
      </c>
    </row>
    <row r="251" spans="1:256">
      <c r="A251" t="e">
        <f>AND(#REF!,"AAAAAH/dWgA=")</f>
        <v>#REF!</v>
      </c>
      <c r="B251" t="e">
        <f>AND(#REF!,"AAAAAH/dWgE=")</f>
        <v>#REF!</v>
      </c>
      <c r="C251" t="e">
        <f>AND(#REF!,"AAAAAH/dWgI=")</f>
        <v>#REF!</v>
      </c>
      <c r="D251" t="e">
        <f>AND(#REF!,"AAAAAH/dWgM=")</f>
        <v>#REF!</v>
      </c>
      <c r="E251" t="e">
        <f>AND(#REF!,"AAAAAH/dWgQ=")</f>
        <v>#REF!</v>
      </c>
      <c r="F251" t="e">
        <f>AND(#REF!,"AAAAAH/dWgU=")</f>
        <v>#REF!</v>
      </c>
      <c r="G251" t="e">
        <f>AND(#REF!,"AAAAAH/dWgY=")</f>
        <v>#REF!</v>
      </c>
      <c r="H251" t="e">
        <f>AND(#REF!,"AAAAAH/dWgc=")</f>
        <v>#REF!</v>
      </c>
      <c r="I251" t="e">
        <f>AND(#REF!,"AAAAAH/dWgg=")</f>
        <v>#REF!</v>
      </c>
      <c r="J251" t="e">
        <f>AND(#REF!,"AAAAAH/dWgk=")</f>
        <v>#REF!</v>
      </c>
      <c r="K251" t="e">
        <f>IF(#REF!,"AAAAAH/dWgo=",0)</f>
        <v>#REF!</v>
      </c>
      <c r="L251" t="e">
        <f>AND(#REF!,"AAAAAH/dWgs=")</f>
        <v>#REF!</v>
      </c>
      <c r="M251" t="e">
        <f>AND(#REF!,"AAAAAH/dWgw=")</f>
        <v>#REF!</v>
      </c>
      <c r="N251" t="e">
        <f>AND(#REF!,"AAAAAH/dWg0=")</f>
        <v>#REF!</v>
      </c>
      <c r="O251" t="e">
        <f>AND(#REF!,"AAAAAH/dWg4=")</f>
        <v>#REF!</v>
      </c>
      <c r="P251" t="e">
        <f>AND(#REF!,"AAAAAH/dWg8=")</f>
        <v>#REF!</v>
      </c>
      <c r="Q251" t="e">
        <f>AND(#REF!,"AAAAAH/dWhA=")</f>
        <v>#REF!</v>
      </c>
      <c r="R251" t="e">
        <f>AND(#REF!,"AAAAAH/dWhE=")</f>
        <v>#REF!</v>
      </c>
      <c r="S251" t="e">
        <f>AND(#REF!,"AAAAAH/dWhI=")</f>
        <v>#REF!</v>
      </c>
      <c r="T251" t="e">
        <f>AND(#REF!,"AAAAAH/dWhM=")</f>
        <v>#REF!</v>
      </c>
      <c r="U251" t="e">
        <f>AND(#REF!,"AAAAAH/dWhQ=")</f>
        <v>#REF!</v>
      </c>
      <c r="V251" t="e">
        <f>AND(#REF!,"AAAAAH/dWhU=")</f>
        <v>#REF!</v>
      </c>
      <c r="W251" t="e">
        <f>AND(#REF!,"AAAAAH/dWhY=")</f>
        <v>#REF!</v>
      </c>
      <c r="X251" t="e">
        <f>AND(#REF!,"AAAAAH/dWhc=")</f>
        <v>#REF!</v>
      </c>
      <c r="Y251" t="e">
        <f>AND(#REF!,"AAAAAH/dWhg=")</f>
        <v>#REF!</v>
      </c>
      <c r="Z251" t="e">
        <f>AND(#REF!,"AAAAAH/dWhk=")</f>
        <v>#REF!</v>
      </c>
      <c r="AA251" t="e">
        <f>AND(#REF!,"AAAAAH/dWho=")</f>
        <v>#REF!</v>
      </c>
      <c r="AB251" t="e">
        <f>AND(#REF!,"AAAAAH/dWhs=")</f>
        <v>#REF!</v>
      </c>
      <c r="AC251" t="e">
        <f>AND(#REF!,"AAAAAH/dWhw=")</f>
        <v>#REF!</v>
      </c>
      <c r="AD251" t="e">
        <f>AND(#REF!,"AAAAAH/dWh0=")</f>
        <v>#REF!</v>
      </c>
      <c r="AE251" t="e">
        <f>AND(#REF!,"AAAAAH/dWh4=")</f>
        <v>#REF!</v>
      </c>
      <c r="AF251" t="e">
        <f>AND(#REF!,"AAAAAH/dWh8=")</f>
        <v>#REF!</v>
      </c>
      <c r="AG251" t="e">
        <f>AND(#REF!,"AAAAAH/dWiA=")</f>
        <v>#REF!</v>
      </c>
      <c r="AH251" t="e">
        <f>AND(#REF!,"AAAAAH/dWiE=")</f>
        <v>#REF!</v>
      </c>
      <c r="AI251" t="e">
        <f>AND(#REF!,"AAAAAH/dWiI=")</f>
        <v>#REF!</v>
      </c>
      <c r="AJ251" t="e">
        <f>IF(#REF!,"AAAAAH/dWiM=",0)</f>
        <v>#REF!</v>
      </c>
      <c r="AK251" t="e">
        <f>AND(#REF!,"AAAAAH/dWiQ=")</f>
        <v>#REF!</v>
      </c>
      <c r="AL251" t="e">
        <f>AND(#REF!,"AAAAAH/dWiU=")</f>
        <v>#REF!</v>
      </c>
      <c r="AM251" t="e">
        <f>AND(#REF!,"AAAAAH/dWiY=")</f>
        <v>#REF!</v>
      </c>
      <c r="AN251" t="e">
        <f>AND(#REF!,"AAAAAH/dWic=")</f>
        <v>#REF!</v>
      </c>
      <c r="AO251" t="e">
        <f>AND(#REF!,"AAAAAH/dWig=")</f>
        <v>#REF!</v>
      </c>
      <c r="AP251" t="e">
        <f>AND(#REF!,"AAAAAH/dWik=")</f>
        <v>#REF!</v>
      </c>
      <c r="AQ251" t="e">
        <f>AND(#REF!,"AAAAAH/dWio=")</f>
        <v>#REF!</v>
      </c>
      <c r="AR251" t="e">
        <f>AND(#REF!,"AAAAAH/dWis=")</f>
        <v>#REF!</v>
      </c>
      <c r="AS251" t="e">
        <f>AND(#REF!,"AAAAAH/dWiw=")</f>
        <v>#REF!</v>
      </c>
      <c r="AT251" t="e">
        <f>AND(#REF!,"AAAAAH/dWi0=")</f>
        <v>#REF!</v>
      </c>
      <c r="AU251" t="e">
        <f>AND(#REF!,"AAAAAH/dWi4=")</f>
        <v>#REF!</v>
      </c>
      <c r="AV251" t="e">
        <f>AND(#REF!,"AAAAAH/dWi8=")</f>
        <v>#REF!</v>
      </c>
      <c r="AW251" t="e">
        <f>AND(#REF!,"AAAAAH/dWjA=")</f>
        <v>#REF!</v>
      </c>
      <c r="AX251" t="e">
        <f>AND(#REF!,"AAAAAH/dWjE=")</f>
        <v>#REF!</v>
      </c>
      <c r="AY251" t="e">
        <f>AND(#REF!,"AAAAAH/dWjI=")</f>
        <v>#REF!</v>
      </c>
      <c r="AZ251" t="e">
        <f>AND(#REF!,"AAAAAH/dWjM=")</f>
        <v>#REF!</v>
      </c>
      <c r="BA251" t="e">
        <f>AND(#REF!,"AAAAAH/dWjQ=")</f>
        <v>#REF!</v>
      </c>
      <c r="BB251" t="e">
        <f>AND(#REF!,"AAAAAH/dWjU=")</f>
        <v>#REF!</v>
      </c>
      <c r="BC251" t="e">
        <f>AND(#REF!,"AAAAAH/dWjY=")</f>
        <v>#REF!</v>
      </c>
      <c r="BD251" t="e">
        <f>AND(#REF!,"AAAAAH/dWjc=")</f>
        <v>#REF!</v>
      </c>
      <c r="BE251" t="e">
        <f>AND(#REF!,"AAAAAH/dWjg=")</f>
        <v>#REF!</v>
      </c>
      <c r="BF251" t="e">
        <f>AND(#REF!,"AAAAAH/dWjk=")</f>
        <v>#REF!</v>
      </c>
      <c r="BG251" t="e">
        <f>AND(#REF!,"AAAAAH/dWjo=")</f>
        <v>#REF!</v>
      </c>
      <c r="BH251" t="e">
        <f>AND(#REF!,"AAAAAH/dWjs=")</f>
        <v>#REF!</v>
      </c>
      <c r="BI251" t="e">
        <f>IF(#REF!,"AAAAAH/dWjw=",0)</f>
        <v>#REF!</v>
      </c>
      <c r="BJ251" t="e">
        <f>AND(#REF!,"AAAAAH/dWj0=")</f>
        <v>#REF!</v>
      </c>
      <c r="BK251" t="e">
        <f>AND(#REF!,"AAAAAH/dWj4=")</f>
        <v>#REF!</v>
      </c>
      <c r="BL251" t="e">
        <f>AND(#REF!,"AAAAAH/dWj8=")</f>
        <v>#REF!</v>
      </c>
      <c r="BM251" t="e">
        <f>AND(#REF!,"AAAAAH/dWkA=")</f>
        <v>#REF!</v>
      </c>
      <c r="BN251" t="e">
        <f>AND(#REF!,"AAAAAH/dWkE=")</f>
        <v>#REF!</v>
      </c>
      <c r="BO251" t="e">
        <f>AND(#REF!,"AAAAAH/dWkI=")</f>
        <v>#REF!</v>
      </c>
      <c r="BP251" t="e">
        <f>AND(#REF!,"AAAAAH/dWkM=")</f>
        <v>#REF!</v>
      </c>
      <c r="BQ251" t="e">
        <f>AND(#REF!,"AAAAAH/dWkQ=")</f>
        <v>#REF!</v>
      </c>
      <c r="BR251" t="e">
        <f>AND(#REF!,"AAAAAH/dWkU=")</f>
        <v>#REF!</v>
      </c>
      <c r="BS251" t="e">
        <f>AND(#REF!,"AAAAAH/dWkY=")</f>
        <v>#REF!</v>
      </c>
      <c r="BT251" t="e">
        <f>AND(#REF!,"AAAAAH/dWkc=")</f>
        <v>#REF!</v>
      </c>
      <c r="BU251" t="e">
        <f>AND(#REF!,"AAAAAH/dWkg=")</f>
        <v>#REF!</v>
      </c>
      <c r="BV251" t="e">
        <f>AND(#REF!,"AAAAAH/dWkk=")</f>
        <v>#REF!</v>
      </c>
      <c r="BW251" t="e">
        <f>AND(#REF!,"AAAAAH/dWko=")</f>
        <v>#REF!</v>
      </c>
      <c r="BX251" t="e">
        <f>AND(#REF!,"AAAAAH/dWks=")</f>
        <v>#REF!</v>
      </c>
      <c r="BY251" t="e">
        <f>AND(#REF!,"AAAAAH/dWkw=")</f>
        <v>#REF!</v>
      </c>
      <c r="BZ251" t="e">
        <f>AND(#REF!,"AAAAAH/dWk0=")</f>
        <v>#REF!</v>
      </c>
      <c r="CA251" t="e">
        <f>AND(#REF!,"AAAAAH/dWk4=")</f>
        <v>#REF!</v>
      </c>
      <c r="CB251" t="e">
        <f>AND(#REF!,"AAAAAH/dWk8=")</f>
        <v>#REF!</v>
      </c>
      <c r="CC251" t="e">
        <f>AND(#REF!,"AAAAAH/dWlA=")</f>
        <v>#REF!</v>
      </c>
      <c r="CD251" t="e">
        <f>AND(#REF!,"AAAAAH/dWlE=")</f>
        <v>#REF!</v>
      </c>
      <c r="CE251" t="e">
        <f>AND(#REF!,"AAAAAH/dWlI=")</f>
        <v>#REF!</v>
      </c>
      <c r="CF251" t="e">
        <f>AND(#REF!,"AAAAAH/dWlM=")</f>
        <v>#REF!</v>
      </c>
      <c r="CG251" t="e">
        <f>AND(#REF!,"AAAAAH/dWlQ=")</f>
        <v>#REF!</v>
      </c>
      <c r="CH251" t="e">
        <f>IF(#REF!,"AAAAAH/dWlU=",0)</f>
        <v>#REF!</v>
      </c>
      <c r="CI251" t="e">
        <f>AND(#REF!,"AAAAAH/dWlY=")</f>
        <v>#REF!</v>
      </c>
      <c r="CJ251" t="e">
        <f>AND(#REF!,"AAAAAH/dWlc=")</f>
        <v>#REF!</v>
      </c>
      <c r="CK251" t="e">
        <f>AND(#REF!,"AAAAAH/dWlg=")</f>
        <v>#REF!</v>
      </c>
      <c r="CL251" t="e">
        <f>AND(#REF!,"AAAAAH/dWlk=")</f>
        <v>#REF!</v>
      </c>
      <c r="CM251" t="e">
        <f>AND(#REF!,"AAAAAH/dWlo=")</f>
        <v>#REF!</v>
      </c>
      <c r="CN251" t="e">
        <f>AND(#REF!,"AAAAAH/dWls=")</f>
        <v>#REF!</v>
      </c>
      <c r="CO251" t="e">
        <f>AND(#REF!,"AAAAAH/dWlw=")</f>
        <v>#REF!</v>
      </c>
      <c r="CP251" t="e">
        <f>AND(#REF!,"AAAAAH/dWl0=")</f>
        <v>#REF!</v>
      </c>
      <c r="CQ251" t="e">
        <f>AND(#REF!,"AAAAAH/dWl4=")</f>
        <v>#REF!</v>
      </c>
      <c r="CR251" t="e">
        <f>AND(#REF!,"AAAAAH/dWl8=")</f>
        <v>#REF!</v>
      </c>
      <c r="CS251" t="e">
        <f>AND(#REF!,"AAAAAH/dWmA=")</f>
        <v>#REF!</v>
      </c>
      <c r="CT251" t="e">
        <f>AND(#REF!,"AAAAAH/dWmE=")</f>
        <v>#REF!</v>
      </c>
      <c r="CU251" t="e">
        <f>AND(#REF!,"AAAAAH/dWmI=")</f>
        <v>#REF!</v>
      </c>
      <c r="CV251" t="e">
        <f>AND(#REF!,"AAAAAH/dWmM=")</f>
        <v>#REF!</v>
      </c>
      <c r="CW251" t="e">
        <f>AND(#REF!,"AAAAAH/dWmQ=")</f>
        <v>#REF!</v>
      </c>
      <c r="CX251" t="e">
        <f>AND(#REF!,"AAAAAH/dWmU=")</f>
        <v>#REF!</v>
      </c>
      <c r="CY251" t="e">
        <f>AND(#REF!,"AAAAAH/dWmY=")</f>
        <v>#REF!</v>
      </c>
      <c r="CZ251" t="e">
        <f>AND(#REF!,"AAAAAH/dWmc=")</f>
        <v>#REF!</v>
      </c>
      <c r="DA251" t="e">
        <f>AND(#REF!,"AAAAAH/dWmg=")</f>
        <v>#REF!</v>
      </c>
      <c r="DB251" t="e">
        <f>AND(#REF!,"AAAAAH/dWmk=")</f>
        <v>#REF!</v>
      </c>
      <c r="DC251" t="e">
        <f>AND(#REF!,"AAAAAH/dWmo=")</f>
        <v>#REF!</v>
      </c>
      <c r="DD251" t="e">
        <f>AND(#REF!,"AAAAAH/dWms=")</f>
        <v>#REF!</v>
      </c>
      <c r="DE251" t="e">
        <f>AND(#REF!,"AAAAAH/dWmw=")</f>
        <v>#REF!</v>
      </c>
      <c r="DF251" t="e">
        <f>AND(#REF!,"AAAAAH/dWm0=")</f>
        <v>#REF!</v>
      </c>
      <c r="DG251" t="e">
        <f>IF(#REF!,"AAAAAH/dWm4=",0)</f>
        <v>#REF!</v>
      </c>
      <c r="DH251" t="e">
        <f>AND(#REF!,"AAAAAH/dWm8=")</f>
        <v>#REF!</v>
      </c>
      <c r="DI251" t="e">
        <f>AND(#REF!,"AAAAAH/dWnA=")</f>
        <v>#REF!</v>
      </c>
      <c r="DJ251" t="e">
        <f>AND(#REF!,"AAAAAH/dWnE=")</f>
        <v>#REF!</v>
      </c>
      <c r="DK251" t="e">
        <f>AND(#REF!,"AAAAAH/dWnI=")</f>
        <v>#REF!</v>
      </c>
      <c r="DL251" t="e">
        <f>AND(#REF!,"AAAAAH/dWnM=")</f>
        <v>#REF!</v>
      </c>
      <c r="DM251" t="e">
        <f>AND(#REF!,"AAAAAH/dWnQ=")</f>
        <v>#REF!</v>
      </c>
      <c r="DN251" t="e">
        <f>AND(#REF!,"AAAAAH/dWnU=")</f>
        <v>#REF!</v>
      </c>
      <c r="DO251" t="e">
        <f>AND(#REF!,"AAAAAH/dWnY=")</f>
        <v>#REF!</v>
      </c>
      <c r="DP251" t="e">
        <f>AND(#REF!,"AAAAAH/dWnc=")</f>
        <v>#REF!</v>
      </c>
      <c r="DQ251" t="e">
        <f>AND(#REF!,"AAAAAH/dWng=")</f>
        <v>#REF!</v>
      </c>
      <c r="DR251" t="e">
        <f>AND(#REF!,"AAAAAH/dWnk=")</f>
        <v>#REF!</v>
      </c>
      <c r="DS251" t="e">
        <f>AND(#REF!,"AAAAAH/dWno=")</f>
        <v>#REF!</v>
      </c>
      <c r="DT251" t="e">
        <f>AND(#REF!,"AAAAAH/dWns=")</f>
        <v>#REF!</v>
      </c>
      <c r="DU251" t="e">
        <f>AND(#REF!,"AAAAAH/dWnw=")</f>
        <v>#REF!</v>
      </c>
      <c r="DV251" t="e">
        <f>AND(#REF!,"AAAAAH/dWn0=")</f>
        <v>#REF!</v>
      </c>
      <c r="DW251" t="e">
        <f>AND(#REF!,"AAAAAH/dWn4=")</f>
        <v>#REF!</v>
      </c>
      <c r="DX251" t="e">
        <f>AND(#REF!,"AAAAAH/dWn8=")</f>
        <v>#REF!</v>
      </c>
      <c r="DY251" t="e">
        <f>AND(#REF!,"AAAAAH/dWoA=")</f>
        <v>#REF!</v>
      </c>
      <c r="DZ251" t="e">
        <f>AND(#REF!,"AAAAAH/dWoE=")</f>
        <v>#REF!</v>
      </c>
      <c r="EA251" t="e">
        <f>AND(#REF!,"AAAAAH/dWoI=")</f>
        <v>#REF!</v>
      </c>
      <c r="EB251" t="e">
        <f>AND(#REF!,"AAAAAH/dWoM=")</f>
        <v>#REF!</v>
      </c>
      <c r="EC251" t="e">
        <f>AND(#REF!,"AAAAAH/dWoQ=")</f>
        <v>#REF!</v>
      </c>
      <c r="ED251" t="e">
        <f>AND(#REF!,"AAAAAH/dWoU=")</f>
        <v>#REF!</v>
      </c>
      <c r="EE251" t="e">
        <f>AND(#REF!,"AAAAAH/dWoY=")</f>
        <v>#REF!</v>
      </c>
      <c r="EF251" t="e">
        <f>IF(#REF!,"AAAAAH/dWoc=",0)</f>
        <v>#REF!</v>
      </c>
      <c r="EG251" t="e">
        <f>AND(#REF!,"AAAAAH/dWog=")</f>
        <v>#REF!</v>
      </c>
      <c r="EH251" t="e">
        <f>AND(#REF!,"AAAAAH/dWok=")</f>
        <v>#REF!</v>
      </c>
      <c r="EI251" t="e">
        <f>AND(#REF!,"AAAAAH/dWoo=")</f>
        <v>#REF!</v>
      </c>
      <c r="EJ251" t="e">
        <f>AND(#REF!,"AAAAAH/dWos=")</f>
        <v>#REF!</v>
      </c>
      <c r="EK251" t="e">
        <f>AND(#REF!,"AAAAAH/dWow=")</f>
        <v>#REF!</v>
      </c>
      <c r="EL251" t="e">
        <f>AND(#REF!,"AAAAAH/dWo0=")</f>
        <v>#REF!</v>
      </c>
      <c r="EM251" t="e">
        <f>AND(#REF!,"AAAAAH/dWo4=")</f>
        <v>#REF!</v>
      </c>
      <c r="EN251" t="e">
        <f>AND(#REF!,"AAAAAH/dWo8=")</f>
        <v>#REF!</v>
      </c>
      <c r="EO251" t="e">
        <f>AND(#REF!,"AAAAAH/dWpA=")</f>
        <v>#REF!</v>
      </c>
      <c r="EP251" t="e">
        <f>AND(#REF!,"AAAAAH/dWpE=")</f>
        <v>#REF!</v>
      </c>
      <c r="EQ251" t="e">
        <f>AND(#REF!,"AAAAAH/dWpI=")</f>
        <v>#REF!</v>
      </c>
      <c r="ER251" t="e">
        <f>AND(#REF!,"AAAAAH/dWpM=")</f>
        <v>#REF!</v>
      </c>
      <c r="ES251" t="e">
        <f>AND(#REF!,"AAAAAH/dWpQ=")</f>
        <v>#REF!</v>
      </c>
      <c r="ET251" t="e">
        <f>AND(#REF!,"AAAAAH/dWpU=")</f>
        <v>#REF!</v>
      </c>
      <c r="EU251" t="e">
        <f>AND(#REF!,"AAAAAH/dWpY=")</f>
        <v>#REF!</v>
      </c>
      <c r="EV251" t="e">
        <f>AND(#REF!,"AAAAAH/dWpc=")</f>
        <v>#REF!</v>
      </c>
      <c r="EW251" t="e">
        <f>AND(#REF!,"AAAAAH/dWpg=")</f>
        <v>#REF!</v>
      </c>
      <c r="EX251" t="e">
        <f>AND(#REF!,"AAAAAH/dWpk=")</f>
        <v>#REF!</v>
      </c>
      <c r="EY251" t="e">
        <f>AND(#REF!,"AAAAAH/dWpo=")</f>
        <v>#REF!</v>
      </c>
      <c r="EZ251" t="e">
        <f>AND(#REF!,"AAAAAH/dWps=")</f>
        <v>#REF!</v>
      </c>
      <c r="FA251" t="e">
        <f>AND(#REF!,"AAAAAH/dWpw=")</f>
        <v>#REF!</v>
      </c>
      <c r="FB251" t="e">
        <f>AND(#REF!,"AAAAAH/dWp0=")</f>
        <v>#REF!</v>
      </c>
      <c r="FC251" t="e">
        <f>AND(#REF!,"AAAAAH/dWp4=")</f>
        <v>#REF!</v>
      </c>
      <c r="FD251" t="e">
        <f>AND(#REF!,"AAAAAH/dWp8=")</f>
        <v>#REF!</v>
      </c>
      <c r="FE251" t="e">
        <f>IF(#REF!,"AAAAAH/dWqA=",0)</f>
        <v>#REF!</v>
      </c>
      <c r="FF251" t="e">
        <f>AND(#REF!,"AAAAAH/dWqE=")</f>
        <v>#REF!</v>
      </c>
      <c r="FG251" t="e">
        <f>AND(#REF!,"AAAAAH/dWqI=")</f>
        <v>#REF!</v>
      </c>
      <c r="FH251" t="e">
        <f>AND(#REF!,"AAAAAH/dWqM=")</f>
        <v>#REF!</v>
      </c>
      <c r="FI251" t="e">
        <f>AND(#REF!,"AAAAAH/dWqQ=")</f>
        <v>#REF!</v>
      </c>
      <c r="FJ251" t="e">
        <f>AND(#REF!,"AAAAAH/dWqU=")</f>
        <v>#REF!</v>
      </c>
      <c r="FK251" t="e">
        <f>AND(#REF!,"AAAAAH/dWqY=")</f>
        <v>#REF!</v>
      </c>
      <c r="FL251" t="e">
        <f>AND(#REF!,"AAAAAH/dWqc=")</f>
        <v>#REF!</v>
      </c>
      <c r="FM251" t="e">
        <f>AND(#REF!,"AAAAAH/dWqg=")</f>
        <v>#REF!</v>
      </c>
      <c r="FN251" t="e">
        <f>AND(#REF!,"AAAAAH/dWqk=")</f>
        <v>#REF!</v>
      </c>
      <c r="FO251" t="e">
        <f>AND(#REF!,"AAAAAH/dWqo=")</f>
        <v>#REF!</v>
      </c>
      <c r="FP251" t="e">
        <f>AND(#REF!,"AAAAAH/dWqs=")</f>
        <v>#REF!</v>
      </c>
      <c r="FQ251" t="e">
        <f>AND(#REF!,"AAAAAH/dWqw=")</f>
        <v>#REF!</v>
      </c>
      <c r="FR251" t="e">
        <f>AND(#REF!,"AAAAAH/dWq0=")</f>
        <v>#REF!</v>
      </c>
      <c r="FS251" t="e">
        <f>AND(#REF!,"AAAAAH/dWq4=")</f>
        <v>#REF!</v>
      </c>
      <c r="FT251" t="e">
        <f>AND(#REF!,"AAAAAH/dWq8=")</f>
        <v>#REF!</v>
      </c>
      <c r="FU251" t="e">
        <f>AND(#REF!,"AAAAAH/dWrA=")</f>
        <v>#REF!</v>
      </c>
      <c r="FV251" t="e">
        <f>AND(#REF!,"AAAAAH/dWrE=")</f>
        <v>#REF!</v>
      </c>
      <c r="FW251" t="e">
        <f>AND(#REF!,"AAAAAH/dWrI=")</f>
        <v>#REF!</v>
      </c>
      <c r="FX251" t="e">
        <f>AND(#REF!,"AAAAAH/dWrM=")</f>
        <v>#REF!</v>
      </c>
      <c r="FY251" t="e">
        <f>AND(#REF!,"AAAAAH/dWrQ=")</f>
        <v>#REF!</v>
      </c>
      <c r="FZ251" t="e">
        <f>AND(#REF!,"AAAAAH/dWrU=")</f>
        <v>#REF!</v>
      </c>
      <c r="GA251" t="e">
        <f>AND(#REF!,"AAAAAH/dWrY=")</f>
        <v>#REF!</v>
      </c>
      <c r="GB251" t="e">
        <f>AND(#REF!,"AAAAAH/dWrc=")</f>
        <v>#REF!</v>
      </c>
      <c r="GC251" t="e">
        <f>AND(#REF!,"AAAAAH/dWrg=")</f>
        <v>#REF!</v>
      </c>
      <c r="GD251" t="e">
        <f>IF(#REF!,"AAAAAH/dWrk=",0)</f>
        <v>#REF!</v>
      </c>
      <c r="GE251" t="e">
        <f>AND(#REF!,"AAAAAH/dWro=")</f>
        <v>#REF!</v>
      </c>
      <c r="GF251" t="e">
        <f>AND(#REF!,"AAAAAH/dWrs=")</f>
        <v>#REF!</v>
      </c>
      <c r="GG251" t="e">
        <f>AND(#REF!,"AAAAAH/dWrw=")</f>
        <v>#REF!</v>
      </c>
      <c r="GH251" t="e">
        <f>AND(#REF!,"AAAAAH/dWr0=")</f>
        <v>#REF!</v>
      </c>
      <c r="GI251" t="e">
        <f>AND(#REF!,"AAAAAH/dWr4=")</f>
        <v>#REF!</v>
      </c>
      <c r="GJ251" t="e">
        <f>AND(#REF!,"AAAAAH/dWr8=")</f>
        <v>#REF!</v>
      </c>
      <c r="GK251" t="e">
        <f>AND(#REF!,"AAAAAH/dWsA=")</f>
        <v>#REF!</v>
      </c>
      <c r="GL251" t="e">
        <f>AND(#REF!,"AAAAAH/dWsE=")</f>
        <v>#REF!</v>
      </c>
      <c r="GM251" t="e">
        <f>AND(#REF!,"AAAAAH/dWsI=")</f>
        <v>#REF!</v>
      </c>
      <c r="GN251" t="e">
        <f>AND(#REF!,"AAAAAH/dWsM=")</f>
        <v>#REF!</v>
      </c>
      <c r="GO251" t="e">
        <f>AND(#REF!,"AAAAAH/dWsQ=")</f>
        <v>#REF!</v>
      </c>
      <c r="GP251" t="e">
        <f>AND(#REF!,"AAAAAH/dWsU=")</f>
        <v>#REF!</v>
      </c>
      <c r="GQ251" t="e">
        <f>AND(#REF!,"AAAAAH/dWsY=")</f>
        <v>#REF!</v>
      </c>
      <c r="GR251" t="e">
        <f>AND(#REF!,"AAAAAH/dWsc=")</f>
        <v>#REF!</v>
      </c>
      <c r="GS251" t="e">
        <f>AND(#REF!,"AAAAAH/dWsg=")</f>
        <v>#REF!</v>
      </c>
      <c r="GT251" t="e">
        <f>AND(#REF!,"AAAAAH/dWsk=")</f>
        <v>#REF!</v>
      </c>
      <c r="GU251" t="e">
        <f>AND(#REF!,"AAAAAH/dWso=")</f>
        <v>#REF!</v>
      </c>
      <c r="GV251" t="e">
        <f>AND(#REF!,"AAAAAH/dWss=")</f>
        <v>#REF!</v>
      </c>
      <c r="GW251" t="e">
        <f>AND(#REF!,"AAAAAH/dWsw=")</f>
        <v>#REF!</v>
      </c>
      <c r="GX251" t="e">
        <f>AND(#REF!,"AAAAAH/dWs0=")</f>
        <v>#REF!</v>
      </c>
      <c r="GY251" t="e">
        <f>AND(#REF!,"AAAAAH/dWs4=")</f>
        <v>#REF!</v>
      </c>
      <c r="GZ251" t="e">
        <f>AND(#REF!,"AAAAAH/dWs8=")</f>
        <v>#REF!</v>
      </c>
      <c r="HA251" t="e">
        <f>AND(#REF!,"AAAAAH/dWtA=")</f>
        <v>#REF!</v>
      </c>
      <c r="HB251" t="e">
        <f>AND(#REF!,"AAAAAH/dWtE=")</f>
        <v>#REF!</v>
      </c>
      <c r="HC251" t="e">
        <f>IF(#REF!,"AAAAAH/dWtI=",0)</f>
        <v>#REF!</v>
      </c>
      <c r="HD251" t="e">
        <f>AND(#REF!,"AAAAAH/dWtM=")</f>
        <v>#REF!</v>
      </c>
      <c r="HE251" t="e">
        <f>AND(#REF!,"AAAAAH/dWtQ=")</f>
        <v>#REF!</v>
      </c>
      <c r="HF251" t="e">
        <f>AND(#REF!,"AAAAAH/dWtU=")</f>
        <v>#REF!</v>
      </c>
      <c r="HG251" t="e">
        <f>AND(#REF!,"AAAAAH/dWtY=")</f>
        <v>#REF!</v>
      </c>
      <c r="HH251" t="e">
        <f>AND(#REF!,"AAAAAH/dWtc=")</f>
        <v>#REF!</v>
      </c>
      <c r="HI251" t="e">
        <f>AND(#REF!,"AAAAAH/dWtg=")</f>
        <v>#REF!</v>
      </c>
      <c r="HJ251" t="e">
        <f>AND(#REF!,"AAAAAH/dWtk=")</f>
        <v>#REF!</v>
      </c>
      <c r="HK251" t="e">
        <f>AND(#REF!,"AAAAAH/dWto=")</f>
        <v>#REF!</v>
      </c>
      <c r="HL251" t="e">
        <f>AND(#REF!,"AAAAAH/dWts=")</f>
        <v>#REF!</v>
      </c>
      <c r="HM251" t="e">
        <f>AND(#REF!,"AAAAAH/dWtw=")</f>
        <v>#REF!</v>
      </c>
      <c r="HN251" t="e">
        <f>AND(#REF!,"AAAAAH/dWt0=")</f>
        <v>#REF!</v>
      </c>
      <c r="HO251" t="e">
        <f>AND(#REF!,"AAAAAH/dWt4=")</f>
        <v>#REF!</v>
      </c>
      <c r="HP251" t="e">
        <f>AND(#REF!,"AAAAAH/dWt8=")</f>
        <v>#REF!</v>
      </c>
      <c r="HQ251" t="e">
        <f>AND(#REF!,"AAAAAH/dWuA=")</f>
        <v>#REF!</v>
      </c>
      <c r="HR251" t="e">
        <f>AND(#REF!,"AAAAAH/dWuE=")</f>
        <v>#REF!</v>
      </c>
      <c r="HS251" t="e">
        <f>AND(#REF!,"AAAAAH/dWuI=")</f>
        <v>#REF!</v>
      </c>
      <c r="HT251" t="e">
        <f>AND(#REF!,"AAAAAH/dWuM=")</f>
        <v>#REF!</v>
      </c>
      <c r="HU251" t="e">
        <f>AND(#REF!,"AAAAAH/dWuQ=")</f>
        <v>#REF!</v>
      </c>
      <c r="HV251" t="e">
        <f>AND(#REF!,"AAAAAH/dWuU=")</f>
        <v>#REF!</v>
      </c>
      <c r="HW251" t="e">
        <f>AND(#REF!,"AAAAAH/dWuY=")</f>
        <v>#REF!</v>
      </c>
      <c r="HX251" t="e">
        <f>AND(#REF!,"AAAAAH/dWuc=")</f>
        <v>#REF!</v>
      </c>
      <c r="HY251" t="e">
        <f>AND(#REF!,"AAAAAH/dWug=")</f>
        <v>#REF!</v>
      </c>
      <c r="HZ251" t="e">
        <f>AND(#REF!,"AAAAAH/dWuk=")</f>
        <v>#REF!</v>
      </c>
      <c r="IA251" t="e">
        <f>AND(#REF!,"AAAAAH/dWuo=")</f>
        <v>#REF!</v>
      </c>
      <c r="IB251" t="e">
        <f>IF(#REF!,"AAAAAH/dWus=",0)</f>
        <v>#REF!</v>
      </c>
      <c r="IC251" t="e">
        <f>AND(#REF!,"AAAAAH/dWuw=")</f>
        <v>#REF!</v>
      </c>
      <c r="ID251" t="e">
        <f>AND(#REF!,"AAAAAH/dWu0=")</f>
        <v>#REF!</v>
      </c>
      <c r="IE251" t="e">
        <f>AND(#REF!,"AAAAAH/dWu4=")</f>
        <v>#REF!</v>
      </c>
      <c r="IF251" t="e">
        <f>AND(#REF!,"AAAAAH/dWu8=")</f>
        <v>#REF!</v>
      </c>
      <c r="IG251" t="e">
        <f>AND(#REF!,"AAAAAH/dWvA=")</f>
        <v>#REF!</v>
      </c>
      <c r="IH251" t="e">
        <f>AND(#REF!,"AAAAAH/dWvE=")</f>
        <v>#REF!</v>
      </c>
      <c r="II251" t="e">
        <f>AND(#REF!,"AAAAAH/dWvI=")</f>
        <v>#REF!</v>
      </c>
      <c r="IJ251" t="e">
        <f>AND(#REF!,"AAAAAH/dWvM=")</f>
        <v>#REF!</v>
      </c>
      <c r="IK251" t="e">
        <f>AND(#REF!,"AAAAAH/dWvQ=")</f>
        <v>#REF!</v>
      </c>
      <c r="IL251" t="e">
        <f>AND(#REF!,"AAAAAH/dWvU=")</f>
        <v>#REF!</v>
      </c>
      <c r="IM251" t="e">
        <f>AND(#REF!,"AAAAAH/dWvY=")</f>
        <v>#REF!</v>
      </c>
      <c r="IN251" t="e">
        <f>AND(#REF!,"AAAAAH/dWvc=")</f>
        <v>#REF!</v>
      </c>
      <c r="IO251" t="e">
        <f>AND(#REF!,"AAAAAH/dWvg=")</f>
        <v>#REF!</v>
      </c>
      <c r="IP251" t="e">
        <f>AND(#REF!,"AAAAAH/dWvk=")</f>
        <v>#REF!</v>
      </c>
      <c r="IQ251" t="e">
        <f>AND(#REF!,"AAAAAH/dWvo=")</f>
        <v>#REF!</v>
      </c>
      <c r="IR251" t="e">
        <f>AND(#REF!,"AAAAAH/dWvs=")</f>
        <v>#REF!</v>
      </c>
      <c r="IS251" t="e">
        <f>AND(#REF!,"AAAAAH/dWvw=")</f>
        <v>#REF!</v>
      </c>
      <c r="IT251" t="e">
        <f>AND(#REF!,"AAAAAH/dWv0=")</f>
        <v>#REF!</v>
      </c>
      <c r="IU251" t="e">
        <f>AND(#REF!,"AAAAAH/dWv4=")</f>
        <v>#REF!</v>
      </c>
      <c r="IV251" t="e">
        <f>AND(#REF!,"AAAAAH/dWv8=")</f>
        <v>#REF!</v>
      </c>
    </row>
    <row r="252" spans="1:256">
      <c r="A252" t="e">
        <f>AND(#REF!,"AAAAAHbf/gA=")</f>
        <v>#REF!</v>
      </c>
      <c r="B252" t="e">
        <f>AND(#REF!,"AAAAAHbf/gE=")</f>
        <v>#REF!</v>
      </c>
      <c r="C252" t="e">
        <f>AND(#REF!,"AAAAAHbf/gI=")</f>
        <v>#REF!</v>
      </c>
      <c r="D252" t="e">
        <f>AND(#REF!,"AAAAAHbf/gM=")</f>
        <v>#REF!</v>
      </c>
      <c r="E252" t="e">
        <f>IF(#REF!,"AAAAAHbf/gQ=",0)</f>
        <v>#REF!</v>
      </c>
      <c r="F252" t="e">
        <f>AND(#REF!,"AAAAAHbf/gU=")</f>
        <v>#REF!</v>
      </c>
      <c r="G252" t="e">
        <f>AND(#REF!,"AAAAAHbf/gY=")</f>
        <v>#REF!</v>
      </c>
      <c r="H252" t="e">
        <f>AND(#REF!,"AAAAAHbf/gc=")</f>
        <v>#REF!</v>
      </c>
      <c r="I252" t="e">
        <f>AND(#REF!,"AAAAAHbf/gg=")</f>
        <v>#REF!</v>
      </c>
      <c r="J252" t="e">
        <f>AND(#REF!,"AAAAAHbf/gk=")</f>
        <v>#REF!</v>
      </c>
      <c r="K252" t="e">
        <f>AND(#REF!,"AAAAAHbf/go=")</f>
        <v>#REF!</v>
      </c>
      <c r="L252" t="e">
        <f>AND(#REF!,"AAAAAHbf/gs=")</f>
        <v>#REF!</v>
      </c>
      <c r="M252" t="e">
        <f>AND(#REF!,"AAAAAHbf/gw=")</f>
        <v>#REF!</v>
      </c>
      <c r="N252" t="e">
        <f>AND(#REF!,"AAAAAHbf/g0=")</f>
        <v>#REF!</v>
      </c>
      <c r="O252" t="e">
        <f>AND(#REF!,"AAAAAHbf/g4=")</f>
        <v>#REF!</v>
      </c>
      <c r="P252" t="e">
        <f>AND(#REF!,"AAAAAHbf/g8=")</f>
        <v>#REF!</v>
      </c>
      <c r="Q252" t="e">
        <f>AND(#REF!,"AAAAAHbf/hA=")</f>
        <v>#REF!</v>
      </c>
      <c r="R252" t="e">
        <f>AND(#REF!,"AAAAAHbf/hE=")</f>
        <v>#REF!</v>
      </c>
      <c r="S252" t="e">
        <f>AND(#REF!,"AAAAAHbf/hI=")</f>
        <v>#REF!</v>
      </c>
      <c r="T252" t="e">
        <f>AND(#REF!,"AAAAAHbf/hM=")</f>
        <v>#REF!</v>
      </c>
      <c r="U252" t="e">
        <f>AND(#REF!,"AAAAAHbf/hQ=")</f>
        <v>#REF!</v>
      </c>
      <c r="V252" t="e">
        <f>AND(#REF!,"AAAAAHbf/hU=")</f>
        <v>#REF!</v>
      </c>
      <c r="W252" t="e">
        <f>AND(#REF!,"AAAAAHbf/hY=")</f>
        <v>#REF!</v>
      </c>
      <c r="X252" t="e">
        <f>AND(#REF!,"AAAAAHbf/hc=")</f>
        <v>#REF!</v>
      </c>
      <c r="Y252" t="e">
        <f>AND(#REF!,"AAAAAHbf/hg=")</f>
        <v>#REF!</v>
      </c>
      <c r="Z252" t="e">
        <f>AND(#REF!,"AAAAAHbf/hk=")</f>
        <v>#REF!</v>
      </c>
      <c r="AA252" t="e">
        <f>AND(#REF!,"AAAAAHbf/ho=")</f>
        <v>#REF!</v>
      </c>
      <c r="AB252" t="e">
        <f>AND(#REF!,"AAAAAHbf/hs=")</f>
        <v>#REF!</v>
      </c>
      <c r="AC252" t="e">
        <f>AND(#REF!,"AAAAAHbf/hw=")</f>
        <v>#REF!</v>
      </c>
      <c r="AD252" t="e">
        <f>IF(#REF!,"AAAAAHbf/h0=",0)</f>
        <v>#REF!</v>
      </c>
      <c r="AE252" t="e">
        <f>AND(#REF!,"AAAAAHbf/h4=")</f>
        <v>#REF!</v>
      </c>
      <c r="AF252" t="e">
        <f>AND(#REF!,"AAAAAHbf/h8=")</f>
        <v>#REF!</v>
      </c>
      <c r="AG252" t="e">
        <f>AND(#REF!,"AAAAAHbf/iA=")</f>
        <v>#REF!</v>
      </c>
      <c r="AH252" t="e">
        <f>AND(#REF!,"AAAAAHbf/iE=")</f>
        <v>#REF!</v>
      </c>
      <c r="AI252" t="e">
        <f>AND(#REF!,"AAAAAHbf/iI=")</f>
        <v>#REF!</v>
      </c>
      <c r="AJ252" t="e">
        <f>AND(#REF!,"AAAAAHbf/iM=")</f>
        <v>#REF!</v>
      </c>
      <c r="AK252" t="e">
        <f>AND(#REF!,"AAAAAHbf/iQ=")</f>
        <v>#REF!</v>
      </c>
      <c r="AL252" t="e">
        <f>AND(#REF!,"AAAAAHbf/iU=")</f>
        <v>#REF!</v>
      </c>
      <c r="AM252" t="e">
        <f>AND(#REF!,"AAAAAHbf/iY=")</f>
        <v>#REF!</v>
      </c>
      <c r="AN252" t="e">
        <f>AND(#REF!,"AAAAAHbf/ic=")</f>
        <v>#REF!</v>
      </c>
      <c r="AO252" t="e">
        <f>AND(#REF!,"AAAAAHbf/ig=")</f>
        <v>#REF!</v>
      </c>
      <c r="AP252" t="e">
        <f>AND(#REF!,"AAAAAHbf/ik=")</f>
        <v>#REF!</v>
      </c>
      <c r="AQ252" t="e">
        <f>AND(#REF!,"AAAAAHbf/io=")</f>
        <v>#REF!</v>
      </c>
      <c r="AR252" t="e">
        <f>AND(#REF!,"AAAAAHbf/is=")</f>
        <v>#REF!</v>
      </c>
      <c r="AS252" t="e">
        <f>AND(#REF!,"AAAAAHbf/iw=")</f>
        <v>#REF!</v>
      </c>
      <c r="AT252" t="e">
        <f>AND(#REF!,"AAAAAHbf/i0=")</f>
        <v>#REF!</v>
      </c>
      <c r="AU252" t="e">
        <f>AND(#REF!,"AAAAAHbf/i4=")</f>
        <v>#REF!</v>
      </c>
      <c r="AV252" t="e">
        <f>AND(#REF!,"AAAAAHbf/i8=")</f>
        <v>#REF!</v>
      </c>
      <c r="AW252" t="e">
        <f>AND(#REF!,"AAAAAHbf/jA=")</f>
        <v>#REF!</v>
      </c>
      <c r="AX252" t="e">
        <f>AND(#REF!,"AAAAAHbf/jE=")</f>
        <v>#REF!</v>
      </c>
      <c r="AY252" t="e">
        <f>AND(#REF!,"AAAAAHbf/jI=")</f>
        <v>#REF!</v>
      </c>
      <c r="AZ252" t="e">
        <f>AND(#REF!,"AAAAAHbf/jM=")</f>
        <v>#REF!</v>
      </c>
      <c r="BA252" t="e">
        <f>AND(#REF!,"AAAAAHbf/jQ=")</f>
        <v>#REF!</v>
      </c>
      <c r="BB252" t="e">
        <f>AND(#REF!,"AAAAAHbf/jU=")</f>
        <v>#REF!</v>
      </c>
      <c r="BC252" t="e">
        <f>IF(#REF!,"AAAAAHbf/jY=",0)</f>
        <v>#REF!</v>
      </c>
      <c r="BD252" t="e">
        <f>AND(#REF!,"AAAAAHbf/jc=")</f>
        <v>#REF!</v>
      </c>
      <c r="BE252" t="e">
        <f>AND(#REF!,"AAAAAHbf/jg=")</f>
        <v>#REF!</v>
      </c>
      <c r="BF252" t="e">
        <f>AND(#REF!,"AAAAAHbf/jk=")</f>
        <v>#REF!</v>
      </c>
      <c r="BG252" t="e">
        <f>AND(#REF!,"AAAAAHbf/jo=")</f>
        <v>#REF!</v>
      </c>
      <c r="BH252" t="e">
        <f>AND(#REF!,"AAAAAHbf/js=")</f>
        <v>#REF!</v>
      </c>
      <c r="BI252" t="e">
        <f>AND(#REF!,"AAAAAHbf/jw=")</f>
        <v>#REF!</v>
      </c>
      <c r="BJ252" t="e">
        <f>AND(#REF!,"AAAAAHbf/j0=")</f>
        <v>#REF!</v>
      </c>
      <c r="BK252" t="e">
        <f>AND(#REF!,"AAAAAHbf/j4=")</f>
        <v>#REF!</v>
      </c>
      <c r="BL252" t="e">
        <f>AND(#REF!,"AAAAAHbf/j8=")</f>
        <v>#REF!</v>
      </c>
      <c r="BM252" t="e">
        <f>AND(#REF!,"AAAAAHbf/kA=")</f>
        <v>#REF!</v>
      </c>
      <c r="BN252" t="e">
        <f>AND(#REF!,"AAAAAHbf/kE=")</f>
        <v>#REF!</v>
      </c>
      <c r="BO252" t="e">
        <f>AND(#REF!,"AAAAAHbf/kI=")</f>
        <v>#REF!</v>
      </c>
      <c r="BP252" t="e">
        <f>AND(#REF!,"AAAAAHbf/kM=")</f>
        <v>#REF!</v>
      </c>
      <c r="BQ252" t="e">
        <f>AND(#REF!,"AAAAAHbf/kQ=")</f>
        <v>#REF!</v>
      </c>
      <c r="BR252" t="e">
        <f>AND(#REF!,"AAAAAHbf/kU=")</f>
        <v>#REF!</v>
      </c>
      <c r="BS252" t="e">
        <f>AND(#REF!,"AAAAAHbf/kY=")</f>
        <v>#REF!</v>
      </c>
      <c r="BT252" t="e">
        <f>AND(#REF!,"AAAAAHbf/kc=")</f>
        <v>#REF!</v>
      </c>
      <c r="BU252" t="e">
        <f>AND(#REF!,"AAAAAHbf/kg=")</f>
        <v>#REF!</v>
      </c>
      <c r="BV252" t="e">
        <f>AND(#REF!,"AAAAAHbf/kk=")</f>
        <v>#REF!</v>
      </c>
      <c r="BW252" t="e">
        <f>AND(#REF!,"AAAAAHbf/ko=")</f>
        <v>#REF!</v>
      </c>
      <c r="BX252" t="e">
        <f>AND(#REF!,"AAAAAHbf/ks=")</f>
        <v>#REF!</v>
      </c>
      <c r="BY252" t="e">
        <f>AND(#REF!,"AAAAAHbf/kw=")</f>
        <v>#REF!</v>
      </c>
      <c r="BZ252" t="e">
        <f>AND(#REF!,"AAAAAHbf/k0=")</f>
        <v>#REF!</v>
      </c>
      <c r="CA252" t="e">
        <f>AND(#REF!,"AAAAAHbf/k4=")</f>
        <v>#REF!</v>
      </c>
      <c r="CB252" t="e">
        <f>IF(#REF!,"AAAAAHbf/k8=",0)</f>
        <v>#REF!</v>
      </c>
      <c r="CC252" t="e">
        <f>AND(#REF!,"AAAAAHbf/lA=")</f>
        <v>#REF!</v>
      </c>
      <c r="CD252" t="e">
        <f>AND(#REF!,"AAAAAHbf/lE=")</f>
        <v>#REF!</v>
      </c>
      <c r="CE252" t="e">
        <f>AND(#REF!,"AAAAAHbf/lI=")</f>
        <v>#REF!</v>
      </c>
      <c r="CF252" t="e">
        <f>AND(#REF!,"AAAAAHbf/lM=")</f>
        <v>#REF!</v>
      </c>
      <c r="CG252" t="e">
        <f>AND(#REF!,"AAAAAHbf/lQ=")</f>
        <v>#REF!</v>
      </c>
      <c r="CH252" t="e">
        <f>AND(#REF!,"AAAAAHbf/lU=")</f>
        <v>#REF!</v>
      </c>
      <c r="CI252" t="e">
        <f>AND(#REF!,"AAAAAHbf/lY=")</f>
        <v>#REF!</v>
      </c>
      <c r="CJ252" t="e">
        <f>AND(#REF!,"AAAAAHbf/lc=")</f>
        <v>#REF!</v>
      </c>
      <c r="CK252" t="e">
        <f>AND(#REF!,"AAAAAHbf/lg=")</f>
        <v>#REF!</v>
      </c>
      <c r="CL252" t="e">
        <f>AND(#REF!,"AAAAAHbf/lk=")</f>
        <v>#REF!</v>
      </c>
      <c r="CM252" t="e">
        <f>AND(#REF!,"AAAAAHbf/lo=")</f>
        <v>#REF!</v>
      </c>
      <c r="CN252" t="e">
        <f>AND(#REF!,"AAAAAHbf/ls=")</f>
        <v>#REF!</v>
      </c>
      <c r="CO252" t="e">
        <f>AND(#REF!,"AAAAAHbf/lw=")</f>
        <v>#REF!</v>
      </c>
      <c r="CP252" t="e">
        <f>AND(#REF!,"AAAAAHbf/l0=")</f>
        <v>#REF!</v>
      </c>
      <c r="CQ252" t="e">
        <f>AND(#REF!,"AAAAAHbf/l4=")</f>
        <v>#REF!</v>
      </c>
      <c r="CR252" t="e">
        <f>AND(#REF!,"AAAAAHbf/l8=")</f>
        <v>#REF!</v>
      </c>
      <c r="CS252" t="e">
        <f>AND(#REF!,"AAAAAHbf/mA=")</f>
        <v>#REF!</v>
      </c>
      <c r="CT252" t="e">
        <f>AND(#REF!,"AAAAAHbf/mE=")</f>
        <v>#REF!</v>
      </c>
      <c r="CU252" t="e">
        <f>AND(#REF!,"AAAAAHbf/mI=")</f>
        <v>#REF!</v>
      </c>
      <c r="CV252" t="e">
        <f>AND(#REF!,"AAAAAHbf/mM=")</f>
        <v>#REF!</v>
      </c>
      <c r="CW252" t="e">
        <f>AND(#REF!,"AAAAAHbf/mQ=")</f>
        <v>#REF!</v>
      </c>
      <c r="CX252" t="e">
        <f>AND(#REF!,"AAAAAHbf/mU=")</f>
        <v>#REF!</v>
      </c>
      <c r="CY252" t="e">
        <f>AND(#REF!,"AAAAAHbf/mY=")</f>
        <v>#REF!</v>
      </c>
      <c r="CZ252" t="e">
        <f>AND(#REF!,"AAAAAHbf/mc=")</f>
        <v>#REF!</v>
      </c>
      <c r="DA252" t="e">
        <f>IF(#REF!,"AAAAAHbf/mg=",0)</f>
        <v>#REF!</v>
      </c>
      <c r="DB252" t="e">
        <f>AND(#REF!,"AAAAAHbf/mk=")</f>
        <v>#REF!</v>
      </c>
      <c r="DC252" t="e">
        <f>AND(#REF!,"AAAAAHbf/mo=")</f>
        <v>#REF!</v>
      </c>
      <c r="DD252" t="e">
        <f>AND(#REF!,"AAAAAHbf/ms=")</f>
        <v>#REF!</v>
      </c>
      <c r="DE252" t="e">
        <f>AND(#REF!,"AAAAAHbf/mw=")</f>
        <v>#REF!</v>
      </c>
      <c r="DF252" t="e">
        <f>AND(#REF!,"AAAAAHbf/m0=")</f>
        <v>#REF!</v>
      </c>
      <c r="DG252" t="e">
        <f>AND(#REF!,"AAAAAHbf/m4=")</f>
        <v>#REF!</v>
      </c>
      <c r="DH252" t="e">
        <f>AND(#REF!,"AAAAAHbf/m8=")</f>
        <v>#REF!</v>
      </c>
      <c r="DI252" t="e">
        <f>AND(#REF!,"AAAAAHbf/nA=")</f>
        <v>#REF!</v>
      </c>
      <c r="DJ252" t="e">
        <f>AND(#REF!,"AAAAAHbf/nE=")</f>
        <v>#REF!</v>
      </c>
      <c r="DK252" t="e">
        <f>AND(#REF!,"AAAAAHbf/nI=")</f>
        <v>#REF!</v>
      </c>
      <c r="DL252" t="e">
        <f>AND(#REF!,"AAAAAHbf/nM=")</f>
        <v>#REF!</v>
      </c>
      <c r="DM252" t="e">
        <f>AND(#REF!,"AAAAAHbf/nQ=")</f>
        <v>#REF!</v>
      </c>
      <c r="DN252" t="e">
        <f>AND(#REF!,"AAAAAHbf/nU=")</f>
        <v>#REF!</v>
      </c>
      <c r="DO252" t="e">
        <f>AND(#REF!,"AAAAAHbf/nY=")</f>
        <v>#REF!</v>
      </c>
      <c r="DP252" t="e">
        <f>AND(#REF!,"AAAAAHbf/nc=")</f>
        <v>#REF!</v>
      </c>
      <c r="DQ252" t="e">
        <f>AND(#REF!,"AAAAAHbf/ng=")</f>
        <v>#REF!</v>
      </c>
      <c r="DR252" t="e">
        <f>AND(#REF!,"AAAAAHbf/nk=")</f>
        <v>#REF!</v>
      </c>
      <c r="DS252" t="e">
        <f>AND(#REF!,"AAAAAHbf/no=")</f>
        <v>#REF!</v>
      </c>
      <c r="DT252" t="e">
        <f>AND(#REF!,"AAAAAHbf/ns=")</f>
        <v>#REF!</v>
      </c>
      <c r="DU252" t="e">
        <f>AND(#REF!,"AAAAAHbf/nw=")</f>
        <v>#REF!</v>
      </c>
      <c r="DV252" t="e">
        <f>AND(#REF!,"AAAAAHbf/n0=")</f>
        <v>#REF!</v>
      </c>
      <c r="DW252" t="e">
        <f>AND(#REF!,"AAAAAHbf/n4=")</f>
        <v>#REF!</v>
      </c>
      <c r="DX252" t="e">
        <f>AND(#REF!,"AAAAAHbf/n8=")</f>
        <v>#REF!</v>
      </c>
      <c r="DY252" t="e">
        <f>AND(#REF!,"AAAAAHbf/oA=")</f>
        <v>#REF!</v>
      </c>
      <c r="DZ252" t="e">
        <f>IF(#REF!,"AAAAAHbf/oE=",0)</f>
        <v>#REF!</v>
      </c>
      <c r="EA252" t="e">
        <f>AND(#REF!,"AAAAAHbf/oI=")</f>
        <v>#REF!</v>
      </c>
      <c r="EB252" t="e">
        <f>AND(#REF!,"AAAAAHbf/oM=")</f>
        <v>#REF!</v>
      </c>
      <c r="EC252" t="e">
        <f>AND(#REF!,"AAAAAHbf/oQ=")</f>
        <v>#REF!</v>
      </c>
      <c r="ED252" t="e">
        <f>AND(#REF!,"AAAAAHbf/oU=")</f>
        <v>#REF!</v>
      </c>
      <c r="EE252" t="e">
        <f>AND(#REF!,"AAAAAHbf/oY=")</f>
        <v>#REF!</v>
      </c>
      <c r="EF252" t="e">
        <f>AND(#REF!,"AAAAAHbf/oc=")</f>
        <v>#REF!</v>
      </c>
      <c r="EG252" t="e">
        <f>AND(#REF!,"AAAAAHbf/og=")</f>
        <v>#REF!</v>
      </c>
      <c r="EH252" t="e">
        <f>AND(#REF!,"AAAAAHbf/ok=")</f>
        <v>#REF!</v>
      </c>
      <c r="EI252" t="e">
        <f>AND(#REF!,"AAAAAHbf/oo=")</f>
        <v>#REF!</v>
      </c>
      <c r="EJ252" t="e">
        <f>AND(#REF!,"AAAAAHbf/os=")</f>
        <v>#REF!</v>
      </c>
      <c r="EK252" t="e">
        <f>AND(#REF!,"AAAAAHbf/ow=")</f>
        <v>#REF!</v>
      </c>
      <c r="EL252" t="e">
        <f>AND(#REF!,"AAAAAHbf/o0=")</f>
        <v>#REF!</v>
      </c>
      <c r="EM252" t="e">
        <f>AND(#REF!,"AAAAAHbf/o4=")</f>
        <v>#REF!</v>
      </c>
      <c r="EN252" t="e">
        <f>AND(#REF!,"AAAAAHbf/o8=")</f>
        <v>#REF!</v>
      </c>
      <c r="EO252" t="e">
        <f>AND(#REF!,"AAAAAHbf/pA=")</f>
        <v>#REF!</v>
      </c>
      <c r="EP252" t="e">
        <f>AND(#REF!,"AAAAAHbf/pE=")</f>
        <v>#REF!</v>
      </c>
      <c r="EQ252" t="e">
        <f>AND(#REF!,"AAAAAHbf/pI=")</f>
        <v>#REF!</v>
      </c>
      <c r="ER252" t="e">
        <f>AND(#REF!,"AAAAAHbf/pM=")</f>
        <v>#REF!</v>
      </c>
      <c r="ES252" t="e">
        <f>AND(#REF!,"AAAAAHbf/pQ=")</f>
        <v>#REF!</v>
      </c>
      <c r="ET252" t="e">
        <f>AND(#REF!,"AAAAAHbf/pU=")</f>
        <v>#REF!</v>
      </c>
      <c r="EU252" t="e">
        <f>AND(#REF!,"AAAAAHbf/pY=")</f>
        <v>#REF!</v>
      </c>
      <c r="EV252" t="e">
        <f>AND(#REF!,"AAAAAHbf/pc=")</f>
        <v>#REF!</v>
      </c>
      <c r="EW252" t="e">
        <f>AND(#REF!,"AAAAAHbf/pg=")</f>
        <v>#REF!</v>
      </c>
      <c r="EX252" t="e">
        <f>AND(#REF!,"AAAAAHbf/pk=")</f>
        <v>#REF!</v>
      </c>
      <c r="EY252" t="e">
        <f>IF(#REF!,"AAAAAHbf/po=",0)</f>
        <v>#REF!</v>
      </c>
      <c r="EZ252" t="e">
        <f>AND(#REF!,"AAAAAHbf/ps=")</f>
        <v>#REF!</v>
      </c>
      <c r="FA252" t="e">
        <f>AND(#REF!,"AAAAAHbf/pw=")</f>
        <v>#REF!</v>
      </c>
      <c r="FB252" t="e">
        <f>AND(#REF!,"AAAAAHbf/p0=")</f>
        <v>#REF!</v>
      </c>
      <c r="FC252" t="e">
        <f>AND(#REF!,"AAAAAHbf/p4=")</f>
        <v>#REF!</v>
      </c>
      <c r="FD252" t="e">
        <f>AND(#REF!,"AAAAAHbf/p8=")</f>
        <v>#REF!</v>
      </c>
      <c r="FE252" t="e">
        <f>AND(#REF!,"AAAAAHbf/qA=")</f>
        <v>#REF!</v>
      </c>
      <c r="FF252" t="e">
        <f>AND(#REF!,"AAAAAHbf/qE=")</f>
        <v>#REF!</v>
      </c>
      <c r="FG252" t="e">
        <f>AND(#REF!,"AAAAAHbf/qI=")</f>
        <v>#REF!</v>
      </c>
      <c r="FH252" t="e">
        <f>AND(#REF!,"AAAAAHbf/qM=")</f>
        <v>#REF!</v>
      </c>
      <c r="FI252" t="e">
        <f>AND(#REF!,"AAAAAHbf/qQ=")</f>
        <v>#REF!</v>
      </c>
      <c r="FJ252" t="e">
        <f>AND(#REF!,"AAAAAHbf/qU=")</f>
        <v>#REF!</v>
      </c>
      <c r="FK252" t="e">
        <f>AND(#REF!,"AAAAAHbf/qY=")</f>
        <v>#REF!</v>
      </c>
      <c r="FL252" t="e">
        <f>AND(#REF!,"AAAAAHbf/qc=")</f>
        <v>#REF!</v>
      </c>
      <c r="FM252" t="e">
        <f>AND(#REF!,"AAAAAHbf/qg=")</f>
        <v>#REF!</v>
      </c>
      <c r="FN252" t="e">
        <f>AND(#REF!,"AAAAAHbf/qk=")</f>
        <v>#REF!</v>
      </c>
      <c r="FO252" t="e">
        <f>AND(#REF!,"AAAAAHbf/qo=")</f>
        <v>#REF!</v>
      </c>
      <c r="FP252" t="e">
        <f>AND(#REF!,"AAAAAHbf/qs=")</f>
        <v>#REF!</v>
      </c>
      <c r="FQ252" t="e">
        <f>AND(#REF!,"AAAAAHbf/qw=")</f>
        <v>#REF!</v>
      </c>
      <c r="FR252" t="e">
        <f>AND(#REF!,"AAAAAHbf/q0=")</f>
        <v>#REF!</v>
      </c>
      <c r="FS252" t="e">
        <f>AND(#REF!,"AAAAAHbf/q4=")</f>
        <v>#REF!</v>
      </c>
      <c r="FT252" t="e">
        <f>AND(#REF!,"AAAAAHbf/q8=")</f>
        <v>#REF!</v>
      </c>
      <c r="FU252" t="e">
        <f>AND(#REF!,"AAAAAHbf/rA=")</f>
        <v>#REF!</v>
      </c>
      <c r="FV252" t="e">
        <f>AND(#REF!,"AAAAAHbf/rE=")</f>
        <v>#REF!</v>
      </c>
      <c r="FW252" t="e">
        <f>AND(#REF!,"AAAAAHbf/rI=")</f>
        <v>#REF!</v>
      </c>
      <c r="FX252" t="e">
        <f>IF(#REF!,"AAAAAHbf/rM=",0)</f>
        <v>#REF!</v>
      </c>
      <c r="FY252" t="e">
        <f>AND(#REF!,"AAAAAHbf/rQ=")</f>
        <v>#REF!</v>
      </c>
      <c r="FZ252" t="e">
        <f>AND(#REF!,"AAAAAHbf/rU=")</f>
        <v>#REF!</v>
      </c>
      <c r="GA252" t="e">
        <f>AND(#REF!,"AAAAAHbf/rY=")</f>
        <v>#REF!</v>
      </c>
      <c r="GB252" t="e">
        <f>AND(#REF!,"AAAAAHbf/rc=")</f>
        <v>#REF!</v>
      </c>
      <c r="GC252" t="e">
        <f>AND(#REF!,"AAAAAHbf/rg=")</f>
        <v>#REF!</v>
      </c>
      <c r="GD252" t="e">
        <f>AND(#REF!,"AAAAAHbf/rk=")</f>
        <v>#REF!</v>
      </c>
      <c r="GE252" t="e">
        <f>AND(#REF!,"AAAAAHbf/ro=")</f>
        <v>#REF!</v>
      </c>
      <c r="GF252" t="e">
        <f>AND(#REF!,"AAAAAHbf/rs=")</f>
        <v>#REF!</v>
      </c>
      <c r="GG252" t="e">
        <f>AND(#REF!,"AAAAAHbf/rw=")</f>
        <v>#REF!</v>
      </c>
      <c r="GH252" t="e">
        <f>AND(#REF!,"AAAAAHbf/r0=")</f>
        <v>#REF!</v>
      </c>
      <c r="GI252" t="e">
        <f>AND(#REF!,"AAAAAHbf/r4=")</f>
        <v>#REF!</v>
      </c>
      <c r="GJ252" t="e">
        <f>AND(#REF!,"AAAAAHbf/r8=")</f>
        <v>#REF!</v>
      </c>
      <c r="GK252" t="e">
        <f>AND(#REF!,"AAAAAHbf/sA=")</f>
        <v>#REF!</v>
      </c>
      <c r="GL252" t="e">
        <f>AND(#REF!,"AAAAAHbf/sE=")</f>
        <v>#REF!</v>
      </c>
      <c r="GM252" t="e">
        <f>AND(#REF!,"AAAAAHbf/sI=")</f>
        <v>#REF!</v>
      </c>
      <c r="GN252" t="e">
        <f>AND(#REF!,"AAAAAHbf/sM=")</f>
        <v>#REF!</v>
      </c>
      <c r="GO252" t="e">
        <f>AND(#REF!,"AAAAAHbf/sQ=")</f>
        <v>#REF!</v>
      </c>
      <c r="GP252" t="e">
        <f>AND(#REF!,"AAAAAHbf/sU=")</f>
        <v>#REF!</v>
      </c>
      <c r="GQ252" t="e">
        <f>AND(#REF!,"AAAAAHbf/sY=")</f>
        <v>#REF!</v>
      </c>
      <c r="GR252" t="e">
        <f>AND(#REF!,"AAAAAHbf/sc=")</f>
        <v>#REF!</v>
      </c>
      <c r="GS252" t="e">
        <f>AND(#REF!,"AAAAAHbf/sg=")</f>
        <v>#REF!</v>
      </c>
      <c r="GT252" t="e">
        <f>AND(#REF!,"AAAAAHbf/sk=")</f>
        <v>#REF!</v>
      </c>
      <c r="GU252" t="e">
        <f>AND(#REF!,"AAAAAHbf/so=")</f>
        <v>#REF!</v>
      </c>
      <c r="GV252" t="e">
        <f>AND(#REF!,"AAAAAHbf/ss=")</f>
        <v>#REF!</v>
      </c>
      <c r="GW252" t="e">
        <f>IF(#REF!,"AAAAAHbf/sw=",0)</f>
        <v>#REF!</v>
      </c>
      <c r="GX252" t="e">
        <f>AND(#REF!,"AAAAAHbf/s0=")</f>
        <v>#REF!</v>
      </c>
      <c r="GY252" t="e">
        <f>AND(#REF!,"AAAAAHbf/s4=")</f>
        <v>#REF!</v>
      </c>
      <c r="GZ252" t="e">
        <f>AND(#REF!,"AAAAAHbf/s8=")</f>
        <v>#REF!</v>
      </c>
      <c r="HA252" t="e">
        <f>AND(#REF!,"AAAAAHbf/tA=")</f>
        <v>#REF!</v>
      </c>
      <c r="HB252" t="e">
        <f>AND(#REF!,"AAAAAHbf/tE=")</f>
        <v>#REF!</v>
      </c>
      <c r="HC252" t="e">
        <f>AND(#REF!,"AAAAAHbf/tI=")</f>
        <v>#REF!</v>
      </c>
      <c r="HD252" t="e">
        <f>AND(#REF!,"AAAAAHbf/tM=")</f>
        <v>#REF!</v>
      </c>
      <c r="HE252" t="e">
        <f>AND(#REF!,"AAAAAHbf/tQ=")</f>
        <v>#REF!</v>
      </c>
      <c r="HF252" t="e">
        <f>AND(#REF!,"AAAAAHbf/tU=")</f>
        <v>#REF!</v>
      </c>
      <c r="HG252" t="e">
        <f>AND(#REF!,"AAAAAHbf/tY=")</f>
        <v>#REF!</v>
      </c>
      <c r="HH252" t="e">
        <f>AND(#REF!,"AAAAAHbf/tc=")</f>
        <v>#REF!</v>
      </c>
      <c r="HI252" t="e">
        <f>AND(#REF!,"AAAAAHbf/tg=")</f>
        <v>#REF!</v>
      </c>
      <c r="HJ252" t="e">
        <f>AND(#REF!,"AAAAAHbf/tk=")</f>
        <v>#REF!</v>
      </c>
      <c r="HK252" t="e">
        <f>AND(#REF!,"AAAAAHbf/to=")</f>
        <v>#REF!</v>
      </c>
      <c r="HL252" t="e">
        <f>AND(#REF!,"AAAAAHbf/ts=")</f>
        <v>#REF!</v>
      </c>
      <c r="HM252" t="e">
        <f>AND(#REF!,"AAAAAHbf/tw=")</f>
        <v>#REF!</v>
      </c>
      <c r="HN252" t="e">
        <f>AND(#REF!,"AAAAAHbf/t0=")</f>
        <v>#REF!</v>
      </c>
      <c r="HO252" t="e">
        <f>AND(#REF!,"AAAAAHbf/t4=")</f>
        <v>#REF!</v>
      </c>
      <c r="HP252" t="e">
        <f>AND(#REF!,"AAAAAHbf/t8=")</f>
        <v>#REF!</v>
      </c>
      <c r="HQ252" t="e">
        <f>AND(#REF!,"AAAAAHbf/uA=")</f>
        <v>#REF!</v>
      </c>
      <c r="HR252" t="e">
        <f>AND(#REF!,"AAAAAHbf/uE=")</f>
        <v>#REF!</v>
      </c>
      <c r="HS252" t="e">
        <f>AND(#REF!,"AAAAAHbf/uI=")</f>
        <v>#REF!</v>
      </c>
      <c r="HT252" t="e">
        <f>AND(#REF!,"AAAAAHbf/uM=")</f>
        <v>#REF!</v>
      </c>
      <c r="HU252" t="e">
        <f>AND(#REF!,"AAAAAHbf/uQ=")</f>
        <v>#REF!</v>
      </c>
      <c r="HV252" t="e">
        <f>IF(#REF!,"AAAAAHbf/uU=",0)</f>
        <v>#REF!</v>
      </c>
      <c r="HW252" t="e">
        <f>AND(#REF!,"AAAAAHbf/uY=")</f>
        <v>#REF!</v>
      </c>
      <c r="HX252" t="e">
        <f>AND(#REF!,"AAAAAHbf/uc=")</f>
        <v>#REF!</v>
      </c>
      <c r="HY252" t="e">
        <f>AND(#REF!,"AAAAAHbf/ug=")</f>
        <v>#REF!</v>
      </c>
      <c r="HZ252" t="e">
        <f>AND(#REF!,"AAAAAHbf/uk=")</f>
        <v>#REF!</v>
      </c>
      <c r="IA252" t="e">
        <f>AND(#REF!,"AAAAAHbf/uo=")</f>
        <v>#REF!</v>
      </c>
      <c r="IB252" t="e">
        <f>AND(#REF!,"AAAAAHbf/us=")</f>
        <v>#REF!</v>
      </c>
      <c r="IC252" t="e">
        <f>AND(#REF!,"AAAAAHbf/uw=")</f>
        <v>#REF!</v>
      </c>
      <c r="ID252" t="e">
        <f>AND(#REF!,"AAAAAHbf/u0=")</f>
        <v>#REF!</v>
      </c>
      <c r="IE252" t="e">
        <f>AND(#REF!,"AAAAAHbf/u4=")</f>
        <v>#REF!</v>
      </c>
      <c r="IF252" t="e">
        <f>AND(#REF!,"AAAAAHbf/u8=")</f>
        <v>#REF!</v>
      </c>
      <c r="IG252" t="e">
        <f>AND(#REF!,"AAAAAHbf/vA=")</f>
        <v>#REF!</v>
      </c>
      <c r="IH252" t="e">
        <f>AND(#REF!,"AAAAAHbf/vE=")</f>
        <v>#REF!</v>
      </c>
      <c r="II252" t="e">
        <f>AND(#REF!,"AAAAAHbf/vI=")</f>
        <v>#REF!</v>
      </c>
      <c r="IJ252" t="e">
        <f>AND(#REF!,"AAAAAHbf/vM=")</f>
        <v>#REF!</v>
      </c>
      <c r="IK252" t="e">
        <f>AND(#REF!,"AAAAAHbf/vQ=")</f>
        <v>#REF!</v>
      </c>
      <c r="IL252" t="e">
        <f>AND(#REF!,"AAAAAHbf/vU=")</f>
        <v>#REF!</v>
      </c>
      <c r="IM252" t="e">
        <f>AND(#REF!,"AAAAAHbf/vY=")</f>
        <v>#REF!</v>
      </c>
      <c r="IN252" t="e">
        <f>AND(#REF!,"AAAAAHbf/vc=")</f>
        <v>#REF!</v>
      </c>
      <c r="IO252" t="e">
        <f>AND(#REF!,"AAAAAHbf/vg=")</f>
        <v>#REF!</v>
      </c>
      <c r="IP252" t="e">
        <f>AND(#REF!,"AAAAAHbf/vk=")</f>
        <v>#REF!</v>
      </c>
      <c r="IQ252" t="e">
        <f>AND(#REF!,"AAAAAHbf/vo=")</f>
        <v>#REF!</v>
      </c>
      <c r="IR252" t="e">
        <f>AND(#REF!,"AAAAAHbf/vs=")</f>
        <v>#REF!</v>
      </c>
      <c r="IS252" t="e">
        <f>AND(#REF!,"AAAAAHbf/vw=")</f>
        <v>#REF!</v>
      </c>
      <c r="IT252" t="e">
        <f>AND(#REF!,"AAAAAHbf/v0=")</f>
        <v>#REF!</v>
      </c>
      <c r="IU252" t="e">
        <f>IF(#REF!,"AAAAAHbf/v4=",0)</f>
        <v>#REF!</v>
      </c>
      <c r="IV252" t="e">
        <f>AND(#REF!,"AAAAAHbf/v8=")</f>
        <v>#REF!</v>
      </c>
    </row>
    <row r="253" spans="1:256">
      <c r="A253" t="e">
        <f>AND(#REF!,"AAAAAGe63wA=")</f>
        <v>#REF!</v>
      </c>
      <c r="B253" t="e">
        <f>AND(#REF!,"AAAAAGe63wE=")</f>
        <v>#REF!</v>
      </c>
      <c r="C253" t="e">
        <f>AND(#REF!,"AAAAAGe63wI=")</f>
        <v>#REF!</v>
      </c>
      <c r="D253" t="e">
        <f>AND(#REF!,"AAAAAGe63wM=")</f>
        <v>#REF!</v>
      </c>
      <c r="E253" t="e">
        <f>AND(#REF!,"AAAAAGe63wQ=")</f>
        <v>#REF!</v>
      </c>
      <c r="F253" t="e">
        <f>AND(#REF!,"AAAAAGe63wU=")</f>
        <v>#REF!</v>
      </c>
      <c r="G253" t="e">
        <f>AND(#REF!,"AAAAAGe63wY=")</f>
        <v>#REF!</v>
      </c>
      <c r="H253" t="e">
        <f>AND(#REF!,"AAAAAGe63wc=")</f>
        <v>#REF!</v>
      </c>
      <c r="I253" t="e">
        <f>AND(#REF!,"AAAAAGe63wg=")</f>
        <v>#REF!</v>
      </c>
      <c r="J253" t="e">
        <f>AND(#REF!,"AAAAAGe63wk=")</f>
        <v>#REF!</v>
      </c>
      <c r="K253" t="e">
        <f>AND(#REF!,"AAAAAGe63wo=")</f>
        <v>#REF!</v>
      </c>
      <c r="L253" t="e">
        <f>AND(#REF!,"AAAAAGe63ws=")</f>
        <v>#REF!</v>
      </c>
      <c r="M253" t="e">
        <f>AND(#REF!,"AAAAAGe63ww=")</f>
        <v>#REF!</v>
      </c>
      <c r="N253" t="e">
        <f>AND(#REF!,"AAAAAGe63w0=")</f>
        <v>#REF!</v>
      </c>
      <c r="O253" t="e">
        <f>AND(#REF!,"AAAAAGe63w4=")</f>
        <v>#REF!</v>
      </c>
      <c r="P253" t="e">
        <f>AND(#REF!,"AAAAAGe63w8=")</f>
        <v>#REF!</v>
      </c>
      <c r="Q253" t="e">
        <f>AND(#REF!,"AAAAAGe63xA=")</f>
        <v>#REF!</v>
      </c>
      <c r="R253" t="e">
        <f>AND(#REF!,"AAAAAGe63xE=")</f>
        <v>#REF!</v>
      </c>
      <c r="S253" t="e">
        <f>AND(#REF!,"AAAAAGe63xI=")</f>
        <v>#REF!</v>
      </c>
      <c r="T253" t="e">
        <f>AND(#REF!,"AAAAAGe63xM=")</f>
        <v>#REF!</v>
      </c>
      <c r="U253" t="e">
        <f>AND(#REF!,"AAAAAGe63xQ=")</f>
        <v>#REF!</v>
      </c>
      <c r="V253" t="e">
        <f>AND(#REF!,"AAAAAGe63xU=")</f>
        <v>#REF!</v>
      </c>
      <c r="W253" t="e">
        <f>AND(#REF!,"AAAAAGe63xY=")</f>
        <v>#REF!</v>
      </c>
      <c r="X253" t="e">
        <f>IF(#REF!,"AAAAAGe63xc=",0)</f>
        <v>#REF!</v>
      </c>
      <c r="Y253" t="e">
        <f>AND(#REF!,"AAAAAGe63xg=")</f>
        <v>#REF!</v>
      </c>
      <c r="Z253" t="e">
        <f>AND(#REF!,"AAAAAGe63xk=")</f>
        <v>#REF!</v>
      </c>
      <c r="AA253" t="e">
        <f>AND(#REF!,"AAAAAGe63xo=")</f>
        <v>#REF!</v>
      </c>
      <c r="AB253" t="e">
        <f>AND(#REF!,"AAAAAGe63xs=")</f>
        <v>#REF!</v>
      </c>
      <c r="AC253" t="e">
        <f>AND(#REF!,"AAAAAGe63xw=")</f>
        <v>#REF!</v>
      </c>
      <c r="AD253" t="e">
        <f>AND(#REF!,"AAAAAGe63x0=")</f>
        <v>#REF!</v>
      </c>
      <c r="AE253" t="e">
        <f>AND(#REF!,"AAAAAGe63x4=")</f>
        <v>#REF!</v>
      </c>
      <c r="AF253" t="e">
        <f>AND(#REF!,"AAAAAGe63x8=")</f>
        <v>#REF!</v>
      </c>
      <c r="AG253" t="e">
        <f>AND(#REF!,"AAAAAGe63yA=")</f>
        <v>#REF!</v>
      </c>
      <c r="AH253" t="e">
        <f>AND(#REF!,"AAAAAGe63yE=")</f>
        <v>#REF!</v>
      </c>
      <c r="AI253" t="e">
        <f>AND(#REF!,"AAAAAGe63yI=")</f>
        <v>#REF!</v>
      </c>
      <c r="AJ253" t="e">
        <f>AND(#REF!,"AAAAAGe63yM=")</f>
        <v>#REF!</v>
      </c>
      <c r="AK253" t="e">
        <f>AND(#REF!,"AAAAAGe63yQ=")</f>
        <v>#REF!</v>
      </c>
      <c r="AL253" t="e">
        <f>AND(#REF!,"AAAAAGe63yU=")</f>
        <v>#REF!</v>
      </c>
      <c r="AM253" t="e">
        <f>AND(#REF!,"AAAAAGe63yY=")</f>
        <v>#REF!</v>
      </c>
      <c r="AN253" t="e">
        <f>AND(#REF!,"AAAAAGe63yc=")</f>
        <v>#REF!</v>
      </c>
      <c r="AO253" t="e">
        <f>AND(#REF!,"AAAAAGe63yg=")</f>
        <v>#REF!</v>
      </c>
      <c r="AP253" t="e">
        <f>AND(#REF!,"AAAAAGe63yk=")</f>
        <v>#REF!</v>
      </c>
      <c r="AQ253" t="e">
        <f>AND(#REF!,"AAAAAGe63yo=")</f>
        <v>#REF!</v>
      </c>
      <c r="AR253" t="e">
        <f>AND(#REF!,"AAAAAGe63ys=")</f>
        <v>#REF!</v>
      </c>
      <c r="AS253" t="e">
        <f>AND(#REF!,"AAAAAGe63yw=")</f>
        <v>#REF!</v>
      </c>
      <c r="AT253" t="e">
        <f>AND(#REF!,"AAAAAGe63y0=")</f>
        <v>#REF!</v>
      </c>
      <c r="AU253" t="e">
        <f>AND(#REF!,"AAAAAGe63y4=")</f>
        <v>#REF!</v>
      </c>
      <c r="AV253" t="e">
        <f>AND(#REF!,"AAAAAGe63y8=")</f>
        <v>#REF!</v>
      </c>
      <c r="AW253" t="e">
        <f>IF(#REF!,"AAAAAGe63zA=",0)</f>
        <v>#REF!</v>
      </c>
      <c r="AX253" t="e">
        <f>AND(#REF!,"AAAAAGe63zE=")</f>
        <v>#REF!</v>
      </c>
      <c r="AY253" t="e">
        <f>AND(#REF!,"AAAAAGe63zI=")</f>
        <v>#REF!</v>
      </c>
      <c r="AZ253" t="e">
        <f>AND(#REF!,"AAAAAGe63zM=")</f>
        <v>#REF!</v>
      </c>
      <c r="BA253" t="e">
        <f>AND(#REF!,"AAAAAGe63zQ=")</f>
        <v>#REF!</v>
      </c>
      <c r="BB253" t="e">
        <f>AND(#REF!,"AAAAAGe63zU=")</f>
        <v>#REF!</v>
      </c>
      <c r="BC253" t="e">
        <f>AND(#REF!,"AAAAAGe63zY=")</f>
        <v>#REF!</v>
      </c>
      <c r="BD253" t="e">
        <f>AND(#REF!,"AAAAAGe63zc=")</f>
        <v>#REF!</v>
      </c>
      <c r="BE253" t="e">
        <f>AND(#REF!,"AAAAAGe63zg=")</f>
        <v>#REF!</v>
      </c>
      <c r="BF253" t="e">
        <f>AND(#REF!,"AAAAAGe63zk=")</f>
        <v>#REF!</v>
      </c>
      <c r="BG253" t="e">
        <f>AND(#REF!,"AAAAAGe63zo=")</f>
        <v>#REF!</v>
      </c>
      <c r="BH253" t="e">
        <f>AND(#REF!,"AAAAAGe63zs=")</f>
        <v>#REF!</v>
      </c>
      <c r="BI253" t="e">
        <f>AND(#REF!,"AAAAAGe63zw=")</f>
        <v>#REF!</v>
      </c>
      <c r="BJ253" t="e">
        <f>AND(#REF!,"AAAAAGe63z0=")</f>
        <v>#REF!</v>
      </c>
      <c r="BK253" t="e">
        <f>AND(#REF!,"AAAAAGe63z4=")</f>
        <v>#REF!</v>
      </c>
      <c r="BL253" t="e">
        <f>AND(#REF!,"AAAAAGe63z8=")</f>
        <v>#REF!</v>
      </c>
      <c r="BM253" t="e">
        <f>AND(#REF!,"AAAAAGe630A=")</f>
        <v>#REF!</v>
      </c>
      <c r="BN253" t="e">
        <f>AND(#REF!,"AAAAAGe630E=")</f>
        <v>#REF!</v>
      </c>
      <c r="BO253" t="e">
        <f>AND(#REF!,"AAAAAGe630I=")</f>
        <v>#REF!</v>
      </c>
      <c r="BP253" t="e">
        <f>AND(#REF!,"AAAAAGe630M=")</f>
        <v>#REF!</v>
      </c>
      <c r="BQ253" t="e">
        <f>AND(#REF!,"AAAAAGe630Q=")</f>
        <v>#REF!</v>
      </c>
      <c r="BR253" t="e">
        <f>AND(#REF!,"AAAAAGe630U=")</f>
        <v>#REF!</v>
      </c>
      <c r="BS253" t="e">
        <f>AND(#REF!,"AAAAAGe630Y=")</f>
        <v>#REF!</v>
      </c>
      <c r="BT253" t="e">
        <f>AND(#REF!,"AAAAAGe630c=")</f>
        <v>#REF!</v>
      </c>
      <c r="BU253" t="e">
        <f>AND(#REF!,"AAAAAGe630g=")</f>
        <v>#REF!</v>
      </c>
      <c r="BV253" t="e">
        <f>IF(#REF!,"AAAAAGe630k=",0)</f>
        <v>#REF!</v>
      </c>
      <c r="BW253" t="e">
        <f>AND(#REF!,"AAAAAGe630o=")</f>
        <v>#REF!</v>
      </c>
      <c r="BX253" t="e">
        <f>AND(#REF!,"AAAAAGe630s=")</f>
        <v>#REF!</v>
      </c>
      <c r="BY253" t="e">
        <f>AND(#REF!,"AAAAAGe630w=")</f>
        <v>#REF!</v>
      </c>
      <c r="BZ253" t="e">
        <f>AND(#REF!,"AAAAAGe6300=")</f>
        <v>#REF!</v>
      </c>
      <c r="CA253" t="e">
        <f>AND(#REF!,"AAAAAGe6304=")</f>
        <v>#REF!</v>
      </c>
      <c r="CB253" t="e">
        <f>AND(#REF!,"AAAAAGe6308=")</f>
        <v>#REF!</v>
      </c>
      <c r="CC253" t="e">
        <f>AND(#REF!,"AAAAAGe631A=")</f>
        <v>#REF!</v>
      </c>
      <c r="CD253" t="e">
        <f>AND(#REF!,"AAAAAGe631E=")</f>
        <v>#REF!</v>
      </c>
      <c r="CE253" t="e">
        <f>AND(#REF!,"AAAAAGe631I=")</f>
        <v>#REF!</v>
      </c>
      <c r="CF253" t="e">
        <f>AND(#REF!,"AAAAAGe631M=")</f>
        <v>#REF!</v>
      </c>
      <c r="CG253" t="e">
        <f>AND(#REF!,"AAAAAGe631Q=")</f>
        <v>#REF!</v>
      </c>
      <c r="CH253" t="e">
        <f>AND(#REF!,"AAAAAGe631U=")</f>
        <v>#REF!</v>
      </c>
      <c r="CI253" t="e">
        <f>AND(#REF!,"AAAAAGe631Y=")</f>
        <v>#REF!</v>
      </c>
      <c r="CJ253" t="e">
        <f>AND(#REF!,"AAAAAGe631c=")</f>
        <v>#REF!</v>
      </c>
      <c r="CK253" t="e">
        <f>AND(#REF!,"AAAAAGe631g=")</f>
        <v>#REF!</v>
      </c>
      <c r="CL253" t="e">
        <f>AND(#REF!,"AAAAAGe631k=")</f>
        <v>#REF!</v>
      </c>
      <c r="CM253" t="e">
        <f>AND(#REF!,"AAAAAGe631o=")</f>
        <v>#REF!</v>
      </c>
      <c r="CN253" t="e">
        <f>AND(#REF!,"AAAAAGe631s=")</f>
        <v>#REF!</v>
      </c>
      <c r="CO253" t="e">
        <f>AND(#REF!,"AAAAAGe631w=")</f>
        <v>#REF!</v>
      </c>
      <c r="CP253" t="e">
        <f>AND(#REF!,"AAAAAGe6310=")</f>
        <v>#REF!</v>
      </c>
      <c r="CQ253" t="e">
        <f>AND(#REF!,"AAAAAGe6314=")</f>
        <v>#REF!</v>
      </c>
      <c r="CR253" t="e">
        <f>AND(#REF!,"AAAAAGe6318=")</f>
        <v>#REF!</v>
      </c>
      <c r="CS253" t="e">
        <f>AND(#REF!,"AAAAAGe632A=")</f>
        <v>#REF!</v>
      </c>
      <c r="CT253" t="e">
        <f>AND(#REF!,"AAAAAGe632E=")</f>
        <v>#REF!</v>
      </c>
      <c r="CU253" t="e">
        <f>IF(#REF!,"AAAAAGe632I=",0)</f>
        <v>#REF!</v>
      </c>
      <c r="CV253" t="e">
        <f>AND(#REF!,"AAAAAGe632M=")</f>
        <v>#REF!</v>
      </c>
      <c r="CW253" t="e">
        <f>AND(#REF!,"AAAAAGe632Q=")</f>
        <v>#REF!</v>
      </c>
      <c r="CX253" t="e">
        <f>AND(#REF!,"AAAAAGe632U=")</f>
        <v>#REF!</v>
      </c>
      <c r="CY253" t="e">
        <f>AND(#REF!,"AAAAAGe632Y=")</f>
        <v>#REF!</v>
      </c>
      <c r="CZ253" t="e">
        <f>AND(#REF!,"AAAAAGe632c=")</f>
        <v>#REF!</v>
      </c>
      <c r="DA253" t="e">
        <f>AND(#REF!,"AAAAAGe632g=")</f>
        <v>#REF!</v>
      </c>
      <c r="DB253" t="e">
        <f>AND(#REF!,"AAAAAGe632k=")</f>
        <v>#REF!</v>
      </c>
      <c r="DC253" t="e">
        <f>AND(#REF!,"AAAAAGe632o=")</f>
        <v>#REF!</v>
      </c>
      <c r="DD253" t="e">
        <f>AND(#REF!,"AAAAAGe632s=")</f>
        <v>#REF!</v>
      </c>
      <c r="DE253" t="e">
        <f>AND(#REF!,"AAAAAGe632w=")</f>
        <v>#REF!</v>
      </c>
      <c r="DF253" t="e">
        <f>AND(#REF!,"AAAAAGe6320=")</f>
        <v>#REF!</v>
      </c>
      <c r="DG253" t="e">
        <f>AND(#REF!,"AAAAAGe6324=")</f>
        <v>#REF!</v>
      </c>
      <c r="DH253" t="e">
        <f>AND(#REF!,"AAAAAGe6328=")</f>
        <v>#REF!</v>
      </c>
      <c r="DI253" t="e">
        <f>AND(#REF!,"AAAAAGe633A=")</f>
        <v>#REF!</v>
      </c>
      <c r="DJ253" t="e">
        <f>AND(#REF!,"AAAAAGe633E=")</f>
        <v>#REF!</v>
      </c>
      <c r="DK253" t="e">
        <f>AND(#REF!,"AAAAAGe633I=")</f>
        <v>#REF!</v>
      </c>
      <c r="DL253" t="e">
        <f>AND(#REF!,"AAAAAGe633M=")</f>
        <v>#REF!</v>
      </c>
      <c r="DM253" t="e">
        <f>AND(#REF!,"AAAAAGe633Q=")</f>
        <v>#REF!</v>
      </c>
      <c r="DN253" t="e">
        <f>AND(#REF!,"AAAAAGe633U=")</f>
        <v>#REF!</v>
      </c>
      <c r="DO253" t="e">
        <f>AND(#REF!,"AAAAAGe633Y=")</f>
        <v>#REF!</v>
      </c>
      <c r="DP253" t="e">
        <f>AND(#REF!,"AAAAAGe633c=")</f>
        <v>#REF!</v>
      </c>
      <c r="DQ253" t="e">
        <f>AND(#REF!,"AAAAAGe633g=")</f>
        <v>#REF!</v>
      </c>
      <c r="DR253" t="e">
        <f>AND(#REF!,"AAAAAGe633k=")</f>
        <v>#REF!</v>
      </c>
      <c r="DS253" t="e">
        <f>AND(#REF!,"AAAAAGe633o=")</f>
        <v>#REF!</v>
      </c>
      <c r="DT253" t="e">
        <f>IF(#REF!,"AAAAAGe633s=",0)</f>
        <v>#REF!</v>
      </c>
      <c r="DU253" t="e">
        <f>AND(#REF!,"AAAAAGe633w=")</f>
        <v>#REF!</v>
      </c>
      <c r="DV253" t="e">
        <f>AND(#REF!,"AAAAAGe6330=")</f>
        <v>#REF!</v>
      </c>
      <c r="DW253" t="e">
        <f>AND(#REF!,"AAAAAGe6334=")</f>
        <v>#REF!</v>
      </c>
      <c r="DX253" t="e">
        <f>AND(#REF!,"AAAAAGe6338=")</f>
        <v>#REF!</v>
      </c>
      <c r="DY253" t="e">
        <f>AND(#REF!,"AAAAAGe634A=")</f>
        <v>#REF!</v>
      </c>
      <c r="DZ253" t="e">
        <f>AND(#REF!,"AAAAAGe634E=")</f>
        <v>#REF!</v>
      </c>
      <c r="EA253" t="e">
        <f>AND(#REF!,"AAAAAGe634I=")</f>
        <v>#REF!</v>
      </c>
      <c r="EB253" t="e">
        <f>AND(#REF!,"AAAAAGe634M=")</f>
        <v>#REF!</v>
      </c>
      <c r="EC253" t="e">
        <f>AND(#REF!,"AAAAAGe634Q=")</f>
        <v>#REF!</v>
      </c>
      <c r="ED253" t="e">
        <f>AND(#REF!,"AAAAAGe634U=")</f>
        <v>#REF!</v>
      </c>
      <c r="EE253" t="e">
        <f>AND(#REF!,"AAAAAGe634Y=")</f>
        <v>#REF!</v>
      </c>
      <c r="EF253" t="e">
        <f>AND(#REF!,"AAAAAGe634c=")</f>
        <v>#REF!</v>
      </c>
      <c r="EG253" t="e">
        <f>AND(#REF!,"AAAAAGe634g=")</f>
        <v>#REF!</v>
      </c>
      <c r="EH253" t="e">
        <f>AND(#REF!,"AAAAAGe634k=")</f>
        <v>#REF!</v>
      </c>
      <c r="EI253" t="e">
        <f>AND(#REF!,"AAAAAGe634o=")</f>
        <v>#REF!</v>
      </c>
      <c r="EJ253" t="e">
        <f>AND(#REF!,"AAAAAGe634s=")</f>
        <v>#REF!</v>
      </c>
      <c r="EK253" t="e">
        <f>AND(#REF!,"AAAAAGe634w=")</f>
        <v>#REF!</v>
      </c>
      <c r="EL253" t="e">
        <f>AND(#REF!,"AAAAAGe6340=")</f>
        <v>#REF!</v>
      </c>
      <c r="EM253" t="e">
        <f>AND(#REF!,"AAAAAGe6344=")</f>
        <v>#REF!</v>
      </c>
      <c r="EN253" t="e">
        <f>AND(#REF!,"AAAAAGe6348=")</f>
        <v>#REF!</v>
      </c>
      <c r="EO253" t="e">
        <f>AND(#REF!,"AAAAAGe635A=")</f>
        <v>#REF!</v>
      </c>
      <c r="EP253" t="e">
        <f>AND(#REF!,"AAAAAGe635E=")</f>
        <v>#REF!</v>
      </c>
      <c r="EQ253" t="e">
        <f>AND(#REF!,"AAAAAGe635I=")</f>
        <v>#REF!</v>
      </c>
      <c r="ER253" t="e">
        <f>AND(#REF!,"AAAAAGe635M=")</f>
        <v>#REF!</v>
      </c>
      <c r="ES253" t="e">
        <f>IF(#REF!,"AAAAAGe635Q=",0)</f>
        <v>#REF!</v>
      </c>
      <c r="ET253" t="e">
        <f>AND(#REF!,"AAAAAGe635U=")</f>
        <v>#REF!</v>
      </c>
      <c r="EU253" t="e">
        <f>AND(#REF!,"AAAAAGe635Y=")</f>
        <v>#REF!</v>
      </c>
      <c r="EV253" t="e">
        <f>AND(#REF!,"AAAAAGe635c=")</f>
        <v>#REF!</v>
      </c>
      <c r="EW253" t="e">
        <f>AND(#REF!,"AAAAAGe635g=")</f>
        <v>#REF!</v>
      </c>
      <c r="EX253" t="e">
        <f>AND(#REF!,"AAAAAGe635k=")</f>
        <v>#REF!</v>
      </c>
      <c r="EY253" t="e">
        <f>AND(#REF!,"AAAAAGe635o=")</f>
        <v>#REF!</v>
      </c>
      <c r="EZ253" t="e">
        <f>AND(#REF!,"AAAAAGe635s=")</f>
        <v>#REF!</v>
      </c>
      <c r="FA253" t="e">
        <f>AND(#REF!,"AAAAAGe635w=")</f>
        <v>#REF!</v>
      </c>
      <c r="FB253" t="e">
        <f>AND(#REF!,"AAAAAGe6350=")</f>
        <v>#REF!</v>
      </c>
      <c r="FC253" t="e">
        <f>AND(#REF!,"AAAAAGe6354=")</f>
        <v>#REF!</v>
      </c>
      <c r="FD253" t="e">
        <f>AND(#REF!,"AAAAAGe6358=")</f>
        <v>#REF!</v>
      </c>
      <c r="FE253" t="e">
        <f>AND(#REF!,"AAAAAGe636A=")</f>
        <v>#REF!</v>
      </c>
      <c r="FF253" t="e">
        <f>AND(#REF!,"AAAAAGe636E=")</f>
        <v>#REF!</v>
      </c>
      <c r="FG253" t="e">
        <f>AND(#REF!,"AAAAAGe636I=")</f>
        <v>#REF!</v>
      </c>
      <c r="FH253" t="e">
        <f>AND(#REF!,"AAAAAGe636M=")</f>
        <v>#REF!</v>
      </c>
      <c r="FI253" t="e">
        <f>AND(#REF!,"AAAAAGe636Q=")</f>
        <v>#REF!</v>
      </c>
      <c r="FJ253" t="e">
        <f>AND(#REF!,"AAAAAGe636U=")</f>
        <v>#REF!</v>
      </c>
      <c r="FK253" t="e">
        <f>AND(#REF!,"AAAAAGe636Y=")</f>
        <v>#REF!</v>
      </c>
      <c r="FL253" t="e">
        <f>AND(#REF!,"AAAAAGe636c=")</f>
        <v>#REF!</v>
      </c>
      <c r="FM253" t="e">
        <f>AND(#REF!,"AAAAAGe636g=")</f>
        <v>#REF!</v>
      </c>
      <c r="FN253" t="e">
        <f>AND(#REF!,"AAAAAGe636k=")</f>
        <v>#REF!</v>
      </c>
      <c r="FO253" t="e">
        <f>AND(#REF!,"AAAAAGe636o=")</f>
        <v>#REF!</v>
      </c>
      <c r="FP253" t="e">
        <f>AND(#REF!,"AAAAAGe636s=")</f>
        <v>#REF!</v>
      </c>
      <c r="FQ253" t="e">
        <f>AND(#REF!,"AAAAAGe636w=")</f>
        <v>#REF!</v>
      </c>
      <c r="FR253" t="e">
        <f>IF(#REF!,"AAAAAGe6360=",0)</f>
        <v>#REF!</v>
      </c>
      <c r="FS253" t="e">
        <f>AND(#REF!,"AAAAAGe6364=")</f>
        <v>#REF!</v>
      </c>
      <c r="FT253" t="e">
        <f>AND(#REF!,"AAAAAGe6368=")</f>
        <v>#REF!</v>
      </c>
      <c r="FU253" t="e">
        <f>AND(#REF!,"AAAAAGe637A=")</f>
        <v>#REF!</v>
      </c>
      <c r="FV253" t="e">
        <f>AND(#REF!,"AAAAAGe637E=")</f>
        <v>#REF!</v>
      </c>
      <c r="FW253" t="e">
        <f>AND(#REF!,"AAAAAGe637I=")</f>
        <v>#REF!</v>
      </c>
      <c r="FX253" t="e">
        <f>AND(#REF!,"AAAAAGe637M=")</f>
        <v>#REF!</v>
      </c>
      <c r="FY253" t="e">
        <f>AND(#REF!,"AAAAAGe637Q=")</f>
        <v>#REF!</v>
      </c>
      <c r="FZ253" t="e">
        <f>AND(#REF!,"AAAAAGe637U=")</f>
        <v>#REF!</v>
      </c>
      <c r="GA253" t="e">
        <f>AND(#REF!,"AAAAAGe637Y=")</f>
        <v>#REF!</v>
      </c>
      <c r="GB253" t="e">
        <f>AND(#REF!,"AAAAAGe637c=")</f>
        <v>#REF!</v>
      </c>
      <c r="GC253" t="e">
        <f>AND(#REF!,"AAAAAGe637g=")</f>
        <v>#REF!</v>
      </c>
      <c r="GD253" t="e">
        <f>AND(#REF!,"AAAAAGe637k=")</f>
        <v>#REF!</v>
      </c>
      <c r="GE253" t="e">
        <f>AND(#REF!,"AAAAAGe637o=")</f>
        <v>#REF!</v>
      </c>
      <c r="GF253" t="e">
        <f>AND(#REF!,"AAAAAGe637s=")</f>
        <v>#REF!</v>
      </c>
      <c r="GG253" t="e">
        <f>AND(#REF!,"AAAAAGe637w=")</f>
        <v>#REF!</v>
      </c>
      <c r="GH253" t="e">
        <f>AND(#REF!,"AAAAAGe6370=")</f>
        <v>#REF!</v>
      </c>
      <c r="GI253" t="e">
        <f>AND(#REF!,"AAAAAGe6374=")</f>
        <v>#REF!</v>
      </c>
      <c r="GJ253" t="e">
        <f>AND(#REF!,"AAAAAGe6378=")</f>
        <v>#REF!</v>
      </c>
      <c r="GK253" t="e">
        <f>AND(#REF!,"AAAAAGe638A=")</f>
        <v>#REF!</v>
      </c>
      <c r="GL253" t="e">
        <f>AND(#REF!,"AAAAAGe638E=")</f>
        <v>#REF!</v>
      </c>
      <c r="GM253" t="e">
        <f>AND(#REF!,"AAAAAGe638I=")</f>
        <v>#REF!</v>
      </c>
      <c r="GN253" t="e">
        <f>AND(#REF!,"AAAAAGe638M=")</f>
        <v>#REF!</v>
      </c>
      <c r="GO253" t="e">
        <f>AND(#REF!,"AAAAAGe638Q=")</f>
        <v>#REF!</v>
      </c>
      <c r="GP253" t="e">
        <f>AND(#REF!,"AAAAAGe638U=")</f>
        <v>#REF!</v>
      </c>
      <c r="GQ253" t="e">
        <f>IF(#REF!,"AAAAAGe638Y=",0)</f>
        <v>#REF!</v>
      </c>
      <c r="GR253" t="e">
        <f>AND(#REF!,"AAAAAGe638c=")</f>
        <v>#REF!</v>
      </c>
      <c r="GS253" t="e">
        <f>AND(#REF!,"AAAAAGe638g=")</f>
        <v>#REF!</v>
      </c>
      <c r="GT253" t="e">
        <f>AND(#REF!,"AAAAAGe638k=")</f>
        <v>#REF!</v>
      </c>
      <c r="GU253" t="e">
        <f>AND(#REF!,"AAAAAGe638o=")</f>
        <v>#REF!</v>
      </c>
      <c r="GV253" t="e">
        <f>AND(#REF!,"AAAAAGe638s=")</f>
        <v>#REF!</v>
      </c>
      <c r="GW253" t="e">
        <f>AND(#REF!,"AAAAAGe638w=")</f>
        <v>#REF!</v>
      </c>
      <c r="GX253" t="e">
        <f>AND(#REF!,"AAAAAGe6380=")</f>
        <v>#REF!</v>
      </c>
      <c r="GY253" t="e">
        <f>AND(#REF!,"AAAAAGe6384=")</f>
        <v>#REF!</v>
      </c>
      <c r="GZ253" t="e">
        <f>AND(#REF!,"AAAAAGe6388=")</f>
        <v>#REF!</v>
      </c>
      <c r="HA253" t="e">
        <f>AND(#REF!,"AAAAAGe639A=")</f>
        <v>#REF!</v>
      </c>
      <c r="HB253" t="e">
        <f>AND(#REF!,"AAAAAGe639E=")</f>
        <v>#REF!</v>
      </c>
      <c r="HC253" t="e">
        <f>AND(#REF!,"AAAAAGe639I=")</f>
        <v>#REF!</v>
      </c>
      <c r="HD253" t="e">
        <f>AND(#REF!,"AAAAAGe639M=")</f>
        <v>#REF!</v>
      </c>
      <c r="HE253" t="e">
        <f>AND(#REF!,"AAAAAGe639Q=")</f>
        <v>#REF!</v>
      </c>
      <c r="HF253" t="e">
        <f>AND(#REF!,"AAAAAGe639U=")</f>
        <v>#REF!</v>
      </c>
      <c r="HG253" t="e">
        <f>AND(#REF!,"AAAAAGe639Y=")</f>
        <v>#REF!</v>
      </c>
      <c r="HH253" t="e">
        <f>AND(#REF!,"AAAAAGe639c=")</f>
        <v>#REF!</v>
      </c>
      <c r="HI253" t="e">
        <f>AND(#REF!,"AAAAAGe639g=")</f>
        <v>#REF!</v>
      </c>
      <c r="HJ253" t="e">
        <f>AND(#REF!,"AAAAAGe639k=")</f>
        <v>#REF!</v>
      </c>
      <c r="HK253" t="e">
        <f>AND(#REF!,"AAAAAGe639o=")</f>
        <v>#REF!</v>
      </c>
      <c r="HL253" t="e">
        <f>AND(#REF!,"AAAAAGe639s=")</f>
        <v>#REF!</v>
      </c>
      <c r="HM253" t="e">
        <f>AND(#REF!,"AAAAAGe639w=")</f>
        <v>#REF!</v>
      </c>
      <c r="HN253" t="e">
        <f>AND(#REF!,"AAAAAGe6390=")</f>
        <v>#REF!</v>
      </c>
      <c r="HO253" t="e">
        <f>AND(#REF!,"AAAAAGe6394=")</f>
        <v>#REF!</v>
      </c>
      <c r="HP253" t="e">
        <f>IF(#REF!,"AAAAAGe6398=",0)</f>
        <v>#REF!</v>
      </c>
      <c r="HQ253" t="e">
        <f>AND(#REF!,"AAAAAGe63+A=")</f>
        <v>#REF!</v>
      </c>
      <c r="HR253" t="e">
        <f>AND(#REF!,"AAAAAGe63+E=")</f>
        <v>#REF!</v>
      </c>
      <c r="HS253" t="e">
        <f>AND(#REF!,"AAAAAGe63+I=")</f>
        <v>#REF!</v>
      </c>
      <c r="HT253" t="e">
        <f>AND(#REF!,"AAAAAGe63+M=")</f>
        <v>#REF!</v>
      </c>
      <c r="HU253" t="e">
        <f>AND(#REF!,"AAAAAGe63+Q=")</f>
        <v>#REF!</v>
      </c>
      <c r="HV253" t="e">
        <f>AND(#REF!,"AAAAAGe63+U=")</f>
        <v>#REF!</v>
      </c>
      <c r="HW253" t="e">
        <f>AND(#REF!,"AAAAAGe63+Y=")</f>
        <v>#REF!</v>
      </c>
      <c r="HX253" t="e">
        <f>AND(#REF!,"AAAAAGe63+c=")</f>
        <v>#REF!</v>
      </c>
      <c r="HY253" t="e">
        <f>AND(#REF!,"AAAAAGe63+g=")</f>
        <v>#REF!</v>
      </c>
      <c r="HZ253" t="e">
        <f>AND(#REF!,"AAAAAGe63+k=")</f>
        <v>#REF!</v>
      </c>
      <c r="IA253" t="e">
        <f>AND(#REF!,"AAAAAGe63+o=")</f>
        <v>#REF!</v>
      </c>
      <c r="IB253" t="e">
        <f>AND(#REF!,"AAAAAGe63+s=")</f>
        <v>#REF!</v>
      </c>
      <c r="IC253" t="e">
        <f>AND(#REF!,"AAAAAGe63+w=")</f>
        <v>#REF!</v>
      </c>
      <c r="ID253" t="e">
        <f>AND(#REF!,"AAAAAGe63+0=")</f>
        <v>#REF!</v>
      </c>
      <c r="IE253" t="e">
        <f>AND(#REF!,"AAAAAGe63+4=")</f>
        <v>#REF!</v>
      </c>
      <c r="IF253" t="e">
        <f>AND(#REF!,"AAAAAGe63+8=")</f>
        <v>#REF!</v>
      </c>
      <c r="IG253" t="e">
        <f>AND(#REF!,"AAAAAGe63/A=")</f>
        <v>#REF!</v>
      </c>
      <c r="IH253" t="e">
        <f>AND(#REF!,"AAAAAGe63/E=")</f>
        <v>#REF!</v>
      </c>
      <c r="II253" t="e">
        <f>AND(#REF!,"AAAAAGe63/I=")</f>
        <v>#REF!</v>
      </c>
      <c r="IJ253" t="e">
        <f>AND(#REF!,"AAAAAGe63/M=")</f>
        <v>#REF!</v>
      </c>
      <c r="IK253" t="e">
        <f>AND(#REF!,"AAAAAGe63/Q=")</f>
        <v>#REF!</v>
      </c>
      <c r="IL253" t="e">
        <f>AND(#REF!,"AAAAAGe63/U=")</f>
        <v>#REF!</v>
      </c>
      <c r="IM253" t="e">
        <f>AND(#REF!,"AAAAAGe63/Y=")</f>
        <v>#REF!</v>
      </c>
      <c r="IN253" t="e">
        <f>AND(#REF!,"AAAAAGe63/c=")</f>
        <v>#REF!</v>
      </c>
      <c r="IO253" t="e">
        <f>IF(#REF!,"AAAAAGe63/g=",0)</f>
        <v>#REF!</v>
      </c>
      <c r="IP253" t="e">
        <f>AND(#REF!,"AAAAAGe63/k=")</f>
        <v>#REF!</v>
      </c>
      <c r="IQ253" t="e">
        <f>AND(#REF!,"AAAAAGe63/o=")</f>
        <v>#REF!</v>
      </c>
      <c r="IR253" t="e">
        <f>AND(#REF!,"AAAAAGe63/s=")</f>
        <v>#REF!</v>
      </c>
      <c r="IS253" t="e">
        <f>AND(#REF!,"AAAAAGe63/w=")</f>
        <v>#REF!</v>
      </c>
      <c r="IT253" t="e">
        <f>AND(#REF!,"AAAAAGe63/0=")</f>
        <v>#REF!</v>
      </c>
      <c r="IU253" t="e">
        <f>AND(#REF!,"AAAAAGe63/4=")</f>
        <v>#REF!</v>
      </c>
      <c r="IV253" t="e">
        <f>AND(#REF!,"AAAAAGe63/8=")</f>
        <v>#REF!</v>
      </c>
    </row>
    <row r="254" spans="1:256">
      <c r="A254" t="e">
        <f>AND(#REF!,"AAAAADU//wA=")</f>
        <v>#REF!</v>
      </c>
      <c r="B254" t="e">
        <f>AND(#REF!,"AAAAADU//wE=")</f>
        <v>#REF!</v>
      </c>
      <c r="C254" t="e">
        <f>AND(#REF!,"AAAAADU//wI=")</f>
        <v>#REF!</v>
      </c>
      <c r="D254" t="e">
        <f>AND(#REF!,"AAAAADU//wM=")</f>
        <v>#REF!</v>
      </c>
      <c r="E254" t="e">
        <f>AND(#REF!,"AAAAADU//wQ=")</f>
        <v>#REF!</v>
      </c>
      <c r="F254" t="e">
        <f>AND(#REF!,"AAAAADU//wU=")</f>
        <v>#REF!</v>
      </c>
      <c r="G254" t="e">
        <f>AND(#REF!,"AAAAADU//wY=")</f>
        <v>#REF!</v>
      </c>
      <c r="H254" t="e">
        <f>AND(#REF!,"AAAAADU//wc=")</f>
        <v>#REF!</v>
      </c>
      <c r="I254" t="e">
        <f>AND(#REF!,"AAAAADU//wg=")</f>
        <v>#REF!</v>
      </c>
      <c r="J254" t="e">
        <f>AND(#REF!,"AAAAADU//wk=")</f>
        <v>#REF!</v>
      </c>
      <c r="K254" t="e">
        <f>AND(#REF!,"AAAAADU//wo=")</f>
        <v>#REF!</v>
      </c>
      <c r="L254" t="e">
        <f>AND(#REF!,"AAAAADU//ws=")</f>
        <v>#REF!</v>
      </c>
      <c r="M254" t="e">
        <f>AND(#REF!,"AAAAADU//ww=")</f>
        <v>#REF!</v>
      </c>
      <c r="N254" t="e">
        <f>AND(#REF!,"AAAAADU//w0=")</f>
        <v>#REF!</v>
      </c>
      <c r="O254" t="e">
        <f>AND(#REF!,"AAAAADU//w4=")</f>
        <v>#REF!</v>
      </c>
      <c r="P254" t="e">
        <f>AND(#REF!,"AAAAADU//w8=")</f>
        <v>#REF!</v>
      </c>
      <c r="Q254" t="e">
        <f>AND(#REF!,"AAAAADU//xA=")</f>
        <v>#REF!</v>
      </c>
      <c r="R254" t="e">
        <f>IF(#REF!,"AAAAADU//xE=",0)</f>
        <v>#REF!</v>
      </c>
      <c r="S254" t="e">
        <f>AND(#REF!,"AAAAADU//xI=")</f>
        <v>#REF!</v>
      </c>
      <c r="T254" t="e">
        <f>AND(#REF!,"AAAAADU//xM=")</f>
        <v>#REF!</v>
      </c>
      <c r="U254" t="e">
        <f>AND(#REF!,"AAAAADU//xQ=")</f>
        <v>#REF!</v>
      </c>
      <c r="V254" t="e">
        <f>AND(#REF!,"AAAAADU//xU=")</f>
        <v>#REF!</v>
      </c>
      <c r="W254" t="e">
        <f>AND(#REF!,"AAAAADU//xY=")</f>
        <v>#REF!</v>
      </c>
      <c r="X254" t="e">
        <f>AND(#REF!,"AAAAADU//xc=")</f>
        <v>#REF!</v>
      </c>
      <c r="Y254" t="e">
        <f>AND(#REF!,"AAAAADU//xg=")</f>
        <v>#REF!</v>
      </c>
      <c r="Z254" t="e">
        <f>AND(#REF!,"AAAAADU//xk=")</f>
        <v>#REF!</v>
      </c>
      <c r="AA254" t="e">
        <f>AND(#REF!,"AAAAADU//xo=")</f>
        <v>#REF!</v>
      </c>
      <c r="AB254" t="e">
        <f>AND(#REF!,"AAAAADU//xs=")</f>
        <v>#REF!</v>
      </c>
      <c r="AC254" t="e">
        <f>AND(#REF!,"AAAAADU//xw=")</f>
        <v>#REF!</v>
      </c>
      <c r="AD254" t="e">
        <f>AND(#REF!,"AAAAADU//x0=")</f>
        <v>#REF!</v>
      </c>
      <c r="AE254" t="e">
        <f>AND(#REF!,"AAAAADU//x4=")</f>
        <v>#REF!</v>
      </c>
      <c r="AF254" t="e">
        <f>AND(#REF!,"AAAAADU//x8=")</f>
        <v>#REF!</v>
      </c>
      <c r="AG254" t="e">
        <f>AND(#REF!,"AAAAADU//yA=")</f>
        <v>#REF!</v>
      </c>
      <c r="AH254" t="e">
        <f>AND(#REF!,"AAAAADU//yE=")</f>
        <v>#REF!</v>
      </c>
      <c r="AI254" t="e">
        <f>AND(#REF!,"AAAAADU//yI=")</f>
        <v>#REF!</v>
      </c>
      <c r="AJ254" t="e">
        <f>AND(#REF!,"AAAAADU//yM=")</f>
        <v>#REF!</v>
      </c>
      <c r="AK254" t="e">
        <f>AND(#REF!,"AAAAADU//yQ=")</f>
        <v>#REF!</v>
      </c>
      <c r="AL254" t="e">
        <f>AND(#REF!,"AAAAADU//yU=")</f>
        <v>#REF!</v>
      </c>
      <c r="AM254" t="e">
        <f>AND(#REF!,"AAAAADU//yY=")</f>
        <v>#REF!</v>
      </c>
      <c r="AN254" t="e">
        <f>AND(#REF!,"AAAAADU//yc=")</f>
        <v>#REF!</v>
      </c>
      <c r="AO254" t="e">
        <f>AND(#REF!,"AAAAADU//yg=")</f>
        <v>#REF!</v>
      </c>
      <c r="AP254" t="e">
        <f>AND(#REF!,"AAAAADU//yk=")</f>
        <v>#REF!</v>
      </c>
      <c r="AQ254" t="e">
        <f>IF(#REF!,"AAAAADU//yo=",0)</f>
        <v>#REF!</v>
      </c>
      <c r="AR254" t="e">
        <f>AND(#REF!,"AAAAADU//ys=")</f>
        <v>#REF!</v>
      </c>
      <c r="AS254" t="e">
        <f>AND(#REF!,"AAAAADU//yw=")</f>
        <v>#REF!</v>
      </c>
      <c r="AT254" t="e">
        <f>AND(#REF!,"AAAAADU//y0=")</f>
        <v>#REF!</v>
      </c>
      <c r="AU254" t="e">
        <f>AND(#REF!,"AAAAADU//y4=")</f>
        <v>#REF!</v>
      </c>
      <c r="AV254" t="e">
        <f>AND(#REF!,"AAAAADU//y8=")</f>
        <v>#REF!</v>
      </c>
      <c r="AW254" t="e">
        <f>AND(#REF!,"AAAAADU//zA=")</f>
        <v>#REF!</v>
      </c>
      <c r="AX254" t="e">
        <f>AND(#REF!,"AAAAADU//zE=")</f>
        <v>#REF!</v>
      </c>
      <c r="AY254" t="e">
        <f>AND(#REF!,"AAAAADU//zI=")</f>
        <v>#REF!</v>
      </c>
      <c r="AZ254" t="e">
        <f>AND(#REF!,"AAAAADU//zM=")</f>
        <v>#REF!</v>
      </c>
      <c r="BA254" t="e">
        <f>AND(#REF!,"AAAAADU//zQ=")</f>
        <v>#REF!</v>
      </c>
      <c r="BB254" t="e">
        <f>AND(#REF!,"AAAAADU//zU=")</f>
        <v>#REF!</v>
      </c>
      <c r="BC254" t="e">
        <f>AND(#REF!,"AAAAADU//zY=")</f>
        <v>#REF!</v>
      </c>
      <c r="BD254" t="e">
        <f>AND(#REF!,"AAAAADU//zc=")</f>
        <v>#REF!</v>
      </c>
      <c r="BE254" t="e">
        <f>AND(#REF!,"AAAAADU//zg=")</f>
        <v>#REF!</v>
      </c>
      <c r="BF254" t="e">
        <f>AND(#REF!,"AAAAADU//zk=")</f>
        <v>#REF!</v>
      </c>
      <c r="BG254" t="e">
        <f>AND(#REF!,"AAAAADU//zo=")</f>
        <v>#REF!</v>
      </c>
      <c r="BH254" t="e">
        <f>AND(#REF!,"AAAAADU//zs=")</f>
        <v>#REF!</v>
      </c>
      <c r="BI254" t="e">
        <f>AND(#REF!,"AAAAADU//zw=")</f>
        <v>#REF!</v>
      </c>
      <c r="BJ254" t="e">
        <f>AND(#REF!,"AAAAADU//z0=")</f>
        <v>#REF!</v>
      </c>
      <c r="BK254" t="e">
        <f>AND(#REF!,"AAAAADU//z4=")</f>
        <v>#REF!</v>
      </c>
      <c r="BL254" t="e">
        <f>AND(#REF!,"AAAAADU//z8=")</f>
        <v>#REF!</v>
      </c>
      <c r="BM254" t="e">
        <f>AND(#REF!,"AAAAADU//0A=")</f>
        <v>#REF!</v>
      </c>
      <c r="BN254" t="e">
        <f>AND(#REF!,"AAAAADU//0E=")</f>
        <v>#REF!</v>
      </c>
      <c r="BO254" t="e">
        <f>AND(#REF!,"AAAAADU//0I=")</f>
        <v>#REF!</v>
      </c>
      <c r="BP254" t="e">
        <f>IF(#REF!,"AAAAADU//0M=",0)</f>
        <v>#REF!</v>
      </c>
      <c r="BQ254" t="e">
        <f>AND(#REF!,"AAAAADU//0Q=")</f>
        <v>#REF!</v>
      </c>
      <c r="BR254" t="e">
        <f>AND(#REF!,"AAAAADU//0U=")</f>
        <v>#REF!</v>
      </c>
      <c r="BS254" t="e">
        <f>AND(#REF!,"AAAAADU//0Y=")</f>
        <v>#REF!</v>
      </c>
      <c r="BT254" t="e">
        <f>AND(#REF!,"AAAAADU//0c=")</f>
        <v>#REF!</v>
      </c>
      <c r="BU254" t="e">
        <f>AND(#REF!,"AAAAADU//0g=")</f>
        <v>#REF!</v>
      </c>
      <c r="BV254" t="e">
        <f>AND(#REF!,"AAAAADU//0k=")</f>
        <v>#REF!</v>
      </c>
      <c r="BW254" t="e">
        <f>AND(#REF!,"AAAAADU//0o=")</f>
        <v>#REF!</v>
      </c>
      <c r="BX254" t="e">
        <f>AND(#REF!,"AAAAADU//0s=")</f>
        <v>#REF!</v>
      </c>
      <c r="BY254" t="e">
        <f>AND(#REF!,"AAAAADU//0w=")</f>
        <v>#REF!</v>
      </c>
      <c r="BZ254" t="e">
        <f>AND(#REF!,"AAAAADU//00=")</f>
        <v>#REF!</v>
      </c>
      <c r="CA254" t="e">
        <f>AND(#REF!,"AAAAADU//04=")</f>
        <v>#REF!</v>
      </c>
      <c r="CB254" t="e">
        <f>AND(#REF!,"AAAAADU//08=")</f>
        <v>#REF!</v>
      </c>
      <c r="CC254" t="e">
        <f>AND(#REF!,"AAAAADU//1A=")</f>
        <v>#REF!</v>
      </c>
      <c r="CD254" t="e">
        <f>AND(#REF!,"AAAAADU//1E=")</f>
        <v>#REF!</v>
      </c>
      <c r="CE254" t="e">
        <f>AND(#REF!,"AAAAADU//1I=")</f>
        <v>#REF!</v>
      </c>
      <c r="CF254" t="e">
        <f>AND(#REF!,"AAAAADU//1M=")</f>
        <v>#REF!</v>
      </c>
      <c r="CG254" t="e">
        <f>AND(#REF!,"AAAAADU//1Q=")</f>
        <v>#REF!</v>
      </c>
      <c r="CH254" t="e">
        <f>AND(#REF!,"AAAAADU//1U=")</f>
        <v>#REF!</v>
      </c>
      <c r="CI254" t="e">
        <f>AND(#REF!,"AAAAADU//1Y=")</f>
        <v>#REF!</v>
      </c>
      <c r="CJ254" t="e">
        <f>AND(#REF!,"AAAAADU//1c=")</f>
        <v>#REF!</v>
      </c>
      <c r="CK254" t="e">
        <f>AND(#REF!,"AAAAADU//1g=")</f>
        <v>#REF!</v>
      </c>
      <c r="CL254" t="e">
        <f>AND(#REF!,"AAAAADU//1k=")</f>
        <v>#REF!</v>
      </c>
      <c r="CM254" t="e">
        <f>AND(#REF!,"AAAAADU//1o=")</f>
        <v>#REF!</v>
      </c>
      <c r="CN254" t="e">
        <f>AND(#REF!,"AAAAADU//1s=")</f>
        <v>#REF!</v>
      </c>
      <c r="CO254" t="e">
        <f>IF(#REF!,"AAAAADU//1w=",0)</f>
        <v>#REF!</v>
      </c>
      <c r="CP254" t="e">
        <f>AND(#REF!,"AAAAADU//10=")</f>
        <v>#REF!</v>
      </c>
      <c r="CQ254" t="e">
        <f>AND(#REF!,"AAAAADU//14=")</f>
        <v>#REF!</v>
      </c>
      <c r="CR254" t="e">
        <f>AND(#REF!,"AAAAADU//18=")</f>
        <v>#REF!</v>
      </c>
      <c r="CS254" t="e">
        <f>AND(#REF!,"AAAAADU//2A=")</f>
        <v>#REF!</v>
      </c>
      <c r="CT254" t="e">
        <f>AND(#REF!,"AAAAADU//2E=")</f>
        <v>#REF!</v>
      </c>
      <c r="CU254" t="e">
        <f>AND(#REF!,"AAAAADU//2I=")</f>
        <v>#REF!</v>
      </c>
      <c r="CV254" t="e">
        <f>AND(#REF!,"AAAAADU//2M=")</f>
        <v>#REF!</v>
      </c>
      <c r="CW254" t="e">
        <f>AND(#REF!,"AAAAADU//2Q=")</f>
        <v>#REF!</v>
      </c>
      <c r="CX254" t="e">
        <f>AND(#REF!,"AAAAADU//2U=")</f>
        <v>#REF!</v>
      </c>
      <c r="CY254" t="e">
        <f>AND(#REF!,"AAAAADU//2Y=")</f>
        <v>#REF!</v>
      </c>
      <c r="CZ254" t="e">
        <f>AND(#REF!,"AAAAADU//2c=")</f>
        <v>#REF!</v>
      </c>
      <c r="DA254" t="e">
        <f>AND(#REF!,"AAAAADU//2g=")</f>
        <v>#REF!</v>
      </c>
      <c r="DB254" t="e">
        <f>AND(#REF!,"AAAAADU//2k=")</f>
        <v>#REF!</v>
      </c>
      <c r="DC254" t="e">
        <f>AND(#REF!,"AAAAADU//2o=")</f>
        <v>#REF!</v>
      </c>
      <c r="DD254" t="e">
        <f>AND(#REF!,"AAAAADU//2s=")</f>
        <v>#REF!</v>
      </c>
      <c r="DE254" t="e">
        <f>AND(#REF!,"AAAAADU//2w=")</f>
        <v>#REF!</v>
      </c>
      <c r="DF254" t="e">
        <f>AND(#REF!,"AAAAADU//20=")</f>
        <v>#REF!</v>
      </c>
      <c r="DG254" t="e">
        <f>AND(#REF!,"AAAAADU//24=")</f>
        <v>#REF!</v>
      </c>
      <c r="DH254" t="e">
        <f>AND(#REF!,"AAAAADU//28=")</f>
        <v>#REF!</v>
      </c>
      <c r="DI254" t="e">
        <f>AND(#REF!,"AAAAADU//3A=")</f>
        <v>#REF!</v>
      </c>
      <c r="DJ254" t="e">
        <f>AND(#REF!,"AAAAADU//3E=")</f>
        <v>#REF!</v>
      </c>
      <c r="DK254" t="e">
        <f>AND(#REF!,"AAAAADU//3I=")</f>
        <v>#REF!</v>
      </c>
      <c r="DL254" t="e">
        <f>AND(#REF!,"AAAAADU//3M=")</f>
        <v>#REF!</v>
      </c>
      <c r="DM254" t="e">
        <f>AND(#REF!,"AAAAADU//3Q=")</f>
        <v>#REF!</v>
      </c>
      <c r="DN254" t="e">
        <f>IF(#REF!,"AAAAADU//3U=",0)</f>
        <v>#REF!</v>
      </c>
      <c r="DO254" t="e">
        <f>AND(#REF!,"AAAAADU//3Y=")</f>
        <v>#REF!</v>
      </c>
      <c r="DP254" t="e">
        <f>AND(#REF!,"AAAAADU//3c=")</f>
        <v>#REF!</v>
      </c>
      <c r="DQ254" t="e">
        <f>AND(#REF!,"AAAAADU//3g=")</f>
        <v>#REF!</v>
      </c>
      <c r="DR254" t="e">
        <f>AND(#REF!,"AAAAADU//3k=")</f>
        <v>#REF!</v>
      </c>
      <c r="DS254" t="e">
        <f>AND(#REF!,"AAAAADU//3o=")</f>
        <v>#REF!</v>
      </c>
      <c r="DT254" t="e">
        <f>AND(#REF!,"AAAAADU//3s=")</f>
        <v>#REF!</v>
      </c>
      <c r="DU254" t="e">
        <f>AND(#REF!,"AAAAADU//3w=")</f>
        <v>#REF!</v>
      </c>
      <c r="DV254" t="e">
        <f>AND(#REF!,"AAAAADU//30=")</f>
        <v>#REF!</v>
      </c>
      <c r="DW254" t="e">
        <f>AND(#REF!,"AAAAADU//34=")</f>
        <v>#REF!</v>
      </c>
      <c r="DX254" t="e">
        <f>AND(#REF!,"AAAAADU//38=")</f>
        <v>#REF!</v>
      </c>
      <c r="DY254" t="e">
        <f>AND(#REF!,"AAAAADU//4A=")</f>
        <v>#REF!</v>
      </c>
      <c r="DZ254" t="e">
        <f>AND(#REF!,"AAAAADU//4E=")</f>
        <v>#REF!</v>
      </c>
      <c r="EA254" t="e">
        <f>AND(#REF!,"AAAAADU//4I=")</f>
        <v>#REF!</v>
      </c>
      <c r="EB254" t="e">
        <f>AND(#REF!,"AAAAADU//4M=")</f>
        <v>#REF!</v>
      </c>
      <c r="EC254" t="e">
        <f>AND(#REF!,"AAAAADU//4Q=")</f>
        <v>#REF!</v>
      </c>
      <c r="ED254" t="e">
        <f>AND(#REF!,"AAAAADU//4U=")</f>
        <v>#REF!</v>
      </c>
      <c r="EE254" t="e">
        <f>AND(#REF!,"AAAAADU//4Y=")</f>
        <v>#REF!</v>
      </c>
      <c r="EF254" t="e">
        <f>AND(#REF!,"AAAAADU//4c=")</f>
        <v>#REF!</v>
      </c>
      <c r="EG254" t="e">
        <f>AND(#REF!,"AAAAADU//4g=")</f>
        <v>#REF!</v>
      </c>
      <c r="EH254" t="e">
        <f>AND(#REF!,"AAAAADU//4k=")</f>
        <v>#REF!</v>
      </c>
      <c r="EI254" t="e">
        <f>AND(#REF!,"AAAAADU//4o=")</f>
        <v>#REF!</v>
      </c>
      <c r="EJ254" t="e">
        <f>AND(#REF!,"AAAAADU//4s=")</f>
        <v>#REF!</v>
      </c>
      <c r="EK254" t="e">
        <f>AND(#REF!,"AAAAADU//4w=")</f>
        <v>#REF!</v>
      </c>
      <c r="EL254" t="e">
        <f>AND(#REF!,"AAAAADU//40=")</f>
        <v>#REF!</v>
      </c>
      <c r="EM254" t="e">
        <f>IF(#REF!,"AAAAADU//44=",0)</f>
        <v>#REF!</v>
      </c>
      <c r="EN254" t="e">
        <f>AND(#REF!,"AAAAADU//48=")</f>
        <v>#REF!</v>
      </c>
      <c r="EO254" t="e">
        <f>AND(#REF!,"AAAAADU//5A=")</f>
        <v>#REF!</v>
      </c>
      <c r="EP254" t="e">
        <f>AND(#REF!,"AAAAADU//5E=")</f>
        <v>#REF!</v>
      </c>
      <c r="EQ254" t="e">
        <f>AND(#REF!,"AAAAADU//5I=")</f>
        <v>#REF!</v>
      </c>
      <c r="ER254" t="e">
        <f>AND(#REF!,"AAAAADU//5M=")</f>
        <v>#REF!</v>
      </c>
      <c r="ES254" t="e">
        <f>AND(#REF!,"AAAAADU//5Q=")</f>
        <v>#REF!</v>
      </c>
      <c r="ET254" t="e">
        <f>AND(#REF!,"AAAAADU//5U=")</f>
        <v>#REF!</v>
      </c>
      <c r="EU254" t="e">
        <f>AND(#REF!,"AAAAADU//5Y=")</f>
        <v>#REF!</v>
      </c>
      <c r="EV254" t="e">
        <f>AND(#REF!,"AAAAADU//5c=")</f>
        <v>#REF!</v>
      </c>
      <c r="EW254" t="e">
        <f>AND(#REF!,"AAAAADU//5g=")</f>
        <v>#REF!</v>
      </c>
      <c r="EX254" t="e">
        <f>AND(#REF!,"AAAAADU//5k=")</f>
        <v>#REF!</v>
      </c>
      <c r="EY254" t="e">
        <f>AND(#REF!,"AAAAADU//5o=")</f>
        <v>#REF!</v>
      </c>
      <c r="EZ254" t="e">
        <f>AND(#REF!,"AAAAADU//5s=")</f>
        <v>#REF!</v>
      </c>
      <c r="FA254" t="e">
        <f>AND(#REF!,"AAAAADU//5w=")</f>
        <v>#REF!</v>
      </c>
      <c r="FB254" t="e">
        <f>AND(#REF!,"AAAAADU//50=")</f>
        <v>#REF!</v>
      </c>
      <c r="FC254" t="e">
        <f>AND(#REF!,"AAAAADU//54=")</f>
        <v>#REF!</v>
      </c>
      <c r="FD254" t="e">
        <f>AND(#REF!,"AAAAADU//58=")</f>
        <v>#REF!</v>
      </c>
      <c r="FE254" t="e">
        <f>AND(#REF!,"AAAAADU//6A=")</f>
        <v>#REF!</v>
      </c>
      <c r="FF254" t="e">
        <f>AND(#REF!,"AAAAADU//6E=")</f>
        <v>#REF!</v>
      </c>
      <c r="FG254" t="e">
        <f>AND(#REF!,"AAAAADU//6I=")</f>
        <v>#REF!</v>
      </c>
      <c r="FH254" t="e">
        <f>AND(#REF!,"AAAAADU//6M=")</f>
        <v>#REF!</v>
      </c>
      <c r="FI254" t="e">
        <f>AND(#REF!,"AAAAADU//6Q=")</f>
        <v>#REF!</v>
      </c>
      <c r="FJ254" t="e">
        <f>AND(#REF!,"AAAAADU//6U=")</f>
        <v>#REF!</v>
      </c>
      <c r="FK254" t="e">
        <f>AND(#REF!,"AAAAADU//6Y=")</f>
        <v>#REF!</v>
      </c>
      <c r="FL254" t="e">
        <f>IF(#REF!,"AAAAADU//6c=",0)</f>
        <v>#REF!</v>
      </c>
      <c r="FM254" t="e">
        <f>AND(#REF!,"AAAAADU//6g=")</f>
        <v>#REF!</v>
      </c>
      <c r="FN254" t="e">
        <f>AND(#REF!,"AAAAADU//6k=")</f>
        <v>#REF!</v>
      </c>
      <c r="FO254" t="e">
        <f>AND(#REF!,"AAAAADU//6o=")</f>
        <v>#REF!</v>
      </c>
      <c r="FP254" t="e">
        <f>AND(#REF!,"AAAAADU//6s=")</f>
        <v>#REF!</v>
      </c>
      <c r="FQ254" t="e">
        <f>AND(#REF!,"AAAAADU//6w=")</f>
        <v>#REF!</v>
      </c>
      <c r="FR254" t="e">
        <f>AND(#REF!,"AAAAADU//60=")</f>
        <v>#REF!</v>
      </c>
      <c r="FS254" t="e">
        <f>AND(#REF!,"AAAAADU//64=")</f>
        <v>#REF!</v>
      </c>
      <c r="FT254" t="e">
        <f>AND(#REF!,"AAAAADU//68=")</f>
        <v>#REF!</v>
      </c>
      <c r="FU254" t="e">
        <f>AND(#REF!,"AAAAADU//7A=")</f>
        <v>#REF!</v>
      </c>
      <c r="FV254" t="e">
        <f>AND(#REF!,"AAAAADU//7E=")</f>
        <v>#REF!</v>
      </c>
      <c r="FW254" t="e">
        <f>AND(#REF!,"AAAAADU//7I=")</f>
        <v>#REF!</v>
      </c>
      <c r="FX254" t="e">
        <f>AND(#REF!,"AAAAADU//7M=")</f>
        <v>#REF!</v>
      </c>
      <c r="FY254" t="e">
        <f>AND(#REF!,"AAAAADU//7Q=")</f>
        <v>#REF!</v>
      </c>
      <c r="FZ254" t="e">
        <f>AND(#REF!,"AAAAADU//7U=")</f>
        <v>#REF!</v>
      </c>
      <c r="GA254" t="e">
        <f>AND(#REF!,"AAAAADU//7Y=")</f>
        <v>#REF!</v>
      </c>
      <c r="GB254" t="e">
        <f>AND(#REF!,"AAAAADU//7c=")</f>
        <v>#REF!</v>
      </c>
      <c r="GC254" t="e">
        <f>AND(#REF!,"AAAAADU//7g=")</f>
        <v>#REF!</v>
      </c>
      <c r="GD254" t="e">
        <f>AND(#REF!,"AAAAADU//7k=")</f>
        <v>#REF!</v>
      </c>
      <c r="GE254" t="e">
        <f>AND(#REF!,"AAAAADU//7o=")</f>
        <v>#REF!</v>
      </c>
      <c r="GF254" t="e">
        <f>AND(#REF!,"AAAAADU//7s=")</f>
        <v>#REF!</v>
      </c>
      <c r="GG254" t="e">
        <f>AND(#REF!,"AAAAADU//7w=")</f>
        <v>#REF!</v>
      </c>
      <c r="GH254" t="e">
        <f>AND(#REF!,"AAAAADU//70=")</f>
        <v>#REF!</v>
      </c>
      <c r="GI254" t="e">
        <f>AND(#REF!,"AAAAADU//74=")</f>
        <v>#REF!</v>
      </c>
      <c r="GJ254" t="e">
        <f>AND(#REF!,"AAAAADU//78=")</f>
        <v>#REF!</v>
      </c>
      <c r="GK254" t="e">
        <f>IF(#REF!,"AAAAADU//8A=",0)</f>
        <v>#REF!</v>
      </c>
      <c r="GL254" t="e">
        <f>AND(#REF!,"AAAAADU//8E=")</f>
        <v>#REF!</v>
      </c>
      <c r="GM254" t="e">
        <f>AND(#REF!,"AAAAADU//8I=")</f>
        <v>#REF!</v>
      </c>
      <c r="GN254" t="e">
        <f>AND(#REF!,"AAAAADU//8M=")</f>
        <v>#REF!</v>
      </c>
      <c r="GO254" t="e">
        <f>AND(#REF!,"AAAAADU//8Q=")</f>
        <v>#REF!</v>
      </c>
      <c r="GP254" t="e">
        <f>AND(#REF!,"AAAAADU//8U=")</f>
        <v>#REF!</v>
      </c>
      <c r="GQ254" t="e">
        <f>AND(#REF!,"AAAAADU//8Y=")</f>
        <v>#REF!</v>
      </c>
      <c r="GR254" t="e">
        <f>AND(#REF!,"AAAAADU//8c=")</f>
        <v>#REF!</v>
      </c>
      <c r="GS254" t="e">
        <f>AND(#REF!,"AAAAADU//8g=")</f>
        <v>#REF!</v>
      </c>
      <c r="GT254" t="e">
        <f>AND(#REF!,"AAAAADU//8k=")</f>
        <v>#REF!</v>
      </c>
      <c r="GU254" t="e">
        <f>AND(#REF!,"AAAAADU//8o=")</f>
        <v>#REF!</v>
      </c>
      <c r="GV254" t="e">
        <f>AND(#REF!,"AAAAADU//8s=")</f>
        <v>#REF!</v>
      </c>
      <c r="GW254" t="e">
        <f>AND(#REF!,"AAAAADU//8w=")</f>
        <v>#REF!</v>
      </c>
      <c r="GX254" t="e">
        <f>AND(#REF!,"AAAAADU//80=")</f>
        <v>#REF!</v>
      </c>
      <c r="GY254" t="e">
        <f>AND(#REF!,"AAAAADU//84=")</f>
        <v>#REF!</v>
      </c>
      <c r="GZ254" t="e">
        <f>AND(#REF!,"AAAAADU//88=")</f>
        <v>#REF!</v>
      </c>
      <c r="HA254" t="e">
        <f>AND(#REF!,"AAAAADU//9A=")</f>
        <v>#REF!</v>
      </c>
      <c r="HB254" t="e">
        <f>AND(#REF!,"AAAAADU//9E=")</f>
        <v>#REF!</v>
      </c>
      <c r="HC254" t="e">
        <f>AND(#REF!,"AAAAADU//9I=")</f>
        <v>#REF!</v>
      </c>
      <c r="HD254" t="e">
        <f>AND(#REF!,"AAAAADU//9M=")</f>
        <v>#REF!</v>
      </c>
      <c r="HE254" t="e">
        <f>AND(#REF!,"AAAAADU//9Q=")</f>
        <v>#REF!</v>
      </c>
      <c r="HF254" t="e">
        <f>AND(#REF!,"AAAAADU//9U=")</f>
        <v>#REF!</v>
      </c>
      <c r="HG254" t="e">
        <f>AND(#REF!,"AAAAADU//9Y=")</f>
        <v>#REF!</v>
      </c>
      <c r="HH254" t="e">
        <f>AND(#REF!,"AAAAADU//9c=")</f>
        <v>#REF!</v>
      </c>
      <c r="HI254" t="e">
        <f>AND(#REF!,"AAAAADU//9g=")</f>
        <v>#REF!</v>
      </c>
      <c r="HJ254" t="e">
        <f>IF(#REF!,"AAAAADU//9k=",0)</f>
        <v>#REF!</v>
      </c>
      <c r="HK254" t="e">
        <f>AND(#REF!,"AAAAADU//9o=")</f>
        <v>#REF!</v>
      </c>
      <c r="HL254" t="e">
        <f>AND(#REF!,"AAAAADU//9s=")</f>
        <v>#REF!</v>
      </c>
      <c r="HM254" t="e">
        <f>AND(#REF!,"AAAAADU//9w=")</f>
        <v>#REF!</v>
      </c>
      <c r="HN254" t="e">
        <f>AND(#REF!,"AAAAADU//90=")</f>
        <v>#REF!</v>
      </c>
      <c r="HO254" t="e">
        <f>AND(#REF!,"AAAAADU//94=")</f>
        <v>#REF!</v>
      </c>
      <c r="HP254" t="e">
        <f>AND(#REF!,"AAAAADU//98=")</f>
        <v>#REF!</v>
      </c>
      <c r="HQ254" t="e">
        <f>AND(#REF!,"AAAAADU//+A=")</f>
        <v>#REF!</v>
      </c>
      <c r="HR254" t="e">
        <f>AND(#REF!,"AAAAADU//+E=")</f>
        <v>#REF!</v>
      </c>
      <c r="HS254" t="e">
        <f>AND(#REF!,"AAAAADU//+I=")</f>
        <v>#REF!</v>
      </c>
      <c r="HT254" t="e">
        <f>AND(#REF!,"AAAAADU//+M=")</f>
        <v>#REF!</v>
      </c>
      <c r="HU254" t="e">
        <f>AND(#REF!,"AAAAADU//+Q=")</f>
        <v>#REF!</v>
      </c>
      <c r="HV254" t="e">
        <f>AND(#REF!,"AAAAADU//+U=")</f>
        <v>#REF!</v>
      </c>
      <c r="HW254" t="e">
        <f>AND(#REF!,"AAAAADU//+Y=")</f>
        <v>#REF!</v>
      </c>
      <c r="HX254" t="e">
        <f>AND(#REF!,"AAAAADU//+c=")</f>
        <v>#REF!</v>
      </c>
      <c r="HY254" t="e">
        <f>AND(#REF!,"AAAAADU//+g=")</f>
        <v>#REF!</v>
      </c>
      <c r="HZ254" t="e">
        <f>AND(#REF!,"AAAAADU//+k=")</f>
        <v>#REF!</v>
      </c>
      <c r="IA254" t="e">
        <f>AND(#REF!,"AAAAADU//+o=")</f>
        <v>#REF!</v>
      </c>
      <c r="IB254" t="e">
        <f>AND(#REF!,"AAAAADU//+s=")</f>
        <v>#REF!</v>
      </c>
      <c r="IC254" t="e">
        <f>AND(#REF!,"AAAAADU//+w=")</f>
        <v>#REF!</v>
      </c>
      <c r="ID254" t="e">
        <f>AND(#REF!,"AAAAADU//+0=")</f>
        <v>#REF!</v>
      </c>
      <c r="IE254" t="e">
        <f>AND(#REF!,"AAAAADU//+4=")</f>
        <v>#REF!</v>
      </c>
      <c r="IF254" t="e">
        <f>AND(#REF!,"AAAAADU//+8=")</f>
        <v>#REF!</v>
      </c>
      <c r="IG254" t="e">
        <f>AND(#REF!,"AAAAADU///A=")</f>
        <v>#REF!</v>
      </c>
      <c r="IH254" t="e">
        <f>AND(#REF!,"AAAAADU///E=")</f>
        <v>#REF!</v>
      </c>
      <c r="II254" t="e">
        <f>IF(#REF!,"AAAAADU///I=",0)</f>
        <v>#REF!</v>
      </c>
      <c r="IJ254" t="e">
        <f>AND(#REF!,"AAAAADU///M=")</f>
        <v>#REF!</v>
      </c>
      <c r="IK254" t="e">
        <f>AND(#REF!,"AAAAADU///Q=")</f>
        <v>#REF!</v>
      </c>
      <c r="IL254" t="e">
        <f>AND(#REF!,"AAAAADU///U=")</f>
        <v>#REF!</v>
      </c>
      <c r="IM254" t="e">
        <f>AND(#REF!,"AAAAADU///Y=")</f>
        <v>#REF!</v>
      </c>
      <c r="IN254" t="e">
        <f>AND(#REF!,"AAAAADU///c=")</f>
        <v>#REF!</v>
      </c>
      <c r="IO254" t="e">
        <f>AND(#REF!,"AAAAADU///g=")</f>
        <v>#REF!</v>
      </c>
      <c r="IP254" t="e">
        <f>AND(#REF!,"AAAAADU///k=")</f>
        <v>#REF!</v>
      </c>
      <c r="IQ254" t="e">
        <f>AND(#REF!,"AAAAADU///o=")</f>
        <v>#REF!</v>
      </c>
      <c r="IR254" t="e">
        <f>AND(#REF!,"AAAAADU///s=")</f>
        <v>#REF!</v>
      </c>
      <c r="IS254" t="e">
        <f>AND(#REF!,"AAAAADU///w=")</f>
        <v>#REF!</v>
      </c>
      <c r="IT254" t="e">
        <f>AND(#REF!,"AAAAADU///0=")</f>
        <v>#REF!</v>
      </c>
      <c r="IU254" t="e">
        <f>AND(#REF!,"AAAAADU///4=")</f>
        <v>#REF!</v>
      </c>
      <c r="IV254" t="e">
        <f>AND(#REF!,"AAAAADU///8=")</f>
        <v>#REF!</v>
      </c>
    </row>
    <row r="255" spans="1:256">
      <c r="A255" t="e">
        <f>AND(#REF!,"AAAAAH+ofwA=")</f>
        <v>#REF!</v>
      </c>
      <c r="B255" t="e">
        <f>AND(#REF!,"AAAAAH+ofwE=")</f>
        <v>#REF!</v>
      </c>
      <c r="C255" t="e">
        <f>AND(#REF!,"AAAAAH+ofwI=")</f>
        <v>#REF!</v>
      </c>
      <c r="D255" t="e">
        <f>AND(#REF!,"AAAAAH+ofwM=")</f>
        <v>#REF!</v>
      </c>
      <c r="E255" t="e">
        <f>AND(#REF!,"AAAAAH+ofwQ=")</f>
        <v>#REF!</v>
      </c>
      <c r="F255" t="e">
        <f>AND(#REF!,"AAAAAH+ofwU=")</f>
        <v>#REF!</v>
      </c>
      <c r="G255" t="e">
        <f>AND(#REF!,"AAAAAH+ofwY=")</f>
        <v>#REF!</v>
      </c>
      <c r="H255" t="e">
        <f>AND(#REF!,"AAAAAH+ofwc=")</f>
        <v>#REF!</v>
      </c>
      <c r="I255" t="e">
        <f>AND(#REF!,"AAAAAH+ofwg=")</f>
        <v>#REF!</v>
      </c>
      <c r="J255" t="e">
        <f>AND(#REF!,"AAAAAH+ofwk=")</f>
        <v>#REF!</v>
      </c>
      <c r="K255" t="e">
        <f>AND(#REF!,"AAAAAH+ofwo=")</f>
        <v>#REF!</v>
      </c>
      <c r="L255" t="e">
        <f>IF(#REF!,"AAAAAH+ofws=",0)</f>
        <v>#REF!</v>
      </c>
      <c r="M255" t="e">
        <f>AND(#REF!,"AAAAAH+ofww=")</f>
        <v>#REF!</v>
      </c>
      <c r="N255" t="e">
        <f>AND(#REF!,"AAAAAH+ofw0=")</f>
        <v>#REF!</v>
      </c>
      <c r="O255" t="e">
        <f>AND(#REF!,"AAAAAH+ofw4=")</f>
        <v>#REF!</v>
      </c>
      <c r="P255" t="e">
        <f>AND(#REF!,"AAAAAH+ofw8=")</f>
        <v>#REF!</v>
      </c>
      <c r="Q255" t="e">
        <f>AND(#REF!,"AAAAAH+ofxA=")</f>
        <v>#REF!</v>
      </c>
      <c r="R255" t="e">
        <f>AND(#REF!,"AAAAAH+ofxE=")</f>
        <v>#REF!</v>
      </c>
      <c r="S255" t="e">
        <f>AND(#REF!,"AAAAAH+ofxI=")</f>
        <v>#REF!</v>
      </c>
      <c r="T255" t="e">
        <f>AND(#REF!,"AAAAAH+ofxM=")</f>
        <v>#REF!</v>
      </c>
      <c r="U255" t="e">
        <f>AND(#REF!,"AAAAAH+ofxQ=")</f>
        <v>#REF!</v>
      </c>
      <c r="V255" t="e">
        <f>AND(#REF!,"AAAAAH+ofxU=")</f>
        <v>#REF!</v>
      </c>
      <c r="W255" t="e">
        <f>AND(#REF!,"AAAAAH+ofxY=")</f>
        <v>#REF!</v>
      </c>
      <c r="X255" t="e">
        <f>AND(#REF!,"AAAAAH+ofxc=")</f>
        <v>#REF!</v>
      </c>
      <c r="Y255" t="e">
        <f>AND(#REF!,"AAAAAH+ofxg=")</f>
        <v>#REF!</v>
      </c>
      <c r="Z255" t="e">
        <f>AND(#REF!,"AAAAAH+ofxk=")</f>
        <v>#REF!</v>
      </c>
      <c r="AA255" t="e">
        <f>AND(#REF!,"AAAAAH+ofxo=")</f>
        <v>#REF!</v>
      </c>
      <c r="AB255" t="e">
        <f>AND(#REF!,"AAAAAH+ofxs=")</f>
        <v>#REF!</v>
      </c>
      <c r="AC255" t="e">
        <f>AND(#REF!,"AAAAAH+ofxw=")</f>
        <v>#REF!</v>
      </c>
      <c r="AD255" t="e">
        <f>AND(#REF!,"AAAAAH+ofx0=")</f>
        <v>#REF!</v>
      </c>
      <c r="AE255" t="e">
        <f>AND(#REF!,"AAAAAH+ofx4=")</f>
        <v>#REF!</v>
      </c>
      <c r="AF255" t="e">
        <f>AND(#REF!,"AAAAAH+ofx8=")</f>
        <v>#REF!</v>
      </c>
      <c r="AG255" t="e">
        <f>AND(#REF!,"AAAAAH+ofyA=")</f>
        <v>#REF!</v>
      </c>
      <c r="AH255" t="e">
        <f>AND(#REF!,"AAAAAH+ofyE=")</f>
        <v>#REF!</v>
      </c>
      <c r="AI255" t="e">
        <f>AND(#REF!,"AAAAAH+ofyI=")</f>
        <v>#REF!</v>
      </c>
      <c r="AJ255" t="e">
        <f>AND(#REF!,"AAAAAH+ofyM=")</f>
        <v>#REF!</v>
      </c>
      <c r="AK255" t="e">
        <f>IF(#REF!,"AAAAAH+ofyQ=",0)</f>
        <v>#REF!</v>
      </c>
      <c r="AL255" t="e">
        <f>AND(#REF!,"AAAAAH+ofyU=")</f>
        <v>#REF!</v>
      </c>
      <c r="AM255" t="e">
        <f>AND(#REF!,"AAAAAH+ofyY=")</f>
        <v>#REF!</v>
      </c>
      <c r="AN255" t="e">
        <f>AND(#REF!,"AAAAAH+ofyc=")</f>
        <v>#REF!</v>
      </c>
      <c r="AO255" t="e">
        <f>AND(#REF!,"AAAAAH+ofyg=")</f>
        <v>#REF!</v>
      </c>
      <c r="AP255" t="e">
        <f>AND(#REF!,"AAAAAH+ofyk=")</f>
        <v>#REF!</v>
      </c>
      <c r="AQ255" t="e">
        <f>AND(#REF!,"AAAAAH+ofyo=")</f>
        <v>#REF!</v>
      </c>
      <c r="AR255" t="e">
        <f>AND(#REF!,"AAAAAH+ofys=")</f>
        <v>#REF!</v>
      </c>
      <c r="AS255" t="e">
        <f>AND(#REF!,"AAAAAH+ofyw=")</f>
        <v>#REF!</v>
      </c>
      <c r="AT255" t="e">
        <f>AND(#REF!,"AAAAAH+ofy0=")</f>
        <v>#REF!</v>
      </c>
      <c r="AU255" t="e">
        <f>AND(#REF!,"AAAAAH+ofy4=")</f>
        <v>#REF!</v>
      </c>
      <c r="AV255" t="e">
        <f>AND(#REF!,"AAAAAH+ofy8=")</f>
        <v>#REF!</v>
      </c>
      <c r="AW255" t="e">
        <f>AND(#REF!,"AAAAAH+ofzA=")</f>
        <v>#REF!</v>
      </c>
      <c r="AX255" t="e">
        <f>AND(#REF!,"AAAAAH+ofzE=")</f>
        <v>#REF!</v>
      </c>
      <c r="AY255" t="e">
        <f>AND(#REF!,"AAAAAH+ofzI=")</f>
        <v>#REF!</v>
      </c>
      <c r="AZ255" t="e">
        <f>AND(#REF!,"AAAAAH+ofzM=")</f>
        <v>#REF!</v>
      </c>
      <c r="BA255" t="e">
        <f>AND(#REF!,"AAAAAH+ofzQ=")</f>
        <v>#REF!</v>
      </c>
      <c r="BB255" t="e">
        <f>AND(#REF!,"AAAAAH+ofzU=")</f>
        <v>#REF!</v>
      </c>
      <c r="BC255" t="e">
        <f>AND(#REF!,"AAAAAH+ofzY=")</f>
        <v>#REF!</v>
      </c>
      <c r="BD255" t="e">
        <f>AND(#REF!,"AAAAAH+ofzc=")</f>
        <v>#REF!</v>
      </c>
      <c r="BE255" t="e">
        <f>AND(#REF!,"AAAAAH+ofzg=")</f>
        <v>#REF!</v>
      </c>
      <c r="BF255" t="e">
        <f>AND(#REF!,"AAAAAH+ofzk=")</f>
        <v>#REF!</v>
      </c>
      <c r="BG255" t="e">
        <f>AND(#REF!,"AAAAAH+ofzo=")</f>
        <v>#REF!</v>
      </c>
      <c r="BH255" t="e">
        <f>AND(#REF!,"AAAAAH+ofzs=")</f>
        <v>#REF!</v>
      </c>
      <c r="BI255" t="e">
        <f>AND(#REF!,"AAAAAH+ofzw=")</f>
        <v>#REF!</v>
      </c>
      <c r="BJ255" t="e">
        <f>IF(#REF!,"AAAAAH+ofz0=",0)</f>
        <v>#REF!</v>
      </c>
      <c r="BK255" t="e">
        <f>AND(#REF!,"AAAAAH+ofz4=")</f>
        <v>#REF!</v>
      </c>
      <c r="BL255" t="e">
        <f>AND(#REF!,"AAAAAH+ofz8=")</f>
        <v>#REF!</v>
      </c>
      <c r="BM255" t="e">
        <f>AND(#REF!,"AAAAAH+of0A=")</f>
        <v>#REF!</v>
      </c>
      <c r="BN255" t="e">
        <f>AND(#REF!,"AAAAAH+of0E=")</f>
        <v>#REF!</v>
      </c>
      <c r="BO255" t="e">
        <f>AND(#REF!,"AAAAAH+of0I=")</f>
        <v>#REF!</v>
      </c>
      <c r="BP255" t="e">
        <f>AND(#REF!,"AAAAAH+of0M=")</f>
        <v>#REF!</v>
      </c>
      <c r="BQ255" t="e">
        <f>AND(#REF!,"AAAAAH+of0Q=")</f>
        <v>#REF!</v>
      </c>
      <c r="BR255" t="e">
        <f>AND(#REF!,"AAAAAH+of0U=")</f>
        <v>#REF!</v>
      </c>
      <c r="BS255" t="e">
        <f>AND(#REF!,"AAAAAH+of0Y=")</f>
        <v>#REF!</v>
      </c>
      <c r="BT255" t="e">
        <f>AND(#REF!,"AAAAAH+of0c=")</f>
        <v>#REF!</v>
      </c>
      <c r="BU255" t="e">
        <f>AND(#REF!,"AAAAAH+of0g=")</f>
        <v>#REF!</v>
      </c>
      <c r="BV255" t="e">
        <f>AND(#REF!,"AAAAAH+of0k=")</f>
        <v>#REF!</v>
      </c>
      <c r="BW255" t="e">
        <f>AND(#REF!,"AAAAAH+of0o=")</f>
        <v>#REF!</v>
      </c>
      <c r="BX255" t="e">
        <f>AND(#REF!,"AAAAAH+of0s=")</f>
        <v>#REF!</v>
      </c>
      <c r="BY255" t="e">
        <f>AND(#REF!,"AAAAAH+of0w=")</f>
        <v>#REF!</v>
      </c>
      <c r="BZ255" t="e">
        <f>AND(#REF!,"AAAAAH+of00=")</f>
        <v>#REF!</v>
      </c>
      <c r="CA255" t="e">
        <f>AND(#REF!,"AAAAAH+of04=")</f>
        <v>#REF!</v>
      </c>
      <c r="CB255" t="e">
        <f>AND(#REF!,"AAAAAH+of08=")</f>
        <v>#REF!</v>
      </c>
      <c r="CC255" t="e">
        <f>AND(#REF!,"AAAAAH+of1A=")</f>
        <v>#REF!</v>
      </c>
      <c r="CD255" t="e">
        <f>AND(#REF!,"AAAAAH+of1E=")</f>
        <v>#REF!</v>
      </c>
      <c r="CE255" t="e">
        <f>AND(#REF!,"AAAAAH+of1I=")</f>
        <v>#REF!</v>
      </c>
      <c r="CF255" t="e">
        <f>AND(#REF!,"AAAAAH+of1M=")</f>
        <v>#REF!</v>
      </c>
      <c r="CG255" t="e">
        <f>AND(#REF!,"AAAAAH+of1Q=")</f>
        <v>#REF!</v>
      </c>
      <c r="CH255" t="e">
        <f>AND(#REF!,"AAAAAH+of1U=")</f>
        <v>#REF!</v>
      </c>
      <c r="CI255" t="e">
        <f>IF(#REF!,"AAAAAH+of1Y=",0)</f>
        <v>#REF!</v>
      </c>
      <c r="CJ255" t="e">
        <f>AND(#REF!,"AAAAAH+of1c=")</f>
        <v>#REF!</v>
      </c>
      <c r="CK255" t="e">
        <f>AND(#REF!,"AAAAAH+of1g=")</f>
        <v>#REF!</v>
      </c>
      <c r="CL255" t="e">
        <f>AND(#REF!,"AAAAAH+of1k=")</f>
        <v>#REF!</v>
      </c>
      <c r="CM255" t="e">
        <f>AND(#REF!,"AAAAAH+of1o=")</f>
        <v>#REF!</v>
      </c>
      <c r="CN255" t="e">
        <f>AND(#REF!,"AAAAAH+of1s=")</f>
        <v>#REF!</v>
      </c>
      <c r="CO255" t="e">
        <f>AND(#REF!,"AAAAAH+of1w=")</f>
        <v>#REF!</v>
      </c>
      <c r="CP255" t="e">
        <f>AND(#REF!,"AAAAAH+of10=")</f>
        <v>#REF!</v>
      </c>
      <c r="CQ255" t="e">
        <f>AND(#REF!,"AAAAAH+of14=")</f>
        <v>#REF!</v>
      </c>
      <c r="CR255" t="e">
        <f>AND(#REF!,"AAAAAH+of18=")</f>
        <v>#REF!</v>
      </c>
      <c r="CS255" t="e">
        <f>AND(#REF!,"AAAAAH+of2A=")</f>
        <v>#REF!</v>
      </c>
      <c r="CT255" t="e">
        <f>AND(#REF!,"AAAAAH+of2E=")</f>
        <v>#REF!</v>
      </c>
      <c r="CU255" t="e">
        <f>AND(#REF!,"AAAAAH+of2I=")</f>
        <v>#REF!</v>
      </c>
      <c r="CV255" t="e">
        <f>AND(#REF!,"AAAAAH+of2M=")</f>
        <v>#REF!</v>
      </c>
      <c r="CW255" t="e">
        <f>AND(#REF!,"AAAAAH+of2Q=")</f>
        <v>#REF!</v>
      </c>
      <c r="CX255" t="e">
        <f>AND(#REF!,"AAAAAH+of2U=")</f>
        <v>#REF!</v>
      </c>
      <c r="CY255" t="e">
        <f>AND(#REF!,"AAAAAH+of2Y=")</f>
        <v>#REF!</v>
      </c>
      <c r="CZ255" t="e">
        <f>AND(#REF!,"AAAAAH+of2c=")</f>
        <v>#REF!</v>
      </c>
      <c r="DA255" t="e">
        <f>AND(#REF!,"AAAAAH+of2g=")</f>
        <v>#REF!</v>
      </c>
      <c r="DB255" t="e">
        <f>AND(#REF!,"AAAAAH+of2k=")</f>
        <v>#REF!</v>
      </c>
      <c r="DC255" t="e">
        <f>AND(#REF!,"AAAAAH+of2o=")</f>
        <v>#REF!</v>
      </c>
      <c r="DD255" t="e">
        <f>AND(#REF!,"AAAAAH+of2s=")</f>
        <v>#REF!</v>
      </c>
      <c r="DE255" t="e">
        <f>AND(#REF!,"AAAAAH+of2w=")</f>
        <v>#REF!</v>
      </c>
      <c r="DF255" t="e">
        <f>AND(#REF!,"AAAAAH+of20=")</f>
        <v>#REF!</v>
      </c>
      <c r="DG255" t="e">
        <f>AND(#REF!,"AAAAAH+of24=")</f>
        <v>#REF!</v>
      </c>
      <c r="DH255" t="e">
        <f>IF(#REF!,"AAAAAH+of28=",0)</f>
        <v>#REF!</v>
      </c>
      <c r="DI255" t="e">
        <f>AND(#REF!,"AAAAAH+of3A=")</f>
        <v>#REF!</v>
      </c>
      <c r="DJ255" t="e">
        <f>AND(#REF!,"AAAAAH+of3E=")</f>
        <v>#REF!</v>
      </c>
      <c r="DK255" t="e">
        <f>AND(#REF!,"AAAAAH+of3I=")</f>
        <v>#REF!</v>
      </c>
      <c r="DL255" t="e">
        <f>AND(#REF!,"AAAAAH+of3M=")</f>
        <v>#REF!</v>
      </c>
      <c r="DM255" t="e">
        <f>AND(#REF!,"AAAAAH+of3Q=")</f>
        <v>#REF!</v>
      </c>
      <c r="DN255" t="e">
        <f>AND(#REF!,"AAAAAH+of3U=")</f>
        <v>#REF!</v>
      </c>
      <c r="DO255" t="e">
        <f>AND(#REF!,"AAAAAH+of3Y=")</f>
        <v>#REF!</v>
      </c>
      <c r="DP255" t="e">
        <f>AND(#REF!,"AAAAAH+of3c=")</f>
        <v>#REF!</v>
      </c>
      <c r="DQ255" t="e">
        <f>AND(#REF!,"AAAAAH+of3g=")</f>
        <v>#REF!</v>
      </c>
      <c r="DR255" t="e">
        <f>AND(#REF!,"AAAAAH+of3k=")</f>
        <v>#REF!</v>
      </c>
      <c r="DS255" t="e">
        <f>AND(#REF!,"AAAAAH+of3o=")</f>
        <v>#REF!</v>
      </c>
      <c r="DT255" t="e">
        <f>AND(#REF!,"AAAAAH+of3s=")</f>
        <v>#REF!</v>
      </c>
      <c r="DU255" t="e">
        <f>AND(#REF!,"AAAAAH+of3w=")</f>
        <v>#REF!</v>
      </c>
      <c r="DV255" t="e">
        <f>AND(#REF!,"AAAAAH+of30=")</f>
        <v>#REF!</v>
      </c>
      <c r="DW255" t="e">
        <f>AND(#REF!,"AAAAAH+of34=")</f>
        <v>#REF!</v>
      </c>
      <c r="DX255" t="e">
        <f>AND(#REF!,"AAAAAH+of38=")</f>
        <v>#REF!</v>
      </c>
      <c r="DY255" t="e">
        <f>AND(#REF!,"AAAAAH+of4A=")</f>
        <v>#REF!</v>
      </c>
      <c r="DZ255" t="e">
        <f>AND(#REF!,"AAAAAH+of4E=")</f>
        <v>#REF!</v>
      </c>
      <c r="EA255" t="e">
        <f>AND(#REF!,"AAAAAH+of4I=")</f>
        <v>#REF!</v>
      </c>
      <c r="EB255" t="e">
        <f>AND(#REF!,"AAAAAH+of4M=")</f>
        <v>#REF!</v>
      </c>
      <c r="EC255" t="e">
        <f>AND(#REF!,"AAAAAH+of4Q=")</f>
        <v>#REF!</v>
      </c>
      <c r="ED255" t="e">
        <f>AND(#REF!,"AAAAAH+of4U=")</f>
        <v>#REF!</v>
      </c>
      <c r="EE255" t="e">
        <f>AND(#REF!,"AAAAAH+of4Y=")</f>
        <v>#REF!</v>
      </c>
      <c r="EF255" t="e">
        <f>AND(#REF!,"AAAAAH+of4c=")</f>
        <v>#REF!</v>
      </c>
      <c r="EG255" t="e">
        <f>IF(#REF!,"AAAAAH+of4g=",0)</f>
        <v>#REF!</v>
      </c>
      <c r="EH255" t="e">
        <f>AND(#REF!,"AAAAAH+of4k=")</f>
        <v>#REF!</v>
      </c>
      <c r="EI255" t="e">
        <f>AND(#REF!,"AAAAAH+of4o=")</f>
        <v>#REF!</v>
      </c>
      <c r="EJ255" t="e">
        <f>AND(#REF!,"AAAAAH+of4s=")</f>
        <v>#REF!</v>
      </c>
      <c r="EK255" t="e">
        <f>AND(#REF!,"AAAAAH+of4w=")</f>
        <v>#REF!</v>
      </c>
      <c r="EL255" t="e">
        <f>AND(#REF!,"AAAAAH+of40=")</f>
        <v>#REF!</v>
      </c>
      <c r="EM255" t="e">
        <f>AND(#REF!,"AAAAAH+of44=")</f>
        <v>#REF!</v>
      </c>
      <c r="EN255" t="e">
        <f>AND(#REF!,"AAAAAH+of48=")</f>
        <v>#REF!</v>
      </c>
      <c r="EO255" t="e">
        <f>AND(#REF!,"AAAAAH+of5A=")</f>
        <v>#REF!</v>
      </c>
      <c r="EP255" t="e">
        <f>AND(#REF!,"AAAAAH+of5E=")</f>
        <v>#REF!</v>
      </c>
      <c r="EQ255" t="e">
        <f>AND(#REF!,"AAAAAH+of5I=")</f>
        <v>#REF!</v>
      </c>
      <c r="ER255" t="e">
        <f>AND(#REF!,"AAAAAH+of5M=")</f>
        <v>#REF!</v>
      </c>
      <c r="ES255" t="e">
        <f>AND(#REF!,"AAAAAH+of5Q=")</f>
        <v>#REF!</v>
      </c>
      <c r="ET255" t="e">
        <f>AND(#REF!,"AAAAAH+of5U=")</f>
        <v>#REF!</v>
      </c>
      <c r="EU255" t="e">
        <f>AND(#REF!,"AAAAAH+of5Y=")</f>
        <v>#REF!</v>
      </c>
      <c r="EV255" t="e">
        <f>AND(#REF!,"AAAAAH+of5c=")</f>
        <v>#REF!</v>
      </c>
      <c r="EW255" t="e">
        <f>AND(#REF!,"AAAAAH+of5g=")</f>
        <v>#REF!</v>
      </c>
      <c r="EX255" t="e">
        <f>AND(#REF!,"AAAAAH+of5k=")</f>
        <v>#REF!</v>
      </c>
      <c r="EY255" t="e">
        <f>AND(#REF!,"AAAAAH+of5o=")</f>
        <v>#REF!</v>
      </c>
      <c r="EZ255" t="e">
        <f>AND(#REF!,"AAAAAH+of5s=")</f>
        <v>#REF!</v>
      </c>
      <c r="FA255" t="e">
        <f>AND(#REF!,"AAAAAH+of5w=")</f>
        <v>#REF!</v>
      </c>
      <c r="FB255" t="e">
        <f>AND(#REF!,"AAAAAH+of50=")</f>
        <v>#REF!</v>
      </c>
      <c r="FC255" t="e">
        <f>AND(#REF!,"AAAAAH+of54=")</f>
        <v>#REF!</v>
      </c>
      <c r="FD255" t="e">
        <f>AND(#REF!,"AAAAAH+of58=")</f>
        <v>#REF!</v>
      </c>
      <c r="FE255" t="e">
        <f>AND(#REF!,"AAAAAH+of6A=")</f>
        <v>#REF!</v>
      </c>
      <c r="FF255" t="e">
        <f>IF(#REF!,"AAAAAH+of6E=",0)</f>
        <v>#REF!</v>
      </c>
      <c r="FG255" t="e">
        <f>AND(#REF!,"AAAAAH+of6I=")</f>
        <v>#REF!</v>
      </c>
      <c r="FH255" t="e">
        <f>AND(#REF!,"AAAAAH+of6M=")</f>
        <v>#REF!</v>
      </c>
      <c r="FI255" t="e">
        <f>AND(#REF!,"AAAAAH+of6Q=")</f>
        <v>#REF!</v>
      </c>
      <c r="FJ255" t="e">
        <f>AND(#REF!,"AAAAAH+of6U=")</f>
        <v>#REF!</v>
      </c>
      <c r="FK255" t="e">
        <f>AND(#REF!,"AAAAAH+of6Y=")</f>
        <v>#REF!</v>
      </c>
      <c r="FL255" t="e">
        <f>AND(#REF!,"AAAAAH+of6c=")</f>
        <v>#REF!</v>
      </c>
      <c r="FM255" t="e">
        <f>AND(#REF!,"AAAAAH+of6g=")</f>
        <v>#REF!</v>
      </c>
      <c r="FN255" t="e">
        <f>AND(#REF!,"AAAAAH+of6k=")</f>
        <v>#REF!</v>
      </c>
      <c r="FO255" t="e">
        <f>AND(#REF!,"AAAAAH+of6o=")</f>
        <v>#REF!</v>
      </c>
      <c r="FP255" t="e">
        <f>AND(#REF!,"AAAAAH+of6s=")</f>
        <v>#REF!</v>
      </c>
      <c r="FQ255" t="e">
        <f>AND(#REF!,"AAAAAH+of6w=")</f>
        <v>#REF!</v>
      </c>
      <c r="FR255" t="e">
        <f>AND(#REF!,"AAAAAH+of60=")</f>
        <v>#REF!</v>
      </c>
      <c r="FS255" t="e">
        <f>AND(#REF!,"AAAAAH+of64=")</f>
        <v>#REF!</v>
      </c>
      <c r="FT255" t="e">
        <f>AND(#REF!,"AAAAAH+of68=")</f>
        <v>#REF!</v>
      </c>
      <c r="FU255" t="e">
        <f>AND(#REF!,"AAAAAH+of7A=")</f>
        <v>#REF!</v>
      </c>
      <c r="FV255" t="e">
        <f>AND(#REF!,"AAAAAH+of7E=")</f>
        <v>#REF!</v>
      </c>
      <c r="FW255" t="e">
        <f>AND(#REF!,"AAAAAH+of7I=")</f>
        <v>#REF!</v>
      </c>
      <c r="FX255" t="e">
        <f>AND(#REF!,"AAAAAH+of7M=")</f>
        <v>#REF!</v>
      </c>
      <c r="FY255" t="e">
        <f>AND(#REF!,"AAAAAH+of7Q=")</f>
        <v>#REF!</v>
      </c>
      <c r="FZ255" t="e">
        <f>AND(#REF!,"AAAAAH+of7U=")</f>
        <v>#REF!</v>
      </c>
      <c r="GA255" t="e">
        <f>AND(#REF!,"AAAAAH+of7Y=")</f>
        <v>#REF!</v>
      </c>
      <c r="GB255" t="e">
        <f>AND(#REF!,"AAAAAH+of7c=")</f>
        <v>#REF!</v>
      </c>
      <c r="GC255" t="e">
        <f>AND(#REF!,"AAAAAH+of7g=")</f>
        <v>#REF!</v>
      </c>
      <c r="GD255" t="e">
        <f>AND(#REF!,"AAAAAH+of7k=")</f>
        <v>#REF!</v>
      </c>
      <c r="GE255" t="e">
        <f>IF(#REF!,"AAAAAH+of7o=",0)</f>
        <v>#REF!</v>
      </c>
      <c r="GF255" t="e">
        <f>AND(#REF!,"AAAAAH+of7s=")</f>
        <v>#REF!</v>
      </c>
      <c r="GG255" t="e">
        <f>AND(#REF!,"AAAAAH+of7w=")</f>
        <v>#REF!</v>
      </c>
      <c r="GH255" t="e">
        <f>AND(#REF!,"AAAAAH+of70=")</f>
        <v>#REF!</v>
      </c>
      <c r="GI255" t="e">
        <f>AND(#REF!,"AAAAAH+of74=")</f>
        <v>#REF!</v>
      </c>
      <c r="GJ255" t="e">
        <f>AND(#REF!,"AAAAAH+of78=")</f>
        <v>#REF!</v>
      </c>
      <c r="GK255" t="e">
        <f>AND(#REF!,"AAAAAH+of8A=")</f>
        <v>#REF!</v>
      </c>
      <c r="GL255" t="e">
        <f>AND(#REF!,"AAAAAH+of8E=")</f>
        <v>#REF!</v>
      </c>
      <c r="GM255" t="e">
        <f>AND(#REF!,"AAAAAH+of8I=")</f>
        <v>#REF!</v>
      </c>
      <c r="GN255" t="e">
        <f>AND(#REF!,"AAAAAH+of8M=")</f>
        <v>#REF!</v>
      </c>
      <c r="GO255" t="e">
        <f>AND(#REF!,"AAAAAH+of8Q=")</f>
        <v>#REF!</v>
      </c>
      <c r="GP255" t="e">
        <f>AND(#REF!,"AAAAAH+of8U=")</f>
        <v>#REF!</v>
      </c>
      <c r="GQ255" t="e">
        <f>AND(#REF!,"AAAAAH+of8Y=")</f>
        <v>#REF!</v>
      </c>
      <c r="GR255" t="e">
        <f>AND(#REF!,"AAAAAH+of8c=")</f>
        <v>#REF!</v>
      </c>
      <c r="GS255" t="e">
        <f>AND(#REF!,"AAAAAH+of8g=")</f>
        <v>#REF!</v>
      </c>
      <c r="GT255" t="e">
        <f>AND(#REF!,"AAAAAH+of8k=")</f>
        <v>#REF!</v>
      </c>
      <c r="GU255" t="e">
        <f>AND(#REF!,"AAAAAH+of8o=")</f>
        <v>#REF!</v>
      </c>
      <c r="GV255" t="e">
        <f>AND(#REF!,"AAAAAH+of8s=")</f>
        <v>#REF!</v>
      </c>
      <c r="GW255" t="e">
        <f>AND(#REF!,"AAAAAH+of8w=")</f>
        <v>#REF!</v>
      </c>
      <c r="GX255" t="e">
        <f>AND(#REF!,"AAAAAH+of80=")</f>
        <v>#REF!</v>
      </c>
      <c r="GY255" t="e">
        <f>AND(#REF!,"AAAAAH+of84=")</f>
        <v>#REF!</v>
      </c>
      <c r="GZ255" t="e">
        <f>AND(#REF!,"AAAAAH+of88=")</f>
        <v>#REF!</v>
      </c>
      <c r="HA255" t="e">
        <f>AND(#REF!,"AAAAAH+of9A=")</f>
        <v>#REF!</v>
      </c>
      <c r="HB255" t="e">
        <f>AND(#REF!,"AAAAAH+of9E=")</f>
        <v>#REF!</v>
      </c>
      <c r="HC255" t="e">
        <f>AND(#REF!,"AAAAAH+of9I=")</f>
        <v>#REF!</v>
      </c>
      <c r="HD255" t="e">
        <f>IF(#REF!,"AAAAAH+of9M=",0)</f>
        <v>#REF!</v>
      </c>
      <c r="HE255" t="e">
        <f>AND(#REF!,"AAAAAH+of9Q=")</f>
        <v>#REF!</v>
      </c>
      <c r="HF255" t="e">
        <f>AND(#REF!,"AAAAAH+of9U=")</f>
        <v>#REF!</v>
      </c>
      <c r="HG255" t="e">
        <f>AND(#REF!,"AAAAAH+of9Y=")</f>
        <v>#REF!</v>
      </c>
      <c r="HH255" t="e">
        <f>AND(#REF!,"AAAAAH+of9c=")</f>
        <v>#REF!</v>
      </c>
      <c r="HI255" t="e">
        <f>AND(#REF!,"AAAAAH+of9g=")</f>
        <v>#REF!</v>
      </c>
      <c r="HJ255" t="e">
        <f>AND(#REF!,"AAAAAH+of9k=")</f>
        <v>#REF!</v>
      </c>
      <c r="HK255" t="e">
        <f>AND(#REF!,"AAAAAH+of9o=")</f>
        <v>#REF!</v>
      </c>
      <c r="HL255" t="e">
        <f>AND(#REF!,"AAAAAH+of9s=")</f>
        <v>#REF!</v>
      </c>
      <c r="HM255" t="e">
        <f>AND(#REF!,"AAAAAH+of9w=")</f>
        <v>#REF!</v>
      </c>
      <c r="HN255" t="e">
        <f>AND(#REF!,"AAAAAH+of90=")</f>
        <v>#REF!</v>
      </c>
      <c r="HO255" t="e">
        <f>AND(#REF!,"AAAAAH+of94=")</f>
        <v>#REF!</v>
      </c>
      <c r="HP255" t="e">
        <f>AND(#REF!,"AAAAAH+of98=")</f>
        <v>#REF!</v>
      </c>
      <c r="HQ255" t="e">
        <f>AND(#REF!,"AAAAAH+of+A=")</f>
        <v>#REF!</v>
      </c>
      <c r="HR255" t="e">
        <f>AND(#REF!,"AAAAAH+of+E=")</f>
        <v>#REF!</v>
      </c>
      <c r="HS255" t="e">
        <f>AND(#REF!,"AAAAAH+of+I=")</f>
        <v>#REF!</v>
      </c>
      <c r="HT255" t="e">
        <f>AND(#REF!,"AAAAAH+of+M=")</f>
        <v>#REF!</v>
      </c>
      <c r="HU255" t="e">
        <f>AND(#REF!,"AAAAAH+of+Q=")</f>
        <v>#REF!</v>
      </c>
      <c r="HV255" t="e">
        <f>AND(#REF!,"AAAAAH+of+U=")</f>
        <v>#REF!</v>
      </c>
      <c r="HW255" t="e">
        <f>AND(#REF!,"AAAAAH+of+Y=")</f>
        <v>#REF!</v>
      </c>
      <c r="HX255" t="e">
        <f>AND(#REF!,"AAAAAH+of+c=")</f>
        <v>#REF!</v>
      </c>
      <c r="HY255" t="e">
        <f>AND(#REF!,"AAAAAH+of+g=")</f>
        <v>#REF!</v>
      </c>
      <c r="HZ255" t="e">
        <f>AND(#REF!,"AAAAAH+of+k=")</f>
        <v>#REF!</v>
      </c>
      <c r="IA255" t="e">
        <f>AND(#REF!,"AAAAAH+of+o=")</f>
        <v>#REF!</v>
      </c>
      <c r="IB255" t="e">
        <f>AND(#REF!,"AAAAAH+of+s=")</f>
        <v>#REF!</v>
      </c>
      <c r="IC255" t="e">
        <f>IF(#REF!,"AAAAAH+of+w=",0)</f>
        <v>#REF!</v>
      </c>
      <c r="ID255" t="e">
        <f>AND(#REF!,"AAAAAH+of+0=")</f>
        <v>#REF!</v>
      </c>
      <c r="IE255" t="e">
        <f>AND(#REF!,"AAAAAH+of+4=")</f>
        <v>#REF!</v>
      </c>
      <c r="IF255" t="e">
        <f>AND(#REF!,"AAAAAH+of+8=")</f>
        <v>#REF!</v>
      </c>
      <c r="IG255" t="e">
        <f>AND(#REF!,"AAAAAH+of/A=")</f>
        <v>#REF!</v>
      </c>
      <c r="IH255" t="e">
        <f>AND(#REF!,"AAAAAH+of/E=")</f>
        <v>#REF!</v>
      </c>
      <c r="II255" t="e">
        <f>AND(#REF!,"AAAAAH+of/I=")</f>
        <v>#REF!</v>
      </c>
      <c r="IJ255" t="e">
        <f>AND(#REF!,"AAAAAH+of/M=")</f>
        <v>#REF!</v>
      </c>
      <c r="IK255" t="e">
        <f>AND(#REF!,"AAAAAH+of/Q=")</f>
        <v>#REF!</v>
      </c>
      <c r="IL255" t="e">
        <f>AND(#REF!,"AAAAAH+of/U=")</f>
        <v>#REF!</v>
      </c>
      <c r="IM255" t="e">
        <f>AND(#REF!,"AAAAAH+of/Y=")</f>
        <v>#REF!</v>
      </c>
      <c r="IN255" t="e">
        <f>AND(#REF!,"AAAAAH+of/c=")</f>
        <v>#REF!</v>
      </c>
      <c r="IO255" t="e">
        <f>AND(#REF!,"AAAAAH+of/g=")</f>
        <v>#REF!</v>
      </c>
      <c r="IP255" t="e">
        <f>AND(#REF!,"AAAAAH+of/k=")</f>
        <v>#REF!</v>
      </c>
      <c r="IQ255" t="e">
        <f>AND(#REF!,"AAAAAH+of/o=")</f>
        <v>#REF!</v>
      </c>
      <c r="IR255" t="e">
        <f>AND(#REF!,"AAAAAH+of/s=")</f>
        <v>#REF!</v>
      </c>
      <c r="IS255" t="e">
        <f>AND(#REF!,"AAAAAH+of/w=")</f>
        <v>#REF!</v>
      </c>
      <c r="IT255" t="e">
        <f>AND(#REF!,"AAAAAH+of/0=")</f>
        <v>#REF!</v>
      </c>
      <c r="IU255" t="e">
        <f>AND(#REF!,"AAAAAH+of/4=")</f>
        <v>#REF!</v>
      </c>
      <c r="IV255" t="e">
        <f>AND(#REF!,"AAAAAH+of/8=")</f>
        <v>#REF!</v>
      </c>
    </row>
    <row r="256" spans="1:256">
      <c r="A256" t="e">
        <f>AND(#REF!,"AAAAAF+75wA=")</f>
        <v>#REF!</v>
      </c>
      <c r="B256" t="e">
        <f>AND(#REF!,"AAAAAF+75wE=")</f>
        <v>#REF!</v>
      </c>
      <c r="C256" t="e">
        <f>AND(#REF!,"AAAAAF+75wI=")</f>
        <v>#REF!</v>
      </c>
      <c r="D256" t="e">
        <f>AND(#REF!,"AAAAAF+75wM=")</f>
        <v>#REF!</v>
      </c>
      <c r="E256" t="e">
        <f>AND(#REF!,"AAAAAF+75wQ=")</f>
        <v>#REF!</v>
      </c>
      <c r="F256" t="e">
        <f>IF(#REF!,"AAAAAF+75wU=",0)</f>
        <v>#REF!</v>
      </c>
      <c r="G256" t="e">
        <f>AND(#REF!,"AAAAAF+75wY=")</f>
        <v>#REF!</v>
      </c>
      <c r="H256" t="e">
        <f>AND(#REF!,"AAAAAF+75wc=")</f>
        <v>#REF!</v>
      </c>
      <c r="I256" t="e">
        <f>AND(#REF!,"AAAAAF+75wg=")</f>
        <v>#REF!</v>
      </c>
      <c r="J256" t="e">
        <f>AND(#REF!,"AAAAAF+75wk=")</f>
        <v>#REF!</v>
      </c>
      <c r="K256" t="e">
        <f>AND(#REF!,"AAAAAF+75wo=")</f>
        <v>#REF!</v>
      </c>
      <c r="L256" t="e">
        <f>AND(#REF!,"AAAAAF+75ws=")</f>
        <v>#REF!</v>
      </c>
      <c r="M256" t="e">
        <f>AND(#REF!,"AAAAAF+75ww=")</f>
        <v>#REF!</v>
      </c>
      <c r="N256" t="e">
        <f>AND(#REF!,"AAAAAF+75w0=")</f>
        <v>#REF!</v>
      </c>
      <c r="O256" t="e">
        <f>AND(#REF!,"AAAAAF+75w4=")</f>
        <v>#REF!</v>
      </c>
      <c r="P256" t="e">
        <f>AND(#REF!,"AAAAAF+75w8=")</f>
        <v>#REF!</v>
      </c>
      <c r="Q256" t="e">
        <f>AND(#REF!,"AAAAAF+75xA=")</f>
        <v>#REF!</v>
      </c>
      <c r="R256" t="e">
        <f>AND(#REF!,"AAAAAF+75xE=")</f>
        <v>#REF!</v>
      </c>
      <c r="S256" t="e">
        <f>AND(#REF!,"AAAAAF+75xI=")</f>
        <v>#REF!</v>
      </c>
      <c r="T256" t="e">
        <f>AND(#REF!,"AAAAAF+75xM=")</f>
        <v>#REF!</v>
      </c>
      <c r="U256" t="e">
        <f>AND(#REF!,"AAAAAF+75xQ=")</f>
        <v>#REF!</v>
      </c>
      <c r="V256" t="e">
        <f>AND(#REF!,"AAAAAF+75xU=")</f>
        <v>#REF!</v>
      </c>
      <c r="W256" t="e">
        <f>AND(#REF!,"AAAAAF+75xY=")</f>
        <v>#REF!</v>
      </c>
      <c r="X256" t="e">
        <f>AND(#REF!,"AAAAAF+75xc=")</f>
        <v>#REF!</v>
      </c>
      <c r="Y256" t="e">
        <f>AND(#REF!,"AAAAAF+75xg=")</f>
        <v>#REF!</v>
      </c>
      <c r="Z256" t="e">
        <f>AND(#REF!,"AAAAAF+75xk=")</f>
        <v>#REF!</v>
      </c>
      <c r="AA256" t="e">
        <f>AND(#REF!,"AAAAAF+75xo=")</f>
        <v>#REF!</v>
      </c>
      <c r="AB256" t="e">
        <f>AND(#REF!,"AAAAAF+75xs=")</f>
        <v>#REF!</v>
      </c>
      <c r="AC256" t="e">
        <f>AND(#REF!,"AAAAAF+75xw=")</f>
        <v>#REF!</v>
      </c>
      <c r="AD256" t="e">
        <f>AND(#REF!,"AAAAAF+75x0=")</f>
        <v>#REF!</v>
      </c>
      <c r="AE256" t="e">
        <f>IF(#REF!,"AAAAAF+75x4=",0)</f>
        <v>#REF!</v>
      </c>
      <c r="AF256" t="e">
        <f>AND(#REF!,"AAAAAF+75x8=")</f>
        <v>#REF!</v>
      </c>
      <c r="AG256" t="e">
        <f>AND(#REF!,"AAAAAF+75yA=")</f>
        <v>#REF!</v>
      </c>
      <c r="AH256" t="e">
        <f>AND(#REF!,"AAAAAF+75yE=")</f>
        <v>#REF!</v>
      </c>
      <c r="AI256" t="e">
        <f>AND(#REF!,"AAAAAF+75yI=")</f>
        <v>#REF!</v>
      </c>
      <c r="AJ256" t="e">
        <f>AND(#REF!,"AAAAAF+75yM=")</f>
        <v>#REF!</v>
      </c>
      <c r="AK256" t="e">
        <f>AND(#REF!,"AAAAAF+75yQ=")</f>
        <v>#REF!</v>
      </c>
      <c r="AL256" t="e">
        <f>AND(#REF!,"AAAAAF+75yU=")</f>
        <v>#REF!</v>
      </c>
      <c r="AM256" t="e">
        <f>AND(#REF!,"AAAAAF+75yY=")</f>
        <v>#REF!</v>
      </c>
      <c r="AN256" t="e">
        <f>AND(#REF!,"AAAAAF+75yc=")</f>
        <v>#REF!</v>
      </c>
      <c r="AO256" t="e">
        <f>AND(#REF!,"AAAAAF+75yg=")</f>
        <v>#REF!</v>
      </c>
      <c r="AP256" t="e">
        <f>AND(#REF!,"AAAAAF+75yk=")</f>
        <v>#REF!</v>
      </c>
      <c r="AQ256" t="e">
        <f>AND(#REF!,"AAAAAF+75yo=")</f>
        <v>#REF!</v>
      </c>
      <c r="AR256" t="e">
        <f>AND(#REF!,"AAAAAF+75ys=")</f>
        <v>#REF!</v>
      </c>
      <c r="AS256" t="e">
        <f>AND(#REF!,"AAAAAF+75yw=")</f>
        <v>#REF!</v>
      </c>
      <c r="AT256" t="e">
        <f>AND(#REF!,"AAAAAF+75y0=")</f>
        <v>#REF!</v>
      </c>
      <c r="AU256" t="e">
        <f>AND(#REF!,"AAAAAF+75y4=")</f>
        <v>#REF!</v>
      </c>
      <c r="AV256" t="e">
        <f>AND(#REF!,"AAAAAF+75y8=")</f>
        <v>#REF!</v>
      </c>
      <c r="AW256" t="e">
        <f>AND(#REF!,"AAAAAF+75zA=")</f>
        <v>#REF!</v>
      </c>
      <c r="AX256" t="e">
        <f>AND(#REF!,"AAAAAF+75zE=")</f>
        <v>#REF!</v>
      </c>
      <c r="AY256" t="e">
        <f>AND(#REF!,"AAAAAF+75zI=")</f>
        <v>#REF!</v>
      </c>
      <c r="AZ256" t="e">
        <f>AND(#REF!,"AAAAAF+75zM=")</f>
        <v>#REF!</v>
      </c>
      <c r="BA256" t="e">
        <f>AND(#REF!,"AAAAAF+75zQ=")</f>
        <v>#REF!</v>
      </c>
      <c r="BB256" t="e">
        <f>AND(#REF!,"AAAAAF+75zU=")</f>
        <v>#REF!</v>
      </c>
      <c r="BC256" t="e">
        <f>AND(#REF!,"AAAAAF+75zY=")</f>
        <v>#REF!</v>
      </c>
      <c r="BD256" t="e">
        <f>IF(#REF!,"AAAAAF+75zc=",0)</f>
        <v>#REF!</v>
      </c>
      <c r="BE256" t="e">
        <f>AND(#REF!,"AAAAAF+75zg=")</f>
        <v>#REF!</v>
      </c>
      <c r="BF256" t="e">
        <f>AND(#REF!,"AAAAAF+75zk=")</f>
        <v>#REF!</v>
      </c>
      <c r="BG256" t="e">
        <f>AND(#REF!,"AAAAAF+75zo=")</f>
        <v>#REF!</v>
      </c>
      <c r="BH256" t="e">
        <f>AND(#REF!,"AAAAAF+75zs=")</f>
        <v>#REF!</v>
      </c>
      <c r="BI256" t="e">
        <f>AND(#REF!,"AAAAAF+75zw=")</f>
        <v>#REF!</v>
      </c>
      <c r="BJ256" t="e">
        <f>AND(#REF!,"AAAAAF+75z0=")</f>
        <v>#REF!</v>
      </c>
      <c r="BK256" t="e">
        <f>AND(#REF!,"AAAAAF+75z4=")</f>
        <v>#REF!</v>
      </c>
      <c r="BL256" t="e">
        <f>AND(#REF!,"AAAAAF+75z8=")</f>
        <v>#REF!</v>
      </c>
      <c r="BM256" t="e">
        <f>AND(#REF!,"AAAAAF+750A=")</f>
        <v>#REF!</v>
      </c>
      <c r="BN256" t="e">
        <f>AND(#REF!,"AAAAAF+750E=")</f>
        <v>#REF!</v>
      </c>
      <c r="BO256" t="e">
        <f>AND(#REF!,"AAAAAF+750I=")</f>
        <v>#REF!</v>
      </c>
      <c r="BP256" t="e">
        <f>AND(#REF!,"AAAAAF+750M=")</f>
        <v>#REF!</v>
      </c>
      <c r="BQ256" t="e">
        <f>AND(#REF!,"AAAAAF+750Q=")</f>
        <v>#REF!</v>
      </c>
      <c r="BR256" t="e">
        <f>AND(#REF!,"AAAAAF+750U=")</f>
        <v>#REF!</v>
      </c>
      <c r="BS256" t="e">
        <f>AND(#REF!,"AAAAAF+750Y=")</f>
        <v>#REF!</v>
      </c>
      <c r="BT256" t="e">
        <f>AND(#REF!,"AAAAAF+750c=")</f>
        <v>#REF!</v>
      </c>
      <c r="BU256" t="e">
        <f>AND(#REF!,"AAAAAF+750g=")</f>
        <v>#REF!</v>
      </c>
      <c r="BV256" t="e">
        <f>AND(#REF!,"AAAAAF+750k=")</f>
        <v>#REF!</v>
      </c>
      <c r="BW256" t="e">
        <f>AND(#REF!,"AAAAAF+750o=")</f>
        <v>#REF!</v>
      </c>
      <c r="BX256" t="e">
        <f>AND(#REF!,"AAAAAF+750s=")</f>
        <v>#REF!</v>
      </c>
      <c r="BY256" t="e">
        <f>AND(#REF!,"AAAAAF+750w=")</f>
        <v>#REF!</v>
      </c>
      <c r="BZ256" t="e">
        <f>AND(#REF!,"AAAAAF+7500=")</f>
        <v>#REF!</v>
      </c>
      <c r="CA256" t="e">
        <f>AND(#REF!,"AAAAAF+7504=")</f>
        <v>#REF!</v>
      </c>
      <c r="CB256" t="e">
        <f>AND(#REF!,"AAAAAF+7508=")</f>
        <v>#REF!</v>
      </c>
      <c r="CC256" t="e">
        <f>IF(#REF!,"AAAAAF+751A=",0)</f>
        <v>#REF!</v>
      </c>
      <c r="CD256" t="e">
        <f>AND(#REF!,"AAAAAF+751E=")</f>
        <v>#REF!</v>
      </c>
      <c r="CE256" t="e">
        <f>AND(#REF!,"AAAAAF+751I=")</f>
        <v>#REF!</v>
      </c>
      <c r="CF256" t="e">
        <f>AND(#REF!,"AAAAAF+751M=")</f>
        <v>#REF!</v>
      </c>
      <c r="CG256" t="e">
        <f>AND(#REF!,"AAAAAF+751Q=")</f>
        <v>#REF!</v>
      </c>
      <c r="CH256" t="e">
        <f>AND(#REF!,"AAAAAF+751U=")</f>
        <v>#REF!</v>
      </c>
      <c r="CI256" t="e">
        <f>AND(#REF!,"AAAAAF+751Y=")</f>
        <v>#REF!</v>
      </c>
      <c r="CJ256" t="e">
        <f>AND(#REF!,"AAAAAF+751c=")</f>
        <v>#REF!</v>
      </c>
      <c r="CK256" t="e">
        <f>AND(#REF!,"AAAAAF+751g=")</f>
        <v>#REF!</v>
      </c>
      <c r="CL256" t="e">
        <f>AND(#REF!,"AAAAAF+751k=")</f>
        <v>#REF!</v>
      </c>
      <c r="CM256" t="e">
        <f>AND(#REF!,"AAAAAF+751o=")</f>
        <v>#REF!</v>
      </c>
      <c r="CN256" t="e">
        <f>AND(#REF!,"AAAAAF+751s=")</f>
        <v>#REF!</v>
      </c>
      <c r="CO256" t="e">
        <f>AND(#REF!,"AAAAAF+751w=")</f>
        <v>#REF!</v>
      </c>
      <c r="CP256" t="e">
        <f>AND(#REF!,"AAAAAF+7510=")</f>
        <v>#REF!</v>
      </c>
      <c r="CQ256" t="e">
        <f>AND(#REF!,"AAAAAF+7514=")</f>
        <v>#REF!</v>
      </c>
      <c r="CR256" t="e">
        <f>AND(#REF!,"AAAAAF+7518=")</f>
        <v>#REF!</v>
      </c>
      <c r="CS256" t="e">
        <f>AND(#REF!,"AAAAAF+752A=")</f>
        <v>#REF!</v>
      </c>
      <c r="CT256" t="e">
        <f>AND(#REF!,"AAAAAF+752E=")</f>
        <v>#REF!</v>
      </c>
      <c r="CU256" t="e">
        <f>AND(#REF!,"AAAAAF+752I=")</f>
        <v>#REF!</v>
      </c>
      <c r="CV256" t="e">
        <f>AND(#REF!,"AAAAAF+752M=")</f>
        <v>#REF!</v>
      </c>
      <c r="CW256" t="e">
        <f>AND(#REF!,"AAAAAF+752Q=")</f>
        <v>#REF!</v>
      </c>
      <c r="CX256" t="e">
        <f>AND(#REF!,"AAAAAF+752U=")</f>
        <v>#REF!</v>
      </c>
      <c r="CY256" t="e">
        <f>AND(#REF!,"AAAAAF+752Y=")</f>
        <v>#REF!</v>
      </c>
      <c r="CZ256" t="e">
        <f>AND(#REF!,"AAAAAF+752c=")</f>
        <v>#REF!</v>
      </c>
      <c r="DA256" t="e">
        <f>AND(#REF!,"AAAAAF+752g=")</f>
        <v>#REF!</v>
      </c>
      <c r="DB256" t="e">
        <f>IF(#REF!,"AAAAAF+752k=",0)</f>
        <v>#REF!</v>
      </c>
      <c r="DC256" t="e">
        <f>AND(#REF!,"AAAAAF+752o=")</f>
        <v>#REF!</v>
      </c>
      <c r="DD256" t="e">
        <f>AND(#REF!,"AAAAAF+752s=")</f>
        <v>#REF!</v>
      </c>
      <c r="DE256" t="e">
        <f>AND(#REF!,"AAAAAF+752w=")</f>
        <v>#REF!</v>
      </c>
      <c r="DF256" t="e">
        <f>AND(#REF!,"AAAAAF+7520=")</f>
        <v>#REF!</v>
      </c>
      <c r="DG256" t="e">
        <f>AND(#REF!,"AAAAAF+7524=")</f>
        <v>#REF!</v>
      </c>
      <c r="DH256" t="e">
        <f>AND(#REF!,"AAAAAF+7528=")</f>
        <v>#REF!</v>
      </c>
      <c r="DI256" t="e">
        <f>AND(#REF!,"AAAAAF+753A=")</f>
        <v>#REF!</v>
      </c>
      <c r="DJ256" t="e">
        <f>AND(#REF!,"AAAAAF+753E=")</f>
        <v>#REF!</v>
      </c>
      <c r="DK256" t="e">
        <f>AND(#REF!,"AAAAAF+753I=")</f>
        <v>#REF!</v>
      </c>
      <c r="DL256" t="e">
        <f>AND(#REF!,"AAAAAF+753M=")</f>
        <v>#REF!</v>
      </c>
      <c r="DM256" t="e">
        <f>AND(#REF!,"AAAAAF+753Q=")</f>
        <v>#REF!</v>
      </c>
      <c r="DN256" t="e">
        <f>AND(#REF!,"AAAAAF+753U=")</f>
        <v>#REF!</v>
      </c>
      <c r="DO256" t="e">
        <f>AND(#REF!,"AAAAAF+753Y=")</f>
        <v>#REF!</v>
      </c>
      <c r="DP256" t="e">
        <f>AND(#REF!,"AAAAAF+753c=")</f>
        <v>#REF!</v>
      </c>
      <c r="DQ256" t="e">
        <f>AND(#REF!,"AAAAAF+753g=")</f>
        <v>#REF!</v>
      </c>
      <c r="DR256" t="e">
        <f>AND(#REF!,"AAAAAF+753k=")</f>
        <v>#REF!</v>
      </c>
      <c r="DS256" t="e">
        <f>AND(#REF!,"AAAAAF+753o=")</f>
        <v>#REF!</v>
      </c>
      <c r="DT256" t="e">
        <f>AND(#REF!,"AAAAAF+753s=")</f>
        <v>#REF!</v>
      </c>
      <c r="DU256" t="e">
        <f>AND(#REF!,"AAAAAF+753w=")</f>
        <v>#REF!</v>
      </c>
      <c r="DV256" t="e">
        <f>AND(#REF!,"AAAAAF+7530=")</f>
        <v>#REF!</v>
      </c>
      <c r="DW256" t="e">
        <f>AND(#REF!,"AAAAAF+7534=")</f>
        <v>#REF!</v>
      </c>
      <c r="DX256" t="e">
        <f>AND(#REF!,"AAAAAF+7538=")</f>
        <v>#REF!</v>
      </c>
      <c r="DY256" t="e">
        <f>AND(#REF!,"AAAAAF+754A=")</f>
        <v>#REF!</v>
      </c>
      <c r="DZ256" t="e">
        <f>AND(#REF!,"AAAAAF+754E=")</f>
        <v>#REF!</v>
      </c>
      <c r="EA256" t="e">
        <f>IF(#REF!,"AAAAAF+754I=",0)</f>
        <v>#REF!</v>
      </c>
      <c r="EB256" t="e">
        <f>AND(#REF!,"AAAAAF+754M=")</f>
        <v>#REF!</v>
      </c>
      <c r="EC256" t="e">
        <f>AND(#REF!,"AAAAAF+754Q=")</f>
        <v>#REF!</v>
      </c>
      <c r="ED256" t="e">
        <f>AND(#REF!,"AAAAAF+754U=")</f>
        <v>#REF!</v>
      </c>
      <c r="EE256" t="e">
        <f>AND(#REF!,"AAAAAF+754Y=")</f>
        <v>#REF!</v>
      </c>
      <c r="EF256" t="e">
        <f>AND(#REF!,"AAAAAF+754c=")</f>
        <v>#REF!</v>
      </c>
      <c r="EG256" t="e">
        <f>AND(#REF!,"AAAAAF+754g=")</f>
        <v>#REF!</v>
      </c>
      <c r="EH256" t="e">
        <f>AND(#REF!,"AAAAAF+754k=")</f>
        <v>#REF!</v>
      </c>
      <c r="EI256" t="e">
        <f>AND(#REF!,"AAAAAF+754o=")</f>
        <v>#REF!</v>
      </c>
      <c r="EJ256" t="e">
        <f>AND(#REF!,"AAAAAF+754s=")</f>
        <v>#REF!</v>
      </c>
      <c r="EK256" t="e">
        <f>AND(#REF!,"AAAAAF+754w=")</f>
        <v>#REF!</v>
      </c>
      <c r="EL256" t="e">
        <f>AND(#REF!,"AAAAAF+7540=")</f>
        <v>#REF!</v>
      </c>
      <c r="EM256" t="e">
        <f>AND(#REF!,"AAAAAF+7544=")</f>
        <v>#REF!</v>
      </c>
      <c r="EN256" t="e">
        <f>AND(#REF!,"AAAAAF+7548=")</f>
        <v>#REF!</v>
      </c>
      <c r="EO256" t="e">
        <f>AND(#REF!,"AAAAAF+755A=")</f>
        <v>#REF!</v>
      </c>
      <c r="EP256" t="e">
        <f>AND(#REF!,"AAAAAF+755E=")</f>
        <v>#REF!</v>
      </c>
      <c r="EQ256" t="e">
        <f>AND(#REF!,"AAAAAF+755I=")</f>
        <v>#REF!</v>
      </c>
      <c r="ER256" t="e">
        <f>AND(#REF!,"AAAAAF+755M=")</f>
        <v>#REF!</v>
      </c>
      <c r="ES256" t="e">
        <f>AND(#REF!,"AAAAAF+755Q=")</f>
        <v>#REF!</v>
      </c>
      <c r="ET256" t="e">
        <f>AND(#REF!,"AAAAAF+755U=")</f>
        <v>#REF!</v>
      </c>
      <c r="EU256" t="e">
        <f>AND(#REF!,"AAAAAF+755Y=")</f>
        <v>#REF!</v>
      </c>
      <c r="EV256" t="e">
        <f>AND(#REF!,"AAAAAF+755c=")</f>
        <v>#REF!</v>
      </c>
      <c r="EW256" t="e">
        <f>AND(#REF!,"AAAAAF+755g=")</f>
        <v>#REF!</v>
      </c>
      <c r="EX256" t="e">
        <f>AND(#REF!,"AAAAAF+755k=")</f>
        <v>#REF!</v>
      </c>
      <c r="EY256" t="e">
        <f>AND(#REF!,"AAAAAF+755o=")</f>
        <v>#REF!</v>
      </c>
      <c r="EZ256" t="e">
        <f>IF(#REF!,"AAAAAF+755s=",0)</f>
        <v>#REF!</v>
      </c>
      <c r="FA256" t="e">
        <f>AND(#REF!,"AAAAAF+755w=")</f>
        <v>#REF!</v>
      </c>
      <c r="FB256" t="e">
        <f>AND(#REF!,"AAAAAF+7550=")</f>
        <v>#REF!</v>
      </c>
      <c r="FC256" t="e">
        <f>AND(#REF!,"AAAAAF+7554=")</f>
        <v>#REF!</v>
      </c>
      <c r="FD256" t="e">
        <f>AND(#REF!,"AAAAAF+7558=")</f>
        <v>#REF!</v>
      </c>
      <c r="FE256" t="e">
        <f>AND(#REF!,"AAAAAF+756A=")</f>
        <v>#REF!</v>
      </c>
      <c r="FF256" t="e">
        <f>AND(#REF!,"AAAAAF+756E=")</f>
        <v>#REF!</v>
      </c>
      <c r="FG256" t="e">
        <f>AND(#REF!,"AAAAAF+756I=")</f>
        <v>#REF!</v>
      </c>
      <c r="FH256" t="e">
        <f>AND(#REF!,"AAAAAF+756M=")</f>
        <v>#REF!</v>
      </c>
      <c r="FI256" t="e">
        <f>AND(#REF!,"AAAAAF+756Q=")</f>
        <v>#REF!</v>
      </c>
      <c r="FJ256" t="e">
        <f>AND(#REF!,"AAAAAF+756U=")</f>
        <v>#REF!</v>
      </c>
      <c r="FK256" t="e">
        <f>AND(#REF!,"AAAAAF+756Y=")</f>
        <v>#REF!</v>
      </c>
      <c r="FL256" t="e">
        <f>AND(#REF!,"AAAAAF+756c=")</f>
        <v>#REF!</v>
      </c>
      <c r="FM256" t="e">
        <f>AND(#REF!,"AAAAAF+756g=")</f>
        <v>#REF!</v>
      </c>
      <c r="FN256" t="e">
        <f>AND(#REF!,"AAAAAF+756k=")</f>
        <v>#REF!</v>
      </c>
      <c r="FO256" t="e">
        <f>AND(#REF!,"AAAAAF+756o=")</f>
        <v>#REF!</v>
      </c>
      <c r="FP256" t="e">
        <f>AND(#REF!,"AAAAAF+756s=")</f>
        <v>#REF!</v>
      </c>
      <c r="FQ256" t="e">
        <f>AND(#REF!,"AAAAAF+756w=")</f>
        <v>#REF!</v>
      </c>
      <c r="FR256" t="e">
        <f>AND(#REF!,"AAAAAF+7560=")</f>
        <v>#REF!</v>
      </c>
      <c r="FS256" t="e">
        <f>AND(#REF!,"AAAAAF+7564=")</f>
        <v>#REF!</v>
      </c>
      <c r="FT256" t="e">
        <f>AND(#REF!,"AAAAAF+7568=")</f>
        <v>#REF!</v>
      </c>
      <c r="FU256" t="e">
        <f>AND(#REF!,"AAAAAF+757A=")</f>
        <v>#REF!</v>
      </c>
      <c r="FV256" t="e">
        <f>AND(#REF!,"AAAAAF+757E=")</f>
        <v>#REF!</v>
      </c>
      <c r="FW256" t="e">
        <f>AND(#REF!,"AAAAAF+757I=")</f>
        <v>#REF!</v>
      </c>
      <c r="FX256" t="e">
        <f>AND(#REF!,"AAAAAF+757M=")</f>
        <v>#REF!</v>
      </c>
      <c r="FY256" t="e">
        <f>IF(#REF!,"AAAAAF+757Q=",0)</f>
        <v>#REF!</v>
      </c>
      <c r="FZ256" t="e">
        <f>AND(#REF!,"AAAAAF+757U=")</f>
        <v>#REF!</v>
      </c>
      <c r="GA256" t="e">
        <f>AND(#REF!,"AAAAAF+757Y=")</f>
        <v>#REF!</v>
      </c>
      <c r="GB256" t="e">
        <f>AND(#REF!,"AAAAAF+757c=")</f>
        <v>#REF!</v>
      </c>
      <c r="GC256" t="e">
        <f>AND(#REF!,"AAAAAF+757g=")</f>
        <v>#REF!</v>
      </c>
      <c r="GD256" t="e">
        <f>AND(#REF!,"AAAAAF+757k=")</f>
        <v>#REF!</v>
      </c>
      <c r="GE256" t="e">
        <f>AND(#REF!,"AAAAAF+757o=")</f>
        <v>#REF!</v>
      </c>
      <c r="GF256" t="e">
        <f>AND(#REF!,"AAAAAF+757s=")</f>
        <v>#REF!</v>
      </c>
      <c r="GG256" t="e">
        <f>AND(#REF!,"AAAAAF+757w=")</f>
        <v>#REF!</v>
      </c>
      <c r="GH256" t="e">
        <f>AND(#REF!,"AAAAAF+7570=")</f>
        <v>#REF!</v>
      </c>
      <c r="GI256" t="e">
        <f>AND(#REF!,"AAAAAF+7574=")</f>
        <v>#REF!</v>
      </c>
      <c r="GJ256" t="e">
        <f>AND(#REF!,"AAAAAF+7578=")</f>
        <v>#REF!</v>
      </c>
      <c r="GK256" t="e">
        <f>AND(#REF!,"AAAAAF+758A=")</f>
        <v>#REF!</v>
      </c>
      <c r="GL256" t="e">
        <f>AND(#REF!,"AAAAAF+758E=")</f>
        <v>#REF!</v>
      </c>
      <c r="GM256" t="e">
        <f>AND(#REF!,"AAAAAF+758I=")</f>
        <v>#REF!</v>
      </c>
      <c r="GN256" t="e">
        <f>AND(#REF!,"AAAAAF+758M=")</f>
        <v>#REF!</v>
      </c>
      <c r="GO256" t="e">
        <f>AND(#REF!,"AAAAAF+758Q=")</f>
        <v>#REF!</v>
      </c>
      <c r="GP256" t="e">
        <f>AND(#REF!,"AAAAAF+758U=")</f>
        <v>#REF!</v>
      </c>
      <c r="GQ256" t="e">
        <f>AND(#REF!,"AAAAAF+758Y=")</f>
        <v>#REF!</v>
      </c>
      <c r="GR256" t="e">
        <f>AND(#REF!,"AAAAAF+758c=")</f>
        <v>#REF!</v>
      </c>
      <c r="GS256" t="e">
        <f>AND(#REF!,"AAAAAF+758g=")</f>
        <v>#REF!</v>
      </c>
      <c r="GT256" t="e">
        <f>AND(#REF!,"AAAAAF+758k=")</f>
        <v>#REF!</v>
      </c>
      <c r="GU256" t="e">
        <f>AND(#REF!,"AAAAAF+758o=")</f>
        <v>#REF!</v>
      </c>
      <c r="GV256" t="e">
        <f>AND(#REF!,"AAAAAF+758s=")</f>
        <v>#REF!</v>
      </c>
      <c r="GW256" t="e">
        <f>AND(#REF!,"AAAAAF+758w=")</f>
        <v>#REF!</v>
      </c>
      <c r="GX256" t="e">
        <f>IF(#REF!,"AAAAAF+7580=",0)</f>
        <v>#REF!</v>
      </c>
      <c r="GY256" t="e">
        <f>AND(#REF!,"AAAAAF+7584=")</f>
        <v>#REF!</v>
      </c>
      <c r="GZ256" t="e">
        <f>AND(#REF!,"AAAAAF+7588=")</f>
        <v>#REF!</v>
      </c>
      <c r="HA256" t="e">
        <f>AND(#REF!,"AAAAAF+759A=")</f>
        <v>#REF!</v>
      </c>
      <c r="HB256" t="e">
        <f>AND(#REF!,"AAAAAF+759E=")</f>
        <v>#REF!</v>
      </c>
      <c r="HC256" t="e">
        <f>AND(#REF!,"AAAAAF+759I=")</f>
        <v>#REF!</v>
      </c>
      <c r="HD256" t="e">
        <f>AND(#REF!,"AAAAAF+759M=")</f>
        <v>#REF!</v>
      </c>
      <c r="HE256" t="e">
        <f>AND(#REF!,"AAAAAF+759Q=")</f>
        <v>#REF!</v>
      </c>
      <c r="HF256" t="e">
        <f>AND(#REF!,"AAAAAF+759U=")</f>
        <v>#REF!</v>
      </c>
      <c r="HG256" t="e">
        <f>AND(#REF!,"AAAAAF+759Y=")</f>
        <v>#REF!</v>
      </c>
      <c r="HH256" t="e">
        <f>AND(#REF!,"AAAAAF+759c=")</f>
        <v>#REF!</v>
      </c>
      <c r="HI256" t="e">
        <f>AND(#REF!,"AAAAAF+759g=")</f>
        <v>#REF!</v>
      </c>
      <c r="HJ256" t="e">
        <f>AND(#REF!,"AAAAAF+759k=")</f>
        <v>#REF!</v>
      </c>
      <c r="HK256" t="e">
        <f>AND(#REF!,"AAAAAF+759o=")</f>
        <v>#REF!</v>
      </c>
      <c r="HL256" t="e">
        <f>AND(#REF!,"AAAAAF+759s=")</f>
        <v>#REF!</v>
      </c>
      <c r="HM256" t="e">
        <f>AND(#REF!,"AAAAAF+759w=")</f>
        <v>#REF!</v>
      </c>
      <c r="HN256" t="e">
        <f>AND(#REF!,"AAAAAF+7590=")</f>
        <v>#REF!</v>
      </c>
      <c r="HO256" t="e">
        <f>AND(#REF!,"AAAAAF+7594=")</f>
        <v>#REF!</v>
      </c>
      <c r="HP256" t="e">
        <f>AND(#REF!,"AAAAAF+7598=")</f>
        <v>#REF!</v>
      </c>
      <c r="HQ256" t="e">
        <f>AND(#REF!,"AAAAAF+75+A=")</f>
        <v>#REF!</v>
      </c>
      <c r="HR256" t="e">
        <f>AND(#REF!,"AAAAAF+75+E=")</f>
        <v>#REF!</v>
      </c>
      <c r="HS256" t="e">
        <f>AND(#REF!,"AAAAAF+75+I=")</f>
        <v>#REF!</v>
      </c>
      <c r="HT256" t="e">
        <f>AND(#REF!,"AAAAAF+75+M=")</f>
        <v>#REF!</v>
      </c>
      <c r="HU256" t="e">
        <f>AND(#REF!,"AAAAAF+75+Q=")</f>
        <v>#REF!</v>
      </c>
      <c r="HV256" t="e">
        <f>AND(#REF!,"AAAAAF+75+U=")</f>
        <v>#REF!</v>
      </c>
      <c r="HW256" t="e">
        <f>IF(#REF!,"AAAAAF+75+Y=",0)</f>
        <v>#REF!</v>
      </c>
      <c r="HX256" t="e">
        <f>AND(#REF!,"AAAAAF+75+c=")</f>
        <v>#REF!</v>
      </c>
      <c r="HY256" t="e">
        <f>AND(#REF!,"AAAAAF+75+g=")</f>
        <v>#REF!</v>
      </c>
      <c r="HZ256" t="e">
        <f>AND(#REF!,"AAAAAF+75+k=")</f>
        <v>#REF!</v>
      </c>
      <c r="IA256" t="e">
        <f>AND(#REF!,"AAAAAF+75+o=")</f>
        <v>#REF!</v>
      </c>
      <c r="IB256" t="e">
        <f>AND(#REF!,"AAAAAF+75+s=")</f>
        <v>#REF!</v>
      </c>
      <c r="IC256" t="e">
        <f>AND(#REF!,"AAAAAF+75+w=")</f>
        <v>#REF!</v>
      </c>
      <c r="ID256" t="e">
        <f>AND(#REF!,"AAAAAF+75+0=")</f>
        <v>#REF!</v>
      </c>
      <c r="IE256" t="e">
        <f>AND(#REF!,"AAAAAF+75+4=")</f>
        <v>#REF!</v>
      </c>
      <c r="IF256" t="e">
        <f>AND(#REF!,"AAAAAF+75+8=")</f>
        <v>#REF!</v>
      </c>
      <c r="IG256" t="e">
        <f>AND(#REF!,"AAAAAF+75/A=")</f>
        <v>#REF!</v>
      </c>
      <c r="IH256" t="e">
        <f>AND(#REF!,"AAAAAF+75/E=")</f>
        <v>#REF!</v>
      </c>
      <c r="II256" t="e">
        <f>AND(#REF!,"AAAAAF+75/I=")</f>
        <v>#REF!</v>
      </c>
      <c r="IJ256" t="e">
        <f>AND(#REF!,"AAAAAF+75/M=")</f>
        <v>#REF!</v>
      </c>
      <c r="IK256" t="e">
        <f>AND(#REF!,"AAAAAF+75/Q=")</f>
        <v>#REF!</v>
      </c>
      <c r="IL256" t="e">
        <f>AND(#REF!,"AAAAAF+75/U=")</f>
        <v>#REF!</v>
      </c>
      <c r="IM256" t="e">
        <f>AND(#REF!,"AAAAAF+75/Y=")</f>
        <v>#REF!</v>
      </c>
      <c r="IN256" t="e">
        <f>AND(#REF!,"AAAAAF+75/c=")</f>
        <v>#REF!</v>
      </c>
      <c r="IO256" t="e">
        <f>AND(#REF!,"AAAAAF+75/g=")</f>
        <v>#REF!</v>
      </c>
      <c r="IP256" t="e">
        <f>AND(#REF!,"AAAAAF+75/k=")</f>
        <v>#REF!</v>
      </c>
      <c r="IQ256" t="e">
        <f>AND(#REF!,"AAAAAF+75/o=")</f>
        <v>#REF!</v>
      </c>
      <c r="IR256" t="e">
        <f>AND(#REF!,"AAAAAF+75/s=")</f>
        <v>#REF!</v>
      </c>
      <c r="IS256" t="e">
        <f>AND(#REF!,"AAAAAF+75/w=")</f>
        <v>#REF!</v>
      </c>
      <c r="IT256" t="e">
        <f>AND(#REF!,"AAAAAF+75/0=")</f>
        <v>#REF!</v>
      </c>
      <c r="IU256" t="e">
        <f>AND(#REF!,"AAAAAF+75/4=")</f>
        <v>#REF!</v>
      </c>
      <c r="IV256" t="e">
        <f>IF(#REF!,"AAAAAF+75/8=",0)</f>
        <v>#REF!</v>
      </c>
    </row>
    <row r="257" spans="1:256">
      <c r="A257" t="e">
        <f>AND(#REF!,"AAAAAHeZ9wA=")</f>
        <v>#REF!</v>
      </c>
      <c r="B257" t="e">
        <f>AND(#REF!,"AAAAAHeZ9wE=")</f>
        <v>#REF!</v>
      </c>
      <c r="C257" t="e">
        <f>AND(#REF!,"AAAAAHeZ9wI=")</f>
        <v>#REF!</v>
      </c>
      <c r="D257" t="e">
        <f>AND(#REF!,"AAAAAHeZ9wM=")</f>
        <v>#REF!</v>
      </c>
      <c r="E257" t="e">
        <f>AND(#REF!,"AAAAAHeZ9wQ=")</f>
        <v>#REF!</v>
      </c>
      <c r="F257" t="e">
        <f>AND(#REF!,"AAAAAHeZ9wU=")</f>
        <v>#REF!</v>
      </c>
      <c r="G257" t="e">
        <f>AND(#REF!,"AAAAAHeZ9wY=")</f>
        <v>#REF!</v>
      </c>
      <c r="H257" t="e">
        <f>AND(#REF!,"AAAAAHeZ9wc=")</f>
        <v>#REF!</v>
      </c>
      <c r="I257" t="e">
        <f>AND(#REF!,"AAAAAHeZ9wg=")</f>
        <v>#REF!</v>
      </c>
      <c r="J257" t="e">
        <f>AND(#REF!,"AAAAAHeZ9wk=")</f>
        <v>#REF!</v>
      </c>
      <c r="K257" t="e">
        <f>AND(#REF!,"AAAAAHeZ9wo=")</f>
        <v>#REF!</v>
      </c>
      <c r="L257" t="e">
        <f>AND(#REF!,"AAAAAHeZ9ws=")</f>
        <v>#REF!</v>
      </c>
      <c r="M257" t="e">
        <f>AND(#REF!,"AAAAAHeZ9ww=")</f>
        <v>#REF!</v>
      </c>
      <c r="N257" t="e">
        <f>AND(#REF!,"AAAAAHeZ9w0=")</f>
        <v>#REF!</v>
      </c>
      <c r="O257" t="e">
        <f>AND(#REF!,"AAAAAHeZ9w4=")</f>
        <v>#REF!</v>
      </c>
      <c r="P257" t="e">
        <f>AND(#REF!,"AAAAAHeZ9w8=")</f>
        <v>#REF!</v>
      </c>
      <c r="Q257" t="e">
        <f>AND(#REF!,"AAAAAHeZ9xA=")</f>
        <v>#REF!</v>
      </c>
      <c r="R257" t="e">
        <f>AND(#REF!,"AAAAAHeZ9xE=")</f>
        <v>#REF!</v>
      </c>
      <c r="S257" t="e">
        <f>AND(#REF!,"AAAAAHeZ9xI=")</f>
        <v>#REF!</v>
      </c>
      <c r="T257" t="e">
        <f>AND(#REF!,"AAAAAHeZ9xM=")</f>
        <v>#REF!</v>
      </c>
      <c r="U257" t="e">
        <f>AND(#REF!,"AAAAAHeZ9xQ=")</f>
        <v>#REF!</v>
      </c>
      <c r="V257" t="e">
        <f>AND(#REF!,"AAAAAHeZ9xU=")</f>
        <v>#REF!</v>
      </c>
      <c r="W257" t="e">
        <f>AND(#REF!,"AAAAAHeZ9xY=")</f>
        <v>#REF!</v>
      </c>
      <c r="X257" t="e">
        <f>AND(#REF!,"AAAAAHeZ9xc=")</f>
        <v>#REF!</v>
      </c>
      <c r="Y257" t="e">
        <f>IF(#REF!,"AAAAAHeZ9xg=",0)</f>
        <v>#REF!</v>
      </c>
      <c r="Z257" t="e">
        <f>AND(#REF!,"AAAAAHeZ9xk=")</f>
        <v>#REF!</v>
      </c>
      <c r="AA257" t="e">
        <f>AND(#REF!,"AAAAAHeZ9xo=")</f>
        <v>#REF!</v>
      </c>
      <c r="AB257" t="e">
        <f>AND(#REF!,"AAAAAHeZ9xs=")</f>
        <v>#REF!</v>
      </c>
      <c r="AC257" t="e">
        <f>AND(#REF!,"AAAAAHeZ9xw=")</f>
        <v>#REF!</v>
      </c>
      <c r="AD257" t="e">
        <f>AND(#REF!,"AAAAAHeZ9x0=")</f>
        <v>#REF!</v>
      </c>
      <c r="AE257" t="e">
        <f>AND(#REF!,"AAAAAHeZ9x4=")</f>
        <v>#REF!</v>
      </c>
      <c r="AF257" t="e">
        <f>AND(#REF!,"AAAAAHeZ9x8=")</f>
        <v>#REF!</v>
      </c>
      <c r="AG257" t="e">
        <f>AND(#REF!,"AAAAAHeZ9yA=")</f>
        <v>#REF!</v>
      </c>
      <c r="AH257" t="e">
        <f>AND(#REF!,"AAAAAHeZ9yE=")</f>
        <v>#REF!</v>
      </c>
      <c r="AI257" t="e">
        <f>AND(#REF!,"AAAAAHeZ9yI=")</f>
        <v>#REF!</v>
      </c>
      <c r="AJ257" t="e">
        <f>AND(#REF!,"AAAAAHeZ9yM=")</f>
        <v>#REF!</v>
      </c>
      <c r="AK257" t="e">
        <f>AND(#REF!,"AAAAAHeZ9yQ=")</f>
        <v>#REF!</v>
      </c>
      <c r="AL257" t="e">
        <f>AND(#REF!,"AAAAAHeZ9yU=")</f>
        <v>#REF!</v>
      </c>
      <c r="AM257" t="e">
        <f>AND(#REF!,"AAAAAHeZ9yY=")</f>
        <v>#REF!</v>
      </c>
      <c r="AN257" t="e">
        <f>AND(#REF!,"AAAAAHeZ9yc=")</f>
        <v>#REF!</v>
      </c>
      <c r="AO257" t="e">
        <f>AND(#REF!,"AAAAAHeZ9yg=")</f>
        <v>#REF!</v>
      </c>
      <c r="AP257" t="e">
        <f>AND(#REF!,"AAAAAHeZ9yk=")</f>
        <v>#REF!</v>
      </c>
      <c r="AQ257" t="e">
        <f>AND(#REF!,"AAAAAHeZ9yo=")</f>
        <v>#REF!</v>
      </c>
      <c r="AR257" t="e">
        <f>AND(#REF!,"AAAAAHeZ9ys=")</f>
        <v>#REF!</v>
      </c>
      <c r="AS257" t="e">
        <f>AND(#REF!,"AAAAAHeZ9yw=")</f>
        <v>#REF!</v>
      </c>
      <c r="AT257" t="e">
        <f>AND(#REF!,"AAAAAHeZ9y0=")</f>
        <v>#REF!</v>
      </c>
      <c r="AU257" t="e">
        <f>AND(#REF!,"AAAAAHeZ9y4=")</f>
        <v>#REF!</v>
      </c>
      <c r="AV257" t="e">
        <f>AND(#REF!,"AAAAAHeZ9y8=")</f>
        <v>#REF!</v>
      </c>
      <c r="AW257" t="e">
        <f>AND(#REF!,"AAAAAHeZ9zA=")</f>
        <v>#REF!</v>
      </c>
      <c r="AX257" t="e">
        <f>IF(#REF!,"AAAAAHeZ9zE=",0)</f>
        <v>#REF!</v>
      </c>
      <c r="AY257" t="e">
        <f>AND(#REF!,"AAAAAHeZ9zI=")</f>
        <v>#REF!</v>
      </c>
      <c r="AZ257" t="e">
        <f>AND(#REF!,"AAAAAHeZ9zM=")</f>
        <v>#REF!</v>
      </c>
      <c r="BA257" t="e">
        <f>AND(#REF!,"AAAAAHeZ9zQ=")</f>
        <v>#REF!</v>
      </c>
      <c r="BB257" t="e">
        <f>AND(#REF!,"AAAAAHeZ9zU=")</f>
        <v>#REF!</v>
      </c>
      <c r="BC257" t="e">
        <f>AND(#REF!,"AAAAAHeZ9zY=")</f>
        <v>#REF!</v>
      </c>
      <c r="BD257" t="e">
        <f>AND(#REF!,"AAAAAHeZ9zc=")</f>
        <v>#REF!</v>
      </c>
      <c r="BE257" t="e">
        <f>AND(#REF!,"AAAAAHeZ9zg=")</f>
        <v>#REF!</v>
      </c>
      <c r="BF257" t="e">
        <f>AND(#REF!,"AAAAAHeZ9zk=")</f>
        <v>#REF!</v>
      </c>
      <c r="BG257" t="e">
        <f>AND(#REF!,"AAAAAHeZ9zo=")</f>
        <v>#REF!</v>
      </c>
      <c r="BH257" t="e">
        <f>AND(#REF!,"AAAAAHeZ9zs=")</f>
        <v>#REF!</v>
      </c>
      <c r="BI257" t="e">
        <f>AND(#REF!,"AAAAAHeZ9zw=")</f>
        <v>#REF!</v>
      </c>
      <c r="BJ257" t="e">
        <f>AND(#REF!,"AAAAAHeZ9z0=")</f>
        <v>#REF!</v>
      </c>
      <c r="BK257" t="e">
        <f>AND(#REF!,"AAAAAHeZ9z4=")</f>
        <v>#REF!</v>
      </c>
      <c r="BL257" t="e">
        <f>AND(#REF!,"AAAAAHeZ9z8=")</f>
        <v>#REF!</v>
      </c>
      <c r="BM257" t="e">
        <f>AND(#REF!,"AAAAAHeZ90A=")</f>
        <v>#REF!</v>
      </c>
      <c r="BN257" t="e">
        <f>AND(#REF!,"AAAAAHeZ90E=")</f>
        <v>#REF!</v>
      </c>
      <c r="BO257" t="e">
        <f>AND(#REF!,"AAAAAHeZ90I=")</f>
        <v>#REF!</v>
      </c>
      <c r="BP257" t="e">
        <f>AND(#REF!,"AAAAAHeZ90M=")</f>
        <v>#REF!</v>
      </c>
      <c r="BQ257" t="e">
        <f>AND(#REF!,"AAAAAHeZ90Q=")</f>
        <v>#REF!</v>
      </c>
      <c r="BR257" t="e">
        <f>AND(#REF!,"AAAAAHeZ90U=")</f>
        <v>#REF!</v>
      </c>
      <c r="BS257" t="e">
        <f>AND(#REF!,"AAAAAHeZ90Y=")</f>
        <v>#REF!</v>
      </c>
      <c r="BT257" t="e">
        <f>AND(#REF!,"AAAAAHeZ90c=")</f>
        <v>#REF!</v>
      </c>
      <c r="BU257" t="e">
        <f>AND(#REF!,"AAAAAHeZ90g=")</f>
        <v>#REF!</v>
      </c>
      <c r="BV257" t="e">
        <f>AND(#REF!,"AAAAAHeZ90k=")</f>
        <v>#REF!</v>
      </c>
      <c r="BW257" t="e">
        <f>IF(#REF!,"AAAAAHeZ90o=",0)</f>
        <v>#REF!</v>
      </c>
      <c r="BX257" t="e">
        <f>AND(#REF!,"AAAAAHeZ90s=")</f>
        <v>#REF!</v>
      </c>
      <c r="BY257" t="e">
        <f>AND(#REF!,"AAAAAHeZ90w=")</f>
        <v>#REF!</v>
      </c>
      <c r="BZ257" t="e">
        <f>AND(#REF!,"AAAAAHeZ900=")</f>
        <v>#REF!</v>
      </c>
      <c r="CA257" t="e">
        <f>AND(#REF!,"AAAAAHeZ904=")</f>
        <v>#REF!</v>
      </c>
      <c r="CB257" t="e">
        <f>AND(#REF!,"AAAAAHeZ908=")</f>
        <v>#REF!</v>
      </c>
      <c r="CC257" t="e">
        <f>AND(#REF!,"AAAAAHeZ91A=")</f>
        <v>#REF!</v>
      </c>
      <c r="CD257" t="e">
        <f>AND(#REF!,"AAAAAHeZ91E=")</f>
        <v>#REF!</v>
      </c>
      <c r="CE257" t="e">
        <f>AND(#REF!,"AAAAAHeZ91I=")</f>
        <v>#REF!</v>
      </c>
      <c r="CF257" t="e">
        <f>AND(#REF!,"AAAAAHeZ91M=")</f>
        <v>#REF!</v>
      </c>
      <c r="CG257" t="e">
        <f>AND(#REF!,"AAAAAHeZ91Q=")</f>
        <v>#REF!</v>
      </c>
      <c r="CH257" t="e">
        <f>AND(#REF!,"AAAAAHeZ91U=")</f>
        <v>#REF!</v>
      </c>
      <c r="CI257" t="e">
        <f>AND(#REF!,"AAAAAHeZ91Y=")</f>
        <v>#REF!</v>
      </c>
      <c r="CJ257" t="e">
        <f>AND(#REF!,"AAAAAHeZ91c=")</f>
        <v>#REF!</v>
      </c>
      <c r="CK257" t="e">
        <f>AND(#REF!,"AAAAAHeZ91g=")</f>
        <v>#REF!</v>
      </c>
      <c r="CL257" t="e">
        <f>AND(#REF!,"AAAAAHeZ91k=")</f>
        <v>#REF!</v>
      </c>
      <c r="CM257" t="e">
        <f>AND(#REF!,"AAAAAHeZ91o=")</f>
        <v>#REF!</v>
      </c>
      <c r="CN257" t="e">
        <f>AND(#REF!,"AAAAAHeZ91s=")</f>
        <v>#REF!</v>
      </c>
      <c r="CO257" t="e">
        <f>AND(#REF!,"AAAAAHeZ91w=")</f>
        <v>#REF!</v>
      </c>
      <c r="CP257" t="e">
        <f>AND(#REF!,"AAAAAHeZ910=")</f>
        <v>#REF!</v>
      </c>
      <c r="CQ257" t="e">
        <f>AND(#REF!,"AAAAAHeZ914=")</f>
        <v>#REF!</v>
      </c>
      <c r="CR257" t="e">
        <f>AND(#REF!,"AAAAAHeZ918=")</f>
        <v>#REF!</v>
      </c>
      <c r="CS257" t="e">
        <f>AND(#REF!,"AAAAAHeZ92A=")</f>
        <v>#REF!</v>
      </c>
      <c r="CT257" t="e">
        <f>AND(#REF!,"AAAAAHeZ92E=")</f>
        <v>#REF!</v>
      </c>
      <c r="CU257" t="e">
        <f>AND(#REF!,"AAAAAHeZ92I=")</f>
        <v>#REF!</v>
      </c>
      <c r="CV257" t="e">
        <f>IF(#REF!,"AAAAAHeZ92M=",0)</f>
        <v>#REF!</v>
      </c>
      <c r="CW257" t="e">
        <f>AND(#REF!,"AAAAAHeZ92Q=")</f>
        <v>#REF!</v>
      </c>
      <c r="CX257" t="e">
        <f>AND(#REF!,"AAAAAHeZ92U=")</f>
        <v>#REF!</v>
      </c>
      <c r="CY257" t="e">
        <f>AND(#REF!,"AAAAAHeZ92Y=")</f>
        <v>#REF!</v>
      </c>
      <c r="CZ257" t="e">
        <f>AND(#REF!,"AAAAAHeZ92c=")</f>
        <v>#REF!</v>
      </c>
      <c r="DA257" t="e">
        <f>AND(#REF!,"AAAAAHeZ92g=")</f>
        <v>#REF!</v>
      </c>
      <c r="DB257" t="e">
        <f>AND(#REF!,"AAAAAHeZ92k=")</f>
        <v>#REF!</v>
      </c>
      <c r="DC257" t="e">
        <f>AND(#REF!,"AAAAAHeZ92o=")</f>
        <v>#REF!</v>
      </c>
      <c r="DD257" t="e">
        <f>AND(#REF!,"AAAAAHeZ92s=")</f>
        <v>#REF!</v>
      </c>
      <c r="DE257" t="e">
        <f>AND(#REF!,"AAAAAHeZ92w=")</f>
        <v>#REF!</v>
      </c>
      <c r="DF257" t="e">
        <f>AND(#REF!,"AAAAAHeZ920=")</f>
        <v>#REF!</v>
      </c>
      <c r="DG257" t="e">
        <f>AND(#REF!,"AAAAAHeZ924=")</f>
        <v>#REF!</v>
      </c>
      <c r="DH257" t="e">
        <f>AND(#REF!,"AAAAAHeZ928=")</f>
        <v>#REF!</v>
      </c>
      <c r="DI257" t="e">
        <f>AND(#REF!,"AAAAAHeZ93A=")</f>
        <v>#REF!</v>
      </c>
      <c r="DJ257" t="e">
        <f>AND(#REF!,"AAAAAHeZ93E=")</f>
        <v>#REF!</v>
      </c>
      <c r="DK257" t="e">
        <f>AND(#REF!,"AAAAAHeZ93I=")</f>
        <v>#REF!</v>
      </c>
      <c r="DL257" t="e">
        <f>AND(#REF!,"AAAAAHeZ93M=")</f>
        <v>#REF!</v>
      </c>
      <c r="DM257" t="e">
        <f>AND(#REF!,"AAAAAHeZ93Q=")</f>
        <v>#REF!</v>
      </c>
      <c r="DN257" t="e">
        <f>AND(#REF!,"AAAAAHeZ93U=")</f>
        <v>#REF!</v>
      </c>
      <c r="DO257" t="e">
        <f>AND(#REF!,"AAAAAHeZ93Y=")</f>
        <v>#REF!</v>
      </c>
      <c r="DP257" t="e">
        <f>AND(#REF!,"AAAAAHeZ93c=")</f>
        <v>#REF!</v>
      </c>
      <c r="DQ257" t="e">
        <f>AND(#REF!,"AAAAAHeZ93g=")</f>
        <v>#REF!</v>
      </c>
      <c r="DR257" t="e">
        <f>AND(#REF!,"AAAAAHeZ93k=")</f>
        <v>#REF!</v>
      </c>
      <c r="DS257" t="e">
        <f>AND(#REF!,"AAAAAHeZ93o=")</f>
        <v>#REF!</v>
      </c>
      <c r="DT257" t="e">
        <f>AND(#REF!,"AAAAAHeZ93s=")</f>
        <v>#REF!</v>
      </c>
      <c r="DU257" t="e">
        <f>IF(#REF!,"AAAAAHeZ93w=",0)</f>
        <v>#REF!</v>
      </c>
      <c r="DV257" t="e">
        <f>AND(#REF!,"AAAAAHeZ930=")</f>
        <v>#REF!</v>
      </c>
      <c r="DW257" t="e">
        <f>AND(#REF!,"AAAAAHeZ934=")</f>
        <v>#REF!</v>
      </c>
      <c r="DX257" t="e">
        <f>AND(#REF!,"AAAAAHeZ938=")</f>
        <v>#REF!</v>
      </c>
      <c r="DY257" t="e">
        <f>AND(#REF!,"AAAAAHeZ94A=")</f>
        <v>#REF!</v>
      </c>
      <c r="DZ257" t="e">
        <f>AND(#REF!,"AAAAAHeZ94E=")</f>
        <v>#REF!</v>
      </c>
      <c r="EA257" t="e">
        <f>AND(#REF!,"AAAAAHeZ94I=")</f>
        <v>#REF!</v>
      </c>
      <c r="EB257" t="e">
        <f>AND(#REF!,"AAAAAHeZ94M=")</f>
        <v>#REF!</v>
      </c>
      <c r="EC257" t="e">
        <f>AND(#REF!,"AAAAAHeZ94Q=")</f>
        <v>#REF!</v>
      </c>
      <c r="ED257" t="e">
        <f>AND(#REF!,"AAAAAHeZ94U=")</f>
        <v>#REF!</v>
      </c>
      <c r="EE257" t="e">
        <f>AND(#REF!,"AAAAAHeZ94Y=")</f>
        <v>#REF!</v>
      </c>
      <c r="EF257" t="e">
        <f>AND(#REF!,"AAAAAHeZ94c=")</f>
        <v>#REF!</v>
      </c>
      <c r="EG257" t="e">
        <f>AND(#REF!,"AAAAAHeZ94g=")</f>
        <v>#REF!</v>
      </c>
      <c r="EH257" t="e">
        <f>AND(#REF!,"AAAAAHeZ94k=")</f>
        <v>#REF!</v>
      </c>
      <c r="EI257" t="e">
        <f>AND(#REF!,"AAAAAHeZ94o=")</f>
        <v>#REF!</v>
      </c>
      <c r="EJ257" t="e">
        <f>AND(#REF!,"AAAAAHeZ94s=")</f>
        <v>#REF!</v>
      </c>
      <c r="EK257" t="e">
        <f>AND(#REF!,"AAAAAHeZ94w=")</f>
        <v>#REF!</v>
      </c>
      <c r="EL257" t="e">
        <f>AND(#REF!,"AAAAAHeZ940=")</f>
        <v>#REF!</v>
      </c>
      <c r="EM257" t="e">
        <f>AND(#REF!,"AAAAAHeZ944=")</f>
        <v>#REF!</v>
      </c>
      <c r="EN257" t="e">
        <f>AND(#REF!,"AAAAAHeZ948=")</f>
        <v>#REF!</v>
      </c>
      <c r="EO257" t="e">
        <f>AND(#REF!,"AAAAAHeZ95A=")</f>
        <v>#REF!</v>
      </c>
      <c r="EP257" t="e">
        <f>AND(#REF!,"AAAAAHeZ95E=")</f>
        <v>#REF!</v>
      </c>
      <c r="EQ257" t="e">
        <f>AND(#REF!,"AAAAAHeZ95I=")</f>
        <v>#REF!</v>
      </c>
      <c r="ER257" t="e">
        <f>AND(#REF!,"AAAAAHeZ95M=")</f>
        <v>#REF!</v>
      </c>
      <c r="ES257" t="e">
        <f>AND(#REF!,"AAAAAHeZ95Q=")</f>
        <v>#REF!</v>
      </c>
      <c r="ET257" t="e">
        <f>IF(#REF!,"AAAAAHeZ95U=",0)</f>
        <v>#REF!</v>
      </c>
      <c r="EU257" t="e">
        <f>AND(#REF!,"AAAAAHeZ95Y=")</f>
        <v>#REF!</v>
      </c>
      <c r="EV257" t="e">
        <f>AND(#REF!,"AAAAAHeZ95c=")</f>
        <v>#REF!</v>
      </c>
      <c r="EW257" t="e">
        <f>AND(#REF!,"AAAAAHeZ95g=")</f>
        <v>#REF!</v>
      </c>
      <c r="EX257" t="e">
        <f>AND(#REF!,"AAAAAHeZ95k=")</f>
        <v>#REF!</v>
      </c>
      <c r="EY257" t="e">
        <f>AND(#REF!,"AAAAAHeZ95o=")</f>
        <v>#REF!</v>
      </c>
      <c r="EZ257" t="e">
        <f>AND(#REF!,"AAAAAHeZ95s=")</f>
        <v>#REF!</v>
      </c>
      <c r="FA257" t="e">
        <f>AND(#REF!,"AAAAAHeZ95w=")</f>
        <v>#REF!</v>
      </c>
      <c r="FB257" t="e">
        <f>AND(#REF!,"AAAAAHeZ950=")</f>
        <v>#REF!</v>
      </c>
      <c r="FC257" t="e">
        <f>AND(#REF!,"AAAAAHeZ954=")</f>
        <v>#REF!</v>
      </c>
      <c r="FD257" t="e">
        <f>AND(#REF!,"AAAAAHeZ958=")</f>
        <v>#REF!</v>
      </c>
      <c r="FE257" t="e">
        <f>AND(#REF!,"AAAAAHeZ96A=")</f>
        <v>#REF!</v>
      </c>
      <c r="FF257" t="e">
        <f>AND(#REF!,"AAAAAHeZ96E=")</f>
        <v>#REF!</v>
      </c>
      <c r="FG257" t="e">
        <f>AND(#REF!,"AAAAAHeZ96I=")</f>
        <v>#REF!</v>
      </c>
      <c r="FH257" t="e">
        <f>AND(#REF!,"AAAAAHeZ96M=")</f>
        <v>#REF!</v>
      </c>
      <c r="FI257" t="e">
        <f>AND(#REF!,"AAAAAHeZ96Q=")</f>
        <v>#REF!</v>
      </c>
      <c r="FJ257" t="e">
        <f>AND(#REF!,"AAAAAHeZ96U=")</f>
        <v>#REF!</v>
      </c>
      <c r="FK257" t="e">
        <f>AND(#REF!,"AAAAAHeZ96Y=")</f>
        <v>#REF!</v>
      </c>
      <c r="FL257" t="e">
        <f>AND(#REF!,"AAAAAHeZ96c=")</f>
        <v>#REF!</v>
      </c>
      <c r="FM257" t="e">
        <f>AND(#REF!,"AAAAAHeZ96g=")</f>
        <v>#REF!</v>
      </c>
      <c r="FN257" t="e">
        <f>AND(#REF!,"AAAAAHeZ96k=")</f>
        <v>#REF!</v>
      </c>
      <c r="FO257" t="e">
        <f>AND(#REF!,"AAAAAHeZ96o=")</f>
        <v>#REF!</v>
      </c>
      <c r="FP257" t="e">
        <f>AND(#REF!,"AAAAAHeZ96s=")</f>
        <v>#REF!</v>
      </c>
      <c r="FQ257" t="e">
        <f>AND(#REF!,"AAAAAHeZ96w=")</f>
        <v>#REF!</v>
      </c>
      <c r="FR257" t="e">
        <f>AND(#REF!,"AAAAAHeZ960=")</f>
        <v>#REF!</v>
      </c>
      <c r="FS257" t="e">
        <f>IF(#REF!,"AAAAAHeZ964=",0)</f>
        <v>#REF!</v>
      </c>
      <c r="FT257" t="e">
        <f>AND(#REF!,"AAAAAHeZ968=")</f>
        <v>#REF!</v>
      </c>
      <c r="FU257" t="e">
        <f>AND(#REF!,"AAAAAHeZ97A=")</f>
        <v>#REF!</v>
      </c>
      <c r="FV257" t="e">
        <f>AND(#REF!,"AAAAAHeZ97E=")</f>
        <v>#REF!</v>
      </c>
      <c r="FW257" t="e">
        <f>AND(#REF!,"AAAAAHeZ97I=")</f>
        <v>#REF!</v>
      </c>
      <c r="FX257" t="e">
        <f>AND(#REF!,"AAAAAHeZ97M=")</f>
        <v>#REF!</v>
      </c>
      <c r="FY257" t="e">
        <f>AND(#REF!,"AAAAAHeZ97Q=")</f>
        <v>#REF!</v>
      </c>
      <c r="FZ257" t="e">
        <f>AND(#REF!,"AAAAAHeZ97U=")</f>
        <v>#REF!</v>
      </c>
      <c r="GA257" t="e">
        <f>AND(#REF!,"AAAAAHeZ97Y=")</f>
        <v>#REF!</v>
      </c>
      <c r="GB257" t="e">
        <f>AND(#REF!,"AAAAAHeZ97c=")</f>
        <v>#REF!</v>
      </c>
      <c r="GC257" t="e">
        <f>AND(#REF!,"AAAAAHeZ97g=")</f>
        <v>#REF!</v>
      </c>
      <c r="GD257" t="e">
        <f>AND(#REF!,"AAAAAHeZ97k=")</f>
        <v>#REF!</v>
      </c>
      <c r="GE257" t="e">
        <f>AND(#REF!,"AAAAAHeZ97o=")</f>
        <v>#REF!</v>
      </c>
      <c r="GF257" t="e">
        <f>AND(#REF!,"AAAAAHeZ97s=")</f>
        <v>#REF!</v>
      </c>
      <c r="GG257" t="e">
        <f>AND(#REF!,"AAAAAHeZ97w=")</f>
        <v>#REF!</v>
      </c>
      <c r="GH257" t="e">
        <f>AND(#REF!,"AAAAAHeZ970=")</f>
        <v>#REF!</v>
      </c>
      <c r="GI257" t="e">
        <f>AND(#REF!,"AAAAAHeZ974=")</f>
        <v>#REF!</v>
      </c>
      <c r="GJ257" t="e">
        <f>AND(#REF!,"AAAAAHeZ978=")</f>
        <v>#REF!</v>
      </c>
      <c r="GK257" t="e">
        <f>AND(#REF!,"AAAAAHeZ98A=")</f>
        <v>#REF!</v>
      </c>
      <c r="GL257" t="e">
        <f>AND(#REF!,"AAAAAHeZ98E=")</f>
        <v>#REF!</v>
      </c>
      <c r="GM257" t="e">
        <f>AND(#REF!,"AAAAAHeZ98I=")</f>
        <v>#REF!</v>
      </c>
      <c r="GN257" t="e">
        <f>AND(#REF!,"AAAAAHeZ98M=")</f>
        <v>#REF!</v>
      </c>
      <c r="GO257" t="e">
        <f>AND(#REF!,"AAAAAHeZ98Q=")</f>
        <v>#REF!</v>
      </c>
      <c r="GP257" t="e">
        <f>AND(#REF!,"AAAAAHeZ98U=")</f>
        <v>#REF!</v>
      </c>
      <c r="GQ257" t="e">
        <f>AND(#REF!,"AAAAAHeZ98Y=")</f>
        <v>#REF!</v>
      </c>
      <c r="GR257" t="e">
        <f>IF(#REF!,"AAAAAHeZ98c=",0)</f>
        <v>#REF!</v>
      </c>
      <c r="GS257" t="e">
        <f>AND(#REF!,"AAAAAHeZ98g=")</f>
        <v>#REF!</v>
      </c>
      <c r="GT257" t="e">
        <f>AND(#REF!,"AAAAAHeZ98k=")</f>
        <v>#REF!</v>
      </c>
      <c r="GU257" t="e">
        <f>AND(#REF!,"AAAAAHeZ98o=")</f>
        <v>#REF!</v>
      </c>
      <c r="GV257" t="e">
        <f>AND(#REF!,"AAAAAHeZ98s=")</f>
        <v>#REF!</v>
      </c>
      <c r="GW257" t="e">
        <f>AND(#REF!,"AAAAAHeZ98w=")</f>
        <v>#REF!</v>
      </c>
      <c r="GX257" t="e">
        <f>AND(#REF!,"AAAAAHeZ980=")</f>
        <v>#REF!</v>
      </c>
      <c r="GY257" t="e">
        <f>AND(#REF!,"AAAAAHeZ984=")</f>
        <v>#REF!</v>
      </c>
      <c r="GZ257" t="e">
        <f>AND(#REF!,"AAAAAHeZ988=")</f>
        <v>#REF!</v>
      </c>
      <c r="HA257" t="e">
        <f>AND(#REF!,"AAAAAHeZ99A=")</f>
        <v>#REF!</v>
      </c>
      <c r="HB257" t="e">
        <f>AND(#REF!,"AAAAAHeZ99E=")</f>
        <v>#REF!</v>
      </c>
      <c r="HC257" t="e">
        <f>AND(#REF!,"AAAAAHeZ99I=")</f>
        <v>#REF!</v>
      </c>
      <c r="HD257" t="e">
        <f>AND(#REF!,"AAAAAHeZ99M=")</f>
        <v>#REF!</v>
      </c>
      <c r="HE257" t="e">
        <f>AND(#REF!,"AAAAAHeZ99Q=")</f>
        <v>#REF!</v>
      </c>
      <c r="HF257" t="e">
        <f>AND(#REF!,"AAAAAHeZ99U=")</f>
        <v>#REF!</v>
      </c>
      <c r="HG257" t="e">
        <f>AND(#REF!,"AAAAAHeZ99Y=")</f>
        <v>#REF!</v>
      </c>
      <c r="HH257" t="e">
        <f>AND(#REF!,"AAAAAHeZ99c=")</f>
        <v>#REF!</v>
      </c>
      <c r="HI257" t="e">
        <f>AND(#REF!,"AAAAAHeZ99g=")</f>
        <v>#REF!</v>
      </c>
      <c r="HJ257" t="e">
        <f>AND(#REF!,"AAAAAHeZ99k=")</f>
        <v>#REF!</v>
      </c>
      <c r="HK257" t="e">
        <f>AND(#REF!,"AAAAAHeZ99o=")</f>
        <v>#REF!</v>
      </c>
      <c r="HL257" t="e">
        <f>AND(#REF!,"AAAAAHeZ99s=")</f>
        <v>#REF!</v>
      </c>
      <c r="HM257" t="e">
        <f>AND(#REF!,"AAAAAHeZ99w=")</f>
        <v>#REF!</v>
      </c>
      <c r="HN257" t="e">
        <f>AND(#REF!,"AAAAAHeZ990=")</f>
        <v>#REF!</v>
      </c>
      <c r="HO257" t="e">
        <f>AND(#REF!,"AAAAAHeZ994=")</f>
        <v>#REF!</v>
      </c>
      <c r="HP257" t="e">
        <f>AND(#REF!,"AAAAAHeZ998=")</f>
        <v>#REF!</v>
      </c>
      <c r="HQ257" t="e">
        <f>IF(#REF!,"AAAAAHeZ9+A=",0)</f>
        <v>#REF!</v>
      </c>
      <c r="HR257" t="e">
        <f>AND(#REF!,"AAAAAHeZ9+E=")</f>
        <v>#REF!</v>
      </c>
      <c r="HS257" t="e">
        <f>AND(#REF!,"AAAAAHeZ9+I=")</f>
        <v>#REF!</v>
      </c>
      <c r="HT257" t="e">
        <f>AND(#REF!,"AAAAAHeZ9+M=")</f>
        <v>#REF!</v>
      </c>
      <c r="HU257" t="e">
        <f>AND(#REF!,"AAAAAHeZ9+Q=")</f>
        <v>#REF!</v>
      </c>
      <c r="HV257" t="e">
        <f>AND(#REF!,"AAAAAHeZ9+U=")</f>
        <v>#REF!</v>
      </c>
      <c r="HW257" t="e">
        <f>AND(#REF!,"AAAAAHeZ9+Y=")</f>
        <v>#REF!</v>
      </c>
      <c r="HX257" t="e">
        <f>AND(#REF!,"AAAAAHeZ9+c=")</f>
        <v>#REF!</v>
      </c>
      <c r="HY257" t="e">
        <f>AND(#REF!,"AAAAAHeZ9+g=")</f>
        <v>#REF!</v>
      </c>
      <c r="HZ257" t="e">
        <f>AND(#REF!,"AAAAAHeZ9+k=")</f>
        <v>#REF!</v>
      </c>
      <c r="IA257" t="e">
        <f>AND(#REF!,"AAAAAHeZ9+o=")</f>
        <v>#REF!</v>
      </c>
      <c r="IB257" t="e">
        <f>AND(#REF!,"AAAAAHeZ9+s=")</f>
        <v>#REF!</v>
      </c>
      <c r="IC257" t="e">
        <f>AND(#REF!,"AAAAAHeZ9+w=")</f>
        <v>#REF!</v>
      </c>
      <c r="ID257" t="e">
        <f>AND(#REF!,"AAAAAHeZ9+0=")</f>
        <v>#REF!</v>
      </c>
      <c r="IE257" t="e">
        <f>AND(#REF!,"AAAAAHeZ9+4=")</f>
        <v>#REF!</v>
      </c>
      <c r="IF257" t="e">
        <f>AND(#REF!,"AAAAAHeZ9+8=")</f>
        <v>#REF!</v>
      </c>
      <c r="IG257" t="e">
        <f>AND(#REF!,"AAAAAHeZ9/A=")</f>
        <v>#REF!</v>
      </c>
      <c r="IH257" t="e">
        <f>AND(#REF!,"AAAAAHeZ9/E=")</f>
        <v>#REF!</v>
      </c>
      <c r="II257" t="e">
        <f>AND(#REF!,"AAAAAHeZ9/I=")</f>
        <v>#REF!</v>
      </c>
      <c r="IJ257" t="e">
        <f>AND(#REF!,"AAAAAHeZ9/M=")</f>
        <v>#REF!</v>
      </c>
      <c r="IK257" t="e">
        <f>AND(#REF!,"AAAAAHeZ9/Q=")</f>
        <v>#REF!</v>
      </c>
      <c r="IL257" t="e">
        <f>AND(#REF!,"AAAAAHeZ9/U=")</f>
        <v>#REF!</v>
      </c>
      <c r="IM257" t="e">
        <f>AND(#REF!,"AAAAAHeZ9/Y=")</f>
        <v>#REF!</v>
      </c>
      <c r="IN257" t="e">
        <f>AND(#REF!,"AAAAAHeZ9/c=")</f>
        <v>#REF!</v>
      </c>
      <c r="IO257" t="e">
        <f>AND(#REF!,"AAAAAHeZ9/g=")</f>
        <v>#REF!</v>
      </c>
      <c r="IP257" t="e">
        <f>IF(#REF!,"AAAAAHeZ9/k=",0)</f>
        <v>#REF!</v>
      </c>
      <c r="IQ257" t="e">
        <f>AND(#REF!,"AAAAAHeZ9/o=")</f>
        <v>#REF!</v>
      </c>
      <c r="IR257" t="e">
        <f>AND(#REF!,"AAAAAHeZ9/s=")</f>
        <v>#REF!</v>
      </c>
      <c r="IS257" t="e">
        <f>AND(#REF!,"AAAAAHeZ9/w=")</f>
        <v>#REF!</v>
      </c>
      <c r="IT257" t="e">
        <f>AND(#REF!,"AAAAAHeZ9/0=")</f>
        <v>#REF!</v>
      </c>
      <c r="IU257" t="e">
        <f>AND(#REF!,"AAAAAHeZ9/4=")</f>
        <v>#REF!</v>
      </c>
      <c r="IV257" t="e">
        <f>AND(#REF!,"AAAAAHeZ9/8=")</f>
        <v>#REF!</v>
      </c>
    </row>
    <row r="258" spans="1:256">
      <c r="A258" t="e">
        <f>AND(#REF!,"AAAAAHW/7wA=")</f>
        <v>#REF!</v>
      </c>
      <c r="B258" t="e">
        <f>AND(#REF!,"AAAAAHW/7wE=")</f>
        <v>#REF!</v>
      </c>
      <c r="C258" t="e">
        <f>AND(#REF!,"AAAAAHW/7wI=")</f>
        <v>#REF!</v>
      </c>
      <c r="D258" t="e">
        <f>AND(#REF!,"AAAAAHW/7wM=")</f>
        <v>#REF!</v>
      </c>
      <c r="E258" t="e">
        <f>AND(#REF!,"AAAAAHW/7wQ=")</f>
        <v>#REF!</v>
      </c>
      <c r="F258" t="e">
        <f>AND(#REF!,"AAAAAHW/7wU=")</f>
        <v>#REF!</v>
      </c>
      <c r="G258" t="e">
        <f>AND(#REF!,"AAAAAHW/7wY=")</f>
        <v>#REF!</v>
      </c>
      <c r="H258" t="e">
        <f>AND(#REF!,"AAAAAHW/7wc=")</f>
        <v>#REF!</v>
      </c>
      <c r="I258" t="e">
        <f>AND(#REF!,"AAAAAHW/7wg=")</f>
        <v>#REF!</v>
      </c>
      <c r="J258" t="e">
        <f>AND(#REF!,"AAAAAHW/7wk=")</f>
        <v>#REF!</v>
      </c>
      <c r="K258" t="e">
        <f>AND(#REF!,"AAAAAHW/7wo=")</f>
        <v>#REF!</v>
      </c>
      <c r="L258" t="e">
        <f>AND(#REF!,"AAAAAHW/7ws=")</f>
        <v>#REF!</v>
      </c>
      <c r="M258" t="e">
        <f>AND(#REF!,"AAAAAHW/7ww=")</f>
        <v>#REF!</v>
      </c>
      <c r="N258" t="e">
        <f>AND(#REF!,"AAAAAHW/7w0=")</f>
        <v>#REF!</v>
      </c>
      <c r="O258" t="e">
        <f>AND(#REF!,"AAAAAHW/7w4=")</f>
        <v>#REF!</v>
      </c>
      <c r="P258" t="e">
        <f>AND(#REF!,"AAAAAHW/7w8=")</f>
        <v>#REF!</v>
      </c>
      <c r="Q258" t="e">
        <f>AND(#REF!,"AAAAAHW/7xA=")</f>
        <v>#REF!</v>
      </c>
      <c r="R258" t="e">
        <f>AND(#REF!,"AAAAAHW/7xE=")</f>
        <v>#REF!</v>
      </c>
      <c r="S258" t="e">
        <f>IF(#REF!,"AAAAAHW/7xI=",0)</f>
        <v>#REF!</v>
      </c>
      <c r="T258" t="e">
        <f>AND(#REF!,"AAAAAHW/7xM=")</f>
        <v>#REF!</v>
      </c>
      <c r="U258" t="e">
        <f>AND(#REF!,"AAAAAHW/7xQ=")</f>
        <v>#REF!</v>
      </c>
      <c r="V258" t="e">
        <f>AND(#REF!,"AAAAAHW/7xU=")</f>
        <v>#REF!</v>
      </c>
      <c r="W258" t="e">
        <f>AND(#REF!,"AAAAAHW/7xY=")</f>
        <v>#REF!</v>
      </c>
      <c r="X258" t="e">
        <f>AND(#REF!,"AAAAAHW/7xc=")</f>
        <v>#REF!</v>
      </c>
      <c r="Y258" t="e">
        <f>AND(#REF!,"AAAAAHW/7xg=")</f>
        <v>#REF!</v>
      </c>
      <c r="Z258" t="e">
        <f>AND(#REF!,"AAAAAHW/7xk=")</f>
        <v>#REF!</v>
      </c>
      <c r="AA258" t="e">
        <f>AND(#REF!,"AAAAAHW/7xo=")</f>
        <v>#REF!</v>
      </c>
      <c r="AB258" t="e">
        <f>AND(#REF!,"AAAAAHW/7xs=")</f>
        <v>#REF!</v>
      </c>
      <c r="AC258" t="e">
        <f>AND(#REF!,"AAAAAHW/7xw=")</f>
        <v>#REF!</v>
      </c>
      <c r="AD258" t="e">
        <f>AND(#REF!,"AAAAAHW/7x0=")</f>
        <v>#REF!</v>
      </c>
      <c r="AE258" t="e">
        <f>AND(#REF!,"AAAAAHW/7x4=")</f>
        <v>#REF!</v>
      </c>
      <c r="AF258" t="e">
        <f>AND(#REF!,"AAAAAHW/7x8=")</f>
        <v>#REF!</v>
      </c>
      <c r="AG258" t="e">
        <f>AND(#REF!,"AAAAAHW/7yA=")</f>
        <v>#REF!</v>
      </c>
      <c r="AH258" t="e">
        <f>AND(#REF!,"AAAAAHW/7yE=")</f>
        <v>#REF!</v>
      </c>
      <c r="AI258" t="e">
        <f>AND(#REF!,"AAAAAHW/7yI=")</f>
        <v>#REF!</v>
      </c>
      <c r="AJ258" t="e">
        <f>AND(#REF!,"AAAAAHW/7yM=")</f>
        <v>#REF!</v>
      </c>
      <c r="AK258" t="e">
        <f>AND(#REF!,"AAAAAHW/7yQ=")</f>
        <v>#REF!</v>
      </c>
      <c r="AL258" t="e">
        <f>AND(#REF!,"AAAAAHW/7yU=")</f>
        <v>#REF!</v>
      </c>
      <c r="AM258" t="e">
        <f>AND(#REF!,"AAAAAHW/7yY=")</f>
        <v>#REF!</v>
      </c>
      <c r="AN258" t="e">
        <f>AND(#REF!,"AAAAAHW/7yc=")</f>
        <v>#REF!</v>
      </c>
      <c r="AO258" t="e">
        <f>AND(#REF!,"AAAAAHW/7yg=")</f>
        <v>#REF!</v>
      </c>
      <c r="AP258" t="e">
        <f>AND(#REF!,"AAAAAHW/7yk=")</f>
        <v>#REF!</v>
      </c>
      <c r="AQ258" t="e">
        <f>AND(#REF!,"AAAAAHW/7yo=")</f>
        <v>#REF!</v>
      </c>
      <c r="AR258" t="e">
        <f>IF(#REF!,"AAAAAHW/7ys=",0)</f>
        <v>#REF!</v>
      </c>
      <c r="AS258" t="e">
        <f>AND(#REF!,"AAAAAHW/7yw=")</f>
        <v>#REF!</v>
      </c>
      <c r="AT258" t="e">
        <f>AND(#REF!,"AAAAAHW/7y0=")</f>
        <v>#REF!</v>
      </c>
      <c r="AU258" t="e">
        <f>AND(#REF!,"AAAAAHW/7y4=")</f>
        <v>#REF!</v>
      </c>
      <c r="AV258" t="e">
        <f>AND(#REF!,"AAAAAHW/7y8=")</f>
        <v>#REF!</v>
      </c>
      <c r="AW258" t="e">
        <f>AND(#REF!,"AAAAAHW/7zA=")</f>
        <v>#REF!</v>
      </c>
      <c r="AX258" t="e">
        <f>AND(#REF!,"AAAAAHW/7zE=")</f>
        <v>#REF!</v>
      </c>
      <c r="AY258" t="e">
        <f>AND(#REF!,"AAAAAHW/7zI=")</f>
        <v>#REF!</v>
      </c>
      <c r="AZ258" t="e">
        <f>AND(#REF!,"AAAAAHW/7zM=")</f>
        <v>#REF!</v>
      </c>
      <c r="BA258" t="e">
        <f>AND(#REF!,"AAAAAHW/7zQ=")</f>
        <v>#REF!</v>
      </c>
      <c r="BB258" t="e">
        <f>AND(#REF!,"AAAAAHW/7zU=")</f>
        <v>#REF!</v>
      </c>
      <c r="BC258" t="e">
        <f>AND(#REF!,"AAAAAHW/7zY=")</f>
        <v>#REF!</v>
      </c>
      <c r="BD258" t="e">
        <f>AND(#REF!,"AAAAAHW/7zc=")</f>
        <v>#REF!</v>
      </c>
      <c r="BE258" t="e">
        <f>AND(#REF!,"AAAAAHW/7zg=")</f>
        <v>#REF!</v>
      </c>
      <c r="BF258" t="e">
        <f>AND(#REF!,"AAAAAHW/7zk=")</f>
        <v>#REF!</v>
      </c>
      <c r="BG258" t="e">
        <f>AND(#REF!,"AAAAAHW/7zo=")</f>
        <v>#REF!</v>
      </c>
      <c r="BH258" t="e">
        <f>AND(#REF!,"AAAAAHW/7zs=")</f>
        <v>#REF!</v>
      </c>
      <c r="BI258" t="e">
        <f>AND(#REF!,"AAAAAHW/7zw=")</f>
        <v>#REF!</v>
      </c>
      <c r="BJ258" t="e">
        <f>AND(#REF!,"AAAAAHW/7z0=")</f>
        <v>#REF!</v>
      </c>
      <c r="BK258" t="e">
        <f>AND(#REF!,"AAAAAHW/7z4=")</f>
        <v>#REF!</v>
      </c>
      <c r="BL258" t="e">
        <f>AND(#REF!,"AAAAAHW/7z8=")</f>
        <v>#REF!</v>
      </c>
      <c r="BM258" t="e">
        <f>AND(#REF!,"AAAAAHW/70A=")</f>
        <v>#REF!</v>
      </c>
      <c r="BN258" t="e">
        <f>AND(#REF!,"AAAAAHW/70E=")</f>
        <v>#REF!</v>
      </c>
      <c r="BO258" t="e">
        <f>AND(#REF!,"AAAAAHW/70I=")</f>
        <v>#REF!</v>
      </c>
      <c r="BP258" t="e">
        <f>AND(#REF!,"AAAAAHW/70M=")</f>
        <v>#REF!</v>
      </c>
      <c r="BQ258" t="e">
        <f>IF(#REF!,"AAAAAHW/70Q=",0)</f>
        <v>#REF!</v>
      </c>
      <c r="BR258" t="e">
        <f>AND(#REF!,"AAAAAHW/70U=")</f>
        <v>#REF!</v>
      </c>
      <c r="BS258" t="e">
        <f>AND(#REF!,"AAAAAHW/70Y=")</f>
        <v>#REF!</v>
      </c>
      <c r="BT258" t="e">
        <f>AND(#REF!,"AAAAAHW/70c=")</f>
        <v>#REF!</v>
      </c>
      <c r="BU258" t="e">
        <f>AND(#REF!,"AAAAAHW/70g=")</f>
        <v>#REF!</v>
      </c>
      <c r="BV258" t="e">
        <f>AND(#REF!,"AAAAAHW/70k=")</f>
        <v>#REF!</v>
      </c>
      <c r="BW258" t="e">
        <f>AND(#REF!,"AAAAAHW/70o=")</f>
        <v>#REF!</v>
      </c>
      <c r="BX258" t="e">
        <f>AND(#REF!,"AAAAAHW/70s=")</f>
        <v>#REF!</v>
      </c>
      <c r="BY258" t="e">
        <f>AND(#REF!,"AAAAAHW/70w=")</f>
        <v>#REF!</v>
      </c>
      <c r="BZ258" t="e">
        <f>AND(#REF!,"AAAAAHW/700=")</f>
        <v>#REF!</v>
      </c>
      <c r="CA258" t="e">
        <f>AND(#REF!,"AAAAAHW/704=")</f>
        <v>#REF!</v>
      </c>
      <c r="CB258" t="e">
        <f>AND(#REF!,"AAAAAHW/708=")</f>
        <v>#REF!</v>
      </c>
      <c r="CC258" t="e">
        <f>AND(#REF!,"AAAAAHW/71A=")</f>
        <v>#REF!</v>
      </c>
      <c r="CD258" t="e">
        <f>AND(#REF!,"AAAAAHW/71E=")</f>
        <v>#REF!</v>
      </c>
      <c r="CE258" t="e">
        <f>AND(#REF!,"AAAAAHW/71I=")</f>
        <v>#REF!</v>
      </c>
      <c r="CF258" t="e">
        <f>AND(#REF!,"AAAAAHW/71M=")</f>
        <v>#REF!</v>
      </c>
      <c r="CG258" t="e">
        <f>AND(#REF!,"AAAAAHW/71Q=")</f>
        <v>#REF!</v>
      </c>
      <c r="CH258" t="e">
        <f>AND(#REF!,"AAAAAHW/71U=")</f>
        <v>#REF!</v>
      </c>
      <c r="CI258" t="e">
        <f>AND(#REF!,"AAAAAHW/71Y=")</f>
        <v>#REF!</v>
      </c>
      <c r="CJ258" t="e">
        <f>AND(#REF!,"AAAAAHW/71c=")</f>
        <v>#REF!</v>
      </c>
      <c r="CK258" t="e">
        <f>AND(#REF!,"AAAAAHW/71g=")</f>
        <v>#REF!</v>
      </c>
      <c r="CL258" t="e">
        <f>AND(#REF!,"AAAAAHW/71k=")</f>
        <v>#REF!</v>
      </c>
      <c r="CM258" t="e">
        <f>AND(#REF!,"AAAAAHW/71o=")</f>
        <v>#REF!</v>
      </c>
      <c r="CN258" t="e">
        <f>AND(#REF!,"AAAAAHW/71s=")</f>
        <v>#REF!</v>
      </c>
      <c r="CO258" t="e">
        <f>AND(#REF!,"AAAAAHW/71w=")</f>
        <v>#REF!</v>
      </c>
      <c r="CP258" t="e">
        <f>IF(#REF!,"AAAAAHW/710=",0)</f>
        <v>#REF!</v>
      </c>
      <c r="CQ258" t="e">
        <f>AND(#REF!,"AAAAAHW/714=")</f>
        <v>#REF!</v>
      </c>
      <c r="CR258" t="e">
        <f>AND(#REF!,"AAAAAHW/718=")</f>
        <v>#REF!</v>
      </c>
      <c r="CS258" t="e">
        <f>AND(#REF!,"AAAAAHW/72A=")</f>
        <v>#REF!</v>
      </c>
      <c r="CT258" t="e">
        <f>AND(#REF!,"AAAAAHW/72E=")</f>
        <v>#REF!</v>
      </c>
      <c r="CU258" t="e">
        <f>AND(#REF!,"AAAAAHW/72I=")</f>
        <v>#REF!</v>
      </c>
      <c r="CV258" t="e">
        <f>AND(#REF!,"AAAAAHW/72M=")</f>
        <v>#REF!</v>
      </c>
      <c r="CW258" t="e">
        <f>AND(#REF!,"AAAAAHW/72Q=")</f>
        <v>#REF!</v>
      </c>
      <c r="CX258" t="e">
        <f>AND(#REF!,"AAAAAHW/72U=")</f>
        <v>#REF!</v>
      </c>
      <c r="CY258" t="e">
        <f>AND(#REF!,"AAAAAHW/72Y=")</f>
        <v>#REF!</v>
      </c>
      <c r="CZ258" t="e">
        <f>AND(#REF!,"AAAAAHW/72c=")</f>
        <v>#REF!</v>
      </c>
      <c r="DA258" t="e">
        <f>AND(#REF!,"AAAAAHW/72g=")</f>
        <v>#REF!</v>
      </c>
      <c r="DB258" t="e">
        <f>AND(#REF!,"AAAAAHW/72k=")</f>
        <v>#REF!</v>
      </c>
      <c r="DC258" t="e">
        <f>AND(#REF!,"AAAAAHW/72o=")</f>
        <v>#REF!</v>
      </c>
      <c r="DD258" t="e">
        <f>AND(#REF!,"AAAAAHW/72s=")</f>
        <v>#REF!</v>
      </c>
      <c r="DE258" t="e">
        <f>AND(#REF!,"AAAAAHW/72w=")</f>
        <v>#REF!</v>
      </c>
      <c r="DF258" t="e">
        <f>AND(#REF!,"AAAAAHW/720=")</f>
        <v>#REF!</v>
      </c>
      <c r="DG258" t="e">
        <f>AND(#REF!,"AAAAAHW/724=")</f>
        <v>#REF!</v>
      </c>
      <c r="DH258" t="e">
        <f>AND(#REF!,"AAAAAHW/728=")</f>
        <v>#REF!</v>
      </c>
      <c r="DI258" t="e">
        <f>AND(#REF!,"AAAAAHW/73A=")</f>
        <v>#REF!</v>
      </c>
      <c r="DJ258" t="e">
        <f>AND(#REF!,"AAAAAHW/73E=")</f>
        <v>#REF!</v>
      </c>
      <c r="DK258" t="e">
        <f>AND(#REF!,"AAAAAHW/73I=")</f>
        <v>#REF!</v>
      </c>
      <c r="DL258" t="e">
        <f>AND(#REF!,"AAAAAHW/73M=")</f>
        <v>#REF!</v>
      </c>
      <c r="DM258" t="e">
        <f>AND(#REF!,"AAAAAHW/73Q=")</f>
        <v>#REF!</v>
      </c>
      <c r="DN258" t="e">
        <f>AND(#REF!,"AAAAAHW/73U=")</f>
        <v>#REF!</v>
      </c>
      <c r="DO258" t="e">
        <f>IF(#REF!,"AAAAAHW/73Y=",0)</f>
        <v>#REF!</v>
      </c>
      <c r="DP258" t="e">
        <f>AND(#REF!,"AAAAAHW/73c=")</f>
        <v>#REF!</v>
      </c>
      <c r="DQ258" t="e">
        <f>AND(#REF!,"AAAAAHW/73g=")</f>
        <v>#REF!</v>
      </c>
      <c r="DR258" t="e">
        <f>AND(#REF!,"AAAAAHW/73k=")</f>
        <v>#REF!</v>
      </c>
      <c r="DS258" t="e">
        <f>AND(#REF!,"AAAAAHW/73o=")</f>
        <v>#REF!</v>
      </c>
      <c r="DT258" t="e">
        <f>AND(#REF!,"AAAAAHW/73s=")</f>
        <v>#REF!</v>
      </c>
      <c r="DU258" t="e">
        <f>AND(#REF!,"AAAAAHW/73w=")</f>
        <v>#REF!</v>
      </c>
      <c r="DV258" t="e">
        <f>AND(#REF!,"AAAAAHW/730=")</f>
        <v>#REF!</v>
      </c>
      <c r="DW258" t="e">
        <f>AND(#REF!,"AAAAAHW/734=")</f>
        <v>#REF!</v>
      </c>
      <c r="DX258" t="e">
        <f>AND(#REF!,"AAAAAHW/738=")</f>
        <v>#REF!</v>
      </c>
      <c r="DY258" t="e">
        <f>AND(#REF!,"AAAAAHW/74A=")</f>
        <v>#REF!</v>
      </c>
      <c r="DZ258" t="e">
        <f>AND(#REF!,"AAAAAHW/74E=")</f>
        <v>#REF!</v>
      </c>
      <c r="EA258" t="e">
        <f>AND(#REF!,"AAAAAHW/74I=")</f>
        <v>#REF!</v>
      </c>
      <c r="EB258" t="e">
        <f>AND(#REF!,"AAAAAHW/74M=")</f>
        <v>#REF!</v>
      </c>
      <c r="EC258" t="e">
        <f>AND(#REF!,"AAAAAHW/74Q=")</f>
        <v>#REF!</v>
      </c>
      <c r="ED258" t="e">
        <f>AND(#REF!,"AAAAAHW/74U=")</f>
        <v>#REF!</v>
      </c>
      <c r="EE258" t="e">
        <f>AND(#REF!,"AAAAAHW/74Y=")</f>
        <v>#REF!</v>
      </c>
      <c r="EF258" t="e">
        <f>AND(#REF!,"AAAAAHW/74c=")</f>
        <v>#REF!</v>
      </c>
      <c r="EG258" t="e">
        <f>AND(#REF!,"AAAAAHW/74g=")</f>
        <v>#REF!</v>
      </c>
      <c r="EH258" t="e">
        <f>AND(#REF!,"AAAAAHW/74k=")</f>
        <v>#REF!</v>
      </c>
      <c r="EI258" t="e">
        <f>AND(#REF!,"AAAAAHW/74o=")</f>
        <v>#REF!</v>
      </c>
      <c r="EJ258" t="e">
        <f>AND(#REF!,"AAAAAHW/74s=")</f>
        <v>#REF!</v>
      </c>
      <c r="EK258" t="e">
        <f>AND(#REF!,"AAAAAHW/74w=")</f>
        <v>#REF!</v>
      </c>
      <c r="EL258" t="e">
        <f>AND(#REF!,"AAAAAHW/740=")</f>
        <v>#REF!</v>
      </c>
      <c r="EM258" t="e">
        <f>AND(#REF!,"AAAAAHW/744=")</f>
        <v>#REF!</v>
      </c>
      <c r="EN258" t="e">
        <f>IF(#REF!,"AAAAAHW/748=",0)</f>
        <v>#REF!</v>
      </c>
      <c r="EO258" t="e">
        <f>AND(#REF!,"AAAAAHW/75A=")</f>
        <v>#REF!</v>
      </c>
      <c r="EP258" t="e">
        <f>AND(#REF!,"AAAAAHW/75E=")</f>
        <v>#REF!</v>
      </c>
      <c r="EQ258" t="e">
        <f>AND(#REF!,"AAAAAHW/75I=")</f>
        <v>#REF!</v>
      </c>
      <c r="ER258" t="e">
        <f>AND(#REF!,"AAAAAHW/75M=")</f>
        <v>#REF!</v>
      </c>
      <c r="ES258" t="e">
        <f>AND(#REF!,"AAAAAHW/75Q=")</f>
        <v>#REF!</v>
      </c>
      <c r="ET258" t="e">
        <f>AND(#REF!,"AAAAAHW/75U=")</f>
        <v>#REF!</v>
      </c>
      <c r="EU258" t="e">
        <f>AND(#REF!,"AAAAAHW/75Y=")</f>
        <v>#REF!</v>
      </c>
      <c r="EV258" t="e">
        <f>AND(#REF!,"AAAAAHW/75c=")</f>
        <v>#REF!</v>
      </c>
      <c r="EW258" t="e">
        <f>AND(#REF!,"AAAAAHW/75g=")</f>
        <v>#REF!</v>
      </c>
      <c r="EX258" t="e">
        <f>AND(#REF!,"AAAAAHW/75k=")</f>
        <v>#REF!</v>
      </c>
      <c r="EY258" t="e">
        <f>AND(#REF!,"AAAAAHW/75o=")</f>
        <v>#REF!</v>
      </c>
      <c r="EZ258" t="e">
        <f>AND(#REF!,"AAAAAHW/75s=")</f>
        <v>#REF!</v>
      </c>
      <c r="FA258" t="e">
        <f>AND(#REF!,"AAAAAHW/75w=")</f>
        <v>#REF!</v>
      </c>
      <c r="FB258" t="e">
        <f>AND(#REF!,"AAAAAHW/750=")</f>
        <v>#REF!</v>
      </c>
      <c r="FC258" t="e">
        <f>AND(#REF!,"AAAAAHW/754=")</f>
        <v>#REF!</v>
      </c>
      <c r="FD258" t="e">
        <f>AND(#REF!,"AAAAAHW/758=")</f>
        <v>#REF!</v>
      </c>
      <c r="FE258" t="e">
        <f>AND(#REF!,"AAAAAHW/76A=")</f>
        <v>#REF!</v>
      </c>
      <c r="FF258" t="e">
        <f>AND(#REF!,"AAAAAHW/76E=")</f>
        <v>#REF!</v>
      </c>
      <c r="FG258" t="e">
        <f>AND(#REF!,"AAAAAHW/76I=")</f>
        <v>#REF!</v>
      </c>
      <c r="FH258" t="e">
        <f>AND(#REF!,"AAAAAHW/76M=")</f>
        <v>#REF!</v>
      </c>
      <c r="FI258" t="e">
        <f>AND(#REF!,"AAAAAHW/76Q=")</f>
        <v>#REF!</v>
      </c>
      <c r="FJ258" t="e">
        <f>AND(#REF!,"AAAAAHW/76U=")</f>
        <v>#REF!</v>
      </c>
      <c r="FK258" t="e">
        <f>AND(#REF!,"AAAAAHW/76Y=")</f>
        <v>#REF!</v>
      </c>
      <c r="FL258" t="e">
        <f>AND(#REF!,"AAAAAHW/76c=")</f>
        <v>#REF!</v>
      </c>
      <c r="FM258" t="e">
        <f>IF(#REF!,"AAAAAHW/76g=",0)</f>
        <v>#REF!</v>
      </c>
      <c r="FN258" t="e">
        <f>AND(#REF!,"AAAAAHW/76k=")</f>
        <v>#REF!</v>
      </c>
      <c r="FO258" t="e">
        <f>AND(#REF!,"AAAAAHW/76o=")</f>
        <v>#REF!</v>
      </c>
      <c r="FP258" t="e">
        <f>AND(#REF!,"AAAAAHW/76s=")</f>
        <v>#REF!</v>
      </c>
      <c r="FQ258" t="e">
        <f>AND(#REF!,"AAAAAHW/76w=")</f>
        <v>#REF!</v>
      </c>
      <c r="FR258" t="e">
        <f>AND(#REF!,"AAAAAHW/760=")</f>
        <v>#REF!</v>
      </c>
      <c r="FS258" t="e">
        <f>AND(#REF!,"AAAAAHW/764=")</f>
        <v>#REF!</v>
      </c>
      <c r="FT258" t="e">
        <f>AND(#REF!,"AAAAAHW/768=")</f>
        <v>#REF!</v>
      </c>
      <c r="FU258" t="e">
        <f>AND(#REF!,"AAAAAHW/77A=")</f>
        <v>#REF!</v>
      </c>
      <c r="FV258" t="e">
        <f>AND(#REF!,"AAAAAHW/77E=")</f>
        <v>#REF!</v>
      </c>
      <c r="FW258" t="e">
        <f>AND(#REF!,"AAAAAHW/77I=")</f>
        <v>#REF!</v>
      </c>
      <c r="FX258" t="e">
        <f>AND(#REF!,"AAAAAHW/77M=")</f>
        <v>#REF!</v>
      </c>
      <c r="FY258" t="e">
        <f>AND(#REF!,"AAAAAHW/77Q=")</f>
        <v>#REF!</v>
      </c>
      <c r="FZ258" t="e">
        <f>AND(#REF!,"AAAAAHW/77U=")</f>
        <v>#REF!</v>
      </c>
      <c r="GA258" t="e">
        <f>AND(#REF!,"AAAAAHW/77Y=")</f>
        <v>#REF!</v>
      </c>
      <c r="GB258" t="e">
        <f>AND(#REF!,"AAAAAHW/77c=")</f>
        <v>#REF!</v>
      </c>
      <c r="GC258" t="e">
        <f>AND(#REF!,"AAAAAHW/77g=")</f>
        <v>#REF!</v>
      </c>
      <c r="GD258" t="e">
        <f>AND(#REF!,"AAAAAHW/77k=")</f>
        <v>#REF!</v>
      </c>
      <c r="GE258" t="e">
        <f>AND(#REF!,"AAAAAHW/77o=")</f>
        <v>#REF!</v>
      </c>
      <c r="GF258" t="e">
        <f>AND(#REF!,"AAAAAHW/77s=")</f>
        <v>#REF!</v>
      </c>
      <c r="GG258" t="e">
        <f>AND(#REF!,"AAAAAHW/77w=")</f>
        <v>#REF!</v>
      </c>
      <c r="GH258" t="e">
        <f>AND(#REF!,"AAAAAHW/770=")</f>
        <v>#REF!</v>
      </c>
      <c r="GI258" t="e">
        <f>AND(#REF!,"AAAAAHW/774=")</f>
        <v>#REF!</v>
      </c>
      <c r="GJ258" t="e">
        <f>AND(#REF!,"AAAAAHW/778=")</f>
        <v>#REF!</v>
      </c>
      <c r="GK258" t="e">
        <f>AND(#REF!,"AAAAAHW/78A=")</f>
        <v>#REF!</v>
      </c>
      <c r="GL258" t="e">
        <f>IF(#REF!,"AAAAAHW/78E=",0)</f>
        <v>#REF!</v>
      </c>
      <c r="GM258" t="e">
        <f>AND(#REF!,"AAAAAHW/78I=")</f>
        <v>#REF!</v>
      </c>
      <c r="GN258" t="e">
        <f>AND(#REF!,"AAAAAHW/78M=")</f>
        <v>#REF!</v>
      </c>
      <c r="GO258" t="e">
        <f>AND(#REF!,"AAAAAHW/78Q=")</f>
        <v>#REF!</v>
      </c>
      <c r="GP258" t="e">
        <f>AND(#REF!,"AAAAAHW/78U=")</f>
        <v>#REF!</v>
      </c>
      <c r="GQ258" t="e">
        <f>AND(#REF!,"AAAAAHW/78Y=")</f>
        <v>#REF!</v>
      </c>
      <c r="GR258" t="e">
        <f>AND(#REF!,"AAAAAHW/78c=")</f>
        <v>#REF!</v>
      </c>
      <c r="GS258" t="e">
        <f>AND(#REF!,"AAAAAHW/78g=")</f>
        <v>#REF!</v>
      </c>
      <c r="GT258" t="e">
        <f>AND(#REF!,"AAAAAHW/78k=")</f>
        <v>#REF!</v>
      </c>
      <c r="GU258" t="e">
        <f>AND(#REF!,"AAAAAHW/78o=")</f>
        <v>#REF!</v>
      </c>
      <c r="GV258" t="e">
        <f>AND(#REF!,"AAAAAHW/78s=")</f>
        <v>#REF!</v>
      </c>
      <c r="GW258" t="e">
        <f>AND(#REF!,"AAAAAHW/78w=")</f>
        <v>#REF!</v>
      </c>
      <c r="GX258" t="e">
        <f>AND(#REF!,"AAAAAHW/780=")</f>
        <v>#REF!</v>
      </c>
      <c r="GY258" t="e">
        <f>AND(#REF!,"AAAAAHW/784=")</f>
        <v>#REF!</v>
      </c>
      <c r="GZ258" t="e">
        <f>AND(#REF!,"AAAAAHW/788=")</f>
        <v>#REF!</v>
      </c>
      <c r="HA258" t="e">
        <f>AND(#REF!,"AAAAAHW/79A=")</f>
        <v>#REF!</v>
      </c>
      <c r="HB258" t="e">
        <f>AND(#REF!,"AAAAAHW/79E=")</f>
        <v>#REF!</v>
      </c>
      <c r="HC258" t="e">
        <f>AND(#REF!,"AAAAAHW/79I=")</f>
        <v>#REF!</v>
      </c>
      <c r="HD258" t="e">
        <f>AND(#REF!,"AAAAAHW/79M=")</f>
        <v>#REF!</v>
      </c>
      <c r="HE258" t="e">
        <f>AND(#REF!,"AAAAAHW/79Q=")</f>
        <v>#REF!</v>
      </c>
      <c r="HF258" t="e">
        <f>AND(#REF!,"AAAAAHW/79U=")</f>
        <v>#REF!</v>
      </c>
      <c r="HG258" t="e">
        <f>AND(#REF!,"AAAAAHW/79Y=")</f>
        <v>#REF!</v>
      </c>
      <c r="HH258" t="e">
        <f>AND(#REF!,"AAAAAHW/79c=")</f>
        <v>#REF!</v>
      </c>
      <c r="HI258" t="e">
        <f>AND(#REF!,"AAAAAHW/79g=")</f>
        <v>#REF!</v>
      </c>
      <c r="HJ258" t="e">
        <f>AND(#REF!,"AAAAAHW/79k=")</f>
        <v>#REF!</v>
      </c>
      <c r="HK258" t="e">
        <f>IF(#REF!,"AAAAAHW/79o=",0)</f>
        <v>#REF!</v>
      </c>
      <c r="HL258" t="e">
        <f>AND(#REF!,"AAAAAHW/79s=")</f>
        <v>#REF!</v>
      </c>
      <c r="HM258" t="e">
        <f>AND(#REF!,"AAAAAHW/79w=")</f>
        <v>#REF!</v>
      </c>
      <c r="HN258" t="e">
        <f>AND(#REF!,"AAAAAHW/790=")</f>
        <v>#REF!</v>
      </c>
      <c r="HO258" t="e">
        <f>AND(#REF!,"AAAAAHW/794=")</f>
        <v>#REF!</v>
      </c>
      <c r="HP258" t="e">
        <f>AND(#REF!,"AAAAAHW/798=")</f>
        <v>#REF!</v>
      </c>
      <c r="HQ258" t="e">
        <f>AND(#REF!,"AAAAAHW/7+A=")</f>
        <v>#REF!</v>
      </c>
      <c r="HR258" t="e">
        <f>AND(#REF!,"AAAAAHW/7+E=")</f>
        <v>#REF!</v>
      </c>
      <c r="HS258" t="e">
        <f>AND(#REF!,"AAAAAHW/7+I=")</f>
        <v>#REF!</v>
      </c>
      <c r="HT258" t="e">
        <f>AND(#REF!,"AAAAAHW/7+M=")</f>
        <v>#REF!</v>
      </c>
      <c r="HU258" t="e">
        <f>AND(#REF!,"AAAAAHW/7+Q=")</f>
        <v>#REF!</v>
      </c>
      <c r="HV258" t="e">
        <f>AND(#REF!,"AAAAAHW/7+U=")</f>
        <v>#REF!</v>
      </c>
      <c r="HW258" t="e">
        <f>AND(#REF!,"AAAAAHW/7+Y=")</f>
        <v>#REF!</v>
      </c>
      <c r="HX258" t="e">
        <f>AND(#REF!,"AAAAAHW/7+c=")</f>
        <v>#REF!</v>
      </c>
      <c r="HY258" t="e">
        <f>AND(#REF!,"AAAAAHW/7+g=")</f>
        <v>#REF!</v>
      </c>
      <c r="HZ258" t="e">
        <f>AND(#REF!,"AAAAAHW/7+k=")</f>
        <v>#REF!</v>
      </c>
      <c r="IA258" t="e">
        <f>AND(#REF!,"AAAAAHW/7+o=")</f>
        <v>#REF!</v>
      </c>
      <c r="IB258" t="e">
        <f>AND(#REF!,"AAAAAHW/7+s=")</f>
        <v>#REF!</v>
      </c>
      <c r="IC258" t="e">
        <f>AND(#REF!,"AAAAAHW/7+w=")</f>
        <v>#REF!</v>
      </c>
      <c r="ID258" t="e">
        <f>AND(#REF!,"AAAAAHW/7+0=")</f>
        <v>#REF!</v>
      </c>
      <c r="IE258" t="e">
        <f>AND(#REF!,"AAAAAHW/7+4=")</f>
        <v>#REF!</v>
      </c>
      <c r="IF258" t="e">
        <f>AND(#REF!,"AAAAAHW/7+8=")</f>
        <v>#REF!</v>
      </c>
      <c r="IG258" t="e">
        <f>AND(#REF!,"AAAAAHW/7/A=")</f>
        <v>#REF!</v>
      </c>
      <c r="IH258" t="e">
        <f>AND(#REF!,"AAAAAHW/7/E=")</f>
        <v>#REF!</v>
      </c>
      <c r="II258" t="e">
        <f>AND(#REF!,"AAAAAHW/7/I=")</f>
        <v>#REF!</v>
      </c>
      <c r="IJ258" t="e">
        <f>IF(#REF!,"AAAAAHW/7/M=",0)</f>
        <v>#REF!</v>
      </c>
      <c r="IK258" t="e">
        <f>AND(#REF!,"AAAAAHW/7/Q=")</f>
        <v>#REF!</v>
      </c>
      <c r="IL258" t="e">
        <f>AND(#REF!,"AAAAAHW/7/U=")</f>
        <v>#REF!</v>
      </c>
      <c r="IM258" t="e">
        <f>AND(#REF!,"AAAAAHW/7/Y=")</f>
        <v>#REF!</v>
      </c>
      <c r="IN258" t="e">
        <f>AND(#REF!,"AAAAAHW/7/c=")</f>
        <v>#REF!</v>
      </c>
      <c r="IO258" t="e">
        <f>AND(#REF!,"AAAAAHW/7/g=")</f>
        <v>#REF!</v>
      </c>
      <c r="IP258" t="e">
        <f>AND(#REF!,"AAAAAHW/7/k=")</f>
        <v>#REF!</v>
      </c>
      <c r="IQ258" t="e">
        <f>AND(#REF!,"AAAAAHW/7/o=")</f>
        <v>#REF!</v>
      </c>
      <c r="IR258" t="e">
        <f>AND(#REF!,"AAAAAHW/7/s=")</f>
        <v>#REF!</v>
      </c>
      <c r="IS258" t="e">
        <f>AND(#REF!,"AAAAAHW/7/w=")</f>
        <v>#REF!</v>
      </c>
      <c r="IT258" t="e">
        <f>AND(#REF!,"AAAAAHW/7/0=")</f>
        <v>#REF!</v>
      </c>
      <c r="IU258" t="e">
        <f>AND(#REF!,"AAAAAHW/7/4=")</f>
        <v>#REF!</v>
      </c>
      <c r="IV258" t="e">
        <f>AND(#REF!,"AAAAAHW/7/8=")</f>
        <v>#REF!</v>
      </c>
    </row>
    <row r="259" spans="1:256">
      <c r="A259" t="e">
        <f>AND(#REF!,"AAAAAHWfbQA=")</f>
        <v>#REF!</v>
      </c>
      <c r="B259" t="e">
        <f>AND(#REF!,"AAAAAHWfbQE=")</f>
        <v>#REF!</v>
      </c>
      <c r="C259" t="e">
        <f>AND(#REF!,"AAAAAHWfbQI=")</f>
        <v>#REF!</v>
      </c>
      <c r="D259" t="e">
        <f>AND(#REF!,"AAAAAHWfbQM=")</f>
        <v>#REF!</v>
      </c>
      <c r="E259" t="e">
        <f>AND(#REF!,"AAAAAHWfbQQ=")</f>
        <v>#REF!</v>
      </c>
      <c r="F259" t="e">
        <f>AND(#REF!,"AAAAAHWfbQU=")</f>
        <v>#REF!</v>
      </c>
      <c r="G259" t="e">
        <f>AND(#REF!,"AAAAAHWfbQY=")</f>
        <v>#REF!</v>
      </c>
      <c r="H259" t="e">
        <f>AND(#REF!,"AAAAAHWfbQc=")</f>
        <v>#REF!</v>
      </c>
      <c r="I259" t="e">
        <f>AND(#REF!,"AAAAAHWfbQg=")</f>
        <v>#REF!</v>
      </c>
      <c r="J259" t="e">
        <f>AND(#REF!,"AAAAAHWfbQk=")</f>
        <v>#REF!</v>
      </c>
      <c r="K259" t="e">
        <f>AND(#REF!,"AAAAAHWfbQo=")</f>
        <v>#REF!</v>
      </c>
      <c r="L259" t="e">
        <f>AND(#REF!,"AAAAAHWfbQs=")</f>
        <v>#REF!</v>
      </c>
      <c r="M259" t="e">
        <f>IF(#REF!,"AAAAAHWfbQw=",0)</f>
        <v>#REF!</v>
      </c>
      <c r="N259" t="e">
        <f>AND(#REF!,"AAAAAHWfbQ0=")</f>
        <v>#REF!</v>
      </c>
      <c r="O259" t="e">
        <f>AND(#REF!,"AAAAAHWfbQ4=")</f>
        <v>#REF!</v>
      </c>
      <c r="P259" t="e">
        <f>AND(#REF!,"AAAAAHWfbQ8=")</f>
        <v>#REF!</v>
      </c>
      <c r="Q259" t="e">
        <f>AND(#REF!,"AAAAAHWfbRA=")</f>
        <v>#REF!</v>
      </c>
      <c r="R259" t="e">
        <f>AND(#REF!,"AAAAAHWfbRE=")</f>
        <v>#REF!</v>
      </c>
      <c r="S259" t="e">
        <f>AND(#REF!,"AAAAAHWfbRI=")</f>
        <v>#REF!</v>
      </c>
      <c r="T259" t="e">
        <f>AND(#REF!,"AAAAAHWfbRM=")</f>
        <v>#REF!</v>
      </c>
      <c r="U259" t="e">
        <f>AND(#REF!,"AAAAAHWfbRQ=")</f>
        <v>#REF!</v>
      </c>
      <c r="V259" t="e">
        <f>AND(#REF!,"AAAAAHWfbRU=")</f>
        <v>#REF!</v>
      </c>
      <c r="W259" t="e">
        <f>AND(#REF!,"AAAAAHWfbRY=")</f>
        <v>#REF!</v>
      </c>
      <c r="X259" t="e">
        <f>AND(#REF!,"AAAAAHWfbRc=")</f>
        <v>#REF!</v>
      </c>
      <c r="Y259" t="e">
        <f>AND(#REF!,"AAAAAHWfbRg=")</f>
        <v>#REF!</v>
      </c>
      <c r="Z259" t="e">
        <f>AND(#REF!,"AAAAAHWfbRk=")</f>
        <v>#REF!</v>
      </c>
      <c r="AA259" t="e">
        <f>AND(#REF!,"AAAAAHWfbRo=")</f>
        <v>#REF!</v>
      </c>
      <c r="AB259" t="e">
        <f>AND(#REF!,"AAAAAHWfbRs=")</f>
        <v>#REF!</v>
      </c>
      <c r="AC259" t="e">
        <f>AND(#REF!,"AAAAAHWfbRw=")</f>
        <v>#REF!</v>
      </c>
      <c r="AD259" t="e">
        <f>AND(#REF!,"AAAAAHWfbR0=")</f>
        <v>#REF!</v>
      </c>
      <c r="AE259" t="e">
        <f>AND(#REF!,"AAAAAHWfbR4=")</f>
        <v>#REF!</v>
      </c>
      <c r="AF259" t="e">
        <f>AND(#REF!,"AAAAAHWfbR8=")</f>
        <v>#REF!</v>
      </c>
      <c r="AG259" t="e">
        <f>AND(#REF!,"AAAAAHWfbSA=")</f>
        <v>#REF!</v>
      </c>
      <c r="AH259" t="e">
        <f>AND(#REF!,"AAAAAHWfbSE=")</f>
        <v>#REF!</v>
      </c>
      <c r="AI259" t="e">
        <f>AND(#REF!,"AAAAAHWfbSI=")</f>
        <v>#REF!</v>
      </c>
      <c r="AJ259" t="e">
        <f>AND(#REF!,"AAAAAHWfbSM=")</f>
        <v>#REF!</v>
      </c>
      <c r="AK259" t="e">
        <f>AND(#REF!,"AAAAAHWfbSQ=")</f>
        <v>#REF!</v>
      </c>
      <c r="AL259" t="e">
        <f>IF(#REF!,"AAAAAHWfbSU=",0)</f>
        <v>#REF!</v>
      </c>
      <c r="AM259" t="e">
        <f>AND(#REF!,"AAAAAHWfbSY=")</f>
        <v>#REF!</v>
      </c>
      <c r="AN259" t="e">
        <f>AND(#REF!,"AAAAAHWfbSc=")</f>
        <v>#REF!</v>
      </c>
      <c r="AO259" t="e">
        <f>AND(#REF!,"AAAAAHWfbSg=")</f>
        <v>#REF!</v>
      </c>
      <c r="AP259" t="e">
        <f>AND(#REF!,"AAAAAHWfbSk=")</f>
        <v>#REF!</v>
      </c>
      <c r="AQ259" t="e">
        <f>AND(#REF!,"AAAAAHWfbSo=")</f>
        <v>#REF!</v>
      </c>
      <c r="AR259" t="e">
        <f>AND(#REF!,"AAAAAHWfbSs=")</f>
        <v>#REF!</v>
      </c>
      <c r="AS259" t="e">
        <f>AND(#REF!,"AAAAAHWfbSw=")</f>
        <v>#REF!</v>
      </c>
      <c r="AT259" t="e">
        <f>AND(#REF!,"AAAAAHWfbS0=")</f>
        <v>#REF!</v>
      </c>
      <c r="AU259" t="e">
        <f>AND(#REF!,"AAAAAHWfbS4=")</f>
        <v>#REF!</v>
      </c>
      <c r="AV259" t="e">
        <f>AND(#REF!,"AAAAAHWfbS8=")</f>
        <v>#REF!</v>
      </c>
      <c r="AW259" t="e">
        <f>AND(#REF!,"AAAAAHWfbTA=")</f>
        <v>#REF!</v>
      </c>
      <c r="AX259" t="e">
        <f>AND(#REF!,"AAAAAHWfbTE=")</f>
        <v>#REF!</v>
      </c>
      <c r="AY259" t="e">
        <f>AND(#REF!,"AAAAAHWfbTI=")</f>
        <v>#REF!</v>
      </c>
      <c r="AZ259" t="e">
        <f>AND(#REF!,"AAAAAHWfbTM=")</f>
        <v>#REF!</v>
      </c>
      <c r="BA259" t="e">
        <f>AND(#REF!,"AAAAAHWfbTQ=")</f>
        <v>#REF!</v>
      </c>
      <c r="BB259" t="e">
        <f>AND(#REF!,"AAAAAHWfbTU=")</f>
        <v>#REF!</v>
      </c>
      <c r="BC259" t="e">
        <f>AND(#REF!,"AAAAAHWfbTY=")</f>
        <v>#REF!</v>
      </c>
      <c r="BD259" t="e">
        <f>AND(#REF!,"AAAAAHWfbTc=")</f>
        <v>#REF!</v>
      </c>
      <c r="BE259" t="e">
        <f>AND(#REF!,"AAAAAHWfbTg=")</f>
        <v>#REF!</v>
      </c>
      <c r="BF259" t="e">
        <f>AND(#REF!,"AAAAAHWfbTk=")</f>
        <v>#REF!</v>
      </c>
      <c r="BG259" t="e">
        <f>AND(#REF!,"AAAAAHWfbTo=")</f>
        <v>#REF!</v>
      </c>
      <c r="BH259" t="e">
        <f>AND(#REF!,"AAAAAHWfbTs=")</f>
        <v>#REF!</v>
      </c>
      <c r="BI259" t="e">
        <f>AND(#REF!,"AAAAAHWfbTw=")</f>
        <v>#REF!</v>
      </c>
      <c r="BJ259" t="e">
        <f>AND(#REF!,"AAAAAHWfbT0=")</f>
        <v>#REF!</v>
      </c>
      <c r="BK259" t="e">
        <f>IF(#REF!,"AAAAAHWfbT4=",0)</f>
        <v>#REF!</v>
      </c>
      <c r="BL259" t="e">
        <f>AND(#REF!,"AAAAAHWfbT8=")</f>
        <v>#REF!</v>
      </c>
      <c r="BM259" t="e">
        <f>AND(#REF!,"AAAAAHWfbUA=")</f>
        <v>#REF!</v>
      </c>
      <c r="BN259" t="e">
        <f>AND(#REF!,"AAAAAHWfbUE=")</f>
        <v>#REF!</v>
      </c>
      <c r="BO259" t="e">
        <f>AND(#REF!,"AAAAAHWfbUI=")</f>
        <v>#REF!</v>
      </c>
      <c r="BP259" t="e">
        <f>AND(#REF!,"AAAAAHWfbUM=")</f>
        <v>#REF!</v>
      </c>
      <c r="BQ259" t="e">
        <f>AND(#REF!,"AAAAAHWfbUQ=")</f>
        <v>#REF!</v>
      </c>
      <c r="BR259" t="e">
        <f>AND(#REF!,"AAAAAHWfbUU=")</f>
        <v>#REF!</v>
      </c>
      <c r="BS259" t="e">
        <f>AND(#REF!,"AAAAAHWfbUY=")</f>
        <v>#REF!</v>
      </c>
      <c r="BT259" t="e">
        <f>AND(#REF!,"AAAAAHWfbUc=")</f>
        <v>#REF!</v>
      </c>
      <c r="BU259" t="e">
        <f>AND(#REF!,"AAAAAHWfbUg=")</f>
        <v>#REF!</v>
      </c>
      <c r="BV259" t="e">
        <f>AND(#REF!,"AAAAAHWfbUk=")</f>
        <v>#REF!</v>
      </c>
      <c r="BW259" t="e">
        <f>AND(#REF!,"AAAAAHWfbUo=")</f>
        <v>#REF!</v>
      </c>
      <c r="BX259" t="e">
        <f>AND(#REF!,"AAAAAHWfbUs=")</f>
        <v>#REF!</v>
      </c>
      <c r="BY259" t="e">
        <f>AND(#REF!,"AAAAAHWfbUw=")</f>
        <v>#REF!</v>
      </c>
      <c r="BZ259" t="e">
        <f>AND(#REF!,"AAAAAHWfbU0=")</f>
        <v>#REF!</v>
      </c>
      <c r="CA259" t="e">
        <f>AND(#REF!,"AAAAAHWfbU4=")</f>
        <v>#REF!</v>
      </c>
      <c r="CB259" t="e">
        <f>AND(#REF!,"AAAAAHWfbU8=")</f>
        <v>#REF!</v>
      </c>
      <c r="CC259" t="e">
        <f>AND(#REF!,"AAAAAHWfbVA=")</f>
        <v>#REF!</v>
      </c>
      <c r="CD259" t="e">
        <f>AND(#REF!,"AAAAAHWfbVE=")</f>
        <v>#REF!</v>
      </c>
      <c r="CE259" t="e">
        <f>AND(#REF!,"AAAAAHWfbVI=")</f>
        <v>#REF!</v>
      </c>
      <c r="CF259" t="e">
        <f>AND(#REF!,"AAAAAHWfbVM=")</f>
        <v>#REF!</v>
      </c>
      <c r="CG259" t="e">
        <f>AND(#REF!,"AAAAAHWfbVQ=")</f>
        <v>#REF!</v>
      </c>
      <c r="CH259" t="e">
        <f>AND(#REF!,"AAAAAHWfbVU=")</f>
        <v>#REF!</v>
      </c>
      <c r="CI259" t="e">
        <f>AND(#REF!,"AAAAAHWfbVY=")</f>
        <v>#REF!</v>
      </c>
      <c r="CJ259" t="e">
        <f>IF(#REF!,"AAAAAHWfbVc=",0)</f>
        <v>#REF!</v>
      </c>
      <c r="CK259" t="e">
        <f>AND(#REF!,"AAAAAHWfbVg=")</f>
        <v>#REF!</v>
      </c>
      <c r="CL259" t="e">
        <f>AND(#REF!,"AAAAAHWfbVk=")</f>
        <v>#REF!</v>
      </c>
      <c r="CM259" t="e">
        <f>AND(#REF!,"AAAAAHWfbVo=")</f>
        <v>#REF!</v>
      </c>
      <c r="CN259" t="e">
        <f>AND(#REF!,"AAAAAHWfbVs=")</f>
        <v>#REF!</v>
      </c>
      <c r="CO259" t="e">
        <f>AND(#REF!,"AAAAAHWfbVw=")</f>
        <v>#REF!</v>
      </c>
      <c r="CP259" t="e">
        <f>AND(#REF!,"AAAAAHWfbV0=")</f>
        <v>#REF!</v>
      </c>
      <c r="CQ259" t="e">
        <f>AND(#REF!,"AAAAAHWfbV4=")</f>
        <v>#REF!</v>
      </c>
      <c r="CR259" t="e">
        <f>AND(#REF!,"AAAAAHWfbV8=")</f>
        <v>#REF!</v>
      </c>
      <c r="CS259" t="e">
        <f>AND(#REF!,"AAAAAHWfbWA=")</f>
        <v>#REF!</v>
      </c>
      <c r="CT259" t="e">
        <f>AND(#REF!,"AAAAAHWfbWE=")</f>
        <v>#REF!</v>
      </c>
      <c r="CU259" t="e">
        <f>AND(#REF!,"AAAAAHWfbWI=")</f>
        <v>#REF!</v>
      </c>
      <c r="CV259" t="e">
        <f>AND(#REF!,"AAAAAHWfbWM=")</f>
        <v>#REF!</v>
      </c>
      <c r="CW259" t="e">
        <f>AND(#REF!,"AAAAAHWfbWQ=")</f>
        <v>#REF!</v>
      </c>
      <c r="CX259" t="e">
        <f>AND(#REF!,"AAAAAHWfbWU=")</f>
        <v>#REF!</v>
      </c>
      <c r="CY259" t="e">
        <f>AND(#REF!,"AAAAAHWfbWY=")</f>
        <v>#REF!</v>
      </c>
      <c r="CZ259" t="e">
        <f>AND(#REF!,"AAAAAHWfbWc=")</f>
        <v>#REF!</v>
      </c>
      <c r="DA259" t="e">
        <f>AND(#REF!,"AAAAAHWfbWg=")</f>
        <v>#REF!</v>
      </c>
      <c r="DB259" t="e">
        <f>AND(#REF!,"AAAAAHWfbWk=")</f>
        <v>#REF!</v>
      </c>
      <c r="DC259" t="e">
        <f>AND(#REF!,"AAAAAHWfbWo=")</f>
        <v>#REF!</v>
      </c>
      <c r="DD259" t="e">
        <f>AND(#REF!,"AAAAAHWfbWs=")</f>
        <v>#REF!</v>
      </c>
      <c r="DE259" t="e">
        <f>AND(#REF!,"AAAAAHWfbWw=")</f>
        <v>#REF!</v>
      </c>
      <c r="DF259" t="e">
        <f>AND(#REF!,"AAAAAHWfbW0=")</f>
        <v>#REF!</v>
      </c>
      <c r="DG259" t="e">
        <f>AND(#REF!,"AAAAAHWfbW4=")</f>
        <v>#REF!</v>
      </c>
      <c r="DH259" t="e">
        <f>AND(#REF!,"AAAAAHWfbW8=")</f>
        <v>#REF!</v>
      </c>
      <c r="DI259" t="e">
        <f>IF(#REF!,"AAAAAHWfbXA=",0)</f>
        <v>#REF!</v>
      </c>
      <c r="DJ259" t="e">
        <f>AND(#REF!,"AAAAAHWfbXE=")</f>
        <v>#REF!</v>
      </c>
      <c r="DK259" t="e">
        <f>AND(#REF!,"AAAAAHWfbXI=")</f>
        <v>#REF!</v>
      </c>
      <c r="DL259" t="e">
        <f>AND(#REF!,"AAAAAHWfbXM=")</f>
        <v>#REF!</v>
      </c>
      <c r="DM259" t="e">
        <f>AND(#REF!,"AAAAAHWfbXQ=")</f>
        <v>#REF!</v>
      </c>
      <c r="DN259" t="e">
        <f>AND(#REF!,"AAAAAHWfbXU=")</f>
        <v>#REF!</v>
      </c>
      <c r="DO259" t="e">
        <f>AND(#REF!,"AAAAAHWfbXY=")</f>
        <v>#REF!</v>
      </c>
      <c r="DP259" t="e">
        <f>AND(#REF!,"AAAAAHWfbXc=")</f>
        <v>#REF!</v>
      </c>
      <c r="DQ259" t="e">
        <f>AND(#REF!,"AAAAAHWfbXg=")</f>
        <v>#REF!</v>
      </c>
      <c r="DR259" t="e">
        <f>AND(#REF!,"AAAAAHWfbXk=")</f>
        <v>#REF!</v>
      </c>
      <c r="DS259" t="e">
        <f>AND(#REF!,"AAAAAHWfbXo=")</f>
        <v>#REF!</v>
      </c>
      <c r="DT259" t="e">
        <f>AND(#REF!,"AAAAAHWfbXs=")</f>
        <v>#REF!</v>
      </c>
      <c r="DU259" t="e">
        <f>AND(#REF!,"AAAAAHWfbXw=")</f>
        <v>#REF!</v>
      </c>
      <c r="DV259" t="e">
        <f>AND(#REF!,"AAAAAHWfbX0=")</f>
        <v>#REF!</v>
      </c>
      <c r="DW259" t="e">
        <f>AND(#REF!,"AAAAAHWfbX4=")</f>
        <v>#REF!</v>
      </c>
      <c r="DX259" t="e">
        <f>AND(#REF!,"AAAAAHWfbX8=")</f>
        <v>#REF!</v>
      </c>
      <c r="DY259" t="e">
        <f>AND(#REF!,"AAAAAHWfbYA=")</f>
        <v>#REF!</v>
      </c>
      <c r="DZ259" t="e">
        <f>AND(#REF!,"AAAAAHWfbYE=")</f>
        <v>#REF!</v>
      </c>
      <c r="EA259" t="e">
        <f>AND(#REF!,"AAAAAHWfbYI=")</f>
        <v>#REF!</v>
      </c>
      <c r="EB259" t="e">
        <f>AND(#REF!,"AAAAAHWfbYM=")</f>
        <v>#REF!</v>
      </c>
      <c r="EC259" t="e">
        <f>AND(#REF!,"AAAAAHWfbYQ=")</f>
        <v>#REF!</v>
      </c>
      <c r="ED259" t="e">
        <f>AND(#REF!,"AAAAAHWfbYU=")</f>
        <v>#REF!</v>
      </c>
      <c r="EE259" t="e">
        <f>AND(#REF!,"AAAAAHWfbYY=")</f>
        <v>#REF!</v>
      </c>
      <c r="EF259" t="e">
        <f>AND(#REF!,"AAAAAHWfbYc=")</f>
        <v>#REF!</v>
      </c>
      <c r="EG259" t="e">
        <f>AND(#REF!,"AAAAAHWfbYg=")</f>
        <v>#REF!</v>
      </c>
      <c r="EH259" t="e">
        <f>IF(#REF!,"AAAAAHWfbYk=",0)</f>
        <v>#REF!</v>
      </c>
      <c r="EI259" t="e">
        <f>AND(#REF!,"AAAAAHWfbYo=")</f>
        <v>#REF!</v>
      </c>
      <c r="EJ259" t="e">
        <f>AND(#REF!,"AAAAAHWfbYs=")</f>
        <v>#REF!</v>
      </c>
      <c r="EK259" t="e">
        <f>AND(#REF!,"AAAAAHWfbYw=")</f>
        <v>#REF!</v>
      </c>
      <c r="EL259" t="e">
        <f>AND(#REF!,"AAAAAHWfbY0=")</f>
        <v>#REF!</v>
      </c>
      <c r="EM259" t="e">
        <f>AND(#REF!,"AAAAAHWfbY4=")</f>
        <v>#REF!</v>
      </c>
      <c r="EN259" t="e">
        <f>AND(#REF!,"AAAAAHWfbY8=")</f>
        <v>#REF!</v>
      </c>
      <c r="EO259" t="e">
        <f>AND(#REF!,"AAAAAHWfbZA=")</f>
        <v>#REF!</v>
      </c>
      <c r="EP259" t="e">
        <f>AND(#REF!,"AAAAAHWfbZE=")</f>
        <v>#REF!</v>
      </c>
      <c r="EQ259" t="e">
        <f>AND(#REF!,"AAAAAHWfbZI=")</f>
        <v>#REF!</v>
      </c>
      <c r="ER259" t="e">
        <f>AND(#REF!,"AAAAAHWfbZM=")</f>
        <v>#REF!</v>
      </c>
      <c r="ES259" t="e">
        <f>AND(#REF!,"AAAAAHWfbZQ=")</f>
        <v>#REF!</v>
      </c>
      <c r="ET259" t="e">
        <f>AND(#REF!,"AAAAAHWfbZU=")</f>
        <v>#REF!</v>
      </c>
      <c r="EU259" t="e">
        <f>AND(#REF!,"AAAAAHWfbZY=")</f>
        <v>#REF!</v>
      </c>
      <c r="EV259" t="e">
        <f>AND(#REF!,"AAAAAHWfbZc=")</f>
        <v>#REF!</v>
      </c>
      <c r="EW259" t="e">
        <f>AND(#REF!,"AAAAAHWfbZg=")</f>
        <v>#REF!</v>
      </c>
      <c r="EX259" t="e">
        <f>AND(#REF!,"AAAAAHWfbZk=")</f>
        <v>#REF!</v>
      </c>
      <c r="EY259" t="e">
        <f>AND(#REF!,"AAAAAHWfbZo=")</f>
        <v>#REF!</v>
      </c>
      <c r="EZ259" t="e">
        <f>AND(#REF!,"AAAAAHWfbZs=")</f>
        <v>#REF!</v>
      </c>
      <c r="FA259" t="e">
        <f>AND(#REF!,"AAAAAHWfbZw=")</f>
        <v>#REF!</v>
      </c>
      <c r="FB259" t="e">
        <f>AND(#REF!,"AAAAAHWfbZ0=")</f>
        <v>#REF!</v>
      </c>
      <c r="FC259" t="e">
        <f>AND(#REF!,"AAAAAHWfbZ4=")</f>
        <v>#REF!</v>
      </c>
      <c r="FD259" t="e">
        <f>AND(#REF!,"AAAAAHWfbZ8=")</f>
        <v>#REF!</v>
      </c>
      <c r="FE259" t="e">
        <f>AND(#REF!,"AAAAAHWfbaA=")</f>
        <v>#REF!</v>
      </c>
      <c r="FF259" t="e">
        <f>AND(#REF!,"AAAAAHWfbaE=")</f>
        <v>#REF!</v>
      </c>
      <c r="FG259" t="e">
        <f>IF(#REF!,"AAAAAHWfbaI=",0)</f>
        <v>#REF!</v>
      </c>
      <c r="FH259" t="e">
        <f>AND(#REF!,"AAAAAHWfbaM=")</f>
        <v>#REF!</v>
      </c>
      <c r="FI259" t="e">
        <f>AND(#REF!,"AAAAAHWfbaQ=")</f>
        <v>#REF!</v>
      </c>
      <c r="FJ259" t="e">
        <f>AND(#REF!,"AAAAAHWfbaU=")</f>
        <v>#REF!</v>
      </c>
      <c r="FK259" t="e">
        <f>AND(#REF!,"AAAAAHWfbaY=")</f>
        <v>#REF!</v>
      </c>
      <c r="FL259" t="e">
        <f>AND(#REF!,"AAAAAHWfbac=")</f>
        <v>#REF!</v>
      </c>
      <c r="FM259" t="e">
        <f>AND(#REF!,"AAAAAHWfbag=")</f>
        <v>#REF!</v>
      </c>
      <c r="FN259" t="e">
        <f>AND(#REF!,"AAAAAHWfbak=")</f>
        <v>#REF!</v>
      </c>
      <c r="FO259" t="e">
        <f>AND(#REF!,"AAAAAHWfbao=")</f>
        <v>#REF!</v>
      </c>
      <c r="FP259" t="e">
        <f>AND(#REF!,"AAAAAHWfbas=")</f>
        <v>#REF!</v>
      </c>
      <c r="FQ259" t="e">
        <f>AND(#REF!,"AAAAAHWfbaw=")</f>
        <v>#REF!</v>
      </c>
      <c r="FR259" t="e">
        <f>AND(#REF!,"AAAAAHWfba0=")</f>
        <v>#REF!</v>
      </c>
      <c r="FS259" t="e">
        <f>AND(#REF!,"AAAAAHWfba4=")</f>
        <v>#REF!</v>
      </c>
      <c r="FT259" t="e">
        <f>AND(#REF!,"AAAAAHWfba8=")</f>
        <v>#REF!</v>
      </c>
      <c r="FU259" t="e">
        <f>AND(#REF!,"AAAAAHWfbbA=")</f>
        <v>#REF!</v>
      </c>
      <c r="FV259" t="e">
        <f>AND(#REF!,"AAAAAHWfbbE=")</f>
        <v>#REF!</v>
      </c>
      <c r="FW259" t="e">
        <f>AND(#REF!,"AAAAAHWfbbI=")</f>
        <v>#REF!</v>
      </c>
      <c r="FX259" t="e">
        <f>AND(#REF!,"AAAAAHWfbbM=")</f>
        <v>#REF!</v>
      </c>
      <c r="FY259" t="e">
        <f>AND(#REF!,"AAAAAHWfbbQ=")</f>
        <v>#REF!</v>
      </c>
      <c r="FZ259" t="e">
        <f>AND(#REF!,"AAAAAHWfbbU=")</f>
        <v>#REF!</v>
      </c>
      <c r="GA259" t="e">
        <f>AND(#REF!,"AAAAAHWfbbY=")</f>
        <v>#REF!</v>
      </c>
      <c r="GB259" t="e">
        <f>AND(#REF!,"AAAAAHWfbbc=")</f>
        <v>#REF!</v>
      </c>
      <c r="GC259" t="e">
        <f>AND(#REF!,"AAAAAHWfbbg=")</f>
        <v>#REF!</v>
      </c>
      <c r="GD259" t="e">
        <f>AND(#REF!,"AAAAAHWfbbk=")</f>
        <v>#REF!</v>
      </c>
      <c r="GE259" t="e">
        <f>AND(#REF!,"AAAAAHWfbbo=")</f>
        <v>#REF!</v>
      </c>
      <c r="GF259" t="e">
        <f>IF(#REF!,"AAAAAHWfbbs=",0)</f>
        <v>#REF!</v>
      </c>
      <c r="GG259" t="e">
        <f>AND(#REF!,"AAAAAHWfbbw=")</f>
        <v>#REF!</v>
      </c>
      <c r="GH259" t="e">
        <f>AND(#REF!,"AAAAAHWfbb0=")</f>
        <v>#REF!</v>
      </c>
      <c r="GI259" t="e">
        <f>AND(#REF!,"AAAAAHWfbb4=")</f>
        <v>#REF!</v>
      </c>
      <c r="GJ259" t="e">
        <f>AND(#REF!,"AAAAAHWfbb8=")</f>
        <v>#REF!</v>
      </c>
      <c r="GK259" t="e">
        <f>AND(#REF!,"AAAAAHWfbcA=")</f>
        <v>#REF!</v>
      </c>
      <c r="GL259" t="e">
        <f>AND(#REF!,"AAAAAHWfbcE=")</f>
        <v>#REF!</v>
      </c>
      <c r="GM259" t="e">
        <f>AND(#REF!,"AAAAAHWfbcI=")</f>
        <v>#REF!</v>
      </c>
      <c r="GN259" t="e">
        <f>AND(#REF!,"AAAAAHWfbcM=")</f>
        <v>#REF!</v>
      </c>
      <c r="GO259" t="e">
        <f>AND(#REF!,"AAAAAHWfbcQ=")</f>
        <v>#REF!</v>
      </c>
      <c r="GP259" t="e">
        <f>AND(#REF!,"AAAAAHWfbcU=")</f>
        <v>#REF!</v>
      </c>
      <c r="GQ259" t="e">
        <f>AND(#REF!,"AAAAAHWfbcY=")</f>
        <v>#REF!</v>
      </c>
      <c r="GR259" t="e">
        <f>AND(#REF!,"AAAAAHWfbcc=")</f>
        <v>#REF!</v>
      </c>
      <c r="GS259" t="e">
        <f>AND(#REF!,"AAAAAHWfbcg=")</f>
        <v>#REF!</v>
      </c>
      <c r="GT259" t="e">
        <f>AND(#REF!,"AAAAAHWfbck=")</f>
        <v>#REF!</v>
      </c>
      <c r="GU259" t="e">
        <f>AND(#REF!,"AAAAAHWfbco=")</f>
        <v>#REF!</v>
      </c>
      <c r="GV259" t="e">
        <f>AND(#REF!,"AAAAAHWfbcs=")</f>
        <v>#REF!</v>
      </c>
      <c r="GW259" t="e">
        <f>AND(#REF!,"AAAAAHWfbcw=")</f>
        <v>#REF!</v>
      </c>
      <c r="GX259" t="e">
        <f>AND(#REF!,"AAAAAHWfbc0=")</f>
        <v>#REF!</v>
      </c>
      <c r="GY259" t="e">
        <f>AND(#REF!,"AAAAAHWfbc4=")</f>
        <v>#REF!</v>
      </c>
      <c r="GZ259" t="e">
        <f>AND(#REF!,"AAAAAHWfbc8=")</f>
        <v>#REF!</v>
      </c>
      <c r="HA259" t="e">
        <f>AND(#REF!,"AAAAAHWfbdA=")</f>
        <v>#REF!</v>
      </c>
      <c r="HB259" t="e">
        <f>AND(#REF!,"AAAAAHWfbdE=")</f>
        <v>#REF!</v>
      </c>
      <c r="HC259" t="e">
        <f>AND(#REF!,"AAAAAHWfbdI=")</f>
        <v>#REF!</v>
      </c>
      <c r="HD259" t="e">
        <f>AND(#REF!,"AAAAAHWfbdM=")</f>
        <v>#REF!</v>
      </c>
      <c r="HE259" t="e">
        <f>IF(#REF!,"AAAAAHWfbdQ=",0)</f>
        <v>#REF!</v>
      </c>
      <c r="HF259" t="e">
        <f>AND(#REF!,"AAAAAHWfbdU=")</f>
        <v>#REF!</v>
      </c>
      <c r="HG259" t="e">
        <f>AND(#REF!,"AAAAAHWfbdY=")</f>
        <v>#REF!</v>
      </c>
      <c r="HH259" t="e">
        <f>AND(#REF!,"AAAAAHWfbdc=")</f>
        <v>#REF!</v>
      </c>
      <c r="HI259" t="e">
        <f>AND(#REF!,"AAAAAHWfbdg=")</f>
        <v>#REF!</v>
      </c>
      <c r="HJ259" t="e">
        <f>AND(#REF!,"AAAAAHWfbdk=")</f>
        <v>#REF!</v>
      </c>
      <c r="HK259" t="e">
        <f>AND(#REF!,"AAAAAHWfbdo=")</f>
        <v>#REF!</v>
      </c>
      <c r="HL259" t="e">
        <f>AND(#REF!,"AAAAAHWfbds=")</f>
        <v>#REF!</v>
      </c>
      <c r="HM259" t="e">
        <f>AND(#REF!,"AAAAAHWfbdw=")</f>
        <v>#REF!</v>
      </c>
      <c r="HN259" t="e">
        <f>AND(#REF!,"AAAAAHWfbd0=")</f>
        <v>#REF!</v>
      </c>
      <c r="HO259" t="e">
        <f>AND(#REF!,"AAAAAHWfbd4=")</f>
        <v>#REF!</v>
      </c>
      <c r="HP259" t="e">
        <f>AND(#REF!,"AAAAAHWfbd8=")</f>
        <v>#REF!</v>
      </c>
      <c r="HQ259" t="e">
        <f>AND(#REF!,"AAAAAHWfbeA=")</f>
        <v>#REF!</v>
      </c>
      <c r="HR259" t="e">
        <f>AND(#REF!,"AAAAAHWfbeE=")</f>
        <v>#REF!</v>
      </c>
      <c r="HS259" t="e">
        <f>AND(#REF!,"AAAAAHWfbeI=")</f>
        <v>#REF!</v>
      </c>
      <c r="HT259" t="e">
        <f>AND(#REF!,"AAAAAHWfbeM=")</f>
        <v>#REF!</v>
      </c>
      <c r="HU259" t="e">
        <f>AND(#REF!,"AAAAAHWfbeQ=")</f>
        <v>#REF!</v>
      </c>
      <c r="HV259" t="e">
        <f>AND(#REF!,"AAAAAHWfbeU=")</f>
        <v>#REF!</v>
      </c>
      <c r="HW259" t="e">
        <f>AND(#REF!,"AAAAAHWfbeY=")</f>
        <v>#REF!</v>
      </c>
      <c r="HX259" t="e">
        <f>AND(#REF!,"AAAAAHWfbec=")</f>
        <v>#REF!</v>
      </c>
      <c r="HY259" t="e">
        <f>AND(#REF!,"AAAAAHWfbeg=")</f>
        <v>#REF!</v>
      </c>
      <c r="HZ259" t="e">
        <f>AND(#REF!,"AAAAAHWfbek=")</f>
        <v>#REF!</v>
      </c>
      <c r="IA259" t="e">
        <f>AND(#REF!,"AAAAAHWfbeo=")</f>
        <v>#REF!</v>
      </c>
      <c r="IB259" t="e">
        <f>AND(#REF!,"AAAAAHWfbes=")</f>
        <v>#REF!</v>
      </c>
      <c r="IC259" t="e">
        <f>AND(#REF!,"AAAAAHWfbew=")</f>
        <v>#REF!</v>
      </c>
      <c r="ID259" t="e">
        <f>IF(#REF!,"AAAAAHWfbe0=",0)</f>
        <v>#REF!</v>
      </c>
      <c r="IE259" t="e">
        <f>AND(#REF!,"AAAAAHWfbe4=")</f>
        <v>#REF!</v>
      </c>
      <c r="IF259" t="e">
        <f>AND(#REF!,"AAAAAHWfbe8=")</f>
        <v>#REF!</v>
      </c>
      <c r="IG259" t="e">
        <f>AND(#REF!,"AAAAAHWfbfA=")</f>
        <v>#REF!</v>
      </c>
      <c r="IH259" t="e">
        <f>AND(#REF!,"AAAAAHWfbfE=")</f>
        <v>#REF!</v>
      </c>
      <c r="II259" t="e">
        <f>AND(#REF!,"AAAAAHWfbfI=")</f>
        <v>#REF!</v>
      </c>
      <c r="IJ259" t="e">
        <f>AND(#REF!,"AAAAAHWfbfM=")</f>
        <v>#REF!</v>
      </c>
      <c r="IK259" t="e">
        <f>AND(#REF!,"AAAAAHWfbfQ=")</f>
        <v>#REF!</v>
      </c>
      <c r="IL259" t="e">
        <f>AND(#REF!,"AAAAAHWfbfU=")</f>
        <v>#REF!</v>
      </c>
      <c r="IM259" t="e">
        <f>AND(#REF!,"AAAAAHWfbfY=")</f>
        <v>#REF!</v>
      </c>
      <c r="IN259" t="e">
        <f>AND(#REF!,"AAAAAHWfbfc=")</f>
        <v>#REF!</v>
      </c>
      <c r="IO259" t="e">
        <f>AND(#REF!,"AAAAAHWfbfg=")</f>
        <v>#REF!</v>
      </c>
      <c r="IP259" t="e">
        <f>AND(#REF!,"AAAAAHWfbfk=")</f>
        <v>#REF!</v>
      </c>
      <c r="IQ259" t="e">
        <f>AND(#REF!,"AAAAAHWfbfo=")</f>
        <v>#REF!</v>
      </c>
      <c r="IR259" t="e">
        <f>AND(#REF!,"AAAAAHWfbfs=")</f>
        <v>#REF!</v>
      </c>
      <c r="IS259" t="e">
        <f>AND(#REF!,"AAAAAHWfbfw=")</f>
        <v>#REF!</v>
      </c>
      <c r="IT259" t="e">
        <f>AND(#REF!,"AAAAAHWfbf0=")</f>
        <v>#REF!</v>
      </c>
      <c r="IU259" t="e">
        <f>AND(#REF!,"AAAAAHWfbf4=")</f>
        <v>#REF!</v>
      </c>
      <c r="IV259" t="e">
        <f>AND(#REF!,"AAAAAHWfbf8=")</f>
        <v>#REF!</v>
      </c>
    </row>
    <row r="260" spans="1:256">
      <c r="A260" t="e">
        <f>AND(#REF!,"AAAAADL+2gA=")</f>
        <v>#REF!</v>
      </c>
      <c r="B260" t="e">
        <f>AND(#REF!,"AAAAADL+2gE=")</f>
        <v>#REF!</v>
      </c>
      <c r="C260" t="e">
        <f>AND(#REF!,"AAAAADL+2gI=")</f>
        <v>#REF!</v>
      </c>
      <c r="D260" t="e">
        <f>AND(#REF!,"AAAAADL+2gM=")</f>
        <v>#REF!</v>
      </c>
      <c r="E260" t="e">
        <f>AND(#REF!,"AAAAADL+2gQ=")</f>
        <v>#REF!</v>
      </c>
      <c r="F260" t="e">
        <f>AND(#REF!,"AAAAADL+2gU=")</f>
        <v>#REF!</v>
      </c>
      <c r="G260" t="e">
        <f>IF(#REF!,"AAAAADL+2gY=",0)</f>
        <v>#REF!</v>
      </c>
      <c r="H260" t="e">
        <f>AND(#REF!,"AAAAADL+2gc=")</f>
        <v>#REF!</v>
      </c>
      <c r="I260" t="e">
        <f>AND(#REF!,"AAAAADL+2gg=")</f>
        <v>#REF!</v>
      </c>
      <c r="J260" t="e">
        <f>AND(#REF!,"AAAAADL+2gk=")</f>
        <v>#REF!</v>
      </c>
      <c r="K260" t="e">
        <f>AND(#REF!,"AAAAADL+2go=")</f>
        <v>#REF!</v>
      </c>
      <c r="L260" t="e">
        <f>AND(#REF!,"AAAAADL+2gs=")</f>
        <v>#REF!</v>
      </c>
      <c r="M260" t="e">
        <f>AND(#REF!,"AAAAADL+2gw=")</f>
        <v>#REF!</v>
      </c>
      <c r="N260" t="e">
        <f>AND(#REF!,"AAAAADL+2g0=")</f>
        <v>#REF!</v>
      </c>
      <c r="O260" t="e">
        <f>AND(#REF!,"AAAAADL+2g4=")</f>
        <v>#REF!</v>
      </c>
      <c r="P260" t="e">
        <f>AND(#REF!,"AAAAADL+2g8=")</f>
        <v>#REF!</v>
      </c>
      <c r="Q260" t="e">
        <f>AND(#REF!,"AAAAADL+2hA=")</f>
        <v>#REF!</v>
      </c>
      <c r="R260" t="e">
        <f>AND(#REF!,"AAAAADL+2hE=")</f>
        <v>#REF!</v>
      </c>
      <c r="S260" t="e">
        <f>AND(#REF!,"AAAAADL+2hI=")</f>
        <v>#REF!</v>
      </c>
      <c r="T260" t="e">
        <f>AND(#REF!,"AAAAADL+2hM=")</f>
        <v>#REF!</v>
      </c>
      <c r="U260" t="e">
        <f>AND(#REF!,"AAAAADL+2hQ=")</f>
        <v>#REF!</v>
      </c>
      <c r="V260" t="e">
        <f>AND(#REF!,"AAAAADL+2hU=")</f>
        <v>#REF!</v>
      </c>
      <c r="W260" t="e">
        <f>AND(#REF!,"AAAAADL+2hY=")</f>
        <v>#REF!</v>
      </c>
      <c r="X260" t="e">
        <f>AND(#REF!,"AAAAADL+2hc=")</f>
        <v>#REF!</v>
      </c>
      <c r="Y260" t="e">
        <f>AND(#REF!,"AAAAADL+2hg=")</f>
        <v>#REF!</v>
      </c>
      <c r="Z260" t="e">
        <f>AND(#REF!,"AAAAADL+2hk=")</f>
        <v>#REF!</v>
      </c>
      <c r="AA260" t="e">
        <f>AND(#REF!,"AAAAADL+2ho=")</f>
        <v>#REF!</v>
      </c>
      <c r="AB260" t="e">
        <f>AND(#REF!,"AAAAADL+2hs=")</f>
        <v>#REF!</v>
      </c>
      <c r="AC260" t="e">
        <f>AND(#REF!,"AAAAADL+2hw=")</f>
        <v>#REF!</v>
      </c>
      <c r="AD260" t="e">
        <f>AND(#REF!,"AAAAADL+2h0=")</f>
        <v>#REF!</v>
      </c>
      <c r="AE260" t="e">
        <f>AND(#REF!,"AAAAADL+2h4=")</f>
        <v>#REF!</v>
      </c>
      <c r="AF260" t="e">
        <f>IF(#REF!,"AAAAADL+2h8=",0)</f>
        <v>#REF!</v>
      </c>
      <c r="AG260" t="e">
        <f>AND(#REF!,"AAAAADL+2iA=")</f>
        <v>#REF!</v>
      </c>
      <c r="AH260" t="e">
        <f>AND(#REF!,"AAAAADL+2iE=")</f>
        <v>#REF!</v>
      </c>
      <c r="AI260" t="e">
        <f>AND(#REF!,"AAAAADL+2iI=")</f>
        <v>#REF!</v>
      </c>
      <c r="AJ260" t="e">
        <f>AND(#REF!,"AAAAADL+2iM=")</f>
        <v>#REF!</v>
      </c>
      <c r="AK260" t="e">
        <f>AND(#REF!,"AAAAADL+2iQ=")</f>
        <v>#REF!</v>
      </c>
      <c r="AL260" t="e">
        <f>AND(#REF!,"AAAAADL+2iU=")</f>
        <v>#REF!</v>
      </c>
      <c r="AM260" t="e">
        <f>AND(#REF!,"AAAAADL+2iY=")</f>
        <v>#REF!</v>
      </c>
      <c r="AN260" t="e">
        <f>AND(#REF!,"AAAAADL+2ic=")</f>
        <v>#REF!</v>
      </c>
      <c r="AO260" t="e">
        <f>AND(#REF!,"AAAAADL+2ig=")</f>
        <v>#REF!</v>
      </c>
      <c r="AP260" t="e">
        <f>AND(#REF!,"AAAAADL+2ik=")</f>
        <v>#REF!</v>
      </c>
      <c r="AQ260" t="e">
        <f>AND(#REF!,"AAAAADL+2io=")</f>
        <v>#REF!</v>
      </c>
      <c r="AR260" t="e">
        <f>AND(#REF!,"AAAAADL+2is=")</f>
        <v>#REF!</v>
      </c>
      <c r="AS260" t="e">
        <f>AND(#REF!,"AAAAADL+2iw=")</f>
        <v>#REF!</v>
      </c>
      <c r="AT260" t="e">
        <f>AND(#REF!,"AAAAADL+2i0=")</f>
        <v>#REF!</v>
      </c>
      <c r="AU260" t="e">
        <f>AND(#REF!,"AAAAADL+2i4=")</f>
        <v>#REF!</v>
      </c>
      <c r="AV260" t="e">
        <f>AND(#REF!,"AAAAADL+2i8=")</f>
        <v>#REF!</v>
      </c>
      <c r="AW260" t="e">
        <f>AND(#REF!,"AAAAADL+2jA=")</f>
        <v>#REF!</v>
      </c>
      <c r="AX260" t="e">
        <f>AND(#REF!,"AAAAADL+2jE=")</f>
        <v>#REF!</v>
      </c>
      <c r="AY260" t="e">
        <f>AND(#REF!,"AAAAADL+2jI=")</f>
        <v>#REF!</v>
      </c>
      <c r="AZ260" t="e">
        <f>AND(#REF!,"AAAAADL+2jM=")</f>
        <v>#REF!</v>
      </c>
      <c r="BA260" t="e">
        <f>AND(#REF!,"AAAAADL+2jQ=")</f>
        <v>#REF!</v>
      </c>
      <c r="BB260" t="e">
        <f>AND(#REF!,"AAAAADL+2jU=")</f>
        <v>#REF!</v>
      </c>
      <c r="BC260" t="e">
        <f>AND(#REF!,"AAAAADL+2jY=")</f>
        <v>#REF!</v>
      </c>
      <c r="BD260" t="e">
        <f>AND(#REF!,"AAAAADL+2jc=")</f>
        <v>#REF!</v>
      </c>
      <c r="BE260" t="e">
        <f>IF(#REF!,"AAAAADL+2jg=",0)</f>
        <v>#REF!</v>
      </c>
      <c r="BF260" t="e">
        <f>AND(#REF!,"AAAAADL+2jk=")</f>
        <v>#REF!</v>
      </c>
      <c r="BG260" t="e">
        <f>AND(#REF!,"AAAAADL+2jo=")</f>
        <v>#REF!</v>
      </c>
      <c r="BH260" t="e">
        <f>AND(#REF!,"AAAAADL+2js=")</f>
        <v>#REF!</v>
      </c>
      <c r="BI260" t="e">
        <f>AND(#REF!,"AAAAADL+2jw=")</f>
        <v>#REF!</v>
      </c>
      <c r="BJ260" t="e">
        <f>AND(#REF!,"AAAAADL+2j0=")</f>
        <v>#REF!</v>
      </c>
      <c r="BK260" t="e">
        <f>AND(#REF!,"AAAAADL+2j4=")</f>
        <v>#REF!</v>
      </c>
      <c r="BL260" t="e">
        <f>AND(#REF!,"AAAAADL+2j8=")</f>
        <v>#REF!</v>
      </c>
      <c r="BM260" t="e">
        <f>AND(#REF!,"AAAAADL+2kA=")</f>
        <v>#REF!</v>
      </c>
      <c r="BN260" t="e">
        <f>AND(#REF!,"AAAAADL+2kE=")</f>
        <v>#REF!</v>
      </c>
      <c r="BO260" t="e">
        <f>AND(#REF!,"AAAAADL+2kI=")</f>
        <v>#REF!</v>
      </c>
      <c r="BP260" t="e">
        <f>AND(#REF!,"AAAAADL+2kM=")</f>
        <v>#REF!</v>
      </c>
      <c r="BQ260" t="e">
        <f>AND(#REF!,"AAAAADL+2kQ=")</f>
        <v>#REF!</v>
      </c>
      <c r="BR260" t="e">
        <f>AND(#REF!,"AAAAADL+2kU=")</f>
        <v>#REF!</v>
      </c>
      <c r="BS260" t="e">
        <f>AND(#REF!,"AAAAADL+2kY=")</f>
        <v>#REF!</v>
      </c>
      <c r="BT260" t="e">
        <f>AND(#REF!,"AAAAADL+2kc=")</f>
        <v>#REF!</v>
      </c>
      <c r="BU260" t="e">
        <f>AND(#REF!,"AAAAADL+2kg=")</f>
        <v>#REF!</v>
      </c>
      <c r="BV260" t="e">
        <f>AND(#REF!,"AAAAADL+2kk=")</f>
        <v>#REF!</v>
      </c>
      <c r="BW260" t="e">
        <f>AND(#REF!,"AAAAADL+2ko=")</f>
        <v>#REF!</v>
      </c>
      <c r="BX260" t="e">
        <f>AND(#REF!,"AAAAADL+2ks=")</f>
        <v>#REF!</v>
      </c>
      <c r="BY260" t="e">
        <f>AND(#REF!,"AAAAADL+2kw=")</f>
        <v>#REF!</v>
      </c>
      <c r="BZ260" t="e">
        <f>AND(#REF!,"AAAAADL+2k0=")</f>
        <v>#REF!</v>
      </c>
      <c r="CA260" t="e">
        <f>AND(#REF!,"AAAAADL+2k4=")</f>
        <v>#REF!</v>
      </c>
      <c r="CB260" t="e">
        <f>AND(#REF!,"AAAAADL+2k8=")</f>
        <v>#REF!</v>
      </c>
      <c r="CC260" t="e">
        <f>AND(#REF!,"AAAAADL+2lA=")</f>
        <v>#REF!</v>
      </c>
      <c r="CD260" t="e">
        <f>IF(#REF!,"AAAAADL+2lE=",0)</f>
        <v>#REF!</v>
      </c>
      <c r="CE260" t="e">
        <f>AND(#REF!,"AAAAADL+2lI=")</f>
        <v>#REF!</v>
      </c>
      <c r="CF260" t="e">
        <f>AND(#REF!,"AAAAADL+2lM=")</f>
        <v>#REF!</v>
      </c>
      <c r="CG260" t="e">
        <f>AND(#REF!,"AAAAADL+2lQ=")</f>
        <v>#REF!</v>
      </c>
      <c r="CH260" t="e">
        <f>AND(#REF!,"AAAAADL+2lU=")</f>
        <v>#REF!</v>
      </c>
      <c r="CI260" t="e">
        <f>AND(#REF!,"AAAAADL+2lY=")</f>
        <v>#REF!</v>
      </c>
      <c r="CJ260" t="e">
        <f>AND(#REF!,"AAAAADL+2lc=")</f>
        <v>#REF!</v>
      </c>
      <c r="CK260" t="e">
        <f>AND(#REF!,"AAAAADL+2lg=")</f>
        <v>#REF!</v>
      </c>
      <c r="CL260" t="e">
        <f>AND(#REF!,"AAAAADL+2lk=")</f>
        <v>#REF!</v>
      </c>
      <c r="CM260" t="e">
        <f>AND(#REF!,"AAAAADL+2lo=")</f>
        <v>#REF!</v>
      </c>
      <c r="CN260" t="e">
        <f>AND(#REF!,"AAAAADL+2ls=")</f>
        <v>#REF!</v>
      </c>
      <c r="CO260" t="e">
        <f>AND(#REF!,"AAAAADL+2lw=")</f>
        <v>#REF!</v>
      </c>
      <c r="CP260" t="e">
        <f>AND(#REF!,"AAAAADL+2l0=")</f>
        <v>#REF!</v>
      </c>
      <c r="CQ260" t="e">
        <f>AND(#REF!,"AAAAADL+2l4=")</f>
        <v>#REF!</v>
      </c>
      <c r="CR260" t="e">
        <f>AND(#REF!,"AAAAADL+2l8=")</f>
        <v>#REF!</v>
      </c>
      <c r="CS260" t="e">
        <f>AND(#REF!,"AAAAADL+2mA=")</f>
        <v>#REF!</v>
      </c>
      <c r="CT260" t="e">
        <f>AND(#REF!,"AAAAADL+2mE=")</f>
        <v>#REF!</v>
      </c>
      <c r="CU260" t="e">
        <f>AND(#REF!,"AAAAADL+2mI=")</f>
        <v>#REF!</v>
      </c>
      <c r="CV260" t="e">
        <f>AND(#REF!,"AAAAADL+2mM=")</f>
        <v>#REF!</v>
      </c>
      <c r="CW260" t="e">
        <f>AND(#REF!,"AAAAADL+2mQ=")</f>
        <v>#REF!</v>
      </c>
      <c r="CX260" t="e">
        <f>AND(#REF!,"AAAAADL+2mU=")</f>
        <v>#REF!</v>
      </c>
      <c r="CY260" t="e">
        <f>AND(#REF!,"AAAAADL+2mY=")</f>
        <v>#REF!</v>
      </c>
      <c r="CZ260" t="e">
        <f>AND(#REF!,"AAAAADL+2mc=")</f>
        <v>#REF!</v>
      </c>
      <c r="DA260" t="e">
        <f>AND(#REF!,"AAAAADL+2mg=")</f>
        <v>#REF!</v>
      </c>
      <c r="DB260" t="e">
        <f>AND(#REF!,"AAAAADL+2mk=")</f>
        <v>#REF!</v>
      </c>
      <c r="DC260" t="e">
        <f>IF(#REF!,"AAAAADL+2mo=",0)</f>
        <v>#REF!</v>
      </c>
      <c r="DD260" t="e">
        <f>AND(#REF!,"AAAAADL+2ms=")</f>
        <v>#REF!</v>
      </c>
      <c r="DE260" t="e">
        <f>AND(#REF!,"AAAAADL+2mw=")</f>
        <v>#REF!</v>
      </c>
      <c r="DF260" t="e">
        <f>AND(#REF!,"AAAAADL+2m0=")</f>
        <v>#REF!</v>
      </c>
      <c r="DG260" t="e">
        <f>AND(#REF!,"AAAAADL+2m4=")</f>
        <v>#REF!</v>
      </c>
      <c r="DH260" t="e">
        <f>AND(#REF!,"AAAAADL+2m8=")</f>
        <v>#REF!</v>
      </c>
      <c r="DI260" t="e">
        <f>AND(#REF!,"AAAAADL+2nA=")</f>
        <v>#REF!</v>
      </c>
      <c r="DJ260" t="e">
        <f>AND(#REF!,"AAAAADL+2nE=")</f>
        <v>#REF!</v>
      </c>
      <c r="DK260" t="e">
        <f>AND(#REF!,"AAAAADL+2nI=")</f>
        <v>#REF!</v>
      </c>
      <c r="DL260" t="e">
        <f>AND(#REF!,"AAAAADL+2nM=")</f>
        <v>#REF!</v>
      </c>
      <c r="DM260" t="e">
        <f>AND(#REF!,"AAAAADL+2nQ=")</f>
        <v>#REF!</v>
      </c>
      <c r="DN260" t="e">
        <f>AND(#REF!,"AAAAADL+2nU=")</f>
        <v>#REF!</v>
      </c>
      <c r="DO260" t="e">
        <f>AND(#REF!,"AAAAADL+2nY=")</f>
        <v>#REF!</v>
      </c>
      <c r="DP260" t="e">
        <f>AND(#REF!,"AAAAADL+2nc=")</f>
        <v>#REF!</v>
      </c>
      <c r="DQ260" t="e">
        <f>AND(#REF!,"AAAAADL+2ng=")</f>
        <v>#REF!</v>
      </c>
      <c r="DR260" t="e">
        <f>AND(#REF!,"AAAAADL+2nk=")</f>
        <v>#REF!</v>
      </c>
      <c r="DS260" t="e">
        <f>AND(#REF!,"AAAAADL+2no=")</f>
        <v>#REF!</v>
      </c>
      <c r="DT260" t="e">
        <f>AND(#REF!,"AAAAADL+2ns=")</f>
        <v>#REF!</v>
      </c>
      <c r="DU260" t="e">
        <f>AND(#REF!,"AAAAADL+2nw=")</f>
        <v>#REF!</v>
      </c>
      <c r="DV260" t="e">
        <f>AND(#REF!,"AAAAADL+2n0=")</f>
        <v>#REF!</v>
      </c>
      <c r="DW260" t="e">
        <f>AND(#REF!,"AAAAADL+2n4=")</f>
        <v>#REF!</v>
      </c>
      <c r="DX260" t="e">
        <f>AND(#REF!,"AAAAADL+2n8=")</f>
        <v>#REF!</v>
      </c>
      <c r="DY260" t="e">
        <f>AND(#REF!,"AAAAADL+2oA=")</f>
        <v>#REF!</v>
      </c>
      <c r="DZ260" t="e">
        <f>AND(#REF!,"AAAAADL+2oE=")</f>
        <v>#REF!</v>
      </c>
      <c r="EA260" t="e">
        <f>AND(#REF!,"AAAAADL+2oI=")</f>
        <v>#REF!</v>
      </c>
      <c r="EB260" t="e">
        <f>IF(#REF!,"AAAAADL+2oM=",0)</f>
        <v>#REF!</v>
      </c>
      <c r="EC260" t="e">
        <f>AND(#REF!,"AAAAADL+2oQ=")</f>
        <v>#REF!</v>
      </c>
      <c r="ED260" t="e">
        <f>AND(#REF!,"AAAAADL+2oU=")</f>
        <v>#REF!</v>
      </c>
      <c r="EE260" t="e">
        <f>AND(#REF!,"AAAAADL+2oY=")</f>
        <v>#REF!</v>
      </c>
      <c r="EF260" t="e">
        <f>AND(#REF!,"AAAAADL+2oc=")</f>
        <v>#REF!</v>
      </c>
      <c r="EG260" t="e">
        <f>AND(#REF!,"AAAAADL+2og=")</f>
        <v>#REF!</v>
      </c>
      <c r="EH260" t="e">
        <f>AND(#REF!,"AAAAADL+2ok=")</f>
        <v>#REF!</v>
      </c>
      <c r="EI260" t="e">
        <f>AND(#REF!,"AAAAADL+2oo=")</f>
        <v>#REF!</v>
      </c>
      <c r="EJ260" t="e">
        <f>AND(#REF!,"AAAAADL+2os=")</f>
        <v>#REF!</v>
      </c>
      <c r="EK260" t="e">
        <f>AND(#REF!,"AAAAADL+2ow=")</f>
        <v>#REF!</v>
      </c>
      <c r="EL260" t="e">
        <f>AND(#REF!,"AAAAADL+2o0=")</f>
        <v>#REF!</v>
      </c>
      <c r="EM260" t="e">
        <f>AND(#REF!,"AAAAADL+2o4=")</f>
        <v>#REF!</v>
      </c>
      <c r="EN260" t="e">
        <f>AND(#REF!,"AAAAADL+2o8=")</f>
        <v>#REF!</v>
      </c>
      <c r="EO260" t="e">
        <f>AND(#REF!,"AAAAADL+2pA=")</f>
        <v>#REF!</v>
      </c>
      <c r="EP260" t="e">
        <f>AND(#REF!,"AAAAADL+2pE=")</f>
        <v>#REF!</v>
      </c>
      <c r="EQ260" t="e">
        <f>AND(#REF!,"AAAAADL+2pI=")</f>
        <v>#REF!</v>
      </c>
      <c r="ER260" t="e">
        <f>AND(#REF!,"AAAAADL+2pM=")</f>
        <v>#REF!</v>
      </c>
      <c r="ES260" t="e">
        <f>AND(#REF!,"AAAAADL+2pQ=")</f>
        <v>#REF!</v>
      </c>
      <c r="ET260" t="e">
        <f>AND(#REF!,"AAAAADL+2pU=")</f>
        <v>#REF!</v>
      </c>
      <c r="EU260" t="e">
        <f>AND(#REF!,"AAAAADL+2pY=")</f>
        <v>#REF!</v>
      </c>
      <c r="EV260" t="e">
        <f>AND(#REF!,"AAAAADL+2pc=")</f>
        <v>#REF!</v>
      </c>
      <c r="EW260" t="e">
        <f>AND(#REF!,"AAAAADL+2pg=")</f>
        <v>#REF!</v>
      </c>
      <c r="EX260" t="e">
        <f>AND(#REF!,"AAAAADL+2pk=")</f>
        <v>#REF!</v>
      </c>
      <c r="EY260" t="e">
        <f>AND(#REF!,"AAAAADL+2po=")</f>
        <v>#REF!</v>
      </c>
      <c r="EZ260" t="e">
        <f>AND(#REF!,"AAAAADL+2ps=")</f>
        <v>#REF!</v>
      </c>
      <c r="FA260" t="e">
        <f>IF(#REF!,"AAAAADL+2pw=",0)</f>
        <v>#REF!</v>
      </c>
      <c r="FB260" t="e">
        <f>AND(#REF!,"AAAAADL+2p0=")</f>
        <v>#REF!</v>
      </c>
      <c r="FC260" t="e">
        <f>AND(#REF!,"AAAAADL+2p4=")</f>
        <v>#REF!</v>
      </c>
      <c r="FD260" t="e">
        <f>AND(#REF!,"AAAAADL+2p8=")</f>
        <v>#REF!</v>
      </c>
      <c r="FE260" t="e">
        <f>AND(#REF!,"AAAAADL+2qA=")</f>
        <v>#REF!</v>
      </c>
      <c r="FF260" t="e">
        <f>AND(#REF!,"AAAAADL+2qE=")</f>
        <v>#REF!</v>
      </c>
      <c r="FG260" t="e">
        <f>AND(#REF!,"AAAAADL+2qI=")</f>
        <v>#REF!</v>
      </c>
      <c r="FH260" t="e">
        <f>AND(#REF!,"AAAAADL+2qM=")</f>
        <v>#REF!</v>
      </c>
      <c r="FI260" t="e">
        <f>AND(#REF!,"AAAAADL+2qQ=")</f>
        <v>#REF!</v>
      </c>
      <c r="FJ260" t="e">
        <f>AND(#REF!,"AAAAADL+2qU=")</f>
        <v>#REF!</v>
      </c>
      <c r="FK260" t="e">
        <f>AND(#REF!,"AAAAADL+2qY=")</f>
        <v>#REF!</v>
      </c>
      <c r="FL260" t="e">
        <f>AND(#REF!,"AAAAADL+2qc=")</f>
        <v>#REF!</v>
      </c>
      <c r="FM260" t="e">
        <f>AND(#REF!,"AAAAADL+2qg=")</f>
        <v>#REF!</v>
      </c>
      <c r="FN260" t="e">
        <f>AND(#REF!,"AAAAADL+2qk=")</f>
        <v>#REF!</v>
      </c>
      <c r="FO260" t="e">
        <f>AND(#REF!,"AAAAADL+2qo=")</f>
        <v>#REF!</v>
      </c>
      <c r="FP260" t="e">
        <f>AND(#REF!,"AAAAADL+2qs=")</f>
        <v>#REF!</v>
      </c>
      <c r="FQ260" t="e">
        <f>AND(#REF!,"AAAAADL+2qw=")</f>
        <v>#REF!</v>
      </c>
      <c r="FR260" t="e">
        <f>AND(#REF!,"AAAAADL+2q0=")</f>
        <v>#REF!</v>
      </c>
      <c r="FS260" t="e">
        <f>AND(#REF!,"AAAAADL+2q4=")</f>
        <v>#REF!</v>
      </c>
      <c r="FT260" t="e">
        <f>AND(#REF!,"AAAAADL+2q8=")</f>
        <v>#REF!</v>
      </c>
      <c r="FU260" t="e">
        <f>AND(#REF!,"AAAAADL+2rA=")</f>
        <v>#REF!</v>
      </c>
      <c r="FV260" t="e">
        <f>AND(#REF!,"AAAAADL+2rE=")</f>
        <v>#REF!</v>
      </c>
      <c r="FW260" t="e">
        <f>AND(#REF!,"AAAAADL+2rI=")</f>
        <v>#REF!</v>
      </c>
      <c r="FX260" t="e">
        <f>AND(#REF!,"AAAAADL+2rM=")</f>
        <v>#REF!</v>
      </c>
      <c r="FY260" t="e">
        <f>AND(#REF!,"AAAAADL+2rQ=")</f>
        <v>#REF!</v>
      </c>
      <c r="FZ260" t="e">
        <f>IF(#REF!,"AAAAADL+2rU=",0)</f>
        <v>#REF!</v>
      </c>
      <c r="GA260" t="e">
        <f>AND(#REF!,"AAAAADL+2rY=")</f>
        <v>#REF!</v>
      </c>
      <c r="GB260" t="e">
        <f>AND(#REF!,"AAAAADL+2rc=")</f>
        <v>#REF!</v>
      </c>
      <c r="GC260" t="e">
        <f>AND(#REF!,"AAAAADL+2rg=")</f>
        <v>#REF!</v>
      </c>
      <c r="GD260" t="e">
        <f>AND(#REF!,"AAAAADL+2rk=")</f>
        <v>#REF!</v>
      </c>
      <c r="GE260" t="e">
        <f>AND(#REF!,"AAAAADL+2ro=")</f>
        <v>#REF!</v>
      </c>
      <c r="GF260" t="e">
        <f>AND(#REF!,"AAAAADL+2rs=")</f>
        <v>#REF!</v>
      </c>
      <c r="GG260" t="e">
        <f>AND(#REF!,"AAAAADL+2rw=")</f>
        <v>#REF!</v>
      </c>
      <c r="GH260" t="e">
        <f>AND(#REF!,"AAAAADL+2r0=")</f>
        <v>#REF!</v>
      </c>
      <c r="GI260" t="e">
        <f>AND(#REF!,"AAAAADL+2r4=")</f>
        <v>#REF!</v>
      </c>
      <c r="GJ260" t="e">
        <f>AND(#REF!,"AAAAADL+2r8=")</f>
        <v>#REF!</v>
      </c>
      <c r="GK260" t="e">
        <f>AND(#REF!,"AAAAADL+2sA=")</f>
        <v>#REF!</v>
      </c>
      <c r="GL260" t="e">
        <f>AND(#REF!,"AAAAADL+2sE=")</f>
        <v>#REF!</v>
      </c>
      <c r="GM260" t="e">
        <f>AND(#REF!,"AAAAADL+2sI=")</f>
        <v>#REF!</v>
      </c>
      <c r="GN260" t="e">
        <f>AND(#REF!,"AAAAADL+2sM=")</f>
        <v>#REF!</v>
      </c>
      <c r="GO260" t="e">
        <f>AND(#REF!,"AAAAADL+2sQ=")</f>
        <v>#REF!</v>
      </c>
      <c r="GP260" t="e">
        <f>AND(#REF!,"AAAAADL+2sU=")</f>
        <v>#REF!</v>
      </c>
      <c r="GQ260" t="e">
        <f>AND(#REF!,"AAAAADL+2sY=")</f>
        <v>#REF!</v>
      </c>
      <c r="GR260" t="e">
        <f>AND(#REF!,"AAAAADL+2sc=")</f>
        <v>#REF!</v>
      </c>
      <c r="GS260" t="e">
        <f>AND(#REF!,"AAAAADL+2sg=")</f>
        <v>#REF!</v>
      </c>
      <c r="GT260" t="e">
        <f>AND(#REF!,"AAAAADL+2sk=")</f>
        <v>#REF!</v>
      </c>
      <c r="GU260" t="e">
        <f>AND(#REF!,"AAAAADL+2so=")</f>
        <v>#REF!</v>
      </c>
      <c r="GV260" t="e">
        <f>AND(#REF!,"AAAAADL+2ss=")</f>
        <v>#REF!</v>
      </c>
      <c r="GW260" t="e">
        <f>AND(#REF!,"AAAAADL+2sw=")</f>
        <v>#REF!</v>
      </c>
      <c r="GX260" t="e">
        <f>AND(#REF!,"AAAAADL+2s0=")</f>
        <v>#REF!</v>
      </c>
      <c r="GY260" t="e">
        <f>IF(#REF!,"AAAAADL+2s4=",0)</f>
        <v>#REF!</v>
      </c>
      <c r="GZ260" t="e">
        <f>AND(#REF!,"AAAAADL+2s8=")</f>
        <v>#REF!</v>
      </c>
      <c r="HA260" t="e">
        <f>AND(#REF!,"AAAAADL+2tA=")</f>
        <v>#REF!</v>
      </c>
      <c r="HB260" t="e">
        <f>AND(#REF!,"AAAAADL+2tE=")</f>
        <v>#REF!</v>
      </c>
      <c r="HC260" t="e">
        <f>AND(#REF!,"AAAAADL+2tI=")</f>
        <v>#REF!</v>
      </c>
      <c r="HD260" t="e">
        <f>AND(#REF!,"AAAAADL+2tM=")</f>
        <v>#REF!</v>
      </c>
      <c r="HE260" t="e">
        <f>AND(#REF!,"AAAAADL+2tQ=")</f>
        <v>#REF!</v>
      </c>
      <c r="HF260" t="e">
        <f>AND(#REF!,"AAAAADL+2tU=")</f>
        <v>#REF!</v>
      </c>
      <c r="HG260" t="e">
        <f>AND(#REF!,"AAAAADL+2tY=")</f>
        <v>#REF!</v>
      </c>
      <c r="HH260" t="e">
        <f>AND(#REF!,"AAAAADL+2tc=")</f>
        <v>#REF!</v>
      </c>
      <c r="HI260" t="e">
        <f>AND(#REF!,"AAAAADL+2tg=")</f>
        <v>#REF!</v>
      </c>
      <c r="HJ260" t="e">
        <f>AND(#REF!,"AAAAADL+2tk=")</f>
        <v>#REF!</v>
      </c>
      <c r="HK260" t="e">
        <f>AND(#REF!,"AAAAADL+2to=")</f>
        <v>#REF!</v>
      </c>
      <c r="HL260" t="e">
        <f>AND(#REF!,"AAAAADL+2ts=")</f>
        <v>#REF!</v>
      </c>
      <c r="HM260" t="e">
        <f>AND(#REF!,"AAAAADL+2tw=")</f>
        <v>#REF!</v>
      </c>
      <c r="HN260" t="e">
        <f>AND(#REF!,"AAAAADL+2t0=")</f>
        <v>#REF!</v>
      </c>
      <c r="HO260" t="e">
        <f>AND(#REF!,"AAAAADL+2t4=")</f>
        <v>#REF!</v>
      </c>
      <c r="HP260" t="e">
        <f>AND(#REF!,"AAAAADL+2t8=")</f>
        <v>#REF!</v>
      </c>
      <c r="HQ260" t="e">
        <f>AND(#REF!,"AAAAADL+2uA=")</f>
        <v>#REF!</v>
      </c>
      <c r="HR260" t="e">
        <f>AND(#REF!,"AAAAADL+2uE=")</f>
        <v>#REF!</v>
      </c>
      <c r="HS260" t="e">
        <f>AND(#REF!,"AAAAADL+2uI=")</f>
        <v>#REF!</v>
      </c>
      <c r="HT260" t="e">
        <f>AND(#REF!,"AAAAADL+2uM=")</f>
        <v>#REF!</v>
      </c>
      <c r="HU260" t="e">
        <f>AND(#REF!,"AAAAADL+2uQ=")</f>
        <v>#REF!</v>
      </c>
      <c r="HV260" t="e">
        <f>AND(#REF!,"AAAAADL+2uU=")</f>
        <v>#REF!</v>
      </c>
      <c r="HW260" t="e">
        <f>AND(#REF!,"AAAAADL+2uY=")</f>
        <v>#REF!</v>
      </c>
      <c r="HX260" t="e">
        <f>IF(#REF!,"AAAAADL+2uc=",0)</f>
        <v>#REF!</v>
      </c>
      <c r="HY260" t="e">
        <f>AND(#REF!,"AAAAADL+2ug=")</f>
        <v>#REF!</v>
      </c>
      <c r="HZ260" t="e">
        <f>AND(#REF!,"AAAAADL+2uk=")</f>
        <v>#REF!</v>
      </c>
      <c r="IA260" t="e">
        <f>AND(#REF!,"AAAAADL+2uo=")</f>
        <v>#REF!</v>
      </c>
      <c r="IB260" t="e">
        <f>AND(#REF!,"AAAAADL+2us=")</f>
        <v>#REF!</v>
      </c>
      <c r="IC260" t="e">
        <f>AND(#REF!,"AAAAADL+2uw=")</f>
        <v>#REF!</v>
      </c>
      <c r="ID260" t="e">
        <f>AND(#REF!,"AAAAADL+2u0=")</f>
        <v>#REF!</v>
      </c>
      <c r="IE260" t="e">
        <f>AND(#REF!,"AAAAADL+2u4=")</f>
        <v>#REF!</v>
      </c>
      <c r="IF260" t="e">
        <f>AND(#REF!,"AAAAADL+2u8=")</f>
        <v>#REF!</v>
      </c>
      <c r="IG260" t="e">
        <f>AND(#REF!,"AAAAADL+2vA=")</f>
        <v>#REF!</v>
      </c>
      <c r="IH260" t="e">
        <f>AND(#REF!,"AAAAADL+2vE=")</f>
        <v>#REF!</v>
      </c>
      <c r="II260" t="e">
        <f>AND(#REF!,"AAAAADL+2vI=")</f>
        <v>#REF!</v>
      </c>
      <c r="IJ260" t="e">
        <f>AND(#REF!,"AAAAADL+2vM=")</f>
        <v>#REF!</v>
      </c>
      <c r="IK260" t="e">
        <f>AND(#REF!,"AAAAADL+2vQ=")</f>
        <v>#REF!</v>
      </c>
      <c r="IL260" t="e">
        <f>AND(#REF!,"AAAAADL+2vU=")</f>
        <v>#REF!</v>
      </c>
      <c r="IM260" t="e">
        <f>AND(#REF!,"AAAAADL+2vY=")</f>
        <v>#REF!</v>
      </c>
      <c r="IN260" t="e">
        <f>AND(#REF!,"AAAAADL+2vc=")</f>
        <v>#REF!</v>
      </c>
      <c r="IO260" t="e">
        <f>AND(#REF!,"AAAAADL+2vg=")</f>
        <v>#REF!</v>
      </c>
      <c r="IP260" t="e">
        <f>AND(#REF!,"AAAAADL+2vk=")</f>
        <v>#REF!</v>
      </c>
      <c r="IQ260" t="e">
        <f>AND(#REF!,"AAAAADL+2vo=")</f>
        <v>#REF!</v>
      </c>
      <c r="IR260" t="e">
        <f>AND(#REF!,"AAAAADL+2vs=")</f>
        <v>#REF!</v>
      </c>
      <c r="IS260" t="e">
        <f>AND(#REF!,"AAAAADL+2vw=")</f>
        <v>#REF!</v>
      </c>
      <c r="IT260" t="e">
        <f>AND(#REF!,"AAAAADL+2v0=")</f>
        <v>#REF!</v>
      </c>
      <c r="IU260" t="e">
        <f>AND(#REF!,"AAAAADL+2v4=")</f>
        <v>#REF!</v>
      </c>
      <c r="IV260" t="e">
        <f>AND(#REF!,"AAAAADL+2v8=")</f>
        <v>#REF!</v>
      </c>
    </row>
    <row r="261" spans="1:256">
      <c r="A261" t="e">
        <f>IF(#REF!,"AAAAAH/7xwA=",0)</f>
        <v>#REF!</v>
      </c>
      <c r="B261" t="e">
        <f>AND(#REF!,"AAAAAH/7xwE=")</f>
        <v>#REF!</v>
      </c>
      <c r="C261" t="e">
        <f>AND(#REF!,"AAAAAH/7xwI=")</f>
        <v>#REF!</v>
      </c>
      <c r="D261" t="e">
        <f>AND(#REF!,"AAAAAH/7xwM=")</f>
        <v>#REF!</v>
      </c>
      <c r="E261" t="e">
        <f>AND(#REF!,"AAAAAH/7xwQ=")</f>
        <v>#REF!</v>
      </c>
      <c r="F261" t="e">
        <f>AND(#REF!,"AAAAAH/7xwU=")</f>
        <v>#REF!</v>
      </c>
      <c r="G261" t="e">
        <f>AND(#REF!,"AAAAAH/7xwY=")</f>
        <v>#REF!</v>
      </c>
      <c r="H261" t="e">
        <f>AND(#REF!,"AAAAAH/7xwc=")</f>
        <v>#REF!</v>
      </c>
      <c r="I261" t="e">
        <f>AND(#REF!,"AAAAAH/7xwg=")</f>
        <v>#REF!</v>
      </c>
      <c r="J261" t="e">
        <f>AND(#REF!,"AAAAAH/7xwk=")</f>
        <v>#REF!</v>
      </c>
      <c r="K261" t="e">
        <f>AND(#REF!,"AAAAAH/7xwo=")</f>
        <v>#REF!</v>
      </c>
      <c r="L261" t="e">
        <f>AND(#REF!,"AAAAAH/7xws=")</f>
        <v>#REF!</v>
      </c>
      <c r="M261" t="e">
        <f>AND(#REF!,"AAAAAH/7xww=")</f>
        <v>#REF!</v>
      </c>
      <c r="N261" t="e">
        <f>AND(#REF!,"AAAAAH/7xw0=")</f>
        <v>#REF!</v>
      </c>
      <c r="O261" t="e">
        <f>AND(#REF!,"AAAAAH/7xw4=")</f>
        <v>#REF!</v>
      </c>
      <c r="P261" t="e">
        <f>AND(#REF!,"AAAAAH/7xw8=")</f>
        <v>#REF!</v>
      </c>
      <c r="Q261" t="e">
        <f>AND(#REF!,"AAAAAH/7xxA=")</f>
        <v>#REF!</v>
      </c>
      <c r="R261" t="e">
        <f>AND(#REF!,"AAAAAH/7xxE=")</f>
        <v>#REF!</v>
      </c>
      <c r="S261" t="e">
        <f>AND(#REF!,"AAAAAH/7xxI=")</f>
        <v>#REF!</v>
      </c>
      <c r="T261" t="e">
        <f>AND(#REF!,"AAAAAH/7xxM=")</f>
        <v>#REF!</v>
      </c>
      <c r="U261" t="e">
        <f>AND(#REF!,"AAAAAH/7xxQ=")</f>
        <v>#REF!</v>
      </c>
      <c r="V261" t="e">
        <f>AND(#REF!,"AAAAAH/7xxU=")</f>
        <v>#REF!</v>
      </c>
      <c r="W261" t="e">
        <f>AND(#REF!,"AAAAAH/7xxY=")</f>
        <v>#REF!</v>
      </c>
      <c r="X261" t="e">
        <f>AND(#REF!,"AAAAAH/7xxc=")</f>
        <v>#REF!</v>
      </c>
      <c r="Y261" t="e">
        <f>AND(#REF!,"AAAAAH/7xxg=")</f>
        <v>#REF!</v>
      </c>
      <c r="Z261" t="e">
        <f>IF(#REF!,"AAAAAH/7xxk=",0)</f>
        <v>#REF!</v>
      </c>
      <c r="AA261" t="e">
        <f>AND(#REF!,"AAAAAH/7xxo=")</f>
        <v>#REF!</v>
      </c>
      <c r="AB261" t="e">
        <f>AND(#REF!,"AAAAAH/7xxs=")</f>
        <v>#REF!</v>
      </c>
      <c r="AC261" t="e">
        <f>AND(#REF!,"AAAAAH/7xxw=")</f>
        <v>#REF!</v>
      </c>
      <c r="AD261" t="e">
        <f>AND(#REF!,"AAAAAH/7xx0=")</f>
        <v>#REF!</v>
      </c>
      <c r="AE261" t="e">
        <f>AND(#REF!,"AAAAAH/7xx4=")</f>
        <v>#REF!</v>
      </c>
      <c r="AF261" t="e">
        <f>AND(#REF!,"AAAAAH/7xx8=")</f>
        <v>#REF!</v>
      </c>
      <c r="AG261" t="e">
        <f>AND(#REF!,"AAAAAH/7xyA=")</f>
        <v>#REF!</v>
      </c>
      <c r="AH261" t="e">
        <f>AND(#REF!,"AAAAAH/7xyE=")</f>
        <v>#REF!</v>
      </c>
      <c r="AI261" t="e">
        <f>AND(#REF!,"AAAAAH/7xyI=")</f>
        <v>#REF!</v>
      </c>
      <c r="AJ261" t="e">
        <f>AND(#REF!,"AAAAAH/7xyM=")</f>
        <v>#REF!</v>
      </c>
      <c r="AK261" t="e">
        <f>AND(#REF!,"AAAAAH/7xyQ=")</f>
        <v>#REF!</v>
      </c>
      <c r="AL261" t="e">
        <f>AND(#REF!,"AAAAAH/7xyU=")</f>
        <v>#REF!</v>
      </c>
      <c r="AM261" t="e">
        <f>AND(#REF!,"AAAAAH/7xyY=")</f>
        <v>#REF!</v>
      </c>
      <c r="AN261" t="e">
        <f>AND(#REF!,"AAAAAH/7xyc=")</f>
        <v>#REF!</v>
      </c>
      <c r="AO261" t="e">
        <f>AND(#REF!,"AAAAAH/7xyg=")</f>
        <v>#REF!</v>
      </c>
      <c r="AP261" t="e">
        <f>AND(#REF!,"AAAAAH/7xyk=")</f>
        <v>#REF!</v>
      </c>
      <c r="AQ261" t="e">
        <f>AND(#REF!,"AAAAAH/7xyo=")</f>
        <v>#REF!</v>
      </c>
      <c r="AR261" t="e">
        <f>AND(#REF!,"AAAAAH/7xys=")</f>
        <v>#REF!</v>
      </c>
      <c r="AS261" t="e">
        <f>AND(#REF!,"AAAAAH/7xyw=")</f>
        <v>#REF!</v>
      </c>
      <c r="AT261" t="e">
        <f>AND(#REF!,"AAAAAH/7xy0=")</f>
        <v>#REF!</v>
      </c>
      <c r="AU261" t="e">
        <f>AND(#REF!,"AAAAAH/7xy4=")</f>
        <v>#REF!</v>
      </c>
      <c r="AV261" t="e">
        <f>AND(#REF!,"AAAAAH/7xy8=")</f>
        <v>#REF!</v>
      </c>
      <c r="AW261" t="e">
        <f>AND(#REF!,"AAAAAH/7xzA=")</f>
        <v>#REF!</v>
      </c>
      <c r="AX261" t="e">
        <f>AND(#REF!,"AAAAAH/7xzE=")</f>
        <v>#REF!</v>
      </c>
      <c r="AY261" t="e">
        <f>IF(#REF!,"AAAAAH/7xzI=",0)</f>
        <v>#REF!</v>
      </c>
      <c r="AZ261" t="e">
        <f>AND(#REF!,"AAAAAH/7xzM=")</f>
        <v>#REF!</v>
      </c>
      <c r="BA261" t="e">
        <f>AND(#REF!,"AAAAAH/7xzQ=")</f>
        <v>#REF!</v>
      </c>
      <c r="BB261" t="e">
        <f>AND(#REF!,"AAAAAH/7xzU=")</f>
        <v>#REF!</v>
      </c>
      <c r="BC261" t="e">
        <f>AND(#REF!,"AAAAAH/7xzY=")</f>
        <v>#REF!</v>
      </c>
      <c r="BD261" t="e">
        <f>AND(#REF!,"AAAAAH/7xzc=")</f>
        <v>#REF!</v>
      </c>
      <c r="BE261" t="e">
        <f>AND(#REF!,"AAAAAH/7xzg=")</f>
        <v>#REF!</v>
      </c>
      <c r="BF261" t="e">
        <f>AND(#REF!,"AAAAAH/7xzk=")</f>
        <v>#REF!</v>
      </c>
      <c r="BG261" t="e">
        <f>AND(#REF!,"AAAAAH/7xzo=")</f>
        <v>#REF!</v>
      </c>
      <c r="BH261" t="e">
        <f>AND(#REF!,"AAAAAH/7xzs=")</f>
        <v>#REF!</v>
      </c>
      <c r="BI261" t="e">
        <f>AND(#REF!,"AAAAAH/7xzw=")</f>
        <v>#REF!</v>
      </c>
      <c r="BJ261" t="e">
        <f>AND(#REF!,"AAAAAH/7xz0=")</f>
        <v>#REF!</v>
      </c>
      <c r="BK261" t="e">
        <f>AND(#REF!,"AAAAAH/7xz4=")</f>
        <v>#REF!</v>
      </c>
      <c r="BL261" t="e">
        <f>AND(#REF!,"AAAAAH/7xz8=")</f>
        <v>#REF!</v>
      </c>
      <c r="BM261" t="e">
        <f>AND(#REF!,"AAAAAH/7x0A=")</f>
        <v>#REF!</v>
      </c>
      <c r="BN261" t="e">
        <f>AND(#REF!,"AAAAAH/7x0E=")</f>
        <v>#REF!</v>
      </c>
      <c r="BO261" t="e">
        <f>AND(#REF!,"AAAAAH/7x0I=")</f>
        <v>#REF!</v>
      </c>
      <c r="BP261" t="e">
        <f>AND(#REF!,"AAAAAH/7x0M=")</f>
        <v>#REF!</v>
      </c>
      <c r="BQ261" t="e">
        <f>AND(#REF!,"AAAAAH/7x0Q=")</f>
        <v>#REF!</v>
      </c>
      <c r="BR261" t="e">
        <f>AND(#REF!,"AAAAAH/7x0U=")</f>
        <v>#REF!</v>
      </c>
      <c r="BS261" t="e">
        <f>AND(#REF!,"AAAAAH/7x0Y=")</f>
        <v>#REF!</v>
      </c>
      <c r="BT261" t="e">
        <f>AND(#REF!,"AAAAAH/7x0c=")</f>
        <v>#REF!</v>
      </c>
      <c r="BU261" t="e">
        <f>AND(#REF!,"AAAAAH/7x0g=")</f>
        <v>#REF!</v>
      </c>
      <c r="BV261" t="e">
        <f>AND(#REF!,"AAAAAH/7x0k=")</f>
        <v>#REF!</v>
      </c>
      <c r="BW261" t="e">
        <f>AND(#REF!,"AAAAAH/7x0o=")</f>
        <v>#REF!</v>
      </c>
      <c r="BX261" t="e">
        <f>IF(#REF!,"AAAAAH/7x0s=",0)</f>
        <v>#REF!</v>
      </c>
      <c r="BY261" t="e">
        <f>AND(#REF!,"AAAAAH/7x0w=")</f>
        <v>#REF!</v>
      </c>
      <c r="BZ261" t="e">
        <f>AND(#REF!,"AAAAAH/7x00=")</f>
        <v>#REF!</v>
      </c>
      <c r="CA261" t="e">
        <f>AND(#REF!,"AAAAAH/7x04=")</f>
        <v>#REF!</v>
      </c>
      <c r="CB261" t="e">
        <f>AND(#REF!,"AAAAAH/7x08=")</f>
        <v>#REF!</v>
      </c>
      <c r="CC261" t="e">
        <f>AND(#REF!,"AAAAAH/7x1A=")</f>
        <v>#REF!</v>
      </c>
      <c r="CD261" t="e">
        <f>AND(#REF!,"AAAAAH/7x1E=")</f>
        <v>#REF!</v>
      </c>
      <c r="CE261" t="e">
        <f>AND(#REF!,"AAAAAH/7x1I=")</f>
        <v>#REF!</v>
      </c>
      <c r="CF261" t="e">
        <f>AND(#REF!,"AAAAAH/7x1M=")</f>
        <v>#REF!</v>
      </c>
      <c r="CG261" t="e">
        <f>AND(#REF!,"AAAAAH/7x1Q=")</f>
        <v>#REF!</v>
      </c>
      <c r="CH261" t="e">
        <f>AND(#REF!,"AAAAAH/7x1U=")</f>
        <v>#REF!</v>
      </c>
      <c r="CI261" t="e">
        <f>AND(#REF!,"AAAAAH/7x1Y=")</f>
        <v>#REF!</v>
      </c>
      <c r="CJ261" t="e">
        <f>AND(#REF!,"AAAAAH/7x1c=")</f>
        <v>#REF!</v>
      </c>
      <c r="CK261" t="e">
        <f>AND(#REF!,"AAAAAH/7x1g=")</f>
        <v>#REF!</v>
      </c>
      <c r="CL261" t="e">
        <f>AND(#REF!,"AAAAAH/7x1k=")</f>
        <v>#REF!</v>
      </c>
      <c r="CM261" t="e">
        <f>AND(#REF!,"AAAAAH/7x1o=")</f>
        <v>#REF!</v>
      </c>
      <c r="CN261" t="e">
        <f>AND(#REF!,"AAAAAH/7x1s=")</f>
        <v>#REF!</v>
      </c>
      <c r="CO261" t="e">
        <f>AND(#REF!,"AAAAAH/7x1w=")</f>
        <v>#REF!</v>
      </c>
      <c r="CP261" t="e">
        <f>AND(#REF!,"AAAAAH/7x10=")</f>
        <v>#REF!</v>
      </c>
      <c r="CQ261" t="e">
        <f>AND(#REF!,"AAAAAH/7x14=")</f>
        <v>#REF!</v>
      </c>
      <c r="CR261" t="e">
        <f>AND(#REF!,"AAAAAH/7x18=")</f>
        <v>#REF!</v>
      </c>
      <c r="CS261" t="e">
        <f>AND(#REF!,"AAAAAH/7x2A=")</f>
        <v>#REF!</v>
      </c>
      <c r="CT261" t="e">
        <f>AND(#REF!,"AAAAAH/7x2E=")</f>
        <v>#REF!</v>
      </c>
      <c r="CU261" t="e">
        <f>AND(#REF!,"AAAAAH/7x2I=")</f>
        <v>#REF!</v>
      </c>
      <c r="CV261" t="e">
        <f>AND(#REF!,"AAAAAH/7x2M=")</f>
        <v>#REF!</v>
      </c>
      <c r="CW261" t="e">
        <f>IF(#REF!,"AAAAAH/7x2Q=",0)</f>
        <v>#REF!</v>
      </c>
      <c r="CX261" t="e">
        <f>AND(#REF!,"AAAAAH/7x2U=")</f>
        <v>#REF!</v>
      </c>
      <c r="CY261" t="e">
        <f>AND(#REF!,"AAAAAH/7x2Y=")</f>
        <v>#REF!</v>
      </c>
      <c r="CZ261" t="e">
        <f>AND(#REF!,"AAAAAH/7x2c=")</f>
        <v>#REF!</v>
      </c>
      <c r="DA261" t="e">
        <f>AND(#REF!,"AAAAAH/7x2g=")</f>
        <v>#REF!</v>
      </c>
      <c r="DB261" t="e">
        <f>AND(#REF!,"AAAAAH/7x2k=")</f>
        <v>#REF!</v>
      </c>
      <c r="DC261" t="e">
        <f>AND(#REF!,"AAAAAH/7x2o=")</f>
        <v>#REF!</v>
      </c>
      <c r="DD261" t="e">
        <f>AND(#REF!,"AAAAAH/7x2s=")</f>
        <v>#REF!</v>
      </c>
      <c r="DE261" t="e">
        <f>AND(#REF!,"AAAAAH/7x2w=")</f>
        <v>#REF!</v>
      </c>
      <c r="DF261" t="e">
        <f>AND(#REF!,"AAAAAH/7x20=")</f>
        <v>#REF!</v>
      </c>
      <c r="DG261" t="e">
        <f>AND(#REF!,"AAAAAH/7x24=")</f>
        <v>#REF!</v>
      </c>
      <c r="DH261" t="e">
        <f>AND(#REF!,"AAAAAH/7x28=")</f>
        <v>#REF!</v>
      </c>
      <c r="DI261" t="e">
        <f>AND(#REF!,"AAAAAH/7x3A=")</f>
        <v>#REF!</v>
      </c>
      <c r="DJ261" t="e">
        <f>AND(#REF!,"AAAAAH/7x3E=")</f>
        <v>#REF!</v>
      </c>
      <c r="DK261" t="e">
        <f>AND(#REF!,"AAAAAH/7x3I=")</f>
        <v>#REF!</v>
      </c>
      <c r="DL261" t="e">
        <f>AND(#REF!,"AAAAAH/7x3M=")</f>
        <v>#REF!</v>
      </c>
      <c r="DM261" t="e">
        <f>AND(#REF!,"AAAAAH/7x3Q=")</f>
        <v>#REF!</v>
      </c>
      <c r="DN261" t="e">
        <f>AND(#REF!,"AAAAAH/7x3U=")</f>
        <v>#REF!</v>
      </c>
      <c r="DO261" t="e">
        <f>AND(#REF!,"AAAAAH/7x3Y=")</f>
        <v>#REF!</v>
      </c>
      <c r="DP261" t="e">
        <f>AND(#REF!,"AAAAAH/7x3c=")</f>
        <v>#REF!</v>
      </c>
      <c r="DQ261" t="e">
        <f>AND(#REF!,"AAAAAH/7x3g=")</f>
        <v>#REF!</v>
      </c>
      <c r="DR261" t="e">
        <f>AND(#REF!,"AAAAAH/7x3k=")</f>
        <v>#REF!</v>
      </c>
      <c r="DS261" t="e">
        <f>AND(#REF!,"AAAAAH/7x3o=")</f>
        <v>#REF!</v>
      </c>
      <c r="DT261" t="e">
        <f>AND(#REF!,"AAAAAH/7x3s=")</f>
        <v>#REF!</v>
      </c>
      <c r="DU261" t="e">
        <f>AND(#REF!,"AAAAAH/7x3w=")</f>
        <v>#REF!</v>
      </c>
      <c r="DV261" t="e">
        <f>IF(#REF!,"AAAAAH/7x30=",0)</f>
        <v>#REF!</v>
      </c>
      <c r="DW261" t="e">
        <f>AND(#REF!,"AAAAAH/7x34=")</f>
        <v>#REF!</v>
      </c>
      <c r="DX261" t="e">
        <f>AND(#REF!,"AAAAAH/7x38=")</f>
        <v>#REF!</v>
      </c>
      <c r="DY261" t="e">
        <f>AND(#REF!,"AAAAAH/7x4A=")</f>
        <v>#REF!</v>
      </c>
      <c r="DZ261" t="e">
        <f>AND(#REF!,"AAAAAH/7x4E=")</f>
        <v>#REF!</v>
      </c>
      <c r="EA261" t="e">
        <f>AND(#REF!,"AAAAAH/7x4I=")</f>
        <v>#REF!</v>
      </c>
      <c r="EB261" t="e">
        <f>AND(#REF!,"AAAAAH/7x4M=")</f>
        <v>#REF!</v>
      </c>
      <c r="EC261" t="e">
        <f>AND(#REF!,"AAAAAH/7x4Q=")</f>
        <v>#REF!</v>
      </c>
      <c r="ED261" t="e">
        <f>AND(#REF!,"AAAAAH/7x4U=")</f>
        <v>#REF!</v>
      </c>
      <c r="EE261" t="e">
        <f>AND(#REF!,"AAAAAH/7x4Y=")</f>
        <v>#REF!</v>
      </c>
      <c r="EF261" t="e">
        <f>AND(#REF!,"AAAAAH/7x4c=")</f>
        <v>#REF!</v>
      </c>
      <c r="EG261" t="e">
        <f>AND(#REF!,"AAAAAH/7x4g=")</f>
        <v>#REF!</v>
      </c>
      <c r="EH261" t="e">
        <f>AND(#REF!,"AAAAAH/7x4k=")</f>
        <v>#REF!</v>
      </c>
      <c r="EI261" t="e">
        <f>AND(#REF!,"AAAAAH/7x4o=")</f>
        <v>#REF!</v>
      </c>
      <c r="EJ261" t="e">
        <f>AND(#REF!,"AAAAAH/7x4s=")</f>
        <v>#REF!</v>
      </c>
      <c r="EK261" t="e">
        <f>AND(#REF!,"AAAAAH/7x4w=")</f>
        <v>#REF!</v>
      </c>
      <c r="EL261" t="e">
        <f>AND(#REF!,"AAAAAH/7x40=")</f>
        <v>#REF!</v>
      </c>
      <c r="EM261" t="e">
        <f>AND(#REF!,"AAAAAH/7x44=")</f>
        <v>#REF!</v>
      </c>
      <c r="EN261" t="e">
        <f>AND(#REF!,"AAAAAH/7x48=")</f>
        <v>#REF!</v>
      </c>
      <c r="EO261" t="e">
        <f>AND(#REF!,"AAAAAH/7x5A=")</f>
        <v>#REF!</v>
      </c>
      <c r="EP261" t="e">
        <f>AND(#REF!,"AAAAAH/7x5E=")</f>
        <v>#REF!</v>
      </c>
      <c r="EQ261" t="e">
        <f>AND(#REF!,"AAAAAH/7x5I=")</f>
        <v>#REF!</v>
      </c>
      <c r="ER261" t="e">
        <f>AND(#REF!,"AAAAAH/7x5M=")</f>
        <v>#REF!</v>
      </c>
      <c r="ES261" t="e">
        <f>AND(#REF!,"AAAAAH/7x5Q=")</f>
        <v>#REF!</v>
      </c>
      <c r="ET261" t="e">
        <f>AND(#REF!,"AAAAAH/7x5U=")</f>
        <v>#REF!</v>
      </c>
      <c r="EU261" t="e">
        <f>IF(#REF!,"AAAAAH/7x5Y=",0)</f>
        <v>#REF!</v>
      </c>
      <c r="EV261" t="e">
        <f>AND(#REF!,"AAAAAH/7x5c=")</f>
        <v>#REF!</v>
      </c>
      <c r="EW261" t="e">
        <f>AND(#REF!,"AAAAAH/7x5g=")</f>
        <v>#REF!</v>
      </c>
      <c r="EX261" t="e">
        <f>AND(#REF!,"AAAAAH/7x5k=")</f>
        <v>#REF!</v>
      </c>
      <c r="EY261" t="e">
        <f>AND(#REF!,"AAAAAH/7x5o=")</f>
        <v>#REF!</v>
      </c>
      <c r="EZ261" t="e">
        <f>AND(#REF!,"AAAAAH/7x5s=")</f>
        <v>#REF!</v>
      </c>
      <c r="FA261" t="e">
        <f>AND(#REF!,"AAAAAH/7x5w=")</f>
        <v>#REF!</v>
      </c>
      <c r="FB261" t="e">
        <f>AND(#REF!,"AAAAAH/7x50=")</f>
        <v>#REF!</v>
      </c>
      <c r="FC261" t="e">
        <f>AND(#REF!,"AAAAAH/7x54=")</f>
        <v>#REF!</v>
      </c>
      <c r="FD261" t="e">
        <f>AND(#REF!,"AAAAAH/7x58=")</f>
        <v>#REF!</v>
      </c>
      <c r="FE261" t="e">
        <f>AND(#REF!,"AAAAAH/7x6A=")</f>
        <v>#REF!</v>
      </c>
      <c r="FF261" t="e">
        <f>AND(#REF!,"AAAAAH/7x6E=")</f>
        <v>#REF!</v>
      </c>
      <c r="FG261" t="e">
        <f>AND(#REF!,"AAAAAH/7x6I=")</f>
        <v>#REF!</v>
      </c>
      <c r="FH261" t="e">
        <f>AND(#REF!,"AAAAAH/7x6M=")</f>
        <v>#REF!</v>
      </c>
      <c r="FI261" t="e">
        <f>AND(#REF!,"AAAAAH/7x6Q=")</f>
        <v>#REF!</v>
      </c>
      <c r="FJ261" t="e">
        <f>AND(#REF!,"AAAAAH/7x6U=")</f>
        <v>#REF!</v>
      </c>
      <c r="FK261" t="e">
        <f>AND(#REF!,"AAAAAH/7x6Y=")</f>
        <v>#REF!</v>
      </c>
      <c r="FL261" t="e">
        <f>AND(#REF!,"AAAAAH/7x6c=")</f>
        <v>#REF!</v>
      </c>
      <c r="FM261" t="e">
        <f>AND(#REF!,"AAAAAH/7x6g=")</f>
        <v>#REF!</v>
      </c>
      <c r="FN261" t="e">
        <f>AND(#REF!,"AAAAAH/7x6k=")</f>
        <v>#REF!</v>
      </c>
      <c r="FO261" t="e">
        <f>AND(#REF!,"AAAAAH/7x6o=")</f>
        <v>#REF!</v>
      </c>
      <c r="FP261" t="e">
        <f>AND(#REF!,"AAAAAH/7x6s=")</f>
        <v>#REF!</v>
      </c>
      <c r="FQ261" t="e">
        <f>AND(#REF!,"AAAAAH/7x6w=")</f>
        <v>#REF!</v>
      </c>
      <c r="FR261" t="e">
        <f>AND(#REF!,"AAAAAH/7x60=")</f>
        <v>#REF!</v>
      </c>
      <c r="FS261" t="e">
        <f>AND(#REF!,"AAAAAH/7x64=")</f>
        <v>#REF!</v>
      </c>
      <c r="FT261" t="e">
        <f>IF(#REF!,"AAAAAH/7x68=",0)</f>
        <v>#REF!</v>
      </c>
      <c r="FU261" t="e">
        <f>AND(#REF!,"AAAAAH/7x7A=")</f>
        <v>#REF!</v>
      </c>
      <c r="FV261" t="e">
        <f>AND(#REF!,"AAAAAH/7x7E=")</f>
        <v>#REF!</v>
      </c>
      <c r="FW261" t="e">
        <f>AND(#REF!,"AAAAAH/7x7I=")</f>
        <v>#REF!</v>
      </c>
      <c r="FX261" t="e">
        <f>AND(#REF!,"AAAAAH/7x7M=")</f>
        <v>#REF!</v>
      </c>
      <c r="FY261" t="e">
        <f>AND(#REF!,"AAAAAH/7x7Q=")</f>
        <v>#REF!</v>
      </c>
      <c r="FZ261" t="e">
        <f>AND(#REF!,"AAAAAH/7x7U=")</f>
        <v>#REF!</v>
      </c>
      <c r="GA261" t="e">
        <f>AND(#REF!,"AAAAAH/7x7Y=")</f>
        <v>#REF!</v>
      </c>
      <c r="GB261" t="e">
        <f>AND(#REF!,"AAAAAH/7x7c=")</f>
        <v>#REF!</v>
      </c>
      <c r="GC261" t="e">
        <f>AND(#REF!,"AAAAAH/7x7g=")</f>
        <v>#REF!</v>
      </c>
      <c r="GD261" t="e">
        <f>AND(#REF!,"AAAAAH/7x7k=")</f>
        <v>#REF!</v>
      </c>
      <c r="GE261" t="e">
        <f>AND(#REF!,"AAAAAH/7x7o=")</f>
        <v>#REF!</v>
      </c>
      <c r="GF261" t="e">
        <f>AND(#REF!,"AAAAAH/7x7s=")</f>
        <v>#REF!</v>
      </c>
      <c r="GG261" t="e">
        <f>AND(#REF!,"AAAAAH/7x7w=")</f>
        <v>#REF!</v>
      </c>
      <c r="GH261" t="e">
        <f>AND(#REF!,"AAAAAH/7x70=")</f>
        <v>#REF!</v>
      </c>
      <c r="GI261" t="e">
        <f>AND(#REF!,"AAAAAH/7x74=")</f>
        <v>#REF!</v>
      </c>
      <c r="GJ261" t="e">
        <f>AND(#REF!,"AAAAAH/7x78=")</f>
        <v>#REF!</v>
      </c>
      <c r="GK261" t="e">
        <f>AND(#REF!,"AAAAAH/7x8A=")</f>
        <v>#REF!</v>
      </c>
      <c r="GL261" t="e">
        <f>AND(#REF!,"AAAAAH/7x8E=")</f>
        <v>#REF!</v>
      </c>
      <c r="GM261" t="e">
        <f>AND(#REF!,"AAAAAH/7x8I=")</f>
        <v>#REF!</v>
      </c>
      <c r="GN261" t="e">
        <f>AND(#REF!,"AAAAAH/7x8M=")</f>
        <v>#REF!</v>
      </c>
      <c r="GO261" t="e">
        <f>AND(#REF!,"AAAAAH/7x8Q=")</f>
        <v>#REF!</v>
      </c>
      <c r="GP261" t="e">
        <f>AND(#REF!,"AAAAAH/7x8U=")</f>
        <v>#REF!</v>
      </c>
      <c r="GQ261" t="e">
        <f>AND(#REF!,"AAAAAH/7x8Y=")</f>
        <v>#REF!</v>
      </c>
      <c r="GR261" t="e">
        <f>AND(#REF!,"AAAAAH/7x8c=")</f>
        <v>#REF!</v>
      </c>
      <c r="GS261" t="e">
        <f>IF(#REF!,"AAAAAH/7x8g=",0)</f>
        <v>#REF!</v>
      </c>
      <c r="GT261" t="e">
        <f>AND(#REF!,"AAAAAH/7x8k=")</f>
        <v>#REF!</v>
      </c>
      <c r="GU261" t="e">
        <f>AND(#REF!,"AAAAAH/7x8o=")</f>
        <v>#REF!</v>
      </c>
      <c r="GV261" t="e">
        <f>AND(#REF!,"AAAAAH/7x8s=")</f>
        <v>#REF!</v>
      </c>
      <c r="GW261" t="e">
        <f>AND(#REF!,"AAAAAH/7x8w=")</f>
        <v>#REF!</v>
      </c>
      <c r="GX261" t="e">
        <f>AND(#REF!,"AAAAAH/7x80=")</f>
        <v>#REF!</v>
      </c>
      <c r="GY261" t="e">
        <f>AND(#REF!,"AAAAAH/7x84=")</f>
        <v>#REF!</v>
      </c>
      <c r="GZ261" t="e">
        <f>AND(#REF!,"AAAAAH/7x88=")</f>
        <v>#REF!</v>
      </c>
      <c r="HA261" t="e">
        <f>AND(#REF!,"AAAAAH/7x9A=")</f>
        <v>#REF!</v>
      </c>
      <c r="HB261" t="e">
        <f>AND(#REF!,"AAAAAH/7x9E=")</f>
        <v>#REF!</v>
      </c>
      <c r="HC261" t="e">
        <f>AND(#REF!,"AAAAAH/7x9I=")</f>
        <v>#REF!</v>
      </c>
      <c r="HD261" t="e">
        <f>AND(#REF!,"AAAAAH/7x9M=")</f>
        <v>#REF!</v>
      </c>
      <c r="HE261" t="e">
        <f>AND(#REF!,"AAAAAH/7x9Q=")</f>
        <v>#REF!</v>
      </c>
      <c r="HF261" t="e">
        <f>AND(#REF!,"AAAAAH/7x9U=")</f>
        <v>#REF!</v>
      </c>
      <c r="HG261" t="e">
        <f>AND(#REF!,"AAAAAH/7x9Y=")</f>
        <v>#REF!</v>
      </c>
      <c r="HH261" t="e">
        <f>AND(#REF!,"AAAAAH/7x9c=")</f>
        <v>#REF!</v>
      </c>
      <c r="HI261" t="e">
        <f>AND(#REF!,"AAAAAH/7x9g=")</f>
        <v>#REF!</v>
      </c>
      <c r="HJ261" t="e">
        <f>AND(#REF!,"AAAAAH/7x9k=")</f>
        <v>#REF!</v>
      </c>
      <c r="HK261" t="e">
        <f>AND(#REF!,"AAAAAH/7x9o=")</f>
        <v>#REF!</v>
      </c>
      <c r="HL261" t="e">
        <f>AND(#REF!,"AAAAAH/7x9s=")</f>
        <v>#REF!</v>
      </c>
      <c r="HM261" t="e">
        <f>AND(#REF!,"AAAAAH/7x9w=")</f>
        <v>#REF!</v>
      </c>
      <c r="HN261" t="e">
        <f>AND(#REF!,"AAAAAH/7x90=")</f>
        <v>#REF!</v>
      </c>
      <c r="HO261" t="e">
        <f>AND(#REF!,"AAAAAH/7x94=")</f>
        <v>#REF!</v>
      </c>
      <c r="HP261" t="e">
        <f>AND(#REF!,"AAAAAH/7x98=")</f>
        <v>#REF!</v>
      </c>
      <c r="HQ261" t="e">
        <f>AND(#REF!,"AAAAAH/7x+A=")</f>
        <v>#REF!</v>
      </c>
      <c r="HR261" t="e">
        <f>IF(#REF!,"AAAAAH/7x+E=",0)</f>
        <v>#REF!</v>
      </c>
      <c r="HS261" t="e">
        <f>AND(#REF!,"AAAAAH/7x+I=")</f>
        <v>#REF!</v>
      </c>
      <c r="HT261" t="e">
        <f>AND(#REF!,"AAAAAH/7x+M=")</f>
        <v>#REF!</v>
      </c>
      <c r="HU261" t="e">
        <f>AND(#REF!,"AAAAAH/7x+Q=")</f>
        <v>#REF!</v>
      </c>
      <c r="HV261" t="e">
        <f>AND(#REF!,"AAAAAH/7x+U=")</f>
        <v>#REF!</v>
      </c>
      <c r="HW261" t="e">
        <f>AND(#REF!,"AAAAAH/7x+Y=")</f>
        <v>#REF!</v>
      </c>
      <c r="HX261" t="e">
        <f>AND(#REF!,"AAAAAH/7x+c=")</f>
        <v>#REF!</v>
      </c>
      <c r="HY261" t="e">
        <f>AND(#REF!,"AAAAAH/7x+g=")</f>
        <v>#REF!</v>
      </c>
      <c r="HZ261" t="e">
        <f>AND(#REF!,"AAAAAH/7x+k=")</f>
        <v>#REF!</v>
      </c>
      <c r="IA261" t="e">
        <f>AND(#REF!,"AAAAAH/7x+o=")</f>
        <v>#REF!</v>
      </c>
      <c r="IB261" t="e">
        <f>AND(#REF!,"AAAAAH/7x+s=")</f>
        <v>#REF!</v>
      </c>
      <c r="IC261" t="e">
        <f>AND(#REF!,"AAAAAH/7x+w=")</f>
        <v>#REF!</v>
      </c>
      <c r="ID261" t="e">
        <f>AND(#REF!,"AAAAAH/7x+0=")</f>
        <v>#REF!</v>
      </c>
      <c r="IE261" t="e">
        <f>AND(#REF!,"AAAAAH/7x+4=")</f>
        <v>#REF!</v>
      </c>
      <c r="IF261" t="e">
        <f>AND(#REF!,"AAAAAH/7x+8=")</f>
        <v>#REF!</v>
      </c>
      <c r="IG261" t="e">
        <f>AND(#REF!,"AAAAAH/7x/A=")</f>
        <v>#REF!</v>
      </c>
      <c r="IH261" t="e">
        <f>AND(#REF!,"AAAAAH/7x/E=")</f>
        <v>#REF!</v>
      </c>
      <c r="II261" t="e">
        <f>AND(#REF!,"AAAAAH/7x/I=")</f>
        <v>#REF!</v>
      </c>
      <c r="IJ261" t="e">
        <f>AND(#REF!,"AAAAAH/7x/M=")</f>
        <v>#REF!</v>
      </c>
      <c r="IK261" t="e">
        <f>AND(#REF!,"AAAAAH/7x/Q=")</f>
        <v>#REF!</v>
      </c>
      <c r="IL261" t="e">
        <f>AND(#REF!,"AAAAAH/7x/U=")</f>
        <v>#REF!</v>
      </c>
      <c r="IM261" t="e">
        <f>AND(#REF!,"AAAAAH/7x/Y=")</f>
        <v>#REF!</v>
      </c>
      <c r="IN261" t="e">
        <f>AND(#REF!,"AAAAAH/7x/c=")</f>
        <v>#REF!</v>
      </c>
      <c r="IO261" t="e">
        <f>AND(#REF!,"AAAAAH/7x/g=")</f>
        <v>#REF!</v>
      </c>
      <c r="IP261" t="e">
        <f>AND(#REF!,"AAAAAH/7x/k=")</f>
        <v>#REF!</v>
      </c>
      <c r="IQ261" t="e">
        <f>IF(#REF!,"AAAAAH/7x/o=",0)</f>
        <v>#REF!</v>
      </c>
      <c r="IR261" t="e">
        <f>AND(#REF!,"AAAAAH/7x/s=")</f>
        <v>#REF!</v>
      </c>
      <c r="IS261" t="e">
        <f>AND(#REF!,"AAAAAH/7x/w=")</f>
        <v>#REF!</v>
      </c>
      <c r="IT261" t="e">
        <f>AND(#REF!,"AAAAAH/7x/0=")</f>
        <v>#REF!</v>
      </c>
      <c r="IU261" t="e">
        <f>AND(#REF!,"AAAAAH/7x/4=")</f>
        <v>#REF!</v>
      </c>
      <c r="IV261" t="e">
        <f>AND(#REF!,"AAAAAH/7x/8=")</f>
        <v>#REF!</v>
      </c>
    </row>
    <row r="262" spans="1:256">
      <c r="A262" t="e">
        <f>AND(#REF!,"AAAAAEdn6wA=")</f>
        <v>#REF!</v>
      </c>
      <c r="B262" t="e">
        <f>AND(#REF!,"AAAAAEdn6wE=")</f>
        <v>#REF!</v>
      </c>
      <c r="C262" t="e">
        <f>AND(#REF!,"AAAAAEdn6wI=")</f>
        <v>#REF!</v>
      </c>
      <c r="D262" t="e">
        <f>AND(#REF!,"AAAAAEdn6wM=")</f>
        <v>#REF!</v>
      </c>
      <c r="E262" t="e">
        <f>AND(#REF!,"AAAAAEdn6wQ=")</f>
        <v>#REF!</v>
      </c>
      <c r="F262" t="e">
        <f>AND(#REF!,"AAAAAEdn6wU=")</f>
        <v>#REF!</v>
      </c>
      <c r="G262" t="e">
        <f>AND(#REF!,"AAAAAEdn6wY=")</f>
        <v>#REF!</v>
      </c>
      <c r="H262" t="e">
        <f>AND(#REF!,"AAAAAEdn6wc=")</f>
        <v>#REF!</v>
      </c>
      <c r="I262" t="e">
        <f>AND(#REF!,"AAAAAEdn6wg=")</f>
        <v>#REF!</v>
      </c>
      <c r="J262" t="e">
        <f>AND(#REF!,"AAAAAEdn6wk=")</f>
        <v>#REF!</v>
      </c>
      <c r="K262" t="e">
        <f>AND(#REF!,"AAAAAEdn6wo=")</f>
        <v>#REF!</v>
      </c>
      <c r="L262" t="e">
        <f>AND(#REF!,"AAAAAEdn6ws=")</f>
        <v>#REF!</v>
      </c>
      <c r="M262" t="e">
        <f>AND(#REF!,"AAAAAEdn6ww=")</f>
        <v>#REF!</v>
      </c>
      <c r="N262" t="e">
        <f>AND(#REF!,"AAAAAEdn6w0=")</f>
        <v>#REF!</v>
      </c>
      <c r="O262" t="e">
        <f>AND(#REF!,"AAAAAEdn6w4=")</f>
        <v>#REF!</v>
      </c>
      <c r="P262" t="e">
        <f>AND(#REF!,"AAAAAEdn6w8=")</f>
        <v>#REF!</v>
      </c>
      <c r="Q262" t="e">
        <f>AND(#REF!,"AAAAAEdn6xA=")</f>
        <v>#REF!</v>
      </c>
      <c r="R262" t="e">
        <f>AND(#REF!,"AAAAAEdn6xE=")</f>
        <v>#REF!</v>
      </c>
      <c r="S262" t="e">
        <f>AND(#REF!,"AAAAAEdn6xI=")</f>
        <v>#REF!</v>
      </c>
      <c r="T262" t="e">
        <f>IF(#REF!,"AAAAAEdn6xM=",0)</f>
        <v>#REF!</v>
      </c>
      <c r="U262" t="e">
        <f>AND(#REF!,"AAAAAEdn6xQ=")</f>
        <v>#REF!</v>
      </c>
      <c r="V262" t="e">
        <f>AND(#REF!,"AAAAAEdn6xU=")</f>
        <v>#REF!</v>
      </c>
      <c r="W262" t="e">
        <f>AND(#REF!,"AAAAAEdn6xY=")</f>
        <v>#REF!</v>
      </c>
      <c r="X262" t="e">
        <f>AND(#REF!,"AAAAAEdn6xc=")</f>
        <v>#REF!</v>
      </c>
      <c r="Y262" t="e">
        <f>AND(#REF!,"AAAAAEdn6xg=")</f>
        <v>#REF!</v>
      </c>
      <c r="Z262" t="e">
        <f>AND(#REF!,"AAAAAEdn6xk=")</f>
        <v>#REF!</v>
      </c>
      <c r="AA262" t="e">
        <f>AND(#REF!,"AAAAAEdn6xo=")</f>
        <v>#REF!</v>
      </c>
      <c r="AB262" t="e">
        <f>AND(#REF!,"AAAAAEdn6xs=")</f>
        <v>#REF!</v>
      </c>
      <c r="AC262" t="e">
        <f>AND(#REF!,"AAAAAEdn6xw=")</f>
        <v>#REF!</v>
      </c>
      <c r="AD262" t="e">
        <f>AND(#REF!,"AAAAAEdn6x0=")</f>
        <v>#REF!</v>
      </c>
      <c r="AE262" t="e">
        <f>AND(#REF!,"AAAAAEdn6x4=")</f>
        <v>#REF!</v>
      </c>
      <c r="AF262" t="e">
        <f>AND(#REF!,"AAAAAEdn6x8=")</f>
        <v>#REF!</v>
      </c>
      <c r="AG262" t="e">
        <f>AND(#REF!,"AAAAAEdn6yA=")</f>
        <v>#REF!</v>
      </c>
      <c r="AH262" t="e">
        <f>AND(#REF!,"AAAAAEdn6yE=")</f>
        <v>#REF!</v>
      </c>
      <c r="AI262" t="e">
        <f>AND(#REF!,"AAAAAEdn6yI=")</f>
        <v>#REF!</v>
      </c>
      <c r="AJ262" t="e">
        <f>AND(#REF!,"AAAAAEdn6yM=")</f>
        <v>#REF!</v>
      </c>
      <c r="AK262" t="e">
        <f>AND(#REF!,"AAAAAEdn6yQ=")</f>
        <v>#REF!</v>
      </c>
      <c r="AL262" t="e">
        <f>AND(#REF!,"AAAAAEdn6yU=")</f>
        <v>#REF!</v>
      </c>
      <c r="AM262" t="e">
        <f>AND(#REF!,"AAAAAEdn6yY=")</f>
        <v>#REF!</v>
      </c>
      <c r="AN262" t="e">
        <f>AND(#REF!,"AAAAAEdn6yc=")</f>
        <v>#REF!</v>
      </c>
      <c r="AO262" t="e">
        <f>AND(#REF!,"AAAAAEdn6yg=")</f>
        <v>#REF!</v>
      </c>
      <c r="AP262" t="e">
        <f>AND(#REF!,"AAAAAEdn6yk=")</f>
        <v>#REF!</v>
      </c>
      <c r="AQ262" t="e">
        <f>AND(#REF!,"AAAAAEdn6yo=")</f>
        <v>#REF!</v>
      </c>
      <c r="AR262" t="e">
        <f>AND(#REF!,"AAAAAEdn6ys=")</f>
        <v>#REF!</v>
      </c>
      <c r="AS262" t="e">
        <f>IF(#REF!,"AAAAAEdn6yw=",0)</f>
        <v>#REF!</v>
      </c>
      <c r="AT262" t="e">
        <f>AND(#REF!,"AAAAAEdn6y0=")</f>
        <v>#REF!</v>
      </c>
      <c r="AU262" t="e">
        <f>AND(#REF!,"AAAAAEdn6y4=")</f>
        <v>#REF!</v>
      </c>
      <c r="AV262" t="e">
        <f>AND(#REF!,"AAAAAEdn6y8=")</f>
        <v>#REF!</v>
      </c>
      <c r="AW262" t="e">
        <f>AND(#REF!,"AAAAAEdn6zA=")</f>
        <v>#REF!</v>
      </c>
      <c r="AX262" t="e">
        <f>AND(#REF!,"AAAAAEdn6zE=")</f>
        <v>#REF!</v>
      </c>
      <c r="AY262" t="e">
        <f>AND(#REF!,"AAAAAEdn6zI=")</f>
        <v>#REF!</v>
      </c>
      <c r="AZ262" t="e">
        <f>AND(#REF!,"AAAAAEdn6zM=")</f>
        <v>#REF!</v>
      </c>
      <c r="BA262" t="e">
        <f>AND(#REF!,"AAAAAEdn6zQ=")</f>
        <v>#REF!</v>
      </c>
      <c r="BB262" t="e">
        <f>AND(#REF!,"AAAAAEdn6zU=")</f>
        <v>#REF!</v>
      </c>
      <c r="BC262" t="e">
        <f>AND(#REF!,"AAAAAEdn6zY=")</f>
        <v>#REF!</v>
      </c>
      <c r="BD262" t="e">
        <f>AND(#REF!,"AAAAAEdn6zc=")</f>
        <v>#REF!</v>
      </c>
      <c r="BE262" t="e">
        <f>AND(#REF!,"AAAAAEdn6zg=")</f>
        <v>#REF!</v>
      </c>
      <c r="BF262" t="e">
        <f>AND(#REF!,"AAAAAEdn6zk=")</f>
        <v>#REF!</v>
      </c>
      <c r="BG262" t="e">
        <f>AND(#REF!,"AAAAAEdn6zo=")</f>
        <v>#REF!</v>
      </c>
      <c r="BH262" t="e">
        <f>AND(#REF!,"AAAAAEdn6zs=")</f>
        <v>#REF!</v>
      </c>
      <c r="BI262" t="e">
        <f>AND(#REF!,"AAAAAEdn6zw=")</f>
        <v>#REF!</v>
      </c>
      <c r="BJ262" t="e">
        <f>AND(#REF!,"AAAAAEdn6z0=")</f>
        <v>#REF!</v>
      </c>
      <c r="BK262" t="e">
        <f>AND(#REF!,"AAAAAEdn6z4=")</f>
        <v>#REF!</v>
      </c>
      <c r="BL262" t="e">
        <f>AND(#REF!,"AAAAAEdn6z8=")</f>
        <v>#REF!</v>
      </c>
      <c r="BM262" t="e">
        <f>AND(#REF!,"AAAAAEdn60A=")</f>
        <v>#REF!</v>
      </c>
      <c r="BN262" t="e">
        <f>AND(#REF!,"AAAAAEdn60E=")</f>
        <v>#REF!</v>
      </c>
      <c r="BO262" t="e">
        <f>AND(#REF!,"AAAAAEdn60I=")</f>
        <v>#REF!</v>
      </c>
      <c r="BP262" t="e">
        <f>AND(#REF!,"AAAAAEdn60M=")</f>
        <v>#REF!</v>
      </c>
      <c r="BQ262" t="e">
        <f>AND(#REF!,"AAAAAEdn60Q=")</f>
        <v>#REF!</v>
      </c>
      <c r="BR262" t="e">
        <f>IF(#REF!,"AAAAAEdn60U=",0)</f>
        <v>#REF!</v>
      </c>
      <c r="BS262" t="e">
        <f>AND(#REF!,"AAAAAEdn60Y=")</f>
        <v>#REF!</v>
      </c>
      <c r="BT262" t="e">
        <f>AND(#REF!,"AAAAAEdn60c=")</f>
        <v>#REF!</v>
      </c>
      <c r="BU262" t="e">
        <f>AND(#REF!,"AAAAAEdn60g=")</f>
        <v>#REF!</v>
      </c>
      <c r="BV262" t="e">
        <f>AND(#REF!,"AAAAAEdn60k=")</f>
        <v>#REF!</v>
      </c>
      <c r="BW262" t="e">
        <f>AND(#REF!,"AAAAAEdn60o=")</f>
        <v>#REF!</v>
      </c>
      <c r="BX262" t="e">
        <f>AND(#REF!,"AAAAAEdn60s=")</f>
        <v>#REF!</v>
      </c>
      <c r="BY262" t="e">
        <f>AND(#REF!,"AAAAAEdn60w=")</f>
        <v>#REF!</v>
      </c>
      <c r="BZ262" t="e">
        <f>AND(#REF!,"AAAAAEdn600=")</f>
        <v>#REF!</v>
      </c>
      <c r="CA262" t="e">
        <f>AND(#REF!,"AAAAAEdn604=")</f>
        <v>#REF!</v>
      </c>
      <c r="CB262" t="e">
        <f>AND(#REF!,"AAAAAEdn608=")</f>
        <v>#REF!</v>
      </c>
      <c r="CC262" t="e">
        <f>AND(#REF!,"AAAAAEdn61A=")</f>
        <v>#REF!</v>
      </c>
      <c r="CD262" t="e">
        <f>AND(#REF!,"AAAAAEdn61E=")</f>
        <v>#REF!</v>
      </c>
      <c r="CE262" t="e">
        <f>AND(#REF!,"AAAAAEdn61I=")</f>
        <v>#REF!</v>
      </c>
      <c r="CF262" t="e">
        <f>AND(#REF!,"AAAAAEdn61M=")</f>
        <v>#REF!</v>
      </c>
      <c r="CG262" t="e">
        <f>AND(#REF!,"AAAAAEdn61Q=")</f>
        <v>#REF!</v>
      </c>
      <c r="CH262" t="e">
        <f>AND(#REF!,"AAAAAEdn61U=")</f>
        <v>#REF!</v>
      </c>
      <c r="CI262" t="e">
        <f>AND(#REF!,"AAAAAEdn61Y=")</f>
        <v>#REF!</v>
      </c>
      <c r="CJ262" t="e">
        <f>AND(#REF!,"AAAAAEdn61c=")</f>
        <v>#REF!</v>
      </c>
      <c r="CK262" t="e">
        <f>AND(#REF!,"AAAAAEdn61g=")</f>
        <v>#REF!</v>
      </c>
      <c r="CL262" t="e">
        <f>AND(#REF!,"AAAAAEdn61k=")</f>
        <v>#REF!</v>
      </c>
      <c r="CM262" t="e">
        <f>AND(#REF!,"AAAAAEdn61o=")</f>
        <v>#REF!</v>
      </c>
      <c r="CN262" t="e">
        <f>AND(#REF!,"AAAAAEdn61s=")</f>
        <v>#REF!</v>
      </c>
      <c r="CO262" t="e">
        <f>AND(#REF!,"AAAAAEdn61w=")</f>
        <v>#REF!</v>
      </c>
      <c r="CP262" t="e">
        <f>AND(#REF!,"AAAAAEdn610=")</f>
        <v>#REF!</v>
      </c>
      <c r="CQ262" t="e">
        <f>IF(#REF!,"AAAAAEdn614=",0)</f>
        <v>#REF!</v>
      </c>
      <c r="CR262" t="e">
        <f>AND(#REF!,"AAAAAEdn618=")</f>
        <v>#REF!</v>
      </c>
      <c r="CS262" t="e">
        <f>AND(#REF!,"AAAAAEdn62A=")</f>
        <v>#REF!</v>
      </c>
      <c r="CT262" t="e">
        <f>AND(#REF!,"AAAAAEdn62E=")</f>
        <v>#REF!</v>
      </c>
      <c r="CU262" t="e">
        <f>AND(#REF!,"AAAAAEdn62I=")</f>
        <v>#REF!</v>
      </c>
      <c r="CV262" t="e">
        <f>AND(#REF!,"AAAAAEdn62M=")</f>
        <v>#REF!</v>
      </c>
      <c r="CW262" t="e">
        <f>AND(#REF!,"AAAAAEdn62Q=")</f>
        <v>#REF!</v>
      </c>
      <c r="CX262" t="e">
        <f>AND(#REF!,"AAAAAEdn62U=")</f>
        <v>#REF!</v>
      </c>
      <c r="CY262" t="e">
        <f>AND(#REF!,"AAAAAEdn62Y=")</f>
        <v>#REF!</v>
      </c>
      <c r="CZ262" t="e">
        <f>AND(#REF!,"AAAAAEdn62c=")</f>
        <v>#REF!</v>
      </c>
      <c r="DA262" t="e">
        <f>AND(#REF!,"AAAAAEdn62g=")</f>
        <v>#REF!</v>
      </c>
      <c r="DB262" t="e">
        <f>AND(#REF!,"AAAAAEdn62k=")</f>
        <v>#REF!</v>
      </c>
      <c r="DC262" t="e">
        <f>AND(#REF!,"AAAAAEdn62o=")</f>
        <v>#REF!</v>
      </c>
      <c r="DD262" t="e">
        <f>AND(#REF!,"AAAAAEdn62s=")</f>
        <v>#REF!</v>
      </c>
      <c r="DE262" t="e">
        <f>AND(#REF!,"AAAAAEdn62w=")</f>
        <v>#REF!</v>
      </c>
      <c r="DF262" t="e">
        <f>AND(#REF!,"AAAAAEdn620=")</f>
        <v>#REF!</v>
      </c>
      <c r="DG262" t="e">
        <f>AND(#REF!,"AAAAAEdn624=")</f>
        <v>#REF!</v>
      </c>
      <c r="DH262" t="e">
        <f>AND(#REF!,"AAAAAEdn628=")</f>
        <v>#REF!</v>
      </c>
      <c r="DI262" t="e">
        <f>AND(#REF!,"AAAAAEdn63A=")</f>
        <v>#REF!</v>
      </c>
      <c r="DJ262" t="e">
        <f>AND(#REF!,"AAAAAEdn63E=")</f>
        <v>#REF!</v>
      </c>
      <c r="DK262" t="e">
        <f>AND(#REF!,"AAAAAEdn63I=")</f>
        <v>#REF!</v>
      </c>
      <c r="DL262" t="e">
        <f>AND(#REF!,"AAAAAEdn63M=")</f>
        <v>#REF!</v>
      </c>
      <c r="DM262" t="e">
        <f>AND(#REF!,"AAAAAEdn63Q=")</f>
        <v>#REF!</v>
      </c>
      <c r="DN262" t="e">
        <f>AND(#REF!,"AAAAAEdn63U=")</f>
        <v>#REF!</v>
      </c>
      <c r="DO262" t="e">
        <f>AND(#REF!,"AAAAAEdn63Y=")</f>
        <v>#REF!</v>
      </c>
      <c r="DP262" t="e">
        <f>IF(#REF!,"AAAAAEdn63c=",0)</f>
        <v>#REF!</v>
      </c>
      <c r="DQ262" t="e">
        <f>AND(#REF!,"AAAAAEdn63g=")</f>
        <v>#REF!</v>
      </c>
      <c r="DR262" t="e">
        <f>AND(#REF!,"AAAAAEdn63k=")</f>
        <v>#REF!</v>
      </c>
      <c r="DS262" t="e">
        <f>AND(#REF!,"AAAAAEdn63o=")</f>
        <v>#REF!</v>
      </c>
      <c r="DT262" t="e">
        <f>AND(#REF!,"AAAAAEdn63s=")</f>
        <v>#REF!</v>
      </c>
      <c r="DU262" t="e">
        <f>AND(#REF!,"AAAAAEdn63w=")</f>
        <v>#REF!</v>
      </c>
      <c r="DV262" t="e">
        <f>AND(#REF!,"AAAAAEdn630=")</f>
        <v>#REF!</v>
      </c>
      <c r="DW262" t="e">
        <f>AND(#REF!,"AAAAAEdn634=")</f>
        <v>#REF!</v>
      </c>
      <c r="DX262" t="e">
        <f>AND(#REF!,"AAAAAEdn638=")</f>
        <v>#REF!</v>
      </c>
      <c r="DY262" t="e">
        <f>AND(#REF!,"AAAAAEdn64A=")</f>
        <v>#REF!</v>
      </c>
      <c r="DZ262" t="e">
        <f>AND(#REF!,"AAAAAEdn64E=")</f>
        <v>#REF!</v>
      </c>
      <c r="EA262" t="e">
        <f>AND(#REF!,"AAAAAEdn64I=")</f>
        <v>#REF!</v>
      </c>
      <c r="EB262" t="e">
        <f>AND(#REF!,"AAAAAEdn64M=")</f>
        <v>#REF!</v>
      </c>
      <c r="EC262" t="e">
        <f>AND(#REF!,"AAAAAEdn64Q=")</f>
        <v>#REF!</v>
      </c>
      <c r="ED262" t="e">
        <f>AND(#REF!,"AAAAAEdn64U=")</f>
        <v>#REF!</v>
      </c>
      <c r="EE262" t="e">
        <f>AND(#REF!,"AAAAAEdn64Y=")</f>
        <v>#REF!</v>
      </c>
      <c r="EF262" t="e">
        <f>AND(#REF!,"AAAAAEdn64c=")</f>
        <v>#REF!</v>
      </c>
      <c r="EG262" t="e">
        <f>AND(#REF!,"AAAAAEdn64g=")</f>
        <v>#REF!</v>
      </c>
      <c r="EH262" t="e">
        <f>AND(#REF!,"AAAAAEdn64k=")</f>
        <v>#REF!</v>
      </c>
      <c r="EI262" t="e">
        <f>AND(#REF!,"AAAAAEdn64o=")</f>
        <v>#REF!</v>
      </c>
      <c r="EJ262" t="e">
        <f>AND(#REF!,"AAAAAEdn64s=")</f>
        <v>#REF!</v>
      </c>
      <c r="EK262" t="e">
        <f>AND(#REF!,"AAAAAEdn64w=")</f>
        <v>#REF!</v>
      </c>
      <c r="EL262" t="e">
        <f>AND(#REF!,"AAAAAEdn640=")</f>
        <v>#REF!</v>
      </c>
      <c r="EM262" t="e">
        <f>AND(#REF!,"AAAAAEdn644=")</f>
        <v>#REF!</v>
      </c>
      <c r="EN262" t="e">
        <f>AND(#REF!,"AAAAAEdn648=")</f>
        <v>#REF!</v>
      </c>
      <c r="EO262" t="e">
        <f>IF(#REF!,"AAAAAEdn65A=",0)</f>
        <v>#REF!</v>
      </c>
      <c r="EP262" t="e">
        <f>AND(#REF!,"AAAAAEdn65E=")</f>
        <v>#REF!</v>
      </c>
      <c r="EQ262" t="e">
        <f>AND(#REF!,"AAAAAEdn65I=")</f>
        <v>#REF!</v>
      </c>
      <c r="ER262" t="e">
        <f>AND(#REF!,"AAAAAEdn65M=")</f>
        <v>#REF!</v>
      </c>
      <c r="ES262" t="e">
        <f>AND(#REF!,"AAAAAEdn65Q=")</f>
        <v>#REF!</v>
      </c>
      <c r="ET262" t="e">
        <f>AND(#REF!,"AAAAAEdn65U=")</f>
        <v>#REF!</v>
      </c>
      <c r="EU262" t="e">
        <f>AND(#REF!,"AAAAAEdn65Y=")</f>
        <v>#REF!</v>
      </c>
      <c r="EV262" t="e">
        <f>AND(#REF!,"AAAAAEdn65c=")</f>
        <v>#REF!</v>
      </c>
      <c r="EW262" t="e">
        <f>AND(#REF!,"AAAAAEdn65g=")</f>
        <v>#REF!</v>
      </c>
      <c r="EX262" t="e">
        <f>AND(#REF!,"AAAAAEdn65k=")</f>
        <v>#REF!</v>
      </c>
      <c r="EY262" t="e">
        <f>AND(#REF!,"AAAAAEdn65o=")</f>
        <v>#REF!</v>
      </c>
      <c r="EZ262" t="e">
        <f>AND(#REF!,"AAAAAEdn65s=")</f>
        <v>#REF!</v>
      </c>
      <c r="FA262" t="e">
        <f>AND(#REF!,"AAAAAEdn65w=")</f>
        <v>#REF!</v>
      </c>
      <c r="FB262" t="e">
        <f>AND(#REF!,"AAAAAEdn650=")</f>
        <v>#REF!</v>
      </c>
      <c r="FC262" t="e">
        <f>AND(#REF!,"AAAAAEdn654=")</f>
        <v>#REF!</v>
      </c>
      <c r="FD262" t="e">
        <f>AND(#REF!,"AAAAAEdn658=")</f>
        <v>#REF!</v>
      </c>
      <c r="FE262" t="e">
        <f>AND(#REF!,"AAAAAEdn66A=")</f>
        <v>#REF!</v>
      </c>
      <c r="FF262" t="e">
        <f>AND(#REF!,"AAAAAEdn66E=")</f>
        <v>#REF!</v>
      </c>
      <c r="FG262" t="e">
        <f>AND(#REF!,"AAAAAEdn66I=")</f>
        <v>#REF!</v>
      </c>
      <c r="FH262" t="e">
        <f>AND(#REF!,"AAAAAEdn66M=")</f>
        <v>#REF!</v>
      </c>
      <c r="FI262" t="e">
        <f>AND(#REF!,"AAAAAEdn66Q=")</f>
        <v>#REF!</v>
      </c>
      <c r="FJ262" t="e">
        <f>AND(#REF!,"AAAAAEdn66U=")</f>
        <v>#REF!</v>
      </c>
      <c r="FK262" t="e">
        <f>AND(#REF!,"AAAAAEdn66Y=")</f>
        <v>#REF!</v>
      </c>
      <c r="FL262" t="e">
        <f>AND(#REF!,"AAAAAEdn66c=")</f>
        <v>#REF!</v>
      </c>
      <c r="FM262" t="e">
        <f>AND(#REF!,"AAAAAEdn66g=")</f>
        <v>#REF!</v>
      </c>
      <c r="FN262" t="e">
        <f>IF(#REF!,"AAAAAEdn66k=",0)</f>
        <v>#REF!</v>
      </c>
      <c r="FO262" t="e">
        <f>AND(#REF!,"AAAAAEdn66o=")</f>
        <v>#REF!</v>
      </c>
      <c r="FP262" t="e">
        <f>AND(#REF!,"AAAAAEdn66s=")</f>
        <v>#REF!</v>
      </c>
      <c r="FQ262" t="e">
        <f>AND(#REF!,"AAAAAEdn66w=")</f>
        <v>#REF!</v>
      </c>
      <c r="FR262" t="e">
        <f>AND(#REF!,"AAAAAEdn660=")</f>
        <v>#REF!</v>
      </c>
      <c r="FS262" t="e">
        <f>AND(#REF!,"AAAAAEdn664=")</f>
        <v>#REF!</v>
      </c>
      <c r="FT262" t="e">
        <f>AND(#REF!,"AAAAAEdn668=")</f>
        <v>#REF!</v>
      </c>
      <c r="FU262" t="e">
        <f>AND(#REF!,"AAAAAEdn67A=")</f>
        <v>#REF!</v>
      </c>
      <c r="FV262" t="e">
        <f>AND(#REF!,"AAAAAEdn67E=")</f>
        <v>#REF!</v>
      </c>
      <c r="FW262" t="e">
        <f>AND(#REF!,"AAAAAEdn67I=")</f>
        <v>#REF!</v>
      </c>
      <c r="FX262" t="e">
        <f>AND(#REF!,"AAAAAEdn67M=")</f>
        <v>#REF!</v>
      </c>
      <c r="FY262" t="e">
        <f>AND(#REF!,"AAAAAEdn67Q=")</f>
        <v>#REF!</v>
      </c>
      <c r="FZ262" t="e">
        <f>AND(#REF!,"AAAAAEdn67U=")</f>
        <v>#REF!</v>
      </c>
      <c r="GA262" t="e">
        <f>AND(#REF!,"AAAAAEdn67Y=")</f>
        <v>#REF!</v>
      </c>
      <c r="GB262" t="e">
        <f>AND(#REF!,"AAAAAEdn67c=")</f>
        <v>#REF!</v>
      </c>
      <c r="GC262" t="e">
        <f>AND(#REF!,"AAAAAEdn67g=")</f>
        <v>#REF!</v>
      </c>
      <c r="GD262" t="e">
        <f>AND(#REF!,"AAAAAEdn67k=")</f>
        <v>#REF!</v>
      </c>
      <c r="GE262" t="e">
        <f>AND(#REF!,"AAAAAEdn67o=")</f>
        <v>#REF!</v>
      </c>
      <c r="GF262" t="e">
        <f>AND(#REF!,"AAAAAEdn67s=")</f>
        <v>#REF!</v>
      </c>
      <c r="GG262" t="e">
        <f>AND(#REF!,"AAAAAEdn67w=")</f>
        <v>#REF!</v>
      </c>
      <c r="GH262" t="e">
        <f>AND(#REF!,"AAAAAEdn670=")</f>
        <v>#REF!</v>
      </c>
      <c r="GI262" t="e">
        <f>AND(#REF!,"AAAAAEdn674=")</f>
        <v>#REF!</v>
      </c>
      <c r="GJ262" t="e">
        <f>AND(#REF!,"AAAAAEdn678=")</f>
        <v>#REF!</v>
      </c>
      <c r="GK262" t="e">
        <f>AND(#REF!,"AAAAAEdn68A=")</f>
        <v>#REF!</v>
      </c>
      <c r="GL262" t="e">
        <f>AND(#REF!,"AAAAAEdn68E=")</f>
        <v>#REF!</v>
      </c>
      <c r="GM262" t="e">
        <f>IF(#REF!,"AAAAAEdn68I=",0)</f>
        <v>#REF!</v>
      </c>
      <c r="GN262" t="e">
        <f>AND(#REF!,"AAAAAEdn68M=")</f>
        <v>#REF!</v>
      </c>
      <c r="GO262" t="e">
        <f>AND(#REF!,"AAAAAEdn68Q=")</f>
        <v>#REF!</v>
      </c>
      <c r="GP262" t="e">
        <f>AND(#REF!,"AAAAAEdn68U=")</f>
        <v>#REF!</v>
      </c>
      <c r="GQ262" t="e">
        <f>AND(#REF!,"AAAAAEdn68Y=")</f>
        <v>#REF!</v>
      </c>
      <c r="GR262" t="e">
        <f>AND(#REF!,"AAAAAEdn68c=")</f>
        <v>#REF!</v>
      </c>
      <c r="GS262" t="e">
        <f>AND(#REF!,"AAAAAEdn68g=")</f>
        <v>#REF!</v>
      </c>
      <c r="GT262" t="e">
        <f>AND(#REF!,"AAAAAEdn68k=")</f>
        <v>#REF!</v>
      </c>
      <c r="GU262" t="e">
        <f>AND(#REF!,"AAAAAEdn68o=")</f>
        <v>#REF!</v>
      </c>
      <c r="GV262" t="e">
        <f>AND(#REF!,"AAAAAEdn68s=")</f>
        <v>#REF!</v>
      </c>
      <c r="GW262" t="e">
        <f>AND(#REF!,"AAAAAEdn68w=")</f>
        <v>#REF!</v>
      </c>
      <c r="GX262" t="e">
        <f>AND(#REF!,"AAAAAEdn680=")</f>
        <v>#REF!</v>
      </c>
      <c r="GY262" t="e">
        <f>AND(#REF!,"AAAAAEdn684=")</f>
        <v>#REF!</v>
      </c>
      <c r="GZ262" t="e">
        <f>AND(#REF!,"AAAAAEdn688=")</f>
        <v>#REF!</v>
      </c>
      <c r="HA262" t="e">
        <f>AND(#REF!,"AAAAAEdn69A=")</f>
        <v>#REF!</v>
      </c>
      <c r="HB262" t="e">
        <f>AND(#REF!,"AAAAAEdn69E=")</f>
        <v>#REF!</v>
      </c>
      <c r="HC262" t="e">
        <f>AND(#REF!,"AAAAAEdn69I=")</f>
        <v>#REF!</v>
      </c>
      <c r="HD262" t="e">
        <f>AND(#REF!,"AAAAAEdn69M=")</f>
        <v>#REF!</v>
      </c>
      <c r="HE262" t="e">
        <f>AND(#REF!,"AAAAAEdn69Q=")</f>
        <v>#REF!</v>
      </c>
      <c r="HF262" t="e">
        <f>AND(#REF!,"AAAAAEdn69U=")</f>
        <v>#REF!</v>
      </c>
      <c r="HG262" t="e">
        <f>AND(#REF!,"AAAAAEdn69Y=")</f>
        <v>#REF!</v>
      </c>
      <c r="HH262" t="e">
        <f>AND(#REF!,"AAAAAEdn69c=")</f>
        <v>#REF!</v>
      </c>
      <c r="HI262" t="e">
        <f>AND(#REF!,"AAAAAEdn69g=")</f>
        <v>#REF!</v>
      </c>
      <c r="HJ262" t="e">
        <f>AND(#REF!,"AAAAAEdn69k=")</f>
        <v>#REF!</v>
      </c>
      <c r="HK262" t="e">
        <f>AND(#REF!,"AAAAAEdn69o=")</f>
        <v>#REF!</v>
      </c>
      <c r="HL262" t="e">
        <f>IF(#REF!,"AAAAAEdn69s=",0)</f>
        <v>#REF!</v>
      </c>
      <c r="HM262" t="e">
        <f>AND(#REF!,"AAAAAEdn69w=")</f>
        <v>#REF!</v>
      </c>
      <c r="HN262" t="e">
        <f>AND(#REF!,"AAAAAEdn690=")</f>
        <v>#REF!</v>
      </c>
      <c r="HO262" t="e">
        <f>AND(#REF!,"AAAAAEdn694=")</f>
        <v>#REF!</v>
      </c>
      <c r="HP262" t="e">
        <f>AND(#REF!,"AAAAAEdn698=")</f>
        <v>#REF!</v>
      </c>
      <c r="HQ262" t="e">
        <f>AND(#REF!,"AAAAAEdn6+A=")</f>
        <v>#REF!</v>
      </c>
      <c r="HR262" t="e">
        <f>AND(#REF!,"AAAAAEdn6+E=")</f>
        <v>#REF!</v>
      </c>
      <c r="HS262" t="e">
        <f>AND(#REF!,"AAAAAEdn6+I=")</f>
        <v>#REF!</v>
      </c>
      <c r="HT262" t="e">
        <f>AND(#REF!,"AAAAAEdn6+M=")</f>
        <v>#REF!</v>
      </c>
      <c r="HU262" t="e">
        <f>AND(#REF!,"AAAAAEdn6+Q=")</f>
        <v>#REF!</v>
      </c>
      <c r="HV262" t="e">
        <f>AND(#REF!,"AAAAAEdn6+U=")</f>
        <v>#REF!</v>
      </c>
      <c r="HW262" t="e">
        <f>AND(#REF!,"AAAAAEdn6+Y=")</f>
        <v>#REF!</v>
      </c>
      <c r="HX262" t="e">
        <f>AND(#REF!,"AAAAAEdn6+c=")</f>
        <v>#REF!</v>
      </c>
      <c r="HY262" t="e">
        <f>AND(#REF!,"AAAAAEdn6+g=")</f>
        <v>#REF!</v>
      </c>
      <c r="HZ262" t="e">
        <f>AND(#REF!,"AAAAAEdn6+k=")</f>
        <v>#REF!</v>
      </c>
      <c r="IA262" t="e">
        <f>AND(#REF!,"AAAAAEdn6+o=")</f>
        <v>#REF!</v>
      </c>
      <c r="IB262" t="e">
        <f>AND(#REF!,"AAAAAEdn6+s=")</f>
        <v>#REF!</v>
      </c>
      <c r="IC262" t="e">
        <f>AND(#REF!,"AAAAAEdn6+w=")</f>
        <v>#REF!</v>
      </c>
      <c r="ID262" t="e">
        <f>AND(#REF!,"AAAAAEdn6+0=")</f>
        <v>#REF!</v>
      </c>
      <c r="IE262" t="e">
        <f>AND(#REF!,"AAAAAEdn6+4=")</f>
        <v>#REF!</v>
      </c>
      <c r="IF262" t="e">
        <f>AND(#REF!,"AAAAAEdn6+8=")</f>
        <v>#REF!</v>
      </c>
      <c r="IG262" t="e">
        <f>AND(#REF!,"AAAAAEdn6/A=")</f>
        <v>#REF!</v>
      </c>
      <c r="IH262" t="e">
        <f>AND(#REF!,"AAAAAEdn6/E=")</f>
        <v>#REF!</v>
      </c>
      <c r="II262" t="e">
        <f>AND(#REF!,"AAAAAEdn6/I=")</f>
        <v>#REF!</v>
      </c>
      <c r="IJ262" t="e">
        <f>AND(#REF!,"AAAAAEdn6/M=")</f>
        <v>#REF!</v>
      </c>
      <c r="IK262" t="e">
        <f>IF(#REF!,"AAAAAEdn6/Q=",0)</f>
        <v>#REF!</v>
      </c>
      <c r="IL262" t="e">
        <f>AND(#REF!,"AAAAAEdn6/U=")</f>
        <v>#REF!</v>
      </c>
      <c r="IM262" t="e">
        <f>AND(#REF!,"AAAAAEdn6/Y=")</f>
        <v>#REF!</v>
      </c>
      <c r="IN262" t="e">
        <f>AND(#REF!,"AAAAAEdn6/c=")</f>
        <v>#REF!</v>
      </c>
      <c r="IO262" t="e">
        <f>AND(#REF!,"AAAAAEdn6/g=")</f>
        <v>#REF!</v>
      </c>
      <c r="IP262" t="e">
        <f>AND(#REF!,"AAAAAEdn6/k=")</f>
        <v>#REF!</v>
      </c>
      <c r="IQ262" t="e">
        <f>AND(#REF!,"AAAAAEdn6/o=")</f>
        <v>#REF!</v>
      </c>
      <c r="IR262" t="e">
        <f>AND(#REF!,"AAAAAEdn6/s=")</f>
        <v>#REF!</v>
      </c>
      <c r="IS262" t="e">
        <f>AND(#REF!,"AAAAAEdn6/w=")</f>
        <v>#REF!</v>
      </c>
      <c r="IT262" t="e">
        <f>AND(#REF!,"AAAAAEdn6/0=")</f>
        <v>#REF!</v>
      </c>
      <c r="IU262" t="e">
        <f>AND(#REF!,"AAAAAEdn6/4=")</f>
        <v>#REF!</v>
      </c>
      <c r="IV262" t="e">
        <f>AND(#REF!,"AAAAAEdn6/8=")</f>
        <v>#REF!</v>
      </c>
    </row>
    <row r="263" spans="1:256">
      <c r="A263" t="e">
        <f>AND(#REF!,"AAAAABbP/wA=")</f>
        <v>#REF!</v>
      </c>
      <c r="B263" t="e">
        <f>AND(#REF!,"AAAAABbP/wE=")</f>
        <v>#REF!</v>
      </c>
      <c r="C263" t="e">
        <f>AND(#REF!,"AAAAABbP/wI=")</f>
        <v>#REF!</v>
      </c>
      <c r="D263" t="e">
        <f>AND(#REF!,"AAAAABbP/wM=")</f>
        <v>#REF!</v>
      </c>
      <c r="E263" t="e">
        <f>AND(#REF!,"AAAAABbP/wQ=")</f>
        <v>#REF!</v>
      </c>
      <c r="F263" t="e">
        <f>AND(#REF!,"AAAAABbP/wU=")</f>
        <v>#REF!</v>
      </c>
      <c r="G263" t="e">
        <f>AND(#REF!,"AAAAABbP/wY=")</f>
        <v>#REF!</v>
      </c>
      <c r="H263" t="e">
        <f>AND(#REF!,"AAAAABbP/wc=")</f>
        <v>#REF!</v>
      </c>
      <c r="I263" t="e">
        <f>AND(#REF!,"AAAAABbP/wg=")</f>
        <v>#REF!</v>
      </c>
      <c r="J263" t="e">
        <f>AND(#REF!,"AAAAABbP/wk=")</f>
        <v>#REF!</v>
      </c>
      <c r="K263" t="e">
        <f>AND(#REF!,"AAAAABbP/wo=")</f>
        <v>#REF!</v>
      </c>
      <c r="L263" t="e">
        <f>AND(#REF!,"AAAAABbP/ws=")</f>
        <v>#REF!</v>
      </c>
      <c r="M263" t="e">
        <f>AND(#REF!,"AAAAABbP/ww=")</f>
        <v>#REF!</v>
      </c>
      <c r="N263" t="e">
        <f>IF(#REF!,"AAAAABbP/w0=",0)</f>
        <v>#REF!</v>
      </c>
      <c r="O263" t="e">
        <f>AND(#REF!,"AAAAABbP/w4=")</f>
        <v>#REF!</v>
      </c>
      <c r="P263" t="e">
        <f>AND(#REF!,"AAAAABbP/w8=")</f>
        <v>#REF!</v>
      </c>
      <c r="Q263" t="e">
        <f>AND(#REF!,"AAAAABbP/xA=")</f>
        <v>#REF!</v>
      </c>
      <c r="R263" t="e">
        <f>AND(#REF!,"AAAAABbP/xE=")</f>
        <v>#REF!</v>
      </c>
      <c r="S263" t="e">
        <f>AND(#REF!,"AAAAABbP/xI=")</f>
        <v>#REF!</v>
      </c>
      <c r="T263" t="e">
        <f>AND(#REF!,"AAAAABbP/xM=")</f>
        <v>#REF!</v>
      </c>
      <c r="U263" t="e">
        <f>AND(#REF!,"AAAAABbP/xQ=")</f>
        <v>#REF!</v>
      </c>
      <c r="V263" t="e">
        <f>AND(#REF!,"AAAAABbP/xU=")</f>
        <v>#REF!</v>
      </c>
      <c r="W263" t="e">
        <f>AND(#REF!,"AAAAABbP/xY=")</f>
        <v>#REF!</v>
      </c>
      <c r="X263" t="e">
        <f>AND(#REF!,"AAAAABbP/xc=")</f>
        <v>#REF!</v>
      </c>
      <c r="Y263" t="e">
        <f>AND(#REF!,"AAAAABbP/xg=")</f>
        <v>#REF!</v>
      </c>
      <c r="Z263" t="e">
        <f>AND(#REF!,"AAAAABbP/xk=")</f>
        <v>#REF!</v>
      </c>
      <c r="AA263" t="e">
        <f>AND(#REF!,"AAAAABbP/xo=")</f>
        <v>#REF!</v>
      </c>
      <c r="AB263" t="e">
        <f>AND(#REF!,"AAAAABbP/xs=")</f>
        <v>#REF!</v>
      </c>
      <c r="AC263" t="e">
        <f>AND(#REF!,"AAAAABbP/xw=")</f>
        <v>#REF!</v>
      </c>
      <c r="AD263" t="e">
        <f>AND(#REF!,"AAAAABbP/x0=")</f>
        <v>#REF!</v>
      </c>
      <c r="AE263" t="e">
        <f>AND(#REF!,"AAAAABbP/x4=")</f>
        <v>#REF!</v>
      </c>
      <c r="AF263" t="e">
        <f>AND(#REF!,"AAAAABbP/x8=")</f>
        <v>#REF!</v>
      </c>
      <c r="AG263" t="e">
        <f>AND(#REF!,"AAAAABbP/yA=")</f>
        <v>#REF!</v>
      </c>
      <c r="AH263" t="e">
        <f>AND(#REF!,"AAAAABbP/yE=")</f>
        <v>#REF!</v>
      </c>
      <c r="AI263" t="e">
        <f>AND(#REF!,"AAAAABbP/yI=")</f>
        <v>#REF!</v>
      </c>
      <c r="AJ263" t="e">
        <f>AND(#REF!,"AAAAABbP/yM=")</f>
        <v>#REF!</v>
      </c>
      <c r="AK263" t="e">
        <f>AND(#REF!,"AAAAABbP/yQ=")</f>
        <v>#REF!</v>
      </c>
      <c r="AL263" t="e">
        <f>AND(#REF!,"AAAAABbP/yU=")</f>
        <v>#REF!</v>
      </c>
      <c r="AM263" t="e">
        <f>IF(#REF!,"AAAAABbP/yY=",0)</f>
        <v>#REF!</v>
      </c>
      <c r="AN263" t="e">
        <f>AND(#REF!,"AAAAABbP/yc=")</f>
        <v>#REF!</v>
      </c>
      <c r="AO263" t="e">
        <f>AND(#REF!,"AAAAABbP/yg=")</f>
        <v>#REF!</v>
      </c>
      <c r="AP263" t="e">
        <f>AND(#REF!,"AAAAABbP/yk=")</f>
        <v>#REF!</v>
      </c>
      <c r="AQ263" t="e">
        <f>AND(#REF!,"AAAAABbP/yo=")</f>
        <v>#REF!</v>
      </c>
      <c r="AR263" t="e">
        <f>AND(#REF!,"AAAAABbP/ys=")</f>
        <v>#REF!</v>
      </c>
      <c r="AS263" t="e">
        <f>AND(#REF!,"AAAAABbP/yw=")</f>
        <v>#REF!</v>
      </c>
      <c r="AT263" t="e">
        <f>AND(#REF!,"AAAAABbP/y0=")</f>
        <v>#REF!</v>
      </c>
      <c r="AU263" t="e">
        <f>AND(#REF!,"AAAAABbP/y4=")</f>
        <v>#REF!</v>
      </c>
      <c r="AV263" t="e">
        <f>AND(#REF!,"AAAAABbP/y8=")</f>
        <v>#REF!</v>
      </c>
      <c r="AW263" t="e">
        <f>AND(#REF!,"AAAAABbP/zA=")</f>
        <v>#REF!</v>
      </c>
      <c r="AX263" t="e">
        <f>AND(#REF!,"AAAAABbP/zE=")</f>
        <v>#REF!</v>
      </c>
      <c r="AY263" t="e">
        <f>AND(#REF!,"AAAAABbP/zI=")</f>
        <v>#REF!</v>
      </c>
      <c r="AZ263" t="e">
        <f>AND(#REF!,"AAAAABbP/zM=")</f>
        <v>#REF!</v>
      </c>
      <c r="BA263" t="e">
        <f>AND(#REF!,"AAAAABbP/zQ=")</f>
        <v>#REF!</v>
      </c>
      <c r="BB263" t="e">
        <f>AND(#REF!,"AAAAABbP/zU=")</f>
        <v>#REF!</v>
      </c>
      <c r="BC263" t="e">
        <f>AND(#REF!,"AAAAABbP/zY=")</f>
        <v>#REF!</v>
      </c>
      <c r="BD263" t="e">
        <f>AND(#REF!,"AAAAABbP/zc=")</f>
        <v>#REF!</v>
      </c>
      <c r="BE263" t="e">
        <f>AND(#REF!,"AAAAABbP/zg=")</f>
        <v>#REF!</v>
      </c>
      <c r="BF263" t="e">
        <f>AND(#REF!,"AAAAABbP/zk=")</f>
        <v>#REF!</v>
      </c>
      <c r="BG263" t="e">
        <f>AND(#REF!,"AAAAABbP/zo=")</f>
        <v>#REF!</v>
      </c>
      <c r="BH263" t="e">
        <f>AND(#REF!,"AAAAABbP/zs=")</f>
        <v>#REF!</v>
      </c>
      <c r="BI263" t="e">
        <f>AND(#REF!,"AAAAABbP/zw=")</f>
        <v>#REF!</v>
      </c>
      <c r="BJ263" t="e">
        <f>AND(#REF!,"AAAAABbP/z0=")</f>
        <v>#REF!</v>
      </c>
      <c r="BK263" t="e">
        <f>AND(#REF!,"AAAAABbP/z4=")</f>
        <v>#REF!</v>
      </c>
      <c r="BL263" t="e">
        <f>IF(#REF!,"AAAAABbP/z8=",0)</f>
        <v>#REF!</v>
      </c>
      <c r="BM263" t="e">
        <f>AND(#REF!,"AAAAABbP/0A=")</f>
        <v>#REF!</v>
      </c>
      <c r="BN263" t="e">
        <f>AND(#REF!,"AAAAABbP/0E=")</f>
        <v>#REF!</v>
      </c>
      <c r="BO263" t="e">
        <f>AND(#REF!,"AAAAABbP/0I=")</f>
        <v>#REF!</v>
      </c>
      <c r="BP263" t="e">
        <f>AND(#REF!,"AAAAABbP/0M=")</f>
        <v>#REF!</v>
      </c>
      <c r="BQ263" t="e">
        <f>AND(#REF!,"AAAAABbP/0Q=")</f>
        <v>#REF!</v>
      </c>
      <c r="BR263" t="e">
        <f>AND(#REF!,"AAAAABbP/0U=")</f>
        <v>#REF!</v>
      </c>
      <c r="BS263" t="e">
        <f>AND(#REF!,"AAAAABbP/0Y=")</f>
        <v>#REF!</v>
      </c>
      <c r="BT263" t="e">
        <f>AND(#REF!,"AAAAABbP/0c=")</f>
        <v>#REF!</v>
      </c>
      <c r="BU263" t="e">
        <f>AND(#REF!,"AAAAABbP/0g=")</f>
        <v>#REF!</v>
      </c>
      <c r="BV263" t="e">
        <f>AND(#REF!,"AAAAABbP/0k=")</f>
        <v>#REF!</v>
      </c>
      <c r="BW263" t="e">
        <f>AND(#REF!,"AAAAABbP/0o=")</f>
        <v>#REF!</v>
      </c>
      <c r="BX263" t="e">
        <f>AND(#REF!,"AAAAABbP/0s=")</f>
        <v>#REF!</v>
      </c>
      <c r="BY263" t="e">
        <f>AND(#REF!,"AAAAABbP/0w=")</f>
        <v>#REF!</v>
      </c>
      <c r="BZ263" t="e">
        <f>AND(#REF!,"AAAAABbP/00=")</f>
        <v>#REF!</v>
      </c>
      <c r="CA263" t="e">
        <f>AND(#REF!,"AAAAABbP/04=")</f>
        <v>#REF!</v>
      </c>
      <c r="CB263" t="e">
        <f>AND(#REF!,"AAAAABbP/08=")</f>
        <v>#REF!</v>
      </c>
      <c r="CC263" t="e">
        <f>AND(#REF!,"AAAAABbP/1A=")</f>
        <v>#REF!</v>
      </c>
      <c r="CD263" t="e">
        <f>AND(#REF!,"AAAAABbP/1E=")</f>
        <v>#REF!</v>
      </c>
      <c r="CE263" t="e">
        <f>AND(#REF!,"AAAAABbP/1I=")</f>
        <v>#REF!</v>
      </c>
      <c r="CF263" t="e">
        <f>AND(#REF!,"AAAAABbP/1M=")</f>
        <v>#REF!</v>
      </c>
      <c r="CG263" t="e">
        <f>AND(#REF!,"AAAAABbP/1Q=")</f>
        <v>#REF!</v>
      </c>
      <c r="CH263" t="e">
        <f>AND(#REF!,"AAAAABbP/1U=")</f>
        <v>#REF!</v>
      </c>
      <c r="CI263" t="e">
        <f>AND(#REF!,"AAAAABbP/1Y=")</f>
        <v>#REF!</v>
      </c>
      <c r="CJ263" t="e">
        <f>AND(#REF!,"AAAAABbP/1c=")</f>
        <v>#REF!</v>
      </c>
      <c r="CK263" t="e">
        <f>IF(#REF!,"AAAAABbP/1g=",0)</f>
        <v>#REF!</v>
      </c>
      <c r="CL263" t="e">
        <f>AND(#REF!,"AAAAABbP/1k=")</f>
        <v>#REF!</v>
      </c>
      <c r="CM263" t="e">
        <f>AND(#REF!,"AAAAABbP/1o=")</f>
        <v>#REF!</v>
      </c>
      <c r="CN263" t="e">
        <f>AND(#REF!,"AAAAABbP/1s=")</f>
        <v>#REF!</v>
      </c>
      <c r="CO263" t="e">
        <f>AND(#REF!,"AAAAABbP/1w=")</f>
        <v>#REF!</v>
      </c>
      <c r="CP263" t="e">
        <f>AND(#REF!,"AAAAABbP/10=")</f>
        <v>#REF!</v>
      </c>
      <c r="CQ263" t="e">
        <f>AND(#REF!,"AAAAABbP/14=")</f>
        <v>#REF!</v>
      </c>
      <c r="CR263" t="e">
        <f>AND(#REF!,"AAAAABbP/18=")</f>
        <v>#REF!</v>
      </c>
      <c r="CS263" t="e">
        <f>AND(#REF!,"AAAAABbP/2A=")</f>
        <v>#REF!</v>
      </c>
      <c r="CT263" t="e">
        <f>AND(#REF!,"AAAAABbP/2E=")</f>
        <v>#REF!</v>
      </c>
      <c r="CU263" t="e">
        <f>AND(#REF!,"AAAAABbP/2I=")</f>
        <v>#REF!</v>
      </c>
      <c r="CV263" t="e">
        <f>AND(#REF!,"AAAAABbP/2M=")</f>
        <v>#REF!</v>
      </c>
      <c r="CW263" t="e">
        <f>AND(#REF!,"AAAAABbP/2Q=")</f>
        <v>#REF!</v>
      </c>
      <c r="CX263" t="e">
        <f>AND(#REF!,"AAAAABbP/2U=")</f>
        <v>#REF!</v>
      </c>
      <c r="CY263" t="e">
        <f>AND(#REF!,"AAAAABbP/2Y=")</f>
        <v>#REF!</v>
      </c>
      <c r="CZ263" t="e">
        <f>AND(#REF!,"AAAAABbP/2c=")</f>
        <v>#REF!</v>
      </c>
      <c r="DA263" t="e">
        <f>AND(#REF!,"AAAAABbP/2g=")</f>
        <v>#REF!</v>
      </c>
      <c r="DB263" t="e">
        <f>AND(#REF!,"AAAAABbP/2k=")</f>
        <v>#REF!</v>
      </c>
      <c r="DC263" t="e">
        <f>AND(#REF!,"AAAAABbP/2o=")</f>
        <v>#REF!</v>
      </c>
      <c r="DD263" t="e">
        <f>AND(#REF!,"AAAAABbP/2s=")</f>
        <v>#REF!</v>
      </c>
      <c r="DE263" t="e">
        <f>AND(#REF!,"AAAAABbP/2w=")</f>
        <v>#REF!</v>
      </c>
      <c r="DF263" t="e">
        <f>AND(#REF!,"AAAAABbP/20=")</f>
        <v>#REF!</v>
      </c>
      <c r="DG263" t="e">
        <f>AND(#REF!,"AAAAABbP/24=")</f>
        <v>#REF!</v>
      </c>
      <c r="DH263" t="e">
        <f>AND(#REF!,"AAAAABbP/28=")</f>
        <v>#REF!</v>
      </c>
      <c r="DI263" t="e">
        <f>AND(#REF!,"AAAAABbP/3A=")</f>
        <v>#REF!</v>
      </c>
      <c r="DJ263" t="e">
        <f>IF(#REF!,"AAAAABbP/3E=",0)</f>
        <v>#REF!</v>
      </c>
      <c r="DK263" t="e">
        <f>AND(#REF!,"AAAAABbP/3I=")</f>
        <v>#REF!</v>
      </c>
      <c r="DL263" t="e">
        <f>AND(#REF!,"AAAAABbP/3M=")</f>
        <v>#REF!</v>
      </c>
      <c r="DM263" t="e">
        <f>AND(#REF!,"AAAAABbP/3Q=")</f>
        <v>#REF!</v>
      </c>
      <c r="DN263" t="e">
        <f>AND(#REF!,"AAAAABbP/3U=")</f>
        <v>#REF!</v>
      </c>
      <c r="DO263" t="e">
        <f>AND(#REF!,"AAAAABbP/3Y=")</f>
        <v>#REF!</v>
      </c>
      <c r="DP263" t="e">
        <f>AND(#REF!,"AAAAABbP/3c=")</f>
        <v>#REF!</v>
      </c>
      <c r="DQ263" t="e">
        <f>AND(#REF!,"AAAAABbP/3g=")</f>
        <v>#REF!</v>
      </c>
      <c r="DR263" t="e">
        <f>AND(#REF!,"AAAAABbP/3k=")</f>
        <v>#REF!</v>
      </c>
      <c r="DS263" t="e">
        <f>AND(#REF!,"AAAAABbP/3o=")</f>
        <v>#REF!</v>
      </c>
      <c r="DT263" t="e">
        <f>AND(#REF!,"AAAAABbP/3s=")</f>
        <v>#REF!</v>
      </c>
      <c r="DU263" t="e">
        <f>AND(#REF!,"AAAAABbP/3w=")</f>
        <v>#REF!</v>
      </c>
      <c r="DV263" t="e">
        <f>AND(#REF!,"AAAAABbP/30=")</f>
        <v>#REF!</v>
      </c>
      <c r="DW263" t="e">
        <f>AND(#REF!,"AAAAABbP/34=")</f>
        <v>#REF!</v>
      </c>
      <c r="DX263" t="e">
        <f>AND(#REF!,"AAAAABbP/38=")</f>
        <v>#REF!</v>
      </c>
      <c r="DY263" t="e">
        <f>AND(#REF!,"AAAAABbP/4A=")</f>
        <v>#REF!</v>
      </c>
      <c r="DZ263" t="e">
        <f>AND(#REF!,"AAAAABbP/4E=")</f>
        <v>#REF!</v>
      </c>
      <c r="EA263" t="e">
        <f>AND(#REF!,"AAAAABbP/4I=")</f>
        <v>#REF!</v>
      </c>
      <c r="EB263" t="e">
        <f>AND(#REF!,"AAAAABbP/4M=")</f>
        <v>#REF!</v>
      </c>
      <c r="EC263" t="e">
        <f>AND(#REF!,"AAAAABbP/4Q=")</f>
        <v>#REF!</v>
      </c>
      <c r="ED263" t="e">
        <f>AND(#REF!,"AAAAABbP/4U=")</f>
        <v>#REF!</v>
      </c>
      <c r="EE263" t="e">
        <f>AND(#REF!,"AAAAABbP/4Y=")</f>
        <v>#REF!</v>
      </c>
      <c r="EF263" t="e">
        <f>AND(#REF!,"AAAAABbP/4c=")</f>
        <v>#REF!</v>
      </c>
      <c r="EG263" t="e">
        <f>AND(#REF!,"AAAAABbP/4g=")</f>
        <v>#REF!</v>
      </c>
      <c r="EH263" t="e">
        <f>AND(#REF!,"AAAAABbP/4k=")</f>
        <v>#REF!</v>
      </c>
      <c r="EI263" t="e">
        <f>IF(#REF!,"AAAAABbP/4o=",0)</f>
        <v>#REF!</v>
      </c>
      <c r="EJ263" t="e">
        <f>AND(#REF!,"AAAAABbP/4s=")</f>
        <v>#REF!</v>
      </c>
      <c r="EK263" t="e">
        <f>AND(#REF!,"AAAAABbP/4w=")</f>
        <v>#REF!</v>
      </c>
      <c r="EL263" t="e">
        <f>AND(#REF!,"AAAAABbP/40=")</f>
        <v>#REF!</v>
      </c>
      <c r="EM263" t="e">
        <f>AND(#REF!,"AAAAABbP/44=")</f>
        <v>#REF!</v>
      </c>
      <c r="EN263" t="e">
        <f>AND(#REF!,"AAAAABbP/48=")</f>
        <v>#REF!</v>
      </c>
      <c r="EO263" t="e">
        <f>AND(#REF!,"AAAAABbP/5A=")</f>
        <v>#REF!</v>
      </c>
      <c r="EP263" t="e">
        <f>AND(#REF!,"AAAAABbP/5E=")</f>
        <v>#REF!</v>
      </c>
      <c r="EQ263" t="e">
        <f>AND(#REF!,"AAAAABbP/5I=")</f>
        <v>#REF!</v>
      </c>
      <c r="ER263" t="e">
        <f>AND(#REF!,"AAAAABbP/5M=")</f>
        <v>#REF!</v>
      </c>
      <c r="ES263" t="e">
        <f>AND(#REF!,"AAAAABbP/5Q=")</f>
        <v>#REF!</v>
      </c>
      <c r="ET263" t="e">
        <f>AND(#REF!,"AAAAABbP/5U=")</f>
        <v>#REF!</v>
      </c>
      <c r="EU263" t="e">
        <f>AND(#REF!,"AAAAABbP/5Y=")</f>
        <v>#REF!</v>
      </c>
      <c r="EV263" t="e">
        <f>AND(#REF!,"AAAAABbP/5c=")</f>
        <v>#REF!</v>
      </c>
      <c r="EW263" t="e">
        <f>AND(#REF!,"AAAAABbP/5g=")</f>
        <v>#REF!</v>
      </c>
      <c r="EX263" t="e">
        <f>AND(#REF!,"AAAAABbP/5k=")</f>
        <v>#REF!</v>
      </c>
      <c r="EY263" t="e">
        <f>AND(#REF!,"AAAAABbP/5o=")</f>
        <v>#REF!</v>
      </c>
      <c r="EZ263" t="e">
        <f>AND(#REF!,"AAAAABbP/5s=")</f>
        <v>#REF!</v>
      </c>
      <c r="FA263" t="e">
        <f>AND(#REF!,"AAAAABbP/5w=")</f>
        <v>#REF!</v>
      </c>
      <c r="FB263" t="e">
        <f>AND(#REF!,"AAAAABbP/50=")</f>
        <v>#REF!</v>
      </c>
      <c r="FC263" t="e">
        <f>AND(#REF!,"AAAAABbP/54=")</f>
        <v>#REF!</v>
      </c>
      <c r="FD263" t="e">
        <f>AND(#REF!,"AAAAABbP/58=")</f>
        <v>#REF!</v>
      </c>
      <c r="FE263" t="e">
        <f>AND(#REF!,"AAAAABbP/6A=")</f>
        <v>#REF!</v>
      </c>
      <c r="FF263" t="e">
        <f>AND(#REF!,"AAAAABbP/6E=")</f>
        <v>#REF!</v>
      </c>
      <c r="FG263" t="e">
        <f>AND(#REF!,"AAAAABbP/6I=")</f>
        <v>#REF!</v>
      </c>
      <c r="FH263" t="e">
        <f>IF(#REF!,"AAAAABbP/6M=",0)</f>
        <v>#REF!</v>
      </c>
      <c r="FI263" t="e">
        <f>AND(#REF!,"AAAAABbP/6Q=")</f>
        <v>#REF!</v>
      </c>
      <c r="FJ263" t="e">
        <f>AND(#REF!,"AAAAABbP/6U=")</f>
        <v>#REF!</v>
      </c>
      <c r="FK263" t="e">
        <f>AND(#REF!,"AAAAABbP/6Y=")</f>
        <v>#REF!</v>
      </c>
      <c r="FL263" t="e">
        <f>AND(#REF!,"AAAAABbP/6c=")</f>
        <v>#REF!</v>
      </c>
      <c r="FM263" t="e">
        <f>AND(#REF!,"AAAAABbP/6g=")</f>
        <v>#REF!</v>
      </c>
      <c r="FN263" t="e">
        <f>AND(#REF!,"AAAAABbP/6k=")</f>
        <v>#REF!</v>
      </c>
      <c r="FO263" t="e">
        <f>AND(#REF!,"AAAAABbP/6o=")</f>
        <v>#REF!</v>
      </c>
      <c r="FP263" t="e">
        <f>AND(#REF!,"AAAAABbP/6s=")</f>
        <v>#REF!</v>
      </c>
      <c r="FQ263" t="e">
        <f>AND(#REF!,"AAAAABbP/6w=")</f>
        <v>#REF!</v>
      </c>
      <c r="FR263" t="e">
        <f>AND(#REF!,"AAAAABbP/60=")</f>
        <v>#REF!</v>
      </c>
      <c r="FS263" t="e">
        <f>AND(#REF!,"AAAAABbP/64=")</f>
        <v>#REF!</v>
      </c>
      <c r="FT263" t="e">
        <f>AND(#REF!,"AAAAABbP/68=")</f>
        <v>#REF!</v>
      </c>
      <c r="FU263" t="e">
        <f>AND(#REF!,"AAAAABbP/7A=")</f>
        <v>#REF!</v>
      </c>
      <c r="FV263" t="e">
        <f>AND(#REF!,"AAAAABbP/7E=")</f>
        <v>#REF!</v>
      </c>
      <c r="FW263" t="e">
        <f>AND(#REF!,"AAAAABbP/7I=")</f>
        <v>#REF!</v>
      </c>
      <c r="FX263" t="e">
        <f>AND(#REF!,"AAAAABbP/7M=")</f>
        <v>#REF!</v>
      </c>
      <c r="FY263" t="e">
        <f>AND(#REF!,"AAAAABbP/7Q=")</f>
        <v>#REF!</v>
      </c>
      <c r="FZ263" t="e">
        <f>AND(#REF!,"AAAAABbP/7U=")</f>
        <v>#REF!</v>
      </c>
      <c r="GA263" t="e">
        <f>AND(#REF!,"AAAAABbP/7Y=")</f>
        <v>#REF!</v>
      </c>
      <c r="GB263" t="e">
        <f>AND(#REF!,"AAAAABbP/7c=")</f>
        <v>#REF!</v>
      </c>
      <c r="GC263" t="e">
        <f>AND(#REF!,"AAAAABbP/7g=")</f>
        <v>#REF!</v>
      </c>
      <c r="GD263" t="e">
        <f>AND(#REF!,"AAAAABbP/7k=")</f>
        <v>#REF!</v>
      </c>
      <c r="GE263" t="e">
        <f>AND(#REF!,"AAAAABbP/7o=")</f>
        <v>#REF!</v>
      </c>
      <c r="GF263" t="e">
        <f>AND(#REF!,"AAAAABbP/7s=")</f>
        <v>#REF!</v>
      </c>
      <c r="GG263" t="e">
        <f>IF(#REF!,"AAAAABbP/7w=",0)</f>
        <v>#REF!</v>
      </c>
      <c r="GH263" t="e">
        <f>AND(#REF!,"AAAAABbP/70=")</f>
        <v>#REF!</v>
      </c>
      <c r="GI263" t="e">
        <f>AND(#REF!,"AAAAABbP/74=")</f>
        <v>#REF!</v>
      </c>
      <c r="GJ263" t="e">
        <f>AND(#REF!,"AAAAABbP/78=")</f>
        <v>#REF!</v>
      </c>
      <c r="GK263" t="e">
        <f>AND(#REF!,"AAAAABbP/8A=")</f>
        <v>#REF!</v>
      </c>
      <c r="GL263" t="e">
        <f>AND(#REF!,"AAAAABbP/8E=")</f>
        <v>#REF!</v>
      </c>
      <c r="GM263" t="e">
        <f>AND(#REF!,"AAAAABbP/8I=")</f>
        <v>#REF!</v>
      </c>
      <c r="GN263" t="e">
        <f>AND(#REF!,"AAAAABbP/8M=")</f>
        <v>#REF!</v>
      </c>
      <c r="GO263" t="e">
        <f>AND(#REF!,"AAAAABbP/8Q=")</f>
        <v>#REF!</v>
      </c>
      <c r="GP263" t="e">
        <f>AND(#REF!,"AAAAABbP/8U=")</f>
        <v>#REF!</v>
      </c>
      <c r="GQ263" t="e">
        <f>AND(#REF!,"AAAAABbP/8Y=")</f>
        <v>#REF!</v>
      </c>
      <c r="GR263" t="e">
        <f>AND(#REF!,"AAAAABbP/8c=")</f>
        <v>#REF!</v>
      </c>
      <c r="GS263" t="e">
        <f>AND(#REF!,"AAAAABbP/8g=")</f>
        <v>#REF!</v>
      </c>
      <c r="GT263" t="e">
        <f>AND(#REF!,"AAAAABbP/8k=")</f>
        <v>#REF!</v>
      </c>
      <c r="GU263" t="e">
        <f>AND(#REF!,"AAAAABbP/8o=")</f>
        <v>#REF!</v>
      </c>
      <c r="GV263" t="e">
        <f>AND(#REF!,"AAAAABbP/8s=")</f>
        <v>#REF!</v>
      </c>
      <c r="GW263" t="e">
        <f>AND(#REF!,"AAAAABbP/8w=")</f>
        <v>#REF!</v>
      </c>
      <c r="GX263" t="e">
        <f>AND(#REF!,"AAAAABbP/80=")</f>
        <v>#REF!</v>
      </c>
      <c r="GY263" t="e">
        <f>AND(#REF!,"AAAAABbP/84=")</f>
        <v>#REF!</v>
      </c>
      <c r="GZ263" t="e">
        <f>AND(#REF!,"AAAAABbP/88=")</f>
        <v>#REF!</v>
      </c>
      <c r="HA263" t="e">
        <f>AND(#REF!,"AAAAABbP/9A=")</f>
        <v>#REF!</v>
      </c>
      <c r="HB263" t="e">
        <f>AND(#REF!,"AAAAABbP/9E=")</f>
        <v>#REF!</v>
      </c>
      <c r="HC263" t="e">
        <f>AND(#REF!,"AAAAABbP/9I=")</f>
        <v>#REF!</v>
      </c>
      <c r="HD263" t="e">
        <f>AND(#REF!,"AAAAABbP/9M=")</f>
        <v>#REF!</v>
      </c>
      <c r="HE263" t="e">
        <f>AND(#REF!,"AAAAABbP/9Q=")</f>
        <v>#REF!</v>
      </c>
      <c r="HF263" t="e">
        <f>IF(#REF!,"AAAAABbP/9U=",0)</f>
        <v>#REF!</v>
      </c>
      <c r="HG263" t="e">
        <f>AND(#REF!,"AAAAABbP/9Y=")</f>
        <v>#REF!</v>
      </c>
      <c r="HH263" t="e">
        <f>AND(#REF!,"AAAAABbP/9c=")</f>
        <v>#REF!</v>
      </c>
      <c r="HI263" t="e">
        <f>AND(#REF!,"AAAAABbP/9g=")</f>
        <v>#REF!</v>
      </c>
      <c r="HJ263" t="e">
        <f>AND(#REF!,"AAAAABbP/9k=")</f>
        <v>#REF!</v>
      </c>
      <c r="HK263" t="e">
        <f>AND(#REF!,"AAAAABbP/9o=")</f>
        <v>#REF!</v>
      </c>
      <c r="HL263" t="e">
        <f>AND(#REF!,"AAAAABbP/9s=")</f>
        <v>#REF!</v>
      </c>
      <c r="HM263" t="e">
        <f>AND(#REF!,"AAAAABbP/9w=")</f>
        <v>#REF!</v>
      </c>
      <c r="HN263" t="e">
        <f>AND(#REF!,"AAAAABbP/90=")</f>
        <v>#REF!</v>
      </c>
      <c r="HO263" t="e">
        <f>AND(#REF!,"AAAAABbP/94=")</f>
        <v>#REF!</v>
      </c>
      <c r="HP263" t="e">
        <f>AND(#REF!,"AAAAABbP/98=")</f>
        <v>#REF!</v>
      </c>
      <c r="HQ263" t="e">
        <f>AND(#REF!,"AAAAABbP/+A=")</f>
        <v>#REF!</v>
      </c>
      <c r="HR263" t="e">
        <f>AND(#REF!,"AAAAABbP/+E=")</f>
        <v>#REF!</v>
      </c>
      <c r="HS263" t="e">
        <f>AND(#REF!,"AAAAABbP/+I=")</f>
        <v>#REF!</v>
      </c>
      <c r="HT263" t="e">
        <f>AND(#REF!,"AAAAABbP/+M=")</f>
        <v>#REF!</v>
      </c>
      <c r="HU263" t="e">
        <f>AND(#REF!,"AAAAABbP/+Q=")</f>
        <v>#REF!</v>
      </c>
      <c r="HV263" t="e">
        <f>AND(#REF!,"AAAAABbP/+U=")</f>
        <v>#REF!</v>
      </c>
      <c r="HW263" t="e">
        <f>AND(#REF!,"AAAAABbP/+Y=")</f>
        <v>#REF!</v>
      </c>
      <c r="HX263" t="e">
        <f>AND(#REF!,"AAAAABbP/+c=")</f>
        <v>#REF!</v>
      </c>
      <c r="HY263" t="e">
        <f>AND(#REF!,"AAAAABbP/+g=")</f>
        <v>#REF!</v>
      </c>
      <c r="HZ263" t="e">
        <f>AND(#REF!,"AAAAABbP/+k=")</f>
        <v>#REF!</v>
      </c>
      <c r="IA263" t="e">
        <f>AND(#REF!,"AAAAABbP/+o=")</f>
        <v>#REF!</v>
      </c>
      <c r="IB263" t="e">
        <f>AND(#REF!,"AAAAABbP/+s=")</f>
        <v>#REF!</v>
      </c>
      <c r="IC263" t="e">
        <f>AND(#REF!,"AAAAABbP/+w=")</f>
        <v>#REF!</v>
      </c>
      <c r="ID263" t="e">
        <f>AND(#REF!,"AAAAABbP/+0=")</f>
        <v>#REF!</v>
      </c>
      <c r="IE263" t="e">
        <f>IF(#REF!,"AAAAABbP/+4=",0)</f>
        <v>#REF!</v>
      </c>
      <c r="IF263" t="e">
        <f>AND(#REF!,"AAAAABbP/+8=")</f>
        <v>#REF!</v>
      </c>
      <c r="IG263" t="e">
        <f>AND(#REF!,"AAAAABbP//A=")</f>
        <v>#REF!</v>
      </c>
      <c r="IH263" t="e">
        <f>AND(#REF!,"AAAAABbP//E=")</f>
        <v>#REF!</v>
      </c>
      <c r="II263" t="e">
        <f>AND(#REF!,"AAAAABbP//I=")</f>
        <v>#REF!</v>
      </c>
      <c r="IJ263" t="e">
        <f>AND(#REF!,"AAAAABbP//M=")</f>
        <v>#REF!</v>
      </c>
      <c r="IK263" t="e">
        <f>AND(#REF!,"AAAAABbP//Q=")</f>
        <v>#REF!</v>
      </c>
      <c r="IL263" t="e">
        <f>AND(#REF!,"AAAAABbP//U=")</f>
        <v>#REF!</v>
      </c>
      <c r="IM263" t="e">
        <f>AND(#REF!,"AAAAABbP//Y=")</f>
        <v>#REF!</v>
      </c>
      <c r="IN263" t="e">
        <f>AND(#REF!,"AAAAABbP//c=")</f>
        <v>#REF!</v>
      </c>
      <c r="IO263" t="e">
        <f>AND(#REF!,"AAAAABbP//g=")</f>
        <v>#REF!</v>
      </c>
      <c r="IP263" t="e">
        <f>AND(#REF!,"AAAAABbP//k=")</f>
        <v>#REF!</v>
      </c>
      <c r="IQ263" t="e">
        <f>AND(#REF!,"AAAAABbP//o=")</f>
        <v>#REF!</v>
      </c>
      <c r="IR263" t="e">
        <f>AND(#REF!,"AAAAABbP//s=")</f>
        <v>#REF!</v>
      </c>
      <c r="IS263" t="e">
        <f>AND(#REF!,"AAAAABbP//w=")</f>
        <v>#REF!</v>
      </c>
      <c r="IT263" t="e">
        <f>AND(#REF!,"AAAAABbP//0=")</f>
        <v>#REF!</v>
      </c>
      <c r="IU263" t="e">
        <f>AND(#REF!,"AAAAABbP//4=")</f>
        <v>#REF!</v>
      </c>
      <c r="IV263" t="e">
        <f>AND(#REF!,"AAAAABbP//8=")</f>
        <v>#REF!</v>
      </c>
    </row>
    <row r="264" spans="1:256">
      <c r="A264" t="e">
        <f>AND(#REF!,"AAAAAFHH5wA=")</f>
        <v>#REF!</v>
      </c>
      <c r="B264" t="e">
        <f>AND(#REF!,"AAAAAFHH5wE=")</f>
        <v>#REF!</v>
      </c>
      <c r="C264" t="e">
        <f>AND(#REF!,"AAAAAFHH5wI=")</f>
        <v>#REF!</v>
      </c>
      <c r="D264" t="e">
        <f>AND(#REF!,"AAAAAFHH5wM=")</f>
        <v>#REF!</v>
      </c>
      <c r="E264" t="e">
        <f>AND(#REF!,"AAAAAFHH5wQ=")</f>
        <v>#REF!</v>
      </c>
      <c r="F264" t="e">
        <f>AND(#REF!,"AAAAAFHH5wU=")</f>
        <v>#REF!</v>
      </c>
      <c r="G264" t="e">
        <f>AND(#REF!,"AAAAAFHH5wY=")</f>
        <v>#REF!</v>
      </c>
      <c r="H264" t="e">
        <f>IF(#REF!,"AAAAAFHH5wc=",0)</f>
        <v>#REF!</v>
      </c>
      <c r="I264" t="e">
        <f>AND(#REF!,"AAAAAFHH5wg=")</f>
        <v>#REF!</v>
      </c>
      <c r="J264" t="e">
        <f>AND(#REF!,"AAAAAFHH5wk=")</f>
        <v>#REF!</v>
      </c>
      <c r="K264" t="e">
        <f>AND(#REF!,"AAAAAFHH5wo=")</f>
        <v>#REF!</v>
      </c>
      <c r="L264" t="e">
        <f>AND(#REF!,"AAAAAFHH5ws=")</f>
        <v>#REF!</v>
      </c>
      <c r="M264" t="e">
        <f>AND(#REF!,"AAAAAFHH5ww=")</f>
        <v>#REF!</v>
      </c>
      <c r="N264" t="e">
        <f>AND(#REF!,"AAAAAFHH5w0=")</f>
        <v>#REF!</v>
      </c>
      <c r="O264" t="e">
        <f>AND(#REF!,"AAAAAFHH5w4=")</f>
        <v>#REF!</v>
      </c>
      <c r="P264" t="e">
        <f>AND(#REF!,"AAAAAFHH5w8=")</f>
        <v>#REF!</v>
      </c>
      <c r="Q264" t="e">
        <f>AND(#REF!,"AAAAAFHH5xA=")</f>
        <v>#REF!</v>
      </c>
      <c r="R264" t="e">
        <f>AND(#REF!,"AAAAAFHH5xE=")</f>
        <v>#REF!</v>
      </c>
      <c r="S264" t="e">
        <f>AND(#REF!,"AAAAAFHH5xI=")</f>
        <v>#REF!</v>
      </c>
      <c r="T264" t="e">
        <f>AND(#REF!,"AAAAAFHH5xM=")</f>
        <v>#REF!</v>
      </c>
      <c r="U264" t="e">
        <f>AND(#REF!,"AAAAAFHH5xQ=")</f>
        <v>#REF!</v>
      </c>
      <c r="V264" t="e">
        <f>AND(#REF!,"AAAAAFHH5xU=")</f>
        <v>#REF!</v>
      </c>
      <c r="W264" t="e">
        <f>AND(#REF!,"AAAAAFHH5xY=")</f>
        <v>#REF!</v>
      </c>
      <c r="X264" t="e">
        <f>AND(#REF!,"AAAAAFHH5xc=")</f>
        <v>#REF!</v>
      </c>
      <c r="Y264" t="e">
        <f>AND(#REF!,"AAAAAFHH5xg=")</f>
        <v>#REF!</v>
      </c>
      <c r="Z264" t="e">
        <f>AND(#REF!,"AAAAAFHH5xk=")</f>
        <v>#REF!</v>
      </c>
      <c r="AA264" t="e">
        <f>AND(#REF!,"AAAAAFHH5xo=")</f>
        <v>#REF!</v>
      </c>
      <c r="AB264" t="e">
        <f>AND(#REF!,"AAAAAFHH5xs=")</f>
        <v>#REF!</v>
      </c>
      <c r="AC264" t="e">
        <f>AND(#REF!,"AAAAAFHH5xw=")</f>
        <v>#REF!</v>
      </c>
      <c r="AD264" t="e">
        <f>AND(#REF!,"AAAAAFHH5x0=")</f>
        <v>#REF!</v>
      </c>
      <c r="AE264" t="e">
        <f>AND(#REF!,"AAAAAFHH5x4=")</f>
        <v>#REF!</v>
      </c>
      <c r="AF264" t="e">
        <f>AND(#REF!,"AAAAAFHH5x8=")</f>
        <v>#REF!</v>
      </c>
      <c r="AG264" t="e">
        <f>IF(#REF!,"AAAAAFHH5yA=",0)</f>
        <v>#REF!</v>
      </c>
      <c r="AH264" t="e">
        <f>AND(#REF!,"AAAAAFHH5yE=")</f>
        <v>#REF!</v>
      </c>
      <c r="AI264" t="e">
        <f>AND(#REF!,"AAAAAFHH5yI=")</f>
        <v>#REF!</v>
      </c>
      <c r="AJ264" t="e">
        <f>AND(#REF!,"AAAAAFHH5yM=")</f>
        <v>#REF!</v>
      </c>
      <c r="AK264" t="e">
        <f>AND(#REF!,"AAAAAFHH5yQ=")</f>
        <v>#REF!</v>
      </c>
      <c r="AL264" t="e">
        <f>AND(#REF!,"AAAAAFHH5yU=")</f>
        <v>#REF!</v>
      </c>
      <c r="AM264" t="e">
        <f>AND(#REF!,"AAAAAFHH5yY=")</f>
        <v>#REF!</v>
      </c>
      <c r="AN264" t="e">
        <f>AND(#REF!,"AAAAAFHH5yc=")</f>
        <v>#REF!</v>
      </c>
      <c r="AO264" t="e">
        <f>AND(#REF!,"AAAAAFHH5yg=")</f>
        <v>#REF!</v>
      </c>
      <c r="AP264" t="e">
        <f>AND(#REF!,"AAAAAFHH5yk=")</f>
        <v>#REF!</v>
      </c>
      <c r="AQ264" t="e">
        <f>AND(#REF!,"AAAAAFHH5yo=")</f>
        <v>#REF!</v>
      </c>
      <c r="AR264" t="e">
        <f>AND(#REF!,"AAAAAFHH5ys=")</f>
        <v>#REF!</v>
      </c>
      <c r="AS264" t="e">
        <f>AND(#REF!,"AAAAAFHH5yw=")</f>
        <v>#REF!</v>
      </c>
      <c r="AT264" t="e">
        <f>AND(#REF!,"AAAAAFHH5y0=")</f>
        <v>#REF!</v>
      </c>
      <c r="AU264" t="e">
        <f>AND(#REF!,"AAAAAFHH5y4=")</f>
        <v>#REF!</v>
      </c>
      <c r="AV264" t="e">
        <f>AND(#REF!,"AAAAAFHH5y8=")</f>
        <v>#REF!</v>
      </c>
      <c r="AW264" t="e">
        <f>AND(#REF!,"AAAAAFHH5zA=")</f>
        <v>#REF!</v>
      </c>
      <c r="AX264" t="e">
        <f>AND(#REF!,"AAAAAFHH5zE=")</f>
        <v>#REF!</v>
      </c>
      <c r="AY264" t="e">
        <f>AND(#REF!,"AAAAAFHH5zI=")</f>
        <v>#REF!</v>
      </c>
      <c r="AZ264" t="e">
        <f>AND(#REF!,"AAAAAFHH5zM=")</f>
        <v>#REF!</v>
      </c>
      <c r="BA264" t="e">
        <f>AND(#REF!,"AAAAAFHH5zQ=")</f>
        <v>#REF!</v>
      </c>
      <c r="BB264" t="e">
        <f>AND(#REF!,"AAAAAFHH5zU=")</f>
        <v>#REF!</v>
      </c>
      <c r="BC264" t="e">
        <f>AND(#REF!,"AAAAAFHH5zY=")</f>
        <v>#REF!</v>
      </c>
      <c r="BD264" t="e">
        <f>AND(#REF!,"AAAAAFHH5zc=")</f>
        <v>#REF!</v>
      </c>
      <c r="BE264" t="e">
        <f>AND(#REF!,"AAAAAFHH5zg=")</f>
        <v>#REF!</v>
      </c>
      <c r="BF264" t="e">
        <f>IF(#REF!,"AAAAAFHH5zk=",0)</f>
        <v>#REF!</v>
      </c>
      <c r="BG264" t="e">
        <f>AND(#REF!,"AAAAAFHH5zo=")</f>
        <v>#REF!</v>
      </c>
      <c r="BH264" t="e">
        <f>AND(#REF!,"AAAAAFHH5zs=")</f>
        <v>#REF!</v>
      </c>
      <c r="BI264" t="e">
        <f>AND(#REF!,"AAAAAFHH5zw=")</f>
        <v>#REF!</v>
      </c>
      <c r="BJ264" t="e">
        <f>AND(#REF!,"AAAAAFHH5z0=")</f>
        <v>#REF!</v>
      </c>
      <c r="BK264" t="e">
        <f>AND(#REF!,"AAAAAFHH5z4=")</f>
        <v>#REF!</v>
      </c>
      <c r="BL264" t="e">
        <f>AND(#REF!,"AAAAAFHH5z8=")</f>
        <v>#REF!</v>
      </c>
      <c r="BM264" t="e">
        <f>AND(#REF!,"AAAAAFHH50A=")</f>
        <v>#REF!</v>
      </c>
      <c r="BN264" t="e">
        <f>AND(#REF!,"AAAAAFHH50E=")</f>
        <v>#REF!</v>
      </c>
      <c r="BO264" t="e">
        <f>AND(#REF!,"AAAAAFHH50I=")</f>
        <v>#REF!</v>
      </c>
      <c r="BP264" t="e">
        <f>AND(#REF!,"AAAAAFHH50M=")</f>
        <v>#REF!</v>
      </c>
      <c r="BQ264" t="e">
        <f>AND(#REF!,"AAAAAFHH50Q=")</f>
        <v>#REF!</v>
      </c>
      <c r="BR264" t="e">
        <f>AND(#REF!,"AAAAAFHH50U=")</f>
        <v>#REF!</v>
      </c>
      <c r="BS264" t="e">
        <f>AND(#REF!,"AAAAAFHH50Y=")</f>
        <v>#REF!</v>
      </c>
      <c r="BT264" t="e">
        <f>AND(#REF!,"AAAAAFHH50c=")</f>
        <v>#REF!</v>
      </c>
      <c r="BU264" t="e">
        <f>AND(#REF!,"AAAAAFHH50g=")</f>
        <v>#REF!</v>
      </c>
      <c r="BV264" t="e">
        <f>AND(#REF!,"AAAAAFHH50k=")</f>
        <v>#REF!</v>
      </c>
      <c r="BW264" t="e">
        <f>AND(#REF!,"AAAAAFHH50o=")</f>
        <v>#REF!</v>
      </c>
      <c r="BX264" t="e">
        <f>AND(#REF!,"AAAAAFHH50s=")</f>
        <v>#REF!</v>
      </c>
      <c r="BY264" t="e">
        <f>AND(#REF!,"AAAAAFHH50w=")</f>
        <v>#REF!</v>
      </c>
      <c r="BZ264" t="e">
        <f>AND(#REF!,"AAAAAFHH500=")</f>
        <v>#REF!</v>
      </c>
      <c r="CA264" t="e">
        <f>AND(#REF!,"AAAAAFHH504=")</f>
        <v>#REF!</v>
      </c>
      <c r="CB264" t="e">
        <f>AND(#REF!,"AAAAAFHH508=")</f>
        <v>#REF!</v>
      </c>
      <c r="CC264" t="e">
        <f>AND(#REF!,"AAAAAFHH51A=")</f>
        <v>#REF!</v>
      </c>
      <c r="CD264" t="e">
        <f>AND(#REF!,"AAAAAFHH51E=")</f>
        <v>#REF!</v>
      </c>
      <c r="CE264" t="e">
        <f>IF(#REF!,"AAAAAFHH51I=",0)</f>
        <v>#REF!</v>
      </c>
      <c r="CF264" t="e">
        <f>AND(#REF!,"AAAAAFHH51M=")</f>
        <v>#REF!</v>
      </c>
      <c r="CG264" t="e">
        <f>AND(#REF!,"AAAAAFHH51Q=")</f>
        <v>#REF!</v>
      </c>
      <c r="CH264" t="e">
        <f>AND(#REF!,"AAAAAFHH51U=")</f>
        <v>#REF!</v>
      </c>
      <c r="CI264" t="e">
        <f>AND(#REF!,"AAAAAFHH51Y=")</f>
        <v>#REF!</v>
      </c>
      <c r="CJ264" t="e">
        <f>AND(#REF!,"AAAAAFHH51c=")</f>
        <v>#REF!</v>
      </c>
      <c r="CK264" t="e">
        <f>AND(#REF!,"AAAAAFHH51g=")</f>
        <v>#REF!</v>
      </c>
      <c r="CL264" t="e">
        <f>AND(#REF!,"AAAAAFHH51k=")</f>
        <v>#REF!</v>
      </c>
      <c r="CM264" t="e">
        <f>AND(#REF!,"AAAAAFHH51o=")</f>
        <v>#REF!</v>
      </c>
      <c r="CN264" t="e">
        <f>AND(#REF!,"AAAAAFHH51s=")</f>
        <v>#REF!</v>
      </c>
      <c r="CO264" t="e">
        <f>AND(#REF!,"AAAAAFHH51w=")</f>
        <v>#REF!</v>
      </c>
      <c r="CP264" t="e">
        <f>AND(#REF!,"AAAAAFHH510=")</f>
        <v>#REF!</v>
      </c>
      <c r="CQ264" t="e">
        <f>AND(#REF!,"AAAAAFHH514=")</f>
        <v>#REF!</v>
      </c>
      <c r="CR264" t="e">
        <f>AND(#REF!,"AAAAAFHH518=")</f>
        <v>#REF!</v>
      </c>
      <c r="CS264" t="e">
        <f>AND(#REF!,"AAAAAFHH52A=")</f>
        <v>#REF!</v>
      </c>
      <c r="CT264" t="e">
        <f>AND(#REF!,"AAAAAFHH52E=")</f>
        <v>#REF!</v>
      </c>
      <c r="CU264" t="e">
        <f>AND(#REF!,"AAAAAFHH52I=")</f>
        <v>#REF!</v>
      </c>
      <c r="CV264" t="e">
        <f>AND(#REF!,"AAAAAFHH52M=")</f>
        <v>#REF!</v>
      </c>
      <c r="CW264" t="e">
        <f>AND(#REF!,"AAAAAFHH52Q=")</f>
        <v>#REF!</v>
      </c>
      <c r="CX264" t="e">
        <f>AND(#REF!,"AAAAAFHH52U=")</f>
        <v>#REF!</v>
      </c>
      <c r="CY264" t="e">
        <f>AND(#REF!,"AAAAAFHH52Y=")</f>
        <v>#REF!</v>
      </c>
      <c r="CZ264" t="e">
        <f>AND(#REF!,"AAAAAFHH52c=")</f>
        <v>#REF!</v>
      </c>
      <c r="DA264" t="e">
        <f>AND(#REF!,"AAAAAFHH52g=")</f>
        <v>#REF!</v>
      </c>
      <c r="DB264" t="e">
        <f>AND(#REF!,"AAAAAFHH52k=")</f>
        <v>#REF!</v>
      </c>
      <c r="DC264" t="e">
        <f>AND(#REF!,"AAAAAFHH52o=")</f>
        <v>#REF!</v>
      </c>
      <c r="DD264" t="e">
        <f>IF(#REF!,"AAAAAFHH52s=",0)</f>
        <v>#REF!</v>
      </c>
      <c r="DE264" t="e">
        <f>AND(#REF!,"AAAAAFHH52w=")</f>
        <v>#REF!</v>
      </c>
      <c r="DF264" t="e">
        <f>AND(#REF!,"AAAAAFHH520=")</f>
        <v>#REF!</v>
      </c>
      <c r="DG264" t="e">
        <f>AND(#REF!,"AAAAAFHH524=")</f>
        <v>#REF!</v>
      </c>
      <c r="DH264" t="e">
        <f>AND(#REF!,"AAAAAFHH528=")</f>
        <v>#REF!</v>
      </c>
      <c r="DI264" t="e">
        <f>AND(#REF!,"AAAAAFHH53A=")</f>
        <v>#REF!</v>
      </c>
      <c r="DJ264" t="e">
        <f>AND(#REF!,"AAAAAFHH53E=")</f>
        <v>#REF!</v>
      </c>
      <c r="DK264" t="e">
        <f>AND(#REF!,"AAAAAFHH53I=")</f>
        <v>#REF!</v>
      </c>
      <c r="DL264" t="e">
        <f>AND(#REF!,"AAAAAFHH53M=")</f>
        <v>#REF!</v>
      </c>
      <c r="DM264" t="e">
        <f>AND(#REF!,"AAAAAFHH53Q=")</f>
        <v>#REF!</v>
      </c>
      <c r="DN264" t="e">
        <f>AND(#REF!,"AAAAAFHH53U=")</f>
        <v>#REF!</v>
      </c>
      <c r="DO264" t="e">
        <f>AND(#REF!,"AAAAAFHH53Y=")</f>
        <v>#REF!</v>
      </c>
      <c r="DP264" t="e">
        <f>AND(#REF!,"AAAAAFHH53c=")</f>
        <v>#REF!</v>
      </c>
      <c r="DQ264" t="e">
        <f>AND(#REF!,"AAAAAFHH53g=")</f>
        <v>#REF!</v>
      </c>
      <c r="DR264" t="e">
        <f>AND(#REF!,"AAAAAFHH53k=")</f>
        <v>#REF!</v>
      </c>
      <c r="DS264" t="e">
        <f>AND(#REF!,"AAAAAFHH53o=")</f>
        <v>#REF!</v>
      </c>
      <c r="DT264" t="e">
        <f>AND(#REF!,"AAAAAFHH53s=")</f>
        <v>#REF!</v>
      </c>
      <c r="DU264" t="e">
        <f>AND(#REF!,"AAAAAFHH53w=")</f>
        <v>#REF!</v>
      </c>
      <c r="DV264" t="e">
        <f>AND(#REF!,"AAAAAFHH530=")</f>
        <v>#REF!</v>
      </c>
      <c r="DW264" t="e">
        <f>AND(#REF!,"AAAAAFHH534=")</f>
        <v>#REF!</v>
      </c>
      <c r="DX264" t="e">
        <f>AND(#REF!,"AAAAAFHH538=")</f>
        <v>#REF!</v>
      </c>
      <c r="DY264" t="e">
        <f>AND(#REF!,"AAAAAFHH54A=")</f>
        <v>#REF!</v>
      </c>
      <c r="DZ264" t="e">
        <f>AND(#REF!,"AAAAAFHH54E=")</f>
        <v>#REF!</v>
      </c>
      <c r="EA264" t="e">
        <f>AND(#REF!,"AAAAAFHH54I=")</f>
        <v>#REF!</v>
      </c>
      <c r="EB264" t="e">
        <f>AND(#REF!,"AAAAAFHH54M=")</f>
        <v>#REF!</v>
      </c>
      <c r="EC264" t="e">
        <f>IF(#REF!,"AAAAAFHH54Q=",0)</f>
        <v>#REF!</v>
      </c>
      <c r="ED264" t="e">
        <f>AND(#REF!,"AAAAAFHH54U=")</f>
        <v>#REF!</v>
      </c>
      <c r="EE264" t="e">
        <f>AND(#REF!,"AAAAAFHH54Y=")</f>
        <v>#REF!</v>
      </c>
      <c r="EF264" t="e">
        <f>AND(#REF!,"AAAAAFHH54c=")</f>
        <v>#REF!</v>
      </c>
      <c r="EG264" t="e">
        <f>AND(#REF!,"AAAAAFHH54g=")</f>
        <v>#REF!</v>
      </c>
      <c r="EH264" t="e">
        <f>AND(#REF!,"AAAAAFHH54k=")</f>
        <v>#REF!</v>
      </c>
      <c r="EI264" t="e">
        <f>AND(#REF!,"AAAAAFHH54o=")</f>
        <v>#REF!</v>
      </c>
      <c r="EJ264" t="e">
        <f>AND(#REF!,"AAAAAFHH54s=")</f>
        <v>#REF!</v>
      </c>
      <c r="EK264" t="e">
        <f>AND(#REF!,"AAAAAFHH54w=")</f>
        <v>#REF!</v>
      </c>
      <c r="EL264" t="e">
        <f>AND(#REF!,"AAAAAFHH540=")</f>
        <v>#REF!</v>
      </c>
      <c r="EM264" t="e">
        <f>AND(#REF!,"AAAAAFHH544=")</f>
        <v>#REF!</v>
      </c>
      <c r="EN264" t="e">
        <f>AND(#REF!,"AAAAAFHH548=")</f>
        <v>#REF!</v>
      </c>
      <c r="EO264" t="e">
        <f>AND(#REF!,"AAAAAFHH55A=")</f>
        <v>#REF!</v>
      </c>
      <c r="EP264" t="e">
        <f>AND(#REF!,"AAAAAFHH55E=")</f>
        <v>#REF!</v>
      </c>
      <c r="EQ264" t="e">
        <f>AND(#REF!,"AAAAAFHH55I=")</f>
        <v>#REF!</v>
      </c>
      <c r="ER264" t="e">
        <f>AND(#REF!,"AAAAAFHH55M=")</f>
        <v>#REF!</v>
      </c>
      <c r="ES264" t="e">
        <f>AND(#REF!,"AAAAAFHH55Q=")</f>
        <v>#REF!</v>
      </c>
      <c r="ET264" t="e">
        <f>AND(#REF!,"AAAAAFHH55U=")</f>
        <v>#REF!</v>
      </c>
      <c r="EU264" t="e">
        <f>AND(#REF!,"AAAAAFHH55Y=")</f>
        <v>#REF!</v>
      </c>
      <c r="EV264" t="e">
        <f>AND(#REF!,"AAAAAFHH55c=")</f>
        <v>#REF!</v>
      </c>
      <c r="EW264" t="e">
        <f>AND(#REF!,"AAAAAFHH55g=")</f>
        <v>#REF!</v>
      </c>
      <c r="EX264" t="e">
        <f>AND(#REF!,"AAAAAFHH55k=")</f>
        <v>#REF!</v>
      </c>
      <c r="EY264" t="e">
        <f>AND(#REF!,"AAAAAFHH55o=")</f>
        <v>#REF!</v>
      </c>
      <c r="EZ264" t="e">
        <f>AND(#REF!,"AAAAAFHH55s=")</f>
        <v>#REF!</v>
      </c>
      <c r="FA264" t="e">
        <f>AND(#REF!,"AAAAAFHH55w=")</f>
        <v>#REF!</v>
      </c>
      <c r="FB264" t="e">
        <f>IF(#REF!,"AAAAAFHH550=",0)</f>
        <v>#REF!</v>
      </c>
      <c r="FC264" t="e">
        <f>AND(#REF!,"AAAAAFHH554=")</f>
        <v>#REF!</v>
      </c>
      <c r="FD264" t="e">
        <f>AND(#REF!,"AAAAAFHH558=")</f>
        <v>#REF!</v>
      </c>
      <c r="FE264" t="e">
        <f>AND(#REF!,"AAAAAFHH56A=")</f>
        <v>#REF!</v>
      </c>
      <c r="FF264" t="e">
        <f>AND(#REF!,"AAAAAFHH56E=")</f>
        <v>#REF!</v>
      </c>
      <c r="FG264" t="e">
        <f>AND(#REF!,"AAAAAFHH56I=")</f>
        <v>#REF!</v>
      </c>
      <c r="FH264" t="e">
        <f>AND(#REF!,"AAAAAFHH56M=")</f>
        <v>#REF!</v>
      </c>
      <c r="FI264" t="e">
        <f>AND(#REF!,"AAAAAFHH56Q=")</f>
        <v>#REF!</v>
      </c>
      <c r="FJ264" t="e">
        <f>AND(#REF!,"AAAAAFHH56U=")</f>
        <v>#REF!</v>
      </c>
      <c r="FK264" t="e">
        <f>AND(#REF!,"AAAAAFHH56Y=")</f>
        <v>#REF!</v>
      </c>
      <c r="FL264" t="e">
        <f>AND(#REF!,"AAAAAFHH56c=")</f>
        <v>#REF!</v>
      </c>
      <c r="FM264" t="e">
        <f>AND(#REF!,"AAAAAFHH56g=")</f>
        <v>#REF!</v>
      </c>
      <c r="FN264" t="e">
        <f>AND(#REF!,"AAAAAFHH56k=")</f>
        <v>#REF!</v>
      </c>
      <c r="FO264" t="e">
        <f>AND(#REF!,"AAAAAFHH56o=")</f>
        <v>#REF!</v>
      </c>
      <c r="FP264" t="e">
        <f>AND(#REF!,"AAAAAFHH56s=")</f>
        <v>#REF!</v>
      </c>
      <c r="FQ264" t="e">
        <f>AND(#REF!,"AAAAAFHH56w=")</f>
        <v>#REF!</v>
      </c>
      <c r="FR264" t="e">
        <f>AND(#REF!,"AAAAAFHH560=")</f>
        <v>#REF!</v>
      </c>
      <c r="FS264" t="e">
        <f>AND(#REF!,"AAAAAFHH564=")</f>
        <v>#REF!</v>
      </c>
      <c r="FT264" t="e">
        <f>AND(#REF!,"AAAAAFHH568=")</f>
        <v>#REF!</v>
      </c>
      <c r="FU264" t="e">
        <f>AND(#REF!,"AAAAAFHH57A=")</f>
        <v>#REF!</v>
      </c>
      <c r="FV264" t="e">
        <f>AND(#REF!,"AAAAAFHH57E=")</f>
        <v>#REF!</v>
      </c>
      <c r="FW264" t="e">
        <f>AND(#REF!,"AAAAAFHH57I=")</f>
        <v>#REF!</v>
      </c>
      <c r="FX264" t="e">
        <f>AND(#REF!,"AAAAAFHH57M=")</f>
        <v>#REF!</v>
      </c>
      <c r="FY264" t="e">
        <f>AND(#REF!,"AAAAAFHH57Q=")</f>
        <v>#REF!</v>
      </c>
      <c r="FZ264" t="e">
        <f>AND(#REF!,"AAAAAFHH57U=")</f>
        <v>#REF!</v>
      </c>
      <c r="GA264" t="e">
        <f>IF(#REF!,"AAAAAFHH57Y=",0)</f>
        <v>#REF!</v>
      </c>
      <c r="GB264" t="e">
        <f>AND(#REF!,"AAAAAFHH57c=")</f>
        <v>#REF!</v>
      </c>
      <c r="GC264" t="e">
        <f>AND(#REF!,"AAAAAFHH57g=")</f>
        <v>#REF!</v>
      </c>
      <c r="GD264" t="e">
        <f>AND(#REF!,"AAAAAFHH57k=")</f>
        <v>#REF!</v>
      </c>
      <c r="GE264" t="e">
        <f>AND(#REF!,"AAAAAFHH57o=")</f>
        <v>#REF!</v>
      </c>
      <c r="GF264" t="e">
        <f>AND(#REF!,"AAAAAFHH57s=")</f>
        <v>#REF!</v>
      </c>
      <c r="GG264" t="e">
        <f>AND(#REF!,"AAAAAFHH57w=")</f>
        <v>#REF!</v>
      </c>
      <c r="GH264" t="e">
        <f>AND(#REF!,"AAAAAFHH570=")</f>
        <v>#REF!</v>
      </c>
      <c r="GI264" t="e">
        <f>AND(#REF!,"AAAAAFHH574=")</f>
        <v>#REF!</v>
      </c>
      <c r="GJ264" t="e">
        <f>AND(#REF!,"AAAAAFHH578=")</f>
        <v>#REF!</v>
      </c>
      <c r="GK264" t="e">
        <f>AND(#REF!,"AAAAAFHH58A=")</f>
        <v>#REF!</v>
      </c>
      <c r="GL264" t="e">
        <f>AND(#REF!,"AAAAAFHH58E=")</f>
        <v>#REF!</v>
      </c>
      <c r="GM264" t="e">
        <f>AND(#REF!,"AAAAAFHH58I=")</f>
        <v>#REF!</v>
      </c>
      <c r="GN264" t="e">
        <f>AND(#REF!,"AAAAAFHH58M=")</f>
        <v>#REF!</v>
      </c>
      <c r="GO264" t="e">
        <f>AND(#REF!,"AAAAAFHH58Q=")</f>
        <v>#REF!</v>
      </c>
      <c r="GP264" t="e">
        <f>AND(#REF!,"AAAAAFHH58U=")</f>
        <v>#REF!</v>
      </c>
      <c r="GQ264" t="e">
        <f>AND(#REF!,"AAAAAFHH58Y=")</f>
        <v>#REF!</v>
      </c>
      <c r="GR264" t="e">
        <f>AND(#REF!,"AAAAAFHH58c=")</f>
        <v>#REF!</v>
      </c>
      <c r="GS264" t="e">
        <f>AND(#REF!,"AAAAAFHH58g=")</f>
        <v>#REF!</v>
      </c>
      <c r="GT264" t="e">
        <f>AND(#REF!,"AAAAAFHH58k=")</f>
        <v>#REF!</v>
      </c>
      <c r="GU264" t="e">
        <f>AND(#REF!,"AAAAAFHH58o=")</f>
        <v>#REF!</v>
      </c>
      <c r="GV264" t="e">
        <f>AND(#REF!,"AAAAAFHH58s=")</f>
        <v>#REF!</v>
      </c>
      <c r="GW264" t="e">
        <f>AND(#REF!,"AAAAAFHH58w=")</f>
        <v>#REF!</v>
      </c>
      <c r="GX264" t="e">
        <f>AND(#REF!,"AAAAAFHH580=")</f>
        <v>#REF!</v>
      </c>
      <c r="GY264" t="e">
        <f>AND(#REF!,"AAAAAFHH584=")</f>
        <v>#REF!</v>
      </c>
      <c r="GZ264" t="e">
        <f>IF(#REF!,"AAAAAFHH588=",0)</f>
        <v>#REF!</v>
      </c>
      <c r="HA264" t="e">
        <f>AND(#REF!,"AAAAAFHH59A=")</f>
        <v>#REF!</v>
      </c>
      <c r="HB264" t="e">
        <f>AND(#REF!,"AAAAAFHH59E=")</f>
        <v>#REF!</v>
      </c>
      <c r="HC264" t="e">
        <f>AND(#REF!,"AAAAAFHH59I=")</f>
        <v>#REF!</v>
      </c>
      <c r="HD264" t="e">
        <f>AND(#REF!,"AAAAAFHH59M=")</f>
        <v>#REF!</v>
      </c>
      <c r="HE264" t="e">
        <f>AND(#REF!,"AAAAAFHH59Q=")</f>
        <v>#REF!</v>
      </c>
      <c r="HF264" t="e">
        <f>AND(#REF!,"AAAAAFHH59U=")</f>
        <v>#REF!</v>
      </c>
      <c r="HG264" t="e">
        <f>AND(#REF!,"AAAAAFHH59Y=")</f>
        <v>#REF!</v>
      </c>
      <c r="HH264" t="e">
        <f>AND(#REF!,"AAAAAFHH59c=")</f>
        <v>#REF!</v>
      </c>
      <c r="HI264" t="e">
        <f>AND(#REF!,"AAAAAFHH59g=")</f>
        <v>#REF!</v>
      </c>
      <c r="HJ264" t="e">
        <f>AND(#REF!,"AAAAAFHH59k=")</f>
        <v>#REF!</v>
      </c>
      <c r="HK264" t="e">
        <f>AND(#REF!,"AAAAAFHH59o=")</f>
        <v>#REF!</v>
      </c>
      <c r="HL264" t="e">
        <f>AND(#REF!,"AAAAAFHH59s=")</f>
        <v>#REF!</v>
      </c>
      <c r="HM264" t="e">
        <f>AND(#REF!,"AAAAAFHH59w=")</f>
        <v>#REF!</v>
      </c>
      <c r="HN264" t="e">
        <f>AND(#REF!,"AAAAAFHH590=")</f>
        <v>#REF!</v>
      </c>
      <c r="HO264" t="e">
        <f>AND(#REF!,"AAAAAFHH594=")</f>
        <v>#REF!</v>
      </c>
      <c r="HP264" t="e">
        <f>AND(#REF!,"AAAAAFHH598=")</f>
        <v>#REF!</v>
      </c>
      <c r="HQ264" t="e">
        <f>AND(#REF!,"AAAAAFHH5+A=")</f>
        <v>#REF!</v>
      </c>
      <c r="HR264" t="e">
        <f>AND(#REF!,"AAAAAFHH5+E=")</f>
        <v>#REF!</v>
      </c>
      <c r="HS264" t="e">
        <f>AND(#REF!,"AAAAAFHH5+I=")</f>
        <v>#REF!</v>
      </c>
      <c r="HT264" t="e">
        <f>AND(#REF!,"AAAAAFHH5+M=")</f>
        <v>#REF!</v>
      </c>
      <c r="HU264" t="e">
        <f>AND(#REF!,"AAAAAFHH5+Q=")</f>
        <v>#REF!</v>
      </c>
      <c r="HV264" t="e">
        <f>AND(#REF!,"AAAAAFHH5+U=")</f>
        <v>#REF!</v>
      </c>
      <c r="HW264" t="e">
        <f>AND(#REF!,"AAAAAFHH5+Y=")</f>
        <v>#REF!</v>
      </c>
      <c r="HX264" t="e">
        <f>AND(#REF!,"AAAAAFHH5+c=")</f>
        <v>#REF!</v>
      </c>
      <c r="HY264" t="e">
        <f>IF(#REF!,"AAAAAFHH5+g=",0)</f>
        <v>#REF!</v>
      </c>
      <c r="HZ264" t="e">
        <f>AND(#REF!,"AAAAAFHH5+k=")</f>
        <v>#REF!</v>
      </c>
      <c r="IA264" t="e">
        <f>AND(#REF!,"AAAAAFHH5+o=")</f>
        <v>#REF!</v>
      </c>
      <c r="IB264" t="e">
        <f>AND(#REF!,"AAAAAFHH5+s=")</f>
        <v>#REF!</v>
      </c>
      <c r="IC264" t="e">
        <f>AND(#REF!,"AAAAAFHH5+w=")</f>
        <v>#REF!</v>
      </c>
      <c r="ID264" t="e">
        <f>AND(#REF!,"AAAAAFHH5+0=")</f>
        <v>#REF!</v>
      </c>
      <c r="IE264" t="e">
        <f>AND(#REF!,"AAAAAFHH5+4=")</f>
        <v>#REF!</v>
      </c>
      <c r="IF264" t="e">
        <f>AND(#REF!,"AAAAAFHH5+8=")</f>
        <v>#REF!</v>
      </c>
      <c r="IG264" t="e">
        <f>AND(#REF!,"AAAAAFHH5/A=")</f>
        <v>#REF!</v>
      </c>
      <c r="IH264" t="e">
        <f>AND(#REF!,"AAAAAFHH5/E=")</f>
        <v>#REF!</v>
      </c>
      <c r="II264" t="e">
        <f>AND(#REF!,"AAAAAFHH5/I=")</f>
        <v>#REF!</v>
      </c>
      <c r="IJ264" t="e">
        <f>AND(#REF!,"AAAAAFHH5/M=")</f>
        <v>#REF!</v>
      </c>
      <c r="IK264" t="e">
        <f>AND(#REF!,"AAAAAFHH5/Q=")</f>
        <v>#REF!</v>
      </c>
      <c r="IL264" t="e">
        <f>AND(#REF!,"AAAAAFHH5/U=")</f>
        <v>#REF!</v>
      </c>
      <c r="IM264" t="e">
        <f>AND(#REF!,"AAAAAFHH5/Y=")</f>
        <v>#REF!</v>
      </c>
      <c r="IN264" t="e">
        <f>AND(#REF!,"AAAAAFHH5/c=")</f>
        <v>#REF!</v>
      </c>
      <c r="IO264" t="e">
        <f>AND(#REF!,"AAAAAFHH5/g=")</f>
        <v>#REF!</v>
      </c>
      <c r="IP264" t="e">
        <f>AND(#REF!,"AAAAAFHH5/k=")</f>
        <v>#REF!</v>
      </c>
      <c r="IQ264" t="e">
        <f>AND(#REF!,"AAAAAFHH5/o=")</f>
        <v>#REF!</v>
      </c>
      <c r="IR264" t="e">
        <f>AND(#REF!,"AAAAAFHH5/s=")</f>
        <v>#REF!</v>
      </c>
      <c r="IS264" t="e">
        <f>AND(#REF!,"AAAAAFHH5/w=")</f>
        <v>#REF!</v>
      </c>
      <c r="IT264" t="e">
        <f>AND(#REF!,"AAAAAFHH5/0=")</f>
        <v>#REF!</v>
      </c>
      <c r="IU264" t="e">
        <f>AND(#REF!,"AAAAAFHH5/4=")</f>
        <v>#REF!</v>
      </c>
      <c r="IV264" t="e">
        <f>AND(#REF!,"AAAAAFHH5/8=")</f>
        <v>#REF!</v>
      </c>
    </row>
    <row r="265" spans="1:256">
      <c r="A265" t="e">
        <f>AND(#REF!,"AAAAAF+LrgA=")</f>
        <v>#REF!</v>
      </c>
      <c r="B265" t="e">
        <f>IF(#REF!,"AAAAAF+LrgE=",0)</f>
        <v>#REF!</v>
      </c>
      <c r="C265" t="e">
        <f>AND(#REF!,"AAAAAF+LrgI=")</f>
        <v>#REF!</v>
      </c>
      <c r="D265" t="e">
        <f>AND(#REF!,"AAAAAF+LrgM=")</f>
        <v>#REF!</v>
      </c>
      <c r="E265" t="e">
        <f>AND(#REF!,"AAAAAF+LrgQ=")</f>
        <v>#REF!</v>
      </c>
      <c r="F265" t="e">
        <f>AND(#REF!,"AAAAAF+LrgU=")</f>
        <v>#REF!</v>
      </c>
      <c r="G265" t="e">
        <f>AND(#REF!,"AAAAAF+LrgY=")</f>
        <v>#REF!</v>
      </c>
      <c r="H265" t="e">
        <f>AND(#REF!,"AAAAAF+Lrgc=")</f>
        <v>#REF!</v>
      </c>
      <c r="I265" t="e">
        <f>AND(#REF!,"AAAAAF+Lrgg=")</f>
        <v>#REF!</v>
      </c>
      <c r="J265" t="e">
        <f>AND(#REF!,"AAAAAF+Lrgk=")</f>
        <v>#REF!</v>
      </c>
      <c r="K265" t="e">
        <f>AND(#REF!,"AAAAAF+Lrgo=")</f>
        <v>#REF!</v>
      </c>
      <c r="L265" t="e">
        <f>AND(#REF!,"AAAAAF+Lrgs=")</f>
        <v>#REF!</v>
      </c>
      <c r="M265" t="e">
        <f>AND(#REF!,"AAAAAF+Lrgw=")</f>
        <v>#REF!</v>
      </c>
      <c r="N265" t="e">
        <f>AND(#REF!,"AAAAAF+Lrg0=")</f>
        <v>#REF!</v>
      </c>
      <c r="O265" t="e">
        <f>AND(#REF!,"AAAAAF+Lrg4=")</f>
        <v>#REF!</v>
      </c>
      <c r="P265" t="e">
        <f>AND(#REF!,"AAAAAF+Lrg8=")</f>
        <v>#REF!</v>
      </c>
      <c r="Q265" t="e">
        <f>AND(#REF!,"AAAAAF+LrhA=")</f>
        <v>#REF!</v>
      </c>
      <c r="R265" t="e">
        <f>AND(#REF!,"AAAAAF+LrhE=")</f>
        <v>#REF!</v>
      </c>
      <c r="S265" t="e">
        <f>AND(#REF!,"AAAAAF+LrhI=")</f>
        <v>#REF!</v>
      </c>
      <c r="T265" t="e">
        <f>AND(#REF!,"AAAAAF+LrhM=")</f>
        <v>#REF!</v>
      </c>
      <c r="U265" t="e">
        <f>AND(#REF!,"AAAAAF+LrhQ=")</f>
        <v>#REF!</v>
      </c>
      <c r="V265" t="e">
        <f>AND(#REF!,"AAAAAF+LrhU=")</f>
        <v>#REF!</v>
      </c>
      <c r="W265" t="e">
        <f>AND(#REF!,"AAAAAF+LrhY=")</f>
        <v>#REF!</v>
      </c>
      <c r="X265" t="e">
        <f>AND(#REF!,"AAAAAF+Lrhc=")</f>
        <v>#REF!</v>
      </c>
      <c r="Y265" t="e">
        <f>AND(#REF!,"AAAAAF+Lrhg=")</f>
        <v>#REF!</v>
      </c>
      <c r="Z265" t="e">
        <f>AND(#REF!,"AAAAAF+Lrhk=")</f>
        <v>#REF!</v>
      </c>
      <c r="AA265" t="e">
        <f>IF(#REF!,"AAAAAF+Lrho=",0)</f>
        <v>#REF!</v>
      </c>
      <c r="AB265" t="e">
        <f>AND(#REF!,"AAAAAF+Lrhs=")</f>
        <v>#REF!</v>
      </c>
      <c r="AC265" t="e">
        <f>AND(#REF!,"AAAAAF+Lrhw=")</f>
        <v>#REF!</v>
      </c>
      <c r="AD265" t="e">
        <f>AND(#REF!,"AAAAAF+Lrh0=")</f>
        <v>#REF!</v>
      </c>
      <c r="AE265" t="e">
        <f>AND(#REF!,"AAAAAF+Lrh4=")</f>
        <v>#REF!</v>
      </c>
      <c r="AF265" t="e">
        <f>AND(#REF!,"AAAAAF+Lrh8=")</f>
        <v>#REF!</v>
      </c>
      <c r="AG265" t="e">
        <f>AND(#REF!,"AAAAAF+LriA=")</f>
        <v>#REF!</v>
      </c>
      <c r="AH265" t="e">
        <f>AND(#REF!,"AAAAAF+LriE=")</f>
        <v>#REF!</v>
      </c>
      <c r="AI265" t="e">
        <f>AND(#REF!,"AAAAAF+LriI=")</f>
        <v>#REF!</v>
      </c>
      <c r="AJ265" t="e">
        <f>AND(#REF!,"AAAAAF+LriM=")</f>
        <v>#REF!</v>
      </c>
      <c r="AK265" t="e">
        <f>AND(#REF!,"AAAAAF+LriQ=")</f>
        <v>#REF!</v>
      </c>
      <c r="AL265" t="e">
        <f>AND(#REF!,"AAAAAF+LriU=")</f>
        <v>#REF!</v>
      </c>
      <c r="AM265" t="e">
        <f>AND(#REF!,"AAAAAF+LriY=")</f>
        <v>#REF!</v>
      </c>
      <c r="AN265" t="e">
        <f>AND(#REF!,"AAAAAF+Lric=")</f>
        <v>#REF!</v>
      </c>
      <c r="AO265" t="e">
        <f>AND(#REF!,"AAAAAF+Lrig=")</f>
        <v>#REF!</v>
      </c>
      <c r="AP265" t="e">
        <f>AND(#REF!,"AAAAAF+Lrik=")</f>
        <v>#REF!</v>
      </c>
      <c r="AQ265" t="e">
        <f>AND(#REF!,"AAAAAF+Lrio=")</f>
        <v>#REF!</v>
      </c>
      <c r="AR265" t="e">
        <f>AND(#REF!,"AAAAAF+Lris=")</f>
        <v>#REF!</v>
      </c>
      <c r="AS265" t="e">
        <f>AND(#REF!,"AAAAAF+Lriw=")</f>
        <v>#REF!</v>
      </c>
      <c r="AT265" t="e">
        <f>AND(#REF!,"AAAAAF+Lri0=")</f>
        <v>#REF!</v>
      </c>
      <c r="AU265" t="e">
        <f>AND(#REF!,"AAAAAF+Lri4=")</f>
        <v>#REF!</v>
      </c>
      <c r="AV265" t="e">
        <f>AND(#REF!,"AAAAAF+Lri8=")</f>
        <v>#REF!</v>
      </c>
      <c r="AW265" t="e">
        <f>AND(#REF!,"AAAAAF+LrjA=")</f>
        <v>#REF!</v>
      </c>
      <c r="AX265" t="e">
        <f>AND(#REF!,"AAAAAF+LrjE=")</f>
        <v>#REF!</v>
      </c>
      <c r="AY265" t="e">
        <f>AND(#REF!,"AAAAAF+LrjI=")</f>
        <v>#REF!</v>
      </c>
      <c r="AZ265" t="e">
        <f>IF(#REF!,"AAAAAF+LrjM=",0)</f>
        <v>#REF!</v>
      </c>
      <c r="BA265" t="e">
        <f>AND(#REF!,"AAAAAF+LrjQ=")</f>
        <v>#REF!</v>
      </c>
      <c r="BB265" t="e">
        <f>AND(#REF!,"AAAAAF+LrjU=")</f>
        <v>#REF!</v>
      </c>
      <c r="BC265" t="e">
        <f>AND(#REF!,"AAAAAF+LrjY=")</f>
        <v>#REF!</v>
      </c>
      <c r="BD265" t="e">
        <f>AND(#REF!,"AAAAAF+Lrjc=")</f>
        <v>#REF!</v>
      </c>
      <c r="BE265" t="e">
        <f>AND(#REF!,"AAAAAF+Lrjg=")</f>
        <v>#REF!</v>
      </c>
      <c r="BF265" t="e">
        <f>AND(#REF!,"AAAAAF+Lrjk=")</f>
        <v>#REF!</v>
      </c>
      <c r="BG265" t="e">
        <f>AND(#REF!,"AAAAAF+Lrjo=")</f>
        <v>#REF!</v>
      </c>
      <c r="BH265" t="e">
        <f>AND(#REF!,"AAAAAF+Lrjs=")</f>
        <v>#REF!</v>
      </c>
      <c r="BI265" t="e">
        <f>AND(#REF!,"AAAAAF+Lrjw=")</f>
        <v>#REF!</v>
      </c>
      <c r="BJ265" t="e">
        <f>AND(#REF!,"AAAAAF+Lrj0=")</f>
        <v>#REF!</v>
      </c>
      <c r="BK265" t="e">
        <f>AND(#REF!,"AAAAAF+Lrj4=")</f>
        <v>#REF!</v>
      </c>
      <c r="BL265" t="e">
        <f>AND(#REF!,"AAAAAF+Lrj8=")</f>
        <v>#REF!</v>
      </c>
      <c r="BM265" t="e">
        <f>AND(#REF!,"AAAAAF+LrkA=")</f>
        <v>#REF!</v>
      </c>
      <c r="BN265" t="e">
        <f>AND(#REF!,"AAAAAF+LrkE=")</f>
        <v>#REF!</v>
      </c>
      <c r="BO265" t="e">
        <f>AND(#REF!,"AAAAAF+LrkI=")</f>
        <v>#REF!</v>
      </c>
      <c r="BP265" t="e">
        <f>AND(#REF!,"AAAAAF+LrkM=")</f>
        <v>#REF!</v>
      </c>
      <c r="BQ265" t="e">
        <f>AND(#REF!,"AAAAAF+LrkQ=")</f>
        <v>#REF!</v>
      </c>
      <c r="BR265" t="e">
        <f>AND(#REF!,"AAAAAF+LrkU=")</f>
        <v>#REF!</v>
      </c>
      <c r="BS265" t="e">
        <f>AND(#REF!,"AAAAAF+LrkY=")</f>
        <v>#REF!</v>
      </c>
      <c r="BT265" t="e">
        <f>AND(#REF!,"AAAAAF+Lrkc=")</f>
        <v>#REF!</v>
      </c>
      <c r="BU265" t="e">
        <f>AND(#REF!,"AAAAAF+Lrkg=")</f>
        <v>#REF!</v>
      </c>
      <c r="BV265" t="e">
        <f>AND(#REF!,"AAAAAF+Lrkk=")</f>
        <v>#REF!</v>
      </c>
      <c r="BW265" t="e">
        <f>AND(#REF!,"AAAAAF+Lrko=")</f>
        <v>#REF!</v>
      </c>
      <c r="BX265" t="e">
        <f>AND(#REF!,"AAAAAF+Lrks=")</f>
        <v>#REF!</v>
      </c>
      <c r="BY265" t="e">
        <f>IF(#REF!,"AAAAAF+Lrkw=",0)</f>
        <v>#REF!</v>
      </c>
      <c r="BZ265" t="e">
        <f>AND(#REF!,"AAAAAF+Lrk0=")</f>
        <v>#REF!</v>
      </c>
      <c r="CA265" t="e">
        <f>AND(#REF!,"AAAAAF+Lrk4=")</f>
        <v>#REF!</v>
      </c>
      <c r="CB265" t="e">
        <f>AND(#REF!,"AAAAAF+Lrk8=")</f>
        <v>#REF!</v>
      </c>
      <c r="CC265" t="e">
        <f>AND(#REF!,"AAAAAF+LrlA=")</f>
        <v>#REF!</v>
      </c>
      <c r="CD265" t="e">
        <f>AND(#REF!,"AAAAAF+LrlE=")</f>
        <v>#REF!</v>
      </c>
      <c r="CE265" t="e">
        <f>AND(#REF!,"AAAAAF+LrlI=")</f>
        <v>#REF!</v>
      </c>
      <c r="CF265" t="e">
        <f>AND(#REF!,"AAAAAF+LrlM=")</f>
        <v>#REF!</v>
      </c>
      <c r="CG265" t="e">
        <f>AND(#REF!,"AAAAAF+LrlQ=")</f>
        <v>#REF!</v>
      </c>
      <c r="CH265" t="e">
        <f>AND(#REF!,"AAAAAF+LrlU=")</f>
        <v>#REF!</v>
      </c>
      <c r="CI265" t="e">
        <f>AND(#REF!,"AAAAAF+LrlY=")</f>
        <v>#REF!</v>
      </c>
      <c r="CJ265" t="e">
        <f>AND(#REF!,"AAAAAF+Lrlc=")</f>
        <v>#REF!</v>
      </c>
      <c r="CK265" t="e">
        <f>AND(#REF!,"AAAAAF+Lrlg=")</f>
        <v>#REF!</v>
      </c>
      <c r="CL265" t="e">
        <f>AND(#REF!,"AAAAAF+Lrlk=")</f>
        <v>#REF!</v>
      </c>
      <c r="CM265" t="e">
        <f>AND(#REF!,"AAAAAF+Lrlo=")</f>
        <v>#REF!</v>
      </c>
      <c r="CN265" t="e">
        <f>AND(#REF!,"AAAAAF+Lrls=")</f>
        <v>#REF!</v>
      </c>
      <c r="CO265" t="e">
        <f>AND(#REF!,"AAAAAF+Lrlw=")</f>
        <v>#REF!</v>
      </c>
      <c r="CP265" t="e">
        <f>AND(#REF!,"AAAAAF+Lrl0=")</f>
        <v>#REF!</v>
      </c>
      <c r="CQ265" t="e">
        <f>AND(#REF!,"AAAAAF+Lrl4=")</f>
        <v>#REF!</v>
      </c>
      <c r="CR265" t="e">
        <f>AND(#REF!,"AAAAAF+Lrl8=")</f>
        <v>#REF!</v>
      </c>
      <c r="CS265" t="e">
        <f>AND(#REF!,"AAAAAF+LrmA=")</f>
        <v>#REF!</v>
      </c>
      <c r="CT265" t="e">
        <f>AND(#REF!,"AAAAAF+LrmE=")</f>
        <v>#REF!</v>
      </c>
      <c r="CU265" t="e">
        <f>AND(#REF!,"AAAAAF+LrmI=")</f>
        <v>#REF!</v>
      </c>
      <c r="CV265" t="e">
        <f>AND(#REF!,"AAAAAF+LrmM=")</f>
        <v>#REF!</v>
      </c>
      <c r="CW265" t="e">
        <f>AND(#REF!,"AAAAAF+LrmQ=")</f>
        <v>#REF!</v>
      </c>
      <c r="CX265" t="e">
        <f>IF(#REF!,"AAAAAF+LrmU=",0)</f>
        <v>#REF!</v>
      </c>
      <c r="CY265" t="e">
        <f>AND(#REF!,"AAAAAF+LrmY=")</f>
        <v>#REF!</v>
      </c>
      <c r="CZ265" t="e">
        <f>AND(#REF!,"AAAAAF+Lrmc=")</f>
        <v>#REF!</v>
      </c>
      <c r="DA265" t="e">
        <f>AND(#REF!,"AAAAAF+Lrmg=")</f>
        <v>#REF!</v>
      </c>
      <c r="DB265" t="e">
        <f>AND(#REF!,"AAAAAF+Lrmk=")</f>
        <v>#REF!</v>
      </c>
      <c r="DC265" t="e">
        <f>AND(#REF!,"AAAAAF+Lrmo=")</f>
        <v>#REF!</v>
      </c>
      <c r="DD265" t="e">
        <f>AND(#REF!,"AAAAAF+Lrms=")</f>
        <v>#REF!</v>
      </c>
      <c r="DE265" t="e">
        <f>AND(#REF!,"AAAAAF+Lrmw=")</f>
        <v>#REF!</v>
      </c>
      <c r="DF265" t="e">
        <f>AND(#REF!,"AAAAAF+Lrm0=")</f>
        <v>#REF!</v>
      </c>
      <c r="DG265" t="e">
        <f>AND(#REF!,"AAAAAF+Lrm4=")</f>
        <v>#REF!</v>
      </c>
      <c r="DH265" t="e">
        <f>AND(#REF!,"AAAAAF+Lrm8=")</f>
        <v>#REF!</v>
      </c>
      <c r="DI265" t="e">
        <f>AND(#REF!,"AAAAAF+LrnA=")</f>
        <v>#REF!</v>
      </c>
      <c r="DJ265" t="e">
        <f>AND(#REF!,"AAAAAF+LrnE=")</f>
        <v>#REF!</v>
      </c>
      <c r="DK265" t="e">
        <f>AND(#REF!,"AAAAAF+LrnI=")</f>
        <v>#REF!</v>
      </c>
      <c r="DL265" t="e">
        <f>AND(#REF!,"AAAAAF+LrnM=")</f>
        <v>#REF!</v>
      </c>
      <c r="DM265" t="e">
        <f>AND(#REF!,"AAAAAF+LrnQ=")</f>
        <v>#REF!</v>
      </c>
      <c r="DN265" t="e">
        <f>AND(#REF!,"AAAAAF+LrnU=")</f>
        <v>#REF!</v>
      </c>
      <c r="DO265" t="e">
        <f>AND(#REF!,"AAAAAF+LrnY=")</f>
        <v>#REF!</v>
      </c>
      <c r="DP265" t="e">
        <f>AND(#REF!,"AAAAAF+Lrnc=")</f>
        <v>#REF!</v>
      </c>
      <c r="DQ265" t="e">
        <f>AND(#REF!,"AAAAAF+Lrng=")</f>
        <v>#REF!</v>
      </c>
      <c r="DR265" t="e">
        <f>AND(#REF!,"AAAAAF+Lrnk=")</f>
        <v>#REF!</v>
      </c>
      <c r="DS265" t="e">
        <f>AND(#REF!,"AAAAAF+Lrno=")</f>
        <v>#REF!</v>
      </c>
      <c r="DT265" t="e">
        <f>AND(#REF!,"AAAAAF+Lrns=")</f>
        <v>#REF!</v>
      </c>
      <c r="DU265" t="e">
        <f>AND(#REF!,"AAAAAF+Lrnw=")</f>
        <v>#REF!</v>
      </c>
      <c r="DV265" t="e">
        <f>AND(#REF!,"AAAAAF+Lrn0=")</f>
        <v>#REF!</v>
      </c>
      <c r="DW265" t="e">
        <f>IF(#REF!,"AAAAAF+Lrn4=",0)</f>
        <v>#REF!</v>
      </c>
      <c r="DX265" t="e">
        <f>AND(#REF!,"AAAAAF+Lrn8=")</f>
        <v>#REF!</v>
      </c>
      <c r="DY265" t="e">
        <f>AND(#REF!,"AAAAAF+LroA=")</f>
        <v>#REF!</v>
      </c>
      <c r="DZ265" t="e">
        <f>AND(#REF!,"AAAAAF+LroE=")</f>
        <v>#REF!</v>
      </c>
      <c r="EA265" t="e">
        <f>AND(#REF!,"AAAAAF+LroI=")</f>
        <v>#REF!</v>
      </c>
      <c r="EB265" t="e">
        <f>AND(#REF!,"AAAAAF+LroM=")</f>
        <v>#REF!</v>
      </c>
      <c r="EC265" t="e">
        <f>AND(#REF!,"AAAAAF+LroQ=")</f>
        <v>#REF!</v>
      </c>
      <c r="ED265" t="e">
        <f>AND(#REF!,"AAAAAF+LroU=")</f>
        <v>#REF!</v>
      </c>
      <c r="EE265" t="e">
        <f>AND(#REF!,"AAAAAF+LroY=")</f>
        <v>#REF!</v>
      </c>
      <c r="EF265" t="e">
        <f>AND(#REF!,"AAAAAF+Lroc=")</f>
        <v>#REF!</v>
      </c>
      <c r="EG265" t="e">
        <f>AND(#REF!,"AAAAAF+Lrog=")</f>
        <v>#REF!</v>
      </c>
      <c r="EH265" t="e">
        <f>AND(#REF!,"AAAAAF+Lrok=")</f>
        <v>#REF!</v>
      </c>
      <c r="EI265" t="e">
        <f>AND(#REF!,"AAAAAF+Lroo=")</f>
        <v>#REF!</v>
      </c>
      <c r="EJ265" t="e">
        <f>AND(#REF!,"AAAAAF+Lros=")</f>
        <v>#REF!</v>
      </c>
      <c r="EK265" t="e">
        <f>AND(#REF!,"AAAAAF+Lrow=")</f>
        <v>#REF!</v>
      </c>
      <c r="EL265" t="e">
        <f>AND(#REF!,"AAAAAF+Lro0=")</f>
        <v>#REF!</v>
      </c>
      <c r="EM265" t="e">
        <f>AND(#REF!,"AAAAAF+Lro4=")</f>
        <v>#REF!</v>
      </c>
      <c r="EN265" t="e">
        <f>AND(#REF!,"AAAAAF+Lro8=")</f>
        <v>#REF!</v>
      </c>
      <c r="EO265" t="e">
        <f>AND(#REF!,"AAAAAF+LrpA=")</f>
        <v>#REF!</v>
      </c>
      <c r="EP265" t="e">
        <f>AND(#REF!,"AAAAAF+LrpE=")</f>
        <v>#REF!</v>
      </c>
      <c r="EQ265" t="e">
        <f>AND(#REF!,"AAAAAF+LrpI=")</f>
        <v>#REF!</v>
      </c>
      <c r="ER265" t="e">
        <f>AND(#REF!,"AAAAAF+LrpM=")</f>
        <v>#REF!</v>
      </c>
      <c r="ES265" t="e">
        <f>AND(#REF!,"AAAAAF+LrpQ=")</f>
        <v>#REF!</v>
      </c>
      <c r="ET265" t="e">
        <f>AND(#REF!,"AAAAAF+LrpU=")</f>
        <v>#REF!</v>
      </c>
      <c r="EU265" t="e">
        <f>AND(#REF!,"AAAAAF+LrpY=")</f>
        <v>#REF!</v>
      </c>
      <c r="EV265" t="e">
        <f>IF(#REF!,"AAAAAF+Lrpc=",0)</f>
        <v>#REF!</v>
      </c>
      <c r="EW265" t="e">
        <f>AND(#REF!,"AAAAAF+Lrpg=")</f>
        <v>#REF!</v>
      </c>
      <c r="EX265" t="e">
        <f>AND(#REF!,"AAAAAF+Lrpk=")</f>
        <v>#REF!</v>
      </c>
      <c r="EY265" t="e">
        <f>AND(#REF!,"AAAAAF+Lrpo=")</f>
        <v>#REF!</v>
      </c>
      <c r="EZ265" t="e">
        <f>AND(#REF!,"AAAAAF+Lrps=")</f>
        <v>#REF!</v>
      </c>
      <c r="FA265" t="e">
        <f>AND(#REF!,"AAAAAF+Lrpw=")</f>
        <v>#REF!</v>
      </c>
      <c r="FB265" t="e">
        <f>AND(#REF!,"AAAAAF+Lrp0=")</f>
        <v>#REF!</v>
      </c>
      <c r="FC265" t="e">
        <f>AND(#REF!,"AAAAAF+Lrp4=")</f>
        <v>#REF!</v>
      </c>
      <c r="FD265" t="e">
        <f>AND(#REF!,"AAAAAF+Lrp8=")</f>
        <v>#REF!</v>
      </c>
      <c r="FE265" t="e">
        <f>AND(#REF!,"AAAAAF+LrqA=")</f>
        <v>#REF!</v>
      </c>
      <c r="FF265" t="e">
        <f>AND(#REF!,"AAAAAF+LrqE=")</f>
        <v>#REF!</v>
      </c>
      <c r="FG265" t="e">
        <f>AND(#REF!,"AAAAAF+LrqI=")</f>
        <v>#REF!</v>
      </c>
      <c r="FH265" t="e">
        <f>AND(#REF!,"AAAAAF+LrqM=")</f>
        <v>#REF!</v>
      </c>
      <c r="FI265" t="e">
        <f>AND(#REF!,"AAAAAF+LrqQ=")</f>
        <v>#REF!</v>
      </c>
      <c r="FJ265" t="e">
        <f>AND(#REF!,"AAAAAF+LrqU=")</f>
        <v>#REF!</v>
      </c>
      <c r="FK265" t="e">
        <f>AND(#REF!,"AAAAAF+LrqY=")</f>
        <v>#REF!</v>
      </c>
      <c r="FL265" t="e">
        <f>AND(#REF!,"AAAAAF+Lrqc=")</f>
        <v>#REF!</v>
      </c>
      <c r="FM265" t="e">
        <f>AND(#REF!,"AAAAAF+Lrqg=")</f>
        <v>#REF!</v>
      </c>
      <c r="FN265" t="e">
        <f>AND(#REF!,"AAAAAF+Lrqk=")</f>
        <v>#REF!</v>
      </c>
      <c r="FO265" t="e">
        <f>AND(#REF!,"AAAAAF+Lrqo=")</f>
        <v>#REF!</v>
      </c>
      <c r="FP265" t="e">
        <f>AND(#REF!,"AAAAAF+Lrqs=")</f>
        <v>#REF!</v>
      </c>
      <c r="FQ265" t="e">
        <f>AND(#REF!,"AAAAAF+Lrqw=")</f>
        <v>#REF!</v>
      </c>
      <c r="FR265" t="e">
        <f>AND(#REF!,"AAAAAF+Lrq0=")</f>
        <v>#REF!</v>
      </c>
      <c r="FS265" t="e">
        <f>AND(#REF!,"AAAAAF+Lrq4=")</f>
        <v>#REF!</v>
      </c>
      <c r="FT265" t="e">
        <f>AND(#REF!,"AAAAAF+Lrq8=")</f>
        <v>#REF!</v>
      </c>
      <c r="FU265" t="e">
        <f>IF(#REF!,"AAAAAF+LrrA=",0)</f>
        <v>#REF!</v>
      </c>
      <c r="FV265" t="e">
        <f>AND(#REF!,"AAAAAF+LrrE=")</f>
        <v>#REF!</v>
      </c>
      <c r="FW265" t="e">
        <f>AND(#REF!,"AAAAAF+LrrI=")</f>
        <v>#REF!</v>
      </c>
      <c r="FX265" t="e">
        <f>AND(#REF!,"AAAAAF+LrrM=")</f>
        <v>#REF!</v>
      </c>
      <c r="FY265" t="e">
        <f>AND(#REF!,"AAAAAF+LrrQ=")</f>
        <v>#REF!</v>
      </c>
      <c r="FZ265" t="e">
        <f>AND(#REF!,"AAAAAF+LrrU=")</f>
        <v>#REF!</v>
      </c>
      <c r="GA265" t="e">
        <f>AND(#REF!,"AAAAAF+LrrY=")</f>
        <v>#REF!</v>
      </c>
      <c r="GB265" t="e">
        <f>AND(#REF!,"AAAAAF+Lrrc=")</f>
        <v>#REF!</v>
      </c>
      <c r="GC265" t="e">
        <f>AND(#REF!,"AAAAAF+Lrrg=")</f>
        <v>#REF!</v>
      </c>
      <c r="GD265" t="e">
        <f>AND(#REF!,"AAAAAF+Lrrk=")</f>
        <v>#REF!</v>
      </c>
      <c r="GE265" t="e">
        <f>AND(#REF!,"AAAAAF+Lrro=")</f>
        <v>#REF!</v>
      </c>
      <c r="GF265" t="e">
        <f>AND(#REF!,"AAAAAF+Lrrs=")</f>
        <v>#REF!</v>
      </c>
      <c r="GG265" t="e">
        <f>AND(#REF!,"AAAAAF+Lrrw=")</f>
        <v>#REF!</v>
      </c>
      <c r="GH265" t="e">
        <f>AND(#REF!,"AAAAAF+Lrr0=")</f>
        <v>#REF!</v>
      </c>
      <c r="GI265" t="e">
        <f>AND(#REF!,"AAAAAF+Lrr4=")</f>
        <v>#REF!</v>
      </c>
      <c r="GJ265" t="e">
        <f>AND(#REF!,"AAAAAF+Lrr8=")</f>
        <v>#REF!</v>
      </c>
      <c r="GK265" t="e">
        <f>AND(#REF!,"AAAAAF+LrsA=")</f>
        <v>#REF!</v>
      </c>
      <c r="GL265" t="e">
        <f>AND(#REF!,"AAAAAF+LrsE=")</f>
        <v>#REF!</v>
      </c>
      <c r="GM265" t="e">
        <f>AND(#REF!,"AAAAAF+LrsI=")</f>
        <v>#REF!</v>
      </c>
      <c r="GN265" t="e">
        <f>AND(#REF!,"AAAAAF+LrsM=")</f>
        <v>#REF!</v>
      </c>
      <c r="GO265" t="e">
        <f>AND(#REF!,"AAAAAF+LrsQ=")</f>
        <v>#REF!</v>
      </c>
      <c r="GP265" t="e">
        <f>AND(#REF!,"AAAAAF+LrsU=")</f>
        <v>#REF!</v>
      </c>
      <c r="GQ265" t="e">
        <f>AND(#REF!,"AAAAAF+LrsY=")</f>
        <v>#REF!</v>
      </c>
      <c r="GR265" t="e">
        <f>AND(#REF!,"AAAAAF+Lrsc=")</f>
        <v>#REF!</v>
      </c>
      <c r="GS265" t="e">
        <f>AND(#REF!,"AAAAAF+Lrsg=")</f>
        <v>#REF!</v>
      </c>
      <c r="GT265" t="e">
        <f>IF(#REF!,"AAAAAF+Lrsk=",0)</f>
        <v>#REF!</v>
      </c>
      <c r="GU265" t="e">
        <f>AND(#REF!,"AAAAAF+Lrso=")</f>
        <v>#REF!</v>
      </c>
      <c r="GV265" t="e">
        <f>AND(#REF!,"AAAAAF+Lrss=")</f>
        <v>#REF!</v>
      </c>
      <c r="GW265" t="e">
        <f>AND(#REF!,"AAAAAF+Lrsw=")</f>
        <v>#REF!</v>
      </c>
      <c r="GX265" t="e">
        <f>AND(#REF!,"AAAAAF+Lrs0=")</f>
        <v>#REF!</v>
      </c>
      <c r="GY265" t="e">
        <f>AND(#REF!,"AAAAAF+Lrs4=")</f>
        <v>#REF!</v>
      </c>
      <c r="GZ265" t="e">
        <f>AND(#REF!,"AAAAAF+Lrs8=")</f>
        <v>#REF!</v>
      </c>
      <c r="HA265" t="e">
        <f>AND(#REF!,"AAAAAF+LrtA=")</f>
        <v>#REF!</v>
      </c>
      <c r="HB265" t="e">
        <f>AND(#REF!,"AAAAAF+LrtE=")</f>
        <v>#REF!</v>
      </c>
      <c r="HC265" t="e">
        <f>AND(#REF!,"AAAAAF+LrtI=")</f>
        <v>#REF!</v>
      </c>
      <c r="HD265" t="e">
        <f>AND(#REF!,"AAAAAF+LrtM=")</f>
        <v>#REF!</v>
      </c>
      <c r="HE265" t="e">
        <f>AND(#REF!,"AAAAAF+LrtQ=")</f>
        <v>#REF!</v>
      </c>
      <c r="HF265" t="e">
        <f>AND(#REF!,"AAAAAF+LrtU=")</f>
        <v>#REF!</v>
      </c>
      <c r="HG265" t="e">
        <f>AND(#REF!,"AAAAAF+LrtY=")</f>
        <v>#REF!</v>
      </c>
      <c r="HH265" t="e">
        <f>AND(#REF!,"AAAAAF+Lrtc=")</f>
        <v>#REF!</v>
      </c>
      <c r="HI265" t="e">
        <f>AND(#REF!,"AAAAAF+Lrtg=")</f>
        <v>#REF!</v>
      </c>
      <c r="HJ265" t="e">
        <f>AND(#REF!,"AAAAAF+Lrtk=")</f>
        <v>#REF!</v>
      </c>
      <c r="HK265" t="e">
        <f>AND(#REF!,"AAAAAF+Lrto=")</f>
        <v>#REF!</v>
      </c>
      <c r="HL265" t="e">
        <f>AND(#REF!,"AAAAAF+Lrts=")</f>
        <v>#REF!</v>
      </c>
      <c r="HM265" t="e">
        <f>AND(#REF!,"AAAAAF+Lrtw=")</f>
        <v>#REF!</v>
      </c>
      <c r="HN265" t="e">
        <f>AND(#REF!,"AAAAAF+Lrt0=")</f>
        <v>#REF!</v>
      </c>
      <c r="HO265" t="e">
        <f>AND(#REF!,"AAAAAF+Lrt4=")</f>
        <v>#REF!</v>
      </c>
      <c r="HP265" t="e">
        <f>AND(#REF!,"AAAAAF+Lrt8=")</f>
        <v>#REF!</v>
      </c>
      <c r="HQ265" t="e">
        <f>AND(#REF!,"AAAAAF+LruA=")</f>
        <v>#REF!</v>
      </c>
      <c r="HR265" t="e">
        <f>AND(#REF!,"AAAAAF+LruE=")</f>
        <v>#REF!</v>
      </c>
      <c r="HS265" t="e">
        <f>IF(#REF!,"AAAAAF+LruI=",0)</f>
        <v>#REF!</v>
      </c>
      <c r="HT265" t="e">
        <f>AND(#REF!,"AAAAAF+LruM=")</f>
        <v>#REF!</v>
      </c>
      <c r="HU265" t="e">
        <f>AND(#REF!,"AAAAAF+LruQ=")</f>
        <v>#REF!</v>
      </c>
      <c r="HV265" t="e">
        <f>AND(#REF!,"AAAAAF+LruU=")</f>
        <v>#REF!</v>
      </c>
      <c r="HW265" t="e">
        <f>AND(#REF!,"AAAAAF+LruY=")</f>
        <v>#REF!</v>
      </c>
      <c r="HX265" t="e">
        <f>AND(#REF!,"AAAAAF+Lruc=")</f>
        <v>#REF!</v>
      </c>
      <c r="HY265" t="e">
        <f>AND(#REF!,"AAAAAF+Lrug=")</f>
        <v>#REF!</v>
      </c>
      <c r="HZ265" t="e">
        <f>AND(#REF!,"AAAAAF+Lruk=")</f>
        <v>#REF!</v>
      </c>
      <c r="IA265" t="e">
        <f>AND(#REF!,"AAAAAF+Lruo=")</f>
        <v>#REF!</v>
      </c>
      <c r="IB265" t="e">
        <f>AND(#REF!,"AAAAAF+Lrus=")</f>
        <v>#REF!</v>
      </c>
      <c r="IC265" t="e">
        <f>AND(#REF!,"AAAAAF+Lruw=")</f>
        <v>#REF!</v>
      </c>
      <c r="ID265" t="e">
        <f>AND(#REF!,"AAAAAF+Lru0=")</f>
        <v>#REF!</v>
      </c>
      <c r="IE265" t="e">
        <f>AND(#REF!,"AAAAAF+Lru4=")</f>
        <v>#REF!</v>
      </c>
      <c r="IF265" t="e">
        <f>AND(#REF!,"AAAAAF+Lru8=")</f>
        <v>#REF!</v>
      </c>
      <c r="IG265" t="e">
        <f>AND(#REF!,"AAAAAF+LrvA=")</f>
        <v>#REF!</v>
      </c>
      <c r="IH265" t="e">
        <f>AND(#REF!,"AAAAAF+LrvE=")</f>
        <v>#REF!</v>
      </c>
      <c r="II265" t="e">
        <f>AND(#REF!,"AAAAAF+LrvI=")</f>
        <v>#REF!</v>
      </c>
      <c r="IJ265" t="e">
        <f>AND(#REF!,"AAAAAF+LrvM=")</f>
        <v>#REF!</v>
      </c>
      <c r="IK265" t="e">
        <f>AND(#REF!,"AAAAAF+LrvQ=")</f>
        <v>#REF!</v>
      </c>
      <c r="IL265" t="e">
        <f>AND(#REF!,"AAAAAF+LrvU=")</f>
        <v>#REF!</v>
      </c>
      <c r="IM265" t="e">
        <f>AND(#REF!,"AAAAAF+LrvY=")</f>
        <v>#REF!</v>
      </c>
      <c r="IN265" t="e">
        <f>AND(#REF!,"AAAAAF+Lrvc=")</f>
        <v>#REF!</v>
      </c>
      <c r="IO265" t="e">
        <f>AND(#REF!,"AAAAAF+Lrvg=")</f>
        <v>#REF!</v>
      </c>
      <c r="IP265" t="e">
        <f>AND(#REF!,"AAAAAF+Lrvk=")</f>
        <v>#REF!</v>
      </c>
      <c r="IQ265" t="e">
        <f>AND(#REF!,"AAAAAF+Lrvo=")</f>
        <v>#REF!</v>
      </c>
      <c r="IR265" t="e">
        <f>IF(#REF!,"AAAAAF+Lrvs=",0)</f>
        <v>#REF!</v>
      </c>
      <c r="IS265" t="e">
        <f>AND(#REF!,"AAAAAF+Lrvw=")</f>
        <v>#REF!</v>
      </c>
      <c r="IT265" t="e">
        <f>AND(#REF!,"AAAAAF+Lrv0=")</f>
        <v>#REF!</v>
      </c>
      <c r="IU265" t="e">
        <f>AND(#REF!,"AAAAAF+Lrv4=")</f>
        <v>#REF!</v>
      </c>
      <c r="IV265" t="e">
        <f>AND(#REF!,"AAAAAF+Lrv8=")</f>
        <v>#REF!</v>
      </c>
    </row>
    <row r="266" spans="1:256">
      <c r="A266" t="e">
        <f>AND(#REF!,"AAAAAF6ffQA=")</f>
        <v>#REF!</v>
      </c>
      <c r="B266" t="e">
        <f>AND(#REF!,"AAAAAF6ffQE=")</f>
        <v>#REF!</v>
      </c>
      <c r="C266" t="e">
        <f>AND(#REF!,"AAAAAF6ffQI=")</f>
        <v>#REF!</v>
      </c>
      <c r="D266" t="e">
        <f>AND(#REF!,"AAAAAF6ffQM=")</f>
        <v>#REF!</v>
      </c>
      <c r="E266" t="e">
        <f>AND(#REF!,"AAAAAF6ffQQ=")</f>
        <v>#REF!</v>
      </c>
      <c r="F266" t="e">
        <f>AND(#REF!,"AAAAAF6ffQU=")</f>
        <v>#REF!</v>
      </c>
      <c r="G266" t="e">
        <f>AND(#REF!,"AAAAAF6ffQY=")</f>
        <v>#REF!</v>
      </c>
      <c r="H266" t="e">
        <f>AND(#REF!,"AAAAAF6ffQc=")</f>
        <v>#REF!</v>
      </c>
      <c r="I266" t="e">
        <f>AND(#REF!,"AAAAAF6ffQg=")</f>
        <v>#REF!</v>
      </c>
      <c r="J266" t="e">
        <f>AND(#REF!,"AAAAAF6ffQk=")</f>
        <v>#REF!</v>
      </c>
      <c r="K266" t="e">
        <f>AND(#REF!,"AAAAAF6ffQo=")</f>
        <v>#REF!</v>
      </c>
      <c r="L266" t="e">
        <f>AND(#REF!,"AAAAAF6ffQs=")</f>
        <v>#REF!</v>
      </c>
      <c r="M266" t="e">
        <f>AND(#REF!,"AAAAAF6ffQw=")</f>
        <v>#REF!</v>
      </c>
      <c r="N266" t="e">
        <f>AND(#REF!,"AAAAAF6ffQ0=")</f>
        <v>#REF!</v>
      </c>
      <c r="O266" t="e">
        <f>AND(#REF!,"AAAAAF6ffQ4=")</f>
        <v>#REF!</v>
      </c>
      <c r="P266" t="e">
        <f>AND(#REF!,"AAAAAF6ffQ8=")</f>
        <v>#REF!</v>
      </c>
      <c r="Q266" t="e">
        <f>AND(#REF!,"AAAAAF6ffRA=")</f>
        <v>#REF!</v>
      </c>
      <c r="R266" t="e">
        <f>AND(#REF!,"AAAAAF6ffRE=")</f>
        <v>#REF!</v>
      </c>
      <c r="S266" t="e">
        <f>AND(#REF!,"AAAAAF6ffRI=")</f>
        <v>#REF!</v>
      </c>
      <c r="T266" t="e">
        <f>AND(#REF!,"AAAAAF6ffRM=")</f>
        <v>#REF!</v>
      </c>
      <c r="U266" t="e">
        <f>IF(#REF!,"AAAAAF6ffRQ=",0)</f>
        <v>#REF!</v>
      </c>
      <c r="V266" t="e">
        <f>AND(#REF!,"AAAAAF6ffRU=")</f>
        <v>#REF!</v>
      </c>
      <c r="W266" t="e">
        <f>AND(#REF!,"AAAAAF6ffRY=")</f>
        <v>#REF!</v>
      </c>
      <c r="X266" t="e">
        <f>AND(#REF!,"AAAAAF6ffRc=")</f>
        <v>#REF!</v>
      </c>
      <c r="Y266" t="e">
        <f>AND(#REF!,"AAAAAF6ffRg=")</f>
        <v>#REF!</v>
      </c>
      <c r="Z266" t="e">
        <f>AND(#REF!,"AAAAAF6ffRk=")</f>
        <v>#REF!</v>
      </c>
      <c r="AA266" t="e">
        <f>AND(#REF!,"AAAAAF6ffRo=")</f>
        <v>#REF!</v>
      </c>
      <c r="AB266" t="e">
        <f>AND(#REF!,"AAAAAF6ffRs=")</f>
        <v>#REF!</v>
      </c>
      <c r="AC266" t="e">
        <f>AND(#REF!,"AAAAAF6ffRw=")</f>
        <v>#REF!</v>
      </c>
      <c r="AD266" t="e">
        <f>AND(#REF!,"AAAAAF6ffR0=")</f>
        <v>#REF!</v>
      </c>
      <c r="AE266" t="e">
        <f>AND(#REF!,"AAAAAF6ffR4=")</f>
        <v>#REF!</v>
      </c>
      <c r="AF266" t="e">
        <f>AND(#REF!,"AAAAAF6ffR8=")</f>
        <v>#REF!</v>
      </c>
      <c r="AG266" t="e">
        <f>AND(#REF!,"AAAAAF6ffSA=")</f>
        <v>#REF!</v>
      </c>
      <c r="AH266" t="e">
        <f>AND(#REF!,"AAAAAF6ffSE=")</f>
        <v>#REF!</v>
      </c>
      <c r="AI266" t="e">
        <f>AND(#REF!,"AAAAAF6ffSI=")</f>
        <v>#REF!</v>
      </c>
      <c r="AJ266" t="e">
        <f>AND(#REF!,"AAAAAF6ffSM=")</f>
        <v>#REF!</v>
      </c>
      <c r="AK266" t="e">
        <f>AND(#REF!,"AAAAAF6ffSQ=")</f>
        <v>#REF!</v>
      </c>
      <c r="AL266" t="e">
        <f>AND(#REF!,"AAAAAF6ffSU=")</f>
        <v>#REF!</v>
      </c>
      <c r="AM266" t="e">
        <f>AND(#REF!,"AAAAAF6ffSY=")</f>
        <v>#REF!</v>
      </c>
      <c r="AN266" t="e">
        <f>AND(#REF!,"AAAAAF6ffSc=")</f>
        <v>#REF!</v>
      </c>
      <c r="AO266" t="e">
        <f>AND(#REF!,"AAAAAF6ffSg=")</f>
        <v>#REF!</v>
      </c>
      <c r="AP266" t="e">
        <f>AND(#REF!,"AAAAAF6ffSk=")</f>
        <v>#REF!</v>
      </c>
      <c r="AQ266" t="e">
        <f>AND(#REF!,"AAAAAF6ffSo=")</f>
        <v>#REF!</v>
      </c>
      <c r="AR266" t="e">
        <f>AND(#REF!,"AAAAAF6ffSs=")</f>
        <v>#REF!</v>
      </c>
      <c r="AS266" t="e">
        <f>AND(#REF!,"AAAAAF6ffSw=")</f>
        <v>#REF!</v>
      </c>
      <c r="AT266" t="e">
        <f>IF(#REF!,"AAAAAF6ffS0=",0)</f>
        <v>#REF!</v>
      </c>
      <c r="AU266" t="e">
        <f>AND(#REF!,"AAAAAF6ffS4=")</f>
        <v>#REF!</v>
      </c>
      <c r="AV266" t="e">
        <f>AND(#REF!,"AAAAAF6ffS8=")</f>
        <v>#REF!</v>
      </c>
      <c r="AW266" t="e">
        <f>AND(#REF!,"AAAAAF6ffTA=")</f>
        <v>#REF!</v>
      </c>
      <c r="AX266" t="e">
        <f>AND(#REF!,"AAAAAF6ffTE=")</f>
        <v>#REF!</v>
      </c>
      <c r="AY266" t="e">
        <f>AND(#REF!,"AAAAAF6ffTI=")</f>
        <v>#REF!</v>
      </c>
      <c r="AZ266" t="e">
        <f>AND(#REF!,"AAAAAF6ffTM=")</f>
        <v>#REF!</v>
      </c>
      <c r="BA266" t="e">
        <f>AND(#REF!,"AAAAAF6ffTQ=")</f>
        <v>#REF!</v>
      </c>
      <c r="BB266" t="e">
        <f>AND(#REF!,"AAAAAF6ffTU=")</f>
        <v>#REF!</v>
      </c>
      <c r="BC266" t="e">
        <f>AND(#REF!,"AAAAAF6ffTY=")</f>
        <v>#REF!</v>
      </c>
      <c r="BD266" t="e">
        <f>AND(#REF!,"AAAAAF6ffTc=")</f>
        <v>#REF!</v>
      </c>
      <c r="BE266" t="e">
        <f>AND(#REF!,"AAAAAF6ffTg=")</f>
        <v>#REF!</v>
      </c>
      <c r="BF266" t="e">
        <f>AND(#REF!,"AAAAAF6ffTk=")</f>
        <v>#REF!</v>
      </c>
      <c r="BG266" t="e">
        <f>AND(#REF!,"AAAAAF6ffTo=")</f>
        <v>#REF!</v>
      </c>
      <c r="BH266" t="e">
        <f>AND(#REF!,"AAAAAF6ffTs=")</f>
        <v>#REF!</v>
      </c>
      <c r="BI266" t="e">
        <f>AND(#REF!,"AAAAAF6ffTw=")</f>
        <v>#REF!</v>
      </c>
      <c r="BJ266" t="e">
        <f>AND(#REF!,"AAAAAF6ffT0=")</f>
        <v>#REF!</v>
      </c>
      <c r="BK266" t="e">
        <f>AND(#REF!,"AAAAAF6ffT4=")</f>
        <v>#REF!</v>
      </c>
      <c r="BL266" t="e">
        <f>AND(#REF!,"AAAAAF6ffT8=")</f>
        <v>#REF!</v>
      </c>
      <c r="BM266" t="e">
        <f>AND(#REF!,"AAAAAF6ffUA=")</f>
        <v>#REF!</v>
      </c>
      <c r="BN266" t="e">
        <f>AND(#REF!,"AAAAAF6ffUE=")</f>
        <v>#REF!</v>
      </c>
      <c r="BO266" t="e">
        <f>AND(#REF!,"AAAAAF6ffUI=")</f>
        <v>#REF!</v>
      </c>
      <c r="BP266" t="e">
        <f>AND(#REF!,"AAAAAF6ffUM=")</f>
        <v>#REF!</v>
      </c>
      <c r="BQ266" t="e">
        <f>AND(#REF!,"AAAAAF6ffUQ=")</f>
        <v>#REF!</v>
      </c>
      <c r="BR266" t="e">
        <f>AND(#REF!,"AAAAAF6ffUU=")</f>
        <v>#REF!</v>
      </c>
      <c r="BS266" t="e">
        <f>IF(#REF!,"AAAAAF6ffUY=",0)</f>
        <v>#REF!</v>
      </c>
      <c r="BT266" t="e">
        <f>AND(#REF!,"AAAAAF6ffUc=")</f>
        <v>#REF!</v>
      </c>
      <c r="BU266" t="e">
        <f>AND(#REF!,"AAAAAF6ffUg=")</f>
        <v>#REF!</v>
      </c>
      <c r="BV266" t="e">
        <f>AND(#REF!,"AAAAAF6ffUk=")</f>
        <v>#REF!</v>
      </c>
      <c r="BW266" t="e">
        <f>AND(#REF!,"AAAAAF6ffUo=")</f>
        <v>#REF!</v>
      </c>
      <c r="BX266" t="e">
        <f>AND(#REF!,"AAAAAF6ffUs=")</f>
        <v>#REF!</v>
      </c>
      <c r="BY266" t="e">
        <f>AND(#REF!,"AAAAAF6ffUw=")</f>
        <v>#REF!</v>
      </c>
      <c r="BZ266" t="e">
        <f>AND(#REF!,"AAAAAF6ffU0=")</f>
        <v>#REF!</v>
      </c>
      <c r="CA266" t="e">
        <f>AND(#REF!,"AAAAAF6ffU4=")</f>
        <v>#REF!</v>
      </c>
      <c r="CB266" t="e">
        <f>AND(#REF!,"AAAAAF6ffU8=")</f>
        <v>#REF!</v>
      </c>
      <c r="CC266" t="e">
        <f>AND(#REF!,"AAAAAF6ffVA=")</f>
        <v>#REF!</v>
      </c>
      <c r="CD266" t="e">
        <f>AND(#REF!,"AAAAAF6ffVE=")</f>
        <v>#REF!</v>
      </c>
      <c r="CE266" t="e">
        <f>AND(#REF!,"AAAAAF6ffVI=")</f>
        <v>#REF!</v>
      </c>
      <c r="CF266" t="e">
        <f>AND(#REF!,"AAAAAF6ffVM=")</f>
        <v>#REF!</v>
      </c>
      <c r="CG266" t="e">
        <f>AND(#REF!,"AAAAAF6ffVQ=")</f>
        <v>#REF!</v>
      </c>
      <c r="CH266" t="e">
        <f>AND(#REF!,"AAAAAF6ffVU=")</f>
        <v>#REF!</v>
      </c>
      <c r="CI266" t="e">
        <f>AND(#REF!,"AAAAAF6ffVY=")</f>
        <v>#REF!</v>
      </c>
      <c r="CJ266" t="e">
        <f>AND(#REF!,"AAAAAF6ffVc=")</f>
        <v>#REF!</v>
      </c>
      <c r="CK266" t="e">
        <f>AND(#REF!,"AAAAAF6ffVg=")</f>
        <v>#REF!</v>
      </c>
      <c r="CL266" t="e">
        <f>AND(#REF!,"AAAAAF6ffVk=")</f>
        <v>#REF!</v>
      </c>
      <c r="CM266" t="e">
        <f>AND(#REF!,"AAAAAF6ffVo=")</f>
        <v>#REF!</v>
      </c>
      <c r="CN266" t="e">
        <f>AND(#REF!,"AAAAAF6ffVs=")</f>
        <v>#REF!</v>
      </c>
      <c r="CO266" t="e">
        <f>AND(#REF!,"AAAAAF6ffVw=")</f>
        <v>#REF!</v>
      </c>
      <c r="CP266" t="e">
        <f>AND(#REF!,"AAAAAF6ffV0=")</f>
        <v>#REF!</v>
      </c>
      <c r="CQ266" t="e">
        <f>AND(#REF!,"AAAAAF6ffV4=")</f>
        <v>#REF!</v>
      </c>
      <c r="CR266" t="e">
        <f>IF(#REF!,"AAAAAF6ffV8=",0)</f>
        <v>#REF!</v>
      </c>
      <c r="CS266" t="e">
        <f>AND(#REF!,"AAAAAF6ffWA=")</f>
        <v>#REF!</v>
      </c>
      <c r="CT266" t="e">
        <f>AND(#REF!,"AAAAAF6ffWE=")</f>
        <v>#REF!</v>
      </c>
      <c r="CU266" t="e">
        <f>AND(#REF!,"AAAAAF6ffWI=")</f>
        <v>#REF!</v>
      </c>
      <c r="CV266" t="e">
        <f>AND(#REF!,"AAAAAF6ffWM=")</f>
        <v>#REF!</v>
      </c>
      <c r="CW266" t="e">
        <f>AND(#REF!,"AAAAAF6ffWQ=")</f>
        <v>#REF!</v>
      </c>
      <c r="CX266" t="e">
        <f>AND(#REF!,"AAAAAF6ffWU=")</f>
        <v>#REF!</v>
      </c>
      <c r="CY266" t="e">
        <f>AND(#REF!,"AAAAAF6ffWY=")</f>
        <v>#REF!</v>
      </c>
      <c r="CZ266" t="e">
        <f>AND(#REF!,"AAAAAF6ffWc=")</f>
        <v>#REF!</v>
      </c>
      <c r="DA266" t="e">
        <f>AND(#REF!,"AAAAAF6ffWg=")</f>
        <v>#REF!</v>
      </c>
      <c r="DB266" t="e">
        <f>AND(#REF!,"AAAAAF6ffWk=")</f>
        <v>#REF!</v>
      </c>
      <c r="DC266" t="e">
        <f>AND(#REF!,"AAAAAF6ffWo=")</f>
        <v>#REF!</v>
      </c>
      <c r="DD266" t="e">
        <f>AND(#REF!,"AAAAAF6ffWs=")</f>
        <v>#REF!</v>
      </c>
      <c r="DE266" t="e">
        <f>AND(#REF!,"AAAAAF6ffWw=")</f>
        <v>#REF!</v>
      </c>
      <c r="DF266" t="e">
        <f>AND(#REF!,"AAAAAF6ffW0=")</f>
        <v>#REF!</v>
      </c>
      <c r="DG266" t="e">
        <f>AND(#REF!,"AAAAAF6ffW4=")</f>
        <v>#REF!</v>
      </c>
      <c r="DH266" t="e">
        <f>AND(#REF!,"AAAAAF6ffW8=")</f>
        <v>#REF!</v>
      </c>
      <c r="DI266" t="e">
        <f>AND(#REF!,"AAAAAF6ffXA=")</f>
        <v>#REF!</v>
      </c>
      <c r="DJ266" t="e">
        <f>AND(#REF!,"AAAAAF6ffXE=")</f>
        <v>#REF!</v>
      </c>
      <c r="DK266" t="e">
        <f>AND(#REF!,"AAAAAF6ffXI=")</f>
        <v>#REF!</v>
      </c>
      <c r="DL266" t="e">
        <f>AND(#REF!,"AAAAAF6ffXM=")</f>
        <v>#REF!</v>
      </c>
      <c r="DM266" t="e">
        <f>AND(#REF!,"AAAAAF6ffXQ=")</f>
        <v>#REF!</v>
      </c>
      <c r="DN266" t="e">
        <f>AND(#REF!,"AAAAAF6ffXU=")</f>
        <v>#REF!</v>
      </c>
      <c r="DO266" t="e">
        <f>AND(#REF!,"AAAAAF6ffXY=")</f>
        <v>#REF!</v>
      </c>
      <c r="DP266" t="e">
        <f>AND(#REF!,"AAAAAF6ffXc=")</f>
        <v>#REF!</v>
      </c>
      <c r="DQ266" t="e">
        <f>IF(#REF!,"AAAAAF6ffXg=",0)</f>
        <v>#REF!</v>
      </c>
      <c r="DR266" t="e">
        <f>AND(#REF!,"AAAAAF6ffXk=")</f>
        <v>#REF!</v>
      </c>
      <c r="DS266" t="e">
        <f>AND(#REF!,"AAAAAF6ffXo=")</f>
        <v>#REF!</v>
      </c>
      <c r="DT266" t="e">
        <f>AND(#REF!,"AAAAAF6ffXs=")</f>
        <v>#REF!</v>
      </c>
      <c r="DU266" t="e">
        <f>AND(#REF!,"AAAAAF6ffXw=")</f>
        <v>#REF!</v>
      </c>
      <c r="DV266" t="e">
        <f>AND(#REF!,"AAAAAF6ffX0=")</f>
        <v>#REF!</v>
      </c>
      <c r="DW266" t="e">
        <f>AND(#REF!,"AAAAAF6ffX4=")</f>
        <v>#REF!</v>
      </c>
      <c r="DX266" t="e">
        <f>AND(#REF!,"AAAAAF6ffX8=")</f>
        <v>#REF!</v>
      </c>
      <c r="DY266" t="e">
        <f>AND(#REF!,"AAAAAF6ffYA=")</f>
        <v>#REF!</v>
      </c>
      <c r="DZ266" t="e">
        <f>AND(#REF!,"AAAAAF6ffYE=")</f>
        <v>#REF!</v>
      </c>
      <c r="EA266" t="e">
        <f>AND(#REF!,"AAAAAF6ffYI=")</f>
        <v>#REF!</v>
      </c>
      <c r="EB266" t="e">
        <f>AND(#REF!,"AAAAAF6ffYM=")</f>
        <v>#REF!</v>
      </c>
      <c r="EC266" t="e">
        <f>AND(#REF!,"AAAAAF6ffYQ=")</f>
        <v>#REF!</v>
      </c>
      <c r="ED266" t="e">
        <f>AND(#REF!,"AAAAAF6ffYU=")</f>
        <v>#REF!</v>
      </c>
      <c r="EE266" t="e">
        <f>AND(#REF!,"AAAAAF6ffYY=")</f>
        <v>#REF!</v>
      </c>
      <c r="EF266" t="e">
        <f>AND(#REF!,"AAAAAF6ffYc=")</f>
        <v>#REF!</v>
      </c>
      <c r="EG266" t="e">
        <f>AND(#REF!,"AAAAAF6ffYg=")</f>
        <v>#REF!</v>
      </c>
      <c r="EH266" t="e">
        <f>AND(#REF!,"AAAAAF6ffYk=")</f>
        <v>#REF!</v>
      </c>
      <c r="EI266" t="e">
        <f>AND(#REF!,"AAAAAF6ffYo=")</f>
        <v>#REF!</v>
      </c>
      <c r="EJ266" t="e">
        <f>AND(#REF!,"AAAAAF6ffYs=")</f>
        <v>#REF!</v>
      </c>
      <c r="EK266" t="e">
        <f>AND(#REF!,"AAAAAF6ffYw=")</f>
        <v>#REF!</v>
      </c>
      <c r="EL266" t="e">
        <f>AND(#REF!,"AAAAAF6ffY0=")</f>
        <v>#REF!</v>
      </c>
      <c r="EM266" t="e">
        <f>AND(#REF!,"AAAAAF6ffY4=")</f>
        <v>#REF!</v>
      </c>
      <c r="EN266" t="e">
        <f>AND(#REF!,"AAAAAF6ffY8=")</f>
        <v>#REF!</v>
      </c>
      <c r="EO266" t="e">
        <f>AND(#REF!,"AAAAAF6ffZA=")</f>
        <v>#REF!</v>
      </c>
      <c r="EP266" t="e">
        <f>IF(#REF!,"AAAAAF6ffZE=",0)</f>
        <v>#REF!</v>
      </c>
      <c r="EQ266" t="e">
        <f>AND(#REF!,"AAAAAF6ffZI=")</f>
        <v>#REF!</v>
      </c>
      <c r="ER266" t="e">
        <f>AND(#REF!,"AAAAAF6ffZM=")</f>
        <v>#REF!</v>
      </c>
      <c r="ES266" t="e">
        <f>AND(#REF!,"AAAAAF6ffZQ=")</f>
        <v>#REF!</v>
      </c>
      <c r="ET266" t="e">
        <f>AND(#REF!,"AAAAAF6ffZU=")</f>
        <v>#REF!</v>
      </c>
      <c r="EU266" t="e">
        <f>AND(#REF!,"AAAAAF6ffZY=")</f>
        <v>#REF!</v>
      </c>
      <c r="EV266" t="e">
        <f>AND(#REF!,"AAAAAF6ffZc=")</f>
        <v>#REF!</v>
      </c>
      <c r="EW266" t="e">
        <f>AND(#REF!,"AAAAAF6ffZg=")</f>
        <v>#REF!</v>
      </c>
      <c r="EX266" t="e">
        <f>AND(#REF!,"AAAAAF6ffZk=")</f>
        <v>#REF!</v>
      </c>
      <c r="EY266" t="e">
        <f>AND(#REF!,"AAAAAF6ffZo=")</f>
        <v>#REF!</v>
      </c>
      <c r="EZ266" t="e">
        <f>AND(#REF!,"AAAAAF6ffZs=")</f>
        <v>#REF!</v>
      </c>
      <c r="FA266" t="e">
        <f>AND(#REF!,"AAAAAF6ffZw=")</f>
        <v>#REF!</v>
      </c>
      <c r="FB266" t="e">
        <f>AND(#REF!,"AAAAAF6ffZ0=")</f>
        <v>#REF!</v>
      </c>
      <c r="FC266" t="e">
        <f>AND(#REF!,"AAAAAF6ffZ4=")</f>
        <v>#REF!</v>
      </c>
      <c r="FD266" t="e">
        <f>AND(#REF!,"AAAAAF6ffZ8=")</f>
        <v>#REF!</v>
      </c>
      <c r="FE266" t="e">
        <f>AND(#REF!,"AAAAAF6ffaA=")</f>
        <v>#REF!</v>
      </c>
      <c r="FF266" t="e">
        <f>AND(#REF!,"AAAAAF6ffaE=")</f>
        <v>#REF!</v>
      </c>
      <c r="FG266" t="e">
        <f>AND(#REF!,"AAAAAF6ffaI=")</f>
        <v>#REF!</v>
      </c>
      <c r="FH266" t="e">
        <f>AND(#REF!,"AAAAAF6ffaM=")</f>
        <v>#REF!</v>
      </c>
      <c r="FI266" t="e">
        <f>AND(#REF!,"AAAAAF6ffaQ=")</f>
        <v>#REF!</v>
      </c>
      <c r="FJ266" t="e">
        <f>AND(#REF!,"AAAAAF6ffaU=")</f>
        <v>#REF!</v>
      </c>
      <c r="FK266" t="e">
        <f>AND(#REF!,"AAAAAF6ffaY=")</f>
        <v>#REF!</v>
      </c>
      <c r="FL266" t="e">
        <f>AND(#REF!,"AAAAAF6ffac=")</f>
        <v>#REF!</v>
      </c>
      <c r="FM266" t="e">
        <f>AND(#REF!,"AAAAAF6ffag=")</f>
        <v>#REF!</v>
      </c>
      <c r="FN266" t="e">
        <f>AND(#REF!,"AAAAAF6ffak=")</f>
        <v>#REF!</v>
      </c>
      <c r="FO266" t="e">
        <f>IF(#REF!,"AAAAAF6ffao=",0)</f>
        <v>#REF!</v>
      </c>
      <c r="FP266" t="e">
        <f>AND(#REF!,"AAAAAF6ffas=")</f>
        <v>#REF!</v>
      </c>
      <c r="FQ266" t="e">
        <f>AND(#REF!,"AAAAAF6ffaw=")</f>
        <v>#REF!</v>
      </c>
      <c r="FR266" t="e">
        <f>AND(#REF!,"AAAAAF6ffa0=")</f>
        <v>#REF!</v>
      </c>
      <c r="FS266" t="e">
        <f>AND(#REF!,"AAAAAF6ffa4=")</f>
        <v>#REF!</v>
      </c>
      <c r="FT266" t="e">
        <f>AND(#REF!,"AAAAAF6ffa8=")</f>
        <v>#REF!</v>
      </c>
      <c r="FU266" t="e">
        <f>AND(#REF!,"AAAAAF6ffbA=")</f>
        <v>#REF!</v>
      </c>
      <c r="FV266" t="e">
        <f>AND(#REF!,"AAAAAF6ffbE=")</f>
        <v>#REF!</v>
      </c>
      <c r="FW266" t="e">
        <f>AND(#REF!,"AAAAAF6ffbI=")</f>
        <v>#REF!</v>
      </c>
      <c r="FX266" t="e">
        <f>AND(#REF!,"AAAAAF6ffbM=")</f>
        <v>#REF!</v>
      </c>
      <c r="FY266" t="e">
        <f>AND(#REF!,"AAAAAF6ffbQ=")</f>
        <v>#REF!</v>
      </c>
      <c r="FZ266" t="e">
        <f>AND(#REF!,"AAAAAF6ffbU=")</f>
        <v>#REF!</v>
      </c>
      <c r="GA266" t="e">
        <f>AND(#REF!,"AAAAAF6ffbY=")</f>
        <v>#REF!</v>
      </c>
      <c r="GB266" t="e">
        <f>AND(#REF!,"AAAAAF6ffbc=")</f>
        <v>#REF!</v>
      </c>
      <c r="GC266" t="e">
        <f>AND(#REF!,"AAAAAF6ffbg=")</f>
        <v>#REF!</v>
      </c>
      <c r="GD266" t="e">
        <f>AND(#REF!,"AAAAAF6ffbk=")</f>
        <v>#REF!</v>
      </c>
      <c r="GE266" t="e">
        <f>AND(#REF!,"AAAAAF6ffbo=")</f>
        <v>#REF!</v>
      </c>
      <c r="GF266" t="e">
        <f>AND(#REF!,"AAAAAF6ffbs=")</f>
        <v>#REF!</v>
      </c>
      <c r="GG266" t="e">
        <f>AND(#REF!,"AAAAAF6ffbw=")</f>
        <v>#REF!</v>
      </c>
      <c r="GH266" t="e">
        <f>AND(#REF!,"AAAAAF6ffb0=")</f>
        <v>#REF!</v>
      </c>
      <c r="GI266" t="e">
        <f>AND(#REF!,"AAAAAF6ffb4=")</f>
        <v>#REF!</v>
      </c>
      <c r="GJ266" t="e">
        <f>AND(#REF!,"AAAAAF6ffb8=")</f>
        <v>#REF!</v>
      </c>
      <c r="GK266" t="e">
        <f>AND(#REF!,"AAAAAF6ffcA=")</f>
        <v>#REF!</v>
      </c>
      <c r="GL266" t="e">
        <f>AND(#REF!,"AAAAAF6ffcE=")</f>
        <v>#REF!</v>
      </c>
      <c r="GM266" t="e">
        <f>AND(#REF!,"AAAAAF6ffcI=")</f>
        <v>#REF!</v>
      </c>
      <c r="GN266" t="e">
        <f>IF(#REF!,"AAAAAF6ffcM=",0)</f>
        <v>#REF!</v>
      </c>
      <c r="GO266" t="e">
        <f>AND(#REF!,"AAAAAF6ffcQ=")</f>
        <v>#REF!</v>
      </c>
      <c r="GP266" t="e">
        <f>AND(#REF!,"AAAAAF6ffcU=")</f>
        <v>#REF!</v>
      </c>
      <c r="GQ266" t="e">
        <f>AND(#REF!,"AAAAAF6ffcY=")</f>
        <v>#REF!</v>
      </c>
      <c r="GR266" t="e">
        <f>AND(#REF!,"AAAAAF6ffcc=")</f>
        <v>#REF!</v>
      </c>
      <c r="GS266" t="e">
        <f>AND(#REF!,"AAAAAF6ffcg=")</f>
        <v>#REF!</v>
      </c>
      <c r="GT266" t="e">
        <f>AND(#REF!,"AAAAAF6ffck=")</f>
        <v>#REF!</v>
      </c>
      <c r="GU266" t="e">
        <f>AND(#REF!,"AAAAAF6ffco=")</f>
        <v>#REF!</v>
      </c>
      <c r="GV266" t="e">
        <f>AND(#REF!,"AAAAAF6ffcs=")</f>
        <v>#REF!</v>
      </c>
      <c r="GW266" t="e">
        <f>AND(#REF!,"AAAAAF6ffcw=")</f>
        <v>#REF!</v>
      </c>
      <c r="GX266" t="e">
        <f>AND(#REF!,"AAAAAF6ffc0=")</f>
        <v>#REF!</v>
      </c>
      <c r="GY266" t="e">
        <f>AND(#REF!,"AAAAAF6ffc4=")</f>
        <v>#REF!</v>
      </c>
      <c r="GZ266" t="e">
        <f>AND(#REF!,"AAAAAF6ffc8=")</f>
        <v>#REF!</v>
      </c>
      <c r="HA266" t="e">
        <f>AND(#REF!,"AAAAAF6ffdA=")</f>
        <v>#REF!</v>
      </c>
      <c r="HB266" t="e">
        <f>AND(#REF!,"AAAAAF6ffdE=")</f>
        <v>#REF!</v>
      </c>
      <c r="HC266" t="e">
        <f>AND(#REF!,"AAAAAF6ffdI=")</f>
        <v>#REF!</v>
      </c>
      <c r="HD266" t="e">
        <f>AND(#REF!,"AAAAAF6ffdM=")</f>
        <v>#REF!</v>
      </c>
      <c r="HE266" t="e">
        <f>AND(#REF!,"AAAAAF6ffdQ=")</f>
        <v>#REF!</v>
      </c>
      <c r="HF266" t="e">
        <f>AND(#REF!,"AAAAAF6ffdU=")</f>
        <v>#REF!</v>
      </c>
      <c r="HG266" t="e">
        <f>AND(#REF!,"AAAAAF6ffdY=")</f>
        <v>#REF!</v>
      </c>
      <c r="HH266" t="e">
        <f>AND(#REF!,"AAAAAF6ffdc=")</f>
        <v>#REF!</v>
      </c>
      <c r="HI266" t="e">
        <f>AND(#REF!,"AAAAAF6ffdg=")</f>
        <v>#REF!</v>
      </c>
      <c r="HJ266" t="e">
        <f>AND(#REF!,"AAAAAF6ffdk=")</f>
        <v>#REF!</v>
      </c>
      <c r="HK266" t="e">
        <f>AND(#REF!,"AAAAAF6ffdo=")</f>
        <v>#REF!</v>
      </c>
      <c r="HL266" t="e">
        <f>AND(#REF!,"AAAAAF6ffds=")</f>
        <v>#REF!</v>
      </c>
      <c r="HM266" t="e">
        <f>IF(#REF!,"AAAAAF6ffdw=",0)</f>
        <v>#REF!</v>
      </c>
      <c r="HN266" t="e">
        <f>AND(#REF!,"AAAAAF6ffd0=")</f>
        <v>#REF!</v>
      </c>
      <c r="HO266" t="e">
        <f>AND(#REF!,"AAAAAF6ffd4=")</f>
        <v>#REF!</v>
      </c>
      <c r="HP266" t="e">
        <f>AND(#REF!,"AAAAAF6ffd8=")</f>
        <v>#REF!</v>
      </c>
      <c r="HQ266" t="e">
        <f>AND(#REF!,"AAAAAF6ffeA=")</f>
        <v>#REF!</v>
      </c>
      <c r="HR266" t="e">
        <f>AND(#REF!,"AAAAAF6ffeE=")</f>
        <v>#REF!</v>
      </c>
      <c r="HS266" t="e">
        <f>AND(#REF!,"AAAAAF6ffeI=")</f>
        <v>#REF!</v>
      </c>
      <c r="HT266" t="e">
        <f>AND(#REF!,"AAAAAF6ffeM=")</f>
        <v>#REF!</v>
      </c>
      <c r="HU266" t="e">
        <f>AND(#REF!,"AAAAAF6ffeQ=")</f>
        <v>#REF!</v>
      </c>
      <c r="HV266" t="e">
        <f>AND(#REF!,"AAAAAF6ffeU=")</f>
        <v>#REF!</v>
      </c>
      <c r="HW266" t="e">
        <f>AND(#REF!,"AAAAAF6ffeY=")</f>
        <v>#REF!</v>
      </c>
      <c r="HX266" t="e">
        <f>AND(#REF!,"AAAAAF6ffec=")</f>
        <v>#REF!</v>
      </c>
      <c r="HY266" t="e">
        <f>AND(#REF!,"AAAAAF6ffeg=")</f>
        <v>#REF!</v>
      </c>
      <c r="HZ266" t="e">
        <f>AND(#REF!,"AAAAAF6ffek=")</f>
        <v>#REF!</v>
      </c>
      <c r="IA266" t="e">
        <f>AND(#REF!,"AAAAAF6ffeo=")</f>
        <v>#REF!</v>
      </c>
      <c r="IB266" t="e">
        <f>AND(#REF!,"AAAAAF6ffes=")</f>
        <v>#REF!</v>
      </c>
      <c r="IC266" t="e">
        <f>AND(#REF!,"AAAAAF6ffew=")</f>
        <v>#REF!</v>
      </c>
      <c r="ID266" t="e">
        <f>AND(#REF!,"AAAAAF6ffe0=")</f>
        <v>#REF!</v>
      </c>
      <c r="IE266" t="e">
        <f>AND(#REF!,"AAAAAF6ffe4=")</f>
        <v>#REF!</v>
      </c>
      <c r="IF266" t="e">
        <f>AND(#REF!,"AAAAAF6ffe8=")</f>
        <v>#REF!</v>
      </c>
      <c r="IG266" t="e">
        <f>AND(#REF!,"AAAAAF6fffA=")</f>
        <v>#REF!</v>
      </c>
      <c r="IH266" t="e">
        <f>AND(#REF!,"AAAAAF6fffE=")</f>
        <v>#REF!</v>
      </c>
      <c r="II266" t="e">
        <f>AND(#REF!,"AAAAAF6fffI=")</f>
        <v>#REF!</v>
      </c>
      <c r="IJ266" t="e">
        <f>AND(#REF!,"AAAAAF6fffM=")</f>
        <v>#REF!</v>
      </c>
      <c r="IK266" t="e">
        <f>AND(#REF!,"AAAAAF6fffQ=")</f>
        <v>#REF!</v>
      </c>
      <c r="IL266" t="e">
        <f>IF(#REF!,"AAAAAF6fffU=",0)</f>
        <v>#REF!</v>
      </c>
      <c r="IM266" t="e">
        <f>AND(#REF!,"AAAAAF6fffY=")</f>
        <v>#REF!</v>
      </c>
      <c r="IN266" t="e">
        <f>AND(#REF!,"AAAAAF6fffc=")</f>
        <v>#REF!</v>
      </c>
      <c r="IO266" t="e">
        <f>AND(#REF!,"AAAAAF6fffg=")</f>
        <v>#REF!</v>
      </c>
      <c r="IP266" t="e">
        <f>AND(#REF!,"AAAAAF6fffk=")</f>
        <v>#REF!</v>
      </c>
      <c r="IQ266" t="e">
        <f>AND(#REF!,"AAAAAF6fffo=")</f>
        <v>#REF!</v>
      </c>
      <c r="IR266" t="e">
        <f>AND(#REF!,"AAAAAF6fffs=")</f>
        <v>#REF!</v>
      </c>
      <c r="IS266" t="e">
        <f>AND(#REF!,"AAAAAF6fffw=")</f>
        <v>#REF!</v>
      </c>
      <c r="IT266" t="e">
        <f>AND(#REF!,"AAAAAF6fff0=")</f>
        <v>#REF!</v>
      </c>
      <c r="IU266" t="e">
        <f>AND(#REF!,"AAAAAF6fff4=")</f>
        <v>#REF!</v>
      </c>
      <c r="IV266" t="e">
        <f>AND(#REF!,"AAAAAF6fff8=")</f>
        <v>#REF!</v>
      </c>
    </row>
    <row r="267" spans="1:256">
      <c r="A267" t="e">
        <f>AND(#REF!,"AAAAAC/+rwA=")</f>
        <v>#REF!</v>
      </c>
      <c r="B267" t="e">
        <f>AND(#REF!,"AAAAAC/+rwE=")</f>
        <v>#REF!</v>
      </c>
      <c r="C267" t="e">
        <f>AND(#REF!,"AAAAAC/+rwI=")</f>
        <v>#REF!</v>
      </c>
      <c r="D267" t="e">
        <f>AND(#REF!,"AAAAAC/+rwM=")</f>
        <v>#REF!</v>
      </c>
      <c r="E267" t="e">
        <f>AND(#REF!,"AAAAAC/+rwQ=")</f>
        <v>#REF!</v>
      </c>
      <c r="F267" t="e">
        <f>AND(#REF!,"AAAAAC/+rwU=")</f>
        <v>#REF!</v>
      </c>
      <c r="G267" t="e">
        <f>AND(#REF!,"AAAAAC/+rwY=")</f>
        <v>#REF!</v>
      </c>
      <c r="H267" t="e">
        <f>AND(#REF!,"AAAAAC/+rwc=")</f>
        <v>#REF!</v>
      </c>
      <c r="I267" t="e">
        <f>AND(#REF!,"AAAAAC/+rwg=")</f>
        <v>#REF!</v>
      </c>
      <c r="J267" t="e">
        <f>AND(#REF!,"AAAAAC/+rwk=")</f>
        <v>#REF!</v>
      </c>
      <c r="K267" t="e">
        <f>AND(#REF!,"AAAAAC/+rwo=")</f>
        <v>#REF!</v>
      </c>
      <c r="L267" t="e">
        <f>AND(#REF!,"AAAAAC/+rws=")</f>
        <v>#REF!</v>
      </c>
      <c r="M267" t="e">
        <f>AND(#REF!,"AAAAAC/+rww=")</f>
        <v>#REF!</v>
      </c>
      <c r="N267" t="e">
        <f>AND(#REF!,"AAAAAC/+rw0=")</f>
        <v>#REF!</v>
      </c>
      <c r="O267" t="e">
        <f>IF(#REF!,"AAAAAC/+rw4=",0)</f>
        <v>#REF!</v>
      </c>
      <c r="P267" t="e">
        <f>AND(#REF!,"AAAAAC/+rw8=")</f>
        <v>#REF!</v>
      </c>
      <c r="Q267" t="e">
        <f>AND(#REF!,"AAAAAC/+rxA=")</f>
        <v>#REF!</v>
      </c>
      <c r="R267" t="e">
        <f>AND(#REF!,"AAAAAC/+rxE=")</f>
        <v>#REF!</v>
      </c>
      <c r="S267" t="e">
        <f>AND(#REF!,"AAAAAC/+rxI=")</f>
        <v>#REF!</v>
      </c>
      <c r="T267" t="e">
        <f>AND(#REF!,"AAAAAC/+rxM=")</f>
        <v>#REF!</v>
      </c>
      <c r="U267" t="e">
        <f>AND(#REF!,"AAAAAC/+rxQ=")</f>
        <v>#REF!</v>
      </c>
      <c r="V267" t="e">
        <f>AND(#REF!,"AAAAAC/+rxU=")</f>
        <v>#REF!</v>
      </c>
      <c r="W267" t="e">
        <f>AND(#REF!,"AAAAAC/+rxY=")</f>
        <v>#REF!</v>
      </c>
      <c r="X267" t="e">
        <f>AND(#REF!,"AAAAAC/+rxc=")</f>
        <v>#REF!</v>
      </c>
      <c r="Y267" t="e">
        <f>AND(#REF!,"AAAAAC/+rxg=")</f>
        <v>#REF!</v>
      </c>
      <c r="Z267" t="e">
        <f>AND(#REF!,"AAAAAC/+rxk=")</f>
        <v>#REF!</v>
      </c>
      <c r="AA267" t="e">
        <f>AND(#REF!,"AAAAAC/+rxo=")</f>
        <v>#REF!</v>
      </c>
      <c r="AB267" t="e">
        <f>AND(#REF!,"AAAAAC/+rxs=")</f>
        <v>#REF!</v>
      </c>
      <c r="AC267" t="e">
        <f>AND(#REF!,"AAAAAC/+rxw=")</f>
        <v>#REF!</v>
      </c>
      <c r="AD267" t="e">
        <f>AND(#REF!,"AAAAAC/+rx0=")</f>
        <v>#REF!</v>
      </c>
      <c r="AE267" t="e">
        <f>AND(#REF!,"AAAAAC/+rx4=")</f>
        <v>#REF!</v>
      </c>
      <c r="AF267" t="e">
        <f>AND(#REF!,"AAAAAC/+rx8=")</f>
        <v>#REF!</v>
      </c>
      <c r="AG267" t="e">
        <f>AND(#REF!,"AAAAAC/+ryA=")</f>
        <v>#REF!</v>
      </c>
      <c r="AH267" t="e">
        <f>AND(#REF!,"AAAAAC/+ryE=")</f>
        <v>#REF!</v>
      </c>
      <c r="AI267" t="e">
        <f>AND(#REF!,"AAAAAC/+ryI=")</f>
        <v>#REF!</v>
      </c>
      <c r="AJ267" t="e">
        <f>AND(#REF!,"AAAAAC/+ryM=")</f>
        <v>#REF!</v>
      </c>
      <c r="AK267" t="e">
        <f>AND(#REF!,"AAAAAC/+ryQ=")</f>
        <v>#REF!</v>
      </c>
      <c r="AL267" t="e">
        <f>AND(#REF!,"AAAAAC/+ryU=")</f>
        <v>#REF!</v>
      </c>
      <c r="AM267" t="e">
        <f>AND(#REF!,"AAAAAC/+ryY=")</f>
        <v>#REF!</v>
      </c>
      <c r="AN267" t="e">
        <f>IF(#REF!,"AAAAAC/+ryc=",0)</f>
        <v>#REF!</v>
      </c>
      <c r="AO267" t="e">
        <f>AND(#REF!,"AAAAAC/+ryg=")</f>
        <v>#REF!</v>
      </c>
      <c r="AP267" t="e">
        <f>AND(#REF!,"AAAAAC/+ryk=")</f>
        <v>#REF!</v>
      </c>
      <c r="AQ267" t="e">
        <f>AND(#REF!,"AAAAAC/+ryo=")</f>
        <v>#REF!</v>
      </c>
      <c r="AR267" t="e">
        <f>AND(#REF!,"AAAAAC/+rys=")</f>
        <v>#REF!</v>
      </c>
      <c r="AS267" t="e">
        <f>AND(#REF!,"AAAAAC/+ryw=")</f>
        <v>#REF!</v>
      </c>
      <c r="AT267" t="e">
        <f>AND(#REF!,"AAAAAC/+ry0=")</f>
        <v>#REF!</v>
      </c>
      <c r="AU267" t="e">
        <f>AND(#REF!,"AAAAAC/+ry4=")</f>
        <v>#REF!</v>
      </c>
      <c r="AV267" t="e">
        <f>AND(#REF!,"AAAAAC/+ry8=")</f>
        <v>#REF!</v>
      </c>
      <c r="AW267" t="e">
        <f>AND(#REF!,"AAAAAC/+rzA=")</f>
        <v>#REF!</v>
      </c>
      <c r="AX267" t="e">
        <f>AND(#REF!,"AAAAAC/+rzE=")</f>
        <v>#REF!</v>
      </c>
      <c r="AY267" t="e">
        <f>AND(#REF!,"AAAAAC/+rzI=")</f>
        <v>#REF!</v>
      </c>
      <c r="AZ267" t="e">
        <f>AND(#REF!,"AAAAAC/+rzM=")</f>
        <v>#REF!</v>
      </c>
      <c r="BA267" t="e">
        <f>AND(#REF!,"AAAAAC/+rzQ=")</f>
        <v>#REF!</v>
      </c>
      <c r="BB267" t="e">
        <f>AND(#REF!,"AAAAAC/+rzU=")</f>
        <v>#REF!</v>
      </c>
      <c r="BC267" t="e">
        <f>AND(#REF!,"AAAAAC/+rzY=")</f>
        <v>#REF!</v>
      </c>
      <c r="BD267" t="e">
        <f>AND(#REF!,"AAAAAC/+rzc=")</f>
        <v>#REF!</v>
      </c>
      <c r="BE267" t="e">
        <f>AND(#REF!,"AAAAAC/+rzg=")</f>
        <v>#REF!</v>
      </c>
      <c r="BF267" t="e">
        <f>AND(#REF!,"AAAAAC/+rzk=")</f>
        <v>#REF!</v>
      </c>
      <c r="BG267" t="e">
        <f>AND(#REF!,"AAAAAC/+rzo=")</f>
        <v>#REF!</v>
      </c>
      <c r="BH267" t="e">
        <f>AND(#REF!,"AAAAAC/+rzs=")</f>
        <v>#REF!</v>
      </c>
      <c r="BI267" t="e">
        <f>AND(#REF!,"AAAAAC/+rzw=")</f>
        <v>#REF!</v>
      </c>
      <c r="BJ267" t="e">
        <f>AND(#REF!,"AAAAAC/+rz0=")</f>
        <v>#REF!</v>
      </c>
      <c r="BK267" t="e">
        <f>AND(#REF!,"AAAAAC/+rz4=")</f>
        <v>#REF!</v>
      </c>
      <c r="BL267" t="e">
        <f>AND(#REF!,"AAAAAC/+rz8=")</f>
        <v>#REF!</v>
      </c>
      <c r="BM267" t="e">
        <f>IF(#REF!,"AAAAAC/+r0A=",0)</f>
        <v>#REF!</v>
      </c>
      <c r="BN267" t="e">
        <f>AND(#REF!,"AAAAAC/+r0E=")</f>
        <v>#REF!</v>
      </c>
      <c r="BO267" t="e">
        <f>AND(#REF!,"AAAAAC/+r0I=")</f>
        <v>#REF!</v>
      </c>
      <c r="BP267" t="e">
        <f>AND(#REF!,"AAAAAC/+r0M=")</f>
        <v>#REF!</v>
      </c>
      <c r="BQ267" t="e">
        <f>AND(#REF!,"AAAAAC/+r0Q=")</f>
        <v>#REF!</v>
      </c>
      <c r="BR267" t="e">
        <f>AND(#REF!,"AAAAAC/+r0U=")</f>
        <v>#REF!</v>
      </c>
      <c r="BS267" t="e">
        <f>AND(#REF!,"AAAAAC/+r0Y=")</f>
        <v>#REF!</v>
      </c>
      <c r="BT267" t="e">
        <f>AND(#REF!,"AAAAAC/+r0c=")</f>
        <v>#REF!</v>
      </c>
      <c r="BU267" t="e">
        <f>AND(#REF!,"AAAAAC/+r0g=")</f>
        <v>#REF!</v>
      </c>
      <c r="BV267" t="e">
        <f>AND(#REF!,"AAAAAC/+r0k=")</f>
        <v>#REF!</v>
      </c>
      <c r="BW267" t="e">
        <f>AND(#REF!,"AAAAAC/+r0o=")</f>
        <v>#REF!</v>
      </c>
      <c r="BX267" t="e">
        <f>AND(#REF!,"AAAAAC/+r0s=")</f>
        <v>#REF!</v>
      </c>
      <c r="BY267" t="e">
        <f>AND(#REF!,"AAAAAC/+r0w=")</f>
        <v>#REF!</v>
      </c>
      <c r="BZ267" t="e">
        <f>AND(#REF!,"AAAAAC/+r00=")</f>
        <v>#REF!</v>
      </c>
      <c r="CA267" t="e">
        <f>AND(#REF!,"AAAAAC/+r04=")</f>
        <v>#REF!</v>
      </c>
      <c r="CB267" t="e">
        <f>AND(#REF!,"AAAAAC/+r08=")</f>
        <v>#REF!</v>
      </c>
      <c r="CC267" t="e">
        <f>AND(#REF!,"AAAAAC/+r1A=")</f>
        <v>#REF!</v>
      </c>
      <c r="CD267" t="e">
        <f>AND(#REF!,"AAAAAC/+r1E=")</f>
        <v>#REF!</v>
      </c>
      <c r="CE267" t="e">
        <f>AND(#REF!,"AAAAAC/+r1I=")</f>
        <v>#REF!</v>
      </c>
      <c r="CF267" t="e">
        <f>AND(#REF!,"AAAAAC/+r1M=")</f>
        <v>#REF!</v>
      </c>
      <c r="CG267" t="e">
        <f>AND(#REF!,"AAAAAC/+r1Q=")</f>
        <v>#REF!</v>
      </c>
      <c r="CH267" t="e">
        <f>AND(#REF!,"AAAAAC/+r1U=")</f>
        <v>#REF!</v>
      </c>
      <c r="CI267" t="e">
        <f>AND(#REF!,"AAAAAC/+r1Y=")</f>
        <v>#REF!</v>
      </c>
      <c r="CJ267" t="e">
        <f>AND(#REF!,"AAAAAC/+r1c=")</f>
        <v>#REF!</v>
      </c>
      <c r="CK267" t="e">
        <f>AND(#REF!,"AAAAAC/+r1g=")</f>
        <v>#REF!</v>
      </c>
      <c r="CL267" t="e">
        <f>IF(#REF!,"AAAAAC/+r1k=",0)</f>
        <v>#REF!</v>
      </c>
      <c r="CM267" t="e">
        <f>AND(#REF!,"AAAAAC/+r1o=")</f>
        <v>#REF!</v>
      </c>
      <c r="CN267" t="e">
        <f>AND(#REF!,"AAAAAC/+r1s=")</f>
        <v>#REF!</v>
      </c>
      <c r="CO267" t="e">
        <f>AND(#REF!,"AAAAAC/+r1w=")</f>
        <v>#REF!</v>
      </c>
      <c r="CP267" t="e">
        <f>AND(#REF!,"AAAAAC/+r10=")</f>
        <v>#REF!</v>
      </c>
      <c r="CQ267" t="e">
        <f>AND(#REF!,"AAAAAC/+r14=")</f>
        <v>#REF!</v>
      </c>
      <c r="CR267" t="e">
        <f>AND(#REF!,"AAAAAC/+r18=")</f>
        <v>#REF!</v>
      </c>
      <c r="CS267" t="e">
        <f>AND(#REF!,"AAAAAC/+r2A=")</f>
        <v>#REF!</v>
      </c>
      <c r="CT267" t="e">
        <f>AND(#REF!,"AAAAAC/+r2E=")</f>
        <v>#REF!</v>
      </c>
      <c r="CU267" t="e">
        <f>AND(#REF!,"AAAAAC/+r2I=")</f>
        <v>#REF!</v>
      </c>
      <c r="CV267" t="e">
        <f>AND(#REF!,"AAAAAC/+r2M=")</f>
        <v>#REF!</v>
      </c>
      <c r="CW267" t="e">
        <f>AND(#REF!,"AAAAAC/+r2Q=")</f>
        <v>#REF!</v>
      </c>
      <c r="CX267" t="e">
        <f>AND(#REF!,"AAAAAC/+r2U=")</f>
        <v>#REF!</v>
      </c>
      <c r="CY267" t="e">
        <f>AND(#REF!,"AAAAAC/+r2Y=")</f>
        <v>#REF!</v>
      </c>
      <c r="CZ267" t="e">
        <f>AND(#REF!,"AAAAAC/+r2c=")</f>
        <v>#REF!</v>
      </c>
      <c r="DA267" t="e">
        <f>AND(#REF!,"AAAAAC/+r2g=")</f>
        <v>#REF!</v>
      </c>
      <c r="DB267" t="e">
        <f>AND(#REF!,"AAAAAC/+r2k=")</f>
        <v>#REF!</v>
      </c>
      <c r="DC267" t="e">
        <f>AND(#REF!,"AAAAAC/+r2o=")</f>
        <v>#REF!</v>
      </c>
      <c r="DD267" t="e">
        <f>AND(#REF!,"AAAAAC/+r2s=")</f>
        <v>#REF!</v>
      </c>
      <c r="DE267" t="e">
        <f>AND(#REF!,"AAAAAC/+r2w=")</f>
        <v>#REF!</v>
      </c>
      <c r="DF267" t="e">
        <f>AND(#REF!,"AAAAAC/+r20=")</f>
        <v>#REF!</v>
      </c>
      <c r="DG267" t="e">
        <f>AND(#REF!,"AAAAAC/+r24=")</f>
        <v>#REF!</v>
      </c>
      <c r="DH267" t="e">
        <f>AND(#REF!,"AAAAAC/+r28=")</f>
        <v>#REF!</v>
      </c>
      <c r="DI267" t="e">
        <f>AND(#REF!,"AAAAAC/+r3A=")</f>
        <v>#REF!</v>
      </c>
      <c r="DJ267" t="e">
        <f>AND(#REF!,"AAAAAC/+r3E=")</f>
        <v>#REF!</v>
      </c>
      <c r="DK267" t="e">
        <f>IF(#REF!,"AAAAAC/+r3I=",0)</f>
        <v>#REF!</v>
      </c>
      <c r="DL267" t="e">
        <f>AND(#REF!,"AAAAAC/+r3M=")</f>
        <v>#REF!</v>
      </c>
      <c r="DM267" t="e">
        <f>AND(#REF!,"AAAAAC/+r3Q=")</f>
        <v>#REF!</v>
      </c>
      <c r="DN267" t="e">
        <f>AND(#REF!,"AAAAAC/+r3U=")</f>
        <v>#REF!</v>
      </c>
      <c r="DO267" t="e">
        <f>AND(#REF!,"AAAAAC/+r3Y=")</f>
        <v>#REF!</v>
      </c>
      <c r="DP267" t="e">
        <f>AND(#REF!,"AAAAAC/+r3c=")</f>
        <v>#REF!</v>
      </c>
      <c r="DQ267" t="e">
        <f>AND(#REF!,"AAAAAC/+r3g=")</f>
        <v>#REF!</v>
      </c>
      <c r="DR267" t="e">
        <f>AND(#REF!,"AAAAAC/+r3k=")</f>
        <v>#REF!</v>
      </c>
      <c r="DS267" t="e">
        <f>AND(#REF!,"AAAAAC/+r3o=")</f>
        <v>#REF!</v>
      </c>
      <c r="DT267" t="e">
        <f>AND(#REF!,"AAAAAC/+r3s=")</f>
        <v>#REF!</v>
      </c>
      <c r="DU267" t="e">
        <f>AND(#REF!,"AAAAAC/+r3w=")</f>
        <v>#REF!</v>
      </c>
      <c r="DV267" t="e">
        <f>AND(#REF!,"AAAAAC/+r30=")</f>
        <v>#REF!</v>
      </c>
      <c r="DW267" t="e">
        <f>AND(#REF!,"AAAAAC/+r34=")</f>
        <v>#REF!</v>
      </c>
      <c r="DX267" t="e">
        <f>AND(#REF!,"AAAAAC/+r38=")</f>
        <v>#REF!</v>
      </c>
      <c r="DY267" t="e">
        <f>AND(#REF!,"AAAAAC/+r4A=")</f>
        <v>#REF!</v>
      </c>
      <c r="DZ267" t="e">
        <f>AND(#REF!,"AAAAAC/+r4E=")</f>
        <v>#REF!</v>
      </c>
      <c r="EA267" t="e">
        <f>AND(#REF!,"AAAAAC/+r4I=")</f>
        <v>#REF!</v>
      </c>
      <c r="EB267" t="e">
        <f>AND(#REF!,"AAAAAC/+r4M=")</f>
        <v>#REF!</v>
      </c>
      <c r="EC267" t="e">
        <f>AND(#REF!,"AAAAAC/+r4Q=")</f>
        <v>#REF!</v>
      </c>
      <c r="ED267" t="e">
        <f>AND(#REF!,"AAAAAC/+r4U=")</f>
        <v>#REF!</v>
      </c>
      <c r="EE267" t="e">
        <f>AND(#REF!,"AAAAAC/+r4Y=")</f>
        <v>#REF!</v>
      </c>
      <c r="EF267" t="e">
        <f>AND(#REF!,"AAAAAC/+r4c=")</f>
        <v>#REF!</v>
      </c>
      <c r="EG267" t="e">
        <f>AND(#REF!,"AAAAAC/+r4g=")</f>
        <v>#REF!</v>
      </c>
      <c r="EH267" t="e">
        <f>AND(#REF!,"AAAAAC/+r4k=")</f>
        <v>#REF!</v>
      </c>
      <c r="EI267" t="e">
        <f>AND(#REF!,"AAAAAC/+r4o=")</f>
        <v>#REF!</v>
      </c>
      <c r="EJ267" t="e">
        <f>IF(#REF!,"AAAAAC/+r4s=",0)</f>
        <v>#REF!</v>
      </c>
      <c r="EK267" t="e">
        <f>AND(#REF!,"AAAAAC/+r4w=")</f>
        <v>#REF!</v>
      </c>
      <c r="EL267" t="e">
        <f>AND(#REF!,"AAAAAC/+r40=")</f>
        <v>#REF!</v>
      </c>
      <c r="EM267" t="e">
        <f>AND(#REF!,"AAAAAC/+r44=")</f>
        <v>#REF!</v>
      </c>
      <c r="EN267" t="e">
        <f>AND(#REF!,"AAAAAC/+r48=")</f>
        <v>#REF!</v>
      </c>
      <c r="EO267" t="e">
        <f>AND(#REF!,"AAAAAC/+r5A=")</f>
        <v>#REF!</v>
      </c>
      <c r="EP267" t="e">
        <f>AND(#REF!,"AAAAAC/+r5E=")</f>
        <v>#REF!</v>
      </c>
      <c r="EQ267" t="e">
        <f>AND(#REF!,"AAAAAC/+r5I=")</f>
        <v>#REF!</v>
      </c>
      <c r="ER267" t="e">
        <f>AND(#REF!,"AAAAAC/+r5M=")</f>
        <v>#REF!</v>
      </c>
      <c r="ES267" t="e">
        <f>AND(#REF!,"AAAAAC/+r5Q=")</f>
        <v>#REF!</v>
      </c>
      <c r="ET267" t="e">
        <f>AND(#REF!,"AAAAAC/+r5U=")</f>
        <v>#REF!</v>
      </c>
      <c r="EU267" t="e">
        <f>AND(#REF!,"AAAAAC/+r5Y=")</f>
        <v>#REF!</v>
      </c>
      <c r="EV267" t="e">
        <f>AND(#REF!,"AAAAAC/+r5c=")</f>
        <v>#REF!</v>
      </c>
      <c r="EW267" t="e">
        <f>AND(#REF!,"AAAAAC/+r5g=")</f>
        <v>#REF!</v>
      </c>
      <c r="EX267" t="e">
        <f>AND(#REF!,"AAAAAC/+r5k=")</f>
        <v>#REF!</v>
      </c>
      <c r="EY267" t="e">
        <f>AND(#REF!,"AAAAAC/+r5o=")</f>
        <v>#REF!</v>
      </c>
      <c r="EZ267" t="e">
        <f>AND(#REF!,"AAAAAC/+r5s=")</f>
        <v>#REF!</v>
      </c>
      <c r="FA267" t="e">
        <f>AND(#REF!,"AAAAAC/+r5w=")</f>
        <v>#REF!</v>
      </c>
      <c r="FB267" t="e">
        <f>AND(#REF!,"AAAAAC/+r50=")</f>
        <v>#REF!</v>
      </c>
      <c r="FC267" t="e">
        <f>AND(#REF!,"AAAAAC/+r54=")</f>
        <v>#REF!</v>
      </c>
      <c r="FD267" t="e">
        <f>AND(#REF!,"AAAAAC/+r58=")</f>
        <v>#REF!</v>
      </c>
      <c r="FE267" t="e">
        <f>AND(#REF!,"AAAAAC/+r6A=")</f>
        <v>#REF!</v>
      </c>
      <c r="FF267" t="e">
        <f>AND(#REF!,"AAAAAC/+r6E=")</f>
        <v>#REF!</v>
      </c>
      <c r="FG267" t="e">
        <f>AND(#REF!,"AAAAAC/+r6I=")</f>
        <v>#REF!</v>
      </c>
      <c r="FH267" t="e">
        <f>AND(#REF!,"AAAAAC/+r6M=")</f>
        <v>#REF!</v>
      </c>
      <c r="FI267" t="e">
        <f>IF(#REF!,"AAAAAC/+r6Q=",0)</f>
        <v>#REF!</v>
      </c>
      <c r="FJ267" t="e">
        <f>AND(#REF!,"AAAAAC/+r6U=")</f>
        <v>#REF!</v>
      </c>
      <c r="FK267" t="e">
        <f>AND(#REF!,"AAAAAC/+r6Y=")</f>
        <v>#REF!</v>
      </c>
      <c r="FL267" t="e">
        <f>AND(#REF!,"AAAAAC/+r6c=")</f>
        <v>#REF!</v>
      </c>
      <c r="FM267" t="e">
        <f>AND(#REF!,"AAAAAC/+r6g=")</f>
        <v>#REF!</v>
      </c>
      <c r="FN267" t="e">
        <f>AND(#REF!,"AAAAAC/+r6k=")</f>
        <v>#REF!</v>
      </c>
      <c r="FO267" t="e">
        <f>AND(#REF!,"AAAAAC/+r6o=")</f>
        <v>#REF!</v>
      </c>
      <c r="FP267" t="e">
        <f>AND(#REF!,"AAAAAC/+r6s=")</f>
        <v>#REF!</v>
      </c>
      <c r="FQ267" t="e">
        <f>AND(#REF!,"AAAAAC/+r6w=")</f>
        <v>#REF!</v>
      </c>
      <c r="FR267" t="e">
        <f>AND(#REF!,"AAAAAC/+r60=")</f>
        <v>#REF!</v>
      </c>
      <c r="FS267" t="e">
        <f>AND(#REF!,"AAAAAC/+r64=")</f>
        <v>#REF!</v>
      </c>
      <c r="FT267" t="e">
        <f>AND(#REF!,"AAAAAC/+r68=")</f>
        <v>#REF!</v>
      </c>
      <c r="FU267" t="e">
        <f>AND(#REF!,"AAAAAC/+r7A=")</f>
        <v>#REF!</v>
      </c>
      <c r="FV267" t="e">
        <f>AND(#REF!,"AAAAAC/+r7E=")</f>
        <v>#REF!</v>
      </c>
      <c r="FW267" t="e">
        <f>AND(#REF!,"AAAAAC/+r7I=")</f>
        <v>#REF!</v>
      </c>
      <c r="FX267" t="e">
        <f>AND(#REF!,"AAAAAC/+r7M=")</f>
        <v>#REF!</v>
      </c>
      <c r="FY267" t="e">
        <f>AND(#REF!,"AAAAAC/+r7Q=")</f>
        <v>#REF!</v>
      </c>
      <c r="FZ267" t="e">
        <f>AND(#REF!,"AAAAAC/+r7U=")</f>
        <v>#REF!</v>
      </c>
      <c r="GA267" t="e">
        <f>AND(#REF!,"AAAAAC/+r7Y=")</f>
        <v>#REF!</v>
      </c>
      <c r="GB267" t="e">
        <f>AND(#REF!,"AAAAAC/+r7c=")</f>
        <v>#REF!</v>
      </c>
      <c r="GC267" t="e">
        <f>AND(#REF!,"AAAAAC/+r7g=")</f>
        <v>#REF!</v>
      </c>
      <c r="GD267" t="e">
        <f>AND(#REF!,"AAAAAC/+r7k=")</f>
        <v>#REF!</v>
      </c>
      <c r="GE267" t="e">
        <f>AND(#REF!,"AAAAAC/+r7o=")</f>
        <v>#REF!</v>
      </c>
      <c r="GF267" t="e">
        <f>AND(#REF!,"AAAAAC/+r7s=")</f>
        <v>#REF!</v>
      </c>
      <c r="GG267" t="e">
        <f>AND(#REF!,"AAAAAC/+r7w=")</f>
        <v>#REF!</v>
      </c>
      <c r="GH267" t="e">
        <f>IF(#REF!,"AAAAAC/+r70=",0)</f>
        <v>#REF!</v>
      </c>
      <c r="GI267" t="e">
        <f>AND(#REF!,"AAAAAC/+r74=")</f>
        <v>#REF!</v>
      </c>
      <c r="GJ267" t="e">
        <f>AND(#REF!,"AAAAAC/+r78=")</f>
        <v>#REF!</v>
      </c>
      <c r="GK267" t="e">
        <f>AND(#REF!,"AAAAAC/+r8A=")</f>
        <v>#REF!</v>
      </c>
      <c r="GL267" t="e">
        <f>AND(#REF!,"AAAAAC/+r8E=")</f>
        <v>#REF!</v>
      </c>
      <c r="GM267" t="e">
        <f>AND(#REF!,"AAAAAC/+r8I=")</f>
        <v>#REF!</v>
      </c>
      <c r="GN267" t="e">
        <f>AND(#REF!,"AAAAAC/+r8M=")</f>
        <v>#REF!</v>
      </c>
      <c r="GO267" t="e">
        <f>AND(#REF!,"AAAAAC/+r8Q=")</f>
        <v>#REF!</v>
      </c>
      <c r="GP267" t="e">
        <f>AND(#REF!,"AAAAAC/+r8U=")</f>
        <v>#REF!</v>
      </c>
      <c r="GQ267" t="e">
        <f>AND(#REF!,"AAAAAC/+r8Y=")</f>
        <v>#REF!</v>
      </c>
      <c r="GR267" t="e">
        <f>AND(#REF!,"AAAAAC/+r8c=")</f>
        <v>#REF!</v>
      </c>
      <c r="GS267" t="e">
        <f>AND(#REF!,"AAAAAC/+r8g=")</f>
        <v>#REF!</v>
      </c>
      <c r="GT267" t="e">
        <f>AND(#REF!,"AAAAAC/+r8k=")</f>
        <v>#REF!</v>
      </c>
      <c r="GU267" t="e">
        <f>AND(#REF!,"AAAAAC/+r8o=")</f>
        <v>#REF!</v>
      </c>
      <c r="GV267" t="e">
        <f>AND(#REF!,"AAAAAC/+r8s=")</f>
        <v>#REF!</v>
      </c>
      <c r="GW267" t="e">
        <f>AND(#REF!,"AAAAAC/+r8w=")</f>
        <v>#REF!</v>
      </c>
      <c r="GX267" t="e">
        <f>AND(#REF!,"AAAAAC/+r80=")</f>
        <v>#REF!</v>
      </c>
      <c r="GY267" t="e">
        <f>AND(#REF!,"AAAAAC/+r84=")</f>
        <v>#REF!</v>
      </c>
      <c r="GZ267" t="e">
        <f>AND(#REF!,"AAAAAC/+r88=")</f>
        <v>#REF!</v>
      </c>
      <c r="HA267" t="e">
        <f>AND(#REF!,"AAAAAC/+r9A=")</f>
        <v>#REF!</v>
      </c>
      <c r="HB267" t="e">
        <f>AND(#REF!,"AAAAAC/+r9E=")</f>
        <v>#REF!</v>
      </c>
      <c r="HC267" t="e">
        <f>AND(#REF!,"AAAAAC/+r9I=")</f>
        <v>#REF!</v>
      </c>
      <c r="HD267" t="e">
        <f>AND(#REF!,"AAAAAC/+r9M=")</f>
        <v>#REF!</v>
      </c>
      <c r="HE267" t="e">
        <f>AND(#REF!,"AAAAAC/+r9Q=")</f>
        <v>#REF!</v>
      </c>
      <c r="HF267" t="e">
        <f>AND(#REF!,"AAAAAC/+r9U=")</f>
        <v>#REF!</v>
      </c>
      <c r="HG267" t="e">
        <f>IF(#REF!,"AAAAAC/+r9Y=",0)</f>
        <v>#REF!</v>
      </c>
      <c r="HH267" t="e">
        <f>AND(#REF!,"AAAAAC/+r9c=")</f>
        <v>#REF!</v>
      </c>
      <c r="HI267" t="e">
        <f>AND(#REF!,"AAAAAC/+r9g=")</f>
        <v>#REF!</v>
      </c>
      <c r="HJ267" t="e">
        <f>AND(#REF!,"AAAAAC/+r9k=")</f>
        <v>#REF!</v>
      </c>
      <c r="HK267" t="e">
        <f>AND(#REF!,"AAAAAC/+r9o=")</f>
        <v>#REF!</v>
      </c>
      <c r="HL267" t="e">
        <f>AND(#REF!,"AAAAAC/+r9s=")</f>
        <v>#REF!</v>
      </c>
      <c r="HM267" t="e">
        <f>AND(#REF!,"AAAAAC/+r9w=")</f>
        <v>#REF!</v>
      </c>
      <c r="HN267" t="e">
        <f>AND(#REF!,"AAAAAC/+r90=")</f>
        <v>#REF!</v>
      </c>
      <c r="HO267" t="e">
        <f>AND(#REF!,"AAAAAC/+r94=")</f>
        <v>#REF!</v>
      </c>
      <c r="HP267" t="e">
        <f>AND(#REF!,"AAAAAC/+r98=")</f>
        <v>#REF!</v>
      </c>
      <c r="HQ267" t="e">
        <f>AND(#REF!,"AAAAAC/+r+A=")</f>
        <v>#REF!</v>
      </c>
      <c r="HR267" t="e">
        <f>AND(#REF!,"AAAAAC/+r+E=")</f>
        <v>#REF!</v>
      </c>
      <c r="HS267" t="e">
        <f>AND(#REF!,"AAAAAC/+r+I=")</f>
        <v>#REF!</v>
      </c>
      <c r="HT267" t="e">
        <f>AND(#REF!,"AAAAAC/+r+M=")</f>
        <v>#REF!</v>
      </c>
      <c r="HU267" t="e">
        <f>AND(#REF!,"AAAAAC/+r+Q=")</f>
        <v>#REF!</v>
      </c>
      <c r="HV267" t="e">
        <f>AND(#REF!,"AAAAAC/+r+U=")</f>
        <v>#REF!</v>
      </c>
      <c r="HW267" t="e">
        <f>AND(#REF!,"AAAAAC/+r+Y=")</f>
        <v>#REF!</v>
      </c>
      <c r="HX267" t="e">
        <f>AND(#REF!,"AAAAAC/+r+c=")</f>
        <v>#REF!</v>
      </c>
      <c r="HY267" t="e">
        <f>AND(#REF!,"AAAAAC/+r+g=")</f>
        <v>#REF!</v>
      </c>
      <c r="HZ267" t="e">
        <f>AND(#REF!,"AAAAAC/+r+k=")</f>
        <v>#REF!</v>
      </c>
      <c r="IA267" t="e">
        <f>AND(#REF!,"AAAAAC/+r+o=")</f>
        <v>#REF!</v>
      </c>
      <c r="IB267" t="e">
        <f>AND(#REF!,"AAAAAC/+r+s=")</f>
        <v>#REF!</v>
      </c>
      <c r="IC267" t="e">
        <f>AND(#REF!,"AAAAAC/+r+w=")</f>
        <v>#REF!</v>
      </c>
      <c r="ID267" t="e">
        <f>AND(#REF!,"AAAAAC/+r+0=")</f>
        <v>#REF!</v>
      </c>
      <c r="IE267" t="e">
        <f>AND(#REF!,"AAAAAC/+r+4=")</f>
        <v>#REF!</v>
      </c>
      <c r="IF267" t="e">
        <f>IF(#REF!,"AAAAAC/+r+8=",0)</f>
        <v>#REF!</v>
      </c>
      <c r="IG267" t="e">
        <f>AND(#REF!,"AAAAAC/+r/A=")</f>
        <v>#REF!</v>
      </c>
      <c r="IH267" t="e">
        <f>AND(#REF!,"AAAAAC/+r/E=")</f>
        <v>#REF!</v>
      </c>
      <c r="II267" t="e">
        <f>AND(#REF!,"AAAAAC/+r/I=")</f>
        <v>#REF!</v>
      </c>
      <c r="IJ267" t="e">
        <f>AND(#REF!,"AAAAAC/+r/M=")</f>
        <v>#REF!</v>
      </c>
      <c r="IK267" t="e">
        <f>AND(#REF!,"AAAAAC/+r/Q=")</f>
        <v>#REF!</v>
      </c>
      <c r="IL267" t="e">
        <f>AND(#REF!,"AAAAAC/+r/U=")</f>
        <v>#REF!</v>
      </c>
      <c r="IM267" t="e">
        <f>AND(#REF!,"AAAAAC/+r/Y=")</f>
        <v>#REF!</v>
      </c>
      <c r="IN267" t="e">
        <f>AND(#REF!,"AAAAAC/+r/c=")</f>
        <v>#REF!</v>
      </c>
      <c r="IO267" t="e">
        <f>AND(#REF!,"AAAAAC/+r/g=")</f>
        <v>#REF!</v>
      </c>
      <c r="IP267" t="e">
        <f>AND(#REF!,"AAAAAC/+r/k=")</f>
        <v>#REF!</v>
      </c>
      <c r="IQ267" t="e">
        <f>AND(#REF!,"AAAAAC/+r/o=")</f>
        <v>#REF!</v>
      </c>
      <c r="IR267" t="e">
        <f>AND(#REF!,"AAAAAC/+r/s=")</f>
        <v>#REF!</v>
      </c>
      <c r="IS267" t="e">
        <f>AND(#REF!,"AAAAAC/+r/w=")</f>
        <v>#REF!</v>
      </c>
      <c r="IT267" t="e">
        <f>AND(#REF!,"AAAAAC/+r/0=")</f>
        <v>#REF!</v>
      </c>
      <c r="IU267" t="e">
        <f>AND(#REF!,"AAAAAC/+r/4=")</f>
        <v>#REF!</v>
      </c>
      <c r="IV267" t="e">
        <f>AND(#REF!,"AAAAAC/+r/8=")</f>
        <v>#REF!</v>
      </c>
    </row>
    <row r="268" spans="1:256">
      <c r="A268" t="e">
        <f>AND(#REF!,"AAAAAH1/ewA=")</f>
        <v>#REF!</v>
      </c>
      <c r="B268" t="e">
        <f>AND(#REF!,"AAAAAH1/ewE=")</f>
        <v>#REF!</v>
      </c>
      <c r="C268" t="e">
        <f>AND(#REF!,"AAAAAH1/ewI=")</f>
        <v>#REF!</v>
      </c>
      <c r="D268" t="e">
        <f>AND(#REF!,"AAAAAH1/ewM=")</f>
        <v>#REF!</v>
      </c>
      <c r="E268" t="e">
        <f>AND(#REF!,"AAAAAH1/ewQ=")</f>
        <v>#REF!</v>
      </c>
      <c r="F268" t="e">
        <f>AND(#REF!,"AAAAAH1/ewU=")</f>
        <v>#REF!</v>
      </c>
      <c r="G268" t="e">
        <f>AND(#REF!,"AAAAAH1/ewY=")</f>
        <v>#REF!</v>
      </c>
      <c r="H268" t="e">
        <f>AND(#REF!,"AAAAAH1/ewc=")</f>
        <v>#REF!</v>
      </c>
      <c r="I268" t="e">
        <f>IF(#REF!,"AAAAAH1/ewg=",0)</f>
        <v>#REF!</v>
      </c>
      <c r="J268" t="e">
        <f>AND(#REF!,"AAAAAH1/ewk=")</f>
        <v>#REF!</v>
      </c>
      <c r="K268" t="e">
        <f>AND(#REF!,"AAAAAH1/ewo=")</f>
        <v>#REF!</v>
      </c>
      <c r="L268" t="e">
        <f>AND(#REF!,"AAAAAH1/ews=")</f>
        <v>#REF!</v>
      </c>
      <c r="M268" t="e">
        <f>AND(#REF!,"AAAAAH1/eww=")</f>
        <v>#REF!</v>
      </c>
      <c r="N268" t="e">
        <f>AND(#REF!,"AAAAAH1/ew0=")</f>
        <v>#REF!</v>
      </c>
      <c r="O268" t="e">
        <f>AND(#REF!,"AAAAAH1/ew4=")</f>
        <v>#REF!</v>
      </c>
      <c r="P268" t="e">
        <f>AND(#REF!,"AAAAAH1/ew8=")</f>
        <v>#REF!</v>
      </c>
      <c r="Q268" t="e">
        <f>AND(#REF!,"AAAAAH1/exA=")</f>
        <v>#REF!</v>
      </c>
      <c r="R268" t="e">
        <f>AND(#REF!,"AAAAAH1/exE=")</f>
        <v>#REF!</v>
      </c>
      <c r="S268" t="e">
        <f>AND(#REF!,"AAAAAH1/exI=")</f>
        <v>#REF!</v>
      </c>
      <c r="T268" t="e">
        <f>AND(#REF!,"AAAAAH1/exM=")</f>
        <v>#REF!</v>
      </c>
      <c r="U268" t="e">
        <f>AND(#REF!,"AAAAAH1/exQ=")</f>
        <v>#REF!</v>
      </c>
      <c r="V268" t="e">
        <f>AND(#REF!,"AAAAAH1/exU=")</f>
        <v>#REF!</v>
      </c>
      <c r="W268" t="e">
        <f>AND(#REF!,"AAAAAH1/exY=")</f>
        <v>#REF!</v>
      </c>
      <c r="X268" t="e">
        <f>AND(#REF!,"AAAAAH1/exc=")</f>
        <v>#REF!</v>
      </c>
      <c r="Y268" t="e">
        <f>AND(#REF!,"AAAAAH1/exg=")</f>
        <v>#REF!</v>
      </c>
      <c r="Z268" t="e">
        <f>AND(#REF!,"AAAAAH1/exk=")</f>
        <v>#REF!</v>
      </c>
      <c r="AA268" t="e">
        <f>AND(#REF!,"AAAAAH1/exo=")</f>
        <v>#REF!</v>
      </c>
      <c r="AB268" t="e">
        <f>AND(#REF!,"AAAAAH1/exs=")</f>
        <v>#REF!</v>
      </c>
      <c r="AC268" t="e">
        <f>AND(#REF!,"AAAAAH1/exw=")</f>
        <v>#REF!</v>
      </c>
      <c r="AD268" t="e">
        <f>AND(#REF!,"AAAAAH1/ex0=")</f>
        <v>#REF!</v>
      </c>
      <c r="AE268" t="e">
        <f>AND(#REF!,"AAAAAH1/ex4=")</f>
        <v>#REF!</v>
      </c>
      <c r="AF268" t="e">
        <f>AND(#REF!,"AAAAAH1/ex8=")</f>
        <v>#REF!</v>
      </c>
      <c r="AG268" t="e">
        <f>AND(#REF!,"AAAAAH1/eyA=")</f>
        <v>#REF!</v>
      </c>
      <c r="AH268" t="e">
        <f>IF(#REF!,"AAAAAH1/eyE=",0)</f>
        <v>#REF!</v>
      </c>
      <c r="AI268" t="e">
        <f>AND(#REF!,"AAAAAH1/eyI=")</f>
        <v>#REF!</v>
      </c>
      <c r="AJ268" t="e">
        <f>AND(#REF!,"AAAAAH1/eyM=")</f>
        <v>#REF!</v>
      </c>
      <c r="AK268" t="e">
        <f>AND(#REF!,"AAAAAH1/eyQ=")</f>
        <v>#REF!</v>
      </c>
      <c r="AL268" t="e">
        <f>AND(#REF!,"AAAAAH1/eyU=")</f>
        <v>#REF!</v>
      </c>
      <c r="AM268" t="e">
        <f>AND(#REF!,"AAAAAH1/eyY=")</f>
        <v>#REF!</v>
      </c>
      <c r="AN268" t="e">
        <f>AND(#REF!,"AAAAAH1/eyc=")</f>
        <v>#REF!</v>
      </c>
      <c r="AO268" t="e">
        <f>AND(#REF!,"AAAAAH1/eyg=")</f>
        <v>#REF!</v>
      </c>
      <c r="AP268" t="e">
        <f>AND(#REF!,"AAAAAH1/eyk=")</f>
        <v>#REF!</v>
      </c>
      <c r="AQ268" t="e">
        <f>AND(#REF!,"AAAAAH1/eyo=")</f>
        <v>#REF!</v>
      </c>
      <c r="AR268" t="e">
        <f>AND(#REF!,"AAAAAH1/eys=")</f>
        <v>#REF!</v>
      </c>
      <c r="AS268" t="e">
        <f>AND(#REF!,"AAAAAH1/eyw=")</f>
        <v>#REF!</v>
      </c>
      <c r="AT268" t="e">
        <f>AND(#REF!,"AAAAAH1/ey0=")</f>
        <v>#REF!</v>
      </c>
      <c r="AU268" t="e">
        <f>AND(#REF!,"AAAAAH1/ey4=")</f>
        <v>#REF!</v>
      </c>
      <c r="AV268" t="e">
        <f>AND(#REF!,"AAAAAH1/ey8=")</f>
        <v>#REF!</v>
      </c>
      <c r="AW268" t="e">
        <f>AND(#REF!,"AAAAAH1/ezA=")</f>
        <v>#REF!</v>
      </c>
      <c r="AX268" t="e">
        <f>AND(#REF!,"AAAAAH1/ezE=")</f>
        <v>#REF!</v>
      </c>
      <c r="AY268" t="e">
        <f>AND(#REF!,"AAAAAH1/ezI=")</f>
        <v>#REF!</v>
      </c>
      <c r="AZ268" t="e">
        <f>AND(#REF!,"AAAAAH1/ezM=")</f>
        <v>#REF!</v>
      </c>
      <c r="BA268" t="e">
        <f>AND(#REF!,"AAAAAH1/ezQ=")</f>
        <v>#REF!</v>
      </c>
      <c r="BB268" t="e">
        <f>AND(#REF!,"AAAAAH1/ezU=")</f>
        <v>#REF!</v>
      </c>
      <c r="BC268" t="e">
        <f>AND(#REF!,"AAAAAH1/ezY=")</f>
        <v>#REF!</v>
      </c>
      <c r="BD268" t="e">
        <f>AND(#REF!,"AAAAAH1/ezc=")</f>
        <v>#REF!</v>
      </c>
      <c r="BE268" t="e">
        <f>AND(#REF!,"AAAAAH1/ezg=")</f>
        <v>#REF!</v>
      </c>
      <c r="BF268" t="e">
        <f>AND(#REF!,"AAAAAH1/ezk=")</f>
        <v>#REF!</v>
      </c>
      <c r="BG268" t="e">
        <f>IF(#REF!,"AAAAAH1/ezo=",0)</f>
        <v>#REF!</v>
      </c>
      <c r="BH268" t="e">
        <f>AND(#REF!,"AAAAAH1/ezs=")</f>
        <v>#REF!</v>
      </c>
      <c r="BI268" t="e">
        <f>AND(#REF!,"AAAAAH1/ezw=")</f>
        <v>#REF!</v>
      </c>
      <c r="BJ268" t="e">
        <f>AND(#REF!,"AAAAAH1/ez0=")</f>
        <v>#REF!</v>
      </c>
      <c r="BK268" t="e">
        <f>AND(#REF!,"AAAAAH1/ez4=")</f>
        <v>#REF!</v>
      </c>
      <c r="BL268" t="e">
        <f>AND(#REF!,"AAAAAH1/ez8=")</f>
        <v>#REF!</v>
      </c>
      <c r="BM268" t="e">
        <f>AND(#REF!,"AAAAAH1/e0A=")</f>
        <v>#REF!</v>
      </c>
      <c r="BN268" t="e">
        <f>AND(#REF!,"AAAAAH1/e0E=")</f>
        <v>#REF!</v>
      </c>
      <c r="BO268" t="e">
        <f>AND(#REF!,"AAAAAH1/e0I=")</f>
        <v>#REF!</v>
      </c>
      <c r="BP268" t="e">
        <f>AND(#REF!,"AAAAAH1/e0M=")</f>
        <v>#REF!</v>
      </c>
      <c r="BQ268" t="e">
        <f>AND(#REF!,"AAAAAH1/e0Q=")</f>
        <v>#REF!</v>
      </c>
      <c r="BR268" t="e">
        <f>AND(#REF!,"AAAAAH1/e0U=")</f>
        <v>#REF!</v>
      </c>
      <c r="BS268" t="e">
        <f>AND(#REF!,"AAAAAH1/e0Y=")</f>
        <v>#REF!</v>
      </c>
      <c r="BT268" t="e">
        <f>AND(#REF!,"AAAAAH1/e0c=")</f>
        <v>#REF!</v>
      </c>
      <c r="BU268" t="e">
        <f>AND(#REF!,"AAAAAH1/e0g=")</f>
        <v>#REF!</v>
      </c>
      <c r="BV268" t="e">
        <f>AND(#REF!,"AAAAAH1/e0k=")</f>
        <v>#REF!</v>
      </c>
      <c r="BW268" t="e">
        <f>AND(#REF!,"AAAAAH1/e0o=")</f>
        <v>#REF!</v>
      </c>
      <c r="BX268" t="e">
        <f>AND(#REF!,"AAAAAH1/e0s=")</f>
        <v>#REF!</v>
      </c>
      <c r="BY268" t="e">
        <f>AND(#REF!,"AAAAAH1/e0w=")</f>
        <v>#REF!</v>
      </c>
      <c r="BZ268" t="e">
        <f>AND(#REF!,"AAAAAH1/e00=")</f>
        <v>#REF!</v>
      </c>
      <c r="CA268" t="e">
        <f>AND(#REF!,"AAAAAH1/e04=")</f>
        <v>#REF!</v>
      </c>
      <c r="CB268" t="e">
        <f>AND(#REF!,"AAAAAH1/e08=")</f>
        <v>#REF!</v>
      </c>
      <c r="CC268" t="e">
        <f>AND(#REF!,"AAAAAH1/e1A=")</f>
        <v>#REF!</v>
      </c>
      <c r="CD268" t="e">
        <f>AND(#REF!,"AAAAAH1/e1E=")</f>
        <v>#REF!</v>
      </c>
      <c r="CE268" t="e">
        <f>AND(#REF!,"AAAAAH1/e1I=")</f>
        <v>#REF!</v>
      </c>
      <c r="CF268" t="e">
        <f>IF(#REF!,"AAAAAH1/e1M=",0)</f>
        <v>#REF!</v>
      </c>
      <c r="CG268" t="e">
        <f>AND(#REF!,"AAAAAH1/e1Q=")</f>
        <v>#REF!</v>
      </c>
      <c r="CH268" t="e">
        <f>AND(#REF!,"AAAAAH1/e1U=")</f>
        <v>#REF!</v>
      </c>
      <c r="CI268" t="e">
        <f>AND(#REF!,"AAAAAH1/e1Y=")</f>
        <v>#REF!</v>
      </c>
      <c r="CJ268" t="e">
        <f>AND(#REF!,"AAAAAH1/e1c=")</f>
        <v>#REF!</v>
      </c>
      <c r="CK268" t="e">
        <f>AND(#REF!,"AAAAAH1/e1g=")</f>
        <v>#REF!</v>
      </c>
      <c r="CL268" t="e">
        <f>AND(#REF!,"AAAAAH1/e1k=")</f>
        <v>#REF!</v>
      </c>
      <c r="CM268" t="e">
        <f>AND(#REF!,"AAAAAH1/e1o=")</f>
        <v>#REF!</v>
      </c>
      <c r="CN268" t="e">
        <f>AND(#REF!,"AAAAAH1/e1s=")</f>
        <v>#REF!</v>
      </c>
      <c r="CO268" t="e">
        <f>AND(#REF!,"AAAAAH1/e1w=")</f>
        <v>#REF!</v>
      </c>
      <c r="CP268" t="e">
        <f>AND(#REF!,"AAAAAH1/e10=")</f>
        <v>#REF!</v>
      </c>
      <c r="CQ268" t="e">
        <f>AND(#REF!,"AAAAAH1/e14=")</f>
        <v>#REF!</v>
      </c>
      <c r="CR268" t="e">
        <f>AND(#REF!,"AAAAAH1/e18=")</f>
        <v>#REF!</v>
      </c>
      <c r="CS268" t="e">
        <f>AND(#REF!,"AAAAAH1/e2A=")</f>
        <v>#REF!</v>
      </c>
      <c r="CT268" t="e">
        <f>AND(#REF!,"AAAAAH1/e2E=")</f>
        <v>#REF!</v>
      </c>
      <c r="CU268" t="e">
        <f>AND(#REF!,"AAAAAH1/e2I=")</f>
        <v>#REF!</v>
      </c>
      <c r="CV268" t="e">
        <f>AND(#REF!,"AAAAAH1/e2M=")</f>
        <v>#REF!</v>
      </c>
      <c r="CW268" t="e">
        <f>AND(#REF!,"AAAAAH1/e2Q=")</f>
        <v>#REF!</v>
      </c>
      <c r="CX268" t="e">
        <f>AND(#REF!,"AAAAAH1/e2U=")</f>
        <v>#REF!</v>
      </c>
      <c r="CY268" t="e">
        <f>AND(#REF!,"AAAAAH1/e2Y=")</f>
        <v>#REF!</v>
      </c>
      <c r="CZ268" t="e">
        <f>AND(#REF!,"AAAAAH1/e2c=")</f>
        <v>#REF!</v>
      </c>
      <c r="DA268" t="e">
        <f>AND(#REF!,"AAAAAH1/e2g=")</f>
        <v>#REF!</v>
      </c>
      <c r="DB268" t="e">
        <f>AND(#REF!,"AAAAAH1/e2k=")</f>
        <v>#REF!</v>
      </c>
      <c r="DC268" t="e">
        <f>AND(#REF!,"AAAAAH1/e2o=")</f>
        <v>#REF!</v>
      </c>
      <c r="DD268" t="e">
        <f>AND(#REF!,"AAAAAH1/e2s=")</f>
        <v>#REF!</v>
      </c>
      <c r="DE268" t="e">
        <f>IF(#REF!,"AAAAAH1/e2w=",0)</f>
        <v>#REF!</v>
      </c>
      <c r="DF268" t="e">
        <f>AND(#REF!,"AAAAAH1/e20=")</f>
        <v>#REF!</v>
      </c>
      <c r="DG268" t="e">
        <f>AND(#REF!,"AAAAAH1/e24=")</f>
        <v>#REF!</v>
      </c>
      <c r="DH268" t="e">
        <f>AND(#REF!,"AAAAAH1/e28=")</f>
        <v>#REF!</v>
      </c>
      <c r="DI268" t="e">
        <f>AND(#REF!,"AAAAAH1/e3A=")</f>
        <v>#REF!</v>
      </c>
      <c r="DJ268" t="e">
        <f>AND(#REF!,"AAAAAH1/e3E=")</f>
        <v>#REF!</v>
      </c>
      <c r="DK268" t="e">
        <f>AND(#REF!,"AAAAAH1/e3I=")</f>
        <v>#REF!</v>
      </c>
      <c r="DL268" t="e">
        <f>AND(#REF!,"AAAAAH1/e3M=")</f>
        <v>#REF!</v>
      </c>
      <c r="DM268" t="e">
        <f>AND(#REF!,"AAAAAH1/e3Q=")</f>
        <v>#REF!</v>
      </c>
      <c r="DN268" t="e">
        <f>AND(#REF!,"AAAAAH1/e3U=")</f>
        <v>#REF!</v>
      </c>
      <c r="DO268" t="e">
        <f>AND(#REF!,"AAAAAH1/e3Y=")</f>
        <v>#REF!</v>
      </c>
      <c r="DP268" t="e">
        <f>AND(#REF!,"AAAAAH1/e3c=")</f>
        <v>#REF!</v>
      </c>
      <c r="DQ268" t="e">
        <f>AND(#REF!,"AAAAAH1/e3g=")</f>
        <v>#REF!</v>
      </c>
      <c r="DR268" t="e">
        <f>AND(#REF!,"AAAAAH1/e3k=")</f>
        <v>#REF!</v>
      </c>
      <c r="DS268" t="e">
        <f>AND(#REF!,"AAAAAH1/e3o=")</f>
        <v>#REF!</v>
      </c>
      <c r="DT268" t="e">
        <f>AND(#REF!,"AAAAAH1/e3s=")</f>
        <v>#REF!</v>
      </c>
      <c r="DU268" t="e">
        <f>AND(#REF!,"AAAAAH1/e3w=")</f>
        <v>#REF!</v>
      </c>
      <c r="DV268" t="e">
        <f>AND(#REF!,"AAAAAH1/e30=")</f>
        <v>#REF!</v>
      </c>
      <c r="DW268" t="e">
        <f>AND(#REF!,"AAAAAH1/e34=")</f>
        <v>#REF!</v>
      </c>
      <c r="DX268" t="e">
        <f>AND(#REF!,"AAAAAH1/e38=")</f>
        <v>#REF!</v>
      </c>
      <c r="DY268" t="e">
        <f>AND(#REF!,"AAAAAH1/e4A=")</f>
        <v>#REF!</v>
      </c>
      <c r="DZ268" t="e">
        <f>AND(#REF!,"AAAAAH1/e4E=")</f>
        <v>#REF!</v>
      </c>
      <c r="EA268" t="e">
        <f>AND(#REF!,"AAAAAH1/e4I=")</f>
        <v>#REF!</v>
      </c>
      <c r="EB268" t="e">
        <f>AND(#REF!,"AAAAAH1/e4M=")</f>
        <v>#REF!</v>
      </c>
      <c r="EC268" t="e">
        <f>AND(#REF!,"AAAAAH1/e4Q=")</f>
        <v>#REF!</v>
      </c>
      <c r="ED268" t="e">
        <f>IF(#REF!,"AAAAAH1/e4U=",0)</f>
        <v>#REF!</v>
      </c>
      <c r="EE268" t="e">
        <f>AND(#REF!,"AAAAAH1/e4Y=")</f>
        <v>#REF!</v>
      </c>
      <c r="EF268" t="e">
        <f>AND(#REF!,"AAAAAH1/e4c=")</f>
        <v>#REF!</v>
      </c>
      <c r="EG268" t="e">
        <f>AND(#REF!,"AAAAAH1/e4g=")</f>
        <v>#REF!</v>
      </c>
      <c r="EH268" t="e">
        <f>AND(#REF!,"AAAAAH1/e4k=")</f>
        <v>#REF!</v>
      </c>
      <c r="EI268" t="e">
        <f>AND(#REF!,"AAAAAH1/e4o=")</f>
        <v>#REF!</v>
      </c>
      <c r="EJ268" t="e">
        <f>AND(#REF!,"AAAAAH1/e4s=")</f>
        <v>#REF!</v>
      </c>
      <c r="EK268" t="e">
        <f>AND(#REF!,"AAAAAH1/e4w=")</f>
        <v>#REF!</v>
      </c>
      <c r="EL268" t="e">
        <f>AND(#REF!,"AAAAAH1/e40=")</f>
        <v>#REF!</v>
      </c>
      <c r="EM268" t="e">
        <f>AND(#REF!,"AAAAAH1/e44=")</f>
        <v>#REF!</v>
      </c>
      <c r="EN268" t="e">
        <f>AND(#REF!,"AAAAAH1/e48=")</f>
        <v>#REF!</v>
      </c>
      <c r="EO268" t="e">
        <f>AND(#REF!,"AAAAAH1/e5A=")</f>
        <v>#REF!</v>
      </c>
      <c r="EP268" t="e">
        <f>AND(#REF!,"AAAAAH1/e5E=")</f>
        <v>#REF!</v>
      </c>
      <c r="EQ268" t="e">
        <f>AND(#REF!,"AAAAAH1/e5I=")</f>
        <v>#REF!</v>
      </c>
      <c r="ER268" t="e">
        <f>AND(#REF!,"AAAAAH1/e5M=")</f>
        <v>#REF!</v>
      </c>
      <c r="ES268" t="e">
        <f>AND(#REF!,"AAAAAH1/e5Q=")</f>
        <v>#REF!</v>
      </c>
      <c r="ET268" t="e">
        <f>AND(#REF!,"AAAAAH1/e5U=")</f>
        <v>#REF!</v>
      </c>
      <c r="EU268" t="e">
        <f>AND(#REF!,"AAAAAH1/e5Y=")</f>
        <v>#REF!</v>
      </c>
      <c r="EV268" t="e">
        <f>AND(#REF!,"AAAAAH1/e5c=")</f>
        <v>#REF!</v>
      </c>
      <c r="EW268" t="e">
        <f>AND(#REF!,"AAAAAH1/e5g=")</f>
        <v>#REF!</v>
      </c>
      <c r="EX268" t="e">
        <f>AND(#REF!,"AAAAAH1/e5k=")</f>
        <v>#REF!</v>
      </c>
      <c r="EY268" t="e">
        <f>AND(#REF!,"AAAAAH1/e5o=")</f>
        <v>#REF!</v>
      </c>
      <c r="EZ268" t="e">
        <f>AND(#REF!,"AAAAAH1/e5s=")</f>
        <v>#REF!</v>
      </c>
      <c r="FA268" t="e">
        <f>AND(#REF!,"AAAAAH1/e5w=")</f>
        <v>#REF!</v>
      </c>
      <c r="FB268" t="e">
        <f>AND(#REF!,"AAAAAH1/e50=")</f>
        <v>#REF!</v>
      </c>
      <c r="FC268" t="e">
        <f>IF(#REF!,"AAAAAH1/e54=",0)</f>
        <v>#REF!</v>
      </c>
      <c r="FD268" t="e">
        <f>AND(#REF!,"AAAAAH1/e58=")</f>
        <v>#REF!</v>
      </c>
      <c r="FE268" t="e">
        <f>AND(#REF!,"AAAAAH1/e6A=")</f>
        <v>#REF!</v>
      </c>
      <c r="FF268" t="e">
        <f>AND(#REF!,"AAAAAH1/e6E=")</f>
        <v>#REF!</v>
      </c>
      <c r="FG268" t="e">
        <f>AND(#REF!,"AAAAAH1/e6I=")</f>
        <v>#REF!</v>
      </c>
      <c r="FH268" t="e">
        <f>AND(#REF!,"AAAAAH1/e6M=")</f>
        <v>#REF!</v>
      </c>
      <c r="FI268" t="e">
        <f>AND(#REF!,"AAAAAH1/e6Q=")</f>
        <v>#REF!</v>
      </c>
      <c r="FJ268" t="e">
        <f>AND(#REF!,"AAAAAH1/e6U=")</f>
        <v>#REF!</v>
      </c>
      <c r="FK268" t="e">
        <f>AND(#REF!,"AAAAAH1/e6Y=")</f>
        <v>#REF!</v>
      </c>
      <c r="FL268" t="e">
        <f>AND(#REF!,"AAAAAH1/e6c=")</f>
        <v>#REF!</v>
      </c>
      <c r="FM268" t="e">
        <f>AND(#REF!,"AAAAAH1/e6g=")</f>
        <v>#REF!</v>
      </c>
      <c r="FN268" t="e">
        <f>AND(#REF!,"AAAAAH1/e6k=")</f>
        <v>#REF!</v>
      </c>
      <c r="FO268" t="e">
        <f>AND(#REF!,"AAAAAH1/e6o=")</f>
        <v>#REF!</v>
      </c>
      <c r="FP268" t="e">
        <f>AND(#REF!,"AAAAAH1/e6s=")</f>
        <v>#REF!</v>
      </c>
      <c r="FQ268" t="e">
        <f>AND(#REF!,"AAAAAH1/e6w=")</f>
        <v>#REF!</v>
      </c>
      <c r="FR268" t="e">
        <f>AND(#REF!,"AAAAAH1/e60=")</f>
        <v>#REF!</v>
      </c>
      <c r="FS268" t="e">
        <f>AND(#REF!,"AAAAAH1/e64=")</f>
        <v>#REF!</v>
      </c>
      <c r="FT268" t="e">
        <f>AND(#REF!,"AAAAAH1/e68=")</f>
        <v>#REF!</v>
      </c>
      <c r="FU268" t="e">
        <f>AND(#REF!,"AAAAAH1/e7A=")</f>
        <v>#REF!</v>
      </c>
      <c r="FV268" t="e">
        <f>AND(#REF!,"AAAAAH1/e7E=")</f>
        <v>#REF!</v>
      </c>
      <c r="FW268" t="e">
        <f>AND(#REF!,"AAAAAH1/e7I=")</f>
        <v>#REF!</v>
      </c>
      <c r="FX268" t="e">
        <f>AND(#REF!,"AAAAAH1/e7M=")</f>
        <v>#REF!</v>
      </c>
      <c r="FY268" t="e">
        <f>AND(#REF!,"AAAAAH1/e7Q=")</f>
        <v>#REF!</v>
      </c>
      <c r="FZ268" t="e">
        <f>AND(#REF!,"AAAAAH1/e7U=")</f>
        <v>#REF!</v>
      </c>
      <c r="GA268" t="e">
        <f>AND(#REF!,"AAAAAH1/e7Y=")</f>
        <v>#REF!</v>
      </c>
      <c r="GB268" t="e">
        <f>IF(#REF!,"AAAAAH1/e7c=",0)</f>
        <v>#REF!</v>
      </c>
      <c r="GC268" t="e">
        <f>AND(#REF!,"AAAAAH1/e7g=")</f>
        <v>#REF!</v>
      </c>
      <c r="GD268" t="e">
        <f>AND(#REF!,"AAAAAH1/e7k=")</f>
        <v>#REF!</v>
      </c>
      <c r="GE268" t="e">
        <f>AND(#REF!,"AAAAAH1/e7o=")</f>
        <v>#REF!</v>
      </c>
      <c r="GF268" t="e">
        <f>AND(#REF!,"AAAAAH1/e7s=")</f>
        <v>#REF!</v>
      </c>
      <c r="GG268" t="e">
        <f>AND(#REF!,"AAAAAH1/e7w=")</f>
        <v>#REF!</v>
      </c>
      <c r="GH268" t="e">
        <f>AND(#REF!,"AAAAAH1/e70=")</f>
        <v>#REF!</v>
      </c>
      <c r="GI268" t="e">
        <f>AND(#REF!,"AAAAAH1/e74=")</f>
        <v>#REF!</v>
      </c>
      <c r="GJ268" t="e">
        <f>AND(#REF!,"AAAAAH1/e78=")</f>
        <v>#REF!</v>
      </c>
      <c r="GK268" t="e">
        <f>AND(#REF!,"AAAAAH1/e8A=")</f>
        <v>#REF!</v>
      </c>
      <c r="GL268" t="e">
        <f>AND(#REF!,"AAAAAH1/e8E=")</f>
        <v>#REF!</v>
      </c>
      <c r="GM268" t="e">
        <f>AND(#REF!,"AAAAAH1/e8I=")</f>
        <v>#REF!</v>
      </c>
      <c r="GN268" t="e">
        <f>AND(#REF!,"AAAAAH1/e8M=")</f>
        <v>#REF!</v>
      </c>
      <c r="GO268" t="e">
        <f>AND(#REF!,"AAAAAH1/e8Q=")</f>
        <v>#REF!</v>
      </c>
      <c r="GP268" t="e">
        <f>AND(#REF!,"AAAAAH1/e8U=")</f>
        <v>#REF!</v>
      </c>
      <c r="GQ268" t="e">
        <f>AND(#REF!,"AAAAAH1/e8Y=")</f>
        <v>#REF!</v>
      </c>
      <c r="GR268" t="e">
        <f>AND(#REF!,"AAAAAH1/e8c=")</f>
        <v>#REF!</v>
      </c>
      <c r="GS268" t="e">
        <f>AND(#REF!,"AAAAAH1/e8g=")</f>
        <v>#REF!</v>
      </c>
      <c r="GT268" t="e">
        <f>AND(#REF!,"AAAAAH1/e8k=")</f>
        <v>#REF!</v>
      </c>
      <c r="GU268" t="e">
        <f>AND(#REF!,"AAAAAH1/e8o=")</f>
        <v>#REF!</v>
      </c>
      <c r="GV268" t="e">
        <f>AND(#REF!,"AAAAAH1/e8s=")</f>
        <v>#REF!</v>
      </c>
      <c r="GW268" t="e">
        <f>AND(#REF!,"AAAAAH1/e8w=")</f>
        <v>#REF!</v>
      </c>
      <c r="GX268" t="e">
        <f>AND(#REF!,"AAAAAH1/e80=")</f>
        <v>#REF!</v>
      </c>
      <c r="GY268" t="e">
        <f>AND(#REF!,"AAAAAH1/e84=")</f>
        <v>#REF!</v>
      </c>
      <c r="GZ268" t="e">
        <f>AND(#REF!,"AAAAAH1/e88=")</f>
        <v>#REF!</v>
      </c>
      <c r="HA268" t="e">
        <f>IF(#REF!,"AAAAAH1/e9A=",0)</f>
        <v>#REF!</v>
      </c>
      <c r="HB268" t="e">
        <f>AND(#REF!,"AAAAAH1/e9E=")</f>
        <v>#REF!</v>
      </c>
      <c r="HC268" t="e">
        <f>AND(#REF!,"AAAAAH1/e9I=")</f>
        <v>#REF!</v>
      </c>
      <c r="HD268" t="e">
        <f>AND(#REF!,"AAAAAH1/e9M=")</f>
        <v>#REF!</v>
      </c>
      <c r="HE268" t="e">
        <f>AND(#REF!,"AAAAAH1/e9Q=")</f>
        <v>#REF!</v>
      </c>
      <c r="HF268" t="e">
        <f>AND(#REF!,"AAAAAH1/e9U=")</f>
        <v>#REF!</v>
      </c>
      <c r="HG268" t="e">
        <f>AND(#REF!,"AAAAAH1/e9Y=")</f>
        <v>#REF!</v>
      </c>
      <c r="HH268" t="e">
        <f>AND(#REF!,"AAAAAH1/e9c=")</f>
        <v>#REF!</v>
      </c>
      <c r="HI268" t="e">
        <f>AND(#REF!,"AAAAAH1/e9g=")</f>
        <v>#REF!</v>
      </c>
      <c r="HJ268" t="e">
        <f>AND(#REF!,"AAAAAH1/e9k=")</f>
        <v>#REF!</v>
      </c>
      <c r="HK268" t="e">
        <f>AND(#REF!,"AAAAAH1/e9o=")</f>
        <v>#REF!</v>
      </c>
      <c r="HL268" t="e">
        <f>AND(#REF!,"AAAAAH1/e9s=")</f>
        <v>#REF!</v>
      </c>
      <c r="HM268" t="e">
        <f>AND(#REF!,"AAAAAH1/e9w=")</f>
        <v>#REF!</v>
      </c>
      <c r="HN268" t="e">
        <f>AND(#REF!,"AAAAAH1/e90=")</f>
        <v>#REF!</v>
      </c>
      <c r="HO268" t="e">
        <f>AND(#REF!,"AAAAAH1/e94=")</f>
        <v>#REF!</v>
      </c>
      <c r="HP268" t="e">
        <f>AND(#REF!,"AAAAAH1/e98=")</f>
        <v>#REF!</v>
      </c>
      <c r="HQ268" t="e">
        <f>AND(#REF!,"AAAAAH1/e+A=")</f>
        <v>#REF!</v>
      </c>
      <c r="HR268" t="e">
        <f>AND(#REF!,"AAAAAH1/e+E=")</f>
        <v>#REF!</v>
      </c>
      <c r="HS268" t="e">
        <f>AND(#REF!,"AAAAAH1/e+I=")</f>
        <v>#REF!</v>
      </c>
      <c r="HT268" t="e">
        <f>AND(#REF!,"AAAAAH1/e+M=")</f>
        <v>#REF!</v>
      </c>
      <c r="HU268" t="e">
        <f>AND(#REF!,"AAAAAH1/e+Q=")</f>
        <v>#REF!</v>
      </c>
      <c r="HV268" t="e">
        <f>AND(#REF!,"AAAAAH1/e+U=")</f>
        <v>#REF!</v>
      </c>
      <c r="HW268" t="e">
        <f>AND(#REF!,"AAAAAH1/e+Y=")</f>
        <v>#REF!</v>
      </c>
      <c r="HX268" t="e">
        <f>AND(#REF!,"AAAAAH1/e+c=")</f>
        <v>#REF!</v>
      </c>
      <c r="HY268" t="e">
        <f>AND(#REF!,"AAAAAH1/e+g=")</f>
        <v>#REF!</v>
      </c>
      <c r="HZ268" t="e">
        <f>IF(#REF!,"AAAAAH1/e+k=",0)</f>
        <v>#REF!</v>
      </c>
      <c r="IA268" t="e">
        <f>AND(#REF!,"AAAAAH1/e+o=")</f>
        <v>#REF!</v>
      </c>
      <c r="IB268" t="e">
        <f>AND(#REF!,"AAAAAH1/e+s=")</f>
        <v>#REF!</v>
      </c>
      <c r="IC268" t="e">
        <f>AND(#REF!,"AAAAAH1/e+w=")</f>
        <v>#REF!</v>
      </c>
      <c r="ID268" t="e">
        <f>AND(#REF!,"AAAAAH1/e+0=")</f>
        <v>#REF!</v>
      </c>
      <c r="IE268" t="e">
        <f>AND(#REF!,"AAAAAH1/e+4=")</f>
        <v>#REF!</v>
      </c>
      <c r="IF268" t="e">
        <f>AND(#REF!,"AAAAAH1/e+8=")</f>
        <v>#REF!</v>
      </c>
      <c r="IG268" t="e">
        <f>AND(#REF!,"AAAAAH1/e/A=")</f>
        <v>#REF!</v>
      </c>
      <c r="IH268" t="e">
        <f>AND(#REF!,"AAAAAH1/e/E=")</f>
        <v>#REF!</v>
      </c>
      <c r="II268" t="e">
        <f>AND(#REF!,"AAAAAH1/e/I=")</f>
        <v>#REF!</v>
      </c>
      <c r="IJ268" t="e">
        <f>AND(#REF!,"AAAAAH1/e/M=")</f>
        <v>#REF!</v>
      </c>
      <c r="IK268" t="e">
        <f>AND(#REF!,"AAAAAH1/e/Q=")</f>
        <v>#REF!</v>
      </c>
      <c r="IL268" t="e">
        <f>AND(#REF!,"AAAAAH1/e/U=")</f>
        <v>#REF!</v>
      </c>
      <c r="IM268" t="e">
        <f>AND(#REF!,"AAAAAH1/e/Y=")</f>
        <v>#REF!</v>
      </c>
      <c r="IN268" t="e">
        <f>AND(#REF!,"AAAAAH1/e/c=")</f>
        <v>#REF!</v>
      </c>
      <c r="IO268" t="e">
        <f>AND(#REF!,"AAAAAH1/e/g=")</f>
        <v>#REF!</v>
      </c>
      <c r="IP268" t="e">
        <f>AND(#REF!,"AAAAAH1/e/k=")</f>
        <v>#REF!</v>
      </c>
      <c r="IQ268" t="e">
        <f>AND(#REF!,"AAAAAH1/e/o=")</f>
        <v>#REF!</v>
      </c>
      <c r="IR268" t="e">
        <f>AND(#REF!,"AAAAAH1/e/s=")</f>
        <v>#REF!</v>
      </c>
      <c r="IS268" t="e">
        <f>AND(#REF!,"AAAAAH1/e/w=")</f>
        <v>#REF!</v>
      </c>
      <c r="IT268" t="e">
        <f>AND(#REF!,"AAAAAH1/e/0=")</f>
        <v>#REF!</v>
      </c>
      <c r="IU268" t="e">
        <f>AND(#REF!,"AAAAAH1/e/4=")</f>
        <v>#REF!</v>
      </c>
      <c r="IV268" t="e">
        <f>AND(#REF!,"AAAAAH1/e/8=")</f>
        <v>#REF!</v>
      </c>
    </row>
    <row r="269" spans="1:256">
      <c r="A269" t="e">
        <f>AND(#REF!,"AAAAAEvfDwA=")</f>
        <v>#REF!</v>
      </c>
      <c r="B269" t="e">
        <f>AND(#REF!,"AAAAAEvfDwE=")</f>
        <v>#REF!</v>
      </c>
      <c r="C269" t="e">
        <f>IF(#REF!,"AAAAAEvfDwI=",0)</f>
        <v>#REF!</v>
      </c>
      <c r="D269" t="e">
        <f>AND(#REF!,"AAAAAEvfDwM=")</f>
        <v>#REF!</v>
      </c>
      <c r="E269" t="e">
        <f>AND(#REF!,"AAAAAEvfDwQ=")</f>
        <v>#REF!</v>
      </c>
      <c r="F269" t="e">
        <f>AND(#REF!,"AAAAAEvfDwU=")</f>
        <v>#REF!</v>
      </c>
      <c r="G269" t="e">
        <f>AND(#REF!,"AAAAAEvfDwY=")</f>
        <v>#REF!</v>
      </c>
      <c r="H269" t="e">
        <f>AND(#REF!,"AAAAAEvfDwc=")</f>
        <v>#REF!</v>
      </c>
      <c r="I269" t="e">
        <f>AND(#REF!,"AAAAAEvfDwg=")</f>
        <v>#REF!</v>
      </c>
      <c r="J269" t="e">
        <f>AND(#REF!,"AAAAAEvfDwk=")</f>
        <v>#REF!</v>
      </c>
      <c r="K269" t="e">
        <f>AND(#REF!,"AAAAAEvfDwo=")</f>
        <v>#REF!</v>
      </c>
      <c r="L269" t="e">
        <f>AND(#REF!,"AAAAAEvfDws=")</f>
        <v>#REF!</v>
      </c>
      <c r="M269" t="e">
        <f>AND(#REF!,"AAAAAEvfDww=")</f>
        <v>#REF!</v>
      </c>
      <c r="N269" t="e">
        <f>AND(#REF!,"AAAAAEvfDw0=")</f>
        <v>#REF!</v>
      </c>
      <c r="O269" t="e">
        <f>AND(#REF!,"AAAAAEvfDw4=")</f>
        <v>#REF!</v>
      </c>
      <c r="P269" t="e">
        <f>AND(#REF!,"AAAAAEvfDw8=")</f>
        <v>#REF!</v>
      </c>
      <c r="Q269" t="e">
        <f>AND(#REF!,"AAAAAEvfDxA=")</f>
        <v>#REF!</v>
      </c>
      <c r="R269" t="e">
        <f>AND(#REF!,"AAAAAEvfDxE=")</f>
        <v>#REF!</v>
      </c>
      <c r="S269" t="e">
        <f>AND(#REF!,"AAAAAEvfDxI=")</f>
        <v>#REF!</v>
      </c>
      <c r="T269" t="e">
        <f>AND(#REF!,"AAAAAEvfDxM=")</f>
        <v>#REF!</v>
      </c>
      <c r="U269" t="e">
        <f>AND(#REF!,"AAAAAEvfDxQ=")</f>
        <v>#REF!</v>
      </c>
      <c r="V269" t="e">
        <f>AND(#REF!,"AAAAAEvfDxU=")</f>
        <v>#REF!</v>
      </c>
      <c r="W269" t="e">
        <f>AND(#REF!,"AAAAAEvfDxY=")</f>
        <v>#REF!</v>
      </c>
      <c r="X269" t="e">
        <f>AND(#REF!,"AAAAAEvfDxc=")</f>
        <v>#REF!</v>
      </c>
      <c r="Y269" t="e">
        <f>AND(#REF!,"AAAAAEvfDxg=")</f>
        <v>#REF!</v>
      </c>
      <c r="Z269" t="e">
        <f>AND(#REF!,"AAAAAEvfDxk=")</f>
        <v>#REF!</v>
      </c>
      <c r="AA269" t="e">
        <f>AND(#REF!,"AAAAAEvfDxo=")</f>
        <v>#REF!</v>
      </c>
      <c r="AB269" t="e">
        <f>IF(#REF!,"AAAAAEvfDxs=",0)</f>
        <v>#REF!</v>
      </c>
      <c r="AC269" t="e">
        <f>AND(#REF!,"AAAAAEvfDxw=")</f>
        <v>#REF!</v>
      </c>
      <c r="AD269" t="e">
        <f>AND(#REF!,"AAAAAEvfDx0=")</f>
        <v>#REF!</v>
      </c>
      <c r="AE269" t="e">
        <f>AND(#REF!,"AAAAAEvfDx4=")</f>
        <v>#REF!</v>
      </c>
      <c r="AF269" t="e">
        <f>AND(#REF!,"AAAAAEvfDx8=")</f>
        <v>#REF!</v>
      </c>
      <c r="AG269" t="e">
        <f>AND(#REF!,"AAAAAEvfDyA=")</f>
        <v>#REF!</v>
      </c>
      <c r="AH269" t="e">
        <f>AND(#REF!,"AAAAAEvfDyE=")</f>
        <v>#REF!</v>
      </c>
      <c r="AI269" t="e">
        <f>AND(#REF!,"AAAAAEvfDyI=")</f>
        <v>#REF!</v>
      </c>
      <c r="AJ269" t="e">
        <f>AND(#REF!,"AAAAAEvfDyM=")</f>
        <v>#REF!</v>
      </c>
      <c r="AK269" t="e">
        <f>AND(#REF!,"AAAAAEvfDyQ=")</f>
        <v>#REF!</v>
      </c>
      <c r="AL269" t="e">
        <f>AND(#REF!,"AAAAAEvfDyU=")</f>
        <v>#REF!</v>
      </c>
      <c r="AM269" t="e">
        <f>AND(#REF!,"AAAAAEvfDyY=")</f>
        <v>#REF!</v>
      </c>
      <c r="AN269" t="e">
        <f>AND(#REF!,"AAAAAEvfDyc=")</f>
        <v>#REF!</v>
      </c>
      <c r="AO269" t="e">
        <f>AND(#REF!,"AAAAAEvfDyg=")</f>
        <v>#REF!</v>
      </c>
      <c r="AP269" t="e">
        <f>AND(#REF!,"AAAAAEvfDyk=")</f>
        <v>#REF!</v>
      </c>
      <c r="AQ269" t="e">
        <f>AND(#REF!,"AAAAAEvfDyo=")</f>
        <v>#REF!</v>
      </c>
      <c r="AR269" t="e">
        <f>AND(#REF!,"AAAAAEvfDys=")</f>
        <v>#REF!</v>
      </c>
      <c r="AS269" t="e">
        <f>AND(#REF!,"AAAAAEvfDyw=")</f>
        <v>#REF!</v>
      </c>
      <c r="AT269" t="e">
        <f>AND(#REF!,"AAAAAEvfDy0=")</f>
        <v>#REF!</v>
      </c>
      <c r="AU269" t="e">
        <f>AND(#REF!,"AAAAAEvfDy4=")</f>
        <v>#REF!</v>
      </c>
      <c r="AV269" t="e">
        <f>AND(#REF!,"AAAAAEvfDy8=")</f>
        <v>#REF!</v>
      </c>
      <c r="AW269" t="e">
        <f>AND(#REF!,"AAAAAEvfDzA=")</f>
        <v>#REF!</v>
      </c>
      <c r="AX269" t="e">
        <f>AND(#REF!,"AAAAAEvfDzE=")</f>
        <v>#REF!</v>
      </c>
      <c r="AY269" t="e">
        <f>AND(#REF!,"AAAAAEvfDzI=")</f>
        <v>#REF!</v>
      </c>
      <c r="AZ269" t="e">
        <f>AND(#REF!,"AAAAAEvfDzM=")</f>
        <v>#REF!</v>
      </c>
      <c r="BA269" t="e">
        <f>IF(#REF!,"AAAAAEvfDzQ=",0)</f>
        <v>#REF!</v>
      </c>
      <c r="BB269" t="e">
        <f>AND(#REF!,"AAAAAEvfDzU=")</f>
        <v>#REF!</v>
      </c>
      <c r="BC269" t="e">
        <f>AND(#REF!,"AAAAAEvfDzY=")</f>
        <v>#REF!</v>
      </c>
      <c r="BD269" t="e">
        <f>AND(#REF!,"AAAAAEvfDzc=")</f>
        <v>#REF!</v>
      </c>
      <c r="BE269" t="e">
        <f>AND(#REF!,"AAAAAEvfDzg=")</f>
        <v>#REF!</v>
      </c>
      <c r="BF269" t="e">
        <f>AND(#REF!,"AAAAAEvfDzk=")</f>
        <v>#REF!</v>
      </c>
      <c r="BG269" t="e">
        <f>AND(#REF!,"AAAAAEvfDzo=")</f>
        <v>#REF!</v>
      </c>
      <c r="BH269" t="e">
        <f>AND(#REF!,"AAAAAEvfDzs=")</f>
        <v>#REF!</v>
      </c>
      <c r="BI269" t="e">
        <f>AND(#REF!,"AAAAAEvfDzw=")</f>
        <v>#REF!</v>
      </c>
      <c r="BJ269" t="e">
        <f>AND(#REF!,"AAAAAEvfDz0=")</f>
        <v>#REF!</v>
      </c>
      <c r="BK269" t="e">
        <f>AND(#REF!,"AAAAAEvfDz4=")</f>
        <v>#REF!</v>
      </c>
      <c r="BL269" t="e">
        <f>AND(#REF!,"AAAAAEvfDz8=")</f>
        <v>#REF!</v>
      </c>
      <c r="BM269" t="e">
        <f>AND(#REF!,"AAAAAEvfD0A=")</f>
        <v>#REF!</v>
      </c>
      <c r="BN269" t="e">
        <f>AND(#REF!,"AAAAAEvfD0E=")</f>
        <v>#REF!</v>
      </c>
      <c r="BO269" t="e">
        <f>AND(#REF!,"AAAAAEvfD0I=")</f>
        <v>#REF!</v>
      </c>
      <c r="BP269" t="e">
        <f>AND(#REF!,"AAAAAEvfD0M=")</f>
        <v>#REF!</v>
      </c>
      <c r="BQ269" t="e">
        <f>AND(#REF!,"AAAAAEvfD0Q=")</f>
        <v>#REF!</v>
      </c>
      <c r="BR269" t="e">
        <f>AND(#REF!,"AAAAAEvfD0U=")</f>
        <v>#REF!</v>
      </c>
      <c r="BS269" t="e">
        <f>AND(#REF!,"AAAAAEvfD0Y=")</f>
        <v>#REF!</v>
      </c>
      <c r="BT269" t="e">
        <f>AND(#REF!,"AAAAAEvfD0c=")</f>
        <v>#REF!</v>
      </c>
      <c r="BU269" t="e">
        <f>AND(#REF!,"AAAAAEvfD0g=")</f>
        <v>#REF!</v>
      </c>
      <c r="BV269" t="e">
        <f>AND(#REF!,"AAAAAEvfD0k=")</f>
        <v>#REF!</v>
      </c>
      <c r="BW269" t="e">
        <f>AND(#REF!,"AAAAAEvfD0o=")</f>
        <v>#REF!</v>
      </c>
      <c r="BX269" t="e">
        <f>AND(#REF!,"AAAAAEvfD0s=")</f>
        <v>#REF!</v>
      </c>
      <c r="BY269" t="e">
        <f>AND(#REF!,"AAAAAEvfD0w=")</f>
        <v>#REF!</v>
      </c>
      <c r="BZ269" t="e">
        <f>IF(#REF!,"AAAAAEvfD00=",0)</f>
        <v>#REF!</v>
      </c>
      <c r="CA269" t="e">
        <f>AND(#REF!,"AAAAAEvfD04=")</f>
        <v>#REF!</v>
      </c>
      <c r="CB269" t="e">
        <f>AND(#REF!,"AAAAAEvfD08=")</f>
        <v>#REF!</v>
      </c>
      <c r="CC269" t="e">
        <f>AND(#REF!,"AAAAAEvfD1A=")</f>
        <v>#REF!</v>
      </c>
      <c r="CD269" t="e">
        <f>AND(#REF!,"AAAAAEvfD1E=")</f>
        <v>#REF!</v>
      </c>
      <c r="CE269" t="e">
        <f>AND(#REF!,"AAAAAEvfD1I=")</f>
        <v>#REF!</v>
      </c>
      <c r="CF269" t="e">
        <f>AND(#REF!,"AAAAAEvfD1M=")</f>
        <v>#REF!</v>
      </c>
      <c r="CG269" t="e">
        <f>AND(#REF!,"AAAAAEvfD1Q=")</f>
        <v>#REF!</v>
      </c>
      <c r="CH269" t="e">
        <f>AND(#REF!,"AAAAAEvfD1U=")</f>
        <v>#REF!</v>
      </c>
      <c r="CI269" t="e">
        <f>AND(#REF!,"AAAAAEvfD1Y=")</f>
        <v>#REF!</v>
      </c>
      <c r="CJ269" t="e">
        <f>AND(#REF!,"AAAAAEvfD1c=")</f>
        <v>#REF!</v>
      </c>
      <c r="CK269" t="e">
        <f>AND(#REF!,"AAAAAEvfD1g=")</f>
        <v>#REF!</v>
      </c>
      <c r="CL269" t="e">
        <f>AND(#REF!,"AAAAAEvfD1k=")</f>
        <v>#REF!</v>
      </c>
      <c r="CM269" t="e">
        <f>AND(#REF!,"AAAAAEvfD1o=")</f>
        <v>#REF!</v>
      </c>
      <c r="CN269" t="e">
        <f>AND(#REF!,"AAAAAEvfD1s=")</f>
        <v>#REF!</v>
      </c>
      <c r="CO269" t="e">
        <f>AND(#REF!,"AAAAAEvfD1w=")</f>
        <v>#REF!</v>
      </c>
      <c r="CP269" t="e">
        <f>AND(#REF!,"AAAAAEvfD10=")</f>
        <v>#REF!</v>
      </c>
      <c r="CQ269" t="e">
        <f>AND(#REF!,"AAAAAEvfD14=")</f>
        <v>#REF!</v>
      </c>
      <c r="CR269" t="e">
        <f>AND(#REF!,"AAAAAEvfD18=")</f>
        <v>#REF!</v>
      </c>
      <c r="CS269" t="e">
        <f>AND(#REF!,"AAAAAEvfD2A=")</f>
        <v>#REF!</v>
      </c>
      <c r="CT269" t="e">
        <f>AND(#REF!,"AAAAAEvfD2E=")</f>
        <v>#REF!</v>
      </c>
      <c r="CU269" t="e">
        <f>AND(#REF!,"AAAAAEvfD2I=")</f>
        <v>#REF!</v>
      </c>
      <c r="CV269" t="e">
        <f>AND(#REF!,"AAAAAEvfD2M=")</f>
        <v>#REF!</v>
      </c>
      <c r="CW269" t="e">
        <f>AND(#REF!,"AAAAAEvfD2Q=")</f>
        <v>#REF!</v>
      </c>
      <c r="CX269" t="e">
        <f>AND(#REF!,"AAAAAEvfD2U=")</f>
        <v>#REF!</v>
      </c>
      <c r="CY269" t="e">
        <f>IF(#REF!,"AAAAAEvfD2Y=",0)</f>
        <v>#REF!</v>
      </c>
      <c r="CZ269" t="e">
        <f>AND(#REF!,"AAAAAEvfD2c=")</f>
        <v>#REF!</v>
      </c>
      <c r="DA269" t="e">
        <f>AND(#REF!,"AAAAAEvfD2g=")</f>
        <v>#REF!</v>
      </c>
      <c r="DB269" t="e">
        <f>AND(#REF!,"AAAAAEvfD2k=")</f>
        <v>#REF!</v>
      </c>
      <c r="DC269" t="e">
        <f>AND(#REF!,"AAAAAEvfD2o=")</f>
        <v>#REF!</v>
      </c>
      <c r="DD269" t="e">
        <f>AND(#REF!,"AAAAAEvfD2s=")</f>
        <v>#REF!</v>
      </c>
      <c r="DE269" t="e">
        <f>AND(#REF!,"AAAAAEvfD2w=")</f>
        <v>#REF!</v>
      </c>
      <c r="DF269" t="e">
        <f>AND(#REF!,"AAAAAEvfD20=")</f>
        <v>#REF!</v>
      </c>
      <c r="DG269" t="e">
        <f>AND(#REF!,"AAAAAEvfD24=")</f>
        <v>#REF!</v>
      </c>
      <c r="DH269" t="e">
        <f>AND(#REF!,"AAAAAEvfD28=")</f>
        <v>#REF!</v>
      </c>
      <c r="DI269" t="e">
        <f>AND(#REF!,"AAAAAEvfD3A=")</f>
        <v>#REF!</v>
      </c>
      <c r="DJ269" t="e">
        <f>AND(#REF!,"AAAAAEvfD3E=")</f>
        <v>#REF!</v>
      </c>
      <c r="DK269" t="e">
        <f>AND(#REF!,"AAAAAEvfD3I=")</f>
        <v>#REF!</v>
      </c>
      <c r="DL269" t="e">
        <f>AND(#REF!,"AAAAAEvfD3M=")</f>
        <v>#REF!</v>
      </c>
      <c r="DM269" t="e">
        <f>AND(#REF!,"AAAAAEvfD3Q=")</f>
        <v>#REF!</v>
      </c>
      <c r="DN269" t="e">
        <f>AND(#REF!,"AAAAAEvfD3U=")</f>
        <v>#REF!</v>
      </c>
      <c r="DO269" t="e">
        <f>AND(#REF!,"AAAAAEvfD3Y=")</f>
        <v>#REF!</v>
      </c>
      <c r="DP269" t="e">
        <f>AND(#REF!,"AAAAAEvfD3c=")</f>
        <v>#REF!</v>
      </c>
      <c r="DQ269" t="e">
        <f>AND(#REF!,"AAAAAEvfD3g=")</f>
        <v>#REF!</v>
      </c>
      <c r="DR269" t="e">
        <f>AND(#REF!,"AAAAAEvfD3k=")</f>
        <v>#REF!</v>
      </c>
      <c r="DS269" t="e">
        <f>AND(#REF!,"AAAAAEvfD3o=")</f>
        <v>#REF!</v>
      </c>
      <c r="DT269" t="e">
        <f>AND(#REF!,"AAAAAEvfD3s=")</f>
        <v>#REF!</v>
      </c>
      <c r="DU269" t="e">
        <f>AND(#REF!,"AAAAAEvfD3w=")</f>
        <v>#REF!</v>
      </c>
      <c r="DV269" t="e">
        <f>AND(#REF!,"AAAAAEvfD30=")</f>
        <v>#REF!</v>
      </c>
      <c r="DW269" t="e">
        <f>AND(#REF!,"AAAAAEvfD34=")</f>
        <v>#REF!</v>
      </c>
      <c r="DX269" t="e">
        <f>IF(#REF!,"AAAAAEvfD38=",0)</f>
        <v>#REF!</v>
      </c>
      <c r="DY269" t="e">
        <f>AND(#REF!,"AAAAAEvfD4A=")</f>
        <v>#REF!</v>
      </c>
      <c r="DZ269" t="e">
        <f>AND(#REF!,"AAAAAEvfD4E=")</f>
        <v>#REF!</v>
      </c>
      <c r="EA269" t="e">
        <f>AND(#REF!,"AAAAAEvfD4I=")</f>
        <v>#REF!</v>
      </c>
      <c r="EB269" t="e">
        <f>AND(#REF!,"AAAAAEvfD4M=")</f>
        <v>#REF!</v>
      </c>
      <c r="EC269" t="e">
        <f>AND(#REF!,"AAAAAEvfD4Q=")</f>
        <v>#REF!</v>
      </c>
      <c r="ED269" t="e">
        <f>AND(#REF!,"AAAAAEvfD4U=")</f>
        <v>#REF!</v>
      </c>
      <c r="EE269" t="e">
        <f>AND(#REF!,"AAAAAEvfD4Y=")</f>
        <v>#REF!</v>
      </c>
      <c r="EF269" t="e">
        <f>AND(#REF!,"AAAAAEvfD4c=")</f>
        <v>#REF!</v>
      </c>
      <c r="EG269" t="e">
        <f>AND(#REF!,"AAAAAEvfD4g=")</f>
        <v>#REF!</v>
      </c>
      <c r="EH269" t="e">
        <f>AND(#REF!,"AAAAAEvfD4k=")</f>
        <v>#REF!</v>
      </c>
      <c r="EI269" t="e">
        <f>AND(#REF!,"AAAAAEvfD4o=")</f>
        <v>#REF!</v>
      </c>
      <c r="EJ269" t="e">
        <f>AND(#REF!,"AAAAAEvfD4s=")</f>
        <v>#REF!</v>
      </c>
      <c r="EK269" t="e">
        <f>AND(#REF!,"AAAAAEvfD4w=")</f>
        <v>#REF!</v>
      </c>
      <c r="EL269" t="e">
        <f>AND(#REF!,"AAAAAEvfD40=")</f>
        <v>#REF!</v>
      </c>
      <c r="EM269" t="e">
        <f>AND(#REF!,"AAAAAEvfD44=")</f>
        <v>#REF!</v>
      </c>
      <c r="EN269" t="e">
        <f>AND(#REF!,"AAAAAEvfD48=")</f>
        <v>#REF!</v>
      </c>
      <c r="EO269" t="e">
        <f>AND(#REF!,"AAAAAEvfD5A=")</f>
        <v>#REF!</v>
      </c>
      <c r="EP269" t="e">
        <f>AND(#REF!,"AAAAAEvfD5E=")</f>
        <v>#REF!</v>
      </c>
      <c r="EQ269" t="e">
        <f>AND(#REF!,"AAAAAEvfD5I=")</f>
        <v>#REF!</v>
      </c>
      <c r="ER269" t="e">
        <f>AND(#REF!,"AAAAAEvfD5M=")</f>
        <v>#REF!</v>
      </c>
      <c r="ES269" t="e">
        <f>AND(#REF!,"AAAAAEvfD5Q=")</f>
        <v>#REF!</v>
      </c>
      <c r="ET269" t="e">
        <f>AND(#REF!,"AAAAAEvfD5U=")</f>
        <v>#REF!</v>
      </c>
      <c r="EU269" t="e">
        <f>AND(#REF!,"AAAAAEvfD5Y=")</f>
        <v>#REF!</v>
      </c>
      <c r="EV269" t="e">
        <f>AND(#REF!,"AAAAAEvfD5c=")</f>
        <v>#REF!</v>
      </c>
      <c r="EW269" t="e">
        <f>IF(#REF!,"AAAAAEvfD5g=",0)</f>
        <v>#REF!</v>
      </c>
      <c r="EX269" t="e">
        <f>AND(#REF!,"AAAAAEvfD5k=")</f>
        <v>#REF!</v>
      </c>
      <c r="EY269" t="e">
        <f>AND(#REF!,"AAAAAEvfD5o=")</f>
        <v>#REF!</v>
      </c>
      <c r="EZ269" t="e">
        <f>AND(#REF!,"AAAAAEvfD5s=")</f>
        <v>#REF!</v>
      </c>
      <c r="FA269" t="e">
        <f>AND(#REF!,"AAAAAEvfD5w=")</f>
        <v>#REF!</v>
      </c>
      <c r="FB269" t="e">
        <f>AND(#REF!,"AAAAAEvfD50=")</f>
        <v>#REF!</v>
      </c>
      <c r="FC269" t="e">
        <f>AND(#REF!,"AAAAAEvfD54=")</f>
        <v>#REF!</v>
      </c>
      <c r="FD269" t="e">
        <f>AND(#REF!,"AAAAAEvfD58=")</f>
        <v>#REF!</v>
      </c>
      <c r="FE269" t="e">
        <f>AND(#REF!,"AAAAAEvfD6A=")</f>
        <v>#REF!</v>
      </c>
      <c r="FF269" t="e">
        <f>AND(#REF!,"AAAAAEvfD6E=")</f>
        <v>#REF!</v>
      </c>
      <c r="FG269" t="e">
        <f>AND(#REF!,"AAAAAEvfD6I=")</f>
        <v>#REF!</v>
      </c>
      <c r="FH269" t="e">
        <f>AND(#REF!,"AAAAAEvfD6M=")</f>
        <v>#REF!</v>
      </c>
      <c r="FI269" t="e">
        <f>AND(#REF!,"AAAAAEvfD6Q=")</f>
        <v>#REF!</v>
      </c>
      <c r="FJ269" t="e">
        <f>AND(#REF!,"AAAAAEvfD6U=")</f>
        <v>#REF!</v>
      </c>
      <c r="FK269" t="e">
        <f>AND(#REF!,"AAAAAEvfD6Y=")</f>
        <v>#REF!</v>
      </c>
      <c r="FL269" t="e">
        <f>AND(#REF!,"AAAAAEvfD6c=")</f>
        <v>#REF!</v>
      </c>
      <c r="FM269" t="e">
        <f>AND(#REF!,"AAAAAEvfD6g=")</f>
        <v>#REF!</v>
      </c>
      <c r="FN269" t="e">
        <f>AND(#REF!,"AAAAAEvfD6k=")</f>
        <v>#REF!</v>
      </c>
      <c r="FO269" t="e">
        <f>AND(#REF!,"AAAAAEvfD6o=")</f>
        <v>#REF!</v>
      </c>
      <c r="FP269" t="e">
        <f>AND(#REF!,"AAAAAEvfD6s=")</f>
        <v>#REF!</v>
      </c>
      <c r="FQ269" t="e">
        <f>AND(#REF!,"AAAAAEvfD6w=")</f>
        <v>#REF!</v>
      </c>
      <c r="FR269" t="e">
        <f>AND(#REF!,"AAAAAEvfD60=")</f>
        <v>#REF!</v>
      </c>
      <c r="FS269" t="e">
        <f>AND(#REF!,"AAAAAEvfD64=")</f>
        <v>#REF!</v>
      </c>
      <c r="FT269" t="e">
        <f>AND(#REF!,"AAAAAEvfD68=")</f>
        <v>#REF!</v>
      </c>
      <c r="FU269" t="e">
        <f>AND(#REF!,"AAAAAEvfD7A=")</f>
        <v>#REF!</v>
      </c>
      <c r="FV269" t="e">
        <f>IF(#REF!,"AAAAAEvfD7E=",0)</f>
        <v>#REF!</v>
      </c>
      <c r="FW269" t="e">
        <f>AND(#REF!,"AAAAAEvfD7I=")</f>
        <v>#REF!</v>
      </c>
      <c r="FX269" t="e">
        <f>AND(#REF!,"AAAAAEvfD7M=")</f>
        <v>#REF!</v>
      </c>
      <c r="FY269" t="e">
        <f>AND(#REF!,"AAAAAEvfD7Q=")</f>
        <v>#REF!</v>
      </c>
      <c r="FZ269" t="e">
        <f>AND(#REF!,"AAAAAEvfD7U=")</f>
        <v>#REF!</v>
      </c>
      <c r="GA269" t="e">
        <f>AND(#REF!,"AAAAAEvfD7Y=")</f>
        <v>#REF!</v>
      </c>
      <c r="GB269" t="e">
        <f>AND(#REF!,"AAAAAEvfD7c=")</f>
        <v>#REF!</v>
      </c>
      <c r="GC269" t="e">
        <f>AND(#REF!,"AAAAAEvfD7g=")</f>
        <v>#REF!</v>
      </c>
      <c r="GD269" t="e">
        <f>AND(#REF!,"AAAAAEvfD7k=")</f>
        <v>#REF!</v>
      </c>
      <c r="GE269" t="e">
        <f>AND(#REF!,"AAAAAEvfD7o=")</f>
        <v>#REF!</v>
      </c>
      <c r="GF269" t="e">
        <f>AND(#REF!,"AAAAAEvfD7s=")</f>
        <v>#REF!</v>
      </c>
      <c r="GG269" t="e">
        <f>AND(#REF!,"AAAAAEvfD7w=")</f>
        <v>#REF!</v>
      </c>
      <c r="GH269" t="e">
        <f>AND(#REF!,"AAAAAEvfD70=")</f>
        <v>#REF!</v>
      </c>
      <c r="GI269" t="e">
        <f>AND(#REF!,"AAAAAEvfD74=")</f>
        <v>#REF!</v>
      </c>
      <c r="GJ269" t="e">
        <f>AND(#REF!,"AAAAAEvfD78=")</f>
        <v>#REF!</v>
      </c>
      <c r="GK269" t="e">
        <f>AND(#REF!,"AAAAAEvfD8A=")</f>
        <v>#REF!</v>
      </c>
      <c r="GL269" t="e">
        <f>AND(#REF!,"AAAAAEvfD8E=")</f>
        <v>#REF!</v>
      </c>
      <c r="GM269" t="e">
        <f>AND(#REF!,"AAAAAEvfD8I=")</f>
        <v>#REF!</v>
      </c>
      <c r="GN269" t="e">
        <f>AND(#REF!,"AAAAAEvfD8M=")</f>
        <v>#REF!</v>
      </c>
      <c r="GO269" t="e">
        <f>AND(#REF!,"AAAAAEvfD8Q=")</f>
        <v>#REF!</v>
      </c>
      <c r="GP269" t="e">
        <f>AND(#REF!,"AAAAAEvfD8U=")</f>
        <v>#REF!</v>
      </c>
      <c r="GQ269" t="e">
        <f>AND(#REF!,"AAAAAEvfD8Y=")</f>
        <v>#REF!</v>
      </c>
      <c r="GR269" t="e">
        <f>AND(#REF!,"AAAAAEvfD8c=")</f>
        <v>#REF!</v>
      </c>
      <c r="GS269" t="e">
        <f>AND(#REF!,"AAAAAEvfD8g=")</f>
        <v>#REF!</v>
      </c>
      <c r="GT269" t="e">
        <f>AND(#REF!,"AAAAAEvfD8k=")</f>
        <v>#REF!</v>
      </c>
      <c r="GU269" t="e">
        <f>IF(#REF!,"AAAAAEvfD8o=",0)</f>
        <v>#REF!</v>
      </c>
      <c r="GV269" t="e">
        <f>AND(#REF!,"AAAAAEvfD8s=")</f>
        <v>#REF!</v>
      </c>
      <c r="GW269" t="e">
        <f>AND(#REF!,"AAAAAEvfD8w=")</f>
        <v>#REF!</v>
      </c>
      <c r="GX269" t="e">
        <f>AND(#REF!,"AAAAAEvfD80=")</f>
        <v>#REF!</v>
      </c>
      <c r="GY269" t="e">
        <f>AND(#REF!,"AAAAAEvfD84=")</f>
        <v>#REF!</v>
      </c>
      <c r="GZ269" t="e">
        <f>AND(#REF!,"AAAAAEvfD88=")</f>
        <v>#REF!</v>
      </c>
      <c r="HA269" t="e">
        <f>AND(#REF!,"AAAAAEvfD9A=")</f>
        <v>#REF!</v>
      </c>
      <c r="HB269" t="e">
        <f>AND(#REF!,"AAAAAEvfD9E=")</f>
        <v>#REF!</v>
      </c>
      <c r="HC269" t="e">
        <f>AND(#REF!,"AAAAAEvfD9I=")</f>
        <v>#REF!</v>
      </c>
      <c r="HD269" t="e">
        <f>AND(#REF!,"AAAAAEvfD9M=")</f>
        <v>#REF!</v>
      </c>
      <c r="HE269" t="e">
        <f>AND(#REF!,"AAAAAEvfD9Q=")</f>
        <v>#REF!</v>
      </c>
      <c r="HF269" t="e">
        <f>AND(#REF!,"AAAAAEvfD9U=")</f>
        <v>#REF!</v>
      </c>
      <c r="HG269" t="e">
        <f>AND(#REF!,"AAAAAEvfD9Y=")</f>
        <v>#REF!</v>
      </c>
      <c r="HH269" t="e">
        <f>AND(#REF!,"AAAAAEvfD9c=")</f>
        <v>#REF!</v>
      </c>
      <c r="HI269" t="e">
        <f>AND(#REF!,"AAAAAEvfD9g=")</f>
        <v>#REF!</v>
      </c>
      <c r="HJ269" t="e">
        <f>AND(#REF!,"AAAAAEvfD9k=")</f>
        <v>#REF!</v>
      </c>
      <c r="HK269" t="e">
        <f>AND(#REF!,"AAAAAEvfD9o=")</f>
        <v>#REF!</v>
      </c>
      <c r="HL269" t="e">
        <f>AND(#REF!,"AAAAAEvfD9s=")</f>
        <v>#REF!</v>
      </c>
      <c r="HM269" t="e">
        <f>AND(#REF!,"AAAAAEvfD9w=")</f>
        <v>#REF!</v>
      </c>
      <c r="HN269" t="e">
        <f>AND(#REF!,"AAAAAEvfD90=")</f>
        <v>#REF!</v>
      </c>
      <c r="HO269" t="e">
        <f>AND(#REF!,"AAAAAEvfD94=")</f>
        <v>#REF!</v>
      </c>
      <c r="HP269" t="e">
        <f>AND(#REF!,"AAAAAEvfD98=")</f>
        <v>#REF!</v>
      </c>
      <c r="HQ269" t="e">
        <f>AND(#REF!,"AAAAAEvfD+A=")</f>
        <v>#REF!</v>
      </c>
      <c r="HR269" t="e">
        <f>AND(#REF!,"AAAAAEvfD+E=")</f>
        <v>#REF!</v>
      </c>
      <c r="HS269" t="e">
        <f>AND(#REF!,"AAAAAEvfD+I=")</f>
        <v>#REF!</v>
      </c>
      <c r="HT269" t="e">
        <f>IF(#REF!,"AAAAAEvfD+M=",0)</f>
        <v>#REF!</v>
      </c>
      <c r="HU269" t="e">
        <f>AND(#REF!,"AAAAAEvfD+Q=")</f>
        <v>#REF!</v>
      </c>
      <c r="HV269" t="e">
        <f>AND(#REF!,"AAAAAEvfD+U=")</f>
        <v>#REF!</v>
      </c>
      <c r="HW269" t="e">
        <f>AND(#REF!,"AAAAAEvfD+Y=")</f>
        <v>#REF!</v>
      </c>
      <c r="HX269" t="e">
        <f>AND(#REF!,"AAAAAEvfD+c=")</f>
        <v>#REF!</v>
      </c>
      <c r="HY269" t="e">
        <f>AND(#REF!,"AAAAAEvfD+g=")</f>
        <v>#REF!</v>
      </c>
      <c r="HZ269" t="e">
        <f>AND(#REF!,"AAAAAEvfD+k=")</f>
        <v>#REF!</v>
      </c>
      <c r="IA269" t="e">
        <f>AND(#REF!,"AAAAAEvfD+o=")</f>
        <v>#REF!</v>
      </c>
      <c r="IB269" t="e">
        <f>AND(#REF!,"AAAAAEvfD+s=")</f>
        <v>#REF!</v>
      </c>
      <c r="IC269" t="e">
        <f>AND(#REF!,"AAAAAEvfD+w=")</f>
        <v>#REF!</v>
      </c>
      <c r="ID269" t="e">
        <f>AND(#REF!,"AAAAAEvfD+0=")</f>
        <v>#REF!</v>
      </c>
      <c r="IE269" t="e">
        <f>AND(#REF!,"AAAAAEvfD+4=")</f>
        <v>#REF!</v>
      </c>
      <c r="IF269" t="e">
        <f>AND(#REF!,"AAAAAEvfD+8=")</f>
        <v>#REF!</v>
      </c>
      <c r="IG269" t="e">
        <f>AND(#REF!,"AAAAAEvfD/A=")</f>
        <v>#REF!</v>
      </c>
      <c r="IH269" t="e">
        <f>AND(#REF!,"AAAAAEvfD/E=")</f>
        <v>#REF!</v>
      </c>
      <c r="II269" t="e">
        <f>AND(#REF!,"AAAAAEvfD/I=")</f>
        <v>#REF!</v>
      </c>
      <c r="IJ269" t="e">
        <f>AND(#REF!,"AAAAAEvfD/M=")</f>
        <v>#REF!</v>
      </c>
      <c r="IK269" t="e">
        <f>AND(#REF!,"AAAAAEvfD/Q=")</f>
        <v>#REF!</v>
      </c>
      <c r="IL269" t="e">
        <f>AND(#REF!,"AAAAAEvfD/U=")</f>
        <v>#REF!</v>
      </c>
      <c r="IM269" t="e">
        <f>AND(#REF!,"AAAAAEvfD/Y=")</f>
        <v>#REF!</v>
      </c>
      <c r="IN269" t="e">
        <f>AND(#REF!,"AAAAAEvfD/c=")</f>
        <v>#REF!</v>
      </c>
      <c r="IO269" t="e">
        <f>AND(#REF!,"AAAAAEvfD/g=")</f>
        <v>#REF!</v>
      </c>
      <c r="IP269" t="e">
        <f>AND(#REF!,"AAAAAEvfD/k=")</f>
        <v>#REF!</v>
      </c>
      <c r="IQ269" t="e">
        <f>AND(#REF!,"AAAAAEvfD/o=")</f>
        <v>#REF!</v>
      </c>
      <c r="IR269" t="e">
        <f>AND(#REF!,"AAAAAEvfD/s=")</f>
        <v>#REF!</v>
      </c>
      <c r="IS269" t="e">
        <f>IF(#REF!,"AAAAAEvfD/w=",0)</f>
        <v>#REF!</v>
      </c>
      <c r="IT269" t="e">
        <f>AND(#REF!,"AAAAAEvfD/0=")</f>
        <v>#REF!</v>
      </c>
      <c r="IU269" t="e">
        <f>AND(#REF!,"AAAAAEvfD/4=")</f>
        <v>#REF!</v>
      </c>
      <c r="IV269" t="e">
        <f>AND(#REF!,"AAAAAEvfD/8=")</f>
        <v>#REF!</v>
      </c>
    </row>
    <row r="270" spans="1:256">
      <c r="A270" t="e">
        <f>AND(#REF!,"AAAAAHfthgA=")</f>
        <v>#REF!</v>
      </c>
      <c r="B270" t="e">
        <f>AND(#REF!,"AAAAAHfthgE=")</f>
        <v>#REF!</v>
      </c>
      <c r="C270" t="e">
        <f>AND(#REF!,"AAAAAHfthgI=")</f>
        <v>#REF!</v>
      </c>
      <c r="D270" t="e">
        <f>AND(#REF!,"AAAAAHfthgM=")</f>
        <v>#REF!</v>
      </c>
      <c r="E270" t="e">
        <f>AND(#REF!,"AAAAAHfthgQ=")</f>
        <v>#REF!</v>
      </c>
      <c r="F270" t="e">
        <f>AND(#REF!,"AAAAAHfthgU=")</f>
        <v>#REF!</v>
      </c>
      <c r="G270" t="e">
        <f>AND(#REF!,"AAAAAHfthgY=")</f>
        <v>#REF!</v>
      </c>
      <c r="H270" t="e">
        <f>AND(#REF!,"AAAAAHfthgc=")</f>
        <v>#REF!</v>
      </c>
      <c r="I270" t="e">
        <f>AND(#REF!,"AAAAAHfthgg=")</f>
        <v>#REF!</v>
      </c>
      <c r="J270" t="e">
        <f>AND(#REF!,"AAAAAHfthgk=")</f>
        <v>#REF!</v>
      </c>
      <c r="K270" t="e">
        <f>AND(#REF!,"AAAAAHfthgo=")</f>
        <v>#REF!</v>
      </c>
      <c r="L270" t="e">
        <f>AND(#REF!,"AAAAAHfthgs=")</f>
        <v>#REF!</v>
      </c>
      <c r="M270" t="e">
        <f>AND(#REF!,"AAAAAHfthgw=")</f>
        <v>#REF!</v>
      </c>
      <c r="N270" t="e">
        <f>AND(#REF!,"AAAAAHfthg0=")</f>
        <v>#REF!</v>
      </c>
      <c r="O270" t="e">
        <f>AND(#REF!,"AAAAAHfthg4=")</f>
        <v>#REF!</v>
      </c>
      <c r="P270" t="e">
        <f>AND(#REF!,"AAAAAHfthg8=")</f>
        <v>#REF!</v>
      </c>
      <c r="Q270" t="e">
        <f>AND(#REF!,"AAAAAHfthhA=")</f>
        <v>#REF!</v>
      </c>
      <c r="R270" t="e">
        <f>AND(#REF!,"AAAAAHfthhE=")</f>
        <v>#REF!</v>
      </c>
      <c r="S270" t="e">
        <f>AND(#REF!,"AAAAAHfthhI=")</f>
        <v>#REF!</v>
      </c>
      <c r="T270" t="e">
        <f>AND(#REF!,"AAAAAHfthhM=")</f>
        <v>#REF!</v>
      </c>
      <c r="U270" t="e">
        <f>AND(#REF!,"AAAAAHfthhQ=")</f>
        <v>#REF!</v>
      </c>
      <c r="V270" t="e">
        <f>IF(#REF!,"AAAAAHfthhU=",0)</f>
        <v>#REF!</v>
      </c>
      <c r="W270" t="e">
        <f>AND(#REF!,"AAAAAHfthhY=")</f>
        <v>#REF!</v>
      </c>
      <c r="X270" t="e">
        <f>AND(#REF!,"AAAAAHfthhc=")</f>
        <v>#REF!</v>
      </c>
      <c r="Y270" t="e">
        <f>AND(#REF!,"AAAAAHfthhg=")</f>
        <v>#REF!</v>
      </c>
      <c r="Z270" t="e">
        <f>AND(#REF!,"AAAAAHfthhk=")</f>
        <v>#REF!</v>
      </c>
      <c r="AA270" t="e">
        <f>AND(#REF!,"AAAAAHfthho=")</f>
        <v>#REF!</v>
      </c>
      <c r="AB270" t="e">
        <f>AND(#REF!,"AAAAAHfthhs=")</f>
        <v>#REF!</v>
      </c>
      <c r="AC270" t="e">
        <f>AND(#REF!,"AAAAAHfthhw=")</f>
        <v>#REF!</v>
      </c>
      <c r="AD270" t="e">
        <f>AND(#REF!,"AAAAAHfthh0=")</f>
        <v>#REF!</v>
      </c>
      <c r="AE270" t="e">
        <f>AND(#REF!,"AAAAAHfthh4=")</f>
        <v>#REF!</v>
      </c>
      <c r="AF270" t="e">
        <f>AND(#REF!,"AAAAAHfthh8=")</f>
        <v>#REF!</v>
      </c>
      <c r="AG270" t="e">
        <f>AND(#REF!,"AAAAAHfthiA=")</f>
        <v>#REF!</v>
      </c>
      <c r="AH270" t="e">
        <f>AND(#REF!,"AAAAAHfthiE=")</f>
        <v>#REF!</v>
      </c>
      <c r="AI270" t="e">
        <f>AND(#REF!,"AAAAAHfthiI=")</f>
        <v>#REF!</v>
      </c>
      <c r="AJ270" t="e">
        <f>AND(#REF!,"AAAAAHfthiM=")</f>
        <v>#REF!</v>
      </c>
      <c r="AK270" t="e">
        <f>AND(#REF!,"AAAAAHfthiQ=")</f>
        <v>#REF!</v>
      </c>
      <c r="AL270" t="e">
        <f>AND(#REF!,"AAAAAHfthiU=")</f>
        <v>#REF!</v>
      </c>
      <c r="AM270" t="e">
        <f>AND(#REF!,"AAAAAHfthiY=")</f>
        <v>#REF!</v>
      </c>
      <c r="AN270" t="e">
        <f>AND(#REF!,"AAAAAHfthic=")</f>
        <v>#REF!</v>
      </c>
      <c r="AO270" t="e">
        <f>AND(#REF!,"AAAAAHfthig=")</f>
        <v>#REF!</v>
      </c>
      <c r="AP270" t="e">
        <f>AND(#REF!,"AAAAAHfthik=")</f>
        <v>#REF!</v>
      </c>
      <c r="AQ270" t="e">
        <f>AND(#REF!,"AAAAAHfthio=")</f>
        <v>#REF!</v>
      </c>
      <c r="AR270" t="e">
        <f>AND(#REF!,"AAAAAHfthis=")</f>
        <v>#REF!</v>
      </c>
      <c r="AS270" t="e">
        <f>AND(#REF!,"AAAAAHfthiw=")</f>
        <v>#REF!</v>
      </c>
      <c r="AT270" t="e">
        <f>AND(#REF!,"AAAAAHfthi0=")</f>
        <v>#REF!</v>
      </c>
      <c r="AU270" t="e">
        <f>IF(#REF!,"AAAAAHfthi4=",0)</f>
        <v>#REF!</v>
      </c>
      <c r="AV270" t="e">
        <f>AND(#REF!,"AAAAAHfthi8=")</f>
        <v>#REF!</v>
      </c>
      <c r="AW270" t="e">
        <f>AND(#REF!,"AAAAAHfthjA=")</f>
        <v>#REF!</v>
      </c>
      <c r="AX270" t="e">
        <f>AND(#REF!,"AAAAAHfthjE=")</f>
        <v>#REF!</v>
      </c>
      <c r="AY270" t="e">
        <f>AND(#REF!,"AAAAAHfthjI=")</f>
        <v>#REF!</v>
      </c>
      <c r="AZ270" t="e">
        <f>AND(#REF!,"AAAAAHfthjM=")</f>
        <v>#REF!</v>
      </c>
      <c r="BA270" t="e">
        <f>AND(#REF!,"AAAAAHfthjQ=")</f>
        <v>#REF!</v>
      </c>
      <c r="BB270" t="e">
        <f>AND(#REF!,"AAAAAHfthjU=")</f>
        <v>#REF!</v>
      </c>
      <c r="BC270" t="e">
        <f>AND(#REF!,"AAAAAHfthjY=")</f>
        <v>#REF!</v>
      </c>
      <c r="BD270" t="e">
        <f>AND(#REF!,"AAAAAHfthjc=")</f>
        <v>#REF!</v>
      </c>
      <c r="BE270" t="e">
        <f>AND(#REF!,"AAAAAHfthjg=")</f>
        <v>#REF!</v>
      </c>
      <c r="BF270" t="e">
        <f>AND(#REF!,"AAAAAHfthjk=")</f>
        <v>#REF!</v>
      </c>
      <c r="BG270" t="e">
        <f>AND(#REF!,"AAAAAHfthjo=")</f>
        <v>#REF!</v>
      </c>
      <c r="BH270" t="e">
        <f>AND(#REF!,"AAAAAHfthjs=")</f>
        <v>#REF!</v>
      </c>
      <c r="BI270" t="e">
        <f>AND(#REF!,"AAAAAHfthjw=")</f>
        <v>#REF!</v>
      </c>
      <c r="BJ270" t="e">
        <f>AND(#REF!,"AAAAAHfthj0=")</f>
        <v>#REF!</v>
      </c>
      <c r="BK270" t="e">
        <f>AND(#REF!,"AAAAAHfthj4=")</f>
        <v>#REF!</v>
      </c>
      <c r="BL270" t="e">
        <f>AND(#REF!,"AAAAAHfthj8=")</f>
        <v>#REF!</v>
      </c>
      <c r="BM270" t="e">
        <f>AND(#REF!,"AAAAAHfthkA=")</f>
        <v>#REF!</v>
      </c>
      <c r="BN270" t="e">
        <f>AND(#REF!,"AAAAAHfthkE=")</f>
        <v>#REF!</v>
      </c>
      <c r="BO270" t="e">
        <f>AND(#REF!,"AAAAAHfthkI=")</f>
        <v>#REF!</v>
      </c>
      <c r="BP270" t="e">
        <f>AND(#REF!,"AAAAAHfthkM=")</f>
        <v>#REF!</v>
      </c>
      <c r="BQ270" t="e">
        <f>AND(#REF!,"AAAAAHfthkQ=")</f>
        <v>#REF!</v>
      </c>
      <c r="BR270" t="e">
        <f>AND(#REF!,"AAAAAHfthkU=")</f>
        <v>#REF!</v>
      </c>
      <c r="BS270" t="e">
        <f>AND(#REF!,"AAAAAHfthkY=")</f>
        <v>#REF!</v>
      </c>
      <c r="BT270" t="e">
        <f>IF(#REF!,"AAAAAHfthkc=",0)</f>
        <v>#REF!</v>
      </c>
      <c r="BU270" t="e">
        <f>AND(#REF!,"AAAAAHfthkg=")</f>
        <v>#REF!</v>
      </c>
      <c r="BV270" t="e">
        <f>AND(#REF!,"AAAAAHfthkk=")</f>
        <v>#REF!</v>
      </c>
      <c r="BW270" t="e">
        <f>AND(#REF!,"AAAAAHfthko=")</f>
        <v>#REF!</v>
      </c>
      <c r="BX270" t="e">
        <f>AND(#REF!,"AAAAAHfthks=")</f>
        <v>#REF!</v>
      </c>
      <c r="BY270" t="e">
        <f>AND(#REF!,"AAAAAHfthkw=")</f>
        <v>#REF!</v>
      </c>
      <c r="BZ270" t="e">
        <f>AND(#REF!,"AAAAAHfthk0=")</f>
        <v>#REF!</v>
      </c>
      <c r="CA270" t="e">
        <f>AND(#REF!,"AAAAAHfthk4=")</f>
        <v>#REF!</v>
      </c>
      <c r="CB270" t="e">
        <f>AND(#REF!,"AAAAAHfthk8=")</f>
        <v>#REF!</v>
      </c>
      <c r="CC270" t="e">
        <f>AND(#REF!,"AAAAAHfthlA=")</f>
        <v>#REF!</v>
      </c>
      <c r="CD270" t="e">
        <f>AND(#REF!,"AAAAAHfthlE=")</f>
        <v>#REF!</v>
      </c>
      <c r="CE270" t="e">
        <f>AND(#REF!,"AAAAAHfthlI=")</f>
        <v>#REF!</v>
      </c>
      <c r="CF270" t="e">
        <f>AND(#REF!,"AAAAAHfthlM=")</f>
        <v>#REF!</v>
      </c>
      <c r="CG270" t="e">
        <f>AND(#REF!,"AAAAAHfthlQ=")</f>
        <v>#REF!</v>
      </c>
      <c r="CH270" t="e">
        <f>AND(#REF!,"AAAAAHfthlU=")</f>
        <v>#REF!</v>
      </c>
      <c r="CI270" t="e">
        <f>AND(#REF!,"AAAAAHfthlY=")</f>
        <v>#REF!</v>
      </c>
      <c r="CJ270" t="e">
        <f>AND(#REF!,"AAAAAHfthlc=")</f>
        <v>#REF!</v>
      </c>
      <c r="CK270" t="e">
        <f>AND(#REF!,"AAAAAHfthlg=")</f>
        <v>#REF!</v>
      </c>
      <c r="CL270" t="e">
        <f>AND(#REF!,"AAAAAHfthlk=")</f>
        <v>#REF!</v>
      </c>
      <c r="CM270" t="e">
        <f>AND(#REF!,"AAAAAHfthlo=")</f>
        <v>#REF!</v>
      </c>
      <c r="CN270" t="e">
        <f>AND(#REF!,"AAAAAHfthls=")</f>
        <v>#REF!</v>
      </c>
      <c r="CO270" t="e">
        <f>AND(#REF!,"AAAAAHfthlw=")</f>
        <v>#REF!</v>
      </c>
      <c r="CP270" t="e">
        <f>AND(#REF!,"AAAAAHfthl0=")</f>
        <v>#REF!</v>
      </c>
      <c r="CQ270" t="e">
        <f>AND(#REF!,"AAAAAHfthl4=")</f>
        <v>#REF!</v>
      </c>
      <c r="CR270" t="e">
        <f>AND(#REF!,"AAAAAHfthl8=")</f>
        <v>#REF!</v>
      </c>
      <c r="CS270" t="e">
        <f>IF(#REF!,"AAAAAHfthmA=",0)</f>
        <v>#REF!</v>
      </c>
      <c r="CT270" t="e">
        <f>AND(#REF!,"AAAAAHfthmE=")</f>
        <v>#REF!</v>
      </c>
      <c r="CU270" t="e">
        <f>AND(#REF!,"AAAAAHfthmI=")</f>
        <v>#REF!</v>
      </c>
      <c r="CV270" t="e">
        <f>AND(#REF!,"AAAAAHfthmM=")</f>
        <v>#REF!</v>
      </c>
      <c r="CW270" t="e">
        <f>AND(#REF!,"AAAAAHfthmQ=")</f>
        <v>#REF!</v>
      </c>
      <c r="CX270" t="e">
        <f>AND(#REF!,"AAAAAHfthmU=")</f>
        <v>#REF!</v>
      </c>
      <c r="CY270" t="e">
        <f>AND(#REF!,"AAAAAHfthmY=")</f>
        <v>#REF!</v>
      </c>
      <c r="CZ270" t="e">
        <f>AND(#REF!,"AAAAAHfthmc=")</f>
        <v>#REF!</v>
      </c>
      <c r="DA270" t="e">
        <f>AND(#REF!,"AAAAAHfthmg=")</f>
        <v>#REF!</v>
      </c>
      <c r="DB270" t="e">
        <f>AND(#REF!,"AAAAAHfthmk=")</f>
        <v>#REF!</v>
      </c>
      <c r="DC270" t="e">
        <f>AND(#REF!,"AAAAAHfthmo=")</f>
        <v>#REF!</v>
      </c>
      <c r="DD270" t="e">
        <f>AND(#REF!,"AAAAAHfthms=")</f>
        <v>#REF!</v>
      </c>
      <c r="DE270" t="e">
        <f>AND(#REF!,"AAAAAHfthmw=")</f>
        <v>#REF!</v>
      </c>
      <c r="DF270" t="e">
        <f>AND(#REF!,"AAAAAHfthm0=")</f>
        <v>#REF!</v>
      </c>
      <c r="DG270" t="e">
        <f>AND(#REF!,"AAAAAHfthm4=")</f>
        <v>#REF!</v>
      </c>
      <c r="DH270" t="e">
        <f>AND(#REF!,"AAAAAHfthm8=")</f>
        <v>#REF!</v>
      </c>
      <c r="DI270" t="e">
        <f>AND(#REF!,"AAAAAHfthnA=")</f>
        <v>#REF!</v>
      </c>
      <c r="DJ270" t="e">
        <f>AND(#REF!,"AAAAAHfthnE=")</f>
        <v>#REF!</v>
      </c>
      <c r="DK270" t="e">
        <f>AND(#REF!,"AAAAAHfthnI=")</f>
        <v>#REF!</v>
      </c>
      <c r="DL270" t="e">
        <f>AND(#REF!,"AAAAAHfthnM=")</f>
        <v>#REF!</v>
      </c>
      <c r="DM270" t="e">
        <f>AND(#REF!,"AAAAAHfthnQ=")</f>
        <v>#REF!</v>
      </c>
      <c r="DN270" t="e">
        <f>AND(#REF!,"AAAAAHfthnU=")</f>
        <v>#REF!</v>
      </c>
      <c r="DO270" t="e">
        <f>AND(#REF!,"AAAAAHfthnY=")</f>
        <v>#REF!</v>
      </c>
      <c r="DP270" t="e">
        <f>AND(#REF!,"AAAAAHfthnc=")</f>
        <v>#REF!</v>
      </c>
      <c r="DQ270" t="e">
        <f>AND(#REF!,"AAAAAHfthng=")</f>
        <v>#REF!</v>
      </c>
      <c r="DR270" t="e">
        <f>IF(#REF!,"AAAAAHfthnk=",0)</f>
        <v>#REF!</v>
      </c>
      <c r="DS270" t="e">
        <f>AND(#REF!,"AAAAAHfthno=")</f>
        <v>#REF!</v>
      </c>
      <c r="DT270" t="e">
        <f>AND(#REF!,"AAAAAHfthns=")</f>
        <v>#REF!</v>
      </c>
      <c r="DU270" t="e">
        <f>AND(#REF!,"AAAAAHfthnw=")</f>
        <v>#REF!</v>
      </c>
      <c r="DV270" t="e">
        <f>AND(#REF!,"AAAAAHfthn0=")</f>
        <v>#REF!</v>
      </c>
      <c r="DW270" t="e">
        <f>AND(#REF!,"AAAAAHfthn4=")</f>
        <v>#REF!</v>
      </c>
      <c r="DX270" t="e">
        <f>AND(#REF!,"AAAAAHfthn8=")</f>
        <v>#REF!</v>
      </c>
      <c r="DY270" t="e">
        <f>AND(#REF!,"AAAAAHfthoA=")</f>
        <v>#REF!</v>
      </c>
      <c r="DZ270" t="e">
        <f>AND(#REF!,"AAAAAHfthoE=")</f>
        <v>#REF!</v>
      </c>
      <c r="EA270" t="e">
        <f>AND(#REF!,"AAAAAHfthoI=")</f>
        <v>#REF!</v>
      </c>
      <c r="EB270" t="e">
        <f>AND(#REF!,"AAAAAHfthoM=")</f>
        <v>#REF!</v>
      </c>
      <c r="EC270" t="e">
        <f>AND(#REF!,"AAAAAHfthoQ=")</f>
        <v>#REF!</v>
      </c>
      <c r="ED270" t="e">
        <f>AND(#REF!,"AAAAAHfthoU=")</f>
        <v>#REF!</v>
      </c>
      <c r="EE270" t="e">
        <f>AND(#REF!,"AAAAAHfthoY=")</f>
        <v>#REF!</v>
      </c>
      <c r="EF270" t="e">
        <f>AND(#REF!,"AAAAAHfthoc=")</f>
        <v>#REF!</v>
      </c>
      <c r="EG270" t="e">
        <f>AND(#REF!,"AAAAAHfthog=")</f>
        <v>#REF!</v>
      </c>
      <c r="EH270" t="e">
        <f>AND(#REF!,"AAAAAHfthok=")</f>
        <v>#REF!</v>
      </c>
      <c r="EI270" t="e">
        <f>AND(#REF!,"AAAAAHfthoo=")</f>
        <v>#REF!</v>
      </c>
      <c r="EJ270" t="e">
        <f>AND(#REF!,"AAAAAHfthos=")</f>
        <v>#REF!</v>
      </c>
      <c r="EK270" t="e">
        <f>AND(#REF!,"AAAAAHfthow=")</f>
        <v>#REF!</v>
      </c>
      <c r="EL270" t="e">
        <f>AND(#REF!,"AAAAAHftho0=")</f>
        <v>#REF!</v>
      </c>
      <c r="EM270" t="e">
        <f>AND(#REF!,"AAAAAHftho4=")</f>
        <v>#REF!</v>
      </c>
      <c r="EN270" t="e">
        <f>AND(#REF!,"AAAAAHftho8=")</f>
        <v>#REF!</v>
      </c>
      <c r="EO270" t="e">
        <f>AND(#REF!,"AAAAAHfthpA=")</f>
        <v>#REF!</v>
      </c>
      <c r="EP270" t="e">
        <f>AND(#REF!,"AAAAAHfthpE=")</f>
        <v>#REF!</v>
      </c>
      <c r="EQ270" t="e">
        <f>IF(#REF!,"AAAAAHfthpI=",0)</f>
        <v>#REF!</v>
      </c>
      <c r="ER270" t="e">
        <f>AND(#REF!,"AAAAAHfthpM=")</f>
        <v>#REF!</v>
      </c>
      <c r="ES270" t="e">
        <f>AND(#REF!,"AAAAAHfthpQ=")</f>
        <v>#REF!</v>
      </c>
      <c r="ET270" t="e">
        <f>AND(#REF!,"AAAAAHfthpU=")</f>
        <v>#REF!</v>
      </c>
      <c r="EU270" t="e">
        <f>AND(#REF!,"AAAAAHfthpY=")</f>
        <v>#REF!</v>
      </c>
      <c r="EV270" t="e">
        <f>AND(#REF!,"AAAAAHfthpc=")</f>
        <v>#REF!</v>
      </c>
      <c r="EW270" t="e">
        <f>AND(#REF!,"AAAAAHfthpg=")</f>
        <v>#REF!</v>
      </c>
      <c r="EX270" t="e">
        <f>AND(#REF!,"AAAAAHfthpk=")</f>
        <v>#REF!</v>
      </c>
      <c r="EY270" t="e">
        <f>AND(#REF!,"AAAAAHfthpo=")</f>
        <v>#REF!</v>
      </c>
      <c r="EZ270" t="e">
        <f>AND(#REF!,"AAAAAHfthps=")</f>
        <v>#REF!</v>
      </c>
      <c r="FA270" t="e">
        <f>AND(#REF!,"AAAAAHfthpw=")</f>
        <v>#REF!</v>
      </c>
      <c r="FB270" t="e">
        <f>AND(#REF!,"AAAAAHfthp0=")</f>
        <v>#REF!</v>
      </c>
      <c r="FC270" t="e">
        <f>AND(#REF!,"AAAAAHfthp4=")</f>
        <v>#REF!</v>
      </c>
      <c r="FD270" t="e">
        <f>AND(#REF!,"AAAAAHfthp8=")</f>
        <v>#REF!</v>
      </c>
      <c r="FE270" t="e">
        <f>AND(#REF!,"AAAAAHfthqA=")</f>
        <v>#REF!</v>
      </c>
      <c r="FF270" t="e">
        <f>AND(#REF!,"AAAAAHfthqE=")</f>
        <v>#REF!</v>
      </c>
      <c r="FG270" t="e">
        <f>AND(#REF!,"AAAAAHfthqI=")</f>
        <v>#REF!</v>
      </c>
      <c r="FH270" t="e">
        <f>AND(#REF!,"AAAAAHfthqM=")</f>
        <v>#REF!</v>
      </c>
      <c r="FI270" t="e">
        <f>AND(#REF!,"AAAAAHfthqQ=")</f>
        <v>#REF!</v>
      </c>
      <c r="FJ270" t="e">
        <f>AND(#REF!,"AAAAAHfthqU=")</f>
        <v>#REF!</v>
      </c>
      <c r="FK270" t="e">
        <f>AND(#REF!,"AAAAAHfthqY=")</f>
        <v>#REF!</v>
      </c>
      <c r="FL270" t="e">
        <f>AND(#REF!,"AAAAAHfthqc=")</f>
        <v>#REF!</v>
      </c>
      <c r="FM270" t="e">
        <f>AND(#REF!,"AAAAAHfthqg=")</f>
        <v>#REF!</v>
      </c>
      <c r="FN270" t="e">
        <f>AND(#REF!,"AAAAAHfthqk=")</f>
        <v>#REF!</v>
      </c>
      <c r="FO270" t="e">
        <f>AND(#REF!,"AAAAAHfthqo=")</f>
        <v>#REF!</v>
      </c>
      <c r="FP270" t="e">
        <f>IF(#REF!,"AAAAAHfthqs=",0)</f>
        <v>#REF!</v>
      </c>
      <c r="FQ270" t="e">
        <f>AND(#REF!,"AAAAAHfthqw=")</f>
        <v>#REF!</v>
      </c>
      <c r="FR270" t="e">
        <f>AND(#REF!,"AAAAAHfthq0=")</f>
        <v>#REF!</v>
      </c>
      <c r="FS270" t="e">
        <f>AND(#REF!,"AAAAAHfthq4=")</f>
        <v>#REF!</v>
      </c>
      <c r="FT270" t="e">
        <f>AND(#REF!,"AAAAAHfthq8=")</f>
        <v>#REF!</v>
      </c>
      <c r="FU270" t="e">
        <f>AND(#REF!,"AAAAAHfthrA=")</f>
        <v>#REF!</v>
      </c>
      <c r="FV270" t="e">
        <f>AND(#REF!,"AAAAAHfthrE=")</f>
        <v>#REF!</v>
      </c>
      <c r="FW270" t="e">
        <f>AND(#REF!,"AAAAAHfthrI=")</f>
        <v>#REF!</v>
      </c>
      <c r="FX270" t="e">
        <f>AND(#REF!,"AAAAAHfthrM=")</f>
        <v>#REF!</v>
      </c>
      <c r="FY270" t="e">
        <f>AND(#REF!,"AAAAAHfthrQ=")</f>
        <v>#REF!</v>
      </c>
      <c r="FZ270" t="e">
        <f>AND(#REF!,"AAAAAHfthrU=")</f>
        <v>#REF!</v>
      </c>
      <c r="GA270" t="e">
        <f>AND(#REF!,"AAAAAHfthrY=")</f>
        <v>#REF!</v>
      </c>
      <c r="GB270" t="e">
        <f>AND(#REF!,"AAAAAHfthrc=")</f>
        <v>#REF!</v>
      </c>
      <c r="GC270" t="e">
        <f>AND(#REF!,"AAAAAHfthrg=")</f>
        <v>#REF!</v>
      </c>
      <c r="GD270" t="e">
        <f>AND(#REF!,"AAAAAHfthrk=")</f>
        <v>#REF!</v>
      </c>
      <c r="GE270" t="e">
        <f>AND(#REF!,"AAAAAHfthro=")</f>
        <v>#REF!</v>
      </c>
      <c r="GF270" t="e">
        <f>AND(#REF!,"AAAAAHfthrs=")</f>
        <v>#REF!</v>
      </c>
      <c r="GG270" t="e">
        <f>AND(#REF!,"AAAAAHfthrw=")</f>
        <v>#REF!</v>
      </c>
      <c r="GH270" t="e">
        <f>AND(#REF!,"AAAAAHfthr0=")</f>
        <v>#REF!</v>
      </c>
      <c r="GI270" t="e">
        <f>AND(#REF!,"AAAAAHfthr4=")</f>
        <v>#REF!</v>
      </c>
      <c r="GJ270" t="e">
        <f>AND(#REF!,"AAAAAHfthr8=")</f>
        <v>#REF!</v>
      </c>
      <c r="GK270" t="e">
        <f>AND(#REF!,"AAAAAHfthsA=")</f>
        <v>#REF!</v>
      </c>
      <c r="GL270" t="e">
        <f>AND(#REF!,"AAAAAHfthsE=")</f>
        <v>#REF!</v>
      </c>
      <c r="GM270" t="e">
        <f>AND(#REF!,"AAAAAHfthsI=")</f>
        <v>#REF!</v>
      </c>
      <c r="GN270" t="e">
        <f>AND(#REF!,"AAAAAHfthsM=")</f>
        <v>#REF!</v>
      </c>
      <c r="GO270" t="e">
        <f>IF(#REF!,"AAAAAHfthsQ=",0)</f>
        <v>#REF!</v>
      </c>
      <c r="GP270" t="e">
        <f>AND(#REF!,"AAAAAHfthsU=")</f>
        <v>#REF!</v>
      </c>
      <c r="GQ270" t="e">
        <f>AND(#REF!,"AAAAAHfthsY=")</f>
        <v>#REF!</v>
      </c>
      <c r="GR270" t="e">
        <f>AND(#REF!,"AAAAAHfthsc=")</f>
        <v>#REF!</v>
      </c>
      <c r="GS270" t="e">
        <f>AND(#REF!,"AAAAAHfthsg=")</f>
        <v>#REF!</v>
      </c>
      <c r="GT270" t="e">
        <f>AND(#REF!,"AAAAAHfthsk=")</f>
        <v>#REF!</v>
      </c>
      <c r="GU270" t="e">
        <f>AND(#REF!,"AAAAAHfthso=")</f>
        <v>#REF!</v>
      </c>
      <c r="GV270" t="e">
        <f>AND(#REF!,"AAAAAHfthss=")</f>
        <v>#REF!</v>
      </c>
      <c r="GW270" t="e">
        <f>AND(#REF!,"AAAAAHfthsw=")</f>
        <v>#REF!</v>
      </c>
      <c r="GX270" t="e">
        <f>AND(#REF!,"AAAAAHfths0=")</f>
        <v>#REF!</v>
      </c>
      <c r="GY270" t="e">
        <f>AND(#REF!,"AAAAAHfths4=")</f>
        <v>#REF!</v>
      </c>
      <c r="GZ270" t="e">
        <f>AND(#REF!,"AAAAAHfths8=")</f>
        <v>#REF!</v>
      </c>
      <c r="HA270" t="e">
        <f>AND(#REF!,"AAAAAHfthtA=")</f>
        <v>#REF!</v>
      </c>
      <c r="HB270" t="e">
        <f>AND(#REF!,"AAAAAHfthtE=")</f>
        <v>#REF!</v>
      </c>
      <c r="HC270" t="e">
        <f>AND(#REF!,"AAAAAHfthtI=")</f>
        <v>#REF!</v>
      </c>
      <c r="HD270" t="e">
        <f>AND(#REF!,"AAAAAHfthtM=")</f>
        <v>#REF!</v>
      </c>
      <c r="HE270" t="e">
        <f>AND(#REF!,"AAAAAHfthtQ=")</f>
        <v>#REF!</v>
      </c>
      <c r="HF270" t="e">
        <f>AND(#REF!,"AAAAAHfthtU=")</f>
        <v>#REF!</v>
      </c>
      <c r="HG270" t="e">
        <f>AND(#REF!,"AAAAAHfthtY=")</f>
        <v>#REF!</v>
      </c>
      <c r="HH270" t="e">
        <f>AND(#REF!,"AAAAAHfthtc=")</f>
        <v>#REF!</v>
      </c>
      <c r="HI270" t="e">
        <f>AND(#REF!,"AAAAAHfthtg=")</f>
        <v>#REF!</v>
      </c>
      <c r="HJ270" t="e">
        <f>AND(#REF!,"AAAAAHfthtk=")</f>
        <v>#REF!</v>
      </c>
      <c r="HK270" t="e">
        <f>AND(#REF!,"AAAAAHfthto=")</f>
        <v>#REF!</v>
      </c>
      <c r="HL270" t="e">
        <f>AND(#REF!,"AAAAAHfthts=")</f>
        <v>#REF!</v>
      </c>
      <c r="HM270" t="e">
        <f>AND(#REF!,"AAAAAHfthtw=")</f>
        <v>#REF!</v>
      </c>
      <c r="HN270" t="e">
        <f>IF(#REF!,"AAAAAHftht0=",0)</f>
        <v>#REF!</v>
      </c>
      <c r="HO270" t="e">
        <f>AND(#REF!,"AAAAAHftht4=")</f>
        <v>#REF!</v>
      </c>
      <c r="HP270" t="e">
        <f>AND(#REF!,"AAAAAHftht8=")</f>
        <v>#REF!</v>
      </c>
      <c r="HQ270" t="e">
        <f>AND(#REF!,"AAAAAHfthuA=")</f>
        <v>#REF!</v>
      </c>
      <c r="HR270" t="e">
        <f>AND(#REF!,"AAAAAHfthuE=")</f>
        <v>#REF!</v>
      </c>
      <c r="HS270" t="e">
        <f>AND(#REF!,"AAAAAHfthuI=")</f>
        <v>#REF!</v>
      </c>
      <c r="HT270" t="e">
        <f>AND(#REF!,"AAAAAHfthuM=")</f>
        <v>#REF!</v>
      </c>
      <c r="HU270" t="e">
        <f>AND(#REF!,"AAAAAHfthuQ=")</f>
        <v>#REF!</v>
      </c>
      <c r="HV270" t="e">
        <f>AND(#REF!,"AAAAAHfthuU=")</f>
        <v>#REF!</v>
      </c>
      <c r="HW270" t="e">
        <f>AND(#REF!,"AAAAAHfthuY=")</f>
        <v>#REF!</v>
      </c>
      <c r="HX270" t="e">
        <f>AND(#REF!,"AAAAAHfthuc=")</f>
        <v>#REF!</v>
      </c>
      <c r="HY270" t="e">
        <f>AND(#REF!,"AAAAAHfthug=")</f>
        <v>#REF!</v>
      </c>
      <c r="HZ270" t="e">
        <f>AND(#REF!,"AAAAAHfthuk=")</f>
        <v>#REF!</v>
      </c>
      <c r="IA270" t="e">
        <f>AND(#REF!,"AAAAAHfthuo=")</f>
        <v>#REF!</v>
      </c>
      <c r="IB270" t="e">
        <f>AND(#REF!,"AAAAAHfthus=")</f>
        <v>#REF!</v>
      </c>
      <c r="IC270" t="e">
        <f>AND(#REF!,"AAAAAHfthuw=")</f>
        <v>#REF!</v>
      </c>
      <c r="ID270" t="e">
        <f>AND(#REF!,"AAAAAHfthu0=")</f>
        <v>#REF!</v>
      </c>
      <c r="IE270" t="e">
        <f>AND(#REF!,"AAAAAHfthu4=")</f>
        <v>#REF!</v>
      </c>
      <c r="IF270" t="e">
        <f>AND(#REF!,"AAAAAHfthu8=")</f>
        <v>#REF!</v>
      </c>
      <c r="IG270" t="e">
        <f>AND(#REF!,"AAAAAHfthvA=")</f>
        <v>#REF!</v>
      </c>
      <c r="IH270" t="e">
        <f>AND(#REF!,"AAAAAHfthvE=")</f>
        <v>#REF!</v>
      </c>
      <c r="II270" t="e">
        <f>AND(#REF!,"AAAAAHfthvI=")</f>
        <v>#REF!</v>
      </c>
      <c r="IJ270" t="e">
        <f>AND(#REF!,"AAAAAHfthvM=")</f>
        <v>#REF!</v>
      </c>
      <c r="IK270" t="e">
        <f>AND(#REF!,"AAAAAHfthvQ=")</f>
        <v>#REF!</v>
      </c>
      <c r="IL270" t="e">
        <f>AND(#REF!,"AAAAAHfthvU=")</f>
        <v>#REF!</v>
      </c>
      <c r="IM270" t="e">
        <f>IF(#REF!,"AAAAAHfthvY=",0)</f>
        <v>#REF!</v>
      </c>
      <c r="IN270" t="e">
        <f>AND(#REF!,"AAAAAHfthvc=")</f>
        <v>#REF!</v>
      </c>
      <c r="IO270" t="e">
        <f>AND(#REF!,"AAAAAHfthvg=")</f>
        <v>#REF!</v>
      </c>
      <c r="IP270" t="e">
        <f>AND(#REF!,"AAAAAHfthvk=")</f>
        <v>#REF!</v>
      </c>
      <c r="IQ270" t="e">
        <f>AND(#REF!,"AAAAAHfthvo=")</f>
        <v>#REF!</v>
      </c>
      <c r="IR270" t="e">
        <f>AND(#REF!,"AAAAAHfthvs=")</f>
        <v>#REF!</v>
      </c>
      <c r="IS270" t="e">
        <f>AND(#REF!,"AAAAAHfthvw=")</f>
        <v>#REF!</v>
      </c>
      <c r="IT270" t="e">
        <f>AND(#REF!,"AAAAAHfthv0=")</f>
        <v>#REF!</v>
      </c>
      <c r="IU270" t="e">
        <f>AND(#REF!,"AAAAAHfthv4=")</f>
        <v>#REF!</v>
      </c>
      <c r="IV270" t="e">
        <f>AND(#REF!,"AAAAAHfthv8=")</f>
        <v>#REF!</v>
      </c>
    </row>
    <row r="271" spans="1:256">
      <c r="A271" t="e">
        <f>AND(#REF!,"AAAAAH+3ewA=")</f>
        <v>#REF!</v>
      </c>
      <c r="B271" t="e">
        <f>AND(#REF!,"AAAAAH+3ewE=")</f>
        <v>#REF!</v>
      </c>
      <c r="C271" t="e">
        <f>AND(#REF!,"AAAAAH+3ewI=")</f>
        <v>#REF!</v>
      </c>
      <c r="D271" t="e">
        <f>AND(#REF!,"AAAAAH+3ewM=")</f>
        <v>#REF!</v>
      </c>
      <c r="E271" t="e">
        <f>AND(#REF!,"AAAAAH+3ewQ=")</f>
        <v>#REF!</v>
      </c>
      <c r="F271" t="e">
        <f>AND(#REF!,"AAAAAH+3ewU=")</f>
        <v>#REF!</v>
      </c>
      <c r="G271" t="e">
        <f>AND(#REF!,"AAAAAH+3ewY=")</f>
        <v>#REF!</v>
      </c>
      <c r="H271" t="e">
        <f>AND(#REF!,"AAAAAH+3ewc=")</f>
        <v>#REF!</v>
      </c>
      <c r="I271" t="e">
        <f>AND(#REF!,"AAAAAH+3ewg=")</f>
        <v>#REF!</v>
      </c>
      <c r="J271" t="e">
        <f>AND(#REF!,"AAAAAH+3ewk=")</f>
        <v>#REF!</v>
      </c>
      <c r="K271" t="e">
        <f>AND(#REF!,"AAAAAH+3ewo=")</f>
        <v>#REF!</v>
      </c>
      <c r="L271" t="e">
        <f>AND(#REF!,"AAAAAH+3ews=")</f>
        <v>#REF!</v>
      </c>
      <c r="M271" t="e">
        <f>AND(#REF!,"AAAAAH+3eww=")</f>
        <v>#REF!</v>
      </c>
      <c r="N271" t="e">
        <f>AND(#REF!,"AAAAAH+3ew0=")</f>
        <v>#REF!</v>
      </c>
      <c r="O271" t="e">
        <f>AND(#REF!,"AAAAAH+3ew4=")</f>
        <v>#REF!</v>
      </c>
      <c r="P271" t="e">
        <f>IF(#REF!,"AAAAAH+3ew8=",0)</f>
        <v>#REF!</v>
      </c>
      <c r="Q271" t="e">
        <f>AND(#REF!,"AAAAAH+3exA=")</f>
        <v>#REF!</v>
      </c>
      <c r="R271" t="e">
        <f>AND(#REF!,"AAAAAH+3exE=")</f>
        <v>#REF!</v>
      </c>
      <c r="S271" t="e">
        <f>AND(#REF!,"AAAAAH+3exI=")</f>
        <v>#REF!</v>
      </c>
      <c r="T271" t="e">
        <f>AND(#REF!,"AAAAAH+3exM=")</f>
        <v>#REF!</v>
      </c>
      <c r="U271" t="e">
        <f>AND(#REF!,"AAAAAH+3exQ=")</f>
        <v>#REF!</v>
      </c>
      <c r="V271" t="e">
        <f>AND(#REF!,"AAAAAH+3exU=")</f>
        <v>#REF!</v>
      </c>
      <c r="W271" t="e">
        <f>AND(#REF!,"AAAAAH+3exY=")</f>
        <v>#REF!</v>
      </c>
      <c r="X271" t="e">
        <f>AND(#REF!,"AAAAAH+3exc=")</f>
        <v>#REF!</v>
      </c>
      <c r="Y271" t="e">
        <f>AND(#REF!,"AAAAAH+3exg=")</f>
        <v>#REF!</v>
      </c>
      <c r="Z271" t="e">
        <f>AND(#REF!,"AAAAAH+3exk=")</f>
        <v>#REF!</v>
      </c>
      <c r="AA271" t="e">
        <f>AND(#REF!,"AAAAAH+3exo=")</f>
        <v>#REF!</v>
      </c>
      <c r="AB271" t="e">
        <f>AND(#REF!,"AAAAAH+3exs=")</f>
        <v>#REF!</v>
      </c>
      <c r="AC271" t="e">
        <f>AND(#REF!,"AAAAAH+3exw=")</f>
        <v>#REF!</v>
      </c>
      <c r="AD271" t="e">
        <f>AND(#REF!,"AAAAAH+3ex0=")</f>
        <v>#REF!</v>
      </c>
      <c r="AE271" t="e">
        <f>AND(#REF!,"AAAAAH+3ex4=")</f>
        <v>#REF!</v>
      </c>
      <c r="AF271" t="e">
        <f>AND(#REF!,"AAAAAH+3ex8=")</f>
        <v>#REF!</v>
      </c>
      <c r="AG271" t="e">
        <f>AND(#REF!,"AAAAAH+3eyA=")</f>
        <v>#REF!</v>
      </c>
      <c r="AH271" t="e">
        <f>AND(#REF!,"AAAAAH+3eyE=")</f>
        <v>#REF!</v>
      </c>
      <c r="AI271" t="e">
        <f>AND(#REF!,"AAAAAH+3eyI=")</f>
        <v>#REF!</v>
      </c>
      <c r="AJ271" t="e">
        <f>AND(#REF!,"AAAAAH+3eyM=")</f>
        <v>#REF!</v>
      </c>
      <c r="AK271" t="e">
        <f>AND(#REF!,"AAAAAH+3eyQ=")</f>
        <v>#REF!</v>
      </c>
      <c r="AL271" t="e">
        <f>AND(#REF!,"AAAAAH+3eyU=")</f>
        <v>#REF!</v>
      </c>
      <c r="AM271" t="e">
        <f>AND(#REF!,"AAAAAH+3eyY=")</f>
        <v>#REF!</v>
      </c>
      <c r="AN271" t="e">
        <f>AND(#REF!,"AAAAAH+3eyc=")</f>
        <v>#REF!</v>
      </c>
      <c r="AO271" t="e">
        <f>IF(#REF!,"AAAAAH+3eyg=",0)</f>
        <v>#REF!</v>
      </c>
      <c r="AP271" t="e">
        <f>AND(#REF!,"AAAAAH+3eyk=")</f>
        <v>#REF!</v>
      </c>
      <c r="AQ271" t="e">
        <f>AND(#REF!,"AAAAAH+3eyo=")</f>
        <v>#REF!</v>
      </c>
      <c r="AR271" t="e">
        <f>AND(#REF!,"AAAAAH+3eys=")</f>
        <v>#REF!</v>
      </c>
      <c r="AS271" t="e">
        <f>AND(#REF!,"AAAAAH+3eyw=")</f>
        <v>#REF!</v>
      </c>
      <c r="AT271" t="e">
        <f>AND(#REF!,"AAAAAH+3ey0=")</f>
        <v>#REF!</v>
      </c>
      <c r="AU271" t="e">
        <f>AND(#REF!,"AAAAAH+3ey4=")</f>
        <v>#REF!</v>
      </c>
      <c r="AV271" t="e">
        <f>AND(#REF!,"AAAAAH+3ey8=")</f>
        <v>#REF!</v>
      </c>
      <c r="AW271" t="e">
        <f>AND(#REF!,"AAAAAH+3ezA=")</f>
        <v>#REF!</v>
      </c>
      <c r="AX271" t="e">
        <f>AND(#REF!,"AAAAAH+3ezE=")</f>
        <v>#REF!</v>
      </c>
      <c r="AY271" t="e">
        <f>AND(#REF!,"AAAAAH+3ezI=")</f>
        <v>#REF!</v>
      </c>
      <c r="AZ271" t="e">
        <f>AND(#REF!,"AAAAAH+3ezM=")</f>
        <v>#REF!</v>
      </c>
      <c r="BA271" t="e">
        <f>AND(#REF!,"AAAAAH+3ezQ=")</f>
        <v>#REF!</v>
      </c>
      <c r="BB271" t="e">
        <f>AND(#REF!,"AAAAAH+3ezU=")</f>
        <v>#REF!</v>
      </c>
      <c r="BC271" t="e">
        <f>AND(#REF!,"AAAAAH+3ezY=")</f>
        <v>#REF!</v>
      </c>
      <c r="BD271" t="e">
        <f>AND(#REF!,"AAAAAH+3ezc=")</f>
        <v>#REF!</v>
      </c>
      <c r="BE271" t="e">
        <f>AND(#REF!,"AAAAAH+3ezg=")</f>
        <v>#REF!</v>
      </c>
      <c r="BF271" t="e">
        <f>AND(#REF!,"AAAAAH+3ezk=")</f>
        <v>#REF!</v>
      </c>
      <c r="BG271" t="e">
        <f>AND(#REF!,"AAAAAH+3ezo=")</f>
        <v>#REF!</v>
      </c>
      <c r="BH271" t="e">
        <f>AND(#REF!,"AAAAAH+3ezs=")</f>
        <v>#REF!</v>
      </c>
      <c r="BI271" t="e">
        <f>AND(#REF!,"AAAAAH+3ezw=")</f>
        <v>#REF!</v>
      </c>
      <c r="BJ271" t="e">
        <f>AND(#REF!,"AAAAAH+3ez0=")</f>
        <v>#REF!</v>
      </c>
      <c r="BK271" t="e">
        <f>AND(#REF!,"AAAAAH+3ez4=")</f>
        <v>#REF!</v>
      </c>
      <c r="BL271" t="e">
        <f>AND(#REF!,"AAAAAH+3ez8=")</f>
        <v>#REF!</v>
      </c>
      <c r="BM271" t="e">
        <f>AND(#REF!,"AAAAAH+3e0A=")</f>
        <v>#REF!</v>
      </c>
      <c r="BN271" t="e">
        <f>IF(#REF!,"AAAAAH+3e0E=",0)</f>
        <v>#REF!</v>
      </c>
      <c r="BO271" t="e">
        <f>AND(#REF!,"AAAAAH+3e0I=")</f>
        <v>#REF!</v>
      </c>
      <c r="BP271" t="e">
        <f>AND(#REF!,"AAAAAH+3e0M=")</f>
        <v>#REF!</v>
      </c>
      <c r="BQ271" t="e">
        <f>AND(#REF!,"AAAAAH+3e0Q=")</f>
        <v>#REF!</v>
      </c>
      <c r="BR271" t="e">
        <f>AND(#REF!,"AAAAAH+3e0U=")</f>
        <v>#REF!</v>
      </c>
      <c r="BS271" t="e">
        <f>AND(#REF!,"AAAAAH+3e0Y=")</f>
        <v>#REF!</v>
      </c>
      <c r="BT271" t="e">
        <f>AND(#REF!,"AAAAAH+3e0c=")</f>
        <v>#REF!</v>
      </c>
      <c r="BU271" t="e">
        <f>AND(#REF!,"AAAAAH+3e0g=")</f>
        <v>#REF!</v>
      </c>
      <c r="BV271" t="e">
        <f>AND(#REF!,"AAAAAH+3e0k=")</f>
        <v>#REF!</v>
      </c>
      <c r="BW271" t="e">
        <f>AND(#REF!,"AAAAAH+3e0o=")</f>
        <v>#REF!</v>
      </c>
      <c r="BX271" t="e">
        <f>AND(#REF!,"AAAAAH+3e0s=")</f>
        <v>#REF!</v>
      </c>
      <c r="BY271" t="e">
        <f>AND(#REF!,"AAAAAH+3e0w=")</f>
        <v>#REF!</v>
      </c>
      <c r="BZ271" t="e">
        <f>AND(#REF!,"AAAAAH+3e00=")</f>
        <v>#REF!</v>
      </c>
      <c r="CA271" t="e">
        <f>AND(#REF!,"AAAAAH+3e04=")</f>
        <v>#REF!</v>
      </c>
      <c r="CB271" t="e">
        <f>AND(#REF!,"AAAAAH+3e08=")</f>
        <v>#REF!</v>
      </c>
      <c r="CC271" t="e">
        <f>AND(#REF!,"AAAAAH+3e1A=")</f>
        <v>#REF!</v>
      </c>
      <c r="CD271" t="e">
        <f>AND(#REF!,"AAAAAH+3e1E=")</f>
        <v>#REF!</v>
      </c>
      <c r="CE271" t="e">
        <f>AND(#REF!,"AAAAAH+3e1I=")</f>
        <v>#REF!</v>
      </c>
      <c r="CF271" t="e">
        <f>AND(#REF!,"AAAAAH+3e1M=")</f>
        <v>#REF!</v>
      </c>
      <c r="CG271" t="e">
        <f>AND(#REF!,"AAAAAH+3e1Q=")</f>
        <v>#REF!</v>
      </c>
      <c r="CH271" t="e">
        <f>AND(#REF!,"AAAAAH+3e1U=")</f>
        <v>#REF!</v>
      </c>
      <c r="CI271" t="e">
        <f>AND(#REF!,"AAAAAH+3e1Y=")</f>
        <v>#REF!</v>
      </c>
      <c r="CJ271" t="e">
        <f>AND(#REF!,"AAAAAH+3e1c=")</f>
        <v>#REF!</v>
      </c>
      <c r="CK271" t="e">
        <f>AND(#REF!,"AAAAAH+3e1g=")</f>
        <v>#REF!</v>
      </c>
      <c r="CL271" t="e">
        <f>AND(#REF!,"AAAAAH+3e1k=")</f>
        <v>#REF!</v>
      </c>
      <c r="CM271" t="e">
        <f>IF(#REF!,"AAAAAH+3e1o=",0)</f>
        <v>#REF!</v>
      </c>
      <c r="CN271" t="e">
        <f>AND(#REF!,"AAAAAH+3e1s=")</f>
        <v>#REF!</v>
      </c>
      <c r="CO271" t="e">
        <f>AND(#REF!,"AAAAAH+3e1w=")</f>
        <v>#REF!</v>
      </c>
      <c r="CP271" t="e">
        <f>AND(#REF!,"AAAAAH+3e10=")</f>
        <v>#REF!</v>
      </c>
      <c r="CQ271" t="e">
        <f>AND(#REF!,"AAAAAH+3e14=")</f>
        <v>#REF!</v>
      </c>
      <c r="CR271" t="e">
        <f>AND(#REF!,"AAAAAH+3e18=")</f>
        <v>#REF!</v>
      </c>
      <c r="CS271" t="e">
        <f>AND(#REF!,"AAAAAH+3e2A=")</f>
        <v>#REF!</v>
      </c>
      <c r="CT271" t="e">
        <f>AND(#REF!,"AAAAAH+3e2E=")</f>
        <v>#REF!</v>
      </c>
      <c r="CU271" t="e">
        <f>AND(#REF!,"AAAAAH+3e2I=")</f>
        <v>#REF!</v>
      </c>
      <c r="CV271" t="e">
        <f>AND(#REF!,"AAAAAH+3e2M=")</f>
        <v>#REF!</v>
      </c>
      <c r="CW271" t="e">
        <f>AND(#REF!,"AAAAAH+3e2Q=")</f>
        <v>#REF!</v>
      </c>
      <c r="CX271" t="e">
        <f>AND(#REF!,"AAAAAH+3e2U=")</f>
        <v>#REF!</v>
      </c>
      <c r="CY271" t="e">
        <f>AND(#REF!,"AAAAAH+3e2Y=")</f>
        <v>#REF!</v>
      </c>
      <c r="CZ271" t="e">
        <f>AND(#REF!,"AAAAAH+3e2c=")</f>
        <v>#REF!</v>
      </c>
      <c r="DA271" t="e">
        <f>AND(#REF!,"AAAAAH+3e2g=")</f>
        <v>#REF!</v>
      </c>
      <c r="DB271" t="e">
        <f>AND(#REF!,"AAAAAH+3e2k=")</f>
        <v>#REF!</v>
      </c>
      <c r="DC271" t="e">
        <f>AND(#REF!,"AAAAAH+3e2o=")</f>
        <v>#REF!</v>
      </c>
      <c r="DD271" t="e">
        <f>AND(#REF!,"AAAAAH+3e2s=")</f>
        <v>#REF!</v>
      </c>
      <c r="DE271" t="e">
        <f>AND(#REF!,"AAAAAH+3e2w=")</f>
        <v>#REF!</v>
      </c>
      <c r="DF271" t="e">
        <f>AND(#REF!,"AAAAAH+3e20=")</f>
        <v>#REF!</v>
      </c>
      <c r="DG271" t="e">
        <f>AND(#REF!,"AAAAAH+3e24=")</f>
        <v>#REF!</v>
      </c>
      <c r="DH271" t="e">
        <f>AND(#REF!,"AAAAAH+3e28=")</f>
        <v>#REF!</v>
      </c>
      <c r="DI271" t="e">
        <f>AND(#REF!,"AAAAAH+3e3A=")</f>
        <v>#REF!</v>
      </c>
      <c r="DJ271" t="e">
        <f>AND(#REF!,"AAAAAH+3e3E=")</f>
        <v>#REF!</v>
      </c>
      <c r="DK271" t="e">
        <f>AND(#REF!,"AAAAAH+3e3I=")</f>
        <v>#REF!</v>
      </c>
      <c r="DL271" t="e">
        <f>IF(#REF!,"AAAAAH+3e3M=",0)</f>
        <v>#REF!</v>
      </c>
      <c r="DM271" t="e">
        <f>AND(#REF!,"AAAAAH+3e3Q=")</f>
        <v>#REF!</v>
      </c>
      <c r="DN271" t="e">
        <f>AND(#REF!,"AAAAAH+3e3U=")</f>
        <v>#REF!</v>
      </c>
      <c r="DO271" t="e">
        <f>AND(#REF!,"AAAAAH+3e3Y=")</f>
        <v>#REF!</v>
      </c>
      <c r="DP271" t="e">
        <f>AND(#REF!,"AAAAAH+3e3c=")</f>
        <v>#REF!</v>
      </c>
      <c r="DQ271" t="e">
        <f>AND(#REF!,"AAAAAH+3e3g=")</f>
        <v>#REF!</v>
      </c>
      <c r="DR271" t="e">
        <f>AND(#REF!,"AAAAAH+3e3k=")</f>
        <v>#REF!</v>
      </c>
      <c r="DS271" t="e">
        <f>AND(#REF!,"AAAAAH+3e3o=")</f>
        <v>#REF!</v>
      </c>
      <c r="DT271" t="e">
        <f>AND(#REF!,"AAAAAH+3e3s=")</f>
        <v>#REF!</v>
      </c>
      <c r="DU271" t="e">
        <f>AND(#REF!,"AAAAAH+3e3w=")</f>
        <v>#REF!</v>
      </c>
      <c r="DV271" t="e">
        <f>AND(#REF!,"AAAAAH+3e30=")</f>
        <v>#REF!</v>
      </c>
      <c r="DW271" t="e">
        <f>AND(#REF!,"AAAAAH+3e34=")</f>
        <v>#REF!</v>
      </c>
      <c r="DX271" t="e">
        <f>AND(#REF!,"AAAAAH+3e38=")</f>
        <v>#REF!</v>
      </c>
      <c r="DY271" t="e">
        <f>AND(#REF!,"AAAAAH+3e4A=")</f>
        <v>#REF!</v>
      </c>
      <c r="DZ271" t="e">
        <f>AND(#REF!,"AAAAAH+3e4E=")</f>
        <v>#REF!</v>
      </c>
      <c r="EA271" t="e">
        <f>AND(#REF!,"AAAAAH+3e4I=")</f>
        <v>#REF!</v>
      </c>
      <c r="EB271" t="e">
        <f>AND(#REF!,"AAAAAH+3e4M=")</f>
        <v>#REF!</v>
      </c>
      <c r="EC271" t="e">
        <f>AND(#REF!,"AAAAAH+3e4Q=")</f>
        <v>#REF!</v>
      </c>
      <c r="ED271" t="e">
        <f>AND(#REF!,"AAAAAH+3e4U=")</f>
        <v>#REF!</v>
      </c>
      <c r="EE271" t="e">
        <f>AND(#REF!,"AAAAAH+3e4Y=")</f>
        <v>#REF!</v>
      </c>
      <c r="EF271" t="e">
        <f>AND(#REF!,"AAAAAH+3e4c=")</f>
        <v>#REF!</v>
      </c>
      <c r="EG271" t="e">
        <f>AND(#REF!,"AAAAAH+3e4g=")</f>
        <v>#REF!</v>
      </c>
      <c r="EH271" t="e">
        <f>AND(#REF!,"AAAAAH+3e4k=")</f>
        <v>#REF!</v>
      </c>
      <c r="EI271" t="e">
        <f>AND(#REF!,"AAAAAH+3e4o=")</f>
        <v>#REF!</v>
      </c>
      <c r="EJ271" t="e">
        <f>AND(#REF!,"AAAAAH+3e4s=")</f>
        <v>#REF!</v>
      </c>
      <c r="EK271" t="e">
        <f>IF(#REF!,"AAAAAH+3e4w=",0)</f>
        <v>#REF!</v>
      </c>
      <c r="EL271" t="e">
        <f>AND(#REF!,"AAAAAH+3e40=")</f>
        <v>#REF!</v>
      </c>
      <c r="EM271" t="e">
        <f>AND(#REF!,"AAAAAH+3e44=")</f>
        <v>#REF!</v>
      </c>
      <c r="EN271" t="e">
        <f>AND(#REF!,"AAAAAH+3e48=")</f>
        <v>#REF!</v>
      </c>
      <c r="EO271" t="e">
        <f>AND(#REF!,"AAAAAH+3e5A=")</f>
        <v>#REF!</v>
      </c>
      <c r="EP271" t="e">
        <f>AND(#REF!,"AAAAAH+3e5E=")</f>
        <v>#REF!</v>
      </c>
      <c r="EQ271" t="e">
        <f>AND(#REF!,"AAAAAH+3e5I=")</f>
        <v>#REF!</v>
      </c>
      <c r="ER271" t="e">
        <f>AND(#REF!,"AAAAAH+3e5M=")</f>
        <v>#REF!</v>
      </c>
      <c r="ES271" t="e">
        <f>AND(#REF!,"AAAAAH+3e5Q=")</f>
        <v>#REF!</v>
      </c>
      <c r="ET271" t="e">
        <f>AND(#REF!,"AAAAAH+3e5U=")</f>
        <v>#REF!</v>
      </c>
      <c r="EU271" t="e">
        <f>AND(#REF!,"AAAAAH+3e5Y=")</f>
        <v>#REF!</v>
      </c>
      <c r="EV271" t="e">
        <f>AND(#REF!,"AAAAAH+3e5c=")</f>
        <v>#REF!</v>
      </c>
      <c r="EW271" t="e">
        <f>AND(#REF!,"AAAAAH+3e5g=")</f>
        <v>#REF!</v>
      </c>
      <c r="EX271" t="e">
        <f>AND(#REF!,"AAAAAH+3e5k=")</f>
        <v>#REF!</v>
      </c>
      <c r="EY271" t="e">
        <f>AND(#REF!,"AAAAAH+3e5o=")</f>
        <v>#REF!</v>
      </c>
      <c r="EZ271" t="e">
        <f>AND(#REF!,"AAAAAH+3e5s=")</f>
        <v>#REF!</v>
      </c>
      <c r="FA271" t="e">
        <f>AND(#REF!,"AAAAAH+3e5w=")</f>
        <v>#REF!</v>
      </c>
      <c r="FB271" t="e">
        <f>AND(#REF!,"AAAAAH+3e50=")</f>
        <v>#REF!</v>
      </c>
      <c r="FC271" t="e">
        <f>AND(#REF!,"AAAAAH+3e54=")</f>
        <v>#REF!</v>
      </c>
      <c r="FD271" t="e">
        <f>AND(#REF!,"AAAAAH+3e58=")</f>
        <v>#REF!</v>
      </c>
      <c r="FE271" t="e">
        <f>AND(#REF!,"AAAAAH+3e6A=")</f>
        <v>#REF!</v>
      </c>
      <c r="FF271" t="e">
        <f>AND(#REF!,"AAAAAH+3e6E=")</f>
        <v>#REF!</v>
      </c>
      <c r="FG271" t="e">
        <f>AND(#REF!,"AAAAAH+3e6I=")</f>
        <v>#REF!</v>
      </c>
      <c r="FH271" t="e">
        <f>AND(#REF!,"AAAAAH+3e6M=")</f>
        <v>#REF!</v>
      </c>
      <c r="FI271" t="e">
        <f>AND(#REF!,"AAAAAH+3e6Q=")</f>
        <v>#REF!</v>
      </c>
      <c r="FJ271" t="e">
        <f>IF(#REF!,"AAAAAH+3e6U=",0)</f>
        <v>#REF!</v>
      </c>
      <c r="FK271" t="e">
        <f>AND(#REF!,"AAAAAH+3e6Y=")</f>
        <v>#REF!</v>
      </c>
      <c r="FL271" t="e">
        <f>AND(#REF!,"AAAAAH+3e6c=")</f>
        <v>#REF!</v>
      </c>
      <c r="FM271" t="e">
        <f>AND(#REF!,"AAAAAH+3e6g=")</f>
        <v>#REF!</v>
      </c>
      <c r="FN271" t="e">
        <f>AND(#REF!,"AAAAAH+3e6k=")</f>
        <v>#REF!</v>
      </c>
      <c r="FO271" t="e">
        <f>AND(#REF!,"AAAAAH+3e6o=")</f>
        <v>#REF!</v>
      </c>
      <c r="FP271" t="e">
        <f>AND(#REF!,"AAAAAH+3e6s=")</f>
        <v>#REF!</v>
      </c>
      <c r="FQ271" t="e">
        <f>AND(#REF!,"AAAAAH+3e6w=")</f>
        <v>#REF!</v>
      </c>
      <c r="FR271" t="e">
        <f>AND(#REF!,"AAAAAH+3e60=")</f>
        <v>#REF!</v>
      </c>
      <c r="FS271" t="e">
        <f>AND(#REF!,"AAAAAH+3e64=")</f>
        <v>#REF!</v>
      </c>
      <c r="FT271" t="e">
        <f>AND(#REF!,"AAAAAH+3e68=")</f>
        <v>#REF!</v>
      </c>
      <c r="FU271" t="e">
        <f>AND(#REF!,"AAAAAH+3e7A=")</f>
        <v>#REF!</v>
      </c>
      <c r="FV271" t="e">
        <f>AND(#REF!,"AAAAAH+3e7E=")</f>
        <v>#REF!</v>
      </c>
      <c r="FW271" t="e">
        <f>AND(#REF!,"AAAAAH+3e7I=")</f>
        <v>#REF!</v>
      </c>
      <c r="FX271" t="e">
        <f>AND(#REF!,"AAAAAH+3e7M=")</f>
        <v>#REF!</v>
      </c>
      <c r="FY271" t="e">
        <f>AND(#REF!,"AAAAAH+3e7Q=")</f>
        <v>#REF!</v>
      </c>
      <c r="FZ271" t="e">
        <f>AND(#REF!,"AAAAAH+3e7U=")</f>
        <v>#REF!</v>
      </c>
      <c r="GA271" t="e">
        <f>AND(#REF!,"AAAAAH+3e7Y=")</f>
        <v>#REF!</v>
      </c>
      <c r="GB271" t="e">
        <f>AND(#REF!,"AAAAAH+3e7c=")</f>
        <v>#REF!</v>
      </c>
      <c r="GC271" t="e">
        <f>AND(#REF!,"AAAAAH+3e7g=")</f>
        <v>#REF!</v>
      </c>
      <c r="GD271" t="e">
        <f>AND(#REF!,"AAAAAH+3e7k=")</f>
        <v>#REF!</v>
      </c>
      <c r="GE271" t="e">
        <f>AND(#REF!,"AAAAAH+3e7o=")</f>
        <v>#REF!</v>
      </c>
      <c r="GF271" t="e">
        <f>AND(#REF!,"AAAAAH+3e7s=")</f>
        <v>#REF!</v>
      </c>
      <c r="GG271" t="e">
        <f>AND(#REF!,"AAAAAH+3e7w=")</f>
        <v>#REF!</v>
      </c>
      <c r="GH271" t="e">
        <f>AND(#REF!,"AAAAAH+3e70=")</f>
        <v>#REF!</v>
      </c>
      <c r="GI271" t="e">
        <f>IF(#REF!,"AAAAAH+3e74=",0)</f>
        <v>#REF!</v>
      </c>
      <c r="GJ271" t="e">
        <f>AND(#REF!,"AAAAAH+3e78=")</f>
        <v>#REF!</v>
      </c>
      <c r="GK271" t="e">
        <f>AND(#REF!,"AAAAAH+3e8A=")</f>
        <v>#REF!</v>
      </c>
      <c r="GL271" t="e">
        <f>AND(#REF!,"AAAAAH+3e8E=")</f>
        <v>#REF!</v>
      </c>
      <c r="GM271" t="e">
        <f>AND(#REF!,"AAAAAH+3e8I=")</f>
        <v>#REF!</v>
      </c>
      <c r="GN271" t="e">
        <f>AND(#REF!,"AAAAAH+3e8M=")</f>
        <v>#REF!</v>
      </c>
      <c r="GO271" t="e">
        <f>AND(#REF!,"AAAAAH+3e8Q=")</f>
        <v>#REF!</v>
      </c>
      <c r="GP271" t="e">
        <f>AND(#REF!,"AAAAAH+3e8U=")</f>
        <v>#REF!</v>
      </c>
      <c r="GQ271" t="e">
        <f>AND(#REF!,"AAAAAH+3e8Y=")</f>
        <v>#REF!</v>
      </c>
      <c r="GR271" t="e">
        <f>AND(#REF!,"AAAAAH+3e8c=")</f>
        <v>#REF!</v>
      </c>
      <c r="GS271" t="e">
        <f>AND(#REF!,"AAAAAH+3e8g=")</f>
        <v>#REF!</v>
      </c>
      <c r="GT271" t="e">
        <f>AND(#REF!,"AAAAAH+3e8k=")</f>
        <v>#REF!</v>
      </c>
      <c r="GU271" t="e">
        <f>AND(#REF!,"AAAAAH+3e8o=")</f>
        <v>#REF!</v>
      </c>
      <c r="GV271" t="e">
        <f>AND(#REF!,"AAAAAH+3e8s=")</f>
        <v>#REF!</v>
      </c>
      <c r="GW271" t="e">
        <f>AND(#REF!,"AAAAAH+3e8w=")</f>
        <v>#REF!</v>
      </c>
      <c r="GX271" t="e">
        <f>AND(#REF!,"AAAAAH+3e80=")</f>
        <v>#REF!</v>
      </c>
      <c r="GY271" t="e">
        <f>AND(#REF!,"AAAAAH+3e84=")</f>
        <v>#REF!</v>
      </c>
      <c r="GZ271" t="e">
        <f>AND(#REF!,"AAAAAH+3e88=")</f>
        <v>#REF!</v>
      </c>
      <c r="HA271" t="e">
        <f>AND(#REF!,"AAAAAH+3e9A=")</f>
        <v>#REF!</v>
      </c>
      <c r="HB271" t="e">
        <f>AND(#REF!,"AAAAAH+3e9E=")</f>
        <v>#REF!</v>
      </c>
      <c r="HC271" t="e">
        <f>AND(#REF!,"AAAAAH+3e9I=")</f>
        <v>#REF!</v>
      </c>
      <c r="HD271" t="e">
        <f>AND(#REF!,"AAAAAH+3e9M=")</f>
        <v>#REF!</v>
      </c>
      <c r="HE271" t="e">
        <f>AND(#REF!,"AAAAAH+3e9Q=")</f>
        <v>#REF!</v>
      </c>
      <c r="HF271" t="e">
        <f>AND(#REF!,"AAAAAH+3e9U=")</f>
        <v>#REF!</v>
      </c>
      <c r="HG271" t="e">
        <f>AND(#REF!,"AAAAAH+3e9Y=")</f>
        <v>#REF!</v>
      </c>
      <c r="HH271" t="e">
        <f>IF(#REF!,"AAAAAH+3e9c=",0)</f>
        <v>#REF!</v>
      </c>
      <c r="HI271" t="e">
        <f>AND(#REF!,"AAAAAH+3e9g=")</f>
        <v>#REF!</v>
      </c>
      <c r="HJ271" t="e">
        <f>AND(#REF!,"AAAAAH+3e9k=")</f>
        <v>#REF!</v>
      </c>
      <c r="HK271" t="e">
        <f>AND(#REF!,"AAAAAH+3e9o=")</f>
        <v>#REF!</v>
      </c>
      <c r="HL271" t="e">
        <f>AND(#REF!,"AAAAAH+3e9s=")</f>
        <v>#REF!</v>
      </c>
      <c r="HM271" t="e">
        <f>AND(#REF!,"AAAAAH+3e9w=")</f>
        <v>#REF!</v>
      </c>
      <c r="HN271" t="e">
        <f>AND(#REF!,"AAAAAH+3e90=")</f>
        <v>#REF!</v>
      </c>
      <c r="HO271" t="e">
        <f>AND(#REF!,"AAAAAH+3e94=")</f>
        <v>#REF!</v>
      </c>
      <c r="HP271" t="e">
        <f>AND(#REF!,"AAAAAH+3e98=")</f>
        <v>#REF!</v>
      </c>
      <c r="HQ271" t="e">
        <f>AND(#REF!,"AAAAAH+3e+A=")</f>
        <v>#REF!</v>
      </c>
      <c r="HR271" t="e">
        <f>AND(#REF!,"AAAAAH+3e+E=")</f>
        <v>#REF!</v>
      </c>
      <c r="HS271" t="e">
        <f>AND(#REF!,"AAAAAH+3e+I=")</f>
        <v>#REF!</v>
      </c>
      <c r="HT271" t="e">
        <f>AND(#REF!,"AAAAAH+3e+M=")</f>
        <v>#REF!</v>
      </c>
      <c r="HU271" t="e">
        <f>AND(#REF!,"AAAAAH+3e+Q=")</f>
        <v>#REF!</v>
      </c>
      <c r="HV271" t="e">
        <f>AND(#REF!,"AAAAAH+3e+U=")</f>
        <v>#REF!</v>
      </c>
      <c r="HW271" t="e">
        <f>AND(#REF!,"AAAAAH+3e+Y=")</f>
        <v>#REF!</v>
      </c>
      <c r="HX271" t="e">
        <f>AND(#REF!,"AAAAAH+3e+c=")</f>
        <v>#REF!</v>
      </c>
      <c r="HY271" t="e">
        <f>AND(#REF!,"AAAAAH+3e+g=")</f>
        <v>#REF!</v>
      </c>
      <c r="HZ271" t="e">
        <f>AND(#REF!,"AAAAAH+3e+k=")</f>
        <v>#REF!</v>
      </c>
      <c r="IA271" t="e">
        <f>AND(#REF!,"AAAAAH+3e+o=")</f>
        <v>#REF!</v>
      </c>
      <c r="IB271" t="e">
        <f>AND(#REF!,"AAAAAH+3e+s=")</f>
        <v>#REF!</v>
      </c>
      <c r="IC271" t="e">
        <f>AND(#REF!,"AAAAAH+3e+w=")</f>
        <v>#REF!</v>
      </c>
      <c r="ID271" t="e">
        <f>AND(#REF!,"AAAAAH+3e+0=")</f>
        <v>#REF!</v>
      </c>
      <c r="IE271" t="e">
        <f>AND(#REF!,"AAAAAH+3e+4=")</f>
        <v>#REF!</v>
      </c>
      <c r="IF271" t="e">
        <f>AND(#REF!,"AAAAAH+3e+8=")</f>
        <v>#REF!</v>
      </c>
      <c r="IG271" t="e">
        <f>IF(#REF!,"AAAAAH+3e/A=",0)</f>
        <v>#REF!</v>
      </c>
      <c r="IH271" t="e">
        <f>AND(#REF!,"AAAAAH+3e/E=")</f>
        <v>#REF!</v>
      </c>
      <c r="II271" t="e">
        <f>AND(#REF!,"AAAAAH+3e/I=")</f>
        <v>#REF!</v>
      </c>
      <c r="IJ271" t="e">
        <f>AND(#REF!,"AAAAAH+3e/M=")</f>
        <v>#REF!</v>
      </c>
      <c r="IK271" t="e">
        <f>AND(#REF!,"AAAAAH+3e/Q=")</f>
        <v>#REF!</v>
      </c>
      <c r="IL271" t="e">
        <f>AND(#REF!,"AAAAAH+3e/U=")</f>
        <v>#REF!</v>
      </c>
      <c r="IM271" t="e">
        <f>AND(#REF!,"AAAAAH+3e/Y=")</f>
        <v>#REF!</v>
      </c>
      <c r="IN271" t="e">
        <f>AND(#REF!,"AAAAAH+3e/c=")</f>
        <v>#REF!</v>
      </c>
      <c r="IO271" t="e">
        <f>AND(#REF!,"AAAAAH+3e/g=")</f>
        <v>#REF!</v>
      </c>
      <c r="IP271" t="e">
        <f>AND(#REF!,"AAAAAH+3e/k=")</f>
        <v>#REF!</v>
      </c>
      <c r="IQ271" t="e">
        <f>AND(#REF!,"AAAAAH+3e/o=")</f>
        <v>#REF!</v>
      </c>
      <c r="IR271" t="e">
        <f>AND(#REF!,"AAAAAH+3e/s=")</f>
        <v>#REF!</v>
      </c>
      <c r="IS271" t="e">
        <f>AND(#REF!,"AAAAAH+3e/w=")</f>
        <v>#REF!</v>
      </c>
      <c r="IT271" t="e">
        <f>AND(#REF!,"AAAAAH+3e/0=")</f>
        <v>#REF!</v>
      </c>
      <c r="IU271" t="e">
        <f>AND(#REF!,"AAAAAH+3e/4=")</f>
        <v>#REF!</v>
      </c>
      <c r="IV271" t="e">
        <f>AND(#REF!,"AAAAAH+3e/8=")</f>
        <v>#REF!</v>
      </c>
    </row>
    <row r="272" spans="1:256">
      <c r="A272" t="e">
        <f>AND(#REF!,"AAAAADNsjwA=")</f>
        <v>#REF!</v>
      </c>
      <c r="B272" t="e">
        <f>AND(#REF!,"AAAAADNsjwE=")</f>
        <v>#REF!</v>
      </c>
      <c r="C272" t="e">
        <f>AND(#REF!,"AAAAADNsjwI=")</f>
        <v>#REF!</v>
      </c>
      <c r="D272" t="e">
        <f>AND(#REF!,"AAAAADNsjwM=")</f>
        <v>#REF!</v>
      </c>
      <c r="E272" t="e">
        <f>AND(#REF!,"AAAAADNsjwQ=")</f>
        <v>#REF!</v>
      </c>
      <c r="F272" t="e">
        <f>AND(#REF!,"AAAAADNsjwU=")</f>
        <v>#REF!</v>
      </c>
      <c r="G272" t="e">
        <f>AND(#REF!,"AAAAADNsjwY=")</f>
        <v>#REF!</v>
      </c>
      <c r="H272" t="e">
        <f>AND(#REF!,"AAAAADNsjwc=")</f>
        <v>#REF!</v>
      </c>
      <c r="I272" t="e">
        <f>AND(#REF!,"AAAAADNsjwg=")</f>
        <v>#REF!</v>
      </c>
      <c r="J272" t="e">
        <f>IF(#REF!,"AAAAADNsjwk=",0)</f>
        <v>#REF!</v>
      </c>
      <c r="K272" t="e">
        <f>AND(#REF!,"AAAAADNsjwo=")</f>
        <v>#REF!</v>
      </c>
      <c r="L272" t="e">
        <f>AND(#REF!,"AAAAADNsjws=")</f>
        <v>#REF!</v>
      </c>
      <c r="M272" t="e">
        <f>AND(#REF!,"AAAAADNsjww=")</f>
        <v>#REF!</v>
      </c>
      <c r="N272" t="e">
        <f>AND(#REF!,"AAAAADNsjw0=")</f>
        <v>#REF!</v>
      </c>
      <c r="O272" t="e">
        <f>AND(#REF!,"AAAAADNsjw4=")</f>
        <v>#REF!</v>
      </c>
      <c r="P272" t="e">
        <f>AND(#REF!,"AAAAADNsjw8=")</f>
        <v>#REF!</v>
      </c>
      <c r="Q272" t="e">
        <f>AND(#REF!,"AAAAADNsjxA=")</f>
        <v>#REF!</v>
      </c>
      <c r="R272" t="e">
        <f>AND(#REF!,"AAAAADNsjxE=")</f>
        <v>#REF!</v>
      </c>
      <c r="S272" t="e">
        <f>AND(#REF!,"AAAAADNsjxI=")</f>
        <v>#REF!</v>
      </c>
      <c r="T272" t="e">
        <f>AND(#REF!,"AAAAADNsjxM=")</f>
        <v>#REF!</v>
      </c>
      <c r="U272" t="e">
        <f>AND(#REF!,"AAAAADNsjxQ=")</f>
        <v>#REF!</v>
      </c>
      <c r="V272" t="e">
        <f>AND(#REF!,"AAAAADNsjxU=")</f>
        <v>#REF!</v>
      </c>
      <c r="W272" t="e">
        <f>AND(#REF!,"AAAAADNsjxY=")</f>
        <v>#REF!</v>
      </c>
      <c r="X272" t="e">
        <f>AND(#REF!,"AAAAADNsjxc=")</f>
        <v>#REF!</v>
      </c>
      <c r="Y272" t="e">
        <f>AND(#REF!,"AAAAADNsjxg=")</f>
        <v>#REF!</v>
      </c>
      <c r="Z272" t="e">
        <f>AND(#REF!,"AAAAADNsjxk=")</f>
        <v>#REF!</v>
      </c>
      <c r="AA272" t="e">
        <f>AND(#REF!,"AAAAADNsjxo=")</f>
        <v>#REF!</v>
      </c>
      <c r="AB272" t="e">
        <f>AND(#REF!,"AAAAADNsjxs=")</f>
        <v>#REF!</v>
      </c>
      <c r="AC272" t="e">
        <f>AND(#REF!,"AAAAADNsjxw=")</f>
        <v>#REF!</v>
      </c>
      <c r="AD272" t="e">
        <f>AND(#REF!,"AAAAADNsjx0=")</f>
        <v>#REF!</v>
      </c>
      <c r="AE272" t="e">
        <f>AND(#REF!,"AAAAADNsjx4=")</f>
        <v>#REF!</v>
      </c>
      <c r="AF272" t="e">
        <f>AND(#REF!,"AAAAADNsjx8=")</f>
        <v>#REF!</v>
      </c>
      <c r="AG272" t="e">
        <f>AND(#REF!,"AAAAADNsjyA=")</f>
        <v>#REF!</v>
      </c>
      <c r="AH272" t="e">
        <f>AND(#REF!,"AAAAADNsjyE=")</f>
        <v>#REF!</v>
      </c>
      <c r="AI272" t="e">
        <f>IF(#REF!,"AAAAADNsjyI=",0)</f>
        <v>#REF!</v>
      </c>
      <c r="AJ272" t="e">
        <f>AND(#REF!,"AAAAADNsjyM=")</f>
        <v>#REF!</v>
      </c>
      <c r="AK272" t="e">
        <f>AND(#REF!,"AAAAADNsjyQ=")</f>
        <v>#REF!</v>
      </c>
      <c r="AL272" t="e">
        <f>AND(#REF!,"AAAAADNsjyU=")</f>
        <v>#REF!</v>
      </c>
      <c r="AM272" t="e">
        <f>AND(#REF!,"AAAAADNsjyY=")</f>
        <v>#REF!</v>
      </c>
      <c r="AN272" t="e">
        <f>AND(#REF!,"AAAAADNsjyc=")</f>
        <v>#REF!</v>
      </c>
      <c r="AO272" t="e">
        <f>AND(#REF!,"AAAAADNsjyg=")</f>
        <v>#REF!</v>
      </c>
      <c r="AP272" t="e">
        <f>AND(#REF!,"AAAAADNsjyk=")</f>
        <v>#REF!</v>
      </c>
      <c r="AQ272" t="e">
        <f>AND(#REF!,"AAAAADNsjyo=")</f>
        <v>#REF!</v>
      </c>
      <c r="AR272" t="e">
        <f>AND(#REF!,"AAAAADNsjys=")</f>
        <v>#REF!</v>
      </c>
      <c r="AS272" t="e">
        <f>AND(#REF!,"AAAAADNsjyw=")</f>
        <v>#REF!</v>
      </c>
      <c r="AT272" t="e">
        <f>AND(#REF!,"AAAAADNsjy0=")</f>
        <v>#REF!</v>
      </c>
      <c r="AU272" t="e">
        <f>AND(#REF!,"AAAAADNsjy4=")</f>
        <v>#REF!</v>
      </c>
      <c r="AV272" t="e">
        <f>AND(#REF!,"AAAAADNsjy8=")</f>
        <v>#REF!</v>
      </c>
      <c r="AW272" t="e">
        <f>AND(#REF!,"AAAAADNsjzA=")</f>
        <v>#REF!</v>
      </c>
      <c r="AX272" t="e">
        <f>AND(#REF!,"AAAAADNsjzE=")</f>
        <v>#REF!</v>
      </c>
      <c r="AY272" t="e">
        <f>AND(#REF!,"AAAAADNsjzI=")</f>
        <v>#REF!</v>
      </c>
      <c r="AZ272" t="e">
        <f>AND(#REF!,"AAAAADNsjzM=")</f>
        <v>#REF!</v>
      </c>
      <c r="BA272" t="e">
        <f>AND(#REF!,"AAAAADNsjzQ=")</f>
        <v>#REF!</v>
      </c>
      <c r="BB272" t="e">
        <f>AND(#REF!,"AAAAADNsjzU=")</f>
        <v>#REF!</v>
      </c>
      <c r="BC272" t="e">
        <f>AND(#REF!,"AAAAADNsjzY=")</f>
        <v>#REF!</v>
      </c>
      <c r="BD272" t="e">
        <f>AND(#REF!,"AAAAADNsjzc=")</f>
        <v>#REF!</v>
      </c>
      <c r="BE272" t="e">
        <f>AND(#REF!,"AAAAADNsjzg=")</f>
        <v>#REF!</v>
      </c>
      <c r="BF272" t="e">
        <f>AND(#REF!,"AAAAADNsjzk=")</f>
        <v>#REF!</v>
      </c>
      <c r="BG272" t="e">
        <f>AND(#REF!,"AAAAADNsjzo=")</f>
        <v>#REF!</v>
      </c>
      <c r="BH272" t="e">
        <f>IF(#REF!,"AAAAADNsjzs=",0)</f>
        <v>#REF!</v>
      </c>
      <c r="BI272" t="e">
        <f>AND(#REF!,"AAAAADNsjzw=")</f>
        <v>#REF!</v>
      </c>
      <c r="BJ272" t="e">
        <f>AND(#REF!,"AAAAADNsjz0=")</f>
        <v>#REF!</v>
      </c>
      <c r="BK272" t="e">
        <f>AND(#REF!,"AAAAADNsjz4=")</f>
        <v>#REF!</v>
      </c>
      <c r="BL272" t="e">
        <f>AND(#REF!,"AAAAADNsjz8=")</f>
        <v>#REF!</v>
      </c>
      <c r="BM272" t="e">
        <f>AND(#REF!,"AAAAADNsj0A=")</f>
        <v>#REF!</v>
      </c>
      <c r="BN272" t="e">
        <f>AND(#REF!,"AAAAADNsj0E=")</f>
        <v>#REF!</v>
      </c>
      <c r="BO272" t="e">
        <f>AND(#REF!,"AAAAADNsj0I=")</f>
        <v>#REF!</v>
      </c>
      <c r="BP272" t="e">
        <f>AND(#REF!,"AAAAADNsj0M=")</f>
        <v>#REF!</v>
      </c>
      <c r="BQ272" t="e">
        <f>AND(#REF!,"AAAAADNsj0Q=")</f>
        <v>#REF!</v>
      </c>
      <c r="BR272" t="e">
        <f>AND(#REF!,"AAAAADNsj0U=")</f>
        <v>#REF!</v>
      </c>
      <c r="BS272" t="e">
        <f>AND(#REF!,"AAAAADNsj0Y=")</f>
        <v>#REF!</v>
      </c>
      <c r="BT272" t="e">
        <f>AND(#REF!,"AAAAADNsj0c=")</f>
        <v>#REF!</v>
      </c>
      <c r="BU272" t="e">
        <f>AND(#REF!,"AAAAADNsj0g=")</f>
        <v>#REF!</v>
      </c>
      <c r="BV272" t="e">
        <f>AND(#REF!,"AAAAADNsj0k=")</f>
        <v>#REF!</v>
      </c>
      <c r="BW272" t="e">
        <f>AND(#REF!,"AAAAADNsj0o=")</f>
        <v>#REF!</v>
      </c>
      <c r="BX272" t="e">
        <f>AND(#REF!,"AAAAADNsj0s=")</f>
        <v>#REF!</v>
      </c>
      <c r="BY272" t="e">
        <f>AND(#REF!,"AAAAADNsj0w=")</f>
        <v>#REF!</v>
      </c>
      <c r="BZ272" t="e">
        <f>AND(#REF!,"AAAAADNsj00=")</f>
        <v>#REF!</v>
      </c>
      <c r="CA272" t="e">
        <f>AND(#REF!,"AAAAADNsj04=")</f>
        <v>#REF!</v>
      </c>
      <c r="CB272" t="e">
        <f>AND(#REF!,"AAAAADNsj08=")</f>
        <v>#REF!</v>
      </c>
      <c r="CC272" t="e">
        <f>AND(#REF!,"AAAAADNsj1A=")</f>
        <v>#REF!</v>
      </c>
      <c r="CD272" t="e">
        <f>AND(#REF!,"AAAAADNsj1E=")</f>
        <v>#REF!</v>
      </c>
      <c r="CE272" t="e">
        <f>AND(#REF!,"AAAAADNsj1I=")</f>
        <v>#REF!</v>
      </c>
      <c r="CF272" t="e">
        <f>AND(#REF!,"AAAAADNsj1M=")</f>
        <v>#REF!</v>
      </c>
      <c r="CG272" t="e">
        <f>IF(#REF!,"AAAAADNsj1Q=",0)</f>
        <v>#REF!</v>
      </c>
      <c r="CH272" t="e">
        <f>AND(#REF!,"AAAAADNsj1U=")</f>
        <v>#REF!</v>
      </c>
      <c r="CI272" t="e">
        <f>AND(#REF!,"AAAAADNsj1Y=")</f>
        <v>#REF!</v>
      </c>
      <c r="CJ272" t="e">
        <f>AND(#REF!,"AAAAADNsj1c=")</f>
        <v>#REF!</v>
      </c>
      <c r="CK272" t="e">
        <f>AND(#REF!,"AAAAADNsj1g=")</f>
        <v>#REF!</v>
      </c>
      <c r="CL272" t="e">
        <f>AND(#REF!,"AAAAADNsj1k=")</f>
        <v>#REF!</v>
      </c>
      <c r="CM272" t="e">
        <f>AND(#REF!,"AAAAADNsj1o=")</f>
        <v>#REF!</v>
      </c>
      <c r="CN272" t="e">
        <f>AND(#REF!,"AAAAADNsj1s=")</f>
        <v>#REF!</v>
      </c>
      <c r="CO272" t="e">
        <f>AND(#REF!,"AAAAADNsj1w=")</f>
        <v>#REF!</v>
      </c>
      <c r="CP272" t="e">
        <f>AND(#REF!,"AAAAADNsj10=")</f>
        <v>#REF!</v>
      </c>
      <c r="CQ272" t="e">
        <f>AND(#REF!,"AAAAADNsj14=")</f>
        <v>#REF!</v>
      </c>
      <c r="CR272" t="e">
        <f>AND(#REF!,"AAAAADNsj18=")</f>
        <v>#REF!</v>
      </c>
      <c r="CS272" t="e">
        <f>AND(#REF!,"AAAAADNsj2A=")</f>
        <v>#REF!</v>
      </c>
      <c r="CT272" t="e">
        <f>AND(#REF!,"AAAAADNsj2E=")</f>
        <v>#REF!</v>
      </c>
      <c r="CU272" t="e">
        <f>AND(#REF!,"AAAAADNsj2I=")</f>
        <v>#REF!</v>
      </c>
      <c r="CV272" t="e">
        <f>AND(#REF!,"AAAAADNsj2M=")</f>
        <v>#REF!</v>
      </c>
      <c r="CW272" t="e">
        <f>AND(#REF!,"AAAAADNsj2Q=")</f>
        <v>#REF!</v>
      </c>
      <c r="CX272" t="e">
        <f>AND(#REF!,"AAAAADNsj2U=")</f>
        <v>#REF!</v>
      </c>
      <c r="CY272" t="e">
        <f>AND(#REF!,"AAAAADNsj2Y=")</f>
        <v>#REF!</v>
      </c>
      <c r="CZ272" t="e">
        <f>AND(#REF!,"AAAAADNsj2c=")</f>
        <v>#REF!</v>
      </c>
      <c r="DA272" t="e">
        <f>AND(#REF!,"AAAAADNsj2g=")</f>
        <v>#REF!</v>
      </c>
      <c r="DB272" t="e">
        <f>AND(#REF!,"AAAAADNsj2k=")</f>
        <v>#REF!</v>
      </c>
      <c r="DC272" t="e">
        <f>AND(#REF!,"AAAAADNsj2o=")</f>
        <v>#REF!</v>
      </c>
      <c r="DD272" t="e">
        <f>AND(#REF!,"AAAAADNsj2s=")</f>
        <v>#REF!</v>
      </c>
      <c r="DE272" t="e">
        <f>AND(#REF!,"AAAAADNsj2w=")</f>
        <v>#REF!</v>
      </c>
      <c r="DF272" t="e">
        <f>IF(#REF!,"AAAAADNsj20=",0)</f>
        <v>#REF!</v>
      </c>
      <c r="DG272" t="e">
        <f>AND(#REF!,"AAAAADNsj24=")</f>
        <v>#REF!</v>
      </c>
      <c r="DH272" t="e">
        <f>AND(#REF!,"AAAAADNsj28=")</f>
        <v>#REF!</v>
      </c>
      <c r="DI272" t="e">
        <f>AND(#REF!,"AAAAADNsj3A=")</f>
        <v>#REF!</v>
      </c>
      <c r="DJ272" t="e">
        <f>AND(#REF!,"AAAAADNsj3E=")</f>
        <v>#REF!</v>
      </c>
      <c r="DK272" t="e">
        <f>AND(#REF!,"AAAAADNsj3I=")</f>
        <v>#REF!</v>
      </c>
      <c r="DL272" t="e">
        <f>AND(#REF!,"AAAAADNsj3M=")</f>
        <v>#REF!</v>
      </c>
      <c r="DM272" t="e">
        <f>AND(#REF!,"AAAAADNsj3Q=")</f>
        <v>#REF!</v>
      </c>
      <c r="DN272" t="e">
        <f>AND(#REF!,"AAAAADNsj3U=")</f>
        <v>#REF!</v>
      </c>
      <c r="DO272" t="e">
        <f>AND(#REF!,"AAAAADNsj3Y=")</f>
        <v>#REF!</v>
      </c>
      <c r="DP272" t="e">
        <f>AND(#REF!,"AAAAADNsj3c=")</f>
        <v>#REF!</v>
      </c>
      <c r="DQ272" t="e">
        <f>AND(#REF!,"AAAAADNsj3g=")</f>
        <v>#REF!</v>
      </c>
      <c r="DR272" t="e">
        <f>AND(#REF!,"AAAAADNsj3k=")</f>
        <v>#REF!</v>
      </c>
      <c r="DS272" t="e">
        <f>AND(#REF!,"AAAAADNsj3o=")</f>
        <v>#REF!</v>
      </c>
      <c r="DT272" t="e">
        <f>AND(#REF!,"AAAAADNsj3s=")</f>
        <v>#REF!</v>
      </c>
      <c r="DU272" t="e">
        <f>AND(#REF!,"AAAAADNsj3w=")</f>
        <v>#REF!</v>
      </c>
      <c r="DV272" t="e">
        <f>AND(#REF!,"AAAAADNsj30=")</f>
        <v>#REF!</v>
      </c>
      <c r="DW272" t="e">
        <f>AND(#REF!,"AAAAADNsj34=")</f>
        <v>#REF!</v>
      </c>
      <c r="DX272" t="e">
        <f>AND(#REF!,"AAAAADNsj38=")</f>
        <v>#REF!</v>
      </c>
      <c r="DY272" t="e">
        <f>AND(#REF!,"AAAAADNsj4A=")</f>
        <v>#REF!</v>
      </c>
      <c r="DZ272" t="e">
        <f>AND(#REF!,"AAAAADNsj4E=")</f>
        <v>#REF!</v>
      </c>
      <c r="EA272" t="e">
        <f>AND(#REF!,"AAAAADNsj4I=")</f>
        <v>#REF!</v>
      </c>
      <c r="EB272" t="e">
        <f>AND(#REF!,"AAAAADNsj4M=")</f>
        <v>#REF!</v>
      </c>
      <c r="EC272" t="e">
        <f>AND(#REF!,"AAAAADNsj4Q=")</f>
        <v>#REF!</v>
      </c>
      <c r="ED272" t="e">
        <f>AND(#REF!,"AAAAADNsj4U=")</f>
        <v>#REF!</v>
      </c>
      <c r="EE272" t="e">
        <f>IF(#REF!,"AAAAADNsj4Y=",0)</f>
        <v>#REF!</v>
      </c>
      <c r="EF272" t="e">
        <f>AND(#REF!,"AAAAADNsj4c=")</f>
        <v>#REF!</v>
      </c>
      <c r="EG272" t="e">
        <f>AND(#REF!,"AAAAADNsj4g=")</f>
        <v>#REF!</v>
      </c>
      <c r="EH272" t="e">
        <f>AND(#REF!,"AAAAADNsj4k=")</f>
        <v>#REF!</v>
      </c>
      <c r="EI272" t="e">
        <f>AND(#REF!,"AAAAADNsj4o=")</f>
        <v>#REF!</v>
      </c>
      <c r="EJ272" t="e">
        <f>AND(#REF!,"AAAAADNsj4s=")</f>
        <v>#REF!</v>
      </c>
      <c r="EK272" t="e">
        <f>AND(#REF!,"AAAAADNsj4w=")</f>
        <v>#REF!</v>
      </c>
      <c r="EL272" t="e">
        <f>AND(#REF!,"AAAAADNsj40=")</f>
        <v>#REF!</v>
      </c>
      <c r="EM272" t="e">
        <f>AND(#REF!,"AAAAADNsj44=")</f>
        <v>#REF!</v>
      </c>
      <c r="EN272" t="e">
        <f>AND(#REF!,"AAAAADNsj48=")</f>
        <v>#REF!</v>
      </c>
      <c r="EO272" t="e">
        <f>AND(#REF!,"AAAAADNsj5A=")</f>
        <v>#REF!</v>
      </c>
      <c r="EP272" t="e">
        <f>AND(#REF!,"AAAAADNsj5E=")</f>
        <v>#REF!</v>
      </c>
      <c r="EQ272" t="e">
        <f>AND(#REF!,"AAAAADNsj5I=")</f>
        <v>#REF!</v>
      </c>
      <c r="ER272" t="e">
        <f>AND(#REF!,"AAAAADNsj5M=")</f>
        <v>#REF!</v>
      </c>
      <c r="ES272" t="e">
        <f>AND(#REF!,"AAAAADNsj5Q=")</f>
        <v>#REF!</v>
      </c>
      <c r="ET272" t="e">
        <f>AND(#REF!,"AAAAADNsj5U=")</f>
        <v>#REF!</v>
      </c>
      <c r="EU272" t="e">
        <f>AND(#REF!,"AAAAADNsj5Y=")</f>
        <v>#REF!</v>
      </c>
      <c r="EV272" t="e">
        <f>AND(#REF!,"AAAAADNsj5c=")</f>
        <v>#REF!</v>
      </c>
      <c r="EW272" t="e">
        <f>AND(#REF!,"AAAAADNsj5g=")</f>
        <v>#REF!</v>
      </c>
      <c r="EX272" t="e">
        <f>AND(#REF!,"AAAAADNsj5k=")</f>
        <v>#REF!</v>
      </c>
      <c r="EY272" t="e">
        <f>AND(#REF!,"AAAAADNsj5o=")</f>
        <v>#REF!</v>
      </c>
      <c r="EZ272" t="e">
        <f>AND(#REF!,"AAAAADNsj5s=")</f>
        <v>#REF!</v>
      </c>
      <c r="FA272" t="e">
        <f>AND(#REF!,"AAAAADNsj5w=")</f>
        <v>#REF!</v>
      </c>
      <c r="FB272" t="e">
        <f>AND(#REF!,"AAAAADNsj50=")</f>
        <v>#REF!</v>
      </c>
      <c r="FC272" t="e">
        <f>AND(#REF!,"AAAAADNsj54=")</f>
        <v>#REF!</v>
      </c>
      <c r="FD272" t="e">
        <f>IF(#REF!,"AAAAADNsj58=",0)</f>
        <v>#REF!</v>
      </c>
      <c r="FE272" t="e">
        <f>AND(#REF!,"AAAAADNsj6A=")</f>
        <v>#REF!</v>
      </c>
      <c r="FF272" t="e">
        <f>AND(#REF!,"AAAAADNsj6E=")</f>
        <v>#REF!</v>
      </c>
      <c r="FG272" t="e">
        <f>AND(#REF!,"AAAAADNsj6I=")</f>
        <v>#REF!</v>
      </c>
      <c r="FH272" t="e">
        <f>AND(#REF!,"AAAAADNsj6M=")</f>
        <v>#REF!</v>
      </c>
      <c r="FI272" t="e">
        <f>AND(#REF!,"AAAAADNsj6Q=")</f>
        <v>#REF!</v>
      </c>
      <c r="FJ272" t="e">
        <f>AND(#REF!,"AAAAADNsj6U=")</f>
        <v>#REF!</v>
      </c>
      <c r="FK272" t="e">
        <f>AND(#REF!,"AAAAADNsj6Y=")</f>
        <v>#REF!</v>
      </c>
      <c r="FL272" t="e">
        <f>AND(#REF!,"AAAAADNsj6c=")</f>
        <v>#REF!</v>
      </c>
      <c r="FM272" t="e">
        <f>AND(#REF!,"AAAAADNsj6g=")</f>
        <v>#REF!</v>
      </c>
      <c r="FN272" t="e">
        <f>AND(#REF!,"AAAAADNsj6k=")</f>
        <v>#REF!</v>
      </c>
      <c r="FO272" t="e">
        <f>AND(#REF!,"AAAAADNsj6o=")</f>
        <v>#REF!</v>
      </c>
      <c r="FP272" t="e">
        <f>AND(#REF!,"AAAAADNsj6s=")</f>
        <v>#REF!</v>
      </c>
      <c r="FQ272" t="e">
        <f>AND(#REF!,"AAAAADNsj6w=")</f>
        <v>#REF!</v>
      </c>
      <c r="FR272" t="e">
        <f>AND(#REF!,"AAAAADNsj60=")</f>
        <v>#REF!</v>
      </c>
      <c r="FS272" t="e">
        <f>AND(#REF!,"AAAAADNsj64=")</f>
        <v>#REF!</v>
      </c>
      <c r="FT272" t="e">
        <f>AND(#REF!,"AAAAADNsj68=")</f>
        <v>#REF!</v>
      </c>
      <c r="FU272" t="e">
        <f>AND(#REF!,"AAAAADNsj7A=")</f>
        <v>#REF!</v>
      </c>
      <c r="FV272" t="e">
        <f>AND(#REF!,"AAAAADNsj7E=")</f>
        <v>#REF!</v>
      </c>
      <c r="FW272" t="e">
        <f>AND(#REF!,"AAAAADNsj7I=")</f>
        <v>#REF!</v>
      </c>
      <c r="FX272" t="e">
        <f>AND(#REF!,"AAAAADNsj7M=")</f>
        <v>#REF!</v>
      </c>
      <c r="FY272" t="e">
        <f>AND(#REF!,"AAAAADNsj7Q=")</f>
        <v>#REF!</v>
      </c>
      <c r="FZ272" t="e">
        <f>AND(#REF!,"AAAAADNsj7U=")</f>
        <v>#REF!</v>
      </c>
      <c r="GA272" t="e">
        <f>AND(#REF!,"AAAAADNsj7Y=")</f>
        <v>#REF!</v>
      </c>
      <c r="GB272" t="e">
        <f>AND(#REF!,"AAAAADNsj7c=")</f>
        <v>#REF!</v>
      </c>
      <c r="GC272" t="e">
        <f>IF(#REF!,"AAAAADNsj7g=",0)</f>
        <v>#REF!</v>
      </c>
      <c r="GD272" t="e">
        <f>AND(#REF!,"AAAAADNsj7k=")</f>
        <v>#REF!</v>
      </c>
      <c r="GE272" t="e">
        <f>AND(#REF!,"AAAAADNsj7o=")</f>
        <v>#REF!</v>
      </c>
      <c r="GF272" t="e">
        <f>AND(#REF!,"AAAAADNsj7s=")</f>
        <v>#REF!</v>
      </c>
      <c r="GG272" t="e">
        <f>AND(#REF!,"AAAAADNsj7w=")</f>
        <v>#REF!</v>
      </c>
      <c r="GH272" t="e">
        <f>AND(#REF!,"AAAAADNsj70=")</f>
        <v>#REF!</v>
      </c>
      <c r="GI272" t="e">
        <f>AND(#REF!,"AAAAADNsj74=")</f>
        <v>#REF!</v>
      </c>
      <c r="GJ272" t="e">
        <f>AND(#REF!,"AAAAADNsj78=")</f>
        <v>#REF!</v>
      </c>
      <c r="GK272" t="e">
        <f>AND(#REF!,"AAAAADNsj8A=")</f>
        <v>#REF!</v>
      </c>
      <c r="GL272" t="e">
        <f>AND(#REF!,"AAAAADNsj8E=")</f>
        <v>#REF!</v>
      </c>
      <c r="GM272" t="e">
        <f>AND(#REF!,"AAAAADNsj8I=")</f>
        <v>#REF!</v>
      </c>
      <c r="GN272" t="e">
        <f>AND(#REF!,"AAAAADNsj8M=")</f>
        <v>#REF!</v>
      </c>
      <c r="GO272" t="e">
        <f>AND(#REF!,"AAAAADNsj8Q=")</f>
        <v>#REF!</v>
      </c>
      <c r="GP272" t="e">
        <f>AND(#REF!,"AAAAADNsj8U=")</f>
        <v>#REF!</v>
      </c>
      <c r="GQ272" t="e">
        <f>AND(#REF!,"AAAAADNsj8Y=")</f>
        <v>#REF!</v>
      </c>
      <c r="GR272" t="e">
        <f>AND(#REF!,"AAAAADNsj8c=")</f>
        <v>#REF!</v>
      </c>
      <c r="GS272" t="e">
        <f>AND(#REF!,"AAAAADNsj8g=")</f>
        <v>#REF!</v>
      </c>
      <c r="GT272" t="e">
        <f>AND(#REF!,"AAAAADNsj8k=")</f>
        <v>#REF!</v>
      </c>
      <c r="GU272" t="e">
        <f>AND(#REF!,"AAAAADNsj8o=")</f>
        <v>#REF!</v>
      </c>
      <c r="GV272" t="e">
        <f>AND(#REF!,"AAAAADNsj8s=")</f>
        <v>#REF!</v>
      </c>
      <c r="GW272" t="e">
        <f>AND(#REF!,"AAAAADNsj8w=")</f>
        <v>#REF!</v>
      </c>
      <c r="GX272" t="e">
        <f>AND(#REF!,"AAAAADNsj80=")</f>
        <v>#REF!</v>
      </c>
      <c r="GY272" t="e">
        <f>AND(#REF!,"AAAAADNsj84=")</f>
        <v>#REF!</v>
      </c>
      <c r="GZ272" t="e">
        <f>AND(#REF!,"AAAAADNsj88=")</f>
        <v>#REF!</v>
      </c>
      <c r="HA272" t="e">
        <f>AND(#REF!,"AAAAADNsj9A=")</f>
        <v>#REF!</v>
      </c>
      <c r="HB272" t="e">
        <f>IF(#REF!,"AAAAADNsj9E=",0)</f>
        <v>#REF!</v>
      </c>
      <c r="HC272" t="e">
        <f>AND(#REF!,"AAAAADNsj9I=")</f>
        <v>#REF!</v>
      </c>
      <c r="HD272" t="e">
        <f>AND(#REF!,"AAAAADNsj9M=")</f>
        <v>#REF!</v>
      </c>
      <c r="HE272" t="e">
        <f>AND(#REF!,"AAAAADNsj9Q=")</f>
        <v>#REF!</v>
      </c>
      <c r="HF272" t="e">
        <f>AND(#REF!,"AAAAADNsj9U=")</f>
        <v>#REF!</v>
      </c>
      <c r="HG272" t="e">
        <f>AND(#REF!,"AAAAADNsj9Y=")</f>
        <v>#REF!</v>
      </c>
      <c r="HH272" t="e">
        <f>AND(#REF!,"AAAAADNsj9c=")</f>
        <v>#REF!</v>
      </c>
      <c r="HI272" t="e">
        <f>AND(#REF!,"AAAAADNsj9g=")</f>
        <v>#REF!</v>
      </c>
      <c r="HJ272" t="e">
        <f>AND(#REF!,"AAAAADNsj9k=")</f>
        <v>#REF!</v>
      </c>
      <c r="HK272" t="e">
        <f>AND(#REF!,"AAAAADNsj9o=")</f>
        <v>#REF!</v>
      </c>
      <c r="HL272" t="e">
        <f>AND(#REF!,"AAAAADNsj9s=")</f>
        <v>#REF!</v>
      </c>
      <c r="HM272" t="e">
        <f>AND(#REF!,"AAAAADNsj9w=")</f>
        <v>#REF!</v>
      </c>
      <c r="HN272" t="e">
        <f>AND(#REF!,"AAAAADNsj90=")</f>
        <v>#REF!</v>
      </c>
      <c r="HO272" t="e">
        <f>AND(#REF!,"AAAAADNsj94=")</f>
        <v>#REF!</v>
      </c>
      <c r="HP272" t="e">
        <f>AND(#REF!,"AAAAADNsj98=")</f>
        <v>#REF!</v>
      </c>
      <c r="HQ272" t="e">
        <f>AND(#REF!,"AAAAADNsj+A=")</f>
        <v>#REF!</v>
      </c>
      <c r="HR272" t="e">
        <f>AND(#REF!,"AAAAADNsj+E=")</f>
        <v>#REF!</v>
      </c>
      <c r="HS272" t="e">
        <f>AND(#REF!,"AAAAADNsj+I=")</f>
        <v>#REF!</v>
      </c>
      <c r="HT272" t="e">
        <f>AND(#REF!,"AAAAADNsj+M=")</f>
        <v>#REF!</v>
      </c>
      <c r="HU272" t="e">
        <f>AND(#REF!,"AAAAADNsj+Q=")</f>
        <v>#REF!</v>
      </c>
      <c r="HV272" t="e">
        <f>AND(#REF!,"AAAAADNsj+U=")</f>
        <v>#REF!</v>
      </c>
      <c r="HW272" t="e">
        <f>AND(#REF!,"AAAAADNsj+Y=")</f>
        <v>#REF!</v>
      </c>
      <c r="HX272" t="e">
        <f>AND(#REF!,"AAAAADNsj+c=")</f>
        <v>#REF!</v>
      </c>
      <c r="HY272" t="e">
        <f>AND(#REF!,"AAAAADNsj+g=")</f>
        <v>#REF!</v>
      </c>
      <c r="HZ272" t="e">
        <f>AND(#REF!,"AAAAADNsj+k=")</f>
        <v>#REF!</v>
      </c>
      <c r="IA272" t="e">
        <f>IF(#REF!,"AAAAADNsj+o=",0)</f>
        <v>#REF!</v>
      </c>
      <c r="IB272" t="e">
        <f>AND(#REF!,"AAAAADNsj+s=")</f>
        <v>#REF!</v>
      </c>
      <c r="IC272" t="e">
        <f>AND(#REF!,"AAAAADNsj+w=")</f>
        <v>#REF!</v>
      </c>
      <c r="ID272" t="e">
        <f>AND(#REF!,"AAAAADNsj+0=")</f>
        <v>#REF!</v>
      </c>
      <c r="IE272" t="e">
        <f>AND(#REF!,"AAAAADNsj+4=")</f>
        <v>#REF!</v>
      </c>
      <c r="IF272" t="e">
        <f>AND(#REF!,"AAAAADNsj+8=")</f>
        <v>#REF!</v>
      </c>
      <c r="IG272" t="e">
        <f>AND(#REF!,"AAAAADNsj/A=")</f>
        <v>#REF!</v>
      </c>
      <c r="IH272" t="e">
        <f>AND(#REF!,"AAAAADNsj/E=")</f>
        <v>#REF!</v>
      </c>
      <c r="II272" t="e">
        <f>AND(#REF!,"AAAAADNsj/I=")</f>
        <v>#REF!</v>
      </c>
      <c r="IJ272" t="e">
        <f>AND(#REF!,"AAAAADNsj/M=")</f>
        <v>#REF!</v>
      </c>
      <c r="IK272" t="e">
        <f>AND(#REF!,"AAAAADNsj/Q=")</f>
        <v>#REF!</v>
      </c>
      <c r="IL272" t="e">
        <f>AND(#REF!,"AAAAADNsj/U=")</f>
        <v>#REF!</v>
      </c>
      <c r="IM272" t="e">
        <f>AND(#REF!,"AAAAADNsj/Y=")</f>
        <v>#REF!</v>
      </c>
      <c r="IN272" t="e">
        <f>AND(#REF!,"AAAAADNsj/c=")</f>
        <v>#REF!</v>
      </c>
      <c r="IO272" t="e">
        <f>AND(#REF!,"AAAAADNsj/g=")</f>
        <v>#REF!</v>
      </c>
      <c r="IP272" t="e">
        <f>AND(#REF!,"AAAAADNsj/k=")</f>
        <v>#REF!</v>
      </c>
      <c r="IQ272" t="e">
        <f>AND(#REF!,"AAAAADNsj/o=")</f>
        <v>#REF!</v>
      </c>
      <c r="IR272" t="e">
        <f>AND(#REF!,"AAAAADNsj/s=")</f>
        <v>#REF!</v>
      </c>
      <c r="IS272" t="e">
        <f>AND(#REF!,"AAAAADNsj/w=")</f>
        <v>#REF!</v>
      </c>
      <c r="IT272" t="e">
        <f>AND(#REF!,"AAAAADNsj/0=")</f>
        <v>#REF!</v>
      </c>
      <c r="IU272" t="e">
        <f>AND(#REF!,"AAAAADNsj/4=")</f>
        <v>#REF!</v>
      </c>
      <c r="IV272" t="e">
        <f>AND(#REF!,"AAAAADNsj/8=")</f>
        <v>#REF!</v>
      </c>
    </row>
    <row r="273" spans="1:256">
      <c r="A273" t="e">
        <f>AND(#REF!,"AAAAAHu8bwA=")</f>
        <v>#REF!</v>
      </c>
      <c r="B273" t="e">
        <f>AND(#REF!,"AAAAAHu8bwE=")</f>
        <v>#REF!</v>
      </c>
      <c r="C273" t="e">
        <f>AND(#REF!,"AAAAAHu8bwI=")</f>
        <v>#REF!</v>
      </c>
      <c r="D273" t="e">
        <f>IF(#REF!,"AAAAAHu8bwM=",0)</f>
        <v>#REF!</v>
      </c>
      <c r="E273" t="e">
        <f>AND(#REF!,"AAAAAHu8bwQ=")</f>
        <v>#REF!</v>
      </c>
      <c r="F273" t="e">
        <f>AND(#REF!,"AAAAAHu8bwU=")</f>
        <v>#REF!</v>
      </c>
      <c r="G273" t="e">
        <f>AND(#REF!,"AAAAAHu8bwY=")</f>
        <v>#REF!</v>
      </c>
      <c r="H273" t="e">
        <f>AND(#REF!,"AAAAAHu8bwc=")</f>
        <v>#REF!</v>
      </c>
      <c r="I273" t="e">
        <f>AND(#REF!,"AAAAAHu8bwg=")</f>
        <v>#REF!</v>
      </c>
      <c r="J273" t="e">
        <f>AND(#REF!,"AAAAAHu8bwk=")</f>
        <v>#REF!</v>
      </c>
      <c r="K273" t="e">
        <f>AND(#REF!,"AAAAAHu8bwo=")</f>
        <v>#REF!</v>
      </c>
      <c r="L273" t="e">
        <f>AND(#REF!,"AAAAAHu8bws=")</f>
        <v>#REF!</v>
      </c>
      <c r="M273" t="e">
        <f>AND(#REF!,"AAAAAHu8bww=")</f>
        <v>#REF!</v>
      </c>
      <c r="N273" t="e">
        <f>AND(#REF!,"AAAAAHu8bw0=")</f>
        <v>#REF!</v>
      </c>
      <c r="O273" t="e">
        <f>AND(#REF!,"AAAAAHu8bw4=")</f>
        <v>#REF!</v>
      </c>
      <c r="P273" t="e">
        <f>AND(#REF!,"AAAAAHu8bw8=")</f>
        <v>#REF!</v>
      </c>
      <c r="Q273" t="e">
        <f>AND(#REF!,"AAAAAHu8bxA=")</f>
        <v>#REF!</v>
      </c>
      <c r="R273" t="e">
        <f>AND(#REF!,"AAAAAHu8bxE=")</f>
        <v>#REF!</v>
      </c>
      <c r="S273" t="e">
        <f>AND(#REF!,"AAAAAHu8bxI=")</f>
        <v>#REF!</v>
      </c>
      <c r="T273" t="e">
        <f>AND(#REF!,"AAAAAHu8bxM=")</f>
        <v>#REF!</v>
      </c>
      <c r="U273" t="e">
        <f>AND(#REF!,"AAAAAHu8bxQ=")</f>
        <v>#REF!</v>
      </c>
      <c r="V273" t="e">
        <f>AND(#REF!,"AAAAAHu8bxU=")</f>
        <v>#REF!</v>
      </c>
      <c r="W273" t="e">
        <f>AND(#REF!,"AAAAAHu8bxY=")</f>
        <v>#REF!</v>
      </c>
      <c r="X273" t="e">
        <f>AND(#REF!,"AAAAAHu8bxc=")</f>
        <v>#REF!</v>
      </c>
      <c r="Y273" t="e">
        <f>AND(#REF!,"AAAAAHu8bxg=")</f>
        <v>#REF!</v>
      </c>
      <c r="Z273" t="e">
        <f>AND(#REF!,"AAAAAHu8bxk=")</f>
        <v>#REF!</v>
      </c>
      <c r="AA273" t="e">
        <f>AND(#REF!,"AAAAAHu8bxo=")</f>
        <v>#REF!</v>
      </c>
      <c r="AB273" t="e">
        <f>AND(#REF!,"AAAAAHu8bxs=")</f>
        <v>#REF!</v>
      </c>
      <c r="AC273" t="e">
        <f>IF(#REF!,"AAAAAHu8bxw=",0)</f>
        <v>#REF!</v>
      </c>
      <c r="AD273" t="e">
        <f>AND(#REF!,"AAAAAHu8bx0=")</f>
        <v>#REF!</v>
      </c>
      <c r="AE273" t="e">
        <f>AND(#REF!,"AAAAAHu8bx4=")</f>
        <v>#REF!</v>
      </c>
      <c r="AF273" t="e">
        <f>AND(#REF!,"AAAAAHu8bx8=")</f>
        <v>#REF!</v>
      </c>
      <c r="AG273" t="e">
        <f>AND(#REF!,"AAAAAHu8byA=")</f>
        <v>#REF!</v>
      </c>
      <c r="AH273" t="e">
        <f>AND(#REF!,"AAAAAHu8byE=")</f>
        <v>#REF!</v>
      </c>
      <c r="AI273" t="e">
        <f>AND(#REF!,"AAAAAHu8byI=")</f>
        <v>#REF!</v>
      </c>
      <c r="AJ273" t="e">
        <f>AND(#REF!,"AAAAAHu8byM=")</f>
        <v>#REF!</v>
      </c>
      <c r="AK273" t="e">
        <f>AND(#REF!,"AAAAAHu8byQ=")</f>
        <v>#REF!</v>
      </c>
      <c r="AL273" t="e">
        <f>AND(#REF!,"AAAAAHu8byU=")</f>
        <v>#REF!</v>
      </c>
      <c r="AM273" t="e">
        <f>AND(#REF!,"AAAAAHu8byY=")</f>
        <v>#REF!</v>
      </c>
      <c r="AN273" t="e">
        <f>AND(#REF!,"AAAAAHu8byc=")</f>
        <v>#REF!</v>
      </c>
      <c r="AO273" t="e">
        <f>AND(#REF!,"AAAAAHu8byg=")</f>
        <v>#REF!</v>
      </c>
      <c r="AP273" t="e">
        <f>AND(#REF!,"AAAAAHu8byk=")</f>
        <v>#REF!</v>
      </c>
      <c r="AQ273" t="e">
        <f>AND(#REF!,"AAAAAHu8byo=")</f>
        <v>#REF!</v>
      </c>
      <c r="AR273" t="e">
        <f>AND(#REF!,"AAAAAHu8bys=")</f>
        <v>#REF!</v>
      </c>
      <c r="AS273" t="e">
        <f>AND(#REF!,"AAAAAHu8byw=")</f>
        <v>#REF!</v>
      </c>
      <c r="AT273" t="e">
        <f>AND(#REF!,"AAAAAHu8by0=")</f>
        <v>#REF!</v>
      </c>
      <c r="AU273" t="e">
        <f>AND(#REF!,"AAAAAHu8by4=")</f>
        <v>#REF!</v>
      </c>
      <c r="AV273" t="e">
        <f>AND(#REF!,"AAAAAHu8by8=")</f>
        <v>#REF!</v>
      </c>
      <c r="AW273" t="e">
        <f>AND(#REF!,"AAAAAHu8bzA=")</f>
        <v>#REF!</v>
      </c>
      <c r="AX273" t="e">
        <f>AND(#REF!,"AAAAAHu8bzE=")</f>
        <v>#REF!</v>
      </c>
      <c r="AY273" t="e">
        <f>AND(#REF!,"AAAAAHu8bzI=")</f>
        <v>#REF!</v>
      </c>
      <c r="AZ273" t="e">
        <f>AND(#REF!,"AAAAAHu8bzM=")</f>
        <v>#REF!</v>
      </c>
      <c r="BA273" t="e">
        <f>AND(#REF!,"AAAAAHu8bzQ=")</f>
        <v>#REF!</v>
      </c>
      <c r="BB273" t="e">
        <f>IF(#REF!,"AAAAAHu8bzU=",0)</f>
        <v>#REF!</v>
      </c>
      <c r="BC273" t="e">
        <f>AND(#REF!,"AAAAAHu8bzY=")</f>
        <v>#REF!</v>
      </c>
      <c r="BD273" t="e">
        <f>AND(#REF!,"AAAAAHu8bzc=")</f>
        <v>#REF!</v>
      </c>
      <c r="BE273" t="e">
        <f>AND(#REF!,"AAAAAHu8bzg=")</f>
        <v>#REF!</v>
      </c>
      <c r="BF273" t="e">
        <f>AND(#REF!,"AAAAAHu8bzk=")</f>
        <v>#REF!</v>
      </c>
      <c r="BG273" t="e">
        <f>AND(#REF!,"AAAAAHu8bzo=")</f>
        <v>#REF!</v>
      </c>
      <c r="BH273" t="e">
        <f>AND(#REF!,"AAAAAHu8bzs=")</f>
        <v>#REF!</v>
      </c>
      <c r="BI273" t="e">
        <f>AND(#REF!,"AAAAAHu8bzw=")</f>
        <v>#REF!</v>
      </c>
      <c r="BJ273" t="e">
        <f>AND(#REF!,"AAAAAHu8bz0=")</f>
        <v>#REF!</v>
      </c>
      <c r="BK273" t="e">
        <f>AND(#REF!,"AAAAAHu8bz4=")</f>
        <v>#REF!</v>
      </c>
      <c r="BL273" t="e">
        <f>AND(#REF!,"AAAAAHu8bz8=")</f>
        <v>#REF!</v>
      </c>
      <c r="BM273" t="e">
        <f>AND(#REF!,"AAAAAHu8b0A=")</f>
        <v>#REF!</v>
      </c>
      <c r="BN273" t="e">
        <f>AND(#REF!,"AAAAAHu8b0E=")</f>
        <v>#REF!</v>
      </c>
      <c r="BO273" t="e">
        <f>AND(#REF!,"AAAAAHu8b0I=")</f>
        <v>#REF!</v>
      </c>
      <c r="BP273" t="e">
        <f>AND(#REF!,"AAAAAHu8b0M=")</f>
        <v>#REF!</v>
      </c>
      <c r="BQ273" t="e">
        <f>AND(#REF!,"AAAAAHu8b0Q=")</f>
        <v>#REF!</v>
      </c>
      <c r="BR273" t="e">
        <f>AND(#REF!,"AAAAAHu8b0U=")</f>
        <v>#REF!</v>
      </c>
      <c r="BS273" t="e">
        <f>AND(#REF!,"AAAAAHu8b0Y=")</f>
        <v>#REF!</v>
      </c>
      <c r="BT273" t="e">
        <f>AND(#REF!,"AAAAAHu8b0c=")</f>
        <v>#REF!</v>
      </c>
      <c r="BU273" t="e">
        <f>AND(#REF!,"AAAAAHu8b0g=")</f>
        <v>#REF!</v>
      </c>
      <c r="BV273" t="e">
        <f>AND(#REF!,"AAAAAHu8b0k=")</f>
        <v>#REF!</v>
      </c>
      <c r="BW273" t="e">
        <f>AND(#REF!,"AAAAAHu8b0o=")</f>
        <v>#REF!</v>
      </c>
      <c r="BX273" t="e">
        <f>AND(#REF!,"AAAAAHu8b0s=")</f>
        <v>#REF!</v>
      </c>
      <c r="BY273" t="e">
        <f>AND(#REF!,"AAAAAHu8b0w=")</f>
        <v>#REF!</v>
      </c>
      <c r="BZ273" t="e">
        <f>AND(#REF!,"AAAAAHu8b00=")</f>
        <v>#REF!</v>
      </c>
      <c r="CA273" t="e">
        <f>IF(#REF!,"AAAAAHu8b04=",0)</f>
        <v>#REF!</v>
      </c>
      <c r="CB273" t="e">
        <f>AND(#REF!,"AAAAAHu8b08=")</f>
        <v>#REF!</v>
      </c>
      <c r="CC273" t="e">
        <f>AND(#REF!,"AAAAAHu8b1A=")</f>
        <v>#REF!</v>
      </c>
      <c r="CD273" t="e">
        <f>AND(#REF!,"AAAAAHu8b1E=")</f>
        <v>#REF!</v>
      </c>
      <c r="CE273" t="e">
        <f>AND(#REF!,"AAAAAHu8b1I=")</f>
        <v>#REF!</v>
      </c>
      <c r="CF273" t="e">
        <f>AND(#REF!,"AAAAAHu8b1M=")</f>
        <v>#REF!</v>
      </c>
      <c r="CG273" t="e">
        <f>AND(#REF!,"AAAAAHu8b1Q=")</f>
        <v>#REF!</v>
      </c>
      <c r="CH273" t="e">
        <f>AND(#REF!,"AAAAAHu8b1U=")</f>
        <v>#REF!</v>
      </c>
      <c r="CI273" t="e">
        <f>AND(#REF!,"AAAAAHu8b1Y=")</f>
        <v>#REF!</v>
      </c>
      <c r="CJ273" t="e">
        <f>AND(#REF!,"AAAAAHu8b1c=")</f>
        <v>#REF!</v>
      </c>
      <c r="CK273" t="e">
        <f>AND(#REF!,"AAAAAHu8b1g=")</f>
        <v>#REF!</v>
      </c>
      <c r="CL273" t="e">
        <f>AND(#REF!,"AAAAAHu8b1k=")</f>
        <v>#REF!</v>
      </c>
      <c r="CM273" t="e">
        <f>AND(#REF!,"AAAAAHu8b1o=")</f>
        <v>#REF!</v>
      </c>
      <c r="CN273" t="e">
        <f>AND(#REF!,"AAAAAHu8b1s=")</f>
        <v>#REF!</v>
      </c>
      <c r="CO273" t="e">
        <f>AND(#REF!,"AAAAAHu8b1w=")</f>
        <v>#REF!</v>
      </c>
      <c r="CP273" t="e">
        <f>AND(#REF!,"AAAAAHu8b10=")</f>
        <v>#REF!</v>
      </c>
      <c r="CQ273" t="e">
        <f>AND(#REF!,"AAAAAHu8b14=")</f>
        <v>#REF!</v>
      </c>
      <c r="CR273" t="e">
        <f>AND(#REF!,"AAAAAHu8b18=")</f>
        <v>#REF!</v>
      </c>
      <c r="CS273" t="e">
        <f>AND(#REF!,"AAAAAHu8b2A=")</f>
        <v>#REF!</v>
      </c>
      <c r="CT273" t="e">
        <f>AND(#REF!,"AAAAAHu8b2E=")</f>
        <v>#REF!</v>
      </c>
      <c r="CU273" t="e">
        <f>AND(#REF!,"AAAAAHu8b2I=")</f>
        <v>#REF!</v>
      </c>
      <c r="CV273" t="e">
        <f>AND(#REF!,"AAAAAHu8b2M=")</f>
        <v>#REF!</v>
      </c>
      <c r="CW273" t="e">
        <f>AND(#REF!,"AAAAAHu8b2Q=")</f>
        <v>#REF!</v>
      </c>
      <c r="CX273" t="e">
        <f>AND(#REF!,"AAAAAHu8b2U=")</f>
        <v>#REF!</v>
      </c>
      <c r="CY273" t="e">
        <f>AND(#REF!,"AAAAAHu8b2Y=")</f>
        <v>#REF!</v>
      </c>
      <c r="CZ273" t="e">
        <f>IF(#REF!,"AAAAAHu8b2c=",0)</f>
        <v>#REF!</v>
      </c>
      <c r="DA273" t="e">
        <f>AND(#REF!,"AAAAAHu8b2g=")</f>
        <v>#REF!</v>
      </c>
      <c r="DB273" t="e">
        <f>AND(#REF!,"AAAAAHu8b2k=")</f>
        <v>#REF!</v>
      </c>
      <c r="DC273" t="e">
        <f>AND(#REF!,"AAAAAHu8b2o=")</f>
        <v>#REF!</v>
      </c>
      <c r="DD273" t="e">
        <f>AND(#REF!,"AAAAAHu8b2s=")</f>
        <v>#REF!</v>
      </c>
      <c r="DE273" t="e">
        <f>AND(#REF!,"AAAAAHu8b2w=")</f>
        <v>#REF!</v>
      </c>
      <c r="DF273" t="e">
        <f>AND(#REF!,"AAAAAHu8b20=")</f>
        <v>#REF!</v>
      </c>
      <c r="DG273" t="e">
        <f>AND(#REF!,"AAAAAHu8b24=")</f>
        <v>#REF!</v>
      </c>
      <c r="DH273" t="e">
        <f>AND(#REF!,"AAAAAHu8b28=")</f>
        <v>#REF!</v>
      </c>
      <c r="DI273" t="e">
        <f>AND(#REF!,"AAAAAHu8b3A=")</f>
        <v>#REF!</v>
      </c>
      <c r="DJ273" t="e">
        <f>AND(#REF!,"AAAAAHu8b3E=")</f>
        <v>#REF!</v>
      </c>
      <c r="DK273" t="e">
        <f>AND(#REF!,"AAAAAHu8b3I=")</f>
        <v>#REF!</v>
      </c>
      <c r="DL273" t="e">
        <f>AND(#REF!,"AAAAAHu8b3M=")</f>
        <v>#REF!</v>
      </c>
      <c r="DM273" t="e">
        <f>AND(#REF!,"AAAAAHu8b3Q=")</f>
        <v>#REF!</v>
      </c>
      <c r="DN273" t="e">
        <f>AND(#REF!,"AAAAAHu8b3U=")</f>
        <v>#REF!</v>
      </c>
      <c r="DO273" t="e">
        <f>AND(#REF!,"AAAAAHu8b3Y=")</f>
        <v>#REF!</v>
      </c>
      <c r="DP273" t="e">
        <f>AND(#REF!,"AAAAAHu8b3c=")</f>
        <v>#REF!</v>
      </c>
      <c r="DQ273" t="e">
        <f>AND(#REF!,"AAAAAHu8b3g=")</f>
        <v>#REF!</v>
      </c>
      <c r="DR273" t="e">
        <f>AND(#REF!,"AAAAAHu8b3k=")</f>
        <v>#REF!</v>
      </c>
      <c r="DS273" t="e">
        <f>AND(#REF!,"AAAAAHu8b3o=")</f>
        <v>#REF!</v>
      </c>
      <c r="DT273" t="e">
        <f>AND(#REF!,"AAAAAHu8b3s=")</f>
        <v>#REF!</v>
      </c>
      <c r="DU273" t="e">
        <f>AND(#REF!,"AAAAAHu8b3w=")</f>
        <v>#REF!</v>
      </c>
      <c r="DV273" t="e">
        <f>AND(#REF!,"AAAAAHu8b30=")</f>
        <v>#REF!</v>
      </c>
      <c r="DW273" t="e">
        <f>AND(#REF!,"AAAAAHu8b34=")</f>
        <v>#REF!</v>
      </c>
      <c r="DX273" t="e">
        <f>AND(#REF!,"AAAAAHu8b38=")</f>
        <v>#REF!</v>
      </c>
      <c r="DY273" t="e">
        <f>IF(#REF!,"AAAAAHu8b4A=",0)</f>
        <v>#REF!</v>
      </c>
      <c r="DZ273" t="e">
        <f>AND(#REF!,"AAAAAHu8b4E=")</f>
        <v>#REF!</v>
      </c>
      <c r="EA273" t="e">
        <f>AND(#REF!,"AAAAAHu8b4I=")</f>
        <v>#REF!</v>
      </c>
      <c r="EB273" t="e">
        <f>AND(#REF!,"AAAAAHu8b4M=")</f>
        <v>#REF!</v>
      </c>
      <c r="EC273" t="e">
        <f>AND(#REF!,"AAAAAHu8b4Q=")</f>
        <v>#REF!</v>
      </c>
      <c r="ED273" t="e">
        <f>AND(#REF!,"AAAAAHu8b4U=")</f>
        <v>#REF!</v>
      </c>
      <c r="EE273" t="e">
        <f>AND(#REF!,"AAAAAHu8b4Y=")</f>
        <v>#REF!</v>
      </c>
      <c r="EF273" t="e">
        <f>AND(#REF!,"AAAAAHu8b4c=")</f>
        <v>#REF!</v>
      </c>
      <c r="EG273" t="e">
        <f>AND(#REF!,"AAAAAHu8b4g=")</f>
        <v>#REF!</v>
      </c>
      <c r="EH273" t="e">
        <f>AND(#REF!,"AAAAAHu8b4k=")</f>
        <v>#REF!</v>
      </c>
      <c r="EI273" t="e">
        <f>AND(#REF!,"AAAAAHu8b4o=")</f>
        <v>#REF!</v>
      </c>
      <c r="EJ273" t="e">
        <f>AND(#REF!,"AAAAAHu8b4s=")</f>
        <v>#REF!</v>
      </c>
      <c r="EK273" t="e">
        <f>AND(#REF!,"AAAAAHu8b4w=")</f>
        <v>#REF!</v>
      </c>
      <c r="EL273" t="e">
        <f>AND(#REF!,"AAAAAHu8b40=")</f>
        <v>#REF!</v>
      </c>
      <c r="EM273" t="e">
        <f>AND(#REF!,"AAAAAHu8b44=")</f>
        <v>#REF!</v>
      </c>
      <c r="EN273" t="e">
        <f>AND(#REF!,"AAAAAHu8b48=")</f>
        <v>#REF!</v>
      </c>
      <c r="EO273" t="e">
        <f>AND(#REF!,"AAAAAHu8b5A=")</f>
        <v>#REF!</v>
      </c>
      <c r="EP273" t="e">
        <f>AND(#REF!,"AAAAAHu8b5E=")</f>
        <v>#REF!</v>
      </c>
      <c r="EQ273" t="e">
        <f>AND(#REF!,"AAAAAHu8b5I=")</f>
        <v>#REF!</v>
      </c>
      <c r="ER273" t="e">
        <f>AND(#REF!,"AAAAAHu8b5M=")</f>
        <v>#REF!</v>
      </c>
      <c r="ES273" t="e">
        <f>AND(#REF!,"AAAAAHu8b5Q=")</f>
        <v>#REF!</v>
      </c>
      <c r="ET273" t="e">
        <f>AND(#REF!,"AAAAAHu8b5U=")</f>
        <v>#REF!</v>
      </c>
      <c r="EU273" t="e">
        <f>AND(#REF!,"AAAAAHu8b5Y=")</f>
        <v>#REF!</v>
      </c>
      <c r="EV273" t="e">
        <f>AND(#REF!,"AAAAAHu8b5c=")</f>
        <v>#REF!</v>
      </c>
      <c r="EW273" t="e">
        <f>AND(#REF!,"AAAAAHu8b5g=")</f>
        <v>#REF!</v>
      </c>
      <c r="EX273" t="e">
        <f>IF(#REF!,"AAAAAHu8b5k=",0)</f>
        <v>#REF!</v>
      </c>
      <c r="EY273" t="e">
        <f>AND(#REF!,"AAAAAHu8b5o=")</f>
        <v>#REF!</v>
      </c>
      <c r="EZ273" t="e">
        <f>AND(#REF!,"AAAAAHu8b5s=")</f>
        <v>#REF!</v>
      </c>
      <c r="FA273" t="e">
        <f>AND(#REF!,"AAAAAHu8b5w=")</f>
        <v>#REF!</v>
      </c>
      <c r="FB273" t="e">
        <f>AND(#REF!,"AAAAAHu8b50=")</f>
        <v>#REF!</v>
      </c>
      <c r="FC273" t="e">
        <f>AND(#REF!,"AAAAAHu8b54=")</f>
        <v>#REF!</v>
      </c>
      <c r="FD273" t="e">
        <f>AND(#REF!,"AAAAAHu8b58=")</f>
        <v>#REF!</v>
      </c>
      <c r="FE273" t="e">
        <f>AND(#REF!,"AAAAAHu8b6A=")</f>
        <v>#REF!</v>
      </c>
      <c r="FF273" t="e">
        <f>AND(#REF!,"AAAAAHu8b6E=")</f>
        <v>#REF!</v>
      </c>
      <c r="FG273" t="e">
        <f>AND(#REF!,"AAAAAHu8b6I=")</f>
        <v>#REF!</v>
      </c>
      <c r="FH273" t="e">
        <f>AND(#REF!,"AAAAAHu8b6M=")</f>
        <v>#REF!</v>
      </c>
      <c r="FI273" t="e">
        <f>AND(#REF!,"AAAAAHu8b6Q=")</f>
        <v>#REF!</v>
      </c>
      <c r="FJ273" t="e">
        <f>AND(#REF!,"AAAAAHu8b6U=")</f>
        <v>#REF!</v>
      </c>
      <c r="FK273" t="e">
        <f>AND(#REF!,"AAAAAHu8b6Y=")</f>
        <v>#REF!</v>
      </c>
      <c r="FL273" t="e">
        <f>AND(#REF!,"AAAAAHu8b6c=")</f>
        <v>#REF!</v>
      </c>
      <c r="FM273" t="e">
        <f>AND(#REF!,"AAAAAHu8b6g=")</f>
        <v>#REF!</v>
      </c>
      <c r="FN273" t="e">
        <f>AND(#REF!,"AAAAAHu8b6k=")</f>
        <v>#REF!</v>
      </c>
      <c r="FO273" t="e">
        <f>AND(#REF!,"AAAAAHu8b6o=")</f>
        <v>#REF!</v>
      </c>
      <c r="FP273" t="e">
        <f>AND(#REF!,"AAAAAHu8b6s=")</f>
        <v>#REF!</v>
      </c>
      <c r="FQ273" t="e">
        <f>AND(#REF!,"AAAAAHu8b6w=")</f>
        <v>#REF!</v>
      </c>
      <c r="FR273" t="e">
        <f>AND(#REF!,"AAAAAHu8b60=")</f>
        <v>#REF!</v>
      </c>
      <c r="FS273" t="e">
        <f>AND(#REF!,"AAAAAHu8b64=")</f>
        <v>#REF!</v>
      </c>
      <c r="FT273" t="e">
        <f>AND(#REF!,"AAAAAHu8b68=")</f>
        <v>#REF!</v>
      </c>
      <c r="FU273" t="e">
        <f>AND(#REF!,"AAAAAHu8b7A=")</f>
        <v>#REF!</v>
      </c>
      <c r="FV273" t="e">
        <f>AND(#REF!,"AAAAAHu8b7E=")</f>
        <v>#REF!</v>
      </c>
      <c r="FW273" t="e">
        <f>IF(#REF!,"AAAAAHu8b7I=",0)</f>
        <v>#REF!</v>
      </c>
      <c r="FX273" t="e">
        <f>AND(#REF!,"AAAAAHu8b7M=")</f>
        <v>#REF!</v>
      </c>
      <c r="FY273" t="e">
        <f>AND(#REF!,"AAAAAHu8b7Q=")</f>
        <v>#REF!</v>
      </c>
      <c r="FZ273" t="e">
        <f>AND(#REF!,"AAAAAHu8b7U=")</f>
        <v>#REF!</v>
      </c>
      <c r="GA273" t="e">
        <f>AND(#REF!,"AAAAAHu8b7Y=")</f>
        <v>#REF!</v>
      </c>
      <c r="GB273" t="e">
        <f>AND(#REF!,"AAAAAHu8b7c=")</f>
        <v>#REF!</v>
      </c>
      <c r="GC273" t="e">
        <f>AND(#REF!,"AAAAAHu8b7g=")</f>
        <v>#REF!</v>
      </c>
      <c r="GD273" t="e">
        <f>AND(#REF!,"AAAAAHu8b7k=")</f>
        <v>#REF!</v>
      </c>
      <c r="GE273" t="e">
        <f>AND(#REF!,"AAAAAHu8b7o=")</f>
        <v>#REF!</v>
      </c>
      <c r="GF273" t="e">
        <f>AND(#REF!,"AAAAAHu8b7s=")</f>
        <v>#REF!</v>
      </c>
      <c r="GG273" t="e">
        <f>AND(#REF!,"AAAAAHu8b7w=")</f>
        <v>#REF!</v>
      </c>
      <c r="GH273" t="e">
        <f>AND(#REF!,"AAAAAHu8b70=")</f>
        <v>#REF!</v>
      </c>
      <c r="GI273" t="e">
        <f>AND(#REF!,"AAAAAHu8b74=")</f>
        <v>#REF!</v>
      </c>
      <c r="GJ273" t="e">
        <f>AND(#REF!,"AAAAAHu8b78=")</f>
        <v>#REF!</v>
      </c>
      <c r="GK273" t="e">
        <f>AND(#REF!,"AAAAAHu8b8A=")</f>
        <v>#REF!</v>
      </c>
      <c r="GL273" t="e">
        <f>AND(#REF!,"AAAAAHu8b8E=")</f>
        <v>#REF!</v>
      </c>
      <c r="GM273" t="e">
        <f>AND(#REF!,"AAAAAHu8b8I=")</f>
        <v>#REF!</v>
      </c>
      <c r="GN273" t="e">
        <f>AND(#REF!,"AAAAAHu8b8M=")</f>
        <v>#REF!</v>
      </c>
      <c r="GO273" t="e">
        <f>AND(#REF!,"AAAAAHu8b8Q=")</f>
        <v>#REF!</v>
      </c>
      <c r="GP273" t="e">
        <f>AND(#REF!,"AAAAAHu8b8U=")</f>
        <v>#REF!</v>
      </c>
      <c r="GQ273" t="e">
        <f>AND(#REF!,"AAAAAHu8b8Y=")</f>
        <v>#REF!</v>
      </c>
      <c r="GR273" t="e">
        <f>AND(#REF!,"AAAAAHu8b8c=")</f>
        <v>#REF!</v>
      </c>
      <c r="GS273" t="e">
        <f>AND(#REF!,"AAAAAHu8b8g=")</f>
        <v>#REF!</v>
      </c>
      <c r="GT273" t="e">
        <f>AND(#REF!,"AAAAAHu8b8k=")</f>
        <v>#REF!</v>
      </c>
      <c r="GU273" t="e">
        <f>AND(#REF!,"AAAAAHu8b8o=")</f>
        <v>#REF!</v>
      </c>
      <c r="GV273" t="e">
        <f>IF(#REF!,"AAAAAHu8b8s=",0)</f>
        <v>#REF!</v>
      </c>
      <c r="GW273" t="e">
        <f>AND(#REF!,"AAAAAHu8b8w=")</f>
        <v>#REF!</v>
      </c>
      <c r="GX273" t="e">
        <f>AND(#REF!,"AAAAAHu8b80=")</f>
        <v>#REF!</v>
      </c>
      <c r="GY273" t="e">
        <f>AND(#REF!,"AAAAAHu8b84=")</f>
        <v>#REF!</v>
      </c>
      <c r="GZ273" t="e">
        <f>AND(#REF!,"AAAAAHu8b88=")</f>
        <v>#REF!</v>
      </c>
      <c r="HA273" t="e">
        <f>AND(#REF!,"AAAAAHu8b9A=")</f>
        <v>#REF!</v>
      </c>
      <c r="HB273" t="e">
        <f>AND(#REF!,"AAAAAHu8b9E=")</f>
        <v>#REF!</v>
      </c>
      <c r="HC273" t="e">
        <f>AND(#REF!,"AAAAAHu8b9I=")</f>
        <v>#REF!</v>
      </c>
      <c r="HD273" t="e">
        <f>AND(#REF!,"AAAAAHu8b9M=")</f>
        <v>#REF!</v>
      </c>
      <c r="HE273" t="e">
        <f>AND(#REF!,"AAAAAHu8b9Q=")</f>
        <v>#REF!</v>
      </c>
      <c r="HF273" t="e">
        <f>AND(#REF!,"AAAAAHu8b9U=")</f>
        <v>#REF!</v>
      </c>
      <c r="HG273" t="e">
        <f>AND(#REF!,"AAAAAHu8b9Y=")</f>
        <v>#REF!</v>
      </c>
      <c r="HH273" t="e">
        <f>AND(#REF!,"AAAAAHu8b9c=")</f>
        <v>#REF!</v>
      </c>
      <c r="HI273" t="e">
        <f>AND(#REF!,"AAAAAHu8b9g=")</f>
        <v>#REF!</v>
      </c>
      <c r="HJ273" t="e">
        <f>AND(#REF!,"AAAAAHu8b9k=")</f>
        <v>#REF!</v>
      </c>
      <c r="HK273" t="e">
        <f>AND(#REF!,"AAAAAHu8b9o=")</f>
        <v>#REF!</v>
      </c>
      <c r="HL273" t="e">
        <f>AND(#REF!,"AAAAAHu8b9s=")</f>
        <v>#REF!</v>
      </c>
      <c r="HM273" t="e">
        <f>AND(#REF!,"AAAAAHu8b9w=")</f>
        <v>#REF!</v>
      </c>
      <c r="HN273" t="e">
        <f>AND(#REF!,"AAAAAHu8b90=")</f>
        <v>#REF!</v>
      </c>
      <c r="HO273" t="e">
        <f>AND(#REF!,"AAAAAHu8b94=")</f>
        <v>#REF!</v>
      </c>
      <c r="HP273" t="e">
        <f>AND(#REF!,"AAAAAHu8b98=")</f>
        <v>#REF!</v>
      </c>
      <c r="HQ273" t="e">
        <f>AND(#REF!,"AAAAAHu8b+A=")</f>
        <v>#REF!</v>
      </c>
      <c r="HR273" t="e">
        <f>AND(#REF!,"AAAAAHu8b+E=")</f>
        <v>#REF!</v>
      </c>
      <c r="HS273" t="e">
        <f>AND(#REF!,"AAAAAHu8b+I=")</f>
        <v>#REF!</v>
      </c>
      <c r="HT273" t="e">
        <f>AND(#REF!,"AAAAAHu8b+M=")</f>
        <v>#REF!</v>
      </c>
      <c r="HU273" t="e">
        <f>IF(#REF!,"AAAAAHu8b+Q=",0)</f>
        <v>#REF!</v>
      </c>
      <c r="HV273" t="e">
        <f>AND(#REF!,"AAAAAHu8b+U=")</f>
        <v>#REF!</v>
      </c>
      <c r="HW273" t="e">
        <f>AND(#REF!,"AAAAAHu8b+Y=")</f>
        <v>#REF!</v>
      </c>
      <c r="HX273" t="e">
        <f>AND(#REF!,"AAAAAHu8b+c=")</f>
        <v>#REF!</v>
      </c>
      <c r="HY273" t="e">
        <f>AND(#REF!,"AAAAAHu8b+g=")</f>
        <v>#REF!</v>
      </c>
      <c r="HZ273" t="e">
        <f>AND(#REF!,"AAAAAHu8b+k=")</f>
        <v>#REF!</v>
      </c>
      <c r="IA273" t="e">
        <f>AND(#REF!,"AAAAAHu8b+o=")</f>
        <v>#REF!</v>
      </c>
      <c r="IB273" t="e">
        <f>AND(#REF!,"AAAAAHu8b+s=")</f>
        <v>#REF!</v>
      </c>
      <c r="IC273" t="e">
        <f>AND(#REF!,"AAAAAHu8b+w=")</f>
        <v>#REF!</v>
      </c>
      <c r="ID273" t="e">
        <f>AND(#REF!,"AAAAAHu8b+0=")</f>
        <v>#REF!</v>
      </c>
      <c r="IE273" t="e">
        <f>AND(#REF!,"AAAAAHu8b+4=")</f>
        <v>#REF!</v>
      </c>
      <c r="IF273" t="e">
        <f>AND(#REF!,"AAAAAHu8b+8=")</f>
        <v>#REF!</v>
      </c>
      <c r="IG273" t="e">
        <f>AND(#REF!,"AAAAAHu8b/A=")</f>
        <v>#REF!</v>
      </c>
      <c r="IH273" t="e">
        <f>AND(#REF!,"AAAAAHu8b/E=")</f>
        <v>#REF!</v>
      </c>
      <c r="II273" t="e">
        <f>AND(#REF!,"AAAAAHu8b/I=")</f>
        <v>#REF!</v>
      </c>
      <c r="IJ273" t="e">
        <f>AND(#REF!,"AAAAAHu8b/M=")</f>
        <v>#REF!</v>
      </c>
      <c r="IK273" t="e">
        <f>AND(#REF!,"AAAAAHu8b/Q=")</f>
        <v>#REF!</v>
      </c>
      <c r="IL273" t="e">
        <f>AND(#REF!,"AAAAAHu8b/U=")</f>
        <v>#REF!</v>
      </c>
      <c r="IM273" t="e">
        <f>AND(#REF!,"AAAAAHu8b/Y=")</f>
        <v>#REF!</v>
      </c>
      <c r="IN273" t="e">
        <f>AND(#REF!,"AAAAAHu8b/c=")</f>
        <v>#REF!</v>
      </c>
      <c r="IO273" t="e">
        <f>AND(#REF!,"AAAAAHu8b/g=")</f>
        <v>#REF!</v>
      </c>
      <c r="IP273" t="e">
        <f>AND(#REF!,"AAAAAHu8b/k=")</f>
        <v>#REF!</v>
      </c>
      <c r="IQ273" t="e">
        <f>AND(#REF!,"AAAAAHu8b/o=")</f>
        <v>#REF!</v>
      </c>
      <c r="IR273" t="e">
        <f>AND(#REF!,"AAAAAHu8b/s=")</f>
        <v>#REF!</v>
      </c>
      <c r="IS273" t="e">
        <f>AND(#REF!,"AAAAAHu8b/w=")</f>
        <v>#REF!</v>
      </c>
      <c r="IT273" t="e">
        <f>IF(#REF!,"AAAAAHu8b/0=",0)</f>
        <v>#REF!</v>
      </c>
      <c r="IU273" t="e">
        <f>AND(#REF!,"AAAAAHu8b/4=")</f>
        <v>#REF!</v>
      </c>
      <c r="IV273" t="e">
        <f>AND(#REF!,"AAAAAHu8b/8=")</f>
        <v>#REF!</v>
      </c>
    </row>
    <row r="274" spans="1:256">
      <c r="A274" t="e">
        <f>AND(#REF!,"AAAAAHf//wA=")</f>
        <v>#REF!</v>
      </c>
      <c r="B274" t="e">
        <f>AND(#REF!,"AAAAAHf//wE=")</f>
        <v>#REF!</v>
      </c>
      <c r="C274" t="e">
        <f>AND(#REF!,"AAAAAHf//wI=")</f>
        <v>#REF!</v>
      </c>
      <c r="D274" t="e">
        <f>AND(#REF!,"AAAAAHf//wM=")</f>
        <v>#REF!</v>
      </c>
      <c r="E274" t="e">
        <f>AND(#REF!,"AAAAAHf//wQ=")</f>
        <v>#REF!</v>
      </c>
      <c r="F274" t="e">
        <f>AND(#REF!,"AAAAAHf//wU=")</f>
        <v>#REF!</v>
      </c>
      <c r="G274" t="e">
        <f>AND(#REF!,"AAAAAHf//wY=")</f>
        <v>#REF!</v>
      </c>
      <c r="H274" t="e">
        <f>AND(#REF!,"AAAAAHf//wc=")</f>
        <v>#REF!</v>
      </c>
      <c r="I274" t="e">
        <f>AND(#REF!,"AAAAAHf//wg=")</f>
        <v>#REF!</v>
      </c>
      <c r="J274" t="e">
        <f>AND(#REF!,"AAAAAHf//wk=")</f>
        <v>#REF!</v>
      </c>
      <c r="K274" t="e">
        <f>AND(#REF!,"AAAAAHf//wo=")</f>
        <v>#REF!</v>
      </c>
      <c r="L274" t="e">
        <f>AND(#REF!,"AAAAAHf//ws=")</f>
        <v>#REF!</v>
      </c>
      <c r="M274" t="e">
        <f>AND(#REF!,"AAAAAHf//ww=")</f>
        <v>#REF!</v>
      </c>
      <c r="N274" t="e">
        <f>AND(#REF!,"AAAAAHf//w0=")</f>
        <v>#REF!</v>
      </c>
      <c r="O274" t="e">
        <f>AND(#REF!,"AAAAAHf//w4=")</f>
        <v>#REF!</v>
      </c>
      <c r="P274" t="e">
        <f>AND(#REF!,"AAAAAHf//w8=")</f>
        <v>#REF!</v>
      </c>
      <c r="Q274" t="e">
        <f>AND(#REF!,"AAAAAHf//xA=")</f>
        <v>#REF!</v>
      </c>
      <c r="R274" t="e">
        <f>AND(#REF!,"AAAAAHf//xE=")</f>
        <v>#REF!</v>
      </c>
      <c r="S274" t="e">
        <f>AND(#REF!,"AAAAAHf//xI=")</f>
        <v>#REF!</v>
      </c>
      <c r="T274" t="e">
        <f>AND(#REF!,"AAAAAHf//xM=")</f>
        <v>#REF!</v>
      </c>
      <c r="U274" t="e">
        <f>AND(#REF!,"AAAAAHf//xQ=")</f>
        <v>#REF!</v>
      </c>
      <c r="V274" t="e">
        <f>AND(#REF!,"AAAAAHf//xU=")</f>
        <v>#REF!</v>
      </c>
      <c r="W274" t="e">
        <f>IF(#REF!,"AAAAAHf//xY=",0)</f>
        <v>#REF!</v>
      </c>
      <c r="X274" t="e">
        <f>AND(#REF!,"AAAAAHf//xc=")</f>
        <v>#REF!</v>
      </c>
      <c r="Y274" t="e">
        <f>AND(#REF!,"AAAAAHf//xg=")</f>
        <v>#REF!</v>
      </c>
      <c r="Z274" t="e">
        <f>AND(#REF!,"AAAAAHf//xk=")</f>
        <v>#REF!</v>
      </c>
      <c r="AA274" t="e">
        <f>AND(#REF!,"AAAAAHf//xo=")</f>
        <v>#REF!</v>
      </c>
      <c r="AB274" t="e">
        <f>AND(#REF!,"AAAAAHf//xs=")</f>
        <v>#REF!</v>
      </c>
      <c r="AC274" t="e">
        <f>AND(#REF!,"AAAAAHf//xw=")</f>
        <v>#REF!</v>
      </c>
      <c r="AD274" t="e">
        <f>AND(#REF!,"AAAAAHf//x0=")</f>
        <v>#REF!</v>
      </c>
      <c r="AE274" t="e">
        <f>AND(#REF!,"AAAAAHf//x4=")</f>
        <v>#REF!</v>
      </c>
      <c r="AF274" t="e">
        <f>AND(#REF!,"AAAAAHf//x8=")</f>
        <v>#REF!</v>
      </c>
      <c r="AG274" t="e">
        <f>AND(#REF!,"AAAAAHf//yA=")</f>
        <v>#REF!</v>
      </c>
      <c r="AH274" t="e">
        <f>AND(#REF!,"AAAAAHf//yE=")</f>
        <v>#REF!</v>
      </c>
      <c r="AI274" t="e">
        <f>AND(#REF!,"AAAAAHf//yI=")</f>
        <v>#REF!</v>
      </c>
      <c r="AJ274" t="e">
        <f>AND(#REF!,"AAAAAHf//yM=")</f>
        <v>#REF!</v>
      </c>
      <c r="AK274" t="e">
        <f>AND(#REF!,"AAAAAHf//yQ=")</f>
        <v>#REF!</v>
      </c>
      <c r="AL274" t="e">
        <f>AND(#REF!,"AAAAAHf//yU=")</f>
        <v>#REF!</v>
      </c>
      <c r="AM274" t="e">
        <f>AND(#REF!,"AAAAAHf//yY=")</f>
        <v>#REF!</v>
      </c>
      <c r="AN274" t="e">
        <f>AND(#REF!,"AAAAAHf//yc=")</f>
        <v>#REF!</v>
      </c>
      <c r="AO274" t="e">
        <f>AND(#REF!,"AAAAAHf//yg=")</f>
        <v>#REF!</v>
      </c>
      <c r="AP274" t="e">
        <f>AND(#REF!,"AAAAAHf//yk=")</f>
        <v>#REF!</v>
      </c>
      <c r="AQ274" t="e">
        <f>AND(#REF!,"AAAAAHf//yo=")</f>
        <v>#REF!</v>
      </c>
      <c r="AR274" t="e">
        <f>AND(#REF!,"AAAAAHf//ys=")</f>
        <v>#REF!</v>
      </c>
      <c r="AS274" t="e">
        <f>AND(#REF!,"AAAAAHf//yw=")</f>
        <v>#REF!</v>
      </c>
      <c r="AT274" t="e">
        <f>AND(#REF!,"AAAAAHf//y0=")</f>
        <v>#REF!</v>
      </c>
      <c r="AU274" t="e">
        <f>AND(#REF!,"AAAAAHf//y4=")</f>
        <v>#REF!</v>
      </c>
      <c r="AV274" t="e">
        <f>IF(#REF!,"AAAAAHf//y8=",0)</f>
        <v>#REF!</v>
      </c>
      <c r="AW274" t="e">
        <f>AND(#REF!,"AAAAAHf//zA=")</f>
        <v>#REF!</v>
      </c>
      <c r="AX274" t="e">
        <f>AND(#REF!,"AAAAAHf//zE=")</f>
        <v>#REF!</v>
      </c>
      <c r="AY274" t="e">
        <f>AND(#REF!,"AAAAAHf//zI=")</f>
        <v>#REF!</v>
      </c>
      <c r="AZ274" t="e">
        <f>AND(#REF!,"AAAAAHf//zM=")</f>
        <v>#REF!</v>
      </c>
      <c r="BA274" t="e">
        <f>AND(#REF!,"AAAAAHf//zQ=")</f>
        <v>#REF!</v>
      </c>
      <c r="BB274" t="e">
        <f>AND(#REF!,"AAAAAHf//zU=")</f>
        <v>#REF!</v>
      </c>
      <c r="BC274" t="e">
        <f>AND(#REF!,"AAAAAHf//zY=")</f>
        <v>#REF!</v>
      </c>
      <c r="BD274" t="e">
        <f>AND(#REF!,"AAAAAHf//zc=")</f>
        <v>#REF!</v>
      </c>
      <c r="BE274" t="e">
        <f>AND(#REF!,"AAAAAHf//zg=")</f>
        <v>#REF!</v>
      </c>
      <c r="BF274" t="e">
        <f>AND(#REF!,"AAAAAHf//zk=")</f>
        <v>#REF!</v>
      </c>
      <c r="BG274" t="e">
        <f>AND(#REF!,"AAAAAHf//zo=")</f>
        <v>#REF!</v>
      </c>
      <c r="BH274" t="e">
        <f>AND(#REF!,"AAAAAHf//zs=")</f>
        <v>#REF!</v>
      </c>
      <c r="BI274" t="e">
        <f>AND(#REF!,"AAAAAHf//zw=")</f>
        <v>#REF!</v>
      </c>
      <c r="BJ274" t="e">
        <f>AND(#REF!,"AAAAAHf//z0=")</f>
        <v>#REF!</v>
      </c>
      <c r="BK274" t="e">
        <f>AND(#REF!,"AAAAAHf//z4=")</f>
        <v>#REF!</v>
      </c>
      <c r="BL274" t="e">
        <f>AND(#REF!,"AAAAAHf//z8=")</f>
        <v>#REF!</v>
      </c>
      <c r="BM274" t="e">
        <f>AND(#REF!,"AAAAAHf//0A=")</f>
        <v>#REF!</v>
      </c>
      <c r="BN274" t="e">
        <f>AND(#REF!,"AAAAAHf//0E=")</f>
        <v>#REF!</v>
      </c>
      <c r="BO274" t="e">
        <f>AND(#REF!,"AAAAAHf//0I=")</f>
        <v>#REF!</v>
      </c>
      <c r="BP274" t="e">
        <f>AND(#REF!,"AAAAAHf//0M=")</f>
        <v>#REF!</v>
      </c>
      <c r="BQ274" t="e">
        <f>AND(#REF!,"AAAAAHf//0Q=")</f>
        <v>#REF!</v>
      </c>
      <c r="BR274" t="e">
        <f>AND(#REF!,"AAAAAHf//0U=")</f>
        <v>#REF!</v>
      </c>
      <c r="BS274" t="e">
        <f>AND(#REF!,"AAAAAHf//0Y=")</f>
        <v>#REF!</v>
      </c>
      <c r="BT274" t="e">
        <f>AND(#REF!,"AAAAAHf//0c=")</f>
        <v>#REF!</v>
      </c>
      <c r="BU274" t="e">
        <f>IF(#REF!,"AAAAAHf//0g=",0)</f>
        <v>#REF!</v>
      </c>
      <c r="BV274" t="e">
        <f>AND(#REF!,"AAAAAHf//0k=")</f>
        <v>#REF!</v>
      </c>
      <c r="BW274" t="e">
        <f>AND(#REF!,"AAAAAHf//0o=")</f>
        <v>#REF!</v>
      </c>
      <c r="BX274" t="e">
        <f>AND(#REF!,"AAAAAHf//0s=")</f>
        <v>#REF!</v>
      </c>
      <c r="BY274" t="e">
        <f>AND(#REF!,"AAAAAHf//0w=")</f>
        <v>#REF!</v>
      </c>
      <c r="BZ274" t="e">
        <f>AND(#REF!,"AAAAAHf//00=")</f>
        <v>#REF!</v>
      </c>
      <c r="CA274" t="e">
        <f>AND(#REF!,"AAAAAHf//04=")</f>
        <v>#REF!</v>
      </c>
      <c r="CB274" t="e">
        <f>AND(#REF!,"AAAAAHf//08=")</f>
        <v>#REF!</v>
      </c>
      <c r="CC274" t="e">
        <f>AND(#REF!,"AAAAAHf//1A=")</f>
        <v>#REF!</v>
      </c>
      <c r="CD274" t="e">
        <f>AND(#REF!,"AAAAAHf//1E=")</f>
        <v>#REF!</v>
      </c>
      <c r="CE274" t="e">
        <f>AND(#REF!,"AAAAAHf//1I=")</f>
        <v>#REF!</v>
      </c>
      <c r="CF274" t="e">
        <f>AND(#REF!,"AAAAAHf//1M=")</f>
        <v>#REF!</v>
      </c>
      <c r="CG274" t="e">
        <f>AND(#REF!,"AAAAAHf//1Q=")</f>
        <v>#REF!</v>
      </c>
      <c r="CH274" t="e">
        <f>AND(#REF!,"AAAAAHf//1U=")</f>
        <v>#REF!</v>
      </c>
      <c r="CI274" t="e">
        <f>AND(#REF!,"AAAAAHf//1Y=")</f>
        <v>#REF!</v>
      </c>
      <c r="CJ274" t="e">
        <f>AND(#REF!,"AAAAAHf//1c=")</f>
        <v>#REF!</v>
      </c>
      <c r="CK274" t="e">
        <f>AND(#REF!,"AAAAAHf//1g=")</f>
        <v>#REF!</v>
      </c>
      <c r="CL274" t="e">
        <f>AND(#REF!,"AAAAAHf//1k=")</f>
        <v>#REF!</v>
      </c>
      <c r="CM274" t="e">
        <f>AND(#REF!,"AAAAAHf//1o=")</f>
        <v>#REF!</v>
      </c>
      <c r="CN274" t="e">
        <f>AND(#REF!,"AAAAAHf//1s=")</f>
        <v>#REF!</v>
      </c>
      <c r="CO274" t="e">
        <f>AND(#REF!,"AAAAAHf//1w=")</f>
        <v>#REF!</v>
      </c>
      <c r="CP274" t="e">
        <f>AND(#REF!,"AAAAAHf//10=")</f>
        <v>#REF!</v>
      </c>
      <c r="CQ274" t="e">
        <f>AND(#REF!,"AAAAAHf//14=")</f>
        <v>#REF!</v>
      </c>
      <c r="CR274" t="e">
        <f>AND(#REF!,"AAAAAHf//18=")</f>
        <v>#REF!</v>
      </c>
      <c r="CS274" t="e">
        <f>AND(#REF!,"AAAAAHf//2A=")</f>
        <v>#REF!</v>
      </c>
      <c r="CT274" t="e">
        <f>IF(#REF!,"AAAAAHf//2E=",0)</f>
        <v>#REF!</v>
      </c>
      <c r="CU274" t="e">
        <f>AND(#REF!,"AAAAAHf//2I=")</f>
        <v>#REF!</v>
      </c>
      <c r="CV274" t="e">
        <f>AND(#REF!,"AAAAAHf//2M=")</f>
        <v>#REF!</v>
      </c>
      <c r="CW274" t="e">
        <f>AND(#REF!,"AAAAAHf//2Q=")</f>
        <v>#REF!</v>
      </c>
      <c r="CX274" t="e">
        <f>AND(#REF!,"AAAAAHf//2U=")</f>
        <v>#REF!</v>
      </c>
      <c r="CY274" t="e">
        <f>AND(#REF!,"AAAAAHf//2Y=")</f>
        <v>#REF!</v>
      </c>
      <c r="CZ274" t="e">
        <f>AND(#REF!,"AAAAAHf//2c=")</f>
        <v>#REF!</v>
      </c>
      <c r="DA274" t="e">
        <f>AND(#REF!,"AAAAAHf//2g=")</f>
        <v>#REF!</v>
      </c>
      <c r="DB274" t="e">
        <f>AND(#REF!,"AAAAAHf//2k=")</f>
        <v>#REF!</v>
      </c>
      <c r="DC274" t="e">
        <f>AND(#REF!,"AAAAAHf//2o=")</f>
        <v>#REF!</v>
      </c>
      <c r="DD274" t="e">
        <f>AND(#REF!,"AAAAAHf//2s=")</f>
        <v>#REF!</v>
      </c>
      <c r="DE274" t="e">
        <f>AND(#REF!,"AAAAAHf//2w=")</f>
        <v>#REF!</v>
      </c>
      <c r="DF274" t="e">
        <f>AND(#REF!,"AAAAAHf//20=")</f>
        <v>#REF!</v>
      </c>
      <c r="DG274" t="e">
        <f>AND(#REF!,"AAAAAHf//24=")</f>
        <v>#REF!</v>
      </c>
      <c r="DH274" t="e">
        <f>AND(#REF!,"AAAAAHf//28=")</f>
        <v>#REF!</v>
      </c>
      <c r="DI274" t="e">
        <f>AND(#REF!,"AAAAAHf//3A=")</f>
        <v>#REF!</v>
      </c>
      <c r="DJ274" t="e">
        <f>AND(#REF!,"AAAAAHf//3E=")</f>
        <v>#REF!</v>
      </c>
      <c r="DK274" t="e">
        <f>AND(#REF!,"AAAAAHf//3I=")</f>
        <v>#REF!</v>
      </c>
      <c r="DL274" t="e">
        <f>AND(#REF!,"AAAAAHf//3M=")</f>
        <v>#REF!</v>
      </c>
      <c r="DM274" t="e">
        <f>AND(#REF!,"AAAAAHf//3Q=")</f>
        <v>#REF!</v>
      </c>
      <c r="DN274" t="e">
        <f>AND(#REF!,"AAAAAHf//3U=")</f>
        <v>#REF!</v>
      </c>
      <c r="DO274" t="e">
        <f>AND(#REF!,"AAAAAHf//3Y=")</f>
        <v>#REF!</v>
      </c>
      <c r="DP274" t="e">
        <f>AND(#REF!,"AAAAAHf//3c=")</f>
        <v>#REF!</v>
      </c>
      <c r="DQ274" t="e">
        <f>AND(#REF!,"AAAAAHf//3g=")</f>
        <v>#REF!</v>
      </c>
      <c r="DR274" t="e">
        <f>AND(#REF!,"AAAAAHf//3k=")</f>
        <v>#REF!</v>
      </c>
      <c r="DS274" t="e">
        <f>IF(#REF!,"AAAAAHf//3o=",0)</f>
        <v>#REF!</v>
      </c>
      <c r="DT274" t="e">
        <f>AND(#REF!,"AAAAAHf//3s=")</f>
        <v>#REF!</v>
      </c>
      <c r="DU274" t="e">
        <f>AND(#REF!,"AAAAAHf//3w=")</f>
        <v>#REF!</v>
      </c>
      <c r="DV274" t="e">
        <f>AND(#REF!,"AAAAAHf//30=")</f>
        <v>#REF!</v>
      </c>
      <c r="DW274" t="e">
        <f>AND(#REF!,"AAAAAHf//34=")</f>
        <v>#REF!</v>
      </c>
      <c r="DX274" t="e">
        <f>AND(#REF!,"AAAAAHf//38=")</f>
        <v>#REF!</v>
      </c>
      <c r="DY274" t="e">
        <f>AND(#REF!,"AAAAAHf//4A=")</f>
        <v>#REF!</v>
      </c>
      <c r="DZ274" t="e">
        <f>AND(#REF!,"AAAAAHf//4E=")</f>
        <v>#REF!</v>
      </c>
      <c r="EA274" t="e">
        <f>AND(#REF!,"AAAAAHf//4I=")</f>
        <v>#REF!</v>
      </c>
      <c r="EB274" t="e">
        <f>AND(#REF!,"AAAAAHf//4M=")</f>
        <v>#REF!</v>
      </c>
      <c r="EC274" t="e">
        <f>AND(#REF!,"AAAAAHf//4Q=")</f>
        <v>#REF!</v>
      </c>
      <c r="ED274" t="e">
        <f>AND(#REF!,"AAAAAHf//4U=")</f>
        <v>#REF!</v>
      </c>
      <c r="EE274" t="e">
        <f>AND(#REF!,"AAAAAHf//4Y=")</f>
        <v>#REF!</v>
      </c>
      <c r="EF274" t="e">
        <f>AND(#REF!,"AAAAAHf//4c=")</f>
        <v>#REF!</v>
      </c>
      <c r="EG274" t="e">
        <f>AND(#REF!,"AAAAAHf//4g=")</f>
        <v>#REF!</v>
      </c>
      <c r="EH274" t="e">
        <f>AND(#REF!,"AAAAAHf//4k=")</f>
        <v>#REF!</v>
      </c>
      <c r="EI274" t="e">
        <f>AND(#REF!,"AAAAAHf//4o=")</f>
        <v>#REF!</v>
      </c>
      <c r="EJ274" t="e">
        <f>AND(#REF!,"AAAAAHf//4s=")</f>
        <v>#REF!</v>
      </c>
      <c r="EK274" t="e">
        <f>AND(#REF!,"AAAAAHf//4w=")</f>
        <v>#REF!</v>
      </c>
      <c r="EL274" t="e">
        <f>AND(#REF!,"AAAAAHf//40=")</f>
        <v>#REF!</v>
      </c>
      <c r="EM274" t="e">
        <f>AND(#REF!,"AAAAAHf//44=")</f>
        <v>#REF!</v>
      </c>
      <c r="EN274" t="e">
        <f>AND(#REF!,"AAAAAHf//48=")</f>
        <v>#REF!</v>
      </c>
      <c r="EO274" t="e">
        <f>AND(#REF!,"AAAAAHf//5A=")</f>
        <v>#REF!</v>
      </c>
      <c r="EP274" t="e">
        <f>AND(#REF!,"AAAAAHf//5E=")</f>
        <v>#REF!</v>
      </c>
      <c r="EQ274" t="e">
        <f>AND(#REF!,"AAAAAHf//5I=")</f>
        <v>#REF!</v>
      </c>
      <c r="ER274" t="e">
        <f>IF(#REF!,"AAAAAHf//5M=",0)</f>
        <v>#REF!</v>
      </c>
      <c r="ES274" t="e">
        <f>AND(#REF!,"AAAAAHf//5Q=")</f>
        <v>#REF!</v>
      </c>
      <c r="ET274" t="e">
        <f>AND(#REF!,"AAAAAHf//5U=")</f>
        <v>#REF!</v>
      </c>
      <c r="EU274" t="e">
        <f>AND(#REF!,"AAAAAHf//5Y=")</f>
        <v>#REF!</v>
      </c>
      <c r="EV274" t="e">
        <f>AND(#REF!,"AAAAAHf//5c=")</f>
        <v>#REF!</v>
      </c>
      <c r="EW274" t="e">
        <f>AND(#REF!,"AAAAAHf//5g=")</f>
        <v>#REF!</v>
      </c>
      <c r="EX274" t="e">
        <f>AND(#REF!,"AAAAAHf//5k=")</f>
        <v>#REF!</v>
      </c>
      <c r="EY274" t="e">
        <f>AND(#REF!,"AAAAAHf//5o=")</f>
        <v>#REF!</v>
      </c>
      <c r="EZ274" t="e">
        <f>AND(#REF!,"AAAAAHf//5s=")</f>
        <v>#REF!</v>
      </c>
      <c r="FA274" t="e">
        <f>AND(#REF!,"AAAAAHf//5w=")</f>
        <v>#REF!</v>
      </c>
      <c r="FB274" t="e">
        <f>AND(#REF!,"AAAAAHf//50=")</f>
        <v>#REF!</v>
      </c>
      <c r="FC274" t="e">
        <f>AND(#REF!,"AAAAAHf//54=")</f>
        <v>#REF!</v>
      </c>
      <c r="FD274" t="e">
        <f>AND(#REF!,"AAAAAHf//58=")</f>
        <v>#REF!</v>
      </c>
      <c r="FE274" t="e">
        <f>AND(#REF!,"AAAAAHf//6A=")</f>
        <v>#REF!</v>
      </c>
      <c r="FF274" t="e">
        <f>AND(#REF!,"AAAAAHf//6E=")</f>
        <v>#REF!</v>
      </c>
      <c r="FG274" t="e">
        <f>AND(#REF!,"AAAAAHf//6I=")</f>
        <v>#REF!</v>
      </c>
      <c r="FH274" t="e">
        <f>AND(#REF!,"AAAAAHf//6M=")</f>
        <v>#REF!</v>
      </c>
      <c r="FI274" t="e">
        <f>AND(#REF!,"AAAAAHf//6Q=")</f>
        <v>#REF!</v>
      </c>
      <c r="FJ274" t="e">
        <f>AND(#REF!,"AAAAAHf//6U=")</f>
        <v>#REF!</v>
      </c>
      <c r="FK274" t="e">
        <f>AND(#REF!,"AAAAAHf//6Y=")</f>
        <v>#REF!</v>
      </c>
      <c r="FL274" t="e">
        <f>AND(#REF!,"AAAAAHf//6c=")</f>
        <v>#REF!</v>
      </c>
      <c r="FM274" t="e">
        <f>AND(#REF!,"AAAAAHf//6g=")</f>
        <v>#REF!</v>
      </c>
      <c r="FN274" t="e">
        <f>AND(#REF!,"AAAAAHf//6k=")</f>
        <v>#REF!</v>
      </c>
      <c r="FO274" t="e">
        <f>AND(#REF!,"AAAAAHf//6o=")</f>
        <v>#REF!</v>
      </c>
      <c r="FP274" t="e">
        <f>AND(#REF!,"AAAAAHf//6s=")</f>
        <v>#REF!</v>
      </c>
      <c r="FQ274" t="e">
        <f>IF(#REF!,"AAAAAHf//6w=",0)</f>
        <v>#REF!</v>
      </c>
      <c r="FR274" t="e">
        <f>AND(#REF!,"AAAAAHf//60=")</f>
        <v>#REF!</v>
      </c>
      <c r="FS274" t="e">
        <f>AND(#REF!,"AAAAAHf//64=")</f>
        <v>#REF!</v>
      </c>
      <c r="FT274" t="e">
        <f>AND(#REF!,"AAAAAHf//68=")</f>
        <v>#REF!</v>
      </c>
      <c r="FU274" t="e">
        <f>AND(#REF!,"AAAAAHf//7A=")</f>
        <v>#REF!</v>
      </c>
      <c r="FV274" t="e">
        <f>AND(#REF!,"AAAAAHf//7E=")</f>
        <v>#REF!</v>
      </c>
      <c r="FW274" t="e">
        <f>AND(#REF!,"AAAAAHf//7I=")</f>
        <v>#REF!</v>
      </c>
      <c r="FX274" t="e">
        <f>AND(#REF!,"AAAAAHf//7M=")</f>
        <v>#REF!</v>
      </c>
      <c r="FY274" t="e">
        <f>AND(#REF!,"AAAAAHf//7Q=")</f>
        <v>#REF!</v>
      </c>
      <c r="FZ274" t="e">
        <f>AND(#REF!,"AAAAAHf//7U=")</f>
        <v>#REF!</v>
      </c>
      <c r="GA274" t="e">
        <f>AND(#REF!,"AAAAAHf//7Y=")</f>
        <v>#REF!</v>
      </c>
      <c r="GB274" t="e">
        <f>AND(#REF!,"AAAAAHf//7c=")</f>
        <v>#REF!</v>
      </c>
      <c r="GC274" t="e">
        <f>AND(#REF!,"AAAAAHf//7g=")</f>
        <v>#REF!</v>
      </c>
      <c r="GD274" t="e">
        <f>AND(#REF!,"AAAAAHf//7k=")</f>
        <v>#REF!</v>
      </c>
      <c r="GE274" t="e">
        <f>AND(#REF!,"AAAAAHf//7o=")</f>
        <v>#REF!</v>
      </c>
      <c r="GF274" t="e">
        <f>AND(#REF!,"AAAAAHf//7s=")</f>
        <v>#REF!</v>
      </c>
      <c r="GG274" t="e">
        <f>AND(#REF!,"AAAAAHf//7w=")</f>
        <v>#REF!</v>
      </c>
      <c r="GH274" t="e">
        <f>AND(#REF!,"AAAAAHf//70=")</f>
        <v>#REF!</v>
      </c>
      <c r="GI274" t="e">
        <f>AND(#REF!,"AAAAAHf//74=")</f>
        <v>#REF!</v>
      </c>
      <c r="GJ274" t="e">
        <f>AND(#REF!,"AAAAAHf//78=")</f>
        <v>#REF!</v>
      </c>
      <c r="GK274" t="e">
        <f>AND(#REF!,"AAAAAHf//8A=")</f>
        <v>#REF!</v>
      </c>
      <c r="GL274" t="e">
        <f>AND(#REF!,"AAAAAHf//8E=")</f>
        <v>#REF!</v>
      </c>
      <c r="GM274" t="e">
        <f>AND(#REF!,"AAAAAHf//8I=")</f>
        <v>#REF!</v>
      </c>
      <c r="GN274" t="e">
        <f>AND(#REF!,"AAAAAHf//8M=")</f>
        <v>#REF!</v>
      </c>
      <c r="GO274" t="e">
        <f>AND(#REF!,"AAAAAHf//8Q=")</f>
        <v>#REF!</v>
      </c>
      <c r="GP274" t="e">
        <f>IF(#REF!,"AAAAAHf//8U=",0)</f>
        <v>#REF!</v>
      </c>
      <c r="GQ274" t="e">
        <f>AND(#REF!,"AAAAAHf//8Y=")</f>
        <v>#REF!</v>
      </c>
      <c r="GR274" t="e">
        <f>AND(#REF!,"AAAAAHf//8c=")</f>
        <v>#REF!</v>
      </c>
      <c r="GS274" t="e">
        <f>AND(#REF!,"AAAAAHf//8g=")</f>
        <v>#REF!</v>
      </c>
      <c r="GT274" t="e">
        <f>AND(#REF!,"AAAAAHf//8k=")</f>
        <v>#REF!</v>
      </c>
      <c r="GU274" t="e">
        <f>AND(#REF!,"AAAAAHf//8o=")</f>
        <v>#REF!</v>
      </c>
      <c r="GV274" t="e">
        <f>AND(#REF!,"AAAAAHf//8s=")</f>
        <v>#REF!</v>
      </c>
      <c r="GW274" t="e">
        <f>AND(#REF!,"AAAAAHf//8w=")</f>
        <v>#REF!</v>
      </c>
      <c r="GX274" t="e">
        <f>AND(#REF!,"AAAAAHf//80=")</f>
        <v>#REF!</v>
      </c>
      <c r="GY274" t="e">
        <f>AND(#REF!,"AAAAAHf//84=")</f>
        <v>#REF!</v>
      </c>
      <c r="GZ274" t="e">
        <f>AND(#REF!,"AAAAAHf//88=")</f>
        <v>#REF!</v>
      </c>
      <c r="HA274" t="e">
        <f>AND(#REF!,"AAAAAHf//9A=")</f>
        <v>#REF!</v>
      </c>
      <c r="HB274" t="e">
        <f>AND(#REF!,"AAAAAHf//9E=")</f>
        <v>#REF!</v>
      </c>
      <c r="HC274" t="e">
        <f>AND(#REF!,"AAAAAHf//9I=")</f>
        <v>#REF!</v>
      </c>
      <c r="HD274" t="e">
        <f>AND(#REF!,"AAAAAHf//9M=")</f>
        <v>#REF!</v>
      </c>
      <c r="HE274" t="e">
        <f>AND(#REF!,"AAAAAHf//9Q=")</f>
        <v>#REF!</v>
      </c>
      <c r="HF274" t="e">
        <f>AND(#REF!,"AAAAAHf//9U=")</f>
        <v>#REF!</v>
      </c>
      <c r="HG274" t="e">
        <f>AND(#REF!,"AAAAAHf//9Y=")</f>
        <v>#REF!</v>
      </c>
      <c r="HH274" t="e">
        <f>AND(#REF!,"AAAAAHf//9c=")</f>
        <v>#REF!</v>
      </c>
      <c r="HI274" t="e">
        <f>AND(#REF!,"AAAAAHf//9g=")</f>
        <v>#REF!</v>
      </c>
      <c r="HJ274" t="e">
        <f>AND(#REF!,"AAAAAHf//9k=")</f>
        <v>#REF!</v>
      </c>
      <c r="HK274" t="e">
        <f>AND(#REF!,"AAAAAHf//9o=")</f>
        <v>#REF!</v>
      </c>
      <c r="HL274" t="e">
        <f>AND(#REF!,"AAAAAHf//9s=")</f>
        <v>#REF!</v>
      </c>
      <c r="HM274" t="e">
        <f>AND(#REF!,"AAAAAHf//9w=")</f>
        <v>#REF!</v>
      </c>
      <c r="HN274" t="e">
        <f>AND(#REF!,"AAAAAHf//90=")</f>
        <v>#REF!</v>
      </c>
      <c r="HO274" t="e">
        <f>IF(#REF!,"AAAAAHf//94=",0)</f>
        <v>#REF!</v>
      </c>
      <c r="HP274" t="e">
        <f>AND(#REF!,"AAAAAHf//98=")</f>
        <v>#REF!</v>
      </c>
      <c r="HQ274" t="e">
        <f>AND(#REF!,"AAAAAHf//+A=")</f>
        <v>#REF!</v>
      </c>
      <c r="HR274" t="e">
        <f>AND(#REF!,"AAAAAHf//+E=")</f>
        <v>#REF!</v>
      </c>
      <c r="HS274" t="e">
        <f>AND(#REF!,"AAAAAHf//+I=")</f>
        <v>#REF!</v>
      </c>
      <c r="HT274" t="e">
        <f>AND(#REF!,"AAAAAHf//+M=")</f>
        <v>#REF!</v>
      </c>
      <c r="HU274" t="e">
        <f>AND(#REF!,"AAAAAHf//+Q=")</f>
        <v>#REF!</v>
      </c>
      <c r="HV274" t="e">
        <f>AND(#REF!,"AAAAAHf//+U=")</f>
        <v>#REF!</v>
      </c>
      <c r="HW274" t="e">
        <f>AND(#REF!,"AAAAAHf//+Y=")</f>
        <v>#REF!</v>
      </c>
      <c r="HX274" t="e">
        <f>AND(#REF!,"AAAAAHf//+c=")</f>
        <v>#REF!</v>
      </c>
      <c r="HY274" t="e">
        <f>AND(#REF!,"AAAAAHf//+g=")</f>
        <v>#REF!</v>
      </c>
      <c r="HZ274" t="e">
        <f>AND(#REF!,"AAAAAHf//+k=")</f>
        <v>#REF!</v>
      </c>
      <c r="IA274" t="e">
        <f>AND(#REF!,"AAAAAHf//+o=")</f>
        <v>#REF!</v>
      </c>
      <c r="IB274" t="e">
        <f>AND(#REF!,"AAAAAHf//+s=")</f>
        <v>#REF!</v>
      </c>
      <c r="IC274" t="e">
        <f>AND(#REF!,"AAAAAHf//+w=")</f>
        <v>#REF!</v>
      </c>
      <c r="ID274" t="e">
        <f>AND(#REF!,"AAAAAHf//+0=")</f>
        <v>#REF!</v>
      </c>
      <c r="IE274" t="e">
        <f>AND(#REF!,"AAAAAHf//+4=")</f>
        <v>#REF!</v>
      </c>
      <c r="IF274" t="e">
        <f>AND(#REF!,"AAAAAHf//+8=")</f>
        <v>#REF!</v>
      </c>
      <c r="IG274" t="e">
        <f>AND(#REF!,"AAAAAHf///A=")</f>
        <v>#REF!</v>
      </c>
      <c r="IH274" t="e">
        <f>AND(#REF!,"AAAAAHf///E=")</f>
        <v>#REF!</v>
      </c>
      <c r="II274" t="e">
        <f>AND(#REF!,"AAAAAHf///I=")</f>
        <v>#REF!</v>
      </c>
      <c r="IJ274" t="e">
        <f>AND(#REF!,"AAAAAHf///M=")</f>
        <v>#REF!</v>
      </c>
      <c r="IK274" t="e">
        <f>AND(#REF!,"AAAAAHf///Q=")</f>
        <v>#REF!</v>
      </c>
      <c r="IL274" t="e">
        <f>AND(#REF!,"AAAAAHf///U=")</f>
        <v>#REF!</v>
      </c>
      <c r="IM274" t="e">
        <f>AND(#REF!,"AAAAAHf///Y=")</f>
        <v>#REF!</v>
      </c>
      <c r="IN274" t="e">
        <f>IF(#REF!,"AAAAAHf///c=",0)</f>
        <v>#REF!</v>
      </c>
      <c r="IO274" t="e">
        <f>AND(#REF!,"AAAAAHf///g=")</f>
        <v>#REF!</v>
      </c>
      <c r="IP274" t="e">
        <f>AND(#REF!,"AAAAAHf///k=")</f>
        <v>#REF!</v>
      </c>
      <c r="IQ274" t="e">
        <f>AND(#REF!,"AAAAAHf///o=")</f>
        <v>#REF!</v>
      </c>
      <c r="IR274" t="e">
        <f>AND(#REF!,"AAAAAHf///s=")</f>
        <v>#REF!</v>
      </c>
      <c r="IS274" t="e">
        <f>AND(#REF!,"AAAAAHf///w=")</f>
        <v>#REF!</v>
      </c>
      <c r="IT274" t="e">
        <f>AND(#REF!,"AAAAAHf///0=")</f>
        <v>#REF!</v>
      </c>
      <c r="IU274" t="e">
        <f>AND(#REF!,"AAAAAHf///4=")</f>
        <v>#REF!</v>
      </c>
      <c r="IV274" t="e">
        <f>AND(#REF!,"AAAAAHf///8=")</f>
        <v>#REF!</v>
      </c>
    </row>
    <row r="275" spans="1:256">
      <c r="A275" t="e">
        <f>AND(#REF!,"AAAAAF5xpQA=")</f>
        <v>#REF!</v>
      </c>
      <c r="B275" t="e">
        <f>AND(#REF!,"AAAAAF5xpQE=")</f>
        <v>#REF!</v>
      </c>
      <c r="C275" t="e">
        <f>AND(#REF!,"AAAAAF5xpQI=")</f>
        <v>#REF!</v>
      </c>
      <c r="D275" t="e">
        <f>AND(#REF!,"AAAAAF5xpQM=")</f>
        <v>#REF!</v>
      </c>
      <c r="E275" t="e">
        <f>AND(#REF!,"AAAAAF5xpQQ=")</f>
        <v>#REF!</v>
      </c>
      <c r="F275" t="e">
        <f>AND(#REF!,"AAAAAF5xpQU=")</f>
        <v>#REF!</v>
      </c>
      <c r="G275" t="e">
        <f>AND(#REF!,"AAAAAF5xpQY=")</f>
        <v>#REF!</v>
      </c>
      <c r="H275" t="e">
        <f>AND(#REF!,"AAAAAF5xpQc=")</f>
        <v>#REF!</v>
      </c>
      <c r="I275" t="e">
        <f>AND(#REF!,"AAAAAF5xpQg=")</f>
        <v>#REF!</v>
      </c>
      <c r="J275" t="e">
        <f>AND(#REF!,"AAAAAF5xpQk=")</f>
        <v>#REF!</v>
      </c>
      <c r="K275" t="e">
        <f>AND(#REF!,"AAAAAF5xpQo=")</f>
        <v>#REF!</v>
      </c>
      <c r="L275" t="e">
        <f>AND(#REF!,"AAAAAF5xpQs=")</f>
        <v>#REF!</v>
      </c>
      <c r="M275" t="e">
        <f>AND(#REF!,"AAAAAF5xpQw=")</f>
        <v>#REF!</v>
      </c>
      <c r="N275" t="e">
        <f>AND(#REF!,"AAAAAF5xpQ0=")</f>
        <v>#REF!</v>
      </c>
      <c r="O275" t="e">
        <f>AND(#REF!,"AAAAAF5xpQ4=")</f>
        <v>#REF!</v>
      </c>
      <c r="P275" t="e">
        <f>AND(#REF!,"AAAAAF5xpQ8=")</f>
        <v>#REF!</v>
      </c>
      <c r="Q275" t="e">
        <f>IF(#REF!,"AAAAAF5xpRA=",0)</f>
        <v>#REF!</v>
      </c>
      <c r="R275" t="e">
        <f>AND(#REF!,"AAAAAF5xpRE=")</f>
        <v>#REF!</v>
      </c>
      <c r="S275" t="e">
        <f>AND(#REF!,"AAAAAF5xpRI=")</f>
        <v>#REF!</v>
      </c>
      <c r="T275" t="e">
        <f>AND(#REF!,"AAAAAF5xpRM=")</f>
        <v>#REF!</v>
      </c>
      <c r="U275" t="e">
        <f>AND(#REF!,"AAAAAF5xpRQ=")</f>
        <v>#REF!</v>
      </c>
      <c r="V275" t="e">
        <f>AND(#REF!,"AAAAAF5xpRU=")</f>
        <v>#REF!</v>
      </c>
      <c r="W275" t="e">
        <f>AND(#REF!,"AAAAAF5xpRY=")</f>
        <v>#REF!</v>
      </c>
      <c r="X275" t="e">
        <f>AND(#REF!,"AAAAAF5xpRc=")</f>
        <v>#REF!</v>
      </c>
      <c r="Y275" t="e">
        <f>AND(#REF!,"AAAAAF5xpRg=")</f>
        <v>#REF!</v>
      </c>
      <c r="Z275" t="e">
        <f>AND(#REF!,"AAAAAF5xpRk=")</f>
        <v>#REF!</v>
      </c>
      <c r="AA275" t="e">
        <f>AND(#REF!,"AAAAAF5xpRo=")</f>
        <v>#REF!</v>
      </c>
      <c r="AB275" t="e">
        <f>AND(#REF!,"AAAAAF5xpRs=")</f>
        <v>#REF!</v>
      </c>
      <c r="AC275" t="e">
        <f>AND(#REF!,"AAAAAF5xpRw=")</f>
        <v>#REF!</v>
      </c>
      <c r="AD275" t="e">
        <f>AND(#REF!,"AAAAAF5xpR0=")</f>
        <v>#REF!</v>
      </c>
      <c r="AE275" t="e">
        <f>AND(#REF!,"AAAAAF5xpR4=")</f>
        <v>#REF!</v>
      </c>
      <c r="AF275" t="e">
        <f>AND(#REF!,"AAAAAF5xpR8=")</f>
        <v>#REF!</v>
      </c>
      <c r="AG275" t="e">
        <f>AND(#REF!,"AAAAAF5xpSA=")</f>
        <v>#REF!</v>
      </c>
      <c r="AH275" t="e">
        <f>AND(#REF!,"AAAAAF5xpSE=")</f>
        <v>#REF!</v>
      </c>
      <c r="AI275" t="e">
        <f>AND(#REF!,"AAAAAF5xpSI=")</f>
        <v>#REF!</v>
      </c>
      <c r="AJ275" t="e">
        <f>AND(#REF!,"AAAAAF5xpSM=")</f>
        <v>#REF!</v>
      </c>
      <c r="AK275" t="e">
        <f>AND(#REF!,"AAAAAF5xpSQ=")</f>
        <v>#REF!</v>
      </c>
      <c r="AL275" t="e">
        <f>AND(#REF!,"AAAAAF5xpSU=")</f>
        <v>#REF!</v>
      </c>
      <c r="AM275" t="e">
        <f>AND(#REF!,"AAAAAF5xpSY=")</f>
        <v>#REF!</v>
      </c>
      <c r="AN275" t="e">
        <f>AND(#REF!,"AAAAAF5xpSc=")</f>
        <v>#REF!</v>
      </c>
      <c r="AO275" t="e">
        <f>AND(#REF!,"AAAAAF5xpSg=")</f>
        <v>#REF!</v>
      </c>
      <c r="AP275" t="e">
        <f>IF(#REF!,"AAAAAF5xpSk=",0)</f>
        <v>#REF!</v>
      </c>
      <c r="AQ275" t="e">
        <f>AND(#REF!,"AAAAAF5xpSo=")</f>
        <v>#REF!</v>
      </c>
      <c r="AR275" t="e">
        <f>AND(#REF!,"AAAAAF5xpSs=")</f>
        <v>#REF!</v>
      </c>
      <c r="AS275" t="e">
        <f>AND(#REF!,"AAAAAF5xpSw=")</f>
        <v>#REF!</v>
      </c>
      <c r="AT275" t="e">
        <f>AND(#REF!,"AAAAAF5xpS0=")</f>
        <v>#REF!</v>
      </c>
      <c r="AU275" t="e">
        <f>AND(#REF!,"AAAAAF5xpS4=")</f>
        <v>#REF!</v>
      </c>
      <c r="AV275" t="e">
        <f>AND(#REF!,"AAAAAF5xpS8=")</f>
        <v>#REF!</v>
      </c>
      <c r="AW275" t="e">
        <f>AND(#REF!,"AAAAAF5xpTA=")</f>
        <v>#REF!</v>
      </c>
      <c r="AX275" t="e">
        <f>AND(#REF!,"AAAAAF5xpTE=")</f>
        <v>#REF!</v>
      </c>
      <c r="AY275" t="e">
        <f>AND(#REF!,"AAAAAF5xpTI=")</f>
        <v>#REF!</v>
      </c>
      <c r="AZ275" t="e">
        <f>AND(#REF!,"AAAAAF5xpTM=")</f>
        <v>#REF!</v>
      </c>
      <c r="BA275" t="e">
        <f>AND(#REF!,"AAAAAF5xpTQ=")</f>
        <v>#REF!</v>
      </c>
      <c r="BB275" t="e">
        <f>AND(#REF!,"AAAAAF5xpTU=")</f>
        <v>#REF!</v>
      </c>
      <c r="BC275" t="e">
        <f>AND(#REF!,"AAAAAF5xpTY=")</f>
        <v>#REF!</v>
      </c>
      <c r="BD275" t="e">
        <f>AND(#REF!,"AAAAAF5xpTc=")</f>
        <v>#REF!</v>
      </c>
      <c r="BE275" t="e">
        <f>AND(#REF!,"AAAAAF5xpTg=")</f>
        <v>#REF!</v>
      </c>
      <c r="BF275" t="e">
        <f>AND(#REF!,"AAAAAF5xpTk=")</f>
        <v>#REF!</v>
      </c>
      <c r="BG275" t="e">
        <f>AND(#REF!,"AAAAAF5xpTo=")</f>
        <v>#REF!</v>
      </c>
      <c r="BH275" t="e">
        <f>AND(#REF!,"AAAAAF5xpTs=")</f>
        <v>#REF!</v>
      </c>
      <c r="BI275" t="e">
        <f>AND(#REF!,"AAAAAF5xpTw=")</f>
        <v>#REF!</v>
      </c>
      <c r="BJ275" t="e">
        <f>AND(#REF!,"AAAAAF5xpT0=")</f>
        <v>#REF!</v>
      </c>
      <c r="BK275" t="e">
        <f>AND(#REF!,"AAAAAF5xpT4=")</f>
        <v>#REF!</v>
      </c>
      <c r="BL275" t="e">
        <f>AND(#REF!,"AAAAAF5xpT8=")</f>
        <v>#REF!</v>
      </c>
      <c r="BM275" t="e">
        <f>AND(#REF!,"AAAAAF5xpUA=")</f>
        <v>#REF!</v>
      </c>
      <c r="BN275" t="e">
        <f>AND(#REF!,"AAAAAF5xpUE=")</f>
        <v>#REF!</v>
      </c>
      <c r="BO275" t="e">
        <f>IF(#REF!,"AAAAAF5xpUI=",0)</f>
        <v>#REF!</v>
      </c>
      <c r="BP275" t="e">
        <f>AND(#REF!,"AAAAAF5xpUM=")</f>
        <v>#REF!</v>
      </c>
      <c r="BQ275" t="e">
        <f>AND(#REF!,"AAAAAF5xpUQ=")</f>
        <v>#REF!</v>
      </c>
      <c r="BR275" t="e">
        <f>AND(#REF!,"AAAAAF5xpUU=")</f>
        <v>#REF!</v>
      </c>
      <c r="BS275" t="e">
        <f>AND(#REF!,"AAAAAF5xpUY=")</f>
        <v>#REF!</v>
      </c>
      <c r="BT275" t="e">
        <f>AND(#REF!,"AAAAAF5xpUc=")</f>
        <v>#REF!</v>
      </c>
      <c r="BU275" t="e">
        <f>AND(#REF!,"AAAAAF5xpUg=")</f>
        <v>#REF!</v>
      </c>
      <c r="BV275" t="e">
        <f>AND(#REF!,"AAAAAF5xpUk=")</f>
        <v>#REF!</v>
      </c>
      <c r="BW275" t="e">
        <f>AND(#REF!,"AAAAAF5xpUo=")</f>
        <v>#REF!</v>
      </c>
      <c r="BX275" t="e">
        <f>AND(#REF!,"AAAAAF5xpUs=")</f>
        <v>#REF!</v>
      </c>
      <c r="BY275" t="e">
        <f>AND(#REF!,"AAAAAF5xpUw=")</f>
        <v>#REF!</v>
      </c>
      <c r="BZ275" t="e">
        <f>AND(#REF!,"AAAAAF5xpU0=")</f>
        <v>#REF!</v>
      </c>
      <c r="CA275" t="e">
        <f>AND(#REF!,"AAAAAF5xpU4=")</f>
        <v>#REF!</v>
      </c>
      <c r="CB275" t="e">
        <f>AND(#REF!,"AAAAAF5xpU8=")</f>
        <v>#REF!</v>
      </c>
      <c r="CC275" t="e">
        <f>AND(#REF!,"AAAAAF5xpVA=")</f>
        <v>#REF!</v>
      </c>
      <c r="CD275" t="e">
        <f>AND(#REF!,"AAAAAF5xpVE=")</f>
        <v>#REF!</v>
      </c>
      <c r="CE275" t="e">
        <f>AND(#REF!,"AAAAAF5xpVI=")</f>
        <v>#REF!</v>
      </c>
      <c r="CF275" t="e">
        <f>AND(#REF!,"AAAAAF5xpVM=")</f>
        <v>#REF!</v>
      </c>
      <c r="CG275" t="e">
        <f>AND(#REF!,"AAAAAF5xpVQ=")</f>
        <v>#REF!</v>
      </c>
      <c r="CH275" t="e">
        <f>AND(#REF!,"AAAAAF5xpVU=")</f>
        <v>#REF!</v>
      </c>
      <c r="CI275" t="e">
        <f>AND(#REF!,"AAAAAF5xpVY=")</f>
        <v>#REF!</v>
      </c>
      <c r="CJ275" t="e">
        <f>AND(#REF!,"AAAAAF5xpVc=")</f>
        <v>#REF!</v>
      </c>
      <c r="CK275" t="e">
        <f>AND(#REF!,"AAAAAF5xpVg=")</f>
        <v>#REF!</v>
      </c>
      <c r="CL275" t="e">
        <f>AND(#REF!,"AAAAAF5xpVk=")</f>
        <v>#REF!</v>
      </c>
      <c r="CM275" t="e">
        <f>AND(#REF!,"AAAAAF5xpVo=")</f>
        <v>#REF!</v>
      </c>
      <c r="CN275" t="e">
        <f>IF(#REF!,"AAAAAF5xpVs=",0)</f>
        <v>#REF!</v>
      </c>
      <c r="CO275" t="e">
        <f>AND(#REF!,"AAAAAF5xpVw=")</f>
        <v>#REF!</v>
      </c>
      <c r="CP275" t="e">
        <f>AND(#REF!,"AAAAAF5xpV0=")</f>
        <v>#REF!</v>
      </c>
      <c r="CQ275" t="e">
        <f>AND(#REF!,"AAAAAF5xpV4=")</f>
        <v>#REF!</v>
      </c>
      <c r="CR275" t="e">
        <f>AND(#REF!,"AAAAAF5xpV8=")</f>
        <v>#REF!</v>
      </c>
      <c r="CS275" t="e">
        <f>AND(#REF!,"AAAAAF5xpWA=")</f>
        <v>#REF!</v>
      </c>
      <c r="CT275" t="e">
        <f>AND(#REF!,"AAAAAF5xpWE=")</f>
        <v>#REF!</v>
      </c>
      <c r="CU275" t="e">
        <f>AND(#REF!,"AAAAAF5xpWI=")</f>
        <v>#REF!</v>
      </c>
      <c r="CV275" t="e">
        <f>AND(#REF!,"AAAAAF5xpWM=")</f>
        <v>#REF!</v>
      </c>
      <c r="CW275" t="e">
        <f>AND(#REF!,"AAAAAF5xpWQ=")</f>
        <v>#REF!</v>
      </c>
      <c r="CX275" t="e">
        <f>AND(#REF!,"AAAAAF5xpWU=")</f>
        <v>#REF!</v>
      </c>
      <c r="CY275" t="e">
        <f>AND(#REF!,"AAAAAF5xpWY=")</f>
        <v>#REF!</v>
      </c>
      <c r="CZ275" t="e">
        <f>AND(#REF!,"AAAAAF5xpWc=")</f>
        <v>#REF!</v>
      </c>
      <c r="DA275" t="e">
        <f>AND(#REF!,"AAAAAF5xpWg=")</f>
        <v>#REF!</v>
      </c>
      <c r="DB275" t="e">
        <f>AND(#REF!,"AAAAAF5xpWk=")</f>
        <v>#REF!</v>
      </c>
      <c r="DC275" t="e">
        <f>AND(#REF!,"AAAAAF5xpWo=")</f>
        <v>#REF!</v>
      </c>
      <c r="DD275" t="e">
        <f>AND(#REF!,"AAAAAF5xpWs=")</f>
        <v>#REF!</v>
      </c>
      <c r="DE275" t="e">
        <f>AND(#REF!,"AAAAAF5xpWw=")</f>
        <v>#REF!</v>
      </c>
      <c r="DF275" t="e">
        <f>AND(#REF!,"AAAAAF5xpW0=")</f>
        <v>#REF!</v>
      </c>
      <c r="DG275" t="e">
        <f>AND(#REF!,"AAAAAF5xpW4=")</f>
        <v>#REF!</v>
      </c>
      <c r="DH275" t="e">
        <f>AND(#REF!,"AAAAAF5xpW8=")</f>
        <v>#REF!</v>
      </c>
      <c r="DI275" t="e">
        <f>AND(#REF!,"AAAAAF5xpXA=")</f>
        <v>#REF!</v>
      </c>
      <c r="DJ275" t="e">
        <f>AND(#REF!,"AAAAAF5xpXE=")</f>
        <v>#REF!</v>
      </c>
      <c r="DK275" t="e">
        <f>AND(#REF!,"AAAAAF5xpXI=")</f>
        <v>#REF!</v>
      </c>
      <c r="DL275" t="e">
        <f>AND(#REF!,"AAAAAF5xpXM=")</f>
        <v>#REF!</v>
      </c>
      <c r="DM275" t="e">
        <f>IF(#REF!,"AAAAAF5xpXQ=",0)</f>
        <v>#REF!</v>
      </c>
      <c r="DN275" t="e">
        <f>AND(#REF!,"AAAAAF5xpXU=")</f>
        <v>#REF!</v>
      </c>
      <c r="DO275" t="e">
        <f>AND(#REF!,"AAAAAF5xpXY=")</f>
        <v>#REF!</v>
      </c>
      <c r="DP275" t="e">
        <f>AND(#REF!,"AAAAAF5xpXc=")</f>
        <v>#REF!</v>
      </c>
      <c r="DQ275" t="e">
        <f>AND(#REF!,"AAAAAF5xpXg=")</f>
        <v>#REF!</v>
      </c>
      <c r="DR275" t="e">
        <f>AND(#REF!,"AAAAAF5xpXk=")</f>
        <v>#REF!</v>
      </c>
      <c r="DS275" t="e">
        <f>AND(#REF!,"AAAAAF5xpXo=")</f>
        <v>#REF!</v>
      </c>
      <c r="DT275" t="e">
        <f>AND(#REF!,"AAAAAF5xpXs=")</f>
        <v>#REF!</v>
      </c>
      <c r="DU275" t="e">
        <f>AND(#REF!,"AAAAAF5xpXw=")</f>
        <v>#REF!</v>
      </c>
      <c r="DV275" t="e">
        <f>AND(#REF!,"AAAAAF5xpX0=")</f>
        <v>#REF!</v>
      </c>
      <c r="DW275" t="e">
        <f>AND(#REF!,"AAAAAF5xpX4=")</f>
        <v>#REF!</v>
      </c>
      <c r="DX275" t="e">
        <f>AND(#REF!,"AAAAAF5xpX8=")</f>
        <v>#REF!</v>
      </c>
      <c r="DY275" t="e">
        <f>AND(#REF!,"AAAAAF5xpYA=")</f>
        <v>#REF!</v>
      </c>
      <c r="DZ275" t="e">
        <f>AND(#REF!,"AAAAAF5xpYE=")</f>
        <v>#REF!</v>
      </c>
      <c r="EA275" t="e">
        <f>AND(#REF!,"AAAAAF5xpYI=")</f>
        <v>#REF!</v>
      </c>
      <c r="EB275" t="e">
        <f>AND(#REF!,"AAAAAF5xpYM=")</f>
        <v>#REF!</v>
      </c>
      <c r="EC275" t="e">
        <f>AND(#REF!,"AAAAAF5xpYQ=")</f>
        <v>#REF!</v>
      </c>
      <c r="ED275" t="e">
        <f>AND(#REF!,"AAAAAF5xpYU=")</f>
        <v>#REF!</v>
      </c>
      <c r="EE275" t="e">
        <f>AND(#REF!,"AAAAAF5xpYY=")</f>
        <v>#REF!</v>
      </c>
      <c r="EF275" t="e">
        <f>AND(#REF!,"AAAAAF5xpYc=")</f>
        <v>#REF!</v>
      </c>
      <c r="EG275" t="e">
        <f>AND(#REF!,"AAAAAF5xpYg=")</f>
        <v>#REF!</v>
      </c>
      <c r="EH275" t="e">
        <f>AND(#REF!,"AAAAAF5xpYk=")</f>
        <v>#REF!</v>
      </c>
      <c r="EI275" t="e">
        <f>AND(#REF!,"AAAAAF5xpYo=")</f>
        <v>#REF!</v>
      </c>
      <c r="EJ275" t="e">
        <f>AND(#REF!,"AAAAAF5xpYs=")</f>
        <v>#REF!</v>
      </c>
      <c r="EK275" t="e">
        <f>AND(#REF!,"AAAAAF5xpYw=")</f>
        <v>#REF!</v>
      </c>
      <c r="EL275" t="e">
        <f>IF(#REF!,"AAAAAF5xpY0=",0)</f>
        <v>#REF!</v>
      </c>
      <c r="EM275" t="e">
        <f>AND(#REF!,"AAAAAF5xpY4=")</f>
        <v>#REF!</v>
      </c>
      <c r="EN275" t="e">
        <f>AND(#REF!,"AAAAAF5xpY8=")</f>
        <v>#REF!</v>
      </c>
      <c r="EO275" t="e">
        <f>AND(#REF!,"AAAAAF5xpZA=")</f>
        <v>#REF!</v>
      </c>
      <c r="EP275" t="e">
        <f>AND(#REF!,"AAAAAF5xpZE=")</f>
        <v>#REF!</v>
      </c>
      <c r="EQ275" t="e">
        <f>AND(#REF!,"AAAAAF5xpZI=")</f>
        <v>#REF!</v>
      </c>
      <c r="ER275" t="e">
        <f>AND(#REF!,"AAAAAF5xpZM=")</f>
        <v>#REF!</v>
      </c>
      <c r="ES275" t="e">
        <f>AND(#REF!,"AAAAAF5xpZQ=")</f>
        <v>#REF!</v>
      </c>
      <c r="ET275" t="e">
        <f>AND(#REF!,"AAAAAF5xpZU=")</f>
        <v>#REF!</v>
      </c>
      <c r="EU275" t="e">
        <f>AND(#REF!,"AAAAAF5xpZY=")</f>
        <v>#REF!</v>
      </c>
      <c r="EV275" t="e">
        <f>AND(#REF!,"AAAAAF5xpZc=")</f>
        <v>#REF!</v>
      </c>
      <c r="EW275" t="e">
        <f>AND(#REF!,"AAAAAF5xpZg=")</f>
        <v>#REF!</v>
      </c>
      <c r="EX275" t="e">
        <f>AND(#REF!,"AAAAAF5xpZk=")</f>
        <v>#REF!</v>
      </c>
      <c r="EY275" t="e">
        <f>AND(#REF!,"AAAAAF5xpZo=")</f>
        <v>#REF!</v>
      </c>
      <c r="EZ275" t="e">
        <f>AND(#REF!,"AAAAAF5xpZs=")</f>
        <v>#REF!</v>
      </c>
      <c r="FA275" t="e">
        <f>AND(#REF!,"AAAAAF5xpZw=")</f>
        <v>#REF!</v>
      </c>
      <c r="FB275" t="e">
        <f>AND(#REF!,"AAAAAF5xpZ0=")</f>
        <v>#REF!</v>
      </c>
      <c r="FC275" t="e">
        <f>AND(#REF!,"AAAAAF5xpZ4=")</f>
        <v>#REF!</v>
      </c>
      <c r="FD275" t="e">
        <f>AND(#REF!,"AAAAAF5xpZ8=")</f>
        <v>#REF!</v>
      </c>
      <c r="FE275" t="e">
        <f>AND(#REF!,"AAAAAF5xpaA=")</f>
        <v>#REF!</v>
      </c>
      <c r="FF275" t="e">
        <f>AND(#REF!,"AAAAAF5xpaE=")</f>
        <v>#REF!</v>
      </c>
      <c r="FG275" t="e">
        <f>AND(#REF!,"AAAAAF5xpaI=")</f>
        <v>#REF!</v>
      </c>
      <c r="FH275" t="e">
        <f>AND(#REF!,"AAAAAF5xpaM=")</f>
        <v>#REF!</v>
      </c>
      <c r="FI275" t="e">
        <f>AND(#REF!,"AAAAAF5xpaQ=")</f>
        <v>#REF!</v>
      </c>
      <c r="FJ275" t="e">
        <f>AND(#REF!,"AAAAAF5xpaU=")</f>
        <v>#REF!</v>
      </c>
      <c r="FK275" t="e">
        <f>IF(#REF!,"AAAAAF5xpaY=",0)</f>
        <v>#REF!</v>
      </c>
      <c r="FL275" t="e">
        <f>AND(#REF!,"AAAAAF5xpac=")</f>
        <v>#REF!</v>
      </c>
      <c r="FM275" t="e">
        <f>AND(#REF!,"AAAAAF5xpag=")</f>
        <v>#REF!</v>
      </c>
      <c r="FN275" t="e">
        <f>AND(#REF!,"AAAAAF5xpak=")</f>
        <v>#REF!</v>
      </c>
      <c r="FO275" t="e">
        <f>AND(#REF!,"AAAAAF5xpao=")</f>
        <v>#REF!</v>
      </c>
      <c r="FP275" t="e">
        <f>AND(#REF!,"AAAAAF5xpas=")</f>
        <v>#REF!</v>
      </c>
      <c r="FQ275" t="e">
        <f>AND(#REF!,"AAAAAF5xpaw=")</f>
        <v>#REF!</v>
      </c>
      <c r="FR275" t="e">
        <f>AND(#REF!,"AAAAAF5xpa0=")</f>
        <v>#REF!</v>
      </c>
      <c r="FS275" t="e">
        <f>AND(#REF!,"AAAAAF5xpa4=")</f>
        <v>#REF!</v>
      </c>
      <c r="FT275" t="e">
        <f>AND(#REF!,"AAAAAF5xpa8=")</f>
        <v>#REF!</v>
      </c>
      <c r="FU275" t="e">
        <f>AND(#REF!,"AAAAAF5xpbA=")</f>
        <v>#REF!</v>
      </c>
      <c r="FV275" t="e">
        <f>AND(#REF!,"AAAAAF5xpbE=")</f>
        <v>#REF!</v>
      </c>
      <c r="FW275" t="e">
        <f>AND(#REF!,"AAAAAF5xpbI=")</f>
        <v>#REF!</v>
      </c>
      <c r="FX275" t="e">
        <f>AND(#REF!,"AAAAAF5xpbM=")</f>
        <v>#REF!</v>
      </c>
      <c r="FY275" t="e">
        <f>AND(#REF!,"AAAAAF5xpbQ=")</f>
        <v>#REF!</v>
      </c>
      <c r="FZ275" t="e">
        <f>AND(#REF!,"AAAAAF5xpbU=")</f>
        <v>#REF!</v>
      </c>
      <c r="GA275" t="e">
        <f>AND(#REF!,"AAAAAF5xpbY=")</f>
        <v>#REF!</v>
      </c>
      <c r="GB275" t="e">
        <f>AND(#REF!,"AAAAAF5xpbc=")</f>
        <v>#REF!</v>
      </c>
      <c r="GC275" t="e">
        <f>AND(#REF!,"AAAAAF5xpbg=")</f>
        <v>#REF!</v>
      </c>
      <c r="GD275" t="e">
        <f>AND(#REF!,"AAAAAF5xpbk=")</f>
        <v>#REF!</v>
      </c>
      <c r="GE275" t="e">
        <f>AND(#REF!,"AAAAAF5xpbo=")</f>
        <v>#REF!</v>
      </c>
      <c r="GF275" t="e">
        <f>AND(#REF!,"AAAAAF5xpbs=")</f>
        <v>#REF!</v>
      </c>
      <c r="GG275" t="e">
        <f>AND(#REF!,"AAAAAF5xpbw=")</f>
        <v>#REF!</v>
      </c>
      <c r="GH275" t="e">
        <f>AND(#REF!,"AAAAAF5xpb0=")</f>
        <v>#REF!</v>
      </c>
      <c r="GI275" t="e">
        <f>AND(#REF!,"AAAAAF5xpb4=")</f>
        <v>#REF!</v>
      </c>
      <c r="GJ275" t="e">
        <f>IF(#REF!,"AAAAAF5xpb8=",0)</f>
        <v>#REF!</v>
      </c>
      <c r="GK275" t="e">
        <f>AND(#REF!,"AAAAAF5xpcA=")</f>
        <v>#REF!</v>
      </c>
      <c r="GL275" t="e">
        <f>AND(#REF!,"AAAAAF5xpcE=")</f>
        <v>#REF!</v>
      </c>
      <c r="GM275" t="e">
        <f>AND(#REF!,"AAAAAF5xpcI=")</f>
        <v>#REF!</v>
      </c>
      <c r="GN275" t="e">
        <f>AND(#REF!,"AAAAAF5xpcM=")</f>
        <v>#REF!</v>
      </c>
      <c r="GO275" t="e">
        <f>AND(#REF!,"AAAAAF5xpcQ=")</f>
        <v>#REF!</v>
      </c>
      <c r="GP275" t="e">
        <f>AND(#REF!,"AAAAAF5xpcU=")</f>
        <v>#REF!</v>
      </c>
      <c r="GQ275" t="e">
        <f>AND(#REF!,"AAAAAF5xpcY=")</f>
        <v>#REF!</v>
      </c>
      <c r="GR275" t="e">
        <f>AND(#REF!,"AAAAAF5xpcc=")</f>
        <v>#REF!</v>
      </c>
      <c r="GS275" t="e">
        <f>AND(#REF!,"AAAAAF5xpcg=")</f>
        <v>#REF!</v>
      </c>
      <c r="GT275" t="e">
        <f>AND(#REF!,"AAAAAF5xpck=")</f>
        <v>#REF!</v>
      </c>
      <c r="GU275" t="e">
        <f>AND(#REF!,"AAAAAF5xpco=")</f>
        <v>#REF!</v>
      </c>
      <c r="GV275" t="e">
        <f>AND(#REF!,"AAAAAF5xpcs=")</f>
        <v>#REF!</v>
      </c>
      <c r="GW275" t="e">
        <f>AND(#REF!,"AAAAAF5xpcw=")</f>
        <v>#REF!</v>
      </c>
      <c r="GX275" t="e">
        <f>AND(#REF!,"AAAAAF5xpc0=")</f>
        <v>#REF!</v>
      </c>
      <c r="GY275" t="e">
        <f>AND(#REF!,"AAAAAF5xpc4=")</f>
        <v>#REF!</v>
      </c>
      <c r="GZ275" t="e">
        <f>AND(#REF!,"AAAAAF5xpc8=")</f>
        <v>#REF!</v>
      </c>
      <c r="HA275" t="e">
        <f>AND(#REF!,"AAAAAF5xpdA=")</f>
        <v>#REF!</v>
      </c>
      <c r="HB275" t="e">
        <f>AND(#REF!,"AAAAAF5xpdE=")</f>
        <v>#REF!</v>
      </c>
      <c r="HC275" t="e">
        <f>AND(#REF!,"AAAAAF5xpdI=")</f>
        <v>#REF!</v>
      </c>
      <c r="HD275" t="e">
        <f>AND(#REF!,"AAAAAF5xpdM=")</f>
        <v>#REF!</v>
      </c>
      <c r="HE275" t="e">
        <f>AND(#REF!,"AAAAAF5xpdQ=")</f>
        <v>#REF!</v>
      </c>
      <c r="HF275" t="e">
        <f>AND(#REF!,"AAAAAF5xpdU=")</f>
        <v>#REF!</v>
      </c>
      <c r="HG275" t="e">
        <f>AND(#REF!,"AAAAAF5xpdY=")</f>
        <v>#REF!</v>
      </c>
      <c r="HH275" t="e">
        <f>AND(#REF!,"AAAAAF5xpdc=")</f>
        <v>#REF!</v>
      </c>
      <c r="HI275" t="e">
        <f>IF(#REF!,"AAAAAF5xpdg=",0)</f>
        <v>#REF!</v>
      </c>
      <c r="HJ275" t="e">
        <f>AND(#REF!,"AAAAAF5xpdk=")</f>
        <v>#REF!</v>
      </c>
      <c r="HK275" t="e">
        <f>AND(#REF!,"AAAAAF5xpdo=")</f>
        <v>#REF!</v>
      </c>
      <c r="HL275" t="e">
        <f>AND(#REF!,"AAAAAF5xpds=")</f>
        <v>#REF!</v>
      </c>
      <c r="HM275" t="e">
        <f>AND(#REF!,"AAAAAF5xpdw=")</f>
        <v>#REF!</v>
      </c>
      <c r="HN275" t="e">
        <f>AND(#REF!,"AAAAAF5xpd0=")</f>
        <v>#REF!</v>
      </c>
      <c r="HO275" t="e">
        <f>AND(#REF!,"AAAAAF5xpd4=")</f>
        <v>#REF!</v>
      </c>
      <c r="HP275" t="e">
        <f>AND(#REF!,"AAAAAF5xpd8=")</f>
        <v>#REF!</v>
      </c>
      <c r="HQ275" t="e">
        <f>AND(#REF!,"AAAAAF5xpeA=")</f>
        <v>#REF!</v>
      </c>
      <c r="HR275" t="e">
        <f>AND(#REF!,"AAAAAF5xpeE=")</f>
        <v>#REF!</v>
      </c>
      <c r="HS275" t="e">
        <f>AND(#REF!,"AAAAAF5xpeI=")</f>
        <v>#REF!</v>
      </c>
      <c r="HT275" t="e">
        <f>AND(#REF!,"AAAAAF5xpeM=")</f>
        <v>#REF!</v>
      </c>
      <c r="HU275" t="e">
        <f>AND(#REF!,"AAAAAF5xpeQ=")</f>
        <v>#REF!</v>
      </c>
      <c r="HV275" t="e">
        <f>AND(#REF!,"AAAAAF5xpeU=")</f>
        <v>#REF!</v>
      </c>
      <c r="HW275" t="e">
        <f>AND(#REF!,"AAAAAF5xpeY=")</f>
        <v>#REF!</v>
      </c>
      <c r="HX275" t="e">
        <f>AND(#REF!,"AAAAAF5xpec=")</f>
        <v>#REF!</v>
      </c>
      <c r="HY275" t="e">
        <f>AND(#REF!,"AAAAAF5xpeg=")</f>
        <v>#REF!</v>
      </c>
      <c r="HZ275" t="e">
        <f>AND(#REF!,"AAAAAF5xpek=")</f>
        <v>#REF!</v>
      </c>
      <c r="IA275" t="e">
        <f>AND(#REF!,"AAAAAF5xpeo=")</f>
        <v>#REF!</v>
      </c>
      <c r="IB275" t="e">
        <f>AND(#REF!,"AAAAAF5xpes=")</f>
        <v>#REF!</v>
      </c>
      <c r="IC275" t="e">
        <f>AND(#REF!,"AAAAAF5xpew=")</f>
        <v>#REF!</v>
      </c>
      <c r="ID275" t="e">
        <f>AND(#REF!,"AAAAAF5xpe0=")</f>
        <v>#REF!</v>
      </c>
      <c r="IE275" t="e">
        <f>AND(#REF!,"AAAAAF5xpe4=")</f>
        <v>#REF!</v>
      </c>
      <c r="IF275" t="e">
        <f>AND(#REF!,"AAAAAF5xpe8=")</f>
        <v>#REF!</v>
      </c>
      <c r="IG275" t="e">
        <f>AND(#REF!,"AAAAAF5xpfA=")</f>
        <v>#REF!</v>
      </c>
      <c r="IH275" t="e">
        <f>IF(#REF!,"AAAAAF5xpfE=",0)</f>
        <v>#REF!</v>
      </c>
      <c r="II275" t="e">
        <f>AND(#REF!,"AAAAAF5xpfI=")</f>
        <v>#REF!</v>
      </c>
      <c r="IJ275" t="e">
        <f>AND(#REF!,"AAAAAF5xpfM=")</f>
        <v>#REF!</v>
      </c>
      <c r="IK275" t="e">
        <f>AND(#REF!,"AAAAAF5xpfQ=")</f>
        <v>#REF!</v>
      </c>
      <c r="IL275" t="e">
        <f>AND(#REF!,"AAAAAF5xpfU=")</f>
        <v>#REF!</v>
      </c>
      <c r="IM275" t="e">
        <f>AND(#REF!,"AAAAAF5xpfY=")</f>
        <v>#REF!</v>
      </c>
      <c r="IN275" t="e">
        <f>AND(#REF!,"AAAAAF5xpfc=")</f>
        <v>#REF!</v>
      </c>
      <c r="IO275" t="e">
        <f>AND(#REF!,"AAAAAF5xpfg=")</f>
        <v>#REF!</v>
      </c>
      <c r="IP275" t="e">
        <f>AND(#REF!,"AAAAAF5xpfk=")</f>
        <v>#REF!</v>
      </c>
      <c r="IQ275" t="e">
        <f>AND(#REF!,"AAAAAF5xpfo=")</f>
        <v>#REF!</v>
      </c>
      <c r="IR275" t="e">
        <f>AND(#REF!,"AAAAAF5xpfs=")</f>
        <v>#REF!</v>
      </c>
      <c r="IS275" t="e">
        <f>AND(#REF!,"AAAAAF5xpfw=")</f>
        <v>#REF!</v>
      </c>
      <c r="IT275" t="e">
        <f>AND(#REF!,"AAAAAF5xpf0=")</f>
        <v>#REF!</v>
      </c>
      <c r="IU275" t="e">
        <f>AND(#REF!,"AAAAAF5xpf4=")</f>
        <v>#REF!</v>
      </c>
      <c r="IV275" t="e">
        <f>AND(#REF!,"AAAAAF5xpf8=")</f>
        <v>#REF!</v>
      </c>
    </row>
    <row r="276" spans="1:256">
      <c r="A276" t="e">
        <f>AND(#REF!,"AAAAAD/X9wA=")</f>
        <v>#REF!</v>
      </c>
      <c r="B276" t="e">
        <f>AND(#REF!,"AAAAAD/X9wE=")</f>
        <v>#REF!</v>
      </c>
      <c r="C276" t="e">
        <f>AND(#REF!,"AAAAAD/X9wI=")</f>
        <v>#REF!</v>
      </c>
      <c r="D276" t="e">
        <f>AND(#REF!,"AAAAAD/X9wM=")</f>
        <v>#REF!</v>
      </c>
      <c r="E276" t="e">
        <f>AND(#REF!,"AAAAAD/X9wQ=")</f>
        <v>#REF!</v>
      </c>
      <c r="F276" t="e">
        <f>AND(#REF!,"AAAAAD/X9wU=")</f>
        <v>#REF!</v>
      </c>
      <c r="G276" t="e">
        <f>AND(#REF!,"AAAAAD/X9wY=")</f>
        <v>#REF!</v>
      </c>
      <c r="H276" t="e">
        <f>AND(#REF!,"AAAAAD/X9wc=")</f>
        <v>#REF!</v>
      </c>
      <c r="I276" t="e">
        <f>AND(#REF!,"AAAAAD/X9wg=")</f>
        <v>#REF!</v>
      </c>
      <c r="J276" t="e">
        <f>AND(#REF!,"AAAAAD/X9wk=")</f>
        <v>#REF!</v>
      </c>
      <c r="K276" t="e">
        <f>IF(#REF!,"AAAAAD/X9wo=",0)</f>
        <v>#REF!</v>
      </c>
      <c r="L276" t="e">
        <f>AND(#REF!,"AAAAAD/X9ws=")</f>
        <v>#REF!</v>
      </c>
      <c r="M276" t="e">
        <f>AND(#REF!,"AAAAAD/X9ww=")</f>
        <v>#REF!</v>
      </c>
      <c r="N276" t="e">
        <f>AND(#REF!,"AAAAAD/X9w0=")</f>
        <v>#REF!</v>
      </c>
      <c r="O276" t="e">
        <f>AND(#REF!,"AAAAAD/X9w4=")</f>
        <v>#REF!</v>
      </c>
      <c r="P276" t="e">
        <f>AND(#REF!,"AAAAAD/X9w8=")</f>
        <v>#REF!</v>
      </c>
      <c r="Q276" t="e">
        <f>AND(#REF!,"AAAAAD/X9xA=")</f>
        <v>#REF!</v>
      </c>
      <c r="R276" t="e">
        <f>AND(#REF!,"AAAAAD/X9xE=")</f>
        <v>#REF!</v>
      </c>
      <c r="S276" t="e">
        <f>AND(#REF!,"AAAAAD/X9xI=")</f>
        <v>#REF!</v>
      </c>
      <c r="T276" t="e">
        <f>AND(#REF!,"AAAAAD/X9xM=")</f>
        <v>#REF!</v>
      </c>
      <c r="U276" t="e">
        <f>AND(#REF!,"AAAAAD/X9xQ=")</f>
        <v>#REF!</v>
      </c>
      <c r="V276" t="e">
        <f>AND(#REF!,"AAAAAD/X9xU=")</f>
        <v>#REF!</v>
      </c>
      <c r="W276" t="e">
        <f>AND(#REF!,"AAAAAD/X9xY=")</f>
        <v>#REF!</v>
      </c>
      <c r="X276" t="e">
        <f>AND(#REF!,"AAAAAD/X9xc=")</f>
        <v>#REF!</v>
      </c>
      <c r="Y276" t="e">
        <f>AND(#REF!,"AAAAAD/X9xg=")</f>
        <v>#REF!</v>
      </c>
      <c r="Z276" t="e">
        <f>AND(#REF!,"AAAAAD/X9xk=")</f>
        <v>#REF!</v>
      </c>
      <c r="AA276" t="e">
        <f>AND(#REF!,"AAAAAD/X9xo=")</f>
        <v>#REF!</v>
      </c>
      <c r="AB276" t="e">
        <f>AND(#REF!,"AAAAAD/X9xs=")</f>
        <v>#REF!</v>
      </c>
      <c r="AC276" t="e">
        <f>AND(#REF!,"AAAAAD/X9xw=")</f>
        <v>#REF!</v>
      </c>
      <c r="AD276" t="e">
        <f>AND(#REF!,"AAAAAD/X9x0=")</f>
        <v>#REF!</v>
      </c>
      <c r="AE276" t="e">
        <f>AND(#REF!,"AAAAAD/X9x4=")</f>
        <v>#REF!</v>
      </c>
      <c r="AF276" t="e">
        <f>AND(#REF!,"AAAAAD/X9x8=")</f>
        <v>#REF!</v>
      </c>
      <c r="AG276" t="e">
        <f>AND(#REF!,"AAAAAD/X9yA=")</f>
        <v>#REF!</v>
      </c>
      <c r="AH276" t="e">
        <f>AND(#REF!,"AAAAAD/X9yE=")</f>
        <v>#REF!</v>
      </c>
      <c r="AI276" t="e">
        <f>AND(#REF!,"AAAAAD/X9yI=")</f>
        <v>#REF!</v>
      </c>
      <c r="AJ276" t="e">
        <f>IF(#REF!,"AAAAAD/X9yM=",0)</f>
        <v>#REF!</v>
      </c>
      <c r="AK276" t="e">
        <f>AND(#REF!,"AAAAAD/X9yQ=")</f>
        <v>#REF!</v>
      </c>
      <c r="AL276" t="e">
        <f>AND(#REF!,"AAAAAD/X9yU=")</f>
        <v>#REF!</v>
      </c>
      <c r="AM276" t="e">
        <f>AND(#REF!,"AAAAAD/X9yY=")</f>
        <v>#REF!</v>
      </c>
      <c r="AN276" t="e">
        <f>AND(#REF!,"AAAAAD/X9yc=")</f>
        <v>#REF!</v>
      </c>
      <c r="AO276" t="e">
        <f>AND(#REF!,"AAAAAD/X9yg=")</f>
        <v>#REF!</v>
      </c>
      <c r="AP276" t="e">
        <f>AND(#REF!,"AAAAAD/X9yk=")</f>
        <v>#REF!</v>
      </c>
      <c r="AQ276" t="e">
        <f>AND(#REF!,"AAAAAD/X9yo=")</f>
        <v>#REF!</v>
      </c>
      <c r="AR276" t="e">
        <f>AND(#REF!,"AAAAAD/X9ys=")</f>
        <v>#REF!</v>
      </c>
      <c r="AS276" t="e">
        <f>AND(#REF!,"AAAAAD/X9yw=")</f>
        <v>#REF!</v>
      </c>
      <c r="AT276" t="e">
        <f>AND(#REF!,"AAAAAD/X9y0=")</f>
        <v>#REF!</v>
      </c>
      <c r="AU276" t="e">
        <f>AND(#REF!,"AAAAAD/X9y4=")</f>
        <v>#REF!</v>
      </c>
      <c r="AV276" t="e">
        <f>AND(#REF!,"AAAAAD/X9y8=")</f>
        <v>#REF!</v>
      </c>
      <c r="AW276" t="e">
        <f>AND(#REF!,"AAAAAD/X9zA=")</f>
        <v>#REF!</v>
      </c>
      <c r="AX276" t="e">
        <f>AND(#REF!,"AAAAAD/X9zE=")</f>
        <v>#REF!</v>
      </c>
      <c r="AY276" t="e">
        <f>AND(#REF!,"AAAAAD/X9zI=")</f>
        <v>#REF!</v>
      </c>
      <c r="AZ276" t="e">
        <f>AND(#REF!,"AAAAAD/X9zM=")</f>
        <v>#REF!</v>
      </c>
      <c r="BA276" t="e">
        <f>AND(#REF!,"AAAAAD/X9zQ=")</f>
        <v>#REF!</v>
      </c>
      <c r="BB276" t="e">
        <f>AND(#REF!,"AAAAAD/X9zU=")</f>
        <v>#REF!</v>
      </c>
      <c r="BC276" t="e">
        <f>AND(#REF!,"AAAAAD/X9zY=")</f>
        <v>#REF!</v>
      </c>
      <c r="BD276" t="e">
        <f>AND(#REF!,"AAAAAD/X9zc=")</f>
        <v>#REF!</v>
      </c>
      <c r="BE276" t="e">
        <f>AND(#REF!,"AAAAAD/X9zg=")</f>
        <v>#REF!</v>
      </c>
      <c r="BF276" t="e">
        <f>AND(#REF!,"AAAAAD/X9zk=")</f>
        <v>#REF!</v>
      </c>
      <c r="BG276" t="e">
        <f>AND(#REF!,"AAAAAD/X9zo=")</f>
        <v>#REF!</v>
      </c>
      <c r="BH276" t="e">
        <f>AND(#REF!,"AAAAAD/X9zs=")</f>
        <v>#REF!</v>
      </c>
      <c r="BI276" t="e">
        <f>IF(#REF!,"AAAAAD/X9zw=",0)</f>
        <v>#REF!</v>
      </c>
      <c r="BJ276" t="e">
        <f>AND(#REF!,"AAAAAD/X9z0=")</f>
        <v>#REF!</v>
      </c>
      <c r="BK276" t="e">
        <f>AND(#REF!,"AAAAAD/X9z4=")</f>
        <v>#REF!</v>
      </c>
      <c r="BL276" t="e">
        <f>AND(#REF!,"AAAAAD/X9z8=")</f>
        <v>#REF!</v>
      </c>
      <c r="BM276" t="e">
        <f>AND(#REF!,"AAAAAD/X90A=")</f>
        <v>#REF!</v>
      </c>
      <c r="BN276" t="e">
        <f>AND(#REF!,"AAAAAD/X90E=")</f>
        <v>#REF!</v>
      </c>
      <c r="BO276" t="e">
        <f>AND(#REF!,"AAAAAD/X90I=")</f>
        <v>#REF!</v>
      </c>
      <c r="BP276" t="e">
        <f>AND(#REF!,"AAAAAD/X90M=")</f>
        <v>#REF!</v>
      </c>
      <c r="BQ276" t="e">
        <f>AND(#REF!,"AAAAAD/X90Q=")</f>
        <v>#REF!</v>
      </c>
      <c r="BR276" t="e">
        <f>AND(#REF!,"AAAAAD/X90U=")</f>
        <v>#REF!</v>
      </c>
      <c r="BS276" t="e">
        <f>AND(#REF!,"AAAAAD/X90Y=")</f>
        <v>#REF!</v>
      </c>
      <c r="BT276" t="e">
        <f>AND(#REF!,"AAAAAD/X90c=")</f>
        <v>#REF!</v>
      </c>
      <c r="BU276" t="e">
        <f>AND(#REF!,"AAAAAD/X90g=")</f>
        <v>#REF!</v>
      </c>
      <c r="BV276" t="e">
        <f>AND(#REF!,"AAAAAD/X90k=")</f>
        <v>#REF!</v>
      </c>
      <c r="BW276" t="e">
        <f>AND(#REF!,"AAAAAD/X90o=")</f>
        <v>#REF!</v>
      </c>
      <c r="BX276" t="e">
        <f>AND(#REF!,"AAAAAD/X90s=")</f>
        <v>#REF!</v>
      </c>
      <c r="BY276" t="e">
        <f>AND(#REF!,"AAAAAD/X90w=")</f>
        <v>#REF!</v>
      </c>
      <c r="BZ276" t="e">
        <f>AND(#REF!,"AAAAAD/X900=")</f>
        <v>#REF!</v>
      </c>
      <c r="CA276" t="e">
        <f>AND(#REF!,"AAAAAD/X904=")</f>
        <v>#REF!</v>
      </c>
      <c r="CB276" t="e">
        <f>AND(#REF!,"AAAAAD/X908=")</f>
        <v>#REF!</v>
      </c>
      <c r="CC276" t="e">
        <f>AND(#REF!,"AAAAAD/X91A=")</f>
        <v>#REF!</v>
      </c>
      <c r="CD276" t="e">
        <f>AND(#REF!,"AAAAAD/X91E=")</f>
        <v>#REF!</v>
      </c>
      <c r="CE276" t="e">
        <f>AND(#REF!,"AAAAAD/X91I=")</f>
        <v>#REF!</v>
      </c>
      <c r="CF276" t="e">
        <f>AND(#REF!,"AAAAAD/X91M=")</f>
        <v>#REF!</v>
      </c>
      <c r="CG276" t="e">
        <f>AND(#REF!,"AAAAAD/X91Q=")</f>
        <v>#REF!</v>
      </c>
      <c r="CH276" t="e">
        <f>IF(#REF!,"AAAAAD/X91U=",0)</f>
        <v>#REF!</v>
      </c>
      <c r="CI276" t="e">
        <f>AND(#REF!,"AAAAAD/X91Y=")</f>
        <v>#REF!</v>
      </c>
      <c r="CJ276" t="e">
        <f>AND(#REF!,"AAAAAD/X91c=")</f>
        <v>#REF!</v>
      </c>
      <c r="CK276" t="e">
        <f>AND(#REF!,"AAAAAD/X91g=")</f>
        <v>#REF!</v>
      </c>
      <c r="CL276" t="e">
        <f>AND(#REF!,"AAAAAD/X91k=")</f>
        <v>#REF!</v>
      </c>
      <c r="CM276" t="e">
        <f>AND(#REF!,"AAAAAD/X91o=")</f>
        <v>#REF!</v>
      </c>
      <c r="CN276" t="e">
        <f>AND(#REF!,"AAAAAD/X91s=")</f>
        <v>#REF!</v>
      </c>
      <c r="CO276" t="e">
        <f>AND(#REF!,"AAAAAD/X91w=")</f>
        <v>#REF!</v>
      </c>
      <c r="CP276" t="e">
        <f>AND(#REF!,"AAAAAD/X910=")</f>
        <v>#REF!</v>
      </c>
      <c r="CQ276" t="e">
        <f>AND(#REF!,"AAAAAD/X914=")</f>
        <v>#REF!</v>
      </c>
      <c r="CR276" t="e">
        <f>AND(#REF!,"AAAAAD/X918=")</f>
        <v>#REF!</v>
      </c>
      <c r="CS276" t="e">
        <f>AND(#REF!,"AAAAAD/X92A=")</f>
        <v>#REF!</v>
      </c>
      <c r="CT276" t="e">
        <f>AND(#REF!,"AAAAAD/X92E=")</f>
        <v>#REF!</v>
      </c>
      <c r="CU276" t="e">
        <f>AND(#REF!,"AAAAAD/X92I=")</f>
        <v>#REF!</v>
      </c>
      <c r="CV276" t="e">
        <f>AND(#REF!,"AAAAAD/X92M=")</f>
        <v>#REF!</v>
      </c>
      <c r="CW276" t="e">
        <f>AND(#REF!,"AAAAAD/X92Q=")</f>
        <v>#REF!</v>
      </c>
      <c r="CX276" t="e">
        <f>AND(#REF!,"AAAAAD/X92U=")</f>
        <v>#REF!</v>
      </c>
      <c r="CY276" t="e">
        <f>AND(#REF!,"AAAAAD/X92Y=")</f>
        <v>#REF!</v>
      </c>
      <c r="CZ276" t="e">
        <f>AND(#REF!,"AAAAAD/X92c=")</f>
        <v>#REF!</v>
      </c>
      <c r="DA276" t="e">
        <f>AND(#REF!,"AAAAAD/X92g=")</f>
        <v>#REF!</v>
      </c>
      <c r="DB276" t="e">
        <f>AND(#REF!,"AAAAAD/X92k=")</f>
        <v>#REF!</v>
      </c>
      <c r="DC276" t="e">
        <f>AND(#REF!,"AAAAAD/X92o=")</f>
        <v>#REF!</v>
      </c>
      <c r="DD276" t="e">
        <f>AND(#REF!,"AAAAAD/X92s=")</f>
        <v>#REF!</v>
      </c>
      <c r="DE276" t="e">
        <f>AND(#REF!,"AAAAAD/X92w=")</f>
        <v>#REF!</v>
      </c>
      <c r="DF276" t="e">
        <f>AND(#REF!,"AAAAAD/X920=")</f>
        <v>#REF!</v>
      </c>
      <c r="DG276" t="e">
        <f>IF(#REF!,"AAAAAD/X924=",0)</f>
        <v>#REF!</v>
      </c>
      <c r="DH276" t="e">
        <f>AND(#REF!,"AAAAAD/X928=")</f>
        <v>#REF!</v>
      </c>
      <c r="DI276" t="e">
        <f>AND(#REF!,"AAAAAD/X93A=")</f>
        <v>#REF!</v>
      </c>
      <c r="DJ276" t="e">
        <f>AND(#REF!,"AAAAAD/X93E=")</f>
        <v>#REF!</v>
      </c>
      <c r="DK276" t="e">
        <f>AND(#REF!,"AAAAAD/X93I=")</f>
        <v>#REF!</v>
      </c>
      <c r="DL276" t="e">
        <f>AND(#REF!,"AAAAAD/X93M=")</f>
        <v>#REF!</v>
      </c>
      <c r="DM276" t="e">
        <f>AND(#REF!,"AAAAAD/X93Q=")</f>
        <v>#REF!</v>
      </c>
      <c r="DN276" t="e">
        <f>AND(#REF!,"AAAAAD/X93U=")</f>
        <v>#REF!</v>
      </c>
      <c r="DO276" t="e">
        <f>AND(#REF!,"AAAAAD/X93Y=")</f>
        <v>#REF!</v>
      </c>
      <c r="DP276" t="e">
        <f>AND(#REF!,"AAAAAD/X93c=")</f>
        <v>#REF!</v>
      </c>
      <c r="DQ276" t="e">
        <f>AND(#REF!,"AAAAAD/X93g=")</f>
        <v>#REF!</v>
      </c>
      <c r="DR276" t="e">
        <f>AND(#REF!,"AAAAAD/X93k=")</f>
        <v>#REF!</v>
      </c>
      <c r="DS276" t="e">
        <f>AND(#REF!,"AAAAAD/X93o=")</f>
        <v>#REF!</v>
      </c>
      <c r="DT276" t="e">
        <f>AND(#REF!,"AAAAAD/X93s=")</f>
        <v>#REF!</v>
      </c>
      <c r="DU276" t="e">
        <f>AND(#REF!,"AAAAAD/X93w=")</f>
        <v>#REF!</v>
      </c>
      <c r="DV276" t="e">
        <f>AND(#REF!,"AAAAAD/X930=")</f>
        <v>#REF!</v>
      </c>
      <c r="DW276" t="e">
        <f>AND(#REF!,"AAAAAD/X934=")</f>
        <v>#REF!</v>
      </c>
      <c r="DX276" t="e">
        <f>AND(#REF!,"AAAAAD/X938=")</f>
        <v>#REF!</v>
      </c>
      <c r="DY276" t="e">
        <f>AND(#REF!,"AAAAAD/X94A=")</f>
        <v>#REF!</v>
      </c>
      <c r="DZ276" t="e">
        <f>AND(#REF!,"AAAAAD/X94E=")</f>
        <v>#REF!</v>
      </c>
      <c r="EA276" t="e">
        <f>AND(#REF!,"AAAAAD/X94I=")</f>
        <v>#REF!</v>
      </c>
      <c r="EB276" t="e">
        <f>AND(#REF!,"AAAAAD/X94M=")</f>
        <v>#REF!</v>
      </c>
      <c r="EC276" t="e">
        <f>AND(#REF!,"AAAAAD/X94Q=")</f>
        <v>#REF!</v>
      </c>
      <c r="ED276" t="e">
        <f>AND(#REF!,"AAAAAD/X94U=")</f>
        <v>#REF!</v>
      </c>
      <c r="EE276" t="e">
        <f>AND(#REF!,"AAAAAD/X94Y=")</f>
        <v>#REF!</v>
      </c>
      <c r="EF276" t="e">
        <f>IF(#REF!,"AAAAAD/X94c=",0)</f>
        <v>#REF!</v>
      </c>
      <c r="EG276" t="e">
        <f>AND(#REF!,"AAAAAD/X94g=")</f>
        <v>#REF!</v>
      </c>
      <c r="EH276" t="e">
        <f>AND(#REF!,"AAAAAD/X94k=")</f>
        <v>#REF!</v>
      </c>
      <c r="EI276" t="e">
        <f>AND(#REF!,"AAAAAD/X94o=")</f>
        <v>#REF!</v>
      </c>
      <c r="EJ276" t="e">
        <f>AND(#REF!,"AAAAAD/X94s=")</f>
        <v>#REF!</v>
      </c>
      <c r="EK276" t="e">
        <f>AND(#REF!,"AAAAAD/X94w=")</f>
        <v>#REF!</v>
      </c>
      <c r="EL276" t="e">
        <f>AND(#REF!,"AAAAAD/X940=")</f>
        <v>#REF!</v>
      </c>
      <c r="EM276" t="e">
        <f>AND(#REF!,"AAAAAD/X944=")</f>
        <v>#REF!</v>
      </c>
      <c r="EN276" t="e">
        <f>AND(#REF!,"AAAAAD/X948=")</f>
        <v>#REF!</v>
      </c>
      <c r="EO276" t="e">
        <f>AND(#REF!,"AAAAAD/X95A=")</f>
        <v>#REF!</v>
      </c>
      <c r="EP276" t="e">
        <f>AND(#REF!,"AAAAAD/X95E=")</f>
        <v>#REF!</v>
      </c>
      <c r="EQ276" t="e">
        <f>AND(#REF!,"AAAAAD/X95I=")</f>
        <v>#REF!</v>
      </c>
      <c r="ER276" t="e">
        <f>AND(#REF!,"AAAAAD/X95M=")</f>
        <v>#REF!</v>
      </c>
      <c r="ES276" t="e">
        <f>AND(#REF!,"AAAAAD/X95Q=")</f>
        <v>#REF!</v>
      </c>
      <c r="ET276" t="e">
        <f>AND(#REF!,"AAAAAD/X95U=")</f>
        <v>#REF!</v>
      </c>
      <c r="EU276" t="e">
        <f>AND(#REF!,"AAAAAD/X95Y=")</f>
        <v>#REF!</v>
      </c>
      <c r="EV276" t="e">
        <f>AND(#REF!,"AAAAAD/X95c=")</f>
        <v>#REF!</v>
      </c>
      <c r="EW276" t="e">
        <f>AND(#REF!,"AAAAAD/X95g=")</f>
        <v>#REF!</v>
      </c>
      <c r="EX276" t="e">
        <f>AND(#REF!,"AAAAAD/X95k=")</f>
        <v>#REF!</v>
      </c>
      <c r="EY276" t="e">
        <f>AND(#REF!,"AAAAAD/X95o=")</f>
        <v>#REF!</v>
      </c>
      <c r="EZ276" t="e">
        <f>AND(#REF!,"AAAAAD/X95s=")</f>
        <v>#REF!</v>
      </c>
      <c r="FA276" t="e">
        <f>AND(#REF!,"AAAAAD/X95w=")</f>
        <v>#REF!</v>
      </c>
      <c r="FB276" t="e">
        <f>AND(#REF!,"AAAAAD/X950=")</f>
        <v>#REF!</v>
      </c>
      <c r="FC276" t="e">
        <f>AND(#REF!,"AAAAAD/X954=")</f>
        <v>#REF!</v>
      </c>
      <c r="FD276" t="e">
        <f>AND(#REF!,"AAAAAD/X958=")</f>
        <v>#REF!</v>
      </c>
      <c r="FE276" t="e">
        <f>IF(#REF!,"AAAAAD/X96A=",0)</f>
        <v>#REF!</v>
      </c>
      <c r="FF276" t="e">
        <f>AND(#REF!,"AAAAAD/X96E=")</f>
        <v>#REF!</v>
      </c>
      <c r="FG276" t="e">
        <f>AND(#REF!,"AAAAAD/X96I=")</f>
        <v>#REF!</v>
      </c>
      <c r="FH276" t="e">
        <f>AND(#REF!,"AAAAAD/X96M=")</f>
        <v>#REF!</v>
      </c>
      <c r="FI276" t="e">
        <f>AND(#REF!,"AAAAAD/X96Q=")</f>
        <v>#REF!</v>
      </c>
      <c r="FJ276" t="e">
        <f>AND(#REF!,"AAAAAD/X96U=")</f>
        <v>#REF!</v>
      </c>
      <c r="FK276" t="e">
        <f>AND(#REF!,"AAAAAD/X96Y=")</f>
        <v>#REF!</v>
      </c>
      <c r="FL276" t="e">
        <f>AND(#REF!,"AAAAAD/X96c=")</f>
        <v>#REF!</v>
      </c>
      <c r="FM276" t="e">
        <f>AND(#REF!,"AAAAAD/X96g=")</f>
        <v>#REF!</v>
      </c>
      <c r="FN276" t="e">
        <f>AND(#REF!,"AAAAAD/X96k=")</f>
        <v>#REF!</v>
      </c>
      <c r="FO276" t="e">
        <f>AND(#REF!,"AAAAAD/X96o=")</f>
        <v>#REF!</v>
      </c>
      <c r="FP276" t="e">
        <f>AND(#REF!,"AAAAAD/X96s=")</f>
        <v>#REF!</v>
      </c>
      <c r="FQ276" t="e">
        <f>AND(#REF!,"AAAAAD/X96w=")</f>
        <v>#REF!</v>
      </c>
      <c r="FR276" t="e">
        <f>AND(#REF!,"AAAAAD/X960=")</f>
        <v>#REF!</v>
      </c>
      <c r="FS276" t="e">
        <f>AND(#REF!,"AAAAAD/X964=")</f>
        <v>#REF!</v>
      </c>
      <c r="FT276" t="e">
        <f>AND(#REF!,"AAAAAD/X968=")</f>
        <v>#REF!</v>
      </c>
      <c r="FU276" t="e">
        <f>AND(#REF!,"AAAAAD/X97A=")</f>
        <v>#REF!</v>
      </c>
      <c r="FV276" t="e">
        <f>AND(#REF!,"AAAAAD/X97E=")</f>
        <v>#REF!</v>
      </c>
      <c r="FW276" t="e">
        <f>AND(#REF!,"AAAAAD/X97I=")</f>
        <v>#REF!</v>
      </c>
      <c r="FX276" t="e">
        <f>AND(#REF!,"AAAAAD/X97M=")</f>
        <v>#REF!</v>
      </c>
      <c r="FY276" t="e">
        <f>AND(#REF!,"AAAAAD/X97Q=")</f>
        <v>#REF!</v>
      </c>
      <c r="FZ276" t="e">
        <f>AND(#REF!,"AAAAAD/X97U=")</f>
        <v>#REF!</v>
      </c>
      <c r="GA276" t="e">
        <f>AND(#REF!,"AAAAAD/X97Y=")</f>
        <v>#REF!</v>
      </c>
      <c r="GB276" t="e">
        <f>AND(#REF!,"AAAAAD/X97c=")</f>
        <v>#REF!</v>
      </c>
      <c r="GC276" t="e">
        <f>AND(#REF!,"AAAAAD/X97g=")</f>
        <v>#REF!</v>
      </c>
      <c r="GD276" t="e">
        <f>IF(#REF!,"AAAAAD/X97k=",0)</f>
        <v>#REF!</v>
      </c>
      <c r="GE276" t="e">
        <f>AND(#REF!,"AAAAAD/X97o=")</f>
        <v>#REF!</v>
      </c>
      <c r="GF276" t="e">
        <f>AND(#REF!,"AAAAAD/X97s=")</f>
        <v>#REF!</v>
      </c>
      <c r="GG276" t="e">
        <f>AND(#REF!,"AAAAAD/X97w=")</f>
        <v>#REF!</v>
      </c>
      <c r="GH276" t="e">
        <f>AND(#REF!,"AAAAAD/X970=")</f>
        <v>#REF!</v>
      </c>
      <c r="GI276" t="e">
        <f>AND(#REF!,"AAAAAD/X974=")</f>
        <v>#REF!</v>
      </c>
      <c r="GJ276" t="e">
        <f>AND(#REF!,"AAAAAD/X978=")</f>
        <v>#REF!</v>
      </c>
      <c r="GK276" t="e">
        <f>AND(#REF!,"AAAAAD/X98A=")</f>
        <v>#REF!</v>
      </c>
      <c r="GL276" t="e">
        <f>AND(#REF!,"AAAAAD/X98E=")</f>
        <v>#REF!</v>
      </c>
      <c r="GM276" t="e">
        <f>AND(#REF!,"AAAAAD/X98I=")</f>
        <v>#REF!</v>
      </c>
      <c r="GN276" t="e">
        <f>AND(#REF!,"AAAAAD/X98M=")</f>
        <v>#REF!</v>
      </c>
      <c r="GO276" t="e">
        <f>AND(#REF!,"AAAAAD/X98Q=")</f>
        <v>#REF!</v>
      </c>
      <c r="GP276" t="e">
        <f>AND(#REF!,"AAAAAD/X98U=")</f>
        <v>#REF!</v>
      </c>
      <c r="GQ276" t="e">
        <f>AND(#REF!,"AAAAAD/X98Y=")</f>
        <v>#REF!</v>
      </c>
      <c r="GR276" t="e">
        <f>AND(#REF!,"AAAAAD/X98c=")</f>
        <v>#REF!</v>
      </c>
      <c r="GS276" t="e">
        <f>AND(#REF!,"AAAAAD/X98g=")</f>
        <v>#REF!</v>
      </c>
      <c r="GT276" t="e">
        <f>AND(#REF!,"AAAAAD/X98k=")</f>
        <v>#REF!</v>
      </c>
      <c r="GU276" t="e">
        <f>AND(#REF!,"AAAAAD/X98o=")</f>
        <v>#REF!</v>
      </c>
      <c r="GV276" t="e">
        <f>AND(#REF!,"AAAAAD/X98s=")</f>
        <v>#REF!</v>
      </c>
      <c r="GW276" t="e">
        <f>AND(#REF!,"AAAAAD/X98w=")</f>
        <v>#REF!</v>
      </c>
      <c r="GX276" t="e">
        <f>AND(#REF!,"AAAAAD/X980=")</f>
        <v>#REF!</v>
      </c>
      <c r="GY276" t="e">
        <f>AND(#REF!,"AAAAAD/X984=")</f>
        <v>#REF!</v>
      </c>
      <c r="GZ276" t="e">
        <f>AND(#REF!,"AAAAAD/X988=")</f>
        <v>#REF!</v>
      </c>
      <c r="HA276" t="e">
        <f>AND(#REF!,"AAAAAD/X99A=")</f>
        <v>#REF!</v>
      </c>
      <c r="HB276" t="e">
        <f>AND(#REF!,"AAAAAD/X99E=")</f>
        <v>#REF!</v>
      </c>
      <c r="HC276" t="e">
        <f>IF(#REF!,"AAAAAD/X99I=",0)</f>
        <v>#REF!</v>
      </c>
      <c r="HD276" t="e">
        <f>AND(#REF!,"AAAAAD/X99M=")</f>
        <v>#REF!</v>
      </c>
      <c r="HE276" t="e">
        <f>AND(#REF!,"AAAAAD/X99Q=")</f>
        <v>#REF!</v>
      </c>
      <c r="HF276" t="e">
        <f>AND(#REF!,"AAAAAD/X99U=")</f>
        <v>#REF!</v>
      </c>
      <c r="HG276" t="e">
        <f>AND(#REF!,"AAAAAD/X99Y=")</f>
        <v>#REF!</v>
      </c>
      <c r="HH276" t="e">
        <f>AND(#REF!,"AAAAAD/X99c=")</f>
        <v>#REF!</v>
      </c>
      <c r="HI276" t="e">
        <f>AND(#REF!,"AAAAAD/X99g=")</f>
        <v>#REF!</v>
      </c>
      <c r="HJ276" t="e">
        <f>AND(#REF!,"AAAAAD/X99k=")</f>
        <v>#REF!</v>
      </c>
      <c r="HK276" t="e">
        <f>AND(#REF!,"AAAAAD/X99o=")</f>
        <v>#REF!</v>
      </c>
      <c r="HL276" t="e">
        <f>AND(#REF!,"AAAAAD/X99s=")</f>
        <v>#REF!</v>
      </c>
      <c r="HM276" t="e">
        <f>AND(#REF!,"AAAAAD/X99w=")</f>
        <v>#REF!</v>
      </c>
      <c r="HN276" t="e">
        <f>AND(#REF!,"AAAAAD/X990=")</f>
        <v>#REF!</v>
      </c>
      <c r="HO276" t="e">
        <f>AND(#REF!,"AAAAAD/X994=")</f>
        <v>#REF!</v>
      </c>
      <c r="HP276" t="e">
        <f>AND(#REF!,"AAAAAD/X998=")</f>
        <v>#REF!</v>
      </c>
      <c r="HQ276" t="e">
        <f>AND(#REF!,"AAAAAD/X9+A=")</f>
        <v>#REF!</v>
      </c>
      <c r="HR276" t="e">
        <f>AND(#REF!,"AAAAAD/X9+E=")</f>
        <v>#REF!</v>
      </c>
      <c r="HS276" t="e">
        <f>AND(#REF!,"AAAAAD/X9+I=")</f>
        <v>#REF!</v>
      </c>
      <c r="HT276" t="e">
        <f>AND(#REF!,"AAAAAD/X9+M=")</f>
        <v>#REF!</v>
      </c>
      <c r="HU276" t="e">
        <f>AND(#REF!,"AAAAAD/X9+Q=")</f>
        <v>#REF!</v>
      </c>
      <c r="HV276" t="e">
        <f>AND(#REF!,"AAAAAD/X9+U=")</f>
        <v>#REF!</v>
      </c>
      <c r="HW276" t="e">
        <f>AND(#REF!,"AAAAAD/X9+Y=")</f>
        <v>#REF!</v>
      </c>
      <c r="HX276" t="e">
        <f>AND(#REF!,"AAAAAD/X9+c=")</f>
        <v>#REF!</v>
      </c>
      <c r="HY276" t="e">
        <f>AND(#REF!,"AAAAAD/X9+g=")</f>
        <v>#REF!</v>
      </c>
      <c r="HZ276" t="e">
        <f>AND(#REF!,"AAAAAD/X9+k=")</f>
        <v>#REF!</v>
      </c>
      <c r="IA276" t="e">
        <f>AND(#REF!,"AAAAAD/X9+o=")</f>
        <v>#REF!</v>
      </c>
      <c r="IB276" t="e">
        <f>IF(#REF!,"AAAAAD/X9+s=",0)</f>
        <v>#REF!</v>
      </c>
      <c r="IC276" t="e">
        <f>AND(#REF!,"AAAAAD/X9+w=")</f>
        <v>#REF!</v>
      </c>
      <c r="ID276" t="e">
        <f>AND(#REF!,"AAAAAD/X9+0=")</f>
        <v>#REF!</v>
      </c>
      <c r="IE276" t="e">
        <f>AND(#REF!,"AAAAAD/X9+4=")</f>
        <v>#REF!</v>
      </c>
      <c r="IF276" t="e">
        <f>AND(#REF!,"AAAAAD/X9+8=")</f>
        <v>#REF!</v>
      </c>
      <c r="IG276" t="e">
        <f>AND(#REF!,"AAAAAD/X9/A=")</f>
        <v>#REF!</v>
      </c>
      <c r="IH276" t="e">
        <f>AND(#REF!,"AAAAAD/X9/E=")</f>
        <v>#REF!</v>
      </c>
      <c r="II276" t="e">
        <f>AND(#REF!,"AAAAAD/X9/I=")</f>
        <v>#REF!</v>
      </c>
      <c r="IJ276" t="e">
        <f>AND(#REF!,"AAAAAD/X9/M=")</f>
        <v>#REF!</v>
      </c>
      <c r="IK276" t="e">
        <f>AND(#REF!,"AAAAAD/X9/Q=")</f>
        <v>#REF!</v>
      </c>
      <c r="IL276" t="e">
        <f>AND(#REF!,"AAAAAD/X9/U=")</f>
        <v>#REF!</v>
      </c>
      <c r="IM276" t="e">
        <f>AND(#REF!,"AAAAAD/X9/Y=")</f>
        <v>#REF!</v>
      </c>
      <c r="IN276" t="e">
        <f>AND(#REF!,"AAAAAD/X9/c=")</f>
        <v>#REF!</v>
      </c>
      <c r="IO276" t="e">
        <f>AND(#REF!,"AAAAAD/X9/g=")</f>
        <v>#REF!</v>
      </c>
      <c r="IP276" t="e">
        <f>AND(#REF!,"AAAAAD/X9/k=")</f>
        <v>#REF!</v>
      </c>
      <c r="IQ276" t="e">
        <f>AND(#REF!,"AAAAAD/X9/o=")</f>
        <v>#REF!</v>
      </c>
      <c r="IR276" t="e">
        <f>AND(#REF!,"AAAAAD/X9/s=")</f>
        <v>#REF!</v>
      </c>
      <c r="IS276" t="e">
        <f>AND(#REF!,"AAAAAD/X9/w=")</f>
        <v>#REF!</v>
      </c>
      <c r="IT276" t="e">
        <f>AND(#REF!,"AAAAAD/X9/0=")</f>
        <v>#REF!</v>
      </c>
      <c r="IU276" t="e">
        <f>AND(#REF!,"AAAAAD/X9/4=")</f>
        <v>#REF!</v>
      </c>
      <c r="IV276" t="e">
        <f>AND(#REF!,"AAAAAD/X9/8=")</f>
        <v>#REF!</v>
      </c>
    </row>
    <row r="277" spans="1:256">
      <c r="A277" t="e">
        <f>AND(#REF!,"AAAAAHN3NwA=")</f>
        <v>#REF!</v>
      </c>
      <c r="B277" t="e">
        <f>AND(#REF!,"AAAAAHN3NwE=")</f>
        <v>#REF!</v>
      </c>
      <c r="C277" t="e">
        <f>AND(#REF!,"AAAAAHN3NwI=")</f>
        <v>#REF!</v>
      </c>
      <c r="D277" t="e">
        <f>AND(#REF!,"AAAAAHN3NwM=")</f>
        <v>#REF!</v>
      </c>
      <c r="E277" t="e">
        <f>IF(#REF!,"AAAAAHN3NwQ=",0)</f>
        <v>#REF!</v>
      </c>
      <c r="F277" t="e">
        <f>AND(#REF!,"AAAAAHN3NwU=")</f>
        <v>#REF!</v>
      </c>
      <c r="G277" t="e">
        <f>AND(#REF!,"AAAAAHN3NwY=")</f>
        <v>#REF!</v>
      </c>
      <c r="H277" t="e">
        <f>AND(#REF!,"AAAAAHN3Nwc=")</f>
        <v>#REF!</v>
      </c>
      <c r="I277" t="e">
        <f>AND(#REF!,"AAAAAHN3Nwg=")</f>
        <v>#REF!</v>
      </c>
      <c r="J277" t="e">
        <f>AND(#REF!,"AAAAAHN3Nwk=")</f>
        <v>#REF!</v>
      </c>
      <c r="K277" t="e">
        <f>AND(#REF!,"AAAAAHN3Nwo=")</f>
        <v>#REF!</v>
      </c>
      <c r="L277" t="e">
        <f>AND(#REF!,"AAAAAHN3Nws=")</f>
        <v>#REF!</v>
      </c>
      <c r="M277" t="e">
        <f>AND(#REF!,"AAAAAHN3Nww=")</f>
        <v>#REF!</v>
      </c>
      <c r="N277" t="e">
        <f>AND(#REF!,"AAAAAHN3Nw0=")</f>
        <v>#REF!</v>
      </c>
      <c r="O277" t="e">
        <f>AND(#REF!,"AAAAAHN3Nw4=")</f>
        <v>#REF!</v>
      </c>
      <c r="P277" t="e">
        <f>AND(#REF!,"AAAAAHN3Nw8=")</f>
        <v>#REF!</v>
      </c>
      <c r="Q277" t="e">
        <f>AND(#REF!,"AAAAAHN3NxA=")</f>
        <v>#REF!</v>
      </c>
      <c r="R277" t="e">
        <f>AND(#REF!,"AAAAAHN3NxE=")</f>
        <v>#REF!</v>
      </c>
      <c r="S277" t="e">
        <f>AND(#REF!,"AAAAAHN3NxI=")</f>
        <v>#REF!</v>
      </c>
      <c r="T277" t="e">
        <f>AND(#REF!,"AAAAAHN3NxM=")</f>
        <v>#REF!</v>
      </c>
      <c r="U277" t="e">
        <f>AND(#REF!,"AAAAAHN3NxQ=")</f>
        <v>#REF!</v>
      </c>
      <c r="V277" t="e">
        <f>AND(#REF!,"AAAAAHN3NxU=")</f>
        <v>#REF!</v>
      </c>
      <c r="W277" t="e">
        <f>AND(#REF!,"AAAAAHN3NxY=")</f>
        <v>#REF!</v>
      </c>
      <c r="X277" t="e">
        <f>AND(#REF!,"AAAAAHN3Nxc=")</f>
        <v>#REF!</v>
      </c>
      <c r="Y277" t="e">
        <f>AND(#REF!,"AAAAAHN3Nxg=")</f>
        <v>#REF!</v>
      </c>
      <c r="Z277" t="e">
        <f>AND(#REF!,"AAAAAHN3Nxk=")</f>
        <v>#REF!</v>
      </c>
      <c r="AA277" t="e">
        <f>AND(#REF!,"AAAAAHN3Nxo=")</f>
        <v>#REF!</v>
      </c>
      <c r="AB277" t="e">
        <f>AND(#REF!,"AAAAAHN3Nxs=")</f>
        <v>#REF!</v>
      </c>
      <c r="AC277" t="e">
        <f>AND(#REF!,"AAAAAHN3Nxw=")</f>
        <v>#REF!</v>
      </c>
      <c r="AD277" t="e">
        <f>IF(#REF!,"AAAAAHN3Nx0=",0)</f>
        <v>#REF!</v>
      </c>
      <c r="AE277" t="e">
        <f>AND(#REF!,"AAAAAHN3Nx4=")</f>
        <v>#REF!</v>
      </c>
      <c r="AF277" t="e">
        <f>AND(#REF!,"AAAAAHN3Nx8=")</f>
        <v>#REF!</v>
      </c>
      <c r="AG277" t="e">
        <f>AND(#REF!,"AAAAAHN3NyA=")</f>
        <v>#REF!</v>
      </c>
      <c r="AH277" t="e">
        <f>AND(#REF!,"AAAAAHN3NyE=")</f>
        <v>#REF!</v>
      </c>
      <c r="AI277" t="e">
        <f>AND(#REF!,"AAAAAHN3NyI=")</f>
        <v>#REF!</v>
      </c>
      <c r="AJ277" t="e">
        <f>AND(#REF!,"AAAAAHN3NyM=")</f>
        <v>#REF!</v>
      </c>
      <c r="AK277" t="e">
        <f>AND(#REF!,"AAAAAHN3NyQ=")</f>
        <v>#REF!</v>
      </c>
      <c r="AL277" t="e">
        <f>AND(#REF!,"AAAAAHN3NyU=")</f>
        <v>#REF!</v>
      </c>
      <c r="AM277" t="e">
        <f>AND(#REF!,"AAAAAHN3NyY=")</f>
        <v>#REF!</v>
      </c>
      <c r="AN277" t="e">
        <f>AND(#REF!,"AAAAAHN3Nyc=")</f>
        <v>#REF!</v>
      </c>
      <c r="AO277" t="e">
        <f>AND(#REF!,"AAAAAHN3Nyg=")</f>
        <v>#REF!</v>
      </c>
      <c r="AP277" t="e">
        <f>AND(#REF!,"AAAAAHN3Nyk=")</f>
        <v>#REF!</v>
      </c>
      <c r="AQ277" t="e">
        <f>AND(#REF!,"AAAAAHN3Nyo=")</f>
        <v>#REF!</v>
      </c>
      <c r="AR277" t="e">
        <f>AND(#REF!,"AAAAAHN3Nys=")</f>
        <v>#REF!</v>
      </c>
      <c r="AS277" t="e">
        <f>AND(#REF!,"AAAAAHN3Nyw=")</f>
        <v>#REF!</v>
      </c>
      <c r="AT277" t="e">
        <f>AND(#REF!,"AAAAAHN3Ny0=")</f>
        <v>#REF!</v>
      </c>
      <c r="AU277" t="e">
        <f>AND(#REF!,"AAAAAHN3Ny4=")</f>
        <v>#REF!</v>
      </c>
      <c r="AV277" t="e">
        <f>AND(#REF!,"AAAAAHN3Ny8=")</f>
        <v>#REF!</v>
      </c>
      <c r="AW277" t="e">
        <f>AND(#REF!,"AAAAAHN3NzA=")</f>
        <v>#REF!</v>
      </c>
      <c r="AX277" t="e">
        <f>AND(#REF!,"AAAAAHN3NzE=")</f>
        <v>#REF!</v>
      </c>
      <c r="AY277" t="e">
        <f>AND(#REF!,"AAAAAHN3NzI=")</f>
        <v>#REF!</v>
      </c>
      <c r="AZ277" t="e">
        <f>AND(#REF!,"AAAAAHN3NzM=")</f>
        <v>#REF!</v>
      </c>
      <c r="BA277" t="e">
        <f>AND(#REF!,"AAAAAHN3NzQ=")</f>
        <v>#REF!</v>
      </c>
      <c r="BB277" t="e">
        <f>AND(#REF!,"AAAAAHN3NzU=")</f>
        <v>#REF!</v>
      </c>
      <c r="BC277" t="e">
        <f>IF(#REF!,"AAAAAHN3NzY=",0)</f>
        <v>#REF!</v>
      </c>
      <c r="BD277" t="e">
        <f>AND(#REF!,"AAAAAHN3Nzc=")</f>
        <v>#REF!</v>
      </c>
      <c r="BE277" t="e">
        <f>AND(#REF!,"AAAAAHN3Nzg=")</f>
        <v>#REF!</v>
      </c>
      <c r="BF277" t="e">
        <f>AND(#REF!,"AAAAAHN3Nzk=")</f>
        <v>#REF!</v>
      </c>
      <c r="BG277" t="e">
        <f>AND(#REF!,"AAAAAHN3Nzo=")</f>
        <v>#REF!</v>
      </c>
      <c r="BH277" t="e">
        <f>AND(#REF!,"AAAAAHN3Nzs=")</f>
        <v>#REF!</v>
      </c>
      <c r="BI277" t="e">
        <f>AND(#REF!,"AAAAAHN3Nzw=")</f>
        <v>#REF!</v>
      </c>
      <c r="BJ277" t="e">
        <f>AND(#REF!,"AAAAAHN3Nz0=")</f>
        <v>#REF!</v>
      </c>
      <c r="BK277" t="e">
        <f>AND(#REF!,"AAAAAHN3Nz4=")</f>
        <v>#REF!</v>
      </c>
      <c r="BL277" t="e">
        <f>AND(#REF!,"AAAAAHN3Nz8=")</f>
        <v>#REF!</v>
      </c>
      <c r="BM277" t="e">
        <f>AND(#REF!,"AAAAAHN3N0A=")</f>
        <v>#REF!</v>
      </c>
      <c r="BN277" t="e">
        <f>AND(#REF!,"AAAAAHN3N0E=")</f>
        <v>#REF!</v>
      </c>
      <c r="BO277" t="e">
        <f>AND(#REF!,"AAAAAHN3N0I=")</f>
        <v>#REF!</v>
      </c>
      <c r="BP277" t="e">
        <f>AND(#REF!,"AAAAAHN3N0M=")</f>
        <v>#REF!</v>
      </c>
      <c r="BQ277" t="e">
        <f>AND(#REF!,"AAAAAHN3N0Q=")</f>
        <v>#REF!</v>
      </c>
      <c r="BR277" t="e">
        <f>AND(#REF!,"AAAAAHN3N0U=")</f>
        <v>#REF!</v>
      </c>
      <c r="BS277" t="e">
        <f>AND(#REF!,"AAAAAHN3N0Y=")</f>
        <v>#REF!</v>
      </c>
      <c r="BT277" t="e">
        <f>AND(#REF!,"AAAAAHN3N0c=")</f>
        <v>#REF!</v>
      </c>
      <c r="BU277" t="e">
        <f>AND(#REF!,"AAAAAHN3N0g=")</f>
        <v>#REF!</v>
      </c>
      <c r="BV277" t="e">
        <f>AND(#REF!,"AAAAAHN3N0k=")</f>
        <v>#REF!</v>
      </c>
      <c r="BW277" t="e">
        <f>AND(#REF!,"AAAAAHN3N0o=")</f>
        <v>#REF!</v>
      </c>
      <c r="BX277" t="e">
        <f>AND(#REF!,"AAAAAHN3N0s=")</f>
        <v>#REF!</v>
      </c>
      <c r="BY277" t="e">
        <f>AND(#REF!,"AAAAAHN3N0w=")</f>
        <v>#REF!</v>
      </c>
      <c r="BZ277" t="e">
        <f>AND(#REF!,"AAAAAHN3N00=")</f>
        <v>#REF!</v>
      </c>
      <c r="CA277" t="e">
        <f>AND(#REF!,"AAAAAHN3N04=")</f>
        <v>#REF!</v>
      </c>
      <c r="CB277" t="e">
        <f>IF(#REF!,"AAAAAHN3N08=",0)</f>
        <v>#REF!</v>
      </c>
      <c r="CC277" t="e">
        <f>AND(#REF!,"AAAAAHN3N1A=")</f>
        <v>#REF!</v>
      </c>
      <c r="CD277" t="e">
        <f>AND(#REF!,"AAAAAHN3N1E=")</f>
        <v>#REF!</v>
      </c>
      <c r="CE277" t="e">
        <f>AND(#REF!,"AAAAAHN3N1I=")</f>
        <v>#REF!</v>
      </c>
      <c r="CF277" t="e">
        <f>AND(#REF!,"AAAAAHN3N1M=")</f>
        <v>#REF!</v>
      </c>
      <c r="CG277" t="e">
        <f>AND(#REF!,"AAAAAHN3N1Q=")</f>
        <v>#REF!</v>
      </c>
      <c r="CH277" t="e">
        <f>AND(#REF!,"AAAAAHN3N1U=")</f>
        <v>#REF!</v>
      </c>
      <c r="CI277" t="e">
        <f>AND(#REF!,"AAAAAHN3N1Y=")</f>
        <v>#REF!</v>
      </c>
      <c r="CJ277" t="e">
        <f>AND(#REF!,"AAAAAHN3N1c=")</f>
        <v>#REF!</v>
      </c>
      <c r="CK277" t="e">
        <f>AND(#REF!,"AAAAAHN3N1g=")</f>
        <v>#REF!</v>
      </c>
      <c r="CL277" t="e">
        <f>AND(#REF!,"AAAAAHN3N1k=")</f>
        <v>#REF!</v>
      </c>
      <c r="CM277" t="e">
        <f>AND(#REF!,"AAAAAHN3N1o=")</f>
        <v>#REF!</v>
      </c>
      <c r="CN277" t="e">
        <f>AND(#REF!,"AAAAAHN3N1s=")</f>
        <v>#REF!</v>
      </c>
      <c r="CO277" t="e">
        <f>AND(#REF!,"AAAAAHN3N1w=")</f>
        <v>#REF!</v>
      </c>
      <c r="CP277" t="e">
        <f>AND(#REF!,"AAAAAHN3N10=")</f>
        <v>#REF!</v>
      </c>
      <c r="CQ277" t="e">
        <f>AND(#REF!,"AAAAAHN3N14=")</f>
        <v>#REF!</v>
      </c>
      <c r="CR277" t="e">
        <f>AND(#REF!,"AAAAAHN3N18=")</f>
        <v>#REF!</v>
      </c>
      <c r="CS277" t="e">
        <f>AND(#REF!,"AAAAAHN3N2A=")</f>
        <v>#REF!</v>
      </c>
      <c r="CT277" t="e">
        <f>AND(#REF!,"AAAAAHN3N2E=")</f>
        <v>#REF!</v>
      </c>
      <c r="CU277" t="e">
        <f>AND(#REF!,"AAAAAHN3N2I=")</f>
        <v>#REF!</v>
      </c>
      <c r="CV277" t="e">
        <f>AND(#REF!,"AAAAAHN3N2M=")</f>
        <v>#REF!</v>
      </c>
      <c r="CW277" t="e">
        <f>AND(#REF!,"AAAAAHN3N2Q=")</f>
        <v>#REF!</v>
      </c>
      <c r="CX277" t="e">
        <f>AND(#REF!,"AAAAAHN3N2U=")</f>
        <v>#REF!</v>
      </c>
      <c r="CY277" t="e">
        <f>AND(#REF!,"AAAAAHN3N2Y=")</f>
        <v>#REF!</v>
      </c>
      <c r="CZ277" t="e">
        <f>AND(#REF!,"AAAAAHN3N2c=")</f>
        <v>#REF!</v>
      </c>
      <c r="DA277" t="e">
        <f>IF(#REF!,"AAAAAHN3N2g=",0)</f>
        <v>#REF!</v>
      </c>
      <c r="DB277" t="e">
        <f>AND(#REF!,"AAAAAHN3N2k=")</f>
        <v>#REF!</v>
      </c>
      <c r="DC277" t="e">
        <f>AND(#REF!,"AAAAAHN3N2o=")</f>
        <v>#REF!</v>
      </c>
      <c r="DD277" t="e">
        <f>AND(#REF!,"AAAAAHN3N2s=")</f>
        <v>#REF!</v>
      </c>
      <c r="DE277" t="e">
        <f>AND(#REF!,"AAAAAHN3N2w=")</f>
        <v>#REF!</v>
      </c>
      <c r="DF277" t="e">
        <f>AND(#REF!,"AAAAAHN3N20=")</f>
        <v>#REF!</v>
      </c>
      <c r="DG277" t="e">
        <f>AND(#REF!,"AAAAAHN3N24=")</f>
        <v>#REF!</v>
      </c>
      <c r="DH277" t="e">
        <f>AND(#REF!,"AAAAAHN3N28=")</f>
        <v>#REF!</v>
      </c>
      <c r="DI277" t="e">
        <f>AND(#REF!,"AAAAAHN3N3A=")</f>
        <v>#REF!</v>
      </c>
      <c r="DJ277" t="e">
        <f>AND(#REF!,"AAAAAHN3N3E=")</f>
        <v>#REF!</v>
      </c>
      <c r="DK277" t="e">
        <f>AND(#REF!,"AAAAAHN3N3I=")</f>
        <v>#REF!</v>
      </c>
      <c r="DL277" t="e">
        <f>AND(#REF!,"AAAAAHN3N3M=")</f>
        <v>#REF!</v>
      </c>
      <c r="DM277" t="e">
        <f>AND(#REF!,"AAAAAHN3N3Q=")</f>
        <v>#REF!</v>
      </c>
      <c r="DN277" t="e">
        <f>AND(#REF!,"AAAAAHN3N3U=")</f>
        <v>#REF!</v>
      </c>
      <c r="DO277" t="e">
        <f>AND(#REF!,"AAAAAHN3N3Y=")</f>
        <v>#REF!</v>
      </c>
      <c r="DP277" t="e">
        <f>AND(#REF!,"AAAAAHN3N3c=")</f>
        <v>#REF!</v>
      </c>
      <c r="DQ277" t="e">
        <f>AND(#REF!,"AAAAAHN3N3g=")</f>
        <v>#REF!</v>
      </c>
      <c r="DR277" t="e">
        <f>AND(#REF!,"AAAAAHN3N3k=")</f>
        <v>#REF!</v>
      </c>
      <c r="DS277" t="e">
        <f>AND(#REF!,"AAAAAHN3N3o=")</f>
        <v>#REF!</v>
      </c>
      <c r="DT277" t="e">
        <f>AND(#REF!,"AAAAAHN3N3s=")</f>
        <v>#REF!</v>
      </c>
      <c r="DU277" t="e">
        <f>AND(#REF!,"AAAAAHN3N3w=")</f>
        <v>#REF!</v>
      </c>
      <c r="DV277" t="e">
        <f>AND(#REF!,"AAAAAHN3N30=")</f>
        <v>#REF!</v>
      </c>
      <c r="DW277" t="e">
        <f>AND(#REF!,"AAAAAHN3N34=")</f>
        <v>#REF!</v>
      </c>
      <c r="DX277" t="e">
        <f>AND(#REF!,"AAAAAHN3N38=")</f>
        <v>#REF!</v>
      </c>
      <c r="DY277" t="e">
        <f>AND(#REF!,"AAAAAHN3N4A=")</f>
        <v>#REF!</v>
      </c>
      <c r="DZ277" t="e">
        <f>IF(#REF!,"AAAAAHN3N4E=",0)</f>
        <v>#REF!</v>
      </c>
      <c r="EA277" t="e">
        <f>AND(#REF!,"AAAAAHN3N4I=")</f>
        <v>#REF!</v>
      </c>
      <c r="EB277" t="e">
        <f>AND(#REF!,"AAAAAHN3N4M=")</f>
        <v>#REF!</v>
      </c>
      <c r="EC277" t="e">
        <f>AND(#REF!,"AAAAAHN3N4Q=")</f>
        <v>#REF!</v>
      </c>
      <c r="ED277" t="e">
        <f>AND(#REF!,"AAAAAHN3N4U=")</f>
        <v>#REF!</v>
      </c>
      <c r="EE277" t="e">
        <f>AND(#REF!,"AAAAAHN3N4Y=")</f>
        <v>#REF!</v>
      </c>
      <c r="EF277" t="e">
        <f>AND(#REF!,"AAAAAHN3N4c=")</f>
        <v>#REF!</v>
      </c>
      <c r="EG277" t="e">
        <f>AND(#REF!,"AAAAAHN3N4g=")</f>
        <v>#REF!</v>
      </c>
      <c r="EH277" t="e">
        <f>AND(#REF!,"AAAAAHN3N4k=")</f>
        <v>#REF!</v>
      </c>
      <c r="EI277" t="e">
        <f>AND(#REF!,"AAAAAHN3N4o=")</f>
        <v>#REF!</v>
      </c>
      <c r="EJ277" t="e">
        <f>AND(#REF!,"AAAAAHN3N4s=")</f>
        <v>#REF!</v>
      </c>
      <c r="EK277" t="e">
        <f>AND(#REF!,"AAAAAHN3N4w=")</f>
        <v>#REF!</v>
      </c>
      <c r="EL277" t="e">
        <f>AND(#REF!,"AAAAAHN3N40=")</f>
        <v>#REF!</v>
      </c>
      <c r="EM277" t="e">
        <f>AND(#REF!,"AAAAAHN3N44=")</f>
        <v>#REF!</v>
      </c>
      <c r="EN277" t="e">
        <f>AND(#REF!,"AAAAAHN3N48=")</f>
        <v>#REF!</v>
      </c>
      <c r="EO277" t="e">
        <f>AND(#REF!,"AAAAAHN3N5A=")</f>
        <v>#REF!</v>
      </c>
      <c r="EP277" t="e">
        <f>AND(#REF!,"AAAAAHN3N5E=")</f>
        <v>#REF!</v>
      </c>
      <c r="EQ277" t="e">
        <f>AND(#REF!,"AAAAAHN3N5I=")</f>
        <v>#REF!</v>
      </c>
      <c r="ER277" t="e">
        <f>AND(#REF!,"AAAAAHN3N5M=")</f>
        <v>#REF!</v>
      </c>
      <c r="ES277" t="e">
        <f>AND(#REF!,"AAAAAHN3N5Q=")</f>
        <v>#REF!</v>
      </c>
      <c r="ET277" t="e">
        <f>AND(#REF!,"AAAAAHN3N5U=")</f>
        <v>#REF!</v>
      </c>
      <c r="EU277" t="e">
        <f>AND(#REF!,"AAAAAHN3N5Y=")</f>
        <v>#REF!</v>
      </c>
      <c r="EV277" t="e">
        <f>AND(#REF!,"AAAAAHN3N5c=")</f>
        <v>#REF!</v>
      </c>
      <c r="EW277" t="e">
        <f>AND(#REF!,"AAAAAHN3N5g=")</f>
        <v>#REF!</v>
      </c>
      <c r="EX277" t="e">
        <f>AND(#REF!,"AAAAAHN3N5k=")</f>
        <v>#REF!</v>
      </c>
      <c r="EY277" t="e">
        <f>IF(#REF!,"AAAAAHN3N5o=",0)</f>
        <v>#REF!</v>
      </c>
      <c r="EZ277" t="e">
        <f>AND(#REF!,"AAAAAHN3N5s=")</f>
        <v>#REF!</v>
      </c>
      <c r="FA277" t="e">
        <f>AND(#REF!,"AAAAAHN3N5w=")</f>
        <v>#REF!</v>
      </c>
      <c r="FB277" t="e">
        <f>AND(#REF!,"AAAAAHN3N50=")</f>
        <v>#REF!</v>
      </c>
      <c r="FC277" t="e">
        <f>AND(#REF!,"AAAAAHN3N54=")</f>
        <v>#REF!</v>
      </c>
      <c r="FD277" t="e">
        <f>AND(#REF!,"AAAAAHN3N58=")</f>
        <v>#REF!</v>
      </c>
      <c r="FE277" t="e">
        <f>AND(#REF!,"AAAAAHN3N6A=")</f>
        <v>#REF!</v>
      </c>
      <c r="FF277" t="e">
        <f>AND(#REF!,"AAAAAHN3N6E=")</f>
        <v>#REF!</v>
      </c>
      <c r="FG277" t="e">
        <f>AND(#REF!,"AAAAAHN3N6I=")</f>
        <v>#REF!</v>
      </c>
      <c r="FH277" t="e">
        <f>AND(#REF!,"AAAAAHN3N6M=")</f>
        <v>#REF!</v>
      </c>
      <c r="FI277" t="e">
        <f>AND(#REF!,"AAAAAHN3N6Q=")</f>
        <v>#REF!</v>
      </c>
      <c r="FJ277" t="e">
        <f>AND(#REF!,"AAAAAHN3N6U=")</f>
        <v>#REF!</v>
      </c>
      <c r="FK277" t="e">
        <f>AND(#REF!,"AAAAAHN3N6Y=")</f>
        <v>#REF!</v>
      </c>
      <c r="FL277" t="e">
        <f>AND(#REF!,"AAAAAHN3N6c=")</f>
        <v>#REF!</v>
      </c>
      <c r="FM277" t="e">
        <f>AND(#REF!,"AAAAAHN3N6g=")</f>
        <v>#REF!</v>
      </c>
      <c r="FN277" t="e">
        <f>AND(#REF!,"AAAAAHN3N6k=")</f>
        <v>#REF!</v>
      </c>
      <c r="FO277" t="e">
        <f>AND(#REF!,"AAAAAHN3N6o=")</f>
        <v>#REF!</v>
      </c>
      <c r="FP277" t="e">
        <f>AND(#REF!,"AAAAAHN3N6s=")</f>
        <v>#REF!</v>
      </c>
      <c r="FQ277" t="e">
        <f>AND(#REF!,"AAAAAHN3N6w=")</f>
        <v>#REF!</v>
      </c>
      <c r="FR277" t="e">
        <f>AND(#REF!,"AAAAAHN3N60=")</f>
        <v>#REF!</v>
      </c>
      <c r="FS277" t="e">
        <f>AND(#REF!,"AAAAAHN3N64=")</f>
        <v>#REF!</v>
      </c>
      <c r="FT277" t="e">
        <f>AND(#REF!,"AAAAAHN3N68=")</f>
        <v>#REF!</v>
      </c>
      <c r="FU277" t="e">
        <f>AND(#REF!,"AAAAAHN3N7A=")</f>
        <v>#REF!</v>
      </c>
      <c r="FV277" t="e">
        <f>AND(#REF!,"AAAAAHN3N7E=")</f>
        <v>#REF!</v>
      </c>
      <c r="FW277" t="e">
        <f>AND(#REF!,"AAAAAHN3N7I=")</f>
        <v>#REF!</v>
      </c>
      <c r="FX277" t="e">
        <f>IF(#REF!,"AAAAAHN3N7M=",0)</f>
        <v>#REF!</v>
      </c>
      <c r="FY277" t="e">
        <f>AND(#REF!,"AAAAAHN3N7Q=")</f>
        <v>#REF!</v>
      </c>
      <c r="FZ277" t="e">
        <f>AND(#REF!,"AAAAAHN3N7U=")</f>
        <v>#REF!</v>
      </c>
      <c r="GA277" t="e">
        <f>AND(#REF!,"AAAAAHN3N7Y=")</f>
        <v>#REF!</v>
      </c>
      <c r="GB277" t="e">
        <f>AND(#REF!,"AAAAAHN3N7c=")</f>
        <v>#REF!</v>
      </c>
      <c r="GC277" t="e">
        <f>AND(#REF!,"AAAAAHN3N7g=")</f>
        <v>#REF!</v>
      </c>
      <c r="GD277" t="e">
        <f>AND(#REF!,"AAAAAHN3N7k=")</f>
        <v>#REF!</v>
      </c>
      <c r="GE277" t="e">
        <f>AND(#REF!,"AAAAAHN3N7o=")</f>
        <v>#REF!</v>
      </c>
      <c r="GF277" t="e">
        <f>AND(#REF!,"AAAAAHN3N7s=")</f>
        <v>#REF!</v>
      </c>
      <c r="GG277" t="e">
        <f>AND(#REF!,"AAAAAHN3N7w=")</f>
        <v>#REF!</v>
      </c>
      <c r="GH277" t="e">
        <f>AND(#REF!,"AAAAAHN3N70=")</f>
        <v>#REF!</v>
      </c>
      <c r="GI277" t="e">
        <f>AND(#REF!,"AAAAAHN3N74=")</f>
        <v>#REF!</v>
      </c>
      <c r="GJ277" t="e">
        <f>AND(#REF!,"AAAAAHN3N78=")</f>
        <v>#REF!</v>
      </c>
      <c r="GK277" t="e">
        <f>AND(#REF!,"AAAAAHN3N8A=")</f>
        <v>#REF!</v>
      </c>
      <c r="GL277" t="e">
        <f>AND(#REF!,"AAAAAHN3N8E=")</f>
        <v>#REF!</v>
      </c>
      <c r="GM277" t="e">
        <f>AND(#REF!,"AAAAAHN3N8I=")</f>
        <v>#REF!</v>
      </c>
      <c r="GN277" t="e">
        <f>AND(#REF!,"AAAAAHN3N8M=")</f>
        <v>#REF!</v>
      </c>
      <c r="GO277" t="e">
        <f>AND(#REF!,"AAAAAHN3N8Q=")</f>
        <v>#REF!</v>
      </c>
      <c r="GP277" t="e">
        <f>AND(#REF!,"AAAAAHN3N8U=")</f>
        <v>#REF!</v>
      </c>
      <c r="GQ277" t="e">
        <f>AND(#REF!,"AAAAAHN3N8Y=")</f>
        <v>#REF!</v>
      </c>
      <c r="GR277" t="e">
        <f>AND(#REF!,"AAAAAHN3N8c=")</f>
        <v>#REF!</v>
      </c>
      <c r="GS277" t="e">
        <f>AND(#REF!,"AAAAAHN3N8g=")</f>
        <v>#REF!</v>
      </c>
      <c r="GT277" t="e">
        <f>AND(#REF!,"AAAAAHN3N8k=")</f>
        <v>#REF!</v>
      </c>
      <c r="GU277" t="e">
        <f>AND(#REF!,"AAAAAHN3N8o=")</f>
        <v>#REF!</v>
      </c>
      <c r="GV277" t="e">
        <f>AND(#REF!,"AAAAAHN3N8s=")</f>
        <v>#REF!</v>
      </c>
      <c r="GW277" t="e">
        <f>IF(#REF!,"AAAAAHN3N8w=",0)</f>
        <v>#REF!</v>
      </c>
      <c r="GX277" t="e">
        <f>AND(#REF!,"AAAAAHN3N80=")</f>
        <v>#REF!</v>
      </c>
      <c r="GY277" t="e">
        <f>AND(#REF!,"AAAAAHN3N84=")</f>
        <v>#REF!</v>
      </c>
      <c r="GZ277" t="e">
        <f>AND(#REF!,"AAAAAHN3N88=")</f>
        <v>#REF!</v>
      </c>
      <c r="HA277" t="e">
        <f>AND(#REF!,"AAAAAHN3N9A=")</f>
        <v>#REF!</v>
      </c>
      <c r="HB277" t="e">
        <f>AND(#REF!,"AAAAAHN3N9E=")</f>
        <v>#REF!</v>
      </c>
      <c r="HC277" t="e">
        <f>AND(#REF!,"AAAAAHN3N9I=")</f>
        <v>#REF!</v>
      </c>
      <c r="HD277" t="e">
        <f>AND(#REF!,"AAAAAHN3N9M=")</f>
        <v>#REF!</v>
      </c>
      <c r="HE277" t="e">
        <f>AND(#REF!,"AAAAAHN3N9Q=")</f>
        <v>#REF!</v>
      </c>
      <c r="HF277" t="e">
        <f>AND(#REF!,"AAAAAHN3N9U=")</f>
        <v>#REF!</v>
      </c>
      <c r="HG277" t="e">
        <f>AND(#REF!,"AAAAAHN3N9Y=")</f>
        <v>#REF!</v>
      </c>
      <c r="HH277" t="e">
        <f>AND(#REF!,"AAAAAHN3N9c=")</f>
        <v>#REF!</v>
      </c>
      <c r="HI277" t="e">
        <f>AND(#REF!,"AAAAAHN3N9g=")</f>
        <v>#REF!</v>
      </c>
      <c r="HJ277" t="e">
        <f>AND(#REF!,"AAAAAHN3N9k=")</f>
        <v>#REF!</v>
      </c>
      <c r="HK277" t="e">
        <f>AND(#REF!,"AAAAAHN3N9o=")</f>
        <v>#REF!</v>
      </c>
      <c r="HL277" t="e">
        <f>AND(#REF!,"AAAAAHN3N9s=")</f>
        <v>#REF!</v>
      </c>
      <c r="HM277" t="e">
        <f>AND(#REF!,"AAAAAHN3N9w=")</f>
        <v>#REF!</v>
      </c>
      <c r="HN277" t="e">
        <f>AND(#REF!,"AAAAAHN3N90=")</f>
        <v>#REF!</v>
      </c>
      <c r="HO277" t="e">
        <f>AND(#REF!,"AAAAAHN3N94=")</f>
        <v>#REF!</v>
      </c>
      <c r="HP277" t="e">
        <f>AND(#REF!,"AAAAAHN3N98=")</f>
        <v>#REF!</v>
      </c>
      <c r="HQ277" t="e">
        <f>AND(#REF!,"AAAAAHN3N+A=")</f>
        <v>#REF!</v>
      </c>
      <c r="HR277" t="e">
        <f>AND(#REF!,"AAAAAHN3N+E=")</f>
        <v>#REF!</v>
      </c>
      <c r="HS277" t="e">
        <f>AND(#REF!,"AAAAAHN3N+I=")</f>
        <v>#REF!</v>
      </c>
      <c r="HT277" t="e">
        <f>AND(#REF!,"AAAAAHN3N+M=")</f>
        <v>#REF!</v>
      </c>
      <c r="HU277" t="e">
        <f>AND(#REF!,"AAAAAHN3N+Q=")</f>
        <v>#REF!</v>
      </c>
      <c r="HV277" t="e">
        <f>IF(#REF!,"AAAAAHN3N+U=",0)</f>
        <v>#REF!</v>
      </c>
      <c r="HW277" t="e">
        <f>AND(#REF!,"AAAAAHN3N+Y=")</f>
        <v>#REF!</v>
      </c>
      <c r="HX277" t="e">
        <f>AND(#REF!,"AAAAAHN3N+c=")</f>
        <v>#REF!</v>
      </c>
      <c r="HY277" t="e">
        <f>AND(#REF!,"AAAAAHN3N+g=")</f>
        <v>#REF!</v>
      </c>
      <c r="HZ277" t="e">
        <f>AND(#REF!,"AAAAAHN3N+k=")</f>
        <v>#REF!</v>
      </c>
      <c r="IA277" t="e">
        <f>AND(#REF!,"AAAAAHN3N+o=")</f>
        <v>#REF!</v>
      </c>
      <c r="IB277" t="e">
        <f>AND(#REF!,"AAAAAHN3N+s=")</f>
        <v>#REF!</v>
      </c>
      <c r="IC277" t="e">
        <f>AND(#REF!,"AAAAAHN3N+w=")</f>
        <v>#REF!</v>
      </c>
      <c r="ID277" t="e">
        <f>AND(#REF!,"AAAAAHN3N+0=")</f>
        <v>#REF!</v>
      </c>
      <c r="IE277" t="e">
        <f>AND(#REF!,"AAAAAHN3N+4=")</f>
        <v>#REF!</v>
      </c>
      <c r="IF277" t="e">
        <f>AND(#REF!,"AAAAAHN3N+8=")</f>
        <v>#REF!</v>
      </c>
      <c r="IG277" t="e">
        <f>AND(#REF!,"AAAAAHN3N/A=")</f>
        <v>#REF!</v>
      </c>
      <c r="IH277" t="e">
        <f>AND(#REF!,"AAAAAHN3N/E=")</f>
        <v>#REF!</v>
      </c>
      <c r="II277" t="e">
        <f>AND(#REF!,"AAAAAHN3N/I=")</f>
        <v>#REF!</v>
      </c>
      <c r="IJ277" t="e">
        <f>AND(#REF!,"AAAAAHN3N/M=")</f>
        <v>#REF!</v>
      </c>
      <c r="IK277" t="e">
        <f>AND(#REF!,"AAAAAHN3N/Q=")</f>
        <v>#REF!</v>
      </c>
      <c r="IL277" t="e">
        <f>AND(#REF!,"AAAAAHN3N/U=")</f>
        <v>#REF!</v>
      </c>
      <c r="IM277" t="e">
        <f>AND(#REF!,"AAAAAHN3N/Y=")</f>
        <v>#REF!</v>
      </c>
      <c r="IN277" t="e">
        <f>AND(#REF!,"AAAAAHN3N/c=")</f>
        <v>#REF!</v>
      </c>
      <c r="IO277" t="e">
        <f>AND(#REF!,"AAAAAHN3N/g=")</f>
        <v>#REF!</v>
      </c>
      <c r="IP277" t="e">
        <f>AND(#REF!,"AAAAAHN3N/k=")</f>
        <v>#REF!</v>
      </c>
      <c r="IQ277" t="e">
        <f>AND(#REF!,"AAAAAHN3N/o=")</f>
        <v>#REF!</v>
      </c>
      <c r="IR277" t="e">
        <f>AND(#REF!,"AAAAAHN3N/s=")</f>
        <v>#REF!</v>
      </c>
      <c r="IS277" t="e">
        <f>AND(#REF!,"AAAAAHN3N/w=")</f>
        <v>#REF!</v>
      </c>
      <c r="IT277" t="e">
        <f>AND(#REF!,"AAAAAHN3N/0=")</f>
        <v>#REF!</v>
      </c>
      <c r="IU277" t="e">
        <f>IF(#REF!,"AAAAAHN3N/4=",0)</f>
        <v>#REF!</v>
      </c>
      <c r="IV277" t="e">
        <f>AND(#REF!,"AAAAAHN3N/8=")</f>
        <v>#REF!</v>
      </c>
    </row>
    <row r="278" spans="1:256">
      <c r="A278" t="e">
        <f>AND(#REF!,"AAAAAHfv/wA=")</f>
        <v>#REF!</v>
      </c>
      <c r="B278" t="e">
        <f>AND(#REF!,"AAAAAHfv/wE=")</f>
        <v>#REF!</v>
      </c>
      <c r="C278" t="e">
        <f>AND(#REF!,"AAAAAHfv/wI=")</f>
        <v>#REF!</v>
      </c>
      <c r="D278" t="e">
        <f>AND(#REF!,"AAAAAHfv/wM=")</f>
        <v>#REF!</v>
      </c>
      <c r="E278" t="e">
        <f>AND(#REF!,"AAAAAHfv/wQ=")</f>
        <v>#REF!</v>
      </c>
      <c r="F278" t="e">
        <f>AND(#REF!,"AAAAAHfv/wU=")</f>
        <v>#REF!</v>
      </c>
      <c r="G278" t="e">
        <f>AND(#REF!,"AAAAAHfv/wY=")</f>
        <v>#REF!</v>
      </c>
      <c r="H278" t="e">
        <f>AND(#REF!,"AAAAAHfv/wc=")</f>
        <v>#REF!</v>
      </c>
      <c r="I278" t="e">
        <f>AND(#REF!,"AAAAAHfv/wg=")</f>
        <v>#REF!</v>
      </c>
      <c r="J278" t="e">
        <f>AND(#REF!,"AAAAAHfv/wk=")</f>
        <v>#REF!</v>
      </c>
      <c r="K278" t="e">
        <f>AND(#REF!,"AAAAAHfv/wo=")</f>
        <v>#REF!</v>
      </c>
      <c r="L278" t="e">
        <f>AND(#REF!,"AAAAAHfv/ws=")</f>
        <v>#REF!</v>
      </c>
      <c r="M278" t="e">
        <f>AND(#REF!,"AAAAAHfv/ww=")</f>
        <v>#REF!</v>
      </c>
      <c r="N278" t="e">
        <f>AND(#REF!,"AAAAAHfv/w0=")</f>
        <v>#REF!</v>
      </c>
      <c r="O278" t="e">
        <f>AND(#REF!,"AAAAAHfv/w4=")</f>
        <v>#REF!</v>
      </c>
      <c r="P278" t="e">
        <f>AND(#REF!,"AAAAAHfv/w8=")</f>
        <v>#REF!</v>
      </c>
      <c r="Q278" t="e">
        <f>AND(#REF!,"AAAAAHfv/xA=")</f>
        <v>#REF!</v>
      </c>
      <c r="R278" t="e">
        <f>AND(#REF!,"AAAAAHfv/xE=")</f>
        <v>#REF!</v>
      </c>
      <c r="S278" t="e">
        <f>AND(#REF!,"AAAAAHfv/xI=")</f>
        <v>#REF!</v>
      </c>
      <c r="T278" t="e">
        <f>AND(#REF!,"AAAAAHfv/xM=")</f>
        <v>#REF!</v>
      </c>
      <c r="U278" t="e">
        <f>AND(#REF!,"AAAAAHfv/xQ=")</f>
        <v>#REF!</v>
      </c>
      <c r="V278" t="e">
        <f>AND(#REF!,"AAAAAHfv/xU=")</f>
        <v>#REF!</v>
      </c>
      <c r="W278" t="e">
        <f>AND(#REF!,"AAAAAHfv/xY=")</f>
        <v>#REF!</v>
      </c>
      <c r="X278" t="e">
        <f>IF(#REF!,"AAAAAHfv/xc=",0)</f>
        <v>#REF!</v>
      </c>
      <c r="Y278" t="e">
        <f>AND(#REF!,"AAAAAHfv/xg=")</f>
        <v>#REF!</v>
      </c>
      <c r="Z278" t="e">
        <f>AND(#REF!,"AAAAAHfv/xk=")</f>
        <v>#REF!</v>
      </c>
      <c r="AA278" t="e">
        <f>AND(#REF!,"AAAAAHfv/xo=")</f>
        <v>#REF!</v>
      </c>
      <c r="AB278" t="e">
        <f>AND(#REF!,"AAAAAHfv/xs=")</f>
        <v>#REF!</v>
      </c>
      <c r="AC278" t="e">
        <f>AND(#REF!,"AAAAAHfv/xw=")</f>
        <v>#REF!</v>
      </c>
      <c r="AD278" t="e">
        <f>AND(#REF!,"AAAAAHfv/x0=")</f>
        <v>#REF!</v>
      </c>
      <c r="AE278" t="e">
        <f>AND(#REF!,"AAAAAHfv/x4=")</f>
        <v>#REF!</v>
      </c>
      <c r="AF278" t="e">
        <f>AND(#REF!,"AAAAAHfv/x8=")</f>
        <v>#REF!</v>
      </c>
      <c r="AG278" t="e">
        <f>AND(#REF!,"AAAAAHfv/yA=")</f>
        <v>#REF!</v>
      </c>
      <c r="AH278" t="e">
        <f>AND(#REF!,"AAAAAHfv/yE=")</f>
        <v>#REF!</v>
      </c>
      <c r="AI278" t="e">
        <f>AND(#REF!,"AAAAAHfv/yI=")</f>
        <v>#REF!</v>
      </c>
      <c r="AJ278" t="e">
        <f>AND(#REF!,"AAAAAHfv/yM=")</f>
        <v>#REF!</v>
      </c>
      <c r="AK278" t="e">
        <f>AND(#REF!,"AAAAAHfv/yQ=")</f>
        <v>#REF!</v>
      </c>
      <c r="AL278" t="e">
        <f>AND(#REF!,"AAAAAHfv/yU=")</f>
        <v>#REF!</v>
      </c>
      <c r="AM278" t="e">
        <f>AND(#REF!,"AAAAAHfv/yY=")</f>
        <v>#REF!</v>
      </c>
      <c r="AN278" t="e">
        <f>AND(#REF!,"AAAAAHfv/yc=")</f>
        <v>#REF!</v>
      </c>
      <c r="AO278" t="e">
        <f>AND(#REF!,"AAAAAHfv/yg=")</f>
        <v>#REF!</v>
      </c>
      <c r="AP278" t="e">
        <f>AND(#REF!,"AAAAAHfv/yk=")</f>
        <v>#REF!</v>
      </c>
      <c r="AQ278" t="e">
        <f>AND(#REF!,"AAAAAHfv/yo=")</f>
        <v>#REF!</v>
      </c>
      <c r="AR278" t="e">
        <f>AND(#REF!,"AAAAAHfv/ys=")</f>
        <v>#REF!</v>
      </c>
      <c r="AS278" t="e">
        <f>AND(#REF!,"AAAAAHfv/yw=")</f>
        <v>#REF!</v>
      </c>
      <c r="AT278" t="e">
        <f>AND(#REF!,"AAAAAHfv/y0=")</f>
        <v>#REF!</v>
      </c>
      <c r="AU278" t="e">
        <f>AND(#REF!,"AAAAAHfv/y4=")</f>
        <v>#REF!</v>
      </c>
      <c r="AV278" t="e">
        <f>AND(#REF!,"AAAAAHfv/y8=")</f>
        <v>#REF!</v>
      </c>
      <c r="AW278" t="e">
        <f>IF(#REF!,"AAAAAHfv/zA=",0)</f>
        <v>#REF!</v>
      </c>
      <c r="AX278" t="e">
        <f>AND(#REF!,"AAAAAHfv/zE=")</f>
        <v>#REF!</v>
      </c>
      <c r="AY278" t="e">
        <f>AND(#REF!,"AAAAAHfv/zI=")</f>
        <v>#REF!</v>
      </c>
      <c r="AZ278" t="e">
        <f>AND(#REF!,"AAAAAHfv/zM=")</f>
        <v>#REF!</v>
      </c>
      <c r="BA278" t="e">
        <f>AND(#REF!,"AAAAAHfv/zQ=")</f>
        <v>#REF!</v>
      </c>
      <c r="BB278" t="e">
        <f>AND(#REF!,"AAAAAHfv/zU=")</f>
        <v>#REF!</v>
      </c>
      <c r="BC278" t="e">
        <f>AND(#REF!,"AAAAAHfv/zY=")</f>
        <v>#REF!</v>
      </c>
      <c r="BD278" t="e">
        <f>AND(#REF!,"AAAAAHfv/zc=")</f>
        <v>#REF!</v>
      </c>
      <c r="BE278" t="e">
        <f>AND(#REF!,"AAAAAHfv/zg=")</f>
        <v>#REF!</v>
      </c>
      <c r="BF278" t="e">
        <f>AND(#REF!,"AAAAAHfv/zk=")</f>
        <v>#REF!</v>
      </c>
      <c r="BG278" t="e">
        <f>AND(#REF!,"AAAAAHfv/zo=")</f>
        <v>#REF!</v>
      </c>
      <c r="BH278" t="e">
        <f>AND(#REF!,"AAAAAHfv/zs=")</f>
        <v>#REF!</v>
      </c>
      <c r="BI278" t="e">
        <f>AND(#REF!,"AAAAAHfv/zw=")</f>
        <v>#REF!</v>
      </c>
      <c r="BJ278" t="e">
        <f>AND(#REF!,"AAAAAHfv/z0=")</f>
        <v>#REF!</v>
      </c>
      <c r="BK278" t="e">
        <f>AND(#REF!,"AAAAAHfv/z4=")</f>
        <v>#REF!</v>
      </c>
      <c r="BL278" t="e">
        <f>AND(#REF!,"AAAAAHfv/z8=")</f>
        <v>#REF!</v>
      </c>
      <c r="BM278" t="e">
        <f>AND(#REF!,"AAAAAHfv/0A=")</f>
        <v>#REF!</v>
      </c>
      <c r="BN278" t="e">
        <f>AND(#REF!,"AAAAAHfv/0E=")</f>
        <v>#REF!</v>
      </c>
      <c r="BO278" t="e">
        <f>AND(#REF!,"AAAAAHfv/0I=")</f>
        <v>#REF!</v>
      </c>
      <c r="BP278" t="e">
        <f>AND(#REF!,"AAAAAHfv/0M=")</f>
        <v>#REF!</v>
      </c>
      <c r="BQ278" t="e">
        <f>AND(#REF!,"AAAAAHfv/0Q=")</f>
        <v>#REF!</v>
      </c>
      <c r="BR278" t="e">
        <f>AND(#REF!,"AAAAAHfv/0U=")</f>
        <v>#REF!</v>
      </c>
      <c r="BS278" t="e">
        <f>AND(#REF!,"AAAAAHfv/0Y=")</f>
        <v>#REF!</v>
      </c>
      <c r="BT278" t="e">
        <f>AND(#REF!,"AAAAAHfv/0c=")</f>
        <v>#REF!</v>
      </c>
      <c r="BU278" t="e">
        <f>AND(#REF!,"AAAAAHfv/0g=")</f>
        <v>#REF!</v>
      </c>
      <c r="BV278" t="e">
        <f>IF(#REF!,"AAAAAHfv/0k=",0)</f>
        <v>#REF!</v>
      </c>
      <c r="BW278" t="e">
        <f>AND(#REF!,"AAAAAHfv/0o=")</f>
        <v>#REF!</v>
      </c>
      <c r="BX278" t="e">
        <f>AND(#REF!,"AAAAAHfv/0s=")</f>
        <v>#REF!</v>
      </c>
      <c r="BY278" t="e">
        <f>AND(#REF!,"AAAAAHfv/0w=")</f>
        <v>#REF!</v>
      </c>
      <c r="BZ278" t="e">
        <f>AND(#REF!,"AAAAAHfv/00=")</f>
        <v>#REF!</v>
      </c>
      <c r="CA278" t="e">
        <f>AND(#REF!,"AAAAAHfv/04=")</f>
        <v>#REF!</v>
      </c>
      <c r="CB278" t="e">
        <f>AND(#REF!,"AAAAAHfv/08=")</f>
        <v>#REF!</v>
      </c>
      <c r="CC278" t="e">
        <f>AND(#REF!,"AAAAAHfv/1A=")</f>
        <v>#REF!</v>
      </c>
      <c r="CD278" t="e">
        <f>AND(#REF!,"AAAAAHfv/1E=")</f>
        <v>#REF!</v>
      </c>
      <c r="CE278" t="e">
        <f>AND(#REF!,"AAAAAHfv/1I=")</f>
        <v>#REF!</v>
      </c>
      <c r="CF278" t="e">
        <f>AND(#REF!,"AAAAAHfv/1M=")</f>
        <v>#REF!</v>
      </c>
      <c r="CG278" t="e">
        <f>AND(#REF!,"AAAAAHfv/1Q=")</f>
        <v>#REF!</v>
      </c>
      <c r="CH278" t="e">
        <f>AND(#REF!,"AAAAAHfv/1U=")</f>
        <v>#REF!</v>
      </c>
      <c r="CI278" t="e">
        <f>AND(#REF!,"AAAAAHfv/1Y=")</f>
        <v>#REF!</v>
      </c>
      <c r="CJ278" t="e">
        <f>AND(#REF!,"AAAAAHfv/1c=")</f>
        <v>#REF!</v>
      </c>
      <c r="CK278" t="e">
        <f>AND(#REF!,"AAAAAHfv/1g=")</f>
        <v>#REF!</v>
      </c>
      <c r="CL278" t="e">
        <f>AND(#REF!,"AAAAAHfv/1k=")</f>
        <v>#REF!</v>
      </c>
      <c r="CM278" t="e">
        <f>AND(#REF!,"AAAAAHfv/1o=")</f>
        <v>#REF!</v>
      </c>
      <c r="CN278" t="e">
        <f>AND(#REF!,"AAAAAHfv/1s=")</f>
        <v>#REF!</v>
      </c>
      <c r="CO278" t="e">
        <f>AND(#REF!,"AAAAAHfv/1w=")</f>
        <v>#REF!</v>
      </c>
      <c r="CP278" t="e">
        <f>AND(#REF!,"AAAAAHfv/10=")</f>
        <v>#REF!</v>
      </c>
      <c r="CQ278" t="e">
        <f>AND(#REF!,"AAAAAHfv/14=")</f>
        <v>#REF!</v>
      </c>
      <c r="CR278" t="e">
        <f>AND(#REF!,"AAAAAHfv/18=")</f>
        <v>#REF!</v>
      </c>
      <c r="CS278" t="e">
        <f>AND(#REF!,"AAAAAHfv/2A=")</f>
        <v>#REF!</v>
      </c>
      <c r="CT278" t="e">
        <f>AND(#REF!,"AAAAAHfv/2E=")</f>
        <v>#REF!</v>
      </c>
      <c r="CU278" t="e">
        <f>IF(#REF!,"AAAAAHfv/2I=",0)</f>
        <v>#REF!</v>
      </c>
      <c r="CV278" t="e">
        <f>AND(#REF!,"AAAAAHfv/2M=")</f>
        <v>#REF!</v>
      </c>
      <c r="CW278" t="e">
        <f>AND(#REF!,"AAAAAHfv/2Q=")</f>
        <v>#REF!</v>
      </c>
      <c r="CX278" t="e">
        <f>AND(#REF!,"AAAAAHfv/2U=")</f>
        <v>#REF!</v>
      </c>
      <c r="CY278" t="e">
        <f>AND(#REF!,"AAAAAHfv/2Y=")</f>
        <v>#REF!</v>
      </c>
      <c r="CZ278" t="e">
        <f>AND(#REF!,"AAAAAHfv/2c=")</f>
        <v>#REF!</v>
      </c>
      <c r="DA278" t="e">
        <f>AND(#REF!,"AAAAAHfv/2g=")</f>
        <v>#REF!</v>
      </c>
      <c r="DB278" t="e">
        <f>AND(#REF!,"AAAAAHfv/2k=")</f>
        <v>#REF!</v>
      </c>
      <c r="DC278" t="e">
        <f>AND(#REF!,"AAAAAHfv/2o=")</f>
        <v>#REF!</v>
      </c>
      <c r="DD278" t="e">
        <f>AND(#REF!,"AAAAAHfv/2s=")</f>
        <v>#REF!</v>
      </c>
      <c r="DE278" t="e">
        <f>AND(#REF!,"AAAAAHfv/2w=")</f>
        <v>#REF!</v>
      </c>
      <c r="DF278" t="e">
        <f>AND(#REF!,"AAAAAHfv/20=")</f>
        <v>#REF!</v>
      </c>
      <c r="DG278" t="e">
        <f>AND(#REF!,"AAAAAHfv/24=")</f>
        <v>#REF!</v>
      </c>
      <c r="DH278" t="e">
        <f>AND(#REF!,"AAAAAHfv/28=")</f>
        <v>#REF!</v>
      </c>
      <c r="DI278" t="e">
        <f>AND(#REF!,"AAAAAHfv/3A=")</f>
        <v>#REF!</v>
      </c>
      <c r="DJ278" t="e">
        <f>AND(#REF!,"AAAAAHfv/3E=")</f>
        <v>#REF!</v>
      </c>
      <c r="DK278" t="e">
        <f>AND(#REF!,"AAAAAHfv/3I=")</f>
        <v>#REF!</v>
      </c>
      <c r="DL278" t="e">
        <f>AND(#REF!,"AAAAAHfv/3M=")</f>
        <v>#REF!</v>
      </c>
      <c r="DM278" t="e">
        <f>AND(#REF!,"AAAAAHfv/3Q=")</f>
        <v>#REF!</v>
      </c>
      <c r="DN278" t="e">
        <f>AND(#REF!,"AAAAAHfv/3U=")</f>
        <v>#REF!</v>
      </c>
      <c r="DO278" t="e">
        <f>AND(#REF!,"AAAAAHfv/3Y=")</f>
        <v>#REF!</v>
      </c>
      <c r="DP278" t="e">
        <f>AND(#REF!,"AAAAAHfv/3c=")</f>
        <v>#REF!</v>
      </c>
      <c r="DQ278" t="e">
        <f>AND(#REF!,"AAAAAHfv/3g=")</f>
        <v>#REF!</v>
      </c>
      <c r="DR278" t="e">
        <f>AND(#REF!,"AAAAAHfv/3k=")</f>
        <v>#REF!</v>
      </c>
      <c r="DS278" t="e">
        <f>AND(#REF!,"AAAAAHfv/3o=")</f>
        <v>#REF!</v>
      </c>
      <c r="DT278" t="e">
        <f>IF(#REF!,"AAAAAHfv/3s=",0)</f>
        <v>#REF!</v>
      </c>
      <c r="DU278" t="e">
        <f>AND(#REF!,"AAAAAHfv/3w=")</f>
        <v>#REF!</v>
      </c>
      <c r="DV278" t="e">
        <f>AND(#REF!,"AAAAAHfv/30=")</f>
        <v>#REF!</v>
      </c>
      <c r="DW278" t="e">
        <f>AND(#REF!,"AAAAAHfv/34=")</f>
        <v>#REF!</v>
      </c>
      <c r="DX278" t="e">
        <f>AND(#REF!,"AAAAAHfv/38=")</f>
        <v>#REF!</v>
      </c>
      <c r="DY278" t="e">
        <f>AND(#REF!,"AAAAAHfv/4A=")</f>
        <v>#REF!</v>
      </c>
      <c r="DZ278" t="e">
        <f>AND(#REF!,"AAAAAHfv/4E=")</f>
        <v>#REF!</v>
      </c>
      <c r="EA278" t="e">
        <f>AND(#REF!,"AAAAAHfv/4I=")</f>
        <v>#REF!</v>
      </c>
      <c r="EB278" t="e">
        <f>AND(#REF!,"AAAAAHfv/4M=")</f>
        <v>#REF!</v>
      </c>
      <c r="EC278" t="e">
        <f>AND(#REF!,"AAAAAHfv/4Q=")</f>
        <v>#REF!</v>
      </c>
      <c r="ED278" t="e">
        <f>AND(#REF!,"AAAAAHfv/4U=")</f>
        <v>#REF!</v>
      </c>
      <c r="EE278" t="e">
        <f>AND(#REF!,"AAAAAHfv/4Y=")</f>
        <v>#REF!</v>
      </c>
      <c r="EF278" t="e">
        <f>AND(#REF!,"AAAAAHfv/4c=")</f>
        <v>#REF!</v>
      </c>
      <c r="EG278" t="e">
        <f>AND(#REF!,"AAAAAHfv/4g=")</f>
        <v>#REF!</v>
      </c>
      <c r="EH278" t="e">
        <f>AND(#REF!,"AAAAAHfv/4k=")</f>
        <v>#REF!</v>
      </c>
      <c r="EI278" t="e">
        <f>AND(#REF!,"AAAAAHfv/4o=")</f>
        <v>#REF!</v>
      </c>
      <c r="EJ278" t="e">
        <f>AND(#REF!,"AAAAAHfv/4s=")</f>
        <v>#REF!</v>
      </c>
      <c r="EK278" t="e">
        <f>AND(#REF!,"AAAAAHfv/4w=")</f>
        <v>#REF!</v>
      </c>
      <c r="EL278" t="e">
        <f>AND(#REF!,"AAAAAHfv/40=")</f>
        <v>#REF!</v>
      </c>
      <c r="EM278" t="e">
        <f>AND(#REF!,"AAAAAHfv/44=")</f>
        <v>#REF!</v>
      </c>
      <c r="EN278" t="e">
        <f>AND(#REF!,"AAAAAHfv/48=")</f>
        <v>#REF!</v>
      </c>
      <c r="EO278" t="e">
        <f>AND(#REF!,"AAAAAHfv/5A=")</f>
        <v>#REF!</v>
      </c>
      <c r="EP278" t="e">
        <f>AND(#REF!,"AAAAAHfv/5E=")</f>
        <v>#REF!</v>
      </c>
      <c r="EQ278" t="e">
        <f>AND(#REF!,"AAAAAHfv/5I=")</f>
        <v>#REF!</v>
      </c>
      <c r="ER278" t="e">
        <f>AND(#REF!,"AAAAAHfv/5M=")</f>
        <v>#REF!</v>
      </c>
      <c r="ES278" t="e">
        <f>IF(#REF!,"AAAAAHfv/5Q=",0)</f>
        <v>#REF!</v>
      </c>
      <c r="ET278" t="e">
        <f>AND(#REF!,"AAAAAHfv/5U=")</f>
        <v>#REF!</v>
      </c>
      <c r="EU278" t="e">
        <f>AND(#REF!,"AAAAAHfv/5Y=")</f>
        <v>#REF!</v>
      </c>
      <c r="EV278" t="e">
        <f>AND(#REF!,"AAAAAHfv/5c=")</f>
        <v>#REF!</v>
      </c>
      <c r="EW278" t="e">
        <f>AND(#REF!,"AAAAAHfv/5g=")</f>
        <v>#REF!</v>
      </c>
      <c r="EX278" t="e">
        <f>AND(#REF!,"AAAAAHfv/5k=")</f>
        <v>#REF!</v>
      </c>
      <c r="EY278" t="e">
        <f>AND(#REF!,"AAAAAHfv/5o=")</f>
        <v>#REF!</v>
      </c>
      <c r="EZ278" t="e">
        <f>AND(#REF!,"AAAAAHfv/5s=")</f>
        <v>#REF!</v>
      </c>
      <c r="FA278" t="e">
        <f>AND(#REF!,"AAAAAHfv/5w=")</f>
        <v>#REF!</v>
      </c>
      <c r="FB278" t="e">
        <f>AND(#REF!,"AAAAAHfv/50=")</f>
        <v>#REF!</v>
      </c>
      <c r="FC278" t="e">
        <f>AND(#REF!,"AAAAAHfv/54=")</f>
        <v>#REF!</v>
      </c>
      <c r="FD278" t="e">
        <f>AND(#REF!,"AAAAAHfv/58=")</f>
        <v>#REF!</v>
      </c>
      <c r="FE278" t="e">
        <f>AND(#REF!,"AAAAAHfv/6A=")</f>
        <v>#REF!</v>
      </c>
      <c r="FF278" t="e">
        <f>AND(#REF!,"AAAAAHfv/6E=")</f>
        <v>#REF!</v>
      </c>
      <c r="FG278" t="e">
        <f>AND(#REF!,"AAAAAHfv/6I=")</f>
        <v>#REF!</v>
      </c>
      <c r="FH278" t="e">
        <f>AND(#REF!,"AAAAAHfv/6M=")</f>
        <v>#REF!</v>
      </c>
      <c r="FI278" t="e">
        <f>AND(#REF!,"AAAAAHfv/6Q=")</f>
        <v>#REF!</v>
      </c>
      <c r="FJ278" t="e">
        <f>AND(#REF!,"AAAAAHfv/6U=")</f>
        <v>#REF!</v>
      </c>
      <c r="FK278" t="e">
        <f>AND(#REF!,"AAAAAHfv/6Y=")</f>
        <v>#REF!</v>
      </c>
      <c r="FL278" t="e">
        <f>AND(#REF!,"AAAAAHfv/6c=")</f>
        <v>#REF!</v>
      </c>
      <c r="FM278" t="e">
        <f>AND(#REF!,"AAAAAHfv/6g=")</f>
        <v>#REF!</v>
      </c>
      <c r="FN278" t="e">
        <f>AND(#REF!,"AAAAAHfv/6k=")</f>
        <v>#REF!</v>
      </c>
      <c r="FO278" t="e">
        <f>AND(#REF!,"AAAAAHfv/6o=")</f>
        <v>#REF!</v>
      </c>
      <c r="FP278" t="e">
        <f>AND(#REF!,"AAAAAHfv/6s=")</f>
        <v>#REF!</v>
      </c>
      <c r="FQ278" t="e">
        <f>AND(#REF!,"AAAAAHfv/6w=")</f>
        <v>#REF!</v>
      </c>
      <c r="FR278" t="e">
        <f>IF(#REF!,"AAAAAHfv/60=",0)</f>
        <v>#REF!</v>
      </c>
      <c r="FS278" t="e">
        <f>AND(#REF!,"AAAAAHfv/64=")</f>
        <v>#REF!</v>
      </c>
      <c r="FT278" t="e">
        <f>AND(#REF!,"AAAAAHfv/68=")</f>
        <v>#REF!</v>
      </c>
      <c r="FU278" t="e">
        <f>AND(#REF!,"AAAAAHfv/7A=")</f>
        <v>#REF!</v>
      </c>
      <c r="FV278" t="e">
        <f>AND(#REF!,"AAAAAHfv/7E=")</f>
        <v>#REF!</v>
      </c>
      <c r="FW278" t="e">
        <f>AND(#REF!,"AAAAAHfv/7I=")</f>
        <v>#REF!</v>
      </c>
      <c r="FX278" t="e">
        <f>AND(#REF!,"AAAAAHfv/7M=")</f>
        <v>#REF!</v>
      </c>
      <c r="FY278" t="e">
        <f>AND(#REF!,"AAAAAHfv/7Q=")</f>
        <v>#REF!</v>
      </c>
      <c r="FZ278" t="e">
        <f>AND(#REF!,"AAAAAHfv/7U=")</f>
        <v>#REF!</v>
      </c>
      <c r="GA278" t="e">
        <f>AND(#REF!,"AAAAAHfv/7Y=")</f>
        <v>#REF!</v>
      </c>
      <c r="GB278" t="e">
        <f>AND(#REF!,"AAAAAHfv/7c=")</f>
        <v>#REF!</v>
      </c>
      <c r="GC278" t="e">
        <f>AND(#REF!,"AAAAAHfv/7g=")</f>
        <v>#REF!</v>
      </c>
      <c r="GD278" t="e">
        <f>AND(#REF!,"AAAAAHfv/7k=")</f>
        <v>#REF!</v>
      </c>
      <c r="GE278" t="e">
        <f>AND(#REF!,"AAAAAHfv/7o=")</f>
        <v>#REF!</v>
      </c>
      <c r="GF278" t="e">
        <f>AND(#REF!,"AAAAAHfv/7s=")</f>
        <v>#REF!</v>
      </c>
      <c r="GG278" t="e">
        <f>AND(#REF!,"AAAAAHfv/7w=")</f>
        <v>#REF!</v>
      </c>
      <c r="GH278" t="e">
        <f>AND(#REF!,"AAAAAHfv/70=")</f>
        <v>#REF!</v>
      </c>
      <c r="GI278" t="e">
        <f>AND(#REF!,"AAAAAHfv/74=")</f>
        <v>#REF!</v>
      </c>
      <c r="GJ278" t="e">
        <f>AND(#REF!,"AAAAAHfv/78=")</f>
        <v>#REF!</v>
      </c>
      <c r="GK278" t="e">
        <f>AND(#REF!,"AAAAAHfv/8A=")</f>
        <v>#REF!</v>
      </c>
      <c r="GL278" t="e">
        <f>AND(#REF!,"AAAAAHfv/8E=")</f>
        <v>#REF!</v>
      </c>
      <c r="GM278" t="e">
        <f>AND(#REF!,"AAAAAHfv/8I=")</f>
        <v>#REF!</v>
      </c>
      <c r="GN278" t="e">
        <f>AND(#REF!,"AAAAAHfv/8M=")</f>
        <v>#REF!</v>
      </c>
      <c r="GO278" t="e">
        <f>AND(#REF!,"AAAAAHfv/8Q=")</f>
        <v>#REF!</v>
      </c>
      <c r="GP278" t="e">
        <f>AND(#REF!,"AAAAAHfv/8U=")</f>
        <v>#REF!</v>
      </c>
      <c r="GQ278" t="e">
        <f>IF(#REF!,"AAAAAHfv/8Y=",0)</f>
        <v>#REF!</v>
      </c>
      <c r="GR278" t="e">
        <f>AND(#REF!,"AAAAAHfv/8c=")</f>
        <v>#REF!</v>
      </c>
      <c r="GS278" t="e">
        <f>AND(#REF!,"AAAAAHfv/8g=")</f>
        <v>#REF!</v>
      </c>
      <c r="GT278" t="e">
        <f>AND(#REF!,"AAAAAHfv/8k=")</f>
        <v>#REF!</v>
      </c>
      <c r="GU278" t="e">
        <f>AND(#REF!,"AAAAAHfv/8o=")</f>
        <v>#REF!</v>
      </c>
      <c r="GV278" t="e">
        <f>AND(#REF!,"AAAAAHfv/8s=")</f>
        <v>#REF!</v>
      </c>
      <c r="GW278" t="e">
        <f>AND(#REF!,"AAAAAHfv/8w=")</f>
        <v>#REF!</v>
      </c>
      <c r="GX278" t="e">
        <f>AND(#REF!,"AAAAAHfv/80=")</f>
        <v>#REF!</v>
      </c>
      <c r="GY278" t="e">
        <f>AND(#REF!,"AAAAAHfv/84=")</f>
        <v>#REF!</v>
      </c>
      <c r="GZ278" t="e">
        <f>AND(#REF!,"AAAAAHfv/88=")</f>
        <v>#REF!</v>
      </c>
      <c r="HA278" t="e">
        <f>AND(#REF!,"AAAAAHfv/9A=")</f>
        <v>#REF!</v>
      </c>
      <c r="HB278" t="e">
        <f>AND(#REF!,"AAAAAHfv/9E=")</f>
        <v>#REF!</v>
      </c>
      <c r="HC278" t="e">
        <f>AND(#REF!,"AAAAAHfv/9I=")</f>
        <v>#REF!</v>
      </c>
      <c r="HD278" t="e">
        <f>AND(#REF!,"AAAAAHfv/9M=")</f>
        <v>#REF!</v>
      </c>
      <c r="HE278" t="e">
        <f>AND(#REF!,"AAAAAHfv/9Q=")</f>
        <v>#REF!</v>
      </c>
      <c r="HF278" t="e">
        <f>AND(#REF!,"AAAAAHfv/9U=")</f>
        <v>#REF!</v>
      </c>
      <c r="HG278" t="e">
        <f>AND(#REF!,"AAAAAHfv/9Y=")</f>
        <v>#REF!</v>
      </c>
      <c r="HH278" t="e">
        <f>AND(#REF!,"AAAAAHfv/9c=")</f>
        <v>#REF!</v>
      </c>
      <c r="HI278" t="e">
        <f>AND(#REF!,"AAAAAHfv/9g=")</f>
        <v>#REF!</v>
      </c>
      <c r="HJ278" t="e">
        <f>AND(#REF!,"AAAAAHfv/9k=")</f>
        <v>#REF!</v>
      </c>
      <c r="HK278" t="e">
        <f>AND(#REF!,"AAAAAHfv/9o=")</f>
        <v>#REF!</v>
      </c>
      <c r="HL278" t="e">
        <f>AND(#REF!,"AAAAAHfv/9s=")</f>
        <v>#REF!</v>
      </c>
      <c r="HM278" t="e">
        <f>AND(#REF!,"AAAAAHfv/9w=")</f>
        <v>#REF!</v>
      </c>
      <c r="HN278" t="e">
        <f>AND(#REF!,"AAAAAHfv/90=")</f>
        <v>#REF!</v>
      </c>
      <c r="HO278" t="e">
        <f>AND(#REF!,"AAAAAHfv/94=")</f>
        <v>#REF!</v>
      </c>
      <c r="HP278" t="e">
        <f>IF(#REF!,"AAAAAHfv/98=",0)</f>
        <v>#REF!</v>
      </c>
      <c r="HQ278" t="e">
        <f>AND(#REF!,"AAAAAHfv/+A=")</f>
        <v>#REF!</v>
      </c>
      <c r="HR278" t="e">
        <f>AND(#REF!,"AAAAAHfv/+E=")</f>
        <v>#REF!</v>
      </c>
      <c r="HS278" t="e">
        <f>AND(#REF!,"AAAAAHfv/+I=")</f>
        <v>#REF!</v>
      </c>
      <c r="HT278" t="e">
        <f>AND(#REF!,"AAAAAHfv/+M=")</f>
        <v>#REF!</v>
      </c>
      <c r="HU278" t="e">
        <f>AND(#REF!,"AAAAAHfv/+Q=")</f>
        <v>#REF!</v>
      </c>
      <c r="HV278" t="e">
        <f>AND(#REF!,"AAAAAHfv/+U=")</f>
        <v>#REF!</v>
      </c>
      <c r="HW278" t="e">
        <f>AND(#REF!,"AAAAAHfv/+Y=")</f>
        <v>#REF!</v>
      </c>
      <c r="HX278" t="e">
        <f>AND(#REF!,"AAAAAHfv/+c=")</f>
        <v>#REF!</v>
      </c>
      <c r="HY278" t="e">
        <f>AND(#REF!,"AAAAAHfv/+g=")</f>
        <v>#REF!</v>
      </c>
      <c r="HZ278" t="e">
        <f>AND(#REF!,"AAAAAHfv/+k=")</f>
        <v>#REF!</v>
      </c>
      <c r="IA278" t="e">
        <f>AND(#REF!,"AAAAAHfv/+o=")</f>
        <v>#REF!</v>
      </c>
      <c r="IB278" t="e">
        <f>AND(#REF!,"AAAAAHfv/+s=")</f>
        <v>#REF!</v>
      </c>
      <c r="IC278" t="e">
        <f>AND(#REF!,"AAAAAHfv/+w=")</f>
        <v>#REF!</v>
      </c>
      <c r="ID278" t="e">
        <f>AND(#REF!,"AAAAAHfv/+0=")</f>
        <v>#REF!</v>
      </c>
      <c r="IE278" t="e">
        <f>AND(#REF!,"AAAAAHfv/+4=")</f>
        <v>#REF!</v>
      </c>
      <c r="IF278" t="e">
        <f>AND(#REF!,"AAAAAHfv/+8=")</f>
        <v>#REF!</v>
      </c>
      <c r="IG278" t="e">
        <f>AND(#REF!,"AAAAAHfv//A=")</f>
        <v>#REF!</v>
      </c>
      <c r="IH278" t="e">
        <f>AND(#REF!,"AAAAAHfv//E=")</f>
        <v>#REF!</v>
      </c>
      <c r="II278" t="e">
        <f>AND(#REF!,"AAAAAHfv//I=")</f>
        <v>#REF!</v>
      </c>
      <c r="IJ278" t="e">
        <f>AND(#REF!,"AAAAAHfv//M=")</f>
        <v>#REF!</v>
      </c>
      <c r="IK278" t="e">
        <f>AND(#REF!,"AAAAAHfv//Q=")</f>
        <v>#REF!</v>
      </c>
      <c r="IL278" t="e">
        <f>AND(#REF!,"AAAAAHfv//U=")</f>
        <v>#REF!</v>
      </c>
      <c r="IM278" t="e">
        <f>AND(#REF!,"AAAAAHfv//Y=")</f>
        <v>#REF!</v>
      </c>
      <c r="IN278" t="e">
        <f>AND(#REF!,"AAAAAHfv//c=")</f>
        <v>#REF!</v>
      </c>
      <c r="IO278" t="e">
        <f>IF(#REF!,"AAAAAHfv//g=",0)</f>
        <v>#REF!</v>
      </c>
      <c r="IP278" t="e">
        <f>AND(#REF!,"AAAAAHfv//k=")</f>
        <v>#REF!</v>
      </c>
      <c r="IQ278" t="e">
        <f>AND(#REF!,"AAAAAHfv//o=")</f>
        <v>#REF!</v>
      </c>
      <c r="IR278" t="e">
        <f>AND(#REF!,"AAAAAHfv//s=")</f>
        <v>#REF!</v>
      </c>
      <c r="IS278" t="e">
        <f>AND(#REF!,"AAAAAHfv//w=")</f>
        <v>#REF!</v>
      </c>
      <c r="IT278" t="e">
        <f>AND(#REF!,"AAAAAHfv//0=")</f>
        <v>#REF!</v>
      </c>
      <c r="IU278" t="e">
        <f>AND(#REF!,"AAAAAHfv//4=")</f>
        <v>#REF!</v>
      </c>
      <c r="IV278" t="e">
        <f>AND(#REF!,"AAAAAHfv//8=")</f>
        <v>#REF!</v>
      </c>
    </row>
    <row r="279" spans="1:256">
      <c r="A279" t="e">
        <f>AND(#REF!,"AAAAAH53egA=")</f>
        <v>#REF!</v>
      </c>
      <c r="B279" t="e">
        <f>AND(#REF!,"AAAAAH53egE=")</f>
        <v>#REF!</v>
      </c>
      <c r="C279" t="e">
        <f>AND(#REF!,"AAAAAH53egI=")</f>
        <v>#REF!</v>
      </c>
      <c r="D279" t="e">
        <f>AND(#REF!,"AAAAAH53egM=")</f>
        <v>#REF!</v>
      </c>
      <c r="E279" t="e">
        <f>AND(#REF!,"AAAAAH53egQ=")</f>
        <v>#REF!</v>
      </c>
      <c r="F279" t="e">
        <f>AND(#REF!,"AAAAAH53egU=")</f>
        <v>#REF!</v>
      </c>
      <c r="G279" t="e">
        <f>AND(#REF!,"AAAAAH53egY=")</f>
        <v>#REF!</v>
      </c>
      <c r="H279" t="e">
        <f>AND(#REF!,"AAAAAH53egc=")</f>
        <v>#REF!</v>
      </c>
      <c r="I279" t="e">
        <f>AND(#REF!,"AAAAAH53egg=")</f>
        <v>#REF!</v>
      </c>
      <c r="J279" t="e">
        <f>AND(#REF!,"AAAAAH53egk=")</f>
        <v>#REF!</v>
      </c>
      <c r="K279" t="e">
        <f>AND(#REF!,"AAAAAH53ego=")</f>
        <v>#REF!</v>
      </c>
      <c r="L279" t="e">
        <f>AND(#REF!,"AAAAAH53egs=")</f>
        <v>#REF!</v>
      </c>
      <c r="M279" t="e">
        <f>AND(#REF!,"AAAAAH53egw=")</f>
        <v>#REF!</v>
      </c>
      <c r="N279" t="e">
        <f>AND(#REF!,"AAAAAH53eg0=")</f>
        <v>#REF!</v>
      </c>
      <c r="O279" t="e">
        <f>AND(#REF!,"AAAAAH53eg4=")</f>
        <v>#REF!</v>
      </c>
      <c r="P279" t="e">
        <f>AND(#REF!,"AAAAAH53eg8=")</f>
        <v>#REF!</v>
      </c>
      <c r="Q279" t="e">
        <f>AND(#REF!,"AAAAAH53ehA=")</f>
        <v>#REF!</v>
      </c>
      <c r="R279" t="e">
        <f>IF(#REF!,"AAAAAH53ehE=",0)</f>
        <v>#REF!</v>
      </c>
      <c r="S279" t="e">
        <f>AND(#REF!,"AAAAAH53ehI=")</f>
        <v>#REF!</v>
      </c>
      <c r="T279" t="e">
        <f>AND(#REF!,"AAAAAH53ehM=")</f>
        <v>#REF!</v>
      </c>
      <c r="U279" t="e">
        <f>AND(#REF!,"AAAAAH53ehQ=")</f>
        <v>#REF!</v>
      </c>
      <c r="V279" t="e">
        <f>AND(#REF!,"AAAAAH53ehU=")</f>
        <v>#REF!</v>
      </c>
      <c r="W279" t="e">
        <f>AND(#REF!,"AAAAAH53ehY=")</f>
        <v>#REF!</v>
      </c>
      <c r="X279" t="e">
        <f>AND(#REF!,"AAAAAH53ehc=")</f>
        <v>#REF!</v>
      </c>
      <c r="Y279" t="e">
        <f>AND(#REF!,"AAAAAH53ehg=")</f>
        <v>#REF!</v>
      </c>
      <c r="Z279" t="e">
        <f>AND(#REF!,"AAAAAH53ehk=")</f>
        <v>#REF!</v>
      </c>
      <c r="AA279" t="e">
        <f>AND(#REF!,"AAAAAH53eho=")</f>
        <v>#REF!</v>
      </c>
      <c r="AB279" t="e">
        <f>AND(#REF!,"AAAAAH53ehs=")</f>
        <v>#REF!</v>
      </c>
      <c r="AC279" t="e">
        <f>AND(#REF!,"AAAAAH53ehw=")</f>
        <v>#REF!</v>
      </c>
      <c r="AD279" t="e">
        <f>AND(#REF!,"AAAAAH53eh0=")</f>
        <v>#REF!</v>
      </c>
      <c r="AE279" t="e">
        <f>AND(#REF!,"AAAAAH53eh4=")</f>
        <v>#REF!</v>
      </c>
      <c r="AF279" t="e">
        <f>AND(#REF!,"AAAAAH53eh8=")</f>
        <v>#REF!</v>
      </c>
      <c r="AG279" t="e">
        <f>AND(#REF!,"AAAAAH53eiA=")</f>
        <v>#REF!</v>
      </c>
      <c r="AH279" t="e">
        <f>AND(#REF!,"AAAAAH53eiE=")</f>
        <v>#REF!</v>
      </c>
      <c r="AI279" t="e">
        <f>AND(#REF!,"AAAAAH53eiI=")</f>
        <v>#REF!</v>
      </c>
      <c r="AJ279" t="e">
        <f>AND(#REF!,"AAAAAH53eiM=")</f>
        <v>#REF!</v>
      </c>
      <c r="AK279" t="e">
        <f>AND(#REF!,"AAAAAH53eiQ=")</f>
        <v>#REF!</v>
      </c>
      <c r="AL279" t="e">
        <f>AND(#REF!,"AAAAAH53eiU=")</f>
        <v>#REF!</v>
      </c>
      <c r="AM279" t="e">
        <f>AND(#REF!,"AAAAAH53eiY=")</f>
        <v>#REF!</v>
      </c>
      <c r="AN279" t="e">
        <f>AND(#REF!,"AAAAAH53eic=")</f>
        <v>#REF!</v>
      </c>
      <c r="AO279" t="e">
        <f>AND(#REF!,"AAAAAH53eig=")</f>
        <v>#REF!</v>
      </c>
      <c r="AP279" t="e">
        <f>AND(#REF!,"AAAAAH53eik=")</f>
        <v>#REF!</v>
      </c>
      <c r="AQ279" t="e">
        <f>IF(#REF!,"AAAAAH53eio=",0)</f>
        <v>#REF!</v>
      </c>
      <c r="AR279" t="e">
        <f>AND(#REF!,"AAAAAH53eis=")</f>
        <v>#REF!</v>
      </c>
      <c r="AS279" t="e">
        <f>AND(#REF!,"AAAAAH53eiw=")</f>
        <v>#REF!</v>
      </c>
      <c r="AT279" t="e">
        <f>AND(#REF!,"AAAAAH53ei0=")</f>
        <v>#REF!</v>
      </c>
      <c r="AU279" t="e">
        <f>AND(#REF!,"AAAAAH53ei4=")</f>
        <v>#REF!</v>
      </c>
      <c r="AV279" t="e">
        <f>AND(#REF!,"AAAAAH53ei8=")</f>
        <v>#REF!</v>
      </c>
      <c r="AW279" t="e">
        <f>AND(#REF!,"AAAAAH53ejA=")</f>
        <v>#REF!</v>
      </c>
      <c r="AX279" t="e">
        <f>AND(#REF!,"AAAAAH53ejE=")</f>
        <v>#REF!</v>
      </c>
      <c r="AY279" t="e">
        <f>AND(#REF!,"AAAAAH53ejI=")</f>
        <v>#REF!</v>
      </c>
      <c r="AZ279" t="e">
        <f>AND(#REF!,"AAAAAH53ejM=")</f>
        <v>#REF!</v>
      </c>
      <c r="BA279" t="e">
        <f>AND(#REF!,"AAAAAH53ejQ=")</f>
        <v>#REF!</v>
      </c>
      <c r="BB279" t="e">
        <f>AND(#REF!,"AAAAAH53ejU=")</f>
        <v>#REF!</v>
      </c>
      <c r="BC279" t="e">
        <f>AND(#REF!,"AAAAAH53ejY=")</f>
        <v>#REF!</v>
      </c>
      <c r="BD279" t="e">
        <f>AND(#REF!,"AAAAAH53ejc=")</f>
        <v>#REF!</v>
      </c>
      <c r="BE279" t="e">
        <f>AND(#REF!,"AAAAAH53ejg=")</f>
        <v>#REF!</v>
      </c>
      <c r="BF279" t="e">
        <f>AND(#REF!,"AAAAAH53ejk=")</f>
        <v>#REF!</v>
      </c>
      <c r="BG279" t="e">
        <f>AND(#REF!,"AAAAAH53ejo=")</f>
        <v>#REF!</v>
      </c>
      <c r="BH279" t="e">
        <f>AND(#REF!,"AAAAAH53ejs=")</f>
        <v>#REF!</v>
      </c>
      <c r="BI279" t="e">
        <f>AND(#REF!,"AAAAAH53ejw=")</f>
        <v>#REF!</v>
      </c>
      <c r="BJ279" t="e">
        <f>AND(#REF!,"AAAAAH53ej0=")</f>
        <v>#REF!</v>
      </c>
      <c r="BK279" t="e">
        <f>AND(#REF!,"AAAAAH53ej4=")</f>
        <v>#REF!</v>
      </c>
      <c r="BL279" t="e">
        <f>AND(#REF!,"AAAAAH53ej8=")</f>
        <v>#REF!</v>
      </c>
      <c r="BM279" t="e">
        <f>AND(#REF!,"AAAAAH53ekA=")</f>
        <v>#REF!</v>
      </c>
      <c r="BN279" t="e">
        <f>AND(#REF!,"AAAAAH53ekE=")</f>
        <v>#REF!</v>
      </c>
      <c r="BO279" t="e">
        <f>AND(#REF!,"AAAAAH53ekI=")</f>
        <v>#REF!</v>
      </c>
      <c r="BP279" t="e">
        <f>IF(#REF!,"AAAAAH53ekM=",0)</f>
        <v>#REF!</v>
      </c>
      <c r="BQ279" t="e">
        <f>AND(#REF!,"AAAAAH53ekQ=")</f>
        <v>#REF!</v>
      </c>
      <c r="BR279" t="e">
        <f>AND(#REF!,"AAAAAH53ekU=")</f>
        <v>#REF!</v>
      </c>
      <c r="BS279" t="e">
        <f>AND(#REF!,"AAAAAH53ekY=")</f>
        <v>#REF!</v>
      </c>
      <c r="BT279" t="e">
        <f>AND(#REF!,"AAAAAH53ekc=")</f>
        <v>#REF!</v>
      </c>
      <c r="BU279" t="e">
        <f>AND(#REF!,"AAAAAH53ekg=")</f>
        <v>#REF!</v>
      </c>
      <c r="BV279" t="e">
        <f>AND(#REF!,"AAAAAH53ekk=")</f>
        <v>#REF!</v>
      </c>
      <c r="BW279" t="e">
        <f>AND(#REF!,"AAAAAH53eko=")</f>
        <v>#REF!</v>
      </c>
      <c r="BX279" t="e">
        <f>AND(#REF!,"AAAAAH53eks=")</f>
        <v>#REF!</v>
      </c>
      <c r="BY279" t="e">
        <f>AND(#REF!,"AAAAAH53ekw=")</f>
        <v>#REF!</v>
      </c>
      <c r="BZ279" t="e">
        <f>AND(#REF!,"AAAAAH53ek0=")</f>
        <v>#REF!</v>
      </c>
      <c r="CA279" t="e">
        <f>AND(#REF!,"AAAAAH53ek4=")</f>
        <v>#REF!</v>
      </c>
      <c r="CB279" t="e">
        <f>AND(#REF!,"AAAAAH53ek8=")</f>
        <v>#REF!</v>
      </c>
      <c r="CC279" t="e">
        <f>AND(#REF!,"AAAAAH53elA=")</f>
        <v>#REF!</v>
      </c>
      <c r="CD279" t="e">
        <f>AND(#REF!,"AAAAAH53elE=")</f>
        <v>#REF!</v>
      </c>
      <c r="CE279" t="e">
        <f>AND(#REF!,"AAAAAH53elI=")</f>
        <v>#REF!</v>
      </c>
      <c r="CF279" t="e">
        <f>AND(#REF!,"AAAAAH53elM=")</f>
        <v>#REF!</v>
      </c>
      <c r="CG279" t="e">
        <f>AND(#REF!,"AAAAAH53elQ=")</f>
        <v>#REF!</v>
      </c>
      <c r="CH279" t="e">
        <f>AND(#REF!,"AAAAAH53elU=")</f>
        <v>#REF!</v>
      </c>
      <c r="CI279" t="e">
        <f>AND(#REF!,"AAAAAH53elY=")</f>
        <v>#REF!</v>
      </c>
      <c r="CJ279" t="e">
        <f>AND(#REF!,"AAAAAH53elc=")</f>
        <v>#REF!</v>
      </c>
      <c r="CK279" t="e">
        <f>AND(#REF!,"AAAAAH53elg=")</f>
        <v>#REF!</v>
      </c>
      <c r="CL279" t="e">
        <f>AND(#REF!,"AAAAAH53elk=")</f>
        <v>#REF!</v>
      </c>
      <c r="CM279" t="e">
        <f>AND(#REF!,"AAAAAH53elo=")</f>
        <v>#REF!</v>
      </c>
      <c r="CN279" t="e">
        <f>AND(#REF!,"AAAAAH53els=")</f>
        <v>#REF!</v>
      </c>
      <c r="CO279" t="e">
        <f>IF(#REF!,"AAAAAH53elw=",0)</f>
        <v>#REF!</v>
      </c>
      <c r="CP279" t="e">
        <f>AND(#REF!,"AAAAAH53el0=")</f>
        <v>#REF!</v>
      </c>
      <c r="CQ279" t="e">
        <f>AND(#REF!,"AAAAAH53el4=")</f>
        <v>#REF!</v>
      </c>
      <c r="CR279" t="e">
        <f>AND(#REF!,"AAAAAH53el8=")</f>
        <v>#REF!</v>
      </c>
      <c r="CS279" t="e">
        <f>AND(#REF!,"AAAAAH53emA=")</f>
        <v>#REF!</v>
      </c>
      <c r="CT279" t="e">
        <f>AND(#REF!,"AAAAAH53emE=")</f>
        <v>#REF!</v>
      </c>
      <c r="CU279" t="e">
        <f>AND(#REF!,"AAAAAH53emI=")</f>
        <v>#REF!</v>
      </c>
      <c r="CV279" t="e">
        <f>AND(#REF!,"AAAAAH53emM=")</f>
        <v>#REF!</v>
      </c>
      <c r="CW279" t="e">
        <f>AND(#REF!,"AAAAAH53emQ=")</f>
        <v>#REF!</v>
      </c>
      <c r="CX279" t="e">
        <f>AND(#REF!,"AAAAAH53emU=")</f>
        <v>#REF!</v>
      </c>
      <c r="CY279" t="e">
        <f>AND(#REF!,"AAAAAH53emY=")</f>
        <v>#REF!</v>
      </c>
      <c r="CZ279" t="e">
        <f>AND(#REF!,"AAAAAH53emc=")</f>
        <v>#REF!</v>
      </c>
      <c r="DA279" t="e">
        <f>AND(#REF!,"AAAAAH53emg=")</f>
        <v>#REF!</v>
      </c>
      <c r="DB279" t="e">
        <f>AND(#REF!,"AAAAAH53emk=")</f>
        <v>#REF!</v>
      </c>
      <c r="DC279" t="e">
        <f>AND(#REF!,"AAAAAH53emo=")</f>
        <v>#REF!</v>
      </c>
      <c r="DD279" t="e">
        <f>AND(#REF!,"AAAAAH53ems=")</f>
        <v>#REF!</v>
      </c>
      <c r="DE279" t="e">
        <f>AND(#REF!,"AAAAAH53emw=")</f>
        <v>#REF!</v>
      </c>
      <c r="DF279" t="e">
        <f>AND(#REF!,"AAAAAH53em0=")</f>
        <v>#REF!</v>
      </c>
      <c r="DG279" t="e">
        <f>AND(#REF!,"AAAAAH53em4=")</f>
        <v>#REF!</v>
      </c>
      <c r="DH279" t="e">
        <f>AND(#REF!,"AAAAAH53em8=")</f>
        <v>#REF!</v>
      </c>
      <c r="DI279" t="e">
        <f>AND(#REF!,"AAAAAH53enA=")</f>
        <v>#REF!</v>
      </c>
      <c r="DJ279" t="e">
        <f>AND(#REF!,"AAAAAH53enE=")</f>
        <v>#REF!</v>
      </c>
      <c r="DK279" t="e">
        <f>AND(#REF!,"AAAAAH53enI=")</f>
        <v>#REF!</v>
      </c>
      <c r="DL279" t="e">
        <f>AND(#REF!,"AAAAAH53enM=")</f>
        <v>#REF!</v>
      </c>
      <c r="DM279" t="e">
        <f>AND(#REF!,"AAAAAH53enQ=")</f>
        <v>#REF!</v>
      </c>
      <c r="DN279" t="e">
        <f>IF(#REF!,"AAAAAH53enU=",0)</f>
        <v>#REF!</v>
      </c>
      <c r="DO279" t="e">
        <f>AND(#REF!,"AAAAAH53enY=")</f>
        <v>#REF!</v>
      </c>
      <c r="DP279" t="e">
        <f>AND(#REF!,"AAAAAH53enc=")</f>
        <v>#REF!</v>
      </c>
      <c r="DQ279" t="e">
        <f>AND(#REF!,"AAAAAH53eng=")</f>
        <v>#REF!</v>
      </c>
      <c r="DR279" t="e">
        <f>AND(#REF!,"AAAAAH53enk=")</f>
        <v>#REF!</v>
      </c>
      <c r="DS279" t="e">
        <f>AND(#REF!,"AAAAAH53eno=")</f>
        <v>#REF!</v>
      </c>
      <c r="DT279" t="e">
        <f>AND(#REF!,"AAAAAH53ens=")</f>
        <v>#REF!</v>
      </c>
      <c r="DU279" t="e">
        <f>AND(#REF!,"AAAAAH53enw=")</f>
        <v>#REF!</v>
      </c>
      <c r="DV279" t="e">
        <f>AND(#REF!,"AAAAAH53en0=")</f>
        <v>#REF!</v>
      </c>
      <c r="DW279" t="e">
        <f>AND(#REF!,"AAAAAH53en4=")</f>
        <v>#REF!</v>
      </c>
      <c r="DX279" t="e">
        <f>AND(#REF!,"AAAAAH53en8=")</f>
        <v>#REF!</v>
      </c>
      <c r="DY279" t="e">
        <f>AND(#REF!,"AAAAAH53eoA=")</f>
        <v>#REF!</v>
      </c>
      <c r="DZ279" t="e">
        <f>AND(#REF!,"AAAAAH53eoE=")</f>
        <v>#REF!</v>
      </c>
      <c r="EA279" t="e">
        <f>AND(#REF!,"AAAAAH53eoI=")</f>
        <v>#REF!</v>
      </c>
      <c r="EB279" t="e">
        <f>AND(#REF!,"AAAAAH53eoM=")</f>
        <v>#REF!</v>
      </c>
      <c r="EC279" t="e">
        <f>AND(#REF!,"AAAAAH53eoQ=")</f>
        <v>#REF!</v>
      </c>
      <c r="ED279" t="e">
        <f>AND(#REF!,"AAAAAH53eoU=")</f>
        <v>#REF!</v>
      </c>
      <c r="EE279" t="e">
        <f>AND(#REF!,"AAAAAH53eoY=")</f>
        <v>#REF!</v>
      </c>
      <c r="EF279" t="e">
        <f>AND(#REF!,"AAAAAH53eoc=")</f>
        <v>#REF!</v>
      </c>
      <c r="EG279" t="e">
        <f>AND(#REF!,"AAAAAH53eog=")</f>
        <v>#REF!</v>
      </c>
      <c r="EH279" t="e">
        <f>AND(#REF!,"AAAAAH53eok=")</f>
        <v>#REF!</v>
      </c>
      <c r="EI279" t="e">
        <f>AND(#REF!,"AAAAAH53eoo=")</f>
        <v>#REF!</v>
      </c>
      <c r="EJ279" t="e">
        <f>AND(#REF!,"AAAAAH53eos=")</f>
        <v>#REF!</v>
      </c>
      <c r="EK279" t="e">
        <f>AND(#REF!,"AAAAAH53eow=")</f>
        <v>#REF!</v>
      </c>
      <c r="EL279" t="e">
        <f>AND(#REF!,"AAAAAH53eo0=")</f>
        <v>#REF!</v>
      </c>
      <c r="EM279" t="e">
        <f>IF(#REF!,"AAAAAH53eo4=",0)</f>
        <v>#REF!</v>
      </c>
      <c r="EN279" t="e">
        <f>AND(#REF!,"AAAAAH53eo8=")</f>
        <v>#REF!</v>
      </c>
      <c r="EO279" t="e">
        <f>AND(#REF!,"AAAAAH53epA=")</f>
        <v>#REF!</v>
      </c>
      <c r="EP279" t="e">
        <f>AND(#REF!,"AAAAAH53epE=")</f>
        <v>#REF!</v>
      </c>
      <c r="EQ279" t="e">
        <f>AND(#REF!,"AAAAAH53epI=")</f>
        <v>#REF!</v>
      </c>
      <c r="ER279" t="e">
        <f>AND(#REF!,"AAAAAH53epM=")</f>
        <v>#REF!</v>
      </c>
      <c r="ES279" t="e">
        <f>AND(#REF!,"AAAAAH53epQ=")</f>
        <v>#REF!</v>
      </c>
      <c r="ET279" t="e">
        <f>AND(#REF!,"AAAAAH53epU=")</f>
        <v>#REF!</v>
      </c>
      <c r="EU279" t="e">
        <f>AND(#REF!,"AAAAAH53epY=")</f>
        <v>#REF!</v>
      </c>
      <c r="EV279" t="e">
        <f>AND(#REF!,"AAAAAH53epc=")</f>
        <v>#REF!</v>
      </c>
      <c r="EW279" t="e">
        <f>AND(#REF!,"AAAAAH53epg=")</f>
        <v>#REF!</v>
      </c>
      <c r="EX279" t="e">
        <f>AND(#REF!,"AAAAAH53epk=")</f>
        <v>#REF!</v>
      </c>
      <c r="EY279" t="e">
        <f>AND(#REF!,"AAAAAH53epo=")</f>
        <v>#REF!</v>
      </c>
      <c r="EZ279" t="e">
        <f>AND(#REF!,"AAAAAH53eps=")</f>
        <v>#REF!</v>
      </c>
      <c r="FA279" t="e">
        <f>AND(#REF!,"AAAAAH53epw=")</f>
        <v>#REF!</v>
      </c>
      <c r="FB279" t="e">
        <f>AND(#REF!,"AAAAAH53ep0=")</f>
        <v>#REF!</v>
      </c>
      <c r="FC279" t="e">
        <f>AND(#REF!,"AAAAAH53ep4=")</f>
        <v>#REF!</v>
      </c>
      <c r="FD279" t="e">
        <f>AND(#REF!,"AAAAAH53ep8=")</f>
        <v>#REF!</v>
      </c>
      <c r="FE279" t="e">
        <f>AND(#REF!,"AAAAAH53eqA=")</f>
        <v>#REF!</v>
      </c>
      <c r="FF279" t="e">
        <f>AND(#REF!,"AAAAAH53eqE=")</f>
        <v>#REF!</v>
      </c>
      <c r="FG279" t="e">
        <f>AND(#REF!,"AAAAAH53eqI=")</f>
        <v>#REF!</v>
      </c>
      <c r="FH279" t="e">
        <f>AND(#REF!,"AAAAAH53eqM=")</f>
        <v>#REF!</v>
      </c>
      <c r="FI279" t="e">
        <f>AND(#REF!,"AAAAAH53eqQ=")</f>
        <v>#REF!</v>
      </c>
      <c r="FJ279" t="e">
        <f>AND(#REF!,"AAAAAH53eqU=")</f>
        <v>#REF!</v>
      </c>
      <c r="FK279" t="e">
        <f>AND(#REF!,"AAAAAH53eqY=")</f>
        <v>#REF!</v>
      </c>
      <c r="FL279" t="e">
        <f>IF(#REF!,"AAAAAH53eqc=",0)</f>
        <v>#REF!</v>
      </c>
      <c r="FM279" t="e">
        <f>AND(#REF!,"AAAAAH53eqg=")</f>
        <v>#REF!</v>
      </c>
      <c r="FN279" t="e">
        <f>AND(#REF!,"AAAAAH53eqk=")</f>
        <v>#REF!</v>
      </c>
      <c r="FO279" t="e">
        <f>AND(#REF!,"AAAAAH53eqo=")</f>
        <v>#REF!</v>
      </c>
      <c r="FP279" t="e">
        <f>AND(#REF!,"AAAAAH53eqs=")</f>
        <v>#REF!</v>
      </c>
      <c r="FQ279" t="e">
        <f>AND(#REF!,"AAAAAH53eqw=")</f>
        <v>#REF!</v>
      </c>
      <c r="FR279" t="e">
        <f>AND(#REF!,"AAAAAH53eq0=")</f>
        <v>#REF!</v>
      </c>
      <c r="FS279" t="e">
        <f>AND(#REF!,"AAAAAH53eq4=")</f>
        <v>#REF!</v>
      </c>
      <c r="FT279" t="e">
        <f>AND(#REF!,"AAAAAH53eq8=")</f>
        <v>#REF!</v>
      </c>
      <c r="FU279" t="e">
        <f>AND(#REF!,"AAAAAH53erA=")</f>
        <v>#REF!</v>
      </c>
      <c r="FV279" t="e">
        <f>AND(#REF!,"AAAAAH53erE=")</f>
        <v>#REF!</v>
      </c>
      <c r="FW279" t="e">
        <f>AND(#REF!,"AAAAAH53erI=")</f>
        <v>#REF!</v>
      </c>
      <c r="FX279" t="e">
        <f>AND(#REF!,"AAAAAH53erM=")</f>
        <v>#REF!</v>
      </c>
      <c r="FY279" t="e">
        <f>AND(#REF!,"AAAAAH53erQ=")</f>
        <v>#REF!</v>
      </c>
      <c r="FZ279" t="e">
        <f>AND(#REF!,"AAAAAH53erU=")</f>
        <v>#REF!</v>
      </c>
      <c r="GA279" t="e">
        <f>AND(#REF!,"AAAAAH53erY=")</f>
        <v>#REF!</v>
      </c>
      <c r="GB279" t="e">
        <f>AND(#REF!,"AAAAAH53erc=")</f>
        <v>#REF!</v>
      </c>
      <c r="GC279" t="e">
        <f>AND(#REF!,"AAAAAH53erg=")</f>
        <v>#REF!</v>
      </c>
      <c r="GD279" t="e">
        <f>AND(#REF!,"AAAAAH53erk=")</f>
        <v>#REF!</v>
      </c>
      <c r="GE279" t="e">
        <f>AND(#REF!,"AAAAAH53ero=")</f>
        <v>#REF!</v>
      </c>
      <c r="GF279" t="e">
        <f>AND(#REF!,"AAAAAH53ers=")</f>
        <v>#REF!</v>
      </c>
      <c r="GG279" t="e">
        <f>AND(#REF!,"AAAAAH53erw=")</f>
        <v>#REF!</v>
      </c>
      <c r="GH279" t="e">
        <f>AND(#REF!,"AAAAAH53er0=")</f>
        <v>#REF!</v>
      </c>
      <c r="GI279" t="e">
        <f>AND(#REF!,"AAAAAH53er4=")</f>
        <v>#REF!</v>
      </c>
      <c r="GJ279" t="e">
        <f>AND(#REF!,"AAAAAH53er8=")</f>
        <v>#REF!</v>
      </c>
      <c r="GK279" t="e">
        <f>IF(#REF!,"AAAAAH53esA=",0)</f>
        <v>#REF!</v>
      </c>
      <c r="GL279" t="e">
        <f>AND(#REF!,"AAAAAH53esE=")</f>
        <v>#REF!</v>
      </c>
      <c r="GM279" t="e">
        <f>AND(#REF!,"AAAAAH53esI=")</f>
        <v>#REF!</v>
      </c>
      <c r="GN279" t="e">
        <f>AND(#REF!,"AAAAAH53esM=")</f>
        <v>#REF!</v>
      </c>
      <c r="GO279" t="e">
        <f>AND(#REF!,"AAAAAH53esQ=")</f>
        <v>#REF!</v>
      </c>
      <c r="GP279" t="e">
        <f>AND(#REF!,"AAAAAH53esU=")</f>
        <v>#REF!</v>
      </c>
      <c r="GQ279" t="e">
        <f>AND(#REF!,"AAAAAH53esY=")</f>
        <v>#REF!</v>
      </c>
      <c r="GR279" t="e">
        <f>AND(#REF!,"AAAAAH53esc=")</f>
        <v>#REF!</v>
      </c>
      <c r="GS279" t="e">
        <f>AND(#REF!,"AAAAAH53esg=")</f>
        <v>#REF!</v>
      </c>
      <c r="GT279" t="e">
        <f>AND(#REF!,"AAAAAH53esk=")</f>
        <v>#REF!</v>
      </c>
      <c r="GU279" t="e">
        <f>AND(#REF!,"AAAAAH53eso=")</f>
        <v>#REF!</v>
      </c>
      <c r="GV279" t="e">
        <f>AND(#REF!,"AAAAAH53ess=")</f>
        <v>#REF!</v>
      </c>
      <c r="GW279" t="e">
        <f>AND(#REF!,"AAAAAH53esw=")</f>
        <v>#REF!</v>
      </c>
      <c r="GX279" t="e">
        <f>AND(#REF!,"AAAAAH53es0=")</f>
        <v>#REF!</v>
      </c>
      <c r="GY279" t="e">
        <f>AND(#REF!,"AAAAAH53es4=")</f>
        <v>#REF!</v>
      </c>
      <c r="GZ279" t="e">
        <f>AND(#REF!,"AAAAAH53es8=")</f>
        <v>#REF!</v>
      </c>
      <c r="HA279" t="e">
        <f>AND(#REF!,"AAAAAH53etA=")</f>
        <v>#REF!</v>
      </c>
      <c r="HB279" t="e">
        <f>AND(#REF!,"AAAAAH53etE=")</f>
        <v>#REF!</v>
      </c>
      <c r="HC279" t="e">
        <f>AND(#REF!,"AAAAAH53etI=")</f>
        <v>#REF!</v>
      </c>
      <c r="HD279" t="e">
        <f>AND(#REF!,"AAAAAH53etM=")</f>
        <v>#REF!</v>
      </c>
      <c r="HE279" t="e">
        <f>AND(#REF!,"AAAAAH53etQ=")</f>
        <v>#REF!</v>
      </c>
      <c r="HF279" t="e">
        <f>AND(#REF!,"AAAAAH53etU=")</f>
        <v>#REF!</v>
      </c>
      <c r="HG279" t="e">
        <f>AND(#REF!,"AAAAAH53etY=")</f>
        <v>#REF!</v>
      </c>
      <c r="HH279" t="e">
        <f>AND(#REF!,"AAAAAH53etc=")</f>
        <v>#REF!</v>
      </c>
      <c r="HI279" t="e">
        <f>AND(#REF!,"AAAAAH53etg=")</f>
        <v>#REF!</v>
      </c>
      <c r="HJ279" t="e">
        <f>IF(#REF!,"AAAAAH53etk=",0)</f>
        <v>#REF!</v>
      </c>
      <c r="HK279" t="e">
        <f>AND(#REF!,"AAAAAH53eto=")</f>
        <v>#REF!</v>
      </c>
      <c r="HL279" t="e">
        <f>AND(#REF!,"AAAAAH53ets=")</f>
        <v>#REF!</v>
      </c>
      <c r="HM279" t="e">
        <f>AND(#REF!,"AAAAAH53etw=")</f>
        <v>#REF!</v>
      </c>
      <c r="HN279" t="e">
        <f>AND(#REF!,"AAAAAH53et0=")</f>
        <v>#REF!</v>
      </c>
      <c r="HO279" t="e">
        <f>AND(#REF!,"AAAAAH53et4=")</f>
        <v>#REF!</v>
      </c>
      <c r="HP279" t="e">
        <f>AND(#REF!,"AAAAAH53et8=")</f>
        <v>#REF!</v>
      </c>
      <c r="HQ279" t="e">
        <f>AND(#REF!,"AAAAAH53euA=")</f>
        <v>#REF!</v>
      </c>
      <c r="HR279" t="e">
        <f>AND(#REF!,"AAAAAH53euE=")</f>
        <v>#REF!</v>
      </c>
      <c r="HS279" t="e">
        <f>AND(#REF!,"AAAAAH53euI=")</f>
        <v>#REF!</v>
      </c>
      <c r="HT279" t="e">
        <f>AND(#REF!,"AAAAAH53euM=")</f>
        <v>#REF!</v>
      </c>
      <c r="HU279" t="e">
        <f>AND(#REF!,"AAAAAH53euQ=")</f>
        <v>#REF!</v>
      </c>
      <c r="HV279" t="e">
        <f>AND(#REF!,"AAAAAH53euU=")</f>
        <v>#REF!</v>
      </c>
      <c r="HW279" t="e">
        <f>AND(#REF!,"AAAAAH53euY=")</f>
        <v>#REF!</v>
      </c>
      <c r="HX279" t="e">
        <f>AND(#REF!,"AAAAAH53euc=")</f>
        <v>#REF!</v>
      </c>
      <c r="HY279" t="e">
        <f>AND(#REF!,"AAAAAH53eug=")</f>
        <v>#REF!</v>
      </c>
      <c r="HZ279" t="e">
        <f>AND(#REF!,"AAAAAH53euk=")</f>
        <v>#REF!</v>
      </c>
      <c r="IA279" t="e">
        <f>AND(#REF!,"AAAAAH53euo=")</f>
        <v>#REF!</v>
      </c>
      <c r="IB279" t="e">
        <f>AND(#REF!,"AAAAAH53eus=")</f>
        <v>#REF!</v>
      </c>
      <c r="IC279" t="e">
        <f>AND(#REF!,"AAAAAH53euw=")</f>
        <v>#REF!</v>
      </c>
      <c r="ID279" t="e">
        <f>AND(#REF!,"AAAAAH53eu0=")</f>
        <v>#REF!</v>
      </c>
      <c r="IE279" t="e">
        <f>AND(#REF!,"AAAAAH53eu4=")</f>
        <v>#REF!</v>
      </c>
      <c r="IF279" t="e">
        <f>AND(#REF!,"AAAAAH53eu8=")</f>
        <v>#REF!</v>
      </c>
      <c r="IG279" t="e">
        <f>AND(#REF!,"AAAAAH53evA=")</f>
        <v>#REF!</v>
      </c>
      <c r="IH279" t="e">
        <f>AND(#REF!,"AAAAAH53evE=")</f>
        <v>#REF!</v>
      </c>
      <c r="II279" t="e">
        <f>IF(#REF!,"AAAAAH53evI=",0)</f>
        <v>#REF!</v>
      </c>
      <c r="IJ279" t="e">
        <f>AND(#REF!,"AAAAAH53evM=")</f>
        <v>#REF!</v>
      </c>
      <c r="IK279" t="e">
        <f>AND(#REF!,"AAAAAH53evQ=")</f>
        <v>#REF!</v>
      </c>
      <c r="IL279" t="e">
        <f>AND(#REF!,"AAAAAH53evU=")</f>
        <v>#REF!</v>
      </c>
      <c r="IM279" t="e">
        <f>AND(#REF!,"AAAAAH53evY=")</f>
        <v>#REF!</v>
      </c>
      <c r="IN279" t="e">
        <f>AND(#REF!,"AAAAAH53evc=")</f>
        <v>#REF!</v>
      </c>
      <c r="IO279" t="e">
        <f>AND(#REF!,"AAAAAH53evg=")</f>
        <v>#REF!</v>
      </c>
      <c r="IP279" t="e">
        <f>AND(#REF!,"AAAAAH53evk=")</f>
        <v>#REF!</v>
      </c>
      <c r="IQ279" t="e">
        <f>AND(#REF!,"AAAAAH53evo=")</f>
        <v>#REF!</v>
      </c>
      <c r="IR279" t="e">
        <f>AND(#REF!,"AAAAAH53evs=")</f>
        <v>#REF!</v>
      </c>
      <c r="IS279" t="e">
        <f>AND(#REF!,"AAAAAH53evw=")</f>
        <v>#REF!</v>
      </c>
      <c r="IT279" t="e">
        <f>AND(#REF!,"AAAAAH53ev0=")</f>
        <v>#REF!</v>
      </c>
      <c r="IU279" t="e">
        <f>AND(#REF!,"AAAAAH53ev4=")</f>
        <v>#REF!</v>
      </c>
      <c r="IV279" t="e">
        <f>AND(#REF!,"AAAAAH53ev8=")</f>
        <v>#REF!</v>
      </c>
    </row>
    <row r="280" spans="1:256">
      <c r="A280" t="e">
        <f>AND(#REF!,"AAAAAF93vwA=")</f>
        <v>#REF!</v>
      </c>
      <c r="B280" t="e">
        <f>AND(#REF!,"AAAAAF93vwE=")</f>
        <v>#REF!</v>
      </c>
      <c r="C280" t="e">
        <f>AND(#REF!,"AAAAAF93vwI=")</f>
        <v>#REF!</v>
      </c>
      <c r="D280" t="e">
        <f>AND(#REF!,"AAAAAF93vwM=")</f>
        <v>#REF!</v>
      </c>
      <c r="E280" t="e">
        <f>AND(#REF!,"AAAAAF93vwQ=")</f>
        <v>#REF!</v>
      </c>
      <c r="F280" t="e">
        <f>AND(#REF!,"AAAAAF93vwU=")</f>
        <v>#REF!</v>
      </c>
      <c r="G280" t="e">
        <f>AND(#REF!,"AAAAAF93vwY=")</f>
        <v>#REF!</v>
      </c>
      <c r="H280" t="e">
        <f>AND(#REF!,"AAAAAF93vwc=")</f>
        <v>#REF!</v>
      </c>
      <c r="I280" t="e">
        <f>AND(#REF!,"AAAAAF93vwg=")</f>
        <v>#REF!</v>
      </c>
      <c r="J280" t="e">
        <f>AND(#REF!,"AAAAAF93vwk=")</f>
        <v>#REF!</v>
      </c>
      <c r="K280" t="e">
        <f>AND(#REF!,"AAAAAF93vwo=")</f>
        <v>#REF!</v>
      </c>
      <c r="L280" t="e">
        <f>IF(#REF!,"AAAAAF93vws=",0)</f>
        <v>#REF!</v>
      </c>
      <c r="M280" t="e">
        <f>AND(#REF!,"AAAAAF93vww=")</f>
        <v>#REF!</v>
      </c>
      <c r="N280" t="e">
        <f>AND(#REF!,"AAAAAF93vw0=")</f>
        <v>#REF!</v>
      </c>
      <c r="O280" t="e">
        <f>AND(#REF!,"AAAAAF93vw4=")</f>
        <v>#REF!</v>
      </c>
      <c r="P280" t="e">
        <f>AND(#REF!,"AAAAAF93vw8=")</f>
        <v>#REF!</v>
      </c>
      <c r="Q280" t="e">
        <f>AND(#REF!,"AAAAAF93vxA=")</f>
        <v>#REF!</v>
      </c>
      <c r="R280" t="e">
        <f>AND(#REF!,"AAAAAF93vxE=")</f>
        <v>#REF!</v>
      </c>
      <c r="S280" t="e">
        <f>AND(#REF!,"AAAAAF93vxI=")</f>
        <v>#REF!</v>
      </c>
      <c r="T280" t="e">
        <f>AND(#REF!,"AAAAAF93vxM=")</f>
        <v>#REF!</v>
      </c>
      <c r="U280" t="e">
        <f>AND(#REF!,"AAAAAF93vxQ=")</f>
        <v>#REF!</v>
      </c>
      <c r="V280" t="e">
        <f>AND(#REF!,"AAAAAF93vxU=")</f>
        <v>#REF!</v>
      </c>
      <c r="W280" t="e">
        <f>AND(#REF!,"AAAAAF93vxY=")</f>
        <v>#REF!</v>
      </c>
      <c r="X280" t="e">
        <f>AND(#REF!,"AAAAAF93vxc=")</f>
        <v>#REF!</v>
      </c>
      <c r="Y280" t="e">
        <f>AND(#REF!,"AAAAAF93vxg=")</f>
        <v>#REF!</v>
      </c>
      <c r="Z280" t="e">
        <f>AND(#REF!,"AAAAAF93vxk=")</f>
        <v>#REF!</v>
      </c>
      <c r="AA280" t="e">
        <f>AND(#REF!,"AAAAAF93vxo=")</f>
        <v>#REF!</v>
      </c>
      <c r="AB280" t="e">
        <f>AND(#REF!,"AAAAAF93vxs=")</f>
        <v>#REF!</v>
      </c>
      <c r="AC280" t="e">
        <f>AND(#REF!,"AAAAAF93vxw=")</f>
        <v>#REF!</v>
      </c>
      <c r="AD280" t="e">
        <f>AND(#REF!,"AAAAAF93vx0=")</f>
        <v>#REF!</v>
      </c>
      <c r="AE280" t="e">
        <f>AND(#REF!,"AAAAAF93vx4=")</f>
        <v>#REF!</v>
      </c>
      <c r="AF280" t="e">
        <f>AND(#REF!,"AAAAAF93vx8=")</f>
        <v>#REF!</v>
      </c>
      <c r="AG280" t="e">
        <f>AND(#REF!,"AAAAAF93vyA=")</f>
        <v>#REF!</v>
      </c>
      <c r="AH280" t="e">
        <f>AND(#REF!,"AAAAAF93vyE=")</f>
        <v>#REF!</v>
      </c>
      <c r="AI280" t="e">
        <f>AND(#REF!,"AAAAAF93vyI=")</f>
        <v>#REF!</v>
      </c>
      <c r="AJ280" t="e">
        <f>AND(#REF!,"AAAAAF93vyM=")</f>
        <v>#REF!</v>
      </c>
      <c r="AK280" t="e">
        <f>IF(#REF!,"AAAAAF93vyQ=",0)</f>
        <v>#REF!</v>
      </c>
      <c r="AL280" t="e">
        <f>AND(#REF!,"AAAAAF93vyU=")</f>
        <v>#REF!</v>
      </c>
      <c r="AM280" t="e">
        <f>AND(#REF!,"AAAAAF93vyY=")</f>
        <v>#REF!</v>
      </c>
      <c r="AN280" t="e">
        <f>AND(#REF!,"AAAAAF93vyc=")</f>
        <v>#REF!</v>
      </c>
      <c r="AO280" t="e">
        <f>AND(#REF!,"AAAAAF93vyg=")</f>
        <v>#REF!</v>
      </c>
      <c r="AP280" t="e">
        <f>AND(#REF!,"AAAAAF93vyk=")</f>
        <v>#REF!</v>
      </c>
      <c r="AQ280" t="e">
        <f>AND(#REF!,"AAAAAF93vyo=")</f>
        <v>#REF!</v>
      </c>
      <c r="AR280" t="e">
        <f>AND(#REF!,"AAAAAF93vys=")</f>
        <v>#REF!</v>
      </c>
      <c r="AS280" t="e">
        <f>AND(#REF!,"AAAAAF93vyw=")</f>
        <v>#REF!</v>
      </c>
      <c r="AT280" t="e">
        <f>AND(#REF!,"AAAAAF93vy0=")</f>
        <v>#REF!</v>
      </c>
      <c r="AU280" t="e">
        <f>AND(#REF!,"AAAAAF93vy4=")</f>
        <v>#REF!</v>
      </c>
      <c r="AV280" t="e">
        <f>AND(#REF!,"AAAAAF93vy8=")</f>
        <v>#REF!</v>
      </c>
      <c r="AW280" t="e">
        <f>AND(#REF!,"AAAAAF93vzA=")</f>
        <v>#REF!</v>
      </c>
      <c r="AX280" t="e">
        <f>AND(#REF!,"AAAAAF93vzE=")</f>
        <v>#REF!</v>
      </c>
      <c r="AY280" t="e">
        <f>AND(#REF!,"AAAAAF93vzI=")</f>
        <v>#REF!</v>
      </c>
      <c r="AZ280" t="e">
        <f>AND(#REF!,"AAAAAF93vzM=")</f>
        <v>#REF!</v>
      </c>
      <c r="BA280" t="e">
        <f>AND(#REF!,"AAAAAF93vzQ=")</f>
        <v>#REF!</v>
      </c>
      <c r="BB280" t="e">
        <f>AND(#REF!,"AAAAAF93vzU=")</f>
        <v>#REF!</v>
      </c>
      <c r="BC280" t="e">
        <f>AND(#REF!,"AAAAAF93vzY=")</f>
        <v>#REF!</v>
      </c>
      <c r="BD280" t="e">
        <f>AND(#REF!,"AAAAAF93vzc=")</f>
        <v>#REF!</v>
      </c>
      <c r="BE280" t="e">
        <f>AND(#REF!,"AAAAAF93vzg=")</f>
        <v>#REF!</v>
      </c>
      <c r="BF280" t="e">
        <f>AND(#REF!,"AAAAAF93vzk=")</f>
        <v>#REF!</v>
      </c>
      <c r="BG280" t="e">
        <f>AND(#REF!,"AAAAAF93vzo=")</f>
        <v>#REF!</v>
      </c>
      <c r="BH280" t="e">
        <f>AND(#REF!,"AAAAAF93vzs=")</f>
        <v>#REF!</v>
      </c>
      <c r="BI280" t="e">
        <f>AND(#REF!,"AAAAAF93vzw=")</f>
        <v>#REF!</v>
      </c>
      <c r="BJ280" t="e">
        <f>IF(#REF!,"AAAAAF93vz0=",0)</f>
        <v>#REF!</v>
      </c>
      <c r="BK280" t="e">
        <f>AND(#REF!,"AAAAAF93vz4=")</f>
        <v>#REF!</v>
      </c>
      <c r="BL280" t="e">
        <f>AND(#REF!,"AAAAAF93vz8=")</f>
        <v>#REF!</v>
      </c>
      <c r="BM280" t="e">
        <f>AND(#REF!,"AAAAAF93v0A=")</f>
        <v>#REF!</v>
      </c>
      <c r="BN280" t="e">
        <f>AND(#REF!,"AAAAAF93v0E=")</f>
        <v>#REF!</v>
      </c>
      <c r="BO280" t="e">
        <f>AND(#REF!,"AAAAAF93v0I=")</f>
        <v>#REF!</v>
      </c>
      <c r="BP280" t="e">
        <f>AND(#REF!,"AAAAAF93v0M=")</f>
        <v>#REF!</v>
      </c>
      <c r="BQ280" t="e">
        <f>AND(#REF!,"AAAAAF93v0Q=")</f>
        <v>#REF!</v>
      </c>
      <c r="BR280" t="e">
        <f>AND(#REF!,"AAAAAF93v0U=")</f>
        <v>#REF!</v>
      </c>
      <c r="BS280" t="e">
        <f>AND(#REF!,"AAAAAF93v0Y=")</f>
        <v>#REF!</v>
      </c>
      <c r="BT280" t="e">
        <f>AND(#REF!,"AAAAAF93v0c=")</f>
        <v>#REF!</v>
      </c>
      <c r="BU280" t="e">
        <f>AND(#REF!,"AAAAAF93v0g=")</f>
        <v>#REF!</v>
      </c>
      <c r="BV280" t="e">
        <f>AND(#REF!,"AAAAAF93v0k=")</f>
        <v>#REF!</v>
      </c>
      <c r="BW280" t="e">
        <f>AND(#REF!,"AAAAAF93v0o=")</f>
        <v>#REF!</v>
      </c>
      <c r="BX280" t="e">
        <f>AND(#REF!,"AAAAAF93v0s=")</f>
        <v>#REF!</v>
      </c>
      <c r="BY280" t="e">
        <f>AND(#REF!,"AAAAAF93v0w=")</f>
        <v>#REF!</v>
      </c>
      <c r="BZ280" t="e">
        <f>AND(#REF!,"AAAAAF93v00=")</f>
        <v>#REF!</v>
      </c>
      <c r="CA280" t="e">
        <f>AND(#REF!,"AAAAAF93v04=")</f>
        <v>#REF!</v>
      </c>
      <c r="CB280" t="e">
        <f>AND(#REF!,"AAAAAF93v08=")</f>
        <v>#REF!</v>
      </c>
      <c r="CC280" t="e">
        <f>AND(#REF!,"AAAAAF93v1A=")</f>
        <v>#REF!</v>
      </c>
      <c r="CD280" t="e">
        <f>AND(#REF!,"AAAAAF93v1E=")</f>
        <v>#REF!</v>
      </c>
      <c r="CE280" t="e">
        <f>AND(#REF!,"AAAAAF93v1I=")</f>
        <v>#REF!</v>
      </c>
      <c r="CF280" t="e">
        <f>AND(#REF!,"AAAAAF93v1M=")</f>
        <v>#REF!</v>
      </c>
      <c r="CG280" t="e">
        <f>AND(#REF!,"AAAAAF93v1Q=")</f>
        <v>#REF!</v>
      </c>
      <c r="CH280" t="e">
        <f>AND(#REF!,"AAAAAF93v1U=")</f>
        <v>#REF!</v>
      </c>
      <c r="CI280" t="e">
        <f>IF(#REF!,"AAAAAF93v1Y=",0)</f>
        <v>#REF!</v>
      </c>
      <c r="CJ280" t="e">
        <f>AND(#REF!,"AAAAAF93v1c=")</f>
        <v>#REF!</v>
      </c>
      <c r="CK280" t="e">
        <f>AND(#REF!,"AAAAAF93v1g=")</f>
        <v>#REF!</v>
      </c>
      <c r="CL280" t="e">
        <f>AND(#REF!,"AAAAAF93v1k=")</f>
        <v>#REF!</v>
      </c>
      <c r="CM280" t="e">
        <f>AND(#REF!,"AAAAAF93v1o=")</f>
        <v>#REF!</v>
      </c>
      <c r="CN280" t="e">
        <f>AND(#REF!,"AAAAAF93v1s=")</f>
        <v>#REF!</v>
      </c>
      <c r="CO280" t="e">
        <f>AND(#REF!,"AAAAAF93v1w=")</f>
        <v>#REF!</v>
      </c>
      <c r="CP280" t="e">
        <f>AND(#REF!,"AAAAAF93v10=")</f>
        <v>#REF!</v>
      </c>
      <c r="CQ280" t="e">
        <f>AND(#REF!,"AAAAAF93v14=")</f>
        <v>#REF!</v>
      </c>
      <c r="CR280" t="e">
        <f>AND(#REF!,"AAAAAF93v18=")</f>
        <v>#REF!</v>
      </c>
      <c r="CS280" t="e">
        <f>AND(#REF!,"AAAAAF93v2A=")</f>
        <v>#REF!</v>
      </c>
      <c r="CT280" t="e">
        <f>AND(#REF!,"AAAAAF93v2E=")</f>
        <v>#REF!</v>
      </c>
      <c r="CU280" t="e">
        <f>AND(#REF!,"AAAAAF93v2I=")</f>
        <v>#REF!</v>
      </c>
      <c r="CV280" t="e">
        <f>AND(#REF!,"AAAAAF93v2M=")</f>
        <v>#REF!</v>
      </c>
      <c r="CW280" t="e">
        <f>AND(#REF!,"AAAAAF93v2Q=")</f>
        <v>#REF!</v>
      </c>
      <c r="CX280" t="e">
        <f>AND(#REF!,"AAAAAF93v2U=")</f>
        <v>#REF!</v>
      </c>
      <c r="CY280" t="e">
        <f>AND(#REF!,"AAAAAF93v2Y=")</f>
        <v>#REF!</v>
      </c>
      <c r="CZ280" t="e">
        <f>AND(#REF!,"AAAAAF93v2c=")</f>
        <v>#REF!</v>
      </c>
      <c r="DA280" t="e">
        <f>AND(#REF!,"AAAAAF93v2g=")</f>
        <v>#REF!</v>
      </c>
      <c r="DB280" t="e">
        <f>AND(#REF!,"AAAAAF93v2k=")</f>
        <v>#REF!</v>
      </c>
      <c r="DC280" t="e">
        <f>AND(#REF!,"AAAAAF93v2o=")</f>
        <v>#REF!</v>
      </c>
      <c r="DD280" t="e">
        <f>AND(#REF!,"AAAAAF93v2s=")</f>
        <v>#REF!</v>
      </c>
      <c r="DE280" t="e">
        <f>AND(#REF!,"AAAAAF93v2w=")</f>
        <v>#REF!</v>
      </c>
      <c r="DF280" t="e">
        <f>AND(#REF!,"AAAAAF93v20=")</f>
        <v>#REF!</v>
      </c>
      <c r="DG280" t="e">
        <f>AND(#REF!,"AAAAAF93v24=")</f>
        <v>#REF!</v>
      </c>
      <c r="DH280" t="e">
        <f>IF(#REF!,"AAAAAF93v28=",0)</f>
        <v>#REF!</v>
      </c>
      <c r="DI280" t="e">
        <f>AND(#REF!,"AAAAAF93v3A=")</f>
        <v>#REF!</v>
      </c>
      <c r="DJ280" t="e">
        <f>AND(#REF!,"AAAAAF93v3E=")</f>
        <v>#REF!</v>
      </c>
      <c r="DK280" t="e">
        <f>AND(#REF!,"AAAAAF93v3I=")</f>
        <v>#REF!</v>
      </c>
      <c r="DL280" t="e">
        <f>AND(#REF!,"AAAAAF93v3M=")</f>
        <v>#REF!</v>
      </c>
      <c r="DM280" t="e">
        <f>AND(#REF!,"AAAAAF93v3Q=")</f>
        <v>#REF!</v>
      </c>
      <c r="DN280" t="e">
        <f>AND(#REF!,"AAAAAF93v3U=")</f>
        <v>#REF!</v>
      </c>
      <c r="DO280" t="e">
        <f>AND(#REF!,"AAAAAF93v3Y=")</f>
        <v>#REF!</v>
      </c>
      <c r="DP280" t="e">
        <f>AND(#REF!,"AAAAAF93v3c=")</f>
        <v>#REF!</v>
      </c>
      <c r="DQ280" t="e">
        <f>AND(#REF!,"AAAAAF93v3g=")</f>
        <v>#REF!</v>
      </c>
      <c r="DR280" t="e">
        <f>AND(#REF!,"AAAAAF93v3k=")</f>
        <v>#REF!</v>
      </c>
      <c r="DS280" t="e">
        <f>AND(#REF!,"AAAAAF93v3o=")</f>
        <v>#REF!</v>
      </c>
      <c r="DT280" t="e">
        <f>AND(#REF!,"AAAAAF93v3s=")</f>
        <v>#REF!</v>
      </c>
      <c r="DU280" t="e">
        <f>AND(#REF!,"AAAAAF93v3w=")</f>
        <v>#REF!</v>
      </c>
      <c r="DV280" t="e">
        <f>AND(#REF!,"AAAAAF93v30=")</f>
        <v>#REF!</v>
      </c>
      <c r="DW280" t="e">
        <f>AND(#REF!,"AAAAAF93v34=")</f>
        <v>#REF!</v>
      </c>
      <c r="DX280" t="e">
        <f>AND(#REF!,"AAAAAF93v38=")</f>
        <v>#REF!</v>
      </c>
      <c r="DY280" t="e">
        <f>AND(#REF!,"AAAAAF93v4A=")</f>
        <v>#REF!</v>
      </c>
      <c r="DZ280" t="e">
        <f>AND(#REF!,"AAAAAF93v4E=")</f>
        <v>#REF!</v>
      </c>
      <c r="EA280" t="e">
        <f>AND(#REF!,"AAAAAF93v4I=")</f>
        <v>#REF!</v>
      </c>
      <c r="EB280" t="e">
        <f>AND(#REF!,"AAAAAF93v4M=")</f>
        <v>#REF!</v>
      </c>
      <c r="EC280" t="e">
        <f>AND(#REF!,"AAAAAF93v4Q=")</f>
        <v>#REF!</v>
      </c>
      <c r="ED280" t="e">
        <f>AND(#REF!,"AAAAAF93v4U=")</f>
        <v>#REF!</v>
      </c>
      <c r="EE280" t="e">
        <f>AND(#REF!,"AAAAAF93v4Y=")</f>
        <v>#REF!</v>
      </c>
      <c r="EF280" t="e">
        <f>AND(#REF!,"AAAAAF93v4c=")</f>
        <v>#REF!</v>
      </c>
      <c r="EG280" t="e">
        <f>IF(#REF!,"AAAAAF93v4g=",0)</f>
        <v>#REF!</v>
      </c>
      <c r="EH280" t="e">
        <f>AND(#REF!,"AAAAAF93v4k=")</f>
        <v>#REF!</v>
      </c>
      <c r="EI280" t="e">
        <f>AND(#REF!,"AAAAAF93v4o=")</f>
        <v>#REF!</v>
      </c>
      <c r="EJ280" t="e">
        <f>AND(#REF!,"AAAAAF93v4s=")</f>
        <v>#REF!</v>
      </c>
      <c r="EK280" t="e">
        <f>AND(#REF!,"AAAAAF93v4w=")</f>
        <v>#REF!</v>
      </c>
      <c r="EL280" t="e">
        <f>AND(#REF!,"AAAAAF93v40=")</f>
        <v>#REF!</v>
      </c>
      <c r="EM280" t="e">
        <f>AND(#REF!,"AAAAAF93v44=")</f>
        <v>#REF!</v>
      </c>
      <c r="EN280" t="e">
        <f>AND(#REF!,"AAAAAF93v48=")</f>
        <v>#REF!</v>
      </c>
      <c r="EO280" t="e">
        <f>AND(#REF!,"AAAAAF93v5A=")</f>
        <v>#REF!</v>
      </c>
      <c r="EP280" t="e">
        <f>AND(#REF!,"AAAAAF93v5E=")</f>
        <v>#REF!</v>
      </c>
      <c r="EQ280" t="e">
        <f>AND(#REF!,"AAAAAF93v5I=")</f>
        <v>#REF!</v>
      </c>
      <c r="ER280" t="e">
        <f>AND(#REF!,"AAAAAF93v5M=")</f>
        <v>#REF!</v>
      </c>
      <c r="ES280" t="e">
        <f>AND(#REF!,"AAAAAF93v5Q=")</f>
        <v>#REF!</v>
      </c>
      <c r="ET280" t="e">
        <f>AND(#REF!,"AAAAAF93v5U=")</f>
        <v>#REF!</v>
      </c>
      <c r="EU280" t="e">
        <f>AND(#REF!,"AAAAAF93v5Y=")</f>
        <v>#REF!</v>
      </c>
      <c r="EV280" t="e">
        <f>AND(#REF!,"AAAAAF93v5c=")</f>
        <v>#REF!</v>
      </c>
      <c r="EW280" t="e">
        <f>AND(#REF!,"AAAAAF93v5g=")</f>
        <v>#REF!</v>
      </c>
      <c r="EX280" t="e">
        <f>AND(#REF!,"AAAAAF93v5k=")</f>
        <v>#REF!</v>
      </c>
      <c r="EY280" t="e">
        <f>AND(#REF!,"AAAAAF93v5o=")</f>
        <v>#REF!</v>
      </c>
      <c r="EZ280" t="e">
        <f>AND(#REF!,"AAAAAF93v5s=")</f>
        <v>#REF!</v>
      </c>
      <c r="FA280" t="e">
        <f>AND(#REF!,"AAAAAF93v5w=")</f>
        <v>#REF!</v>
      </c>
      <c r="FB280" t="e">
        <f>AND(#REF!,"AAAAAF93v50=")</f>
        <v>#REF!</v>
      </c>
      <c r="FC280" t="e">
        <f>AND(#REF!,"AAAAAF93v54=")</f>
        <v>#REF!</v>
      </c>
      <c r="FD280" t="e">
        <f>AND(#REF!,"AAAAAF93v58=")</f>
        <v>#REF!</v>
      </c>
      <c r="FE280" t="e">
        <f>AND(#REF!,"AAAAAF93v6A=")</f>
        <v>#REF!</v>
      </c>
      <c r="FF280" t="e">
        <f>IF(#REF!,"AAAAAF93v6E=",0)</f>
        <v>#REF!</v>
      </c>
      <c r="FG280" t="e">
        <f>AND(#REF!,"AAAAAF93v6I=")</f>
        <v>#REF!</v>
      </c>
      <c r="FH280" t="e">
        <f>AND(#REF!,"AAAAAF93v6M=")</f>
        <v>#REF!</v>
      </c>
      <c r="FI280" t="e">
        <f>AND(#REF!,"AAAAAF93v6Q=")</f>
        <v>#REF!</v>
      </c>
      <c r="FJ280" t="e">
        <f>AND(#REF!,"AAAAAF93v6U=")</f>
        <v>#REF!</v>
      </c>
      <c r="FK280" t="e">
        <f>AND(#REF!,"AAAAAF93v6Y=")</f>
        <v>#REF!</v>
      </c>
      <c r="FL280" t="e">
        <f>AND(#REF!,"AAAAAF93v6c=")</f>
        <v>#REF!</v>
      </c>
      <c r="FM280" t="e">
        <f>AND(#REF!,"AAAAAF93v6g=")</f>
        <v>#REF!</v>
      </c>
      <c r="FN280" t="e">
        <f>AND(#REF!,"AAAAAF93v6k=")</f>
        <v>#REF!</v>
      </c>
      <c r="FO280" t="e">
        <f>AND(#REF!,"AAAAAF93v6o=")</f>
        <v>#REF!</v>
      </c>
      <c r="FP280" t="e">
        <f>AND(#REF!,"AAAAAF93v6s=")</f>
        <v>#REF!</v>
      </c>
      <c r="FQ280" t="e">
        <f>AND(#REF!,"AAAAAF93v6w=")</f>
        <v>#REF!</v>
      </c>
      <c r="FR280" t="e">
        <f>AND(#REF!,"AAAAAF93v60=")</f>
        <v>#REF!</v>
      </c>
      <c r="FS280" t="e">
        <f>AND(#REF!,"AAAAAF93v64=")</f>
        <v>#REF!</v>
      </c>
      <c r="FT280" t="e">
        <f>AND(#REF!,"AAAAAF93v68=")</f>
        <v>#REF!</v>
      </c>
      <c r="FU280" t="e">
        <f>AND(#REF!,"AAAAAF93v7A=")</f>
        <v>#REF!</v>
      </c>
      <c r="FV280" t="e">
        <f>AND(#REF!,"AAAAAF93v7E=")</f>
        <v>#REF!</v>
      </c>
      <c r="FW280" t="e">
        <f>AND(#REF!,"AAAAAF93v7I=")</f>
        <v>#REF!</v>
      </c>
      <c r="FX280" t="e">
        <f>AND(#REF!,"AAAAAF93v7M=")</f>
        <v>#REF!</v>
      </c>
      <c r="FY280" t="e">
        <f>AND(#REF!,"AAAAAF93v7Q=")</f>
        <v>#REF!</v>
      </c>
      <c r="FZ280" t="e">
        <f>AND(#REF!,"AAAAAF93v7U=")</f>
        <v>#REF!</v>
      </c>
      <c r="GA280" t="e">
        <f>AND(#REF!,"AAAAAF93v7Y=")</f>
        <v>#REF!</v>
      </c>
      <c r="GB280" t="e">
        <f>AND(#REF!,"AAAAAF93v7c=")</f>
        <v>#REF!</v>
      </c>
      <c r="GC280" t="e">
        <f>AND(#REF!,"AAAAAF93v7g=")</f>
        <v>#REF!</v>
      </c>
      <c r="GD280" t="e">
        <f>AND(#REF!,"AAAAAF93v7k=")</f>
        <v>#REF!</v>
      </c>
      <c r="GE280" t="e">
        <f>IF(#REF!,"AAAAAF93v7o=",0)</f>
        <v>#REF!</v>
      </c>
      <c r="GF280" t="e">
        <f>AND(#REF!,"AAAAAF93v7s=")</f>
        <v>#REF!</v>
      </c>
      <c r="GG280" t="e">
        <f>AND(#REF!,"AAAAAF93v7w=")</f>
        <v>#REF!</v>
      </c>
      <c r="GH280" t="e">
        <f>AND(#REF!,"AAAAAF93v70=")</f>
        <v>#REF!</v>
      </c>
      <c r="GI280" t="e">
        <f>AND(#REF!,"AAAAAF93v74=")</f>
        <v>#REF!</v>
      </c>
      <c r="GJ280" t="e">
        <f>AND(#REF!,"AAAAAF93v78=")</f>
        <v>#REF!</v>
      </c>
      <c r="GK280" t="e">
        <f>AND(#REF!,"AAAAAF93v8A=")</f>
        <v>#REF!</v>
      </c>
      <c r="GL280" t="e">
        <f>AND(#REF!,"AAAAAF93v8E=")</f>
        <v>#REF!</v>
      </c>
      <c r="GM280" t="e">
        <f>AND(#REF!,"AAAAAF93v8I=")</f>
        <v>#REF!</v>
      </c>
      <c r="GN280" t="e">
        <f>AND(#REF!,"AAAAAF93v8M=")</f>
        <v>#REF!</v>
      </c>
      <c r="GO280" t="e">
        <f>AND(#REF!,"AAAAAF93v8Q=")</f>
        <v>#REF!</v>
      </c>
      <c r="GP280" t="e">
        <f>AND(#REF!,"AAAAAF93v8U=")</f>
        <v>#REF!</v>
      </c>
      <c r="GQ280" t="e">
        <f>AND(#REF!,"AAAAAF93v8Y=")</f>
        <v>#REF!</v>
      </c>
      <c r="GR280" t="e">
        <f>AND(#REF!,"AAAAAF93v8c=")</f>
        <v>#REF!</v>
      </c>
      <c r="GS280" t="e">
        <f>AND(#REF!,"AAAAAF93v8g=")</f>
        <v>#REF!</v>
      </c>
      <c r="GT280" t="e">
        <f>AND(#REF!,"AAAAAF93v8k=")</f>
        <v>#REF!</v>
      </c>
      <c r="GU280" t="e">
        <f>AND(#REF!,"AAAAAF93v8o=")</f>
        <v>#REF!</v>
      </c>
      <c r="GV280" t="e">
        <f>AND(#REF!,"AAAAAF93v8s=")</f>
        <v>#REF!</v>
      </c>
      <c r="GW280" t="e">
        <f>AND(#REF!,"AAAAAF93v8w=")</f>
        <v>#REF!</v>
      </c>
      <c r="GX280" t="e">
        <f>AND(#REF!,"AAAAAF93v80=")</f>
        <v>#REF!</v>
      </c>
      <c r="GY280" t="e">
        <f>AND(#REF!,"AAAAAF93v84=")</f>
        <v>#REF!</v>
      </c>
      <c r="GZ280" t="e">
        <f>AND(#REF!,"AAAAAF93v88=")</f>
        <v>#REF!</v>
      </c>
      <c r="HA280" t="e">
        <f>AND(#REF!,"AAAAAF93v9A=")</f>
        <v>#REF!</v>
      </c>
      <c r="HB280" t="e">
        <f>AND(#REF!,"AAAAAF93v9E=")</f>
        <v>#REF!</v>
      </c>
      <c r="HC280" t="e">
        <f>AND(#REF!,"AAAAAF93v9I=")</f>
        <v>#REF!</v>
      </c>
      <c r="HD280" t="e">
        <f>IF(#REF!,"AAAAAF93v9M=",0)</f>
        <v>#REF!</v>
      </c>
      <c r="HE280" t="e">
        <f>AND(#REF!,"AAAAAF93v9Q=")</f>
        <v>#REF!</v>
      </c>
      <c r="HF280" t="e">
        <f>AND(#REF!,"AAAAAF93v9U=")</f>
        <v>#REF!</v>
      </c>
      <c r="HG280" t="e">
        <f>AND(#REF!,"AAAAAF93v9Y=")</f>
        <v>#REF!</v>
      </c>
      <c r="HH280" t="e">
        <f>AND(#REF!,"AAAAAF93v9c=")</f>
        <v>#REF!</v>
      </c>
      <c r="HI280" t="e">
        <f>AND(#REF!,"AAAAAF93v9g=")</f>
        <v>#REF!</v>
      </c>
      <c r="HJ280" t="e">
        <f>AND(#REF!,"AAAAAF93v9k=")</f>
        <v>#REF!</v>
      </c>
      <c r="HK280" t="e">
        <f>AND(#REF!,"AAAAAF93v9o=")</f>
        <v>#REF!</v>
      </c>
      <c r="HL280" t="e">
        <f>AND(#REF!,"AAAAAF93v9s=")</f>
        <v>#REF!</v>
      </c>
      <c r="HM280" t="e">
        <f>AND(#REF!,"AAAAAF93v9w=")</f>
        <v>#REF!</v>
      </c>
      <c r="HN280" t="e">
        <f>AND(#REF!,"AAAAAF93v90=")</f>
        <v>#REF!</v>
      </c>
      <c r="HO280" t="e">
        <f>AND(#REF!,"AAAAAF93v94=")</f>
        <v>#REF!</v>
      </c>
      <c r="HP280" t="e">
        <f>AND(#REF!,"AAAAAF93v98=")</f>
        <v>#REF!</v>
      </c>
      <c r="HQ280" t="e">
        <f>AND(#REF!,"AAAAAF93v+A=")</f>
        <v>#REF!</v>
      </c>
      <c r="HR280" t="e">
        <f>AND(#REF!,"AAAAAF93v+E=")</f>
        <v>#REF!</v>
      </c>
      <c r="HS280" t="e">
        <f>AND(#REF!,"AAAAAF93v+I=")</f>
        <v>#REF!</v>
      </c>
      <c r="HT280" t="e">
        <f>AND(#REF!,"AAAAAF93v+M=")</f>
        <v>#REF!</v>
      </c>
      <c r="HU280" t="e">
        <f>AND(#REF!,"AAAAAF93v+Q=")</f>
        <v>#REF!</v>
      </c>
      <c r="HV280" t="e">
        <f>AND(#REF!,"AAAAAF93v+U=")</f>
        <v>#REF!</v>
      </c>
      <c r="HW280" t="e">
        <f>AND(#REF!,"AAAAAF93v+Y=")</f>
        <v>#REF!</v>
      </c>
      <c r="HX280" t="e">
        <f>AND(#REF!,"AAAAAF93v+c=")</f>
        <v>#REF!</v>
      </c>
      <c r="HY280" t="e">
        <f>AND(#REF!,"AAAAAF93v+g=")</f>
        <v>#REF!</v>
      </c>
      <c r="HZ280" t="e">
        <f>AND(#REF!,"AAAAAF93v+k=")</f>
        <v>#REF!</v>
      </c>
      <c r="IA280" t="e">
        <f>AND(#REF!,"AAAAAF93v+o=")</f>
        <v>#REF!</v>
      </c>
      <c r="IB280" t="e">
        <f>AND(#REF!,"AAAAAF93v+s=")</f>
        <v>#REF!</v>
      </c>
      <c r="IC280" t="e">
        <f>IF(#REF!,"AAAAAF93v+w=",0)</f>
        <v>#REF!</v>
      </c>
      <c r="ID280" t="e">
        <f>AND(#REF!,"AAAAAF93v+0=")</f>
        <v>#REF!</v>
      </c>
      <c r="IE280" t="e">
        <f>AND(#REF!,"AAAAAF93v+4=")</f>
        <v>#REF!</v>
      </c>
      <c r="IF280" t="e">
        <f>AND(#REF!,"AAAAAF93v+8=")</f>
        <v>#REF!</v>
      </c>
      <c r="IG280" t="e">
        <f>AND(#REF!,"AAAAAF93v/A=")</f>
        <v>#REF!</v>
      </c>
      <c r="IH280" t="e">
        <f>AND(#REF!,"AAAAAF93v/E=")</f>
        <v>#REF!</v>
      </c>
      <c r="II280" t="e">
        <f>AND(#REF!,"AAAAAF93v/I=")</f>
        <v>#REF!</v>
      </c>
      <c r="IJ280" t="e">
        <f>AND(#REF!,"AAAAAF93v/M=")</f>
        <v>#REF!</v>
      </c>
      <c r="IK280" t="e">
        <f>AND(#REF!,"AAAAAF93v/Q=")</f>
        <v>#REF!</v>
      </c>
      <c r="IL280" t="e">
        <f>AND(#REF!,"AAAAAF93v/U=")</f>
        <v>#REF!</v>
      </c>
      <c r="IM280" t="e">
        <f>AND(#REF!,"AAAAAF93v/Y=")</f>
        <v>#REF!</v>
      </c>
      <c r="IN280" t="e">
        <f>AND(#REF!,"AAAAAF93v/c=")</f>
        <v>#REF!</v>
      </c>
      <c r="IO280" t="e">
        <f>AND(#REF!,"AAAAAF93v/g=")</f>
        <v>#REF!</v>
      </c>
      <c r="IP280" t="e">
        <f>AND(#REF!,"AAAAAF93v/k=")</f>
        <v>#REF!</v>
      </c>
      <c r="IQ280" t="e">
        <f>AND(#REF!,"AAAAAF93v/o=")</f>
        <v>#REF!</v>
      </c>
      <c r="IR280" t="e">
        <f>AND(#REF!,"AAAAAF93v/s=")</f>
        <v>#REF!</v>
      </c>
      <c r="IS280" t="e">
        <f>AND(#REF!,"AAAAAF93v/w=")</f>
        <v>#REF!</v>
      </c>
      <c r="IT280" t="e">
        <f>AND(#REF!,"AAAAAF93v/0=")</f>
        <v>#REF!</v>
      </c>
      <c r="IU280" t="e">
        <f>AND(#REF!,"AAAAAF93v/4=")</f>
        <v>#REF!</v>
      </c>
      <c r="IV280" t="e">
        <f>AND(#REF!,"AAAAAF93v/8=")</f>
        <v>#REF!</v>
      </c>
    </row>
    <row r="281" spans="1:256">
      <c r="A281" t="e">
        <f>AND(#REF!,"AAAAAHd/3wA=")</f>
        <v>#REF!</v>
      </c>
      <c r="B281" t="e">
        <f>AND(#REF!,"AAAAAHd/3wE=")</f>
        <v>#REF!</v>
      </c>
      <c r="C281" t="e">
        <f>AND(#REF!,"AAAAAHd/3wI=")</f>
        <v>#REF!</v>
      </c>
      <c r="D281" t="e">
        <f>AND(#REF!,"AAAAAHd/3wM=")</f>
        <v>#REF!</v>
      </c>
      <c r="E281" t="e">
        <f>AND(#REF!,"AAAAAHd/3wQ=")</f>
        <v>#REF!</v>
      </c>
      <c r="F281" t="e">
        <f>IF(#REF!,"AAAAAHd/3wU=",0)</f>
        <v>#REF!</v>
      </c>
      <c r="G281" t="e">
        <f>AND(#REF!,"AAAAAHd/3wY=")</f>
        <v>#REF!</v>
      </c>
      <c r="H281" t="e">
        <f>AND(#REF!,"AAAAAHd/3wc=")</f>
        <v>#REF!</v>
      </c>
      <c r="I281" t="e">
        <f>AND(#REF!,"AAAAAHd/3wg=")</f>
        <v>#REF!</v>
      </c>
      <c r="J281" t="e">
        <f>AND(#REF!,"AAAAAHd/3wk=")</f>
        <v>#REF!</v>
      </c>
      <c r="K281" t="e">
        <f>AND(#REF!,"AAAAAHd/3wo=")</f>
        <v>#REF!</v>
      </c>
      <c r="L281" t="e">
        <f>AND(#REF!,"AAAAAHd/3ws=")</f>
        <v>#REF!</v>
      </c>
      <c r="M281" t="e">
        <f>AND(#REF!,"AAAAAHd/3ww=")</f>
        <v>#REF!</v>
      </c>
      <c r="N281" t="e">
        <f>AND(#REF!,"AAAAAHd/3w0=")</f>
        <v>#REF!</v>
      </c>
      <c r="O281" t="e">
        <f>AND(#REF!,"AAAAAHd/3w4=")</f>
        <v>#REF!</v>
      </c>
      <c r="P281" t="e">
        <f>AND(#REF!,"AAAAAHd/3w8=")</f>
        <v>#REF!</v>
      </c>
      <c r="Q281" t="e">
        <f>AND(#REF!,"AAAAAHd/3xA=")</f>
        <v>#REF!</v>
      </c>
      <c r="R281" t="e">
        <f>AND(#REF!,"AAAAAHd/3xE=")</f>
        <v>#REF!</v>
      </c>
      <c r="S281" t="e">
        <f>AND(#REF!,"AAAAAHd/3xI=")</f>
        <v>#REF!</v>
      </c>
      <c r="T281" t="e">
        <f>AND(#REF!,"AAAAAHd/3xM=")</f>
        <v>#REF!</v>
      </c>
      <c r="U281" t="e">
        <f>AND(#REF!,"AAAAAHd/3xQ=")</f>
        <v>#REF!</v>
      </c>
      <c r="V281" t="e">
        <f>AND(#REF!,"AAAAAHd/3xU=")</f>
        <v>#REF!</v>
      </c>
      <c r="W281" t="e">
        <f>AND(#REF!,"AAAAAHd/3xY=")</f>
        <v>#REF!</v>
      </c>
      <c r="X281" t="e">
        <f>AND(#REF!,"AAAAAHd/3xc=")</f>
        <v>#REF!</v>
      </c>
      <c r="Y281" t="e">
        <f>AND(#REF!,"AAAAAHd/3xg=")</f>
        <v>#REF!</v>
      </c>
      <c r="Z281" t="e">
        <f>AND(#REF!,"AAAAAHd/3xk=")</f>
        <v>#REF!</v>
      </c>
      <c r="AA281" t="e">
        <f>AND(#REF!,"AAAAAHd/3xo=")</f>
        <v>#REF!</v>
      </c>
      <c r="AB281" t="e">
        <f>AND(#REF!,"AAAAAHd/3xs=")</f>
        <v>#REF!</v>
      </c>
      <c r="AC281" t="e">
        <f>AND(#REF!,"AAAAAHd/3xw=")</f>
        <v>#REF!</v>
      </c>
      <c r="AD281" t="e">
        <f>AND(#REF!,"AAAAAHd/3x0=")</f>
        <v>#REF!</v>
      </c>
      <c r="AE281" t="e">
        <f>IF(#REF!,"AAAAAHd/3x4=",0)</f>
        <v>#REF!</v>
      </c>
      <c r="AF281" t="e">
        <f>AND(#REF!,"AAAAAHd/3x8=")</f>
        <v>#REF!</v>
      </c>
      <c r="AG281" t="e">
        <f>AND(#REF!,"AAAAAHd/3yA=")</f>
        <v>#REF!</v>
      </c>
      <c r="AH281" t="e">
        <f>AND(#REF!,"AAAAAHd/3yE=")</f>
        <v>#REF!</v>
      </c>
      <c r="AI281" t="e">
        <f>AND(#REF!,"AAAAAHd/3yI=")</f>
        <v>#REF!</v>
      </c>
      <c r="AJ281" t="e">
        <f>AND(#REF!,"AAAAAHd/3yM=")</f>
        <v>#REF!</v>
      </c>
      <c r="AK281" t="e">
        <f>AND(#REF!,"AAAAAHd/3yQ=")</f>
        <v>#REF!</v>
      </c>
      <c r="AL281" t="e">
        <f>AND(#REF!,"AAAAAHd/3yU=")</f>
        <v>#REF!</v>
      </c>
      <c r="AM281" t="e">
        <f>AND(#REF!,"AAAAAHd/3yY=")</f>
        <v>#REF!</v>
      </c>
      <c r="AN281" t="e">
        <f>AND(#REF!,"AAAAAHd/3yc=")</f>
        <v>#REF!</v>
      </c>
      <c r="AO281" t="e">
        <f>AND(#REF!,"AAAAAHd/3yg=")</f>
        <v>#REF!</v>
      </c>
      <c r="AP281" t="e">
        <f>AND(#REF!,"AAAAAHd/3yk=")</f>
        <v>#REF!</v>
      </c>
      <c r="AQ281" t="e">
        <f>AND(#REF!,"AAAAAHd/3yo=")</f>
        <v>#REF!</v>
      </c>
      <c r="AR281" t="e">
        <f>AND(#REF!,"AAAAAHd/3ys=")</f>
        <v>#REF!</v>
      </c>
      <c r="AS281" t="e">
        <f>AND(#REF!,"AAAAAHd/3yw=")</f>
        <v>#REF!</v>
      </c>
      <c r="AT281" t="e">
        <f>AND(#REF!,"AAAAAHd/3y0=")</f>
        <v>#REF!</v>
      </c>
      <c r="AU281" t="e">
        <f>AND(#REF!,"AAAAAHd/3y4=")</f>
        <v>#REF!</v>
      </c>
      <c r="AV281" t="e">
        <f>AND(#REF!,"AAAAAHd/3y8=")</f>
        <v>#REF!</v>
      </c>
      <c r="AW281" t="e">
        <f>AND(#REF!,"AAAAAHd/3zA=")</f>
        <v>#REF!</v>
      </c>
      <c r="AX281" t="e">
        <f>AND(#REF!,"AAAAAHd/3zE=")</f>
        <v>#REF!</v>
      </c>
      <c r="AY281" t="e">
        <f>AND(#REF!,"AAAAAHd/3zI=")</f>
        <v>#REF!</v>
      </c>
      <c r="AZ281" t="e">
        <f>AND(#REF!,"AAAAAHd/3zM=")</f>
        <v>#REF!</v>
      </c>
      <c r="BA281" t="e">
        <f>AND(#REF!,"AAAAAHd/3zQ=")</f>
        <v>#REF!</v>
      </c>
      <c r="BB281" t="e">
        <f>AND(#REF!,"AAAAAHd/3zU=")</f>
        <v>#REF!</v>
      </c>
      <c r="BC281" t="e">
        <f>AND(#REF!,"AAAAAHd/3zY=")</f>
        <v>#REF!</v>
      </c>
      <c r="BD281" t="e">
        <f>IF(#REF!,"AAAAAHd/3zc=",0)</f>
        <v>#REF!</v>
      </c>
      <c r="BE281" t="e">
        <f>AND(#REF!,"AAAAAHd/3zg=")</f>
        <v>#REF!</v>
      </c>
      <c r="BF281" t="e">
        <f>AND(#REF!,"AAAAAHd/3zk=")</f>
        <v>#REF!</v>
      </c>
      <c r="BG281" t="e">
        <f>AND(#REF!,"AAAAAHd/3zo=")</f>
        <v>#REF!</v>
      </c>
      <c r="BH281" t="e">
        <f>AND(#REF!,"AAAAAHd/3zs=")</f>
        <v>#REF!</v>
      </c>
      <c r="BI281" t="e">
        <f>AND(#REF!,"AAAAAHd/3zw=")</f>
        <v>#REF!</v>
      </c>
      <c r="BJ281" t="e">
        <f>AND(#REF!,"AAAAAHd/3z0=")</f>
        <v>#REF!</v>
      </c>
      <c r="BK281" t="e">
        <f>AND(#REF!,"AAAAAHd/3z4=")</f>
        <v>#REF!</v>
      </c>
      <c r="BL281" t="e">
        <f>AND(#REF!,"AAAAAHd/3z8=")</f>
        <v>#REF!</v>
      </c>
      <c r="BM281" t="e">
        <f>AND(#REF!,"AAAAAHd/30A=")</f>
        <v>#REF!</v>
      </c>
      <c r="BN281" t="e">
        <f>AND(#REF!,"AAAAAHd/30E=")</f>
        <v>#REF!</v>
      </c>
      <c r="BO281" t="e">
        <f>AND(#REF!,"AAAAAHd/30I=")</f>
        <v>#REF!</v>
      </c>
      <c r="BP281" t="e">
        <f>AND(#REF!,"AAAAAHd/30M=")</f>
        <v>#REF!</v>
      </c>
      <c r="BQ281" t="e">
        <f>AND(#REF!,"AAAAAHd/30Q=")</f>
        <v>#REF!</v>
      </c>
      <c r="BR281" t="e">
        <f>AND(#REF!,"AAAAAHd/30U=")</f>
        <v>#REF!</v>
      </c>
      <c r="BS281" t="e">
        <f>AND(#REF!,"AAAAAHd/30Y=")</f>
        <v>#REF!</v>
      </c>
      <c r="BT281" t="e">
        <f>AND(#REF!,"AAAAAHd/30c=")</f>
        <v>#REF!</v>
      </c>
      <c r="BU281" t="e">
        <f>AND(#REF!,"AAAAAHd/30g=")</f>
        <v>#REF!</v>
      </c>
      <c r="BV281" t="e">
        <f>AND(#REF!,"AAAAAHd/30k=")</f>
        <v>#REF!</v>
      </c>
      <c r="BW281" t="e">
        <f>AND(#REF!,"AAAAAHd/30o=")</f>
        <v>#REF!</v>
      </c>
      <c r="BX281" t="e">
        <f>AND(#REF!,"AAAAAHd/30s=")</f>
        <v>#REF!</v>
      </c>
      <c r="BY281" t="e">
        <f>AND(#REF!,"AAAAAHd/30w=")</f>
        <v>#REF!</v>
      </c>
      <c r="BZ281" t="e">
        <f>AND(#REF!,"AAAAAHd/300=")</f>
        <v>#REF!</v>
      </c>
      <c r="CA281" t="e">
        <f>AND(#REF!,"AAAAAHd/304=")</f>
        <v>#REF!</v>
      </c>
      <c r="CB281" t="e">
        <f>AND(#REF!,"AAAAAHd/308=")</f>
        <v>#REF!</v>
      </c>
      <c r="CC281" t="e">
        <f>IF(#REF!,"AAAAAHd/31A=",0)</f>
        <v>#REF!</v>
      </c>
      <c r="CD281" t="e">
        <f>AND(#REF!,"AAAAAHd/31E=")</f>
        <v>#REF!</v>
      </c>
      <c r="CE281" t="e">
        <f>AND(#REF!,"AAAAAHd/31I=")</f>
        <v>#REF!</v>
      </c>
      <c r="CF281" t="e">
        <f>AND(#REF!,"AAAAAHd/31M=")</f>
        <v>#REF!</v>
      </c>
      <c r="CG281" t="e">
        <f>AND(#REF!,"AAAAAHd/31Q=")</f>
        <v>#REF!</v>
      </c>
      <c r="CH281" t="e">
        <f>AND(#REF!,"AAAAAHd/31U=")</f>
        <v>#REF!</v>
      </c>
      <c r="CI281" t="e">
        <f>AND(#REF!,"AAAAAHd/31Y=")</f>
        <v>#REF!</v>
      </c>
      <c r="CJ281" t="e">
        <f>AND(#REF!,"AAAAAHd/31c=")</f>
        <v>#REF!</v>
      </c>
      <c r="CK281" t="e">
        <f>AND(#REF!,"AAAAAHd/31g=")</f>
        <v>#REF!</v>
      </c>
      <c r="CL281" t="e">
        <f>AND(#REF!,"AAAAAHd/31k=")</f>
        <v>#REF!</v>
      </c>
      <c r="CM281" t="e">
        <f>AND(#REF!,"AAAAAHd/31o=")</f>
        <v>#REF!</v>
      </c>
      <c r="CN281" t="e">
        <f>AND(#REF!,"AAAAAHd/31s=")</f>
        <v>#REF!</v>
      </c>
      <c r="CO281" t="e">
        <f>AND(#REF!,"AAAAAHd/31w=")</f>
        <v>#REF!</v>
      </c>
      <c r="CP281" t="e">
        <f>AND(#REF!,"AAAAAHd/310=")</f>
        <v>#REF!</v>
      </c>
      <c r="CQ281" t="e">
        <f>AND(#REF!,"AAAAAHd/314=")</f>
        <v>#REF!</v>
      </c>
      <c r="CR281" t="e">
        <f>AND(#REF!,"AAAAAHd/318=")</f>
        <v>#REF!</v>
      </c>
      <c r="CS281" t="e">
        <f>AND(#REF!,"AAAAAHd/32A=")</f>
        <v>#REF!</v>
      </c>
      <c r="CT281" t="e">
        <f>AND(#REF!,"AAAAAHd/32E=")</f>
        <v>#REF!</v>
      </c>
      <c r="CU281" t="e">
        <f>AND(#REF!,"AAAAAHd/32I=")</f>
        <v>#REF!</v>
      </c>
      <c r="CV281" t="e">
        <f>AND(#REF!,"AAAAAHd/32M=")</f>
        <v>#REF!</v>
      </c>
      <c r="CW281" t="e">
        <f>AND(#REF!,"AAAAAHd/32Q=")</f>
        <v>#REF!</v>
      </c>
      <c r="CX281" t="e">
        <f>AND(#REF!,"AAAAAHd/32U=")</f>
        <v>#REF!</v>
      </c>
      <c r="CY281" t="e">
        <f>AND(#REF!,"AAAAAHd/32Y=")</f>
        <v>#REF!</v>
      </c>
      <c r="CZ281" t="e">
        <f>AND(#REF!,"AAAAAHd/32c=")</f>
        <v>#REF!</v>
      </c>
      <c r="DA281" t="e">
        <f>AND(#REF!,"AAAAAHd/32g=")</f>
        <v>#REF!</v>
      </c>
      <c r="DB281" t="e">
        <f>IF(#REF!,"AAAAAHd/32k=",0)</f>
        <v>#REF!</v>
      </c>
      <c r="DC281" t="e">
        <f>AND(#REF!,"AAAAAHd/32o=")</f>
        <v>#REF!</v>
      </c>
      <c r="DD281" t="e">
        <f>AND(#REF!,"AAAAAHd/32s=")</f>
        <v>#REF!</v>
      </c>
      <c r="DE281" t="e">
        <f>AND(#REF!,"AAAAAHd/32w=")</f>
        <v>#REF!</v>
      </c>
      <c r="DF281" t="e">
        <f>AND(#REF!,"AAAAAHd/320=")</f>
        <v>#REF!</v>
      </c>
      <c r="DG281" t="e">
        <f>AND(#REF!,"AAAAAHd/324=")</f>
        <v>#REF!</v>
      </c>
      <c r="DH281" t="e">
        <f>AND(#REF!,"AAAAAHd/328=")</f>
        <v>#REF!</v>
      </c>
      <c r="DI281" t="e">
        <f>AND(#REF!,"AAAAAHd/33A=")</f>
        <v>#REF!</v>
      </c>
      <c r="DJ281" t="e">
        <f>AND(#REF!,"AAAAAHd/33E=")</f>
        <v>#REF!</v>
      </c>
      <c r="DK281" t="e">
        <f>AND(#REF!,"AAAAAHd/33I=")</f>
        <v>#REF!</v>
      </c>
      <c r="DL281" t="e">
        <f>AND(#REF!,"AAAAAHd/33M=")</f>
        <v>#REF!</v>
      </c>
      <c r="DM281" t="e">
        <f>AND(#REF!,"AAAAAHd/33Q=")</f>
        <v>#REF!</v>
      </c>
      <c r="DN281" t="e">
        <f>AND(#REF!,"AAAAAHd/33U=")</f>
        <v>#REF!</v>
      </c>
      <c r="DO281" t="e">
        <f>AND(#REF!,"AAAAAHd/33Y=")</f>
        <v>#REF!</v>
      </c>
      <c r="DP281" t="e">
        <f>AND(#REF!,"AAAAAHd/33c=")</f>
        <v>#REF!</v>
      </c>
      <c r="DQ281" t="e">
        <f>AND(#REF!,"AAAAAHd/33g=")</f>
        <v>#REF!</v>
      </c>
      <c r="DR281" t="e">
        <f>AND(#REF!,"AAAAAHd/33k=")</f>
        <v>#REF!</v>
      </c>
      <c r="DS281" t="e">
        <f>AND(#REF!,"AAAAAHd/33o=")</f>
        <v>#REF!</v>
      </c>
      <c r="DT281" t="e">
        <f>AND(#REF!,"AAAAAHd/33s=")</f>
        <v>#REF!</v>
      </c>
      <c r="DU281" t="e">
        <f>AND(#REF!,"AAAAAHd/33w=")</f>
        <v>#REF!</v>
      </c>
      <c r="DV281" t="e">
        <f>AND(#REF!,"AAAAAHd/330=")</f>
        <v>#REF!</v>
      </c>
      <c r="DW281" t="e">
        <f>AND(#REF!,"AAAAAHd/334=")</f>
        <v>#REF!</v>
      </c>
      <c r="DX281" t="e">
        <f>AND(#REF!,"AAAAAHd/338=")</f>
        <v>#REF!</v>
      </c>
      <c r="DY281" t="e">
        <f>AND(#REF!,"AAAAAHd/34A=")</f>
        <v>#REF!</v>
      </c>
      <c r="DZ281" t="e">
        <f>AND(#REF!,"AAAAAHd/34E=")</f>
        <v>#REF!</v>
      </c>
      <c r="EA281" t="e">
        <f>IF(#REF!,"AAAAAHd/34I=",0)</f>
        <v>#REF!</v>
      </c>
      <c r="EB281" t="e">
        <f>AND(#REF!,"AAAAAHd/34M=")</f>
        <v>#REF!</v>
      </c>
      <c r="EC281" t="e">
        <f>AND(#REF!,"AAAAAHd/34Q=")</f>
        <v>#REF!</v>
      </c>
      <c r="ED281" t="e">
        <f>AND(#REF!,"AAAAAHd/34U=")</f>
        <v>#REF!</v>
      </c>
      <c r="EE281" t="e">
        <f>AND(#REF!,"AAAAAHd/34Y=")</f>
        <v>#REF!</v>
      </c>
      <c r="EF281" t="e">
        <f>AND(#REF!,"AAAAAHd/34c=")</f>
        <v>#REF!</v>
      </c>
      <c r="EG281" t="e">
        <f>AND(#REF!,"AAAAAHd/34g=")</f>
        <v>#REF!</v>
      </c>
      <c r="EH281" t="e">
        <f>AND(#REF!,"AAAAAHd/34k=")</f>
        <v>#REF!</v>
      </c>
      <c r="EI281" t="e">
        <f>AND(#REF!,"AAAAAHd/34o=")</f>
        <v>#REF!</v>
      </c>
      <c r="EJ281" t="e">
        <f>AND(#REF!,"AAAAAHd/34s=")</f>
        <v>#REF!</v>
      </c>
      <c r="EK281" t="e">
        <f>AND(#REF!,"AAAAAHd/34w=")</f>
        <v>#REF!</v>
      </c>
      <c r="EL281" t="e">
        <f>AND(#REF!,"AAAAAHd/340=")</f>
        <v>#REF!</v>
      </c>
      <c r="EM281" t="e">
        <f>AND(#REF!,"AAAAAHd/344=")</f>
        <v>#REF!</v>
      </c>
      <c r="EN281" t="e">
        <f>AND(#REF!,"AAAAAHd/348=")</f>
        <v>#REF!</v>
      </c>
      <c r="EO281" t="e">
        <f>AND(#REF!,"AAAAAHd/35A=")</f>
        <v>#REF!</v>
      </c>
      <c r="EP281" t="e">
        <f>AND(#REF!,"AAAAAHd/35E=")</f>
        <v>#REF!</v>
      </c>
      <c r="EQ281" t="e">
        <f>AND(#REF!,"AAAAAHd/35I=")</f>
        <v>#REF!</v>
      </c>
      <c r="ER281" t="e">
        <f>AND(#REF!,"AAAAAHd/35M=")</f>
        <v>#REF!</v>
      </c>
      <c r="ES281" t="e">
        <f>AND(#REF!,"AAAAAHd/35Q=")</f>
        <v>#REF!</v>
      </c>
      <c r="ET281" t="e">
        <f>AND(#REF!,"AAAAAHd/35U=")</f>
        <v>#REF!</v>
      </c>
      <c r="EU281" t="e">
        <f>AND(#REF!,"AAAAAHd/35Y=")</f>
        <v>#REF!</v>
      </c>
      <c r="EV281" t="e">
        <f>AND(#REF!,"AAAAAHd/35c=")</f>
        <v>#REF!</v>
      </c>
      <c r="EW281" t="e">
        <f>AND(#REF!,"AAAAAHd/35g=")</f>
        <v>#REF!</v>
      </c>
      <c r="EX281" t="e">
        <f>AND(#REF!,"AAAAAHd/35k=")</f>
        <v>#REF!</v>
      </c>
      <c r="EY281" t="e">
        <f>AND(#REF!,"AAAAAHd/35o=")</f>
        <v>#REF!</v>
      </c>
      <c r="EZ281" t="e">
        <f>IF(#REF!,"AAAAAHd/35s=",0)</f>
        <v>#REF!</v>
      </c>
      <c r="FA281" t="e">
        <f>AND(#REF!,"AAAAAHd/35w=")</f>
        <v>#REF!</v>
      </c>
      <c r="FB281" t="e">
        <f>AND(#REF!,"AAAAAHd/350=")</f>
        <v>#REF!</v>
      </c>
      <c r="FC281" t="e">
        <f>AND(#REF!,"AAAAAHd/354=")</f>
        <v>#REF!</v>
      </c>
      <c r="FD281" t="e">
        <f>AND(#REF!,"AAAAAHd/358=")</f>
        <v>#REF!</v>
      </c>
      <c r="FE281" t="e">
        <f>AND(#REF!,"AAAAAHd/36A=")</f>
        <v>#REF!</v>
      </c>
      <c r="FF281" t="e">
        <f>AND(#REF!,"AAAAAHd/36E=")</f>
        <v>#REF!</v>
      </c>
      <c r="FG281" t="e">
        <f>AND(#REF!,"AAAAAHd/36I=")</f>
        <v>#REF!</v>
      </c>
      <c r="FH281" t="e">
        <f>AND(#REF!,"AAAAAHd/36M=")</f>
        <v>#REF!</v>
      </c>
      <c r="FI281" t="e">
        <f>AND(#REF!,"AAAAAHd/36Q=")</f>
        <v>#REF!</v>
      </c>
      <c r="FJ281" t="e">
        <f>AND(#REF!,"AAAAAHd/36U=")</f>
        <v>#REF!</v>
      </c>
      <c r="FK281" t="e">
        <f>AND(#REF!,"AAAAAHd/36Y=")</f>
        <v>#REF!</v>
      </c>
      <c r="FL281" t="e">
        <f>AND(#REF!,"AAAAAHd/36c=")</f>
        <v>#REF!</v>
      </c>
      <c r="FM281" t="e">
        <f>AND(#REF!,"AAAAAHd/36g=")</f>
        <v>#REF!</v>
      </c>
      <c r="FN281" t="e">
        <f>AND(#REF!,"AAAAAHd/36k=")</f>
        <v>#REF!</v>
      </c>
      <c r="FO281" t="e">
        <f>AND(#REF!,"AAAAAHd/36o=")</f>
        <v>#REF!</v>
      </c>
      <c r="FP281" t="e">
        <f>AND(#REF!,"AAAAAHd/36s=")</f>
        <v>#REF!</v>
      </c>
      <c r="FQ281" t="e">
        <f>AND(#REF!,"AAAAAHd/36w=")</f>
        <v>#REF!</v>
      </c>
      <c r="FR281" t="e">
        <f>AND(#REF!,"AAAAAHd/360=")</f>
        <v>#REF!</v>
      </c>
      <c r="FS281" t="e">
        <f>AND(#REF!,"AAAAAHd/364=")</f>
        <v>#REF!</v>
      </c>
      <c r="FT281" t="e">
        <f>AND(#REF!,"AAAAAHd/368=")</f>
        <v>#REF!</v>
      </c>
      <c r="FU281" t="e">
        <f>AND(#REF!,"AAAAAHd/37A=")</f>
        <v>#REF!</v>
      </c>
      <c r="FV281" t="e">
        <f>AND(#REF!,"AAAAAHd/37E=")</f>
        <v>#REF!</v>
      </c>
      <c r="FW281" t="e">
        <f>AND(#REF!,"AAAAAHd/37I=")</f>
        <v>#REF!</v>
      </c>
      <c r="FX281" t="e">
        <f>AND(#REF!,"AAAAAHd/37M=")</f>
        <v>#REF!</v>
      </c>
      <c r="FY281" t="e">
        <f>IF(#REF!,"AAAAAHd/37Q=",0)</f>
        <v>#REF!</v>
      </c>
      <c r="FZ281" t="e">
        <f>AND(#REF!,"AAAAAHd/37U=")</f>
        <v>#REF!</v>
      </c>
      <c r="GA281" t="e">
        <f>AND(#REF!,"AAAAAHd/37Y=")</f>
        <v>#REF!</v>
      </c>
      <c r="GB281" t="e">
        <f>AND(#REF!,"AAAAAHd/37c=")</f>
        <v>#REF!</v>
      </c>
      <c r="GC281" t="e">
        <f>AND(#REF!,"AAAAAHd/37g=")</f>
        <v>#REF!</v>
      </c>
      <c r="GD281" t="e">
        <f>AND(#REF!,"AAAAAHd/37k=")</f>
        <v>#REF!</v>
      </c>
      <c r="GE281" t="e">
        <f>AND(#REF!,"AAAAAHd/37o=")</f>
        <v>#REF!</v>
      </c>
      <c r="GF281" t="e">
        <f>AND(#REF!,"AAAAAHd/37s=")</f>
        <v>#REF!</v>
      </c>
      <c r="GG281" t="e">
        <f>AND(#REF!,"AAAAAHd/37w=")</f>
        <v>#REF!</v>
      </c>
      <c r="GH281" t="e">
        <f>AND(#REF!,"AAAAAHd/370=")</f>
        <v>#REF!</v>
      </c>
      <c r="GI281" t="e">
        <f>AND(#REF!,"AAAAAHd/374=")</f>
        <v>#REF!</v>
      </c>
      <c r="GJ281" t="e">
        <f>AND(#REF!,"AAAAAHd/378=")</f>
        <v>#REF!</v>
      </c>
      <c r="GK281" t="e">
        <f>AND(#REF!,"AAAAAHd/38A=")</f>
        <v>#REF!</v>
      </c>
      <c r="GL281" t="e">
        <f>AND(#REF!,"AAAAAHd/38E=")</f>
        <v>#REF!</v>
      </c>
      <c r="GM281" t="e">
        <f>AND(#REF!,"AAAAAHd/38I=")</f>
        <v>#REF!</v>
      </c>
      <c r="GN281" t="e">
        <f>AND(#REF!,"AAAAAHd/38M=")</f>
        <v>#REF!</v>
      </c>
      <c r="GO281" t="e">
        <f>AND(#REF!,"AAAAAHd/38Q=")</f>
        <v>#REF!</v>
      </c>
      <c r="GP281" t="e">
        <f>AND(#REF!,"AAAAAHd/38U=")</f>
        <v>#REF!</v>
      </c>
      <c r="GQ281" t="e">
        <f>AND(#REF!,"AAAAAHd/38Y=")</f>
        <v>#REF!</v>
      </c>
      <c r="GR281" t="e">
        <f>AND(#REF!,"AAAAAHd/38c=")</f>
        <v>#REF!</v>
      </c>
      <c r="GS281" t="e">
        <f>AND(#REF!,"AAAAAHd/38g=")</f>
        <v>#REF!</v>
      </c>
      <c r="GT281" t="e">
        <f>AND(#REF!,"AAAAAHd/38k=")</f>
        <v>#REF!</v>
      </c>
      <c r="GU281" t="e">
        <f>AND(#REF!,"AAAAAHd/38o=")</f>
        <v>#REF!</v>
      </c>
      <c r="GV281" t="e">
        <f>AND(#REF!,"AAAAAHd/38s=")</f>
        <v>#REF!</v>
      </c>
      <c r="GW281" t="e">
        <f>AND(#REF!,"AAAAAHd/38w=")</f>
        <v>#REF!</v>
      </c>
      <c r="GX281" t="e">
        <f>IF(#REF!,"AAAAAHd/380=",0)</f>
        <v>#REF!</v>
      </c>
      <c r="GY281" t="e">
        <f>AND(#REF!,"AAAAAHd/384=")</f>
        <v>#REF!</v>
      </c>
      <c r="GZ281" t="e">
        <f>AND(#REF!,"AAAAAHd/388=")</f>
        <v>#REF!</v>
      </c>
      <c r="HA281" t="e">
        <f>AND(#REF!,"AAAAAHd/39A=")</f>
        <v>#REF!</v>
      </c>
      <c r="HB281" t="e">
        <f>AND(#REF!,"AAAAAHd/39E=")</f>
        <v>#REF!</v>
      </c>
      <c r="HC281" t="e">
        <f>AND(#REF!,"AAAAAHd/39I=")</f>
        <v>#REF!</v>
      </c>
      <c r="HD281" t="e">
        <f>AND(#REF!,"AAAAAHd/39M=")</f>
        <v>#REF!</v>
      </c>
      <c r="HE281" t="e">
        <f>AND(#REF!,"AAAAAHd/39Q=")</f>
        <v>#REF!</v>
      </c>
      <c r="HF281" t="e">
        <f>AND(#REF!,"AAAAAHd/39U=")</f>
        <v>#REF!</v>
      </c>
      <c r="HG281" t="e">
        <f>AND(#REF!,"AAAAAHd/39Y=")</f>
        <v>#REF!</v>
      </c>
      <c r="HH281" t="e">
        <f>AND(#REF!,"AAAAAHd/39c=")</f>
        <v>#REF!</v>
      </c>
      <c r="HI281" t="e">
        <f>AND(#REF!,"AAAAAHd/39g=")</f>
        <v>#REF!</v>
      </c>
      <c r="HJ281" t="e">
        <f>AND(#REF!,"AAAAAHd/39k=")</f>
        <v>#REF!</v>
      </c>
      <c r="HK281" t="e">
        <f>AND(#REF!,"AAAAAHd/39o=")</f>
        <v>#REF!</v>
      </c>
      <c r="HL281" t="e">
        <f>AND(#REF!,"AAAAAHd/39s=")</f>
        <v>#REF!</v>
      </c>
      <c r="HM281" t="e">
        <f>AND(#REF!,"AAAAAHd/39w=")</f>
        <v>#REF!</v>
      </c>
      <c r="HN281" t="e">
        <f>AND(#REF!,"AAAAAHd/390=")</f>
        <v>#REF!</v>
      </c>
      <c r="HO281" t="e">
        <f>AND(#REF!,"AAAAAHd/394=")</f>
        <v>#REF!</v>
      </c>
      <c r="HP281" t="e">
        <f>AND(#REF!,"AAAAAHd/398=")</f>
        <v>#REF!</v>
      </c>
      <c r="HQ281" t="e">
        <f>AND(#REF!,"AAAAAHd/3+A=")</f>
        <v>#REF!</v>
      </c>
      <c r="HR281" t="e">
        <f>AND(#REF!,"AAAAAHd/3+E=")</f>
        <v>#REF!</v>
      </c>
      <c r="HS281" t="e">
        <f>AND(#REF!,"AAAAAHd/3+I=")</f>
        <v>#REF!</v>
      </c>
      <c r="HT281" t="e">
        <f>AND(#REF!,"AAAAAHd/3+M=")</f>
        <v>#REF!</v>
      </c>
      <c r="HU281" t="e">
        <f>AND(#REF!,"AAAAAHd/3+Q=")</f>
        <v>#REF!</v>
      </c>
      <c r="HV281" t="e">
        <f>AND(#REF!,"AAAAAHd/3+U=")</f>
        <v>#REF!</v>
      </c>
      <c r="HW281" t="e">
        <f>IF(#REF!,"AAAAAHd/3+Y=",0)</f>
        <v>#REF!</v>
      </c>
      <c r="HX281" t="e">
        <f>AND(#REF!,"AAAAAHd/3+c=")</f>
        <v>#REF!</v>
      </c>
      <c r="HY281" t="e">
        <f>AND(#REF!,"AAAAAHd/3+g=")</f>
        <v>#REF!</v>
      </c>
      <c r="HZ281" t="e">
        <f>AND(#REF!,"AAAAAHd/3+k=")</f>
        <v>#REF!</v>
      </c>
      <c r="IA281" t="e">
        <f>AND(#REF!,"AAAAAHd/3+o=")</f>
        <v>#REF!</v>
      </c>
      <c r="IB281" t="e">
        <f>AND(#REF!,"AAAAAHd/3+s=")</f>
        <v>#REF!</v>
      </c>
      <c r="IC281" t="e">
        <f>AND(#REF!,"AAAAAHd/3+w=")</f>
        <v>#REF!</v>
      </c>
      <c r="ID281" t="e">
        <f>AND(#REF!,"AAAAAHd/3+0=")</f>
        <v>#REF!</v>
      </c>
      <c r="IE281" t="e">
        <f>AND(#REF!,"AAAAAHd/3+4=")</f>
        <v>#REF!</v>
      </c>
      <c r="IF281" t="e">
        <f>AND(#REF!,"AAAAAHd/3+8=")</f>
        <v>#REF!</v>
      </c>
      <c r="IG281" t="e">
        <f>AND(#REF!,"AAAAAHd/3/A=")</f>
        <v>#REF!</v>
      </c>
      <c r="IH281" t="e">
        <f>AND(#REF!,"AAAAAHd/3/E=")</f>
        <v>#REF!</v>
      </c>
      <c r="II281" t="e">
        <f>AND(#REF!,"AAAAAHd/3/I=")</f>
        <v>#REF!</v>
      </c>
      <c r="IJ281" t="e">
        <f>AND(#REF!,"AAAAAHd/3/M=")</f>
        <v>#REF!</v>
      </c>
      <c r="IK281" t="e">
        <f>AND(#REF!,"AAAAAHd/3/Q=")</f>
        <v>#REF!</v>
      </c>
      <c r="IL281" t="e">
        <f>AND(#REF!,"AAAAAHd/3/U=")</f>
        <v>#REF!</v>
      </c>
      <c r="IM281" t="e">
        <f>AND(#REF!,"AAAAAHd/3/Y=")</f>
        <v>#REF!</v>
      </c>
      <c r="IN281" t="e">
        <f>AND(#REF!,"AAAAAHd/3/c=")</f>
        <v>#REF!</v>
      </c>
      <c r="IO281" t="e">
        <f>AND(#REF!,"AAAAAHd/3/g=")</f>
        <v>#REF!</v>
      </c>
      <c r="IP281" t="e">
        <f>AND(#REF!,"AAAAAHd/3/k=")</f>
        <v>#REF!</v>
      </c>
      <c r="IQ281" t="e">
        <f>AND(#REF!,"AAAAAHd/3/o=")</f>
        <v>#REF!</v>
      </c>
      <c r="IR281" t="e">
        <f>AND(#REF!,"AAAAAHd/3/s=")</f>
        <v>#REF!</v>
      </c>
      <c r="IS281" t="e">
        <f>AND(#REF!,"AAAAAHd/3/w=")</f>
        <v>#REF!</v>
      </c>
      <c r="IT281" t="e">
        <f>AND(#REF!,"AAAAAHd/3/0=")</f>
        <v>#REF!</v>
      </c>
      <c r="IU281" t="e">
        <f>AND(#REF!,"AAAAAHd/3/4=")</f>
        <v>#REF!</v>
      </c>
      <c r="IV281" t="e">
        <f>IF(#REF!,"AAAAAHd/3/8=",0)</f>
        <v>#REF!</v>
      </c>
    </row>
    <row r="282" spans="1:256">
      <c r="A282" t="e">
        <f>AND(#REF!,"AAAAAEy9/wA=")</f>
        <v>#REF!</v>
      </c>
      <c r="B282" t="e">
        <f>AND(#REF!,"AAAAAEy9/wE=")</f>
        <v>#REF!</v>
      </c>
      <c r="C282" t="e">
        <f>AND(#REF!,"AAAAAEy9/wI=")</f>
        <v>#REF!</v>
      </c>
      <c r="D282" t="e">
        <f>AND(#REF!,"AAAAAEy9/wM=")</f>
        <v>#REF!</v>
      </c>
      <c r="E282" t="e">
        <f>AND(#REF!,"AAAAAEy9/wQ=")</f>
        <v>#REF!</v>
      </c>
      <c r="F282" t="e">
        <f>AND(#REF!,"AAAAAEy9/wU=")</f>
        <v>#REF!</v>
      </c>
      <c r="G282" t="e">
        <f>AND(#REF!,"AAAAAEy9/wY=")</f>
        <v>#REF!</v>
      </c>
      <c r="H282" t="e">
        <f>AND(#REF!,"AAAAAEy9/wc=")</f>
        <v>#REF!</v>
      </c>
      <c r="I282" t="e">
        <f>AND(#REF!,"AAAAAEy9/wg=")</f>
        <v>#REF!</v>
      </c>
      <c r="J282" t="e">
        <f>AND(#REF!,"AAAAAEy9/wk=")</f>
        <v>#REF!</v>
      </c>
      <c r="K282" t="e">
        <f>AND(#REF!,"AAAAAEy9/wo=")</f>
        <v>#REF!</v>
      </c>
      <c r="L282" t="e">
        <f>AND(#REF!,"AAAAAEy9/ws=")</f>
        <v>#REF!</v>
      </c>
      <c r="M282" t="e">
        <f>AND(#REF!,"AAAAAEy9/ww=")</f>
        <v>#REF!</v>
      </c>
      <c r="N282" t="e">
        <f>AND(#REF!,"AAAAAEy9/w0=")</f>
        <v>#REF!</v>
      </c>
      <c r="O282" t="e">
        <f>AND(#REF!,"AAAAAEy9/w4=")</f>
        <v>#REF!</v>
      </c>
      <c r="P282" t="e">
        <f>AND(#REF!,"AAAAAEy9/w8=")</f>
        <v>#REF!</v>
      </c>
      <c r="Q282" t="e">
        <f>AND(#REF!,"AAAAAEy9/xA=")</f>
        <v>#REF!</v>
      </c>
      <c r="R282" t="e">
        <f>AND(#REF!,"AAAAAEy9/xE=")</f>
        <v>#REF!</v>
      </c>
      <c r="S282" t="e">
        <f>AND(#REF!,"AAAAAEy9/xI=")</f>
        <v>#REF!</v>
      </c>
      <c r="T282" t="e">
        <f>AND(#REF!,"AAAAAEy9/xM=")</f>
        <v>#REF!</v>
      </c>
      <c r="U282" t="e">
        <f>AND(#REF!,"AAAAAEy9/xQ=")</f>
        <v>#REF!</v>
      </c>
      <c r="V282" t="e">
        <f>AND(#REF!,"AAAAAEy9/xU=")</f>
        <v>#REF!</v>
      </c>
      <c r="W282" t="e">
        <f>AND(#REF!,"AAAAAEy9/xY=")</f>
        <v>#REF!</v>
      </c>
      <c r="X282" t="e">
        <f>AND(#REF!,"AAAAAEy9/xc=")</f>
        <v>#REF!</v>
      </c>
      <c r="Y282" t="e">
        <f>IF(#REF!,"AAAAAEy9/xg=",0)</f>
        <v>#REF!</v>
      </c>
      <c r="Z282" t="e">
        <f>AND(#REF!,"AAAAAEy9/xk=")</f>
        <v>#REF!</v>
      </c>
      <c r="AA282" t="e">
        <f>AND(#REF!,"AAAAAEy9/xo=")</f>
        <v>#REF!</v>
      </c>
      <c r="AB282" t="e">
        <f>AND(#REF!,"AAAAAEy9/xs=")</f>
        <v>#REF!</v>
      </c>
      <c r="AC282" t="e">
        <f>AND(#REF!,"AAAAAEy9/xw=")</f>
        <v>#REF!</v>
      </c>
      <c r="AD282" t="e">
        <f>AND(#REF!,"AAAAAEy9/x0=")</f>
        <v>#REF!</v>
      </c>
      <c r="AE282" t="e">
        <f>AND(#REF!,"AAAAAEy9/x4=")</f>
        <v>#REF!</v>
      </c>
      <c r="AF282" t="e">
        <f>AND(#REF!,"AAAAAEy9/x8=")</f>
        <v>#REF!</v>
      </c>
      <c r="AG282" t="e">
        <f>AND(#REF!,"AAAAAEy9/yA=")</f>
        <v>#REF!</v>
      </c>
      <c r="AH282" t="e">
        <f>AND(#REF!,"AAAAAEy9/yE=")</f>
        <v>#REF!</v>
      </c>
      <c r="AI282" t="e">
        <f>AND(#REF!,"AAAAAEy9/yI=")</f>
        <v>#REF!</v>
      </c>
      <c r="AJ282" t="e">
        <f>AND(#REF!,"AAAAAEy9/yM=")</f>
        <v>#REF!</v>
      </c>
      <c r="AK282" t="e">
        <f>AND(#REF!,"AAAAAEy9/yQ=")</f>
        <v>#REF!</v>
      </c>
      <c r="AL282" t="e">
        <f>AND(#REF!,"AAAAAEy9/yU=")</f>
        <v>#REF!</v>
      </c>
      <c r="AM282" t="e">
        <f>AND(#REF!,"AAAAAEy9/yY=")</f>
        <v>#REF!</v>
      </c>
      <c r="AN282" t="e">
        <f>AND(#REF!,"AAAAAEy9/yc=")</f>
        <v>#REF!</v>
      </c>
      <c r="AO282" t="e">
        <f>AND(#REF!,"AAAAAEy9/yg=")</f>
        <v>#REF!</v>
      </c>
      <c r="AP282" t="e">
        <f>AND(#REF!,"AAAAAEy9/yk=")</f>
        <v>#REF!</v>
      </c>
      <c r="AQ282" t="e">
        <f>AND(#REF!,"AAAAAEy9/yo=")</f>
        <v>#REF!</v>
      </c>
      <c r="AR282" t="e">
        <f>AND(#REF!,"AAAAAEy9/ys=")</f>
        <v>#REF!</v>
      </c>
      <c r="AS282" t="e">
        <f>AND(#REF!,"AAAAAEy9/yw=")</f>
        <v>#REF!</v>
      </c>
      <c r="AT282" t="e">
        <f>AND(#REF!,"AAAAAEy9/y0=")</f>
        <v>#REF!</v>
      </c>
      <c r="AU282" t="e">
        <f>AND(#REF!,"AAAAAEy9/y4=")</f>
        <v>#REF!</v>
      </c>
      <c r="AV282" t="e">
        <f>AND(#REF!,"AAAAAEy9/y8=")</f>
        <v>#REF!</v>
      </c>
      <c r="AW282" t="e">
        <f>AND(#REF!,"AAAAAEy9/zA=")</f>
        <v>#REF!</v>
      </c>
      <c r="AX282" t="e">
        <f>IF(#REF!,"AAAAAEy9/zE=",0)</f>
        <v>#REF!</v>
      </c>
      <c r="AY282" t="e">
        <f>AND(#REF!,"AAAAAEy9/zI=")</f>
        <v>#REF!</v>
      </c>
      <c r="AZ282" t="e">
        <f>AND(#REF!,"AAAAAEy9/zM=")</f>
        <v>#REF!</v>
      </c>
      <c r="BA282" t="e">
        <f>AND(#REF!,"AAAAAEy9/zQ=")</f>
        <v>#REF!</v>
      </c>
      <c r="BB282" t="e">
        <f>AND(#REF!,"AAAAAEy9/zU=")</f>
        <v>#REF!</v>
      </c>
      <c r="BC282" t="e">
        <f>AND(#REF!,"AAAAAEy9/zY=")</f>
        <v>#REF!</v>
      </c>
      <c r="BD282" t="e">
        <f>AND(#REF!,"AAAAAEy9/zc=")</f>
        <v>#REF!</v>
      </c>
      <c r="BE282" t="e">
        <f>AND(#REF!,"AAAAAEy9/zg=")</f>
        <v>#REF!</v>
      </c>
      <c r="BF282" t="e">
        <f>AND(#REF!,"AAAAAEy9/zk=")</f>
        <v>#REF!</v>
      </c>
      <c r="BG282" t="e">
        <f>AND(#REF!,"AAAAAEy9/zo=")</f>
        <v>#REF!</v>
      </c>
      <c r="BH282" t="e">
        <f>AND(#REF!,"AAAAAEy9/zs=")</f>
        <v>#REF!</v>
      </c>
      <c r="BI282" t="e">
        <f>AND(#REF!,"AAAAAEy9/zw=")</f>
        <v>#REF!</v>
      </c>
      <c r="BJ282" t="e">
        <f>AND(#REF!,"AAAAAEy9/z0=")</f>
        <v>#REF!</v>
      </c>
      <c r="BK282" t="e">
        <f>AND(#REF!,"AAAAAEy9/z4=")</f>
        <v>#REF!</v>
      </c>
      <c r="BL282" t="e">
        <f>AND(#REF!,"AAAAAEy9/z8=")</f>
        <v>#REF!</v>
      </c>
      <c r="BM282" t="e">
        <f>AND(#REF!,"AAAAAEy9/0A=")</f>
        <v>#REF!</v>
      </c>
      <c r="BN282" t="e">
        <f>AND(#REF!,"AAAAAEy9/0E=")</f>
        <v>#REF!</v>
      </c>
      <c r="BO282" t="e">
        <f>AND(#REF!,"AAAAAEy9/0I=")</f>
        <v>#REF!</v>
      </c>
      <c r="BP282" t="e">
        <f>AND(#REF!,"AAAAAEy9/0M=")</f>
        <v>#REF!</v>
      </c>
      <c r="BQ282" t="e">
        <f>AND(#REF!,"AAAAAEy9/0Q=")</f>
        <v>#REF!</v>
      </c>
      <c r="BR282" t="e">
        <f>AND(#REF!,"AAAAAEy9/0U=")</f>
        <v>#REF!</v>
      </c>
      <c r="BS282" t="e">
        <f>AND(#REF!,"AAAAAEy9/0Y=")</f>
        <v>#REF!</v>
      </c>
      <c r="BT282" t="e">
        <f>AND(#REF!,"AAAAAEy9/0c=")</f>
        <v>#REF!</v>
      </c>
      <c r="BU282" t="e">
        <f>AND(#REF!,"AAAAAEy9/0g=")</f>
        <v>#REF!</v>
      </c>
      <c r="BV282" t="e">
        <f>AND(#REF!,"AAAAAEy9/0k=")</f>
        <v>#REF!</v>
      </c>
      <c r="BW282" t="e">
        <f>IF(#REF!,"AAAAAEy9/0o=",0)</f>
        <v>#REF!</v>
      </c>
      <c r="BX282" t="e">
        <f>AND(#REF!,"AAAAAEy9/0s=")</f>
        <v>#REF!</v>
      </c>
      <c r="BY282" t="e">
        <f>AND(#REF!,"AAAAAEy9/0w=")</f>
        <v>#REF!</v>
      </c>
      <c r="BZ282" t="e">
        <f>AND(#REF!,"AAAAAEy9/00=")</f>
        <v>#REF!</v>
      </c>
      <c r="CA282" t="e">
        <f>AND(#REF!,"AAAAAEy9/04=")</f>
        <v>#REF!</v>
      </c>
      <c r="CB282" t="e">
        <f>AND(#REF!,"AAAAAEy9/08=")</f>
        <v>#REF!</v>
      </c>
      <c r="CC282" t="e">
        <f>AND(#REF!,"AAAAAEy9/1A=")</f>
        <v>#REF!</v>
      </c>
      <c r="CD282" t="e">
        <f>AND(#REF!,"AAAAAEy9/1E=")</f>
        <v>#REF!</v>
      </c>
      <c r="CE282" t="e">
        <f>AND(#REF!,"AAAAAEy9/1I=")</f>
        <v>#REF!</v>
      </c>
      <c r="CF282" t="e">
        <f>AND(#REF!,"AAAAAEy9/1M=")</f>
        <v>#REF!</v>
      </c>
      <c r="CG282" t="e">
        <f>AND(#REF!,"AAAAAEy9/1Q=")</f>
        <v>#REF!</v>
      </c>
      <c r="CH282" t="e">
        <f>AND(#REF!,"AAAAAEy9/1U=")</f>
        <v>#REF!</v>
      </c>
      <c r="CI282" t="e">
        <f>AND(#REF!,"AAAAAEy9/1Y=")</f>
        <v>#REF!</v>
      </c>
      <c r="CJ282" t="e">
        <f>AND(#REF!,"AAAAAEy9/1c=")</f>
        <v>#REF!</v>
      </c>
      <c r="CK282" t="e">
        <f>AND(#REF!,"AAAAAEy9/1g=")</f>
        <v>#REF!</v>
      </c>
      <c r="CL282" t="e">
        <f>AND(#REF!,"AAAAAEy9/1k=")</f>
        <v>#REF!</v>
      </c>
      <c r="CM282" t="e">
        <f>AND(#REF!,"AAAAAEy9/1o=")</f>
        <v>#REF!</v>
      </c>
      <c r="CN282" t="e">
        <f>AND(#REF!,"AAAAAEy9/1s=")</f>
        <v>#REF!</v>
      </c>
      <c r="CO282" t="e">
        <f>AND(#REF!,"AAAAAEy9/1w=")</f>
        <v>#REF!</v>
      </c>
      <c r="CP282" t="e">
        <f>AND(#REF!,"AAAAAEy9/10=")</f>
        <v>#REF!</v>
      </c>
      <c r="CQ282" t="e">
        <f>AND(#REF!,"AAAAAEy9/14=")</f>
        <v>#REF!</v>
      </c>
      <c r="CR282" t="e">
        <f>AND(#REF!,"AAAAAEy9/18=")</f>
        <v>#REF!</v>
      </c>
      <c r="CS282" t="e">
        <f>AND(#REF!,"AAAAAEy9/2A=")</f>
        <v>#REF!</v>
      </c>
      <c r="CT282" t="e">
        <f>AND(#REF!,"AAAAAEy9/2E=")</f>
        <v>#REF!</v>
      </c>
      <c r="CU282" t="e">
        <f>AND(#REF!,"AAAAAEy9/2I=")</f>
        <v>#REF!</v>
      </c>
      <c r="CV282" t="e">
        <f>IF(#REF!,"AAAAAEy9/2M=",0)</f>
        <v>#REF!</v>
      </c>
      <c r="CW282" t="e">
        <f>AND(#REF!,"AAAAAEy9/2Q=")</f>
        <v>#REF!</v>
      </c>
      <c r="CX282" t="e">
        <f>AND(#REF!,"AAAAAEy9/2U=")</f>
        <v>#REF!</v>
      </c>
      <c r="CY282" t="e">
        <f>AND(#REF!,"AAAAAEy9/2Y=")</f>
        <v>#REF!</v>
      </c>
      <c r="CZ282" t="e">
        <f>AND(#REF!,"AAAAAEy9/2c=")</f>
        <v>#REF!</v>
      </c>
      <c r="DA282" t="e">
        <f>AND(#REF!,"AAAAAEy9/2g=")</f>
        <v>#REF!</v>
      </c>
      <c r="DB282" t="e">
        <f>AND(#REF!,"AAAAAEy9/2k=")</f>
        <v>#REF!</v>
      </c>
      <c r="DC282" t="e">
        <f>AND(#REF!,"AAAAAEy9/2o=")</f>
        <v>#REF!</v>
      </c>
      <c r="DD282" t="e">
        <f>AND(#REF!,"AAAAAEy9/2s=")</f>
        <v>#REF!</v>
      </c>
      <c r="DE282" t="e">
        <f>AND(#REF!,"AAAAAEy9/2w=")</f>
        <v>#REF!</v>
      </c>
      <c r="DF282" t="e">
        <f>AND(#REF!,"AAAAAEy9/20=")</f>
        <v>#REF!</v>
      </c>
      <c r="DG282" t="e">
        <f>AND(#REF!,"AAAAAEy9/24=")</f>
        <v>#REF!</v>
      </c>
      <c r="DH282" t="e">
        <f>AND(#REF!,"AAAAAEy9/28=")</f>
        <v>#REF!</v>
      </c>
      <c r="DI282" t="e">
        <f>AND(#REF!,"AAAAAEy9/3A=")</f>
        <v>#REF!</v>
      </c>
      <c r="DJ282" t="e">
        <f>AND(#REF!,"AAAAAEy9/3E=")</f>
        <v>#REF!</v>
      </c>
      <c r="DK282" t="e">
        <f>AND(#REF!,"AAAAAEy9/3I=")</f>
        <v>#REF!</v>
      </c>
      <c r="DL282" t="e">
        <f>AND(#REF!,"AAAAAEy9/3M=")</f>
        <v>#REF!</v>
      </c>
      <c r="DM282" t="e">
        <f>AND(#REF!,"AAAAAEy9/3Q=")</f>
        <v>#REF!</v>
      </c>
      <c r="DN282" t="e">
        <f>AND(#REF!,"AAAAAEy9/3U=")</f>
        <v>#REF!</v>
      </c>
      <c r="DO282" t="e">
        <f>AND(#REF!,"AAAAAEy9/3Y=")</f>
        <v>#REF!</v>
      </c>
      <c r="DP282" t="e">
        <f>AND(#REF!,"AAAAAEy9/3c=")</f>
        <v>#REF!</v>
      </c>
      <c r="DQ282" t="e">
        <f>AND(#REF!,"AAAAAEy9/3g=")</f>
        <v>#REF!</v>
      </c>
      <c r="DR282" t="e">
        <f>AND(#REF!,"AAAAAEy9/3k=")</f>
        <v>#REF!</v>
      </c>
      <c r="DS282" t="e">
        <f>AND(#REF!,"AAAAAEy9/3o=")</f>
        <v>#REF!</v>
      </c>
      <c r="DT282" t="e">
        <f>AND(#REF!,"AAAAAEy9/3s=")</f>
        <v>#REF!</v>
      </c>
      <c r="DU282" t="e">
        <f>IF(#REF!,"AAAAAEy9/3w=",0)</f>
        <v>#REF!</v>
      </c>
      <c r="DV282" t="e">
        <f>AND(#REF!,"AAAAAEy9/30=")</f>
        <v>#REF!</v>
      </c>
      <c r="DW282" t="e">
        <f>AND(#REF!,"AAAAAEy9/34=")</f>
        <v>#REF!</v>
      </c>
      <c r="DX282" t="e">
        <f>AND(#REF!,"AAAAAEy9/38=")</f>
        <v>#REF!</v>
      </c>
      <c r="DY282" t="e">
        <f>AND(#REF!,"AAAAAEy9/4A=")</f>
        <v>#REF!</v>
      </c>
      <c r="DZ282" t="e">
        <f>AND(#REF!,"AAAAAEy9/4E=")</f>
        <v>#REF!</v>
      </c>
      <c r="EA282" t="e">
        <f>AND(#REF!,"AAAAAEy9/4I=")</f>
        <v>#REF!</v>
      </c>
      <c r="EB282" t="e">
        <f>AND(#REF!,"AAAAAEy9/4M=")</f>
        <v>#REF!</v>
      </c>
      <c r="EC282" t="e">
        <f>AND(#REF!,"AAAAAEy9/4Q=")</f>
        <v>#REF!</v>
      </c>
      <c r="ED282" t="e">
        <f>AND(#REF!,"AAAAAEy9/4U=")</f>
        <v>#REF!</v>
      </c>
      <c r="EE282" t="e">
        <f>AND(#REF!,"AAAAAEy9/4Y=")</f>
        <v>#REF!</v>
      </c>
      <c r="EF282" t="e">
        <f>AND(#REF!,"AAAAAEy9/4c=")</f>
        <v>#REF!</v>
      </c>
      <c r="EG282" t="e">
        <f>AND(#REF!,"AAAAAEy9/4g=")</f>
        <v>#REF!</v>
      </c>
      <c r="EH282" t="e">
        <f>AND(#REF!,"AAAAAEy9/4k=")</f>
        <v>#REF!</v>
      </c>
      <c r="EI282" t="e">
        <f>AND(#REF!,"AAAAAEy9/4o=")</f>
        <v>#REF!</v>
      </c>
      <c r="EJ282" t="e">
        <f>AND(#REF!,"AAAAAEy9/4s=")</f>
        <v>#REF!</v>
      </c>
      <c r="EK282" t="e">
        <f>AND(#REF!,"AAAAAEy9/4w=")</f>
        <v>#REF!</v>
      </c>
      <c r="EL282" t="e">
        <f>AND(#REF!,"AAAAAEy9/40=")</f>
        <v>#REF!</v>
      </c>
      <c r="EM282" t="e">
        <f>AND(#REF!,"AAAAAEy9/44=")</f>
        <v>#REF!</v>
      </c>
      <c r="EN282" t="e">
        <f>AND(#REF!,"AAAAAEy9/48=")</f>
        <v>#REF!</v>
      </c>
      <c r="EO282" t="e">
        <f>AND(#REF!,"AAAAAEy9/5A=")</f>
        <v>#REF!</v>
      </c>
      <c r="EP282" t="e">
        <f>AND(#REF!,"AAAAAEy9/5E=")</f>
        <v>#REF!</v>
      </c>
      <c r="EQ282" t="e">
        <f>AND(#REF!,"AAAAAEy9/5I=")</f>
        <v>#REF!</v>
      </c>
      <c r="ER282" t="e">
        <f>AND(#REF!,"AAAAAEy9/5M=")</f>
        <v>#REF!</v>
      </c>
      <c r="ES282" t="e">
        <f>AND(#REF!,"AAAAAEy9/5Q=")</f>
        <v>#REF!</v>
      </c>
      <c r="ET282" t="e">
        <f>IF(#REF!,"AAAAAEy9/5U=",0)</f>
        <v>#REF!</v>
      </c>
      <c r="EU282" t="e">
        <f>AND(#REF!,"AAAAAEy9/5Y=")</f>
        <v>#REF!</v>
      </c>
      <c r="EV282" t="e">
        <f>AND(#REF!,"AAAAAEy9/5c=")</f>
        <v>#REF!</v>
      </c>
      <c r="EW282" t="e">
        <f>AND(#REF!,"AAAAAEy9/5g=")</f>
        <v>#REF!</v>
      </c>
      <c r="EX282" t="e">
        <f>AND(#REF!,"AAAAAEy9/5k=")</f>
        <v>#REF!</v>
      </c>
      <c r="EY282" t="e">
        <f>AND(#REF!,"AAAAAEy9/5o=")</f>
        <v>#REF!</v>
      </c>
      <c r="EZ282" t="e">
        <f>AND(#REF!,"AAAAAEy9/5s=")</f>
        <v>#REF!</v>
      </c>
      <c r="FA282" t="e">
        <f>AND(#REF!,"AAAAAEy9/5w=")</f>
        <v>#REF!</v>
      </c>
      <c r="FB282" t="e">
        <f>AND(#REF!,"AAAAAEy9/50=")</f>
        <v>#REF!</v>
      </c>
      <c r="FC282" t="e">
        <f>AND(#REF!,"AAAAAEy9/54=")</f>
        <v>#REF!</v>
      </c>
      <c r="FD282" t="e">
        <f>AND(#REF!,"AAAAAEy9/58=")</f>
        <v>#REF!</v>
      </c>
      <c r="FE282" t="e">
        <f>AND(#REF!,"AAAAAEy9/6A=")</f>
        <v>#REF!</v>
      </c>
      <c r="FF282" t="e">
        <f>AND(#REF!,"AAAAAEy9/6E=")</f>
        <v>#REF!</v>
      </c>
      <c r="FG282" t="e">
        <f>AND(#REF!,"AAAAAEy9/6I=")</f>
        <v>#REF!</v>
      </c>
      <c r="FH282" t="e">
        <f>AND(#REF!,"AAAAAEy9/6M=")</f>
        <v>#REF!</v>
      </c>
      <c r="FI282" t="e">
        <f>AND(#REF!,"AAAAAEy9/6Q=")</f>
        <v>#REF!</v>
      </c>
      <c r="FJ282" t="e">
        <f>AND(#REF!,"AAAAAEy9/6U=")</f>
        <v>#REF!</v>
      </c>
      <c r="FK282" t="e">
        <f>AND(#REF!,"AAAAAEy9/6Y=")</f>
        <v>#REF!</v>
      </c>
      <c r="FL282" t="e">
        <f>AND(#REF!,"AAAAAEy9/6c=")</f>
        <v>#REF!</v>
      </c>
      <c r="FM282" t="e">
        <f>AND(#REF!,"AAAAAEy9/6g=")</f>
        <v>#REF!</v>
      </c>
      <c r="FN282" t="e">
        <f>AND(#REF!,"AAAAAEy9/6k=")</f>
        <v>#REF!</v>
      </c>
      <c r="FO282" t="e">
        <f>AND(#REF!,"AAAAAEy9/6o=")</f>
        <v>#REF!</v>
      </c>
      <c r="FP282" t="e">
        <f>AND(#REF!,"AAAAAEy9/6s=")</f>
        <v>#REF!</v>
      </c>
      <c r="FQ282" t="e">
        <f>AND(#REF!,"AAAAAEy9/6w=")</f>
        <v>#REF!</v>
      </c>
      <c r="FR282" t="e">
        <f>AND(#REF!,"AAAAAEy9/60=")</f>
        <v>#REF!</v>
      </c>
      <c r="FS282" t="e">
        <f>IF(#REF!,"AAAAAEy9/64=",0)</f>
        <v>#REF!</v>
      </c>
      <c r="FT282" t="e">
        <f>AND(#REF!,"AAAAAEy9/68=")</f>
        <v>#REF!</v>
      </c>
      <c r="FU282" t="e">
        <f>AND(#REF!,"AAAAAEy9/7A=")</f>
        <v>#REF!</v>
      </c>
      <c r="FV282" t="e">
        <f>AND(#REF!,"AAAAAEy9/7E=")</f>
        <v>#REF!</v>
      </c>
      <c r="FW282" t="e">
        <f>AND(#REF!,"AAAAAEy9/7I=")</f>
        <v>#REF!</v>
      </c>
      <c r="FX282" t="e">
        <f>AND(#REF!,"AAAAAEy9/7M=")</f>
        <v>#REF!</v>
      </c>
      <c r="FY282" t="e">
        <f>AND(#REF!,"AAAAAEy9/7Q=")</f>
        <v>#REF!</v>
      </c>
      <c r="FZ282" t="e">
        <f>AND(#REF!,"AAAAAEy9/7U=")</f>
        <v>#REF!</v>
      </c>
      <c r="GA282" t="e">
        <f>AND(#REF!,"AAAAAEy9/7Y=")</f>
        <v>#REF!</v>
      </c>
      <c r="GB282" t="e">
        <f>AND(#REF!,"AAAAAEy9/7c=")</f>
        <v>#REF!</v>
      </c>
      <c r="GC282" t="e">
        <f>AND(#REF!,"AAAAAEy9/7g=")</f>
        <v>#REF!</v>
      </c>
      <c r="GD282" t="e">
        <f>AND(#REF!,"AAAAAEy9/7k=")</f>
        <v>#REF!</v>
      </c>
      <c r="GE282" t="e">
        <f>AND(#REF!,"AAAAAEy9/7o=")</f>
        <v>#REF!</v>
      </c>
      <c r="GF282" t="e">
        <f>AND(#REF!,"AAAAAEy9/7s=")</f>
        <v>#REF!</v>
      </c>
      <c r="GG282" t="e">
        <f>AND(#REF!,"AAAAAEy9/7w=")</f>
        <v>#REF!</v>
      </c>
      <c r="GH282" t="e">
        <f>AND(#REF!,"AAAAAEy9/70=")</f>
        <v>#REF!</v>
      </c>
      <c r="GI282" t="e">
        <f>AND(#REF!,"AAAAAEy9/74=")</f>
        <v>#REF!</v>
      </c>
      <c r="GJ282" t="e">
        <f>AND(#REF!,"AAAAAEy9/78=")</f>
        <v>#REF!</v>
      </c>
      <c r="GK282" t="e">
        <f>AND(#REF!,"AAAAAEy9/8A=")</f>
        <v>#REF!</v>
      </c>
      <c r="GL282" t="e">
        <f>AND(#REF!,"AAAAAEy9/8E=")</f>
        <v>#REF!</v>
      </c>
      <c r="GM282" t="e">
        <f>AND(#REF!,"AAAAAEy9/8I=")</f>
        <v>#REF!</v>
      </c>
      <c r="GN282" t="e">
        <f>AND(#REF!,"AAAAAEy9/8M=")</f>
        <v>#REF!</v>
      </c>
      <c r="GO282" t="e">
        <f>AND(#REF!,"AAAAAEy9/8Q=")</f>
        <v>#REF!</v>
      </c>
      <c r="GP282" t="e">
        <f>AND(#REF!,"AAAAAEy9/8U=")</f>
        <v>#REF!</v>
      </c>
      <c r="GQ282" t="e">
        <f>AND(#REF!,"AAAAAEy9/8Y=")</f>
        <v>#REF!</v>
      </c>
      <c r="GR282" t="e">
        <f>IF(#REF!,"AAAAAEy9/8c=",0)</f>
        <v>#REF!</v>
      </c>
      <c r="GS282" t="e">
        <f>AND(#REF!,"AAAAAEy9/8g=")</f>
        <v>#REF!</v>
      </c>
      <c r="GT282" t="e">
        <f>AND(#REF!,"AAAAAEy9/8k=")</f>
        <v>#REF!</v>
      </c>
      <c r="GU282" t="e">
        <f>AND(#REF!,"AAAAAEy9/8o=")</f>
        <v>#REF!</v>
      </c>
      <c r="GV282" t="e">
        <f>AND(#REF!,"AAAAAEy9/8s=")</f>
        <v>#REF!</v>
      </c>
      <c r="GW282" t="e">
        <f>AND(#REF!,"AAAAAEy9/8w=")</f>
        <v>#REF!</v>
      </c>
      <c r="GX282" t="e">
        <f>AND(#REF!,"AAAAAEy9/80=")</f>
        <v>#REF!</v>
      </c>
      <c r="GY282" t="e">
        <f>AND(#REF!,"AAAAAEy9/84=")</f>
        <v>#REF!</v>
      </c>
      <c r="GZ282" t="e">
        <f>AND(#REF!,"AAAAAEy9/88=")</f>
        <v>#REF!</v>
      </c>
      <c r="HA282" t="e">
        <f>AND(#REF!,"AAAAAEy9/9A=")</f>
        <v>#REF!</v>
      </c>
      <c r="HB282" t="e">
        <f>AND(#REF!,"AAAAAEy9/9E=")</f>
        <v>#REF!</v>
      </c>
      <c r="HC282" t="e">
        <f>AND(#REF!,"AAAAAEy9/9I=")</f>
        <v>#REF!</v>
      </c>
      <c r="HD282" t="e">
        <f>AND(#REF!,"AAAAAEy9/9M=")</f>
        <v>#REF!</v>
      </c>
      <c r="HE282" t="e">
        <f>AND(#REF!,"AAAAAEy9/9Q=")</f>
        <v>#REF!</v>
      </c>
      <c r="HF282" t="e">
        <f>AND(#REF!,"AAAAAEy9/9U=")</f>
        <v>#REF!</v>
      </c>
      <c r="HG282" t="e">
        <f>AND(#REF!,"AAAAAEy9/9Y=")</f>
        <v>#REF!</v>
      </c>
      <c r="HH282" t="e">
        <f>AND(#REF!,"AAAAAEy9/9c=")</f>
        <v>#REF!</v>
      </c>
      <c r="HI282" t="e">
        <f>AND(#REF!,"AAAAAEy9/9g=")</f>
        <v>#REF!</v>
      </c>
      <c r="HJ282" t="e">
        <f>AND(#REF!,"AAAAAEy9/9k=")</f>
        <v>#REF!</v>
      </c>
      <c r="HK282" t="e">
        <f>AND(#REF!,"AAAAAEy9/9o=")</f>
        <v>#REF!</v>
      </c>
      <c r="HL282" t="e">
        <f>AND(#REF!,"AAAAAEy9/9s=")</f>
        <v>#REF!</v>
      </c>
      <c r="HM282" t="e">
        <f>AND(#REF!,"AAAAAEy9/9w=")</f>
        <v>#REF!</v>
      </c>
      <c r="HN282" t="e">
        <f>AND(#REF!,"AAAAAEy9/90=")</f>
        <v>#REF!</v>
      </c>
      <c r="HO282" t="e">
        <f>AND(#REF!,"AAAAAEy9/94=")</f>
        <v>#REF!</v>
      </c>
      <c r="HP282" t="e">
        <f>AND(#REF!,"AAAAAEy9/98=")</f>
        <v>#REF!</v>
      </c>
      <c r="HQ282" t="e">
        <f>IF(#REF!,"AAAAAEy9/+A=",0)</f>
        <v>#REF!</v>
      </c>
      <c r="HR282" t="e">
        <f>AND(#REF!,"AAAAAEy9/+E=")</f>
        <v>#REF!</v>
      </c>
      <c r="HS282" t="e">
        <f>AND(#REF!,"AAAAAEy9/+I=")</f>
        <v>#REF!</v>
      </c>
      <c r="HT282" t="e">
        <f>AND(#REF!,"AAAAAEy9/+M=")</f>
        <v>#REF!</v>
      </c>
      <c r="HU282" t="e">
        <f>AND(#REF!,"AAAAAEy9/+Q=")</f>
        <v>#REF!</v>
      </c>
      <c r="HV282" t="e">
        <f>AND(#REF!,"AAAAAEy9/+U=")</f>
        <v>#REF!</v>
      </c>
      <c r="HW282" t="e">
        <f>AND(#REF!,"AAAAAEy9/+Y=")</f>
        <v>#REF!</v>
      </c>
      <c r="HX282" t="e">
        <f>AND(#REF!,"AAAAAEy9/+c=")</f>
        <v>#REF!</v>
      </c>
      <c r="HY282" t="e">
        <f>AND(#REF!,"AAAAAEy9/+g=")</f>
        <v>#REF!</v>
      </c>
      <c r="HZ282" t="e">
        <f>AND(#REF!,"AAAAAEy9/+k=")</f>
        <v>#REF!</v>
      </c>
      <c r="IA282" t="e">
        <f>AND(#REF!,"AAAAAEy9/+o=")</f>
        <v>#REF!</v>
      </c>
      <c r="IB282" t="e">
        <f>AND(#REF!,"AAAAAEy9/+s=")</f>
        <v>#REF!</v>
      </c>
      <c r="IC282" t="e">
        <f>AND(#REF!,"AAAAAEy9/+w=")</f>
        <v>#REF!</v>
      </c>
      <c r="ID282" t="e">
        <f>AND(#REF!,"AAAAAEy9/+0=")</f>
        <v>#REF!</v>
      </c>
      <c r="IE282" t="e">
        <f>AND(#REF!,"AAAAAEy9/+4=")</f>
        <v>#REF!</v>
      </c>
      <c r="IF282" t="e">
        <f>AND(#REF!,"AAAAAEy9/+8=")</f>
        <v>#REF!</v>
      </c>
      <c r="IG282" t="e">
        <f>AND(#REF!,"AAAAAEy9//A=")</f>
        <v>#REF!</v>
      </c>
      <c r="IH282" t="e">
        <f>AND(#REF!,"AAAAAEy9//E=")</f>
        <v>#REF!</v>
      </c>
      <c r="II282" t="e">
        <f>AND(#REF!,"AAAAAEy9//I=")</f>
        <v>#REF!</v>
      </c>
      <c r="IJ282" t="e">
        <f>AND(#REF!,"AAAAAEy9//M=")</f>
        <v>#REF!</v>
      </c>
      <c r="IK282" t="e">
        <f>AND(#REF!,"AAAAAEy9//Q=")</f>
        <v>#REF!</v>
      </c>
      <c r="IL282" t="e">
        <f>AND(#REF!,"AAAAAEy9//U=")</f>
        <v>#REF!</v>
      </c>
      <c r="IM282" t="e">
        <f>AND(#REF!,"AAAAAEy9//Y=")</f>
        <v>#REF!</v>
      </c>
      <c r="IN282" t="e">
        <f>AND(#REF!,"AAAAAEy9//c=")</f>
        <v>#REF!</v>
      </c>
      <c r="IO282" t="e">
        <f>AND(#REF!,"AAAAAEy9//g=")</f>
        <v>#REF!</v>
      </c>
      <c r="IP282" t="e">
        <f>IF(#REF!,"AAAAAEy9//k=",0)</f>
        <v>#REF!</v>
      </c>
      <c r="IQ282" t="e">
        <f>AND(#REF!,"AAAAAEy9//o=")</f>
        <v>#REF!</v>
      </c>
      <c r="IR282" t="e">
        <f>AND(#REF!,"AAAAAEy9//s=")</f>
        <v>#REF!</v>
      </c>
      <c r="IS282" t="e">
        <f>AND(#REF!,"AAAAAEy9//w=")</f>
        <v>#REF!</v>
      </c>
      <c r="IT282" t="e">
        <f>AND(#REF!,"AAAAAEy9//0=")</f>
        <v>#REF!</v>
      </c>
      <c r="IU282" t="e">
        <f>AND(#REF!,"AAAAAEy9//4=")</f>
        <v>#REF!</v>
      </c>
      <c r="IV282" t="e">
        <f>AND(#REF!,"AAAAAEy9//8=")</f>
        <v>#REF!</v>
      </c>
    </row>
    <row r="283" spans="1:256">
      <c r="A283" t="e">
        <f>AND(#REF!,"AAAAAHv/mwA=")</f>
        <v>#REF!</v>
      </c>
      <c r="B283" t="e">
        <f>AND(#REF!,"AAAAAHv/mwE=")</f>
        <v>#REF!</v>
      </c>
      <c r="C283" t="e">
        <f>AND(#REF!,"AAAAAHv/mwI=")</f>
        <v>#REF!</v>
      </c>
      <c r="D283" t="e">
        <f>AND(#REF!,"AAAAAHv/mwM=")</f>
        <v>#REF!</v>
      </c>
      <c r="E283" t="e">
        <f>AND(#REF!,"AAAAAHv/mwQ=")</f>
        <v>#REF!</v>
      </c>
      <c r="F283" t="e">
        <f>AND(#REF!,"AAAAAHv/mwU=")</f>
        <v>#REF!</v>
      </c>
      <c r="G283" t="e">
        <f>AND(#REF!,"AAAAAHv/mwY=")</f>
        <v>#REF!</v>
      </c>
      <c r="H283" t="e">
        <f>AND(#REF!,"AAAAAHv/mwc=")</f>
        <v>#REF!</v>
      </c>
      <c r="I283" t="e">
        <f>AND(#REF!,"AAAAAHv/mwg=")</f>
        <v>#REF!</v>
      </c>
      <c r="J283" t="e">
        <f>AND(#REF!,"AAAAAHv/mwk=")</f>
        <v>#REF!</v>
      </c>
      <c r="K283" t="e">
        <f>AND(#REF!,"AAAAAHv/mwo=")</f>
        <v>#REF!</v>
      </c>
      <c r="L283" t="e">
        <f>AND(#REF!,"AAAAAHv/mws=")</f>
        <v>#REF!</v>
      </c>
      <c r="M283" t="e">
        <f>AND(#REF!,"AAAAAHv/mww=")</f>
        <v>#REF!</v>
      </c>
      <c r="N283" t="e">
        <f>AND(#REF!,"AAAAAHv/mw0=")</f>
        <v>#REF!</v>
      </c>
      <c r="O283" t="e">
        <f>AND(#REF!,"AAAAAHv/mw4=")</f>
        <v>#REF!</v>
      </c>
      <c r="P283" t="e">
        <f>AND(#REF!,"AAAAAHv/mw8=")</f>
        <v>#REF!</v>
      </c>
      <c r="Q283" t="e">
        <f>AND(#REF!,"AAAAAHv/mxA=")</f>
        <v>#REF!</v>
      </c>
      <c r="R283" t="e">
        <f>AND(#REF!,"AAAAAHv/mxE=")</f>
        <v>#REF!</v>
      </c>
      <c r="S283" t="e">
        <f>IF(#REF!,"AAAAAHv/mxI=",0)</f>
        <v>#REF!</v>
      </c>
      <c r="T283" t="e">
        <f>AND(#REF!,"AAAAAHv/mxM=")</f>
        <v>#REF!</v>
      </c>
      <c r="U283" t="e">
        <f>AND(#REF!,"AAAAAHv/mxQ=")</f>
        <v>#REF!</v>
      </c>
      <c r="V283" t="e">
        <f>AND(#REF!,"AAAAAHv/mxU=")</f>
        <v>#REF!</v>
      </c>
      <c r="W283" t="e">
        <f>AND(#REF!,"AAAAAHv/mxY=")</f>
        <v>#REF!</v>
      </c>
      <c r="X283" t="e">
        <f>AND(#REF!,"AAAAAHv/mxc=")</f>
        <v>#REF!</v>
      </c>
      <c r="Y283" t="e">
        <f>AND(#REF!,"AAAAAHv/mxg=")</f>
        <v>#REF!</v>
      </c>
      <c r="Z283" t="e">
        <f>AND(#REF!,"AAAAAHv/mxk=")</f>
        <v>#REF!</v>
      </c>
      <c r="AA283" t="e">
        <f>AND(#REF!,"AAAAAHv/mxo=")</f>
        <v>#REF!</v>
      </c>
      <c r="AB283" t="e">
        <f>AND(#REF!,"AAAAAHv/mxs=")</f>
        <v>#REF!</v>
      </c>
      <c r="AC283" t="e">
        <f>AND(#REF!,"AAAAAHv/mxw=")</f>
        <v>#REF!</v>
      </c>
      <c r="AD283" t="e">
        <f>AND(#REF!,"AAAAAHv/mx0=")</f>
        <v>#REF!</v>
      </c>
      <c r="AE283" t="e">
        <f>AND(#REF!,"AAAAAHv/mx4=")</f>
        <v>#REF!</v>
      </c>
      <c r="AF283" t="e">
        <f>AND(#REF!,"AAAAAHv/mx8=")</f>
        <v>#REF!</v>
      </c>
      <c r="AG283" t="e">
        <f>AND(#REF!,"AAAAAHv/myA=")</f>
        <v>#REF!</v>
      </c>
      <c r="AH283" t="e">
        <f>AND(#REF!,"AAAAAHv/myE=")</f>
        <v>#REF!</v>
      </c>
      <c r="AI283" t="e">
        <f>AND(#REF!,"AAAAAHv/myI=")</f>
        <v>#REF!</v>
      </c>
      <c r="AJ283" t="e">
        <f>AND(#REF!,"AAAAAHv/myM=")</f>
        <v>#REF!</v>
      </c>
      <c r="AK283" t="e">
        <f>AND(#REF!,"AAAAAHv/myQ=")</f>
        <v>#REF!</v>
      </c>
      <c r="AL283" t="e">
        <f>AND(#REF!,"AAAAAHv/myU=")</f>
        <v>#REF!</v>
      </c>
      <c r="AM283" t="e">
        <f>AND(#REF!,"AAAAAHv/myY=")</f>
        <v>#REF!</v>
      </c>
      <c r="AN283" t="e">
        <f>AND(#REF!,"AAAAAHv/myc=")</f>
        <v>#REF!</v>
      </c>
      <c r="AO283" t="e">
        <f>AND(#REF!,"AAAAAHv/myg=")</f>
        <v>#REF!</v>
      </c>
      <c r="AP283" t="e">
        <f>AND(#REF!,"AAAAAHv/myk=")</f>
        <v>#REF!</v>
      </c>
      <c r="AQ283" t="e">
        <f>AND(#REF!,"AAAAAHv/myo=")</f>
        <v>#REF!</v>
      </c>
      <c r="AR283" t="e">
        <f>IF(#REF!,"AAAAAHv/mys=",0)</f>
        <v>#REF!</v>
      </c>
      <c r="AS283" t="e">
        <f>AND(#REF!,"AAAAAHv/myw=")</f>
        <v>#REF!</v>
      </c>
      <c r="AT283" t="e">
        <f>AND(#REF!,"AAAAAHv/my0=")</f>
        <v>#REF!</v>
      </c>
      <c r="AU283" t="e">
        <f>AND(#REF!,"AAAAAHv/my4=")</f>
        <v>#REF!</v>
      </c>
      <c r="AV283" t="e">
        <f>AND(#REF!,"AAAAAHv/my8=")</f>
        <v>#REF!</v>
      </c>
      <c r="AW283" t="e">
        <f>AND(#REF!,"AAAAAHv/mzA=")</f>
        <v>#REF!</v>
      </c>
      <c r="AX283" t="e">
        <f>AND(#REF!,"AAAAAHv/mzE=")</f>
        <v>#REF!</v>
      </c>
      <c r="AY283" t="e">
        <f>AND(#REF!,"AAAAAHv/mzI=")</f>
        <v>#REF!</v>
      </c>
      <c r="AZ283" t="e">
        <f>AND(#REF!,"AAAAAHv/mzM=")</f>
        <v>#REF!</v>
      </c>
      <c r="BA283" t="e">
        <f>AND(#REF!,"AAAAAHv/mzQ=")</f>
        <v>#REF!</v>
      </c>
      <c r="BB283" t="e">
        <f>AND(#REF!,"AAAAAHv/mzU=")</f>
        <v>#REF!</v>
      </c>
      <c r="BC283" t="e">
        <f>AND(#REF!,"AAAAAHv/mzY=")</f>
        <v>#REF!</v>
      </c>
      <c r="BD283" t="e">
        <f>AND(#REF!,"AAAAAHv/mzc=")</f>
        <v>#REF!</v>
      </c>
      <c r="BE283" t="e">
        <f>AND(#REF!,"AAAAAHv/mzg=")</f>
        <v>#REF!</v>
      </c>
      <c r="BF283" t="e">
        <f>AND(#REF!,"AAAAAHv/mzk=")</f>
        <v>#REF!</v>
      </c>
      <c r="BG283" t="e">
        <f>AND(#REF!,"AAAAAHv/mzo=")</f>
        <v>#REF!</v>
      </c>
      <c r="BH283" t="e">
        <f>AND(#REF!,"AAAAAHv/mzs=")</f>
        <v>#REF!</v>
      </c>
      <c r="BI283" t="e">
        <f>AND(#REF!,"AAAAAHv/mzw=")</f>
        <v>#REF!</v>
      </c>
      <c r="BJ283" t="e">
        <f>AND(#REF!,"AAAAAHv/mz0=")</f>
        <v>#REF!</v>
      </c>
      <c r="BK283" t="e">
        <f>AND(#REF!,"AAAAAHv/mz4=")</f>
        <v>#REF!</v>
      </c>
      <c r="BL283" t="e">
        <f>AND(#REF!,"AAAAAHv/mz8=")</f>
        <v>#REF!</v>
      </c>
      <c r="BM283" t="e">
        <f>AND(#REF!,"AAAAAHv/m0A=")</f>
        <v>#REF!</v>
      </c>
      <c r="BN283" t="e">
        <f>AND(#REF!,"AAAAAHv/m0E=")</f>
        <v>#REF!</v>
      </c>
      <c r="BO283" t="e">
        <f>AND(#REF!,"AAAAAHv/m0I=")</f>
        <v>#REF!</v>
      </c>
      <c r="BP283" t="e">
        <f>AND(#REF!,"AAAAAHv/m0M=")</f>
        <v>#REF!</v>
      </c>
      <c r="BQ283" t="e">
        <f>IF(#REF!,"AAAAAHv/m0Q=",0)</f>
        <v>#REF!</v>
      </c>
      <c r="BR283" t="e">
        <f>AND(#REF!,"AAAAAHv/m0U=")</f>
        <v>#REF!</v>
      </c>
      <c r="BS283" t="e">
        <f>AND(#REF!,"AAAAAHv/m0Y=")</f>
        <v>#REF!</v>
      </c>
      <c r="BT283" t="e">
        <f>AND(#REF!,"AAAAAHv/m0c=")</f>
        <v>#REF!</v>
      </c>
      <c r="BU283" t="e">
        <f>AND(#REF!,"AAAAAHv/m0g=")</f>
        <v>#REF!</v>
      </c>
      <c r="BV283" t="e">
        <f>AND(#REF!,"AAAAAHv/m0k=")</f>
        <v>#REF!</v>
      </c>
      <c r="BW283" t="e">
        <f>AND(#REF!,"AAAAAHv/m0o=")</f>
        <v>#REF!</v>
      </c>
      <c r="BX283" t="e">
        <f>AND(#REF!,"AAAAAHv/m0s=")</f>
        <v>#REF!</v>
      </c>
      <c r="BY283" t="e">
        <f>AND(#REF!,"AAAAAHv/m0w=")</f>
        <v>#REF!</v>
      </c>
      <c r="BZ283" t="e">
        <f>AND(#REF!,"AAAAAHv/m00=")</f>
        <v>#REF!</v>
      </c>
      <c r="CA283" t="e">
        <f>AND(#REF!,"AAAAAHv/m04=")</f>
        <v>#REF!</v>
      </c>
      <c r="CB283" t="e">
        <f>AND(#REF!,"AAAAAHv/m08=")</f>
        <v>#REF!</v>
      </c>
      <c r="CC283" t="e">
        <f>AND(#REF!,"AAAAAHv/m1A=")</f>
        <v>#REF!</v>
      </c>
      <c r="CD283" t="e">
        <f>AND(#REF!,"AAAAAHv/m1E=")</f>
        <v>#REF!</v>
      </c>
      <c r="CE283" t="e">
        <f>AND(#REF!,"AAAAAHv/m1I=")</f>
        <v>#REF!</v>
      </c>
      <c r="CF283" t="e">
        <f>AND(#REF!,"AAAAAHv/m1M=")</f>
        <v>#REF!</v>
      </c>
      <c r="CG283" t="e">
        <f>AND(#REF!,"AAAAAHv/m1Q=")</f>
        <v>#REF!</v>
      </c>
      <c r="CH283" t="e">
        <f>AND(#REF!,"AAAAAHv/m1U=")</f>
        <v>#REF!</v>
      </c>
      <c r="CI283" t="e">
        <f>AND(#REF!,"AAAAAHv/m1Y=")</f>
        <v>#REF!</v>
      </c>
      <c r="CJ283" t="e">
        <f>AND(#REF!,"AAAAAHv/m1c=")</f>
        <v>#REF!</v>
      </c>
      <c r="CK283" t="e">
        <f>AND(#REF!,"AAAAAHv/m1g=")</f>
        <v>#REF!</v>
      </c>
      <c r="CL283" t="e">
        <f>AND(#REF!,"AAAAAHv/m1k=")</f>
        <v>#REF!</v>
      </c>
      <c r="CM283" t="e">
        <f>AND(#REF!,"AAAAAHv/m1o=")</f>
        <v>#REF!</v>
      </c>
      <c r="CN283" t="e">
        <f>AND(#REF!,"AAAAAHv/m1s=")</f>
        <v>#REF!</v>
      </c>
      <c r="CO283" t="e">
        <f>AND(#REF!,"AAAAAHv/m1w=")</f>
        <v>#REF!</v>
      </c>
      <c r="CP283" t="e">
        <f>IF(#REF!,"AAAAAHv/m10=",0)</f>
        <v>#REF!</v>
      </c>
      <c r="CQ283" t="e">
        <f>AND(#REF!,"AAAAAHv/m14=")</f>
        <v>#REF!</v>
      </c>
      <c r="CR283" t="e">
        <f>AND(#REF!,"AAAAAHv/m18=")</f>
        <v>#REF!</v>
      </c>
      <c r="CS283" t="e">
        <f>AND(#REF!,"AAAAAHv/m2A=")</f>
        <v>#REF!</v>
      </c>
      <c r="CT283" t="e">
        <f>AND(#REF!,"AAAAAHv/m2E=")</f>
        <v>#REF!</v>
      </c>
      <c r="CU283" t="e">
        <f>AND(#REF!,"AAAAAHv/m2I=")</f>
        <v>#REF!</v>
      </c>
      <c r="CV283" t="e">
        <f>AND(#REF!,"AAAAAHv/m2M=")</f>
        <v>#REF!</v>
      </c>
      <c r="CW283" t="e">
        <f>AND(#REF!,"AAAAAHv/m2Q=")</f>
        <v>#REF!</v>
      </c>
      <c r="CX283" t="e">
        <f>AND(#REF!,"AAAAAHv/m2U=")</f>
        <v>#REF!</v>
      </c>
      <c r="CY283" t="e">
        <f>AND(#REF!,"AAAAAHv/m2Y=")</f>
        <v>#REF!</v>
      </c>
      <c r="CZ283" t="e">
        <f>AND(#REF!,"AAAAAHv/m2c=")</f>
        <v>#REF!</v>
      </c>
      <c r="DA283" t="e">
        <f>AND(#REF!,"AAAAAHv/m2g=")</f>
        <v>#REF!</v>
      </c>
      <c r="DB283" t="e">
        <f>AND(#REF!,"AAAAAHv/m2k=")</f>
        <v>#REF!</v>
      </c>
      <c r="DC283" t="e">
        <f>AND(#REF!,"AAAAAHv/m2o=")</f>
        <v>#REF!</v>
      </c>
      <c r="DD283" t="e">
        <f>AND(#REF!,"AAAAAHv/m2s=")</f>
        <v>#REF!</v>
      </c>
      <c r="DE283" t="e">
        <f>AND(#REF!,"AAAAAHv/m2w=")</f>
        <v>#REF!</v>
      </c>
      <c r="DF283" t="e">
        <f>AND(#REF!,"AAAAAHv/m20=")</f>
        <v>#REF!</v>
      </c>
      <c r="DG283" t="e">
        <f>AND(#REF!,"AAAAAHv/m24=")</f>
        <v>#REF!</v>
      </c>
      <c r="DH283" t="e">
        <f>AND(#REF!,"AAAAAHv/m28=")</f>
        <v>#REF!</v>
      </c>
      <c r="DI283" t="e">
        <f>AND(#REF!,"AAAAAHv/m3A=")</f>
        <v>#REF!</v>
      </c>
      <c r="DJ283" t="e">
        <f>AND(#REF!,"AAAAAHv/m3E=")</f>
        <v>#REF!</v>
      </c>
      <c r="DK283" t="e">
        <f>AND(#REF!,"AAAAAHv/m3I=")</f>
        <v>#REF!</v>
      </c>
      <c r="DL283" t="e">
        <f>AND(#REF!,"AAAAAHv/m3M=")</f>
        <v>#REF!</v>
      </c>
      <c r="DM283" t="e">
        <f>AND(#REF!,"AAAAAHv/m3Q=")</f>
        <v>#REF!</v>
      </c>
      <c r="DN283" t="e">
        <f>AND(#REF!,"AAAAAHv/m3U=")</f>
        <v>#REF!</v>
      </c>
      <c r="DO283" t="e">
        <f>IF(#REF!,"AAAAAHv/m3Y=",0)</f>
        <v>#REF!</v>
      </c>
      <c r="DP283" t="e">
        <f>AND(#REF!,"AAAAAHv/m3c=")</f>
        <v>#REF!</v>
      </c>
      <c r="DQ283" t="e">
        <f>AND(#REF!,"AAAAAHv/m3g=")</f>
        <v>#REF!</v>
      </c>
      <c r="DR283" t="e">
        <f>AND(#REF!,"AAAAAHv/m3k=")</f>
        <v>#REF!</v>
      </c>
      <c r="DS283" t="e">
        <f>AND(#REF!,"AAAAAHv/m3o=")</f>
        <v>#REF!</v>
      </c>
      <c r="DT283" t="e">
        <f>AND(#REF!,"AAAAAHv/m3s=")</f>
        <v>#REF!</v>
      </c>
      <c r="DU283" t="e">
        <f>AND(#REF!,"AAAAAHv/m3w=")</f>
        <v>#REF!</v>
      </c>
      <c r="DV283" t="e">
        <f>AND(#REF!,"AAAAAHv/m30=")</f>
        <v>#REF!</v>
      </c>
      <c r="DW283" t="e">
        <f>AND(#REF!,"AAAAAHv/m34=")</f>
        <v>#REF!</v>
      </c>
      <c r="DX283" t="e">
        <f>AND(#REF!,"AAAAAHv/m38=")</f>
        <v>#REF!</v>
      </c>
      <c r="DY283" t="e">
        <f>AND(#REF!,"AAAAAHv/m4A=")</f>
        <v>#REF!</v>
      </c>
      <c r="DZ283" t="e">
        <f>AND(#REF!,"AAAAAHv/m4E=")</f>
        <v>#REF!</v>
      </c>
      <c r="EA283" t="e">
        <f>AND(#REF!,"AAAAAHv/m4I=")</f>
        <v>#REF!</v>
      </c>
      <c r="EB283" t="e">
        <f>AND(#REF!,"AAAAAHv/m4M=")</f>
        <v>#REF!</v>
      </c>
      <c r="EC283" t="e">
        <f>AND(#REF!,"AAAAAHv/m4Q=")</f>
        <v>#REF!</v>
      </c>
      <c r="ED283" t="e">
        <f>AND(#REF!,"AAAAAHv/m4U=")</f>
        <v>#REF!</v>
      </c>
      <c r="EE283" t="e">
        <f>AND(#REF!,"AAAAAHv/m4Y=")</f>
        <v>#REF!</v>
      </c>
      <c r="EF283" t="e">
        <f>AND(#REF!,"AAAAAHv/m4c=")</f>
        <v>#REF!</v>
      </c>
      <c r="EG283" t="e">
        <f>AND(#REF!,"AAAAAHv/m4g=")</f>
        <v>#REF!</v>
      </c>
      <c r="EH283" t="e">
        <f>AND(#REF!,"AAAAAHv/m4k=")</f>
        <v>#REF!</v>
      </c>
      <c r="EI283" t="e">
        <f>AND(#REF!,"AAAAAHv/m4o=")</f>
        <v>#REF!</v>
      </c>
      <c r="EJ283" t="e">
        <f>AND(#REF!,"AAAAAHv/m4s=")</f>
        <v>#REF!</v>
      </c>
      <c r="EK283" t="e">
        <f>AND(#REF!,"AAAAAHv/m4w=")</f>
        <v>#REF!</v>
      </c>
      <c r="EL283" t="e">
        <f>AND(#REF!,"AAAAAHv/m40=")</f>
        <v>#REF!</v>
      </c>
      <c r="EM283" t="e">
        <f>AND(#REF!,"AAAAAHv/m44=")</f>
        <v>#REF!</v>
      </c>
      <c r="EN283" t="e">
        <f>IF(#REF!,"AAAAAHv/m48=",0)</f>
        <v>#REF!</v>
      </c>
      <c r="EO283" t="e">
        <f>AND(#REF!,"AAAAAHv/m5A=")</f>
        <v>#REF!</v>
      </c>
      <c r="EP283" t="e">
        <f>AND(#REF!,"AAAAAHv/m5E=")</f>
        <v>#REF!</v>
      </c>
      <c r="EQ283" t="e">
        <f>AND(#REF!,"AAAAAHv/m5I=")</f>
        <v>#REF!</v>
      </c>
      <c r="ER283" t="e">
        <f>AND(#REF!,"AAAAAHv/m5M=")</f>
        <v>#REF!</v>
      </c>
      <c r="ES283" t="e">
        <f>AND(#REF!,"AAAAAHv/m5Q=")</f>
        <v>#REF!</v>
      </c>
      <c r="ET283" t="e">
        <f>AND(#REF!,"AAAAAHv/m5U=")</f>
        <v>#REF!</v>
      </c>
      <c r="EU283" t="e">
        <f>AND(#REF!,"AAAAAHv/m5Y=")</f>
        <v>#REF!</v>
      </c>
      <c r="EV283" t="e">
        <f>AND(#REF!,"AAAAAHv/m5c=")</f>
        <v>#REF!</v>
      </c>
      <c r="EW283" t="e">
        <f>AND(#REF!,"AAAAAHv/m5g=")</f>
        <v>#REF!</v>
      </c>
      <c r="EX283" t="e">
        <f>AND(#REF!,"AAAAAHv/m5k=")</f>
        <v>#REF!</v>
      </c>
      <c r="EY283" t="e">
        <f>AND(#REF!,"AAAAAHv/m5o=")</f>
        <v>#REF!</v>
      </c>
      <c r="EZ283" t="e">
        <f>AND(#REF!,"AAAAAHv/m5s=")</f>
        <v>#REF!</v>
      </c>
      <c r="FA283" t="e">
        <f>AND(#REF!,"AAAAAHv/m5w=")</f>
        <v>#REF!</v>
      </c>
      <c r="FB283" t="e">
        <f>AND(#REF!,"AAAAAHv/m50=")</f>
        <v>#REF!</v>
      </c>
      <c r="FC283" t="e">
        <f>AND(#REF!,"AAAAAHv/m54=")</f>
        <v>#REF!</v>
      </c>
      <c r="FD283" t="e">
        <f>AND(#REF!,"AAAAAHv/m58=")</f>
        <v>#REF!</v>
      </c>
      <c r="FE283" t="e">
        <f>AND(#REF!,"AAAAAHv/m6A=")</f>
        <v>#REF!</v>
      </c>
      <c r="FF283" t="e">
        <f>AND(#REF!,"AAAAAHv/m6E=")</f>
        <v>#REF!</v>
      </c>
      <c r="FG283" t="e">
        <f>AND(#REF!,"AAAAAHv/m6I=")</f>
        <v>#REF!</v>
      </c>
      <c r="FH283" t="e">
        <f>AND(#REF!,"AAAAAHv/m6M=")</f>
        <v>#REF!</v>
      </c>
      <c r="FI283" t="e">
        <f>AND(#REF!,"AAAAAHv/m6Q=")</f>
        <v>#REF!</v>
      </c>
      <c r="FJ283" t="e">
        <f>AND(#REF!,"AAAAAHv/m6U=")</f>
        <v>#REF!</v>
      </c>
      <c r="FK283" t="e">
        <f>AND(#REF!,"AAAAAHv/m6Y=")</f>
        <v>#REF!</v>
      </c>
      <c r="FL283" t="e">
        <f>AND(#REF!,"AAAAAHv/m6c=")</f>
        <v>#REF!</v>
      </c>
      <c r="FM283" t="e">
        <f>IF(#REF!,"AAAAAHv/m6g=",0)</f>
        <v>#REF!</v>
      </c>
      <c r="FN283" t="e">
        <f>AND(#REF!,"AAAAAHv/m6k=")</f>
        <v>#REF!</v>
      </c>
      <c r="FO283" t="e">
        <f>AND(#REF!,"AAAAAHv/m6o=")</f>
        <v>#REF!</v>
      </c>
      <c r="FP283" t="e">
        <f>AND(#REF!,"AAAAAHv/m6s=")</f>
        <v>#REF!</v>
      </c>
      <c r="FQ283" t="e">
        <f>AND(#REF!,"AAAAAHv/m6w=")</f>
        <v>#REF!</v>
      </c>
      <c r="FR283" t="e">
        <f>AND(#REF!,"AAAAAHv/m60=")</f>
        <v>#REF!</v>
      </c>
      <c r="FS283" t="e">
        <f>AND(#REF!,"AAAAAHv/m64=")</f>
        <v>#REF!</v>
      </c>
      <c r="FT283" t="e">
        <f>AND(#REF!,"AAAAAHv/m68=")</f>
        <v>#REF!</v>
      </c>
      <c r="FU283" t="e">
        <f>AND(#REF!,"AAAAAHv/m7A=")</f>
        <v>#REF!</v>
      </c>
      <c r="FV283" t="e">
        <f>AND(#REF!,"AAAAAHv/m7E=")</f>
        <v>#REF!</v>
      </c>
      <c r="FW283" t="e">
        <f>AND(#REF!,"AAAAAHv/m7I=")</f>
        <v>#REF!</v>
      </c>
      <c r="FX283" t="e">
        <f>AND(#REF!,"AAAAAHv/m7M=")</f>
        <v>#REF!</v>
      </c>
      <c r="FY283" t="e">
        <f>AND(#REF!,"AAAAAHv/m7Q=")</f>
        <v>#REF!</v>
      </c>
      <c r="FZ283" t="e">
        <f>AND(#REF!,"AAAAAHv/m7U=")</f>
        <v>#REF!</v>
      </c>
      <c r="GA283" t="e">
        <f>AND(#REF!,"AAAAAHv/m7Y=")</f>
        <v>#REF!</v>
      </c>
      <c r="GB283" t="e">
        <f>AND(#REF!,"AAAAAHv/m7c=")</f>
        <v>#REF!</v>
      </c>
      <c r="GC283" t="e">
        <f>AND(#REF!,"AAAAAHv/m7g=")</f>
        <v>#REF!</v>
      </c>
      <c r="GD283" t="e">
        <f>AND(#REF!,"AAAAAHv/m7k=")</f>
        <v>#REF!</v>
      </c>
      <c r="GE283" t="e">
        <f>AND(#REF!,"AAAAAHv/m7o=")</f>
        <v>#REF!</v>
      </c>
      <c r="GF283" t="e">
        <f>AND(#REF!,"AAAAAHv/m7s=")</f>
        <v>#REF!</v>
      </c>
      <c r="GG283" t="e">
        <f>AND(#REF!,"AAAAAHv/m7w=")</f>
        <v>#REF!</v>
      </c>
      <c r="GH283" t="e">
        <f>AND(#REF!,"AAAAAHv/m70=")</f>
        <v>#REF!</v>
      </c>
      <c r="GI283" t="e">
        <f>AND(#REF!,"AAAAAHv/m74=")</f>
        <v>#REF!</v>
      </c>
      <c r="GJ283" t="e">
        <f>AND(#REF!,"AAAAAHv/m78=")</f>
        <v>#REF!</v>
      </c>
      <c r="GK283" t="e">
        <f>AND(#REF!,"AAAAAHv/m8A=")</f>
        <v>#REF!</v>
      </c>
      <c r="GL283" t="e">
        <f>IF(#REF!,"AAAAAHv/m8E=",0)</f>
        <v>#REF!</v>
      </c>
      <c r="GM283" t="e">
        <f>AND(#REF!,"AAAAAHv/m8I=")</f>
        <v>#REF!</v>
      </c>
      <c r="GN283" t="e">
        <f>AND(#REF!,"AAAAAHv/m8M=")</f>
        <v>#REF!</v>
      </c>
      <c r="GO283" t="e">
        <f>AND(#REF!,"AAAAAHv/m8Q=")</f>
        <v>#REF!</v>
      </c>
      <c r="GP283" t="e">
        <f>AND(#REF!,"AAAAAHv/m8U=")</f>
        <v>#REF!</v>
      </c>
      <c r="GQ283" t="e">
        <f>AND(#REF!,"AAAAAHv/m8Y=")</f>
        <v>#REF!</v>
      </c>
      <c r="GR283" t="e">
        <f>AND(#REF!,"AAAAAHv/m8c=")</f>
        <v>#REF!</v>
      </c>
      <c r="GS283" t="e">
        <f>AND(#REF!,"AAAAAHv/m8g=")</f>
        <v>#REF!</v>
      </c>
      <c r="GT283" t="e">
        <f>AND(#REF!,"AAAAAHv/m8k=")</f>
        <v>#REF!</v>
      </c>
      <c r="GU283" t="e">
        <f>AND(#REF!,"AAAAAHv/m8o=")</f>
        <v>#REF!</v>
      </c>
      <c r="GV283" t="e">
        <f>AND(#REF!,"AAAAAHv/m8s=")</f>
        <v>#REF!</v>
      </c>
      <c r="GW283" t="e">
        <f>AND(#REF!,"AAAAAHv/m8w=")</f>
        <v>#REF!</v>
      </c>
      <c r="GX283" t="e">
        <f>AND(#REF!,"AAAAAHv/m80=")</f>
        <v>#REF!</v>
      </c>
      <c r="GY283" t="e">
        <f>AND(#REF!,"AAAAAHv/m84=")</f>
        <v>#REF!</v>
      </c>
      <c r="GZ283" t="e">
        <f>AND(#REF!,"AAAAAHv/m88=")</f>
        <v>#REF!</v>
      </c>
      <c r="HA283" t="e">
        <f>AND(#REF!,"AAAAAHv/m9A=")</f>
        <v>#REF!</v>
      </c>
      <c r="HB283" t="e">
        <f>AND(#REF!,"AAAAAHv/m9E=")</f>
        <v>#REF!</v>
      </c>
      <c r="HC283" t="e">
        <f>AND(#REF!,"AAAAAHv/m9I=")</f>
        <v>#REF!</v>
      </c>
      <c r="HD283" t="e">
        <f>AND(#REF!,"AAAAAHv/m9M=")</f>
        <v>#REF!</v>
      </c>
      <c r="HE283" t="e">
        <f>AND(#REF!,"AAAAAHv/m9Q=")</f>
        <v>#REF!</v>
      </c>
      <c r="HF283" t="e">
        <f>AND(#REF!,"AAAAAHv/m9U=")</f>
        <v>#REF!</v>
      </c>
      <c r="HG283" t="e">
        <f>AND(#REF!,"AAAAAHv/m9Y=")</f>
        <v>#REF!</v>
      </c>
      <c r="HH283" t="e">
        <f>AND(#REF!,"AAAAAHv/m9c=")</f>
        <v>#REF!</v>
      </c>
      <c r="HI283" t="e">
        <f>AND(#REF!,"AAAAAHv/m9g=")</f>
        <v>#REF!</v>
      </c>
      <c r="HJ283" t="e">
        <f>AND(#REF!,"AAAAAHv/m9k=")</f>
        <v>#REF!</v>
      </c>
      <c r="HK283" t="e">
        <f>IF(#REF!,"AAAAAHv/m9o=",0)</f>
        <v>#REF!</v>
      </c>
      <c r="HL283" t="e">
        <f>AND(#REF!,"AAAAAHv/m9s=")</f>
        <v>#REF!</v>
      </c>
      <c r="HM283" t="e">
        <f>AND(#REF!,"AAAAAHv/m9w=")</f>
        <v>#REF!</v>
      </c>
      <c r="HN283" t="e">
        <f>AND(#REF!,"AAAAAHv/m90=")</f>
        <v>#REF!</v>
      </c>
      <c r="HO283" t="e">
        <f>AND(#REF!,"AAAAAHv/m94=")</f>
        <v>#REF!</v>
      </c>
      <c r="HP283" t="e">
        <f>AND(#REF!,"AAAAAHv/m98=")</f>
        <v>#REF!</v>
      </c>
      <c r="HQ283" t="e">
        <f>AND(#REF!,"AAAAAHv/m+A=")</f>
        <v>#REF!</v>
      </c>
      <c r="HR283" t="e">
        <f>AND(#REF!,"AAAAAHv/m+E=")</f>
        <v>#REF!</v>
      </c>
      <c r="HS283" t="e">
        <f>AND(#REF!,"AAAAAHv/m+I=")</f>
        <v>#REF!</v>
      </c>
      <c r="HT283" t="e">
        <f>AND(#REF!,"AAAAAHv/m+M=")</f>
        <v>#REF!</v>
      </c>
      <c r="HU283" t="e">
        <f>AND(#REF!,"AAAAAHv/m+Q=")</f>
        <v>#REF!</v>
      </c>
      <c r="HV283" t="e">
        <f>AND(#REF!,"AAAAAHv/m+U=")</f>
        <v>#REF!</v>
      </c>
      <c r="HW283" t="e">
        <f>AND(#REF!,"AAAAAHv/m+Y=")</f>
        <v>#REF!</v>
      </c>
      <c r="HX283" t="e">
        <f>AND(#REF!,"AAAAAHv/m+c=")</f>
        <v>#REF!</v>
      </c>
      <c r="HY283" t="e">
        <f>AND(#REF!,"AAAAAHv/m+g=")</f>
        <v>#REF!</v>
      </c>
      <c r="HZ283" t="e">
        <f>AND(#REF!,"AAAAAHv/m+k=")</f>
        <v>#REF!</v>
      </c>
      <c r="IA283" t="e">
        <f>AND(#REF!,"AAAAAHv/m+o=")</f>
        <v>#REF!</v>
      </c>
      <c r="IB283" t="e">
        <f>AND(#REF!,"AAAAAHv/m+s=")</f>
        <v>#REF!</v>
      </c>
      <c r="IC283" t="e">
        <f>AND(#REF!,"AAAAAHv/m+w=")</f>
        <v>#REF!</v>
      </c>
      <c r="ID283" t="e">
        <f>AND(#REF!,"AAAAAHv/m+0=")</f>
        <v>#REF!</v>
      </c>
      <c r="IE283" t="e">
        <f>AND(#REF!,"AAAAAHv/m+4=")</f>
        <v>#REF!</v>
      </c>
      <c r="IF283" t="e">
        <f>AND(#REF!,"AAAAAHv/m+8=")</f>
        <v>#REF!</v>
      </c>
      <c r="IG283" t="e">
        <f>AND(#REF!,"AAAAAHv/m/A=")</f>
        <v>#REF!</v>
      </c>
      <c r="IH283" t="e">
        <f>AND(#REF!,"AAAAAHv/m/E=")</f>
        <v>#REF!</v>
      </c>
      <c r="II283" t="e">
        <f>AND(#REF!,"AAAAAHv/m/I=")</f>
        <v>#REF!</v>
      </c>
      <c r="IJ283" t="e">
        <f>IF(#REF!,"AAAAAHv/m/M=",0)</f>
        <v>#REF!</v>
      </c>
      <c r="IK283" t="e">
        <f>AND(#REF!,"AAAAAHv/m/Q=")</f>
        <v>#REF!</v>
      </c>
      <c r="IL283" t="e">
        <f>AND(#REF!,"AAAAAHv/m/U=")</f>
        <v>#REF!</v>
      </c>
      <c r="IM283" t="e">
        <f>AND(#REF!,"AAAAAHv/m/Y=")</f>
        <v>#REF!</v>
      </c>
      <c r="IN283" t="e">
        <f>AND(#REF!,"AAAAAHv/m/c=")</f>
        <v>#REF!</v>
      </c>
      <c r="IO283" t="e">
        <f>AND(#REF!,"AAAAAHv/m/g=")</f>
        <v>#REF!</v>
      </c>
      <c r="IP283" t="e">
        <f>AND(#REF!,"AAAAAHv/m/k=")</f>
        <v>#REF!</v>
      </c>
      <c r="IQ283" t="e">
        <f>AND(#REF!,"AAAAAHv/m/o=")</f>
        <v>#REF!</v>
      </c>
      <c r="IR283" t="e">
        <f>AND(#REF!,"AAAAAHv/m/s=")</f>
        <v>#REF!</v>
      </c>
      <c r="IS283" t="e">
        <f>AND(#REF!,"AAAAAHv/m/w=")</f>
        <v>#REF!</v>
      </c>
      <c r="IT283" t="e">
        <f>AND(#REF!,"AAAAAHv/m/0=")</f>
        <v>#REF!</v>
      </c>
      <c r="IU283" t="e">
        <f>AND(#REF!,"AAAAAHv/m/4=")</f>
        <v>#REF!</v>
      </c>
      <c r="IV283" t="e">
        <f>AND(#REF!,"AAAAAHv/m/8=")</f>
        <v>#REF!</v>
      </c>
    </row>
    <row r="284" spans="1:256">
      <c r="A284" t="e">
        <f>AND(#REF!,"AAAAAH7/vQA=")</f>
        <v>#REF!</v>
      </c>
      <c r="B284" t="e">
        <f>AND(#REF!,"AAAAAH7/vQE=")</f>
        <v>#REF!</v>
      </c>
      <c r="C284" t="e">
        <f>AND(#REF!,"AAAAAH7/vQI=")</f>
        <v>#REF!</v>
      </c>
      <c r="D284" t="e">
        <f>AND(#REF!,"AAAAAH7/vQM=")</f>
        <v>#REF!</v>
      </c>
      <c r="E284" t="e">
        <f>AND(#REF!,"AAAAAH7/vQQ=")</f>
        <v>#REF!</v>
      </c>
      <c r="F284" t="e">
        <f>AND(#REF!,"AAAAAH7/vQU=")</f>
        <v>#REF!</v>
      </c>
      <c r="G284" t="e">
        <f>AND(#REF!,"AAAAAH7/vQY=")</f>
        <v>#REF!</v>
      </c>
      <c r="H284" t="e">
        <f>AND(#REF!,"AAAAAH7/vQc=")</f>
        <v>#REF!</v>
      </c>
      <c r="I284" t="e">
        <f>AND(#REF!,"AAAAAH7/vQg=")</f>
        <v>#REF!</v>
      </c>
      <c r="J284" t="e">
        <f>AND(#REF!,"AAAAAH7/vQk=")</f>
        <v>#REF!</v>
      </c>
      <c r="K284" t="e">
        <f>AND(#REF!,"AAAAAH7/vQo=")</f>
        <v>#REF!</v>
      </c>
      <c r="L284" t="e">
        <f>AND(#REF!,"AAAAAH7/vQs=")</f>
        <v>#REF!</v>
      </c>
      <c r="M284" t="e">
        <f>IF(#REF!,"AAAAAH7/vQw=",0)</f>
        <v>#REF!</v>
      </c>
      <c r="N284" t="e">
        <f>AND(#REF!,"AAAAAH7/vQ0=")</f>
        <v>#REF!</v>
      </c>
      <c r="O284" t="e">
        <f>AND(#REF!,"AAAAAH7/vQ4=")</f>
        <v>#REF!</v>
      </c>
      <c r="P284" t="e">
        <f>AND(#REF!,"AAAAAH7/vQ8=")</f>
        <v>#REF!</v>
      </c>
      <c r="Q284" t="e">
        <f>AND(#REF!,"AAAAAH7/vRA=")</f>
        <v>#REF!</v>
      </c>
      <c r="R284" t="e">
        <f>AND(#REF!,"AAAAAH7/vRE=")</f>
        <v>#REF!</v>
      </c>
      <c r="S284" t="e">
        <f>AND(#REF!,"AAAAAH7/vRI=")</f>
        <v>#REF!</v>
      </c>
      <c r="T284" t="e">
        <f>AND(#REF!,"AAAAAH7/vRM=")</f>
        <v>#REF!</v>
      </c>
      <c r="U284" t="e">
        <f>AND(#REF!,"AAAAAH7/vRQ=")</f>
        <v>#REF!</v>
      </c>
      <c r="V284" t="e">
        <f>AND(#REF!,"AAAAAH7/vRU=")</f>
        <v>#REF!</v>
      </c>
      <c r="W284" t="e">
        <f>AND(#REF!,"AAAAAH7/vRY=")</f>
        <v>#REF!</v>
      </c>
      <c r="X284" t="e">
        <f>AND(#REF!,"AAAAAH7/vRc=")</f>
        <v>#REF!</v>
      </c>
      <c r="Y284" t="e">
        <f>AND(#REF!,"AAAAAH7/vRg=")</f>
        <v>#REF!</v>
      </c>
      <c r="Z284" t="e">
        <f>AND(#REF!,"AAAAAH7/vRk=")</f>
        <v>#REF!</v>
      </c>
      <c r="AA284" t="e">
        <f>AND(#REF!,"AAAAAH7/vRo=")</f>
        <v>#REF!</v>
      </c>
      <c r="AB284" t="e">
        <f>AND(#REF!,"AAAAAH7/vRs=")</f>
        <v>#REF!</v>
      </c>
      <c r="AC284" t="e">
        <f>AND(#REF!,"AAAAAH7/vRw=")</f>
        <v>#REF!</v>
      </c>
      <c r="AD284" t="e">
        <f>AND(#REF!,"AAAAAH7/vR0=")</f>
        <v>#REF!</v>
      </c>
      <c r="AE284" t="e">
        <f>AND(#REF!,"AAAAAH7/vR4=")</f>
        <v>#REF!</v>
      </c>
      <c r="AF284" t="e">
        <f>AND(#REF!,"AAAAAH7/vR8=")</f>
        <v>#REF!</v>
      </c>
      <c r="AG284" t="e">
        <f>AND(#REF!,"AAAAAH7/vSA=")</f>
        <v>#REF!</v>
      </c>
      <c r="AH284" t="e">
        <f>AND(#REF!,"AAAAAH7/vSE=")</f>
        <v>#REF!</v>
      </c>
      <c r="AI284" t="e">
        <f>AND(#REF!,"AAAAAH7/vSI=")</f>
        <v>#REF!</v>
      </c>
      <c r="AJ284" t="e">
        <f>AND(#REF!,"AAAAAH7/vSM=")</f>
        <v>#REF!</v>
      </c>
      <c r="AK284" t="e">
        <f>AND(#REF!,"AAAAAH7/vSQ=")</f>
        <v>#REF!</v>
      </c>
      <c r="AL284" t="e">
        <f>IF(#REF!,"AAAAAH7/vSU=",0)</f>
        <v>#REF!</v>
      </c>
      <c r="AM284" t="e">
        <f>AND(#REF!,"AAAAAH7/vSY=")</f>
        <v>#REF!</v>
      </c>
      <c r="AN284" t="e">
        <f>AND(#REF!,"AAAAAH7/vSc=")</f>
        <v>#REF!</v>
      </c>
      <c r="AO284" t="e">
        <f>AND(#REF!,"AAAAAH7/vSg=")</f>
        <v>#REF!</v>
      </c>
      <c r="AP284" t="e">
        <f>AND(#REF!,"AAAAAH7/vSk=")</f>
        <v>#REF!</v>
      </c>
      <c r="AQ284" t="e">
        <f>AND(#REF!,"AAAAAH7/vSo=")</f>
        <v>#REF!</v>
      </c>
      <c r="AR284" t="e">
        <f>AND(#REF!,"AAAAAH7/vSs=")</f>
        <v>#REF!</v>
      </c>
      <c r="AS284" t="e">
        <f>AND(#REF!,"AAAAAH7/vSw=")</f>
        <v>#REF!</v>
      </c>
      <c r="AT284" t="e">
        <f>AND(#REF!,"AAAAAH7/vS0=")</f>
        <v>#REF!</v>
      </c>
      <c r="AU284" t="e">
        <f>AND(#REF!,"AAAAAH7/vS4=")</f>
        <v>#REF!</v>
      </c>
      <c r="AV284" t="e">
        <f>AND(#REF!,"AAAAAH7/vS8=")</f>
        <v>#REF!</v>
      </c>
      <c r="AW284" t="e">
        <f>AND(#REF!,"AAAAAH7/vTA=")</f>
        <v>#REF!</v>
      </c>
      <c r="AX284" t="e">
        <f>AND(#REF!,"AAAAAH7/vTE=")</f>
        <v>#REF!</v>
      </c>
      <c r="AY284" t="e">
        <f>AND(#REF!,"AAAAAH7/vTI=")</f>
        <v>#REF!</v>
      </c>
      <c r="AZ284" t="e">
        <f>AND(#REF!,"AAAAAH7/vTM=")</f>
        <v>#REF!</v>
      </c>
      <c r="BA284" t="e">
        <f>AND(#REF!,"AAAAAH7/vTQ=")</f>
        <v>#REF!</v>
      </c>
      <c r="BB284" t="e">
        <f>AND(#REF!,"AAAAAH7/vTU=")</f>
        <v>#REF!</v>
      </c>
      <c r="BC284" t="e">
        <f>AND(#REF!,"AAAAAH7/vTY=")</f>
        <v>#REF!</v>
      </c>
      <c r="BD284" t="e">
        <f>AND(#REF!,"AAAAAH7/vTc=")</f>
        <v>#REF!</v>
      </c>
      <c r="BE284" t="e">
        <f>AND(#REF!,"AAAAAH7/vTg=")</f>
        <v>#REF!</v>
      </c>
      <c r="BF284" t="e">
        <f>AND(#REF!,"AAAAAH7/vTk=")</f>
        <v>#REF!</v>
      </c>
      <c r="BG284" t="e">
        <f>AND(#REF!,"AAAAAH7/vTo=")</f>
        <v>#REF!</v>
      </c>
      <c r="BH284" t="e">
        <f>AND(#REF!,"AAAAAH7/vTs=")</f>
        <v>#REF!</v>
      </c>
      <c r="BI284" t="e">
        <f>AND(#REF!,"AAAAAH7/vTw=")</f>
        <v>#REF!</v>
      </c>
      <c r="BJ284" t="e">
        <f>AND(#REF!,"AAAAAH7/vT0=")</f>
        <v>#REF!</v>
      </c>
      <c r="BK284" t="e">
        <f>IF(#REF!,"AAAAAH7/vT4=",0)</f>
        <v>#REF!</v>
      </c>
      <c r="BL284" t="e">
        <f>AND(#REF!,"AAAAAH7/vT8=")</f>
        <v>#REF!</v>
      </c>
      <c r="BM284" t="e">
        <f>AND(#REF!,"AAAAAH7/vUA=")</f>
        <v>#REF!</v>
      </c>
      <c r="BN284" t="e">
        <f>AND(#REF!,"AAAAAH7/vUE=")</f>
        <v>#REF!</v>
      </c>
      <c r="BO284" t="e">
        <f>AND(#REF!,"AAAAAH7/vUI=")</f>
        <v>#REF!</v>
      </c>
      <c r="BP284" t="e">
        <f>AND(#REF!,"AAAAAH7/vUM=")</f>
        <v>#REF!</v>
      </c>
      <c r="BQ284" t="e">
        <f>AND(#REF!,"AAAAAH7/vUQ=")</f>
        <v>#REF!</v>
      </c>
      <c r="BR284" t="e">
        <f>AND(#REF!,"AAAAAH7/vUU=")</f>
        <v>#REF!</v>
      </c>
      <c r="BS284" t="e">
        <f>AND(#REF!,"AAAAAH7/vUY=")</f>
        <v>#REF!</v>
      </c>
      <c r="BT284" t="e">
        <f>AND(#REF!,"AAAAAH7/vUc=")</f>
        <v>#REF!</v>
      </c>
      <c r="BU284" t="e">
        <f>AND(#REF!,"AAAAAH7/vUg=")</f>
        <v>#REF!</v>
      </c>
      <c r="BV284" t="e">
        <f>AND(#REF!,"AAAAAH7/vUk=")</f>
        <v>#REF!</v>
      </c>
      <c r="BW284" t="e">
        <f>AND(#REF!,"AAAAAH7/vUo=")</f>
        <v>#REF!</v>
      </c>
      <c r="BX284" t="e">
        <f>AND(#REF!,"AAAAAH7/vUs=")</f>
        <v>#REF!</v>
      </c>
      <c r="BY284" t="e">
        <f>AND(#REF!,"AAAAAH7/vUw=")</f>
        <v>#REF!</v>
      </c>
      <c r="BZ284" t="e">
        <f>AND(#REF!,"AAAAAH7/vU0=")</f>
        <v>#REF!</v>
      </c>
      <c r="CA284" t="e">
        <f>AND(#REF!,"AAAAAH7/vU4=")</f>
        <v>#REF!</v>
      </c>
      <c r="CB284" t="e">
        <f>AND(#REF!,"AAAAAH7/vU8=")</f>
        <v>#REF!</v>
      </c>
      <c r="CC284" t="e">
        <f>AND(#REF!,"AAAAAH7/vVA=")</f>
        <v>#REF!</v>
      </c>
      <c r="CD284" t="e">
        <f>AND(#REF!,"AAAAAH7/vVE=")</f>
        <v>#REF!</v>
      </c>
      <c r="CE284" t="e">
        <f>AND(#REF!,"AAAAAH7/vVI=")</f>
        <v>#REF!</v>
      </c>
      <c r="CF284" t="e">
        <f>AND(#REF!,"AAAAAH7/vVM=")</f>
        <v>#REF!</v>
      </c>
      <c r="CG284" t="e">
        <f>AND(#REF!,"AAAAAH7/vVQ=")</f>
        <v>#REF!</v>
      </c>
      <c r="CH284" t="e">
        <f>AND(#REF!,"AAAAAH7/vVU=")</f>
        <v>#REF!</v>
      </c>
      <c r="CI284" t="e">
        <f>AND(#REF!,"AAAAAH7/vVY=")</f>
        <v>#REF!</v>
      </c>
      <c r="CJ284" t="e">
        <f>IF(#REF!,"AAAAAH7/vVc=",0)</f>
        <v>#REF!</v>
      </c>
      <c r="CK284" t="e">
        <f>AND(#REF!,"AAAAAH7/vVg=")</f>
        <v>#REF!</v>
      </c>
      <c r="CL284" t="e">
        <f>AND(#REF!,"AAAAAH7/vVk=")</f>
        <v>#REF!</v>
      </c>
      <c r="CM284" t="e">
        <f>AND(#REF!,"AAAAAH7/vVo=")</f>
        <v>#REF!</v>
      </c>
      <c r="CN284" t="e">
        <f>AND(#REF!,"AAAAAH7/vVs=")</f>
        <v>#REF!</v>
      </c>
      <c r="CO284" t="e">
        <f>AND(#REF!,"AAAAAH7/vVw=")</f>
        <v>#REF!</v>
      </c>
      <c r="CP284" t="e">
        <f>AND(#REF!,"AAAAAH7/vV0=")</f>
        <v>#REF!</v>
      </c>
      <c r="CQ284" t="e">
        <f>AND(#REF!,"AAAAAH7/vV4=")</f>
        <v>#REF!</v>
      </c>
      <c r="CR284" t="e">
        <f>AND(#REF!,"AAAAAH7/vV8=")</f>
        <v>#REF!</v>
      </c>
      <c r="CS284" t="e">
        <f>AND(#REF!,"AAAAAH7/vWA=")</f>
        <v>#REF!</v>
      </c>
      <c r="CT284" t="e">
        <f>AND(#REF!,"AAAAAH7/vWE=")</f>
        <v>#REF!</v>
      </c>
      <c r="CU284" t="e">
        <f>AND(#REF!,"AAAAAH7/vWI=")</f>
        <v>#REF!</v>
      </c>
      <c r="CV284" t="e">
        <f>AND(#REF!,"AAAAAH7/vWM=")</f>
        <v>#REF!</v>
      </c>
      <c r="CW284" t="e">
        <f>AND(#REF!,"AAAAAH7/vWQ=")</f>
        <v>#REF!</v>
      </c>
      <c r="CX284" t="e">
        <f>AND(#REF!,"AAAAAH7/vWU=")</f>
        <v>#REF!</v>
      </c>
      <c r="CY284" t="e">
        <f>AND(#REF!,"AAAAAH7/vWY=")</f>
        <v>#REF!</v>
      </c>
      <c r="CZ284" t="e">
        <f>AND(#REF!,"AAAAAH7/vWc=")</f>
        <v>#REF!</v>
      </c>
      <c r="DA284" t="e">
        <f>AND(#REF!,"AAAAAH7/vWg=")</f>
        <v>#REF!</v>
      </c>
      <c r="DB284" t="e">
        <f>AND(#REF!,"AAAAAH7/vWk=")</f>
        <v>#REF!</v>
      </c>
      <c r="DC284" t="e">
        <f>AND(#REF!,"AAAAAH7/vWo=")</f>
        <v>#REF!</v>
      </c>
      <c r="DD284" t="e">
        <f>AND(#REF!,"AAAAAH7/vWs=")</f>
        <v>#REF!</v>
      </c>
      <c r="DE284" t="e">
        <f>AND(#REF!,"AAAAAH7/vWw=")</f>
        <v>#REF!</v>
      </c>
      <c r="DF284" t="e">
        <f>AND(#REF!,"AAAAAH7/vW0=")</f>
        <v>#REF!</v>
      </c>
      <c r="DG284" t="e">
        <f>AND(#REF!,"AAAAAH7/vW4=")</f>
        <v>#REF!</v>
      </c>
      <c r="DH284" t="e">
        <f>AND(#REF!,"AAAAAH7/vW8=")</f>
        <v>#REF!</v>
      </c>
      <c r="DI284" t="e">
        <f>IF(#REF!,"AAAAAH7/vXA=",0)</f>
        <v>#REF!</v>
      </c>
      <c r="DJ284" t="e">
        <f>AND(#REF!,"AAAAAH7/vXE=")</f>
        <v>#REF!</v>
      </c>
      <c r="DK284" t="e">
        <f>AND(#REF!,"AAAAAH7/vXI=")</f>
        <v>#REF!</v>
      </c>
      <c r="DL284" t="e">
        <f>AND(#REF!,"AAAAAH7/vXM=")</f>
        <v>#REF!</v>
      </c>
      <c r="DM284" t="e">
        <f>AND(#REF!,"AAAAAH7/vXQ=")</f>
        <v>#REF!</v>
      </c>
      <c r="DN284" t="e">
        <f>AND(#REF!,"AAAAAH7/vXU=")</f>
        <v>#REF!</v>
      </c>
      <c r="DO284" t="e">
        <f>AND(#REF!,"AAAAAH7/vXY=")</f>
        <v>#REF!</v>
      </c>
      <c r="DP284" t="e">
        <f>AND(#REF!,"AAAAAH7/vXc=")</f>
        <v>#REF!</v>
      </c>
      <c r="DQ284" t="e">
        <f>AND(#REF!,"AAAAAH7/vXg=")</f>
        <v>#REF!</v>
      </c>
      <c r="DR284" t="e">
        <f>AND(#REF!,"AAAAAH7/vXk=")</f>
        <v>#REF!</v>
      </c>
      <c r="DS284" t="e">
        <f>AND(#REF!,"AAAAAH7/vXo=")</f>
        <v>#REF!</v>
      </c>
      <c r="DT284" t="e">
        <f>AND(#REF!,"AAAAAH7/vXs=")</f>
        <v>#REF!</v>
      </c>
      <c r="DU284" t="e">
        <f>AND(#REF!,"AAAAAH7/vXw=")</f>
        <v>#REF!</v>
      </c>
      <c r="DV284" t="e">
        <f>AND(#REF!,"AAAAAH7/vX0=")</f>
        <v>#REF!</v>
      </c>
      <c r="DW284" t="e">
        <f>AND(#REF!,"AAAAAH7/vX4=")</f>
        <v>#REF!</v>
      </c>
      <c r="DX284" t="e">
        <f>AND(#REF!,"AAAAAH7/vX8=")</f>
        <v>#REF!</v>
      </c>
      <c r="DY284" t="e">
        <f>AND(#REF!,"AAAAAH7/vYA=")</f>
        <v>#REF!</v>
      </c>
      <c r="DZ284" t="e">
        <f>AND(#REF!,"AAAAAH7/vYE=")</f>
        <v>#REF!</v>
      </c>
      <c r="EA284" t="e">
        <f>AND(#REF!,"AAAAAH7/vYI=")</f>
        <v>#REF!</v>
      </c>
      <c r="EB284" t="e">
        <f>AND(#REF!,"AAAAAH7/vYM=")</f>
        <v>#REF!</v>
      </c>
      <c r="EC284" t="e">
        <f>AND(#REF!,"AAAAAH7/vYQ=")</f>
        <v>#REF!</v>
      </c>
      <c r="ED284" t="e">
        <f>AND(#REF!,"AAAAAH7/vYU=")</f>
        <v>#REF!</v>
      </c>
      <c r="EE284" t="e">
        <f>AND(#REF!,"AAAAAH7/vYY=")</f>
        <v>#REF!</v>
      </c>
      <c r="EF284" t="e">
        <f>AND(#REF!,"AAAAAH7/vYc=")</f>
        <v>#REF!</v>
      </c>
      <c r="EG284" t="e">
        <f>AND(#REF!,"AAAAAH7/vYg=")</f>
        <v>#REF!</v>
      </c>
      <c r="EH284" t="e">
        <f>IF(#REF!,"AAAAAH7/vYk=",0)</f>
        <v>#REF!</v>
      </c>
      <c r="EI284" t="e">
        <f>AND(#REF!,"AAAAAH7/vYo=")</f>
        <v>#REF!</v>
      </c>
      <c r="EJ284" t="e">
        <f>AND(#REF!,"AAAAAH7/vYs=")</f>
        <v>#REF!</v>
      </c>
      <c r="EK284" t="e">
        <f>AND(#REF!,"AAAAAH7/vYw=")</f>
        <v>#REF!</v>
      </c>
      <c r="EL284" t="e">
        <f>AND(#REF!,"AAAAAH7/vY0=")</f>
        <v>#REF!</v>
      </c>
      <c r="EM284" t="e">
        <f>AND(#REF!,"AAAAAH7/vY4=")</f>
        <v>#REF!</v>
      </c>
      <c r="EN284" t="e">
        <f>AND(#REF!,"AAAAAH7/vY8=")</f>
        <v>#REF!</v>
      </c>
      <c r="EO284" t="e">
        <f>AND(#REF!,"AAAAAH7/vZA=")</f>
        <v>#REF!</v>
      </c>
      <c r="EP284" t="e">
        <f>AND(#REF!,"AAAAAH7/vZE=")</f>
        <v>#REF!</v>
      </c>
      <c r="EQ284" t="e">
        <f>AND(#REF!,"AAAAAH7/vZI=")</f>
        <v>#REF!</v>
      </c>
      <c r="ER284" t="e">
        <f>AND(#REF!,"AAAAAH7/vZM=")</f>
        <v>#REF!</v>
      </c>
      <c r="ES284" t="e">
        <f>AND(#REF!,"AAAAAH7/vZQ=")</f>
        <v>#REF!</v>
      </c>
      <c r="ET284" t="e">
        <f>AND(#REF!,"AAAAAH7/vZU=")</f>
        <v>#REF!</v>
      </c>
      <c r="EU284" t="e">
        <f>AND(#REF!,"AAAAAH7/vZY=")</f>
        <v>#REF!</v>
      </c>
      <c r="EV284" t="e">
        <f>AND(#REF!,"AAAAAH7/vZc=")</f>
        <v>#REF!</v>
      </c>
      <c r="EW284" t="e">
        <f>AND(#REF!,"AAAAAH7/vZg=")</f>
        <v>#REF!</v>
      </c>
      <c r="EX284" t="e">
        <f>AND(#REF!,"AAAAAH7/vZk=")</f>
        <v>#REF!</v>
      </c>
      <c r="EY284" t="e">
        <f>AND(#REF!,"AAAAAH7/vZo=")</f>
        <v>#REF!</v>
      </c>
      <c r="EZ284" t="e">
        <f>AND(#REF!,"AAAAAH7/vZs=")</f>
        <v>#REF!</v>
      </c>
      <c r="FA284" t="e">
        <f>AND(#REF!,"AAAAAH7/vZw=")</f>
        <v>#REF!</v>
      </c>
      <c r="FB284" t="e">
        <f>AND(#REF!,"AAAAAH7/vZ0=")</f>
        <v>#REF!</v>
      </c>
      <c r="FC284" t="e">
        <f>AND(#REF!,"AAAAAH7/vZ4=")</f>
        <v>#REF!</v>
      </c>
      <c r="FD284" t="e">
        <f>AND(#REF!,"AAAAAH7/vZ8=")</f>
        <v>#REF!</v>
      </c>
      <c r="FE284" t="e">
        <f>AND(#REF!,"AAAAAH7/vaA=")</f>
        <v>#REF!</v>
      </c>
      <c r="FF284" t="e">
        <f>AND(#REF!,"AAAAAH7/vaE=")</f>
        <v>#REF!</v>
      </c>
      <c r="FG284" t="e">
        <f>IF(#REF!,"AAAAAH7/vaI=",0)</f>
        <v>#REF!</v>
      </c>
      <c r="FH284" t="e">
        <f>AND(#REF!,"AAAAAH7/vaM=")</f>
        <v>#REF!</v>
      </c>
      <c r="FI284" t="e">
        <f>AND(#REF!,"AAAAAH7/vaQ=")</f>
        <v>#REF!</v>
      </c>
      <c r="FJ284" t="e">
        <f>AND(#REF!,"AAAAAH7/vaU=")</f>
        <v>#REF!</v>
      </c>
      <c r="FK284" t="e">
        <f>AND(#REF!,"AAAAAH7/vaY=")</f>
        <v>#REF!</v>
      </c>
      <c r="FL284" t="e">
        <f>AND(#REF!,"AAAAAH7/vac=")</f>
        <v>#REF!</v>
      </c>
      <c r="FM284" t="e">
        <f>AND(#REF!,"AAAAAH7/vag=")</f>
        <v>#REF!</v>
      </c>
      <c r="FN284" t="e">
        <f>AND(#REF!,"AAAAAH7/vak=")</f>
        <v>#REF!</v>
      </c>
      <c r="FO284" t="e">
        <f>AND(#REF!,"AAAAAH7/vao=")</f>
        <v>#REF!</v>
      </c>
      <c r="FP284" t="e">
        <f>AND(#REF!,"AAAAAH7/vas=")</f>
        <v>#REF!</v>
      </c>
      <c r="FQ284" t="e">
        <f>AND(#REF!,"AAAAAH7/vaw=")</f>
        <v>#REF!</v>
      </c>
      <c r="FR284" t="e">
        <f>AND(#REF!,"AAAAAH7/va0=")</f>
        <v>#REF!</v>
      </c>
      <c r="FS284" t="e">
        <f>AND(#REF!,"AAAAAH7/va4=")</f>
        <v>#REF!</v>
      </c>
      <c r="FT284" t="e">
        <f>AND(#REF!,"AAAAAH7/va8=")</f>
        <v>#REF!</v>
      </c>
      <c r="FU284" t="e">
        <f>AND(#REF!,"AAAAAH7/vbA=")</f>
        <v>#REF!</v>
      </c>
      <c r="FV284" t="e">
        <f>AND(#REF!,"AAAAAH7/vbE=")</f>
        <v>#REF!</v>
      </c>
      <c r="FW284" t="e">
        <f>AND(#REF!,"AAAAAH7/vbI=")</f>
        <v>#REF!</v>
      </c>
      <c r="FX284" t="e">
        <f>AND(#REF!,"AAAAAH7/vbM=")</f>
        <v>#REF!</v>
      </c>
      <c r="FY284" t="e">
        <f>AND(#REF!,"AAAAAH7/vbQ=")</f>
        <v>#REF!</v>
      </c>
      <c r="FZ284" t="e">
        <f>AND(#REF!,"AAAAAH7/vbU=")</f>
        <v>#REF!</v>
      </c>
      <c r="GA284" t="e">
        <f>AND(#REF!,"AAAAAH7/vbY=")</f>
        <v>#REF!</v>
      </c>
      <c r="GB284" t="e">
        <f>AND(#REF!,"AAAAAH7/vbc=")</f>
        <v>#REF!</v>
      </c>
      <c r="GC284" t="e">
        <f>AND(#REF!,"AAAAAH7/vbg=")</f>
        <v>#REF!</v>
      </c>
      <c r="GD284" t="e">
        <f>AND(#REF!,"AAAAAH7/vbk=")</f>
        <v>#REF!</v>
      </c>
      <c r="GE284" t="e">
        <f>AND(#REF!,"AAAAAH7/vbo=")</f>
        <v>#REF!</v>
      </c>
      <c r="GF284" t="e">
        <f>IF(#REF!,"AAAAAH7/vbs=",0)</f>
        <v>#REF!</v>
      </c>
      <c r="GG284" t="e">
        <f>AND(#REF!,"AAAAAH7/vbw=")</f>
        <v>#REF!</v>
      </c>
      <c r="GH284" t="e">
        <f>AND(#REF!,"AAAAAH7/vb0=")</f>
        <v>#REF!</v>
      </c>
      <c r="GI284" t="e">
        <f>AND(#REF!,"AAAAAH7/vb4=")</f>
        <v>#REF!</v>
      </c>
      <c r="GJ284" t="e">
        <f>AND(#REF!,"AAAAAH7/vb8=")</f>
        <v>#REF!</v>
      </c>
      <c r="GK284" t="e">
        <f>AND(#REF!,"AAAAAH7/vcA=")</f>
        <v>#REF!</v>
      </c>
      <c r="GL284" t="e">
        <f>AND(#REF!,"AAAAAH7/vcE=")</f>
        <v>#REF!</v>
      </c>
      <c r="GM284" t="e">
        <f>AND(#REF!,"AAAAAH7/vcI=")</f>
        <v>#REF!</v>
      </c>
      <c r="GN284" t="e">
        <f>AND(#REF!,"AAAAAH7/vcM=")</f>
        <v>#REF!</v>
      </c>
      <c r="GO284" t="e">
        <f>AND(#REF!,"AAAAAH7/vcQ=")</f>
        <v>#REF!</v>
      </c>
      <c r="GP284" t="e">
        <f>AND(#REF!,"AAAAAH7/vcU=")</f>
        <v>#REF!</v>
      </c>
      <c r="GQ284" t="e">
        <f>AND(#REF!,"AAAAAH7/vcY=")</f>
        <v>#REF!</v>
      </c>
      <c r="GR284" t="e">
        <f>AND(#REF!,"AAAAAH7/vcc=")</f>
        <v>#REF!</v>
      </c>
      <c r="GS284" t="e">
        <f>AND(#REF!,"AAAAAH7/vcg=")</f>
        <v>#REF!</v>
      </c>
      <c r="GT284" t="e">
        <f>AND(#REF!,"AAAAAH7/vck=")</f>
        <v>#REF!</v>
      </c>
      <c r="GU284" t="e">
        <f>AND(#REF!,"AAAAAH7/vco=")</f>
        <v>#REF!</v>
      </c>
      <c r="GV284" t="e">
        <f>AND(#REF!,"AAAAAH7/vcs=")</f>
        <v>#REF!</v>
      </c>
      <c r="GW284" t="e">
        <f>AND(#REF!,"AAAAAH7/vcw=")</f>
        <v>#REF!</v>
      </c>
      <c r="GX284" t="e">
        <f>AND(#REF!,"AAAAAH7/vc0=")</f>
        <v>#REF!</v>
      </c>
      <c r="GY284" t="e">
        <f>AND(#REF!,"AAAAAH7/vc4=")</f>
        <v>#REF!</v>
      </c>
      <c r="GZ284" t="e">
        <f>AND(#REF!,"AAAAAH7/vc8=")</f>
        <v>#REF!</v>
      </c>
      <c r="HA284" t="e">
        <f>AND(#REF!,"AAAAAH7/vdA=")</f>
        <v>#REF!</v>
      </c>
      <c r="HB284" t="e">
        <f>AND(#REF!,"AAAAAH7/vdE=")</f>
        <v>#REF!</v>
      </c>
      <c r="HC284" t="e">
        <f>AND(#REF!,"AAAAAH7/vdI=")</f>
        <v>#REF!</v>
      </c>
      <c r="HD284" t="e">
        <f>AND(#REF!,"AAAAAH7/vdM=")</f>
        <v>#REF!</v>
      </c>
      <c r="HE284" t="e">
        <f>IF(#REF!,"AAAAAH7/vdQ=",0)</f>
        <v>#REF!</v>
      </c>
      <c r="HF284" t="e">
        <f>AND(#REF!,"AAAAAH7/vdU=")</f>
        <v>#REF!</v>
      </c>
      <c r="HG284" t="e">
        <f>AND(#REF!,"AAAAAH7/vdY=")</f>
        <v>#REF!</v>
      </c>
      <c r="HH284" t="e">
        <f>AND(#REF!,"AAAAAH7/vdc=")</f>
        <v>#REF!</v>
      </c>
      <c r="HI284" t="e">
        <f>AND(#REF!,"AAAAAH7/vdg=")</f>
        <v>#REF!</v>
      </c>
      <c r="HJ284" t="e">
        <f>AND(#REF!,"AAAAAH7/vdk=")</f>
        <v>#REF!</v>
      </c>
      <c r="HK284" t="e">
        <f>AND(#REF!,"AAAAAH7/vdo=")</f>
        <v>#REF!</v>
      </c>
      <c r="HL284" t="e">
        <f>AND(#REF!,"AAAAAH7/vds=")</f>
        <v>#REF!</v>
      </c>
      <c r="HM284" t="e">
        <f>AND(#REF!,"AAAAAH7/vdw=")</f>
        <v>#REF!</v>
      </c>
      <c r="HN284" t="e">
        <f>AND(#REF!,"AAAAAH7/vd0=")</f>
        <v>#REF!</v>
      </c>
      <c r="HO284" t="e">
        <f>AND(#REF!,"AAAAAH7/vd4=")</f>
        <v>#REF!</v>
      </c>
      <c r="HP284" t="e">
        <f>AND(#REF!,"AAAAAH7/vd8=")</f>
        <v>#REF!</v>
      </c>
      <c r="HQ284" t="e">
        <f>AND(#REF!,"AAAAAH7/veA=")</f>
        <v>#REF!</v>
      </c>
      <c r="HR284" t="e">
        <f>AND(#REF!,"AAAAAH7/veE=")</f>
        <v>#REF!</v>
      </c>
      <c r="HS284" t="e">
        <f>AND(#REF!,"AAAAAH7/veI=")</f>
        <v>#REF!</v>
      </c>
      <c r="HT284" t="e">
        <f>AND(#REF!,"AAAAAH7/veM=")</f>
        <v>#REF!</v>
      </c>
      <c r="HU284" t="e">
        <f>AND(#REF!,"AAAAAH7/veQ=")</f>
        <v>#REF!</v>
      </c>
      <c r="HV284" t="e">
        <f>AND(#REF!,"AAAAAH7/veU=")</f>
        <v>#REF!</v>
      </c>
      <c r="HW284" t="e">
        <f>AND(#REF!,"AAAAAH7/veY=")</f>
        <v>#REF!</v>
      </c>
      <c r="HX284" t="e">
        <f>AND(#REF!,"AAAAAH7/vec=")</f>
        <v>#REF!</v>
      </c>
      <c r="HY284" t="e">
        <f>AND(#REF!,"AAAAAH7/veg=")</f>
        <v>#REF!</v>
      </c>
      <c r="HZ284" t="e">
        <f>AND(#REF!,"AAAAAH7/vek=")</f>
        <v>#REF!</v>
      </c>
      <c r="IA284" t="e">
        <f>AND(#REF!,"AAAAAH7/veo=")</f>
        <v>#REF!</v>
      </c>
      <c r="IB284" t="e">
        <f>AND(#REF!,"AAAAAH7/ves=")</f>
        <v>#REF!</v>
      </c>
      <c r="IC284" t="e">
        <f>AND(#REF!,"AAAAAH7/vew=")</f>
        <v>#REF!</v>
      </c>
      <c r="ID284" t="e">
        <f>IF(#REF!,"AAAAAH7/ve0=",0)</f>
        <v>#REF!</v>
      </c>
      <c r="IE284" t="e">
        <f>AND(#REF!,"AAAAAH7/ve4=")</f>
        <v>#REF!</v>
      </c>
      <c r="IF284" t="e">
        <f>AND(#REF!,"AAAAAH7/ve8=")</f>
        <v>#REF!</v>
      </c>
      <c r="IG284" t="e">
        <f>AND(#REF!,"AAAAAH7/vfA=")</f>
        <v>#REF!</v>
      </c>
      <c r="IH284" t="e">
        <f>AND(#REF!,"AAAAAH7/vfE=")</f>
        <v>#REF!</v>
      </c>
      <c r="II284" t="e">
        <f>AND(#REF!,"AAAAAH7/vfI=")</f>
        <v>#REF!</v>
      </c>
      <c r="IJ284" t="e">
        <f>AND(#REF!,"AAAAAH7/vfM=")</f>
        <v>#REF!</v>
      </c>
      <c r="IK284" t="e">
        <f>AND(#REF!,"AAAAAH7/vfQ=")</f>
        <v>#REF!</v>
      </c>
      <c r="IL284" t="e">
        <f>AND(#REF!,"AAAAAH7/vfU=")</f>
        <v>#REF!</v>
      </c>
      <c r="IM284" t="e">
        <f>AND(#REF!,"AAAAAH7/vfY=")</f>
        <v>#REF!</v>
      </c>
      <c r="IN284" t="e">
        <f>AND(#REF!,"AAAAAH7/vfc=")</f>
        <v>#REF!</v>
      </c>
      <c r="IO284" t="e">
        <f>AND(#REF!,"AAAAAH7/vfg=")</f>
        <v>#REF!</v>
      </c>
      <c r="IP284" t="e">
        <f>AND(#REF!,"AAAAAH7/vfk=")</f>
        <v>#REF!</v>
      </c>
      <c r="IQ284" t="e">
        <f>AND(#REF!,"AAAAAH7/vfo=")</f>
        <v>#REF!</v>
      </c>
      <c r="IR284" t="e">
        <f>AND(#REF!,"AAAAAH7/vfs=")</f>
        <v>#REF!</v>
      </c>
      <c r="IS284" t="e">
        <f>AND(#REF!,"AAAAAH7/vfw=")</f>
        <v>#REF!</v>
      </c>
      <c r="IT284" t="e">
        <f>AND(#REF!,"AAAAAH7/vf0=")</f>
        <v>#REF!</v>
      </c>
      <c r="IU284" t="e">
        <f>AND(#REF!,"AAAAAH7/vf4=")</f>
        <v>#REF!</v>
      </c>
      <c r="IV284" t="e">
        <f>AND(#REF!,"AAAAAH7/vf8=")</f>
        <v>#REF!</v>
      </c>
    </row>
    <row r="285" spans="1:256">
      <c r="A285" t="e">
        <f>AND(#REF!,"AAAAAH/j/wA=")</f>
        <v>#REF!</v>
      </c>
      <c r="B285" t="e">
        <f>AND(#REF!,"AAAAAH/j/wE=")</f>
        <v>#REF!</v>
      </c>
      <c r="C285" t="e">
        <f>AND(#REF!,"AAAAAH/j/wI=")</f>
        <v>#REF!</v>
      </c>
      <c r="D285" t="e">
        <f>AND(#REF!,"AAAAAH/j/wM=")</f>
        <v>#REF!</v>
      </c>
      <c r="E285" t="e">
        <f>AND(#REF!,"AAAAAH/j/wQ=")</f>
        <v>#REF!</v>
      </c>
      <c r="F285" t="e">
        <f>AND(#REF!,"AAAAAH/j/wU=")</f>
        <v>#REF!</v>
      </c>
      <c r="G285" t="e">
        <f>IF(#REF!,"AAAAAH/j/wY=",0)</f>
        <v>#REF!</v>
      </c>
      <c r="H285" t="e">
        <f>AND(#REF!,"AAAAAH/j/wc=")</f>
        <v>#REF!</v>
      </c>
      <c r="I285" t="e">
        <f>AND(#REF!,"AAAAAH/j/wg=")</f>
        <v>#REF!</v>
      </c>
      <c r="J285" t="e">
        <f>AND(#REF!,"AAAAAH/j/wk=")</f>
        <v>#REF!</v>
      </c>
      <c r="K285" t="e">
        <f>AND(#REF!,"AAAAAH/j/wo=")</f>
        <v>#REF!</v>
      </c>
      <c r="L285" t="e">
        <f>AND(#REF!,"AAAAAH/j/ws=")</f>
        <v>#REF!</v>
      </c>
      <c r="M285" t="e">
        <f>AND(#REF!,"AAAAAH/j/ww=")</f>
        <v>#REF!</v>
      </c>
      <c r="N285" t="e">
        <f>AND(#REF!,"AAAAAH/j/w0=")</f>
        <v>#REF!</v>
      </c>
      <c r="O285" t="e">
        <f>AND(#REF!,"AAAAAH/j/w4=")</f>
        <v>#REF!</v>
      </c>
      <c r="P285" t="e">
        <f>AND(#REF!,"AAAAAH/j/w8=")</f>
        <v>#REF!</v>
      </c>
      <c r="Q285" t="e">
        <f>AND(#REF!,"AAAAAH/j/xA=")</f>
        <v>#REF!</v>
      </c>
      <c r="R285" t="e">
        <f>AND(#REF!,"AAAAAH/j/xE=")</f>
        <v>#REF!</v>
      </c>
      <c r="S285" t="e">
        <f>AND(#REF!,"AAAAAH/j/xI=")</f>
        <v>#REF!</v>
      </c>
      <c r="T285" t="e">
        <f>AND(#REF!,"AAAAAH/j/xM=")</f>
        <v>#REF!</v>
      </c>
      <c r="U285" t="e">
        <f>AND(#REF!,"AAAAAH/j/xQ=")</f>
        <v>#REF!</v>
      </c>
      <c r="V285" t="e">
        <f>AND(#REF!,"AAAAAH/j/xU=")</f>
        <v>#REF!</v>
      </c>
      <c r="W285" t="e">
        <f>AND(#REF!,"AAAAAH/j/xY=")</f>
        <v>#REF!</v>
      </c>
      <c r="X285" t="e">
        <f>AND(#REF!,"AAAAAH/j/xc=")</f>
        <v>#REF!</v>
      </c>
      <c r="Y285" t="e">
        <f>AND(#REF!,"AAAAAH/j/xg=")</f>
        <v>#REF!</v>
      </c>
      <c r="Z285" t="e">
        <f>AND(#REF!,"AAAAAH/j/xk=")</f>
        <v>#REF!</v>
      </c>
      <c r="AA285" t="e">
        <f>AND(#REF!,"AAAAAH/j/xo=")</f>
        <v>#REF!</v>
      </c>
      <c r="AB285" t="e">
        <f>AND(#REF!,"AAAAAH/j/xs=")</f>
        <v>#REF!</v>
      </c>
      <c r="AC285" t="e">
        <f>AND(#REF!,"AAAAAH/j/xw=")</f>
        <v>#REF!</v>
      </c>
      <c r="AD285" t="e">
        <f>AND(#REF!,"AAAAAH/j/x0=")</f>
        <v>#REF!</v>
      </c>
      <c r="AE285" t="e">
        <f>AND(#REF!,"AAAAAH/j/x4=")</f>
        <v>#REF!</v>
      </c>
      <c r="AF285" t="e">
        <f>IF(#REF!,"AAAAAH/j/x8=",0)</f>
        <v>#REF!</v>
      </c>
      <c r="AG285" t="e">
        <f>AND(#REF!,"AAAAAH/j/yA=")</f>
        <v>#REF!</v>
      </c>
      <c r="AH285" t="e">
        <f>AND(#REF!,"AAAAAH/j/yE=")</f>
        <v>#REF!</v>
      </c>
      <c r="AI285" t="e">
        <f>AND(#REF!,"AAAAAH/j/yI=")</f>
        <v>#REF!</v>
      </c>
      <c r="AJ285" t="e">
        <f>AND(#REF!,"AAAAAH/j/yM=")</f>
        <v>#REF!</v>
      </c>
      <c r="AK285" t="e">
        <f>AND(#REF!,"AAAAAH/j/yQ=")</f>
        <v>#REF!</v>
      </c>
      <c r="AL285" t="e">
        <f>AND(#REF!,"AAAAAH/j/yU=")</f>
        <v>#REF!</v>
      </c>
      <c r="AM285" t="e">
        <f>AND(#REF!,"AAAAAH/j/yY=")</f>
        <v>#REF!</v>
      </c>
      <c r="AN285" t="e">
        <f>AND(#REF!,"AAAAAH/j/yc=")</f>
        <v>#REF!</v>
      </c>
      <c r="AO285" t="e">
        <f>AND(#REF!,"AAAAAH/j/yg=")</f>
        <v>#REF!</v>
      </c>
      <c r="AP285" t="e">
        <f>AND(#REF!,"AAAAAH/j/yk=")</f>
        <v>#REF!</v>
      </c>
      <c r="AQ285" t="e">
        <f>AND(#REF!,"AAAAAH/j/yo=")</f>
        <v>#REF!</v>
      </c>
      <c r="AR285" t="e">
        <f>AND(#REF!,"AAAAAH/j/ys=")</f>
        <v>#REF!</v>
      </c>
      <c r="AS285" t="e">
        <f>AND(#REF!,"AAAAAH/j/yw=")</f>
        <v>#REF!</v>
      </c>
      <c r="AT285" t="e">
        <f>AND(#REF!,"AAAAAH/j/y0=")</f>
        <v>#REF!</v>
      </c>
      <c r="AU285" t="e">
        <f>AND(#REF!,"AAAAAH/j/y4=")</f>
        <v>#REF!</v>
      </c>
      <c r="AV285" t="e">
        <f>AND(#REF!,"AAAAAH/j/y8=")</f>
        <v>#REF!</v>
      </c>
      <c r="AW285" t="e">
        <f>AND(#REF!,"AAAAAH/j/zA=")</f>
        <v>#REF!</v>
      </c>
      <c r="AX285" t="e">
        <f>AND(#REF!,"AAAAAH/j/zE=")</f>
        <v>#REF!</v>
      </c>
      <c r="AY285" t="e">
        <f>AND(#REF!,"AAAAAH/j/zI=")</f>
        <v>#REF!</v>
      </c>
      <c r="AZ285" t="e">
        <f>AND(#REF!,"AAAAAH/j/zM=")</f>
        <v>#REF!</v>
      </c>
      <c r="BA285" t="e">
        <f>AND(#REF!,"AAAAAH/j/zQ=")</f>
        <v>#REF!</v>
      </c>
      <c r="BB285" t="e">
        <f>AND(#REF!,"AAAAAH/j/zU=")</f>
        <v>#REF!</v>
      </c>
      <c r="BC285" t="e">
        <f>AND(#REF!,"AAAAAH/j/zY=")</f>
        <v>#REF!</v>
      </c>
      <c r="BD285" t="e">
        <f>AND(#REF!,"AAAAAH/j/zc=")</f>
        <v>#REF!</v>
      </c>
      <c r="BE285" t="e">
        <f>IF(#REF!,"AAAAAH/j/zg=",0)</f>
        <v>#REF!</v>
      </c>
      <c r="BF285" t="e">
        <f>AND(#REF!,"AAAAAH/j/zk=")</f>
        <v>#REF!</v>
      </c>
      <c r="BG285" t="e">
        <f>AND(#REF!,"AAAAAH/j/zo=")</f>
        <v>#REF!</v>
      </c>
      <c r="BH285" t="e">
        <f>AND(#REF!,"AAAAAH/j/zs=")</f>
        <v>#REF!</v>
      </c>
      <c r="BI285" t="e">
        <f>AND(#REF!,"AAAAAH/j/zw=")</f>
        <v>#REF!</v>
      </c>
      <c r="BJ285" t="e">
        <f>AND(#REF!,"AAAAAH/j/z0=")</f>
        <v>#REF!</v>
      </c>
      <c r="BK285" t="e">
        <f>AND(#REF!,"AAAAAH/j/z4=")</f>
        <v>#REF!</v>
      </c>
      <c r="BL285" t="e">
        <f>AND(#REF!,"AAAAAH/j/z8=")</f>
        <v>#REF!</v>
      </c>
      <c r="BM285" t="e">
        <f>AND(#REF!,"AAAAAH/j/0A=")</f>
        <v>#REF!</v>
      </c>
      <c r="BN285" t="e">
        <f>AND(#REF!,"AAAAAH/j/0E=")</f>
        <v>#REF!</v>
      </c>
      <c r="BO285" t="e">
        <f>AND(#REF!,"AAAAAH/j/0I=")</f>
        <v>#REF!</v>
      </c>
      <c r="BP285" t="e">
        <f>AND(#REF!,"AAAAAH/j/0M=")</f>
        <v>#REF!</v>
      </c>
      <c r="BQ285" t="e">
        <f>AND(#REF!,"AAAAAH/j/0Q=")</f>
        <v>#REF!</v>
      </c>
      <c r="BR285" t="e">
        <f>AND(#REF!,"AAAAAH/j/0U=")</f>
        <v>#REF!</v>
      </c>
      <c r="BS285" t="e">
        <f>AND(#REF!,"AAAAAH/j/0Y=")</f>
        <v>#REF!</v>
      </c>
      <c r="BT285" t="e">
        <f>AND(#REF!,"AAAAAH/j/0c=")</f>
        <v>#REF!</v>
      </c>
      <c r="BU285" t="e">
        <f>AND(#REF!,"AAAAAH/j/0g=")</f>
        <v>#REF!</v>
      </c>
      <c r="BV285" t="e">
        <f>AND(#REF!,"AAAAAH/j/0k=")</f>
        <v>#REF!</v>
      </c>
      <c r="BW285" t="e">
        <f>AND(#REF!,"AAAAAH/j/0o=")</f>
        <v>#REF!</v>
      </c>
      <c r="BX285" t="e">
        <f>AND(#REF!,"AAAAAH/j/0s=")</f>
        <v>#REF!</v>
      </c>
      <c r="BY285" t="e">
        <f>AND(#REF!,"AAAAAH/j/0w=")</f>
        <v>#REF!</v>
      </c>
      <c r="BZ285" t="e">
        <f>AND(#REF!,"AAAAAH/j/00=")</f>
        <v>#REF!</v>
      </c>
      <c r="CA285" t="e">
        <f>AND(#REF!,"AAAAAH/j/04=")</f>
        <v>#REF!</v>
      </c>
      <c r="CB285" t="e">
        <f>AND(#REF!,"AAAAAH/j/08=")</f>
        <v>#REF!</v>
      </c>
      <c r="CC285" t="e">
        <f>AND(#REF!,"AAAAAH/j/1A=")</f>
        <v>#REF!</v>
      </c>
      <c r="CD285" t="e">
        <f>IF(#REF!,"AAAAAH/j/1E=",0)</f>
        <v>#REF!</v>
      </c>
      <c r="CE285" t="e">
        <f>AND(#REF!,"AAAAAH/j/1I=")</f>
        <v>#REF!</v>
      </c>
      <c r="CF285" t="e">
        <f>AND(#REF!,"AAAAAH/j/1M=")</f>
        <v>#REF!</v>
      </c>
      <c r="CG285" t="e">
        <f>AND(#REF!,"AAAAAH/j/1Q=")</f>
        <v>#REF!</v>
      </c>
      <c r="CH285" t="e">
        <f>AND(#REF!,"AAAAAH/j/1U=")</f>
        <v>#REF!</v>
      </c>
      <c r="CI285" t="e">
        <f>AND(#REF!,"AAAAAH/j/1Y=")</f>
        <v>#REF!</v>
      </c>
      <c r="CJ285" t="e">
        <f>AND(#REF!,"AAAAAH/j/1c=")</f>
        <v>#REF!</v>
      </c>
      <c r="CK285" t="e">
        <f>AND(#REF!,"AAAAAH/j/1g=")</f>
        <v>#REF!</v>
      </c>
      <c r="CL285" t="e">
        <f>AND(#REF!,"AAAAAH/j/1k=")</f>
        <v>#REF!</v>
      </c>
      <c r="CM285" t="e">
        <f>AND(#REF!,"AAAAAH/j/1o=")</f>
        <v>#REF!</v>
      </c>
      <c r="CN285" t="e">
        <f>AND(#REF!,"AAAAAH/j/1s=")</f>
        <v>#REF!</v>
      </c>
      <c r="CO285" t="e">
        <f>AND(#REF!,"AAAAAH/j/1w=")</f>
        <v>#REF!</v>
      </c>
      <c r="CP285" t="e">
        <f>AND(#REF!,"AAAAAH/j/10=")</f>
        <v>#REF!</v>
      </c>
      <c r="CQ285" t="e">
        <f>AND(#REF!,"AAAAAH/j/14=")</f>
        <v>#REF!</v>
      </c>
      <c r="CR285" t="e">
        <f>AND(#REF!,"AAAAAH/j/18=")</f>
        <v>#REF!</v>
      </c>
      <c r="CS285" t="e">
        <f>AND(#REF!,"AAAAAH/j/2A=")</f>
        <v>#REF!</v>
      </c>
      <c r="CT285" t="e">
        <f>AND(#REF!,"AAAAAH/j/2E=")</f>
        <v>#REF!</v>
      </c>
      <c r="CU285" t="e">
        <f>AND(#REF!,"AAAAAH/j/2I=")</f>
        <v>#REF!</v>
      </c>
      <c r="CV285" t="e">
        <f>AND(#REF!,"AAAAAH/j/2M=")</f>
        <v>#REF!</v>
      </c>
      <c r="CW285" t="e">
        <f>AND(#REF!,"AAAAAH/j/2Q=")</f>
        <v>#REF!</v>
      </c>
      <c r="CX285" t="e">
        <f>AND(#REF!,"AAAAAH/j/2U=")</f>
        <v>#REF!</v>
      </c>
      <c r="CY285" t="e">
        <f>AND(#REF!,"AAAAAH/j/2Y=")</f>
        <v>#REF!</v>
      </c>
      <c r="CZ285" t="e">
        <f>AND(#REF!,"AAAAAH/j/2c=")</f>
        <v>#REF!</v>
      </c>
      <c r="DA285" t="e">
        <f>AND(#REF!,"AAAAAH/j/2g=")</f>
        <v>#REF!</v>
      </c>
      <c r="DB285" t="e">
        <f>AND(#REF!,"AAAAAH/j/2k=")</f>
        <v>#REF!</v>
      </c>
      <c r="DC285" t="e">
        <f>IF(#REF!,"AAAAAH/j/2o=",0)</f>
        <v>#REF!</v>
      </c>
      <c r="DD285" t="e">
        <f>AND(#REF!,"AAAAAH/j/2s=")</f>
        <v>#REF!</v>
      </c>
      <c r="DE285" t="e">
        <f>AND(#REF!,"AAAAAH/j/2w=")</f>
        <v>#REF!</v>
      </c>
      <c r="DF285" t="e">
        <f>AND(#REF!,"AAAAAH/j/20=")</f>
        <v>#REF!</v>
      </c>
      <c r="DG285" t="e">
        <f>AND(#REF!,"AAAAAH/j/24=")</f>
        <v>#REF!</v>
      </c>
      <c r="DH285" t="e">
        <f>AND(#REF!,"AAAAAH/j/28=")</f>
        <v>#REF!</v>
      </c>
      <c r="DI285" t="e">
        <f>AND(#REF!,"AAAAAH/j/3A=")</f>
        <v>#REF!</v>
      </c>
      <c r="DJ285" t="e">
        <f>AND(#REF!,"AAAAAH/j/3E=")</f>
        <v>#REF!</v>
      </c>
      <c r="DK285" t="e">
        <f>AND(#REF!,"AAAAAH/j/3I=")</f>
        <v>#REF!</v>
      </c>
      <c r="DL285" t="e">
        <f>AND(#REF!,"AAAAAH/j/3M=")</f>
        <v>#REF!</v>
      </c>
      <c r="DM285" t="e">
        <f>AND(#REF!,"AAAAAH/j/3Q=")</f>
        <v>#REF!</v>
      </c>
      <c r="DN285" t="e">
        <f>AND(#REF!,"AAAAAH/j/3U=")</f>
        <v>#REF!</v>
      </c>
      <c r="DO285" t="e">
        <f>AND(#REF!,"AAAAAH/j/3Y=")</f>
        <v>#REF!</v>
      </c>
      <c r="DP285" t="e">
        <f>AND(#REF!,"AAAAAH/j/3c=")</f>
        <v>#REF!</v>
      </c>
      <c r="DQ285" t="e">
        <f>AND(#REF!,"AAAAAH/j/3g=")</f>
        <v>#REF!</v>
      </c>
      <c r="DR285" t="e">
        <f>AND(#REF!,"AAAAAH/j/3k=")</f>
        <v>#REF!</v>
      </c>
      <c r="DS285" t="e">
        <f>AND(#REF!,"AAAAAH/j/3o=")</f>
        <v>#REF!</v>
      </c>
      <c r="DT285" t="e">
        <f>AND(#REF!,"AAAAAH/j/3s=")</f>
        <v>#REF!</v>
      </c>
      <c r="DU285" t="e">
        <f>AND(#REF!,"AAAAAH/j/3w=")</f>
        <v>#REF!</v>
      </c>
      <c r="DV285" t="e">
        <f>AND(#REF!,"AAAAAH/j/30=")</f>
        <v>#REF!</v>
      </c>
      <c r="DW285" t="e">
        <f>AND(#REF!,"AAAAAH/j/34=")</f>
        <v>#REF!</v>
      </c>
      <c r="DX285" t="e">
        <f>AND(#REF!,"AAAAAH/j/38=")</f>
        <v>#REF!</v>
      </c>
      <c r="DY285" t="e">
        <f>AND(#REF!,"AAAAAH/j/4A=")</f>
        <v>#REF!</v>
      </c>
      <c r="DZ285" t="e">
        <f>AND(#REF!,"AAAAAH/j/4E=")</f>
        <v>#REF!</v>
      </c>
      <c r="EA285" t="e">
        <f>AND(#REF!,"AAAAAH/j/4I=")</f>
        <v>#REF!</v>
      </c>
      <c r="EB285" t="e">
        <f>IF(#REF!,"AAAAAH/j/4M=",0)</f>
        <v>#REF!</v>
      </c>
      <c r="EC285" t="e">
        <f>AND(#REF!,"AAAAAH/j/4Q=")</f>
        <v>#REF!</v>
      </c>
      <c r="ED285" t="e">
        <f>AND(#REF!,"AAAAAH/j/4U=")</f>
        <v>#REF!</v>
      </c>
      <c r="EE285" t="e">
        <f>AND(#REF!,"AAAAAH/j/4Y=")</f>
        <v>#REF!</v>
      </c>
      <c r="EF285" t="e">
        <f>AND(#REF!,"AAAAAH/j/4c=")</f>
        <v>#REF!</v>
      </c>
      <c r="EG285" t="e">
        <f>AND(#REF!,"AAAAAH/j/4g=")</f>
        <v>#REF!</v>
      </c>
      <c r="EH285" t="e">
        <f>AND(#REF!,"AAAAAH/j/4k=")</f>
        <v>#REF!</v>
      </c>
      <c r="EI285" t="e">
        <f>AND(#REF!,"AAAAAH/j/4o=")</f>
        <v>#REF!</v>
      </c>
      <c r="EJ285" t="e">
        <f>AND(#REF!,"AAAAAH/j/4s=")</f>
        <v>#REF!</v>
      </c>
      <c r="EK285" t="e">
        <f>AND(#REF!,"AAAAAH/j/4w=")</f>
        <v>#REF!</v>
      </c>
      <c r="EL285" t="e">
        <f>AND(#REF!,"AAAAAH/j/40=")</f>
        <v>#REF!</v>
      </c>
      <c r="EM285" t="e">
        <f>AND(#REF!,"AAAAAH/j/44=")</f>
        <v>#REF!</v>
      </c>
      <c r="EN285" t="e">
        <f>AND(#REF!,"AAAAAH/j/48=")</f>
        <v>#REF!</v>
      </c>
      <c r="EO285" t="e">
        <f>AND(#REF!,"AAAAAH/j/5A=")</f>
        <v>#REF!</v>
      </c>
      <c r="EP285" t="e">
        <f>AND(#REF!,"AAAAAH/j/5E=")</f>
        <v>#REF!</v>
      </c>
      <c r="EQ285" t="e">
        <f>AND(#REF!,"AAAAAH/j/5I=")</f>
        <v>#REF!</v>
      </c>
      <c r="ER285" t="e">
        <f>AND(#REF!,"AAAAAH/j/5M=")</f>
        <v>#REF!</v>
      </c>
      <c r="ES285" t="e">
        <f>AND(#REF!,"AAAAAH/j/5Q=")</f>
        <v>#REF!</v>
      </c>
      <c r="ET285" t="e">
        <f>AND(#REF!,"AAAAAH/j/5U=")</f>
        <v>#REF!</v>
      </c>
      <c r="EU285" t="e">
        <f>AND(#REF!,"AAAAAH/j/5Y=")</f>
        <v>#REF!</v>
      </c>
      <c r="EV285" t="e">
        <f>AND(#REF!,"AAAAAH/j/5c=")</f>
        <v>#REF!</v>
      </c>
      <c r="EW285" t="e">
        <f>AND(#REF!,"AAAAAH/j/5g=")</f>
        <v>#REF!</v>
      </c>
      <c r="EX285" t="e">
        <f>AND(#REF!,"AAAAAH/j/5k=")</f>
        <v>#REF!</v>
      </c>
      <c r="EY285" t="e">
        <f>AND(#REF!,"AAAAAH/j/5o=")</f>
        <v>#REF!</v>
      </c>
      <c r="EZ285" t="e">
        <f>AND(#REF!,"AAAAAH/j/5s=")</f>
        <v>#REF!</v>
      </c>
      <c r="FA285" t="e">
        <f>IF(#REF!,"AAAAAH/j/5w=",0)</f>
        <v>#REF!</v>
      </c>
      <c r="FB285" t="e">
        <f>AND(#REF!,"AAAAAH/j/50=")</f>
        <v>#REF!</v>
      </c>
      <c r="FC285" t="e">
        <f>AND(#REF!,"AAAAAH/j/54=")</f>
        <v>#REF!</v>
      </c>
      <c r="FD285" t="e">
        <f>AND(#REF!,"AAAAAH/j/58=")</f>
        <v>#REF!</v>
      </c>
      <c r="FE285" t="e">
        <f>AND(#REF!,"AAAAAH/j/6A=")</f>
        <v>#REF!</v>
      </c>
      <c r="FF285" t="e">
        <f>AND(#REF!,"AAAAAH/j/6E=")</f>
        <v>#REF!</v>
      </c>
      <c r="FG285" t="e">
        <f>AND(#REF!,"AAAAAH/j/6I=")</f>
        <v>#REF!</v>
      </c>
      <c r="FH285" t="e">
        <f>AND(#REF!,"AAAAAH/j/6M=")</f>
        <v>#REF!</v>
      </c>
      <c r="FI285" t="e">
        <f>AND(#REF!,"AAAAAH/j/6Q=")</f>
        <v>#REF!</v>
      </c>
      <c r="FJ285" t="e">
        <f>AND(#REF!,"AAAAAH/j/6U=")</f>
        <v>#REF!</v>
      </c>
      <c r="FK285" t="e">
        <f>AND(#REF!,"AAAAAH/j/6Y=")</f>
        <v>#REF!</v>
      </c>
      <c r="FL285" t="e">
        <f>AND(#REF!,"AAAAAH/j/6c=")</f>
        <v>#REF!</v>
      </c>
      <c r="FM285" t="e">
        <f>AND(#REF!,"AAAAAH/j/6g=")</f>
        <v>#REF!</v>
      </c>
      <c r="FN285" t="e">
        <f>AND(#REF!,"AAAAAH/j/6k=")</f>
        <v>#REF!</v>
      </c>
      <c r="FO285" t="e">
        <f>AND(#REF!,"AAAAAH/j/6o=")</f>
        <v>#REF!</v>
      </c>
      <c r="FP285" t="e">
        <f>AND(#REF!,"AAAAAH/j/6s=")</f>
        <v>#REF!</v>
      </c>
      <c r="FQ285" t="e">
        <f>AND(#REF!,"AAAAAH/j/6w=")</f>
        <v>#REF!</v>
      </c>
      <c r="FR285" t="e">
        <f>AND(#REF!,"AAAAAH/j/60=")</f>
        <v>#REF!</v>
      </c>
      <c r="FS285" t="e">
        <f>AND(#REF!,"AAAAAH/j/64=")</f>
        <v>#REF!</v>
      </c>
      <c r="FT285" t="e">
        <f>AND(#REF!,"AAAAAH/j/68=")</f>
        <v>#REF!</v>
      </c>
      <c r="FU285" t="e">
        <f>AND(#REF!,"AAAAAH/j/7A=")</f>
        <v>#REF!</v>
      </c>
      <c r="FV285" t="e">
        <f>AND(#REF!,"AAAAAH/j/7E=")</f>
        <v>#REF!</v>
      </c>
      <c r="FW285" t="e">
        <f>AND(#REF!,"AAAAAH/j/7I=")</f>
        <v>#REF!</v>
      </c>
      <c r="FX285" t="e">
        <f>AND(#REF!,"AAAAAH/j/7M=")</f>
        <v>#REF!</v>
      </c>
      <c r="FY285" t="e">
        <f>AND(#REF!,"AAAAAH/j/7Q=")</f>
        <v>#REF!</v>
      </c>
      <c r="FZ285" t="e">
        <f>IF(#REF!,"AAAAAH/j/7U=",0)</f>
        <v>#REF!</v>
      </c>
      <c r="GA285" t="e">
        <f>AND(#REF!,"AAAAAH/j/7Y=")</f>
        <v>#REF!</v>
      </c>
      <c r="GB285" t="e">
        <f>AND(#REF!,"AAAAAH/j/7c=")</f>
        <v>#REF!</v>
      </c>
      <c r="GC285" t="e">
        <f>AND(#REF!,"AAAAAH/j/7g=")</f>
        <v>#REF!</v>
      </c>
      <c r="GD285" t="e">
        <f>AND(#REF!,"AAAAAH/j/7k=")</f>
        <v>#REF!</v>
      </c>
      <c r="GE285" t="e">
        <f>AND(#REF!,"AAAAAH/j/7o=")</f>
        <v>#REF!</v>
      </c>
      <c r="GF285" t="e">
        <f>AND(#REF!,"AAAAAH/j/7s=")</f>
        <v>#REF!</v>
      </c>
      <c r="GG285" t="e">
        <f>AND(#REF!,"AAAAAH/j/7w=")</f>
        <v>#REF!</v>
      </c>
      <c r="GH285" t="e">
        <f>AND(#REF!,"AAAAAH/j/70=")</f>
        <v>#REF!</v>
      </c>
      <c r="GI285" t="e">
        <f>AND(#REF!,"AAAAAH/j/74=")</f>
        <v>#REF!</v>
      </c>
      <c r="GJ285" t="e">
        <f>AND(#REF!,"AAAAAH/j/78=")</f>
        <v>#REF!</v>
      </c>
      <c r="GK285" t="e">
        <f>AND(#REF!,"AAAAAH/j/8A=")</f>
        <v>#REF!</v>
      </c>
      <c r="GL285" t="e">
        <f>AND(#REF!,"AAAAAH/j/8E=")</f>
        <v>#REF!</v>
      </c>
      <c r="GM285" t="e">
        <f>AND(#REF!,"AAAAAH/j/8I=")</f>
        <v>#REF!</v>
      </c>
      <c r="GN285" t="e">
        <f>AND(#REF!,"AAAAAH/j/8M=")</f>
        <v>#REF!</v>
      </c>
      <c r="GO285" t="e">
        <f>AND(#REF!,"AAAAAH/j/8Q=")</f>
        <v>#REF!</v>
      </c>
      <c r="GP285" t="e">
        <f>AND(#REF!,"AAAAAH/j/8U=")</f>
        <v>#REF!</v>
      </c>
      <c r="GQ285" t="e">
        <f>AND(#REF!,"AAAAAH/j/8Y=")</f>
        <v>#REF!</v>
      </c>
      <c r="GR285" t="e">
        <f>AND(#REF!,"AAAAAH/j/8c=")</f>
        <v>#REF!</v>
      </c>
      <c r="GS285" t="e">
        <f>AND(#REF!,"AAAAAH/j/8g=")</f>
        <v>#REF!</v>
      </c>
      <c r="GT285" t="e">
        <f>AND(#REF!,"AAAAAH/j/8k=")</f>
        <v>#REF!</v>
      </c>
      <c r="GU285" t="e">
        <f>AND(#REF!,"AAAAAH/j/8o=")</f>
        <v>#REF!</v>
      </c>
      <c r="GV285" t="e">
        <f>AND(#REF!,"AAAAAH/j/8s=")</f>
        <v>#REF!</v>
      </c>
      <c r="GW285" t="e">
        <f>AND(#REF!,"AAAAAH/j/8w=")</f>
        <v>#REF!</v>
      </c>
      <c r="GX285" t="e">
        <f>AND(#REF!,"AAAAAH/j/80=")</f>
        <v>#REF!</v>
      </c>
      <c r="GY285" t="e">
        <f>IF(#REF!,"AAAAAH/j/84=",0)</f>
        <v>#REF!</v>
      </c>
      <c r="GZ285" t="e">
        <f>AND(#REF!,"AAAAAH/j/88=")</f>
        <v>#REF!</v>
      </c>
      <c r="HA285" t="e">
        <f>AND(#REF!,"AAAAAH/j/9A=")</f>
        <v>#REF!</v>
      </c>
      <c r="HB285" t="e">
        <f>AND(#REF!,"AAAAAH/j/9E=")</f>
        <v>#REF!</v>
      </c>
      <c r="HC285" t="e">
        <f>AND(#REF!,"AAAAAH/j/9I=")</f>
        <v>#REF!</v>
      </c>
      <c r="HD285" t="e">
        <f>AND(#REF!,"AAAAAH/j/9M=")</f>
        <v>#REF!</v>
      </c>
      <c r="HE285" t="e">
        <f>AND(#REF!,"AAAAAH/j/9Q=")</f>
        <v>#REF!</v>
      </c>
      <c r="HF285" t="e">
        <f>AND(#REF!,"AAAAAH/j/9U=")</f>
        <v>#REF!</v>
      </c>
      <c r="HG285" t="e">
        <f>AND(#REF!,"AAAAAH/j/9Y=")</f>
        <v>#REF!</v>
      </c>
      <c r="HH285" t="e">
        <f>AND(#REF!,"AAAAAH/j/9c=")</f>
        <v>#REF!</v>
      </c>
      <c r="HI285" t="e">
        <f>AND(#REF!,"AAAAAH/j/9g=")</f>
        <v>#REF!</v>
      </c>
      <c r="HJ285" t="e">
        <f>AND(#REF!,"AAAAAH/j/9k=")</f>
        <v>#REF!</v>
      </c>
      <c r="HK285" t="e">
        <f>AND(#REF!,"AAAAAH/j/9o=")</f>
        <v>#REF!</v>
      </c>
      <c r="HL285" t="e">
        <f>AND(#REF!,"AAAAAH/j/9s=")</f>
        <v>#REF!</v>
      </c>
      <c r="HM285" t="e">
        <f>AND(#REF!,"AAAAAH/j/9w=")</f>
        <v>#REF!</v>
      </c>
      <c r="HN285" t="e">
        <f>AND(#REF!,"AAAAAH/j/90=")</f>
        <v>#REF!</v>
      </c>
      <c r="HO285" t="e">
        <f>AND(#REF!,"AAAAAH/j/94=")</f>
        <v>#REF!</v>
      </c>
      <c r="HP285" t="e">
        <f>AND(#REF!,"AAAAAH/j/98=")</f>
        <v>#REF!</v>
      </c>
      <c r="HQ285" t="e">
        <f>AND(#REF!,"AAAAAH/j/+A=")</f>
        <v>#REF!</v>
      </c>
      <c r="HR285" t="e">
        <f>AND(#REF!,"AAAAAH/j/+E=")</f>
        <v>#REF!</v>
      </c>
      <c r="HS285" t="e">
        <f>AND(#REF!,"AAAAAH/j/+I=")</f>
        <v>#REF!</v>
      </c>
      <c r="HT285" t="e">
        <f>AND(#REF!,"AAAAAH/j/+M=")</f>
        <v>#REF!</v>
      </c>
      <c r="HU285" t="e">
        <f>AND(#REF!,"AAAAAH/j/+Q=")</f>
        <v>#REF!</v>
      </c>
      <c r="HV285" t="e">
        <f>AND(#REF!,"AAAAAH/j/+U=")</f>
        <v>#REF!</v>
      </c>
      <c r="HW285" t="e">
        <f>AND(#REF!,"AAAAAH/j/+Y=")</f>
        <v>#REF!</v>
      </c>
      <c r="HX285" t="e">
        <f>IF(#REF!,"AAAAAH/j/+c=",0)</f>
        <v>#REF!</v>
      </c>
      <c r="HY285" t="e">
        <f>AND(#REF!,"AAAAAH/j/+g=")</f>
        <v>#REF!</v>
      </c>
      <c r="HZ285" t="e">
        <f>AND(#REF!,"AAAAAH/j/+k=")</f>
        <v>#REF!</v>
      </c>
      <c r="IA285" t="e">
        <f>AND(#REF!,"AAAAAH/j/+o=")</f>
        <v>#REF!</v>
      </c>
      <c r="IB285" t="e">
        <f>AND(#REF!,"AAAAAH/j/+s=")</f>
        <v>#REF!</v>
      </c>
      <c r="IC285" t="e">
        <f>AND(#REF!,"AAAAAH/j/+w=")</f>
        <v>#REF!</v>
      </c>
      <c r="ID285" t="e">
        <f>AND(#REF!,"AAAAAH/j/+0=")</f>
        <v>#REF!</v>
      </c>
      <c r="IE285" t="e">
        <f>AND(#REF!,"AAAAAH/j/+4=")</f>
        <v>#REF!</v>
      </c>
      <c r="IF285" t="e">
        <f>AND(#REF!,"AAAAAH/j/+8=")</f>
        <v>#REF!</v>
      </c>
      <c r="IG285" t="e">
        <f>AND(#REF!,"AAAAAH/j//A=")</f>
        <v>#REF!</v>
      </c>
      <c r="IH285" t="e">
        <f>AND(#REF!,"AAAAAH/j//E=")</f>
        <v>#REF!</v>
      </c>
      <c r="II285" t="e">
        <f>AND(#REF!,"AAAAAH/j//I=")</f>
        <v>#REF!</v>
      </c>
      <c r="IJ285" t="e">
        <f>AND(#REF!,"AAAAAH/j//M=")</f>
        <v>#REF!</v>
      </c>
      <c r="IK285" t="e">
        <f>AND(#REF!,"AAAAAH/j//Q=")</f>
        <v>#REF!</v>
      </c>
      <c r="IL285" t="e">
        <f>AND(#REF!,"AAAAAH/j//U=")</f>
        <v>#REF!</v>
      </c>
      <c r="IM285" t="e">
        <f>AND(#REF!,"AAAAAH/j//Y=")</f>
        <v>#REF!</v>
      </c>
      <c r="IN285" t="e">
        <f>AND(#REF!,"AAAAAH/j//c=")</f>
        <v>#REF!</v>
      </c>
      <c r="IO285" t="e">
        <f>AND(#REF!,"AAAAAH/j//g=")</f>
        <v>#REF!</v>
      </c>
      <c r="IP285" t="e">
        <f>AND(#REF!,"AAAAAH/j//k=")</f>
        <v>#REF!</v>
      </c>
      <c r="IQ285" t="e">
        <f>AND(#REF!,"AAAAAH/j//o=")</f>
        <v>#REF!</v>
      </c>
      <c r="IR285" t="e">
        <f>AND(#REF!,"AAAAAH/j//s=")</f>
        <v>#REF!</v>
      </c>
      <c r="IS285" t="e">
        <f>AND(#REF!,"AAAAAH/j//w=")</f>
        <v>#REF!</v>
      </c>
      <c r="IT285" t="e">
        <f>AND(#REF!,"AAAAAH/j//0=")</f>
        <v>#REF!</v>
      </c>
      <c r="IU285" t="e">
        <f>AND(#REF!,"AAAAAH/j//4=")</f>
        <v>#REF!</v>
      </c>
      <c r="IV285" t="e">
        <f>AND(#REF!,"AAAAAH/j//8=")</f>
        <v>#REF!</v>
      </c>
    </row>
    <row r="286" spans="1:256">
      <c r="A286" t="e">
        <f>IF(#REF!,"AAAAAHnyZwA=",0)</f>
        <v>#REF!</v>
      </c>
      <c r="B286" t="e">
        <f>AND(#REF!,"AAAAAHnyZwE=")</f>
        <v>#REF!</v>
      </c>
      <c r="C286" t="e">
        <f>AND(#REF!,"AAAAAHnyZwI=")</f>
        <v>#REF!</v>
      </c>
      <c r="D286" t="e">
        <f>AND(#REF!,"AAAAAHnyZwM=")</f>
        <v>#REF!</v>
      </c>
      <c r="E286" t="e">
        <f>AND(#REF!,"AAAAAHnyZwQ=")</f>
        <v>#REF!</v>
      </c>
      <c r="F286" t="e">
        <f>AND(#REF!,"AAAAAHnyZwU=")</f>
        <v>#REF!</v>
      </c>
      <c r="G286" t="e">
        <f>AND(#REF!,"AAAAAHnyZwY=")</f>
        <v>#REF!</v>
      </c>
      <c r="H286" t="e">
        <f>AND(#REF!,"AAAAAHnyZwc=")</f>
        <v>#REF!</v>
      </c>
      <c r="I286" t="e">
        <f>AND(#REF!,"AAAAAHnyZwg=")</f>
        <v>#REF!</v>
      </c>
      <c r="J286" t="e">
        <f>AND(#REF!,"AAAAAHnyZwk=")</f>
        <v>#REF!</v>
      </c>
      <c r="K286" t="e">
        <f>AND(#REF!,"AAAAAHnyZwo=")</f>
        <v>#REF!</v>
      </c>
      <c r="L286" t="e">
        <f>AND(#REF!,"AAAAAHnyZws=")</f>
        <v>#REF!</v>
      </c>
      <c r="M286" t="e">
        <f>AND(#REF!,"AAAAAHnyZww=")</f>
        <v>#REF!</v>
      </c>
      <c r="N286" t="e">
        <f>AND(#REF!,"AAAAAHnyZw0=")</f>
        <v>#REF!</v>
      </c>
      <c r="O286" t="e">
        <f>AND(#REF!,"AAAAAHnyZw4=")</f>
        <v>#REF!</v>
      </c>
      <c r="P286" t="e">
        <f>AND(#REF!,"AAAAAHnyZw8=")</f>
        <v>#REF!</v>
      </c>
      <c r="Q286" t="e">
        <f>AND(#REF!,"AAAAAHnyZxA=")</f>
        <v>#REF!</v>
      </c>
      <c r="R286" t="e">
        <f>AND(#REF!,"AAAAAHnyZxE=")</f>
        <v>#REF!</v>
      </c>
      <c r="S286" t="e">
        <f>AND(#REF!,"AAAAAHnyZxI=")</f>
        <v>#REF!</v>
      </c>
      <c r="T286" t="e">
        <f>AND(#REF!,"AAAAAHnyZxM=")</f>
        <v>#REF!</v>
      </c>
      <c r="U286" t="e">
        <f>AND(#REF!,"AAAAAHnyZxQ=")</f>
        <v>#REF!</v>
      </c>
      <c r="V286" t="e">
        <f>AND(#REF!,"AAAAAHnyZxU=")</f>
        <v>#REF!</v>
      </c>
      <c r="W286" t="e">
        <f>AND(#REF!,"AAAAAHnyZxY=")</f>
        <v>#REF!</v>
      </c>
      <c r="X286" t="e">
        <f>AND(#REF!,"AAAAAHnyZxc=")</f>
        <v>#REF!</v>
      </c>
      <c r="Y286" t="e">
        <f>AND(#REF!,"AAAAAHnyZxg=")</f>
        <v>#REF!</v>
      </c>
      <c r="Z286" t="e">
        <f>IF(#REF!,"AAAAAHnyZxk=",0)</f>
        <v>#REF!</v>
      </c>
      <c r="AA286" t="e">
        <f>AND(#REF!,"AAAAAHnyZxo=")</f>
        <v>#REF!</v>
      </c>
      <c r="AB286" t="e">
        <f>AND(#REF!,"AAAAAHnyZxs=")</f>
        <v>#REF!</v>
      </c>
      <c r="AC286" t="e">
        <f>AND(#REF!,"AAAAAHnyZxw=")</f>
        <v>#REF!</v>
      </c>
      <c r="AD286" t="e">
        <f>AND(#REF!,"AAAAAHnyZx0=")</f>
        <v>#REF!</v>
      </c>
      <c r="AE286" t="e">
        <f>AND(#REF!,"AAAAAHnyZx4=")</f>
        <v>#REF!</v>
      </c>
      <c r="AF286" t="e">
        <f>AND(#REF!,"AAAAAHnyZx8=")</f>
        <v>#REF!</v>
      </c>
      <c r="AG286" t="e">
        <f>AND(#REF!,"AAAAAHnyZyA=")</f>
        <v>#REF!</v>
      </c>
      <c r="AH286" t="e">
        <f>AND(#REF!,"AAAAAHnyZyE=")</f>
        <v>#REF!</v>
      </c>
      <c r="AI286" t="e">
        <f>AND(#REF!,"AAAAAHnyZyI=")</f>
        <v>#REF!</v>
      </c>
      <c r="AJ286" t="e">
        <f>AND(#REF!,"AAAAAHnyZyM=")</f>
        <v>#REF!</v>
      </c>
      <c r="AK286" t="e">
        <f>AND(#REF!,"AAAAAHnyZyQ=")</f>
        <v>#REF!</v>
      </c>
      <c r="AL286" t="e">
        <f>AND(#REF!,"AAAAAHnyZyU=")</f>
        <v>#REF!</v>
      </c>
      <c r="AM286" t="e">
        <f>AND(#REF!,"AAAAAHnyZyY=")</f>
        <v>#REF!</v>
      </c>
      <c r="AN286" t="e">
        <f>AND(#REF!,"AAAAAHnyZyc=")</f>
        <v>#REF!</v>
      </c>
      <c r="AO286" t="e">
        <f>AND(#REF!,"AAAAAHnyZyg=")</f>
        <v>#REF!</v>
      </c>
      <c r="AP286" t="e">
        <f>AND(#REF!,"AAAAAHnyZyk=")</f>
        <v>#REF!</v>
      </c>
      <c r="AQ286" t="e">
        <f>AND(#REF!,"AAAAAHnyZyo=")</f>
        <v>#REF!</v>
      </c>
      <c r="AR286" t="e">
        <f>AND(#REF!,"AAAAAHnyZys=")</f>
        <v>#REF!</v>
      </c>
      <c r="AS286" t="e">
        <f>AND(#REF!,"AAAAAHnyZyw=")</f>
        <v>#REF!</v>
      </c>
      <c r="AT286" t="e">
        <f>AND(#REF!,"AAAAAHnyZy0=")</f>
        <v>#REF!</v>
      </c>
      <c r="AU286" t="e">
        <f>AND(#REF!,"AAAAAHnyZy4=")</f>
        <v>#REF!</v>
      </c>
      <c r="AV286" t="e">
        <f>AND(#REF!,"AAAAAHnyZy8=")</f>
        <v>#REF!</v>
      </c>
      <c r="AW286" t="e">
        <f>AND(#REF!,"AAAAAHnyZzA=")</f>
        <v>#REF!</v>
      </c>
      <c r="AX286" t="e">
        <f>AND(#REF!,"AAAAAHnyZzE=")</f>
        <v>#REF!</v>
      </c>
      <c r="AY286" t="e">
        <f>IF(#REF!,"AAAAAHnyZzI=",0)</f>
        <v>#REF!</v>
      </c>
      <c r="AZ286" t="e">
        <f>AND(#REF!,"AAAAAHnyZzM=")</f>
        <v>#REF!</v>
      </c>
      <c r="BA286" t="e">
        <f>AND(#REF!,"AAAAAHnyZzQ=")</f>
        <v>#REF!</v>
      </c>
      <c r="BB286" t="e">
        <f>AND(#REF!,"AAAAAHnyZzU=")</f>
        <v>#REF!</v>
      </c>
      <c r="BC286" t="e">
        <f>AND(#REF!,"AAAAAHnyZzY=")</f>
        <v>#REF!</v>
      </c>
      <c r="BD286" t="e">
        <f>AND(#REF!,"AAAAAHnyZzc=")</f>
        <v>#REF!</v>
      </c>
      <c r="BE286" t="e">
        <f>AND(#REF!,"AAAAAHnyZzg=")</f>
        <v>#REF!</v>
      </c>
      <c r="BF286" t="e">
        <f>AND(#REF!,"AAAAAHnyZzk=")</f>
        <v>#REF!</v>
      </c>
      <c r="BG286" t="e">
        <f>AND(#REF!,"AAAAAHnyZzo=")</f>
        <v>#REF!</v>
      </c>
      <c r="BH286" t="e">
        <f>AND(#REF!,"AAAAAHnyZzs=")</f>
        <v>#REF!</v>
      </c>
      <c r="BI286" t="e">
        <f>AND(#REF!,"AAAAAHnyZzw=")</f>
        <v>#REF!</v>
      </c>
      <c r="BJ286" t="e">
        <f>AND(#REF!,"AAAAAHnyZz0=")</f>
        <v>#REF!</v>
      </c>
      <c r="BK286" t="e">
        <f>AND(#REF!,"AAAAAHnyZz4=")</f>
        <v>#REF!</v>
      </c>
      <c r="BL286" t="e">
        <f>AND(#REF!,"AAAAAHnyZz8=")</f>
        <v>#REF!</v>
      </c>
      <c r="BM286" t="e">
        <f>AND(#REF!,"AAAAAHnyZ0A=")</f>
        <v>#REF!</v>
      </c>
      <c r="BN286" t="e">
        <f>AND(#REF!,"AAAAAHnyZ0E=")</f>
        <v>#REF!</v>
      </c>
      <c r="BO286" t="e">
        <f>AND(#REF!,"AAAAAHnyZ0I=")</f>
        <v>#REF!</v>
      </c>
      <c r="BP286" t="e">
        <f>AND(#REF!,"AAAAAHnyZ0M=")</f>
        <v>#REF!</v>
      </c>
      <c r="BQ286" t="e">
        <f>AND(#REF!,"AAAAAHnyZ0Q=")</f>
        <v>#REF!</v>
      </c>
      <c r="BR286" t="e">
        <f>AND(#REF!,"AAAAAHnyZ0U=")</f>
        <v>#REF!</v>
      </c>
      <c r="BS286" t="e">
        <f>AND(#REF!,"AAAAAHnyZ0Y=")</f>
        <v>#REF!</v>
      </c>
      <c r="BT286" t="e">
        <f>AND(#REF!,"AAAAAHnyZ0c=")</f>
        <v>#REF!</v>
      </c>
      <c r="BU286" t="e">
        <f>AND(#REF!,"AAAAAHnyZ0g=")</f>
        <v>#REF!</v>
      </c>
      <c r="BV286" t="e">
        <f>AND(#REF!,"AAAAAHnyZ0k=")</f>
        <v>#REF!</v>
      </c>
      <c r="BW286" t="e">
        <f>AND(#REF!,"AAAAAHnyZ0o=")</f>
        <v>#REF!</v>
      </c>
      <c r="BX286" t="e">
        <f>IF(#REF!,"AAAAAHnyZ0s=",0)</f>
        <v>#REF!</v>
      </c>
      <c r="BY286" t="e">
        <f>AND(#REF!,"AAAAAHnyZ0w=")</f>
        <v>#REF!</v>
      </c>
      <c r="BZ286" t="e">
        <f>AND(#REF!,"AAAAAHnyZ00=")</f>
        <v>#REF!</v>
      </c>
      <c r="CA286" t="e">
        <f>AND(#REF!,"AAAAAHnyZ04=")</f>
        <v>#REF!</v>
      </c>
      <c r="CB286" t="e">
        <f>AND(#REF!,"AAAAAHnyZ08=")</f>
        <v>#REF!</v>
      </c>
      <c r="CC286" t="e">
        <f>AND(#REF!,"AAAAAHnyZ1A=")</f>
        <v>#REF!</v>
      </c>
      <c r="CD286" t="e">
        <f>AND(#REF!,"AAAAAHnyZ1E=")</f>
        <v>#REF!</v>
      </c>
      <c r="CE286" t="e">
        <f>AND(#REF!,"AAAAAHnyZ1I=")</f>
        <v>#REF!</v>
      </c>
      <c r="CF286" t="e">
        <f>AND(#REF!,"AAAAAHnyZ1M=")</f>
        <v>#REF!</v>
      </c>
      <c r="CG286" t="e">
        <f>AND(#REF!,"AAAAAHnyZ1Q=")</f>
        <v>#REF!</v>
      </c>
      <c r="CH286" t="e">
        <f>AND(#REF!,"AAAAAHnyZ1U=")</f>
        <v>#REF!</v>
      </c>
      <c r="CI286" t="e">
        <f>AND(#REF!,"AAAAAHnyZ1Y=")</f>
        <v>#REF!</v>
      </c>
      <c r="CJ286" t="e">
        <f>AND(#REF!,"AAAAAHnyZ1c=")</f>
        <v>#REF!</v>
      </c>
      <c r="CK286" t="e">
        <f>AND(#REF!,"AAAAAHnyZ1g=")</f>
        <v>#REF!</v>
      </c>
      <c r="CL286" t="e">
        <f>AND(#REF!,"AAAAAHnyZ1k=")</f>
        <v>#REF!</v>
      </c>
      <c r="CM286" t="e">
        <f>AND(#REF!,"AAAAAHnyZ1o=")</f>
        <v>#REF!</v>
      </c>
      <c r="CN286" t="e">
        <f>AND(#REF!,"AAAAAHnyZ1s=")</f>
        <v>#REF!</v>
      </c>
      <c r="CO286" t="e">
        <f>AND(#REF!,"AAAAAHnyZ1w=")</f>
        <v>#REF!</v>
      </c>
      <c r="CP286" t="e">
        <f>AND(#REF!,"AAAAAHnyZ10=")</f>
        <v>#REF!</v>
      </c>
      <c r="CQ286" t="e">
        <f>AND(#REF!,"AAAAAHnyZ14=")</f>
        <v>#REF!</v>
      </c>
      <c r="CR286" t="e">
        <f>AND(#REF!,"AAAAAHnyZ18=")</f>
        <v>#REF!</v>
      </c>
      <c r="CS286" t="e">
        <f>AND(#REF!,"AAAAAHnyZ2A=")</f>
        <v>#REF!</v>
      </c>
      <c r="CT286" t="e">
        <f>AND(#REF!,"AAAAAHnyZ2E=")</f>
        <v>#REF!</v>
      </c>
      <c r="CU286" t="e">
        <f>AND(#REF!,"AAAAAHnyZ2I=")</f>
        <v>#REF!</v>
      </c>
      <c r="CV286" t="e">
        <f>AND(#REF!,"AAAAAHnyZ2M=")</f>
        <v>#REF!</v>
      </c>
      <c r="CW286" t="e">
        <f>IF(#REF!,"AAAAAHnyZ2Q=",0)</f>
        <v>#REF!</v>
      </c>
      <c r="CX286" t="e">
        <f>AND(#REF!,"AAAAAHnyZ2U=")</f>
        <v>#REF!</v>
      </c>
      <c r="CY286" t="e">
        <f>AND(#REF!,"AAAAAHnyZ2Y=")</f>
        <v>#REF!</v>
      </c>
      <c r="CZ286" t="e">
        <f>AND(#REF!,"AAAAAHnyZ2c=")</f>
        <v>#REF!</v>
      </c>
      <c r="DA286" t="e">
        <f>AND(#REF!,"AAAAAHnyZ2g=")</f>
        <v>#REF!</v>
      </c>
      <c r="DB286" t="e">
        <f>AND(#REF!,"AAAAAHnyZ2k=")</f>
        <v>#REF!</v>
      </c>
      <c r="DC286" t="e">
        <f>AND(#REF!,"AAAAAHnyZ2o=")</f>
        <v>#REF!</v>
      </c>
      <c r="DD286" t="e">
        <f>AND(#REF!,"AAAAAHnyZ2s=")</f>
        <v>#REF!</v>
      </c>
      <c r="DE286" t="e">
        <f>AND(#REF!,"AAAAAHnyZ2w=")</f>
        <v>#REF!</v>
      </c>
      <c r="DF286" t="e">
        <f>AND(#REF!,"AAAAAHnyZ20=")</f>
        <v>#REF!</v>
      </c>
      <c r="DG286" t="e">
        <f>AND(#REF!,"AAAAAHnyZ24=")</f>
        <v>#REF!</v>
      </c>
      <c r="DH286" t="e">
        <f>AND(#REF!,"AAAAAHnyZ28=")</f>
        <v>#REF!</v>
      </c>
      <c r="DI286" t="e">
        <f>AND(#REF!,"AAAAAHnyZ3A=")</f>
        <v>#REF!</v>
      </c>
      <c r="DJ286" t="e">
        <f>AND(#REF!,"AAAAAHnyZ3E=")</f>
        <v>#REF!</v>
      </c>
      <c r="DK286" t="e">
        <f>AND(#REF!,"AAAAAHnyZ3I=")</f>
        <v>#REF!</v>
      </c>
      <c r="DL286" t="e">
        <f>AND(#REF!,"AAAAAHnyZ3M=")</f>
        <v>#REF!</v>
      </c>
      <c r="DM286" t="e">
        <f>AND(#REF!,"AAAAAHnyZ3Q=")</f>
        <v>#REF!</v>
      </c>
      <c r="DN286" t="e">
        <f>AND(#REF!,"AAAAAHnyZ3U=")</f>
        <v>#REF!</v>
      </c>
      <c r="DO286" t="e">
        <f>AND(#REF!,"AAAAAHnyZ3Y=")</f>
        <v>#REF!</v>
      </c>
      <c r="DP286" t="e">
        <f>AND(#REF!,"AAAAAHnyZ3c=")</f>
        <v>#REF!</v>
      </c>
      <c r="DQ286" t="e">
        <f>AND(#REF!,"AAAAAHnyZ3g=")</f>
        <v>#REF!</v>
      </c>
      <c r="DR286" t="e">
        <f>AND(#REF!,"AAAAAHnyZ3k=")</f>
        <v>#REF!</v>
      </c>
      <c r="DS286" t="e">
        <f>AND(#REF!,"AAAAAHnyZ3o=")</f>
        <v>#REF!</v>
      </c>
      <c r="DT286" t="e">
        <f>AND(#REF!,"AAAAAHnyZ3s=")</f>
        <v>#REF!</v>
      </c>
      <c r="DU286" t="e">
        <f>AND(#REF!,"AAAAAHnyZ3w=")</f>
        <v>#REF!</v>
      </c>
      <c r="DV286" t="e">
        <f>IF(#REF!,"AAAAAHnyZ30=",0)</f>
        <v>#REF!</v>
      </c>
      <c r="DW286" t="e">
        <f>AND(#REF!,"AAAAAHnyZ34=")</f>
        <v>#REF!</v>
      </c>
      <c r="DX286" t="e">
        <f>AND(#REF!,"AAAAAHnyZ38=")</f>
        <v>#REF!</v>
      </c>
      <c r="DY286" t="e">
        <f>AND(#REF!,"AAAAAHnyZ4A=")</f>
        <v>#REF!</v>
      </c>
      <c r="DZ286" t="e">
        <f>AND(#REF!,"AAAAAHnyZ4E=")</f>
        <v>#REF!</v>
      </c>
      <c r="EA286" t="e">
        <f>AND(#REF!,"AAAAAHnyZ4I=")</f>
        <v>#REF!</v>
      </c>
      <c r="EB286" t="e">
        <f>AND(#REF!,"AAAAAHnyZ4M=")</f>
        <v>#REF!</v>
      </c>
      <c r="EC286" t="e">
        <f>AND(#REF!,"AAAAAHnyZ4Q=")</f>
        <v>#REF!</v>
      </c>
      <c r="ED286" t="e">
        <f>AND(#REF!,"AAAAAHnyZ4U=")</f>
        <v>#REF!</v>
      </c>
      <c r="EE286" t="e">
        <f>AND(#REF!,"AAAAAHnyZ4Y=")</f>
        <v>#REF!</v>
      </c>
      <c r="EF286" t="e">
        <f>AND(#REF!,"AAAAAHnyZ4c=")</f>
        <v>#REF!</v>
      </c>
      <c r="EG286" t="e">
        <f>AND(#REF!,"AAAAAHnyZ4g=")</f>
        <v>#REF!</v>
      </c>
      <c r="EH286" t="e">
        <f>AND(#REF!,"AAAAAHnyZ4k=")</f>
        <v>#REF!</v>
      </c>
      <c r="EI286" t="e">
        <f>AND(#REF!,"AAAAAHnyZ4o=")</f>
        <v>#REF!</v>
      </c>
      <c r="EJ286" t="e">
        <f>AND(#REF!,"AAAAAHnyZ4s=")</f>
        <v>#REF!</v>
      </c>
      <c r="EK286" t="e">
        <f>AND(#REF!,"AAAAAHnyZ4w=")</f>
        <v>#REF!</v>
      </c>
      <c r="EL286" t="e">
        <f>AND(#REF!,"AAAAAHnyZ40=")</f>
        <v>#REF!</v>
      </c>
      <c r="EM286" t="e">
        <f>AND(#REF!,"AAAAAHnyZ44=")</f>
        <v>#REF!</v>
      </c>
      <c r="EN286" t="e">
        <f>AND(#REF!,"AAAAAHnyZ48=")</f>
        <v>#REF!</v>
      </c>
      <c r="EO286" t="e">
        <f>AND(#REF!,"AAAAAHnyZ5A=")</f>
        <v>#REF!</v>
      </c>
      <c r="EP286" t="e">
        <f>AND(#REF!,"AAAAAHnyZ5E=")</f>
        <v>#REF!</v>
      </c>
      <c r="EQ286" t="e">
        <f>AND(#REF!,"AAAAAHnyZ5I=")</f>
        <v>#REF!</v>
      </c>
      <c r="ER286" t="e">
        <f>AND(#REF!,"AAAAAHnyZ5M=")</f>
        <v>#REF!</v>
      </c>
      <c r="ES286" t="e">
        <f>AND(#REF!,"AAAAAHnyZ5Q=")</f>
        <v>#REF!</v>
      </c>
      <c r="ET286" t="e">
        <f>AND(#REF!,"AAAAAHnyZ5U=")</f>
        <v>#REF!</v>
      </c>
      <c r="EU286" t="e">
        <f>IF(#REF!,"AAAAAHnyZ5Y=",0)</f>
        <v>#REF!</v>
      </c>
      <c r="EV286" t="e">
        <f>AND(#REF!,"AAAAAHnyZ5c=")</f>
        <v>#REF!</v>
      </c>
      <c r="EW286" t="e">
        <f>AND(#REF!,"AAAAAHnyZ5g=")</f>
        <v>#REF!</v>
      </c>
      <c r="EX286" t="e">
        <f>AND(#REF!,"AAAAAHnyZ5k=")</f>
        <v>#REF!</v>
      </c>
      <c r="EY286" t="e">
        <f>AND(#REF!,"AAAAAHnyZ5o=")</f>
        <v>#REF!</v>
      </c>
      <c r="EZ286" t="e">
        <f>AND(#REF!,"AAAAAHnyZ5s=")</f>
        <v>#REF!</v>
      </c>
      <c r="FA286" t="e">
        <f>AND(#REF!,"AAAAAHnyZ5w=")</f>
        <v>#REF!</v>
      </c>
      <c r="FB286" t="e">
        <f>AND(#REF!,"AAAAAHnyZ50=")</f>
        <v>#REF!</v>
      </c>
      <c r="FC286" t="e">
        <f>AND(#REF!,"AAAAAHnyZ54=")</f>
        <v>#REF!</v>
      </c>
      <c r="FD286" t="e">
        <f>AND(#REF!,"AAAAAHnyZ58=")</f>
        <v>#REF!</v>
      </c>
      <c r="FE286" t="e">
        <f>AND(#REF!,"AAAAAHnyZ6A=")</f>
        <v>#REF!</v>
      </c>
      <c r="FF286" t="e">
        <f>AND(#REF!,"AAAAAHnyZ6E=")</f>
        <v>#REF!</v>
      </c>
      <c r="FG286" t="e">
        <f>AND(#REF!,"AAAAAHnyZ6I=")</f>
        <v>#REF!</v>
      </c>
      <c r="FH286" t="e">
        <f>AND(#REF!,"AAAAAHnyZ6M=")</f>
        <v>#REF!</v>
      </c>
      <c r="FI286" t="e">
        <f>AND(#REF!,"AAAAAHnyZ6Q=")</f>
        <v>#REF!</v>
      </c>
      <c r="FJ286" t="e">
        <f>AND(#REF!,"AAAAAHnyZ6U=")</f>
        <v>#REF!</v>
      </c>
      <c r="FK286" t="e">
        <f>AND(#REF!,"AAAAAHnyZ6Y=")</f>
        <v>#REF!</v>
      </c>
      <c r="FL286" t="e">
        <f>AND(#REF!,"AAAAAHnyZ6c=")</f>
        <v>#REF!</v>
      </c>
      <c r="FM286" t="e">
        <f>AND(#REF!,"AAAAAHnyZ6g=")</f>
        <v>#REF!</v>
      </c>
      <c r="FN286" t="e">
        <f>AND(#REF!,"AAAAAHnyZ6k=")</f>
        <v>#REF!</v>
      </c>
      <c r="FO286" t="e">
        <f>AND(#REF!,"AAAAAHnyZ6o=")</f>
        <v>#REF!</v>
      </c>
      <c r="FP286" t="e">
        <f>AND(#REF!,"AAAAAHnyZ6s=")</f>
        <v>#REF!</v>
      </c>
      <c r="FQ286" t="e">
        <f>AND(#REF!,"AAAAAHnyZ6w=")</f>
        <v>#REF!</v>
      </c>
      <c r="FR286" t="e">
        <f>AND(#REF!,"AAAAAHnyZ60=")</f>
        <v>#REF!</v>
      </c>
      <c r="FS286" t="e">
        <f>AND(#REF!,"AAAAAHnyZ64=")</f>
        <v>#REF!</v>
      </c>
      <c r="FT286" t="e">
        <f>IF(#REF!,"AAAAAHnyZ68=",0)</f>
        <v>#REF!</v>
      </c>
      <c r="FU286" t="e">
        <f>AND(#REF!,"AAAAAHnyZ7A=")</f>
        <v>#REF!</v>
      </c>
      <c r="FV286" t="e">
        <f>AND(#REF!,"AAAAAHnyZ7E=")</f>
        <v>#REF!</v>
      </c>
      <c r="FW286" t="e">
        <f>AND(#REF!,"AAAAAHnyZ7I=")</f>
        <v>#REF!</v>
      </c>
      <c r="FX286" t="e">
        <f>AND(#REF!,"AAAAAHnyZ7M=")</f>
        <v>#REF!</v>
      </c>
      <c r="FY286" t="e">
        <f>AND(#REF!,"AAAAAHnyZ7Q=")</f>
        <v>#REF!</v>
      </c>
      <c r="FZ286" t="e">
        <f>AND(#REF!,"AAAAAHnyZ7U=")</f>
        <v>#REF!</v>
      </c>
      <c r="GA286" t="e">
        <f>AND(#REF!,"AAAAAHnyZ7Y=")</f>
        <v>#REF!</v>
      </c>
      <c r="GB286" t="e">
        <f>AND(#REF!,"AAAAAHnyZ7c=")</f>
        <v>#REF!</v>
      </c>
      <c r="GC286" t="e">
        <f>AND(#REF!,"AAAAAHnyZ7g=")</f>
        <v>#REF!</v>
      </c>
      <c r="GD286" t="e">
        <f>AND(#REF!,"AAAAAHnyZ7k=")</f>
        <v>#REF!</v>
      </c>
      <c r="GE286" t="e">
        <f>AND(#REF!,"AAAAAHnyZ7o=")</f>
        <v>#REF!</v>
      </c>
      <c r="GF286" t="e">
        <f>AND(#REF!,"AAAAAHnyZ7s=")</f>
        <v>#REF!</v>
      </c>
      <c r="GG286" t="e">
        <f>AND(#REF!,"AAAAAHnyZ7w=")</f>
        <v>#REF!</v>
      </c>
      <c r="GH286" t="e">
        <f>AND(#REF!,"AAAAAHnyZ70=")</f>
        <v>#REF!</v>
      </c>
      <c r="GI286" t="e">
        <f>AND(#REF!,"AAAAAHnyZ74=")</f>
        <v>#REF!</v>
      </c>
      <c r="GJ286" t="e">
        <f>AND(#REF!,"AAAAAHnyZ78=")</f>
        <v>#REF!</v>
      </c>
      <c r="GK286" t="e">
        <f>AND(#REF!,"AAAAAHnyZ8A=")</f>
        <v>#REF!</v>
      </c>
      <c r="GL286" t="e">
        <f>AND(#REF!,"AAAAAHnyZ8E=")</f>
        <v>#REF!</v>
      </c>
      <c r="GM286" t="e">
        <f>AND(#REF!,"AAAAAHnyZ8I=")</f>
        <v>#REF!</v>
      </c>
      <c r="GN286" t="e">
        <f>AND(#REF!,"AAAAAHnyZ8M=")</f>
        <v>#REF!</v>
      </c>
      <c r="GO286" t="e">
        <f>AND(#REF!,"AAAAAHnyZ8Q=")</f>
        <v>#REF!</v>
      </c>
      <c r="GP286" t="e">
        <f>AND(#REF!,"AAAAAHnyZ8U=")</f>
        <v>#REF!</v>
      </c>
      <c r="GQ286" t="e">
        <f>AND(#REF!,"AAAAAHnyZ8Y=")</f>
        <v>#REF!</v>
      </c>
      <c r="GR286" t="e">
        <f>AND(#REF!,"AAAAAHnyZ8c=")</f>
        <v>#REF!</v>
      </c>
      <c r="GS286" t="e">
        <f>IF(#REF!,"AAAAAHnyZ8g=",0)</f>
        <v>#REF!</v>
      </c>
      <c r="GT286" t="e">
        <f>AND(#REF!,"AAAAAHnyZ8k=")</f>
        <v>#REF!</v>
      </c>
      <c r="GU286" t="e">
        <f>AND(#REF!,"AAAAAHnyZ8o=")</f>
        <v>#REF!</v>
      </c>
      <c r="GV286" t="e">
        <f>AND(#REF!,"AAAAAHnyZ8s=")</f>
        <v>#REF!</v>
      </c>
      <c r="GW286" t="e">
        <f>AND(#REF!,"AAAAAHnyZ8w=")</f>
        <v>#REF!</v>
      </c>
      <c r="GX286" t="e">
        <f>AND(#REF!,"AAAAAHnyZ80=")</f>
        <v>#REF!</v>
      </c>
      <c r="GY286" t="e">
        <f>AND(#REF!,"AAAAAHnyZ84=")</f>
        <v>#REF!</v>
      </c>
      <c r="GZ286" t="e">
        <f>AND(#REF!,"AAAAAHnyZ88=")</f>
        <v>#REF!</v>
      </c>
      <c r="HA286" t="e">
        <f>AND(#REF!,"AAAAAHnyZ9A=")</f>
        <v>#REF!</v>
      </c>
      <c r="HB286" t="e">
        <f>AND(#REF!,"AAAAAHnyZ9E=")</f>
        <v>#REF!</v>
      </c>
      <c r="HC286" t="e">
        <f>AND(#REF!,"AAAAAHnyZ9I=")</f>
        <v>#REF!</v>
      </c>
      <c r="HD286" t="e">
        <f>AND(#REF!,"AAAAAHnyZ9M=")</f>
        <v>#REF!</v>
      </c>
      <c r="HE286" t="e">
        <f>AND(#REF!,"AAAAAHnyZ9Q=")</f>
        <v>#REF!</v>
      </c>
      <c r="HF286" t="e">
        <f>AND(#REF!,"AAAAAHnyZ9U=")</f>
        <v>#REF!</v>
      </c>
      <c r="HG286" t="e">
        <f>AND(#REF!,"AAAAAHnyZ9Y=")</f>
        <v>#REF!</v>
      </c>
      <c r="HH286" t="e">
        <f>AND(#REF!,"AAAAAHnyZ9c=")</f>
        <v>#REF!</v>
      </c>
      <c r="HI286" t="e">
        <f>AND(#REF!,"AAAAAHnyZ9g=")</f>
        <v>#REF!</v>
      </c>
      <c r="HJ286" t="e">
        <f>AND(#REF!,"AAAAAHnyZ9k=")</f>
        <v>#REF!</v>
      </c>
      <c r="HK286" t="e">
        <f>AND(#REF!,"AAAAAHnyZ9o=")</f>
        <v>#REF!</v>
      </c>
      <c r="HL286" t="e">
        <f>AND(#REF!,"AAAAAHnyZ9s=")</f>
        <v>#REF!</v>
      </c>
      <c r="HM286" t="e">
        <f>AND(#REF!,"AAAAAHnyZ9w=")</f>
        <v>#REF!</v>
      </c>
      <c r="HN286" t="e">
        <f>AND(#REF!,"AAAAAHnyZ90=")</f>
        <v>#REF!</v>
      </c>
      <c r="HO286" t="e">
        <f>AND(#REF!,"AAAAAHnyZ94=")</f>
        <v>#REF!</v>
      </c>
      <c r="HP286" t="e">
        <f>AND(#REF!,"AAAAAHnyZ98=")</f>
        <v>#REF!</v>
      </c>
      <c r="HQ286" t="e">
        <f>AND(#REF!,"AAAAAHnyZ+A=")</f>
        <v>#REF!</v>
      </c>
      <c r="HR286" t="e">
        <f>IF(#REF!,"AAAAAHnyZ+E=",0)</f>
        <v>#REF!</v>
      </c>
      <c r="HS286" t="e">
        <f>AND(#REF!,"AAAAAHnyZ+I=")</f>
        <v>#REF!</v>
      </c>
      <c r="HT286" t="e">
        <f>AND(#REF!,"AAAAAHnyZ+M=")</f>
        <v>#REF!</v>
      </c>
      <c r="HU286" t="e">
        <f>AND(#REF!,"AAAAAHnyZ+Q=")</f>
        <v>#REF!</v>
      </c>
      <c r="HV286" t="e">
        <f>AND(#REF!,"AAAAAHnyZ+U=")</f>
        <v>#REF!</v>
      </c>
      <c r="HW286" t="e">
        <f>AND(#REF!,"AAAAAHnyZ+Y=")</f>
        <v>#REF!</v>
      </c>
      <c r="HX286" t="e">
        <f>AND(#REF!,"AAAAAHnyZ+c=")</f>
        <v>#REF!</v>
      </c>
      <c r="HY286" t="e">
        <f>AND(#REF!,"AAAAAHnyZ+g=")</f>
        <v>#REF!</v>
      </c>
      <c r="HZ286" t="e">
        <f>AND(#REF!,"AAAAAHnyZ+k=")</f>
        <v>#REF!</v>
      </c>
      <c r="IA286" t="e">
        <f>AND(#REF!,"AAAAAHnyZ+o=")</f>
        <v>#REF!</v>
      </c>
      <c r="IB286" t="e">
        <f>AND(#REF!,"AAAAAHnyZ+s=")</f>
        <v>#REF!</v>
      </c>
      <c r="IC286" t="e">
        <f>AND(#REF!,"AAAAAHnyZ+w=")</f>
        <v>#REF!</v>
      </c>
      <c r="ID286" t="e">
        <f>AND(#REF!,"AAAAAHnyZ+0=")</f>
        <v>#REF!</v>
      </c>
      <c r="IE286" t="e">
        <f>AND(#REF!,"AAAAAHnyZ+4=")</f>
        <v>#REF!</v>
      </c>
      <c r="IF286" t="e">
        <f>AND(#REF!,"AAAAAHnyZ+8=")</f>
        <v>#REF!</v>
      </c>
      <c r="IG286" t="e">
        <f>AND(#REF!,"AAAAAHnyZ/A=")</f>
        <v>#REF!</v>
      </c>
      <c r="IH286" t="e">
        <f>AND(#REF!,"AAAAAHnyZ/E=")</f>
        <v>#REF!</v>
      </c>
      <c r="II286" t="e">
        <f>AND(#REF!,"AAAAAHnyZ/I=")</f>
        <v>#REF!</v>
      </c>
      <c r="IJ286" t="e">
        <f>AND(#REF!,"AAAAAHnyZ/M=")</f>
        <v>#REF!</v>
      </c>
      <c r="IK286" t="e">
        <f>AND(#REF!,"AAAAAHnyZ/Q=")</f>
        <v>#REF!</v>
      </c>
      <c r="IL286" t="e">
        <f>AND(#REF!,"AAAAAHnyZ/U=")</f>
        <v>#REF!</v>
      </c>
      <c r="IM286" t="e">
        <f>AND(#REF!,"AAAAAHnyZ/Y=")</f>
        <v>#REF!</v>
      </c>
      <c r="IN286" t="e">
        <f>AND(#REF!,"AAAAAHnyZ/c=")</f>
        <v>#REF!</v>
      </c>
      <c r="IO286" t="e">
        <f>AND(#REF!,"AAAAAHnyZ/g=")</f>
        <v>#REF!</v>
      </c>
      <c r="IP286" t="e">
        <f>AND(#REF!,"AAAAAHnyZ/k=")</f>
        <v>#REF!</v>
      </c>
      <c r="IQ286" t="e">
        <f>IF(#REF!,"AAAAAHnyZ/o=",0)</f>
        <v>#REF!</v>
      </c>
      <c r="IR286" t="e">
        <f>AND(#REF!,"AAAAAHnyZ/s=")</f>
        <v>#REF!</v>
      </c>
      <c r="IS286" t="e">
        <f>AND(#REF!,"AAAAAHnyZ/w=")</f>
        <v>#REF!</v>
      </c>
      <c r="IT286" t="e">
        <f>AND(#REF!,"AAAAAHnyZ/0=")</f>
        <v>#REF!</v>
      </c>
      <c r="IU286" t="e">
        <f>AND(#REF!,"AAAAAHnyZ/4=")</f>
        <v>#REF!</v>
      </c>
      <c r="IV286" t="e">
        <f>AND(#REF!,"AAAAAHnyZ/8=")</f>
        <v>#REF!</v>
      </c>
    </row>
    <row r="287" spans="1:256">
      <c r="A287" t="e">
        <f>AND(#REF!,"AAAAAG3u9wA=")</f>
        <v>#REF!</v>
      </c>
      <c r="B287" t="e">
        <f>AND(#REF!,"AAAAAG3u9wE=")</f>
        <v>#REF!</v>
      </c>
      <c r="C287" t="e">
        <f>AND(#REF!,"AAAAAG3u9wI=")</f>
        <v>#REF!</v>
      </c>
      <c r="D287" t="e">
        <f>AND(#REF!,"AAAAAG3u9wM=")</f>
        <v>#REF!</v>
      </c>
      <c r="E287" t="e">
        <f>AND(#REF!,"AAAAAG3u9wQ=")</f>
        <v>#REF!</v>
      </c>
      <c r="F287" t="e">
        <f>AND(#REF!,"AAAAAG3u9wU=")</f>
        <v>#REF!</v>
      </c>
      <c r="G287" t="e">
        <f>AND(#REF!,"AAAAAG3u9wY=")</f>
        <v>#REF!</v>
      </c>
      <c r="H287" t="e">
        <f>AND(#REF!,"AAAAAG3u9wc=")</f>
        <v>#REF!</v>
      </c>
      <c r="I287" t="e">
        <f>AND(#REF!,"AAAAAG3u9wg=")</f>
        <v>#REF!</v>
      </c>
      <c r="J287" t="e">
        <f>AND(#REF!,"AAAAAG3u9wk=")</f>
        <v>#REF!</v>
      </c>
      <c r="K287" t="e">
        <f>AND(#REF!,"AAAAAG3u9wo=")</f>
        <v>#REF!</v>
      </c>
      <c r="L287" t="e">
        <f>AND(#REF!,"AAAAAG3u9ws=")</f>
        <v>#REF!</v>
      </c>
      <c r="M287" t="e">
        <f>AND(#REF!,"AAAAAG3u9ww=")</f>
        <v>#REF!</v>
      </c>
      <c r="N287" t="e">
        <f>AND(#REF!,"AAAAAG3u9w0=")</f>
        <v>#REF!</v>
      </c>
      <c r="O287" t="e">
        <f>AND(#REF!,"AAAAAG3u9w4=")</f>
        <v>#REF!</v>
      </c>
      <c r="P287" t="e">
        <f>AND(#REF!,"AAAAAG3u9w8=")</f>
        <v>#REF!</v>
      </c>
      <c r="Q287" t="e">
        <f>AND(#REF!,"AAAAAG3u9xA=")</f>
        <v>#REF!</v>
      </c>
      <c r="R287" t="e">
        <f>AND(#REF!,"AAAAAG3u9xE=")</f>
        <v>#REF!</v>
      </c>
      <c r="S287" t="e">
        <f>AND(#REF!,"AAAAAG3u9xI=")</f>
        <v>#REF!</v>
      </c>
      <c r="T287" t="e">
        <f>IF(#REF!,"AAAAAG3u9xM=",0)</f>
        <v>#REF!</v>
      </c>
      <c r="U287" t="e">
        <f>AND(#REF!,"AAAAAG3u9xQ=")</f>
        <v>#REF!</v>
      </c>
      <c r="V287" t="e">
        <f>AND(#REF!,"AAAAAG3u9xU=")</f>
        <v>#REF!</v>
      </c>
      <c r="W287" t="e">
        <f>AND(#REF!,"AAAAAG3u9xY=")</f>
        <v>#REF!</v>
      </c>
      <c r="X287" t="e">
        <f>AND(#REF!,"AAAAAG3u9xc=")</f>
        <v>#REF!</v>
      </c>
      <c r="Y287" t="e">
        <f>AND(#REF!,"AAAAAG3u9xg=")</f>
        <v>#REF!</v>
      </c>
      <c r="Z287" t="e">
        <f>AND(#REF!,"AAAAAG3u9xk=")</f>
        <v>#REF!</v>
      </c>
      <c r="AA287" t="e">
        <f>AND(#REF!,"AAAAAG3u9xo=")</f>
        <v>#REF!</v>
      </c>
      <c r="AB287" t="e">
        <f>AND(#REF!,"AAAAAG3u9xs=")</f>
        <v>#REF!</v>
      </c>
      <c r="AC287" t="e">
        <f>AND(#REF!,"AAAAAG3u9xw=")</f>
        <v>#REF!</v>
      </c>
      <c r="AD287" t="e">
        <f>AND(#REF!,"AAAAAG3u9x0=")</f>
        <v>#REF!</v>
      </c>
      <c r="AE287" t="e">
        <f>AND(#REF!,"AAAAAG3u9x4=")</f>
        <v>#REF!</v>
      </c>
      <c r="AF287" t="e">
        <f>AND(#REF!,"AAAAAG3u9x8=")</f>
        <v>#REF!</v>
      </c>
      <c r="AG287" t="e">
        <f>AND(#REF!,"AAAAAG3u9yA=")</f>
        <v>#REF!</v>
      </c>
      <c r="AH287" t="e">
        <f>AND(#REF!,"AAAAAG3u9yE=")</f>
        <v>#REF!</v>
      </c>
      <c r="AI287" t="e">
        <f>AND(#REF!,"AAAAAG3u9yI=")</f>
        <v>#REF!</v>
      </c>
      <c r="AJ287" t="e">
        <f>AND(#REF!,"AAAAAG3u9yM=")</f>
        <v>#REF!</v>
      </c>
      <c r="AK287" t="e">
        <f>AND(#REF!,"AAAAAG3u9yQ=")</f>
        <v>#REF!</v>
      </c>
      <c r="AL287" t="e">
        <f>AND(#REF!,"AAAAAG3u9yU=")</f>
        <v>#REF!</v>
      </c>
      <c r="AM287" t="e">
        <f>AND(#REF!,"AAAAAG3u9yY=")</f>
        <v>#REF!</v>
      </c>
      <c r="AN287" t="e">
        <f>AND(#REF!,"AAAAAG3u9yc=")</f>
        <v>#REF!</v>
      </c>
      <c r="AO287" t="e">
        <f>AND(#REF!,"AAAAAG3u9yg=")</f>
        <v>#REF!</v>
      </c>
      <c r="AP287" t="e">
        <f>AND(#REF!,"AAAAAG3u9yk=")</f>
        <v>#REF!</v>
      </c>
      <c r="AQ287" t="e">
        <f>AND(#REF!,"AAAAAG3u9yo=")</f>
        <v>#REF!</v>
      </c>
      <c r="AR287" t="e">
        <f>AND(#REF!,"AAAAAG3u9ys=")</f>
        <v>#REF!</v>
      </c>
      <c r="AS287" t="e">
        <f>IF(#REF!,"AAAAAG3u9yw=",0)</f>
        <v>#REF!</v>
      </c>
      <c r="AT287" t="e">
        <f>AND(#REF!,"AAAAAG3u9y0=")</f>
        <v>#REF!</v>
      </c>
      <c r="AU287" t="e">
        <f>AND(#REF!,"AAAAAG3u9y4=")</f>
        <v>#REF!</v>
      </c>
      <c r="AV287" t="e">
        <f>AND(#REF!,"AAAAAG3u9y8=")</f>
        <v>#REF!</v>
      </c>
      <c r="AW287" t="e">
        <f>AND(#REF!,"AAAAAG3u9zA=")</f>
        <v>#REF!</v>
      </c>
      <c r="AX287" t="e">
        <f>AND(#REF!,"AAAAAG3u9zE=")</f>
        <v>#REF!</v>
      </c>
      <c r="AY287" t="e">
        <f>AND(#REF!,"AAAAAG3u9zI=")</f>
        <v>#REF!</v>
      </c>
      <c r="AZ287" t="e">
        <f>AND(#REF!,"AAAAAG3u9zM=")</f>
        <v>#REF!</v>
      </c>
      <c r="BA287" t="e">
        <f>AND(#REF!,"AAAAAG3u9zQ=")</f>
        <v>#REF!</v>
      </c>
      <c r="BB287" t="e">
        <f>AND(#REF!,"AAAAAG3u9zU=")</f>
        <v>#REF!</v>
      </c>
      <c r="BC287" t="e">
        <f>AND(#REF!,"AAAAAG3u9zY=")</f>
        <v>#REF!</v>
      </c>
      <c r="BD287" t="e">
        <f>AND(#REF!,"AAAAAG3u9zc=")</f>
        <v>#REF!</v>
      </c>
      <c r="BE287" t="e">
        <f>AND(#REF!,"AAAAAG3u9zg=")</f>
        <v>#REF!</v>
      </c>
      <c r="BF287" t="e">
        <f>AND(#REF!,"AAAAAG3u9zk=")</f>
        <v>#REF!</v>
      </c>
      <c r="BG287" t="e">
        <f>AND(#REF!,"AAAAAG3u9zo=")</f>
        <v>#REF!</v>
      </c>
      <c r="BH287" t="e">
        <f>AND(#REF!,"AAAAAG3u9zs=")</f>
        <v>#REF!</v>
      </c>
      <c r="BI287" t="e">
        <f>AND(#REF!,"AAAAAG3u9zw=")</f>
        <v>#REF!</v>
      </c>
      <c r="BJ287" t="e">
        <f>AND(#REF!,"AAAAAG3u9z0=")</f>
        <v>#REF!</v>
      </c>
      <c r="BK287" t="e">
        <f>AND(#REF!,"AAAAAG3u9z4=")</f>
        <v>#REF!</v>
      </c>
      <c r="BL287" t="e">
        <f>AND(#REF!,"AAAAAG3u9z8=")</f>
        <v>#REF!</v>
      </c>
      <c r="BM287" t="e">
        <f>AND(#REF!,"AAAAAG3u90A=")</f>
        <v>#REF!</v>
      </c>
      <c r="BN287" t="e">
        <f>AND(#REF!,"AAAAAG3u90E=")</f>
        <v>#REF!</v>
      </c>
      <c r="BO287" t="e">
        <f>AND(#REF!,"AAAAAG3u90I=")</f>
        <v>#REF!</v>
      </c>
      <c r="BP287" t="e">
        <f>AND(#REF!,"AAAAAG3u90M=")</f>
        <v>#REF!</v>
      </c>
      <c r="BQ287" t="e">
        <f>AND(#REF!,"AAAAAG3u90Q=")</f>
        <v>#REF!</v>
      </c>
      <c r="BR287" t="e">
        <f>IF(#REF!,"AAAAAG3u90U=",0)</f>
        <v>#REF!</v>
      </c>
      <c r="BS287" t="e">
        <f>AND(#REF!,"AAAAAG3u90Y=")</f>
        <v>#REF!</v>
      </c>
      <c r="BT287" t="e">
        <f>AND(#REF!,"AAAAAG3u90c=")</f>
        <v>#REF!</v>
      </c>
      <c r="BU287" t="e">
        <f>AND(#REF!,"AAAAAG3u90g=")</f>
        <v>#REF!</v>
      </c>
      <c r="BV287" t="e">
        <f>AND(#REF!,"AAAAAG3u90k=")</f>
        <v>#REF!</v>
      </c>
      <c r="BW287" t="e">
        <f>AND(#REF!,"AAAAAG3u90o=")</f>
        <v>#REF!</v>
      </c>
      <c r="BX287" t="e">
        <f>AND(#REF!,"AAAAAG3u90s=")</f>
        <v>#REF!</v>
      </c>
      <c r="BY287" t="e">
        <f>AND(#REF!,"AAAAAG3u90w=")</f>
        <v>#REF!</v>
      </c>
      <c r="BZ287" t="e">
        <f>AND(#REF!,"AAAAAG3u900=")</f>
        <v>#REF!</v>
      </c>
      <c r="CA287" t="e">
        <f>AND(#REF!,"AAAAAG3u904=")</f>
        <v>#REF!</v>
      </c>
      <c r="CB287" t="e">
        <f>AND(#REF!,"AAAAAG3u908=")</f>
        <v>#REF!</v>
      </c>
      <c r="CC287" t="e">
        <f>AND(#REF!,"AAAAAG3u91A=")</f>
        <v>#REF!</v>
      </c>
      <c r="CD287" t="e">
        <f>AND(#REF!,"AAAAAG3u91E=")</f>
        <v>#REF!</v>
      </c>
      <c r="CE287" t="e">
        <f>AND(#REF!,"AAAAAG3u91I=")</f>
        <v>#REF!</v>
      </c>
      <c r="CF287" t="e">
        <f>AND(#REF!,"AAAAAG3u91M=")</f>
        <v>#REF!</v>
      </c>
      <c r="CG287" t="e">
        <f>AND(#REF!,"AAAAAG3u91Q=")</f>
        <v>#REF!</v>
      </c>
      <c r="CH287" t="e">
        <f>AND(#REF!,"AAAAAG3u91U=")</f>
        <v>#REF!</v>
      </c>
      <c r="CI287" t="e">
        <f>AND(#REF!,"AAAAAG3u91Y=")</f>
        <v>#REF!</v>
      </c>
      <c r="CJ287" t="e">
        <f>AND(#REF!,"AAAAAG3u91c=")</f>
        <v>#REF!</v>
      </c>
      <c r="CK287" t="e">
        <f>AND(#REF!,"AAAAAG3u91g=")</f>
        <v>#REF!</v>
      </c>
      <c r="CL287" t="e">
        <f>AND(#REF!,"AAAAAG3u91k=")</f>
        <v>#REF!</v>
      </c>
      <c r="CM287" t="e">
        <f>AND(#REF!,"AAAAAG3u91o=")</f>
        <v>#REF!</v>
      </c>
      <c r="CN287" t="e">
        <f>AND(#REF!,"AAAAAG3u91s=")</f>
        <v>#REF!</v>
      </c>
      <c r="CO287" t="e">
        <f>AND(#REF!,"AAAAAG3u91w=")</f>
        <v>#REF!</v>
      </c>
      <c r="CP287" t="e">
        <f>AND(#REF!,"AAAAAG3u910=")</f>
        <v>#REF!</v>
      </c>
      <c r="CQ287" t="e">
        <f>IF(#REF!,"AAAAAG3u914=",0)</f>
        <v>#REF!</v>
      </c>
      <c r="CR287" t="e">
        <f>AND(#REF!,"AAAAAG3u918=")</f>
        <v>#REF!</v>
      </c>
      <c r="CS287" t="e">
        <f>AND(#REF!,"AAAAAG3u92A=")</f>
        <v>#REF!</v>
      </c>
      <c r="CT287" t="e">
        <f>AND(#REF!,"AAAAAG3u92E=")</f>
        <v>#REF!</v>
      </c>
      <c r="CU287" t="e">
        <f>AND(#REF!,"AAAAAG3u92I=")</f>
        <v>#REF!</v>
      </c>
      <c r="CV287" t="e">
        <f>AND(#REF!,"AAAAAG3u92M=")</f>
        <v>#REF!</v>
      </c>
      <c r="CW287" t="e">
        <f>AND(#REF!,"AAAAAG3u92Q=")</f>
        <v>#REF!</v>
      </c>
      <c r="CX287" t="e">
        <f>AND(#REF!,"AAAAAG3u92U=")</f>
        <v>#REF!</v>
      </c>
      <c r="CY287" t="e">
        <f>AND(#REF!,"AAAAAG3u92Y=")</f>
        <v>#REF!</v>
      </c>
      <c r="CZ287" t="e">
        <f>AND(#REF!,"AAAAAG3u92c=")</f>
        <v>#REF!</v>
      </c>
      <c r="DA287" t="e">
        <f>AND(#REF!,"AAAAAG3u92g=")</f>
        <v>#REF!</v>
      </c>
      <c r="DB287" t="e">
        <f>AND(#REF!,"AAAAAG3u92k=")</f>
        <v>#REF!</v>
      </c>
      <c r="DC287" t="e">
        <f>AND(#REF!,"AAAAAG3u92o=")</f>
        <v>#REF!</v>
      </c>
      <c r="DD287" t="e">
        <f>AND(#REF!,"AAAAAG3u92s=")</f>
        <v>#REF!</v>
      </c>
      <c r="DE287" t="e">
        <f>AND(#REF!,"AAAAAG3u92w=")</f>
        <v>#REF!</v>
      </c>
      <c r="DF287" t="e">
        <f>AND(#REF!,"AAAAAG3u920=")</f>
        <v>#REF!</v>
      </c>
      <c r="DG287" t="e">
        <f>AND(#REF!,"AAAAAG3u924=")</f>
        <v>#REF!</v>
      </c>
      <c r="DH287" t="e">
        <f>AND(#REF!,"AAAAAG3u928=")</f>
        <v>#REF!</v>
      </c>
      <c r="DI287" t="e">
        <f>AND(#REF!,"AAAAAG3u93A=")</f>
        <v>#REF!</v>
      </c>
      <c r="DJ287" t="e">
        <f>AND(#REF!,"AAAAAG3u93E=")</f>
        <v>#REF!</v>
      </c>
      <c r="DK287" t="e">
        <f>AND(#REF!,"AAAAAG3u93I=")</f>
        <v>#REF!</v>
      </c>
      <c r="DL287" t="e">
        <f>AND(#REF!,"AAAAAG3u93M=")</f>
        <v>#REF!</v>
      </c>
      <c r="DM287" t="e">
        <f>AND(#REF!,"AAAAAG3u93Q=")</f>
        <v>#REF!</v>
      </c>
      <c r="DN287" t="e">
        <f>AND(#REF!,"AAAAAG3u93U=")</f>
        <v>#REF!</v>
      </c>
      <c r="DO287" t="e">
        <f>AND(#REF!,"AAAAAG3u93Y=")</f>
        <v>#REF!</v>
      </c>
      <c r="DP287" t="e">
        <f>IF(#REF!,"AAAAAG3u93c=",0)</f>
        <v>#REF!</v>
      </c>
      <c r="DQ287" t="e">
        <f>AND(#REF!,"AAAAAG3u93g=")</f>
        <v>#REF!</v>
      </c>
      <c r="DR287" t="e">
        <f>AND(#REF!,"AAAAAG3u93k=")</f>
        <v>#REF!</v>
      </c>
      <c r="DS287" t="e">
        <f>AND(#REF!,"AAAAAG3u93o=")</f>
        <v>#REF!</v>
      </c>
      <c r="DT287" t="e">
        <f>AND(#REF!,"AAAAAG3u93s=")</f>
        <v>#REF!</v>
      </c>
      <c r="DU287" t="e">
        <f>AND(#REF!,"AAAAAG3u93w=")</f>
        <v>#REF!</v>
      </c>
      <c r="DV287" t="e">
        <f>AND(#REF!,"AAAAAG3u930=")</f>
        <v>#REF!</v>
      </c>
      <c r="DW287" t="e">
        <f>AND(#REF!,"AAAAAG3u934=")</f>
        <v>#REF!</v>
      </c>
      <c r="DX287" t="e">
        <f>AND(#REF!,"AAAAAG3u938=")</f>
        <v>#REF!</v>
      </c>
      <c r="DY287" t="e">
        <f>AND(#REF!,"AAAAAG3u94A=")</f>
        <v>#REF!</v>
      </c>
      <c r="DZ287" t="e">
        <f>AND(#REF!,"AAAAAG3u94E=")</f>
        <v>#REF!</v>
      </c>
      <c r="EA287" t="e">
        <f>AND(#REF!,"AAAAAG3u94I=")</f>
        <v>#REF!</v>
      </c>
      <c r="EB287" t="e">
        <f>AND(#REF!,"AAAAAG3u94M=")</f>
        <v>#REF!</v>
      </c>
      <c r="EC287" t="e">
        <f>AND(#REF!,"AAAAAG3u94Q=")</f>
        <v>#REF!</v>
      </c>
      <c r="ED287" t="e">
        <f>AND(#REF!,"AAAAAG3u94U=")</f>
        <v>#REF!</v>
      </c>
      <c r="EE287" t="e">
        <f>AND(#REF!,"AAAAAG3u94Y=")</f>
        <v>#REF!</v>
      </c>
      <c r="EF287" t="e">
        <f>AND(#REF!,"AAAAAG3u94c=")</f>
        <v>#REF!</v>
      </c>
      <c r="EG287" t="e">
        <f>AND(#REF!,"AAAAAG3u94g=")</f>
        <v>#REF!</v>
      </c>
      <c r="EH287" t="e">
        <f>AND(#REF!,"AAAAAG3u94k=")</f>
        <v>#REF!</v>
      </c>
      <c r="EI287" t="e">
        <f>AND(#REF!,"AAAAAG3u94o=")</f>
        <v>#REF!</v>
      </c>
      <c r="EJ287" t="e">
        <f>AND(#REF!,"AAAAAG3u94s=")</f>
        <v>#REF!</v>
      </c>
      <c r="EK287" t="e">
        <f>AND(#REF!,"AAAAAG3u94w=")</f>
        <v>#REF!</v>
      </c>
      <c r="EL287" t="e">
        <f>AND(#REF!,"AAAAAG3u940=")</f>
        <v>#REF!</v>
      </c>
      <c r="EM287" t="e">
        <f>AND(#REF!,"AAAAAG3u944=")</f>
        <v>#REF!</v>
      </c>
      <c r="EN287" t="e">
        <f>AND(#REF!,"AAAAAG3u948=")</f>
        <v>#REF!</v>
      </c>
      <c r="EO287" t="e">
        <f>IF(#REF!,"AAAAAG3u95A=",0)</f>
        <v>#REF!</v>
      </c>
      <c r="EP287" t="e">
        <f>AND(#REF!,"AAAAAG3u95E=")</f>
        <v>#REF!</v>
      </c>
      <c r="EQ287" t="e">
        <f>AND(#REF!,"AAAAAG3u95I=")</f>
        <v>#REF!</v>
      </c>
      <c r="ER287" t="e">
        <f>AND(#REF!,"AAAAAG3u95M=")</f>
        <v>#REF!</v>
      </c>
      <c r="ES287" t="e">
        <f>AND(#REF!,"AAAAAG3u95Q=")</f>
        <v>#REF!</v>
      </c>
      <c r="ET287" t="e">
        <f>AND(#REF!,"AAAAAG3u95U=")</f>
        <v>#REF!</v>
      </c>
      <c r="EU287" t="e">
        <f>AND(#REF!,"AAAAAG3u95Y=")</f>
        <v>#REF!</v>
      </c>
      <c r="EV287" t="e">
        <f>AND(#REF!,"AAAAAG3u95c=")</f>
        <v>#REF!</v>
      </c>
      <c r="EW287" t="e">
        <f>AND(#REF!,"AAAAAG3u95g=")</f>
        <v>#REF!</v>
      </c>
      <c r="EX287" t="e">
        <f>AND(#REF!,"AAAAAG3u95k=")</f>
        <v>#REF!</v>
      </c>
      <c r="EY287" t="e">
        <f>AND(#REF!,"AAAAAG3u95o=")</f>
        <v>#REF!</v>
      </c>
      <c r="EZ287" t="e">
        <f>AND(#REF!,"AAAAAG3u95s=")</f>
        <v>#REF!</v>
      </c>
      <c r="FA287" t="e">
        <f>AND(#REF!,"AAAAAG3u95w=")</f>
        <v>#REF!</v>
      </c>
      <c r="FB287" t="e">
        <f>AND(#REF!,"AAAAAG3u950=")</f>
        <v>#REF!</v>
      </c>
      <c r="FC287" t="e">
        <f>AND(#REF!,"AAAAAG3u954=")</f>
        <v>#REF!</v>
      </c>
      <c r="FD287" t="e">
        <f>AND(#REF!,"AAAAAG3u958=")</f>
        <v>#REF!</v>
      </c>
      <c r="FE287" t="e">
        <f>AND(#REF!,"AAAAAG3u96A=")</f>
        <v>#REF!</v>
      </c>
      <c r="FF287" t="e">
        <f>AND(#REF!,"AAAAAG3u96E=")</f>
        <v>#REF!</v>
      </c>
      <c r="FG287" t="e">
        <f>AND(#REF!,"AAAAAG3u96I=")</f>
        <v>#REF!</v>
      </c>
      <c r="FH287" t="e">
        <f>AND(#REF!,"AAAAAG3u96M=")</f>
        <v>#REF!</v>
      </c>
      <c r="FI287" t="e">
        <f>AND(#REF!,"AAAAAG3u96Q=")</f>
        <v>#REF!</v>
      </c>
      <c r="FJ287" t="e">
        <f>AND(#REF!,"AAAAAG3u96U=")</f>
        <v>#REF!</v>
      </c>
      <c r="FK287" t="e">
        <f>AND(#REF!,"AAAAAG3u96Y=")</f>
        <v>#REF!</v>
      </c>
      <c r="FL287" t="e">
        <f>AND(#REF!,"AAAAAG3u96c=")</f>
        <v>#REF!</v>
      </c>
      <c r="FM287" t="e">
        <f>AND(#REF!,"AAAAAG3u96g=")</f>
        <v>#REF!</v>
      </c>
      <c r="FN287" t="e">
        <f>IF(#REF!,"AAAAAG3u96k=",0)</f>
        <v>#REF!</v>
      </c>
      <c r="FO287" t="e">
        <f>AND(#REF!,"AAAAAG3u96o=")</f>
        <v>#REF!</v>
      </c>
      <c r="FP287" t="e">
        <f>AND(#REF!,"AAAAAG3u96s=")</f>
        <v>#REF!</v>
      </c>
      <c r="FQ287" t="e">
        <f>AND(#REF!,"AAAAAG3u96w=")</f>
        <v>#REF!</v>
      </c>
      <c r="FR287" t="e">
        <f>AND(#REF!,"AAAAAG3u960=")</f>
        <v>#REF!</v>
      </c>
      <c r="FS287" t="e">
        <f>AND(#REF!,"AAAAAG3u964=")</f>
        <v>#REF!</v>
      </c>
      <c r="FT287" t="e">
        <f>AND(#REF!,"AAAAAG3u968=")</f>
        <v>#REF!</v>
      </c>
      <c r="FU287" t="e">
        <f>AND(#REF!,"AAAAAG3u97A=")</f>
        <v>#REF!</v>
      </c>
      <c r="FV287" t="e">
        <f>AND(#REF!,"AAAAAG3u97E=")</f>
        <v>#REF!</v>
      </c>
      <c r="FW287" t="e">
        <f>AND(#REF!,"AAAAAG3u97I=")</f>
        <v>#REF!</v>
      </c>
      <c r="FX287" t="e">
        <f>AND(#REF!,"AAAAAG3u97M=")</f>
        <v>#REF!</v>
      </c>
      <c r="FY287" t="e">
        <f>AND(#REF!,"AAAAAG3u97Q=")</f>
        <v>#REF!</v>
      </c>
      <c r="FZ287" t="e">
        <f>AND(#REF!,"AAAAAG3u97U=")</f>
        <v>#REF!</v>
      </c>
      <c r="GA287" t="e">
        <f>AND(#REF!,"AAAAAG3u97Y=")</f>
        <v>#REF!</v>
      </c>
      <c r="GB287" t="e">
        <f>AND(#REF!,"AAAAAG3u97c=")</f>
        <v>#REF!</v>
      </c>
      <c r="GC287" t="e">
        <f>AND(#REF!,"AAAAAG3u97g=")</f>
        <v>#REF!</v>
      </c>
      <c r="GD287" t="e">
        <f>AND(#REF!,"AAAAAG3u97k=")</f>
        <v>#REF!</v>
      </c>
      <c r="GE287" t="e">
        <f>AND(#REF!,"AAAAAG3u97o=")</f>
        <v>#REF!</v>
      </c>
      <c r="GF287" t="e">
        <f>AND(#REF!,"AAAAAG3u97s=")</f>
        <v>#REF!</v>
      </c>
      <c r="GG287" t="e">
        <f>AND(#REF!,"AAAAAG3u97w=")</f>
        <v>#REF!</v>
      </c>
      <c r="GH287" t="e">
        <f>AND(#REF!,"AAAAAG3u970=")</f>
        <v>#REF!</v>
      </c>
      <c r="GI287" t="e">
        <f>AND(#REF!,"AAAAAG3u974=")</f>
        <v>#REF!</v>
      </c>
      <c r="GJ287" t="e">
        <f>AND(#REF!,"AAAAAG3u978=")</f>
        <v>#REF!</v>
      </c>
      <c r="GK287" t="e">
        <f>AND(#REF!,"AAAAAG3u98A=")</f>
        <v>#REF!</v>
      </c>
      <c r="GL287" t="e">
        <f>AND(#REF!,"AAAAAG3u98E=")</f>
        <v>#REF!</v>
      </c>
      <c r="GM287" t="e">
        <f>IF(#REF!,"AAAAAG3u98I=",0)</f>
        <v>#REF!</v>
      </c>
      <c r="GN287" t="e">
        <f>AND(#REF!,"AAAAAG3u98M=")</f>
        <v>#REF!</v>
      </c>
      <c r="GO287" t="e">
        <f>AND(#REF!,"AAAAAG3u98Q=")</f>
        <v>#REF!</v>
      </c>
      <c r="GP287" t="e">
        <f>AND(#REF!,"AAAAAG3u98U=")</f>
        <v>#REF!</v>
      </c>
      <c r="GQ287" t="e">
        <f>AND(#REF!,"AAAAAG3u98Y=")</f>
        <v>#REF!</v>
      </c>
      <c r="GR287" t="e">
        <f>AND(#REF!,"AAAAAG3u98c=")</f>
        <v>#REF!</v>
      </c>
      <c r="GS287" t="e">
        <f>AND(#REF!,"AAAAAG3u98g=")</f>
        <v>#REF!</v>
      </c>
      <c r="GT287" t="e">
        <f>AND(#REF!,"AAAAAG3u98k=")</f>
        <v>#REF!</v>
      </c>
      <c r="GU287" t="e">
        <f>AND(#REF!,"AAAAAG3u98o=")</f>
        <v>#REF!</v>
      </c>
      <c r="GV287" t="e">
        <f>AND(#REF!,"AAAAAG3u98s=")</f>
        <v>#REF!</v>
      </c>
      <c r="GW287" t="e">
        <f>AND(#REF!,"AAAAAG3u98w=")</f>
        <v>#REF!</v>
      </c>
      <c r="GX287" t="e">
        <f>AND(#REF!,"AAAAAG3u980=")</f>
        <v>#REF!</v>
      </c>
      <c r="GY287" t="e">
        <f>AND(#REF!,"AAAAAG3u984=")</f>
        <v>#REF!</v>
      </c>
      <c r="GZ287" t="e">
        <f>AND(#REF!,"AAAAAG3u988=")</f>
        <v>#REF!</v>
      </c>
      <c r="HA287" t="e">
        <f>AND(#REF!,"AAAAAG3u99A=")</f>
        <v>#REF!</v>
      </c>
      <c r="HB287" t="e">
        <f>AND(#REF!,"AAAAAG3u99E=")</f>
        <v>#REF!</v>
      </c>
      <c r="HC287" t="e">
        <f>AND(#REF!,"AAAAAG3u99I=")</f>
        <v>#REF!</v>
      </c>
      <c r="HD287" t="e">
        <f>AND(#REF!,"AAAAAG3u99M=")</f>
        <v>#REF!</v>
      </c>
      <c r="HE287" t="e">
        <f>AND(#REF!,"AAAAAG3u99Q=")</f>
        <v>#REF!</v>
      </c>
      <c r="HF287" t="e">
        <f>AND(#REF!,"AAAAAG3u99U=")</f>
        <v>#REF!</v>
      </c>
      <c r="HG287" t="e">
        <f>AND(#REF!,"AAAAAG3u99Y=")</f>
        <v>#REF!</v>
      </c>
      <c r="HH287" t="e">
        <f>AND(#REF!,"AAAAAG3u99c=")</f>
        <v>#REF!</v>
      </c>
      <c r="HI287" t="e">
        <f>AND(#REF!,"AAAAAG3u99g=")</f>
        <v>#REF!</v>
      </c>
      <c r="HJ287" t="e">
        <f>AND(#REF!,"AAAAAG3u99k=")</f>
        <v>#REF!</v>
      </c>
      <c r="HK287" t="e">
        <f>AND(#REF!,"AAAAAG3u99o=")</f>
        <v>#REF!</v>
      </c>
      <c r="HL287" t="e">
        <f>IF(#REF!,"AAAAAG3u99s=",0)</f>
        <v>#REF!</v>
      </c>
      <c r="HM287" t="e">
        <f>AND(#REF!,"AAAAAG3u99w=")</f>
        <v>#REF!</v>
      </c>
      <c r="HN287" t="e">
        <f>AND(#REF!,"AAAAAG3u990=")</f>
        <v>#REF!</v>
      </c>
      <c r="HO287" t="e">
        <f>AND(#REF!,"AAAAAG3u994=")</f>
        <v>#REF!</v>
      </c>
      <c r="HP287" t="e">
        <f>AND(#REF!,"AAAAAG3u998=")</f>
        <v>#REF!</v>
      </c>
      <c r="HQ287" t="e">
        <f>AND(#REF!,"AAAAAG3u9+A=")</f>
        <v>#REF!</v>
      </c>
      <c r="HR287" t="e">
        <f>AND(#REF!,"AAAAAG3u9+E=")</f>
        <v>#REF!</v>
      </c>
      <c r="HS287" t="e">
        <f>AND(#REF!,"AAAAAG3u9+I=")</f>
        <v>#REF!</v>
      </c>
      <c r="HT287" t="e">
        <f>AND(#REF!,"AAAAAG3u9+M=")</f>
        <v>#REF!</v>
      </c>
      <c r="HU287" t="e">
        <f>AND(#REF!,"AAAAAG3u9+Q=")</f>
        <v>#REF!</v>
      </c>
      <c r="HV287" t="e">
        <f>AND(#REF!,"AAAAAG3u9+U=")</f>
        <v>#REF!</v>
      </c>
      <c r="HW287" t="e">
        <f>AND(#REF!,"AAAAAG3u9+Y=")</f>
        <v>#REF!</v>
      </c>
      <c r="HX287" t="e">
        <f>AND(#REF!,"AAAAAG3u9+c=")</f>
        <v>#REF!</v>
      </c>
      <c r="HY287" t="e">
        <f>AND(#REF!,"AAAAAG3u9+g=")</f>
        <v>#REF!</v>
      </c>
      <c r="HZ287" t="e">
        <f>AND(#REF!,"AAAAAG3u9+k=")</f>
        <v>#REF!</v>
      </c>
      <c r="IA287" t="e">
        <f>AND(#REF!,"AAAAAG3u9+o=")</f>
        <v>#REF!</v>
      </c>
      <c r="IB287" t="e">
        <f>AND(#REF!,"AAAAAG3u9+s=")</f>
        <v>#REF!</v>
      </c>
      <c r="IC287" t="e">
        <f>AND(#REF!,"AAAAAG3u9+w=")</f>
        <v>#REF!</v>
      </c>
      <c r="ID287" t="e">
        <f>AND(#REF!,"AAAAAG3u9+0=")</f>
        <v>#REF!</v>
      </c>
      <c r="IE287" t="e">
        <f>AND(#REF!,"AAAAAG3u9+4=")</f>
        <v>#REF!</v>
      </c>
      <c r="IF287" t="e">
        <f>AND(#REF!,"AAAAAG3u9+8=")</f>
        <v>#REF!</v>
      </c>
      <c r="IG287" t="e">
        <f>AND(#REF!,"AAAAAG3u9/A=")</f>
        <v>#REF!</v>
      </c>
      <c r="IH287" t="e">
        <f>AND(#REF!,"AAAAAG3u9/E=")</f>
        <v>#REF!</v>
      </c>
      <c r="II287" t="e">
        <f>AND(#REF!,"AAAAAG3u9/I=")</f>
        <v>#REF!</v>
      </c>
      <c r="IJ287" t="e">
        <f>AND(#REF!,"AAAAAG3u9/M=")</f>
        <v>#REF!</v>
      </c>
      <c r="IK287" t="e">
        <f>IF(#REF!,"AAAAAG3u9/Q=",0)</f>
        <v>#REF!</v>
      </c>
      <c r="IL287" t="e">
        <f>AND(#REF!,"AAAAAG3u9/U=")</f>
        <v>#REF!</v>
      </c>
      <c r="IM287" t="e">
        <f>AND(#REF!,"AAAAAG3u9/Y=")</f>
        <v>#REF!</v>
      </c>
      <c r="IN287" t="e">
        <f>AND(#REF!,"AAAAAG3u9/c=")</f>
        <v>#REF!</v>
      </c>
      <c r="IO287" t="e">
        <f>AND(#REF!,"AAAAAG3u9/g=")</f>
        <v>#REF!</v>
      </c>
      <c r="IP287" t="e">
        <f>AND(#REF!,"AAAAAG3u9/k=")</f>
        <v>#REF!</v>
      </c>
      <c r="IQ287" t="e">
        <f>AND(#REF!,"AAAAAG3u9/o=")</f>
        <v>#REF!</v>
      </c>
      <c r="IR287" t="e">
        <f>AND(#REF!,"AAAAAG3u9/s=")</f>
        <v>#REF!</v>
      </c>
      <c r="IS287" t="e">
        <f>AND(#REF!,"AAAAAG3u9/w=")</f>
        <v>#REF!</v>
      </c>
      <c r="IT287" t="e">
        <f>AND(#REF!,"AAAAAG3u9/0=")</f>
        <v>#REF!</v>
      </c>
      <c r="IU287" t="e">
        <f>AND(#REF!,"AAAAAG3u9/4=")</f>
        <v>#REF!</v>
      </c>
      <c r="IV287" t="e">
        <f>AND(#REF!,"AAAAAG3u9/8=")</f>
        <v>#REF!</v>
      </c>
    </row>
    <row r="288" spans="1:256">
      <c r="A288" t="e">
        <f>AND(#REF!,"AAAAAF3/fQA=")</f>
        <v>#REF!</v>
      </c>
      <c r="B288" t="e">
        <f>AND(#REF!,"AAAAAF3/fQE=")</f>
        <v>#REF!</v>
      </c>
      <c r="C288" t="e">
        <f>AND(#REF!,"AAAAAF3/fQI=")</f>
        <v>#REF!</v>
      </c>
      <c r="D288" t="e">
        <f>AND(#REF!,"AAAAAF3/fQM=")</f>
        <v>#REF!</v>
      </c>
      <c r="E288" t="e">
        <f>AND(#REF!,"AAAAAF3/fQQ=")</f>
        <v>#REF!</v>
      </c>
      <c r="F288" t="e">
        <f>AND(#REF!,"AAAAAF3/fQU=")</f>
        <v>#REF!</v>
      </c>
      <c r="G288" t="e">
        <f>AND(#REF!,"AAAAAF3/fQY=")</f>
        <v>#REF!</v>
      </c>
      <c r="H288" t="e">
        <f>AND(#REF!,"AAAAAF3/fQc=")</f>
        <v>#REF!</v>
      </c>
      <c r="I288" t="e">
        <f>AND(#REF!,"AAAAAF3/fQg=")</f>
        <v>#REF!</v>
      </c>
      <c r="J288" t="e">
        <f>AND(#REF!,"AAAAAF3/fQk=")</f>
        <v>#REF!</v>
      </c>
      <c r="K288" t="e">
        <f>AND(#REF!,"AAAAAF3/fQo=")</f>
        <v>#REF!</v>
      </c>
      <c r="L288" t="e">
        <f>AND(#REF!,"AAAAAF3/fQs=")</f>
        <v>#REF!</v>
      </c>
      <c r="M288" t="e">
        <f>AND(#REF!,"AAAAAF3/fQw=")</f>
        <v>#REF!</v>
      </c>
      <c r="N288" t="e">
        <f>IF(#REF!,"AAAAAF3/fQ0=",0)</f>
        <v>#REF!</v>
      </c>
      <c r="O288" t="e">
        <f>AND(#REF!,"AAAAAF3/fQ4=")</f>
        <v>#REF!</v>
      </c>
      <c r="P288" t="e">
        <f>AND(#REF!,"AAAAAF3/fQ8=")</f>
        <v>#REF!</v>
      </c>
      <c r="Q288" t="e">
        <f>AND(#REF!,"AAAAAF3/fRA=")</f>
        <v>#REF!</v>
      </c>
      <c r="R288" t="e">
        <f>AND(#REF!,"AAAAAF3/fRE=")</f>
        <v>#REF!</v>
      </c>
      <c r="S288" t="e">
        <f>AND(#REF!,"AAAAAF3/fRI=")</f>
        <v>#REF!</v>
      </c>
      <c r="T288" t="e">
        <f>AND(#REF!,"AAAAAF3/fRM=")</f>
        <v>#REF!</v>
      </c>
      <c r="U288" t="e">
        <f>AND(#REF!,"AAAAAF3/fRQ=")</f>
        <v>#REF!</v>
      </c>
      <c r="V288" t="e">
        <f>AND(#REF!,"AAAAAF3/fRU=")</f>
        <v>#REF!</v>
      </c>
      <c r="W288" t="e">
        <f>AND(#REF!,"AAAAAF3/fRY=")</f>
        <v>#REF!</v>
      </c>
      <c r="X288" t="e">
        <f>AND(#REF!,"AAAAAF3/fRc=")</f>
        <v>#REF!</v>
      </c>
      <c r="Y288" t="e">
        <f>AND(#REF!,"AAAAAF3/fRg=")</f>
        <v>#REF!</v>
      </c>
      <c r="Z288" t="e">
        <f>AND(#REF!,"AAAAAF3/fRk=")</f>
        <v>#REF!</v>
      </c>
      <c r="AA288" t="e">
        <f>AND(#REF!,"AAAAAF3/fRo=")</f>
        <v>#REF!</v>
      </c>
      <c r="AB288" t="e">
        <f>AND(#REF!,"AAAAAF3/fRs=")</f>
        <v>#REF!</v>
      </c>
      <c r="AC288" t="e">
        <f>AND(#REF!,"AAAAAF3/fRw=")</f>
        <v>#REF!</v>
      </c>
      <c r="AD288" t="e">
        <f>AND(#REF!,"AAAAAF3/fR0=")</f>
        <v>#REF!</v>
      </c>
      <c r="AE288" t="e">
        <f>AND(#REF!,"AAAAAF3/fR4=")</f>
        <v>#REF!</v>
      </c>
      <c r="AF288" t="e">
        <f>AND(#REF!,"AAAAAF3/fR8=")</f>
        <v>#REF!</v>
      </c>
      <c r="AG288" t="e">
        <f>AND(#REF!,"AAAAAF3/fSA=")</f>
        <v>#REF!</v>
      </c>
      <c r="AH288" t="e">
        <f>AND(#REF!,"AAAAAF3/fSE=")</f>
        <v>#REF!</v>
      </c>
      <c r="AI288" t="e">
        <f>AND(#REF!,"AAAAAF3/fSI=")</f>
        <v>#REF!</v>
      </c>
      <c r="AJ288" t="e">
        <f>AND(#REF!,"AAAAAF3/fSM=")</f>
        <v>#REF!</v>
      </c>
      <c r="AK288" t="e">
        <f>AND(#REF!,"AAAAAF3/fSQ=")</f>
        <v>#REF!</v>
      </c>
      <c r="AL288" t="e">
        <f>AND(#REF!,"AAAAAF3/fSU=")</f>
        <v>#REF!</v>
      </c>
      <c r="AM288" t="e">
        <f>IF(#REF!,"AAAAAF3/fSY=",0)</f>
        <v>#REF!</v>
      </c>
      <c r="AN288" t="e">
        <f>AND(#REF!,"AAAAAF3/fSc=")</f>
        <v>#REF!</v>
      </c>
      <c r="AO288" t="e">
        <f>AND(#REF!,"AAAAAF3/fSg=")</f>
        <v>#REF!</v>
      </c>
      <c r="AP288" t="e">
        <f>AND(#REF!,"AAAAAF3/fSk=")</f>
        <v>#REF!</v>
      </c>
      <c r="AQ288" t="e">
        <f>AND(#REF!,"AAAAAF3/fSo=")</f>
        <v>#REF!</v>
      </c>
      <c r="AR288" t="e">
        <f>AND(#REF!,"AAAAAF3/fSs=")</f>
        <v>#REF!</v>
      </c>
      <c r="AS288" t="e">
        <f>AND(#REF!,"AAAAAF3/fSw=")</f>
        <v>#REF!</v>
      </c>
      <c r="AT288" t="e">
        <f>AND(#REF!,"AAAAAF3/fS0=")</f>
        <v>#REF!</v>
      </c>
      <c r="AU288" t="e">
        <f>AND(#REF!,"AAAAAF3/fS4=")</f>
        <v>#REF!</v>
      </c>
      <c r="AV288" t="e">
        <f>AND(#REF!,"AAAAAF3/fS8=")</f>
        <v>#REF!</v>
      </c>
      <c r="AW288" t="e">
        <f>AND(#REF!,"AAAAAF3/fTA=")</f>
        <v>#REF!</v>
      </c>
      <c r="AX288" t="e">
        <f>AND(#REF!,"AAAAAF3/fTE=")</f>
        <v>#REF!</v>
      </c>
      <c r="AY288" t="e">
        <f>AND(#REF!,"AAAAAF3/fTI=")</f>
        <v>#REF!</v>
      </c>
      <c r="AZ288" t="e">
        <f>AND(#REF!,"AAAAAF3/fTM=")</f>
        <v>#REF!</v>
      </c>
      <c r="BA288" t="e">
        <f>AND(#REF!,"AAAAAF3/fTQ=")</f>
        <v>#REF!</v>
      </c>
      <c r="BB288" t="e">
        <f>AND(#REF!,"AAAAAF3/fTU=")</f>
        <v>#REF!</v>
      </c>
      <c r="BC288" t="e">
        <f>AND(#REF!,"AAAAAF3/fTY=")</f>
        <v>#REF!</v>
      </c>
      <c r="BD288" t="e">
        <f>AND(#REF!,"AAAAAF3/fTc=")</f>
        <v>#REF!</v>
      </c>
      <c r="BE288" t="e">
        <f>AND(#REF!,"AAAAAF3/fTg=")</f>
        <v>#REF!</v>
      </c>
      <c r="BF288" t="e">
        <f>AND(#REF!,"AAAAAF3/fTk=")</f>
        <v>#REF!</v>
      </c>
      <c r="BG288" t="e">
        <f>AND(#REF!,"AAAAAF3/fTo=")</f>
        <v>#REF!</v>
      </c>
      <c r="BH288" t="e">
        <f>AND(#REF!,"AAAAAF3/fTs=")</f>
        <v>#REF!</v>
      </c>
      <c r="BI288" t="e">
        <f>AND(#REF!,"AAAAAF3/fTw=")</f>
        <v>#REF!</v>
      </c>
      <c r="BJ288" t="e">
        <f>AND(#REF!,"AAAAAF3/fT0=")</f>
        <v>#REF!</v>
      </c>
      <c r="BK288" t="e">
        <f>AND(#REF!,"AAAAAF3/fT4=")</f>
        <v>#REF!</v>
      </c>
      <c r="BL288" t="e">
        <f>IF(#REF!,"AAAAAF3/fT8=",0)</f>
        <v>#REF!</v>
      </c>
      <c r="BM288" t="e">
        <f>AND(#REF!,"AAAAAF3/fUA=")</f>
        <v>#REF!</v>
      </c>
      <c r="BN288" t="e">
        <f>AND(#REF!,"AAAAAF3/fUE=")</f>
        <v>#REF!</v>
      </c>
      <c r="BO288" t="e">
        <f>AND(#REF!,"AAAAAF3/fUI=")</f>
        <v>#REF!</v>
      </c>
      <c r="BP288" t="e">
        <f>AND(#REF!,"AAAAAF3/fUM=")</f>
        <v>#REF!</v>
      </c>
      <c r="BQ288" t="e">
        <f>AND(#REF!,"AAAAAF3/fUQ=")</f>
        <v>#REF!</v>
      </c>
      <c r="BR288" t="e">
        <f>AND(#REF!,"AAAAAF3/fUU=")</f>
        <v>#REF!</v>
      </c>
      <c r="BS288" t="e">
        <f>AND(#REF!,"AAAAAF3/fUY=")</f>
        <v>#REF!</v>
      </c>
      <c r="BT288" t="e">
        <f>AND(#REF!,"AAAAAF3/fUc=")</f>
        <v>#REF!</v>
      </c>
      <c r="BU288" t="e">
        <f>AND(#REF!,"AAAAAF3/fUg=")</f>
        <v>#REF!</v>
      </c>
      <c r="BV288" t="e">
        <f>AND(#REF!,"AAAAAF3/fUk=")</f>
        <v>#REF!</v>
      </c>
      <c r="BW288" t="e">
        <f>AND(#REF!,"AAAAAF3/fUo=")</f>
        <v>#REF!</v>
      </c>
      <c r="BX288" t="e">
        <f>AND(#REF!,"AAAAAF3/fUs=")</f>
        <v>#REF!</v>
      </c>
      <c r="BY288" t="e">
        <f>AND(#REF!,"AAAAAF3/fUw=")</f>
        <v>#REF!</v>
      </c>
      <c r="BZ288" t="e">
        <f>AND(#REF!,"AAAAAF3/fU0=")</f>
        <v>#REF!</v>
      </c>
      <c r="CA288" t="e">
        <f>AND(#REF!,"AAAAAF3/fU4=")</f>
        <v>#REF!</v>
      </c>
      <c r="CB288" t="e">
        <f>AND(#REF!,"AAAAAF3/fU8=")</f>
        <v>#REF!</v>
      </c>
      <c r="CC288" t="e">
        <f>AND(#REF!,"AAAAAF3/fVA=")</f>
        <v>#REF!</v>
      </c>
      <c r="CD288" t="e">
        <f>AND(#REF!,"AAAAAF3/fVE=")</f>
        <v>#REF!</v>
      </c>
      <c r="CE288" t="e">
        <f>AND(#REF!,"AAAAAF3/fVI=")</f>
        <v>#REF!</v>
      </c>
      <c r="CF288" t="e">
        <f>AND(#REF!,"AAAAAF3/fVM=")</f>
        <v>#REF!</v>
      </c>
      <c r="CG288" t="e">
        <f>AND(#REF!,"AAAAAF3/fVQ=")</f>
        <v>#REF!</v>
      </c>
      <c r="CH288" t="e">
        <f>AND(#REF!,"AAAAAF3/fVU=")</f>
        <v>#REF!</v>
      </c>
      <c r="CI288" t="e">
        <f>AND(#REF!,"AAAAAF3/fVY=")</f>
        <v>#REF!</v>
      </c>
      <c r="CJ288" t="e">
        <f>AND(#REF!,"AAAAAF3/fVc=")</f>
        <v>#REF!</v>
      </c>
      <c r="CK288" t="e">
        <f>IF(#REF!,"AAAAAF3/fVg=",0)</f>
        <v>#REF!</v>
      </c>
      <c r="CL288" t="e">
        <f>AND(#REF!,"AAAAAF3/fVk=")</f>
        <v>#REF!</v>
      </c>
      <c r="CM288" t="e">
        <f>AND(#REF!,"AAAAAF3/fVo=")</f>
        <v>#REF!</v>
      </c>
      <c r="CN288" t="e">
        <f>AND(#REF!,"AAAAAF3/fVs=")</f>
        <v>#REF!</v>
      </c>
      <c r="CO288" t="e">
        <f>AND(#REF!,"AAAAAF3/fVw=")</f>
        <v>#REF!</v>
      </c>
      <c r="CP288" t="e">
        <f>AND(#REF!,"AAAAAF3/fV0=")</f>
        <v>#REF!</v>
      </c>
      <c r="CQ288" t="e">
        <f>AND(#REF!,"AAAAAF3/fV4=")</f>
        <v>#REF!</v>
      </c>
      <c r="CR288" t="e">
        <f>AND(#REF!,"AAAAAF3/fV8=")</f>
        <v>#REF!</v>
      </c>
      <c r="CS288" t="e">
        <f>AND(#REF!,"AAAAAF3/fWA=")</f>
        <v>#REF!</v>
      </c>
      <c r="CT288" t="e">
        <f>AND(#REF!,"AAAAAF3/fWE=")</f>
        <v>#REF!</v>
      </c>
      <c r="CU288" t="e">
        <f>AND(#REF!,"AAAAAF3/fWI=")</f>
        <v>#REF!</v>
      </c>
      <c r="CV288" t="e">
        <f>AND(#REF!,"AAAAAF3/fWM=")</f>
        <v>#REF!</v>
      </c>
      <c r="CW288" t="e">
        <f>AND(#REF!,"AAAAAF3/fWQ=")</f>
        <v>#REF!</v>
      </c>
      <c r="CX288" t="e">
        <f>AND(#REF!,"AAAAAF3/fWU=")</f>
        <v>#REF!</v>
      </c>
      <c r="CY288" t="e">
        <f>AND(#REF!,"AAAAAF3/fWY=")</f>
        <v>#REF!</v>
      </c>
      <c r="CZ288" t="e">
        <f>AND(#REF!,"AAAAAF3/fWc=")</f>
        <v>#REF!</v>
      </c>
      <c r="DA288" t="e">
        <f>AND(#REF!,"AAAAAF3/fWg=")</f>
        <v>#REF!</v>
      </c>
      <c r="DB288" t="e">
        <f>AND(#REF!,"AAAAAF3/fWk=")</f>
        <v>#REF!</v>
      </c>
      <c r="DC288" t="e">
        <f>AND(#REF!,"AAAAAF3/fWo=")</f>
        <v>#REF!</v>
      </c>
      <c r="DD288" t="e">
        <f>AND(#REF!,"AAAAAF3/fWs=")</f>
        <v>#REF!</v>
      </c>
      <c r="DE288" t="e">
        <f>AND(#REF!,"AAAAAF3/fWw=")</f>
        <v>#REF!</v>
      </c>
      <c r="DF288" t="e">
        <f>AND(#REF!,"AAAAAF3/fW0=")</f>
        <v>#REF!</v>
      </c>
      <c r="DG288" t="e">
        <f>AND(#REF!,"AAAAAF3/fW4=")</f>
        <v>#REF!</v>
      </c>
      <c r="DH288" t="e">
        <f>AND(#REF!,"AAAAAF3/fW8=")</f>
        <v>#REF!</v>
      </c>
      <c r="DI288" t="e">
        <f>AND(#REF!,"AAAAAF3/fXA=")</f>
        <v>#REF!</v>
      </c>
      <c r="DJ288" t="e">
        <f>IF(#REF!,"AAAAAF3/fXE=",0)</f>
        <v>#REF!</v>
      </c>
      <c r="DK288" t="e">
        <f>AND(#REF!,"AAAAAF3/fXI=")</f>
        <v>#REF!</v>
      </c>
      <c r="DL288" t="e">
        <f>AND(#REF!,"AAAAAF3/fXM=")</f>
        <v>#REF!</v>
      </c>
      <c r="DM288" t="e">
        <f>AND(#REF!,"AAAAAF3/fXQ=")</f>
        <v>#REF!</v>
      </c>
      <c r="DN288" t="e">
        <f>AND(#REF!,"AAAAAF3/fXU=")</f>
        <v>#REF!</v>
      </c>
      <c r="DO288" t="e">
        <f>AND(#REF!,"AAAAAF3/fXY=")</f>
        <v>#REF!</v>
      </c>
      <c r="DP288" t="e">
        <f>AND(#REF!,"AAAAAF3/fXc=")</f>
        <v>#REF!</v>
      </c>
      <c r="DQ288" t="e">
        <f>AND(#REF!,"AAAAAF3/fXg=")</f>
        <v>#REF!</v>
      </c>
      <c r="DR288" t="e">
        <f>AND(#REF!,"AAAAAF3/fXk=")</f>
        <v>#REF!</v>
      </c>
      <c r="DS288" t="e">
        <f>AND(#REF!,"AAAAAF3/fXo=")</f>
        <v>#REF!</v>
      </c>
      <c r="DT288" t="e">
        <f>AND(#REF!,"AAAAAF3/fXs=")</f>
        <v>#REF!</v>
      </c>
      <c r="DU288" t="e">
        <f>AND(#REF!,"AAAAAF3/fXw=")</f>
        <v>#REF!</v>
      </c>
      <c r="DV288" t="e">
        <f>AND(#REF!,"AAAAAF3/fX0=")</f>
        <v>#REF!</v>
      </c>
      <c r="DW288" t="e">
        <f>AND(#REF!,"AAAAAF3/fX4=")</f>
        <v>#REF!</v>
      </c>
      <c r="DX288" t="e">
        <f>AND(#REF!,"AAAAAF3/fX8=")</f>
        <v>#REF!</v>
      </c>
      <c r="DY288" t="e">
        <f>AND(#REF!,"AAAAAF3/fYA=")</f>
        <v>#REF!</v>
      </c>
      <c r="DZ288" t="e">
        <f>AND(#REF!,"AAAAAF3/fYE=")</f>
        <v>#REF!</v>
      </c>
      <c r="EA288" t="e">
        <f>AND(#REF!,"AAAAAF3/fYI=")</f>
        <v>#REF!</v>
      </c>
      <c r="EB288" t="e">
        <f>AND(#REF!,"AAAAAF3/fYM=")</f>
        <v>#REF!</v>
      </c>
      <c r="EC288" t="e">
        <f>AND(#REF!,"AAAAAF3/fYQ=")</f>
        <v>#REF!</v>
      </c>
      <c r="ED288" t="e">
        <f>AND(#REF!,"AAAAAF3/fYU=")</f>
        <v>#REF!</v>
      </c>
      <c r="EE288" t="e">
        <f>AND(#REF!,"AAAAAF3/fYY=")</f>
        <v>#REF!</v>
      </c>
      <c r="EF288" t="e">
        <f>AND(#REF!,"AAAAAF3/fYc=")</f>
        <v>#REF!</v>
      </c>
      <c r="EG288" t="e">
        <f>AND(#REF!,"AAAAAF3/fYg=")</f>
        <v>#REF!</v>
      </c>
      <c r="EH288" t="e">
        <f>AND(#REF!,"AAAAAF3/fYk=")</f>
        <v>#REF!</v>
      </c>
      <c r="EI288" t="e">
        <f>IF(#REF!,"AAAAAF3/fYo=",0)</f>
        <v>#REF!</v>
      </c>
      <c r="EJ288" t="e">
        <f>AND(#REF!,"AAAAAF3/fYs=")</f>
        <v>#REF!</v>
      </c>
      <c r="EK288" t="e">
        <f>AND(#REF!,"AAAAAF3/fYw=")</f>
        <v>#REF!</v>
      </c>
      <c r="EL288" t="e">
        <f>AND(#REF!,"AAAAAF3/fY0=")</f>
        <v>#REF!</v>
      </c>
      <c r="EM288" t="e">
        <f>AND(#REF!,"AAAAAF3/fY4=")</f>
        <v>#REF!</v>
      </c>
      <c r="EN288" t="e">
        <f>AND(#REF!,"AAAAAF3/fY8=")</f>
        <v>#REF!</v>
      </c>
      <c r="EO288" t="e">
        <f>AND(#REF!,"AAAAAF3/fZA=")</f>
        <v>#REF!</v>
      </c>
      <c r="EP288" t="e">
        <f>AND(#REF!,"AAAAAF3/fZE=")</f>
        <v>#REF!</v>
      </c>
      <c r="EQ288" t="e">
        <f>AND(#REF!,"AAAAAF3/fZI=")</f>
        <v>#REF!</v>
      </c>
      <c r="ER288" t="e">
        <f>AND(#REF!,"AAAAAF3/fZM=")</f>
        <v>#REF!</v>
      </c>
      <c r="ES288" t="e">
        <f>AND(#REF!,"AAAAAF3/fZQ=")</f>
        <v>#REF!</v>
      </c>
      <c r="ET288" t="e">
        <f>AND(#REF!,"AAAAAF3/fZU=")</f>
        <v>#REF!</v>
      </c>
      <c r="EU288" t="e">
        <f>AND(#REF!,"AAAAAF3/fZY=")</f>
        <v>#REF!</v>
      </c>
      <c r="EV288" t="e">
        <f>AND(#REF!,"AAAAAF3/fZc=")</f>
        <v>#REF!</v>
      </c>
      <c r="EW288" t="e">
        <f>AND(#REF!,"AAAAAF3/fZg=")</f>
        <v>#REF!</v>
      </c>
      <c r="EX288" t="e">
        <f>AND(#REF!,"AAAAAF3/fZk=")</f>
        <v>#REF!</v>
      </c>
      <c r="EY288" t="e">
        <f>AND(#REF!,"AAAAAF3/fZo=")</f>
        <v>#REF!</v>
      </c>
      <c r="EZ288" t="e">
        <f>AND(#REF!,"AAAAAF3/fZs=")</f>
        <v>#REF!</v>
      </c>
      <c r="FA288" t="e">
        <f>AND(#REF!,"AAAAAF3/fZw=")</f>
        <v>#REF!</v>
      </c>
      <c r="FB288" t="e">
        <f>AND(#REF!,"AAAAAF3/fZ0=")</f>
        <v>#REF!</v>
      </c>
      <c r="FC288" t="e">
        <f>AND(#REF!,"AAAAAF3/fZ4=")</f>
        <v>#REF!</v>
      </c>
      <c r="FD288" t="e">
        <f>AND(#REF!,"AAAAAF3/fZ8=")</f>
        <v>#REF!</v>
      </c>
      <c r="FE288" t="e">
        <f>AND(#REF!,"AAAAAF3/faA=")</f>
        <v>#REF!</v>
      </c>
      <c r="FF288" t="e">
        <f>AND(#REF!,"AAAAAF3/faE=")</f>
        <v>#REF!</v>
      </c>
      <c r="FG288" t="e">
        <f>AND(#REF!,"AAAAAF3/faI=")</f>
        <v>#REF!</v>
      </c>
      <c r="FH288" t="e">
        <f>IF(#REF!,"AAAAAF3/faM=",0)</f>
        <v>#REF!</v>
      </c>
      <c r="FI288" t="e">
        <f>AND(#REF!,"AAAAAF3/faQ=")</f>
        <v>#REF!</v>
      </c>
      <c r="FJ288" t="e">
        <f>AND(#REF!,"AAAAAF3/faU=")</f>
        <v>#REF!</v>
      </c>
      <c r="FK288" t="e">
        <f>AND(#REF!,"AAAAAF3/faY=")</f>
        <v>#REF!</v>
      </c>
      <c r="FL288" t="e">
        <f>AND(#REF!,"AAAAAF3/fac=")</f>
        <v>#REF!</v>
      </c>
      <c r="FM288" t="e">
        <f>AND(#REF!,"AAAAAF3/fag=")</f>
        <v>#REF!</v>
      </c>
      <c r="FN288" t="e">
        <f>AND(#REF!,"AAAAAF3/fak=")</f>
        <v>#REF!</v>
      </c>
      <c r="FO288" t="e">
        <f>AND(#REF!,"AAAAAF3/fao=")</f>
        <v>#REF!</v>
      </c>
      <c r="FP288" t="e">
        <f>AND(#REF!,"AAAAAF3/fas=")</f>
        <v>#REF!</v>
      </c>
      <c r="FQ288" t="e">
        <f>AND(#REF!,"AAAAAF3/faw=")</f>
        <v>#REF!</v>
      </c>
      <c r="FR288" t="e">
        <f>AND(#REF!,"AAAAAF3/fa0=")</f>
        <v>#REF!</v>
      </c>
      <c r="FS288" t="e">
        <f>AND(#REF!,"AAAAAF3/fa4=")</f>
        <v>#REF!</v>
      </c>
      <c r="FT288" t="e">
        <f>AND(#REF!,"AAAAAF3/fa8=")</f>
        <v>#REF!</v>
      </c>
      <c r="FU288" t="e">
        <f>AND(#REF!,"AAAAAF3/fbA=")</f>
        <v>#REF!</v>
      </c>
      <c r="FV288" t="e">
        <f>AND(#REF!,"AAAAAF3/fbE=")</f>
        <v>#REF!</v>
      </c>
      <c r="FW288" t="e">
        <f>AND(#REF!,"AAAAAF3/fbI=")</f>
        <v>#REF!</v>
      </c>
      <c r="FX288" t="e">
        <f>AND(#REF!,"AAAAAF3/fbM=")</f>
        <v>#REF!</v>
      </c>
      <c r="FY288" t="e">
        <f>AND(#REF!,"AAAAAF3/fbQ=")</f>
        <v>#REF!</v>
      </c>
      <c r="FZ288" t="e">
        <f>AND(#REF!,"AAAAAF3/fbU=")</f>
        <v>#REF!</v>
      </c>
      <c r="GA288" t="e">
        <f>AND(#REF!,"AAAAAF3/fbY=")</f>
        <v>#REF!</v>
      </c>
      <c r="GB288" t="e">
        <f>AND(#REF!,"AAAAAF3/fbc=")</f>
        <v>#REF!</v>
      </c>
      <c r="GC288" t="e">
        <f>AND(#REF!,"AAAAAF3/fbg=")</f>
        <v>#REF!</v>
      </c>
      <c r="GD288" t="e">
        <f>AND(#REF!,"AAAAAF3/fbk=")</f>
        <v>#REF!</v>
      </c>
      <c r="GE288" t="e">
        <f>AND(#REF!,"AAAAAF3/fbo=")</f>
        <v>#REF!</v>
      </c>
      <c r="GF288" t="e">
        <f>AND(#REF!,"AAAAAF3/fbs=")</f>
        <v>#REF!</v>
      </c>
      <c r="GG288" t="e">
        <f>IF(#REF!,"AAAAAF3/fbw=",0)</f>
        <v>#REF!</v>
      </c>
      <c r="GH288" t="e">
        <f>AND(#REF!,"AAAAAF3/fb0=")</f>
        <v>#REF!</v>
      </c>
      <c r="GI288" t="e">
        <f>AND(#REF!,"AAAAAF3/fb4=")</f>
        <v>#REF!</v>
      </c>
      <c r="GJ288" t="e">
        <f>AND(#REF!,"AAAAAF3/fb8=")</f>
        <v>#REF!</v>
      </c>
      <c r="GK288" t="e">
        <f>AND(#REF!,"AAAAAF3/fcA=")</f>
        <v>#REF!</v>
      </c>
      <c r="GL288" t="e">
        <f>AND(#REF!,"AAAAAF3/fcE=")</f>
        <v>#REF!</v>
      </c>
      <c r="GM288" t="e">
        <f>AND(#REF!,"AAAAAF3/fcI=")</f>
        <v>#REF!</v>
      </c>
      <c r="GN288" t="e">
        <f>AND(#REF!,"AAAAAF3/fcM=")</f>
        <v>#REF!</v>
      </c>
      <c r="GO288" t="e">
        <f>AND(#REF!,"AAAAAF3/fcQ=")</f>
        <v>#REF!</v>
      </c>
      <c r="GP288" t="e">
        <f>AND(#REF!,"AAAAAF3/fcU=")</f>
        <v>#REF!</v>
      </c>
      <c r="GQ288" t="e">
        <f>AND(#REF!,"AAAAAF3/fcY=")</f>
        <v>#REF!</v>
      </c>
      <c r="GR288" t="e">
        <f>AND(#REF!,"AAAAAF3/fcc=")</f>
        <v>#REF!</v>
      </c>
      <c r="GS288" t="e">
        <f>AND(#REF!,"AAAAAF3/fcg=")</f>
        <v>#REF!</v>
      </c>
      <c r="GT288" t="e">
        <f>AND(#REF!,"AAAAAF3/fck=")</f>
        <v>#REF!</v>
      </c>
      <c r="GU288" t="e">
        <f>AND(#REF!,"AAAAAF3/fco=")</f>
        <v>#REF!</v>
      </c>
      <c r="GV288" t="e">
        <f>AND(#REF!,"AAAAAF3/fcs=")</f>
        <v>#REF!</v>
      </c>
      <c r="GW288" t="e">
        <f>AND(#REF!,"AAAAAF3/fcw=")</f>
        <v>#REF!</v>
      </c>
      <c r="GX288" t="e">
        <f>AND(#REF!,"AAAAAF3/fc0=")</f>
        <v>#REF!</v>
      </c>
      <c r="GY288" t="e">
        <f>AND(#REF!,"AAAAAF3/fc4=")</f>
        <v>#REF!</v>
      </c>
      <c r="GZ288" t="e">
        <f>AND(#REF!,"AAAAAF3/fc8=")</f>
        <v>#REF!</v>
      </c>
      <c r="HA288" t="e">
        <f>AND(#REF!,"AAAAAF3/fdA=")</f>
        <v>#REF!</v>
      </c>
      <c r="HB288" t="e">
        <f>AND(#REF!,"AAAAAF3/fdE=")</f>
        <v>#REF!</v>
      </c>
      <c r="HC288" t="e">
        <f>AND(#REF!,"AAAAAF3/fdI=")</f>
        <v>#REF!</v>
      </c>
      <c r="HD288" t="e">
        <f>AND(#REF!,"AAAAAF3/fdM=")</f>
        <v>#REF!</v>
      </c>
      <c r="HE288" t="e">
        <f>AND(#REF!,"AAAAAF3/fdQ=")</f>
        <v>#REF!</v>
      </c>
      <c r="HF288" t="e">
        <f>IF(#REF!,"AAAAAF3/fdU=",0)</f>
        <v>#REF!</v>
      </c>
      <c r="HG288" t="e">
        <f>AND(#REF!,"AAAAAF3/fdY=")</f>
        <v>#REF!</v>
      </c>
      <c r="HH288" t="e">
        <f>AND(#REF!,"AAAAAF3/fdc=")</f>
        <v>#REF!</v>
      </c>
      <c r="HI288" t="e">
        <f>AND(#REF!,"AAAAAF3/fdg=")</f>
        <v>#REF!</v>
      </c>
      <c r="HJ288" t="e">
        <f>AND(#REF!,"AAAAAF3/fdk=")</f>
        <v>#REF!</v>
      </c>
      <c r="HK288" t="e">
        <f>AND(#REF!,"AAAAAF3/fdo=")</f>
        <v>#REF!</v>
      </c>
      <c r="HL288" t="e">
        <f>AND(#REF!,"AAAAAF3/fds=")</f>
        <v>#REF!</v>
      </c>
      <c r="HM288" t="e">
        <f>AND(#REF!,"AAAAAF3/fdw=")</f>
        <v>#REF!</v>
      </c>
      <c r="HN288" t="e">
        <f>AND(#REF!,"AAAAAF3/fd0=")</f>
        <v>#REF!</v>
      </c>
      <c r="HO288" t="e">
        <f>AND(#REF!,"AAAAAF3/fd4=")</f>
        <v>#REF!</v>
      </c>
      <c r="HP288" t="e">
        <f>AND(#REF!,"AAAAAF3/fd8=")</f>
        <v>#REF!</v>
      </c>
      <c r="HQ288" t="e">
        <f>AND(#REF!,"AAAAAF3/feA=")</f>
        <v>#REF!</v>
      </c>
      <c r="HR288" t="e">
        <f>AND(#REF!,"AAAAAF3/feE=")</f>
        <v>#REF!</v>
      </c>
      <c r="HS288" t="e">
        <f>AND(#REF!,"AAAAAF3/feI=")</f>
        <v>#REF!</v>
      </c>
      <c r="HT288" t="e">
        <f>AND(#REF!,"AAAAAF3/feM=")</f>
        <v>#REF!</v>
      </c>
      <c r="HU288" t="e">
        <f>AND(#REF!,"AAAAAF3/feQ=")</f>
        <v>#REF!</v>
      </c>
      <c r="HV288" t="e">
        <f>AND(#REF!,"AAAAAF3/feU=")</f>
        <v>#REF!</v>
      </c>
      <c r="HW288" t="e">
        <f>AND(#REF!,"AAAAAF3/feY=")</f>
        <v>#REF!</v>
      </c>
      <c r="HX288" t="e">
        <f>AND(#REF!,"AAAAAF3/fec=")</f>
        <v>#REF!</v>
      </c>
      <c r="HY288" t="e">
        <f>AND(#REF!,"AAAAAF3/feg=")</f>
        <v>#REF!</v>
      </c>
      <c r="HZ288" t="e">
        <f>AND(#REF!,"AAAAAF3/fek=")</f>
        <v>#REF!</v>
      </c>
      <c r="IA288" t="e">
        <f>AND(#REF!,"AAAAAF3/feo=")</f>
        <v>#REF!</v>
      </c>
      <c r="IB288" t="e">
        <f>AND(#REF!,"AAAAAF3/fes=")</f>
        <v>#REF!</v>
      </c>
      <c r="IC288" t="e">
        <f>AND(#REF!,"AAAAAF3/few=")</f>
        <v>#REF!</v>
      </c>
      <c r="ID288" t="e">
        <f>AND(#REF!,"AAAAAF3/fe0=")</f>
        <v>#REF!</v>
      </c>
      <c r="IE288" t="e">
        <f>IF(#REF!,"AAAAAF3/fe4=",0)</f>
        <v>#REF!</v>
      </c>
      <c r="IF288" t="e">
        <f>AND(#REF!,"AAAAAF3/fe8=")</f>
        <v>#REF!</v>
      </c>
      <c r="IG288" t="e">
        <f>AND(#REF!,"AAAAAF3/ffA=")</f>
        <v>#REF!</v>
      </c>
      <c r="IH288" t="e">
        <f>AND(#REF!,"AAAAAF3/ffE=")</f>
        <v>#REF!</v>
      </c>
      <c r="II288" t="e">
        <f>AND(#REF!,"AAAAAF3/ffI=")</f>
        <v>#REF!</v>
      </c>
      <c r="IJ288" t="e">
        <f>AND(#REF!,"AAAAAF3/ffM=")</f>
        <v>#REF!</v>
      </c>
      <c r="IK288" t="e">
        <f>AND(#REF!,"AAAAAF3/ffQ=")</f>
        <v>#REF!</v>
      </c>
      <c r="IL288" t="e">
        <f>AND(#REF!,"AAAAAF3/ffU=")</f>
        <v>#REF!</v>
      </c>
      <c r="IM288" t="e">
        <f>AND(#REF!,"AAAAAF3/ffY=")</f>
        <v>#REF!</v>
      </c>
      <c r="IN288" t="e">
        <f>AND(#REF!,"AAAAAF3/ffc=")</f>
        <v>#REF!</v>
      </c>
      <c r="IO288" t="e">
        <f>AND(#REF!,"AAAAAF3/ffg=")</f>
        <v>#REF!</v>
      </c>
      <c r="IP288" t="e">
        <f>AND(#REF!,"AAAAAF3/ffk=")</f>
        <v>#REF!</v>
      </c>
      <c r="IQ288" t="e">
        <f>AND(#REF!,"AAAAAF3/ffo=")</f>
        <v>#REF!</v>
      </c>
      <c r="IR288" t="e">
        <f>AND(#REF!,"AAAAAF3/ffs=")</f>
        <v>#REF!</v>
      </c>
      <c r="IS288" t="e">
        <f>AND(#REF!,"AAAAAF3/ffw=")</f>
        <v>#REF!</v>
      </c>
      <c r="IT288" t="e">
        <f>AND(#REF!,"AAAAAF3/ff0=")</f>
        <v>#REF!</v>
      </c>
      <c r="IU288" t="e">
        <f>AND(#REF!,"AAAAAF3/ff4=")</f>
        <v>#REF!</v>
      </c>
      <c r="IV288" t="e">
        <f>AND(#REF!,"AAAAAF3/ff8=")</f>
        <v>#REF!</v>
      </c>
    </row>
    <row r="289" spans="1:256">
      <c r="A289" t="e">
        <f>AND(#REF!,"AAAAAD37cwA=")</f>
        <v>#REF!</v>
      </c>
      <c r="B289" t="e">
        <f>AND(#REF!,"AAAAAD37cwE=")</f>
        <v>#REF!</v>
      </c>
      <c r="C289" t="e">
        <f>AND(#REF!,"AAAAAD37cwI=")</f>
        <v>#REF!</v>
      </c>
      <c r="D289" t="e">
        <f>AND(#REF!,"AAAAAD37cwM=")</f>
        <v>#REF!</v>
      </c>
      <c r="E289" t="e">
        <f>AND(#REF!,"AAAAAD37cwQ=")</f>
        <v>#REF!</v>
      </c>
      <c r="F289" t="e">
        <f>AND(#REF!,"AAAAAD37cwU=")</f>
        <v>#REF!</v>
      </c>
      <c r="G289" t="e">
        <f>AND(#REF!,"AAAAAD37cwY=")</f>
        <v>#REF!</v>
      </c>
      <c r="H289" t="e">
        <f>IF(#REF!,"AAAAAD37cwc=",0)</f>
        <v>#REF!</v>
      </c>
      <c r="I289" t="e">
        <f>AND(#REF!,"AAAAAD37cwg=")</f>
        <v>#REF!</v>
      </c>
      <c r="J289" t="e">
        <f>AND(#REF!,"AAAAAD37cwk=")</f>
        <v>#REF!</v>
      </c>
      <c r="K289" t="e">
        <f>AND(#REF!,"AAAAAD37cwo=")</f>
        <v>#REF!</v>
      </c>
      <c r="L289" t="e">
        <f>AND(#REF!,"AAAAAD37cws=")</f>
        <v>#REF!</v>
      </c>
      <c r="M289" t="e">
        <f>AND(#REF!,"AAAAAD37cww=")</f>
        <v>#REF!</v>
      </c>
      <c r="N289" t="e">
        <f>AND(#REF!,"AAAAAD37cw0=")</f>
        <v>#REF!</v>
      </c>
      <c r="O289" t="e">
        <f>AND(#REF!,"AAAAAD37cw4=")</f>
        <v>#REF!</v>
      </c>
      <c r="P289" t="e">
        <f>AND(#REF!,"AAAAAD37cw8=")</f>
        <v>#REF!</v>
      </c>
      <c r="Q289" t="e">
        <f>AND(#REF!,"AAAAAD37cxA=")</f>
        <v>#REF!</v>
      </c>
      <c r="R289" t="e">
        <f>AND(#REF!,"AAAAAD37cxE=")</f>
        <v>#REF!</v>
      </c>
      <c r="S289" t="e">
        <f>AND(#REF!,"AAAAAD37cxI=")</f>
        <v>#REF!</v>
      </c>
      <c r="T289" t="e">
        <f>AND(#REF!,"AAAAAD37cxM=")</f>
        <v>#REF!</v>
      </c>
      <c r="U289" t="e">
        <f>AND(#REF!,"AAAAAD37cxQ=")</f>
        <v>#REF!</v>
      </c>
      <c r="V289" t="e">
        <f>AND(#REF!,"AAAAAD37cxU=")</f>
        <v>#REF!</v>
      </c>
      <c r="W289" t="e">
        <f>AND(#REF!,"AAAAAD37cxY=")</f>
        <v>#REF!</v>
      </c>
      <c r="X289" t="e">
        <f>AND(#REF!,"AAAAAD37cxc=")</f>
        <v>#REF!</v>
      </c>
      <c r="Y289" t="e">
        <f>AND(#REF!,"AAAAAD37cxg=")</f>
        <v>#REF!</v>
      </c>
      <c r="Z289" t="e">
        <f>AND(#REF!,"AAAAAD37cxk=")</f>
        <v>#REF!</v>
      </c>
      <c r="AA289" t="e">
        <f>AND(#REF!,"AAAAAD37cxo=")</f>
        <v>#REF!</v>
      </c>
      <c r="AB289" t="e">
        <f>AND(#REF!,"AAAAAD37cxs=")</f>
        <v>#REF!</v>
      </c>
      <c r="AC289" t="e">
        <f>AND(#REF!,"AAAAAD37cxw=")</f>
        <v>#REF!</v>
      </c>
      <c r="AD289" t="e">
        <f>AND(#REF!,"AAAAAD37cx0=")</f>
        <v>#REF!</v>
      </c>
      <c r="AE289" t="e">
        <f>AND(#REF!,"AAAAAD37cx4=")</f>
        <v>#REF!</v>
      </c>
      <c r="AF289" t="e">
        <f>AND(#REF!,"AAAAAD37cx8=")</f>
        <v>#REF!</v>
      </c>
      <c r="AG289" t="e">
        <f>IF(#REF!,"AAAAAD37cyA=",0)</f>
        <v>#REF!</v>
      </c>
      <c r="AH289" t="e">
        <f>AND(#REF!,"AAAAAD37cyE=")</f>
        <v>#REF!</v>
      </c>
      <c r="AI289" t="e">
        <f>AND(#REF!,"AAAAAD37cyI=")</f>
        <v>#REF!</v>
      </c>
      <c r="AJ289" t="e">
        <f>AND(#REF!,"AAAAAD37cyM=")</f>
        <v>#REF!</v>
      </c>
      <c r="AK289" t="e">
        <f>AND(#REF!,"AAAAAD37cyQ=")</f>
        <v>#REF!</v>
      </c>
      <c r="AL289" t="e">
        <f>AND(#REF!,"AAAAAD37cyU=")</f>
        <v>#REF!</v>
      </c>
      <c r="AM289" t="e">
        <f>AND(#REF!,"AAAAAD37cyY=")</f>
        <v>#REF!</v>
      </c>
      <c r="AN289" t="e">
        <f>AND(#REF!,"AAAAAD37cyc=")</f>
        <v>#REF!</v>
      </c>
      <c r="AO289" t="e">
        <f>AND(#REF!,"AAAAAD37cyg=")</f>
        <v>#REF!</v>
      </c>
      <c r="AP289" t="e">
        <f>AND(#REF!,"AAAAAD37cyk=")</f>
        <v>#REF!</v>
      </c>
      <c r="AQ289" t="e">
        <f>AND(#REF!,"AAAAAD37cyo=")</f>
        <v>#REF!</v>
      </c>
      <c r="AR289" t="e">
        <f>AND(#REF!,"AAAAAD37cys=")</f>
        <v>#REF!</v>
      </c>
      <c r="AS289" t="e">
        <f>AND(#REF!,"AAAAAD37cyw=")</f>
        <v>#REF!</v>
      </c>
      <c r="AT289" t="e">
        <f>AND(#REF!,"AAAAAD37cy0=")</f>
        <v>#REF!</v>
      </c>
      <c r="AU289" t="e">
        <f>AND(#REF!,"AAAAAD37cy4=")</f>
        <v>#REF!</v>
      </c>
      <c r="AV289" t="e">
        <f>AND(#REF!,"AAAAAD37cy8=")</f>
        <v>#REF!</v>
      </c>
      <c r="AW289" t="e">
        <f>AND(#REF!,"AAAAAD37czA=")</f>
        <v>#REF!</v>
      </c>
      <c r="AX289" t="e">
        <f>AND(#REF!,"AAAAAD37czE=")</f>
        <v>#REF!</v>
      </c>
      <c r="AY289" t="e">
        <f>AND(#REF!,"AAAAAD37czI=")</f>
        <v>#REF!</v>
      </c>
      <c r="AZ289" t="e">
        <f>AND(#REF!,"AAAAAD37czM=")</f>
        <v>#REF!</v>
      </c>
      <c r="BA289" t="e">
        <f>AND(#REF!,"AAAAAD37czQ=")</f>
        <v>#REF!</v>
      </c>
      <c r="BB289" t="e">
        <f>AND(#REF!,"AAAAAD37czU=")</f>
        <v>#REF!</v>
      </c>
      <c r="BC289" t="e">
        <f>AND(#REF!,"AAAAAD37czY=")</f>
        <v>#REF!</v>
      </c>
      <c r="BD289" t="e">
        <f>AND(#REF!,"AAAAAD37czc=")</f>
        <v>#REF!</v>
      </c>
      <c r="BE289" t="e">
        <f>AND(#REF!,"AAAAAD37czg=")</f>
        <v>#REF!</v>
      </c>
      <c r="BF289" t="e">
        <f>IF(#REF!,"AAAAAD37czk=",0)</f>
        <v>#REF!</v>
      </c>
      <c r="BG289" t="e">
        <f>AND(#REF!,"AAAAAD37czo=")</f>
        <v>#REF!</v>
      </c>
      <c r="BH289" t="e">
        <f>AND(#REF!,"AAAAAD37czs=")</f>
        <v>#REF!</v>
      </c>
      <c r="BI289" t="e">
        <f>AND(#REF!,"AAAAAD37czw=")</f>
        <v>#REF!</v>
      </c>
      <c r="BJ289" t="e">
        <f>AND(#REF!,"AAAAAD37cz0=")</f>
        <v>#REF!</v>
      </c>
      <c r="BK289" t="e">
        <f>AND(#REF!,"AAAAAD37cz4=")</f>
        <v>#REF!</v>
      </c>
      <c r="BL289" t="e">
        <f>AND(#REF!,"AAAAAD37cz8=")</f>
        <v>#REF!</v>
      </c>
      <c r="BM289" t="e">
        <f>AND(#REF!,"AAAAAD37c0A=")</f>
        <v>#REF!</v>
      </c>
      <c r="BN289" t="e">
        <f>AND(#REF!,"AAAAAD37c0E=")</f>
        <v>#REF!</v>
      </c>
      <c r="BO289" t="e">
        <f>AND(#REF!,"AAAAAD37c0I=")</f>
        <v>#REF!</v>
      </c>
      <c r="BP289" t="e">
        <f>AND(#REF!,"AAAAAD37c0M=")</f>
        <v>#REF!</v>
      </c>
      <c r="BQ289" t="e">
        <f>AND(#REF!,"AAAAAD37c0Q=")</f>
        <v>#REF!</v>
      </c>
      <c r="BR289" t="e">
        <f>AND(#REF!,"AAAAAD37c0U=")</f>
        <v>#REF!</v>
      </c>
      <c r="BS289" t="e">
        <f>AND(#REF!,"AAAAAD37c0Y=")</f>
        <v>#REF!</v>
      </c>
      <c r="BT289" t="e">
        <f>AND(#REF!,"AAAAAD37c0c=")</f>
        <v>#REF!</v>
      </c>
      <c r="BU289" t="e">
        <f>AND(#REF!,"AAAAAD37c0g=")</f>
        <v>#REF!</v>
      </c>
      <c r="BV289" t="e">
        <f>AND(#REF!,"AAAAAD37c0k=")</f>
        <v>#REF!</v>
      </c>
      <c r="BW289" t="e">
        <f>AND(#REF!,"AAAAAD37c0o=")</f>
        <v>#REF!</v>
      </c>
      <c r="BX289" t="e">
        <f>AND(#REF!,"AAAAAD37c0s=")</f>
        <v>#REF!</v>
      </c>
      <c r="BY289" t="e">
        <f>AND(#REF!,"AAAAAD37c0w=")</f>
        <v>#REF!</v>
      </c>
      <c r="BZ289" t="e">
        <f>AND(#REF!,"AAAAAD37c00=")</f>
        <v>#REF!</v>
      </c>
      <c r="CA289" t="e">
        <f>AND(#REF!,"AAAAAD37c04=")</f>
        <v>#REF!</v>
      </c>
      <c r="CB289" t="e">
        <f>AND(#REF!,"AAAAAD37c08=")</f>
        <v>#REF!</v>
      </c>
      <c r="CC289" t="e">
        <f>AND(#REF!,"AAAAAD37c1A=")</f>
        <v>#REF!</v>
      </c>
      <c r="CD289" t="e">
        <f>AND(#REF!,"AAAAAD37c1E=")</f>
        <v>#REF!</v>
      </c>
      <c r="CE289" t="e">
        <f>IF(#REF!,"AAAAAD37c1I=",0)</f>
        <v>#REF!</v>
      </c>
      <c r="CF289" t="e">
        <f>AND(#REF!,"AAAAAD37c1M=")</f>
        <v>#REF!</v>
      </c>
      <c r="CG289" t="e">
        <f>AND(#REF!,"AAAAAD37c1Q=")</f>
        <v>#REF!</v>
      </c>
      <c r="CH289" t="e">
        <f>AND(#REF!,"AAAAAD37c1U=")</f>
        <v>#REF!</v>
      </c>
      <c r="CI289" t="e">
        <f>AND(#REF!,"AAAAAD37c1Y=")</f>
        <v>#REF!</v>
      </c>
      <c r="CJ289" t="e">
        <f>AND(#REF!,"AAAAAD37c1c=")</f>
        <v>#REF!</v>
      </c>
      <c r="CK289" t="e">
        <f>AND(#REF!,"AAAAAD37c1g=")</f>
        <v>#REF!</v>
      </c>
      <c r="CL289" t="e">
        <f>AND(#REF!,"AAAAAD37c1k=")</f>
        <v>#REF!</v>
      </c>
      <c r="CM289" t="e">
        <f>AND(#REF!,"AAAAAD37c1o=")</f>
        <v>#REF!</v>
      </c>
      <c r="CN289" t="e">
        <f>AND(#REF!,"AAAAAD37c1s=")</f>
        <v>#REF!</v>
      </c>
      <c r="CO289" t="e">
        <f>AND(#REF!,"AAAAAD37c1w=")</f>
        <v>#REF!</v>
      </c>
      <c r="CP289" t="e">
        <f>AND(#REF!,"AAAAAD37c10=")</f>
        <v>#REF!</v>
      </c>
      <c r="CQ289" t="e">
        <f>AND(#REF!,"AAAAAD37c14=")</f>
        <v>#REF!</v>
      </c>
      <c r="CR289" t="e">
        <f>AND(#REF!,"AAAAAD37c18=")</f>
        <v>#REF!</v>
      </c>
      <c r="CS289" t="e">
        <f>AND(#REF!,"AAAAAD37c2A=")</f>
        <v>#REF!</v>
      </c>
      <c r="CT289" t="e">
        <f>AND(#REF!,"AAAAAD37c2E=")</f>
        <v>#REF!</v>
      </c>
      <c r="CU289" t="e">
        <f>AND(#REF!,"AAAAAD37c2I=")</f>
        <v>#REF!</v>
      </c>
      <c r="CV289" t="e">
        <f>AND(#REF!,"AAAAAD37c2M=")</f>
        <v>#REF!</v>
      </c>
      <c r="CW289" t="e">
        <f>AND(#REF!,"AAAAAD37c2Q=")</f>
        <v>#REF!</v>
      </c>
      <c r="CX289" t="e">
        <f>AND(#REF!,"AAAAAD37c2U=")</f>
        <v>#REF!</v>
      </c>
      <c r="CY289" t="e">
        <f>AND(#REF!,"AAAAAD37c2Y=")</f>
        <v>#REF!</v>
      </c>
      <c r="CZ289" t="e">
        <f>AND(#REF!,"AAAAAD37c2c=")</f>
        <v>#REF!</v>
      </c>
      <c r="DA289" t="e">
        <f>AND(#REF!,"AAAAAD37c2g=")</f>
        <v>#REF!</v>
      </c>
      <c r="DB289" t="e">
        <f>AND(#REF!,"AAAAAD37c2k=")</f>
        <v>#REF!</v>
      </c>
      <c r="DC289" t="e">
        <f>AND(#REF!,"AAAAAD37c2o=")</f>
        <v>#REF!</v>
      </c>
      <c r="DD289" t="e">
        <f>IF(#REF!,"AAAAAD37c2s=",0)</f>
        <v>#REF!</v>
      </c>
      <c r="DE289" t="e">
        <f>AND(#REF!,"AAAAAD37c2w=")</f>
        <v>#REF!</v>
      </c>
      <c r="DF289" t="e">
        <f>AND(#REF!,"AAAAAD37c20=")</f>
        <v>#REF!</v>
      </c>
      <c r="DG289" t="e">
        <f>AND(#REF!,"AAAAAD37c24=")</f>
        <v>#REF!</v>
      </c>
      <c r="DH289" t="e">
        <f>AND(#REF!,"AAAAAD37c28=")</f>
        <v>#REF!</v>
      </c>
      <c r="DI289" t="e">
        <f>AND(#REF!,"AAAAAD37c3A=")</f>
        <v>#REF!</v>
      </c>
      <c r="DJ289" t="e">
        <f>AND(#REF!,"AAAAAD37c3E=")</f>
        <v>#REF!</v>
      </c>
      <c r="DK289" t="e">
        <f>AND(#REF!,"AAAAAD37c3I=")</f>
        <v>#REF!</v>
      </c>
      <c r="DL289" t="e">
        <f>AND(#REF!,"AAAAAD37c3M=")</f>
        <v>#REF!</v>
      </c>
      <c r="DM289" t="e">
        <f>AND(#REF!,"AAAAAD37c3Q=")</f>
        <v>#REF!</v>
      </c>
      <c r="DN289" t="e">
        <f>AND(#REF!,"AAAAAD37c3U=")</f>
        <v>#REF!</v>
      </c>
      <c r="DO289" t="e">
        <f>AND(#REF!,"AAAAAD37c3Y=")</f>
        <v>#REF!</v>
      </c>
      <c r="DP289" t="e">
        <f>AND(#REF!,"AAAAAD37c3c=")</f>
        <v>#REF!</v>
      </c>
      <c r="DQ289" t="e">
        <f>AND(#REF!,"AAAAAD37c3g=")</f>
        <v>#REF!</v>
      </c>
      <c r="DR289" t="e">
        <f>AND(#REF!,"AAAAAD37c3k=")</f>
        <v>#REF!</v>
      </c>
      <c r="DS289" t="e">
        <f>AND(#REF!,"AAAAAD37c3o=")</f>
        <v>#REF!</v>
      </c>
      <c r="DT289" t="e">
        <f>AND(#REF!,"AAAAAD37c3s=")</f>
        <v>#REF!</v>
      </c>
      <c r="DU289" t="e">
        <f>AND(#REF!,"AAAAAD37c3w=")</f>
        <v>#REF!</v>
      </c>
      <c r="DV289" t="e">
        <f>AND(#REF!,"AAAAAD37c30=")</f>
        <v>#REF!</v>
      </c>
      <c r="DW289" t="e">
        <f>AND(#REF!,"AAAAAD37c34=")</f>
        <v>#REF!</v>
      </c>
      <c r="DX289" t="e">
        <f>AND(#REF!,"AAAAAD37c38=")</f>
        <v>#REF!</v>
      </c>
      <c r="DY289" t="e">
        <f>AND(#REF!,"AAAAAD37c4A=")</f>
        <v>#REF!</v>
      </c>
      <c r="DZ289" t="e">
        <f>AND(#REF!,"AAAAAD37c4E=")</f>
        <v>#REF!</v>
      </c>
      <c r="EA289" t="e">
        <f>AND(#REF!,"AAAAAD37c4I=")</f>
        <v>#REF!</v>
      </c>
      <c r="EB289" t="e">
        <f>AND(#REF!,"AAAAAD37c4M=")</f>
        <v>#REF!</v>
      </c>
      <c r="EC289" t="e">
        <f>IF(#REF!,"AAAAAD37c4Q=",0)</f>
        <v>#REF!</v>
      </c>
      <c r="ED289" t="e">
        <f>AND(#REF!,"AAAAAD37c4U=")</f>
        <v>#REF!</v>
      </c>
      <c r="EE289" t="e">
        <f>AND(#REF!,"AAAAAD37c4Y=")</f>
        <v>#REF!</v>
      </c>
      <c r="EF289" t="e">
        <f>AND(#REF!,"AAAAAD37c4c=")</f>
        <v>#REF!</v>
      </c>
      <c r="EG289" t="e">
        <f>AND(#REF!,"AAAAAD37c4g=")</f>
        <v>#REF!</v>
      </c>
      <c r="EH289" t="e">
        <f>AND(#REF!,"AAAAAD37c4k=")</f>
        <v>#REF!</v>
      </c>
      <c r="EI289" t="e">
        <f>AND(#REF!,"AAAAAD37c4o=")</f>
        <v>#REF!</v>
      </c>
      <c r="EJ289" t="e">
        <f>AND(#REF!,"AAAAAD37c4s=")</f>
        <v>#REF!</v>
      </c>
      <c r="EK289" t="e">
        <f>AND(#REF!,"AAAAAD37c4w=")</f>
        <v>#REF!</v>
      </c>
      <c r="EL289" t="e">
        <f>AND(#REF!,"AAAAAD37c40=")</f>
        <v>#REF!</v>
      </c>
      <c r="EM289" t="e">
        <f>AND(#REF!,"AAAAAD37c44=")</f>
        <v>#REF!</v>
      </c>
      <c r="EN289" t="e">
        <f>AND(#REF!,"AAAAAD37c48=")</f>
        <v>#REF!</v>
      </c>
      <c r="EO289" t="e">
        <f>AND(#REF!,"AAAAAD37c5A=")</f>
        <v>#REF!</v>
      </c>
      <c r="EP289" t="e">
        <f>AND(#REF!,"AAAAAD37c5E=")</f>
        <v>#REF!</v>
      </c>
      <c r="EQ289" t="e">
        <f>AND(#REF!,"AAAAAD37c5I=")</f>
        <v>#REF!</v>
      </c>
      <c r="ER289" t="e">
        <f>AND(#REF!,"AAAAAD37c5M=")</f>
        <v>#REF!</v>
      </c>
      <c r="ES289" t="e">
        <f>AND(#REF!,"AAAAAD37c5Q=")</f>
        <v>#REF!</v>
      </c>
      <c r="ET289" t="e">
        <f>AND(#REF!,"AAAAAD37c5U=")</f>
        <v>#REF!</v>
      </c>
      <c r="EU289" t="e">
        <f>AND(#REF!,"AAAAAD37c5Y=")</f>
        <v>#REF!</v>
      </c>
      <c r="EV289" t="e">
        <f>AND(#REF!,"AAAAAD37c5c=")</f>
        <v>#REF!</v>
      </c>
      <c r="EW289" t="e">
        <f>AND(#REF!,"AAAAAD37c5g=")</f>
        <v>#REF!</v>
      </c>
      <c r="EX289" t="e">
        <f>AND(#REF!,"AAAAAD37c5k=")</f>
        <v>#REF!</v>
      </c>
      <c r="EY289" t="e">
        <f>AND(#REF!,"AAAAAD37c5o=")</f>
        <v>#REF!</v>
      </c>
      <c r="EZ289" t="e">
        <f>AND(#REF!,"AAAAAD37c5s=")</f>
        <v>#REF!</v>
      </c>
      <c r="FA289" t="e">
        <f>AND(#REF!,"AAAAAD37c5w=")</f>
        <v>#REF!</v>
      </c>
      <c r="FB289" t="e">
        <f>IF(#REF!,"AAAAAD37c50=",0)</f>
        <v>#REF!</v>
      </c>
      <c r="FC289" t="e">
        <f>AND(#REF!,"AAAAAD37c54=")</f>
        <v>#REF!</v>
      </c>
      <c r="FD289" t="e">
        <f>AND(#REF!,"AAAAAD37c58=")</f>
        <v>#REF!</v>
      </c>
      <c r="FE289" t="e">
        <f>AND(#REF!,"AAAAAD37c6A=")</f>
        <v>#REF!</v>
      </c>
      <c r="FF289" t="e">
        <f>AND(#REF!,"AAAAAD37c6E=")</f>
        <v>#REF!</v>
      </c>
      <c r="FG289" t="e">
        <f>AND(#REF!,"AAAAAD37c6I=")</f>
        <v>#REF!</v>
      </c>
      <c r="FH289" t="e">
        <f>AND(#REF!,"AAAAAD37c6M=")</f>
        <v>#REF!</v>
      </c>
      <c r="FI289" t="e">
        <f>AND(#REF!,"AAAAAD37c6Q=")</f>
        <v>#REF!</v>
      </c>
      <c r="FJ289" t="e">
        <f>AND(#REF!,"AAAAAD37c6U=")</f>
        <v>#REF!</v>
      </c>
      <c r="FK289" t="e">
        <f>AND(#REF!,"AAAAAD37c6Y=")</f>
        <v>#REF!</v>
      </c>
      <c r="FL289" t="e">
        <f>AND(#REF!,"AAAAAD37c6c=")</f>
        <v>#REF!</v>
      </c>
      <c r="FM289" t="e">
        <f>AND(#REF!,"AAAAAD37c6g=")</f>
        <v>#REF!</v>
      </c>
      <c r="FN289" t="e">
        <f>AND(#REF!,"AAAAAD37c6k=")</f>
        <v>#REF!</v>
      </c>
      <c r="FO289" t="e">
        <f>AND(#REF!,"AAAAAD37c6o=")</f>
        <v>#REF!</v>
      </c>
      <c r="FP289" t="e">
        <f>AND(#REF!,"AAAAAD37c6s=")</f>
        <v>#REF!</v>
      </c>
      <c r="FQ289" t="e">
        <f>AND(#REF!,"AAAAAD37c6w=")</f>
        <v>#REF!</v>
      </c>
      <c r="FR289" t="e">
        <f>AND(#REF!,"AAAAAD37c60=")</f>
        <v>#REF!</v>
      </c>
      <c r="FS289" t="e">
        <f>AND(#REF!,"AAAAAD37c64=")</f>
        <v>#REF!</v>
      </c>
      <c r="FT289" t="e">
        <f>AND(#REF!,"AAAAAD37c68=")</f>
        <v>#REF!</v>
      </c>
      <c r="FU289" t="e">
        <f>AND(#REF!,"AAAAAD37c7A=")</f>
        <v>#REF!</v>
      </c>
      <c r="FV289" t="e">
        <f>AND(#REF!,"AAAAAD37c7E=")</f>
        <v>#REF!</v>
      </c>
      <c r="FW289" t="e">
        <f>AND(#REF!,"AAAAAD37c7I=")</f>
        <v>#REF!</v>
      </c>
      <c r="FX289" t="e">
        <f>AND(#REF!,"AAAAAD37c7M=")</f>
        <v>#REF!</v>
      </c>
      <c r="FY289" t="e">
        <f>AND(#REF!,"AAAAAD37c7Q=")</f>
        <v>#REF!</v>
      </c>
      <c r="FZ289" t="e">
        <f>AND(#REF!,"AAAAAD37c7U=")</f>
        <v>#REF!</v>
      </c>
      <c r="GA289" t="e">
        <f>IF(#REF!,"AAAAAD37c7Y=",0)</f>
        <v>#REF!</v>
      </c>
      <c r="GB289" t="e">
        <f>AND(#REF!,"AAAAAD37c7c=")</f>
        <v>#REF!</v>
      </c>
      <c r="GC289" t="e">
        <f>AND(#REF!,"AAAAAD37c7g=")</f>
        <v>#REF!</v>
      </c>
      <c r="GD289" t="e">
        <f>AND(#REF!,"AAAAAD37c7k=")</f>
        <v>#REF!</v>
      </c>
      <c r="GE289" t="e">
        <f>AND(#REF!,"AAAAAD37c7o=")</f>
        <v>#REF!</v>
      </c>
      <c r="GF289" t="e">
        <f>AND(#REF!,"AAAAAD37c7s=")</f>
        <v>#REF!</v>
      </c>
      <c r="GG289" t="e">
        <f>AND(#REF!,"AAAAAD37c7w=")</f>
        <v>#REF!</v>
      </c>
      <c r="GH289" t="e">
        <f>AND(#REF!,"AAAAAD37c70=")</f>
        <v>#REF!</v>
      </c>
      <c r="GI289" t="e">
        <f>AND(#REF!,"AAAAAD37c74=")</f>
        <v>#REF!</v>
      </c>
      <c r="GJ289" t="e">
        <f>AND(#REF!,"AAAAAD37c78=")</f>
        <v>#REF!</v>
      </c>
      <c r="GK289" t="e">
        <f>AND(#REF!,"AAAAAD37c8A=")</f>
        <v>#REF!</v>
      </c>
      <c r="GL289" t="e">
        <f>AND(#REF!,"AAAAAD37c8E=")</f>
        <v>#REF!</v>
      </c>
      <c r="GM289" t="e">
        <f>AND(#REF!,"AAAAAD37c8I=")</f>
        <v>#REF!</v>
      </c>
      <c r="GN289" t="e">
        <f>AND(#REF!,"AAAAAD37c8M=")</f>
        <v>#REF!</v>
      </c>
      <c r="GO289" t="e">
        <f>AND(#REF!,"AAAAAD37c8Q=")</f>
        <v>#REF!</v>
      </c>
      <c r="GP289" t="e">
        <f>AND(#REF!,"AAAAAD37c8U=")</f>
        <v>#REF!</v>
      </c>
      <c r="GQ289" t="e">
        <f>AND(#REF!,"AAAAAD37c8Y=")</f>
        <v>#REF!</v>
      </c>
      <c r="GR289" t="e">
        <f>AND(#REF!,"AAAAAD37c8c=")</f>
        <v>#REF!</v>
      </c>
      <c r="GS289" t="e">
        <f>AND(#REF!,"AAAAAD37c8g=")</f>
        <v>#REF!</v>
      </c>
      <c r="GT289" t="e">
        <f>AND(#REF!,"AAAAAD37c8k=")</f>
        <v>#REF!</v>
      </c>
      <c r="GU289" t="e">
        <f>AND(#REF!,"AAAAAD37c8o=")</f>
        <v>#REF!</v>
      </c>
      <c r="GV289" t="e">
        <f>AND(#REF!,"AAAAAD37c8s=")</f>
        <v>#REF!</v>
      </c>
      <c r="GW289" t="e">
        <f>AND(#REF!,"AAAAAD37c8w=")</f>
        <v>#REF!</v>
      </c>
      <c r="GX289" t="e">
        <f>AND(#REF!,"AAAAAD37c80=")</f>
        <v>#REF!</v>
      </c>
      <c r="GY289" t="e">
        <f>AND(#REF!,"AAAAAD37c84=")</f>
        <v>#REF!</v>
      </c>
      <c r="GZ289" t="e">
        <f>IF(#REF!,"AAAAAD37c88=",0)</f>
        <v>#REF!</v>
      </c>
      <c r="HA289" t="e">
        <f>AND(#REF!,"AAAAAD37c9A=")</f>
        <v>#REF!</v>
      </c>
      <c r="HB289" t="e">
        <f>AND(#REF!,"AAAAAD37c9E=")</f>
        <v>#REF!</v>
      </c>
      <c r="HC289" t="e">
        <f>AND(#REF!,"AAAAAD37c9I=")</f>
        <v>#REF!</v>
      </c>
      <c r="HD289" t="e">
        <f>AND(#REF!,"AAAAAD37c9M=")</f>
        <v>#REF!</v>
      </c>
      <c r="HE289" t="e">
        <f>AND(#REF!,"AAAAAD37c9Q=")</f>
        <v>#REF!</v>
      </c>
      <c r="HF289" t="e">
        <f>AND(#REF!,"AAAAAD37c9U=")</f>
        <v>#REF!</v>
      </c>
      <c r="HG289" t="e">
        <f>AND(#REF!,"AAAAAD37c9Y=")</f>
        <v>#REF!</v>
      </c>
      <c r="HH289" t="e">
        <f>AND(#REF!,"AAAAAD37c9c=")</f>
        <v>#REF!</v>
      </c>
      <c r="HI289" t="e">
        <f>AND(#REF!,"AAAAAD37c9g=")</f>
        <v>#REF!</v>
      </c>
      <c r="HJ289" t="e">
        <f>AND(#REF!,"AAAAAD37c9k=")</f>
        <v>#REF!</v>
      </c>
      <c r="HK289" t="e">
        <f>AND(#REF!,"AAAAAD37c9o=")</f>
        <v>#REF!</v>
      </c>
      <c r="HL289" t="e">
        <f>AND(#REF!,"AAAAAD37c9s=")</f>
        <v>#REF!</v>
      </c>
      <c r="HM289" t="e">
        <f>AND(#REF!,"AAAAAD37c9w=")</f>
        <v>#REF!</v>
      </c>
      <c r="HN289" t="e">
        <f>AND(#REF!,"AAAAAD37c90=")</f>
        <v>#REF!</v>
      </c>
      <c r="HO289" t="e">
        <f>AND(#REF!,"AAAAAD37c94=")</f>
        <v>#REF!</v>
      </c>
      <c r="HP289" t="e">
        <f>AND(#REF!,"AAAAAD37c98=")</f>
        <v>#REF!</v>
      </c>
      <c r="HQ289" t="e">
        <f>AND(#REF!,"AAAAAD37c+A=")</f>
        <v>#REF!</v>
      </c>
      <c r="HR289" t="e">
        <f>AND(#REF!,"AAAAAD37c+E=")</f>
        <v>#REF!</v>
      </c>
      <c r="HS289" t="e">
        <f>AND(#REF!,"AAAAAD37c+I=")</f>
        <v>#REF!</v>
      </c>
      <c r="HT289" t="e">
        <f>AND(#REF!,"AAAAAD37c+M=")</f>
        <v>#REF!</v>
      </c>
      <c r="HU289" t="e">
        <f>AND(#REF!,"AAAAAD37c+Q=")</f>
        <v>#REF!</v>
      </c>
      <c r="HV289" t="e">
        <f>AND(#REF!,"AAAAAD37c+U=")</f>
        <v>#REF!</v>
      </c>
      <c r="HW289" t="e">
        <f>AND(#REF!,"AAAAAD37c+Y=")</f>
        <v>#REF!</v>
      </c>
      <c r="HX289" t="e">
        <f>AND(#REF!,"AAAAAD37c+c=")</f>
        <v>#REF!</v>
      </c>
      <c r="HY289" t="e">
        <f>IF(#REF!,"AAAAAD37c+g=",0)</f>
        <v>#REF!</v>
      </c>
      <c r="HZ289" t="e">
        <f>AND(#REF!,"AAAAAD37c+k=")</f>
        <v>#REF!</v>
      </c>
      <c r="IA289" t="e">
        <f>AND(#REF!,"AAAAAD37c+o=")</f>
        <v>#REF!</v>
      </c>
      <c r="IB289" t="e">
        <f>AND(#REF!,"AAAAAD37c+s=")</f>
        <v>#REF!</v>
      </c>
      <c r="IC289" t="e">
        <f>AND(#REF!,"AAAAAD37c+w=")</f>
        <v>#REF!</v>
      </c>
      <c r="ID289" t="e">
        <f>AND(#REF!,"AAAAAD37c+0=")</f>
        <v>#REF!</v>
      </c>
      <c r="IE289" t="e">
        <f>AND(#REF!,"AAAAAD37c+4=")</f>
        <v>#REF!</v>
      </c>
      <c r="IF289" t="e">
        <f>AND(#REF!,"AAAAAD37c+8=")</f>
        <v>#REF!</v>
      </c>
      <c r="IG289" t="e">
        <f>AND(#REF!,"AAAAAD37c/A=")</f>
        <v>#REF!</v>
      </c>
      <c r="IH289" t="e">
        <f>AND(#REF!,"AAAAAD37c/E=")</f>
        <v>#REF!</v>
      </c>
      <c r="II289" t="e">
        <f>AND(#REF!,"AAAAAD37c/I=")</f>
        <v>#REF!</v>
      </c>
      <c r="IJ289" t="e">
        <f>AND(#REF!,"AAAAAD37c/M=")</f>
        <v>#REF!</v>
      </c>
      <c r="IK289" t="e">
        <f>AND(#REF!,"AAAAAD37c/Q=")</f>
        <v>#REF!</v>
      </c>
      <c r="IL289" t="e">
        <f>AND(#REF!,"AAAAAD37c/U=")</f>
        <v>#REF!</v>
      </c>
      <c r="IM289" t="e">
        <f>AND(#REF!,"AAAAAD37c/Y=")</f>
        <v>#REF!</v>
      </c>
      <c r="IN289" t="e">
        <f>AND(#REF!,"AAAAAD37c/c=")</f>
        <v>#REF!</v>
      </c>
      <c r="IO289" t="e">
        <f>AND(#REF!,"AAAAAD37c/g=")</f>
        <v>#REF!</v>
      </c>
      <c r="IP289" t="e">
        <f>AND(#REF!,"AAAAAD37c/k=")</f>
        <v>#REF!</v>
      </c>
      <c r="IQ289" t="e">
        <f>AND(#REF!,"AAAAAD37c/o=")</f>
        <v>#REF!</v>
      </c>
      <c r="IR289" t="e">
        <f>AND(#REF!,"AAAAAD37c/s=")</f>
        <v>#REF!</v>
      </c>
      <c r="IS289" t="e">
        <f>AND(#REF!,"AAAAAD37c/w=")</f>
        <v>#REF!</v>
      </c>
      <c r="IT289" t="e">
        <f>AND(#REF!,"AAAAAD37c/0=")</f>
        <v>#REF!</v>
      </c>
      <c r="IU289" t="e">
        <f>AND(#REF!,"AAAAAD37c/4=")</f>
        <v>#REF!</v>
      </c>
      <c r="IV289" t="e">
        <f>AND(#REF!,"AAAAAD37c/8=")</f>
        <v>#REF!</v>
      </c>
    </row>
    <row r="290" spans="1:256">
      <c r="A290" t="e">
        <f>AND(#REF!,"AAAAAGq7XwA=")</f>
        <v>#REF!</v>
      </c>
      <c r="B290" t="e">
        <f>IF(#REF!,"AAAAAGq7XwE=",0)</f>
        <v>#REF!</v>
      </c>
      <c r="C290" t="e">
        <f>AND(#REF!,"AAAAAGq7XwI=")</f>
        <v>#REF!</v>
      </c>
      <c r="D290" t="e">
        <f>AND(#REF!,"AAAAAGq7XwM=")</f>
        <v>#REF!</v>
      </c>
      <c r="E290" t="e">
        <f>AND(#REF!,"AAAAAGq7XwQ=")</f>
        <v>#REF!</v>
      </c>
      <c r="F290" t="e">
        <f>AND(#REF!,"AAAAAGq7XwU=")</f>
        <v>#REF!</v>
      </c>
      <c r="G290" t="e">
        <f>AND(#REF!,"AAAAAGq7XwY=")</f>
        <v>#REF!</v>
      </c>
      <c r="H290" t="e">
        <f>AND(#REF!,"AAAAAGq7Xwc=")</f>
        <v>#REF!</v>
      </c>
      <c r="I290" t="e">
        <f>AND(#REF!,"AAAAAGq7Xwg=")</f>
        <v>#REF!</v>
      </c>
      <c r="J290" t="e">
        <f>AND(#REF!,"AAAAAGq7Xwk=")</f>
        <v>#REF!</v>
      </c>
      <c r="K290" t="e">
        <f>AND(#REF!,"AAAAAGq7Xwo=")</f>
        <v>#REF!</v>
      </c>
      <c r="L290" t="e">
        <f>AND(#REF!,"AAAAAGq7Xws=")</f>
        <v>#REF!</v>
      </c>
      <c r="M290" t="e">
        <f>AND(#REF!,"AAAAAGq7Xww=")</f>
        <v>#REF!</v>
      </c>
      <c r="N290" t="e">
        <f>AND(#REF!,"AAAAAGq7Xw0=")</f>
        <v>#REF!</v>
      </c>
      <c r="O290" t="e">
        <f>AND(#REF!,"AAAAAGq7Xw4=")</f>
        <v>#REF!</v>
      </c>
      <c r="P290" t="e">
        <f>AND(#REF!,"AAAAAGq7Xw8=")</f>
        <v>#REF!</v>
      </c>
      <c r="Q290" t="e">
        <f>AND(#REF!,"AAAAAGq7XxA=")</f>
        <v>#REF!</v>
      </c>
      <c r="R290" t="e">
        <f>AND(#REF!,"AAAAAGq7XxE=")</f>
        <v>#REF!</v>
      </c>
      <c r="S290" t="e">
        <f>AND(#REF!,"AAAAAGq7XxI=")</f>
        <v>#REF!</v>
      </c>
      <c r="T290" t="e">
        <f>AND(#REF!,"AAAAAGq7XxM=")</f>
        <v>#REF!</v>
      </c>
      <c r="U290" t="e">
        <f>AND(#REF!,"AAAAAGq7XxQ=")</f>
        <v>#REF!</v>
      </c>
      <c r="V290" t="e">
        <f>AND(#REF!,"AAAAAGq7XxU=")</f>
        <v>#REF!</v>
      </c>
      <c r="W290" t="e">
        <f>AND(#REF!,"AAAAAGq7XxY=")</f>
        <v>#REF!</v>
      </c>
      <c r="X290" t="e">
        <f>AND(#REF!,"AAAAAGq7Xxc=")</f>
        <v>#REF!</v>
      </c>
      <c r="Y290" t="e">
        <f>AND(#REF!,"AAAAAGq7Xxg=")</f>
        <v>#REF!</v>
      </c>
      <c r="Z290" t="e">
        <f>AND(#REF!,"AAAAAGq7Xxk=")</f>
        <v>#REF!</v>
      </c>
      <c r="AA290" t="e">
        <f>IF(#REF!,"AAAAAGq7Xxo=",0)</f>
        <v>#REF!</v>
      </c>
      <c r="AB290" t="e">
        <f>AND(#REF!,"AAAAAGq7Xxs=")</f>
        <v>#REF!</v>
      </c>
      <c r="AC290" t="e">
        <f>AND(#REF!,"AAAAAGq7Xxw=")</f>
        <v>#REF!</v>
      </c>
      <c r="AD290" t="e">
        <f>AND(#REF!,"AAAAAGq7Xx0=")</f>
        <v>#REF!</v>
      </c>
      <c r="AE290" t="e">
        <f>AND(#REF!,"AAAAAGq7Xx4=")</f>
        <v>#REF!</v>
      </c>
      <c r="AF290" t="e">
        <f>AND(#REF!,"AAAAAGq7Xx8=")</f>
        <v>#REF!</v>
      </c>
      <c r="AG290" t="e">
        <f>AND(#REF!,"AAAAAGq7XyA=")</f>
        <v>#REF!</v>
      </c>
      <c r="AH290" t="e">
        <f>AND(#REF!,"AAAAAGq7XyE=")</f>
        <v>#REF!</v>
      </c>
      <c r="AI290" t="e">
        <f>AND(#REF!,"AAAAAGq7XyI=")</f>
        <v>#REF!</v>
      </c>
      <c r="AJ290" t="e">
        <f>AND(#REF!,"AAAAAGq7XyM=")</f>
        <v>#REF!</v>
      </c>
      <c r="AK290" t="e">
        <f>AND(#REF!,"AAAAAGq7XyQ=")</f>
        <v>#REF!</v>
      </c>
      <c r="AL290" t="e">
        <f>AND(#REF!,"AAAAAGq7XyU=")</f>
        <v>#REF!</v>
      </c>
      <c r="AM290" t="e">
        <f>AND(#REF!,"AAAAAGq7XyY=")</f>
        <v>#REF!</v>
      </c>
      <c r="AN290" t="e">
        <f>AND(#REF!,"AAAAAGq7Xyc=")</f>
        <v>#REF!</v>
      </c>
      <c r="AO290" t="e">
        <f>AND(#REF!,"AAAAAGq7Xyg=")</f>
        <v>#REF!</v>
      </c>
      <c r="AP290" t="e">
        <f>AND(#REF!,"AAAAAGq7Xyk=")</f>
        <v>#REF!</v>
      </c>
      <c r="AQ290" t="e">
        <f>AND(#REF!,"AAAAAGq7Xyo=")</f>
        <v>#REF!</v>
      </c>
      <c r="AR290" t="e">
        <f>AND(#REF!,"AAAAAGq7Xys=")</f>
        <v>#REF!</v>
      </c>
      <c r="AS290" t="e">
        <f>AND(#REF!,"AAAAAGq7Xyw=")</f>
        <v>#REF!</v>
      </c>
      <c r="AT290" t="e">
        <f>AND(#REF!,"AAAAAGq7Xy0=")</f>
        <v>#REF!</v>
      </c>
      <c r="AU290" t="e">
        <f>AND(#REF!,"AAAAAGq7Xy4=")</f>
        <v>#REF!</v>
      </c>
      <c r="AV290" t="e">
        <f>AND(#REF!,"AAAAAGq7Xy8=")</f>
        <v>#REF!</v>
      </c>
      <c r="AW290" t="e">
        <f>AND(#REF!,"AAAAAGq7XzA=")</f>
        <v>#REF!</v>
      </c>
      <c r="AX290" t="e">
        <f>AND(#REF!,"AAAAAGq7XzE=")</f>
        <v>#REF!</v>
      </c>
      <c r="AY290" t="e">
        <f>AND(#REF!,"AAAAAGq7XzI=")</f>
        <v>#REF!</v>
      </c>
      <c r="AZ290" t="e">
        <f>IF(#REF!,"AAAAAGq7XzM=",0)</f>
        <v>#REF!</v>
      </c>
      <c r="BA290" t="e">
        <f>AND(#REF!,"AAAAAGq7XzQ=")</f>
        <v>#REF!</v>
      </c>
      <c r="BB290" t="e">
        <f>AND(#REF!,"AAAAAGq7XzU=")</f>
        <v>#REF!</v>
      </c>
      <c r="BC290" t="e">
        <f>AND(#REF!,"AAAAAGq7XzY=")</f>
        <v>#REF!</v>
      </c>
      <c r="BD290" t="e">
        <f>AND(#REF!,"AAAAAGq7Xzc=")</f>
        <v>#REF!</v>
      </c>
      <c r="BE290" t="e">
        <f>AND(#REF!,"AAAAAGq7Xzg=")</f>
        <v>#REF!</v>
      </c>
      <c r="BF290" t="e">
        <f>AND(#REF!,"AAAAAGq7Xzk=")</f>
        <v>#REF!</v>
      </c>
      <c r="BG290" t="e">
        <f>AND(#REF!,"AAAAAGq7Xzo=")</f>
        <v>#REF!</v>
      </c>
      <c r="BH290" t="e">
        <f>AND(#REF!,"AAAAAGq7Xzs=")</f>
        <v>#REF!</v>
      </c>
      <c r="BI290" t="e">
        <f>AND(#REF!,"AAAAAGq7Xzw=")</f>
        <v>#REF!</v>
      </c>
      <c r="BJ290" t="e">
        <f>AND(#REF!,"AAAAAGq7Xz0=")</f>
        <v>#REF!</v>
      </c>
      <c r="BK290" t="e">
        <f>AND(#REF!,"AAAAAGq7Xz4=")</f>
        <v>#REF!</v>
      </c>
      <c r="BL290" t="e">
        <f>AND(#REF!,"AAAAAGq7Xz8=")</f>
        <v>#REF!</v>
      </c>
      <c r="BM290" t="e">
        <f>AND(#REF!,"AAAAAGq7X0A=")</f>
        <v>#REF!</v>
      </c>
      <c r="BN290" t="e">
        <f>AND(#REF!,"AAAAAGq7X0E=")</f>
        <v>#REF!</v>
      </c>
      <c r="BO290" t="e">
        <f>AND(#REF!,"AAAAAGq7X0I=")</f>
        <v>#REF!</v>
      </c>
      <c r="BP290" t="e">
        <f>AND(#REF!,"AAAAAGq7X0M=")</f>
        <v>#REF!</v>
      </c>
      <c r="BQ290" t="e">
        <f>AND(#REF!,"AAAAAGq7X0Q=")</f>
        <v>#REF!</v>
      </c>
      <c r="BR290" t="e">
        <f>AND(#REF!,"AAAAAGq7X0U=")</f>
        <v>#REF!</v>
      </c>
      <c r="BS290" t="e">
        <f>AND(#REF!,"AAAAAGq7X0Y=")</f>
        <v>#REF!</v>
      </c>
      <c r="BT290" t="e">
        <f>AND(#REF!,"AAAAAGq7X0c=")</f>
        <v>#REF!</v>
      </c>
      <c r="BU290" t="e">
        <f>AND(#REF!,"AAAAAGq7X0g=")</f>
        <v>#REF!</v>
      </c>
      <c r="BV290" t="e">
        <f>AND(#REF!,"AAAAAGq7X0k=")</f>
        <v>#REF!</v>
      </c>
      <c r="BW290" t="e">
        <f>AND(#REF!,"AAAAAGq7X0o=")</f>
        <v>#REF!</v>
      </c>
      <c r="BX290" t="e">
        <f>AND(#REF!,"AAAAAGq7X0s=")</f>
        <v>#REF!</v>
      </c>
      <c r="BY290" t="e">
        <f>IF(#REF!,"AAAAAGq7X0w=",0)</f>
        <v>#REF!</v>
      </c>
      <c r="BZ290" t="e">
        <f>AND(#REF!,"AAAAAGq7X00=")</f>
        <v>#REF!</v>
      </c>
      <c r="CA290" t="e">
        <f>AND(#REF!,"AAAAAGq7X04=")</f>
        <v>#REF!</v>
      </c>
      <c r="CB290" t="e">
        <f>AND(#REF!,"AAAAAGq7X08=")</f>
        <v>#REF!</v>
      </c>
      <c r="CC290" t="e">
        <f>AND(#REF!,"AAAAAGq7X1A=")</f>
        <v>#REF!</v>
      </c>
      <c r="CD290" t="e">
        <f>AND(#REF!,"AAAAAGq7X1E=")</f>
        <v>#REF!</v>
      </c>
      <c r="CE290" t="e">
        <f>AND(#REF!,"AAAAAGq7X1I=")</f>
        <v>#REF!</v>
      </c>
      <c r="CF290" t="e">
        <f>AND(#REF!,"AAAAAGq7X1M=")</f>
        <v>#REF!</v>
      </c>
      <c r="CG290" t="e">
        <f>AND(#REF!,"AAAAAGq7X1Q=")</f>
        <v>#REF!</v>
      </c>
      <c r="CH290" t="e">
        <f>AND(#REF!,"AAAAAGq7X1U=")</f>
        <v>#REF!</v>
      </c>
      <c r="CI290" t="e">
        <f>AND(#REF!,"AAAAAGq7X1Y=")</f>
        <v>#REF!</v>
      </c>
      <c r="CJ290" t="e">
        <f>AND(#REF!,"AAAAAGq7X1c=")</f>
        <v>#REF!</v>
      </c>
      <c r="CK290" t="e">
        <f>AND(#REF!,"AAAAAGq7X1g=")</f>
        <v>#REF!</v>
      </c>
      <c r="CL290" t="e">
        <f>AND(#REF!,"AAAAAGq7X1k=")</f>
        <v>#REF!</v>
      </c>
      <c r="CM290" t="e">
        <f>AND(#REF!,"AAAAAGq7X1o=")</f>
        <v>#REF!</v>
      </c>
      <c r="CN290" t="e">
        <f>AND(#REF!,"AAAAAGq7X1s=")</f>
        <v>#REF!</v>
      </c>
      <c r="CO290" t="e">
        <f>AND(#REF!,"AAAAAGq7X1w=")</f>
        <v>#REF!</v>
      </c>
      <c r="CP290" t="e">
        <f>AND(#REF!,"AAAAAGq7X10=")</f>
        <v>#REF!</v>
      </c>
      <c r="CQ290" t="e">
        <f>AND(#REF!,"AAAAAGq7X14=")</f>
        <v>#REF!</v>
      </c>
      <c r="CR290" t="e">
        <f>AND(#REF!,"AAAAAGq7X18=")</f>
        <v>#REF!</v>
      </c>
      <c r="CS290" t="e">
        <f>AND(#REF!,"AAAAAGq7X2A=")</f>
        <v>#REF!</v>
      </c>
      <c r="CT290" t="e">
        <f>AND(#REF!,"AAAAAGq7X2E=")</f>
        <v>#REF!</v>
      </c>
      <c r="CU290" t="e">
        <f>AND(#REF!,"AAAAAGq7X2I=")</f>
        <v>#REF!</v>
      </c>
      <c r="CV290" t="e">
        <f>AND(#REF!,"AAAAAGq7X2M=")</f>
        <v>#REF!</v>
      </c>
      <c r="CW290" t="e">
        <f>AND(#REF!,"AAAAAGq7X2Q=")</f>
        <v>#REF!</v>
      </c>
      <c r="CX290" t="e">
        <f>IF(#REF!,"AAAAAGq7X2U=",0)</f>
        <v>#REF!</v>
      </c>
      <c r="CY290" t="e">
        <f>AND(#REF!,"AAAAAGq7X2Y=")</f>
        <v>#REF!</v>
      </c>
      <c r="CZ290" t="e">
        <f>AND(#REF!,"AAAAAGq7X2c=")</f>
        <v>#REF!</v>
      </c>
      <c r="DA290" t="e">
        <f>AND(#REF!,"AAAAAGq7X2g=")</f>
        <v>#REF!</v>
      </c>
      <c r="DB290" t="e">
        <f>AND(#REF!,"AAAAAGq7X2k=")</f>
        <v>#REF!</v>
      </c>
      <c r="DC290" t="e">
        <f>AND(#REF!,"AAAAAGq7X2o=")</f>
        <v>#REF!</v>
      </c>
      <c r="DD290" t="e">
        <f>AND(#REF!,"AAAAAGq7X2s=")</f>
        <v>#REF!</v>
      </c>
      <c r="DE290" t="e">
        <f>AND(#REF!,"AAAAAGq7X2w=")</f>
        <v>#REF!</v>
      </c>
      <c r="DF290" t="e">
        <f>AND(#REF!,"AAAAAGq7X20=")</f>
        <v>#REF!</v>
      </c>
      <c r="DG290" t="e">
        <f>AND(#REF!,"AAAAAGq7X24=")</f>
        <v>#REF!</v>
      </c>
      <c r="DH290" t="e">
        <f>AND(#REF!,"AAAAAGq7X28=")</f>
        <v>#REF!</v>
      </c>
      <c r="DI290" t="e">
        <f>AND(#REF!,"AAAAAGq7X3A=")</f>
        <v>#REF!</v>
      </c>
      <c r="DJ290" t="e">
        <f>AND(#REF!,"AAAAAGq7X3E=")</f>
        <v>#REF!</v>
      </c>
      <c r="DK290" t="e">
        <f>AND(#REF!,"AAAAAGq7X3I=")</f>
        <v>#REF!</v>
      </c>
      <c r="DL290" t="e">
        <f>AND(#REF!,"AAAAAGq7X3M=")</f>
        <v>#REF!</v>
      </c>
      <c r="DM290" t="e">
        <f>AND(#REF!,"AAAAAGq7X3Q=")</f>
        <v>#REF!</v>
      </c>
      <c r="DN290" t="e">
        <f>AND(#REF!,"AAAAAGq7X3U=")</f>
        <v>#REF!</v>
      </c>
      <c r="DO290" t="e">
        <f>AND(#REF!,"AAAAAGq7X3Y=")</f>
        <v>#REF!</v>
      </c>
      <c r="DP290" t="e">
        <f>AND(#REF!,"AAAAAGq7X3c=")</f>
        <v>#REF!</v>
      </c>
      <c r="DQ290" t="e">
        <f>AND(#REF!,"AAAAAGq7X3g=")</f>
        <v>#REF!</v>
      </c>
      <c r="DR290" t="e">
        <f>AND(#REF!,"AAAAAGq7X3k=")</f>
        <v>#REF!</v>
      </c>
      <c r="DS290" t="e">
        <f>AND(#REF!,"AAAAAGq7X3o=")</f>
        <v>#REF!</v>
      </c>
      <c r="DT290" t="e">
        <f>AND(#REF!,"AAAAAGq7X3s=")</f>
        <v>#REF!</v>
      </c>
      <c r="DU290" t="e">
        <f>AND(#REF!,"AAAAAGq7X3w=")</f>
        <v>#REF!</v>
      </c>
      <c r="DV290" t="e">
        <f>AND(#REF!,"AAAAAGq7X30=")</f>
        <v>#REF!</v>
      </c>
      <c r="DW290" t="e">
        <f>IF(#REF!,"AAAAAGq7X34=",0)</f>
        <v>#REF!</v>
      </c>
      <c r="DX290" t="e">
        <f>AND(#REF!,"AAAAAGq7X38=")</f>
        <v>#REF!</v>
      </c>
      <c r="DY290" t="e">
        <f>AND(#REF!,"AAAAAGq7X4A=")</f>
        <v>#REF!</v>
      </c>
      <c r="DZ290" t="e">
        <f>AND(#REF!,"AAAAAGq7X4E=")</f>
        <v>#REF!</v>
      </c>
      <c r="EA290" t="e">
        <f>AND(#REF!,"AAAAAGq7X4I=")</f>
        <v>#REF!</v>
      </c>
      <c r="EB290" t="e">
        <f>AND(#REF!,"AAAAAGq7X4M=")</f>
        <v>#REF!</v>
      </c>
      <c r="EC290" t="e">
        <f>AND(#REF!,"AAAAAGq7X4Q=")</f>
        <v>#REF!</v>
      </c>
      <c r="ED290" t="e">
        <f>AND(#REF!,"AAAAAGq7X4U=")</f>
        <v>#REF!</v>
      </c>
      <c r="EE290" t="e">
        <f>AND(#REF!,"AAAAAGq7X4Y=")</f>
        <v>#REF!</v>
      </c>
      <c r="EF290" t="e">
        <f>AND(#REF!,"AAAAAGq7X4c=")</f>
        <v>#REF!</v>
      </c>
      <c r="EG290" t="e">
        <f>AND(#REF!,"AAAAAGq7X4g=")</f>
        <v>#REF!</v>
      </c>
      <c r="EH290" t="e">
        <f>AND(#REF!,"AAAAAGq7X4k=")</f>
        <v>#REF!</v>
      </c>
      <c r="EI290" t="e">
        <f>AND(#REF!,"AAAAAGq7X4o=")</f>
        <v>#REF!</v>
      </c>
      <c r="EJ290" t="e">
        <f>AND(#REF!,"AAAAAGq7X4s=")</f>
        <v>#REF!</v>
      </c>
      <c r="EK290" t="e">
        <f>AND(#REF!,"AAAAAGq7X4w=")</f>
        <v>#REF!</v>
      </c>
      <c r="EL290" t="e">
        <f>AND(#REF!,"AAAAAGq7X40=")</f>
        <v>#REF!</v>
      </c>
      <c r="EM290" t="e">
        <f>AND(#REF!,"AAAAAGq7X44=")</f>
        <v>#REF!</v>
      </c>
      <c r="EN290" t="e">
        <f>AND(#REF!,"AAAAAGq7X48=")</f>
        <v>#REF!</v>
      </c>
      <c r="EO290" t="e">
        <f>AND(#REF!,"AAAAAGq7X5A=")</f>
        <v>#REF!</v>
      </c>
      <c r="EP290" t="e">
        <f>AND(#REF!,"AAAAAGq7X5E=")</f>
        <v>#REF!</v>
      </c>
      <c r="EQ290" t="e">
        <f>AND(#REF!,"AAAAAGq7X5I=")</f>
        <v>#REF!</v>
      </c>
      <c r="ER290" t="e">
        <f>AND(#REF!,"AAAAAGq7X5M=")</f>
        <v>#REF!</v>
      </c>
      <c r="ES290" t="e">
        <f>AND(#REF!,"AAAAAGq7X5Q=")</f>
        <v>#REF!</v>
      </c>
      <c r="ET290" t="e">
        <f>AND(#REF!,"AAAAAGq7X5U=")</f>
        <v>#REF!</v>
      </c>
      <c r="EU290" t="e">
        <f>AND(#REF!,"AAAAAGq7X5Y=")</f>
        <v>#REF!</v>
      </c>
      <c r="EV290" t="e">
        <f>IF(#REF!,"AAAAAGq7X5c=",0)</f>
        <v>#REF!</v>
      </c>
      <c r="EW290" t="e">
        <f>AND(#REF!,"AAAAAGq7X5g=")</f>
        <v>#REF!</v>
      </c>
      <c r="EX290" t="e">
        <f>AND(#REF!,"AAAAAGq7X5k=")</f>
        <v>#REF!</v>
      </c>
      <c r="EY290" t="e">
        <f>AND(#REF!,"AAAAAGq7X5o=")</f>
        <v>#REF!</v>
      </c>
      <c r="EZ290" t="e">
        <f>AND(#REF!,"AAAAAGq7X5s=")</f>
        <v>#REF!</v>
      </c>
      <c r="FA290" t="e">
        <f>AND(#REF!,"AAAAAGq7X5w=")</f>
        <v>#REF!</v>
      </c>
      <c r="FB290" t="e">
        <f>AND(#REF!,"AAAAAGq7X50=")</f>
        <v>#REF!</v>
      </c>
      <c r="FC290" t="e">
        <f>AND(#REF!,"AAAAAGq7X54=")</f>
        <v>#REF!</v>
      </c>
      <c r="FD290" t="e">
        <f>AND(#REF!,"AAAAAGq7X58=")</f>
        <v>#REF!</v>
      </c>
      <c r="FE290" t="e">
        <f>AND(#REF!,"AAAAAGq7X6A=")</f>
        <v>#REF!</v>
      </c>
      <c r="FF290" t="e">
        <f>AND(#REF!,"AAAAAGq7X6E=")</f>
        <v>#REF!</v>
      </c>
      <c r="FG290" t="e">
        <f>AND(#REF!,"AAAAAGq7X6I=")</f>
        <v>#REF!</v>
      </c>
      <c r="FH290" t="e">
        <f>AND(#REF!,"AAAAAGq7X6M=")</f>
        <v>#REF!</v>
      </c>
      <c r="FI290" t="e">
        <f>AND(#REF!,"AAAAAGq7X6Q=")</f>
        <v>#REF!</v>
      </c>
      <c r="FJ290" t="e">
        <f>AND(#REF!,"AAAAAGq7X6U=")</f>
        <v>#REF!</v>
      </c>
      <c r="FK290" t="e">
        <f>AND(#REF!,"AAAAAGq7X6Y=")</f>
        <v>#REF!</v>
      </c>
      <c r="FL290" t="e">
        <f>AND(#REF!,"AAAAAGq7X6c=")</f>
        <v>#REF!</v>
      </c>
      <c r="FM290" t="e">
        <f>AND(#REF!,"AAAAAGq7X6g=")</f>
        <v>#REF!</v>
      </c>
      <c r="FN290" t="e">
        <f>AND(#REF!,"AAAAAGq7X6k=")</f>
        <v>#REF!</v>
      </c>
      <c r="FO290" t="e">
        <f>AND(#REF!,"AAAAAGq7X6o=")</f>
        <v>#REF!</v>
      </c>
      <c r="FP290" t="e">
        <f>AND(#REF!,"AAAAAGq7X6s=")</f>
        <v>#REF!</v>
      </c>
      <c r="FQ290" t="e">
        <f>AND(#REF!,"AAAAAGq7X6w=")</f>
        <v>#REF!</v>
      </c>
      <c r="FR290" t="e">
        <f>AND(#REF!,"AAAAAGq7X60=")</f>
        <v>#REF!</v>
      </c>
      <c r="FS290" t="e">
        <f>AND(#REF!,"AAAAAGq7X64=")</f>
        <v>#REF!</v>
      </c>
      <c r="FT290" t="e">
        <f>AND(#REF!,"AAAAAGq7X68=")</f>
        <v>#REF!</v>
      </c>
      <c r="FU290" t="e">
        <f>IF(#REF!,"AAAAAGq7X7A=",0)</f>
        <v>#REF!</v>
      </c>
      <c r="FV290" t="e">
        <f>AND(#REF!,"AAAAAGq7X7E=")</f>
        <v>#REF!</v>
      </c>
      <c r="FW290" t="e">
        <f>AND(#REF!,"AAAAAGq7X7I=")</f>
        <v>#REF!</v>
      </c>
      <c r="FX290" t="e">
        <f>AND(#REF!,"AAAAAGq7X7M=")</f>
        <v>#REF!</v>
      </c>
      <c r="FY290" t="e">
        <f>AND(#REF!,"AAAAAGq7X7Q=")</f>
        <v>#REF!</v>
      </c>
      <c r="FZ290" t="e">
        <f>AND(#REF!,"AAAAAGq7X7U=")</f>
        <v>#REF!</v>
      </c>
      <c r="GA290" t="e">
        <f>AND(#REF!,"AAAAAGq7X7Y=")</f>
        <v>#REF!</v>
      </c>
      <c r="GB290" t="e">
        <f>AND(#REF!,"AAAAAGq7X7c=")</f>
        <v>#REF!</v>
      </c>
      <c r="GC290" t="e">
        <f>AND(#REF!,"AAAAAGq7X7g=")</f>
        <v>#REF!</v>
      </c>
      <c r="GD290" t="e">
        <f>AND(#REF!,"AAAAAGq7X7k=")</f>
        <v>#REF!</v>
      </c>
      <c r="GE290" t="e">
        <f>AND(#REF!,"AAAAAGq7X7o=")</f>
        <v>#REF!</v>
      </c>
      <c r="GF290" t="e">
        <f>AND(#REF!,"AAAAAGq7X7s=")</f>
        <v>#REF!</v>
      </c>
      <c r="GG290" t="e">
        <f>AND(#REF!,"AAAAAGq7X7w=")</f>
        <v>#REF!</v>
      </c>
      <c r="GH290" t="e">
        <f>AND(#REF!,"AAAAAGq7X70=")</f>
        <v>#REF!</v>
      </c>
      <c r="GI290" t="e">
        <f>AND(#REF!,"AAAAAGq7X74=")</f>
        <v>#REF!</v>
      </c>
      <c r="GJ290" t="e">
        <f>AND(#REF!,"AAAAAGq7X78=")</f>
        <v>#REF!</v>
      </c>
      <c r="GK290" t="e">
        <f>AND(#REF!,"AAAAAGq7X8A=")</f>
        <v>#REF!</v>
      </c>
      <c r="GL290" t="e">
        <f>AND(#REF!,"AAAAAGq7X8E=")</f>
        <v>#REF!</v>
      </c>
      <c r="GM290" t="e">
        <f>AND(#REF!,"AAAAAGq7X8I=")</f>
        <v>#REF!</v>
      </c>
      <c r="GN290" t="e">
        <f>AND(#REF!,"AAAAAGq7X8M=")</f>
        <v>#REF!</v>
      </c>
      <c r="GO290" t="e">
        <f>AND(#REF!,"AAAAAGq7X8Q=")</f>
        <v>#REF!</v>
      </c>
      <c r="GP290" t="e">
        <f>AND(#REF!,"AAAAAGq7X8U=")</f>
        <v>#REF!</v>
      </c>
      <c r="GQ290" t="e">
        <f>AND(#REF!,"AAAAAGq7X8Y=")</f>
        <v>#REF!</v>
      </c>
      <c r="GR290" t="e">
        <f>AND(#REF!,"AAAAAGq7X8c=")</f>
        <v>#REF!</v>
      </c>
      <c r="GS290" t="e">
        <f>AND(#REF!,"AAAAAGq7X8g=")</f>
        <v>#REF!</v>
      </c>
      <c r="GT290" t="e">
        <f>IF(#REF!,"AAAAAGq7X8k=",0)</f>
        <v>#REF!</v>
      </c>
      <c r="GU290" t="e">
        <f>AND(#REF!,"AAAAAGq7X8o=")</f>
        <v>#REF!</v>
      </c>
      <c r="GV290" t="e">
        <f>AND(#REF!,"AAAAAGq7X8s=")</f>
        <v>#REF!</v>
      </c>
      <c r="GW290" t="e">
        <f>AND(#REF!,"AAAAAGq7X8w=")</f>
        <v>#REF!</v>
      </c>
      <c r="GX290" t="e">
        <f>AND(#REF!,"AAAAAGq7X80=")</f>
        <v>#REF!</v>
      </c>
      <c r="GY290" t="e">
        <f>AND(#REF!,"AAAAAGq7X84=")</f>
        <v>#REF!</v>
      </c>
      <c r="GZ290" t="e">
        <f>AND(#REF!,"AAAAAGq7X88=")</f>
        <v>#REF!</v>
      </c>
      <c r="HA290" t="e">
        <f>AND(#REF!,"AAAAAGq7X9A=")</f>
        <v>#REF!</v>
      </c>
      <c r="HB290" t="e">
        <f>AND(#REF!,"AAAAAGq7X9E=")</f>
        <v>#REF!</v>
      </c>
      <c r="HC290" t="e">
        <f>AND(#REF!,"AAAAAGq7X9I=")</f>
        <v>#REF!</v>
      </c>
      <c r="HD290" t="e">
        <f>AND(#REF!,"AAAAAGq7X9M=")</f>
        <v>#REF!</v>
      </c>
      <c r="HE290" t="e">
        <f>AND(#REF!,"AAAAAGq7X9Q=")</f>
        <v>#REF!</v>
      </c>
      <c r="HF290" t="e">
        <f>AND(#REF!,"AAAAAGq7X9U=")</f>
        <v>#REF!</v>
      </c>
      <c r="HG290" t="e">
        <f>AND(#REF!,"AAAAAGq7X9Y=")</f>
        <v>#REF!</v>
      </c>
      <c r="HH290" t="e">
        <f>AND(#REF!,"AAAAAGq7X9c=")</f>
        <v>#REF!</v>
      </c>
      <c r="HI290" t="e">
        <f>AND(#REF!,"AAAAAGq7X9g=")</f>
        <v>#REF!</v>
      </c>
      <c r="HJ290" t="e">
        <f>AND(#REF!,"AAAAAGq7X9k=")</f>
        <v>#REF!</v>
      </c>
      <c r="HK290" t="e">
        <f>AND(#REF!,"AAAAAGq7X9o=")</f>
        <v>#REF!</v>
      </c>
      <c r="HL290" t="e">
        <f>AND(#REF!,"AAAAAGq7X9s=")</f>
        <v>#REF!</v>
      </c>
      <c r="HM290" t="e">
        <f>AND(#REF!,"AAAAAGq7X9w=")</f>
        <v>#REF!</v>
      </c>
      <c r="HN290" t="e">
        <f>AND(#REF!,"AAAAAGq7X90=")</f>
        <v>#REF!</v>
      </c>
      <c r="HO290" t="e">
        <f>AND(#REF!,"AAAAAGq7X94=")</f>
        <v>#REF!</v>
      </c>
      <c r="HP290" t="e">
        <f>AND(#REF!,"AAAAAGq7X98=")</f>
        <v>#REF!</v>
      </c>
      <c r="HQ290" t="e">
        <f>AND(#REF!,"AAAAAGq7X+A=")</f>
        <v>#REF!</v>
      </c>
      <c r="HR290" t="e">
        <f>AND(#REF!,"AAAAAGq7X+E=")</f>
        <v>#REF!</v>
      </c>
      <c r="HS290" t="e">
        <f>IF(#REF!,"AAAAAGq7X+I=",0)</f>
        <v>#REF!</v>
      </c>
      <c r="HT290" t="e">
        <f>AND(#REF!,"AAAAAGq7X+M=")</f>
        <v>#REF!</v>
      </c>
      <c r="HU290" t="e">
        <f>AND(#REF!,"AAAAAGq7X+Q=")</f>
        <v>#REF!</v>
      </c>
      <c r="HV290" t="e">
        <f>AND(#REF!,"AAAAAGq7X+U=")</f>
        <v>#REF!</v>
      </c>
      <c r="HW290" t="e">
        <f>AND(#REF!,"AAAAAGq7X+Y=")</f>
        <v>#REF!</v>
      </c>
      <c r="HX290" t="e">
        <f>AND(#REF!,"AAAAAGq7X+c=")</f>
        <v>#REF!</v>
      </c>
      <c r="HY290" t="e">
        <f>AND(#REF!,"AAAAAGq7X+g=")</f>
        <v>#REF!</v>
      </c>
      <c r="HZ290" t="e">
        <f>AND(#REF!,"AAAAAGq7X+k=")</f>
        <v>#REF!</v>
      </c>
      <c r="IA290" t="e">
        <f>AND(#REF!,"AAAAAGq7X+o=")</f>
        <v>#REF!</v>
      </c>
      <c r="IB290" t="e">
        <f>AND(#REF!,"AAAAAGq7X+s=")</f>
        <v>#REF!</v>
      </c>
      <c r="IC290" t="e">
        <f>AND(#REF!,"AAAAAGq7X+w=")</f>
        <v>#REF!</v>
      </c>
      <c r="ID290" t="e">
        <f>AND(#REF!,"AAAAAGq7X+0=")</f>
        <v>#REF!</v>
      </c>
      <c r="IE290" t="e">
        <f>AND(#REF!,"AAAAAGq7X+4=")</f>
        <v>#REF!</v>
      </c>
      <c r="IF290" t="e">
        <f>AND(#REF!,"AAAAAGq7X+8=")</f>
        <v>#REF!</v>
      </c>
      <c r="IG290" t="e">
        <f>AND(#REF!,"AAAAAGq7X/A=")</f>
        <v>#REF!</v>
      </c>
      <c r="IH290" t="e">
        <f>AND(#REF!,"AAAAAGq7X/E=")</f>
        <v>#REF!</v>
      </c>
      <c r="II290" t="e">
        <f>AND(#REF!,"AAAAAGq7X/I=")</f>
        <v>#REF!</v>
      </c>
      <c r="IJ290" t="e">
        <f>AND(#REF!,"AAAAAGq7X/M=")</f>
        <v>#REF!</v>
      </c>
      <c r="IK290" t="e">
        <f>AND(#REF!,"AAAAAGq7X/Q=")</f>
        <v>#REF!</v>
      </c>
      <c r="IL290" t="e">
        <f>AND(#REF!,"AAAAAGq7X/U=")</f>
        <v>#REF!</v>
      </c>
      <c r="IM290" t="e">
        <f>AND(#REF!,"AAAAAGq7X/Y=")</f>
        <v>#REF!</v>
      </c>
      <c r="IN290" t="e">
        <f>AND(#REF!,"AAAAAGq7X/c=")</f>
        <v>#REF!</v>
      </c>
      <c r="IO290" t="e">
        <f>AND(#REF!,"AAAAAGq7X/g=")</f>
        <v>#REF!</v>
      </c>
      <c r="IP290" t="e">
        <f>AND(#REF!,"AAAAAGq7X/k=")</f>
        <v>#REF!</v>
      </c>
      <c r="IQ290" t="e">
        <f>AND(#REF!,"AAAAAGq7X/o=")</f>
        <v>#REF!</v>
      </c>
      <c r="IR290" t="e">
        <f>IF(#REF!,"AAAAAGq7X/s=",0)</f>
        <v>#REF!</v>
      </c>
      <c r="IS290" t="e">
        <f>AND(#REF!,"AAAAAGq7X/w=")</f>
        <v>#REF!</v>
      </c>
      <c r="IT290" t="e">
        <f>AND(#REF!,"AAAAAGq7X/0=")</f>
        <v>#REF!</v>
      </c>
      <c r="IU290" t="e">
        <f>AND(#REF!,"AAAAAGq7X/4=")</f>
        <v>#REF!</v>
      </c>
      <c r="IV290" t="e">
        <f>AND(#REF!,"AAAAAGq7X/8=")</f>
        <v>#REF!</v>
      </c>
    </row>
    <row r="291" spans="1:256">
      <c r="A291" t="e">
        <f>AND(#REF!,"AAAAADn/bgA=")</f>
        <v>#REF!</v>
      </c>
      <c r="B291" t="e">
        <f>AND(#REF!,"AAAAADn/bgE=")</f>
        <v>#REF!</v>
      </c>
      <c r="C291" t="e">
        <f>AND(#REF!,"AAAAADn/bgI=")</f>
        <v>#REF!</v>
      </c>
      <c r="D291" t="e">
        <f>AND(#REF!,"AAAAADn/bgM=")</f>
        <v>#REF!</v>
      </c>
      <c r="E291" t="e">
        <f>AND(#REF!,"AAAAADn/bgQ=")</f>
        <v>#REF!</v>
      </c>
      <c r="F291" t="e">
        <f>AND(#REF!,"AAAAADn/bgU=")</f>
        <v>#REF!</v>
      </c>
      <c r="G291" t="e">
        <f>AND(#REF!,"AAAAADn/bgY=")</f>
        <v>#REF!</v>
      </c>
      <c r="H291" t="e">
        <f>AND(#REF!,"AAAAADn/bgc=")</f>
        <v>#REF!</v>
      </c>
      <c r="I291" t="e">
        <f>AND(#REF!,"AAAAADn/bgg=")</f>
        <v>#REF!</v>
      </c>
      <c r="J291" t="e">
        <f>AND(#REF!,"AAAAADn/bgk=")</f>
        <v>#REF!</v>
      </c>
      <c r="K291" t="e">
        <f>AND(#REF!,"AAAAADn/bgo=")</f>
        <v>#REF!</v>
      </c>
      <c r="L291" t="e">
        <f>AND(#REF!,"AAAAADn/bgs=")</f>
        <v>#REF!</v>
      </c>
      <c r="M291" t="e">
        <f>AND(#REF!,"AAAAADn/bgw=")</f>
        <v>#REF!</v>
      </c>
      <c r="N291" t="e">
        <f>AND(#REF!,"AAAAADn/bg0=")</f>
        <v>#REF!</v>
      </c>
      <c r="O291" t="e">
        <f>AND(#REF!,"AAAAADn/bg4=")</f>
        <v>#REF!</v>
      </c>
      <c r="P291" t="e">
        <f>AND(#REF!,"AAAAADn/bg8=")</f>
        <v>#REF!</v>
      </c>
      <c r="Q291" t="e">
        <f>AND(#REF!,"AAAAADn/bhA=")</f>
        <v>#REF!</v>
      </c>
      <c r="R291" t="e">
        <f>AND(#REF!,"AAAAADn/bhE=")</f>
        <v>#REF!</v>
      </c>
      <c r="S291" t="e">
        <f>AND(#REF!,"AAAAADn/bhI=")</f>
        <v>#REF!</v>
      </c>
      <c r="T291" t="e">
        <f>AND(#REF!,"AAAAADn/bhM=")</f>
        <v>#REF!</v>
      </c>
      <c r="U291" t="e">
        <f>IF(#REF!,"AAAAADn/bhQ=",0)</f>
        <v>#REF!</v>
      </c>
      <c r="V291" t="e">
        <f>AND(#REF!,"AAAAADn/bhU=")</f>
        <v>#REF!</v>
      </c>
      <c r="W291" t="e">
        <f>AND(#REF!,"AAAAADn/bhY=")</f>
        <v>#REF!</v>
      </c>
      <c r="X291" t="e">
        <f>AND(#REF!,"AAAAADn/bhc=")</f>
        <v>#REF!</v>
      </c>
      <c r="Y291" t="e">
        <f>AND(#REF!,"AAAAADn/bhg=")</f>
        <v>#REF!</v>
      </c>
      <c r="Z291" t="e">
        <f>AND(#REF!,"AAAAADn/bhk=")</f>
        <v>#REF!</v>
      </c>
      <c r="AA291" t="e">
        <f>AND(#REF!,"AAAAADn/bho=")</f>
        <v>#REF!</v>
      </c>
      <c r="AB291" t="e">
        <f>AND(#REF!,"AAAAADn/bhs=")</f>
        <v>#REF!</v>
      </c>
      <c r="AC291" t="e">
        <f>AND(#REF!,"AAAAADn/bhw=")</f>
        <v>#REF!</v>
      </c>
      <c r="AD291" t="e">
        <f>AND(#REF!,"AAAAADn/bh0=")</f>
        <v>#REF!</v>
      </c>
      <c r="AE291" t="e">
        <f>AND(#REF!,"AAAAADn/bh4=")</f>
        <v>#REF!</v>
      </c>
      <c r="AF291" t="e">
        <f>AND(#REF!,"AAAAADn/bh8=")</f>
        <v>#REF!</v>
      </c>
      <c r="AG291" t="e">
        <f>AND(#REF!,"AAAAADn/biA=")</f>
        <v>#REF!</v>
      </c>
      <c r="AH291" t="e">
        <f>AND(#REF!,"AAAAADn/biE=")</f>
        <v>#REF!</v>
      </c>
      <c r="AI291" t="e">
        <f>AND(#REF!,"AAAAADn/biI=")</f>
        <v>#REF!</v>
      </c>
      <c r="AJ291" t="e">
        <f>AND(#REF!,"AAAAADn/biM=")</f>
        <v>#REF!</v>
      </c>
      <c r="AK291" t="e">
        <f>AND(#REF!,"AAAAADn/biQ=")</f>
        <v>#REF!</v>
      </c>
      <c r="AL291" t="e">
        <f>AND(#REF!,"AAAAADn/biU=")</f>
        <v>#REF!</v>
      </c>
      <c r="AM291" t="e">
        <f>AND(#REF!,"AAAAADn/biY=")</f>
        <v>#REF!</v>
      </c>
      <c r="AN291" t="e">
        <f>AND(#REF!,"AAAAADn/bic=")</f>
        <v>#REF!</v>
      </c>
      <c r="AO291" t="e">
        <f>AND(#REF!,"AAAAADn/big=")</f>
        <v>#REF!</v>
      </c>
      <c r="AP291" t="e">
        <f>AND(#REF!,"AAAAADn/bik=")</f>
        <v>#REF!</v>
      </c>
      <c r="AQ291" t="e">
        <f>AND(#REF!,"AAAAADn/bio=")</f>
        <v>#REF!</v>
      </c>
      <c r="AR291" t="e">
        <f>AND(#REF!,"AAAAADn/bis=")</f>
        <v>#REF!</v>
      </c>
      <c r="AS291" t="e">
        <f>AND(#REF!,"AAAAADn/biw=")</f>
        <v>#REF!</v>
      </c>
      <c r="AT291" t="e">
        <f>IF(#REF!,"AAAAADn/bi0=",0)</f>
        <v>#REF!</v>
      </c>
      <c r="AU291" t="e">
        <f>AND(#REF!,"AAAAADn/bi4=")</f>
        <v>#REF!</v>
      </c>
      <c r="AV291" t="e">
        <f>AND(#REF!,"AAAAADn/bi8=")</f>
        <v>#REF!</v>
      </c>
      <c r="AW291" t="e">
        <f>AND(#REF!,"AAAAADn/bjA=")</f>
        <v>#REF!</v>
      </c>
      <c r="AX291" t="e">
        <f>AND(#REF!,"AAAAADn/bjE=")</f>
        <v>#REF!</v>
      </c>
      <c r="AY291" t="e">
        <f>AND(#REF!,"AAAAADn/bjI=")</f>
        <v>#REF!</v>
      </c>
      <c r="AZ291" t="e">
        <f>AND(#REF!,"AAAAADn/bjM=")</f>
        <v>#REF!</v>
      </c>
      <c r="BA291" t="e">
        <f>AND(#REF!,"AAAAADn/bjQ=")</f>
        <v>#REF!</v>
      </c>
      <c r="BB291" t="e">
        <f>AND(#REF!,"AAAAADn/bjU=")</f>
        <v>#REF!</v>
      </c>
      <c r="BC291" t="e">
        <f>AND(#REF!,"AAAAADn/bjY=")</f>
        <v>#REF!</v>
      </c>
      <c r="BD291" t="e">
        <f>AND(#REF!,"AAAAADn/bjc=")</f>
        <v>#REF!</v>
      </c>
      <c r="BE291" t="e">
        <f>AND(#REF!,"AAAAADn/bjg=")</f>
        <v>#REF!</v>
      </c>
      <c r="BF291" t="e">
        <f>AND(#REF!,"AAAAADn/bjk=")</f>
        <v>#REF!</v>
      </c>
      <c r="BG291" t="e">
        <f>AND(#REF!,"AAAAADn/bjo=")</f>
        <v>#REF!</v>
      </c>
      <c r="BH291" t="e">
        <f>AND(#REF!,"AAAAADn/bjs=")</f>
        <v>#REF!</v>
      </c>
      <c r="BI291" t="e">
        <f>AND(#REF!,"AAAAADn/bjw=")</f>
        <v>#REF!</v>
      </c>
      <c r="BJ291" t="e">
        <f>AND(#REF!,"AAAAADn/bj0=")</f>
        <v>#REF!</v>
      </c>
      <c r="BK291" t="e">
        <f>AND(#REF!,"AAAAADn/bj4=")</f>
        <v>#REF!</v>
      </c>
      <c r="BL291" t="e">
        <f>AND(#REF!,"AAAAADn/bj8=")</f>
        <v>#REF!</v>
      </c>
      <c r="BM291" t="e">
        <f>AND(#REF!,"AAAAADn/bkA=")</f>
        <v>#REF!</v>
      </c>
      <c r="BN291" t="e">
        <f>AND(#REF!,"AAAAADn/bkE=")</f>
        <v>#REF!</v>
      </c>
      <c r="BO291" t="e">
        <f>AND(#REF!,"AAAAADn/bkI=")</f>
        <v>#REF!</v>
      </c>
      <c r="BP291" t="e">
        <f>AND(#REF!,"AAAAADn/bkM=")</f>
        <v>#REF!</v>
      </c>
      <c r="BQ291" t="e">
        <f>AND(#REF!,"AAAAADn/bkQ=")</f>
        <v>#REF!</v>
      </c>
      <c r="BR291" t="e">
        <f>AND(#REF!,"AAAAADn/bkU=")</f>
        <v>#REF!</v>
      </c>
      <c r="BS291" t="e">
        <f>IF(#REF!,"AAAAADn/bkY=",0)</f>
        <v>#REF!</v>
      </c>
      <c r="BT291" t="e">
        <f>AND(#REF!,"AAAAADn/bkc=")</f>
        <v>#REF!</v>
      </c>
      <c r="BU291" t="e">
        <f>AND(#REF!,"AAAAADn/bkg=")</f>
        <v>#REF!</v>
      </c>
      <c r="BV291" t="e">
        <f>AND(#REF!,"AAAAADn/bkk=")</f>
        <v>#REF!</v>
      </c>
      <c r="BW291" t="e">
        <f>AND(#REF!,"AAAAADn/bko=")</f>
        <v>#REF!</v>
      </c>
      <c r="BX291" t="e">
        <f>AND(#REF!,"AAAAADn/bks=")</f>
        <v>#REF!</v>
      </c>
      <c r="BY291" t="e">
        <f>AND(#REF!,"AAAAADn/bkw=")</f>
        <v>#REF!</v>
      </c>
      <c r="BZ291" t="e">
        <f>AND(#REF!,"AAAAADn/bk0=")</f>
        <v>#REF!</v>
      </c>
      <c r="CA291" t="e">
        <f>AND(#REF!,"AAAAADn/bk4=")</f>
        <v>#REF!</v>
      </c>
      <c r="CB291" t="e">
        <f>AND(#REF!,"AAAAADn/bk8=")</f>
        <v>#REF!</v>
      </c>
      <c r="CC291" t="e">
        <f>AND(#REF!,"AAAAADn/blA=")</f>
        <v>#REF!</v>
      </c>
      <c r="CD291" t="e">
        <f>AND(#REF!,"AAAAADn/blE=")</f>
        <v>#REF!</v>
      </c>
      <c r="CE291" t="e">
        <f>AND(#REF!,"AAAAADn/blI=")</f>
        <v>#REF!</v>
      </c>
      <c r="CF291" t="e">
        <f>AND(#REF!,"AAAAADn/blM=")</f>
        <v>#REF!</v>
      </c>
      <c r="CG291" t="e">
        <f>AND(#REF!,"AAAAADn/blQ=")</f>
        <v>#REF!</v>
      </c>
      <c r="CH291" t="e">
        <f>AND(#REF!,"AAAAADn/blU=")</f>
        <v>#REF!</v>
      </c>
      <c r="CI291" t="e">
        <f>AND(#REF!,"AAAAADn/blY=")</f>
        <v>#REF!</v>
      </c>
      <c r="CJ291" t="e">
        <f>AND(#REF!,"AAAAADn/blc=")</f>
        <v>#REF!</v>
      </c>
      <c r="CK291" t="e">
        <f>AND(#REF!,"AAAAADn/blg=")</f>
        <v>#REF!</v>
      </c>
      <c r="CL291" t="e">
        <f>AND(#REF!,"AAAAADn/blk=")</f>
        <v>#REF!</v>
      </c>
      <c r="CM291" t="e">
        <f>AND(#REF!,"AAAAADn/blo=")</f>
        <v>#REF!</v>
      </c>
      <c r="CN291" t="e">
        <f>AND(#REF!,"AAAAADn/bls=")</f>
        <v>#REF!</v>
      </c>
      <c r="CO291" t="e">
        <f>AND(#REF!,"AAAAADn/blw=")</f>
        <v>#REF!</v>
      </c>
      <c r="CP291" t="e">
        <f>AND(#REF!,"AAAAADn/bl0=")</f>
        <v>#REF!</v>
      </c>
      <c r="CQ291" t="e">
        <f>AND(#REF!,"AAAAADn/bl4=")</f>
        <v>#REF!</v>
      </c>
      <c r="CR291" t="e">
        <f>IF(#REF!,"AAAAADn/bl8=",0)</f>
        <v>#REF!</v>
      </c>
      <c r="CS291" t="e">
        <f>AND(#REF!,"AAAAADn/bmA=")</f>
        <v>#REF!</v>
      </c>
      <c r="CT291" t="e">
        <f>AND(#REF!,"AAAAADn/bmE=")</f>
        <v>#REF!</v>
      </c>
      <c r="CU291" t="e">
        <f>AND(#REF!,"AAAAADn/bmI=")</f>
        <v>#REF!</v>
      </c>
      <c r="CV291" t="e">
        <f>AND(#REF!,"AAAAADn/bmM=")</f>
        <v>#REF!</v>
      </c>
      <c r="CW291" t="e">
        <f>AND(#REF!,"AAAAADn/bmQ=")</f>
        <v>#REF!</v>
      </c>
      <c r="CX291" t="e">
        <f>AND(#REF!,"AAAAADn/bmU=")</f>
        <v>#REF!</v>
      </c>
      <c r="CY291" t="e">
        <f>AND(#REF!,"AAAAADn/bmY=")</f>
        <v>#REF!</v>
      </c>
      <c r="CZ291" t="e">
        <f>AND(#REF!,"AAAAADn/bmc=")</f>
        <v>#REF!</v>
      </c>
      <c r="DA291" t="e">
        <f>AND(#REF!,"AAAAADn/bmg=")</f>
        <v>#REF!</v>
      </c>
      <c r="DB291" t="e">
        <f>AND(#REF!,"AAAAADn/bmk=")</f>
        <v>#REF!</v>
      </c>
      <c r="DC291" t="e">
        <f>AND(#REF!,"AAAAADn/bmo=")</f>
        <v>#REF!</v>
      </c>
      <c r="DD291" t="e">
        <f>AND(#REF!,"AAAAADn/bms=")</f>
        <v>#REF!</v>
      </c>
      <c r="DE291" t="e">
        <f>AND(#REF!,"AAAAADn/bmw=")</f>
        <v>#REF!</v>
      </c>
      <c r="DF291" t="e">
        <f>AND(#REF!,"AAAAADn/bm0=")</f>
        <v>#REF!</v>
      </c>
      <c r="DG291" t="e">
        <f>AND(#REF!,"AAAAADn/bm4=")</f>
        <v>#REF!</v>
      </c>
      <c r="DH291" t="e">
        <f>AND(#REF!,"AAAAADn/bm8=")</f>
        <v>#REF!</v>
      </c>
      <c r="DI291" t="e">
        <f>AND(#REF!,"AAAAADn/bnA=")</f>
        <v>#REF!</v>
      </c>
      <c r="DJ291" t="e">
        <f>AND(#REF!,"AAAAADn/bnE=")</f>
        <v>#REF!</v>
      </c>
      <c r="DK291" t="e">
        <f>AND(#REF!,"AAAAADn/bnI=")</f>
        <v>#REF!</v>
      </c>
      <c r="DL291" t="e">
        <f>AND(#REF!,"AAAAADn/bnM=")</f>
        <v>#REF!</v>
      </c>
      <c r="DM291" t="e">
        <f>AND(#REF!,"AAAAADn/bnQ=")</f>
        <v>#REF!</v>
      </c>
      <c r="DN291" t="e">
        <f>AND(#REF!,"AAAAADn/bnU=")</f>
        <v>#REF!</v>
      </c>
      <c r="DO291" t="e">
        <f>AND(#REF!,"AAAAADn/bnY=")</f>
        <v>#REF!</v>
      </c>
      <c r="DP291" t="e">
        <f>AND(#REF!,"AAAAADn/bnc=")</f>
        <v>#REF!</v>
      </c>
      <c r="DQ291" t="e">
        <f>IF(#REF!,"AAAAADn/bng=",0)</f>
        <v>#REF!</v>
      </c>
      <c r="DR291" t="e">
        <f>AND(#REF!,"AAAAADn/bnk=")</f>
        <v>#REF!</v>
      </c>
      <c r="DS291" t="e">
        <f>AND(#REF!,"AAAAADn/bno=")</f>
        <v>#REF!</v>
      </c>
      <c r="DT291" t="e">
        <f>AND(#REF!,"AAAAADn/bns=")</f>
        <v>#REF!</v>
      </c>
      <c r="DU291" t="e">
        <f>AND(#REF!,"AAAAADn/bnw=")</f>
        <v>#REF!</v>
      </c>
      <c r="DV291" t="e">
        <f>AND(#REF!,"AAAAADn/bn0=")</f>
        <v>#REF!</v>
      </c>
      <c r="DW291" t="e">
        <f>AND(#REF!,"AAAAADn/bn4=")</f>
        <v>#REF!</v>
      </c>
      <c r="DX291" t="e">
        <f>AND(#REF!,"AAAAADn/bn8=")</f>
        <v>#REF!</v>
      </c>
      <c r="DY291" t="e">
        <f>AND(#REF!,"AAAAADn/boA=")</f>
        <v>#REF!</v>
      </c>
      <c r="DZ291" t="e">
        <f>AND(#REF!,"AAAAADn/boE=")</f>
        <v>#REF!</v>
      </c>
      <c r="EA291" t="e">
        <f>AND(#REF!,"AAAAADn/boI=")</f>
        <v>#REF!</v>
      </c>
      <c r="EB291" t="e">
        <f>AND(#REF!,"AAAAADn/boM=")</f>
        <v>#REF!</v>
      </c>
      <c r="EC291" t="e">
        <f>AND(#REF!,"AAAAADn/boQ=")</f>
        <v>#REF!</v>
      </c>
      <c r="ED291" t="e">
        <f>AND(#REF!,"AAAAADn/boU=")</f>
        <v>#REF!</v>
      </c>
      <c r="EE291" t="e">
        <f>AND(#REF!,"AAAAADn/boY=")</f>
        <v>#REF!</v>
      </c>
      <c r="EF291" t="e">
        <f>AND(#REF!,"AAAAADn/boc=")</f>
        <v>#REF!</v>
      </c>
      <c r="EG291" t="e">
        <f>AND(#REF!,"AAAAADn/bog=")</f>
        <v>#REF!</v>
      </c>
      <c r="EH291" t="e">
        <f>AND(#REF!,"AAAAADn/bok=")</f>
        <v>#REF!</v>
      </c>
      <c r="EI291" t="e">
        <f>AND(#REF!,"AAAAADn/boo=")</f>
        <v>#REF!</v>
      </c>
      <c r="EJ291" t="e">
        <f>AND(#REF!,"AAAAADn/bos=")</f>
        <v>#REF!</v>
      </c>
      <c r="EK291" t="e">
        <f>AND(#REF!,"AAAAADn/bow=")</f>
        <v>#REF!</v>
      </c>
      <c r="EL291" t="e">
        <f>AND(#REF!,"AAAAADn/bo0=")</f>
        <v>#REF!</v>
      </c>
      <c r="EM291" t="e">
        <f>AND(#REF!,"AAAAADn/bo4=")</f>
        <v>#REF!</v>
      </c>
      <c r="EN291" t="e">
        <f>AND(#REF!,"AAAAADn/bo8=")</f>
        <v>#REF!</v>
      </c>
      <c r="EO291" t="e">
        <f>AND(#REF!,"AAAAADn/bpA=")</f>
        <v>#REF!</v>
      </c>
      <c r="EP291" t="e">
        <f>IF(#REF!,"AAAAADn/bpE=",0)</f>
        <v>#REF!</v>
      </c>
      <c r="EQ291" t="e">
        <f>AND(#REF!,"AAAAADn/bpI=")</f>
        <v>#REF!</v>
      </c>
      <c r="ER291" t="e">
        <f>AND(#REF!,"AAAAADn/bpM=")</f>
        <v>#REF!</v>
      </c>
      <c r="ES291" t="e">
        <f>AND(#REF!,"AAAAADn/bpQ=")</f>
        <v>#REF!</v>
      </c>
      <c r="ET291" t="e">
        <f>AND(#REF!,"AAAAADn/bpU=")</f>
        <v>#REF!</v>
      </c>
      <c r="EU291" t="e">
        <f>AND(#REF!,"AAAAADn/bpY=")</f>
        <v>#REF!</v>
      </c>
      <c r="EV291" t="e">
        <f>AND(#REF!,"AAAAADn/bpc=")</f>
        <v>#REF!</v>
      </c>
      <c r="EW291" t="e">
        <f>AND(#REF!,"AAAAADn/bpg=")</f>
        <v>#REF!</v>
      </c>
      <c r="EX291" t="e">
        <f>AND(#REF!,"AAAAADn/bpk=")</f>
        <v>#REF!</v>
      </c>
      <c r="EY291" t="e">
        <f>AND(#REF!,"AAAAADn/bpo=")</f>
        <v>#REF!</v>
      </c>
      <c r="EZ291" t="e">
        <f>AND(#REF!,"AAAAADn/bps=")</f>
        <v>#REF!</v>
      </c>
      <c r="FA291" t="e">
        <f>AND(#REF!,"AAAAADn/bpw=")</f>
        <v>#REF!</v>
      </c>
      <c r="FB291" t="e">
        <f>AND(#REF!,"AAAAADn/bp0=")</f>
        <v>#REF!</v>
      </c>
      <c r="FC291" t="e">
        <f>AND(#REF!,"AAAAADn/bp4=")</f>
        <v>#REF!</v>
      </c>
      <c r="FD291" t="e">
        <f>AND(#REF!,"AAAAADn/bp8=")</f>
        <v>#REF!</v>
      </c>
      <c r="FE291" t="e">
        <f>AND(#REF!,"AAAAADn/bqA=")</f>
        <v>#REF!</v>
      </c>
      <c r="FF291" t="e">
        <f>AND(#REF!,"AAAAADn/bqE=")</f>
        <v>#REF!</v>
      </c>
      <c r="FG291" t="e">
        <f>AND(#REF!,"AAAAADn/bqI=")</f>
        <v>#REF!</v>
      </c>
      <c r="FH291" t="e">
        <f>AND(#REF!,"AAAAADn/bqM=")</f>
        <v>#REF!</v>
      </c>
      <c r="FI291" t="e">
        <f>AND(#REF!,"AAAAADn/bqQ=")</f>
        <v>#REF!</v>
      </c>
      <c r="FJ291" t="e">
        <f>AND(#REF!,"AAAAADn/bqU=")</f>
        <v>#REF!</v>
      </c>
      <c r="FK291" t="e">
        <f>AND(#REF!,"AAAAADn/bqY=")</f>
        <v>#REF!</v>
      </c>
      <c r="FL291" t="e">
        <f>AND(#REF!,"AAAAADn/bqc=")</f>
        <v>#REF!</v>
      </c>
      <c r="FM291" t="e">
        <f>AND(#REF!,"AAAAADn/bqg=")</f>
        <v>#REF!</v>
      </c>
      <c r="FN291" t="e">
        <f>AND(#REF!,"AAAAADn/bqk=")</f>
        <v>#REF!</v>
      </c>
      <c r="FO291" t="e">
        <f>IF(#REF!,"AAAAADn/bqo=",0)</f>
        <v>#REF!</v>
      </c>
      <c r="FP291" t="e">
        <f>AND(#REF!,"AAAAADn/bqs=")</f>
        <v>#REF!</v>
      </c>
      <c r="FQ291" t="e">
        <f>AND(#REF!,"AAAAADn/bqw=")</f>
        <v>#REF!</v>
      </c>
      <c r="FR291" t="e">
        <f>AND(#REF!,"AAAAADn/bq0=")</f>
        <v>#REF!</v>
      </c>
      <c r="FS291" t="e">
        <f>AND(#REF!,"AAAAADn/bq4=")</f>
        <v>#REF!</v>
      </c>
      <c r="FT291" t="e">
        <f>AND(#REF!,"AAAAADn/bq8=")</f>
        <v>#REF!</v>
      </c>
      <c r="FU291" t="e">
        <f>AND(#REF!,"AAAAADn/brA=")</f>
        <v>#REF!</v>
      </c>
      <c r="FV291" t="e">
        <f>AND(#REF!,"AAAAADn/brE=")</f>
        <v>#REF!</v>
      </c>
      <c r="FW291" t="e">
        <f>AND(#REF!,"AAAAADn/brI=")</f>
        <v>#REF!</v>
      </c>
      <c r="FX291" t="e">
        <f>AND(#REF!,"AAAAADn/brM=")</f>
        <v>#REF!</v>
      </c>
      <c r="FY291" t="e">
        <f>AND(#REF!,"AAAAADn/brQ=")</f>
        <v>#REF!</v>
      </c>
      <c r="FZ291" t="e">
        <f>AND(#REF!,"AAAAADn/brU=")</f>
        <v>#REF!</v>
      </c>
      <c r="GA291" t="e">
        <f>AND(#REF!,"AAAAADn/brY=")</f>
        <v>#REF!</v>
      </c>
      <c r="GB291" t="e">
        <f>AND(#REF!,"AAAAADn/brc=")</f>
        <v>#REF!</v>
      </c>
      <c r="GC291" t="e">
        <f>AND(#REF!,"AAAAADn/brg=")</f>
        <v>#REF!</v>
      </c>
      <c r="GD291" t="e">
        <f>AND(#REF!,"AAAAADn/brk=")</f>
        <v>#REF!</v>
      </c>
      <c r="GE291" t="e">
        <f>AND(#REF!,"AAAAADn/bro=")</f>
        <v>#REF!</v>
      </c>
      <c r="GF291" t="e">
        <f>AND(#REF!,"AAAAADn/brs=")</f>
        <v>#REF!</v>
      </c>
      <c r="GG291" t="e">
        <f>AND(#REF!,"AAAAADn/brw=")</f>
        <v>#REF!</v>
      </c>
      <c r="GH291" t="e">
        <f>AND(#REF!,"AAAAADn/br0=")</f>
        <v>#REF!</v>
      </c>
      <c r="GI291" t="e">
        <f>AND(#REF!,"AAAAADn/br4=")</f>
        <v>#REF!</v>
      </c>
      <c r="GJ291" t="e">
        <f>AND(#REF!,"AAAAADn/br8=")</f>
        <v>#REF!</v>
      </c>
      <c r="GK291" t="e">
        <f>AND(#REF!,"AAAAADn/bsA=")</f>
        <v>#REF!</v>
      </c>
      <c r="GL291" t="e">
        <f>AND(#REF!,"AAAAADn/bsE=")</f>
        <v>#REF!</v>
      </c>
      <c r="GM291" t="e">
        <f>AND(#REF!,"AAAAADn/bsI=")</f>
        <v>#REF!</v>
      </c>
      <c r="GN291" t="e">
        <f>IF(#REF!,"AAAAADn/bsM=",0)</f>
        <v>#REF!</v>
      </c>
      <c r="GO291" t="e">
        <f>AND(#REF!,"AAAAADn/bsQ=")</f>
        <v>#REF!</v>
      </c>
      <c r="GP291" t="e">
        <f>AND(#REF!,"AAAAADn/bsU=")</f>
        <v>#REF!</v>
      </c>
      <c r="GQ291" t="e">
        <f>AND(#REF!,"AAAAADn/bsY=")</f>
        <v>#REF!</v>
      </c>
      <c r="GR291" t="e">
        <f>AND(#REF!,"AAAAADn/bsc=")</f>
        <v>#REF!</v>
      </c>
      <c r="GS291" t="e">
        <f>AND(#REF!,"AAAAADn/bsg=")</f>
        <v>#REF!</v>
      </c>
      <c r="GT291" t="e">
        <f>AND(#REF!,"AAAAADn/bsk=")</f>
        <v>#REF!</v>
      </c>
      <c r="GU291" t="e">
        <f>AND(#REF!,"AAAAADn/bso=")</f>
        <v>#REF!</v>
      </c>
      <c r="GV291" t="e">
        <f>AND(#REF!,"AAAAADn/bss=")</f>
        <v>#REF!</v>
      </c>
      <c r="GW291" t="e">
        <f>AND(#REF!,"AAAAADn/bsw=")</f>
        <v>#REF!</v>
      </c>
      <c r="GX291" t="e">
        <f>AND(#REF!,"AAAAADn/bs0=")</f>
        <v>#REF!</v>
      </c>
      <c r="GY291" t="e">
        <f>AND(#REF!,"AAAAADn/bs4=")</f>
        <v>#REF!</v>
      </c>
      <c r="GZ291" t="e">
        <f>AND(#REF!,"AAAAADn/bs8=")</f>
        <v>#REF!</v>
      </c>
      <c r="HA291" t="e">
        <f>AND(#REF!,"AAAAADn/btA=")</f>
        <v>#REF!</v>
      </c>
      <c r="HB291" t="e">
        <f>AND(#REF!,"AAAAADn/btE=")</f>
        <v>#REF!</v>
      </c>
      <c r="HC291" t="e">
        <f>AND(#REF!,"AAAAADn/btI=")</f>
        <v>#REF!</v>
      </c>
      <c r="HD291" t="e">
        <f>AND(#REF!,"AAAAADn/btM=")</f>
        <v>#REF!</v>
      </c>
      <c r="HE291" t="e">
        <f>AND(#REF!,"AAAAADn/btQ=")</f>
        <v>#REF!</v>
      </c>
      <c r="HF291" t="e">
        <f>AND(#REF!,"AAAAADn/btU=")</f>
        <v>#REF!</v>
      </c>
      <c r="HG291" t="e">
        <f>AND(#REF!,"AAAAADn/btY=")</f>
        <v>#REF!</v>
      </c>
      <c r="HH291" t="e">
        <f>AND(#REF!,"AAAAADn/btc=")</f>
        <v>#REF!</v>
      </c>
      <c r="HI291" t="e">
        <f>AND(#REF!,"AAAAADn/btg=")</f>
        <v>#REF!</v>
      </c>
      <c r="HJ291" t="e">
        <f>AND(#REF!,"AAAAADn/btk=")</f>
        <v>#REF!</v>
      </c>
      <c r="HK291" t="e">
        <f>AND(#REF!,"AAAAADn/bto=")</f>
        <v>#REF!</v>
      </c>
      <c r="HL291" t="e">
        <f>AND(#REF!,"AAAAADn/bts=")</f>
        <v>#REF!</v>
      </c>
      <c r="HM291" t="e">
        <f>IF(#REF!,"AAAAADn/btw=",0)</f>
        <v>#REF!</v>
      </c>
      <c r="HN291" t="e">
        <f>AND(#REF!,"AAAAADn/bt0=")</f>
        <v>#REF!</v>
      </c>
      <c r="HO291" t="e">
        <f>AND(#REF!,"AAAAADn/bt4=")</f>
        <v>#REF!</v>
      </c>
      <c r="HP291" t="e">
        <f>AND(#REF!,"AAAAADn/bt8=")</f>
        <v>#REF!</v>
      </c>
      <c r="HQ291" t="e">
        <f>AND(#REF!,"AAAAADn/buA=")</f>
        <v>#REF!</v>
      </c>
      <c r="HR291" t="e">
        <f>AND(#REF!,"AAAAADn/buE=")</f>
        <v>#REF!</v>
      </c>
      <c r="HS291" t="e">
        <f>AND(#REF!,"AAAAADn/buI=")</f>
        <v>#REF!</v>
      </c>
      <c r="HT291" t="e">
        <f>AND(#REF!,"AAAAADn/buM=")</f>
        <v>#REF!</v>
      </c>
      <c r="HU291" t="e">
        <f>AND(#REF!,"AAAAADn/buQ=")</f>
        <v>#REF!</v>
      </c>
      <c r="HV291" t="e">
        <f>AND(#REF!,"AAAAADn/buU=")</f>
        <v>#REF!</v>
      </c>
      <c r="HW291" t="e">
        <f>AND(#REF!,"AAAAADn/buY=")</f>
        <v>#REF!</v>
      </c>
      <c r="HX291" t="e">
        <f>AND(#REF!,"AAAAADn/buc=")</f>
        <v>#REF!</v>
      </c>
      <c r="HY291" t="e">
        <f>AND(#REF!,"AAAAADn/bug=")</f>
        <v>#REF!</v>
      </c>
      <c r="HZ291" t="e">
        <f>AND(#REF!,"AAAAADn/buk=")</f>
        <v>#REF!</v>
      </c>
      <c r="IA291" t="e">
        <f>AND(#REF!,"AAAAADn/buo=")</f>
        <v>#REF!</v>
      </c>
      <c r="IB291" t="e">
        <f>AND(#REF!,"AAAAADn/bus=")</f>
        <v>#REF!</v>
      </c>
      <c r="IC291" t="e">
        <f>AND(#REF!,"AAAAADn/buw=")</f>
        <v>#REF!</v>
      </c>
      <c r="ID291" t="e">
        <f>AND(#REF!,"AAAAADn/bu0=")</f>
        <v>#REF!</v>
      </c>
      <c r="IE291" t="e">
        <f>AND(#REF!,"AAAAADn/bu4=")</f>
        <v>#REF!</v>
      </c>
      <c r="IF291" t="e">
        <f>AND(#REF!,"AAAAADn/bu8=")</f>
        <v>#REF!</v>
      </c>
      <c r="IG291" t="e">
        <f>AND(#REF!,"AAAAADn/bvA=")</f>
        <v>#REF!</v>
      </c>
      <c r="IH291" t="e">
        <f>AND(#REF!,"AAAAADn/bvE=")</f>
        <v>#REF!</v>
      </c>
      <c r="II291" t="e">
        <f>AND(#REF!,"AAAAADn/bvI=")</f>
        <v>#REF!</v>
      </c>
      <c r="IJ291" t="e">
        <f>AND(#REF!,"AAAAADn/bvM=")</f>
        <v>#REF!</v>
      </c>
      <c r="IK291" t="e">
        <f>AND(#REF!,"AAAAADn/bvQ=")</f>
        <v>#REF!</v>
      </c>
      <c r="IL291" t="e">
        <f>IF(#REF!,"AAAAADn/bvU=",0)</f>
        <v>#REF!</v>
      </c>
      <c r="IM291" t="e">
        <f>AND(#REF!,"AAAAADn/bvY=")</f>
        <v>#REF!</v>
      </c>
      <c r="IN291" t="e">
        <f>AND(#REF!,"AAAAADn/bvc=")</f>
        <v>#REF!</v>
      </c>
      <c r="IO291" t="e">
        <f>AND(#REF!,"AAAAADn/bvg=")</f>
        <v>#REF!</v>
      </c>
      <c r="IP291" t="e">
        <f>AND(#REF!,"AAAAADn/bvk=")</f>
        <v>#REF!</v>
      </c>
      <c r="IQ291" t="e">
        <f>AND(#REF!,"AAAAADn/bvo=")</f>
        <v>#REF!</v>
      </c>
      <c r="IR291" t="e">
        <f>AND(#REF!,"AAAAADn/bvs=")</f>
        <v>#REF!</v>
      </c>
      <c r="IS291" t="e">
        <f>AND(#REF!,"AAAAADn/bvw=")</f>
        <v>#REF!</v>
      </c>
      <c r="IT291" t="e">
        <f>AND(#REF!,"AAAAADn/bv0=")</f>
        <v>#REF!</v>
      </c>
      <c r="IU291" t="e">
        <f>AND(#REF!,"AAAAADn/bv4=")</f>
        <v>#REF!</v>
      </c>
      <c r="IV291" t="e">
        <f>AND(#REF!,"AAAAADn/bv8=")</f>
        <v>#REF!</v>
      </c>
    </row>
    <row r="292" spans="1:256">
      <c r="A292" t="e">
        <f>AND(#REF!,"AAAAAH925wA=")</f>
        <v>#REF!</v>
      </c>
      <c r="B292" t="e">
        <f>AND(#REF!,"AAAAAH925wE=")</f>
        <v>#REF!</v>
      </c>
      <c r="C292" t="e">
        <f>AND(#REF!,"AAAAAH925wI=")</f>
        <v>#REF!</v>
      </c>
      <c r="D292" t="e">
        <f>AND(#REF!,"AAAAAH925wM=")</f>
        <v>#REF!</v>
      </c>
      <c r="E292" t="e">
        <f>AND(#REF!,"AAAAAH925wQ=")</f>
        <v>#REF!</v>
      </c>
      <c r="F292" t="e">
        <f>AND(#REF!,"AAAAAH925wU=")</f>
        <v>#REF!</v>
      </c>
      <c r="G292" t="e">
        <f>AND(#REF!,"AAAAAH925wY=")</f>
        <v>#REF!</v>
      </c>
      <c r="H292" t="e">
        <f>AND(#REF!,"AAAAAH925wc=")</f>
        <v>#REF!</v>
      </c>
      <c r="I292" t="e">
        <f>AND(#REF!,"AAAAAH925wg=")</f>
        <v>#REF!</v>
      </c>
      <c r="J292" t="e">
        <f>AND(#REF!,"AAAAAH925wk=")</f>
        <v>#REF!</v>
      </c>
      <c r="K292" t="e">
        <f>AND(#REF!,"AAAAAH925wo=")</f>
        <v>#REF!</v>
      </c>
      <c r="L292" t="e">
        <f>AND(#REF!,"AAAAAH925ws=")</f>
        <v>#REF!</v>
      </c>
      <c r="M292" t="e">
        <f>AND(#REF!,"AAAAAH925ww=")</f>
        <v>#REF!</v>
      </c>
      <c r="N292" t="e">
        <f>AND(#REF!,"AAAAAH925w0=")</f>
        <v>#REF!</v>
      </c>
      <c r="O292" t="e">
        <f>IF(#REF!,"AAAAAH925w4=",0)</f>
        <v>#REF!</v>
      </c>
      <c r="P292" t="e">
        <f>AND(#REF!,"AAAAAH925w8=")</f>
        <v>#REF!</v>
      </c>
      <c r="Q292" t="e">
        <f>AND(#REF!,"AAAAAH925xA=")</f>
        <v>#REF!</v>
      </c>
      <c r="R292" t="e">
        <f>AND(#REF!,"AAAAAH925xE=")</f>
        <v>#REF!</v>
      </c>
      <c r="S292" t="e">
        <f>AND(#REF!,"AAAAAH925xI=")</f>
        <v>#REF!</v>
      </c>
      <c r="T292" t="e">
        <f>AND(#REF!,"AAAAAH925xM=")</f>
        <v>#REF!</v>
      </c>
      <c r="U292" t="e">
        <f>AND(#REF!,"AAAAAH925xQ=")</f>
        <v>#REF!</v>
      </c>
      <c r="V292" t="e">
        <f>AND(#REF!,"AAAAAH925xU=")</f>
        <v>#REF!</v>
      </c>
      <c r="W292" t="e">
        <f>AND(#REF!,"AAAAAH925xY=")</f>
        <v>#REF!</v>
      </c>
      <c r="X292" t="e">
        <f>AND(#REF!,"AAAAAH925xc=")</f>
        <v>#REF!</v>
      </c>
      <c r="Y292" t="e">
        <f>AND(#REF!,"AAAAAH925xg=")</f>
        <v>#REF!</v>
      </c>
      <c r="Z292" t="e">
        <f>AND(#REF!,"AAAAAH925xk=")</f>
        <v>#REF!</v>
      </c>
      <c r="AA292" t="e">
        <f>AND(#REF!,"AAAAAH925xo=")</f>
        <v>#REF!</v>
      </c>
      <c r="AB292" t="e">
        <f>AND(#REF!,"AAAAAH925xs=")</f>
        <v>#REF!</v>
      </c>
      <c r="AC292" t="e">
        <f>AND(#REF!,"AAAAAH925xw=")</f>
        <v>#REF!</v>
      </c>
      <c r="AD292" t="e">
        <f>AND(#REF!,"AAAAAH925x0=")</f>
        <v>#REF!</v>
      </c>
      <c r="AE292" t="e">
        <f>AND(#REF!,"AAAAAH925x4=")</f>
        <v>#REF!</v>
      </c>
      <c r="AF292" t="e">
        <f>AND(#REF!,"AAAAAH925x8=")</f>
        <v>#REF!</v>
      </c>
      <c r="AG292" t="e">
        <f>AND(#REF!,"AAAAAH925yA=")</f>
        <v>#REF!</v>
      </c>
      <c r="AH292" t="e">
        <f>AND(#REF!,"AAAAAH925yE=")</f>
        <v>#REF!</v>
      </c>
      <c r="AI292" t="e">
        <f>AND(#REF!,"AAAAAH925yI=")</f>
        <v>#REF!</v>
      </c>
      <c r="AJ292" t="e">
        <f>AND(#REF!,"AAAAAH925yM=")</f>
        <v>#REF!</v>
      </c>
      <c r="AK292" t="e">
        <f>AND(#REF!,"AAAAAH925yQ=")</f>
        <v>#REF!</v>
      </c>
      <c r="AL292" t="e">
        <f>AND(#REF!,"AAAAAH925yU=")</f>
        <v>#REF!</v>
      </c>
      <c r="AM292" t="e">
        <f>AND(#REF!,"AAAAAH925yY=")</f>
        <v>#REF!</v>
      </c>
      <c r="AN292" t="e">
        <f>IF(#REF!,"AAAAAH925yc=",0)</f>
        <v>#REF!</v>
      </c>
      <c r="AO292" t="e">
        <f>AND(#REF!,"AAAAAH925yg=")</f>
        <v>#REF!</v>
      </c>
      <c r="AP292" t="e">
        <f>AND(#REF!,"AAAAAH925yk=")</f>
        <v>#REF!</v>
      </c>
      <c r="AQ292" t="e">
        <f>AND(#REF!,"AAAAAH925yo=")</f>
        <v>#REF!</v>
      </c>
      <c r="AR292" t="e">
        <f>AND(#REF!,"AAAAAH925ys=")</f>
        <v>#REF!</v>
      </c>
      <c r="AS292" t="e">
        <f>AND(#REF!,"AAAAAH925yw=")</f>
        <v>#REF!</v>
      </c>
      <c r="AT292" t="e">
        <f>AND(#REF!,"AAAAAH925y0=")</f>
        <v>#REF!</v>
      </c>
      <c r="AU292" t="e">
        <f>AND(#REF!,"AAAAAH925y4=")</f>
        <v>#REF!</v>
      </c>
      <c r="AV292" t="e">
        <f>AND(#REF!,"AAAAAH925y8=")</f>
        <v>#REF!</v>
      </c>
      <c r="AW292" t="e">
        <f>AND(#REF!,"AAAAAH925zA=")</f>
        <v>#REF!</v>
      </c>
      <c r="AX292" t="e">
        <f>AND(#REF!,"AAAAAH925zE=")</f>
        <v>#REF!</v>
      </c>
      <c r="AY292" t="e">
        <f>AND(#REF!,"AAAAAH925zI=")</f>
        <v>#REF!</v>
      </c>
      <c r="AZ292" t="e">
        <f>AND(#REF!,"AAAAAH925zM=")</f>
        <v>#REF!</v>
      </c>
      <c r="BA292" t="e">
        <f>AND(#REF!,"AAAAAH925zQ=")</f>
        <v>#REF!</v>
      </c>
      <c r="BB292" t="e">
        <f>AND(#REF!,"AAAAAH925zU=")</f>
        <v>#REF!</v>
      </c>
      <c r="BC292" t="e">
        <f>AND(#REF!,"AAAAAH925zY=")</f>
        <v>#REF!</v>
      </c>
      <c r="BD292" t="e">
        <f>AND(#REF!,"AAAAAH925zc=")</f>
        <v>#REF!</v>
      </c>
      <c r="BE292" t="e">
        <f>AND(#REF!,"AAAAAH925zg=")</f>
        <v>#REF!</v>
      </c>
      <c r="BF292" t="e">
        <f>AND(#REF!,"AAAAAH925zk=")</f>
        <v>#REF!</v>
      </c>
      <c r="BG292" t="e">
        <f>AND(#REF!,"AAAAAH925zo=")</f>
        <v>#REF!</v>
      </c>
      <c r="BH292" t="e">
        <f>AND(#REF!,"AAAAAH925zs=")</f>
        <v>#REF!</v>
      </c>
      <c r="BI292" t="e">
        <f>AND(#REF!,"AAAAAH925zw=")</f>
        <v>#REF!</v>
      </c>
      <c r="BJ292" t="e">
        <f>AND(#REF!,"AAAAAH925z0=")</f>
        <v>#REF!</v>
      </c>
      <c r="BK292" t="e">
        <f>AND(#REF!,"AAAAAH925z4=")</f>
        <v>#REF!</v>
      </c>
      <c r="BL292" t="e">
        <f>AND(#REF!,"AAAAAH925z8=")</f>
        <v>#REF!</v>
      </c>
      <c r="BM292" t="e">
        <f>IF(#REF!,"AAAAAH9250A=",0)</f>
        <v>#REF!</v>
      </c>
      <c r="BN292" t="e">
        <f>AND(#REF!,"AAAAAH9250E=")</f>
        <v>#REF!</v>
      </c>
      <c r="BO292" t="e">
        <f>AND(#REF!,"AAAAAH9250I=")</f>
        <v>#REF!</v>
      </c>
      <c r="BP292" t="e">
        <f>AND(#REF!,"AAAAAH9250M=")</f>
        <v>#REF!</v>
      </c>
      <c r="BQ292" t="e">
        <f>AND(#REF!,"AAAAAH9250Q=")</f>
        <v>#REF!</v>
      </c>
      <c r="BR292" t="e">
        <f>AND(#REF!,"AAAAAH9250U=")</f>
        <v>#REF!</v>
      </c>
      <c r="BS292" t="e">
        <f>AND(#REF!,"AAAAAH9250Y=")</f>
        <v>#REF!</v>
      </c>
      <c r="BT292" t="e">
        <f>AND(#REF!,"AAAAAH9250c=")</f>
        <v>#REF!</v>
      </c>
      <c r="BU292" t="e">
        <f>AND(#REF!,"AAAAAH9250g=")</f>
        <v>#REF!</v>
      </c>
      <c r="BV292" t="e">
        <f>AND(#REF!,"AAAAAH9250k=")</f>
        <v>#REF!</v>
      </c>
      <c r="BW292" t="e">
        <f>AND(#REF!,"AAAAAH9250o=")</f>
        <v>#REF!</v>
      </c>
      <c r="BX292" t="e">
        <f>AND(#REF!,"AAAAAH9250s=")</f>
        <v>#REF!</v>
      </c>
      <c r="BY292" t="e">
        <f>AND(#REF!,"AAAAAH9250w=")</f>
        <v>#REF!</v>
      </c>
      <c r="BZ292" t="e">
        <f>AND(#REF!,"AAAAAH92500=")</f>
        <v>#REF!</v>
      </c>
      <c r="CA292" t="e">
        <f>AND(#REF!,"AAAAAH92504=")</f>
        <v>#REF!</v>
      </c>
      <c r="CB292" t="e">
        <f>AND(#REF!,"AAAAAH92508=")</f>
        <v>#REF!</v>
      </c>
      <c r="CC292" t="e">
        <f>AND(#REF!,"AAAAAH9251A=")</f>
        <v>#REF!</v>
      </c>
      <c r="CD292" t="e">
        <f>AND(#REF!,"AAAAAH9251E=")</f>
        <v>#REF!</v>
      </c>
      <c r="CE292" t="e">
        <f>AND(#REF!,"AAAAAH9251I=")</f>
        <v>#REF!</v>
      </c>
      <c r="CF292" t="e">
        <f>AND(#REF!,"AAAAAH9251M=")</f>
        <v>#REF!</v>
      </c>
      <c r="CG292" t="e">
        <f>AND(#REF!,"AAAAAH9251Q=")</f>
        <v>#REF!</v>
      </c>
      <c r="CH292" t="e">
        <f>AND(#REF!,"AAAAAH9251U=")</f>
        <v>#REF!</v>
      </c>
      <c r="CI292" t="e">
        <f>AND(#REF!,"AAAAAH9251Y=")</f>
        <v>#REF!</v>
      </c>
      <c r="CJ292" t="e">
        <f>AND(#REF!,"AAAAAH9251c=")</f>
        <v>#REF!</v>
      </c>
      <c r="CK292" t="e">
        <f>AND(#REF!,"AAAAAH9251g=")</f>
        <v>#REF!</v>
      </c>
      <c r="CL292" t="e">
        <f>IF(#REF!,"AAAAAH9251k=",0)</f>
        <v>#REF!</v>
      </c>
      <c r="CM292" t="e">
        <f>AND(#REF!,"AAAAAH9251o=")</f>
        <v>#REF!</v>
      </c>
      <c r="CN292" t="e">
        <f>AND(#REF!,"AAAAAH9251s=")</f>
        <v>#REF!</v>
      </c>
      <c r="CO292" t="e">
        <f>AND(#REF!,"AAAAAH9251w=")</f>
        <v>#REF!</v>
      </c>
      <c r="CP292" t="e">
        <f>AND(#REF!,"AAAAAH92510=")</f>
        <v>#REF!</v>
      </c>
      <c r="CQ292" t="e">
        <f>AND(#REF!,"AAAAAH92514=")</f>
        <v>#REF!</v>
      </c>
      <c r="CR292" t="e">
        <f>AND(#REF!,"AAAAAH92518=")</f>
        <v>#REF!</v>
      </c>
      <c r="CS292" t="e">
        <f>AND(#REF!,"AAAAAH9252A=")</f>
        <v>#REF!</v>
      </c>
      <c r="CT292" t="e">
        <f>AND(#REF!,"AAAAAH9252E=")</f>
        <v>#REF!</v>
      </c>
      <c r="CU292" t="e">
        <f>AND(#REF!,"AAAAAH9252I=")</f>
        <v>#REF!</v>
      </c>
      <c r="CV292" t="e">
        <f>AND(#REF!,"AAAAAH9252M=")</f>
        <v>#REF!</v>
      </c>
      <c r="CW292" t="e">
        <f>AND(#REF!,"AAAAAH9252Q=")</f>
        <v>#REF!</v>
      </c>
      <c r="CX292" t="e">
        <f>AND(#REF!,"AAAAAH9252U=")</f>
        <v>#REF!</v>
      </c>
      <c r="CY292" t="e">
        <f>AND(#REF!,"AAAAAH9252Y=")</f>
        <v>#REF!</v>
      </c>
      <c r="CZ292" t="e">
        <f>AND(#REF!,"AAAAAH9252c=")</f>
        <v>#REF!</v>
      </c>
      <c r="DA292" t="e">
        <f>AND(#REF!,"AAAAAH9252g=")</f>
        <v>#REF!</v>
      </c>
      <c r="DB292" t="e">
        <f>AND(#REF!,"AAAAAH9252k=")</f>
        <v>#REF!</v>
      </c>
      <c r="DC292" t="e">
        <f>AND(#REF!,"AAAAAH9252o=")</f>
        <v>#REF!</v>
      </c>
      <c r="DD292" t="e">
        <f>AND(#REF!,"AAAAAH9252s=")</f>
        <v>#REF!</v>
      </c>
      <c r="DE292" t="e">
        <f>AND(#REF!,"AAAAAH9252w=")</f>
        <v>#REF!</v>
      </c>
      <c r="DF292" t="e">
        <f>AND(#REF!,"AAAAAH92520=")</f>
        <v>#REF!</v>
      </c>
      <c r="DG292" t="e">
        <f>AND(#REF!,"AAAAAH92524=")</f>
        <v>#REF!</v>
      </c>
      <c r="DH292" t="e">
        <f>AND(#REF!,"AAAAAH92528=")</f>
        <v>#REF!</v>
      </c>
      <c r="DI292" t="e">
        <f>AND(#REF!,"AAAAAH9253A=")</f>
        <v>#REF!</v>
      </c>
      <c r="DJ292" t="e">
        <f>AND(#REF!,"AAAAAH9253E=")</f>
        <v>#REF!</v>
      </c>
      <c r="DK292" t="e">
        <f>IF(#REF!,"AAAAAH9253I=",0)</f>
        <v>#REF!</v>
      </c>
      <c r="DL292" t="e">
        <f>AND(#REF!,"AAAAAH9253M=")</f>
        <v>#REF!</v>
      </c>
      <c r="DM292" t="e">
        <f>AND(#REF!,"AAAAAH9253Q=")</f>
        <v>#REF!</v>
      </c>
      <c r="DN292" t="e">
        <f>AND(#REF!,"AAAAAH9253U=")</f>
        <v>#REF!</v>
      </c>
      <c r="DO292" t="e">
        <f>AND(#REF!,"AAAAAH9253Y=")</f>
        <v>#REF!</v>
      </c>
      <c r="DP292" t="e">
        <f>AND(#REF!,"AAAAAH9253c=")</f>
        <v>#REF!</v>
      </c>
      <c r="DQ292" t="e">
        <f>AND(#REF!,"AAAAAH9253g=")</f>
        <v>#REF!</v>
      </c>
      <c r="DR292" t="e">
        <f>AND(#REF!,"AAAAAH9253k=")</f>
        <v>#REF!</v>
      </c>
      <c r="DS292" t="e">
        <f>AND(#REF!,"AAAAAH9253o=")</f>
        <v>#REF!</v>
      </c>
      <c r="DT292" t="e">
        <f>AND(#REF!,"AAAAAH9253s=")</f>
        <v>#REF!</v>
      </c>
      <c r="DU292" t="e">
        <f>AND(#REF!,"AAAAAH9253w=")</f>
        <v>#REF!</v>
      </c>
      <c r="DV292" t="e">
        <f>AND(#REF!,"AAAAAH92530=")</f>
        <v>#REF!</v>
      </c>
      <c r="DW292" t="e">
        <f>AND(#REF!,"AAAAAH92534=")</f>
        <v>#REF!</v>
      </c>
      <c r="DX292" t="e">
        <f>AND(#REF!,"AAAAAH92538=")</f>
        <v>#REF!</v>
      </c>
      <c r="DY292" t="e">
        <f>AND(#REF!,"AAAAAH9254A=")</f>
        <v>#REF!</v>
      </c>
      <c r="DZ292" t="e">
        <f>AND(#REF!,"AAAAAH9254E=")</f>
        <v>#REF!</v>
      </c>
      <c r="EA292" t="e">
        <f>AND(#REF!,"AAAAAH9254I=")</f>
        <v>#REF!</v>
      </c>
      <c r="EB292" t="e">
        <f>AND(#REF!,"AAAAAH9254M=")</f>
        <v>#REF!</v>
      </c>
      <c r="EC292" t="e">
        <f>AND(#REF!,"AAAAAH9254Q=")</f>
        <v>#REF!</v>
      </c>
      <c r="ED292" t="e">
        <f>AND(#REF!,"AAAAAH9254U=")</f>
        <v>#REF!</v>
      </c>
      <c r="EE292" t="e">
        <f>AND(#REF!,"AAAAAH9254Y=")</f>
        <v>#REF!</v>
      </c>
      <c r="EF292" t="e">
        <f>AND(#REF!,"AAAAAH9254c=")</f>
        <v>#REF!</v>
      </c>
      <c r="EG292" t="e">
        <f>AND(#REF!,"AAAAAH9254g=")</f>
        <v>#REF!</v>
      </c>
      <c r="EH292" t="e">
        <f>AND(#REF!,"AAAAAH9254k=")</f>
        <v>#REF!</v>
      </c>
      <c r="EI292" t="e">
        <f>AND(#REF!,"AAAAAH9254o=")</f>
        <v>#REF!</v>
      </c>
      <c r="EJ292" t="e">
        <f>IF(#REF!,"AAAAAH9254s=",0)</f>
        <v>#REF!</v>
      </c>
      <c r="EK292" t="e">
        <f>AND(#REF!,"AAAAAH9254w=")</f>
        <v>#REF!</v>
      </c>
      <c r="EL292" t="e">
        <f>AND(#REF!,"AAAAAH92540=")</f>
        <v>#REF!</v>
      </c>
      <c r="EM292" t="e">
        <f>AND(#REF!,"AAAAAH92544=")</f>
        <v>#REF!</v>
      </c>
      <c r="EN292" t="e">
        <f>AND(#REF!,"AAAAAH92548=")</f>
        <v>#REF!</v>
      </c>
      <c r="EO292" t="e">
        <f>AND(#REF!,"AAAAAH9255A=")</f>
        <v>#REF!</v>
      </c>
      <c r="EP292" t="e">
        <f>AND(#REF!,"AAAAAH9255E=")</f>
        <v>#REF!</v>
      </c>
      <c r="EQ292" t="e">
        <f>AND(#REF!,"AAAAAH9255I=")</f>
        <v>#REF!</v>
      </c>
      <c r="ER292" t="e">
        <f>AND(#REF!,"AAAAAH9255M=")</f>
        <v>#REF!</v>
      </c>
      <c r="ES292" t="e">
        <f>AND(#REF!,"AAAAAH9255Q=")</f>
        <v>#REF!</v>
      </c>
      <c r="ET292" t="e">
        <f>AND(#REF!,"AAAAAH9255U=")</f>
        <v>#REF!</v>
      </c>
      <c r="EU292" t="e">
        <f>AND(#REF!,"AAAAAH9255Y=")</f>
        <v>#REF!</v>
      </c>
      <c r="EV292" t="e">
        <f>AND(#REF!,"AAAAAH9255c=")</f>
        <v>#REF!</v>
      </c>
      <c r="EW292" t="e">
        <f>AND(#REF!,"AAAAAH9255g=")</f>
        <v>#REF!</v>
      </c>
      <c r="EX292" t="e">
        <f>AND(#REF!,"AAAAAH9255k=")</f>
        <v>#REF!</v>
      </c>
      <c r="EY292" t="e">
        <f>AND(#REF!,"AAAAAH9255o=")</f>
        <v>#REF!</v>
      </c>
      <c r="EZ292" t="e">
        <f>AND(#REF!,"AAAAAH9255s=")</f>
        <v>#REF!</v>
      </c>
      <c r="FA292" t="e">
        <f>AND(#REF!,"AAAAAH9255w=")</f>
        <v>#REF!</v>
      </c>
      <c r="FB292" t="e">
        <f>AND(#REF!,"AAAAAH92550=")</f>
        <v>#REF!</v>
      </c>
      <c r="FC292" t="e">
        <f>AND(#REF!,"AAAAAH92554=")</f>
        <v>#REF!</v>
      </c>
      <c r="FD292" t="e">
        <f>AND(#REF!,"AAAAAH92558=")</f>
        <v>#REF!</v>
      </c>
      <c r="FE292" t="e">
        <f>AND(#REF!,"AAAAAH9256A=")</f>
        <v>#REF!</v>
      </c>
      <c r="FF292" t="e">
        <f>AND(#REF!,"AAAAAH9256E=")</f>
        <v>#REF!</v>
      </c>
      <c r="FG292" t="e">
        <f>AND(#REF!,"AAAAAH9256I=")</f>
        <v>#REF!</v>
      </c>
      <c r="FH292" t="e">
        <f>AND(#REF!,"AAAAAH9256M=")</f>
        <v>#REF!</v>
      </c>
      <c r="FI292" t="e">
        <f>IF(#REF!,"AAAAAH9256Q=",0)</f>
        <v>#REF!</v>
      </c>
      <c r="FJ292" t="e">
        <f>AND(#REF!,"AAAAAH9256U=")</f>
        <v>#REF!</v>
      </c>
      <c r="FK292" t="e">
        <f>AND(#REF!,"AAAAAH9256Y=")</f>
        <v>#REF!</v>
      </c>
      <c r="FL292" t="e">
        <f>AND(#REF!,"AAAAAH9256c=")</f>
        <v>#REF!</v>
      </c>
      <c r="FM292" t="e">
        <f>AND(#REF!,"AAAAAH9256g=")</f>
        <v>#REF!</v>
      </c>
      <c r="FN292" t="e">
        <f>AND(#REF!,"AAAAAH9256k=")</f>
        <v>#REF!</v>
      </c>
      <c r="FO292" t="e">
        <f>AND(#REF!,"AAAAAH9256o=")</f>
        <v>#REF!</v>
      </c>
      <c r="FP292" t="e">
        <f>AND(#REF!,"AAAAAH9256s=")</f>
        <v>#REF!</v>
      </c>
      <c r="FQ292" t="e">
        <f>AND(#REF!,"AAAAAH9256w=")</f>
        <v>#REF!</v>
      </c>
      <c r="FR292" t="e">
        <f>AND(#REF!,"AAAAAH92560=")</f>
        <v>#REF!</v>
      </c>
      <c r="FS292" t="e">
        <f>AND(#REF!,"AAAAAH92564=")</f>
        <v>#REF!</v>
      </c>
      <c r="FT292" t="e">
        <f>AND(#REF!,"AAAAAH92568=")</f>
        <v>#REF!</v>
      </c>
      <c r="FU292" t="e">
        <f>AND(#REF!,"AAAAAH9257A=")</f>
        <v>#REF!</v>
      </c>
      <c r="FV292" t="e">
        <f>AND(#REF!,"AAAAAH9257E=")</f>
        <v>#REF!</v>
      </c>
      <c r="FW292" t="e">
        <f>AND(#REF!,"AAAAAH9257I=")</f>
        <v>#REF!</v>
      </c>
      <c r="FX292" t="e">
        <f>AND(#REF!,"AAAAAH9257M=")</f>
        <v>#REF!</v>
      </c>
      <c r="FY292" t="e">
        <f>AND(#REF!,"AAAAAH9257Q=")</f>
        <v>#REF!</v>
      </c>
      <c r="FZ292" t="e">
        <f>AND(#REF!,"AAAAAH9257U=")</f>
        <v>#REF!</v>
      </c>
      <c r="GA292" t="e">
        <f>AND(#REF!,"AAAAAH9257Y=")</f>
        <v>#REF!</v>
      </c>
      <c r="GB292" t="e">
        <f>AND(#REF!,"AAAAAH9257c=")</f>
        <v>#REF!</v>
      </c>
      <c r="GC292" t="e">
        <f>AND(#REF!,"AAAAAH9257g=")</f>
        <v>#REF!</v>
      </c>
      <c r="GD292" t="e">
        <f>AND(#REF!,"AAAAAH9257k=")</f>
        <v>#REF!</v>
      </c>
      <c r="GE292" t="e">
        <f>AND(#REF!,"AAAAAH9257o=")</f>
        <v>#REF!</v>
      </c>
      <c r="GF292" t="e">
        <f>AND(#REF!,"AAAAAH9257s=")</f>
        <v>#REF!</v>
      </c>
      <c r="GG292" t="e">
        <f>AND(#REF!,"AAAAAH9257w=")</f>
        <v>#REF!</v>
      </c>
      <c r="GH292" t="e">
        <f>IF(#REF!,"AAAAAH92570=",0)</f>
        <v>#REF!</v>
      </c>
      <c r="GI292" t="e">
        <f>AND(#REF!,"AAAAAH92574=")</f>
        <v>#REF!</v>
      </c>
      <c r="GJ292" t="e">
        <f>AND(#REF!,"AAAAAH92578=")</f>
        <v>#REF!</v>
      </c>
      <c r="GK292" t="e">
        <f>AND(#REF!,"AAAAAH9258A=")</f>
        <v>#REF!</v>
      </c>
      <c r="GL292" t="e">
        <f>AND(#REF!,"AAAAAH9258E=")</f>
        <v>#REF!</v>
      </c>
      <c r="GM292" t="e">
        <f>AND(#REF!,"AAAAAH9258I=")</f>
        <v>#REF!</v>
      </c>
      <c r="GN292" t="e">
        <f>AND(#REF!,"AAAAAH9258M=")</f>
        <v>#REF!</v>
      </c>
      <c r="GO292" t="e">
        <f>AND(#REF!,"AAAAAH9258Q=")</f>
        <v>#REF!</v>
      </c>
      <c r="GP292" t="e">
        <f>AND(#REF!,"AAAAAH9258U=")</f>
        <v>#REF!</v>
      </c>
      <c r="GQ292" t="e">
        <f>AND(#REF!,"AAAAAH9258Y=")</f>
        <v>#REF!</v>
      </c>
      <c r="GR292" t="e">
        <f>AND(#REF!,"AAAAAH9258c=")</f>
        <v>#REF!</v>
      </c>
      <c r="GS292" t="e">
        <f>AND(#REF!,"AAAAAH9258g=")</f>
        <v>#REF!</v>
      </c>
      <c r="GT292" t="e">
        <f>AND(#REF!,"AAAAAH9258k=")</f>
        <v>#REF!</v>
      </c>
      <c r="GU292" t="e">
        <f>AND(#REF!,"AAAAAH9258o=")</f>
        <v>#REF!</v>
      </c>
      <c r="GV292" t="e">
        <f>AND(#REF!,"AAAAAH9258s=")</f>
        <v>#REF!</v>
      </c>
      <c r="GW292" t="e">
        <f>AND(#REF!,"AAAAAH9258w=")</f>
        <v>#REF!</v>
      </c>
      <c r="GX292" t="e">
        <f>AND(#REF!,"AAAAAH92580=")</f>
        <v>#REF!</v>
      </c>
      <c r="GY292" t="e">
        <f>AND(#REF!,"AAAAAH92584=")</f>
        <v>#REF!</v>
      </c>
      <c r="GZ292" t="e">
        <f>AND(#REF!,"AAAAAH92588=")</f>
        <v>#REF!</v>
      </c>
      <c r="HA292" t="e">
        <f>AND(#REF!,"AAAAAH9259A=")</f>
        <v>#REF!</v>
      </c>
      <c r="HB292" t="e">
        <f>AND(#REF!,"AAAAAH9259E=")</f>
        <v>#REF!</v>
      </c>
      <c r="HC292" t="e">
        <f>AND(#REF!,"AAAAAH9259I=")</f>
        <v>#REF!</v>
      </c>
      <c r="HD292" t="e">
        <f>AND(#REF!,"AAAAAH9259M=")</f>
        <v>#REF!</v>
      </c>
      <c r="HE292" t="e">
        <f>AND(#REF!,"AAAAAH9259Q=")</f>
        <v>#REF!</v>
      </c>
      <c r="HF292" t="e">
        <f>AND(#REF!,"AAAAAH9259U=")</f>
        <v>#REF!</v>
      </c>
      <c r="HG292" t="e">
        <f>IF(#REF!,"AAAAAH9259Y=",0)</f>
        <v>#REF!</v>
      </c>
      <c r="HH292" t="e">
        <f>AND(#REF!,"AAAAAH9259c=")</f>
        <v>#REF!</v>
      </c>
      <c r="HI292" t="e">
        <f>AND(#REF!,"AAAAAH9259g=")</f>
        <v>#REF!</v>
      </c>
      <c r="HJ292" t="e">
        <f>AND(#REF!,"AAAAAH9259k=")</f>
        <v>#REF!</v>
      </c>
      <c r="HK292" t="e">
        <f>AND(#REF!,"AAAAAH9259o=")</f>
        <v>#REF!</v>
      </c>
      <c r="HL292" t="e">
        <f>AND(#REF!,"AAAAAH9259s=")</f>
        <v>#REF!</v>
      </c>
      <c r="HM292" t="e">
        <f>AND(#REF!,"AAAAAH9259w=")</f>
        <v>#REF!</v>
      </c>
      <c r="HN292" t="e">
        <f>AND(#REF!,"AAAAAH92590=")</f>
        <v>#REF!</v>
      </c>
      <c r="HO292" t="e">
        <f>AND(#REF!,"AAAAAH92594=")</f>
        <v>#REF!</v>
      </c>
      <c r="HP292" t="e">
        <f>AND(#REF!,"AAAAAH92598=")</f>
        <v>#REF!</v>
      </c>
      <c r="HQ292" t="e">
        <f>AND(#REF!,"AAAAAH925+A=")</f>
        <v>#REF!</v>
      </c>
      <c r="HR292" t="e">
        <f>AND(#REF!,"AAAAAH925+E=")</f>
        <v>#REF!</v>
      </c>
      <c r="HS292" t="e">
        <f>AND(#REF!,"AAAAAH925+I=")</f>
        <v>#REF!</v>
      </c>
      <c r="HT292" t="e">
        <f>AND(#REF!,"AAAAAH925+M=")</f>
        <v>#REF!</v>
      </c>
      <c r="HU292" t="e">
        <f>AND(#REF!,"AAAAAH925+Q=")</f>
        <v>#REF!</v>
      </c>
      <c r="HV292" t="e">
        <f>AND(#REF!,"AAAAAH925+U=")</f>
        <v>#REF!</v>
      </c>
      <c r="HW292" t="e">
        <f>AND(#REF!,"AAAAAH925+Y=")</f>
        <v>#REF!</v>
      </c>
      <c r="HX292" t="e">
        <f>AND(#REF!,"AAAAAH925+c=")</f>
        <v>#REF!</v>
      </c>
      <c r="HY292" t="e">
        <f>AND(#REF!,"AAAAAH925+g=")</f>
        <v>#REF!</v>
      </c>
      <c r="HZ292" t="e">
        <f>AND(#REF!,"AAAAAH925+k=")</f>
        <v>#REF!</v>
      </c>
      <c r="IA292" t="e">
        <f>AND(#REF!,"AAAAAH925+o=")</f>
        <v>#REF!</v>
      </c>
      <c r="IB292" t="e">
        <f>AND(#REF!,"AAAAAH925+s=")</f>
        <v>#REF!</v>
      </c>
      <c r="IC292" t="e">
        <f>AND(#REF!,"AAAAAH925+w=")</f>
        <v>#REF!</v>
      </c>
      <c r="ID292" t="e">
        <f>AND(#REF!,"AAAAAH925+0=")</f>
        <v>#REF!</v>
      </c>
      <c r="IE292" t="e">
        <f>AND(#REF!,"AAAAAH925+4=")</f>
        <v>#REF!</v>
      </c>
      <c r="IF292" t="e">
        <f>IF(#REF!,"AAAAAH925+8=",0)</f>
        <v>#REF!</v>
      </c>
      <c r="IG292" t="e">
        <f>AND(#REF!,"AAAAAH925/A=")</f>
        <v>#REF!</v>
      </c>
      <c r="IH292" t="e">
        <f>AND(#REF!,"AAAAAH925/E=")</f>
        <v>#REF!</v>
      </c>
      <c r="II292" t="e">
        <f>AND(#REF!,"AAAAAH925/I=")</f>
        <v>#REF!</v>
      </c>
      <c r="IJ292" t="e">
        <f>AND(#REF!,"AAAAAH925/M=")</f>
        <v>#REF!</v>
      </c>
      <c r="IK292" t="e">
        <f>AND(#REF!,"AAAAAH925/Q=")</f>
        <v>#REF!</v>
      </c>
      <c r="IL292" t="e">
        <f>AND(#REF!,"AAAAAH925/U=")</f>
        <v>#REF!</v>
      </c>
      <c r="IM292" t="e">
        <f>AND(#REF!,"AAAAAH925/Y=")</f>
        <v>#REF!</v>
      </c>
      <c r="IN292" t="e">
        <f>AND(#REF!,"AAAAAH925/c=")</f>
        <v>#REF!</v>
      </c>
      <c r="IO292" t="e">
        <f>AND(#REF!,"AAAAAH925/g=")</f>
        <v>#REF!</v>
      </c>
      <c r="IP292" t="e">
        <f>AND(#REF!,"AAAAAH925/k=")</f>
        <v>#REF!</v>
      </c>
      <c r="IQ292" t="e">
        <f>AND(#REF!,"AAAAAH925/o=")</f>
        <v>#REF!</v>
      </c>
      <c r="IR292" t="e">
        <f>AND(#REF!,"AAAAAH925/s=")</f>
        <v>#REF!</v>
      </c>
      <c r="IS292" t="e">
        <f>AND(#REF!,"AAAAAH925/w=")</f>
        <v>#REF!</v>
      </c>
      <c r="IT292" t="e">
        <f>AND(#REF!,"AAAAAH925/0=")</f>
        <v>#REF!</v>
      </c>
      <c r="IU292" t="e">
        <f>AND(#REF!,"AAAAAH925/4=")</f>
        <v>#REF!</v>
      </c>
      <c r="IV292" t="e">
        <f>AND(#REF!,"AAAAAH925/8=")</f>
        <v>#REF!</v>
      </c>
    </row>
    <row r="293" spans="1:256">
      <c r="A293" t="e">
        <f>AND(#REF!,"AAAAAHj9vgA=")</f>
        <v>#REF!</v>
      </c>
      <c r="B293" t="e">
        <f>AND(#REF!,"AAAAAHj9vgE=")</f>
        <v>#REF!</v>
      </c>
      <c r="C293" t="e">
        <f>AND(#REF!,"AAAAAHj9vgI=")</f>
        <v>#REF!</v>
      </c>
      <c r="D293" t="e">
        <f>AND(#REF!,"AAAAAHj9vgM=")</f>
        <v>#REF!</v>
      </c>
      <c r="E293" t="e">
        <f>AND(#REF!,"AAAAAHj9vgQ=")</f>
        <v>#REF!</v>
      </c>
      <c r="F293" t="e">
        <f>AND(#REF!,"AAAAAHj9vgU=")</f>
        <v>#REF!</v>
      </c>
      <c r="G293" t="e">
        <f>AND(#REF!,"AAAAAHj9vgY=")</f>
        <v>#REF!</v>
      </c>
      <c r="H293" t="e">
        <f>AND(#REF!,"AAAAAHj9vgc=")</f>
        <v>#REF!</v>
      </c>
      <c r="I293" t="e">
        <f>IF(#REF!,"AAAAAHj9vgg=",0)</f>
        <v>#REF!</v>
      </c>
      <c r="J293" t="e">
        <f>AND(#REF!,"AAAAAHj9vgk=")</f>
        <v>#REF!</v>
      </c>
      <c r="K293" t="e">
        <f>AND(#REF!,"AAAAAHj9vgo=")</f>
        <v>#REF!</v>
      </c>
      <c r="L293" t="e">
        <f>AND(#REF!,"AAAAAHj9vgs=")</f>
        <v>#REF!</v>
      </c>
      <c r="M293" t="e">
        <f>AND(#REF!,"AAAAAHj9vgw=")</f>
        <v>#REF!</v>
      </c>
      <c r="N293" t="e">
        <f>AND(#REF!,"AAAAAHj9vg0=")</f>
        <v>#REF!</v>
      </c>
      <c r="O293" t="e">
        <f>AND(#REF!,"AAAAAHj9vg4=")</f>
        <v>#REF!</v>
      </c>
      <c r="P293" t="e">
        <f>AND(#REF!,"AAAAAHj9vg8=")</f>
        <v>#REF!</v>
      </c>
      <c r="Q293" t="e">
        <f>AND(#REF!,"AAAAAHj9vhA=")</f>
        <v>#REF!</v>
      </c>
      <c r="R293" t="e">
        <f>AND(#REF!,"AAAAAHj9vhE=")</f>
        <v>#REF!</v>
      </c>
      <c r="S293" t="e">
        <f>AND(#REF!,"AAAAAHj9vhI=")</f>
        <v>#REF!</v>
      </c>
      <c r="T293" t="e">
        <f>AND(#REF!,"AAAAAHj9vhM=")</f>
        <v>#REF!</v>
      </c>
      <c r="U293" t="e">
        <f>AND(#REF!,"AAAAAHj9vhQ=")</f>
        <v>#REF!</v>
      </c>
      <c r="V293" t="e">
        <f>AND(#REF!,"AAAAAHj9vhU=")</f>
        <v>#REF!</v>
      </c>
      <c r="W293" t="e">
        <f>AND(#REF!,"AAAAAHj9vhY=")</f>
        <v>#REF!</v>
      </c>
      <c r="X293" t="e">
        <f>AND(#REF!,"AAAAAHj9vhc=")</f>
        <v>#REF!</v>
      </c>
      <c r="Y293" t="e">
        <f>AND(#REF!,"AAAAAHj9vhg=")</f>
        <v>#REF!</v>
      </c>
      <c r="Z293" t="e">
        <f>AND(#REF!,"AAAAAHj9vhk=")</f>
        <v>#REF!</v>
      </c>
      <c r="AA293" t="e">
        <f>AND(#REF!,"AAAAAHj9vho=")</f>
        <v>#REF!</v>
      </c>
      <c r="AB293" t="e">
        <f>AND(#REF!,"AAAAAHj9vhs=")</f>
        <v>#REF!</v>
      </c>
      <c r="AC293" t="e">
        <f>AND(#REF!,"AAAAAHj9vhw=")</f>
        <v>#REF!</v>
      </c>
      <c r="AD293" t="e">
        <f>AND(#REF!,"AAAAAHj9vh0=")</f>
        <v>#REF!</v>
      </c>
      <c r="AE293" t="e">
        <f>AND(#REF!,"AAAAAHj9vh4=")</f>
        <v>#REF!</v>
      </c>
      <c r="AF293" t="e">
        <f>AND(#REF!,"AAAAAHj9vh8=")</f>
        <v>#REF!</v>
      </c>
      <c r="AG293" t="e">
        <f>AND(#REF!,"AAAAAHj9viA=")</f>
        <v>#REF!</v>
      </c>
      <c r="AH293" t="e">
        <f>IF(#REF!,"AAAAAHj9viE=",0)</f>
        <v>#REF!</v>
      </c>
      <c r="AI293" t="e">
        <f>AND(#REF!,"AAAAAHj9viI=")</f>
        <v>#REF!</v>
      </c>
      <c r="AJ293" t="e">
        <f>AND(#REF!,"AAAAAHj9viM=")</f>
        <v>#REF!</v>
      </c>
      <c r="AK293" t="e">
        <f>AND(#REF!,"AAAAAHj9viQ=")</f>
        <v>#REF!</v>
      </c>
      <c r="AL293" t="e">
        <f>AND(#REF!,"AAAAAHj9viU=")</f>
        <v>#REF!</v>
      </c>
      <c r="AM293" t="e">
        <f>AND(#REF!,"AAAAAHj9viY=")</f>
        <v>#REF!</v>
      </c>
      <c r="AN293" t="e">
        <f>AND(#REF!,"AAAAAHj9vic=")</f>
        <v>#REF!</v>
      </c>
      <c r="AO293" t="e">
        <f>AND(#REF!,"AAAAAHj9vig=")</f>
        <v>#REF!</v>
      </c>
      <c r="AP293" t="e">
        <f>AND(#REF!,"AAAAAHj9vik=")</f>
        <v>#REF!</v>
      </c>
      <c r="AQ293" t="e">
        <f>AND(#REF!,"AAAAAHj9vio=")</f>
        <v>#REF!</v>
      </c>
      <c r="AR293" t="e">
        <f>AND(#REF!,"AAAAAHj9vis=")</f>
        <v>#REF!</v>
      </c>
      <c r="AS293" t="e">
        <f>AND(#REF!,"AAAAAHj9viw=")</f>
        <v>#REF!</v>
      </c>
      <c r="AT293" t="e">
        <f>AND(#REF!,"AAAAAHj9vi0=")</f>
        <v>#REF!</v>
      </c>
      <c r="AU293" t="e">
        <f>AND(#REF!,"AAAAAHj9vi4=")</f>
        <v>#REF!</v>
      </c>
      <c r="AV293" t="e">
        <f>AND(#REF!,"AAAAAHj9vi8=")</f>
        <v>#REF!</v>
      </c>
      <c r="AW293" t="e">
        <f>AND(#REF!,"AAAAAHj9vjA=")</f>
        <v>#REF!</v>
      </c>
      <c r="AX293" t="e">
        <f>AND(#REF!,"AAAAAHj9vjE=")</f>
        <v>#REF!</v>
      </c>
      <c r="AY293" t="e">
        <f>AND(#REF!,"AAAAAHj9vjI=")</f>
        <v>#REF!</v>
      </c>
      <c r="AZ293" t="e">
        <f>AND(#REF!,"AAAAAHj9vjM=")</f>
        <v>#REF!</v>
      </c>
      <c r="BA293" t="e">
        <f>AND(#REF!,"AAAAAHj9vjQ=")</f>
        <v>#REF!</v>
      </c>
      <c r="BB293" t="e">
        <f>AND(#REF!,"AAAAAHj9vjU=")</f>
        <v>#REF!</v>
      </c>
      <c r="BC293" t="e">
        <f>AND(#REF!,"AAAAAHj9vjY=")</f>
        <v>#REF!</v>
      </c>
      <c r="BD293" t="e">
        <f>AND(#REF!,"AAAAAHj9vjc=")</f>
        <v>#REF!</v>
      </c>
      <c r="BE293" t="e">
        <f>AND(#REF!,"AAAAAHj9vjg=")</f>
        <v>#REF!</v>
      </c>
      <c r="BF293" t="e">
        <f>AND(#REF!,"AAAAAHj9vjk=")</f>
        <v>#REF!</v>
      </c>
      <c r="BG293" t="e">
        <f>IF(#REF!,"AAAAAHj9vjo=",0)</f>
        <v>#REF!</v>
      </c>
      <c r="BH293" t="e">
        <f>AND(#REF!,"AAAAAHj9vjs=")</f>
        <v>#REF!</v>
      </c>
      <c r="BI293" t="e">
        <f>AND(#REF!,"AAAAAHj9vjw=")</f>
        <v>#REF!</v>
      </c>
      <c r="BJ293" t="e">
        <f>AND(#REF!,"AAAAAHj9vj0=")</f>
        <v>#REF!</v>
      </c>
      <c r="BK293" t="e">
        <f>AND(#REF!,"AAAAAHj9vj4=")</f>
        <v>#REF!</v>
      </c>
      <c r="BL293" t="e">
        <f>AND(#REF!,"AAAAAHj9vj8=")</f>
        <v>#REF!</v>
      </c>
      <c r="BM293" t="e">
        <f>AND(#REF!,"AAAAAHj9vkA=")</f>
        <v>#REF!</v>
      </c>
      <c r="BN293" t="e">
        <f>AND(#REF!,"AAAAAHj9vkE=")</f>
        <v>#REF!</v>
      </c>
      <c r="BO293" t="e">
        <f>AND(#REF!,"AAAAAHj9vkI=")</f>
        <v>#REF!</v>
      </c>
      <c r="BP293" t="e">
        <f>AND(#REF!,"AAAAAHj9vkM=")</f>
        <v>#REF!</v>
      </c>
      <c r="BQ293" t="e">
        <f>AND(#REF!,"AAAAAHj9vkQ=")</f>
        <v>#REF!</v>
      </c>
      <c r="BR293" t="e">
        <f>AND(#REF!,"AAAAAHj9vkU=")</f>
        <v>#REF!</v>
      </c>
      <c r="BS293" t="e">
        <f>AND(#REF!,"AAAAAHj9vkY=")</f>
        <v>#REF!</v>
      </c>
      <c r="BT293" t="e">
        <f>AND(#REF!,"AAAAAHj9vkc=")</f>
        <v>#REF!</v>
      </c>
      <c r="BU293" t="e">
        <f>AND(#REF!,"AAAAAHj9vkg=")</f>
        <v>#REF!</v>
      </c>
      <c r="BV293" t="e">
        <f>AND(#REF!,"AAAAAHj9vkk=")</f>
        <v>#REF!</v>
      </c>
      <c r="BW293" t="e">
        <f>AND(#REF!,"AAAAAHj9vko=")</f>
        <v>#REF!</v>
      </c>
      <c r="BX293" t="e">
        <f>AND(#REF!,"AAAAAHj9vks=")</f>
        <v>#REF!</v>
      </c>
      <c r="BY293" t="e">
        <f>AND(#REF!,"AAAAAHj9vkw=")</f>
        <v>#REF!</v>
      </c>
      <c r="BZ293" t="e">
        <f>AND(#REF!,"AAAAAHj9vk0=")</f>
        <v>#REF!</v>
      </c>
      <c r="CA293" t="e">
        <f>AND(#REF!,"AAAAAHj9vk4=")</f>
        <v>#REF!</v>
      </c>
      <c r="CB293" t="e">
        <f>AND(#REF!,"AAAAAHj9vk8=")</f>
        <v>#REF!</v>
      </c>
      <c r="CC293" t="e">
        <f>AND(#REF!,"AAAAAHj9vlA=")</f>
        <v>#REF!</v>
      </c>
      <c r="CD293" t="e">
        <f>AND(#REF!,"AAAAAHj9vlE=")</f>
        <v>#REF!</v>
      </c>
      <c r="CE293" t="e">
        <f>AND(#REF!,"AAAAAHj9vlI=")</f>
        <v>#REF!</v>
      </c>
      <c r="CF293" t="e">
        <f>IF(#REF!,"AAAAAHj9vlM=",0)</f>
        <v>#REF!</v>
      </c>
      <c r="CG293" t="e">
        <f>AND(#REF!,"AAAAAHj9vlQ=")</f>
        <v>#REF!</v>
      </c>
      <c r="CH293" t="e">
        <f>AND(#REF!,"AAAAAHj9vlU=")</f>
        <v>#REF!</v>
      </c>
      <c r="CI293" t="e">
        <f>AND(#REF!,"AAAAAHj9vlY=")</f>
        <v>#REF!</v>
      </c>
      <c r="CJ293" t="e">
        <f>AND(#REF!,"AAAAAHj9vlc=")</f>
        <v>#REF!</v>
      </c>
      <c r="CK293" t="e">
        <f>AND(#REF!,"AAAAAHj9vlg=")</f>
        <v>#REF!</v>
      </c>
      <c r="CL293" t="e">
        <f>AND(#REF!,"AAAAAHj9vlk=")</f>
        <v>#REF!</v>
      </c>
      <c r="CM293" t="e">
        <f>AND(#REF!,"AAAAAHj9vlo=")</f>
        <v>#REF!</v>
      </c>
      <c r="CN293" t="e">
        <f>AND(#REF!,"AAAAAHj9vls=")</f>
        <v>#REF!</v>
      </c>
      <c r="CO293" t="e">
        <f>AND(#REF!,"AAAAAHj9vlw=")</f>
        <v>#REF!</v>
      </c>
      <c r="CP293" t="e">
        <f>AND(#REF!,"AAAAAHj9vl0=")</f>
        <v>#REF!</v>
      </c>
      <c r="CQ293" t="e">
        <f>AND(#REF!,"AAAAAHj9vl4=")</f>
        <v>#REF!</v>
      </c>
      <c r="CR293" t="e">
        <f>AND(#REF!,"AAAAAHj9vl8=")</f>
        <v>#REF!</v>
      </c>
      <c r="CS293" t="e">
        <f>AND(#REF!,"AAAAAHj9vmA=")</f>
        <v>#REF!</v>
      </c>
      <c r="CT293" t="e">
        <f>AND(#REF!,"AAAAAHj9vmE=")</f>
        <v>#REF!</v>
      </c>
      <c r="CU293" t="e">
        <f>AND(#REF!,"AAAAAHj9vmI=")</f>
        <v>#REF!</v>
      </c>
      <c r="CV293" t="e">
        <f>AND(#REF!,"AAAAAHj9vmM=")</f>
        <v>#REF!</v>
      </c>
      <c r="CW293" t="e">
        <f>AND(#REF!,"AAAAAHj9vmQ=")</f>
        <v>#REF!</v>
      </c>
      <c r="CX293" t="e">
        <f>AND(#REF!,"AAAAAHj9vmU=")</f>
        <v>#REF!</v>
      </c>
      <c r="CY293" t="e">
        <f>AND(#REF!,"AAAAAHj9vmY=")</f>
        <v>#REF!</v>
      </c>
      <c r="CZ293" t="e">
        <f>AND(#REF!,"AAAAAHj9vmc=")</f>
        <v>#REF!</v>
      </c>
      <c r="DA293" t="e">
        <f>AND(#REF!,"AAAAAHj9vmg=")</f>
        <v>#REF!</v>
      </c>
      <c r="DB293" t="e">
        <f>AND(#REF!,"AAAAAHj9vmk=")</f>
        <v>#REF!</v>
      </c>
      <c r="DC293" t="e">
        <f>AND(#REF!,"AAAAAHj9vmo=")</f>
        <v>#REF!</v>
      </c>
      <c r="DD293" t="e">
        <f>AND(#REF!,"AAAAAHj9vms=")</f>
        <v>#REF!</v>
      </c>
      <c r="DE293" t="e">
        <f>IF(#REF!,"AAAAAHj9vmw=",0)</f>
        <v>#REF!</v>
      </c>
      <c r="DF293" t="e">
        <f>AND(#REF!,"AAAAAHj9vm0=")</f>
        <v>#REF!</v>
      </c>
      <c r="DG293" t="e">
        <f>AND(#REF!,"AAAAAHj9vm4=")</f>
        <v>#REF!</v>
      </c>
      <c r="DH293" t="e">
        <f>AND(#REF!,"AAAAAHj9vm8=")</f>
        <v>#REF!</v>
      </c>
      <c r="DI293" t="e">
        <f>AND(#REF!,"AAAAAHj9vnA=")</f>
        <v>#REF!</v>
      </c>
      <c r="DJ293" t="e">
        <f>AND(#REF!,"AAAAAHj9vnE=")</f>
        <v>#REF!</v>
      </c>
      <c r="DK293" t="e">
        <f>AND(#REF!,"AAAAAHj9vnI=")</f>
        <v>#REF!</v>
      </c>
      <c r="DL293" t="e">
        <f>AND(#REF!,"AAAAAHj9vnM=")</f>
        <v>#REF!</v>
      </c>
      <c r="DM293" t="e">
        <f>AND(#REF!,"AAAAAHj9vnQ=")</f>
        <v>#REF!</v>
      </c>
      <c r="DN293" t="e">
        <f>AND(#REF!,"AAAAAHj9vnU=")</f>
        <v>#REF!</v>
      </c>
      <c r="DO293" t="e">
        <f>AND(#REF!,"AAAAAHj9vnY=")</f>
        <v>#REF!</v>
      </c>
      <c r="DP293" t="e">
        <f>AND(#REF!,"AAAAAHj9vnc=")</f>
        <v>#REF!</v>
      </c>
      <c r="DQ293" t="e">
        <f>AND(#REF!,"AAAAAHj9vng=")</f>
        <v>#REF!</v>
      </c>
      <c r="DR293" t="e">
        <f>AND(#REF!,"AAAAAHj9vnk=")</f>
        <v>#REF!</v>
      </c>
      <c r="DS293" t="e">
        <f>AND(#REF!,"AAAAAHj9vno=")</f>
        <v>#REF!</v>
      </c>
      <c r="DT293" t="e">
        <f>AND(#REF!,"AAAAAHj9vns=")</f>
        <v>#REF!</v>
      </c>
      <c r="DU293" t="e">
        <f>AND(#REF!,"AAAAAHj9vnw=")</f>
        <v>#REF!</v>
      </c>
      <c r="DV293" t="e">
        <f>AND(#REF!,"AAAAAHj9vn0=")</f>
        <v>#REF!</v>
      </c>
      <c r="DW293" t="e">
        <f>AND(#REF!,"AAAAAHj9vn4=")</f>
        <v>#REF!</v>
      </c>
      <c r="DX293" t="e">
        <f>AND(#REF!,"AAAAAHj9vn8=")</f>
        <v>#REF!</v>
      </c>
      <c r="DY293" t="e">
        <f>AND(#REF!,"AAAAAHj9voA=")</f>
        <v>#REF!</v>
      </c>
      <c r="DZ293" t="e">
        <f>AND(#REF!,"AAAAAHj9voE=")</f>
        <v>#REF!</v>
      </c>
      <c r="EA293" t="e">
        <f>AND(#REF!,"AAAAAHj9voI=")</f>
        <v>#REF!</v>
      </c>
      <c r="EB293" t="e">
        <f>AND(#REF!,"AAAAAHj9voM=")</f>
        <v>#REF!</v>
      </c>
      <c r="EC293" t="e">
        <f>AND(#REF!,"AAAAAHj9voQ=")</f>
        <v>#REF!</v>
      </c>
      <c r="ED293" t="e">
        <f>IF(#REF!,"AAAAAHj9voU=",0)</f>
        <v>#REF!</v>
      </c>
      <c r="EE293" t="e">
        <f>AND(#REF!,"AAAAAHj9voY=")</f>
        <v>#REF!</v>
      </c>
      <c r="EF293" t="e">
        <f>AND(#REF!,"AAAAAHj9voc=")</f>
        <v>#REF!</v>
      </c>
      <c r="EG293" t="e">
        <f>AND(#REF!,"AAAAAHj9vog=")</f>
        <v>#REF!</v>
      </c>
      <c r="EH293" t="e">
        <f>AND(#REF!,"AAAAAHj9vok=")</f>
        <v>#REF!</v>
      </c>
      <c r="EI293" t="e">
        <f>AND(#REF!,"AAAAAHj9voo=")</f>
        <v>#REF!</v>
      </c>
      <c r="EJ293" t="e">
        <f>AND(#REF!,"AAAAAHj9vos=")</f>
        <v>#REF!</v>
      </c>
      <c r="EK293" t="e">
        <f>AND(#REF!,"AAAAAHj9vow=")</f>
        <v>#REF!</v>
      </c>
      <c r="EL293" t="e">
        <f>AND(#REF!,"AAAAAHj9vo0=")</f>
        <v>#REF!</v>
      </c>
      <c r="EM293" t="e">
        <f>AND(#REF!,"AAAAAHj9vo4=")</f>
        <v>#REF!</v>
      </c>
      <c r="EN293" t="e">
        <f>AND(#REF!,"AAAAAHj9vo8=")</f>
        <v>#REF!</v>
      </c>
      <c r="EO293" t="e">
        <f>AND(#REF!,"AAAAAHj9vpA=")</f>
        <v>#REF!</v>
      </c>
      <c r="EP293" t="e">
        <f>AND(#REF!,"AAAAAHj9vpE=")</f>
        <v>#REF!</v>
      </c>
      <c r="EQ293" t="e">
        <f>AND(#REF!,"AAAAAHj9vpI=")</f>
        <v>#REF!</v>
      </c>
      <c r="ER293" t="e">
        <f>AND(#REF!,"AAAAAHj9vpM=")</f>
        <v>#REF!</v>
      </c>
      <c r="ES293" t="e">
        <f>AND(#REF!,"AAAAAHj9vpQ=")</f>
        <v>#REF!</v>
      </c>
      <c r="ET293" t="e">
        <f>AND(#REF!,"AAAAAHj9vpU=")</f>
        <v>#REF!</v>
      </c>
      <c r="EU293" t="e">
        <f>AND(#REF!,"AAAAAHj9vpY=")</f>
        <v>#REF!</v>
      </c>
      <c r="EV293" t="e">
        <f>AND(#REF!,"AAAAAHj9vpc=")</f>
        <v>#REF!</v>
      </c>
      <c r="EW293" t="e">
        <f>AND(#REF!,"AAAAAHj9vpg=")</f>
        <v>#REF!</v>
      </c>
      <c r="EX293" t="e">
        <f>AND(#REF!,"AAAAAHj9vpk=")</f>
        <v>#REF!</v>
      </c>
      <c r="EY293" t="e">
        <f>AND(#REF!,"AAAAAHj9vpo=")</f>
        <v>#REF!</v>
      </c>
      <c r="EZ293" t="e">
        <f>AND(#REF!,"AAAAAHj9vps=")</f>
        <v>#REF!</v>
      </c>
      <c r="FA293" t="e">
        <f>AND(#REF!,"AAAAAHj9vpw=")</f>
        <v>#REF!</v>
      </c>
      <c r="FB293" t="e">
        <f>AND(#REF!,"AAAAAHj9vp0=")</f>
        <v>#REF!</v>
      </c>
      <c r="FC293" t="e">
        <f>IF(#REF!,"AAAAAHj9vp4=",0)</f>
        <v>#REF!</v>
      </c>
      <c r="FD293" t="e">
        <f>AND(#REF!,"AAAAAHj9vp8=")</f>
        <v>#REF!</v>
      </c>
      <c r="FE293" t="e">
        <f>AND(#REF!,"AAAAAHj9vqA=")</f>
        <v>#REF!</v>
      </c>
      <c r="FF293" t="e">
        <f>AND(#REF!,"AAAAAHj9vqE=")</f>
        <v>#REF!</v>
      </c>
      <c r="FG293" t="e">
        <f>AND(#REF!,"AAAAAHj9vqI=")</f>
        <v>#REF!</v>
      </c>
      <c r="FH293" t="e">
        <f>AND(#REF!,"AAAAAHj9vqM=")</f>
        <v>#REF!</v>
      </c>
      <c r="FI293" t="e">
        <f>AND(#REF!,"AAAAAHj9vqQ=")</f>
        <v>#REF!</v>
      </c>
      <c r="FJ293" t="e">
        <f>AND(#REF!,"AAAAAHj9vqU=")</f>
        <v>#REF!</v>
      </c>
      <c r="FK293" t="e">
        <f>AND(#REF!,"AAAAAHj9vqY=")</f>
        <v>#REF!</v>
      </c>
      <c r="FL293" t="e">
        <f>AND(#REF!,"AAAAAHj9vqc=")</f>
        <v>#REF!</v>
      </c>
      <c r="FM293" t="e">
        <f>AND(#REF!,"AAAAAHj9vqg=")</f>
        <v>#REF!</v>
      </c>
      <c r="FN293" t="e">
        <f>AND(#REF!,"AAAAAHj9vqk=")</f>
        <v>#REF!</v>
      </c>
      <c r="FO293" t="e">
        <f>AND(#REF!,"AAAAAHj9vqo=")</f>
        <v>#REF!</v>
      </c>
      <c r="FP293" t="e">
        <f>AND(#REF!,"AAAAAHj9vqs=")</f>
        <v>#REF!</v>
      </c>
      <c r="FQ293" t="e">
        <f>AND(#REF!,"AAAAAHj9vqw=")</f>
        <v>#REF!</v>
      </c>
      <c r="FR293" t="e">
        <f>AND(#REF!,"AAAAAHj9vq0=")</f>
        <v>#REF!</v>
      </c>
      <c r="FS293" t="e">
        <f>AND(#REF!,"AAAAAHj9vq4=")</f>
        <v>#REF!</v>
      </c>
      <c r="FT293" t="e">
        <f>AND(#REF!,"AAAAAHj9vq8=")</f>
        <v>#REF!</v>
      </c>
      <c r="FU293" t="e">
        <f>AND(#REF!,"AAAAAHj9vrA=")</f>
        <v>#REF!</v>
      </c>
      <c r="FV293" t="e">
        <f>AND(#REF!,"AAAAAHj9vrE=")</f>
        <v>#REF!</v>
      </c>
      <c r="FW293" t="e">
        <f>AND(#REF!,"AAAAAHj9vrI=")</f>
        <v>#REF!</v>
      </c>
      <c r="FX293" t="e">
        <f>AND(#REF!,"AAAAAHj9vrM=")</f>
        <v>#REF!</v>
      </c>
      <c r="FY293" t="e">
        <f>AND(#REF!,"AAAAAHj9vrQ=")</f>
        <v>#REF!</v>
      </c>
      <c r="FZ293" t="e">
        <f>AND(#REF!,"AAAAAHj9vrU=")</f>
        <v>#REF!</v>
      </c>
      <c r="GA293" t="e">
        <f>AND(#REF!,"AAAAAHj9vrY=")</f>
        <v>#REF!</v>
      </c>
      <c r="GB293" t="e">
        <f>IF(#REF!,"AAAAAHj9vrc=",0)</f>
        <v>#REF!</v>
      </c>
      <c r="GC293" t="e">
        <f>AND(#REF!,"AAAAAHj9vrg=")</f>
        <v>#REF!</v>
      </c>
      <c r="GD293" t="e">
        <f>AND(#REF!,"AAAAAHj9vrk=")</f>
        <v>#REF!</v>
      </c>
      <c r="GE293" t="e">
        <f>AND(#REF!,"AAAAAHj9vro=")</f>
        <v>#REF!</v>
      </c>
      <c r="GF293" t="e">
        <f>AND(#REF!,"AAAAAHj9vrs=")</f>
        <v>#REF!</v>
      </c>
      <c r="GG293" t="e">
        <f>AND(#REF!,"AAAAAHj9vrw=")</f>
        <v>#REF!</v>
      </c>
      <c r="GH293" t="e">
        <f>AND(#REF!,"AAAAAHj9vr0=")</f>
        <v>#REF!</v>
      </c>
      <c r="GI293" t="e">
        <f>AND(#REF!,"AAAAAHj9vr4=")</f>
        <v>#REF!</v>
      </c>
      <c r="GJ293" t="e">
        <f>AND(#REF!,"AAAAAHj9vr8=")</f>
        <v>#REF!</v>
      </c>
      <c r="GK293" t="e">
        <f>AND(#REF!,"AAAAAHj9vsA=")</f>
        <v>#REF!</v>
      </c>
      <c r="GL293" t="e">
        <f>AND(#REF!,"AAAAAHj9vsE=")</f>
        <v>#REF!</v>
      </c>
      <c r="GM293" t="e">
        <f>AND(#REF!,"AAAAAHj9vsI=")</f>
        <v>#REF!</v>
      </c>
      <c r="GN293" t="e">
        <f>AND(#REF!,"AAAAAHj9vsM=")</f>
        <v>#REF!</v>
      </c>
      <c r="GO293" t="e">
        <f>AND(#REF!,"AAAAAHj9vsQ=")</f>
        <v>#REF!</v>
      </c>
      <c r="GP293" t="e">
        <f>AND(#REF!,"AAAAAHj9vsU=")</f>
        <v>#REF!</v>
      </c>
      <c r="GQ293" t="e">
        <f>AND(#REF!,"AAAAAHj9vsY=")</f>
        <v>#REF!</v>
      </c>
      <c r="GR293" t="e">
        <f>AND(#REF!,"AAAAAHj9vsc=")</f>
        <v>#REF!</v>
      </c>
      <c r="GS293" t="e">
        <f>AND(#REF!,"AAAAAHj9vsg=")</f>
        <v>#REF!</v>
      </c>
      <c r="GT293" t="e">
        <f>AND(#REF!,"AAAAAHj9vsk=")</f>
        <v>#REF!</v>
      </c>
      <c r="GU293" t="e">
        <f>AND(#REF!,"AAAAAHj9vso=")</f>
        <v>#REF!</v>
      </c>
      <c r="GV293" t="e">
        <f>AND(#REF!,"AAAAAHj9vss=")</f>
        <v>#REF!</v>
      </c>
      <c r="GW293" t="e">
        <f>AND(#REF!,"AAAAAHj9vsw=")</f>
        <v>#REF!</v>
      </c>
      <c r="GX293" t="e">
        <f>AND(#REF!,"AAAAAHj9vs0=")</f>
        <v>#REF!</v>
      </c>
      <c r="GY293" t="e">
        <f>AND(#REF!,"AAAAAHj9vs4=")</f>
        <v>#REF!</v>
      </c>
      <c r="GZ293" t="e">
        <f>AND(#REF!,"AAAAAHj9vs8=")</f>
        <v>#REF!</v>
      </c>
      <c r="HA293" t="e">
        <f>IF(#REF!,"AAAAAHj9vtA=",0)</f>
        <v>#REF!</v>
      </c>
      <c r="HB293" t="e">
        <f>AND(#REF!,"AAAAAHj9vtE=")</f>
        <v>#REF!</v>
      </c>
      <c r="HC293" t="e">
        <f>AND(#REF!,"AAAAAHj9vtI=")</f>
        <v>#REF!</v>
      </c>
      <c r="HD293" t="e">
        <f>AND(#REF!,"AAAAAHj9vtM=")</f>
        <v>#REF!</v>
      </c>
      <c r="HE293" t="e">
        <f>AND(#REF!,"AAAAAHj9vtQ=")</f>
        <v>#REF!</v>
      </c>
      <c r="HF293" t="e">
        <f>AND(#REF!,"AAAAAHj9vtU=")</f>
        <v>#REF!</v>
      </c>
      <c r="HG293" t="e">
        <f>AND(#REF!,"AAAAAHj9vtY=")</f>
        <v>#REF!</v>
      </c>
      <c r="HH293" t="e">
        <f>AND(#REF!,"AAAAAHj9vtc=")</f>
        <v>#REF!</v>
      </c>
      <c r="HI293" t="e">
        <f>AND(#REF!,"AAAAAHj9vtg=")</f>
        <v>#REF!</v>
      </c>
      <c r="HJ293" t="e">
        <f>AND(#REF!,"AAAAAHj9vtk=")</f>
        <v>#REF!</v>
      </c>
      <c r="HK293" t="e">
        <f>AND(#REF!,"AAAAAHj9vto=")</f>
        <v>#REF!</v>
      </c>
      <c r="HL293" t="e">
        <f>AND(#REF!,"AAAAAHj9vts=")</f>
        <v>#REF!</v>
      </c>
      <c r="HM293" t="e">
        <f>AND(#REF!,"AAAAAHj9vtw=")</f>
        <v>#REF!</v>
      </c>
      <c r="HN293" t="e">
        <f>AND(#REF!,"AAAAAHj9vt0=")</f>
        <v>#REF!</v>
      </c>
      <c r="HO293" t="e">
        <f>AND(#REF!,"AAAAAHj9vt4=")</f>
        <v>#REF!</v>
      </c>
      <c r="HP293" t="e">
        <f>AND(#REF!,"AAAAAHj9vt8=")</f>
        <v>#REF!</v>
      </c>
      <c r="HQ293" t="e">
        <f>AND(#REF!,"AAAAAHj9vuA=")</f>
        <v>#REF!</v>
      </c>
      <c r="HR293" t="e">
        <f>AND(#REF!,"AAAAAHj9vuE=")</f>
        <v>#REF!</v>
      </c>
      <c r="HS293" t="e">
        <f>AND(#REF!,"AAAAAHj9vuI=")</f>
        <v>#REF!</v>
      </c>
      <c r="HT293" t="e">
        <f>AND(#REF!,"AAAAAHj9vuM=")</f>
        <v>#REF!</v>
      </c>
      <c r="HU293" t="e">
        <f>AND(#REF!,"AAAAAHj9vuQ=")</f>
        <v>#REF!</v>
      </c>
      <c r="HV293" t="e">
        <f>AND(#REF!,"AAAAAHj9vuU=")</f>
        <v>#REF!</v>
      </c>
      <c r="HW293" t="e">
        <f>AND(#REF!,"AAAAAHj9vuY=")</f>
        <v>#REF!</v>
      </c>
      <c r="HX293" t="e">
        <f>AND(#REF!,"AAAAAHj9vuc=")</f>
        <v>#REF!</v>
      </c>
      <c r="HY293" t="e">
        <f>AND(#REF!,"AAAAAHj9vug=")</f>
        <v>#REF!</v>
      </c>
      <c r="HZ293" t="e">
        <f>IF(#REF!,"AAAAAHj9vuk=",0)</f>
        <v>#REF!</v>
      </c>
      <c r="IA293" t="e">
        <f>AND(#REF!,"AAAAAHj9vuo=")</f>
        <v>#REF!</v>
      </c>
      <c r="IB293" t="e">
        <f>AND(#REF!,"AAAAAHj9vus=")</f>
        <v>#REF!</v>
      </c>
      <c r="IC293" t="e">
        <f>AND(#REF!,"AAAAAHj9vuw=")</f>
        <v>#REF!</v>
      </c>
      <c r="ID293" t="e">
        <f>AND(#REF!,"AAAAAHj9vu0=")</f>
        <v>#REF!</v>
      </c>
      <c r="IE293" t="e">
        <f>AND(#REF!,"AAAAAHj9vu4=")</f>
        <v>#REF!</v>
      </c>
      <c r="IF293" t="e">
        <f>AND(#REF!,"AAAAAHj9vu8=")</f>
        <v>#REF!</v>
      </c>
      <c r="IG293" t="e">
        <f>AND(#REF!,"AAAAAHj9vvA=")</f>
        <v>#REF!</v>
      </c>
      <c r="IH293" t="e">
        <f>AND(#REF!,"AAAAAHj9vvE=")</f>
        <v>#REF!</v>
      </c>
      <c r="II293" t="e">
        <f>AND(#REF!,"AAAAAHj9vvI=")</f>
        <v>#REF!</v>
      </c>
      <c r="IJ293" t="e">
        <f>AND(#REF!,"AAAAAHj9vvM=")</f>
        <v>#REF!</v>
      </c>
      <c r="IK293" t="e">
        <f>AND(#REF!,"AAAAAHj9vvQ=")</f>
        <v>#REF!</v>
      </c>
      <c r="IL293" t="e">
        <f>AND(#REF!,"AAAAAHj9vvU=")</f>
        <v>#REF!</v>
      </c>
      <c r="IM293" t="e">
        <f>AND(#REF!,"AAAAAHj9vvY=")</f>
        <v>#REF!</v>
      </c>
      <c r="IN293" t="e">
        <f>AND(#REF!,"AAAAAHj9vvc=")</f>
        <v>#REF!</v>
      </c>
      <c r="IO293" t="e">
        <f>AND(#REF!,"AAAAAHj9vvg=")</f>
        <v>#REF!</v>
      </c>
      <c r="IP293" t="e">
        <f>AND(#REF!,"AAAAAHj9vvk=")</f>
        <v>#REF!</v>
      </c>
      <c r="IQ293" t="e">
        <f>AND(#REF!,"AAAAAHj9vvo=")</f>
        <v>#REF!</v>
      </c>
      <c r="IR293" t="e">
        <f>AND(#REF!,"AAAAAHj9vvs=")</f>
        <v>#REF!</v>
      </c>
      <c r="IS293" t="e">
        <f>AND(#REF!,"AAAAAHj9vvw=")</f>
        <v>#REF!</v>
      </c>
      <c r="IT293" t="e">
        <f>AND(#REF!,"AAAAAHj9vv0=")</f>
        <v>#REF!</v>
      </c>
      <c r="IU293" t="e">
        <f>AND(#REF!,"AAAAAHj9vv4=")</f>
        <v>#REF!</v>
      </c>
      <c r="IV293" t="e">
        <f>AND(#REF!,"AAAAAHj9vv8=")</f>
        <v>#REF!</v>
      </c>
    </row>
    <row r="294" spans="1:256">
      <c r="A294" t="e">
        <f>AND(#REF!,"AAAAAEfbrgA=")</f>
        <v>#REF!</v>
      </c>
      <c r="B294" t="e">
        <f>AND(#REF!,"AAAAAEfbrgE=")</f>
        <v>#REF!</v>
      </c>
      <c r="C294" t="e">
        <f>IF(#REF!,"AAAAAEfbrgI=",0)</f>
        <v>#REF!</v>
      </c>
      <c r="D294" t="e">
        <f>AND(#REF!,"AAAAAEfbrgM=")</f>
        <v>#REF!</v>
      </c>
      <c r="E294" t="e">
        <f>AND(#REF!,"AAAAAEfbrgQ=")</f>
        <v>#REF!</v>
      </c>
      <c r="F294" t="e">
        <f>AND(#REF!,"AAAAAEfbrgU=")</f>
        <v>#REF!</v>
      </c>
      <c r="G294" t="e">
        <f>AND(#REF!,"AAAAAEfbrgY=")</f>
        <v>#REF!</v>
      </c>
      <c r="H294" t="e">
        <f>AND(#REF!,"AAAAAEfbrgc=")</f>
        <v>#REF!</v>
      </c>
      <c r="I294" t="e">
        <f>AND(#REF!,"AAAAAEfbrgg=")</f>
        <v>#REF!</v>
      </c>
      <c r="J294" t="e">
        <f>AND(#REF!,"AAAAAEfbrgk=")</f>
        <v>#REF!</v>
      </c>
      <c r="K294" t="e">
        <f>AND(#REF!,"AAAAAEfbrgo=")</f>
        <v>#REF!</v>
      </c>
      <c r="L294" t="e">
        <f>AND(#REF!,"AAAAAEfbrgs=")</f>
        <v>#REF!</v>
      </c>
      <c r="M294" t="e">
        <f>AND(#REF!,"AAAAAEfbrgw=")</f>
        <v>#REF!</v>
      </c>
      <c r="N294" t="e">
        <f>AND(#REF!,"AAAAAEfbrg0=")</f>
        <v>#REF!</v>
      </c>
      <c r="O294" t="e">
        <f>AND(#REF!,"AAAAAEfbrg4=")</f>
        <v>#REF!</v>
      </c>
      <c r="P294" t="e">
        <f>AND(#REF!,"AAAAAEfbrg8=")</f>
        <v>#REF!</v>
      </c>
      <c r="Q294" t="e">
        <f>AND(#REF!,"AAAAAEfbrhA=")</f>
        <v>#REF!</v>
      </c>
      <c r="R294" t="e">
        <f>AND(#REF!,"AAAAAEfbrhE=")</f>
        <v>#REF!</v>
      </c>
      <c r="S294" t="e">
        <f>AND(#REF!,"AAAAAEfbrhI=")</f>
        <v>#REF!</v>
      </c>
      <c r="T294" t="e">
        <f>AND(#REF!,"AAAAAEfbrhM=")</f>
        <v>#REF!</v>
      </c>
      <c r="U294" t="e">
        <f>AND(#REF!,"AAAAAEfbrhQ=")</f>
        <v>#REF!</v>
      </c>
      <c r="V294" t="e">
        <f>AND(#REF!,"AAAAAEfbrhU=")</f>
        <v>#REF!</v>
      </c>
      <c r="W294" t="e">
        <f>AND(#REF!,"AAAAAEfbrhY=")</f>
        <v>#REF!</v>
      </c>
      <c r="X294" t="e">
        <f>AND(#REF!,"AAAAAEfbrhc=")</f>
        <v>#REF!</v>
      </c>
      <c r="Y294" t="e">
        <f>AND(#REF!,"AAAAAEfbrhg=")</f>
        <v>#REF!</v>
      </c>
      <c r="Z294" t="e">
        <f>AND(#REF!,"AAAAAEfbrhk=")</f>
        <v>#REF!</v>
      </c>
      <c r="AA294" t="e">
        <f>AND(#REF!,"AAAAAEfbrho=")</f>
        <v>#REF!</v>
      </c>
      <c r="AB294" t="e">
        <f>IF(#REF!,"AAAAAEfbrhs=",0)</f>
        <v>#REF!</v>
      </c>
      <c r="AC294" t="e">
        <f>AND(#REF!,"AAAAAEfbrhw=")</f>
        <v>#REF!</v>
      </c>
      <c r="AD294" t="e">
        <f>AND(#REF!,"AAAAAEfbrh0=")</f>
        <v>#REF!</v>
      </c>
      <c r="AE294" t="e">
        <f>AND(#REF!,"AAAAAEfbrh4=")</f>
        <v>#REF!</v>
      </c>
      <c r="AF294" t="e">
        <f>AND(#REF!,"AAAAAEfbrh8=")</f>
        <v>#REF!</v>
      </c>
      <c r="AG294" t="e">
        <f>AND(#REF!,"AAAAAEfbriA=")</f>
        <v>#REF!</v>
      </c>
      <c r="AH294" t="e">
        <f>AND(#REF!,"AAAAAEfbriE=")</f>
        <v>#REF!</v>
      </c>
      <c r="AI294" t="e">
        <f>AND(#REF!,"AAAAAEfbriI=")</f>
        <v>#REF!</v>
      </c>
      <c r="AJ294" t="e">
        <f>AND(#REF!,"AAAAAEfbriM=")</f>
        <v>#REF!</v>
      </c>
      <c r="AK294" t="e">
        <f>AND(#REF!,"AAAAAEfbriQ=")</f>
        <v>#REF!</v>
      </c>
      <c r="AL294" t="e">
        <f>AND(#REF!,"AAAAAEfbriU=")</f>
        <v>#REF!</v>
      </c>
      <c r="AM294" t="e">
        <f>AND(#REF!,"AAAAAEfbriY=")</f>
        <v>#REF!</v>
      </c>
      <c r="AN294" t="e">
        <f>AND(#REF!,"AAAAAEfbric=")</f>
        <v>#REF!</v>
      </c>
      <c r="AO294" t="e">
        <f>AND(#REF!,"AAAAAEfbrig=")</f>
        <v>#REF!</v>
      </c>
      <c r="AP294" t="e">
        <f>AND(#REF!,"AAAAAEfbrik=")</f>
        <v>#REF!</v>
      </c>
      <c r="AQ294" t="e">
        <f>AND(#REF!,"AAAAAEfbrio=")</f>
        <v>#REF!</v>
      </c>
      <c r="AR294" t="e">
        <f>AND(#REF!,"AAAAAEfbris=")</f>
        <v>#REF!</v>
      </c>
      <c r="AS294" t="e">
        <f>AND(#REF!,"AAAAAEfbriw=")</f>
        <v>#REF!</v>
      </c>
      <c r="AT294" t="e">
        <f>AND(#REF!,"AAAAAEfbri0=")</f>
        <v>#REF!</v>
      </c>
      <c r="AU294" t="e">
        <f>AND(#REF!,"AAAAAEfbri4=")</f>
        <v>#REF!</v>
      </c>
      <c r="AV294" t="e">
        <f>AND(#REF!,"AAAAAEfbri8=")</f>
        <v>#REF!</v>
      </c>
      <c r="AW294" t="e">
        <f>AND(#REF!,"AAAAAEfbrjA=")</f>
        <v>#REF!</v>
      </c>
      <c r="AX294" t="e">
        <f>AND(#REF!,"AAAAAEfbrjE=")</f>
        <v>#REF!</v>
      </c>
      <c r="AY294" t="e">
        <f>AND(#REF!,"AAAAAEfbrjI=")</f>
        <v>#REF!</v>
      </c>
      <c r="AZ294" t="e">
        <f>AND(#REF!,"AAAAAEfbrjM=")</f>
        <v>#REF!</v>
      </c>
      <c r="BA294" t="e">
        <f>IF(#REF!,"AAAAAEfbrjQ=",0)</f>
        <v>#REF!</v>
      </c>
      <c r="BB294" t="e">
        <f>AND(#REF!,"AAAAAEfbrjU=")</f>
        <v>#REF!</v>
      </c>
      <c r="BC294" t="e">
        <f>AND(#REF!,"AAAAAEfbrjY=")</f>
        <v>#REF!</v>
      </c>
      <c r="BD294" t="e">
        <f>AND(#REF!,"AAAAAEfbrjc=")</f>
        <v>#REF!</v>
      </c>
      <c r="BE294" t="e">
        <f>AND(#REF!,"AAAAAEfbrjg=")</f>
        <v>#REF!</v>
      </c>
      <c r="BF294" t="e">
        <f>AND(#REF!,"AAAAAEfbrjk=")</f>
        <v>#REF!</v>
      </c>
      <c r="BG294" t="e">
        <f>AND(#REF!,"AAAAAEfbrjo=")</f>
        <v>#REF!</v>
      </c>
      <c r="BH294" t="e">
        <f>AND(#REF!,"AAAAAEfbrjs=")</f>
        <v>#REF!</v>
      </c>
      <c r="BI294" t="e">
        <f>AND(#REF!,"AAAAAEfbrjw=")</f>
        <v>#REF!</v>
      </c>
      <c r="BJ294" t="e">
        <f>AND(#REF!,"AAAAAEfbrj0=")</f>
        <v>#REF!</v>
      </c>
      <c r="BK294" t="e">
        <f>AND(#REF!,"AAAAAEfbrj4=")</f>
        <v>#REF!</v>
      </c>
      <c r="BL294" t="e">
        <f>AND(#REF!,"AAAAAEfbrj8=")</f>
        <v>#REF!</v>
      </c>
      <c r="BM294" t="e">
        <f>AND(#REF!,"AAAAAEfbrkA=")</f>
        <v>#REF!</v>
      </c>
      <c r="BN294" t="e">
        <f>AND(#REF!,"AAAAAEfbrkE=")</f>
        <v>#REF!</v>
      </c>
      <c r="BO294" t="e">
        <f>AND(#REF!,"AAAAAEfbrkI=")</f>
        <v>#REF!</v>
      </c>
      <c r="BP294" t="e">
        <f>AND(#REF!,"AAAAAEfbrkM=")</f>
        <v>#REF!</v>
      </c>
      <c r="BQ294" t="e">
        <f>AND(#REF!,"AAAAAEfbrkQ=")</f>
        <v>#REF!</v>
      </c>
      <c r="BR294" t="e">
        <f>AND(#REF!,"AAAAAEfbrkU=")</f>
        <v>#REF!</v>
      </c>
      <c r="BS294" t="e">
        <f>AND(#REF!,"AAAAAEfbrkY=")</f>
        <v>#REF!</v>
      </c>
      <c r="BT294" t="e">
        <f>AND(#REF!,"AAAAAEfbrkc=")</f>
        <v>#REF!</v>
      </c>
      <c r="BU294" t="e">
        <f>AND(#REF!,"AAAAAEfbrkg=")</f>
        <v>#REF!</v>
      </c>
      <c r="BV294" t="e">
        <f>AND(#REF!,"AAAAAEfbrkk=")</f>
        <v>#REF!</v>
      </c>
      <c r="BW294" t="e">
        <f>AND(#REF!,"AAAAAEfbrko=")</f>
        <v>#REF!</v>
      </c>
      <c r="BX294" t="e">
        <f>AND(#REF!,"AAAAAEfbrks=")</f>
        <v>#REF!</v>
      </c>
      <c r="BY294" t="e">
        <f>AND(#REF!,"AAAAAEfbrkw=")</f>
        <v>#REF!</v>
      </c>
      <c r="BZ294" t="e">
        <f>IF(#REF!,"AAAAAEfbrk0=",0)</f>
        <v>#REF!</v>
      </c>
      <c r="CA294" t="e">
        <f>AND(#REF!,"AAAAAEfbrk4=")</f>
        <v>#REF!</v>
      </c>
      <c r="CB294" t="e">
        <f>AND(#REF!,"AAAAAEfbrk8=")</f>
        <v>#REF!</v>
      </c>
      <c r="CC294" t="e">
        <f>AND(#REF!,"AAAAAEfbrlA=")</f>
        <v>#REF!</v>
      </c>
      <c r="CD294" t="e">
        <f>AND(#REF!,"AAAAAEfbrlE=")</f>
        <v>#REF!</v>
      </c>
      <c r="CE294" t="e">
        <f>AND(#REF!,"AAAAAEfbrlI=")</f>
        <v>#REF!</v>
      </c>
      <c r="CF294" t="e">
        <f>AND(#REF!,"AAAAAEfbrlM=")</f>
        <v>#REF!</v>
      </c>
      <c r="CG294" t="e">
        <f>AND(#REF!,"AAAAAEfbrlQ=")</f>
        <v>#REF!</v>
      </c>
      <c r="CH294" t="e">
        <f>AND(#REF!,"AAAAAEfbrlU=")</f>
        <v>#REF!</v>
      </c>
      <c r="CI294" t="e">
        <f>AND(#REF!,"AAAAAEfbrlY=")</f>
        <v>#REF!</v>
      </c>
      <c r="CJ294" t="e">
        <f>AND(#REF!,"AAAAAEfbrlc=")</f>
        <v>#REF!</v>
      </c>
      <c r="CK294" t="e">
        <f>AND(#REF!,"AAAAAEfbrlg=")</f>
        <v>#REF!</v>
      </c>
      <c r="CL294" t="e">
        <f>AND(#REF!,"AAAAAEfbrlk=")</f>
        <v>#REF!</v>
      </c>
      <c r="CM294" t="e">
        <f>AND(#REF!,"AAAAAEfbrlo=")</f>
        <v>#REF!</v>
      </c>
      <c r="CN294" t="e">
        <f>AND(#REF!,"AAAAAEfbrls=")</f>
        <v>#REF!</v>
      </c>
      <c r="CO294" t="e">
        <f>AND(#REF!,"AAAAAEfbrlw=")</f>
        <v>#REF!</v>
      </c>
      <c r="CP294" t="e">
        <f>AND(#REF!,"AAAAAEfbrl0=")</f>
        <v>#REF!</v>
      </c>
      <c r="CQ294" t="e">
        <f>AND(#REF!,"AAAAAEfbrl4=")</f>
        <v>#REF!</v>
      </c>
      <c r="CR294" t="e">
        <f>AND(#REF!,"AAAAAEfbrl8=")</f>
        <v>#REF!</v>
      </c>
      <c r="CS294" t="e">
        <f>AND(#REF!,"AAAAAEfbrmA=")</f>
        <v>#REF!</v>
      </c>
      <c r="CT294" t="e">
        <f>AND(#REF!,"AAAAAEfbrmE=")</f>
        <v>#REF!</v>
      </c>
      <c r="CU294" t="e">
        <f>AND(#REF!,"AAAAAEfbrmI=")</f>
        <v>#REF!</v>
      </c>
      <c r="CV294" t="e">
        <f>AND(#REF!,"AAAAAEfbrmM=")</f>
        <v>#REF!</v>
      </c>
      <c r="CW294" t="e">
        <f>AND(#REF!,"AAAAAEfbrmQ=")</f>
        <v>#REF!</v>
      </c>
      <c r="CX294" t="e">
        <f>AND(#REF!,"AAAAAEfbrmU=")</f>
        <v>#REF!</v>
      </c>
      <c r="CY294" t="e">
        <f>IF(#REF!,"AAAAAEfbrmY=",0)</f>
        <v>#REF!</v>
      </c>
      <c r="CZ294" t="e">
        <f>AND(#REF!,"AAAAAEfbrmc=")</f>
        <v>#REF!</v>
      </c>
      <c r="DA294" t="e">
        <f>AND(#REF!,"AAAAAEfbrmg=")</f>
        <v>#REF!</v>
      </c>
      <c r="DB294" t="e">
        <f>AND(#REF!,"AAAAAEfbrmk=")</f>
        <v>#REF!</v>
      </c>
      <c r="DC294" t="e">
        <f>AND(#REF!,"AAAAAEfbrmo=")</f>
        <v>#REF!</v>
      </c>
      <c r="DD294" t="e">
        <f>AND(#REF!,"AAAAAEfbrms=")</f>
        <v>#REF!</v>
      </c>
      <c r="DE294" t="e">
        <f>AND(#REF!,"AAAAAEfbrmw=")</f>
        <v>#REF!</v>
      </c>
      <c r="DF294" t="e">
        <f>AND(#REF!,"AAAAAEfbrm0=")</f>
        <v>#REF!</v>
      </c>
      <c r="DG294" t="e">
        <f>AND(#REF!,"AAAAAEfbrm4=")</f>
        <v>#REF!</v>
      </c>
      <c r="DH294" t="e">
        <f>AND(#REF!,"AAAAAEfbrm8=")</f>
        <v>#REF!</v>
      </c>
      <c r="DI294" t="e">
        <f>AND(#REF!,"AAAAAEfbrnA=")</f>
        <v>#REF!</v>
      </c>
      <c r="DJ294" t="e">
        <f>AND(#REF!,"AAAAAEfbrnE=")</f>
        <v>#REF!</v>
      </c>
      <c r="DK294" t="e">
        <f>AND(#REF!,"AAAAAEfbrnI=")</f>
        <v>#REF!</v>
      </c>
      <c r="DL294" t="e">
        <f>AND(#REF!,"AAAAAEfbrnM=")</f>
        <v>#REF!</v>
      </c>
      <c r="DM294" t="e">
        <f>AND(#REF!,"AAAAAEfbrnQ=")</f>
        <v>#REF!</v>
      </c>
      <c r="DN294" t="e">
        <f>AND(#REF!,"AAAAAEfbrnU=")</f>
        <v>#REF!</v>
      </c>
      <c r="DO294" t="e">
        <f>AND(#REF!,"AAAAAEfbrnY=")</f>
        <v>#REF!</v>
      </c>
      <c r="DP294" t="e">
        <f>AND(#REF!,"AAAAAEfbrnc=")</f>
        <v>#REF!</v>
      </c>
      <c r="DQ294" t="e">
        <f>AND(#REF!,"AAAAAEfbrng=")</f>
        <v>#REF!</v>
      </c>
      <c r="DR294" t="e">
        <f>AND(#REF!,"AAAAAEfbrnk=")</f>
        <v>#REF!</v>
      </c>
      <c r="DS294" t="e">
        <f>AND(#REF!,"AAAAAEfbrno=")</f>
        <v>#REF!</v>
      </c>
      <c r="DT294" t="e">
        <f>AND(#REF!,"AAAAAEfbrns=")</f>
        <v>#REF!</v>
      </c>
      <c r="DU294" t="e">
        <f>AND(#REF!,"AAAAAEfbrnw=")</f>
        <v>#REF!</v>
      </c>
      <c r="DV294" t="e">
        <f>AND(#REF!,"AAAAAEfbrn0=")</f>
        <v>#REF!</v>
      </c>
      <c r="DW294" t="e">
        <f>AND(#REF!,"AAAAAEfbrn4=")</f>
        <v>#REF!</v>
      </c>
      <c r="DX294" t="e">
        <f>IF(#REF!,"AAAAAEfbrn8=",0)</f>
        <v>#REF!</v>
      </c>
      <c r="DY294" t="e">
        <f>AND(#REF!,"AAAAAEfbroA=")</f>
        <v>#REF!</v>
      </c>
      <c r="DZ294" t="e">
        <f>AND(#REF!,"AAAAAEfbroE=")</f>
        <v>#REF!</v>
      </c>
      <c r="EA294" t="e">
        <f>AND(#REF!,"AAAAAEfbroI=")</f>
        <v>#REF!</v>
      </c>
      <c r="EB294" t="e">
        <f>AND(#REF!,"AAAAAEfbroM=")</f>
        <v>#REF!</v>
      </c>
      <c r="EC294" t="e">
        <f>AND(#REF!,"AAAAAEfbroQ=")</f>
        <v>#REF!</v>
      </c>
      <c r="ED294" t="e">
        <f>AND(#REF!,"AAAAAEfbroU=")</f>
        <v>#REF!</v>
      </c>
      <c r="EE294" t="e">
        <f>AND(#REF!,"AAAAAEfbroY=")</f>
        <v>#REF!</v>
      </c>
      <c r="EF294" t="e">
        <f>AND(#REF!,"AAAAAEfbroc=")</f>
        <v>#REF!</v>
      </c>
      <c r="EG294" t="e">
        <f>AND(#REF!,"AAAAAEfbrog=")</f>
        <v>#REF!</v>
      </c>
      <c r="EH294" t="e">
        <f>AND(#REF!,"AAAAAEfbrok=")</f>
        <v>#REF!</v>
      </c>
      <c r="EI294" t="e">
        <f>AND(#REF!,"AAAAAEfbroo=")</f>
        <v>#REF!</v>
      </c>
      <c r="EJ294" t="e">
        <f>AND(#REF!,"AAAAAEfbros=")</f>
        <v>#REF!</v>
      </c>
      <c r="EK294" t="e">
        <f>AND(#REF!,"AAAAAEfbrow=")</f>
        <v>#REF!</v>
      </c>
      <c r="EL294" t="e">
        <f>AND(#REF!,"AAAAAEfbro0=")</f>
        <v>#REF!</v>
      </c>
      <c r="EM294" t="e">
        <f>AND(#REF!,"AAAAAEfbro4=")</f>
        <v>#REF!</v>
      </c>
      <c r="EN294" t="e">
        <f>AND(#REF!,"AAAAAEfbro8=")</f>
        <v>#REF!</v>
      </c>
      <c r="EO294" t="e">
        <f>AND(#REF!,"AAAAAEfbrpA=")</f>
        <v>#REF!</v>
      </c>
      <c r="EP294" t="e">
        <f>AND(#REF!,"AAAAAEfbrpE=")</f>
        <v>#REF!</v>
      </c>
      <c r="EQ294" t="e">
        <f>AND(#REF!,"AAAAAEfbrpI=")</f>
        <v>#REF!</v>
      </c>
      <c r="ER294" t="e">
        <f>AND(#REF!,"AAAAAEfbrpM=")</f>
        <v>#REF!</v>
      </c>
      <c r="ES294" t="e">
        <f>AND(#REF!,"AAAAAEfbrpQ=")</f>
        <v>#REF!</v>
      </c>
      <c r="ET294" t="e">
        <f>AND(#REF!,"AAAAAEfbrpU=")</f>
        <v>#REF!</v>
      </c>
      <c r="EU294" t="e">
        <f>AND(#REF!,"AAAAAEfbrpY=")</f>
        <v>#REF!</v>
      </c>
      <c r="EV294" t="e">
        <f>AND(#REF!,"AAAAAEfbrpc=")</f>
        <v>#REF!</v>
      </c>
      <c r="EW294" t="e">
        <f>IF(#REF!,"AAAAAEfbrpg=",0)</f>
        <v>#REF!</v>
      </c>
      <c r="EX294" t="e">
        <f>AND(#REF!,"AAAAAEfbrpk=")</f>
        <v>#REF!</v>
      </c>
      <c r="EY294" t="e">
        <f>AND(#REF!,"AAAAAEfbrpo=")</f>
        <v>#REF!</v>
      </c>
      <c r="EZ294" t="e">
        <f>AND(#REF!,"AAAAAEfbrps=")</f>
        <v>#REF!</v>
      </c>
      <c r="FA294" t="e">
        <f>AND(#REF!,"AAAAAEfbrpw=")</f>
        <v>#REF!</v>
      </c>
      <c r="FB294" t="e">
        <f>AND(#REF!,"AAAAAEfbrp0=")</f>
        <v>#REF!</v>
      </c>
      <c r="FC294" t="e">
        <f>AND(#REF!,"AAAAAEfbrp4=")</f>
        <v>#REF!</v>
      </c>
      <c r="FD294" t="e">
        <f>AND(#REF!,"AAAAAEfbrp8=")</f>
        <v>#REF!</v>
      </c>
      <c r="FE294" t="e">
        <f>AND(#REF!,"AAAAAEfbrqA=")</f>
        <v>#REF!</v>
      </c>
      <c r="FF294" t="e">
        <f>AND(#REF!,"AAAAAEfbrqE=")</f>
        <v>#REF!</v>
      </c>
      <c r="FG294" t="e">
        <f>AND(#REF!,"AAAAAEfbrqI=")</f>
        <v>#REF!</v>
      </c>
      <c r="FH294" t="e">
        <f>AND(#REF!,"AAAAAEfbrqM=")</f>
        <v>#REF!</v>
      </c>
      <c r="FI294" t="e">
        <f>AND(#REF!,"AAAAAEfbrqQ=")</f>
        <v>#REF!</v>
      </c>
      <c r="FJ294" t="e">
        <f>AND(#REF!,"AAAAAEfbrqU=")</f>
        <v>#REF!</v>
      </c>
      <c r="FK294" t="e">
        <f>AND(#REF!,"AAAAAEfbrqY=")</f>
        <v>#REF!</v>
      </c>
      <c r="FL294" t="e">
        <f>AND(#REF!,"AAAAAEfbrqc=")</f>
        <v>#REF!</v>
      </c>
      <c r="FM294" t="e">
        <f>AND(#REF!,"AAAAAEfbrqg=")</f>
        <v>#REF!</v>
      </c>
      <c r="FN294" t="e">
        <f>AND(#REF!,"AAAAAEfbrqk=")</f>
        <v>#REF!</v>
      </c>
      <c r="FO294" t="e">
        <f>AND(#REF!,"AAAAAEfbrqo=")</f>
        <v>#REF!</v>
      </c>
      <c r="FP294" t="e">
        <f>AND(#REF!,"AAAAAEfbrqs=")</f>
        <v>#REF!</v>
      </c>
      <c r="FQ294" t="e">
        <f>AND(#REF!,"AAAAAEfbrqw=")</f>
        <v>#REF!</v>
      </c>
      <c r="FR294" t="e">
        <f>AND(#REF!,"AAAAAEfbrq0=")</f>
        <v>#REF!</v>
      </c>
      <c r="FS294" t="e">
        <f>AND(#REF!,"AAAAAEfbrq4=")</f>
        <v>#REF!</v>
      </c>
      <c r="FT294" t="e">
        <f>AND(#REF!,"AAAAAEfbrq8=")</f>
        <v>#REF!</v>
      </c>
      <c r="FU294" t="e">
        <f>AND(#REF!,"AAAAAEfbrrA=")</f>
        <v>#REF!</v>
      </c>
      <c r="FV294" t="e">
        <f>IF(#REF!,"AAAAAEfbrrE=",0)</f>
        <v>#REF!</v>
      </c>
      <c r="FW294" t="e">
        <f>AND(#REF!,"AAAAAEfbrrI=")</f>
        <v>#REF!</v>
      </c>
      <c r="FX294" t="e">
        <f>AND(#REF!,"AAAAAEfbrrM=")</f>
        <v>#REF!</v>
      </c>
      <c r="FY294" t="e">
        <f>AND(#REF!,"AAAAAEfbrrQ=")</f>
        <v>#REF!</v>
      </c>
      <c r="FZ294" t="e">
        <f>AND(#REF!,"AAAAAEfbrrU=")</f>
        <v>#REF!</v>
      </c>
      <c r="GA294" t="e">
        <f>AND(#REF!,"AAAAAEfbrrY=")</f>
        <v>#REF!</v>
      </c>
      <c r="GB294" t="e">
        <f>AND(#REF!,"AAAAAEfbrrc=")</f>
        <v>#REF!</v>
      </c>
      <c r="GC294" t="e">
        <f>AND(#REF!,"AAAAAEfbrrg=")</f>
        <v>#REF!</v>
      </c>
      <c r="GD294" t="e">
        <f>AND(#REF!,"AAAAAEfbrrk=")</f>
        <v>#REF!</v>
      </c>
      <c r="GE294" t="e">
        <f>AND(#REF!,"AAAAAEfbrro=")</f>
        <v>#REF!</v>
      </c>
      <c r="GF294" t="e">
        <f>AND(#REF!,"AAAAAEfbrrs=")</f>
        <v>#REF!</v>
      </c>
      <c r="GG294" t="e">
        <f>AND(#REF!,"AAAAAEfbrrw=")</f>
        <v>#REF!</v>
      </c>
      <c r="GH294" t="e">
        <f>AND(#REF!,"AAAAAEfbrr0=")</f>
        <v>#REF!</v>
      </c>
      <c r="GI294" t="e">
        <f>AND(#REF!,"AAAAAEfbrr4=")</f>
        <v>#REF!</v>
      </c>
      <c r="GJ294" t="e">
        <f>AND(#REF!,"AAAAAEfbrr8=")</f>
        <v>#REF!</v>
      </c>
      <c r="GK294" t="e">
        <f>AND(#REF!,"AAAAAEfbrsA=")</f>
        <v>#REF!</v>
      </c>
      <c r="GL294" t="e">
        <f>AND(#REF!,"AAAAAEfbrsE=")</f>
        <v>#REF!</v>
      </c>
      <c r="GM294" t="e">
        <f>AND(#REF!,"AAAAAEfbrsI=")</f>
        <v>#REF!</v>
      </c>
      <c r="GN294" t="e">
        <f>AND(#REF!,"AAAAAEfbrsM=")</f>
        <v>#REF!</v>
      </c>
      <c r="GO294" t="e">
        <f>AND(#REF!,"AAAAAEfbrsQ=")</f>
        <v>#REF!</v>
      </c>
      <c r="GP294" t="e">
        <f>AND(#REF!,"AAAAAEfbrsU=")</f>
        <v>#REF!</v>
      </c>
      <c r="GQ294" t="e">
        <f>AND(#REF!,"AAAAAEfbrsY=")</f>
        <v>#REF!</v>
      </c>
      <c r="GR294" t="e">
        <f>AND(#REF!,"AAAAAEfbrsc=")</f>
        <v>#REF!</v>
      </c>
      <c r="GS294" t="e">
        <f>AND(#REF!,"AAAAAEfbrsg=")</f>
        <v>#REF!</v>
      </c>
      <c r="GT294" t="e">
        <f>AND(#REF!,"AAAAAEfbrsk=")</f>
        <v>#REF!</v>
      </c>
      <c r="GU294" t="e">
        <f>IF(#REF!,"AAAAAEfbrso=",0)</f>
        <v>#REF!</v>
      </c>
      <c r="GV294" t="e">
        <f>AND(#REF!,"AAAAAEfbrss=")</f>
        <v>#REF!</v>
      </c>
      <c r="GW294" t="e">
        <f>AND(#REF!,"AAAAAEfbrsw=")</f>
        <v>#REF!</v>
      </c>
      <c r="GX294" t="e">
        <f>AND(#REF!,"AAAAAEfbrs0=")</f>
        <v>#REF!</v>
      </c>
      <c r="GY294" t="e">
        <f>AND(#REF!,"AAAAAEfbrs4=")</f>
        <v>#REF!</v>
      </c>
      <c r="GZ294" t="e">
        <f>AND(#REF!,"AAAAAEfbrs8=")</f>
        <v>#REF!</v>
      </c>
      <c r="HA294" t="e">
        <f>AND(#REF!,"AAAAAEfbrtA=")</f>
        <v>#REF!</v>
      </c>
      <c r="HB294" t="e">
        <f>AND(#REF!,"AAAAAEfbrtE=")</f>
        <v>#REF!</v>
      </c>
      <c r="HC294" t="e">
        <f>AND(#REF!,"AAAAAEfbrtI=")</f>
        <v>#REF!</v>
      </c>
      <c r="HD294" t="e">
        <f>AND(#REF!,"AAAAAEfbrtM=")</f>
        <v>#REF!</v>
      </c>
      <c r="HE294" t="e">
        <f>AND(#REF!,"AAAAAEfbrtQ=")</f>
        <v>#REF!</v>
      </c>
      <c r="HF294" t="e">
        <f>AND(#REF!,"AAAAAEfbrtU=")</f>
        <v>#REF!</v>
      </c>
      <c r="HG294" t="e">
        <f>AND(#REF!,"AAAAAEfbrtY=")</f>
        <v>#REF!</v>
      </c>
      <c r="HH294" t="e">
        <f>AND(#REF!,"AAAAAEfbrtc=")</f>
        <v>#REF!</v>
      </c>
      <c r="HI294" t="e">
        <f>AND(#REF!,"AAAAAEfbrtg=")</f>
        <v>#REF!</v>
      </c>
      <c r="HJ294" t="e">
        <f>AND(#REF!,"AAAAAEfbrtk=")</f>
        <v>#REF!</v>
      </c>
      <c r="HK294" t="e">
        <f>AND(#REF!,"AAAAAEfbrto=")</f>
        <v>#REF!</v>
      </c>
      <c r="HL294" t="e">
        <f>AND(#REF!,"AAAAAEfbrts=")</f>
        <v>#REF!</v>
      </c>
      <c r="HM294" t="e">
        <f>AND(#REF!,"AAAAAEfbrtw=")</f>
        <v>#REF!</v>
      </c>
      <c r="HN294" t="e">
        <f>AND(#REF!,"AAAAAEfbrt0=")</f>
        <v>#REF!</v>
      </c>
      <c r="HO294" t="e">
        <f>AND(#REF!,"AAAAAEfbrt4=")</f>
        <v>#REF!</v>
      </c>
      <c r="HP294" t="e">
        <f>AND(#REF!,"AAAAAEfbrt8=")</f>
        <v>#REF!</v>
      </c>
      <c r="HQ294" t="e">
        <f>AND(#REF!,"AAAAAEfbruA=")</f>
        <v>#REF!</v>
      </c>
      <c r="HR294" t="e">
        <f>AND(#REF!,"AAAAAEfbruE=")</f>
        <v>#REF!</v>
      </c>
      <c r="HS294" t="e">
        <f>AND(#REF!,"AAAAAEfbruI=")</f>
        <v>#REF!</v>
      </c>
      <c r="HT294" t="e">
        <f>IF(#REF!,"AAAAAEfbruM=",0)</f>
        <v>#REF!</v>
      </c>
      <c r="HU294" t="e">
        <f>AND(#REF!,"AAAAAEfbruQ=")</f>
        <v>#REF!</v>
      </c>
      <c r="HV294" t="e">
        <f>AND(#REF!,"AAAAAEfbruU=")</f>
        <v>#REF!</v>
      </c>
      <c r="HW294" t="e">
        <f>AND(#REF!,"AAAAAEfbruY=")</f>
        <v>#REF!</v>
      </c>
      <c r="HX294" t="e">
        <f>AND(#REF!,"AAAAAEfbruc=")</f>
        <v>#REF!</v>
      </c>
      <c r="HY294" t="e">
        <f>AND(#REF!,"AAAAAEfbrug=")</f>
        <v>#REF!</v>
      </c>
      <c r="HZ294" t="e">
        <f>AND(#REF!,"AAAAAEfbruk=")</f>
        <v>#REF!</v>
      </c>
      <c r="IA294" t="e">
        <f>AND(#REF!,"AAAAAEfbruo=")</f>
        <v>#REF!</v>
      </c>
      <c r="IB294" t="e">
        <f>AND(#REF!,"AAAAAEfbrus=")</f>
        <v>#REF!</v>
      </c>
      <c r="IC294" t="e">
        <f>AND(#REF!,"AAAAAEfbruw=")</f>
        <v>#REF!</v>
      </c>
      <c r="ID294" t="e">
        <f>AND(#REF!,"AAAAAEfbru0=")</f>
        <v>#REF!</v>
      </c>
      <c r="IE294" t="e">
        <f>AND(#REF!,"AAAAAEfbru4=")</f>
        <v>#REF!</v>
      </c>
      <c r="IF294" t="e">
        <f>AND(#REF!,"AAAAAEfbru8=")</f>
        <v>#REF!</v>
      </c>
      <c r="IG294" t="e">
        <f>AND(#REF!,"AAAAAEfbrvA=")</f>
        <v>#REF!</v>
      </c>
      <c r="IH294" t="e">
        <f>AND(#REF!,"AAAAAEfbrvE=")</f>
        <v>#REF!</v>
      </c>
      <c r="II294" t="e">
        <f>AND(#REF!,"AAAAAEfbrvI=")</f>
        <v>#REF!</v>
      </c>
      <c r="IJ294" t="e">
        <f>AND(#REF!,"AAAAAEfbrvM=")</f>
        <v>#REF!</v>
      </c>
      <c r="IK294" t="e">
        <f>AND(#REF!,"AAAAAEfbrvQ=")</f>
        <v>#REF!</v>
      </c>
      <c r="IL294" t="e">
        <f>AND(#REF!,"AAAAAEfbrvU=")</f>
        <v>#REF!</v>
      </c>
      <c r="IM294" t="e">
        <f>AND(#REF!,"AAAAAEfbrvY=")</f>
        <v>#REF!</v>
      </c>
      <c r="IN294" t="e">
        <f>AND(#REF!,"AAAAAEfbrvc=")</f>
        <v>#REF!</v>
      </c>
      <c r="IO294" t="e">
        <f>AND(#REF!,"AAAAAEfbrvg=")</f>
        <v>#REF!</v>
      </c>
      <c r="IP294" t="e">
        <f>AND(#REF!,"AAAAAEfbrvk=")</f>
        <v>#REF!</v>
      </c>
      <c r="IQ294" t="e">
        <f>AND(#REF!,"AAAAAEfbrvo=")</f>
        <v>#REF!</v>
      </c>
      <c r="IR294" t="e">
        <f>AND(#REF!,"AAAAAEfbrvs=")</f>
        <v>#REF!</v>
      </c>
      <c r="IS294" t="e">
        <f>IF(#REF!,"AAAAAEfbrvw=",0)</f>
        <v>#REF!</v>
      </c>
      <c r="IT294" t="e">
        <f>AND(#REF!,"AAAAAEfbrv0=")</f>
        <v>#REF!</v>
      </c>
      <c r="IU294" t="e">
        <f>AND(#REF!,"AAAAAEfbrv4=")</f>
        <v>#REF!</v>
      </c>
      <c r="IV294" t="e">
        <f>AND(#REF!,"AAAAAEfbrv8=")</f>
        <v>#REF!</v>
      </c>
    </row>
    <row r="295" spans="1:256">
      <c r="A295" t="e">
        <f>AND(#REF!,"AAAAAD+/vwA=")</f>
        <v>#REF!</v>
      </c>
      <c r="B295" t="e">
        <f>AND(#REF!,"AAAAAD+/vwE=")</f>
        <v>#REF!</v>
      </c>
      <c r="C295" t="e">
        <f>AND(#REF!,"AAAAAD+/vwI=")</f>
        <v>#REF!</v>
      </c>
      <c r="D295" t="e">
        <f>AND(#REF!,"AAAAAD+/vwM=")</f>
        <v>#REF!</v>
      </c>
      <c r="E295" t="e">
        <f>AND(#REF!,"AAAAAD+/vwQ=")</f>
        <v>#REF!</v>
      </c>
      <c r="F295" t="e">
        <f>AND(#REF!,"AAAAAD+/vwU=")</f>
        <v>#REF!</v>
      </c>
      <c r="G295" t="e">
        <f>AND(#REF!,"AAAAAD+/vwY=")</f>
        <v>#REF!</v>
      </c>
      <c r="H295" t="e">
        <f>AND(#REF!,"AAAAAD+/vwc=")</f>
        <v>#REF!</v>
      </c>
      <c r="I295" t="e">
        <f>AND(#REF!,"AAAAAD+/vwg=")</f>
        <v>#REF!</v>
      </c>
      <c r="J295" t="e">
        <f>AND(#REF!,"AAAAAD+/vwk=")</f>
        <v>#REF!</v>
      </c>
      <c r="K295" t="e">
        <f>AND(#REF!,"AAAAAD+/vwo=")</f>
        <v>#REF!</v>
      </c>
      <c r="L295" t="e">
        <f>AND(#REF!,"AAAAAD+/vws=")</f>
        <v>#REF!</v>
      </c>
      <c r="M295" t="e">
        <f>AND(#REF!,"AAAAAD+/vww=")</f>
        <v>#REF!</v>
      </c>
      <c r="N295" t="e">
        <f>AND(#REF!,"AAAAAD+/vw0=")</f>
        <v>#REF!</v>
      </c>
      <c r="O295" t="e">
        <f>AND(#REF!,"AAAAAD+/vw4=")</f>
        <v>#REF!</v>
      </c>
      <c r="P295" t="e">
        <f>AND(#REF!,"AAAAAD+/vw8=")</f>
        <v>#REF!</v>
      </c>
      <c r="Q295" t="e">
        <f>AND(#REF!,"AAAAAD+/vxA=")</f>
        <v>#REF!</v>
      </c>
      <c r="R295" t="e">
        <f>AND(#REF!,"AAAAAD+/vxE=")</f>
        <v>#REF!</v>
      </c>
      <c r="S295" t="e">
        <f>AND(#REF!,"AAAAAD+/vxI=")</f>
        <v>#REF!</v>
      </c>
      <c r="T295" t="e">
        <f>AND(#REF!,"AAAAAD+/vxM=")</f>
        <v>#REF!</v>
      </c>
      <c r="U295" t="e">
        <f>AND(#REF!,"AAAAAD+/vxQ=")</f>
        <v>#REF!</v>
      </c>
      <c r="V295" t="e">
        <f>IF(#REF!,"AAAAAD+/vxU=",0)</f>
        <v>#REF!</v>
      </c>
      <c r="W295" t="e">
        <f>AND(#REF!,"AAAAAD+/vxY=")</f>
        <v>#REF!</v>
      </c>
      <c r="X295" t="e">
        <f>AND(#REF!,"AAAAAD+/vxc=")</f>
        <v>#REF!</v>
      </c>
      <c r="Y295" t="e">
        <f>AND(#REF!,"AAAAAD+/vxg=")</f>
        <v>#REF!</v>
      </c>
      <c r="Z295" t="e">
        <f>AND(#REF!,"AAAAAD+/vxk=")</f>
        <v>#REF!</v>
      </c>
      <c r="AA295" t="e">
        <f>AND(#REF!,"AAAAAD+/vxo=")</f>
        <v>#REF!</v>
      </c>
      <c r="AB295" t="e">
        <f>AND(#REF!,"AAAAAD+/vxs=")</f>
        <v>#REF!</v>
      </c>
      <c r="AC295" t="e">
        <f>AND(#REF!,"AAAAAD+/vxw=")</f>
        <v>#REF!</v>
      </c>
      <c r="AD295" t="e">
        <f>AND(#REF!,"AAAAAD+/vx0=")</f>
        <v>#REF!</v>
      </c>
      <c r="AE295" t="e">
        <f>AND(#REF!,"AAAAAD+/vx4=")</f>
        <v>#REF!</v>
      </c>
      <c r="AF295" t="e">
        <f>AND(#REF!,"AAAAAD+/vx8=")</f>
        <v>#REF!</v>
      </c>
      <c r="AG295" t="e">
        <f>AND(#REF!,"AAAAAD+/vyA=")</f>
        <v>#REF!</v>
      </c>
      <c r="AH295" t="e">
        <f>AND(#REF!,"AAAAAD+/vyE=")</f>
        <v>#REF!</v>
      </c>
      <c r="AI295" t="e">
        <f>AND(#REF!,"AAAAAD+/vyI=")</f>
        <v>#REF!</v>
      </c>
      <c r="AJ295" t="e">
        <f>AND(#REF!,"AAAAAD+/vyM=")</f>
        <v>#REF!</v>
      </c>
      <c r="AK295" t="e">
        <f>AND(#REF!,"AAAAAD+/vyQ=")</f>
        <v>#REF!</v>
      </c>
      <c r="AL295" t="e">
        <f>AND(#REF!,"AAAAAD+/vyU=")</f>
        <v>#REF!</v>
      </c>
      <c r="AM295" t="e">
        <f>AND(#REF!,"AAAAAD+/vyY=")</f>
        <v>#REF!</v>
      </c>
      <c r="AN295" t="e">
        <f>AND(#REF!,"AAAAAD+/vyc=")</f>
        <v>#REF!</v>
      </c>
      <c r="AO295" t="e">
        <f>AND(#REF!,"AAAAAD+/vyg=")</f>
        <v>#REF!</v>
      </c>
      <c r="AP295" t="e">
        <f>AND(#REF!,"AAAAAD+/vyk=")</f>
        <v>#REF!</v>
      </c>
      <c r="AQ295" t="e">
        <f>AND(#REF!,"AAAAAD+/vyo=")</f>
        <v>#REF!</v>
      </c>
      <c r="AR295" t="e">
        <f>AND(#REF!,"AAAAAD+/vys=")</f>
        <v>#REF!</v>
      </c>
      <c r="AS295" t="e">
        <f>AND(#REF!,"AAAAAD+/vyw=")</f>
        <v>#REF!</v>
      </c>
      <c r="AT295" t="e">
        <f>AND(#REF!,"AAAAAD+/vy0=")</f>
        <v>#REF!</v>
      </c>
      <c r="AU295" t="e">
        <f>IF(#REF!,"AAAAAD+/vy4=",0)</f>
        <v>#REF!</v>
      </c>
      <c r="AV295" t="e">
        <f>AND(#REF!,"AAAAAD+/vy8=")</f>
        <v>#REF!</v>
      </c>
      <c r="AW295" t="e">
        <f>AND(#REF!,"AAAAAD+/vzA=")</f>
        <v>#REF!</v>
      </c>
      <c r="AX295" t="e">
        <f>AND(#REF!,"AAAAAD+/vzE=")</f>
        <v>#REF!</v>
      </c>
      <c r="AY295" t="e">
        <f>AND(#REF!,"AAAAAD+/vzI=")</f>
        <v>#REF!</v>
      </c>
      <c r="AZ295" t="e">
        <f>AND(#REF!,"AAAAAD+/vzM=")</f>
        <v>#REF!</v>
      </c>
      <c r="BA295" t="e">
        <f>AND(#REF!,"AAAAAD+/vzQ=")</f>
        <v>#REF!</v>
      </c>
      <c r="BB295" t="e">
        <f>AND(#REF!,"AAAAAD+/vzU=")</f>
        <v>#REF!</v>
      </c>
      <c r="BC295" t="e">
        <f>AND(#REF!,"AAAAAD+/vzY=")</f>
        <v>#REF!</v>
      </c>
      <c r="BD295" t="e">
        <f>AND(#REF!,"AAAAAD+/vzc=")</f>
        <v>#REF!</v>
      </c>
      <c r="BE295" t="e">
        <f>AND(#REF!,"AAAAAD+/vzg=")</f>
        <v>#REF!</v>
      </c>
      <c r="BF295" t="e">
        <f>AND(#REF!,"AAAAAD+/vzk=")</f>
        <v>#REF!</v>
      </c>
      <c r="BG295" t="e">
        <f>AND(#REF!,"AAAAAD+/vzo=")</f>
        <v>#REF!</v>
      </c>
      <c r="BH295" t="e">
        <f>AND(#REF!,"AAAAAD+/vzs=")</f>
        <v>#REF!</v>
      </c>
      <c r="BI295" t="e">
        <f>AND(#REF!,"AAAAAD+/vzw=")</f>
        <v>#REF!</v>
      </c>
      <c r="BJ295" t="e">
        <f>AND(#REF!,"AAAAAD+/vz0=")</f>
        <v>#REF!</v>
      </c>
      <c r="BK295" t="e">
        <f>AND(#REF!,"AAAAAD+/vz4=")</f>
        <v>#REF!</v>
      </c>
      <c r="BL295" t="e">
        <f>AND(#REF!,"AAAAAD+/vz8=")</f>
        <v>#REF!</v>
      </c>
      <c r="BM295" t="e">
        <f>AND(#REF!,"AAAAAD+/v0A=")</f>
        <v>#REF!</v>
      </c>
      <c r="BN295" t="e">
        <f>AND(#REF!,"AAAAAD+/v0E=")</f>
        <v>#REF!</v>
      </c>
      <c r="BO295" t="e">
        <f>AND(#REF!,"AAAAAD+/v0I=")</f>
        <v>#REF!</v>
      </c>
      <c r="BP295" t="e">
        <f>AND(#REF!,"AAAAAD+/v0M=")</f>
        <v>#REF!</v>
      </c>
      <c r="BQ295" t="e">
        <f>AND(#REF!,"AAAAAD+/v0Q=")</f>
        <v>#REF!</v>
      </c>
      <c r="BR295" t="e">
        <f>AND(#REF!,"AAAAAD+/v0U=")</f>
        <v>#REF!</v>
      </c>
      <c r="BS295" t="e">
        <f>AND(#REF!,"AAAAAD+/v0Y=")</f>
        <v>#REF!</v>
      </c>
      <c r="BT295" t="e">
        <f>IF(#REF!,"AAAAAD+/v0c=",0)</f>
        <v>#REF!</v>
      </c>
      <c r="BU295" t="e">
        <f>AND(#REF!,"AAAAAD+/v0g=")</f>
        <v>#REF!</v>
      </c>
      <c r="BV295" t="e">
        <f>AND(#REF!,"AAAAAD+/v0k=")</f>
        <v>#REF!</v>
      </c>
      <c r="BW295" t="e">
        <f>AND(#REF!,"AAAAAD+/v0o=")</f>
        <v>#REF!</v>
      </c>
      <c r="BX295" t="e">
        <f>AND(#REF!,"AAAAAD+/v0s=")</f>
        <v>#REF!</v>
      </c>
      <c r="BY295" t="e">
        <f>AND(#REF!,"AAAAAD+/v0w=")</f>
        <v>#REF!</v>
      </c>
      <c r="BZ295" t="e">
        <f>AND(#REF!,"AAAAAD+/v00=")</f>
        <v>#REF!</v>
      </c>
      <c r="CA295" t="e">
        <f>AND(#REF!,"AAAAAD+/v04=")</f>
        <v>#REF!</v>
      </c>
      <c r="CB295" t="e">
        <f>AND(#REF!,"AAAAAD+/v08=")</f>
        <v>#REF!</v>
      </c>
      <c r="CC295" t="e">
        <f>AND(#REF!,"AAAAAD+/v1A=")</f>
        <v>#REF!</v>
      </c>
      <c r="CD295" t="e">
        <f>AND(#REF!,"AAAAAD+/v1E=")</f>
        <v>#REF!</v>
      </c>
      <c r="CE295" t="e">
        <f>AND(#REF!,"AAAAAD+/v1I=")</f>
        <v>#REF!</v>
      </c>
      <c r="CF295" t="e">
        <f>AND(#REF!,"AAAAAD+/v1M=")</f>
        <v>#REF!</v>
      </c>
      <c r="CG295" t="e">
        <f>AND(#REF!,"AAAAAD+/v1Q=")</f>
        <v>#REF!</v>
      </c>
      <c r="CH295" t="e">
        <f>AND(#REF!,"AAAAAD+/v1U=")</f>
        <v>#REF!</v>
      </c>
      <c r="CI295" t="e">
        <f>AND(#REF!,"AAAAAD+/v1Y=")</f>
        <v>#REF!</v>
      </c>
      <c r="CJ295" t="e">
        <f>AND(#REF!,"AAAAAD+/v1c=")</f>
        <v>#REF!</v>
      </c>
      <c r="CK295" t="e">
        <f>AND(#REF!,"AAAAAD+/v1g=")</f>
        <v>#REF!</v>
      </c>
      <c r="CL295" t="e">
        <f>AND(#REF!,"AAAAAD+/v1k=")</f>
        <v>#REF!</v>
      </c>
      <c r="CM295" t="e">
        <f>AND(#REF!,"AAAAAD+/v1o=")</f>
        <v>#REF!</v>
      </c>
      <c r="CN295" t="e">
        <f>AND(#REF!,"AAAAAD+/v1s=")</f>
        <v>#REF!</v>
      </c>
      <c r="CO295" t="e">
        <f>AND(#REF!,"AAAAAD+/v1w=")</f>
        <v>#REF!</v>
      </c>
      <c r="CP295" t="e">
        <f>AND(#REF!,"AAAAAD+/v10=")</f>
        <v>#REF!</v>
      </c>
      <c r="CQ295" t="e">
        <f>AND(#REF!,"AAAAAD+/v14=")</f>
        <v>#REF!</v>
      </c>
      <c r="CR295" t="e">
        <f>AND(#REF!,"AAAAAD+/v18=")</f>
        <v>#REF!</v>
      </c>
      <c r="CS295" t="e">
        <f>IF(#REF!,"AAAAAD+/v2A=",0)</f>
        <v>#REF!</v>
      </c>
      <c r="CT295" t="e">
        <f>AND(#REF!,"AAAAAD+/v2E=")</f>
        <v>#REF!</v>
      </c>
      <c r="CU295" t="e">
        <f>AND(#REF!,"AAAAAD+/v2I=")</f>
        <v>#REF!</v>
      </c>
      <c r="CV295" t="e">
        <f>AND(#REF!,"AAAAAD+/v2M=")</f>
        <v>#REF!</v>
      </c>
      <c r="CW295" t="e">
        <f>AND(#REF!,"AAAAAD+/v2Q=")</f>
        <v>#REF!</v>
      </c>
      <c r="CX295" t="e">
        <f>AND(#REF!,"AAAAAD+/v2U=")</f>
        <v>#REF!</v>
      </c>
      <c r="CY295" t="e">
        <f>AND(#REF!,"AAAAAD+/v2Y=")</f>
        <v>#REF!</v>
      </c>
      <c r="CZ295" t="e">
        <f>AND(#REF!,"AAAAAD+/v2c=")</f>
        <v>#REF!</v>
      </c>
      <c r="DA295" t="e">
        <f>AND(#REF!,"AAAAAD+/v2g=")</f>
        <v>#REF!</v>
      </c>
      <c r="DB295" t="e">
        <f>AND(#REF!,"AAAAAD+/v2k=")</f>
        <v>#REF!</v>
      </c>
      <c r="DC295" t="e">
        <f>AND(#REF!,"AAAAAD+/v2o=")</f>
        <v>#REF!</v>
      </c>
      <c r="DD295" t="e">
        <f>AND(#REF!,"AAAAAD+/v2s=")</f>
        <v>#REF!</v>
      </c>
      <c r="DE295" t="e">
        <f>AND(#REF!,"AAAAAD+/v2w=")</f>
        <v>#REF!</v>
      </c>
      <c r="DF295" t="e">
        <f>AND(#REF!,"AAAAAD+/v20=")</f>
        <v>#REF!</v>
      </c>
      <c r="DG295" t="e">
        <f>AND(#REF!,"AAAAAD+/v24=")</f>
        <v>#REF!</v>
      </c>
      <c r="DH295" t="e">
        <f>AND(#REF!,"AAAAAD+/v28=")</f>
        <v>#REF!</v>
      </c>
      <c r="DI295" t="e">
        <f>AND(#REF!,"AAAAAD+/v3A=")</f>
        <v>#REF!</v>
      </c>
      <c r="DJ295" t="e">
        <f>AND(#REF!,"AAAAAD+/v3E=")</f>
        <v>#REF!</v>
      </c>
      <c r="DK295" t="e">
        <f>AND(#REF!,"AAAAAD+/v3I=")</f>
        <v>#REF!</v>
      </c>
      <c r="DL295" t="e">
        <f>AND(#REF!,"AAAAAD+/v3M=")</f>
        <v>#REF!</v>
      </c>
      <c r="DM295" t="e">
        <f>AND(#REF!,"AAAAAD+/v3Q=")</f>
        <v>#REF!</v>
      </c>
      <c r="DN295" t="e">
        <f>AND(#REF!,"AAAAAD+/v3U=")</f>
        <v>#REF!</v>
      </c>
      <c r="DO295" t="e">
        <f>AND(#REF!,"AAAAAD+/v3Y=")</f>
        <v>#REF!</v>
      </c>
      <c r="DP295" t="e">
        <f>AND(#REF!,"AAAAAD+/v3c=")</f>
        <v>#REF!</v>
      </c>
      <c r="DQ295" t="e">
        <f>AND(#REF!,"AAAAAD+/v3g=")</f>
        <v>#REF!</v>
      </c>
      <c r="DR295" t="e">
        <f>IF(#REF!,"AAAAAD+/v3k=",0)</f>
        <v>#REF!</v>
      </c>
      <c r="DS295" t="e">
        <f>AND(#REF!,"AAAAAD+/v3o=")</f>
        <v>#REF!</v>
      </c>
      <c r="DT295" t="e">
        <f>AND(#REF!,"AAAAAD+/v3s=")</f>
        <v>#REF!</v>
      </c>
      <c r="DU295" t="e">
        <f>AND(#REF!,"AAAAAD+/v3w=")</f>
        <v>#REF!</v>
      </c>
      <c r="DV295" t="e">
        <f>AND(#REF!,"AAAAAD+/v30=")</f>
        <v>#REF!</v>
      </c>
      <c r="DW295" t="e">
        <f>AND(#REF!,"AAAAAD+/v34=")</f>
        <v>#REF!</v>
      </c>
      <c r="DX295" t="e">
        <f>AND(#REF!,"AAAAAD+/v38=")</f>
        <v>#REF!</v>
      </c>
      <c r="DY295" t="e">
        <f>AND(#REF!,"AAAAAD+/v4A=")</f>
        <v>#REF!</v>
      </c>
      <c r="DZ295" t="e">
        <f>AND(#REF!,"AAAAAD+/v4E=")</f>
        <v>#REF!</v>
      </c>
      <c r="EA295" t="e">
        <f>AND(#REF!,"AAAAAD+/v4I=")</f>
        <v>#REF!</v>
      </c>
      <c r="EB295" t="e">
        <f>AND(#REF!,"AAAAAD+/v4M=")</f>
        <v>#REF!</v>
      </c>
      <c r="EC295" t="e">
        <f>AND(#REF!,"AAAAAD+/v4Q=")</f>
        <v>#REF!</v>
      </c>
      <c r="ED295" t="e">
        <f>AND(#REF!,"AAAAAD+/v4U=")</f>
        <v>#REF!</v>
      </c>
      <c r="EE295" t="e">
        <f>AND(#REF!,"AAAAAD+/v4Y=")</f>
        <v>#REF!</v>
      </c>
      <c r="EF295" t="e">
        <f>AND(#REF!,"AAAAAD+/v4c=")</f>
        <v>#REF!</v>
      </c>
      <c r="EG295" t="e">
        <f>AND(#REF!,"AAAAAD+/v4g=")</f>
        <v>#REF!</v>
      </c>
      <c r="EH295" t="e">
        <f>AND(#REF!,"AAAAAD+/v4k=")</f>
        <v>#REF!</v>
      </c>
      <c r="EI295" t="e">
        <f>AND(#REF!,"AAAAAD+/v4o=")</f>
        <v>#REF!</v>
      </c>
      <c r="EJ295" t="e">
        <f>AND(#REF!,"AAAAAD+/v4s=")</f>
        <v>#REF!</v>
      </c>
      <c r="EK295" t="e">
        <f>AND(#REF!,"AAAAAD+/v4w=")</f>
        <v>#REF!</v>
      </c>
      <c r="EL295" t="e">
        <f>AND(#REF!,"AAAAAD+/v40=")</f>
        <v>#REF!</v>
      </c>
      <c r="EM295" t="e">
        <f>AND(#REF!,"AAAAAD+/v44=")</f>
        <v>#REF!</v>
      </c>
      <c r="EN295" t="e">
        <f>AND(#REF!,"AAAAAD+/v48=")</f>
        <v>#REF!</v>
      </c>
      <c r="EO295" t="e">
        <f>AND(#REF!,"AAAAAD+/v5A=")</f>
        <v>#REF!</v>
      </c>
      <c r="EP295" t="e">
        <f>AND(#REF!,"AAAAAD+/v5E=")</f>
        <v>#REF!</v>
      </c>
      <c r="EQ295" t="e">
        <f>IF(#REF!,"AAAAAD+/v5I=",0)</f>
        <v>#REF!</v>
      </c>
      <c r="ER295" t="e">
        <f>AND(#REF!,"AAAAAD+/v5M=")</f>
        <v>#REF!</v>
      </c>
      <c r="ES295" t="e">
        <f>AND(#REF!,"AAAAAD+/v5Q=")</f>
        <v>#REF!</v>
      </c>
      <c r="ET295" t="e">
        <f>AND(#REF!,"AAAAAD+/v5U=")</f>
        <v>#REF!</v>
      </c>
      <c r="EU295" t="e">
        <f>AND(#REF!,"AAAAAD+/v5Y=")</f>
        <v>#REF!</v>
      </c>
      <c r="EV295" t="e">
        <f>AND(#REF!,"AAAAAD+/v5c=")</f>
        <v>#REF!</v>
      </c>
      <c r="EW295" t="e">
        <f>AND(#REF!,"AAAAAD+/v5g=")</f>
        <v>#REF!</v>
      </c>
      <c r="EX295" t="e">
        <f>AND(#REF!,"AAAAAD+/v5k=")</f>
        <v>#REF!</v>
      </c>
      <c r="EY295" t="e">
        <f>AND(#REF!,"AAAAAD+/v5o=")</f>
        <v>#REF!</v>
      </c>
      <c r="EZ295" t="e">
        <f>AND(#REF!,"AAAAAD+/v5s=")</f>
        <v>#REF!</v>
      </c>
      <c r="FA295" t="e">
        <f>AND(#REF!,"AAAAAD+/v5w=")</f>
        <v>#REF!</v>
      </c>
      <c r="FB295" t="e">
        <f>AND(#REF!,"AAAAAD+/v50=")</f>
        <v>#REF!</v>
      </c>
      <c r="FC295" t="e">
        <f>AND(#REF!,"AAAAAD+/v54=")</f>
        <v>#REF!</v>
      </c>
      <c r="FD295" t="e">
        <f>AND(#REF!,"AAAAAD+/v58=")</f>
        <v>#REF!</v>
      </c>
      <c r="FE295" t="e">
        <f>AND(#REF!,"AAAAAD+/v6A=")</f>
        <v>#REF!</v>
      </c>
      <c r="FF295" t="e">
        <f>AND(#REF!,"AAAAAD+/v6E=")</f>
        <v>#REF!</v>
      </c>
      <c r="FG295" t="e">
        <f>AND(#REF!,"AAAAAD+/v6I=")</f>
        <v>#REF!</v>
      </c>
      <c r="FH295" t="e">
        <f>AND(#REF!,"AAAAAD+/v6M=")</f>
        <v>#REF!</v>
      </c>
      <c r="FI295" t="e">
        <f>AND(#REF!,"AAAAAD+/v6Q=")</f>
        <v>#REF!</v>
      </c>
      <c r="FJ295" t="e">
        <f>AND(#REF!,"AAAAAD+/v6U=")</f>
        <v>#REF!</v>
      </c>
      <c r="FK295" t="e">
        <f>AND(#REF!,"AAAAAD+/v6Y=")</f>
        <v>#REF!</v>
      </c>
      <c r="FL295" t="e">
        <f>AND(#REF!,"AAAAAD+/v6c=")</f>
        <v>#REF!</v>
      </c>
      <c r="FM295" t="e">
        <f>AND(#REF!,"AAAAAD+/v6g=")</f>
        <v>#REF!</v>
      </c>
      <c r="FN295" t="e">
        <f>AND(#REF!,"AAAAAD+/v6k=")</f>
        <v>#REF!</v>
      </c>
      <c r="FO295" t="e">
        <f>AND(#REF!,"AAAAAD+/v6o=")</f>
        <v>#REF!</v>
      </c>
      <c r="FP295" t="e">
        <f>IF(#REF!,"AAAAAD+/v6s=",0)</f>
        <v>#REF!</v>
      </c>
      <c r="FQ295" t="e">
        <f>AND(#REF!,"AAAAAD+/v6w=")</f>
        <v>#REF!</v>
      </c>
      <c r="FR295" t="e">
        <f>AND(#REF!,"AAAAAD+/v60=")</f>
        <v>#REF!</v>
      </c>
      <c r="FS295" t="e">
        <f>AND(#REF!,"AAAAAD+/v64=")</f>
        <v>#REF!</v>
      </c>
      <c r="FT295" t="e">
        <f>AND(#REF!,"AAAAAD+/v68=")</f>
        <v>#REF!</v>
      </c>
      <c r="FU295" t="e">
        <f>AND(#REF!,"AAAAAD+/v7A=")</f>
        <v>#REF!</v>
      </c>
      <c r="FV295" t="e">
        <f>AND(#REF!,"AAAAAD+/v7E=")</f>
        <v>#REF!</v>
      </c>
      <c r="FW295" t="e">
        <f>AND(#REF!,"AAAAAD+/v7I=")</f>
        <v>#REF!</v>
      </c>
      <c r="FX295" t="e">
        <f>AND(#REF!,"AAAAAD+/v7M=")</f>
        <v>#REF!</v>
      </c>
      <c r="FY295" t="e">
        <f>AND(#REF!,"AAAAAD+/v7Q=")</f>
        <v>#REF!</v>
      </c>
      <c r="FZ295" t="e">
        <f>AND(#REF!,"AAAAAD+/v7U=")</f>
        <v>#REF!</v>
      </c>
      <c r="GA295" t="e">
        <f>AND(#REF!,"AAAAAD+/v7Y=")</f>
        <v>#REF!</v>
      </c>
      <c r="GB295" t="e">
        <f>AND(#REF!,"AAAAAD+/v7c=")</f>
        <v>#REF!</v>
      </c>
      <c r="GC295" t="e">
        <f>AND(#REF!,"AAAAAD+/v7g=")</f>
        <v>#REF!</v>
      </c>
      <c r="GD295" t="e">
        <f>AND(#REF!,"AAAAAD+/v7k=")</f>
        <v>#REF!</v>
      </c>
      <c r="GE295" t="e">
        <f>AND(#REF!,"AAAAAD+/v7o=")</f>
        <v>#REF!</v>
      </c>
      <c r="GF295" t="e">
        <f>AND(#REF!,"AAAAAD+/v7s=")</f>
        <v>#REF!</v>
      </c>
      <c r="GG295" t="e">
        <f>AND(#REF!,"AAAAAD+/v7w=")</f>
        <v>#REF!</v>
      </c>
      <c r="GH295" t="e">
        <f>AND(#REF!,"AAAAAD+/v70=")</f>
        <v>#REF!</v>
      </c>
      <c r="GI295" t="e">
        <f>AND(#REF!,"AAAAAD+/v74=")</f>
        <v>#REF!</v>
      </c>
      <c r="GJ295" t="e">
        <f>AND(#REF!,"AAAAAD+/v78=")</f>
        <v>#REF!</v>
      </c>
      <c r="GK295" t="e">
        <f>AND(#REF!,"AAAAAD+/v8A=")</f>
        <v>#REF!</v>
      </c>
      <c r="GL295" t="e">
        <f>AND(#REF!,"AAAAAD+/v8E=")</f>
        <v>#REF!</v>
      </c>
      <c r="GM295" t="e">
        <f>AND(#REF!,"AAAAAD+/v8I=")</f>
        <v>#REF!</v>
      </c>
      <c r="GN295" t="e">
        <f>AND(#REF!,"AAAAAD+/v8M=")</f>
        <v>#REF!</v>
      </c>
      <c r="GO295" t="e">
        <f>IF(#REF!,"AAAAAD+/v8Q=",0)</f>
        <v>#REF!</v>
      </c>
      <c r="GP295" t="e">
        <f>AND(#REF!,"AAAAAD+/v8U=")</f>
        <v>#REF!</v>
      </c>
      <c r="GQ295" t="e">
        <f>AND(#REF!,"AAAAAD+/v8Y=")</f>
        <v>#REF!</v>
      </c>
      <c r="GR295" t="e">
        <f>AND(#REF!,"AAAAAD+/v8c=")</f>
        <v>#REF!</v>
      </c>
      <c r="GS295" t="e">
        <f>AND(#REF!,"AAAAAD+/v8g=")</f>
        <v>#REF!</v>
      </c>
      <c r="GT295" t="e">
        <f>AND(#REF!,"AAAAAD+/v8k=")</f>
        <v>#REF!</v>
      </c>
      <c r="GU295" t="e">
        <f>AND(#REF!,"AAAAAD+/v8o=")</f>
        <v>#REF!</v>
      </c>
      <c r="GV295" t="e">
        <f>AND(#REF!,"AAAAAD+/v8s=")</f>
        <v>#REF!</v>
      </c>
      <c r="GW295" t="e">
        <f>AND(#REF!,"AAAAAD+/v8w=")</f>
        <v>#REF!</v>
      </c>
      <c r="GX295" t="e">
        <f>AND(#REF!,"AAAAAD+/v80=")</f>
        <v>#REF!</v>
      </c>
      <c r="GY295" t="e">
        <f>AND(#REF!,"AAAAAD+/v84=")</f>
        <v>#REF!</v>
      </c>
      <c r="GZ295" t="e">
        <f>AND(#REF!,"AAAAAD+/v88=")</f>
        <v>#REF!</v>
      </c>
      <c r="HA295" t="e">
        <f>AND(#REF!,"AAAAAD+/v9A=")</f>
        <v>#REF!</v>
      </c>
      <c r="HB295" t="e">
        <f>AND(#REF!,"AAAAAD+/v9E=")</f>
        <v>#REF!</v>
      </c>
      <c r="HC295" t="e">
        <f>AND(#REF!,"AAAAAD+/v9I=")</f>
        <v>#REF!</v>
      </c>
      <c r="HD295" t="e">
        <f>AND(#REF!,"AAAAAD+/v9M=")</f>
        <v>#REF!</v>
      </c>
      <c r="HE295" t="e">
        <f>AND(#REF!,"AAAAAD+/v9Q=")</f>
        <v>#REF!</v>
      </c>
      <c r="HF295" t="e">
        <f>AND(#REF!,"AAAAAD+/v9U=")</f>
        <v>#REF!</v>
      </c>
      <c r="HG295" t="e">
        <f>AND(#REF!,"AAAAAD+/v9Y=")</f>
        <v>#REF!</v>
      </c>
      <c r="HH295" t="e">
        <f>AND(#REF!,"AAAAAD+/v9c=")</f>
        <v>#REF!</v>
      </c>
      <c r="HI295" t="e">
        <f>AND(#REF!,"AAAAAD+/v9g=")</f>
        <v>#REF!</v>
      </c>
      <c r="HJ295" t="e">
        <f>AND(#REF!,"AAAAAD+/v9k=")</f>
        <v>#REF!</v>
      </c>
      <c r="HK295" t="e">
        <f>AND(#REF!,"AAAAAD+/v9o=")</f>
        <v>#REF!</v>
      </c>
      <c r="HL295" t="e">
        <f>AND(#REF!,"AAAAAD+/v9s=")</f>
        <v>#REF!</v>
      </c>
      <c r="HM295" t="e">
        <f>AND(#REF!,"AAAAAD+/v9w=")</f>
        <v>#REF!</v>
      </c>
      <c r="HN295" t="e">
        <f>IF(#REF!,"AAAAAD+/v90=",0)</f>
        <v>#REF!</v>
      </c>
      <c r="HO295" t="e">
        <f>AND(#REF!,"AAAAAD+/v94=")</f>
        <v>#REF!</v>
      </c>
      <c r="HP295" t="e">
        <f>AND(#REF!,"AAAAAD+/v98=")</f>
        <v>#REF!</v>
      </c>
      <c r="HQ295" t="e">
        <f>AND(#REF!,"AAAAAD+/v+A=")</f>
        <v>#REF!</v>
      </c>
      <c r="HR295" t="e">
        <f>AND(#REF!,"AAAAAD+/v+E=")</f>
        <v>#REF!</v>
      </c>
      <c r="HS295" t="e">
        <f>AND(#REF!,"AAAAAD+/v+I=")</f>
        <v>#REF!</v>
      </c>
      <c r="HT295" t="e">
        <f>AND(#REF!,"AAAAAD+/v+M=")</f>
        <v>#REF!</v>
      </c>
      <c r="HU295" t="e">
        <f>AND(#REF!,"AAAAAD+/v+Q=")</f>
        <v>#REF!</v>
      </c>
      <c r="HV295" t="e">
        <f>AND(#REF!,"AAAAAD+/v+U=")</f>
        <v>#REF!</v>
      </c>
      <c r="HW295" t="e">
        <f>AND(#REF!,"AAAAAD+/v+Y=")</f>
        <v>#REF!</v>
      </c>
      <c r="HX295" t="e">
        <f>AND(#REF!,"AAAAAD+/v+c=")</f>
        <v>#REF!</v>
      </c>
      <c r="HY295" t="e">
        <f>AND(#REF!,"AAAAAD+/v+g=")</f>
        <v>#REF!</v>
      </c>
      <c r="HZ295" t="e">
        <f>AND(#REF!,"AAAAAD+/v+k=")</f>
        <v>#REF!</v>
      </c>
      <c r="IA295" t="e">
        <f>AND(#REF!,"AAAAAD+/v+o=")</f>
        <v>#REF!</v>
      </c>
      <c r="IB295" t="e">
        <f>AND(#REF!,"AAAAAD+/v+s=")</f>
        <v>#REF!</v>
      </c>
      <c r="IC295" t="e">
        <f>AND(#REF!,"AAAAAD+/v+w=")</f>
        <v>#REF!</v>
      </c>
      <c r="ID295" t="e">
        <f>AND(#REF!,"AAAAAD+/v+0=")</f>
        <v>#REF!</v>
      </c>
      <c r="IE295" t="e">
        <f>AND(#REF!,"AAAAAD+/v+4=")</f>
        <v>#REF!</v>
      </c>
      <c r="IF295" t="e">
        <f>AND(#REF!,"AAAAAD+/v+8=")</f>
        <v>#REF!</v>
      </c>
      <c r="IG295" t="e">
        <f>AND(#REF!,"AAAAAD+/v/A=")</f>
        <v>#REF!</v>
      </c>
      <c r="IH295" t="e">
        <f>AND(#REF!,"AAAAAD+/v/E=")</f>
        <v>#REF!</v>
      </c>
      <c r="II295" t="e">
        <f>AND(#REF!,"AAAAAD+/v/I=")</f>
        <v>#REF!</v>
      </c>
      <c r="IJ295" t="e">
        <f>AND(#REF!,"AAAAAD+/v/M=")</f>
        <v>#REF!</v>
      </c>
      <c r="IK295" t="e">
        <f>AND(#REF!,"AAAAAD+/v/Q=")</f>
        <v>#REF!</v>
      </c>
      <c r="IL295" t="e">
        <f>AND(#REF!,"AAAAAD+/v/U=")</f>
        <v>#REF!</v>
      </c>
      <c r="IM295" t="e">
        <f>IF(#REF!,"AAAAAD+/v/Y=",0)</f>
        <v>#REF!</v>
      </c>
      <c r="IN295" t="e">
        <f>AND(#REF!,"AAAAAD+/v/c=")</f>
        <v>#REF!</v>
      </c>
      <c r="IO295" t="e">
        <f>AND(#REF!,"AAAAAD+/v/g=")</f>
        <v>#REF!</v>
      </c>
      <c r="IP295" t="e">
        <f>AND(#REF!,"AAAAAD+/v/k=")</f>
        <v>#REF!</v>
      </c>
      <c r="IQ295" t="e">
        <f>AND(#REF!,"AAAAAD+/v/o=")</f>
        <v>#REF!</v>
      </c>
      <c r="IR295" t="e">
        <f>AND(#REF!,"AAAAAD+/v/s=")</f>
        <v>#REF!</v>
      </c>
      <c r="IS295" t="e">
        <f>AND(#REF!,"AAAAAD+/v/w=")</f>
        <v>#REF!</v>
      </c>
      <c r="IT295" t="e">
        <f>AND(#REF!,"AAAAAD+/v/0=")</f>
        <v>#REF!</v>
      </c>
      <c r="IU295" t="e">
        <f>AND(#REF!,"AAAAAD+/v/4=")</f>
        <v>#REF!</v>
      </c>
      <c r="IV295" t="e">
        <f>AND(#REF!,"AAAAAD+/v/8=")</f>
        <v>#REF!</v>
      </c>
    </row>
    <row r="296" spans="1:256">
      <c r="A296" t="e">
        <f>AND(#REF!,"AAAAAD//mQA=")</f>
        <v>#REF!</v>
      </c>
      <c r="B296" t="e">
        <f>AND(#REF!,"AAAAAD//mQE=")</f>
        <v>#REF!</v>
      </c>
      <c r="C296" t="e">
        <f>AND(#REF!,"AAAAAD//mQI=")</f>
        <v>#REF!</v>
      </c>
      <c r="D296" t="e">
        <f>AND(#REF!,"AAAAAD//mQM=")</f>
        <v>#REF!</v>
      </c>
      <c r="E296" t="e">
        <f>AND(#REF!,"AAAAAD//mQQ=")</f>
        <v>#REF!</v>
      </c>
      <c r="F296" t="e">
        <f>AND(#REF!,"AAAAAD//mQU=")</f>
        <v>#REF!</v>
      </c>
      <c r="G296" t="e">
        <f>AND(#REF!,"AAAAAD//mQY=")</f>
        <v>#REF!</v>
      </c>
      <c r="H296" t="e">
        <f>AND(#REF!,"AAAAAD//mQc=")</f>
        <v>#REF!</v>
      </c>
      <c r="I296" t="e">
        <f>AND(#REF!,"AAAAAD//mQg=")</f>
        <v>#REF!</v>
      </c>
      <c r="J296" t="e">
        <f>AND(#REF!,"AAAAAD//mQk=")</f>
        <v>#REF!</v>
      </c>
      <c r="K296" t="e">
        <f>AND(#REF!,"AAAAAD//mQo=")</f>
        <v>#REF!</v>
      </c>
      <c r="L296" t="e">
        <f>AND(#REF!,"AAAAAD//mQs=")</f>
        <v>#REF!</v>
      </c>
      <c r="M296" t="e">
        <f>AND(#REF!,"AAAAAD//mQw=")</f>
        <v>#REF!</v>
      </c>
      <c r="N296" t="e">
        <f>AND(#REF!,"AAAAAD//mQ0=")</f>
        <v>#REF!</v>
      </c>
      <c r="O296" t="e">
        <f>AND(#REF!,"AAAAAD//mQ4=")</f>
        <v>#REF!</v>
      </c>
      <c r="P296" t="e">
        <f>IF(#REF!,"AAAAAD//mQ8=",0)</f>
        <v>#REF!</v>
      </c>
      <c r="Q296" t="e">
        <f>AND(#REF!,"AAAAAD//mRA=")</f>
        <v>#REF!</v>
      </c>
      <c r="R296" t="e">
        <f>AND(#REF!,"AAAAAD//mRE=")</f>
        <v>#REF!</v>
      </c>
      <c r="S296" t="e">
        <f>AND(#REF!,"AAAAAD//mRI=")</f>
        <v>#REF!</v>
      </c>
      <c r="T296" t="e">
        <f>AND(#REF!,"AAAAAD//mRM=")</f>
        <v>#REF!</v>
      </c>
      <c r="U296" t="e">
        <f>AND(#REF!,"AAAAAD//mRQ=")</f>
        <v>#REF!</v>
      </c>
      <c r="V296" t="e">
        <f>AND(#REF!,"AAAAAD//mRU=")</f>
        <v>#REF!</v>
      </c>
      <c r="W296" t="e">
        <f>AND(#REF!,"AAAAAD//mRY=")</f>
        <v>#REF!</v>
      </c>
      <c r="X296" t="e">
        <f>AND(#REF!,"AAAAAD//mRc=")</f>
        <v>#REF!</v>
      </c>
      <c r="Y296" t="e">
        <f>AND(#REF!,"AAAAAD//mRg=")</f>
        <v>#REF!</v>
      </c>
      <c r="Z296" t="e">
        <f>AND(#REF!,"AAAAAD//mRk=")</f>
        <v>#REF!</v>
      </c>
      <c r="AA296" t="e">
        <f>AND(#REF!,"AAAAAD//mRo=")</f>
        <v>#REF!</v>
      </c>
      <c r="AB296" t="e">
        <f>AND(#REF!,"AAAAAD//mRs=")</f>
        <v>#REF!</v>
      </c>
      <c r="AC296" t="e">
        <f>AND(#REF!,"AAAAAD//mRw=")</f>
        <v>#REF!</v>
      </c>
      <c r="AD296" t="e">
        <f>AND(#REF!,"AAAAAD//mR0=")</f>
        <v>#REF!</v>
      </c>
      <c r="AE296" t="e">
        <f>AND(#REF!,"AAAAAD//mR4=")</f>
        <v>#REF!</v>
      </c>
      <c r="AF296" t="e">
        <f>AND(#REF!,"AAAAAD//mR8=")</f>
        <v>#REF!</v>
      </c>
      <c r="AG296" t="e">
        <f>AND(#REF!,"AAAAAD//mSA=")</f>
        <v>#REF!</v>
      </c>
      <c r="AH296" t="e">
        <f>AND(#REF!,"AAAAAD//mSE=")</f>
        <v>#REF!</v>
      </c>
      <c r="AI296" t="e">
        <f>AND(#REF!,"AAAAAD//mSI=")</f>
        <v>#REF!</v>
      </c>
      <c r="AJ296" t="e">
        <f>AND(#REF!,"AAAAAD//mSM=")</f>
        <v>#REF!</v>
      </c>
      <c r="AK296" t="e">
        <f>AND(#REF!,"AAAAAD//mSQ=")</f>
        <v>#REF!</v>
      </c>
      <c r="AL296" t="e">
        <f>AND(#REF!,"AAAAAD//mSU=")</f>
        <v>#REF!</v>
      </c>
      <c r="AM296" t="e">
        <f>AND(#REF!,"AAAAAD//mSY=")</f>
        <v>#REF!</v>
      </c>
      <c r="AN296" t="e">
        <f>AND(#REF!,"AAAAAD//mSc=")</f>
        <v>#REF!</v>
      </c>
      <c r="AO296" t="e">
        <f>IF(#REF!,"AAAAAD//mSg=",0)</f>
        <v>#REF!</v>
      </c>
      <c r="AP296" t="e">
        <f>AND(#REF!,"AAAAAD//mSk=")</f>
        <v>#REF!</v>
      </c>
      <c r="AQ296" t="e">
        <f>AND(#REF!,"AAAAAD//mSo=")</f>
        <v>#REF!</v>
      </c>
      <c r="AR296" t="e">
        <f>AND(#REF!,"AAAAAD//mSs=")</f>
        <v>#REF!</v>
      </c>
      <c r="AS296" t="e">
        <f>AND(#REF!,"AAAAAD//mSw=")</f>
        <v>#REF!</v>
      </c>
      <c r="AT296" t="e">
        <f>AND(#REF!,"AAAAAD//mS0=")</f>
        <v>#REF!</v>
      </c>
      <c r="AU296" t="e">
        <f>AND(#REF!,"AAAAAD//mS4=")</f>
        <v>#REF!</v>
      </c>
      <c r="AV296" t="e">
        <f>AND(#REF!,"AAAAAD//mS8=")</f>
        <v>#REF!</v>
      </c>
      <c r="AW296" t="e">
        <f>AND(#REF!,"AAAAAD//mTA=")</f>
        <v>#REF!</v>
      </c>
      <c r="AX296" t="e">
        <f>AND(#REF!,"AAAAAD//mTE=")</f>
        <v>#REF!</v>
      </c>
      <c r="AY296" t="e">
        <f>AND(#REF!,"AAAAAD//mTI=")</f>
        <v>#REF!</v>
      </c>
      <c r="AZ296" t="e">
        <f>AND(#REF!,"AAAAAD//mTM=")</f>
        <v>#REF!</v>
      </c>
      <c r="BA296" t="e">
        <f>AND(#REF!,"AAAAAD//mTQ=")</f>
        <v>#REF!</v>
      </c>
      <c r="BB296" t="e">
        <f>AND(#REF!,"AAAAAD//mTU=")</f>
        <v>#REF!</v>
      </c>
      <c r="BC296" t="e">
        <f>AND(#REF!,"AAAAAD//mTY=")</f>
        <v>#REF!</v>
      </c>
      <c r="BD296" t="e">
        <f>AND(#REF!,"AAAAAD//mTc=")</f>
        <v>#REF!</v>
      </c>
      <c r="BE296" t="e">
        <f>AND(#REF!,"AAAAAD//mTg=")</f>
        <v>#REF!</v>
      </c>
      <c r="BF296" t="e">
        <f>AND(#REF!,"AAAAAD//mTk=")</f>
        <v>#REF!</v>
      </c>
      <c r="BG296" t="e">
        <f>AND(#REF!,"AAAAAD//mTo=")</f>
        <v>#REF!</v>
      </c>
      <c r="BH296" t="e">
        <f>AND(#REF!,"AAAAAD//mTs=")</f>
        <v>#REF!</v>
      </c>
      <c r="BI296" t="e">
        <f>AND(#REF!,"AAAAAD//mTw=")</f>
        <v>#REF!</v>
      </c>
      <c r="BJ296" t="e">
        <f>AND(#REF!,"AAAAAD//mT0=")</f>
        <v>#REF!</v>
      </c>
      <c r="BK296" t="e">
        <f>AND(#REF!,"AAAAAD//mT4=")</f>
        <v>#REF!</v>
      </c>
      <c r="BL296" t="e">
        <f>AND(#REF!,"AAAAAD//mT8=")</f>
        <v>#REF!</v>
      </c>
      <c r="BM296" t="e">
        <f>AND(#REF!,"AAAAAD//mUA=")</f>
        <v>#REF!</v>
      </c>
      <c r="BN296" t="e">
        <f>IF(#REF!,"AAAAAD//mUE=",0)</f>
        <v>#REF!</v>
      </c>
      <c r="BO296" t="e">
        <f>AND(#REF!,"AAAAAD//mUI=")</f>
        <v>#REF!</v>
      </c>
      <c r="BP296" t="e">
        <f>AND(#REF!,"AAAAAD//mUM=")</f>
        <v>#REF!</v>
      </c>
      <c r="BQ296" t="e">
        <f>AND(#REF!,"AAAAAD//mUQ=")</f>
        <v>#REF!</v>
      </c>
      <c r="BR296" t="e">
        <f>AND(#REF!,"AAAAAD//mUU=")</f>
        <v>#REF!</v>
      </c>
      <c r="BS296" t="e">
        <f>AND(#REF!,"AAAAAD//mUY=")</f>
        <v>#REF!</v>
      </c>
      <c r="BT296" t="e">
        <f>AND(#REF!,"AAAAAD//mUc=")</f>
        <v>#REF!</v>
      </c>
      <c r="BU296" t="e">
        <f>AND(#REF!,"AAAAAD//mUg=")</f>
        <v>#REF!</v>
      </c>
      <c r="BV296" t="e">
        <f>AND(#REF!,"AAAAAD//mUk=")</f>
        <v>#REF!</v>
      </c>
      <c r="BW296" t="e">
        <f>AND(#REF!,"AAAAAD//mUo=")</f>
        <v>#REF!</v>
      </c>
      <c r="BX296" t="e">
        <f>AND(#REF!,"AAAAAD//mUs=")</f>
        <v>#REF!</v>
      </c>
      <c r="BY296" t="e">
        <f>AND(#REF!,"AAAAAD//mUw=")</f>
        <v>#REF!</v>
      </c>
      <c r="BZ296" t="e">
        <f>AND(#REF!,"AAAAAD//mU0=")</f>
        <v>#REF!</v>
      </c>
      <c r="CA296" t="e">
        <f>AND(#REF!,"AAAAAD//mU4=")</f>
        <v>#REF!</v>
      </c>
      <c r="CB296" t="e">
        <f>AND(#REF!,"AAAAAD//mU8=")</f>
        <v>#REF!</v>
      </c>
      <c r="CC296" t="e">
        <f>AND(#REF!,"AAAAAD//mVA=")</f>
        <v>#REF!</v>
      </c>
      <c r="CD296" t="e">
        <f>AND(#REF!,"AAAAAD//mVE=")</f>
        <v>#REF!</v>
      </c>
      <c r="CE296" t="e">
        <f>AND(#REF!,"AAAAAD//mVI=")</f>
        <v>#REF!</v>
      </c>
      <c r="CF296" t="e">
        <f>AND(#REF!,"AAAAAD//mVM=")</f>
        <v>#REF!</v>
      </c>
      <c r="CG296" t="e">
        <f>AND(#REF!,"AAAAAD//mVQ=")</f>
        <v>#REF!</v>
      </c>
      <c r="CH296" t="e">
        <f>AND(#REF!,"AAAAAD//mVU=")</f>
        <v>#REF!</v>
      </c>
      <c r="CI296" t="e">
        <f>AND(#REF!,"AAAAAD//mVY=")</f>
        <v>#REF!</v>
      </c>
      <c r="CJ296" t="e">
        <f>AND(#REF!,"AAAAAD//mVc=")</f>
        <v>#REF!</v>
      </c>
      <c r="CK296" t="e">
        <f>AND(#REF!,"AAAAAD//mVg=")</f>
        <v>#REF!</v>
      </c>
      <c r="CL296" t="e">
        <f>AND(#REF!,"AAAAAD//mVk=")</f>
        <v>#REF!</v>
      </c>
      <c r="CM296" t="e">
        <f>IF(#REF!,"AAAAAD//mVo=",0)</f>
        <v>#REF!</v>
      </c>
      <c r="CN296" t="e">
        <f>AND(#REF!,"AAAAAD//mVs=")</f>
        <v>#REF!</v>
      </c>
      <c r="CO296" t="e">
        <f>AND(#REF!,"AAAAAD//mVw=")</f>
        <v>#REF!</v>
      </c>
      <c r="CP296" t="e">
        <f>AND(#REF!,"AAAAAD//mV0=")</f>
        <v>#REF!</v>
      </c>
      <c r="CQ296" t="e">
        <f>AND(#REF!,"AAAAAD//mV4=")</f>
        <v>#REF!</v>
      </c>
      <c r="CR296" t="e">
        <f>AND(#REF!,"AAAAAD//mV8=")</f>
        <v>#REF!</v>
      </c>
      <c r="CS296" t="e">
        <f>AND(#REF!,"AAAAAD//mWA=")</f>
        <v>#REF!</v>
      </c>
      <c r="CT296" t="e">
        <f>AND(#REF!,"AAAAAD//mWE=")</f>
        <v>#REF!</v>
      </c>
      <c r="CU296" t="e">
        <f>AND(#REF!,"AAAAAD//mWI=")</f>
        <v>#REF!</v>
      </c>
      <c r="CV296" t="e">
        <f>AND(#REF!,"AAAAAD//mWM=")</f>
        <v>#REF!</v>
      </c>
      <c r="CW296" t="e">
        <f>AND(#REF!,"AAAAAD//mWQ=")</f>
        <v>#REF!</v>
      </c>
      <c r="CX296" t="e">
        <f>AND(#REF!,"AAAAAD//mWU=")</f>
        <v>#REF!</v>
      </c>
      <c r="CY296" t="e">
        <f>AND(#REF!,"AAAAAD//mWY=")</f>
        <v>#REF!</v>
      </c>
      <c r="CZ296" t="e">
        <f>AND(#REF!,"AAAAAD//mWc=")</f>
        <v>#REF!</v>
      </c>
      <c r="DA296" t="e">
        <f>AND(#REF!,"AAAAAD//mWg=")</f>
        <v>#REF!</v>
      </c>
      <c r="DB296" t="e">
        <f>AND(#REF!,"AAAAAD//mWk=")</f>
        <v>#REF!</v>
      </c>
      <c r="DC296" t="e">
        <f>AND(#REF!,"AAAAAD//mWo=")</f>
        <v>#REF!</v>
      </c>
      <c r="DD296" t="e">
        <f>AND(#REF!,"AAAAAD//mWs=")</f>
        <v>#REF!</v>
      </c>
      <c r="DE296" t="e">
        <f>AND(#REF!,"AAAAAD//mWw=")</f>
        <v>#REF!</v>
      </c>
      <c r="DF296" t="e">
        <f>AND(#REF!,"AAAAAD//mW0=")</f>
        <v>#REF!</v>
      </c>
      <c r="DG296" t="e">
        <f>AND(#REF!,"AAAAAD//mW4=")</f>
        <v>#REF!</v>
      </c>
      <c r="DH296" t="e">
        <f>AND(#REF!,"AAAAAD//mW8=")</f>
        <v>#REF!</v>
      </c>
      <c r="DI296" t="e">
        <f>AND(#REF!,"AAAAAD//mXA=")</f>
        <v>#REF!</v>
      </c>
      <c r="DJ296" t="e">
        <f>AND(#REF!,"AAAAAD//mXE=")</f>
        <v>#REF!</v>
      </c>
      <c r="DK296" t="e">
        <f>AND(#REF!,"AAAAAD//mXI=")</f>
        <v>#REF!</v>
      </c>
      <c r="DL296" t="e">
        <f>IF(#REF!,"AAAAAD//mXM=",0)</f>
        <v>#REF!</v>
      </c>
      <c r="DM296" t="e">
        <f>AND(#REF!,"AAAAAD//mXQ=")</f>
        <v>#REF!</v>
      </c>
      <c r="DN296" t="e">
        <f>AND(#REF!,"AAAAAD//mXU=")</f>
        <v>#REF!</v>
      </c>
      <c r="DO296" t="e">
        <f>AND(#REF!,"AAAAAD//mXY=")</f>
        <v>#REF!</v>
      </c>
      <c r="DP296" t="e">
        <f>AND(#REF!,"AAAAAD//mXc=")</f>
        <v>#REF!</v>
      </c>
      <c r="DQ296" t="e">
        <f>AND(#REF!,"AAAAAD//mXg=")</f>
        <v>#REF!</v>
      </c>
      <c r="DR296" t="e">
        <f>AND(#REF!,"AAAAAD//mXk=")</f>
        <v>#REF!</v>
      </c>
      <c r="DS296" t="e">
        <f>AND(#REF!,"AAAAAD//mXo=")</f>
        <v>#REF!</v>
      </c>
      <c r="DT296" t="e">
        <f>AND(#REF!,"AAAAAD//mXs=")</f>
        <v>#REF!</v>
      </c>
      <c r="DU296" t="e">
        <f>AND(#REF!,"AAAAAD//mXw=")</f>
        <v>#REF!</v>
      </c>
      <c r="DV296" t="e">
        <f>AND(#REF!,"AAAAAD//mX0=")</f>
        <v>#REF!</v>
      </c>
      <c r="DW296" t="e">
        <f>AND(#REF!,"AAAAAD//mX4=")</f>
        <v>#REF!</v>
      </c>
      <c r="DX296" t="e">
        <f>AND(#REF!,"AAAAAD//mX8=")</f>
        <v>#REF!</v>
      </c>
      <c r="DY296" t="e">
        <f>AND(#REF!,"AAAAAD//mYA=")</f>
        <v>#REF!</v>
      </c>
      <c r="DZ296" t="e">
        <f>AND(#REF!,"AAAAAD//mYE=")</f>
        <v>#REF!</v>
      </c>
      <c r="EA296" t="e">
        <f>AND(#REF!,"AAAAAD//mYI=")</f>
        <v>#REF!</v>
      </c>
      <c r="EB296" t="e">
        <f>AND(#REF!,"AAAAAD//mYM=")</f>
        <v>#REF!</v>
      </c>
      <c r="EC296" t="e">
        <f>AND(#REF!,"AAAAAD//mYQ=")</f>
        <v>#REF!</v>
      </c>
      <c r="ED296" t="e">
        <f>AND(#REF!,"AAAAAD//mYU=")</f>
        <v>#REF!</v>
      </c>
      <c r="EE296" t="e">
        <f>AND(#REF!,"AAAAAD//mYY=")</f>
        <v>#REF!</v>
      </c>
      <c r="EF296" t="e">
        <f>AND(#REF!,"AAAAAD//mYc=")</f>
        <v>#REF!</v>
      </c>
      <c r="EG296" t="e">
        <f>AND(#REF!,"AAAAAD//mYg=")</f>
        <v>#REF!</v>
      </c>
      <c r="EH296" t="e">
        <f>AND(#REF!,"AAAAAD//mYk=")</f>
        <v>#REF!</v>
      </c>
      <c r="EI296" t="e">
        <f>AND(#REF!,"AAAAAD//mYo=")</f>
        <v>#REF!</v>
      </c>
      <c r="EJ296" t="e">
        <f>AND(#REF!,"AAAAAD//mYs=")</f>
        <v>#REF!</v>
      </c>
      <c r="EK296" t="e">
        <f>IF(#REF!,"AAAAAD//mYw=",0)</f>
        <v>#REF!</v>
      </c>
      <c r="EL296" t="e">
        <f>AND(#REF!,"AAAAAD//mY0=")</f>
        <v>#REF!</v>
      </c>
      <c r="EM296" t="e">
        <f>AND(#REF!,"AAAAAD//mY4=")</f>
        <v>#REF!</v>
      </c>
      <c r="EN296" t="e">
        <f>AND(#REF!,"AAAAAD//mY8=")</f>
        <v>#REF!</v>
      </c>
      <c r="EO296" t="e">
        <f>AND(#REF!,"AAAAAD//mZA=")</f>
        <v>#REF!</v>
      </c>
      <c r="EP296" t="e">
        <f>AND(#REF!,"AAAAAD//mZE=")</f>
        <v>#REF!</v>
      </c>
      <c r="EQ296" t="e">
        <f>AND(#REF!,"AAAAAD//mZI=")</f>
        <v>#REF!</v>
      </c>
      <c r="ER296" t="e">
        <f>AND(#REF!,"AAAAAD//mZM=")</f>
        <v>#REF!</v>
      </c>
      <c r="ES296" t="e">
        <f>AND(#REF!,"AAAAAD//mZQ=")</f>
        <v>#REF!</v>
      </c>
      <c r="ET296" t="e">
        <f>AND(#REF!,"AAAAAD//mZU=")</f>
        <v>#REF!</v>
      </c>
      <c r="EU296" t="e">
        <f>AND(#REF!,"AAAAAD//mZY=")</f>
        <v>#REF!</v>
      </c>
      <c r="EV296" t="e">
        <f>AND(#REF!,"AAAAAD//mZc=")</f>
        <v>#REF!</v>
      </c>
      <c r="EW296" t="e">
        <f>AND(#REF!,"AAAAAD//mZg=")</f>
        <v>#REF!</v>
      </c>
      <c r="EX296" t="e">
        <f>AND(#REF!,"AAAAAD//mZk=")</f>
        <v>#REF!</v>
      </c>
      <c r="EY296" t="e">
        <f>AND(#REF!,"AAAAAD//mZo=")</f>
        <v>#REF!</v>
      </c>
      <c r="EZ296" t="e">
        <f>AND(#REF!,"AAAAAD//mZs=")</f>
        <v>#REF!</v>
      </c>
      <c r="FA296" t="e">
        <f>AND(#REF!,"AAAAAD//mZw=")</f>
        <v>#REF!</v>
      </c>
      <c r="FB296" t="e">
        <f>AND(#REF!,"AAAAAD//mZ0=")</f>
        <v>#REF!</v>
      </c>
      <c r="FC296" t="e">
        <f>AND(#REF!,"AAAAAD//mZ4=")</f>
        <v>#REF!</v>
      </c>
      <c r="FD296" t="e">
        <f>AND(#REF!,"AAAAAD//mZ8=")</f>
        <v>#REF!</v>
      </c>
      <c r="FE296" t="e">
        <f>AND(#REF!,"AAAAAD//maA=")</f>
        <v>#REF!</v>
      </c>
      <c r="FF296" t="e">
        <f>AND(#REF!,"AAAAAD//maE=")</f>
        <v>#REF!</v>
      </c>
      <c r="FG296" t="e">
        <f>AND(#REF!,"AAAAAD//maI=")</f>
        <v>#REF!</v>
      </c>
      <c r="FH296" t="e">
        <f>AND(#REF!,"AAAAAD//maM=")</f>
        <v>#REF!</v>
      </c>
      <c r="FI296" t="e">
        <f>AND(#REF!,"AAAAAD//maQ=")</f>
        <v>#REF!</v>
      </c>
      <c r="FJ296" t="e">
        <f>IF(#REF!,"AAAAAD//maU=",0)</f>
        <v>#REF!</v>
      </c>
      <c r="FK296" t="e">
        <f>AND(#REF!,"AAAAAD//maY=")</f>
        <v>#REF!</v>
      </c>
      <c r="FL296" t="e">
        <f>AND(#REF!,"AAAAAD//mac=")</f>
        <v>#REF!</v>
      </c>
      <c r="FM296" t="e">
        <f>AND(#REF!,"AAAAAD//mag=")</f>
        <v>#REF!</v>
      </c>
      <c r="FN296" t="e">
        <f>AND(#REF!,"AAAAAD//mak=")</f>
        <v>#REF!</v>
      </c>
      <c r="FO296" t="e">
        <f>AND(#REF!,"AAAAAD//mao=")</f>
        <v>#REF!</v>
      </c>
      <c r="FP296" t="e">
        <f>AND(#REF!,"AAAAAD//mas=")</f>
        <v>#REF!</v>
      </c>
      <c r="FQ296" t="e">
        <f>AND(#REF!,"AAAAAD//maw=")</f>
        <v>#REF!</v>
      </c>
      <c r="FR296" t="e">
        <f>AND(#REF!,"AAAAAD//ma0=")</f>
        <v>#REF!</v>
      </c>
      <c r="FS296" t="e">
        <f>AND(#REF!,"AAAAAD//ma4=")</f>
        <v>#REF!</v>
      </c>
      <c r="FT296" t="e">
        <f>AND(#REF!,"AAAAAD//ma8=")</f>
        <v>#REF!</v>
      </c>
      <c r="FU296" t="e">
        <f>AND(#REF!,"AAAAAD//mbA=")</f>
        <v>#REF!</v>
      </c>
      <c r="FV296" t="e">
        <f>AND(#REF!,"AAAAAD//mbE=")</f>
        <v>#REF!</v>
      </c>
      <c r="FW296" t="e">
        <f>AND(#REF!,"AAAAAD//mbI=")</f>
        <v>#REF!</v>
      </c>
      <c r="FX296" t="e">
        <f>AND(#REF!,"AAAAAD//mbM=")</f>
        <v>#REF!</v>
      </c>
      <c r="FY296" t="e">
        <f>AND(#REF!,"AAAAAD//mbQ=")</f>
        <v>#REF!</v>
      </c>
      <c r="FZ296" t="e">
        <f>AND(#REF!,"AAAAAD//mbU=")</f>
        <v>#REF!</v>
      </c>
      <c r="GA296" t="e">
        <f>AND(#REF!,"AAAAAD//mbY=")</f>
        <v>#REF!</v>
      </c>
      <c r="GB296" t="e">
        <f>AND(#REF!,"AAAAAD//mbc=")</f>
        <v>#REF!</v>
      </c>
      <c r="GC296" t="e">
        <f>AND(#REF!,"AAAAAD//mbg=")</f>
        <v>#REF!</v>
      </c>
      <c r="GD296" t="e">
        <f>AND(#REF!,"AAAAAD//mbk=")</f>
        <v>#REF!</v>
      </c>
      <c r="GE296" t="e">
        <f>AND(#REF!,"AAAAAD//mbo=")</f>
        <v>#REF!</v>
      </c>
      <c r="GF296" t="e">
        <f>AND(#REF!,"AAAAAD//mbs=")</f>
        <v>#REF!</v>
      </c>
      <c r="GG296" t="e">
        <f>AND(#REF!,"AAAAAD//mbw=")</f>
        <v>#REF!</v>
      </c>
      <c r="GH296" t="e">
        <f>AND(#REF!,"AAAAAD//mb0=")</f>
        <v>#REF!</v>
      </c>
      <c r="GI296" t="e">
        <f>IF(#REF!,"AAAAAD//mb4=",0)</f>
        <v>#REF!</v>
      </c>
      <c r="GJ296" t="e">
        <f>AND(#REF!,"AAAAAD//mb8=")</f>
        <v>#REF!</v>
      </c>
      <c r="GK296" t="e">
        <f>AND(#REF!,"AAAAAD//mcA=")</f>
        <v>#REF!</v>
      </c>
      <c r="GL296" t="e">
        <f>AND(#REF!,"AAAAAD//mcE=")</f>
        <v>#REF!</v>
      </c>
      <c r="GM296" t="e">
        <f>AND(#REF!,"AAAAAD//mcI=")</f>
        <v>#REF!</v>
      </c>
      <c r="GN296" t="e">
        <f>AND(#REF!,"AAAAAD//mcM=")</f>
        <v>#REF!</v>
      </c>
      <c r="GO296" t="e">
        <f>AND(#REF!,"AAAAAD//mcQ=")</f>
        <v>#REF!</v>
      </c>
      <c r="GP296" t="e">
        <f>AND(#REF!,"AAAAAD//mcU=")</f>
        <v>#REF!</v>
      </c>
      <c r="GQ296" t="e">
        <f>AND(#REF!,"AAAAAD//mcY=")</f>
        <v>#REF!</v>
      </c>
      <c r="GR296" t="e">
        <f>AND(#REF!,"AAAAAD//mcc=")</f>
        <v>#REF!</v>
      </c>
      <c r="GS296" t="e">
        <f>AND(#REF!,"AAAAAD//mcg=")</f>
        <v>#REF!</v>
      </c>
      <c r="GT296" t="e">
        <f>AND(#REF!,"AAAAAD//mck=")</f>
        <v>#REF!</v>
      </c>
      <c r="GU296" t="e">
        <f>AND(#REF!,"AAAAAD//mco=")</f>
        <v>#REF!</v>
      </c>
      <c r="GV296" t="e">
        <f>AND(#REF!,"AAAAAD//mcs=")</f>
        <v>#REF!</v>
      </c>
      <c r="GW296" t="e">
        <f>AND(#REF!,"AAAAAD//mcw=")</f>
        <v>#REF!</v>
      </c>
      <c r="GX296" t="e">
        <f>AND(#REF!,"AAAAAD//mc0=")</f>
        <v>#REF!</v>
      </c>
      <c r="GY296" t="e">
        <f>AND(#REF!,"AAAAAD//mc4=")</f>
        <v>#REF!</v>
      </c>
      <c r="GZ296" t="e">
        <f>AND(#REF!,"AAAAAD//mc8=")</f>
        <v>#REF!</v>
      </c>
      <c r="HA296" t="e">
        <f>AND(#REF!,"AAAAAD//mdA=")</f>
        <v>#REF!</v>
      </c>
      <c r="HB296" t="e">
        <f>AND(#REF!,"AAAAAD//mdE=")</f>
        <v>#REF!</v>
      </c>
      <c r="HC296" t="e">
        <f>AND(#REF!,"AAAAAD//mdI=")</f>
        <v>#REF!</v>
      </c>
      <c r="HD296" t="e">
        <f>AND(#REF!,"AAAAAD//mdM=")</f>
        <v>#REF!</v>
      </c>
      <c r="HE296" t="e">
        <f>AND(#REF!,"AAAAAD//mdQ=")</f>
        <v>#REF!</v>
      </c>
      <c r="HF296" t="e">
        <f>AND(#REF!,"AAAAAD//mdU=")</f>
        <v>#REF!</v>
      </c>
      <c r="HG296" t="e">
        <f>AND(#REF!,"AAAAAD//mdY=")</f>
        <v>#REF!</v>
      </c>
      <c r="HH296" t="e">
        <f>IF(#REF!,"AAAAAD//mdc=",0)</f>
        <v>#REF!</v>
      </c>
      <c r="HI296" t="e">
        <f>AND(#REF!,"AAAAAD//mdg=")</f>
        <v>#REF!</v>
      </c>
      <c r="HJ296" t="e">
        <f>AND(#REF!,"AAAAAD//mdk=")</f>
        <v>#REF!</v>
      </c>
      <c r="HK296" t="e">
        <f>AND(#REF!,"AAAAAD//mdo=")</f>
        <v>#REF!</v>
      </c>
      <c r="HL296" t="e">
        <f>AND(#REF!,"AAAAAD//mds=")</f>
        <v>#REF!</v>
      </c>
      <c r="HM296" t="e">
        <f>AND(#REF!,"AAAAAD//mdw=")</f>
        <v>#REF!</v>
      </c>
      <c r="HN296" t="e">
        <f>AND(#REF!,"AAAAAD//md0=")</f>
        <v>#REF!</v>
      </c>
      <c r="HO296" t="e">
        <f>AND(#REF!,"AAAAAD//md4=")</f>
        <v>#REF!</v>
      </c>
      <c r="HP296" t="e">
        <f>AND(#REF!,"AAAAAD//md8=")</f>
        <v>#REF!</v>
      </c>
      <c r="HQ296" t="e">
        <f>AND(#REF!,"AAAAAD//meA=")</f>
        <v>#REF!</v>
      </c>
      <c r="HR296" t="e">
        <f>AND(#REF!,"AAAAAD//meE=")</f>
        <v>#REF!</v>
      </c>
      <c r="HS296" t="e">
        <f>AND(#REF!,"AAAAAD//meI=")</f>
        <v>#REF!</v>
      </c>
      <c r="HT296" t="e">
        <f>AND(#REF!,"AAAAAD//meM=")</f>
        <v>#REF!</v>
      </c>
      <c r="HU296" t="e">
        <f>AND(#REF!,"AAAAAD//meQ=")</f>
        <v>#REF!</v>
      </c>
      <c r="HV296" t="e">
        <f>AND(#REF!,"AAAAAD//meU=")</f>
        <v>#REF!</v>
      </c>
      <c r="HW296" t="e">
        <f>AND(#REF!,"AAAAAD//meY=")</f>
        <v>#REF!</v>
      </c>
      <c r="HX296" t="e">
        <f>AND(#REF!,"AAAAAD//mec=")</f>
        <v>#REF!</v>
      </c>
      <c r="HY296" t="e">
        <f>AND(#REF!,"AAAAAD//meg=")</f>
        <v>#REF!</v>
      </c>
      <c r="HZ296" t="e">
        <f>AND(#REF!,"AAAAAD//mek=")</f>
        <v>#REF!</v>
      </c>
      <c r="IA296" t="e">
        <f>AND(#REF!,"AAAAAD//meo=")</f>
        <v>#REF!</v>
      </c>
      <c r="IB296" t="e">
        <f>AND(#REF!,"AAAAAD//mes=")</f>
        <v>#REF!</v>
      </c>
      <c r="IC296" t="e">
        <f>AND(#REF!,"AAAAAD//mew=")</f>
        <v>#REF!</v>
      </c>
      <c r="ID296" t="e">
        <f>AND(#REF!,"AAAAAD//me0=")</f>
        <v>#REF!</v>
      </c>
      <c r="IE296" t="e">
        <f>AND(#REF!,"AAAAAD//me4=")</f>
        <v>#REF!</v>
      </c>
      <c r="IF296" t="e">
        <f>AND(#REF!,"AAAAAD//me8=")</f>
        <v>#REF!</v>
      </c>
      <c r="IG296" t="e">
        <f>IF(#REF!,"AAAAAD//mfA=",0)</f>
        <v>#REF!</v>
      </c>
      <c r="IH296" t="e">
        <f>AND(#REF!,"AAAAAD//mfE=")</f>
        <v>#REF!</v>
      </c>
      <c r="II296" t="e">
        <f>AND(#REF!,"AAAAAD//mfI=")</f>
        <v>#REF!</v>
      </c>
      <c r="IJ296" t="e">
        <f>AND(#REF!,"AAAAAD//mfM=")</f>
        <v>#REF!</v>
      </c>
      <c r="IK296" t="e">
        <f>AND(#REF!,"AAAAAD//mfQ=")</f>
        <v>#REF!</v>
      </c>
      <c r="IL296" t="e">
        <f>AND(#REF!,"AAAAAD//mfU=")</f>
        <v>#REF!</v>
      </c>
      <c r="IM296" t="e">
        <f>AND(#REF!,"AAAAAD//mfY=")</f>
        <v>#REF!</v>
      </c>
      <c r="IN296" t="e">
        <f>AND(#REF!,"AAAAAD//mfc=")</f>
        <v>#REF!</v>
      </c>
      <c r="IO296" t="e">
        <f>AND(#REF!,"AAAAAD//mfg=")</f>
        <v>#REF!</v>
      </c>
      <c r="IP296" t="e">
        <f>AND(#REF!,"AAAAAD//mfk=")</f>
        <v>#REF!</v>
      </c>
      <c r="IQ296" t="e">
        <f>AND(#REF!,"AAAAAD//mfo=")</f>
        <v>#REF!</v>
      </c>
      <c r="IR296" t="e">
        <f>AND(#REF!,"AAAAAD//mfs=")</f>
        <v>#REF!</v>
      </c>
      <c r="IS296" t="e">
        <f>AND(#REF!,"AAAAAD//mfw=")</f>
        <v>#REF!</v>
      </c>
      <c r="IT296" t="e">
        <f>AND(#REF!,"AAAAAD//mf0=")</f>
        <v>#REF!</v>
      </c>
      <c r="IU296" t="e">
        <f>AND(#REF!,"AAAAAD//mf4=")</f>
        <v>#REF!</v>
      </c>
      <c r="IV296" t="e">
        <f>AND(#REF!,"AAAAAD//mf8=")</f>
        <v>#REF!</v>
      </c>
    </row>
    <row r="297" spans="1:256">
      <c r="A297" t="e">
        <f>AND(#REF!,"AAAAAG73dQA=")</f>
        <v>#REF!</v>
      </c>
      <c r="B297" t="e">
        <f>AND(#REF!,"AAAAAG73dQE=")</f>
        <v>#REF!</v>
      </c>
      <c r="C297" t="e">
        <f>AND(#REF!,"AAAAAG73dQI=")</f>
        <v>#REF!</v>
      </c>
      <c r="D297" t="e">
        <f>AND(#REF!,"AAAAAG73dQM=")</f>
        <v>#REF!</v>
      </c>
      <c r="E297" t="e">
        <f>AND(#REF!,"AAAAAG73dQQ=")</f>
        <v>#REF!</v>
      </c>
      <c r="F297" t="e">
        <f>AND(#REF!,"AAAAAG73dQU=")</f>
        <v>#REF!</v>
      </c>
      <c r="G297" t="e">
        <f>AND(#REF!,"AAAAAG73dQY=")</f>
        <v>#REF!</v>
      </c>
      <c r="H297" t="e">
        <f>AND(#REF!,"AAAAAG73dQc=")</f>
        <v>#REF!</v>
      </c>
      <c r="I297" t="e">
        <f>AND(#REF!,"AAAAAG73dQg=")</f>
        <v>#REF!</v>
      </c>
      <c r="J297" t="e">
        <f>IF(#REF!,"AAAAAG73dQk=",0)</f>
        <v>#REF!</v>
      </c>
      <c r="K297" t="e">
        <f>AND(#REF!,"AAAAAG73dQo=")</f>
        <v>#REF!</v>
      </c>
      <c r="L297" t="e">
        <f>AND(#REF!,"AAAAAG73dQs=")</f>
        <v>#REF!</v>
      </c>
      <c r="M297" t="e">
        <f>AND(#REF!,"AAAAAG73dQw=")</f>
        <v>#REF!</v>
      </c>
      <c r="N297" t="e">
        <f>AND(#REF!,"AAAAAG73dQ0=")</f>
        <v>#REF!</v>
      </c>
      <c r="O297" t="e">
        <f>AND(#REF!,"AAAAAG73dQ4=")</f>
        <v>#REF!</v>
      </c>
      <c r="P297" t="e">
        <f>AND(#REF!,"AAAAAG73dQ8=")</f>
        <v>#REF!</v>
      </c>
      <c r="Q297" t="e">
        <f>AND(#REF!,"AAAAAG73dRA=")</f>
        <v>#REF!</v>
      </c>
      <c r="R297" t="e">
        <f>AND(#REF!,"AAAAAG73dRE=")</f>
        <v>#REF!</v>
      </c>
      <c r="S297" t="e">
        <f>AND(#REF!,"AAAAAG73dRI=")</f>
        <v>#REF!</v>
      </c>
      <c r="T297" t="e">
        <f>AND(#REF!,"AAAAAG73dRM=")</f>
        <v>#REF!</v>
      </c>
      <c r="U297" t="e">
        <f>AND(#REF!,"AAAAAG73dRQ=")</f>
        <v>#REF!</v>
      </c>
      <c r="V297" t="e">
        <f>AND(#REF!,"AAAAAG73dRU=")</f>
        <v>#REF!</v>
      </c>
      <c r="W297" t="e">
        <f>AND(#REF!,"AAAAAG73dRY=")</f>
        <v>#REF!</v>
      </c>
      <c r="X297" t="e">
        <f>AND(#REF!,"AAAAAG73dRc=")</f>
        <v>#REF!</v>
      </c>
      <c r="Y297" t="e">
        <f>AND(#REF!,"AAAAAG73dRg=")</f>
        <v>#REF!</v>
      </c>
      <c r="Z297" t="e">
        <f>AND(#REF!,"AAAAAG73dRk=")</f>
        <v>#REF!</v>
      </c>
      <c r="AA297" t="e">
        <f>AND(#REF!,"AAAAAG73dRo=")</f>
        <v>#REF!</v>
      </c>
      <c r="AB297" t="e">
        <f>AND(#REF!,"AAAAAG73dRs=")</f>
        <v>#REF!</v>
      </c>
      <c r="AC297" t="e">
        <f>AND(#REF!,"AAAAAG73dRw=")</f>
        <v>#REF!</v>
      </c>
      <c r="AD297" t="e">
        <f>AND(#REF!,"AAAAAG73dR0=")</f>
        <v>#REF!</v>
      </c>
      <c r="AE297" t="e">
        <f>AND(#REF!,"AAAAAG73dR4=")</f>
        <v>#REF!</v>
      </c>
      <c r="AF297" t="e">
        <f>AND(#REF!,"AAAAAG73dR8=")</f>
        <v>#REF!</v>
      </c>
      <c r="AG297" t="e">
        <f>AND(#REF!,"AAAAAG73dSA=")</f>
        <v>#REF!</v>
      </c>
      <c r="AH297" t="e">
        <f>AND(#REF!,"AAAAAG73dSE=")</f>
        <v>#REF!</v>
      </c>
      <c r="AI297" t="e">
        <f>IF(#REF!,"AAAAAG73dSI=",0)</f>
        <v>#REF!</v>
      </c>
      <c r="AJ297" t="e">
        <f>AND(#REF!,"AAAAAG73dSM=")</f>
        <v>#REF!</v>
      </c>
      <c r="AK297" t="e">
        <f>AND(#REF!,"AAAAAG73dSQ=")</f>
        <v>#REF!</v>
      </c>
      <c r="AL297" t="e">
        <f>AND(#REF!,"AAAAAG73dSU=")</f>
        <v>#REF!</v>
      </c>
      <c r="AM297" t="e">
        <f>AND(#REF!,"AAAAAG73dSY=")</f>
        <v>#REF!</v>
      </c>
      <c r="AN297" t="e">
        <f>AND(#REF!,"AAAAAG73dSc=")</f>
        <v>#REF!</v>
      </c>
      <c r="AO297" t="e">
        <f>AND(#REF!,"AAAAAG73dSg=")</f>
        <v>#REF!</v>
      </c>
      <c r="AP297" t="e">
        <f>AND(#REF!,"AAAAAG73dSk=")</f>
        <v>#REF!</v>
      </c>
      <c r="AQ297" t="e">
        <f>AND(#REF!,"AAAAAG73dSo=")</f>
        <v>#REF!</v>
      </c>
      <c r="AR297" t="e">
        <f>AND(#REF!,"AAAAAG73dSs=")</f>
        <v>#REF!</v>
      </c>
      <c r="AS297" t="e">
        <f>AND(#REF!,"AAAAAG73dSw=")</f>
        <v>#REF!</v>
      </c>
      <c r="AT297" t="e">
        <f>AND(#REF!,"AAAAAG73dS0=")</f>
        <v>#REF!</v>
      </c>
      <c r="AU297" t="e">
        <f>AND(#REF!,"AAAAAG73dS4=")</f>
        <v>#REF!</v>
      </c>
      <c r="AV297" t="e">
        <f>AND(#REF!,"AAAAAG73dS8=")</f>
        <v>#REF!</v>
      </c>
      <c r="AW297" t="e">
        <f>AND(#REF!,"AAAAAG73dTA=")</f>
        <v>#REF!</v>
      </c>
      <c r="AX297" t="e">
        <f>AND(#REF!,"AAAAAG73dTE=")</f>
        <v>#REF!</v>
      </c>
      <c r="AY297" t="e">
        <f>AND(#REF!,"AAAAAG73dTI=")</f>
        <v>#REF!</v>
      </c>
      <c r="AZ297" t="e">
        <f>AND(#REF!,"AAAAAG73dTM=")</f>
        <v>#REF!</v>
      </c>
      <c r="BA297" t="e">
        <f>AND(#REF!,"AAAAAG73dTQ=")</f>
        <v>#REF!</v>
      </c>
      <c r="BB297" t="e">
        <f>AND(#REF!,"AAAAAG73dTU=")</f>
        <v>#REF!</v>
      </c>
      <c r="BC297" t="e">
        <f>AND(#REF!,"AAAAAG73dTY=")</f>
        <v>#REF!</v>
      </c>
      <c r="BD297" t="e">
        <f>AND(#REF!,"AAAAAG73dTc=")</f>
        <v>#REF!</v>
      </c>
      <c r="BE297" t="e">
        <f>AND(#REF!,"AAAAAG73dTg=")</f>
        <v>#REF!</v>
      </c>
      <c r="BF297" t="e">
        <f>AND(#REF!,"AAAAAG73dTk=")</f>
        <v>#REF!</v>
      </c>
      <c r="BG297" t="e">
        <f>AND(#REF!,"AAAAAG73dTo=")</f>
        <v>#REF!</v>
      </c>
      <c r="BH297" t="e">
        <f>IF(#REF!,"AAAAAG73dTs=",0)</f>
        <v>#REF!</v>
      </c>
      <c r="BI297" t="e">
        <f>AND(#REF!,"AAAAAG73dTw=")</f>
        <v>#REF!</v>
      </c>
      <c r="BJ297" t="e">
        <f>AND(#REF!,"AAAAAG73dT0=")</f>
        <v>#REF!</v>
      </c>
      <c r="BK297" t="e">
        <f>AND(#REF!,"AAAAAG73dT4=")</f>
        <v>#REF!</v>
      </c>
      <c r="BL297" t="e">
        <f>AND(#REF!,"AAAAAG73dT8=")</f>
        <v>#REF!</v>
      </c>
      <c r="BM297" t="e">
        <f>AND(#REF!,"AAAAAG73dUA=")</f>
        <v>#REF!</v>
      </c>
      <c r="BN297" t="e">
        <f>AND(#REF!,"AAAAAG73dUE=")</f>
        <v>#REF!</v>
      </c>
      <c r="BO297" t="e">
        <f>AND(#REF!,"AAAAAG73dUI=")</f>
        <v>#REF!</v>
      </c>
      <c r="BP297" t="e">
        <f>AND(#REF!,"AAAAAG73dUM=")</f>
        <v>#REF!</v>
      </c>
      <c r="BQ297" t="e">
        <f>AND(#REF!,"AAAAAG73dUQ=")</f>
        <v>#REF!</v>
      </c>
      <c r="BR297" t="e">
        <f>AND(#REF!,"AAAAAG73dUU=")</f>
        <v>#REF!</v>
      </c>
      <c r="BS297" t="e">
        <f>AND(#REF!,"AAAAAG73dUY=")</f>
        <v>#REF!</v>
      </c>
      <c r="BT297" t="e">
        <f>AND(#REF!,"AAAAAG73dUc=")</f>
        <v>#REF!</v>
      </c>
      <c r="BU297" t="e">
        <f>AND(#REF!,"AAAAAG73dUg=")</f>
        <v>#REF!</v>
      </c>
      <c r="BV297" t="e">
        <f>AND(#REF!,"AAAAAG73dUk=")</f>
        <v>#REF!</v>
      </c>
      <c r="BW297" t="e">
        <f>AND(#REF!,"AAAAAG73dUo=")</f>
        <v>#REF!</v>
      </c>
      <c r="BX297" t="e">
        <f>AND(#REF!,"AAAAAG73dUs=")</f>
        <v>#REF!</v>
      </c>
      <c r="BY297" t="e">
        <f>AND(#REF!,"AAAAAG73dUw=")</f>
        <v>#REF!</v>
      </c>
      <c r="BZ297" t="e">
        <f>AND(#REF!,"AAAAAG73dU0=")</f>
        <v>#REF!</v>
      </c>
      <c r="CA297" t="e">
        <f>AND(#REF!,"AAAAAG73dU4=")</f>
        <v>#REF!</v>
      </c>
      <c r="CB297" t="e">
        <f>AND(#REF!,"AAAAAG73dU8=")</f>
        <v>#REF!</v>
      </c>
      <c r="CC297" t="e">
        <f>AND(#REF!,"AAAAAG73dVA=")</f>
        <v>#REF!</v>
      </c>
      <c r="CD297" t="e">
        <f>AND(#REF!,"AAAAAG73dVE=")</f>
        <v>#REF!</v>
      </c>
      <c r="CE297" t="e">
        <f>AND(#REF!,"AAAAAG73dVI=")</f>
        <v>#REF!</v>
      </c>
      <c r="CF297" t="e">
        <f>AND(#REF!,"AAAAAG73dVM=")</f>
        <v>#REF!</v>
      </c>
      <c r="CG297" t="e">
        <f>IF(#REF!,"AAAAAG73dVQ=",0)</f>
        <v>#REF!</v>
      </c>
      <c r="CH297" t="e">
        <f>AND(#REF!,"AAAAAG73dVU=")</f>
        <v>#REF!</v>
      </c>
      <c r="CI297" t="e">
        <f>AND(#REF!,"AAAAAG73dVY=")</f>
        <v>#REF!</v>
      </c>
      <c r="CJ297" t="e">
        <f>AND(#REF!,"AAAAAG73dVc=")</f>
        <v>#REF!</v>
      </c>
      <c r="CK297" t="e">
        <f>AND(#REF!,"AAAAAG73dVg=")</f>
        <v>#REF!</v>
      </c>
      <c r="CL297" t="e">
        <f>AND(#REF!,"AAAAAG73dVk=")</f>
        <v>#REF!</v>
      </c>
      <c r="CM297" t="e">
        <f>AND(#REF!,"AAAAAG73dVo=")</f>
        <v>#REF!</v>
      </c>
      <c r="CN297" t="e">
        <f>AND(#REF!,"AAAAAG73dVs=")</f>
        <v>#REF!</v>
      </c>
      <c r="CO297" t="e">
        <f>AND(#REF!,"AAAAAG73dVw=")</f>
        <v>#REF!</v>
      </c>
      <c r="CP297" t="e">
        <f>AND(#REF!,"AAAAAG73dV0=")</f>
        <v>#REF!</v>
      </c>
      <c r="CQ297" t="e">
        <f>AND(#REF!,"AAAAAG73dV4=")</f>
        <v>#REF!</v>
      </c>
      <c r="CR297" t="e">
        <f>AND(#REF!,"AAAAAG73dV8=")</f>
        <v>#REF!</v>
      </c>
      <c r="CS297" t="e">
        <f>AND(#REF!,"AAAAAG73dWA=")</f>
        <v>#REF!</v>
      </c>
      <c r="CT297" t="e">
        <f>AND(#REF!,"AAAAAG73dWE=")</f>
        <v>#REF!</v>
      </c>
      <c r="CU297" t="e">
        <f>AND(#REF!,"AAAAAG73dWI=")</f>
        <v>#REF!</v>
      </c>
      <c r="CV297" t="e">
        <f>AND(#REF!,"AAAAAG73dWM=")</f>
        <v>#REF!</v>
      </c>
      <c r="CW297" t="e">
        <f>AND(#REF!,"AAAAAG73dWQ=")</f>
        <v>#REF!</v>
      </c>
      <c r="CX297" t="e">
        <f>AND(#REF!,"AAAAAG73dWU=")</f>
        <v>#REF!</v>
      </c>
      <c r="CY297" t="e">
        <f>AND(#REF!,"AAAAAG73dWY=")</f>
        <v>#REF!</v>
      </c>
      <c r="CZ297" t="e">
        <f>AND(#REF!,"AAAAAG73dWc=")</f>
        <v>#REF!</v>
      </c>
      <c r="DA297" t="e">
        <f>AND(#REF!,"AAAAAG73dWg=")</f>
        <v>#REF!</v>
      </c>
      <c r="DB297" t="e">
        <f>AND(#REF!,"AAAAAG73dWk=")</f>
        <v>#REF!</v>
      </c>
      <c r="DC297" t="e">
        <f>AND(#REF!,"AAAAAG73dWo=")</f>
        <v>#REF!</v>
      </c>
      <c r="DD297" t="e">
        <f>AND(#REF!,"AAAAAG73dWs=")</f>
        <v>#REF!</v>
      </c>
      <c r="DE297" t="e">
        <f>AND(#REF!,"AAAAAG73dWw=")</f>
        <v>#REF!</v>
      </c>
      <c r="DF297" t="e">
        <f>IF(#REF!,"AAAAAG73dW0=",0)</f>
        <v>#REF!</v>
      </c>
      <c r="DG297" t="e">
        <f>AND(#REF!,"AAAAAG73dW4=")</f>
        <v>#REF!</v>
      </c>
      <c r="DH297" t="e">
        <f>AND(#REF!,"AAAAAG73dW8=")</f>
        <v>#REF!</v>
      </c>
      <c r="DI297" t="e">
        <f>AND(#REF!,"AAAAAG73dXA=")</f>
        <v>#REF!</v>
      </c>
      <c r="DJ297" t="e">
        <f>AND(#REF!,"AAAAAG73dXE=")</f>
        <v>#REF!</v>
      </c>
      <c r="DK297" t="e">
        <f>AND(#REF!,"AAAAAG73dXI=")</f>
        <v>#REF!</v>
      </c>
      <c r="DL297" t="e">
        <f>AND(#REF!,"AAAAAG73dXM=")</f>
        <v>#REF!</v>
      </c>
      <c r="DM297" t="e">
        <f>AND(#REF!,"AAAAAG73dXQ=")</f>
        <v>#REF!</v>
      </c>
      <c r="DN297" t="e">
        <f>AND(#REF!,"AAAAAG73dXU=")</f>
        <v>#REF!</v>
      </c>
      <c r="DO297" t="e">
        <f>AND(#REF!,"AAAAAG73dXY=")</f>
        <v>#REF!</v>
      </c>
      <c r="DP297" t="e">
        <f>AND(#REF!,"AAAAAG73dXc=")</f>
        <v>#REF!</v>
      </c>
      <c r="DQ297" t="e">
        <f>AND(#REF!,"AAAAAG73dXg=")</f>
        <v>#REF!</v>
      </c>
      <c r="DR297" t="e">
        <f>AND(#REF!,"AAAAAG73dXk=")</f>
        <v>#REF!</v>
      </c>
      <c r="DS297" t="e">
        <f>AND(#REF!,"AAAAAG73dXo=")</f>
        <v>#REF!</v>
      </c>
      <c r="DT297" t="e">
        <f>AND(#REF!,"AAAAAG73dXs=")</f>
        <v>#REF!</v>
      </c>
      <c r="DU297" t="e">
        <f>AND(#REF!,"AAAAAG73dXw=")</f>
        <v>#REF!</v>
      </c>
      <c r="DV297" t="e">
        <f>AND(#REF!,"AAAAAG73dX0=")</f>
        <v>#REF!</v>
      </c>
      <c r="DW297" t="e">
        <f>AND(#REF!,"AAAAAG73dX4=")</f>
        <v>#REF!</v>
      </c>
      <c r="DX297" t="e">
        <f>AND(#REF!,"AAAAAG73dX8=")</f>
        <v>#REF!</v>
      </c>
      <c r="DY297" t="e">
        <f>AND(#REF!,"AAAAAG73dYA=")</f>
        <v>#REF!</v>
      </c>
      <c r="DZ297" t="e">
        <f>AND(#REF!,"AAAAAG73dYE=")</f>
        <v>#REF!</v>
      </c>
      <c r="EA297" t="e">
        <f>AND(#REF!,"AAAAAG73dYI=")</f>
        <v>#REF!</v>
      </c>
      <c r="EB297" t="e">
        <f>AND(#REF!,"AAAAAG73dYM=")</f>
        <v>#REF!</v>
      </c>
      <c r="EC297" t="e">
        <f>AND(#REF!,"AAAAAG73dYQ=")</f>
        <v>#REF!</v>
      </c>
      <c r="ED297" t="e">
        <f>AND(#REF!,"AAAAAG73dYU=")</f>
        <v>#REF!</v>
      </c>
      <c r="EE297" t="e">
        <f>IF(#REF!,"AAAAAG73dYY=",0)</f>
        <v>#REF!</v>
      </c>
      <c r="EF297" t="e">
        <f>AND(#REF!,"AAAAAG73dYc=")</f>
        <v>#REF!</v>
      </c>
      <c r="EG297" t="e">
        <f>AND(#REF!,"AAAAAG73dYg=")</f>
        <v>#REF!</v>
      </c>
      <c r="EH297" t="e">
        <f>AND(#REF!,"AAAAAG73dYk=")</f>
        <v>#REF!</v>
      </c>
      <c r="EI297" t="e">
        <f>AND(#REF!,"AAAAAG73dYo=")</f>
        <v>#REF!</v>
      </c>
      <c r="EJ297" t="e">
        <f>AND(#REF!,"AAAAAG73dYs=")</f>
        <v>#REF!</v>
      </c>
      <c r="EK297" t="e">
        <f>AND(#REF!,"AAAAAG73dYw=")</f>
        <v>#REF!</v>
      </c>
      <c r="EL297" t="e">
        <f>AND(#REF!,"AAAAAG73dY0=")</f>
        <v>#REF!</v>
      </c>
      <c r="EM297" t="e">
        <f>AND(#REF!,"AAAAAG73dY4=")</f>
        <v>#REF!</v>
      </c>
      <c r="EN297" t="e">
        <f>AND(#REF!,"AAAAAG73dY8=")</f>
        <v>#REF!</v>
      </c>
      <c r="EO297" t="e">
        <f>AND(#REF!,"AAAAAG73dZA=")</f>
        <v>#REF!</v>
      </c>
      <c r="EP297" t="e">
        <f>AND(#REF!,"AAAAAG73dZE=")</f>
        <v>#REF!</v>
      </c>
      <c r="EQ297" t="e">
        <f>AND(#REF!,"AAAAAG73dZI=")</f>
        <v>#REF!</v>
      </c>
      <c r="ER297" t="e">
        <f>AND(#REF!,"AAAAAG73dZM=")</f>
        <v>#REF!</v>
      </c>
      <c r="ES297" t="e">
        <f>AND(#REF!,"AAAAAG73dZQ=")</f>
        <v>#REF!</v>
      </c>
      <c r="ET297" t="e">
        <f>AND(#REF!,"AAAAAG73dZU=")</f>
        <v>#REF!</v>
      </c>
      <c r="EU297" t="e">
        <f>AND(#REF!,"AAAAAG73dZY=")</f>
        <v>#REF!</v>
      </c>
      <c r="EV297" t="e">
        <f>AND(#REF!,"AAAAAG73dZc=")</f>
        <v>#REF!</v>
      </c>
      <c r="EW297" t="e">
        <f>AND(#REF!,"AAAAAG73dZg=")</f>
        <v>#REF!</v>
      </c>
      <c r="EX297" t="e">
        <f>AND(#REF!,"AAAAAG73dZk=")</f>
        <v>#REF!</v>
      </c>
      <c r="EY297" t="e">
        <f>AND(#REF!,"AAAAAG73dZo=")</f>
        <v>#REF!</v>
      </c>
      <c r="EZ297" t="e">
        <f>AND(#REF!,"AAAAAG73dZs=")</f>
        <v>#REF!</v>
      </c>
      <c r="FA297" t="e">
        <f>AND(#REF!,"AAAAAG73dZw=")</f>
        <v>#REF!</v>
      </c>
      <c r="FB297" t="e">
        <f>AND(#REF!,"AAAAAG73dZ0=")</f>
        <v>#REF!</v>
      </c>
      <c r="FC297" t="e">
        <f>AND(#REF!,"AAAAAG73dZ4=")</f>
        <v>#REF!</v>
      </c>
      <c r="FD297" t="e">
        <f>IF(#REF!,"AAAAAG73dZ8=",0)</f>
        <v>#REF!</v>
      </c>
      <c r="FE297" t="e">
        <f>AND(#REF!,"AAAAAG73daA=")</f>
        <v>#REF!</v>
      </c>
      <c r="FF297" t="e">
        <f>AND(#REF!,"AAAAAG73daE=")</f>
        <v>#REF!</v>
      </c>
      <c r="FG297" t="e">
        <f>AND(#REF!,"AAAAAG73daI=")</f>
        <v>#REF!</v>
      </c>
      <c r="FH297" t="e">
        <f>AND(#REF!,"AAAAAG73daM=")</f>
        <v>#REF!</v>
      </c>
      <c r="FI297" t="e">
        <f>AND(#REF!,"AAAAAG73daQ=")</f>
        <v>#REF!</v>
      </c>
      <c r="FJ297" t="e">
        <f>AND(#REF!,"AAAAAG73daU=")</f>
        <v>#REF!</v>
      </c>
      <c r="FK297" t="e">
        <f>AND(#REF!,"AAAAAG73daY=")</f>
        <v>#REF!</v>
      </c>
      <c r="FL297" t="e">
        <f>AND(#REF!,"AAAAAG73dac=")</f>
        <v>#REF!</v>
      </c>
      <c r="FM297" t="e">
        <f>AND(#REF!,"AAAAAG73dag=")</f>
        <v>#REF!</v>
      </c>
      <c r="FN297" t="e">
        <f>AND(#REF!,"AAAAAG73dak=")</f>
        <v>#REF!</v>
      </c>
      <c r="FO297" t="e">
        <f>AND(#REF!,"AAAAAG73dao=")</f>
        <v>#REF!</v>
      </c>
      <c r="FP297" t="e">
        <f>AND(#REF!,"AAAAAG73das=")</f>
        <v>#REF!</v>
      </c>
      <c r="FQ297" t="e">
        <f>AND(#REF!,"AAAAAG73daw=")</f>
        <v>#REF!</v>
      </c>
      <c r="FR297" t="e">
        <f>AND(#REF!,"AAAAAG73da0=")</f>
        <v>#REF!</v>
      </c>
      <c r="FS297" t="e">
        <f>AND(#REF!,"AAAAAG73da4=")</f>
        <v>#REF!</v>
      </c>
      <c r="FT297" t="e">
        <f>AND(#REF!,"AAAAAG73da8=")</f>
        <v>#REF!</v>
      </c>
      <c r="FU297" t="e">
        <f>AND(#REF!,"AAAAAG73dbA=")</f>
        <v>#REF!</v>
      </c>
      <c r="FV297" t="e">
        <f>AND(#REF!,"AAAAAG73dbE=")</f>
        <v>#REF!</v>
      </c>
      <c r="FW297" t="e">
        <f>AND(#REF!,"AAAAAG73dbI=")</f>
        <v>#REF!</v>
      </c>
      <c r="FX297" t="e">
        <f>AND(#REF!,"AAAAAG73dbM=")</f>
        <v>#REF!</v>
      </c>
      <c r="FY297" t="e">
        <f>AND(#REF!,"AAAAAG73dbQ=")</f>
        <v>#REF!</v>
      </c>
      <c r="FZ297" t="e">
        <f>AND(#REF!,"AAAAAG73dbU=")</f>
        <v>#REF!</v>
      </c>
      <c r="GA297" t="e">
        <f>AND(#REF!,"AAAAAG73dbY=")</f>
        <v>#REF!</v>
      </c>
      <c r="GB297" t="e">
        <f>AND(#REF!,"AAAAAG73dbc=")</f>
        <v>#REF!</v>
      </c>
      <c r="GC297" t="e">
        <f>IF(#REF!,"AAAAAG73dbg=",0)</f>
        <v>#REF!</v>
      </c>
      <c r="GD297" t="e">
        <f>AND(#REF!,"AAAAAG73dbk=")</f>
        <v>#REF!</v>
      </c>
      <c r="GE297" t="e">
        <f>AND(#REF!,"AAAAAG73dbo=")</f>
        <v>#REF!</v>
      </c>
      <c r="GF297" t="e">
        <f>AND(#REF!,"AAAAAG73dbs=")</f>
        <v>#REF!</v>
      </c>
      <c r="GG297" t="e">
        <f>AND(#REF!,"AAAAAG73dbw=")</f>
        <v>#REF!</v>
      </c>
      <c r="GH297" t="e">
        <f>AND(#REF!,"AAAAAG73db0=")</f>
        <v>#REF!</v>
      </c>
      <c r="GI297" t="e">
        <f>AND(#REF!,"AAAAAG73db4=")</f>
        <v>#REF!</v>
      </c>
      <c r="GJ297" t="e">
        <f>AND(#REF!,"AAAAAG73db8=")</f>
        <v>#REF!</v>
      </c>
      <c r="GK297" t="e">
        <f>AND(#REF!,"AAAAAG73dcA=")</f>
        <v>#REF!</v>
      </c>
      <c r="GL297" t="e">
        <f>AND(#REF!,"AAAAAG73dcE=")</f>
        <v>#REF!</v>
      </c>
      <c r="GM297" t="e">
        <f>AND(#REF!,"AAAAAG73dcI=")</f>
        <v>#REF!</v>
      </c>
      <c r="GN297" t="e">
        <f>AND(#REF!,"AAAAAG73dcM=")</f>
        <v>#REF!</v>
      </c>
      <c r="GO297" t="e">
        <f>AND(#REF!,"AAAAAG73dcQ=")</f>
        <v>#REF!</v>
      </c>
      <c r="GP297" t="e">
        <f>AND(#REF!,"AAAAAG73dcU=")</f>
        <v>#REF!</v>
      </c>
      <c r="GQ297" t="e">
        <f>AND(#REF!,"AAAAAG73dcY=")</f>
        <v>#REF!</v>
      </c>
      <c r="GR297" t="e">
        <f>AND(#REF!,"AAAAAG73dcc=")</f>
        <v>#REF!</v>
      </c>
      <c r="GS297" t="e">
        <f>AND(#REF!,"AAAAAG73dcg=")</f>
        <v>#REF!</v>
      </c>
      <c r="GT297" t="e">
        <f>AND(#REF!,"AAAAAG73dck=")</f>
        <v>#REF!</v>
      </c>
      <c r="GU297" t="e">
        <f>AND(#REF!,"AAAAAG73dco=")</f>
        <v>#REF!</v>
      </c>
      <c r="GV297" t="e">
        <f>AND(#REF!,"AAAAAG73dcs=")</f>
        <v>#REF!</v>
      </c>
      <c r="GW297" t="e">
        <f>AND(#REF!,"AAAAAG73dcw=")</f>
        <v>#REF!</v>
      </c>
      <c r="GX297" t="e">
        <f>AND(#REF!,"AAAAAG73dc0=")</f>
        <v>#REF!</v>
      </c>
      <c r="GY297" t="e">
        <f>AND(#REF!,"AAAAAG73dc4=")</f>
        <v>#REF!</v>
      </c>
      <c r="GZ297" t="e">
        <f>AND(#REF!,"AAAAAG73dc8=")</f>
        <v>#REF!</v>
      </c>
      <c r="HA297" t="e">
        <f>AND(#REF!,"AAAAAG73ddA=")</f>
        <v>#REF!</v>
      </c>
      <c r="HB297" t="e">
        <f>IF(#REF!,"AAAAAG73ddE=",0)</f>
        <v>#REF!</v>
      </c>
      <c r="HC297" t="e">
        <f>AND(#REF!,"AAAAAG73ddI=")</f>
        <v>#REF!</v>
      </c>
      <c r="HD297" t="e">
        <f>AND(#REF!,"AAAAAG73ddM=")</f>
        <v>#REF!</v>
      </c>
      <c r="HE297" t="e">
        <f>AND(#REF!,"AAAAAG73ddQ=")</f>
        <v>#REF!</v>
      </c>
      <c r="HF297" t="e">
        <f>AND(#REF!,"AAAAAG73ddU=")</f>
        <v>#REF!</v>
      </c>
      <c r="HG297" t="e">
        <f>AND(#REF!,"AAAAAG73ddY=")</f>
        <v>#REF!</v>
      </c>
      <c r="HH297" t="e">
        <f>AND(#REF!,"AAAAAG73ddc=")</f>
        <v>#REF!</v>
      </c>
      <c r="HI297" t="e">
        <f>AND(#REF!,"AAAAAG73ddg=")</f>
        <v>#REF!</v>
      </c>
      <c r="HJ297" t="e">
        <f>AND(#REF!,"AAAAAG73ddk=")</f>
        <v>#REF!</v>
      </c>
      <c r="HK297" t="e">
        <f>AND(#REF!,"AAAAAG73ddo=")</f>
        <v>#REF!</v>
      </c>
      <c r="HL297" t="e">
        <f>AND(#REF!,"AAAAAG73dds=")</f>
        <v>#REF!</v>
      </c>
      <c r="HM297" t="e">
        <f>AND(#REF!,"AAAAAG73ddw=")</f>
        <v>#REF!</v>
      </c>
      <c r="HN297" t="e">
        <f>AND(#REF!,"AAAAAG73dd0=")</f>
        <v>#REF!</v>
      </c>
      <c r="HO297" t="e">
        <f>AND(#REF!,"AAAAAG73dd4=")</f>
        <v>#REF!</v>
      </c>
      <c r="HP297" t="e">
        <f>AND(#REF!,"AAAAAG73dd8=")</f>
        <v>#REF!</v>
      </c>
      <c r="HQ297" t="e">
        <f>AND(#REF!,"AAAAAG73deA=")</f>
        <v>#REF!</v>
      </c>
      <c r="HR297" t="e">
        <f>AND(#REF!,"AAAAAG73deE=")</f>
        <v>#REF!</v>
      </c>
      <c r="HS297" t="e">
        <f>AND(#REF!,"AAAAAG73deI=")</f>
        <v>#REF!</v>
      </c>
      <c r="HT297" t="e">
        <f>AND(#REF!,"AAAAAG73deM=")</f>
        <v>#REF!</v>
      </c>
      <c r="HU297" t="e">
        <f>AND(#REF!,"AAAAAG73deQ=")</f>
        <v>#REF!</v>
      </c>
      <c r="HV297" t="e">
        <f>AND(#REF!,"AAAAAG73deU=")</f>
        <v>#REF!</v>
      </c>
      <c r="HW297" t="e">
        <f>AND(#REF!,"AAAAAG73deY=")</f>
        <v>#REF!</v>
      </c>
      <c r="HX297" t="e">
        <f>AND(#REF!,"AAAAAG73dec=")</f>
        <v>#REF!</v>
      </c>
      <c r="HY297" t="e">
        <f>AND(#REF!,"AAAAAG73deg=")</f>
        <v>#REF!</v>
      </c>
      <c r="HZ297" t="e">
        <f>AND(#REF!,"AAAAAG73dek=")</f>
        <v>#REF!</v>
      </c>
      <c r="IA297" t="e">
        <f>IF(#REF!,"AAAAAG73deo=",0)</f>
        <v>#REF!</v>
      </c>
      <c r="IB297" t="e">
        <f>AND(#REF!,"AAAAAG73des=")</f>
        <v>#REF!</v>
      </c>
      <c r="IC297" t="e">
        <f>AND(#REF!,"AAAAAG73dew=")</f>
        <v>#REF!</v>
      </c>
      <c r="ID297" t="e">
        <f>AND(#REF!,"AAAAAG73de0=")</f>
        <v>#REF!</v>
      </c>
      <c r="IE297" t="e">
        <f>AND(#REF!,"AAAAAG73de4=")</f>
        <v>#REF!</v>
      </c>
      <c r="IF297" t="e">
        <f>AND(#REF!,"AAAAAG73de8=")</f>
        <v>#REF!</v>
      </c>
      <c r="IG297" t="e">
        <f>AND(#REF!,"AAAAAG73dfA=")</f>
        <v>#REF!</v>
      </c>
      <c r="IH297" t="e">
        <f>AND(#REF!,"AAAAAG73dfE=")</f>
        <v>#REF!</v>
      </c>
      <c r="II297" t="e">
        <f>AND(#REF!,"AAAAAG73dfI=")</f>
        <v>#REF!</v>
      </c>
      <c r="IJ297" t="e">
        <f>AND(#REF!,"AAAAAG73dfM=")</f>
        <v>#REF!</v>
      </c>
      <c r="IK297" t="e">
        <f>AND(#REF!,"AAAAAG73dfQ=")</f>
        <v>#REF!</v>
      </c>
      <c r="IL297" t="e">
        <f>AND(#REF!,"AAAAAG73dfU=")</f>
        <v>#REF!</v>
      </c>
      <c r="IM297" t="e">
        <f>AND(#REF!,"AAAAAG73dfY=")</f>
        <v>#REF!</v>
      </c>
      <c r="IN297" t="e">
        <f>AND(#REF!,"AAAAAG73dfc=")</f>
        <v>#REF!</v>
      </c>
      <c r="IO297" t="e">
        <f>AND(#REF!,"AAAAAG73dfg=")</f>
        <v>#REF!</v>
      </c>
      <c r="IP297" t="e">
        <f>AND(#REF!,"AAAAAG73dfk=")</f>
        <v>#REF!</v>
      </c>
      <c r="IQ297" t="e">
        <f>AND(#REF!,"AAAAAG73dfo=")</f>
        <v>#REF!</v>
      </c>
      <c r="IR297" t="e">
        <f>AND(#REF!,"AAAAAG73dfs=")</f>
        <v>#REF!</v>
      </c>
      <c r="IS297" t="e">
        <f>AND(#REF!,"AAAAAG73dfw=")</f>
        <v>#REF!</v>
      </c>
      <c r="IT297" t="e">
        <f>AND(#REF!,"AAAAAG73df0=")</f>
        <v>#REF!</v>
      </c>
      <c r="IU297" t="e">
        <f>AND(#REF!,"AAAAAG73df4=")</f>
        <v>#REF!</v>
      </c>
      <c r="IV297" t="e">
        <f>AND(#REF!,"AAAAAG73df8=")</f>
        <v>#REF!</v>
      </c>
    </row>
    <row r="298" spans="1:256">
      <c r="A298" t="e">
        <f>AND(#REF!,"AAAAADPv/gA=")</f>
        <v>#REF!</v>
      </c>
      <c r="B298" t="e">
        <f>AND(#REF!,"AAAAADPv/gE=")</f>
        <v>#REF!</v>
      </c>
      <c r="C298" t="e">
        <f>AND(#REF!,"AAAAADPv/gI=")</f>
        <v>#REF!</v>
      </c>
      <c r="D298" t="e">
        <f>IF(#REF!,"AAAAADPv/gM=",0)</f>
        <v>#REF!</v>
      </c>
      <c r="E298" t="e">
        <f>AND(#REF!,"AAAAADPv/gQ=")</f>
        <v>#REF!</v>
      </c>
      <c r="F298" t="e">
        <f>AND(#REF!,"AAAAADPv/gU=")</f>
        <v>#REF!</v>
      </c>
      <c r="G298" t="e">
        <f>AND(#REF!,"AAAAADPv/gY=")</f>
        <v>#REF!</v>
      </c>
      <c r="H298" t="e">
        <f>AND(#REF!,"AAAAADPv/gc=")</f>
        <v>#REF!</v>
      </c>
      <c r="I298" t="e">
        <f>AND(#REF!,"AAAAADPv/gg=")</f>
        <v>#REF!</v>
      </c>
      <c r="J298" t="e">
        <f>AND(#REF!,"AAAAADPv/gk=")</f>
        <v>#REF!</v>
      </c>
      <c r="K298" t="e">
        <f>AND(#REF!,"AAAAADPv/go=")</f>
        <v>#REF!</v>
      </c>
      <c r="L298" t="e">
        <f>AND(#REF!,"AAAAADPv/gs=")</f>
        <v>#REF!</v>
      </c>
      <c r="M298" t="e">
        <f>AND(#REF!,"AAAAADPv/gw=")</f>
        <v>#REF!</v>
      </c>
      <c r="N298" t="e">
        <f>AND(#REF!,"AAAAADPv/g0=")</f>
        <v>#REF!</v>
      </c>
      <c r="O298" t="e">
        <f>AND(#REF!,"AAAAADPv/g4=")</f>
        <v>#REF!</v>
      </c>
      <c r="P298" t="e">
        <f>AND(#REF!,"AAAAADPv/g8=")</f>
        <v>#REF!</v>
      </c>
      <c r="Q298" t="e">
        <f>AND(#REF!,"AAAAADPv/hA=")</f>
        <v>#REF!</v>
      </c>
      <c r="R298" t="e">
        <f>AND(#REF!,"AAAAADPv/hE=")</f>
        <v>#REF!</v>
      </c>
      <c r="S298" t="e">
        <f>AND(#REF!,"AAAAADPv/hI=")</f>
        <v>#REF!</v>
      </c>
      <c r="T298" t="e">
        <f>AND(#REF!,"AAAAADPv/hM=")</f>
        <v>#REF!</v>
      </c>
      <c r="U298" t="e">
        <f>AND(#REF!,"AAAAADPv/hQ=")</f>
        <v>#REF!</v>
      </c>
      <c r="V298" t="e">
        <f>AND(#REF!,"AAAAADPv/hU=")</f>
        <v>#REF!</v>
      </c>
      <c r="W298" t="e">
        <f>AND(#REF!,"AAAAADPv/hY=")</f>
        <v>#REF!</v>
      </c>
      <c r="X298" t="e">
        <f>AND(#REF!,"AAAAADPv/hc=")</f>
        <v>#REF!</v>
      </c>
      <c r="Y298" t="e">
        <f>AND(#REF!,"AAAAADPv/hg=")</f>
        <v>#REF!</v>
      </c>
      <c r="Z298" t="e">
        <f>AND(#REF!,"AAAAADPv/hk=")</f>
        <v>#REF!</v>
      </c>
      <c r="AA298" t="e">
        <f>AND(#REF!,"AAAAADPv/ho=")</f>
        <v>#REF!</v>
      </c>
      <c r="AB298" t="e">
        <f>AND(#REF!,"AAAAADPv/hs=")</f>
        <v>#REF!</v>
      </c>
      <c r="AC298" t="e">
        <f>IF(#REF!,"AAAAADPv/hw=",0)</f>
        <v>#REF!</v>
      </c>
      <c r="AD298" t="e">
        <f>AND(#REF!,"AAAAADPv/h0=")</f>
        <v>#REF!</v>
      </c>
      <c r="AE298" t="e">
        <f>AND(#REF!,"AAAAADPv/h4=")</f>
        <v>#REF!</v>
      </c>
      <c r="AF298" t="e">
        <f>AND(#REF!,"AAAAADPv/h8=")</f>
        <v>#REF!</v>
      </c>
      <c r="AG298" t="e">
        <f>AND(#REF!,"AAAAADPv/iA=")</f>
        <v>#REF!</v>
      </c>
      <c r="AH298" t="e">
        <f>AND(#REF!,"AAAAADPv/iE=")</f>
        <v>#REF!</v>
      </c>
      <c r="AI298" t="e">
        <f>AND(#REF!,"AAAAADPv/iI=")</f>
        <v>#REF!</v>
      </c>
      <c r="AJ298" t="e">
        <f>AND(#REF!,"AAAAADPv/iM=")</f>
        <v>#REF!</v>
      </c>
      <c r="AK298" t="e">
        <f>AND(#REF!,"AAAAADPv/iQ=")</f>
        <v>#REF!</v>
      </c>
      <c r="AL298" t="e">
        <f>AND(#REF!,"AAAAADPv/iU=")</f>
        <v>#REF!</v>
      </c>
      <c r="AM298" t="e">
        <f>AND(#REF!,"AAAAADPv/iY=")</f>
        <v>#REF!</v>
      </c>
      <c r="AN298" t="e">
        <f>AND(#REF!,"AAAAADPv/ic=")</f>
        <v>#REF!</v>
      </c>
      <c r="AO298" t="e">
        <f>AND(#REF!,"AAAAADPv/ig=")</f>
        <v>#REF!</v>
      </c>
      <c r="AP298" t="e">
        <f>AND(#REF!,"AAAAADPv/ik=")</f>
        <v>#REF!</v>
      </c>
      <c r="AQ298" t="e">
        <f>AND(#REF!,"AAAAADPv/io=")</f>
        <v>#REF!</v>
      </c>
      <c r="AR298" t="e">
        <f>AND(#REF!,"AAAAADPv/is=")</f>
        <v>#REF!</v>
      </c>
      <c r="AS298" t="e">
        <f>AND(#REF!,"AAAAADPv/iw=")</f>
        <v>#REF!</v>
      </c>
      <c r="AT298" t="e">
        <f>AND(#REF!,"AAAAADPv/i0=")</f>
        <v>#REF!</v>
      </c>
      <c r="AU298" t="e">
        <f>AND(#REF!,"AAAAADPv/i4=")</f>
        <v>#REF!</v>
      </c>
      <c r="AV298" t="e">
        <f>AND(#REF!,"AAAAADPv/i8=")</f>
        <v>#REF!</v>
      </c>
      <c r="AW298" t="e">
        <f>AND(#REF!,"AAAAADPv/jA=")</f>
        <v>#REF!</v>
      </c>
      <c r="AX298" t="e">
        <f>AND(#REF!,"AAAAADPv/jE=")</f>
        <v>#REF!</v>
      </c>
      <c r="AY298" t="e">
        <f>AND(#REF!,"AAAAADPv/jI=")</f>
        <v>#REF!</v>
      </c>
      <c r="AZ298" t="e">
        <f>AND(#REF!,"AAAAADPv/jM=")</f>
        <v>#REF!</v>
      </c>
      <c r="BA298" t="e">
        <f>AND(#REF!,"AAAAADPv/jQ=")</f>
        <v>#REF!</v>
      </c>
      <c r="BB298" t="e">
        <f>IF(#REF!,"AAAAADPv/jU=",0)</f>
        <v>#REF!</v>
      </c>
      <c r="BC298" t="e">
        <f>AND(#REF!,"AAAAADPv/jY=")</f>
        <v>#REF!</v>
      </c>
      <c r="BD298" t="e">
        <f>AND(#REF!,"AAAAADPv/jc=")</f>
        <v>#REF!</v>
      </c>
      <c r="BE298" t="e">
        <f>AND(#REF!,"AAAAADPv/jg=")</f>
        <v>#REF!</v>
      </c>
      <c r="BF298" t="e">
        <f>AND(#REF!,"AAAAADPv/jk=")</f>
        <v>#REF!</v>
      </c>
      <c r="BG298" t="e">
        <f>AND(#REF!,"AAAAADPv/jo=")</f>
        <v>#REF!</v>
      </c>
      <c r="BH298" t="e">
        <f>AND(#REF!,"AAAAADPv/js=")</f>
        <v>#REF!</v>
      </c>
      <c r="BI298" t="e">
        <f>AND(#REF!,"AAAAADPv/jw=")</f>
        <v>#REF!</v>
      </c>
      <c r="BJ298" t="e">
        <f>AND(#REF!,"AAAAADPv/j0=")</f>
        <v>#REF!</v>
      </c>
      <c r="BK298" t="e">
        <f>AND(#REF!,"AAAAADPv/j4=")</f>
        <v>#REF!</v>
      </c>
      <c r="BL298" t="e">
        <f>AND(#REF!,"AAAAADPv/j8=")</f>
        <v>#REF!</v>
      </c>
      <c r="BM298" t="e">
        <f>AND(#REF!,"AAAAADPv/kA=")</f>
        <v>#REF!</v>
      </c>
      <c r="BN298" t="e">
        <f>AND(#REF!,"AAAAADPv/kE=")</f>
        <v>#REF!</v>
      </c>
      <c r="BO298" t="e">
        <f>AND(#REF!,"AAAAADPv/kI=")</f>
        <v>#REF!</v>
      </c>
      <c r="BP298" t="e">
        <f>AND(#REF!,"AAAAADPv/kM=")</f>
        <v>#REF!</v>
      </c>
      <c r="BQ298" t="e">
        <f>AND(#REF!,"AAAAADPv/kQ=")</f>
        <v>#REF!</v>
      </c>
      <c r="BR298" t="e">
        <f>AND(#REF!,"AAAAADPv/kU=")</f>
        <v>#REF!</v>
      </c>
      <c r="BS298" t="e">
        <f>AND(#REF!,"AAAAADPv/kY=")</f>
        <v>#REF!</v>
      </c>
      <c r="BT298" t="e">
        <f>AND(#REF!,"AAAAADPv/kc=")</f>
        <v>#REF!</v>
      </c>
      <c r="BU298" t="e">
        <f>AND(#REF!,"AAAAADPv/kg=")</f>
        <v>#REF!</v>
      </c>
      <c r="BV298" t="e">
        <f>AND(#REF!,"AAAAADPv/kk=")</f>
        <v>#REF!</v>
      </c>
      <c r="BW298" t="e">
        <f>AND(#REF!,"AAAAADPv/ko=")</f>
        <v>#REF!</v>
      </c>
      <c r="BX298" t="e">
        <f>AND(#REF!,"AAAAADPv/ks=")</f>
        <v>#REF!</v>
      </c>
      <c r="BY298" t="e">
        <f>AND(#REF!,"AAAAADPv/kw=")</f>
        <v>#REF!</v>
      </c>
      <c r="BZ298" t="e">
        <f>AND(#REF!,"AAAAADPv/k0=")</f>
        <v>#REF!</v>
      </c>
      <c r="CA298" t="e">
        <f>IF(#REF!,"AAAAADPv/k4=",0)</f>
        <v>#REF!</v>
      </c>
      <c r="CB298" t="e">
        <f>AND(#REF!,"AAAAADPv/k8=")</f>
        <v>#REF!</v>
      </c>
      <c r="CC298" t="e">
        <f>AND(#REF!,"AAAAADPv/lA=")</f>
        <v>#REF!</v>
      </c>
      <c r="CD298" t="e">
        <f>AND(#REF!,"AAAAADPv/lE=")</f>
        <v>#REF!</v>
      </c>
      <c r="CE298" t="e">
        <f>AND(#REF!,"AAAAADPv/lI=")</f>
        <v>#REF!</v>
      </c>
      <c r="CF298" t="e">
        <f>AND(#REF!,"AAAAADPv/lM=")</f>
        <v>#REF!</v>
      </c>
      <c r="CG298" t="e">
        <f>AND(#REF!,"AAAAADPv/lQ=")</f>
        <v>#REF!</v>
      </c>
      <c r="CH298" t="e">
        <f>AND(#REF!,"AAAAADPv/lU=")</f>
        <v>#REF!</v>
      </c>
      <c r="CI298" t="e">
        <f>AND(#REF!,"AAAAADPv/lY=")</f>
        <v>#REF!</v>
      </c>
      <c r="CJ298" t="e">
        <f>AND(#REF!,"AAAAADPv/lc=")</f>
        <v>#REF!</v>
      </c>
      <c r="CK298" t="e">
        <f>AND(#REF!,"AAAAADPv/lg=")</f>
        <v>#REF!</v>
      </c>
      <c r="CL298" t="e">
        <f>AND(#REF!,"AAAAADPv/lk=")</f>
        <v>#REF!</v>
      </c>
      <c r="CM298" t="e">
        <f>AND(#REF!,"AAAAADPv/lo=")</f>
        <v>#REF!</v>
      </c>
      <c r="CN298" t="e">
        <f>AND(#REF!,"AAAAADPv/ls=")</f>
        <v>#REF!</v>
      </c>
      <c r="CO298" t="e">
        <f>AND(#REF!,"AAAAADPv/lw=")</f>
        <v>#REF!</v>
      </c>
      <c r="CP298" t="e">
        <f>AND(#REF!,"AAAAADPv/l0=")</f>
        <v>#REF!</v>
      </c>
      <c r="CQ298" t="e">
        <f>AND(#REF!,"AAAAADPv/l4=")</f>
        <v>#REF!</v>
      </c>
      <c r="CR298" t="e">
        <f>AND(#REF!,"AAAAADPv/l8=")</f>
        <v>#REF!</v>
      </c>
      <c r="CS298" t="e">
        <f>AND(#REF!,"AAAAADPv/mA=")</f>
        <v>#REF!</v>
      </c>
      <c r="CT298" t="e">
        <f>AND(#REF!,"AAAAADPv/mE=")</f>
        <v>#REF!</v>
      </c>
      <c r="CU298" t="e">
        <f>AND(#REF!,"AAAAADPv/mI=")</f>
        <v>#REF!</v>
      </c>
      <c r="CV298" t="e">
        <f>AND(#REF!,"AAAAADPv/mM=")</f>
        <v>#REF!</v>
      </c>
      <c r="CW298" t="e">
        <f>AND(#REF!,"AAAAADPv/mQ=")</f>
        <v>#REF!</v>
      </c>
      <c r="CX298" t="e">
        <f>AND(#REF!,"AAAAADPv/mU=")</f>
        <v>#REF!</v>
      </c>
      <c r="CY298" t="e">
        <f>AND(#REF!,"AAAAADPv/mY=")</f>
        <v>#REF!</v>
      </c>
      <c r="CZ298" t="e">
        <f>IF(#REF!,"AAAAADPv/mc=",0)</f>
        <v>#REF!</v>
      </c>
      <c r="DA298" t="e">
        <f>AND(#REF!,"AAAAADPv/mg=")</f>
        <v>#REF!</v>
      </c>
      <c r="DB298" t="e">
        <f>AND(#REF!,"AAAAADPv/mk=")</f>
        <v>#REF!</v>
      </c>
      <c r="DC298" t="e">
        <f>AND(#REF!,"AAAAADPv/mo=")</f>
        <v>#REF!</v>
      </c>
      <c r="DD298" t="e">
        <f>AND(#REF!,"AAAAADPv/ms=")</f>
        <v>#REF!</v>
      </c>
      <c r="DE298" t="e">
        <f>AND(#REF!,"AAAAADPv/mw=")</f>
        <v>#REF!</v>
      </c>
      <c r="DF298" t="e">
        <f>AND(#REF!,"AAAAADPv/m0=")</f>
        <v>#REF!</v>
      </c>
      <c r="DG298" t="e">
        <f>AND(#REF!,"AAAAADPv/m4=")</f>
        <v>#REF!</v>
      </c>
      <c r="DH298" t="e">
        <f>AND(#REF!,"AAAAADPv/m8=")</f>
        <v>#REF!</v>
      </c>
      <c r="DI298" t="e">
        <f>AND(#REF!,"AAAAADPv/nA=")</f>
        <v>#REF!</v>
      </c>
      <c r="DJ298" t="e">
        <f>AND(#REF!,"AAAAADPv/nE=")</f>
        <v>#REF!</v>
      </c>
      <c r="DK298" t="e">
        <f>AND(#REF!,"AAAAADPv/nI=")</f>
        <v>#REF!</v>
      </c>
      <c r="DL298" t="e">
        <f>AND(#REF!,"AAAAADPv/nM=")</f>
        <v>#REF!</v>
      </c>
      <c r="DM298" t="e">
        <f>AND(#REF!,"AAAAADPv/nQ=")</f>
        <v>#REF!</v>
      </c>
      <c r="DN298" t="e">
        <f>AND(#REF!,"AAAAADPv/nU=")</f>
        <v>#REF!</v>
      </c>
      <c r="DO298" t="e">
        <f>AND(#REF!,"AAAAADPv/nY=")</f>
        <v>#REF!</v>
      </c>
      <c r="DP298" t="e">
        <f>AND(#REF!,"AAAAADPv/nc=")</f>
        <v>#REF!</v>
      </c>
      <c r="DQ298" t="e">
        <f>AND(#REF!,"AAAAADPv/ng=")</f>
        <v>#REF!</v>
      </c>
      <c r="DR298" t="e">
        <f>AND(#REF!,"AAAAADPv/nk=")</f>
        <v>#REF!</v>
      </c>
      <c r="DS298" t="e">
        <f>AND(#REF!,"AAAAADPv/no=")</f>
        <v>#REF!</v>
      </c>
      <c r="DT298" t="e">
        <f>AND(#REF!,"AAAAADPv/ns=")</f>
        <v>#REF!</v>
      </c>
      <c r="DU298" t="e">
        <f>AND(#REF!,"AAAAADPv/nw=")</f>
        <v>#REF!</v>
      </c>
      <c r="DV298" t="e">
        <f>AND(#REF!,"AAAAADPv/n0=")</f>
        <v>#REF!</v>
      </c>
      <c r="DW298" t="e">
        <f>AND(#REF!,"AAAAADPv/n4=")</f>
        <v>#REF!</v>
      </c>
      <c r="DX298" t="e">
        <f>AND(#REF!,"AAAAADPv/n8=")</f>
        <v>#REF!</v>
      </c>
      <c r="DY298" t="e">
        <f>IF(#REF!,"AAAAADPv/oA=",0)</f>
        <v>#REF!</v>
      </c>
      <c r="DZ298" t="e">
        <f>AND(#REF!,"AAAAADPv/oE=")</f>
        <v>#REF!</v>
      </c>
      <c r="EA298" t="e">
        <f>AND(#REF!,"AAAAADPv/oI=")</f>
        <v>#REF!</v>
      </c>
      <c r="EB298" t="e">
        <f>AND(#REF!,"AAAAADPv/oM=")</f>
        <v>#REF!</v>
      </c>
      <c r="EC298" t="e">
        <f>AND(#REF!,"AAAAADPv/oQ=")</f>
        <v>#REF!</v>
      </c>
      <c r="ED298" t="e">
        <f>AND(#REF!,"AAAAADPv/oU=")</f>
        <v>#REF!</v>
      </c>
      <c r="EE298" t="e">
        <f>AND(#REF!,"AAAAADPv/oY=")</f>
        <v>#REF!</v>
      </c>
      <c r="EF298" t="e">
        <f>AND(#REF!,"AAAAADPv/oc=")</f>
        <v>#REF!</v>
      </c>
      <c r="EG298" t="e">
        <f>AND(#REF!,"AAAAADPv/og=")</f>
        <v>#REF!</v>
      </c>
      <c r="EH298" t="e">
        <f>AND(#REF!,"AAAAADPv/ok=")</f>
        <v>#REF!</v>
      </c>
      <c r="EI298" t="e">
        <f>AND(#REF!,"AAAAADPv/oo=")</f>
        <v>#REF!</v>
      </c>
      <c r="EJ298" t="e">
        <f>AND(#REF!,"AAAAADPv/os=")</f>
        <v>#REF!</v>
      </c>
      <c r="EK298" t="e">
        <f>AND(#REF!,"AAAAADPv/ow=")</f>
        <v>#REF!</v>
      </c>
      <c r="EL298" t="e">
        <f>AND(#REF!,"AAAAADPv/o0=")</f>
        <v>#REF!</v>
      </c>
      <c r="EM298" t="e">
        <f>AND(#REF!,"AAAAADPv/o4=")</f>
        <v>#REF!</v>
      </c>
      <c r="EN298" t="e">
        <f>AND(#REF!,"AAAAADPv/o8=")</f>
        <v>#REF!</v>
      </c>
      <c r="EO298" t="e">
        <f>AND(#REF!,"AAAAADPv/pA=")</f>
        <v>#REF!</v>
      </c>
      <c r="EP298" t="e">
        <f>AND(#REF!,"AAAAADPv/pE=")</f>
        <v>#REF!</v>
      </c>
      <c r="EQ298" t="e">
        <f>AND(#REF!,"AAAAADPv/pI=")</f>
        <v>#REF!</v>
      </c>
      <c r="ER298" t="e">
        <f>AND(#REF!,"AAAAADPv/pM=")</f>
        <v>#REF!</v>
      </c>
      <c r="ES298" t="e">
        <f>AND(#REF!,"AAAAADPv/pQ=")</f>
        <v>#REF!</v>
      </c>
      <c r="ET298" t="e">
        <f>AND(#REF!,"AAAAADPv/pU=")</f>
        <v>#REF!</v>
      </c>
      <c r="EU298" t="e">
        <f>AND(#REF!,"AAAAADPv/pY=")</f>
        <v>#REF!</v>
      </c>
      <c r="EV298" t="e">
        <f>AND(#REF!,"AAAAADPv/pc=")</f>
        <v>#REF!</v>
      </c>
      <c r="EW298" t="e">
        <f>AND(#REF!,"AAAAADPv/pg=")</f>
        <v>#REF!</v>
      </c>
      <c r="EX298" t="e">
        <f>IF(#REF!,"AAAAADPv/pk=",0)</f>
        <v>#REF!</v>
      </c>
      <c r="EY298" t="e">
        <f>AND(#REF!,"AAAAADPv/po=")</f>
        <v>#REF!</v>
      </c>
      <c r="EZ298" t="e">
        <f>AND(#REF!,"AAAAADPv/ps=")</f>
        <v>#REF!</v>
      </c>
      <c r="FA298" t="e">
        <f>AND(#REF!,"AAAAADPv/pw=")</f>
        <v>#REF!</v>
      </c>
      <c r="FB298" t="e">
        <f>AND(#REF!,"AAAAADPv/p0=")</f>
        <v>#REF!</v>
      </c>
      <c r="FC298" t="e">
        <f>AND(#REF!,"AAAAADPv/p4=")</f>
        <v>#REF!</v>
      </c>
      <c r="FD298" t="e">
        <f>AND(#REF!,"AAAAADPv/p8=")</f>
        <v>#REF!</v>
      </c>
      <c r="FE298" t="e">
        <f>AND(#REF!,"AAAAADPv/qA=")</f>
        <v>#REF!</v>
      </c>
      <c r="FF298" t="e">
        <f>AND(#REF!,"AAAAADPv/qE=")</f>
        <v>#REF!</v>
      </c>
      <c r="FG298" t="e">
        <f>AND(#REF!,"AAAAADPv/qI=")</f>
        <v>#REF!</v>
      </c>
      <c r="FH298" t="e">
        <f>AND(#REF!,"AAAAADPv/qM=")</f>
        <v>#REF!</v>
      </c>
      <c r="FI298" t="e">
        <f>AND(#REF!,"AAAAADPv/qQ=")</f>
        <v>#REF!</v>
      </c>
      <c r="FJ298" t="e">
        <f>AND(#REF!,"AAAAADPv/qU=")</f>
        <v>#REF!</v>
      </c>
      <c r="FK298" t="e">
        <f>AND(#REF!,"AAAAADPv/qY=")</f>
        <v>#REF!</v>
      </c>
      <c r="FL298" t="e">
        <f>AND(#REF!,"AAAAADPv/qc=")</f>
        <v>#REF!</v>
      </c>
      <c r="FM298" t="e">
        <f>AND(#REF!,"AAAAADPv/qg=")</f>
        <v>#REF!</v>
      </c>
      <c r="FN298" t="e">
        <f>AND(#REF!,"AAAAADPv/qk=")</f>
        <v>#REF!</v>
      </c>
      <c r="FO298" t="e">
        <f>AND(#REF!,"AAAAADPv/qo=")</f>
        <v>#REF!</v>
      </c>
      <c r="FP298" t="e">
        <f>AND(#REF!,"AAAAADPv/qs=")</f>
        <v>#REF!</v>
      </c>
      <c r="FQ298" t="e">
        <f>AND(#REF!,"AAAAADPv/qw=")</f>
        <v>#REF!</v>
      </c>
      <c r="FR298" t="e">
        <f>AND(#REF!,"AAAAADPv/q0=")</f>
        <v>#REF!</v>
      </c>
      <c r="FS298" t="e">
        <f>AND(#REF!,"AAAAADPv/q4=")</f>
        <v>#REF!</v>
      </c>
      <c r="FT298" t="e">
        <f>AND(#REF!,"AAAAADPv/q8=")</f>
        <v>#REF!</v>
      </c>
      <c r="FU298" t="e">
        <f>AND(#REF!,"AAAAADPv/rA=")</f>
        <v>#REF!</v>
      </c>
      <c r="FV298" t="e">
        <f>AND(#REF!,"AAAAADPv/rE=")</f>
        <v>#REF!</v>
      </c>
      <c r="FW298" t="e">
        <f>IF(#REF!,"AAAAADPv/rI=",0)</f>
        <v>#REF!</v>
      </c>
      <c r="FX298" t="e">
        <f>AND(#REF!,"AAAAADPv/rM=")</f>
        <v>#REF!</v>
      </c>
      <c r="FY298" t="e">
        <f>AND(#REF!,"AAAAADPv/rQ=")</f>
        <v>#REF!</v>
      </c>
      <c r="FZ298" t="e">
        <f>AND(#REF!,"AAAAADPv/rU=")</f>
        <v>#REF!</v>
      </c>
      <c r="GA298" t="e">
        <f>AND(#REF!,"AAAAADPv/rY=")</f>
        <v>#REF!</v>
      </c>
      <c r="GB298" t="e">
        <f>AND(#REF!,"AAAAADPv/rc=")</f>
        <v>#REF!</v>
      </c>
      <c r="GC298" t="e">
        <f>AND(#REF!,"AAAAADPv/rg=")</f>
        <v>#REF!</v>
      </c>
      <c r="GD298" t="e">
        <f>AND(#REF!,"AAAAADPv/rk=")</f>
        <v>#REF!</v>
      </c>
      <c r="GE298" t="e">
        <f>AND(#REF!,"AAAAADPv/ro=")</f>
        <v>#REF!</v>
      </c>
      <c r="GF298" t="e">
        <f>AND(#REF!,"AAAAADPv/rs=")</f>
        <v>#REF!</v>
      </c>
      <c r="GG298" t="e">
        <f>AND(#REF!,"AAAAADPv/rw=")</f>
        <v>#REF!</v>
      </c>
      <c r="GH298" t="e">
        <f>AND(#REF!,"AAAAADPv/r0=")</f>
        <v>#REF!</v>
      </c>
      <c r="GI298" t="e">
        <f>AND(#REF!,"AAAAADPv/r4=")</f>
        <v>#REF!</v>
      </c>
      <c r="GJ298" t="e">
        <f>AND(#REF!,"AAAAADPv/r8=")</f>
        <v>#REF!</v>
      </c>
      <c r="GK298" t="e">
        <f>AND(#REF!,"AAAAADPv/sA=")</f>
        <v>#REF!</v>
      </c>
      <c r="GL298" t="e">
        <f>AND(#REF!,"AAAAADPv/sE=")</f>
        <v>#REF!</v>
      </c>
      <c r="GM298" t="e">
        <f>AND(#REF!,"AAAAADPv/sI=")</f>
        <v>#REF!</v>
      </c>
      <c r="GN298" t="e">
        <f>AND(#REF!,"AAAAADPv/sM=")</f>
        <v>#REF!</v>
      </c>
      <c r="GO298" t="e">
        <f>AND(#REF!,"AAAAADPv/sQ=")</f>
        <v>#REF!</v>
      </c>
      <c r="GP298" t="e">
        <f>AND(#REF!,"AAAAADPv/sU=")</f>
        <v>#REF!</v>
      </c>
      <c r="GQ298" t="e">
        <f>AND(#REF!,"AAAAADPv/sY=")</f>
        <v>#REF!</v>
      </c>
      <c r="GR298" t="e">
        <f>AND(#REF!,"AAAAADPv/sc=")</f>
        <v>#REF!</v>
      </c>
      <c r="GS298" t="e">
        <f>AND(#REF!,"AAAAADPv/sg=")</f>
        <v>#REF!</v>
      </c>
      <c r="GT298" t="e">
        <f>AND(#REF!,"AAAAADPv/sk=")</f>
        <v>#REF!</v>
      </c>
      <c r="GU298" t="e">
        <f>AND(#REF!,"AAAAADPv/so=")</f>
        <v>#REF!</v>
      </c>
      <c r="GV298" t="e">
        <f>IF(#REF!,"AAAAADPv/ss=",0)</f>
        <v>#REF!</v>
      </c>
      <c r="GW298" t="e">
        <f>AND(#REF!,"AAAAADPv/sw=")</f>
        <v>#REF!</v>
      </c>
      <c r="GX298" t="e">
        <f>AND(#REF!,"AAAAADPv/s0=")</f>
        <v>#REF!</v>
      </c>
      <c r="GY298" t="e">
        <f>AND(#REF!,"AAAAADPv/s4=")</f>
        <v>#REF!</v>
      </c>
      <c r="GZ298" t="e">
        <f>AND(#REF!,"AAAAADPv/s8=")</f>
        <v>#REF!</v>
      </c>
      <c r="HA298" t="e">
        <f>AND(#REF!,"AAAAADPv/tA=")</f>
        <v>#REF!</v>
      </c>
      <c r="HB298" t="e">
        <f>AND(#REF!,"AAAAADPv/tE=")</f>
        <v>#REF!</v>
      </c>
      <c r="HC298" t="e">
        <f>AND(#REF!,"AAAAADPv/tI=")</f>
        <v>#REF!</v>
      </c>
      <c r="HD298" t="e">
        <f>AND(#REF!,"AAAAADPv/tM=")</f>
        <v>#REF!</v>
      </c>
      <c r="HE298" t="e">
        <f>AND(#REF!,"AAAAADPv/tQ=")</f>
        <v>#REF!</v>
      </c>
      <c r="HF298" t="e">
        <f>AND(#REF!,"AAAAADPv/tU=")</f>
        <v>#REF!</v>
      </c>
      <c r="HG298" t="e">
        <f>AND(#REF!,"AAAAADPv/tY=")</f>
        <v>#REF!</v>
      </c>
      <c r="HH298" t="e">
        <f>AND(#REF!,"AAAAADPv/tc=")</f>
        <v>#REF!</v>
      </c>
      <c r="HI298" t="e">
        <f>AND(#REF!,"AAAAADPv/tg=")</f>
        <v>#REF!</v>
      </c>
      <c r="HJ298" t="e">
        <f>AND(#REF!,"AAAAADPv/tk=")</f>
        <v>#REF!</v>
      </c>
      <c r="HK298" t="e">
        <f>AND(#REF!,"AAAAADPv/to=")</f>
        <v>#REF!</v>
      </c>
      <c r="HL298" t="e">
        <f>AND(#REF!,"AAAAADPv/ts=")</f>
        <v>#REF!</v>
      </c>
      <c r="HM298" t="e">
        <f>AND(#REF!,"AAAAADPv/tw=")</f>
        <v>#REF!</v>
      </c>
      <c r="HN298" t="e">
        <f>AND(#REF!,"AAAAADPv/t0=")</f>
        <v>#REF!</v>
      </c>
      <c r="HO298" t="e">
        <f>AND(#REF!,"AAAAADPv/t4=")</f>
        <v>#REF!</v>
      </c>
      <c r="HP298" t="e">
        <f>AND(#REF!,"AAAAADPv/t8=")</f>
        <v>#REF!</v>
      </c>
      <c r="HQ298" t="e">
        <f>AND(#REF!,"AAAAADPv/uA=")</f>
        <v>#REF!</v>
      </c>
      <c r="HR298" t="e">
        <f>AND(#REF!,"AAAAADPv/uE=")</f>
        <v>#REF!</v>
      </c>
      <c r="HS298" t="e">
        <f>AND(#REF!,"AAAAADPv/uI=")</f>
        <v>#REF!</v>
      </c>
      <c r="HT298" t="e">
        <f>AND(#REF!,"AAAAADPv/uM=")</f>
        <v>#REF!</v>
      </c>
      <c r="HU298" t="e">
        <f>IF(#REF!,"AAAAADPv/uQ=",0)</f>
        <v>#REF!</v>
      </c>
      <c r="HV298" t="e">
        <f>AND(#REF!,"AAAAADPv/uU=")</f>
        <v>#REF!</v>
      </c>
      <c r="HW298" t="e">
        <f>AND(#REF!,"AAAAADPv/uY=")</f>
        <v>#REF!</v>
      </c>
      <c r="HX298" t="e">
        <f>AND(#REF!,"AAAAADPv/uc=")</f>
        <v>#REF!</v>
      </c>
      <c r="HY298" t="e">
        <f>AND(#REF!,"AAAAADPv/ug=")</f>
        <v>#REF!</v>
      </c>
      <c r="HZ298" t="e">
        <f>AND(#REF!,"AAAAADPv/uk=")</f>
        <v>#REF!</v>
      </c>
      <c r="IA298" t="e">
        <f>AND(#REF!,"AAAAADPv/uo=")</f>
        <v>#REF!</v>
      </c>
      <c r="IB298" t="e">
        <f>AND(#REF!,"AAAAADPv/us=")</f>
        <v>#REF!</v>
      </c>
      <c r="IC298" t="e">
        <f>AND(#REF!,"AAAAADPv/uw=")</f>
        <v>#REF!</v>
      </c>
      <c r="ID298" t="e">
        <f>AND(#REF!,"AAAAADPv/u0=")</f>
        <v>#REF!</v>
      </c>
      <c r="IE298" t="e">
        <f>AND(#REF!,"AAAAADPv/u4=")</f>
        <v>#REF!</v>
      </c>
      <c r="IF298" t="e">
        <f>AND(#REF!,"AAAAADPv/u8=")</f>
        <v>#REF!</v>
      </c>
      <c r="IG298" t="e">
        <f>AND(#REF!,"AAAAADPv/vA=")</f>
        <v>#REF!</v>
      </c>
      <c r="IH298" t="e">
        <f>AND(#REF!,"AAAAADPv/vE=")</f>
        <v>#REF!</v>
      </c>
      <c r="II298" t="e">
        <f>AND(#REF!,"AAAAADPv/vI=")</f>
        <v>#REF!</v>
      </c>
      <c r="IJ298" t="e">
        <f>AND(#REF!,"AAAAADPv/vM=")</f>
        <v>#REF!</v>
      </c>
      <c r="IK298" t="e">
        <f>AND(#REF!,"AAAAADPv/vQ=")</f>
        <v>#REF!</v>
      </c>
      <c r="IL298" t="e">
        <f>AND(#REF!,"AAAAADPv/vU=")</f>
        <v>#REF!</v>
      </c>
      <c r="IM298" t="e">
        <f>AND(#REF!,"AAAAADPv/vY=")</f>
        <v>#REF!</v>
      </c>
      <c r="IN298" t="e">
        <f>AND(#REF!,"AAAAADPv/vc=")</f>
        <v>#REF!</v>
      </c>
      <c r="IO298" t="e">
        <f>AND(#REF!,"AAAAADPv/vg=")</f>
        <v>#REF!</v>
      </c>
      <c r="IP298" t="e">
        <f>AND(#REF!,"AAAAADPv/vk=")</f>
        <v>#REF!</v>
      </c>
      <c r="IQ298" t="e">
        <f>AND(#REF!,"AAAAADPv/vo=")</f>
        <v>#REF!</v>
      </c>
      <c r="IR298" t="e">
        <f>AND(#REF!,"AAAAADPv/vs=")</f>
        <v>#REF!</v>
      </c>
      <c r="IS298" t="e">
        <f>AND(#REF!,"AAAAADPv/vw=")</f>
        <v>#REF!</v>
      </c>
      <c r="IT298" t="e">
        <f>IF(#REF!,"AAAAADPv/v0=",0)</f>
        <v>#REF!</v>
      </c>
      <c r="IU298" t="e">
        <f>AND(#REF!,"AAAAADPv/v4=")</f>
        <v>#REF!</v>
      </c>
      <c r="IV298" t="e">
        <f>AND(#REF!,"AAAAADPv/v8=")</f>
        <v>#REF!</v>
      </c>
    </row>
    <row r="299" spans="1:256">
      <c r="A299" t="e">
        <f>AND(#REF!,"AAAAAF+L2gA=")</f>
        <v>#REF!</v>
      </c>
      <c r="B299" t="e">
        <f>AND(#REF!,"AAAAAF+L2gE=")</f>
        <v>#REF!</v>
      </c>
      <c r="C299" t="e">
        <f>AND(#REF!,"AAAAAF+L2gI=")</f>
        <v>#REF!</v>
      </c>
      <c r="D299" t="e">
        <f>AND(#REF!,"AAAAAF+L2gM=")</f>
        <v>#REF!</v>
      </c>
      <c r="E299" t="e">
        <f>AND(#REF!,"AAAAAF+L2gQ=")</f>
        <v>#REF!</v>
      </c>
      <c r="F299" t="e">
        <f>AND(#REF!,"AAAAAF+L2gU=")</f>
        <v>#REF!</v>
      </c>
      <c r="G299" t="e">
        <f>AND(#REF!,"AAAAAF+L2gY=")</f>
        <v>#REF!</v>
      </c>
      <c r="H299" t="e">
        <f>AND(#REF!,"AAAAAF+L2gc=")</f>
        <v>#REF!</v>
      </c>
      <c r="I299" t="e">
        <f>AND(#REF!,"AAAAAF+L2gg=")</f>
        <v>#REF!</v>
      </c>
      <c r="J299" t="e">
        <f>AND(#REF!,"AAAAAF+L2gk=")</f>
        <v>#REF!</v>
      </c>
      <c r="K299" t="e">
        <f>AND(#REF!,"AAAAAF+L2go=")</f>
        <v>#REF!</v>
      </c>
      <c r="L299" t="e">
        <f>AND(#REF!,"AAAAAF+L2gs=")</f>
        <v>#REF!</v>
      </c>
      <c r="M299" t="e">
        <f>AND(#REF!,"AAAAAF+L2gw=")</f>
        <v>#REF!</v>
      </c>
      <c r="N299" t="e">
        <f>AND(#REF!,"AAAAAF+L2g0=")</f>
        <v>#REF!</v>
      </c>
      <c r="O299" t="e">
        <f>AND(#REF!,"AAAAAF+L2g4=")</f>
        <v>#REF!</v>
      </c>
      <c r="P299" t="e">
        <f>AND(#REF!,"AAAAAF+L2g8=")</f>
        <v>#REF!</v>
      </c>
      <c r="Q299" t="e">
        <f>AND(#REF!,"AAAAAF+L2hA=")</f>
        <v>#REF!</v>
      </c>
      <c r="R299" t="e">
        <f>AND(#REF!,"AAAAAF+L2hE=")</f>
        <v>#REF!</v>
      </c>
      <c r="S299" t="e">
        <f>AND(#REF!,"AAAAAF+L2hI=")</f>
        <v>#REF!</v>
      </c>
      <c r="T299" t="e">
        <f>AND(#REF!,"AAAAAF+L2hM=")</f>
        <v>#REF!</v>
      </c>
      <c r="U299" t="e">
        <f>AND(#REF!,"AAAAAF+L2hQ=")</f>
        <v>#REF!</v>
      </c>
      <c r="V299" t="e">
        <f>AND(#REF!,"AAAAAF+L2hU=")</f>
        <v>#REF!</v>
      </c>
      <c r="W299" t="e">
        <f>IF(#REF!,"AAAAAF+L2hY=",0)</f>
        <v>#REF!</v>
      </c>
      <c r="X299" t="e">
        <f>AND(#REF!,"AAAAAF+L2hc=")</f>
        <v>#REF!</v>
      </c>
      <c r="Y299" t="e">
        <f>AND(#REF!,"AAAAAF+L2hg=")</f>
        <v>#REF!</v>
      </c>
      <c r="Z299" t="e">
        <f>AND(#REF!,"AAAAAF+L2hk=")</f>
        <v>#REF!</v>
      </c>
      <c r="AA299" t="e">
        <f>AND(#REF!,"AAAAAF+L2ho=")</f>
        <v>#REF!</v>
      </c>
      <c r="AB299" t="e">
        <f>AND(#REF!,"AAAAAF+L2hs=")</f>
        <v>#REF!</v>
      </c>
      <c r="AC299" t="e">
        <f>AND(#REF!,"AAAAAF+L2hw=")</f>
        <v>#REF!</v>
      </c>
      <c r="AD299" t="e">
        <f>AND(#REF!,"AAAAAF+L2h0=")</f>
        <v>#REF!</v>
      </c>
      <c r="AE299" t="e">
        <f>AND(#REF!,"AAAAAF+L2h4=")</f>
        <v>#REF!</v>
      </c>
      <c r="AF299" t="e">
        <f>AND(#REF!,"AAAAAF+L2h8=")</f>
        <v>#REF!</v>
      </c>
      <c r="AG299" t="e">
        <f>AND(#REF!,"AAAAAF+L2iA=")</f>
        <v>#REF!</v>
      </c>
      <c r="AH299" t="e">
        <f>AND(#REF!,"AAAAAF+L2iE=")</f>
        <v>#REF!</v>
      </c>
      <c r="AI299" t="e">
        <f>AND(#REF!,"AAAAAF+L2iI=")</f>
        <v>#REF!</v>
      </c>
      <c r="AJ299" t="e">
        <f>AND(#REF!,"AAAAAF+L2iM=")</f>
        <v>#REF!</v>
      </c>
      <c r="AK299" t="e">
        <f>AND(#REF!,"AAAAAF+L2iQ=")</f>
        <v>#REF!</v>
      </c>
      <c r="AL299" t="e">
        <f>AND(#REF!,"AAAAAF+L2iU=")</f>
        <v>#REF!</v>
      </c>
      <c r="AM299" t="e">
        <f>AND(#REF!,"AAAAAF+L2iY=")</f>
        <v>#REF!</v>
      </c>
      <c r="AN299" t="e">
        <f>AND(#REF!,"AAAAAF+L2ic=")</f>
        <v>#REF!</v>
      </c>
      <c r="AO299" t="e">
        <f>AND(#REF!,"AAAAAF+L2ig=")</f>
        <v>#REF!</v>
      </c>
      <c r="AP299" t="e">
        <f>AND(#REF!,"AAAAAF+L2ik=")</f>
        <v>#REF!</v>
      </c>
      <c r="AQ299" t="e">
        <f>AND(#REF!,"AAAAAF+L2io=")</f>
        <v>#REF!</v>
      </c>
      <c r="AR299" t="e">
        <f>AND(#REF!,"AAAAAF+L2is=")</f>
        <v>#REF!</v>
      </c>
      <c r="AS299" t="e">
        <f>AND(#REF!,"AAAAAF+L2iw=")</f>
        <v>#REF!</v>
      </c>
      <c r="AT299" t="e">
        <f>AND(#REF!,"AAAAAF+L2i0=")</f>
        <v>#REF!</v>
      </c>
      <c r="AU299" t="e">
        <f>AND(#REF!,"AAAAAF+L2i4=")</f>
        <v>#REF!</v>
      </c>
      <c r="AV299" t="e">
        <f>IF(#REF!,"AAAAAF+L2i8=",0)</f>
        <v>#REF!</v>
      </c>
      <c r="AW299" t="e">
        <f>AND(#REF!,"AAAAAF+L2jA=")</f>
        <v>#REF!</v>
      </c>
      <c r="AX299" t="e">
        <f>AND(#REF!,"AAAAAF+L2jE=")</f>
        <v>#REF!</v>
      </c>
      <c r="AY299" t="e">
        <f>AND(#REF!,"AAAAAF+L2jI=")</f>
        <v>#REF!</v>
      </c>
      <c r="AZ299" t="e">
        <f>AND(#REF!,"AAAAAF+L2jM=")</f>
        <v>#REF!</v>
      </c>
      <c r="BA299" t="e">
        <f>AND(#REF!,"AAAAAF+L2jQ=")</f>
        <v>#REF!</v>
      </c>
      <c r="BB299" t="e">
        <f>AND(#REF!,"AAAAAF+L2jU=")</f>
        <v>#REF!</v>
      </c>
      <c r="BC299" t="e">
        <f>AND(#REF!,"AAAAAF+L2jY=")</f>
        <v>#REF!</v>
      </c>
      <c r="BD299" t="e">
        <f>AND(#REF!,"AAAAAF+L2jc=")</f>
        <v>#REF!</v>
      </c>
      <c r="BE299" t="e">
        <f>AND(#REF!,"AAAAAF+L2jg=")</f>
        <v>#REF!</v>
      </c>
      <c r="BF299" t="e">
        <f>AND(#REF!,"AAAAAF+L2jk=")</f>
        <v>#REF!</v>
      </c>
      <c r="BG299" t="e">
        <f>AND(#REF!,"AAAAAF+L2jo=")</f>
        <v>#REF!</v>
      </c>
      <c r="BH299" t="e">
        <f>AND(#REF!,"AAAAAF+L2js=")</f>
        <v>#REF!</v>
      </c>
      <c r="BI299" t="e">
        <f>AND(#REF!,"AAAAAF+L2jw=")</f>
        <v>#REF!</v>
      </c>
      <c r="BJ299" t="e">
        <f>AND(#REF!,"AAAAAF+L2j0=")</f>
        <v>#REF!</v>
      </c>
      <c r="BK299" t="e">
        <f>AND(#REF!,"AAAAAF+L2j4=")</f>
        <v>#REF!</v>
      </c>
      <c r="BL299" t="e">
        <f>AND(#REF!,"AAAAAF+L2j8=")</f>
        <v>#REF!</v>
      </c>
      <c r="BM299" t="e">
        <f>AND(#REF!,"AAAAAF+L2kA=")</f>
        <v>#REF!</v>
      </c>
      <c r="BN299" t="e">
        <f>AND(#REF!,"AAAAAF+L2kE=")</f>
        <v>#REF!</v>
      </c>
      <c r="BO299" t="e">
        <f>AND(#REF!,"AAAAAF+L2kI=")</f>
        <v>#REF!</v>
      </c>
      <c r="BP299" t="e">
        <f>AND(#REF!,"AAAAAF+L2kM=")</f>
        <v>#REF!</v>
      </c>
      <c r="BQ299" t="e">
        <f>AND(#REF!,"AAAAAF+L2kQ=")</f>
        <v>#REF!</v>
      </c>
      <c r="BR299" t="e">
        <f>AND(#REF!,"AAAAAF+L2kU=")</f>
        <v>#REF!</v>
      </c>
      <c r="BS299" t="e">
        <f>AND(#REF!,"AAAAAF+L2kY=")</f>
        <v>#REF!</v>
      </c>
      <c r="BT299" t="e">
        <f>AND(#REF!,"AAAAAF+L2kc=")</f>
        <v>#REF!</v>
      </c>
      <c r="BU299" t="e">
        <f>IF(#REF!,"AAAAAF+L2kg=",0)</f>
        <v>#REF!</v>
      </c>
      <c r="BV299" t="e">
        <f>AND(#REF!,"AAAAAF+L2kk=")</f>
        <v>#REF!</v>
      </c>
      <c r="BW299" t="e">
        <f>AND(#REF!,"AAAAAF+L2ko=")</f>
        <v>#REF!</v>
      </c>
      <c r="BX299" t="e">
        <f>AND(#REF!,"AAAAAF+L2ks=")</f>
        <v>#REF!</v>
      </c>
      <c r="BY299" t="e">
        <f>AND(#REF!,"AAAAAF+L2kw=")</f>
        <v>#REF!</v>
      </c>
      <c r="BZ299" t="e">
        <f>AND(#REF!,"AAAAAF+L2k0=")</f>
        <v>#REF!</v>
      </c>
      <c r="CA299" t="e">
        <f>AND(#REF!,"AAAAAF+L2k4=")</f>
        <v>#REF!</v>
      </c>
      <c r="CB299" t="e">
        <f>AND(#REF!,"AAAAAF+L2k8=")</f>
        <v>#REF!</v>
      </c>
      <c r="CC299" t="e">
        <f>AND(#REF!,"AAAAAF+L2lA=")</f>
        <v>#REF!</v>
      </c>
      <c r="CD299" t="e">
        <f>AND(#REF!,"AAAAAF+L2lE=")</f>
        <v>#REF!</v>
      </c>
      <c r="CE299" t="e">
        <f>AND(#REF!,"AAAAAF+L2lI=")</f>
        <v>#REF!</v>
      </c>
      <c r="CF299" t="e">
        <f>AND(#REF!,"AAAAAF+L2lM=")</f>
        <v>#REF!</v>
      </c>
      <c r="CG299" t="e">
        <f>AND(#REF!,"AAAAAF+L2lQ=")</f>
        <v>#REF!</v>
      </c>
      <c r="CH299" t="e">
        <f>AND(#REF!,"AAAAAF+L2lU=")</f>
        <v>#REF!</v>
      </c>
      <c r="CI299" t="e">
        <f>AND(#REF!,"AAAAAF+L2lY=")</f>
        <v>#REF!</v>
      </c>
      <c r="CJ299" t="e">
        <f>AND(#REF!,"AAAAAF+L2lc=")</f>
        <v>#REF!</v>
      </c>
      <c r="CK299" t="e">
        <f>AND(#REF!,"AAAAAF+L2lg=")</f>
        <v>#REF!</v>
      </c>
      <c r="CL299" t="e">
        <f>AND(#REF!,"AAAAAF+L2lk=")</f>
        <v>#REF!</v>
      </c>
      <c r="CM299" t="e">
        <f>AND(#REF!,"AAAAAF+L2lo=")</f>
        <v>#REF!</v>
      </c>
      <c r="CN299" t="e">
        <f>AND(#REF!,"AAAAAF+L2ls=")</f>
        <v>#REF!</v>
      </c>
      <c r="CO299" t="e">
        <f>AND(#REF!,"AAAAAF+L2lw=")</f>
        <v>#REF!</v>
      </c>
      <c r="CP299" t="e">
        <f>AND(#REF!,"AAAAAF+L2l0=")</f>
        <v>#REF!</v>
      </c>
      <c r="CQ299" t="e">
        <f>AND(#REF!,"AAAAAF+L2l4=")</f>
        <v>#REF!</v>
      </c>
      <c r="CR299" t="e">
        <f>AND(#REF!,"AAAAAF+L2l8=")</f>
        <v>#REF!</v>
      </c>
      <c r="CS299" t="e">
        <f>AND(#REF!,"AAAAAF+L2mA=")</f>
        <v>#REF!</v>
      </c>
      <c r="CT299" t="e">
        <f>IF(#REF!,"AAAAAF+L2mE=",0)</f>
        <v>#REF!</v>
      </c>
      <c r="CU299" t="e">
        <f>AND(#REF!,"AAAAAF+L2mI=")</f>
        <v>#REF!</v>
      </c>
      <c r="CV299" t="e">
        <f>AND(#REF!,"AAAAAF+L2mM=")</f>
        <v>#REF!</v>
      </c>
      <c r="CW299" t="e">
        <f>AND(#REF!,"AAAAAF+L2mQ=")</f>
        <v>#REF!</v>
      </c>
      <c r="CX299" t="e">
        <f>AND(#REF!,"AAAAAF+L2mU=")</f>
        <v>#REF!</v>
      </c>
      <c r="CY299" t="e">
        <f>AND(#REF!,"AAAAAF+L2mY=")</f>
        <v>#REF!</v>
      </c>
      <c r="CZ299" t="e">
        <f>AND(#REF!,"AAAAAF+L2mc=")</f>
        <v>#REF!</v>
      </c>
      <c r="DA299" t="e">
        <f>AND(#REF!,"AAAAAF+L2mg=")</f>
        <v>#REF!</v>
      </c>
      <c r="DB299" t="e">
        <f>AND(#REF!,"AAAAAF+L2mk=")</f>
        <v>#REF!</v>
      </c>
      <c r="DC299" t="e">
        <f>AND(#REF!,"AAAAAF+L2mo=")</f>
        <v>#REF!</v>
      </c>
      <c r="DD299" t="e">
        <f>AND(#REF!,"AAAAAF+L2ms=")</f>
        <v>#REF!</v>
      </c>
      <c r="DE299" t="e">
        <f>AND(#REF!,"AAAAAF+L2mw=")</f>
        <v>#REF!</v>
      </c>
      <c r="DF299" t="e">
        <f>AND(#REF!,"AAAAAF+L2m0=")</f>
        <v>#REF!</v>
      </c>
      <c r="DG299" t="e">
        <f>AND(#REF!,"AAAAAF+L2m4=")</f>
        <v>#REF!</v>
      </c>
      <c r="DH299" t="e">
        <f>AND(#REF!,"AAAAAF+L2m8=")</f>
        <v>#REF!</v>
      </c>
      <c r="DI299" t="e">
        <f>AND(#REF!,"AAAAAF+L2nA=")</f>
        <v>#REF!</v>
      </c>
      <c r="DJ299" t="e">
        <f>AND(#REF!,"AAAAAF+L2nE=")</f>
        <v>#REF!</v>
      </c>
      <c r="DK299" t="e">
        <f>AND(#REF!,"AAAAAF+L2nI=")</f>
        <v>#REF!</v>
      </c>
      <c r="DL299" t="e">
        <f>AND(#REF!,"AAAAAF+L2nM=")</f>
        <v>#REF!</v>
      </c>
      <c r="DM299" t="e">
        <f>AND(#REF!,"AAAAAF+L2nQ=")</f>
        <v>#REF!</v>
      </c>
      <c r="DN299" t="e">
        <f>AND(#REF!,"AAAAAF+L2nU=")</f>
        <v>#REF!</v>
      </c>
      <c r="DO299" t="e">
        <f>AND(#REF!,"AAAAAF+L2nY=")</f>
        <v>#REF!</v>
      </c>
      <c r="DP299" t="e">
        <f>AND(#REF!,"AAAAAF+L2nc=")</f>
        <v>#REF!</v>
      </c>
      <c r="DQ299" t="e">
        <f>AND(#REF!,"AAAAAF+L2ng=")</f>
        <v>#REF!</v>
      </c>
      <c r="DR299" t="e">
        <f>AND(#REF!,"AAAAAF+L2nk=")</f>
        <v>#REF!</v>
      </c>
      <c r="DS299" t="e">
        <f>IF(#REF!,"AAAAAF+L2no=",0)</f>
        <v>#REF!</v>
      </c>
      <c r="DT299" t="e">
        <f>AND(#REF!,"AAAAAF+L2ns=")</f>
        <v>#REF!</v>
      </c>
      <c r="DU299" t="e">
        <f>AND(#REF!,"AAAAAF+L2nw=")</f>
        <v>#REF!</v>
      </c>
      <c r="DV299" t="e">
        <f>AND(#REF!,"AAAAAF+L2n0=")</f>
        <v>#REF!</v>
      </c>
      <c r="DW299" t="e">
        <f>AND(#REF!,"AAAAAF+L2n4=")</f>
        <v>#REF!</v>
      </c>
      <c r="DX299" t="e">
        <f>AND(#REF!,"AAAAAF+L2n8=")</f>
        <v>#REF!</v>
      </c>
      <c r="DY299" t="e">
        <f>AND(#REF!,"AAAAAF+L2oA=")</f>
        <v>#REF!</v>
      </c>
      <c r="DZ299" t="e">
        <f>AND(#REF!,"AAAAAF+L2oE=")</f>
        <v>#REF!</v>
      </c>
      <c r="EA299" t="e">
        <f>AND(#REF!,"AAAAAF+L2oI=")</f>
        <v>#REF!</v>
      </c>
      <c r="EB299" t="e">
        <f>AND(#REF!,"AAAAAF+L2oM=")</f>
        <v>#REF!</v>
      </c>
      <c r="EC299" t="e">
        <f>AND(#REF!,"AAAAAF+L2oQ=")</f>
        <v>#REF!</v>
      </c>
      <c r="ED299" t="e">
        <f>AND(#REF!,"AAAAAF+L2oU=")</f>
        <v>#REF!</v>
      </c>
      <c r="EE299" t="e">
        <f>AND(#REF!,"AAAAAF+L2oY=")</f>
        <v>#REF!</v>
      </c>
      <c r="EF299" t="e">
        <f>AND(#REF!,"AAAAAF+L2oc=")</f>
        <v>#REF!</v>
      </c>
      <c r="EG299" t="e">
        <f>AND(#REF!,"AAAAAF+L2og=")</f>
        <v>#REF!</v>
      </c>
      <c r="EH299" t="e">
        <f>AND(#REF!,"AAAAAF+L2ok=")</f>
        <v>#REF!</v>
      </c>
      <c r="EI299" t="e">
        <f>AND(#REF!,"AAAAAF+L2oo=")</f>
        <v>#REF!</v>
      </c>
      <c r="EJ299" t="e">
        <f>AND(#REF!,"AAAAAF+L2os=")</f>
        <v>#REF!</v>
      </c>
      <c r="EK299" t="e">
        <f>AND(#REF!,"AAAAAF+L2ow=")</f>
        <v>#REF!</v>
      </c>
      <c r="EL299" t="e">
        <f>AND(#REF!,"AAAAAF+L2o0=")</f>
        <v>#REF!</v>
      </c>
      <c r="EM299" t="e">
        <f>AND(#REF!,"AAAAAF+L2o4=")</f>
        <v>#REF!</v>
      </c>
      <c r="EN299" t="e">
        <f>AND(#REF!,"AAAAAF+L2o8=")</f>
        <v>#REF!</v>
      </c>
      <c r="EO299" t="e">
        <f>AND(#REF!,"AAAAAF+L2pA=")</f>
        <v>#REF!</v>
      </c>
      <c r="EP299" t="e">
        <f>AND(#REF!,"AAAAAF+L2pE=")</f>
        <v>#REF!</v>
      </c>
      <c r="EQ299" t="e">
        <f>AND(#REF!,"AAAAAF+L2pI=")</f>
        <v>#REF!</v>
      </c>
      <c r="ER299" t="e">
        <f>IF(#REF!,"AAAAAF+L2pM=",0)</f>
        <v>#REF!</v>
      </c>
      <c r="ES299" t="e">
        <f>AND(#REF!,"AAAAAF+L2pQ=")</f>
        <v>#REF!</v>
      </c>
      <c r="ET299" t="e">
        <f>AND(#REF!,"AAAAAF+L2pU=")</f>
        <v>#REF!</v>
      </c>
      <c r="EU299" t="e">
        <f>AND(#REF!,"AAAAAF+L2pY=")</f>
        <v>#REF!</v>
      </c>
      <c r="EV299" t="e">
        <f>AND(#REF!,"AAAAAF+L2pc=")</f>
        <v>#REF!</v>
      </c>
      <c r="EW299" t="e">
        <f>AND(#REF!,"AAAAAF+L2pg=")</f>
        <v>#REF!</v>
      </c>
      <c r="EX299" t="e">
        <f>AND(#REF!,"AAAAAF+L2pk=")</f>
        <v>#REF!</v>
      </c>
      <c r="EY299" t="e">
        <f>AND(#REF!,"AAAAAF+L2po=")</f>
        <v>#REF!</v>
      </c>
      <c r="EZ299" t="e">
        <f>AND(#REF!,"AAAAAF+L2ps=")</f>
        <v>#REF!</v>
      </c>
      <c r="FA299" t="e">
        <f>AND(#REF!,"AAAAAF+L2pw=")</f>
        <v>#REF!</v>
      </c>
      <c r="FB299" t="e">
        <f>AND(#REF!,"AAAAAF+L2p0=")</f>
        <v>#REF!</v>
      </c>
      <c r="FC299" t="e">
        <f>AND(#REF!,"AAAAAF+L2p4=")</f>
        <v>#REF!</v>
      </c>
      <c r="FD299" t="e">
        <f>AND(#REF!,"AAAAAF+L2p8=")</f>
        <v>#REF!</v>
      </c>
      <c r="FE299" t="e">
        <f>AND(#REF!,"AAAAAF+L2qA=")</f>
        <v>#REF!</v>
      </c>
      <c r="FF299" t="e">
        <f>AND(#REF!,"AAAAAF+L2qE=")</f>
        <v>#REF!</v>
      </c>
      <c r="FG299" t="e">
        <f>AND(#REF!,"AAAAAF+L2qI=")</f>
        <v>#REF!</v>
      </c>
      <c r="FH299" t="e">
        <f>AND(#REF!,"AAAAAF+L2qM=")</f>
        <v>#REF!</v>
      </c>
      <c r="FI299" t="e">
        <f>AND(#REF!,"AAAAAF+L2qQ=")</f>
        <v>#REF!</v>
      </c>
      <c r="FJ299" t="e">
        <f>AND(#REF!,"AAAAAF+L2qU=")</f>
        <v>#REF!</v>
      </c>
      <c r="FK299" t="e">
        <f>AND(#REF!,"AAAAAF+L2qY=")</f>
        <v>#REF!</v>
      </c>
      <c r="FL299" t="e">
        <f>AND(#REF!,"AAAAAF+L2qc=")</f>
        <v>#REF!</v>
      </c>
      <c r="FM299" t="e">
        <f>AND(#REF!,"AAAAAF+L2qg=")</f>
        <v>#REF!</v>
      </c>
      <c r="FN299" t="e">
        <f>AND(#REF!,"AAAAAF+L2qk=")</f>
        <v>#REF!</v>
      </c>
      <c r="FO299" t="e">
        <f>AND(#REF!,"AAAAAF+L2qo=")</f>
        <v>#REF!</v>
      </c>
      <c r="FP299" t="e">
        <f>AND(#REF!,"AAAAAF+L2qs=")</f>
        <v>#REF!</v>
      </c>
      <c r="FQ299" t="e">
        <f>IF(#REF!,"AAAAAF+L2qw=",0)</f>
        <v>#REF!</v>
      </c>
      <c r="FR299" t="e">
        <f>AND(#REF!,"AAAAAF+L2q0=")</f>
        <v>#REF!</v>
      </c>
      <c r="FS299" t="e">
        <f>AND(#REF!,"AAAAAF+L2q4=")</f>
        <v>#REF!</v>
      </c>
      <c r="FT299" t="e">
        <f>AND(#REF!,"AAAAAF+L2q8=")</f>
        <v>#REF!</v>
      </c>
      <c r="FU299" t="e">
        <f>AND(#REF!,"AAAAAF+L2rA=")</f>
        <v>#REF!</v>
      </c>
      <c r="FV299" t="e">
        <f>AND(#REF!,"AAAAAF+L2rE=")</f>
        <v>#REF!</v>
      </c>
      <c r="FW299" t="e">
        <f>AND(#REF!,"AAAAAF+L2rI=")</f>
        <v>#REF!</v>
      </c>
      <c r="FX299" t="e">
        <f>AND(#REF!,"AAAAAF+L2rM=")</f>
        <v>#REF!</v>
      </c>
      <c r="FY299" t="e">
        <f>AND(#REF!,"AAAAAF+L2rQ=")</f>
        <v>#REF!</v>
      </c>
      <c r="FZ299" t="e">
        <f>AND(#REF!,"AAAAAF+L2rU=")</f>
        <v>#REF!</v>
      </c>
      <c r="GA299" t="e">
        <f>AND(#REF!,"AAAAAF+L2rY=")</f>
        <v>#REF!</v>
      </c>
      <c r="GB299" t="e">
        <f>AND(#REF!,"AAAAAF+L2rc=")</f>
        <v>#REF!</v>
      </c>
      <c r="GC299" t="e">
        <f>AND(#REF!,"AAAAAF+L2rg=")</f>
        <v>#REF!</v>
      </c>
      <c r="GD299" t="e">
        <f>AND(#REF!,"AAAAAF+L2rk=")</f>
        <v>#REF!</v>
      </c>
      <c r="GE299" t="e">
        <f>AND(#REF!,"AAAAAF+L2ro=")</f>
        <v>#REF!</v>
      </c>
      <c r="GF299" t="e">
        <f>AND(#REF!,"AAAAAF+L2rs=")</f>
        <v>#REF!</v>
      </c>
      <c r="GG299" t="e">
        <f>AND(#REF!,"AAAAAF+L2rw=")</f>
        <v>#REF!</v>
      </c>
      <c r="GH299" t="e">
        <f>AND(#REF!,"AAAAAF+L2r0=")</f>
        <v>#REF!</v>
      </c>
      <c r="GI299" t="e">
        <f>AND(#REF!,"AAAAAF+L2r4=")</f>
        <v>#REF!</v>
      </c>
      <c r="GJ299" t="e">
        <f>AND(#REF!,"AAAAAF+L2r8=")</f>
        <v>#REF!</v>
      </c>
      <c r="GK299" t="e">
        <f>AND(#REF!,"AAAAAF+L2sA=")</f>
        <v>#REF!</v>
      </c>
      <c r="GL299" t="e">
        <f>AND(#REF!,"AAAAAF+L2sE=")</f>
        <v>#REF!</v>
      </c>
      <c r="GM299" t="e">
        <f>AND(#REF!,"AAAAAF+L2sI=")</f>
        <v>#REF!</v>
      </c>
      <c r="GN299" t="e">
        <f>AND(#REF!,"AAAAAF+L2sM=")</f>
        <v>#REF!</v>
      </c>
      <c r="GO299" t="e">
        <f>AND(#REF!,"AAAAAF+L2sQ=")</f>
        <v>#REF!</v>
      </c>
      <c r="GP299" t="e">
        <f>IF(#REF!,"AAAAAF+L2sU=",0)</f>
        <v>#REF!</v>
      </c>
      <c r="GQ299" t="e">
        <f>AND(#REF!,"AAAAAF+L2sY=")</f>
        <v>#REF!</v>
      </c>
      <c r="GR299" t="e">
        <f>AND(#REF!,"AAAAAF+L2sc=")</f>
        <v>#REF!</v>
      </c>
      <c r="GS299" t="e">
        <f>AND(#REF!,"AAAAAF+L2sg=")</f>
        <v>#REF!</v>
      </c>
      <c r="GT299" t="e">
        <f>AND(#REF!,"AAAAAF+L2sk=")</f>
        <v>#REF!</v>
      </c>
      <c r="GU299" t="e">
        <f>AND(#REF!,"AAAAAF+L2so=")</f>
        <v>#REF!</v>
      </c>
      <c r="GV299" t="e">
        <f>AND(#REF!,"AAAAAF+L2ss=")</f>
        <v>#REF!</v>
      </c>
      <c r="GW299" t="e">
        <f>AND(#REF!,"AAAAAF+L2sw=")</f>
        <v>#REF!</v>
      </c>
      <c r="GX299" t="e">
        <f>AND(#REF!,"AAAAAF+L2s0=")</f>
        <v>#REF!</v>
      </c>
      <c r="GY299" t="e">
        <f>AND(#REF!,"AAAAAF+L2s4=")</f>
        <v>#REF!</v>
      </c>
      <c r="GZ299" t="e">
        <f>AND(#REF!,"AAAAAF+L2s8=")</f>
        <v>#REF!</v>
      </c>
      <c r="HA299" t="e">
        <f>AND(#REF!,"AAAAAF+L2tA=")</f>
        <v>#REF!</v>
      </c>
      <c r="HB299" t="e">
        <f>AND(#REF!,"AAAAAF+L2tE=")</f>
        <v>#REF!</v>
      </c>
      <c r="HC299" t="e">
        <f>AND(#REF!,"AAAAAF+L2tI=")</f>
        <v>#REF!</v>
      </c>
      <c r="HD299" t="e">
        <f>AND(#REF!,"AAAAAF+L2tM=")</f>
        <v>#REF!</v>
      </c>
      <c r="HE299" t="e">
        <f>AND(#REF!,"AAAAAF+L2tQ=")</f>
        <v>#REF!</v>
      </c>
      <c r="HF299" t="e">
        <f>AND(#REF!,"AAAAAF+L2tU=")</f>
        <v>#REF!</v>
      </c>
      <c r="HG299" t="e">
        <f>AND(#REF!,"AAAAAF+L2tY=")</f>
        <v>#REF!</v>
      </c>
      <c r="HH299" t="e">
        <f>AND(#REF!,"AAAAAF+L2tc=")</f>
        <v>#REF!</v>
      </c>
      <c r="HI299" t="e">
        <f>AND(#REF!,"AAAAAF+L2tg=")</f>
        <v>#REF!</v>
      </c>
      <c r="HJ299" t="e">
        <f>AND(#REF!,"AAAAAF+L2tk=")</f>
        <v>#REF!</v>
      </c>
      <c r="HK299" t="e">
        <f>AND(#REF!,"AAAAAF+L2to=")</f>
        <v>#REF!</v>
      </c>
      <c r="HL299" t="e">
        <f>AND(#REF!,"AAAAAF+L2ts=")</f>
        <v>#REF!</v>
      </c>
      <c r="HM299" t="e">
        <f>AND(#REF!,"AAAAAF+L2tw=")</f>
        <v>#REF!</v>
      </c>
      <c r="HN299" t="e">
        <f>AND(#REF!,"AAAAAF+L2t0=")</f>
        <v>#REF!</v>
      </c>
      <c r="HO299" t="e">
        <f>IF(#REF!,"AAAAAF+L2t4=",0)</f>
        <v>#REF!</v>
      </c>
      <c r="HP299" t="e">
        <f>AND(#REF!,"AAAAAF+L2t8=")</f>
        <v>#REF!</v>
      </c>
      <c r="HQ299" t="e">
        <f>AND(#REF!,"AAAAAF+L2uA=")</f>
        <v>#REF!</v>
      </c>
      <c r="HR299" t="e">
        <f>AND(#REF!,"AAAAAF+L2uE=")</f>
        <v>#REF!</v>
      </c>
      <c r="HS299" t="e">
        <f>AND(#REF!,"AAAAAF+L2uI=")</f>
        <v>#REF!</v>
      </c>
      <c r="HT299" t="e">
        <f>AND(#REF!,"AAAAAF+L2uM=")</f>
        <v>#REF!</v>
      </c>
      <c r="HU299" t="e">
        <f>AND(#REF!,"AAAAAF+L2uQ=")</f>
        <v>#REF!</v>
      </c>
      <c r="HV299" t="e">
        <f>AND(#REF!,"AAAAAF+L2uU=")</f>
        <v>#REF!</v>
      </c>
      <c r="HW299" t="e">
        <f>AND(#REF!,"AAAAAF+L2uY=")</f>
        <v>#REF!</v>
      </c>
      <c r="HX299" t="e">
        <f>AND(#REF!,"AAAAAF+L2uc=")</f>
        <v>#REF!</v>
      </c>
      <c r="HY299" t="e">
        <f>AND(#REF!,"AAAAAF+L2ug=")</f>
        <v>#REF!</v>
      </c>
      <c r="HZ299" t="e">
        <f>AND(#REF!,"AAAAAF+L2uk=")</f>
        <v>#REF!</v>
      </c>
      <c r="IA299" t="e">
        <f>AND(#REF!,"AAAAAF+L2uo=")</f>
        <v>#REF!</v>
      </c>
      <c r="IB299" t="e">
        <f>AND(#REF!,"AAAAAF+L2us=")</f>
        <v>#REF!</v>
      </c>
      <c r="IC299" t="e">
        <f>AND(#REF!,"AAAAAF+L2uw=")</f>
        <v>#REF!</v>
      </c>
      <c r="ID299" t="e">
        <f>AND(#REF!,"AAAAAF+L2u0=")</f>
        <v>#REF!</v>
      </c>
      <c r="IE299" t="e">
        <f>AND(#REF!,"AAAAAF+L2u4=")</f>
        <v>#REF!</v>
      </c>
      <c r="IF299" t="e">
        <f>AND(#REF!,"AAAAAF+L2u8=")</f>
        <v>#REF!</v>
      </c>
      <c r="IG299" t="e">
        <f>AND(#REF!,"AAAAAF+L2vA=")</f>
        <v>#REF!</v>
      </c>
      <c r="IH299" t="e">
        <f>AND(#REF!,"AAAAAF+L2vE=")</f>
        <v>#REF!</v>
      </c>
      <c r="II299" t="e">
        <f>AND(#REF!,"AAAAAF+L2vI=")</f>
        <v>#REF!</v>
      </c>
      <c r="IJ299" t="e">
        <f>AND(#REF!,"AAAAAF+L2vM=")</f>
        <v>#REF!</v>
      </c>
      <c r="IK299" t="e">
        <f>AND(#REF!,"AAAAAF+L2vQ=")</f>
        <v>#REF!</v>
      </c>
      <c r="IL299" t="e">
        <f>AND(#REF!,"AAAAAF+L2vU=")</f>
        <v>#REF!</v>
      </c>
      <c r="IM299" t="e">
        <f>AND(#REF!,"AAAAAF+L2vY=")</f>
        <v>#REF!</v>
      </c>
      <c r="IN299" t="e">
        <f>IF(#REF!,"AAAAAF+L2vc=",0)</f>
        <v>#REF!</v>
      </c>
      <c r="IO299" t="e">
        <f>AND(#REF!,"AAAAAF+L2vg=")</f>
        <v>#REF!</v>
      </c>
      <c r="IP299" t="e">
        <f>AND(#REF!,"AAAAAF+L2vk=")</f>
        <v>#REF!</v>
      </c>
      <c r="IQ299" t="e">
        <f>AND(#REF!,"AAAAAF+L2vo=")</f>
        <v>#REF!</v>
      </c>
      <c r="IR299" t="e">
        <f>AND(#REF!,"AAAAAF+L2vs=")</f>
        <v>#REF!</v>
      </c>
      <c r="IS299" t="e">
        <f>AND(#REF!,"AAAAAF+L2vw=")</f>
        <v>#REF!</v>
      </c>
      <c r="IT299" t="e">
        <f>AND(#REF!,"AAAAAF+L2v0=")</f>
        <v>#REF!</v>
      </c>
      <c r="IU299" t="e">
        <f>AND(#REF!,"AAAAAF+L2v4=")</f>
        <v>#REF!</v>
      </c>
      <c r="IV299" t="e">
        <f>AND(#REF!,"AAAAAF+L2v8=")</f>
        <v>#REF!</v>
      </c>
    </row>
    <row r="300" spans="1:256">
      <c r="A300" t="e">
        <f>AND(#REF!,"AAAAAD/P8wA=")</f>
        <v>#REF!</v>
      </c>
      <c r="B300" t="e">
        <f>AND(#REF!,"AAAAAD/P8wE=")</f>
        <v>#REF!</v>
      </c>
      <c r="C300" t="e">
        <f>AND(#REF!,"AAAAAD/P8wI=")</f>
        <v>#REF!</v>
      </c>
      <c r="D300" t="e">
        <f>AND(#REF!,"AAAAAD/P8wM=")</f>
        <v>#REF!</v>
      </c>
      <c r="E300" t="e">
        <f>AND(#REF!,"AAAAAD/P8wQ=")</f>
        <v>#REF!</v>
      </c>
      <c r="F300" t="e">
        <f>AND(#REF!,"AAAAAD/P8wU=")</f>
        <v>#REF!</v>
      </c>
      <c r="G300" t="e">
        <f>AND(#REF!,"AAAAAD/P8wY=")</f>
        <v>#REF!</v>
      </c>
      <c r="H300" t="e">
        <f>AND(#REF!,"AAAAAD/P8wc=")</f>
        <v>#REF!</v>
      </c>
      <c r="I300" t="e">
        <f>AND(#REF!,"AAAAAD/P8wg=")</f>
        <v>#REF!</v>
      </c>
      <c r="J300" t="e">
        <f>AND(#REF!,"AAAAAD/P8wk=")</f>
        <v>#REF!</v>
      </c>
      <c r="K300" t="e">
        <f>AND(#REF!,"AAAAAD/P8wo=")</f>
        <v>#REF!</v>
      </c>
      <c r="L300" t="e">
        <f>AND(#REF!,"AAAAAD/P8ws=")</f>
        <v>#REF!</v>
      </c>
      <c r="M300" t="e">
        <f>AND(#REF!,"AAAAAD/P8ww=")</f>
        <v>#REF!</v>
      </c>
      <c r="N300" t="e">
        <f>AND(#REF!,"AAAAAD/P8w0=")</f>
        <v>#REF!</v>
      </c>
      <c r="O300" t="e">
        <f>AND(#REF!,"AAAAAD/P8w4=")</f>
        <v>#REF!</v>
      </c>
      <c r="P300" t="e">
        <f>AND(#REF!,"AAAAAD/P8w8=")</f>
        <v>#REF!</v>
      </c>
      <c r="Q300" t="e">
        <f>IF(#REF!,"AAAAAD/P8xA=",0)</f>
        <v>#REF!</v>
      </c>
      <c r="R300" t="e">
        <f>AND(#REF!,"AAAAAD/P8xE=")</f>
        <v>#REF!</v>
      </c>
      <c r="S300" t="e">
        <f>AND(#REF!,"AAAAAD/P8xI=")</f>
        <v>#REF!</v>
      </c>
      <c r="T300" t="e">
        <f>AND(#REF!,"AAAAAD/P8xM=")</f>
        <v>#REF!</v>
      </c>
      <c r="U300" t="e">
        <f>AND(#REF!,"AAAAAD/P8xQ=")</f>
        <v>#REF!</v>
      </c>
      <c r="V300" t="e">
        <f>AND(#REF!,"AAAAAD/P8xU=")</f>
        <v>#REF!</v>
      </c>
      <c r="W300" t="e">
        <f>AND(#REF!,"AAAAAD/P8xY=")</f>
        <v>#REF!</v>
      </c>
      <c r="X300" t="e">
        <f>AND(#REF!,"AAAAAD/P8xc=")</f>
        <v>#REF!</v>
      </c>
      <c r="Y300" t="e">
        <f>AND(#REF!,"AAAAAD/P8xg=")</f>
        <v>#REF!</v>
      </c>
      <c r="Z300" t="e">
        <f>AND(#REF!,"AAAAAD/P8xk=")</f>
        <v>#REF!</v>
      </c>
      <c r="AA300" t="e">
        <f>AND(#REF!,"AAAAAD/P8xo=")</f>
        <v>#REF!</v>
      </c>
      <c r="AB300" t="e">
        <f>AND(#REF!,"AAAAAD/P8xs=")</f>
        <v>#REF!</v>
      </c>
      <c r="AC300" t="e">
        <f>AND(#REF!,"AAAAAD/P8xw=")</f>
        <v>#REF!</v>
      </c>
      <c r="AD300" t="e">
        <f>AND(#REF!,"AAAAAD/P8x0=")</f>
        <v>#REF!</v>
      </c>
      <c r="AE300" t="e">
        <f>AND(#REF!,"AAAAAD/P8x4=")</f>
        <v>#REF!</v>
      </c>
      <c r="AF300" t="e">
        <f>AND(#REF!,"AAAAAD/P8x8=")</f>
        <v>#REF!</v>
      </c>
      <c r="AG300" t="e">
        <f>AND(#REF!,"AAAAAD/P8yA=")</f>
        <v>#REF!</v>
      </c>
      <c r="AH300" t="e">
        <f>AND(#REF!,"AAAAAD/P8yE=")</f>
        <v>#REF!</v>
      </c>
      <c r="AI300" t="e">
        <f>AND(#REF!,"AAAAAD/P8yI=")</f>
        <v>#REF!</v>
      </c>
      <c r="AJ300" t="e">
        <f>AND(#REF!,"AAAAAD/P8yM=")</f>
        <v>#REF!</v>
      </c>
      <c r="AK300" t="e">
        <f>AND(#REF!,"AAAAAD/P8yQ=")</f>
        <v>#REF!</v>
      </c>
      <c r="AL300" t="e">
        <f>AND(#REF!,"AAAAAD/P8yU=")</f>
        <v>#REF!</v>
      </c>
      <c r="AM300" t="e">
        <f>AND(#REF!,"AAAAAD/P8yY=")</f>
        <v>#REF!</v>
      </c>
      <c r="AN300" t="e">
        <f>AND(#REF!,"AAAAAD/P8yc=")</f>
        <v>#REF!</v>
      </c>
      <c r="AO300" t="e">
        <f>AND(#REF!,"AAAAAD/P8yg=")</f>
        <v>#REF!</v>
      </c>
      <c r="AP300" t="e">
        <f>IF(#REF!,"AAAAAD/P8yk=",0)</f>
        <v>#REF!</v>
      </c>
      <c r="AQ300" t="e">
        <f>AND(#REF!,"AAAAAD/P8yo=")</f>
        <v>#REF!</v>
      </c>
      <c r="AR300" t="e">
        <f>AND(#REF!,"AAAAAD/P8ys=")</f>
        <v>#REF!</v>
      </c>
      <c r="AS300" t="e">
        <f>AND(#REF!,"AAAAAD/P8yw=")</f>
        <v>#REF!</v>
      </c>
      <c r="AT300" t="e">
        <f>AND(#REF!,"AAAAAD/P8y0=")</f>
        <v>#REF!</v>
      </c>
      <c r="AU300" t="e">
        <f>AND(#REF!,"AAAAAD/P8y4=")</f>
        <v>#REF!</v>
      </c>
      <c r="AV300" t="e">
        <f>AND(#REF!,"AAAAAD/P8y8=")</f>
        <v>#REF!</v>
      </c>
      <c r="AW300" t="e">
        <f>AND(#REF!,"AAAAAD/P8zA=")</f>
        <v>#REF!</v>
      </c>
      <c r="AX300" t="e">
        <f>AND(#REF!,"AAAAAD/P8zE=")</f>
        <v>#REF!</v>
      </c>
      <c r="AY300" t="e">
        <f>AND(#REF!,"AAAAAD/P8zI=")</f>
        <v>#REF!</v>
      </c>
      <c r="AZ300" t="e">
        <f>AND(#REF!,"AAAAAD/P8zM=")</f>
        <v>#REF!</v>
      </c>
      <c r="BA300" t="e">
        <f>AND(#REF!,"AAAAAD/P8zQ=")</f>
        <v>#REF!</v>
      </c>
      <c r="BB300" t="e">
        <f>AND(#REF!,"AAAAAD/P8zU=")</f>
        <v>#REF!</v>
      </c>
      <c r="BC300" t="e">
        <f>AND(#REF!,"AAAAAD/P8zY=")</f>
        <v>#REF!</v>
      </c>
      <c r="BD300" t="e">
        <f>AND(#REF!,"AAAAAD/P8zc=")</f>
        <v>#REF!</v>
      </c>
      <c r="BE300" t="e">
        <f>AND(#REF!,"AAAAAD/P8zg=")</f>
        <v>#REF!</v>
      </c>
      <c r="BF300" t="e">
        <f>AND(#REF!,"AAAAAD/P8zk=")</f>
        <v>#REF!</v>
      </c>
      <c r="BG300" t="e">
        <f>AND(#REF!,"AAAAAD/P8zo=")</f>
        <v>#REF!</v>
      </c>
      <c r="BH300" t="e">
        <f>AND(#REF!,"AAAAAD/P8zs=")</f>
        <v>#REF!</v>
      </c>
      <c r="BI300" t="e">
        <f>AND(#REF!,"AAAAAD/P8zw=")</f>
        <v>#REF!</v>
      </c>
      <c r="BJ300" t="e">
        <f>AND(#REF!,"AAAAAD/P8z0=")</f>
        <v>#REF!</v>
      </c>
      <c r="BK300" t="e">
        <f>AND(#REF!,"AAAAAD/P8z4=")</f>
        <v>#REF!</v>
      </c>
      <c r="BL300" t="e">
        <f>AND(#REF!,"AAAAAD/P8z8=")</f>
        <v>#REF!</v>
      </c>
      <c r="BM300" t="e">
        <f>AND(#REF!,"AAAAAD/P80A=")</f>
        <v>#REF!</v>
      </c>
      <c r="BN300" t="e">
        <f>AND(#REF!,"AAAAAD/P80E=")</f>
        <v>#REF!</v>
      </c>
      <c r="BO300" t="e">
        <f>IF(#REF!,"AAAAAD/P80I=",0)</f>
        <v>#REF!</v>
      </c>
      <c r="BP300" t="e">
        <f>AND(#REF!,"AAAAAD/P80M=")</f>
        <v>#REF!</v>
      </c>
      <c r="BQ300" t="e">
        <f>AND(#REF!,"AAAAAD/P80Q=")</f>
        <v>#REF!</v>
      </c>
      <c r="BR300" t="e">
        <f>AND(#REF!,"AAAAAD/P80U=")</f>
        <v>#REF!</v>
      </c>
      <c r="BS300" t="e">
        <f>AND(#REF!,"AAAAAD/P80Y=")</f>
        <v>#REF!</v>
      </c>
      <c r="BT300" t="e">
        <f>AND(#REF!,"AAAAAD/P80c=")</f>
        <v>#REF!</v>
      </c>
      <c r="BU300" t="e">
        <f>AND(#REF!,"AAAAAD/P80g=")</f>
        <v>#REF!</v>
      </c>
      <c r="BV300" t="e">
        <f>AND(#REF!,"AAAAAD/P80k=")</f>
        <v>#REF!</v>
      </c>
      <c r="BW300" t="e">
        <f>AND(#REF!,"AAAAAD/P80o=")</f>
        <v>#REF!</v>
      </c>
      <c r="BX300" t="e">
        <f>AND(#REF!,"AAAAAD/P80s=")</f>
        <v>#REF!</v>
      </c>
      <c r="BY300" t="e">
        <f>AND(#REF!,"AAAAAD/P80w=")</f>
        <v>#REF!</v>
      </c>
      <c r="BZ300" t="e">
        <f>AND(#REF!,"AAAAAD/P800=")</f>
        <v>#REF!</v>
      </c>
      <c r="CA300" t="e">
        <f>AND(#REF!,"AAAAAD/P804=")</f>
        <v>#REF!</v>
      </c>
      <c r="CB300" t="e">
        <f>AND(#REF!,"AAAAAD/P808=")</f>
        <v>#REF!</v>
      </c>
      <c r="CC300" t="e">
        <f>AND(#REF!,"AAAAAD/P81A=")</f>
        <v>#REF!</v>
      </c>
      <c r="CD300" t="e">
        <f>AND(#REF!,"AAAAAD/P81E=")</f>
        <v>#REF!</v>
      </c>
      <c r="CE300" t="e">
        <f>AND(#REF!,"AAAAAD/P81I=")</f>
        <v>#REF!</v>
      </c>
      <c r="CF300" t="e">
        <f>AND(#REF!,"AAAAAD/P81M=")</f>
        <v>#REF!</v>
      </c>
      <c r="CG300" t="e">
        <f>AND(#REF!,"AAAAAD/P81Q=")</f>
        <v>#REF!</v>
      </c>
      <c r="CH300" t="e">
        <f>AND(#REF!,"AAAAAD/P81U=")</f>
        <v>#REF!</v>
      </c>
      <c r="CI300" t="e">
        <f>AND(#REF!,"AAAAAD/P81Y=")</f>
        <v>#REF!</v>
      </c>
      <c r="CJ300" t="e">
        <f>AND(#REF!,"AAAAAD/P81c=")</f>
        <v>#REF!</v>
      </c>
      <c r="CK300" t="e">
        <f>AND(#REF!,"AAAAAD/P81g=")</f>
        <v>#REF!</v>
      </c>
      <c r="CL300" t="e">
        <f>AND(#REF!,"AAAAAD/P81k=")</f>
        <v>#REF!</v>
      </c>
      <c r="CM300" t="e">
        <f>AND(#REF!,"AAAAAD/P81o=")</f>
        <v>#REF!</v>
      </c>
      <c r="CN300" t="e">
        <f>IF(#REF!,"AAAAAD/P81s=",0)</f>
        <v>#REF!</v>
      </c>
      <c r="CO300" t="e">
        <f>AND(#REF!,"AAAAAD/P81w=")</f>
        <v>#REF!</v>
      </c>
      <c r="CP300" t="e">
        <f>AND(#REF!,"AAAAAD/P810=")</f>
        <v>#REF!</v>
      </c>
      <c r="CQ300" t="e">
        <f>AND(#REF!,"AAAAAD/P814=")</f>
        <v>#REF!</v>
      </c>
      <c r="CR300" t="e">
        <f>AND(#REF!,"AAAAAD/P818=")</f>
        <v>#REF!</v>
      </c>
      <c r="CS300" t="e">
        <f>AND(#REF!,"AAAAAD/P82A=")</f>
        <v>#REF!</v>
      </c>
      <c r="CT300" t="e">
        <f>AND(#REF!,"AAAAAD/P82E=")</f>
        <v>#REF!</v>
      </c>
      <c r="CU300" t="e">
        <f>AND(#REF!,"AAAAAD/P82I=")</f>
        <v>#REF!</v>
      </c>
      <c r="CV300" t="e">
        <f>AND(#REF!,"AAAAAD/P82M=")</f>
        <v>#REF!</v>
      </c>
      <c r="CW300" t="e">
        <f>AND(#REF!,"AAAAAD/P82Q=")</f>
        <v>#REF!</v>
      </c>
      <c r="CX300" t="e">
        <f>AND(#REF!,"AAAAAD/P82U=")</f>
        <v>#REF!</v>
      </c>
      <c r="CY300" t="e">
        <f>AND(#REF!,"AAAAAD/P82Y=")</f>
        <v>#REF!</v>
      </c>
      <c r="CZ300" t="e">
        <f>AND(#REF!,"AAAAAD/P82c=")</f>
        <v>#REF!</v>
      </c>
      <c r="DA300" t="e">
        <f>AND(#REF!,"AAAAAD/P82g=")</f>
        <v>#REF!</v>
      </c>
      <c r="DB300" t="e">
        <f>AND(#REF!,"AAAAAD/P82k=")</f>
        <v>#REF!</v>
      </c>
      <c r="DC300" t="e">
        <f>AND(#REF!,"AAAAAD/P82o=")</f>
        <v>#REF!</v>
      </c>
      <c r="DD300" t="e">
        <f>AND(#REF!,"AAAAAD/P82s=")</f>
        <v>#REF!</v>
      </c>
      <c r="DE300" t="e">
        <f>AND(#REF!,"AAAAAD/P82w=")</f>
        <v>#REF!</v>
      </c>
      <c r="DF300" t="e">
        <f>AND(#REF!,"AAAAAD/P820=")</f>
        <v>#REF!</v>
      </c>
      <c r="DG300" t="e">
        <f>AND(#REF!,"AAAAAD/P824=")</f>
        <v>#REF!</v>
      </c>
      <c r="DH300" t="e">
        <f>AND(#REF!,"AAAAAD/P828=")</f>
        <v>#REF!</v>
      </c>
      <c r="DI300" t="e">
        <f>AND(#REF!,"AAAAAD/P83A=")</f>
        <v>#REF!</v>
      </c>
      <c r="DJ300" t="e">
        <f>AND(#REF!,"AAAAAD/P83E=")</f>
        <v>#REF!</v>
      </c>
      <c r="DK300" t="e">
        <f>AND(#REF!,"AAAAAD/P83I=")</f>
        <v>#REF!</v>
      </c>
      <c r="DL300" t="e">
        <f>AND(#REF!,"AAAAAD/P83M=")</f>
        <v>#REF!</v>
      </c>
      <c r="DM300" t="e">
        <f>IF(#REF!,"AAAAAD/P83Q=",0)</f>
        <v>#REF!</v>
      </c>
      <c r="DN300" t="e">
        <f>AND(#REF!,"AAAAAD/P83U=")</f>
        <v>#REF!</v>
      </c>
      <c r="DO300" t="e">
        <f>AND(#REF!,"AAAAAD/P83Y=")</f>
        <v>#REF!</v>
      </c>
      <c r="DP300" t="e">
        <f>AND(#REF!,"AAAAAD/P83c=")</f>
        <v>#REF!</v>
      </c>
      <c r="DQ300" t="e">
        <f>AND(#REF!,"AAAAAD/P83g=")</f>
        <v>#REF!</v>
      </c>
      <c r="DR300" t="e">
        <f>AND(#REF!,"AAAAAD/P83k=")</f>
        <v>#REF!</v>
      </c>
      <c r="DS300" t="e">
        <f>AND(#REF!,"AAAAAD/P83o=")</f>
        <v>#REF!</v>
      </c>
      <c r="DT300" t="e">
        <f>AND(#REF!,"AAAAAD/P83s=")</f>
        <v>#REF!</v>
      </c>
      <c r="DU300" t="e">
        <f>AND(#REF!,"AAAAAD/P83w=")</f>
        <v>#REF!</v>
      </c>
      <c r="DV300" t="e">
        <f>AND(#REF!,"AAAAAD/P830=")</f>
        <v>#REF!</v>
      </c>
      <c r="DW300" t="e">
        <f>AND(#REF!,"AAAAAD/P834=")</f>
        <v>#REF!</v>
      </c>
      <c r="DX300" t="e">
        <f>AND(#REF!,"AAAAAD/P838=")</f>
        <v>#REF!</v>
      </c>
      <c r="DY300" t="e">
        <f>AND(#REF!,"AAAAAD/P84A=")</f>
        <v>#REF!</v>
      </c>
      <c r="DZ300" t="e">
        <f>AND(#REF!,"AAAAAD/P84E=")</f>
        <v>#REF!</v>
      </c>
      <c r="EA300" t="e">
        <f>AND(#REF!,"AAAAAD/P84I=")</f>
        <v>#REF!</v>
      </c>
      <c r="EB300" t="e">
        <f>AND(#REF!,"AAAAAD/P84M=")</f>
        <v>#REF!</v>
      </c>
      <c r="EC300" t="e">
        <f>AND(#REF!,"AAAAAD/P84Q=")</f>
        <v>#REF!</v>
      </c>
      <c r="ED300" t="e">
        <f>AND(#REF!,"AAAAAD/P84U=")</f>
        <v>#REF!</v>
      </c>
      <c r="EE300" t="e">
        <f>AND(#REF!,"AAAAAD/P84Y=")</f>
        <v>#REF!</v>
      </c>
      <c r="EF300" t="e">
        <f>AND(#REF!,"AAAAAD/P84c=")</f>
        <v>#REF!</v>
      </c>
      <c r="EG300" t="e">
        <f>AND(#REF!,"AAAAAD/P84g=")</f>
        <v>#REF!</v>
      </c>
      <c r="EH300" t="e">
        <f>AND(#REF!,"AAAAAD/P84k=")</f>
        <v>#REF!</v>
      </c>
      <c r="EI300" t="e">
        <f>AND(#REF!,"AAAAAD/P84o=")</f>
        <v>#REF!</v>
      </c>
      <c r="EJ300" t="e">
        <f>AND(#REF!,"AAAAAD/P84s=")</f>
        <v>#REF!</v>
      </c>
      <c r="EK300" t="e">
        <f>AND(#REF!,"AAAAAD/P84w=")</f>
        <v>#REF!</v>
      </c>
      <c r="EL300" t="e">
        <f>IF(#REF!,"AAAAAD/P840=",0)</f>
        <v>#REF!</v>
      </c>
      <c r="EM300" t="e">
        <f>AND(#REF!,"AAAAAD/P844=")</f>
        <v>#REF!</v>
      </c>
      <c r="EN300" t="e">
        <f>AND(#REF!,"AAAAAD/P848=")</f>
        <v>#REF!</v>
      </c>
      <c r="EO300" t="e">
        <f>AND(#REF!,"AAAAAD/P85A=")</f>
        <v>#REF!</v>
      </c>
      <c r="EP300" t="e">
        <f>AND(#REF!,"AAAAAD/P85E=")</f>
        <v>#REF!</v>
      </c>
      <c r="EQ300" t="e">
        <f>AND(#REF!,"AAAAAD/P85I=")</f>
        <v>#REF!</v>
      </c>
      <c r="ER300" t="e">
        <f>AND(#REF!,"AAAAAD/P85M=")</f>
        <v>#REF!</v>
      </c>
      <c r="ES300" t="e">
        <f>AND(#REF!,"AAAAAD/P85Q=")</f>
        <v>#REF!</v>
      </c>
      <c r="ET300" t="e">
        <f>AND(#REF!,"AAAAAD/P85U=")</f>
        <v>#REF!</v>
      </c>
      <c r="EU300" t="e">
        <f>AND(#REF!,"AAAAAD/P85Y=")</f>
        <v>#REF!</v>
      </c>
      <c r="EV300" t="e">
        <f>AND(#REF!,"AAAAAD/P85c=")</f>
        <v>#REF!</v>
      </c>
      <c r="EW300" t="e">
        <f>AND(#REF!,"AAAAAD/P85g=")</f>
        <v>#REF!</v>
      </c>
      <c r="EX300" t="e">
        <f>AND(#REF!,"AAAAAD/P85k=")</f>
        <v>#REF!</v>
      </c>
      <c r="EY300" t="e">
        <f>AND(#REF!,"AAAAAD/P85o=")</f>
        <v>#REF!</v>
      </c>
      <c r="EZ300" t="e">
        <f>AND(#REF!,"AAAAAD/P85s=")</f>
        <v>#REF!</v>
      </c>
      <c r="FA300" t="e">
        <f>AND(#REF!,"AAAAAD/P85w=")</f>
        <v>#REF!</v>
      </c>
      <c r="FB300" t="e">
        <f>AND(#REF!,"AAAAAD/P850=")</f>
        <v>#REF!</v>
      </c>
      <c r="FC300" t="e">
        <f>AND(#REF!,"AAAAAD/P854=")</f>
        <v>#REF!</v>
      </c>
      <c r="FD300" t="e">
        <f>AND(#REF!,"AAAAAD/P858=")</f>
        <v>#REF!</v>
      </c>
      <c r="FE300" t="e">
        <f>AND(#REF!,"AAAAAD/P86A=")</f>
        <v>#REF!</v>
      </c>
      <c r="FF300" t="e">
        <f>AND(#REF!,"AAAAAD/P86E=")</f>
        <v>#REF!</v>
      </c>
      <c r="FG300" t="e">
        <f>AND(#REF!,"AAAAAD/P86I=")</f>
        <v>#REF!</v>
      </c>
      <c r="FH300" t="e">
        <f>AND(#REF!,"AAAAAD/P86M=")</f>
        <v>#REF!</v>
      </c>
      <c r="FI300" t="e">
        <f>AND(#REF!,"AAAAAD/P86Q=")</f>
        <v>#REF!</v>
      </c>
      <c r="FJ300" t="e">
        <f>AND(#REF!,"AAAAAD/P86U=")</f>
        <v>#REF!</v>
      </c>
      <c r="FK300" t="e">
        <f>IF(#REF!,"AAAAAD/P86Y=",0)</f>
        <v>#REF!</v>
      </c>
      <c r="FL300" t="e">
        <f>AND(#REF!,"AAAAAD/P86c=")</f>
        <v>#REF!</v>
      </c>
      <c r="FM300" t="e">
        <f>AND(#REF!,"AAAAAD/P86g=")</f>
        <v>#REF!</v>
      </c>
      <c r="FN300" t="e">
        <f>AND(#REF!,"AAAAAD/P86k=")</f>
        <v>#REF!</v>
      </c>
      <c r="FO300" t="e">
        <f>AND(#REF!,"AAAAAD/P86o=")</f>
        <v>#REF!</v>
      </c>
      <c r="FP300" t="e">
        <f>AND(#REF!,"AAAAAD/P86s=")</f>
        <v>#REF!</v>
      </c>
      <c r="FQ300" t="e">
        <f>AND(#REF!,"AAAAAD/P86w=")</f>
        <v>#REF!</v>
      </c>
      <c r="FR300" t="e">
        <f>AND(#REF!,"AAAAAD/P860=")</f>
        <v>#REF!</v>
      </c>
      <c r="FS300" t="e">
        <f>AND(#REF!,"AAAAAD/P864=")</f>
        <v>#REF!</v>
      </c>
      <c r="FT300" t="e">
        <f>AND(#REF!,"AAAAAD/P868=")</f>
        <v>#REF!</v>
      </c>
      <c r="FU300" t="e">
        <f>AND(#REF!,"AAAAAD/P87A=")</f>
        <v>#REF!</v>
      </c>
      <c r="FV300" t="e">
        <f>AND(#REF!,"AAAAAD/P87E=")</f>
        <v>#REF!</v>
      </c>
      <c r="FW300" t="e">
        <f>AND(#REF!,"AAAAAD/P87I=")</f>
        <v>#REF!</v>
      </c>
      <c r="FX300" t="e">
        <f>AND(#REF!,"AAAAAD/P87M=")</f>
        <v>#REF!</v>
      </c>
      <c r="FY300" t="e">
        <f>AND(#REF!,"AAAAAD/P87Q=")</f>
        <v>#REF!</v>
      </c>
      <c r="FZ300" t="e">
        <f>AND(#REF!,"AAAAAD/P87U=")</f>
        <v>#REF!</v>
      </c>
      <c r="GA300" t="e">
        <f>AND(#REF!,"AAAAAD/P87Y=")</f>
        <v>#REF!</v>
      </c>
      <c r="GB300" t="e">
        <f>AND(#REF!,"AAAAAD/P87c=")</f>
        <v>#REF!</v>
      </c>
      <c r="GC300" t="e">
        <f>AND(#REF!,"AAAAAD/P87g=")</f>
        <v>#REF!</v>
      </c>
      <c r="GD300" t="e">
        <f>AND(#REF!,"AAAAAD/P87k=")</f>
        <v>#REF!</v>
      </c>
      <c r="GE300" t="e">
        <f>AND(#REF!,"AAAAAD/P87o=")</f>
        <v>#REF!</v>
      </c>
      <c r="GF300" t="e">
        <f>AND(#REF!,"AAAAAD/P87s=")</f>
        <v>#REF!</v>
      </c>
      <c r="GG300" t="e">
        <f>AND(#REF!,"AAAAAD/P87w=")</f>
        <v>#REF!</v>
      </c>
      <c r="GH300" t="e">
        <f>AND(#REF!,"AAAAAD/P870=")</f>
        <v>#REF!</v>
      </c>
      <c r="GI300" t="e">
        <f>AND(#REF!,"AAAAAD/P874=")</f>
        <v>#REF!</v>
      </c>
      <c r="GJ300" t="e">
        <f>IF(#REF!,"AAAAAD/P878=",0)</f>
        <v>#REF!</v>
      </c>
      <c r="GK300" t="e">
        <f>AND(#REF!,"AAAAAD/P88A=")</f>
        <v>#REF!</v>
      </c>
      <c r="GL300" t="e">
        <f>AND(#REF!,"AAAAAD/P88E=")</f>
        <v>#REF!</v>
      </c>
      <c r="GM300" t="e">
        <f>AND(#REF!,"AAAAAD/P88I=")</f>
        <v>#REF!</v>
      </c>
      <c r="GN300" t="e">
        <f>AND(#REF!,"AAAAAD/P88M=")</f>
        <v>#REF!</v>
      </c>
      <c r="GO300" t="e">
        <f>AND(#REF!,"AAAAAD/P88Q=")</f>
        <v>#REF!</v>
      </c>
      <c r="GP300" t="e">
        <f>AND(#REF!,"AAAAAD/P88U=")</f>
        <v>#REF!</v>
      </c>
      <c r="GQ300" t="e">
        <f>AND(#REF!,"AAAAAD/P88Y=")</f>
        <v>#REF!</v>
      </c>
      <c r="GR300" t="e">
        <f>AND(#REF!,"AAAAAD/P88c=")</f>
        <v>#REF!</v>
      </c>
      <c r="GS300" t="e">
        <f>AND(#REF!,"AAAAAD/P88g=")</f>
        <v>#REF!</v>
      </c>
      <c r="GT300" t="e">
        <f>AND(#REF!,"AAAAAD/P88k=")</f>
        <v>#REF!</v>
      </c>
      <c r="GU300" t="e">
        <f>AND(#REF!,"AAAAAD/P88o=")</f>
        <v>#REF!</v>
      </c>
      <c r="GV300" t="e">
        <f>AND(#REF!,"AAAAAD/P88s=")</f>
        <v>#REF!</v>
      </c>
      <c r="GW300" t="e">
        <f>AND(#REF!,"AAAAAD/P88w=")</f>
        <v>#REF!</v>
      </c>
      <c r="GX300" t="e">
        <f>AND(#REF!,"AAAAAD/P880=")</f>
        <v>#REF!</v>
      </c>
      <c r="GY300" t="e">
        <f>AND(#REF!,"AAAAAD/P884=")</f>
        <v>#REF!</v>
      </c>
      <c r="GZ300" t="e">
        <f>AND(#REF!,"AAAAAD/P888=")</f>
        <v>#REF!</v>
      </c>
      <c r="HA300" t="e">
        <f>AND(#REF!,"AAAAAD/P89A=")</f>
        <v>#REF!</v>
      </c>
      <c r="HB300" t="e">
        <f>AND(#REF!,"AAAAAD/P89E=")</f>
        <v>#REF!</v>
      </c>
      <c r="HC300" t="e">
        <f>AND(#REF!,"AAAAAD/P89I=")</f>
        <v>#REF!</v>
      </c>
      <c r="HD300" t="e">
        <f>AND(#REF!,"AAAAAD/P89M=")</f>
        <v>#REF!</v>
      </c>
      <c r="HE300" t="e">
        <f>AND(#REF!,"AAAAAD/P89Q=")</f>
        <v>#REF!</v>
      </c>
      <c r="HF300" t="e">
        <f>AND(#REF!,"AAAAAD/P89U=")</f>
        <v>#REF!</v>
      </c>
      <c r="HG300" t="e">
        <f>AND(#REF!,"AAAAAD/P89Y=")</f>
        <v>#REF!</v>
      </c>
      <c r="HH300" t="e">
        <f>AND(#REF!,"AAAAAD/P89c=")</f>
        <v>#REF!</v>
      </c>
      <c r="HI300" t="e">
        <f>IF(#REF!,"AAAAAD/P89g=",0)</f>
        <v>#REF!</v>
      </c>
      <c r="HJ300" t="e">
        <f>AND(#REF!,"AAAAAD/P89k=")</f>
        <v>#REF!</v>
      </c>
      <c r="HK300" t="e">
        <f>AND(#REF!,"AAAAAD/P89o=")</f>
        <v>#REF!</v>
      </c>
      <c r="HL300" t="e">
        <f>AND(#REF!,"AAAAAD/P89s=")</f>
        <v>#REF!</v>
      </c>
      <c r="HM300" t="e">
        <f>AND(#REF!,"AAAAAD/P89w=")</f>
        <v>#REF!</v>
      </c>
      <c r="HN300" t="e">
        <f>AND(#REF!,"AAAAAD/P890=")</f>
        <v>#REF!</v>
      </c>
      <c r="HO300" t="e">
        <f>AND(#REF!,"AAAAAD/P894=")</f>
        <v>#REF!</v>
      </c>
      <c r="HP300" t="e">
        <f>AND(#REF!,"AAAAAD/P898=")</f>
        <v>#REF!</v>
      </c>
      <c r="HQ300" t="e">
        <f>AND(#REF!,"AAAAAD/P8+A=")</f>
        <v>#REF!</v>
      </c>
      <c r="HR300" t="e">
        <f>AND(#REF!,"AAAAAD/P8+E=")</f>
        <v>#REF!</v>
      </c>
      <c r="HS300" t="e">
        <f>AND(#REF!,"AAAAAD/P8+I=")</f>
        <v>#REF!</v>
      </c>
      <c r="HT300" t="e">
        <f>AND(#REF!,"AAAAAD/P8+M=")</f>
        <v>#REF!</v>
      </c>
      <c r="HU300" t="e">
        <f>AND(#REF!,"AAAAAD/P8+Q=")</f>
        <v>#REF!</v>
      </c>
      <c r="HV300" t="e">
        <f>AND(#REF!,"AAAAAD/P8+U=")</f>
        <v>#REF!</v>
      </c>
      <c r="HW300" t="e">
        <f>AND(#REF!,"AAAAAD/P8+Y=")</f>
        <v>#REF!</v>
      </c>
      <c r="HX300" t="e">
        <f>AND(#REF!,"AAAAAD/P8+c=")</f>
        <v>#REF!</v>
      </c>
      <c r="HY300" t="e">
        <f>AND(#REF!,"AAAAAD/P8+g=")</f>
        <v>#REF!</v>
      </c>
      <c r="HZ300" t="e">
        <f>AND(#REF!,"AAAAAD/P8+k=")</f>
        <v>#REF!</v>
      </c>
      <c r="IA300" t="e">
        <f>AND(#REF!,"AAAAAD/P8+o=")</f>
        <v>#REF!</v>
      </c>
      <c r="IB300" t="e">
        <f>AND(#REF!,"AAAAAD/P8+s=")</f>
        <v>#REF!</v>
      </c>
      <c r="IC300" t="e">
        <f>AND(#REF!,"AAAAAD/P8+w=")</f>
        <v>#REF!</v>
      </c>
      <c r="ID300" t="e">
        <f>AND(#REF!,"AAAAAD/P8+0=")</f>
        <v>#REF!</v>
      </c>
      <c r="IE300" t="e">
        <f>AND(#REF!,"AAAAAD/P8+4=")</f>
        <v>#REF!</v>
      </c>
      <c r="IF300" t="e">
        <f>AND(#REF!,"AAAAAD/P8+8=")</f>
        <v>#REF!</v>
      </c>
      <c r="IG300" t="e">
        <f>AND(#REF!,"AAAAAD/P8/A=")</f>
        <v>#REF!</v>
      </c>
      <c r="IH300" t="e">
        <f>IF(#REF!,"AAAAAD/P8/E=",0)</f>
        <v>#REF!</v>
      </c>
      <c r="II300" t="e">
        <f>AND(#REF!,"AAAAAD/P8/I=")</f>
        <v>#REF!</v>
      </c>
      <c r="IJ300" t="e">
        <f>AND(#REF!,"AAAAAD/P8/M=")</f>
        <v>#REF!</v>
      </c>
      <c r="IK300" t="e">
        <f>AND(#REF!,"AAAAAD/P8/Q=")</f>
        <v>#REF!</v>
      </c>
      <c r="IL300" t="e">
        <f>AND(#REF!,"AAAAAD/P8/U=")</f>
        <v>#REF!</v>
      </c>
      <c r="IM300" t="e">
        <f>AND(#REF!,"AAAAAD/P8/Y=")</f>
        <v>#REF!</v>
      </c>
      <c r="IN300" t="e">
        <f>AND(#REF!,"AAAAAD/P8/c=")</f>
        <v>#REF!</v>
      </c>
      <c r="IO300" t="e">
        <f>AND(#REF!,"AAAAAD/P8/g=")</f>
        <v>#REF!</v>
      </c>
      <c r="IP300" t="e">
        <f>AND(#REF!,"AAAAAD/P8/k=")</f>
        <v>#REF!</v>
      </c>
      <c r="IQ300" t="e">
        <f>AND(#REF!,"AAAAAD/P8/o=")</f>
        <v>#REF!</v>
      </c>
      <c r="IR300" t="e">
        <f>AND(#REF!,"AAAAAD/P8/s=")</f>
        <v>#REF!</v>
      </c>
      <c r="IS300" t="e">
        <f>AND(#REF!,"AAAAAD/P8/w=")</f>
        <v>#REF!</v>
      </c>
      <c r="IT300" t="e">
        <f>AND(#REF!,"AAAAAD/P8/0=")</f>
        <v>#REF!</v>
      </c>
      <c r="IU300" t="e">
        <f>AND(#REF!,"AAAAAD/P8/4=")</f>
        <v>#REF!</v>
      </c>
      <c r="IV300" t="e">
        <f>AND(#REF!,"AAAAAD/P8/8=")</f>
        <v>#REF!</v>
      </c>
    </row>
    <row r="301" spans="1:256">
      <c r="A301" t="e">
        <f>AND(#REF!,"AAAAADu/8gA=")</f>
        <v>#REF!</v>
      </c>
      <c r="B301" t="e">
        <f>AND(#REF!,"AAAAADu/8gE=")</f>
        <v>#REF!</v>
      </c>
      <c r="C301" t="e">
        <f>AND(#REF!,"AAAAADu/8gI=")</f>
        <v>#REF!</v>
      </c>
      <c r="D301" t="e">
        <f>AND(#REF!,"AAAAADu/8gM=")</f>
        <v>#REF!</v>
      </c>
      <c r="E301" t="e">
        <f>AND(#REF!,"AAAAADu/8gQ=")</f>
        <v>#REF!</v>
      </c>
      <c r="F301" t="e">
        <f>AND(#REF!,"AAAAADu/8gU=")</f>
        <v>#REF!</v>
      </c>
      <c r="G301" t="e">
        <f>AND(#REF!,"AAAAADu/8gY=")</f>
        <v>#REF!</v>
      </c>
      <c r="H301" t="e">
        <f>AND(#REF!,"AAAAADu/8gc=")</f>
        <v>#REF!</v>
      </c>
      <c r="I301" t="e">
        <f>AND(#REF!,"AAAAADu/8gg=")</f>
        <v>#REF!</v>
      </c>
      <c r="J301" t="e">
        <f>AND(#REF!,"AAAAADu/8gk=")</f>
        <v>#REF!</v>
      </c>
      <c r="K301" t="e">
        <f>IF(#REF!,"AAAAADu/8go=",0)</f>
        <v>#REF!</v>
      </c>
      <c r="L301" t="e">
        <f>AND(#REF!,"AAAAADu/8gs=")</f>
        <v>#REF!</v>
      </c>
      <c r="M301" t="e">
        <f>AND(#REF!,"AAAAADu/8gw=")</f>
        <v>#REF!</v>
      </c>
      <c r="N301" t="e">
        <f>AND(#REF!,"AAAAADu/8g0=")</f>
        <v>#REF!</v>
      </c>
      <c r="O301" t="e">
        <f>AND(#REF!,"AAAAADu/8g4=")</f>
        <v>#REF!</v>
      </c>
      <c r="P301" t="e">
        <f>AND(#REF!,"AAAAADu/8g8=")</f>
        <v>#REF!</v>
      </c>
      <c r="Q301" t="e">
        <f>AND(#REF!,"AAAAADu/8hA=")</f>
        <v>#REF!</v>
      </c>
      <c r="R301" t="e">
        <f>AND(#REF!,"AAAAADu/8hE=")</f>
        <v>#REF!</v>
      </c>
      <c r="S301" t="e">
        <f>AND(#REF!,"AAAAADu/8hI=")</f>
        <v>#REF!</v>
      </c>
      <c r="T301" t="e">
        <f>AND(#REF!,"AAAAADu/8hM=")</f>
        <v>#REF!</v>
      </c>
      <c r="U301" t="e">
        <f>AND(#REF!,"AAAAADu/8hQ=")</f>
        <v>#REF!</v>
      </c>
      <c r="V301" t="e">
        <f>AND(#REF!,"AAAAADu/8hU=")</f>
        <v>#REF!</v>
      </c>
      <c r="W301" t="e">
        <f>AND(#REF!,"AAAAADu/8hY=")</f>
        <v>#REF!</v>
      </c>
      <c r="X301" t="e">
        <f>AND(#REF!,"AAAAADu/8hc=")</f>
        <v>#REF!</v>
      </c>
      <c r="Y301" t="e">
        <f>AND(#REF!,"AAAAADu/8hg=")</f>
        <v>#REF!</v>
      </c>
      <c r="Z301" t="e">
        <f>AND(#REF!,"AAAAADu/8hk=")</f>
        <v>#REF!</v>
      </c>
      <c r="AA301" t="e">
        <f>AND(#REF!,"AAAAADu/8ho=")</f>
        <v>#REF!</v>
      </c>
      <c r="AB301" t="e">
        <f>AND(#REF!,"AAAAADu/8hs=")</f>
        <v>#REF!</v>
      </c>
      <c r="AC301" t="e">
        <f>AND(#REF!,"AAAAADu/8hw=")</f>
        <v>#REF!</v>
      </c>
      <c r="AD301" t="e">
        <f>AND(#REF!,"AAAAADu/8h0=")</f>
        <v>#REF!</v>
      </c>
      <c r="AE301" t="e">
        <f>AND(#REF!,"AAAAADu/8h4=")</f>
        <v>#REF!</v>
      </c>
      <c r="AF301" t="e">
        <f>AND(#REF!,"AAAAADu/8h8=")</f>
        <v>#REF!</v>
      </c>
      <c r="AG301" t="e">
        <f>AND(#REF!,"AAAAADu/8iA=")</f>
        <v>#REF!</v>
      </c>
      <c r="AH301" t="e">
        <f>AND(#REF!,"AAAAADu/8iE=")</f>
        <v>#REF!</v>
      </c>
      <c r="AI301" t="e">
        <f>AND(#REF!,"AAAAADu/8iI=")</f>
        <v>#REF!</v>
      </c>
      <c r="AJ301" t="e">
        <f>IF(#REF!,"AAAAADu/8iM=",0)</f>
        <v>#REF!</v>
      </c>
      <c r="AK301" t="e">
        <f>AND(#REF!,"AAAAADu/8iQ=")</f>
        <v>#REF!</v>
      </c>
      <c r="AL301" t="e">
        <f>AND(#REF!,"AAAAADu/8iU=")</f>
        <v>#REF!</v>
      </c>
      <c r="AM301" t="e">
        <f>AND(#REF!,"AAAAADu/8iY=")</f>
        <v>#REF!</v>
      </c>
      <c r="AN301" t="e">
        <f>AND(#REF!,"AAAAADu/8ic=")</f>
        <v>#REF!</v>
      </c>
      <c r="AO301" t="e">
        <f>AND(#REF!,"AAAAADu/8ig=")</f>
        <v>#REF!</v>
      </c>
      <c r="AP301" t="e">
        <f>AND(#REF!,"AAAAADu/8ik=")</f>
        <v>#REF!</v>
      </c>
      <c r="AQ301" t="e">
        <f>AND(#REF!,"AAAAADu/8io=")</f>
        <v>#REF!</v>
      </c>
      <c r="AR301" t="e">
        <f>AND(#REF!,"AAAAADu/8is=")</f>
        <v>#REF!</v>
      </c>
      <c r="AS301" t="e">
        <f>AND(#REF!,"AAAAADu/8iw=")</f>
        <v>#REF!</v>
      </c>
      <c r="AT301" t="e">
        <f>AND(#REF!,"AAAAADu/8i0=")</f>
        <v>#REF!</v>
      </c>
      <c r="AU301" t="e">
        <f>AND(#REF!,"AAAAADu/8i4=")</f>
        <v>#REF!</v>
      </c>
      <c r="AV301" t="e">
        <f>AND(#REF!,"AAAAADu/8i8=")</f>
        <v>#REF!</v>
      </c>
      <c r="AW301" t="e">
        <f>AND(#REF!,"AAAAADu/8jA=")</f>
        <v>#REF!</v>
      </c>
      <c r="AX301" t="e">
        <f>AND(#REF!,"AAAAADu/8jE=")</f>
        <v>#REF!</v>
      </c>
      <c r="AY301" t="e">
        <f>AND(#REF!,"AAAAADu/8jI=")</f>
        <v>#REF!</v>
      </c>
      <c r="AZ301" t="e">
        <f>AND(#REF!,"AAAAADu/8jM=")</f>
        <v>#REF!</v>
      </c>
      <c r="BA301" t="e">
        <f>AND(#REF!,"AAAAADu/8jQ=")</f>
        <v>#REF!</v>
      </c>
      <c r="BB301" t="e">
        <f>AND(#REF!,"AAAAADu/8jU=")</f>
        <v>#REF!</v>
      </c>
      <c r="BC301" t="e">
        <f>AND(#REF!,"AAAAADu/8jY=")</f>
        <v>#REF!</v>
      </c>
      <c r="BD301" t="e">
        <f>AND(#REF!,"AAAAADu/8jc=")</f>
        <v>#REF!</v>
      </c>
      <c r="BE301" t="e">
        <f>AND(#REF!,"AAAAADu/8jg=")</f>
        <v>#REF!</v>
      </c>
      <c r="BF301" t="e">
        <f>AND(#REF!,"AAAAADu/8jk=")</f>
        <v>#REF!</v>
      </c>
      <c r="BG301" t="e">
        <f>AND(#REF!,"AAAAADu/8jo=")</f>
        <v>#REF!</v>
      </c>
      <c r="BH301" t="e">
        <f>AND(#REF!,"AAAAADu/8js=")</f>
        <v>#REF!</v>
      </c>
      <c r="BI301" t="e">
        <f>IF(#REF!,"AAAAADu/8jw=",0)</f>
        <v>#REF!</v>
      </c>
      <c r="BJ301" t="e">
        <f>AND(#REF!,"AAAAADu/8j0=")</f>
        <v>#REF!</v>
      </c>
      <c r="BK301" t="e">
        <f>AND(#REF!,"AAAAADu/8j4=")</f>
        <v>#REF!</v>
      </c>
      <c r="BL301" t="e">
        <f>AND(#REF!,"AAAAADu/8j8=")</f>
        <v>#REF!</v>
      </c>
      <c r="BM301" t="e">
        <f>AND(#REF!,"AAAAADu/8kA=")</f>
        <v>#REF!</v>
      </c>
      <c r="BN301" t="e">
        <f>AND(#REF!,"AAAAADu/8kE=")</f>
        <v>#REF!</v>
      </c>
      <c r="BO301" t="e">
        <f>AND(#REF!,"AAAAADu/8kI=")</f>
        <v>#REF!</v>
      </c>
      <c r="BP301" t="e">
        <f>AND(#REF!,"AAAAADu/8kM=")</f>
        <v>#REF!</v>
      </c>
      <c r="BQ301" t="e">
        <f>AND(#REF!,"AAAAADu/8kQ=")</f>
        <v>#REF!</v>
      </c>
      <c r="BR301" t="e">
        <f>AND(#REF!,"AAAAADu/8kU=")</f>
        <v>#REF!</v>
      </c>
      <c r="BS301" t="e">
        <f>AND(#REF!,"AAAAADu/8kY=")</f>
        <v>#REF!</v>
      </c>
      <c r="BT301" t="e">
        <f>AND(#REF!,"AAAAADu/8kc=")</f>
        <v>#REF!</v>
      </c>
      <c r="BU301" t="e">
        <f>AND(#REF!,"AAAAADu/8kg=")</f>
        <v>#REF!</v>
      </c>
      <c r="BV301" t="e">
        <f>AND(#REF!,"AAAAADu/8kk=")</f>
        <v>#REF!</v>
      </c>
      <c r="BW301" t="e">
        <f>AND(#REF!,"AAAAADu/8ko=")</f>
        <v>#REF!</v>
      </c>
      <c r="BX301" t="e">
        <f>AND(#REF!,"AAAAADu/8ks=")</f>
        <v>#REF!</v>
      </c>
      <c r="BY301" t="e">
        <f>AND(#REF!,"AAAAADu/8kw=")</f>
        <v>#REF!</v>
      </c>
      <c r="BZ301" t="e">
        <f>AND(#REF!,"AAAAADu/8k0=")</f>
        <v>#REF!</v>
      </c>
      <c r="CA301" t="e">
        <f>AND(#REF!,"AAAAADu/8k4=")</f>
        <v>#REF!</v>
      </c>
      <c r="CB301" t="e">
        <f>AND(#REF!,"AAAAADu/8k8=")</f>
        <v>#REF!</v>
      </c>
      <c r="CC301" t="e">
        <f>AND(#REF!,"AAAAADu/8lA=")</f>
        <v>#REF!</v>
      </c>
      <c r="CD301" t="e">
        <f>AND(#REF!,"AAAAADu/8lE=")</f>
        <v>#REF!</v>
      </c>
      <c r="CE301" t="e">
        <f>AND(#REF!,"AAAAADu/8lI=")</f>
        <v>#REF!</v>
      </c>
      <c r="CF301" t="e">
        <f>AND(#REF!,"AAAAADu/8lM=")</f>
        <v>#REF!</v>
      </c>
      <c r="CG301" t="e">
        <f>AND(#REF!,"AAAAADu/8lQ=")</f>
        <v>#REF!</v>
      </c>
      <c r="CH301" t="e">
        <f>IF(#REF!,"AAAAADu/8lU=",0)</f>
        <v>#REF!</v>
      </c>
      <c r="CI301" t="e">
        <f>AND(#REF!,"AAAAADu/8lY=")</f>
        <v>#REF!</v>
      </c>
      <c r="CJ301" t="e">
        <f>AND(#REF!,"AAAAADu/8lc=")</f>
        <v>#REF!</v>
      </c>
      <c r="CK301" t="e">
        <f>AND(#REF!,"AAAAADu/8lg=")</f>
        <v>#REF!</v>
      </c>
      <c r="CL301" t="e">
        <f>AND(#REF!,"AAAAADu/8lk=")</f>
        <v>#REF!</v>
      </c>
      <c r="CM301" t="e">
        <f>AND(#REF!,"AAAAADu/8lo=")</f>
        <v>#REF!</v>
      </c>
      <c r="CN301" t="e">
        <f>AND(#REF!,"AAAAADu/8ls=")</f>
        <v>#REF!</v>
      </c>
      <c r="CO301" t="e">
        <f>AND(#REF!,"AAAAADu/8lw=")</f>
        <v>#REF!</v>
      </c>
      <c r="CP301" t="e">
        <f>AND(#REF!,"AAAAADu/8l0=")</f>
        <v>#REF!</v>
      </c>
      <c r="CQ301" t="e">
        <f>AND(#REF!,"AAAAADu/8l4=")</f>
        <v>#REF!</v>
      </c>
      <c r="CR301" t="e">
        <f>AND(#REF!,"AAAAADu/8l8=")</f>
        <v>#REF!</v>
      </c>
      <c r="CS301" t="e">
        <f>AND(#REF!,"AAAAADu/8mA=")</f>
        <v>#REF!</v>
      </c>
      <c r="CT301" t="e">
        <f>AND(#REF!,"AAAAADu/8mE=")</f>
        <v>#REF!</v>
      </c>
      <c r="CU301" t="e">
        <f>AND(#REF!,"AAAAADu/8mI=")</f>
        <v>#REF!</v>
      </c>
      <c r="CV301" t="e">
        <f>AND(#REF!,"AAAAADu/8mM=")</f>
        <v>#REF!</v>
      </c>
      <c r="CW301" t="e">
        <f>AND(#REF!,"AAAAADu/8mQ=")</f>
        <v>#REF!</v>
      </c>
      <c r="CX301" t="e">
        <f>AND(#REF!,"AAAAADu/8mU=")</f>
        <v>#REF!</v>
      </c>
      <c r="CY301" t="e">
        <f>AND(#REF!,"AAAAADu/8mY=")</f>
        <v>#REF!</v>
      </c>
      <c r="CZ301" t="e">
        <f>AND(#REF!,"AAAAADu/8mc=")</f>
        <v>#REF!</v>
      </c>
      <c r="DA301" t="e">
        <f>AND(#REF!,"AAAAADu/8mg=")</f>
        <v>#REF!</v>
      </c>
      <c r="DB301" t="e">
        <f>AND(#REF!,"AAAAADu/8mk=")</f>
        <v>#REF!</v>
      </c>
      <c r="DC301" t="e">
        <f>AND(#REF!,"AAAAADu/8mo=")</f>
        <v>#REF!</v>
      </c>
      <c r="DD301" t="e">
        <f>AND(#REF!,"AAAAADu/8ms=")</f>
        <v>#REF!</v>
      </c>
      <c r="DE301" t="e">
        <f>AND(#REF!,"AAAAADu/8mw=")</f>
        <v>#REF!</v>
      </c>
      <c r="DF301" t="e">
        <f>AND(#REF!,"AAAAADu/8m0=")</f>
        <v>#REF!</v>
      </c>
      <c r="DG301" t="e">
        <f>IF(#REF!,"AAAAADu/8m4=",0)</f>
        <v>#REF!</v>
      </c>
      <c r="DH301" t="e">
        <f>AND(#REF!,"AAAAADu/8m8=")</f>
        <v>#REF!</v>
      </c>
      <c r="DI301" t="e">
        <f>AND(#REF!,"AAAAADu/8nA=")</f>
        <v>#REF!</v>
      </c>
      <c r="DJ301" t="e">
        <f>AND(#REF!,"AAAAADu/8nE=")</f>
        <v>#REF!</v>
      </c>
      <c r="DK301" t="e">
        <f>AND(#REF!,"AAAAADu/8nI=")</f>
        <v>#REF!</v>
      </c>
      <c r="DL301" t="e">
        <f>AND(#REF!,"AAAAADu/8nM=")</f>
        <v>#REF!</v>
      </c>
      <c r="DM301" t="e">
        <f>AND(#REF!,"AAAAADu/8nQ=")</f>
        <v>#REF!</v>
      </c>
      <c r="DN301" t="e">
        <f>AND(#REF!,"AAAAADu/8nU=")</f>
        <v>#REF!</v>
      </c>
      <c r="DO301" t="e">
        <f>AND(#REF!,"AAAAADu/8nY=")</f>
        <v>#REF!</v>
      </c>
      <c r="DP301" t="e">
        <f>AND(#REF!,"AAAAADu/8nc=")</f>
        <v>#REF!</v>
      </c>
      <c r="DQ301" t="e">
        <f>AND(#REF!,"AAAAADu/8ng=")</f>
        <v>#REF!</v>
      </c>
      <c r="DR301" t="e">
        <f>AND(#REF!,"AAAAADu/8nk=")</f>
        <v>#REF!</v>
      </c>
      <c r="DS301" t="e">
        <f>AND(#REF!,"AAAAADu/8no=")</f>
        <v>#REF!</v>
      </c>
      <c r="DT301" t="e">
        <f>AND(#REF!,"AAAAADu/8ns=")</f>
        <v>#REF!</v>
      </c>
      <c r="DU301" t="e">
        <f>AND(#REF!,"AAAAADu/8nw=")</f>
        <v>#REF!</v>
      </c>
      <c r="DV301" t="e">
        <f>AND(#REF!,"AAAAADu/8n0=")</f>
        <v>#REF!</v>
      </c>
      <c r="DW301" t="e">
        <f>AND(#REF!,"AAAAADu/8n4=")</f>
        <v>#REF!</v>
      </c>
      <c r="DX301" t="e">
        <f>AND(#REF!,"AAAAADu/8n8=")</f>
        <v>#REF!</v>
      </c>
      <c r="DY301" t="e">
        <f>AND(#REF!,"AAAAADu/8oA=")</f>
        <v>#REF!</v>
      </c>
      <c r="DZ301" t="e">
        <f>AND(#REF!,"AAAAADu/8oE=")</f>
        <v>#REF!</v>
      </c>
      <c r="EA301" t="e">
        <f>AND(#REF!,"AAAAADu/8oI=")</f>
        <v>#REF!</v>
      </c>
      <c r="EB301" t="e">
        <f>AND(#REF!,"AAAAADu/8oM=")</f>
        <v>#REF!</v>
      </c>
      <c r="EC301" t="e">
        <f>AND(#REF!,"AAAAADu/8oQ=")</f>
        <v>#REF!</v>
      </c>
      <c r="ED301" t="e">
        <f>AND(#REF!,"AAAAADu/8oU=")</f>
        <v>#REF!</v>
      </c>
      <c r="EE301" t="e">
        <f>AND(#REF!,"AAAAADu/8oY=")</f>
        <v>#REF!</v>
      </c>
      <c r="EF301" t="e">
        <f>IF(#REF!,"AAAAADu/8oc=",0)</f>
        <v>#REF!</v>
      </c>
      <c r="EG301" t="e">
        <f>AND(#REF!,"AAAAADu/8og=")</f>
        <v>#REF!</v>
      </c>
      <c r="EH301" t="e">
        <f>AND(#REF!,"AAAAADu/8ok=")</f>
        <v>#REF!</v>
      </c>
      <c r="EI301" t="e">
        <f>AND(#REF!,"AAAAADu/8oo=")</f>
        <v>#REF!</v>
      </c>
      <c r="EJ301" t="e">
        <f>AND(#REF!,"AAAAADu/8os=")</f>
        <v>#REF!</v>
      </c>
      <c r="EK301" t="e">
        <f>AND(#REF!,"AAAAADu/8ow=")</f>
        <v>#REF!</v>
      </c>
      <c r="EL301" t="e">
        <f>AND(#REF!,"AAAAADu/8o0=")</f>
        <v>#REF!</v>
      </c>
      <c r="EM301" t="e">
        <f>AND(#REF!,"AAAAADu/8o4=")</f>
        <v>#REF!</v>
      </c>
      <c r="EN301" t="e">
        <f>AND(#REF!,"AAAAADu/8o8=")</f>
        <v>#REF!</v>
      </c>
      <c r="EO301" t="e">
        <f>AND(#REF!,"AAAAADu/8pA=")</f>
        <v>#REF!</v>
      </c>
      <c r="EP301" t="e">
        <f>AND(#REF!,"AAAAADu/8pE=")</f>
        <v>#REF!</v>
      </c>
      <c r="EQ301" t="e">
        <f>AND(#REF!,"AAAAADu/8pI=")</f>
        <v>#REF!</v>
      </c>
      <c r="ER301" t="e">
        <f>AND(#REF!,"AAAAADu/8pM=")</f>
        <v>#REF!</v>
      </c>
      <c r="ES301" t="e">
        <f>AND(#REF!,"AAAAADu/8pQ=")</f>
        <v>#REF!</v>
      </c>
      <c r="ET301" t="e">
        <f>AND(#REF!,"AAAAADu/8pU=")</f>
        <v>#REF!</v>
      </c>
      <c r="EU301" t="e">
        <f>AND(#REF!,"AAAAADu/8pY=")</f>
        <v>#REF!</v>
      </c>
      <c r="EV301" t="e">
        <f>AND(#REF!,"AAAAADu/8pc=")</f>
        <v>#REF!</v>
      </c>
      <c r="EW301" t="e">
        <f>AND(#REF!,"AAAAADu/8pg=")</f>
        <v>#REF!</v>
      </c>
      <c r="EX301" t="e">
        <f>AND(#REF!,"AAAAADu/8pk=")</f>
        <v>#REF!</v>
      </c>
      <c r="EY301" t="e">
        <f>AND(#REF!,"AAAAADu/8po=")</f>
        <v>#REF!</v>
      </c>
      <c r="EZ301" t="e">
        <f>AND(#REF!,"AAAAADu/8ps=")</f>
        <v>#REF!</v>
      </c>
      <c r="FA301" t="e">
        <f>AND(#REF!,"AAAAADu/8pw=")</f>
        <v>#REF!</v>
      </c>
      <c r="FB301" t="e">
        <f>AND(#REF!,"AAAAADu/8p0=")</f>
        <v>#REF!</v>
      </c>
      <c r="FC301" t="e">
        <f>AND(#REF!,"AAAAADu/8p4=")</f>
        <v>#REF!</v>
      </c>
      <c r="FD301" t="e">
        <f>AND(#REF!,"AAAAADu/8p8=")</f>
        <v>#REF!</v>
      </c>
      <c r="FE301" t="e">
        <f>IF(#REF!,"AAAAADu/8qA=",0)</f>
        <v>#REF!</v>
      </c>
      <c r="FF301" t="e">
        <f>AND(#REF!,"AAAAADu/8qE=")</f>
        <v>#REF!</v>
      </c>
      <c r="FG301" t="e">
        <f>AND(#REF!,"AAAAADu/8qI=")</f>
        <v>#REF!</v>
      </c>
      <c r="FH301" t="e">
        <f>AND(#REF!,"AAAAADu/8qM=")</f>
        <v>#REF!</v>
      </c>
      <c r="FI301" t="e">
        <f>AND(#REF!,"AAAAADu/8qQ=")</f>
        <v>#REF!</v>
      </c>
      <c r="FJ301" t="e">
        <f>AND(#REF!,"AAAAADu/8qU=")</f>
        <v>#REF!</v>
      </c>
      <c r="FK301" t="e">
        <f>AND(#REF!,"AAAAADu/8qY=")</f>
        <v>#REF!</v>
      </c>
      <c r="FL301" t="e">
        <f>AND(#REF!,"AAAAADu/8qc=")</f>
        <v>#REF!</v>
      </c>
      <c r="FM301" t="e">
        <f>AND(#REF!,"AAAAADu/8qg=")</f>
        <v>#REF!</v>
      </c>
      <c r="FN301" t="e">
        <f>AND(#REF!,"AAAAADu/8qk=")</f>
        <v>#REF!</v>
      </c>
      <c r="FO301" t="e">
        <f>AND(#REF!,"AAAAADu/8qo=")</f>
        <v>#REF!</v>
      </c>
      <c r="FP301" t="e">
        <f>AND(#REF!,"AAAAADu/8qs=")</f>
        <v>#REF!</v>
      </c>
      <c r="FQ301" t="e">
        <f>AND(#REF!,"AAAAADu/8qw=")</f>
        <v>#REF!</v>
      </c>
      <c r="FR301" t="e">
        <f>AND(#REF!,"AAAAADu/8q0=")</f>
        <v>#REF!</v>
      </c>
      <c r="FS301" t="e">
        <f>AND(#REF!,"AAAAADu/8q4=")</f>
        <v>#REF!</v>
      </c>
      <c r="FT301" t="e">
        <f>AND(#REF!,"AAAAADu/8q8=")</f>
        <v>#REF!</v>
      </c>
      <c r="FU301" t="e">
        <f>AND(#REF!,"AAAAADu/8rA=")</f>
        <v>#REF!</v>
      </c>
      <c r="FV301" t="e">
        <f>AND(#REF!,"AAAAADu/8rE=")</f>
        <v>#REF!</v>
      </c>
      <c r="FW301" t="e">
        <f>AND(#REF!,"AAAAADu/8rI=")</f>
        <v>#REF!</v>
      </c>
      <c r="FX301" t="e">
        <f>AND(#REF!,"AAAAADu/8rM=")</f>
        <v>#REF!</v>
      </c>
      <c r="FY301" t="e">
        <f>AND(#REF!,"AAAAADu/8rQ=")</f>
        <v>#REF!</v>
      </c>
      <c r="FZ301" t="e">
        <f>AND(#REF!,"AAAAADu/8rU=")</f>
        <v>#REF!</v>
      </c>
      <c r="GA301" t="e">
        <f>AND(#REF!,"AAAAADu/8rY=")</f>
        <v>#REF!</v>
      </c>
      <c r="GB301" t="e">
        <f>AND(#REF!,"AAAAADu/8rc=")</f>
        <v>#REF!</v>
      </c>
      <c r="GC301" t="e">
        <f>AND(#REF!,"AAAAADu/8rg=")</f>
        <v>#REF!</v>
      </c>
      <c r="GD301" t="e">
        <f>IF(#REF!,"AAAAADu/8rk=",0)</f>
        <v>#REF!</v>
      </c>
      <c r="GE301" t="e">
        <f>AND(#REF!,"AAAAADu/8ro=")</f>
        <v>#REF!</v>
      </c>
      <c r="GF301" t="e">
        <f>AND(#REF!,"AAAAADu/8rs=")</f>
        <v>#REF!</v>
      </c>
      <c r="GG301" t="e">
        <f>AND(#REF!,"AAAAADu/8rw=")</f>
        <v>#REF!</v>
      </c>
      <c r="GH301" t="e">
        <f>AND(#REF!,"AAAAADu/8r0=")</f>
        <v>#REF!</v>
      </c>
      <c r="GI301" t="e">
        <f>AND(#REF!,"AAAAADu/8r4=")</f>
        <v>#REF!</v>
      </c>
      <c r="GJ301" t="e">
        <f>AND(#REF!,"AAAAADu/8r8=")</f>
        <v>#REF!</v>
      </c>
      <c r="GK301" t="e">
        <f>AND(#REF!,"AAAAADu/8sA=")</f>
        <v>#REF!</v>
      </c>
      <c r="GL301" t="e">
        <f>AND(#REF!,"AAAAADu/8sE=")</f>
        <v>#REF!</v>
      </c>
      <c r="GM301" t="e">
        <f>AND(#REF!,"AAAAADu/8sI=")</f>
        <v>#REF!</v>
      </c>
      <c r="GN301" t="e">
        <f>AND(#REF!,"AAAAADu/8sM=")</f>
        <v>#REF!</v>
      </c>
      <c r="GO301" t="e">
        <f>AND(#REF!,"AAAAADu/8sQ=")</f>
        <v>#REF!</v>
      </c>
      <c r="GP301" t="e">
        <f>AND(#REF!,"AAAAADu/8sU=")</f>
        <v>#REF!</v>
      </c>
      <c r="GQ301" t="e">
        <f>AND(#REF!,"AAAAADu/8sY=")</f>
        <v>#REF!</v>
      </c>
      <c r="GR301" t="e">
        <f>AND(#REF!,"AAAAADu/8sc=")</f>
        <v>#REF!</v>
      </c>
      <c r="GS301" t="e">
        <f>AND(#REF!,"AAAAADu/8sg=")</f>
        <v>#REF!</v>
      </c>
      <c r="GT301" t="e">
        <f>AND(#REF!,"AAAAADu/8sk=")</f>
        <v>#REF!</v>
      </c>
      <c r="GU301" t="e">
        <f>AND(#REF!,"AAAAADu/8so=")</f>
        <v>#REF!</v>
      </c>
      <c r="GV301" t="e">
        <f>AND(#REF!,"AAAAADu/8ss=")</f>
        <v>#REF!</v>
      </c>
      <c r="GW301" t="e">
        <f>AND(#REF!,"AAAAADu/8sw=")</f>
        <v>#REF!</v>
      </c>
      <c r="GX301" t="e">
        <f>AND(#REF!,"AAAAADu/8s0=")</f>
        <v>#REF!</v>
      </c>
      <c r="GY301" t="e">
        <f>AND(#REF!,"AAAAADu/8s4=")</f>
        <v>#REF!</v>
      </c>
      <c r="GZ301" t="e">
        <f>AND(#REF!,"AAAAADu/8s8=")</f>
        <v>#REF!</v>
      </c>
      <c r="HA301" t="e">
        <f>AND(#REF!,"AAAAADu/8tA=")</f>
        <v>#REF!</v>
      </c>
      <c r="HB301" t="e">
        <f>AND(#REF!,"AAAAADu/8tE=")</f>
        <v>#REF!</v>
      </c>
      <c r="HC301" t="e">
        <f>IF(#REF!,"AAAAADu/8tI=",0)</f>
        <v>#REF!</v>
      </c>
      <c r="HD301" t="e">
        <f>AND(#REF!,"AAAAADu/8tM=")</f>
        <v>#REF!</v>
      </c>
      <c r="HE301" t="e">
        <f>AND(#REF!,"AAAAADu/8tQ=")</f>
        <v>#REF!</v>
      </c>
      <c r="HF301" t="e">
        <f>AND(#REF!,"AAAAADu/8tU=")</f>
        <v>#REF!</v>
      </c>
      <c r="HG301" t="e">
        <f>AND(#REF!,"AAAAADu/8tY=")</f>
        <v>#REF!</v>
      </c>
      <c r="HH301" t="e">
        <f>AND(#REF!,"AAAAADu/8tc=")</f>
        <v>#REF!</v>
      </c>
      <c r="HI301" t="e">
        <f>AND(#REF!,"AAAAADu/8tg=")</f>
        <v>#REF!</v>
      </c>
      <c r="HJ301" t="e">
        <f>AND(#REF!,"AAAAADu/8tk=")</f>
        <v>#REF!</v>
      </c>
      <c r="HK301" t="e">
        <f>AND(#REF!,"AAAAADu/8to=")</f>
        <v>#REF!</v>
      </c>
      <c r="HL301" t="e">
        <f>AND(#REF!,"AAAAADu/8ts=")</f>
        <v>#REF!</v>
      </c>
      <c r="HM301" t="e">
        <f>AND(#REF!,"AAAAADu/8tw=")</f>
        <v>#REF!</v>
      </c>
      <c r="HN301" t="e">
        <f>AND(#REF!,"AAAAADu/8t0=")</f>
        <v>#REF!</v>
      </c>
      <c r="HO301" t="e">
        <f>AND(#REF!,"AAAAADu/8t4=")</f>
        <v>#REF!</v>
      </c>
      <c r="HP301" t="e">
        <f>AND(#REF!,"AAAAADu/8t8=")</f>
        <v>#REF!</v>
      </c>
      <c r="HQ301" t="e">
        <f>AND(#REF!,"AAAAADu/8uA=")</f>
        <v>#REF!</v>
      </c>
      <c r="HR301" t="e">
        <f>AND(#REF!,"AAAAADu/8uE=")</f>
        <v>#REF!</v>
      </c>
      <c r="HS301" t="e">
        <f>AND(#REF!,"AAAAADu/8uI=")</f>
        <v>#REF!</v>
      </c>
      <c r="HT301" t="e">
        <f>AND(#REF!,"AAAAADu/8uM=")</f>
        <v>#REF!</v>
      </c>
      <c r="HU301" t="e">
        <f>AND(#REF!,"AAAAADu/8uQ=")</f>
        <v>#REF!</v>
      </c>
      <c r="HV301" t="e">
        <f>AND(#REF!,"AAAAADu/8uU=")</f>
        <v>#REF!</v>
      </c>
      <c r="HW301" t="e">
        <f>AND(#REF!,"AAAAADu/8uY=")</f>
        <v>#REF!</v>
      </c>
      <c r="HX301" t="e">
        <f>AND(#REF!,"AAAAADu/8uc=")</f>
        <v>#REF!</v>
      </c>
      <c r="HY301" t="e">
        <f>AND(#REF!,"AAAAADu/8ug=")</f>
        <v>#REF!</v>
      </c>
      <c r="HZ301" t="e">
        <f>AND(#REF!,"AAAAADu/8uk=")</f>
        <v>#REF!</v>
      </c>
      <c r="IA301" t="e">
        <f>AND(#REF!,"AAAAADu/8uo=")</f>
        <v>#REF!</v>
      </c>
      <c r="IB301" t="e">
        <f>IF(#REF!,"AAAAADu/8us=",0)</f>
        <v>#REF!</v>
      </c>
      <c r="IC301" t="e">
        <f>AND(#REF!,"AAAAADu/8uw=")</f>
        <v>#REF!</v>
      </c>
      <c r="ID301" t="e">
        <f>AND(#REF!,"AAAAADu/8u0=")</f>
        <v>#REF!</v>
      </c>
      <c r="IE301" t="e">
        <f>AND(#REF!,"AAAAADu/8u4=")</f>
        <v>#REF!</v>
      </c>
      <c r="IF301" t="e">
        <f>AND(#REF!,"AAAAADu/8u8=")</f>
        <v>#REF!</v>
      </c>
      <c r="IG301" t="e">
        <f>AND(#REF!,"AAAAADu/8vA=")</f>
        <v>#REF!</v>
      </c>
      <c r="IH301" t="e">
        <f>AND(#REF!,"AAAAADu/8vE=")</f>
        <v>#REF!</v>
      </c>
      <c r="II301" t="e">
        <f>AND(#REF!,"AAAAADu/8vI=")</f>
        <v>#REF!</v>
      </c>
      <c r="IJ301" t="e">
        <f>AND(#REF!,"AAAAADu/8vM=")</f>
        <v>#REF!</v>
      </c>
      <c r="IK301" t="e">
        <f>AND(#REF!,"AAAAADu/8vQ=")</f>
        <v>#REF!</v>
      </c>
      <c r="IL301" t="e">
        <f>AND(#REF!,"AAAAADu/8vU=")</f>
        <v>#REF!</v>
      </c>
      <c r="IM301" t="e">
        <f>AND(#REF!,"AAAAADu/8vY=")</f>
        <v>#REF!</v>
      </c>
      <c r="IN301" t="e">
        <f>AND(#REF!,"AAAAADu/8vc=")</f>
        <v>#REF!</v>
      </c>
      <c r="IO301" t="e">
        <f>AND(#REF!,"AAAAADu/8vg=")</f>
        <v>#REF!</v>
      </c>
      <c r="IP301" t="e">
        <f>AND(#REF!,"AAAAADu/8vk=")</f>
        <v>#REF!</v>
      </c>
      <c r="IQ301" t="e">
        <f>AND(#REF!,"AAAAADu/8vo=")</f>
        <v>#REF!</v>
      </c>
      <c r="IR301" t="e">
        <f>AND(#REF!,"AAAAADu/8vs=")</f>
        <v>#REF!</v>
      </c>
      <c r="IS301" t="e">
        <f>AND(#REF!,"AAAAADu/8vw=")</f>
        <v>#REF!</v>
      </c>
      <c r="IT301" t="e">
        <f>AND(#REF!,"AAAAADu/8v0=")</f>
        <v>#REF!</v>
      </c>
      <c r="IU301" t="e">
        <f>AND(#REF!,"AAAAADu/8v4=")</f>
        <v>#REF!</v>
      </c>
      <c r="IV301" t="e">
        <f>AND(#REF!,"AAAAADu/8v8=")</f>
        <v>#REF!</v>
      </c>
    </row>
    <row r="302" spans="1:256">
      <c r="A302" t="e">
        <f>AND(#REF!,"AAAAAH6d+wA=")</f>
        <v>#REF!</v>
      </c>
      <c r="B302" t="e">
        <f>AND(#REF!,"AAAAAH6d+wE=")</f>
        <v>#REF!</v>
      </c>
      <c r="C302" t="e">
        <f>AND(#REF!,"AAAAAH6d+wI=")</f>
        <v>#REF!</v>
      </c>
      <c r="D302" t="e">
        <f>AND(#REF!,"AAAAAH6d+wM=")</f>
        <v>#REF!</v>
      </c>
      <c r="E302" t="e">
        <f>IF(#REF!,"AAAAAH6d+wQ=",0)</f>
        <v>#REF!</v>
      </c>
      <c r="F302" t="e">
        <f>AND(#REF!,"AAAAAH6d+wU=")</f>
        <v>#REF!</v>
      </c>
      <c r="G302" t="e">
        <f>AND(#REF!,"AAAAAH6d+wY=")</f>
        <v>#REF!</v>
      </c>
      <c r="H302" t="e">
        <f>AND(#REF!,"AAAAAH6d+wc=")</f>
        <v>#REF!</v>
      </c>
      <c r="I302" t="e">
        <f>AND(#REF!,"AAAAAH6d+wg=")</f>
        <v>#REF!</v>
      </c>
      <c r="J302" t="e">
        <f>AND(#REF!,"AAAAAH6d+wk=")</f>
        <v>#REF!</v>
      </c>
      <c r="K302" t="e">
        <f>AND(#REF!,"AAAAAH6d+wo=")</f>
        <v>#REF!</v>
      </c>
      <c r="L302" t="e">
        <f>AND(#REF!,"AAAAAH6d+ws=")</f>
        <v>#REF!</v>
      </c>
      <c r="M302" t="e">
        <f>AND(#REF!,"AAAAAH6d+ww=")</f>
        <v>#REF!</v>
      </c>
      <c r="N302" t="e">
        <f>AND(#REF!,"AAAAAH6d+w0=")</f>
        <v>#REF!</v>
      </c>
      <c r="O302" t="e">
        <f>AND(#REF!,"AAAAAH6d+w4=")</f>
        <v>#REF!</v>
      </c>
      <c r="P302" t="e">
        <f>AND(#REF!,"AAAAAH6d+w8=")</f>
        <v>#REF!</v>
      </c>
      <c r="Q302" t="e">
        <f>AND(#REF!,"AAAAAH6d+xA=")</f>
        <v>#REF!</v>
      </c>
      <c r="R302" t="e">
        <f>AND(#REF!,"AAAAAH6d+xE=")</f>
        <v>#REF!</v>
      </c>
      <c r="S302" t="e">
        <f>AND(#REF!,"AAAAAH6d+xI=")</f>
        <v>#REF!</v>
      </c>
      <c r="T302" t="e">
        <f>AND(#REF!,"AAAAAH6d+xM=")</f>
        <v>#REF!</v>
      </c>
      <c r="U302" t="e">
        <f>AND(#REF!,"AAAAAH6d+xQ=")</f>
        <v>#REF!</v>
      </c>
      <c r="V302" t="e">
        <f>AND(#REF!,"AAAAAH6d+xU=")</f>
        <v>#REF!</v>
      </c>
      <c r="W302" t="e">
        <f>AND(#REF!,"AAAAAH6d+xY=")</f>
        <v>#REF!</v>
      </c>
      <c r="X302" t="e">
        <f>AND(#REF!,"AAAAAH6d+xc=")</f>
        <v>#REF!</v>
      </c>
      <c r="Y302" t="e">
        <f>AND(#REF!,"AAAAAH6d+xg=")</f>
        <v>#REF!</v>
      </c>
      <c r="Z302" t="e">
        <f>AND(#REF!,"AAAAAH6d+xk=")</f>
        <v>#REF!</v>
      </c>
      <c r="AA302" t="e">
        <f>AND(#REF!,"AAAAAH6d+xo=")</f>
        <v>#REF!</v>
      </c>
      <c r="AB302" t="e">
        <f>AND(#REF!,"AAAAAH6d+xs=")</f>
        <v>#REF!</v>
      </c>
      <c r="AC302" t="e">
        <f>AND(#REF!,"AAAAAH6d+xw=")</f>
        <v>#REF!</v>
      </c>
      <c r="AD302" t="e">
        <f>IF(#REF!,"AAAAAH6d+x0=",0)</f>
        <v>#REF!</v>
      </c>
      <c r="AE302" t="e">
        <f>AND(#REF!,"AAAAAH6d+x4=")</f>
        <v>#REF!</v>
      </c>
      <c r="AF302" t="e">
        <f>AND(#REF!,"AAAAAH6d+x8=")</f>
        <v>#REF!</v>
      </c>
      <c r="AG302" t="e">
        <f>AND(#REF!,"AAAAAH6d+yA=")</f>
        <v>#REF!</v>
      </c>
      <c r="AH302" t="e">
        <f>AND(#REF!,"AAAAAH6d+yE=")</f>
        <v>#REF!</v>
      </c>
      <c r="AI302" t="e">
        <f>AND(#REF!,"AAAAAH6d+yI=")</f>
        <v>#REF!</v>
      </c>
      <c r="AJ302" t="e">
        <f>AND(#REF!,"AAAAAH6d+yM=")</f>
        <v>#REF!</v>
      </c>
      <c r="AK302" t="e">
        <f>AND(#REF!,"AAAAAH6d+yQ=")</f>
        <v>#REF!</v>
      </c>
      <c r="AL302" t="e">
        <f>AND(#REF!,"AAAAAH6d+yU=")</f>
        <v>#REF!</v>
      </c>
      <c r="AM302" t="e">
        <f>AND(#REF!,"AAAAAH6d+yY=")</f>
        <v>#REF!</v>
      </c>
      <c r="AN302" t="e">
        <f>AND(#REF!,"AAAAAH6d+yc=")</f>
        <v>#REF!</v>
      </c>
      <c r="AO302" t="e">
        <f>AND(#REF!,"AAAAAH6d+yg=")</f>
        <v>#REF!</v>
      </c>
      <c r="AP302" t="e">
        <f>AND(#REF!,"AAAAAH6d+yk=")</f>
        <v>#REF!</v>
      </c>
      <c r="AQ302" t="e">
        <f>AND(#REF!,"AAAAAH6d+yo=")</f>
        <v>#REF!</v>
      </c>
      <c r="AR302" t="e">
        <f>AND(#REF!,"AAAAAH6d+ys=")</f>
        <v>#REF!</v>
      </c>
      <c r="AS302" t="e">
        <f>AND(#REF!,"AAAAAH6d+yw=")</f>
        <v>#REF!</v>
      </c>
      <c r="AT302" t="e">
        <f>AND(#REF!,"AAAAAH6d+y0=")</f>
        <v>#REF!</v>
      </c>
      <c r="AU302" t="e">
        <f>AND(#REF!,"AAAAAH6d+y4=")</f>
        <v>#REF!</v>
      </c>
      <c r="AV302" t="e">
        <f>AND(#REF!,"AAAAAH6d+y8=")</f>
        <v>#REF!</v>
      </c>
      <c r="AW302" t="e">
        <f>AND(#REF!,"AAAAAH6d+zA=")</f>
        <v>#REF!</v>
      </c>
      <c r="AX302" t="e">
        <f>AND(#REF!,"AAAAAH6d+zE=")</f>
        <v>#REF!</v>
      </c>
      <c r="AY302" t="e">
        <f>AND(#REF!,"AAAAAH6d+zI=")</f>
        <v>#REF!</v>
      </c>
      <c r="AZ302" t="e">
        <f>AND(#REF!,"AAAAAH6d+zM=")</f>
        <v>#REF!</v>
      </c>
      <c r="BA302" t="e">
        <f>AND(#REF!,"AAAAAH6d+zQ=")</f>
        <v>#REF!</v>
      </c>
      <c r="BB302" t="e">
        <f>AND(#REF!,"AAAAAH6d+zU=")</f>
        <v>#REF!</v>
      </c>
      <c r="BC302" t="e">
        <f>IF(#REF!,"AAAAAH6d+zY=",0)</f>
        <v>#REF!</v>
      </c>
      <c r="BD302" t="e">
        <f>AND(#REF!,"AAAAAH6d+zc=")</f>
        <v>#REF!</v>
      </c>
      <c r="BE302" t="e">
        <f>AND(#REF!,"AAAAAH6d+zg=")</f>
        <v>#REF!</v>
      </c>
      <c r="BF302" t="e">
        <f>AND(#REF!,"AAAAAH6d+zk=")</f>
        <v>#REF!</v>
      </c>
      <c r="BG302" t="e">
        <f>AND(#REF!,"AAAAAH6d+zo=")</f>
        <v>#REF!</v>
      </c>
      <c r="BH302" t="e">
        <f>AND(#REF!,"AAAAAH6d+zs=")</f>
        <v>#REF!</v>
      </c>
      <c r="BI302" t="e">
        <f>AND(#REF!,"AAAAAH6d+zw=")</f>
        <v>#REF!</v>
      </c>
      <c r="BJ302" t="e">
        <f>AND(#REF!,"AAAAAH6d+z0=")</f>
        <v>#REF!</v>
      </c>
      <c r="BK302" t="e">
        <f>AND(#REF!,"AAAAAH6d+z4=")</f>
        <v>#REF!</v>
      </c>
      <c r="BL302" t="e">
        <f>AND(#REF!,"AAAAAH6d+z8=")</f>
        <v>#REF!</v>
      </c>
      <c r="BM302" t="e">
        <f>AND(#REF!,"AAAAAH6d+0A=")</f>
        <v>#REF!</v>
      </c>
      <c r="BN302" t="e">
        <f>AND(#REF!,"AAAAAH6d+0E=")</f>
        <v>#REF!</v>
      </c>
      <c r="BO302" t="e">
        <f>AND(#REF!,"AAAAAH6d+0I=")</f>
        <v>#REF!</v>
      </c>
      <c r="BP302" t="e">
        <f>AND(#REF!,"AAAAAH6d+0M=")</f>
        <v>#REF!</v>
      </c>
      <c r="BQ302" t="e">
        <f>AND(#REF!,"AAAAAH6d+0Q=")</f>
        <v>#REF!</v>
      </c>
      <c r="BR302" t="e">
        <f>AND(#REF!,"AAAAAH6d+0U=")</f>
        <v>#REF!</v>
      </c>
      <c r="BS302" t="e">
        <f>AND(#REF!,"AAAAAH6d+0Y=")</f>
        <v>#REF!</v>
      </c>
      <c r="BT302" t="e">
        <f>AND(#REF!,"AAAAAH6d+0c=")</f>
        <v>#REF!</v>
      </c>
      <c r="BU302" t="e">
        <f>AND(#REF!,"AAAAAH6d+0g=")</f>
        <v>#REF!</v>
      </c>
      <c r="BV302" t="e">
        <f>AND(#REF!,"AAAAAH6d+0k=")</f>
        <v>#REF!</v>
      </c>
      <c r="BW302" t="e">
        <f>AND(#REF!,"AAAAAH6d+0o=")</f>
        <v>#REF!</v>
      </c>
      <c r="BX302" t="e">
        <f>AND(#REF!,"AAAAAH6d+0s=")</f>
        <v>#REF!</v>
      </c>
      <c r="BY302" t="e">
        <f>AND(#REF!,"AAAAAH6d+0w=")</f>
        <v>#REF!</v>
      </c>
      <c r="BZ302" t="e">
        <f>AND(#REF!,"AAAAAH6d+00=")</f>
        <v>#REF!</v>
      </c>
      <c r="CA302" t="e">
        <f>AND(#REF!,"AAAAAH6d+04=")</f>
        <v>#REF!</v>
      </c>
      <c r="CB302" t="e">
        <f>IF(#REF!,"AAAAAH6d+08=",0)</f>
        <v>#REF!</v>
      </c>
      <c r="CC302" t="e">
        <f>AND(#REF!,"AAAAAH6d+1A=")</f>
        <v>#REF!</v>
      </c>
      <c r="CD302" t="e">
        <f>AND(#REF!,"AAAAAH6d+1E=")</f>
        <v>#REF!</v>
      </c>
      <c r="CE302" t="e">
        <f>AND(#REF!,"AAAAAH6d+1I=")</f>
        <v>#REF!</v>
      </c>
      <c r="CF302" t="e">
        <f>AND(#REF!,"AAAAAH6d+1M=")</f>
        <v>#REF!</v>
      </c>
      <c r="CG302" t="e">
        <f>AND(#REF!,"AAAAAH6d+1Q=")</f>
        <v>#REF!</v>
      </c>
      <c r="CH302" t="e">
        <f>AND(#REF!,"AAAAAH6d+1U=")</f>
        <v>#REF!</v>
      </c>
      <c r="CI302" t="e">
        <f>AND(#REF!,"AAAAAH6d+1Y=")</f>
        <v>#REF!</v>
      </c>
      <c r="CJ302" t="e">
        <f>AND(#REF!,"AAAAAH6d+1c=")</f>
        <v>#REF!</v>
      </c>
      <c r="CK302" t="e">
        <f>AND(#REF!,"AAAAAH6d+1g=")</f>
        <v>#REF!</v>
      </c>
      <c r="CL302" t="e">
        <f>AND(#REF!,"AAAAAH6d+1k=")</f>
        <v>#REF!</v>
      </c>
      <c r="CM302" t="e">
        <f>AND(#REF!,"AAAAAH6d+1o=")</f>
        <v>#REF!</v>
      </c>
      <c r="CN302" t="e">
        <f>AND(#REF!,"AAAAAH6d+1s=")</f>
        <v>#REF!</v>
      </c>
      <c r="CO302" t="e">
        <f>AND(#REF!,"AAAAAH6d+1w=")</f>
        <v>#REF!</v>
      </c>
      <c r="CP302" t="e">
        <f>AND(#REF!,"AAAAAH6d+10=")</f>
        <v>#REF!</v>
      </c>
      <c r="CQ302" t="e">
        <f>AND(#REF!,"AAAAAH6d+14=")</f>
        <v>#REF!</v>
      </c>
      <c r="CR302" t="e">
        <f>AND(#REF!,"AAAAAH6d+18=")</f>
        <v>#REF!</v>
      </c>
      <c r="CS302" t="e">
        <f>AND(#REF!,"AAAAAH6d+2A=")</f>
        <v>#REF!</v>
      </c>
      <c r="CT302" t="e">
        <f>AND(#REF!,"AAAAAH6d+2E=")</f>
        <v>#REF!</v>
      </c>
      <c r="CU302" t="e">
        <f>AND(#REF!,"AAAAAH6d+2I=")</f>
        <v>#REF!</v>
      </c>
      <c r="CV302" t="e">
        <f>AND(#REF!,"AAAAAH6d+2M=")</f>
        <v>#REF!</v>
      </c>
      <c r="CW302" t="e">
        <f>AND(#REF!,"AAAAAH6d+2Q=")</f>
        <v>#REF!</v>
      </c>
      <c r="CX302" t="e">
        <f>AND(#REF!,"AAAAAH6d+2U=")</f>
        <v>#REF!</v>
      </c>
      <c r="CY302" t="e">
        <f>AND(#REF!,"AAAAAH6d+2Y=")</f>
        <v>#REF!</v>
      </c>
      <c r="CZ302" t="e">
        <f>AND(#REF!,"AAAAAH6d+2c=")</f>
        <v>#REF!</v>
      </c>
      <c r="DA302" t="e">
        <f>IF(#REF!,"AAAAAH6d+2g=",0)</f>
        <v>#REF!</v>
      </c>
      <c r="DB302" t="e">
        <f>AND(#REF!,"AAAAAH6d+2k=")</f>
        <v>#REF!</v>
      </c>
      <c r="DC302" t="e">
        <f>AND(#REF!,"AAAAAH6d+2o=")</f>
        <v>#REF!</v>
      </c>
      <c r="DD302" t="e">
        <f>AND(#REF!,"AAAAAH6d+2s=")</f>
        <v>#REF!</v>
      </c>
      <c r="DE302" t="e">
        <f>AND(#REF!,"AAAAAH6d+2w=")</f>
        <v>#REF!</v>
      </c>
      <c r="DF302" t="e">
        <f>AND(#REF!,"AAAAAH6d+20=")</f>
        <v>#REF!</v>
      </c>
      <c r="DG302" t="e">
        <f>AND(#REF!,"AAAAAH6d+24=")</f>
        <v>#REF!</v>
      </c>
      <c r="DH302" t="e">
        <f>AND(#REF!,"AAAAAH6d+28=")</f>
        <v>#REF!</v>
      </c>
      <c r="DI302" t="e">
        <f>AND(#REF!,"AAAAAH6d+3A=")</f>
        <v>#REF!</v>
      </c>
      <c r="DJ302" t="e">
        <f>AND(#REF!,"AAAAAH6d+3E=")</f>
        <v>#REF!</v>
      </c>
      <c r="DK302" t="e">
        <f>AND(#REF!,"AAAAAH6d+3I=")</f>
        <v>#REF!</v>
      </c>
      <c r="DL302" t="e">
        <f>AND(#REF!,"AAAAAH6d+3M=")</f>
        <v>#REF!</v>
      </c>
      <c r="DM302" t="e">
        <f>AND(#REF!,"AAAAAH6d+3Q=")</f>
        <v>#REF!</v>
      </c>
      <c r="DN302" t="e">
        <f>AND(#REF!,"AAAAAH6d+3U=")</f>
        <v>#REF!</v>
      </c>
      <c r="DO302" t="e">
        <f>AND(#REF!,"AAAAAH6d+3Y=")</f>
        <v>#REF!</v>
      </c>
      <c r="DP302" t="e">
        <f>AND(#REF!,"AAAAAH6d+3c=")</f>
        <v>#REF!</v>
      </c>
      <c r="DQ302" t="e">
        <f>AND(#REF!,"AAAAAH6d+3g=")</f>
        <v>#REF!</v>
      </c>
      <c r="DR302" t="e">
        <f>AND(#REF!,"AAAAAH6d+3k=")</f>
        <v>#REF!</v>
      </c>
      <c r="DS302" t="e">
        <f>AND(#REF!,"AAAAAH6d+3o=")</f>
        <v>#REF!</v>
      </c>
      <c r="DT302" t="e">
        <f>AND(#REF!,"AAAAAH6d+3s=")</f>
        <v>#REF!</v>
      </c>
      <c r="DU302" t="e">
        <f>AND(#REF!,"AAAAAH6d+3w=")</f>
        <v>#REF!</v>
      </c>
      <c r="DV302" t="e">
        <f>AND(#REF!,"AAAAAH6d+30=")</f>
        <v>#REF!</v>
      </c>
      <c r="DW302" t="e">
        <f>AND(#REF!,"AAAAAH6d+34=")</f>
        <v>#REF!</v>
      </c>
      <c r="DX302" t="e">
        <f>AND(#REF!,"AAAAAH6d+38=")</f>
        <v>#REF!</v>
      </c>
      <c r="DY302" t="e">
        <f>AND(#REF!,"AAAAAH6d+4A=")</f>
        <v>#REF!</v>
      </c>
      <c r="DZ302" t="e">
        <f>IF(#REF!,"AAAAAH6d+4E=",0)</f>
        <v>#REF!</v>
      </c>
      <c r="EA302" t="e">
        <f>AND(#REF!,"AAAAAH6d+4I=")</f>
        <v>#REF!</v>
      </c>
      <c r="EB302" t="e">
        <f>AND(#REF!,"AAAAAH6d+4M=")</f>
        <v>#REF!</v>
      </c>
      <c r="EC302" t="e">
        <f>AND(#REF!,"AAAAAH6d+4Q=")</f>
        <v>#REF!</v>
      </c>
      <c r="ED302" t="e">
        <f>AND(#REF!,"AAAAAH6d+4U=")</f>
        <v>#REF!</v>
      </c>
      <c r="EE302" t="e">
        <f>AND(#REF!,"AAAAAH6d+4Y=")</f>
        <v>#REF!</v>
      </c>
      <c r="EF302" t="e">
        <f>AND(#REF!,"AAAAAH6d+4c=")</f>
        <v>#REF!</v>
      </c>
      <c r="EG302" t="e">
        <f>AND(#REF!,"AAAAAH6d+4g=")</f>
        <v>#REF!</v>
      </c>
      <c r="EH302" t="e">
        <f>AND(#REF!,"AAAAAH6d+4k=")</f>
        <v>#REF!</v>
      </c>
      <c r="EI302" t="e">
        <f>AND(#REF!,"AAAAAH6d+4o=")</f>
        <v>#REF!</v>
      </c>
      <c r="EJ302" t="e">
        <f>AND(#REF!,"AAAAAH6d+4s=")</f>
        <v>#REF!</v>
      </c>
      <c r="EK302" t="e">
        <f>AND(#REF!,"AAAAAH6d+4w=")</f>
        <v>#REF!</v>
      </c>
      <c r="EL302" t="e">
        <f>AND(#REF!,"AAAAAH6d+40=")</f>
        <v>#REF!</v>
      </c>
      <c r="EM302" t="e">
        <f>AND(#REF!,"AAAAAH6d+44=")</f>
        <v>#REF!</v>
      </c>
      <c r="EN302" t="e">
        <f>AND(#REF!,"AAAAAH6d+48=")</f>
        <v>#REF!</v>
      </c>
      <c r="EO302" t="e">
        <f>AND(#REF!,"AAAAAH6d+5A=")</f>
        <v>#REF!</v>
      </c>
      <c r="EP302" t="e">
        <f>AND(#REF!,"AAAAAH6d+5E=")</f>
        <v>#REF!</v>
      </c>
      <c r="EQ302" t="e">
        <f>AND(#REF!,"AAAAAH6d+5I=")</f>
        <v>#REF!</v>
      </c>
      <c r="ER302" t="e">
        <f>AND(#REF!,"AAAAAH6d+5M=")</f>
        <v>#REF!</v>
      </c>
      <c r="ES302" t="e">
        <f>AND(#REF!,"AAAAAH6d+5Q=")</f>
        <v>#REF!</v>
      </c>
      <c r="ET302" t="e">
        <f>AND(#REF!,"AAAAAH6d+5U=")</f>
        <v>#REF!</v>
      </c>
      <c r="EU302" t="e">
        <f>AND(#REF!,"AAAAAH6d+5Y=")</f>
        <v>#REF!</v>
      </c>
      <c r="EV302" t="e">
        <f>AND(#REF!,"AAAAAH6d+5c=")</f>
        <v>#REF!</v>
      </c>
      <c r="EW302" t="e">
        <f>AND(#REF!,"AAAAAH6d+5g=")</f>
        <v>#REF!</v>
      </c>
      <c r="EX302" t="e">
        <f>AND(#REF!,"AAAAAH6d+5k=")</f>
        <v>#REF!</v>
      </c>
      <c r="EY302" t="e">
        <f>IF(#REF!,"AAAAAH6d+5o=",0)</f>
        <v>#REF!</v>
      </c>
      <c r="EZ302" t="e">
        <f>AND(#REF!,"AAAAAH6d+5s=")</f>
        <v>#REF!</v>
      </c>
      <c r="FA302" t="e">
        <f>AND(#REF!,"AAAAAH6d+5w=")</f>
        <v>#REF!</v>
      </c>
      <c r="FB302" t="e">
        <f>AND(#REF!,"AAAAAH6d+50=")</f>
        <v>#REF!</v>
      </c>
      <c r="FC302" t="e">
        <f>AND(#REF!,"AAAAAH6d+54=")</f>
        <v>#REF!</v>
      </c>
      <c r="FD302" t="e">
        <f>AND(#REF!,"AAAAAH6d+58=")</f>
        <v>#REF!</v>
      </c>
      <c r="FE302" t="e">
        <f>AND(#REF!,"AAAAAH6d+6A=")</f>
        <v>#REF!</v>
      </c>
      <c r="FF302" t="e">
        <f>AND(#REF!,"AAAAAH6d+6E=")</f>
        <v>#REF!</v>
      </c>
      <c r="FG302" t="e">
        <f>AND(#REF!,"AAAAAH6d+6I=")</f>
        <v>#REF!</v>
      </c>
      <c r="FH302" t="e">
        <f>AND(#REF!,"AAAAAH6d+6M=")</f>
        <v>#REF!</v>
      </c>
      <c r="FI302" t="e">
        <f>AND(#REF!,"AAAAAH6d+6Q=")</f>
        <v>#REF!</v>
      </c>
      <c r="FJ302" t="e">
        <f>AND(#REF!,"AAAAAH6d+6U=")</f>
        <v>#REF!</v>
      </c>
      <c r="FK302" t="e">
        <f>AND(#REF!,"AAAAAH6d+6Y=")</f>
        <v>#REF!</v>
      </c>
      <c r="FL302" t="e">
        <f>AND(#REF!,"AAAAAH6d+6c=")</f>
        <v>#REF!</v>
      </c>
      <c r="FM302" t="e">
        <f>AND(#REF!,"AAAAAH6d+6g=")</f>
        <v>#REF!</v>
      </c>
      <c r="FN302" t="e">
        <f>AND(#REF!,"AAAAAH6d+6k=")</f>
        <v>#REF!</v>
      </c>
      <c r="FO302" t="e">
        <f>AND(#REF!,"AAAAAH6d+6o=")</f>
        <v>#REF!</v>
      </c>
      <c r="FP302" t="e">
        <f>AND(#REF!,"AAAAAH6d+6s=")</f>
        <v>#REF!</v>
      </c>
      <c r="FQ302" t="e">
        <f>AND(#REF!,"AAAAAH6d+6w=")</f>
        <v>#REF!</v>
      </c>
      <c r="FR302" t="e">
        <f>AND(#REF!,"AAAAAH6d+60=")</f>
        <v>#REF!</v>
      </c>
      <c r="FS302" t="e">
        <f>AND(#REF!,"AAAAAH6d+64=")</f>
        <v>#REF!</v>
      </c>
      <c r="FT302" t="e">
        <f>AND(#REF!,"AAAAAH6d+68=")</f>
        <v>#REF!</v>
      </c>
      <c r="FU302" t="e">
        <f>AND(#REF!,"AAAAAH6d+7A=")</f>
        <v>#REF!</v>
      </c>
      <c r="FV302" t="e">
        <f>AND(#REF!,"AAAAAH6d+7E=")</f>
        <v>#REF!</v>
      </c>
      <c r="FW302" t="e">
        <f>AND(#REF!,"AAAAAH6d+7I=")</f>
        <v>#REF!</v>
      </c>
      <c r="FX302" t="e">
        <f>IF(#REF!,"AAAAAH6d+7M=",0)</f>
        <v>#REF!</v>
      </c>
      <c r="FY302" t="e">
        <f>AND(#REF!,"AAAAAH6d+7Q=")</f>
        <v>#REF!</v>
      </c>
      <c r="FZ302" t="e">
        <f>AND(#REF!,"AAAAAH6d+7U=")</f>
        <v>#REF!</v>
      </c>
      <c r="GA302" t="e">
        <f>AND(#REF!,"AAAAAH6d+7Y=")</f>
        <v>#REF!</v>
      </c>
      <c r="GB302" t="e">
        <f>AND(#REF!,"AAAAAH6d+7c=")</f>
        <v>#REF!</v>
      </c>
      <c r="GC302" t="e">
        <f>AND(#REF!,"AAAAAH6d+7g=")</f>
        <v>#REF!</v>
      </c>
      <c r="GD302" t="e">
        <f>AND(#REF!,"AAAAAH6d+7k=")</f>
        <v>#REF!</v>
      </c>
      <c r="GE302" t="e">
        <f>AND(#REF!,"AAAAAH6d+7o=")</f>
        <v>#REF!</v>
      </c>
      <c r="GF302" t="e">
        <f>AND(#REF!,"AAAAAH6d+7s=")</f>
        <v>#REF!</v>
      </c>
      <c r="GG302" t="e">
        <f>AND(#REF!,"AAAAAH6d+7w=")</f>
        <v>#REF!</v>
      </c>
      <c r="GH302" t="e">
        <f>AND(#REF!,"AAAAAH6d+70=")</f>
        <v>#REF!</v>
      </c>
      <c r="GI302" t="e">
        <f>AND(#REF!,"AAAAAH6d+74=")</f>
        <v>#REF!</v>
      </c>
      <c r="GJ302" t="e">
        <f>AND(#REF!,"AAAAAH6d+78=")</f>
        <v>#REF!</v>
      </c>
      <c r="GK302" t="e">
        <f>AND(#REF!,"AAAAAH6d+8A=")</f>
        <v>#REF!</v>
      </c>
      <c r="GL302" t="e">
        <f>AND(#REF!,"AAAAAH6d+8E=")</f>
        <v>#REF!</v>
      </c>
      <c r="GM302" t="e">
        <f>AND(#REF!,"AAAAAH6d+8I=")</f>
        <v>#REF!</v>
      </c>
      <c r="GN302" t="e">
        <f>AND(#REF!,"AAAAAH6d+8M=")</f>
        <v>#REF!</v>
      </c>
      <c r="GO302" t="e">
        <f>AND(#REF!,"AAAAAH6d+8Q=")</f>
        <v>#REF!</v>
      </c>
      <c r="GP302" t="e">
        <f>AND(#REF!,"AAAAAH6d+8U=")</f>
        <v>#REF!</v>
      </c>
      <c r="GQ302" t="e">
        <f>AND(#REF!,"AAAAAH6d+8Y=")</f>
        <v>#REF!</v>
      </c>
      <c r="GR302" t="e">
        <f>AND(#REF!,"AAAAAH6d+8c=")</f>
        <v>#REF!</v>
      </c>
      <c r="GS302" t="e">
        <f>AND(#REF!,"AAAAAH6d+8g=")</f>
        <v>#REF!</v>
      </c>
      <c r="GT302" t="e">
        <f>AND(#REF!,"AAAAAH6d+8k=")</f>
        <v>#REF!</v>
      </c>
      <c r="GU302" t="e">
        <f>AND(#REF!,"AAAAAH6d+8o=")</f>
        <v>#REF!</v>
      </c>
      <c r="GV302" t="e">
        <f>AND(#REF!,"AAAAAH6d+8s=")</f>
        <v>#REF!</v>
      </c>
      <c r="GW302" t="e">
        <f>IF(#REF!,"AAAAAH6d+8w=",0)</f>
        <v>#REF!</v>
      </c>
      <c r="GX302" t="e">
        <f>AND(#REF!,"AAAAAH6d+80=")</f>
        <v>#REF!</v>
      </c>
      <c r="GY302" t="e">
        <f>AND(#REF!,"AAAAAH6d+84=")</f>
        <v>#REF!</v>
      </c>
      <c r="GZ302" t="e">
        <f>AND(#REF!,"AAAAAH6d+88=")</f>
        <v>#REF!</v>
      </c>
      <c r="HA302" t="e">
        <f>AND(#REF!,"AAAAAH6d+9A=")</f>
        <v>#REF!</v>
      </c>
      <c r="HB302" t="e">
        <f>AND(#REF!,"AAAAAH6d+9E=")</f>
        <v>#REF!</v>
      </c>
      <c r="HC302" t="e">
        <f>AND(#REF!,"AAAAAH6d+9I=")</f>
        <v>#REF!</v>
      </c>
      <c r="HD302" t="e">
        <f>AND(#REF!,"AAAAAH6d+9M=")</f>
        <v>#REF!</v>
      </c>
      <c r="HE302" t="e">
        <f>AND(#REF!,"AAAAAH6d+9Q=")</f>
        <v>#REF!</v>
      </c>
      <c r="HF302" t="e">
        <f>AND(#REF!,"AAAAAH6d+9U=")</f>
        <v>#REF!</v>
      </c>
      <c r="HG302" t="e">
        <f>AND(#REF!,"AAAAAH6d+9Y=")</f>
        <v>#REF!</v>
      </c>
      <c r="HH302" t="e">
        <f>AND(#REF!,"AAAAAH6d+9c=")</f>
        <v>#REF!</v>
      </c>
      <c r="HI302" t="e">
        <f>AND(#REF!,"AAAAAH6d+9g=")</f>
        <v>#REF!</v>
      </c>
      <c r="HJ302" t="e">
        <f>AND(#REF!,"AAAAAH6d+9k=")</f>
        <v>#REF!</v>
      </c>
      <c r="HK302" t="e">
        <f>AND(#REF!,"AAAAAH6d+9o=")</f>
        <v>#REF!</v>
      </c>
      <c r="HL302" t="e">
        <f>AND(#REF!,"AAAAAH6d+9s=")</f>
        <v>#REF!</v>
      </c>
      <c r="HM302" t="e">
        <f>AND(#REF!,"AAAAAH6d+9w=")</f>
        <v>#REF!</v>
      </c>
      <c r="HN302" t="e">
        <f>AND(#REF!,"AAAAAH6d+90=")</f>
        <v>#REF!</v>
      </c>
      <c r="HO302" t="e">
        <f>AND(#REF!,"AAAAAH6d+94=")</f>
        <v>#REF!</v>
      </c>
      <c r="HP302" t="e">
        <f>AND(#REF!,"AAAAAH6d+98=")</f>
        <v>#REF!</v>
      </c>
      <c r="HQ302" t="e">
        <f>AND(#REF!,"AAAAAH6d++A=")</f>
        <v>#REF!</v>
      </c>
      <c r="HR302" t="e">
        <f>AND(#REF!,"AAAAAH6d++E=")</f>
        <v>#REF!</v>
      </c>
      <c r="HS302" t="e">
        <f>AND(#REF!,"AAAAAH6d++I=")</f>
        <v>#REF!</v>
      </c>
      <c r="HT302" t="e">
        <f>AND(#REF!,"AAAAAH6d++M=")</f>
        <v>#REF!</v>
      </c>
      <c r="HU302" t="e">
        <f>AND(#REF!,"AAAAAH6d++Q=")</f>
        <v>#REF!</v>
      </c>
      <c r="HV302" t="e">
        <f>IF(#REF!,"AAAAAH6d++U=",0)</f>
        <v>#REF!</v>
      </c>
      <c r="HW302" t="e">
        <f>AND(#REF!,"AAAAAH6d++Y=")</f>
        <v>#REF!</v>
      </c>
      <c r="HX302" t="e">
        <f>AND(#REF!,"AAAAAH6d++c=")</f>
        <v>#REF!</v>
      </c>
      <c r="HY302" t="e">
        <f>AND(#REF!,"AAAAAH6d++g=")</f>
        <v>#REF!</v>
      </c>
      <c r="HZ302" t="e">
        <f>AND(#REF!,"AAAAAH6d++k=")</f>
        <v>#REF!</v>
      </c>
      <c r="IA302" t="e">
        <f>AND(#REF!,"AAAAAH6d++o=")</f>
        <v>#REF!</v>
      </c>
      <c r="IB302" t="e">
        <f>AND(#REF!,"AAAAAH6d++s=")</f>
        <v>#REF!</v>
      </c>
      <c r="IC302" t="e">
        <f>AND(#REF!,"AAAAAH6d++w=")</f>
        <v>#REF!</v>
      </c>
      <c r="ID302" t="e">
        <f>AND(#REF!,"AAAAAH6d++0=")</f>
        <v>#REF!</v>
      </c>
      <c r="IE302" t="e">
        <f>AND(#REF!,"AAAAAH6d++4=")</f>
        <v>#REF!</v>
      </c>
      <c r="IF302" t="e">
        <f>AND(#REF!,"AAAAAH6d++8=")</f>
        <v>#REF!</v>
      </c>
      <c r="IG302" t="e">
        <f>AND(#REF!,"AAAAAH6d+/A=")</f>
        <v>#REF!</v>
      </c>
      <c r="IH302" t="e">
        <f>AND(#REF!,"AAAAAH6d+/E=")</f>
        <v>#REF!</v>
      </c>
      <c r="II302" t="e">
        <f>AND(#REF!,"AAAAAH6d+/I=")</f>
        <v>#REF!</v>
      </c>
      <c r="IJ302" t="e">
        <f>AND(#REF!,"AAAAAH6d+/M=")</f>
        <v>#REF!</v>
      </c>
      <c r="IK302" t="e">
        <f>AND(#REF!,"AAAAAH6d+/Q=")</f>
        <v>#REF!</v>
      </c>
      <c r="IL302" t="e">
        <f>AND(#REF!,"AAAAAH6d+/U=")</f>
        <v>#REF!</v>
      </c>
      <c r="IM302" t="e">
        <f>AND(#REF!,"AAAAAH6d+/Y=")</f>
        <v>#REF!</v>
      </c>
      <c r="IN302" t="e">
        <f>AND(#REF!,"AAAAAH6d+/c=")</f>
        <v>#REF!</v>
      </c>
      <c r="IO302" t="e">
        <f>AND(#REF!,"AAAAAH6d+/g=")</f>
        <v>#REF!</v>
      </c>
      <c r="IP302" t="e">
        <f>AND(#REF!,"AAAAAH6d+/k=")</f>
        <v>#REF!</v>
      </c>
      <c r="IQ302" t="e">
        <f>AND(#REF!,"AAAAAH6d+/o=")</f>
        <v>#REF!</v>
      </c>
      <c r="IR302" t="e">
        <f>AND(#REF!,"AAAAAH6d+/s=")</f>
        <v>#REF!</v>
      </c>
      <c r="IS302" t="e">
        <f>AND(#REF!,"AAAAAH6d+/w=")</f>
        <v>#REF!</v>
      </c>
      <c r="IT302" t="e">
        <f>AND(#REF!,"AAAAAH6d+/0=")</f>
        <v>#REF!</v>
      </c>
      <c r="IU302" t="e">
        <f>IF(#REF!,"AAAAAH6d+/4=",0)</f>
        <v>#REF!</v>
      </c>
      <c r="IV302" t="e">
        <f>AND(#REF!,"AAAAAH6d+/8=")</f>
        <v>#REF!</v>
      </c>
    </row>
    <row r="303" spans="1:256">
      <c r="A303" t="e">
        <f>AND(#REF!,"AAAAAH+vcwA=")</f>
        <v>#REF!</v>
      </c>
      <c r="B303" t="e">
        <f>AND(#REF!,"AAAAAH+vcwE=")</f>
        <v>#REF!</v>
      </c>
      <c r="C303" t="e">
        <f>AND(#REF!,"AAAAAH+vcwI=")</f>
        <v>#REF!</v>
      </c>
      <c r="D303" t="e">
        <f>AND(#REF!,"AAAAAH+vcwM=")</f>
        <v>#REF!</v>
      </c>
      <c r="E303" t="e">
        <f>AND(#REF!,"AAAAAH+vcwQ=")</f>
        <v>#REF!</v>
      </c>
      <c r="F303" t="e">
        <f>AND(#REF!,"AAAAAH+vcwU=")</f>
        <v>#REF!</v>
      </c>
      <c r="G303" t="e">
        <f>AND(#REF!,"AAAAAH+vcwY=")</f>
        <v>#REF!</v>
      </c>
      <c r="H303" t="e">
        <f>AND(#REF!,"AAAAAH+vcwc=")</f>
        <v>#REF!</v>
      </c>
      <c r="I303" t="e">
        <f>AND(#REF!,"AAAAAH+vcwg=")</f>
        <v>#REF!</v>
      </c>
      <c r="J303" t="e">
        <f>AND(#REF!,"AAAAAH+vcwk=")</f>
        <v>#REF!</v>
      </c>
      <c r="K303" t="e">
        <f>AND(#REF!,"AAAAAH+vcwo=")</f>
        <v>#REF!</v>
      </c>
      <c r="L303" t="e">
        <f>AND(#REF!,"AAAAAH+vcws=")</f>
        <v>#REF!</v>
      </c>
      <c r="M303" t="e">
        <f>AND(#REF!,"AAAAAH+vcww=")</f>
        <v>#REF!</v>
      </c>
      <c r="N303" t="e">
        <f>AND(#REF!,"AAAAAH+vcw0=")</f>
        <v>#REF!</v>
      </c>
      <c r="O303" t="e">
        <f>AND(#REF!,"AAAAAH+vcw4=")</f>
        <v>#REF!</v>
      </c>
      <c r="P303" t="e">
        <f>AND(#REF!,"AAAAAH+vcw8=")</f>
        <v>#REF!</v>
      </c>
      <c r="Q303" t="e">
        <f>AND(#REF!,"AAAAAH+vcxA=")</f>
        <v>#REF!</v>
      </c>
      <c r="R303" t="e">
        <f>AND(#REF!,"AAAAAH+vcxE=")</f>
        <v>#REF!</v>
      </c>
      <c r="S303" t="e">
        <f>AND(#REF!,"AAAAAH+vcxI=")</f>
        <v>#REF!</v>
      </c>
      <c r="T303" t="e">
        <f>AND(#REF!,"AAAAAH+vcxM=")</f>
        <v>#REF!</v>
      </c>
      <c r="U303" t="e">
        <f>AND(#REF!,"AAAAAH+vcxQ=")</f>
        <v>#REF!</v>
      </c>
      <c r="V303" t="e">
        <f>AND(#REF!,"AAAAAH+vcxU=")</f>
        <v>#REF!</v>
      </c>
      <c r="W303" t="e">
        <f>AND(#REF!,"AAAAAH+vcxY=")</f>
        <v>#REF!</v>
      </c>
      <c r="X303" t="e">
        <f>IF(#REF!,"AAAAAH+vcxc=",0)</f>
        <v>#REF!</v>
      </c>
      <c r="Y303" t="e">
        <f>AND(#REF!,"AAAAAH+vcxg=")</f>
        <v>#REF!</v>
      </c>
      <c r="Z303" t="e">
        <f>AND(#REF!,"AAAAAH+vcxk=")</f>
        <v>#REF!</v>
      </c>
      <c r="AA303" t="e">
        <f>AND(#REF!,"AAAAAH+vcxo=")</f>
        <v>#REF!</v>
      </c>
      <c r="AB303" t="e">
        <f>AND(#REF!,"AAAAAH+vcxs=")</f>
        <v>#REF!</v>
      </c>
      <c r="AC303" t="e">
        <f>AND(#REF!,"AAAAAH+vcxw=")</f>
        <v>#REF!</v>
      </c>
      <c r="AD303" t="e">
        <f>AND(#REF!,"AAAAAH+vcx0=")</f>
        <v>#REF!</v>
      </c>
      <c r="AE303" t="e">
        <f>AND(#REF!,"AAAAAH+vcx4=")</f>
        <v>#REF!</v>
      </c>
      <c r="AF303" t="e">
        <f>AND(#REF!,"AAAAAH+vcx8=")</f>
        <v>#REF!</v>
      </c>
      <c r="AG303" t="e">
        <f>AND(#REF!,"AAAAAH+vcyA=")</f>
        <v>#REF!</v>
      </c>
      <c r="AH303" t="e">
        <f>AND(#REF!,"AAAAAH+vcyE=")</f>
        <v>#REF!</v>
      </c>
      <c r="AI303" t="e">
        <f>AND(#REF!,"AAAAAH+vcyI=")</f>
        <v>#REF!</v>
      </c>
      <c r="AJ303" t="e">
        <f>AND(#REF!,"AAAAAH+vcyM=")</f>
        <v>#REF!</v>
      </c>
      <c r="AK303" t="e">
        <f>AND(#REF!,"AAAAAH+vcyQ=")</f>
        <v>#REF!</v>
      </c>
      <c r="AL303" t="e">
        <f>AND(#REF!,"AAAAAH+vcyU=")</f>
        <v>#REF!</v>
      </c>
      <c r="AM303" t="e">
        <f>AND(#REF!,"AAAAAH+vcyY=")</f>
        <v>#REF!</v>
      </c>
      <c r="AN303" t="e">
        <f>AND(#REF!,"AAAAAH+vcyc=")</f>
        <v>#REF!</v>
      </c>
      <c r="AO303" t="e">
        <f>AND(#REF!,"AAAAAH+vcyg=")</f>
        <v>#REF!</v>
      </c>
      <c r="AP303" t="e">
        <f>AND(#REF!,"AAAAAH+vcyk=")</f>
        <v>#REF!</v>
      </c>
      <c r="AQ303" t="e">
        <f>AND(#REF!,"AAAAAH+vcyo=")</f>
        <v>#REF!</v>
      </c>
      <c r="AR303" t="e">
        <f>AND(#REF!,"AAAAAH+vcys=")</f>
        <v>#REF!</v>
      </c>
      <c r="AS303" t="e">
        <f>AND(#REF!,"AAAAAH+vcyw=")</f>
        <v>#REF!</v>
      </c>
      <c r="AT303" t="e">
        <f>AND(#REF!,"AAAAAH+vcy0=")</f>
        <v>#REF!</v>
      </c>
      <c r="AU303" t="e">
        <f>AND(#REF!,"AAAAAH+vcy4=")</f>
        <v>#REF!</v>
      </c>
      <c r="AV303" t="e">
        <f>AND(#REF!,"AAAAAH+vcy8=")</f>
        <v>#REF!</v>
      </c>
      <c r="AW303" t="e">
        <f>IF(#REF!,"AAAAAH+vczA=",0)</f>
        <v>#REF!</v>
      </c>
      <c r="AX303" t="e">
        <f>AND(#REF!,"AAAAAH+vczE=")</f>
        <v>#REF!</v>
      </c>
      <c r="AY303" t="e">
        <f>AND(#REF!,"AAAAAH+vczI=")</f>
        <v>#REF!</v>
      </c>
      <c r="AZ303" t="e">
        <f>AND(#REF!,"AAAAAH+vczM=")</f>
        <v>#REF!</v>
      </c>
      <c r="BA303" t="e">
        <f>AND(#REF!,"AAAAAH+vczQ=")</f>
        <v>#REF!</v>
      </c>
      <c r="BB303" t="e">
        <f>AND(#REF!,"AAAAAH+vczU=")</f>
        <v>#REF!</v>
      </c>
      <c r="BC303" t="e">
        <f>AND(#REF!,"AAAAAH+vczY=")</f>
        <v>#REF!</v>
      </c>
      <c r="BD303" t="e">
        <f>AND(#REF!,"AAAAAH+vczc=")</f>
        <v>#REF!</v>
      </c>
      <c r="BE303" t="e">
        <f>AND(#REF!,"AAAAAH+vczg=")</f>
        <v>#REF!</v>
      </c>
      <c r="BF303" t="e">
        <f>AND(#REF!,"AAAAAH+vczk=")</f>
        <v>#REF!</v>
      </c>
      <c r="BG303" t="e">
        <f>AND(#REF!,"AAAAAH+vczo=")</f>
        <v>#REF!</v>
      </c>
      <c r="BH303" t="e">
        <f>AND(#REF!,"AAAAAH+vczs=")</f>
        <v>#REF!</v>
      </c>
      <c r="BI303" t="e">
        <f>AND(#REF!,"AAAAAH+vczw=")</f>
        <v>#REF!</v>
      </c>
      <c r="BJ303" t="e">
        <f>AND(#REF!,"AAAAAH+vcz0=")</f>
        <v>#REF!</v>
      </c>
      <c r="BK303" t="e">
        <f>AND(#REF!,"AAAAAH+vcz4=")</f>
        <v>#REF!</v>
      </c>
      <c r="BL303" t="e">
        <f>AND(#REF!,"AAAAAH+vcz8=")</f>
        <v>#REF!</v>
      </c>
      <c r="BM303" t="e">
        <f>AND(#REF!,"AAAAAH+vc0A=")</f>
        <v>#REF!</v>
      </c>
      <c r="BN303" t="e">
        <f>AND(#REF!,"AAAAAH+vc0E=")</f>
        <v>#REF!</v>
      </c>
      <c r="BO303" t="e">
        <f>AND(#REF!,"AAAAAH+vc0I=")</f>
        <v>#REF!</v>
      </c>
      <c r="BP303" t="e">
        <f>AND(#REF!,"AAAAAH+vc0M=")</f>
        <v>#REF!</v>
      </c>
      <c r="BQ303" t="e">
        <f>AND(#REF!,"AAAAAH+vc0Q=")</f>
        <v>#REF!</v>
      </c>
      <c r="BR303" t="e">
        <f>AND(#REF!,"AAAAAH+vc0U=")</f>
        <v>#REF!</v>
      </c>
      <c r="BS303" t="e">
        <f>AND(#REF!,"AAAAAH+vc0Y=")</f>
        <v>#REF!</v>
      </c>
      <c r="BT303" t="e">
        <f>AND(#REF!,"AAAAAH+vc0c=")</f>
        <v>#REF!</v>
      </c>
      <c r="BU303" t="e">
        <f>AND(#REF!,"AAAAAH+vc0g=")</f>
        <v>#REF!</v>
      </c>
      <c r="BV303" t="e">
        <f>IF(#REF!,"AAAAAH+vc0k=",0)</f>
        <v>#REF!</v>
      </c>
      <c r="BW303" t="e">
        <f>AND(#REF!,"AAAAAH+vc0o=")</f>
        <v>#REF!</v>
      </c>
      <c r="BX303" t="e">
        <f>AND(#REF!,"AAAAAH+vc0s=")</f>
        <v>#REF!</v>
      </c>
      <c r="BY303" t="e">
        <f>AND(#REF!,"AAAAAH+vc0w=")</f>
        <v>#REF!</v>
      </c>
      <c r="BZ303" t="e">
        <f>AND(#REF!,"AAAAAH+vc00=")</f>
        <v>#REF!</v>
      </c>
      <c r="CA303" t="e">
        <f>AND(#REF!,"AAAAAH+vc04=")</f>
        <v>#REF!</v>
      </c>
      <c r="CB303" t="e">
        <f>AND(#REF!,"AAAAAH+vc08=")</f>
        <v>#REF!</v>
      </c>
      <c r="CC303" t="e">
        <f>AND(#REF!,"AAAAAH+vc1A=")</f>
        <v>#REF!</v>
      </c>
      <c r="CD303" t="e">
        <f>AND(#REF!,"AAAAAH+vc1E=")</f>
        <v>#REF!</v>
      </c>
      <c r="CE303" t="e">
        <f>AND(#REF!,"AAAAAH+vc1I=")</f>
        <v>#REF!</v>
      </c>
      <c r="CF303" t="e">
        <f>AND(#REF!,"AAAAAH+vc1M=")</f>
        <v>#REF!</v>
      </c>
      <c r="CG303" t="e">
        <f>AND(#REF!,"AAAAAH+vc1Q=")</f>
        <v>#REF!</v>
      </c>
      <c r="CH303" t="e">
        <f>AND(#REF!,"AAAAAH+vc1U=")</f>
        <v>#REF!</v>
      </c>
      <c r="CI303" t="e">
        <f>AND(#REF!,"AAAAAH+vc1Y=")</f>
        <v>#REF!</v>
      </c>
      <c r="CJ303" t="e">
        <f>AND(#REF!,"AAAAAH+vc1c=")</f>
        <v>#REF!</v>
      </c>
      <c r="CK303" t="e">
        <f>AND(#REF!,"AAAAAH+vc1g=")</f>
        <v>#REF!</v>
      </c>
      <c r="CL303" t="e">
        <f>AND(#REF!,"AAAAAH+vc1k=")</f>
        <v>#REF!</v>
      </c>
      <c r="CM303" t="e">
        <f>AND(#REF!,"AAAAAH+vc1o=")</f>
        <v>#REF!</v>
      </c>
      <c r="CN303" t="e">
        <f>AND(#REF!,"AAAAAH+vc1s=")</f>
        <v>#REF!</v>
      </c>
      <c r="CO303" t="e">
        <f>AND(#REF!,"AAAAAH+vc1w=")</f>
        <v>#REF!</v>
      </c>
      <c r="CP303" t="e">
        <f>AND(#REF!,"AAAAAH+vc10=")</f>
        <v>#REF!</v>
      </c>
      <c r="CQ303" t="e">
        <f>AND(#REF!,"AAAAAH+vc14=")</f>
        <v>#REF!</v>
      </c>
      <c r="CR303" t="e">
        <f>AND(#REF!,"AAAAAH+vc18=")</f>
        <v>#REF!</v>
      </c>
      <c r="CS303" t="e">
        <f>AND(#REF!,"AAAAAH+vc2A=")</f>
        <v>#REF!</v>
      </c>
      <c r="CT303" t="e">
        <f>AND(#REF!,"AAAAAH+vc2E=")</f>
        <v>#REF!</v>
      </c>
      <c r="CU303" t="e">
        <f>IF(#REF!,"AAAAAH+vc2I=",0)</f>
        <v>#REF!</v>
      </c>
      <c r="CV303" t="e">
        <f>AND(#REF!,"AAAAAH+vc2M=")</f>
        <v>#REF!</v>
      </c>
      <c r="CW303" t="e">
        <f>AND(#REF!,"AAAAAH+vc2Q=")</f>
        <v>#REF!</v>
      </c>
      <c r="CX303" t="e">
        <f>AND(#REF!,"AAAAAH+vc2U=")</f>
        <v>#REF!</v>
      </c>
      <c r="CY303" t="e">
        <f>AND(#REF!,"AAAAAH+vc2Y=")</f>
        <v>#REF!</v>
      </c>
      <c r="CZ303" t="e">
        <f>AND(#REF!,"AAAAAH+vc2c=")</f>
        <v>#REF!</v>
      </c>
      <c r="DA303" t="e">
        <f>AND(#REF!,"AAAAAH+vc2g=")</f>
        <v>#REF!</v>
      </c>
      <c r="DB303" t="e">
        <f>AND(#REF!,"AAAAAH+vc2k=")</f>
        <v>#REF!</v>
      </c>
      <c r="DC303" t="e">
        <f>AND(#REF!,"AAAAAH+vc2o=")</f>
        <v>#REF!</v>
      </c>
      <c r="DD303" t="e">
        <f>AND(#REF!,"AAAAAH+vc2s=")</f>
        <v>#REF!</v>
      </c>
      <c r="DE303" t="e">
        <f>AND(#REF!,"AAAAAH+vc2w=")</f>
        <v>#REF!</v>
      </c>
      <c r="DF303" t="e">
        <f>AND(#REF!,"AAAAAH+vc20=")</f>
        <v>#REF!</v>
      </c>
      <c r="DG303" t="e">
        <f>AND(#REF!,"AAAAAH+vc24=")</f>
        <v>#REF!</v>
      </c>
      <c r="DH303" t="e">
        <f>AND(#REF!,"AAAAAH+vc28=")</f>
        <v>#REF!</v>
      </c>
      <c r="DI303" t="e">
        <f>AND(#REF!,"AAAAAH+vc3A=")</f>
        <v>#REF!</v>
      </c>
      <c r="DJ303" t="e">
        <f>AND(#REF!,"AAAAAH+vc3E=")</f>
        <v>#REF!</v>
      </c>
      <c r="DK303" t="e">
        <f>AND(#REF!,"AAAAAH+vc3I=")</f>
        <v>#REF!</v>
      </c>
      <c r="DL303" t="e">
        <f>AND(#REF!,"AAAAAH+vc3M=")</f>
        <v>#REF!</v>
      </c>
      <c r="DM303" t="e">
        <f>AND(#REF!,"AAAAAH+vc3Q=")</f>
        <v>#REF!</v>
      </c>
      <c r="DN303" t="e">
        <f>AND(#REF!,"AAAAAH+vc3U=")</f>
        <v>#REF!</v>
      </c>
      <c r="DO303" t="e">
        <f>AND(#REF!,"AAAAAH+vc3Y=")</f>
        <v>#REF!</v>
      </c>
      <c r="DP303" t="e">
        <f>AND(#REF!,"AAAAAH+vc3c=")</f>
        <v>#REF!</v>
      </c>
      <c r="DQ303" t="e">
        <f>AND(#REF!,"AAAAAH+vc3g=")</f>
        <v>#REF!</v>
      </c>
      <c r="DR303" t="e">
        <f>AND(#REF!,"AAAAAH+vc3k=")</f>
        <v>#REF!</v>
      </c>
      <c r="DS303" t="e">
        <f>AND(#REF!,"AAAAAH+vc3o=")</f>
        <v>#REF!</v>
      </c>
      <c r="DT303" t="e">
        <f>IF(#REF!,"AAAAAH+vc3s=",0)</f>
        <v>#REF!</v>
      </c>
      <c r="DU303" t="e">
        <f>AND(#REF!,"AAAAAH+vc3w=")</f>
        <v>#REF!</v>
      </c>
      <c r="DV303" t="e">
        <f>AND(#REF!,"AAAAAH+vc30=")</f>
        <v>#REF!</v>
      </c>
      <c r="DW303" t="e">
        <f>AND(#REF!,"AAAAAH+vc34=")</f>
        <v>#REF!</v>
      </c>
      <c r="DX303" t="e">
        <f>AND(#REF!,"AAAAAH+vc38=")</f>
        <v>#REF!</v>
      </c>
      <c r="DY303" t="e">
        <f>AND(#REF!,"AAAAAH+vc4A=")</f>
        <v>#REF!</v>
      </c>
      <c r="DZ303" t="e">
        <f>AND(#REF!,"AAAAAH+vc4E=")</f>
        <v>#REF!</v>
      </c>
      <c r="EA303" t="e">
        <f>AND(#REF!,"AAAAAH+vc4I=")</f>
        <v>#REF!</v>
      </c>
      <c r="EB303" t="e">
        <f>AND(#REF!,"AAAAAH+vc4M=")</f>
        <v>#REF!</v>
      </c>
      <c r="EC303" t="e">
        <f>AND(#REF!,"AAAAAH+vc4Q=")</f>
        <v>#REF!</v>
      </c>
      <c r="ED303" t="e">
        <f>AND(#REF!,"AAAAAH+vc4U=")</f>
        <v>#REF!</v>
      </c>
      <c r="EE303" t="e">
        <f>AND(#REF!,"AAAAAH+vc4Y=")</f>
        <v>#REF!</v>
      </c>
      <c r="EF303" t="e">
        <f>AND(#REF!,"AAAAAH+vc4c=")</f>
        <v>#REF!</v>
      </c>
      <c r="EG303" t="e">
        <f>AND(#REF!,"AAAAAH+vc4g=")</f>
        <v>#REF!</v>
      </c>
      <c r="EH303" t="e">
        <f>AND(#REF!,"AAAAAH+vc4k=")</f>
        <v>#REF!</v>
      </c>
      <c r="EI303" t="e">
        <f>AND(#REF!,"AAAAAH+vc4o=")</f>
        <v>#REF!</v>
      </c>
      <c r="EJ303" t="e">
        <f>AND(#REF!,"AAAAAH+vc4s=")</f>
        <v>#REF!</v>
      </c>
      <c r="EK303" t="e">
        <f>AND(#REF!,"AAAAAH+vc4w=")</f>
        <v>#REF!</v>
      </c>
      <c r="EL303" t="e">
        <f>AND(#REF!,"AAAAAH+vc40=")</f>
        <v>#REF!</v>
      </c>
      <c r="EM303" t="e">
        <f>AND(#REF!,"AAAAAH+vc44=")</f>
        <v>#REF!</v>
      </c>
      <c r="EN303" t="e">
        <f>AND(#REF!,"AAAAAH+vc48=")</f>
        <v>#REF!</v>
      </c>
      <c r="EO303" t="e">
        <f>AND(#REF!,"AAAAAH+vc5A=")</f>
        <v>#REF!</v>
      </c>
      <c r="EP303" t="e">
        <f>AND(#REF!,"AAAAAH+vc5E=")</f>
        <v>#REF!</v>
      </c>
      <c r="EQ303" t="e">
        <f>AND(#REF!,"AAAAAH+vc5I=")</f>
        <v>#REF!</v>
      </c>
      <c r="ER303" t="e">
        <f>AND(#REF!,"AAAAAH+vc5M=")</f>
        <v>#REF!</v>
      </c>
      <c r="ES303" t="e">
        <f>IF(#REF!,"AAAAAH+vc5Q=",0)</f>
        <v>#REF!</v>
      </c>
      <c r="ET303" t="e">
        <f>AND(#REF!,"AAAAAH+vc5U=")</f>
        <v>#REF!</v>
      </c>
      <c r="EU303" t="e">
        <f>AND(#REF!,"AAAAAH+vc5Y=")</f>
        <v>#REF!</v>
      </c>
      <c r="EV303" t="e">
        <f>AND(#REF!,"AAAAAH+vc5c=")</f>
        <v>#REF!</v>
      </c>
      <c r="EW303" t="e">
        <f>AND(#REF!,"AAAAAH+vc5g=")</f>
        <v>#REF!</v>
      </c>
      <c r="EX303" t="e">
        <f>AND(#REF!,"AAAAAH+vc5k=")</f>
        <v>#REF!</v>
      </c>
      <c r="EY303" t="e">
        <f>AND(#REF!,"AAAAAH+vc5o=")</f>
        <v>#REF!</v>
      </c>
      <c r="EZ303" t="e">
        <f>AND(#REF!,"AAAAAH+vc5s=")</f>
        <v>#REF!</v>
      </c>
      <c r="FA303" t="e">
        <f>AND(#REF!,"AAAAAH+vc5w=")</f>
        <v>#REF!</v>
      </c>
      <c r="FB303" t="e">
        <f>AND(#REF!,"AAAAAH+vc50=")</f>
        <v>#REF!</v>
      </c>
      <c r="FC303" t="e">
        <f>AND(#REF!,"AAAAAH+vc54=")</f>
        <v>#REF!</v>
      </c>
      <c r="FD303" t="e">
        <f>AND(#REF!,"AAAAAH+vc58=")</f>
        <v>#REF!</v>
      </c>
      <c r="FE303" t="e">
        <f>AND(#REF!,"AAAAAH+vc6A=")</f>
        <v>#REF!</v>
      </c>
      <c r="FF303" t="e">
        <f>AND(#REF!,"AAAAAH+vc6E=")</f>
        <v>#REF!</v>
      </c>
      <c r="FG303" t="e">
        <f>AND(#REF!,"AAAAAH+vc6I=")</f>
        <v>#REF!</v>
      </c>
      <c r="FH303" t="e">
        <f>AND(#REF!,"AAAAAH+vc6M=")</f>
        <v>#REF!</v>
      </c>
      <c r="FI303" t="e">
        <f>AND(#REF!,"AAAAAH+vc6Q=")</f>
        <v>#REF!</v>
      </c>
      <c r="FJ303" t="e">
        <f>AND(#REF!,"AAAAAH+vc6U=")</f>
        <v>#REF!</v>
      </c>
      <c r="FK303" t="e">
        <f>AND(#REF!,"AAAAAH+vc6Y=")</f>
        <v>#REF!</v>
      </c>
      <c r="FL303" t="e">
        <f>AND(#REF!,"AAAAAH+vc6c=")</f>
        <v>#REF!</v>
      </c>
      <c r="FM303" t="e">
        <f>AND(#REF!,"AAAAAH+vc6g=")</f>
        <v>#REF!</v>
      </c>
      <c r="FN303" t="e">
        <f>AND(#REF!,"AAAAAH+vc6k=")</f>
        <v>#REF!</v>
      </c>
      <c r="FO303" t="e">
        <f>AND(#REF!,"AAAAAH+vc6o=")</f>
        <v>#REF!</v>
      </c>
      <c r="FP303" t="e">
        <f>AND(#REF!,"AAAAAH+vc6s=")</f>
        <v>#REF!</v>
      </c>
      <c r="FQ303" t="e">
        <f>AND(#REF!,"AAAAAH+vc6w=")</f>
        <v>#REF!</v>
      </c>
      <c r="FR303" t="e">
        <f>IF(#REF!,"AAAAAH+vc60=",0)</f>
        <v>#REF!</v>
      </c>
      <c r="FS303" t="e">
        <f>AND(#REF!,"AAAAAH+vc64=")</f>
        <v>#REF!</v>
      </c>
      <c r="FT303" t="e">
        <f>AND(#REF!,"AAAAAH+vc68=")</f>
        <v>#REF!</v>
      </c>
      <c r="FU303" t="e">
        <f>AND(#REF!,"AAAAAH+vc7A=")</f>
        <v>#REF!</v>
      </c>
      <c r="FV303" t="e">
        <f>AND(#REF!,"AAAAAH+vc7E=")</f>
        <v>#REF!</v>
      </c>
      <c r="FW303" t="e">
        <f>AND(#REF!,"AAAAAH+vc7I=")</f>
        <v>#REF!</v>
      </c>
      <c r="FX303" t="e">
        <f>AND(#REF!,"AAAAAH+vc7M=")</f>
        <v>#REF!</v>
      </c>
      <c r="FY303" t="e">
        <f>AND(#REF!,"AAAAAH+vc7Q=")</f>
        <v>#REF!</v>
      </c>
      <c r="FZ303" t="e">
        <f>AND(#REF!,"AAAAAH+vc7U=")</f>
        <v>#REF!</v>
      </c>
      <c r="GA303" t="e">
        <f>AND(#REF!,"AAAAAH+vc7Y=")</f>
        <v>#REF!</v>
      </c>
      <c r="GB303" t="e">
        <f>AND(#REF!,"AAAAAH+vc7c=")</f>
        <v>#REF!</v>
      </c>
      <c r="GC303" t="e">
        <f>AND(#REF!,"AAAAAH+vc7g=")</f>
        <v>#REF!</v>
      </c>
      <c r="GD303" t="e">
        <f>AND(#REF!,"AAAAAH+vc7k=")</f>
        <v>#REF!</v>
      </c>
      <c r="GE303" t="e">
        <f>AND(#REF!,"AAAAAH+vc7o=")</f>
        <v>#REF!</v>
      </c>
      <c r="GF303" t="e">
        <f>AND(#REF!,"AAAAAH+vc7s=")</f>
        <v>#REF!</v>
      </c>
      <c r="GG303" t="e">
        <f>AND(#REF!,"AAAAAH+vc7w=")</f>
        <v>#REF!</v>
      </c>
      <c r="GH303" t="e">
        <f>AND(#REF!,"AAAAAH+vc70=")</f>
        <v>#REF!</v>
      </c>
      <c r="GI303" t="e">
        <f>AND(#REF!,"AAAAAH+vc74=")</f>
        <v>#REF!</v>
      </c>
      <c r="GJ303" t="e">
        <f>AND(#REF!,"AAAAAH+vc78=")</f>
        <v>#REF!</v>
      </c>
      <c r="GK303" t="e">
        <f>AND(#REF!,"AAAAAH+vc8A=")</f>
        <v>#REF!</v>
      </c>
      <c r="GL303" t="e">
        <f>AND(#REF!,"AAAAAH+vc8E=")</f>
        <v>#REF!</v>
      </c>
      <c r="GM303" t="e">
        <f>AND(#REF!,"AAAAAH+vc8I=")</f>
        <v>#REF!</v>
      </c>
      <c r="GN303" t="e">
        <f>AND(#REF!,"AAAAAH+vc8M=")</f>
        <v>#REF!</v>
      </c>
      <c r="GO303" t="e">
        <f>AND(#REF!,"AAAAAH+vc8Q=")</f>
        <v>#REF!</v>
      </c>
      <c r="GP303" t="e">
        <f>AND(#REF!,"AAAAAH+vc8U=")</f>
        <v>#REF!</v>
      </c>
      <c r="GQ303" t="e">
        <f>IF(#REF!,"AAAAAH+vc8Y=",0)</f>
        <v>#REF!</v>
      </c>
      <c r="GR303" t="e">
        <f>AND(#REF!,"AAAAAH+vc8c=")</f>
        <v>#REF!</v>
      </c>
      <c r="GS303" t="e">
        <f>AND(#REF!,"AAAAAH+vc8g=")</f>
        <v>#REF!</v>
      </c>
      <c r="GT303" t="e">
        <f>AND(#REF!,"AAAAAH+vc8k=")</f>
        <v>#REF!</v>
      </c>
      <c r="GU303" t="e">
        <f>AND(#REF!,"AAAAAH+vc8o=")</f>
        <v>#REF!</v>
      </c>
      <c r="GV303" t="e">
        <f>AND(#REF!,"AAAAAH+vc8s=")</f>
        <v>#REF!</v>
      </c>
      <c r="GW303" t="e">
        <f>AND(#REF!,"AAAAAH+vc8w=")</f>
        <v>#REF!</v>
      </c>
      <c r="GX303" t="e">
        <f>AND(#REF!,"AAAAAH+vc80=")</f>
        <v>#REF!</v>
      </c>
      <c r="GY303" t="e">
        <f>AND(#REF!,"AAAAAH+vc84=")</f>
        <v>#REF!</v>
      </c>
      <c r="GZ303" t="e">
        <f>AND(#REF!,"AAAAAH+vc88=")</f>
        <v>#REF!</v>
      </c>
      <c r="HA303" t="e">
        <f>AND(#REF!,"AAAAAH+vc9A=")</f>
        <v>#REF!</v>
      </c>
      <c r="HB303" t="e">
        <f>AND(#REF!,"AAAAAH+vc9E=")</f>
        <v>#REF!</v>
      </c>
      <c r="HC303" t="e">
        <f>AND(#REF!,"AAAAAH+vc9I=")</f>
        <v>#REF!</v>
      </c>
      <c r="HD303" t="e">
        <f>AND(#REF!,"AAAAAH+vc9M=")</f>
        <v>#REF!</v>
      </c>
      <c r="HE303" t="e">
        <f>AND(#REF!,"AAAAAH+vc9Q=")</f>
        <v>#REF!</v>
      </c>
      <c r="HF303" t="e">
        <f>AND(#REF!,"AAAAAH+vc9U=")</f>
        <v>#REF!</v>
      </c>
      <c r="HG303" t="e">
        <f>AND(#REF!,"AAAAAH+vc9Y=")</f>
        <v>#REF!</v>
      </c>
      <c r="HH303" t="e">
        <f>AND(#REF!,"AAAAAH+vc9c=")</f>
        <v>#REF!</v>
      </c>
      <c r="HI303" t="e">
        <f>AND(#REF!,"AAAAAH+vc9g=")</f>
        <v>#REF!</v>
      </c>
      <c r="HJ303" t="e">
        <f>AND(#REF!,"AAAAAH+vc9k=")</f>
        <v>#REF!</v>
      </c>
      <c r="HK303" t="e">
        <f>AND(#REF!,"AAAAAH+vc9o=")</f>
        <v>#REF!</v>
      </c>
      <c r="HL303" t="e">
        <f>AND(#REF!,"AAAAAH+vc9s=")</f>
        <v>#REF!</v>
      </c>
      <c r="HM303" t="e">
        <f>AND(#REF!,"AAAAAH+vc9w=")</f>
        <v>#REF!</v>
      </c>
      <c r="HN303" t="e">
        <f>AND(#REF!,"AAAAAH+vc90=")</f>
        <v>#REF!</v>
      </c>
      <c r="HO303" t="e">
        <f>AND(#REF!,"AAAAAH+vc94=")</f>
        <v>#REF!</v>
      </c>
      <c r="HP303" t="e">
        <f>IF(#REF!,"AAAAAH+vc98=",0)</f>
        <v>#REF!</v>
      </c>
      <c r="HQ303" t="e">
        <f>AND(#REF!,"AAAAAH+vc+A=")</f>
        <v>#REF!</v>
      </c>
      <c r="HR303" t="e">
        <f>AND(#REF!,"AAAAAH+vc+E=")</f>
        <v>#REF!</v>
      </c>
      <c r="HS303" t="e">
        <f>AND(#REF!,"AAAAAH+vc+I=")</f>
        <v>#REF!</v>
      </c>
      <c r="HT303" t="e">
        <f>AND(#REF!,"AAAAAH+vc+M=")</f>
        <v>#REF!</v>
      </c>
      <c r="HU303" t="e">
        <f>AND(#REF!,"AAAAAH+vc+Q=")</f>
        <v>#REF!</v>
      </c>
      <c r="HV303" t="e">
        <f>AND(#REF!,"AAAAAH+vc+U=")</f>
        <v>#REF!</v>
      </c>
      <c r="HW303" t="e">
        <f>AND(#REF!,"AAAAAH+vc+Y=")</f>
        <v>#REF!</v>
      </c>
      <c r="HX303" t="e">
        <f>AND(#REF!,"AAAAAH+vc+c=")</f>
        <v>#REF!</v>
      </c>
      <c r="HY303" t="e">
        <f>AND(#REF!,"AAAAAH+vc+g=")</f>
        <v>#REF!</v>
      </c>
      <c r="HZ303" t="e">
        <f>AND(#REF!,"AAAAAH+vc+k=")</f>
        <v>#REF!</v>
      </c>
      <c r="IA303" t="e">
        <f>AND(#REF!,"AAAAAH+vc+o=")</f>
        <v>#REF!</v>
      </c>
      <c r="IB303" t="e">
        <f>AND(#REF!,"AAAAAH+vc+s=")</f>
        <v>#REF!</v>
      </c>
      <c r="IC303" t="e">
        <f>AND(#REF!,"AAAAAH+vc+w=")</f>
        <v>#REF!</v>
      </c>
      <c r="ID303" t="e">
        <f>AND(#REF!,"AAAAAH+vc+0=")</f>
        <v>#REF!</v>
      </c>
      <c r="IE303" t="e">
        <f>AND(#REF!,"AAAAAH+vc+4=")</f>
        <v>#REF!</v>
      </c>
      <c r="IF303" t="e">
        <f>AND(#REF!,"AAAAAH+vc+8=")</f>
        <v>#REF!</v>
      </c>
      <c r="IG303" t="e">
        <f>AND(#REF!,"AAAAAH+vc/A=")</f>
        <v>#REF!</v>
      </c>
      <c r="IH303" t="e">
        <f>AND(#REF!,"AAAAAH+vc/E=")</f>
        <v>#REF!</v>
      </c>
      <c r="II303" t="e">
        <f>AND(#REF!,"AAAAAH+vc/I=")</f>
        <v>#REF!</v>
      </c>
      <c r="IJ303" t="e">
        <f>AND(#REF!,"AAAAAH+vc/M=")</f>
        <v>#REF!</v>
      </c>
      <c r="IK303" t="e">
        <f>AND(#REF!,"AAAAAH+vc/Q=")</f>
        <v>#REF!</v>
      </c>
      <c r="IL303" t="e">
        <f>AND(#REF!,"AAAAAH+vc/U=")</f>
        <v>#REF!</v>
      </c>
      <c r="IM303" t="e">
        <f>AND(#REF!,"AAAAAH+vc/Y=")</f>
        <v>#REF!</v>
      </c>
      <c r="IN303" t="e">
        <f>AND(#REF!,"AAAAAH+vc/c=")</f>
        <v>#REF!</v>
      </c>
      <c r="IO303" t="e">
        <f>IF(#REF!,"AAAAAH+vc/g=",0)</f>
        <v>#REF!</v>
      </c>
      <c r="IP303" t="e">
        <f>AND(#REF!,"AAAAAH+vc/k=")</f>
        <v>#REF!</v>
      </c>
      <c r="IQ303" t="e">
        <f>AND(#REF!,"AAAAAH+vc/o=")</f>
        <v>#REF!</v>
      </c>
      <c r="IR303" t="e">
        <f>AND(#REF!,"AAAAAH+vc/s=")</f>
        <v>#REF!</v>
      </c>
      <c r="IS303" t="e">
        <f>AND(#REF!,"AAAAAH+vc/w=")</f>
        <v>#REF!</v>
      </c>
      <c r="IT303" t="e">
        <f>AND(#REF!,"AAAAAH+vc/0=")</f>
        <v>#REF!</v>
      </c>
      <c r="IU303" t="e">
        <f>AND(#REF!,"AAAAAH+vc/4=")</f>
        <v>#REF!</v>
      </c>
      <c r="IV303" t="e">
        <f>AND(#REF!,"AAAAAH+vc/8=")</f>
        <v>#REF!</v>
      </c>
    </row>
    <row r="304" spans="1:256">
      <c r="A304" t="e">
        <f>AND(#REF!,"AAAAAB7nuwA=")</f>
        <v>#REF!</v>
      </c>
      <c r="B304" t="e">
        <f>AND(#REF!,"AAAAAB7nuwE=")</f>
        <v>#REF!</v>
      </c>
      <c r="C304" t="e">
        <f>AND(#REF!,"AAAAAB7nuwI=")</f>
        <v>#REF!</v>
      </c>
      <c r="D304" t="e">
        <f>AND(#REF!,"AAAAAB7nuwM=")</f>
        <v>#REF!</v>
      </c>
      <c r="E304" t="e">
        <f>AND(#REF!,"AAAAAB7nuwQ=")</f>
        <v>#REF!</v>
      </c>
      <c r="F304" t="e">
        <f>AND(#REF!,"AAAAAB7nuwU=")</f>
        <v>#REF!</v>
      </c>
      <c r="G304" t="e">
        <f>AND(#REF!,"AAAAAB7nuwY=")</f>
        <v>#REF!</v>
      </c>
      <c r="H304" t="e">
        <f>AND(#REF!,"AAAAAB7nuwc=")</f>
        <v>#REF!</v>
      </c>
      <c r="I304" t="e">
        <f>AND(#REF!,"AAAAAB7nuwg=")</f>
        <v>#REF!</v>
      </c>
      <c r="J304" t="e">
        <f>AND(#REF!,"AAAAAB7nuwk=")</f>
        <v>#REF!</v>
      </c>
      <c r="K304" t="e">
        <f>AND(#REF!,"AAAAAB7nuwo=")</f>
        <v>#REF!</v>
      </c>
      <c r="L304" t="e">
        <f>AND(#REF!,"AAAAAB7nuws=")</f>
        <v>#REF!</v>
      </c>
      <c r="M304" t="e">
        <f>AND(#REF!,"AAAAAB7nuww=")</f>
        <v>#REF!</v>
      </c>
      <c r="N304" t="e">
        <f>AND(#REF!,"AAAAAB7nuw0=")</f>
        <v>#REF!</v>
      </c>
      <c r="O304" t="e">
        <f>AND(#REF!,"AAAAAB7nuw4=")</f>
        <v>#REF!</v>
      </c>
      <c r="P304" t="e">
        <f>AND(#REF!,"AAAAAB7nuw8=")</f>
        <v>#REF!</v>
      </c>
      <c r="Q304" t="e">
        <f>AND(#REF!,"AAAAAB7nuxA=")</f>
        <v>#REF!</v>
      </c>
      <c r="R304" t="e">
        <f>IF(#REF!,"AAAAAB7nuxE=",0)</f>
        <v>#REF!</v>
      </c>
      <c r="S304" t="e">
        <f>AND(#REF!,"AAAAAB7nuxI=")</f>
        <v>#REF!</v>
      </c>
      <c r="T304" t="e">
        <f>AND(#REF!,"AAAAAB7nuxM=")</f>
        <v>#REF!</v>
      </c>
      <c r="U304" t="e">
        <f>AND(#REF!,"AAAAAB7nuxQ=")</f>
        <v>#REF!</v>
      </c>
      <c r="V304" t="e">
        <f>AND(#REF!,"AAAAAB7nuxU=")</f>
        <v>#REF!</v>
      </c>
      <c r="W304" t="e">
        <f>AND(#REF!,"AAAAAB7nuxY=")</f>
        <v>#REF!</v>
      </c>
      <c r="X304" t="e">
        <f>AND(#REF!,"AAAAAB7nuxc=")</f>
        <v>#REF!</v>
      </c>
      <c r="Y304" t="e">
        <f>AND(#REF!,"AAAAAB7nuxg=")</f>
        <v>#REF!</v>
      </c>
      <c r="Z304" t="e">
        <f>AND(#REF!,"AAAAAB7nuxk=")</f>
        <v>#REF!</v>
      </c>
      <c r="AA304" t="e">
        <f>AND(#REF!,"AAAAAB7nuxo=")</f>
        <v>#REF!</v>
      </c>
      <c r="AB304" t="e">
        <f>AND(#REF!,"AAAAAB7nuxs=")</f>
        <v>#REF!</v>
      </c>
      <c r="AC304" t="e">
        <f>AND(#REF!,"AAAAAB7nuxw=")</f>
        <v>#REF!</v>
      </c>
      <c r="AD304" t="e">
        <f>AND(#REF!,"AAAAAB7nux0=")</f>
        <v>#REF!</v>
      </c>
      <c r="AE304" t="e">
        <f>AND(#REF!,"AAAAAB7nux4=")</f>
        <v>#REF!</v>
      </c>
      <c r="AF304" t="e">
        <f>AND(#REF!,"AAAAAB7nux8=")</f>
        <v>#REF!</v>
      </c>
      <c r="AG304" t="e">
        <f>AND(#REF!,"AAAAAB7nuyA=")</f>
        <v>#REF!</v>
      </c>
      <c r="AH304" t="e">
        <f>AND(#REF!,"AAAAAB7nuyE=")</f>
        <v>#REF!</v>
      </c>
      <c r="AI304" t="e">
        <f>AND(#REF!,"AAAAAB7nuyI=")</f>
        <v>#REF!</v>
      </c>
      <c r="AJ304" t="e">
        <f>AND(#REF!,"AAAAAB7nuyM=")</f>
        <v>#REF!</v>
      </c>
      <c r="AK304" t="e">
        <f>AND(#REF!,"AAAAAB7nuyQ=")</f>
        <v>#REF!</v>
      </c>
      <c r="AL304" t="e">
        <f>AND(#REF!,"AAAAAB7nuyU=")</f>
        <v>#REF!</v>
      </c>
      <c r="AM304" t="e">
        <f>AND(#REF!,"AAAAAB7nuyY=")</f>
        <v>#REF!</v>
      </c>
      <c r="AN304" t="e">
        <f>AND(#REF!,"AAAAAB7nuyc=")</f>
        <v>#REF!</v>
      </c>
      <c r="AO304" t="e">
        <f>AND(#REF!,"AAAAAB7nuyg=")</f>
        <v>#REF!</v>
      </c>
      <c r="AP304" t="e">
        <f>AND(#REF!,"AAAAAB7nuyk=")</f>
        <v>#REF!</v>
      </c>
      <c r="AQ304" t="e">
        <f>IF(#REF!,"AAAAAB7nuyo=",0)</f>
        <v>#REF!</v>
      </c>
      <c r="AR304" t="e">
        <f>AND(#REF!,"AAAAAB7nuys=")</f>
        <v>#REF!</v>
      </c>
      <c r="AS304" t="e">
        <f>AND(#REF!,"AAAAAB7nuyw=")</f>
        <v>#REF!</v>
      </c>
      <c r="AT304" t="e">
        <f>AND(#REF!,"AAAAAB7nuy0=")</f>
        <v>#REF!</v>
      </c>
      <c r="AU304" t="e">
        <f>AND(#REF!,"AAAAAB7nuy4=")</f>
        <v>#REF!</v>
      </c>
      <c r="AV304" t="e">
        <f>AND(#REF!,"AAAAAB7nuy8=")</f>
        <v>#REF!</v>
      </c>
      <c r="AW304" t="e">
        <f>AND(#REF!,"AAAAAB7nuzA=")</f>
        <v>#REF!</v>
      </c>
      <c r="AX304" t="e">
        <f>AND(#REF!,"AAAAAB7nuzE=")</f>
        <v>#REF!</v>
      </c>
      <c r="AY304" t="e">
        <f>AND(#REF!,"AAAAAB7nuzI=")</f>
        <v>#REF!</v>
      </c>
      <c r="AZ304" t="e">
        <f>AND(#REF!,"AAAAAB7nuzM=")</f>
        <v>#REF!</v>
      </c>
      <c r="BA304" t="e">
        <f>AND(#REF!,"AAAAAB7nuzQ=")</f>
        <v>#REF!</v>
      </c>
      <c r="BB304" t="e">
        <f>AND(#REF!,"AAAAAB7nuzU=")</f>
        <v>#REF!</v>
      </c>
      <c r="BC304" t="e">
        <f>AND(#REF!,"AAAAAB7nuzY=")</f>
        <v>#REF!</v>
      </c>
      <c r="BD304" t="e">
        <f>AND(#REF!,"AAAAAB7nuzc=")</f>
        <v>#REF!</v>
      </c>
      <c r="BE304" t="e">
        <f>AND(#REF!,"AAAAAB7nuzg=")</f>
        <v>#REF!</v>
      </c>
      <c r="BF304" t="e">
        <f>AND(#REF!,"AAAAAB7nuzk=")</f>
        <v>#REF!</v>
      </c>
      <c r="BG304" t="e">
        <f>AND(#REF!,"AAAAAB7nuzo=")</f>
        <v>#REF!</v>
      </c>
      <c r="BH304" t="e">
        <f>AND(#REF!,"AAAAAB7nuzs=")</f>
        <v>#REF!</v>
      </c>
      <c r="BI304" t="e">
        <f>AND(#REF!,"AAAAAB7nuzw=")</f>
        <v>#REF!</v>
      </c>
      <c r="BJ304" t="e">
        <f>AND(#REF!,"AAAAAB7nuz0=")</f>
        <v>#REF!</v>
      </c>
      <c r="BK304" t="e">
        <f>AND(#REF!,"AAAAAB7nuz4=")</f>
        <v>#REF!</v>
      </c>
      <c r="BL304" t="e">
        <f>AND(#REF!,"AAAAAB7nuz8=")</f>
        <v>#REF!</v>
      </c>
      <c r="BM304" t="e">
        <f>AND(#REF!,"AAAAAB7nu0A=")</f>
        <v>#REF!</v>
      </c>
      <c r="BN304" t="e">
        <f>AND(#REF!,"AAAAAB7nu0E=")</f>
        <v>#REF!</v>
      </c>
      <c r="BO304" t="e">
        <f>AND(#REF!,"AAAAAB7nu0I=")</f>
        <v>#REF!</v>
      </c>
      <c r="BP304" t="e">
        <f>IF(#REF!,"AAAAAB7nu0M=",0)</f>
        <v>#REF!</v>
      </c>
      <c r="BQ304" t="e">
        <f>AND(#REF!,"AAAAAB7nu0Q=")</f>
        <v>#REF!</v>
      </c>
      <c r="BR304" t="e">
        <f>AND(#REF!,"AAAAAB7nu0U=")</f>
        <v>#REF!</v>
      </c>
      <c r="BS304" t="e">
        <f>AND(#REF!,"AAAAAB7nu0Y=")</f>
        <v>#REF!</v>
      </c>
      <c r="BT304" t="e">
        <f>AND(#REF!,"AAAAAB7nu0c=")</f>
        <v>#REF!</v>
      </c>
      <c r="BU304" t="e">
        <f>AND(#REF!,"AAAAAB7nu0g=")</f>
        <v>#REF!</v>
      </c>
      <c r="BV304" t="e">
        <f>AND(#REF!,"AAAAAB7nu0k=")</f>
        <v>#REF!</v>
      </c>
      <c r="BW304" t="e">
        <f>AND(#REF!,"AAAAAB7nu0o=")</f>
        <v>#REF!</v>
      </c>
      <c r="BX304" t="e">
        <f>AND(#REF!,"AAAAAB7nu0s=")</f>
        <v>#REF!</v>
      </c>
      <c r="BY304" t="e">
        <f>AND(#REF!,"AAAAAB7nu0w=")</f>
        <v>#REF!</v>
      </c>
      <c r="BZ304" t="e">
        <f>AND(#REF!,"AAAAAB7nu00=")</f>
        <v>#REF!</v>
      </c>
      <c r="CA304" t="e">
        <f>AND(#REF!,"AAAAAB7nu04=")</f>
        <v>#REF!</v>
      </c>
      <c r="CB304" t="e">
        <f>AND(#REF!,"AAAAAB7nu08=")</f>
        <v>#REF!</v>
      </c>
      <c r="CC304" t="e">
        <f>AND(#REF!,"AAAAAB7nu1A=")</f>
        <v>#REF!</v>
      </c>
      <c r="CD304" t="e">
        <f>AND(#REF!,"AAAAAB7nu1E=")</f>
        <v>#REF!</v>
      </c>
      <c r="CE304" t="e">
        <f>AND(#REF!,"AAAAAB7nu1I=")</f>
        <v>#REF!</v>
      </c>
      <c r="CF304" t="e">
        <f>AND(#REF!,"AAAAAB7nu1M=")</f>
        <v>#REF!</v>
      </c>
      <c r="CG304" t="e">
        <f>AND(#REF!,"AAAAAB7nu1Q=")</f>
        <v>#REF!</v>
      </c>
      <c r="CH304" t="e">
        <f>AND(#REF!,"AAAAAB7nu1U=")</f>
        <v>#REF!</v>
      </c>
      <c r="CI304" t="e">
        <f>AND(#REF!,"AAAAAB7nu1Y=")</f>
        <v>#REF!</v>
      </c>
      <c r="CJ304" t="e">
        <f>AND(#REF!,"AAAAAB7nu1c=")</f>
        <v>#REF!</v>
      </c>
      <c r="CK304" t="e">
        <f>AND(#REF!,"AAAAAB7nu1g=")</f>
        <v>#REF!</v>
      </c>
      <c r="CL304" t="e">
        <f>AND(#REF!,"AAAAAB7nu1k=")</f>
        <v>#REF!</v>
      </c>
      <c r="CM304" t="e">
        <f>AND(#REF!,"AAAAAB7nu1o=")</f>
        <v>#REF!</v>
      </c>
      <c r="CN304" t="e">
        <f>AND(#REF!,"AAAAAB7nu1s=")</f>
        <v>#REF!</v>
      </c>
      <c r="CO304" t="e">
        <f>IF(#REF!,"AAAAAB7nu1w=",0)</f>
        <v>#REF!</v>
      </c>
      <c r="CP304" t="e">
        <f>AND(#REF!,"AAAAAB7nu10=")</f>
        <v>#REF!</v>
      </c>
      <c r="CQ304" t="e">
        <f>AND(#REF!,"AAAAAB7nu14=")</f>
        <v>#REF!</v>
      </c>
      <c r="CR304" t="e">
        <f>AND(#REF!,"AAAAAB7nu18=")</f>
        <v>#REF!</v>
      </c>
      <c r="CS304" t="e">
        <f>AND(#REF!,"AAAAAB7nu2A=")</f>
        <v>#REF!</v>
      </c>
      <c r="CT304" t="e">
        <f>AND(#REF!,"AAAAAB7nu2E=")</f>
        <v>#REF!</v>
      </c>
      <c r="CU304" t="e">
        <f>AND(#REF!,"AAAAAB7nu2I=")</f>
        <v>#REF!</v>
      </c>
      <c r="CV304" t="e">
        <f>AND(#REF!,"AAAAAB7nu2M=")</f>
        <v>#REF!</v>
      </c>
      <c r="CW304" t="e">
        <f>AND(#REF!,"AAAAAB7nu2Q=")</f>
        <v>#REF!</v>
      </c>
      <c r="CX304" t="e">
        <f>AND(#REF!,"AAAAAB7nu2U=")</f>
        <v>#REF!</v>
      </c>
      <c r="CY304" t="e">
        <f>AND(#REF!,"AAAAAB7nu2Y=")</f>
        <v>#REF!</v>
      </c>
      <c r="CZ304" t="e">
        <f>AND(#REF!,"AAAAAB7nu2c=")</f>
        <v>#REF!</v>
      </c>
      <c r="DA304" t="e">
        <f>AND(#REF!,"AAAAAB7nu2g=")</f>
        <v>#REF!</v>
      </c>
      <c r="DB304" t="e">
        <f>AND(#REF!,"AAAAAB7nu2k=")</f>
        <v>#REF!</v>
      </c>
      <c r="DC304" t="e">
        <f>AND(#REF!,"AAAAAB7nu2o=")</f>
        <v>#REF!</v>
      </c>
      <c r="DD304" t="e">
        <f>AND(#REF!,"AAAAAB7nu2s=")</f>
        <v>#REF!</v>
      </c>
      <c r="DE304" t="e">
        <f>AND(#REF!,"AAAAAB7nu2w=")</f>
        <v>#REF!</v>
      </c>
      <c r="DF304" t="e">
        <f>AND(#REF!,"AAAAAB7nu20=")</f>
        <v>#REF!</v>
      </c>
      <c r="DG304" t="e">
        <f>AND(#REF!,"AAAAAB7nu24=")</f>
        <v>#REF!</v>
      </c>
      <c r="DH304" t="e">
        <f>AND(#REF!,"AAAAAB7nu28=")</f>
        <v>#REF!</v>
      </c>
      <c r="DI304" t="e">
        <f>AND(#REF!,"AAAAAB7nu3A=")</f>
        <v>#REF!</v>
      </c>
      <c r="DJ304" t="e">
        <f>AND(#REF!,"AAAAAB7nu3E=")</f>
        <v>#REF!</v>
      </c>
      <c r="DK304" t="e">
        <f>AND(#REF!,"AAAAAB7nu3I=")</f>
        <v>#REF!</v>
      </c>
      <c r="DL304" t="e">
        <f>AND(#REF!,"AAAAAB7nu3M=")</f>
        <v>#REF!</v>
      </c>
      <c r="DM304" t="e">
        <f>AND(#REF!,"AAAAAB7nu3Q=")</f>
        <v>#REF!</v>
      </c>
      <c r="DN304" t="e">
        <f>IF(#REF!,"AAAAAB7nu3U=",0)</f>
        <v>#REF!</v>
      </c>
      <c r="DO304" t="e">
        <f>AND(#REF!,"AAAAAB7nu3Y=")</f>
        <v>#REF!</v>
      </c>
      <c r="DP304" t="e">
        <f>AND(#REF!,"AAAAAB7nu3c=")</f>
        <v>#REF!</v>
      </c>
      <c r="DQ304" t="e">
        <f>AND(#REF!,"AAAAAB7nu3g=")</f>
        <v>#REF!</v>
      </c>
      <c r="DR304" t="e">
        <f>AND(#REF!,"AAAAAB7nu3k=")</f>
        <v>#REF!</v>
      </c>
      <c r="DS304" t="e">
        <f>AND(#REF!,"AAAAAB7nu3o=")</f>
        <v>#REF!</v>
      </c>
      <c r="DT304" t="e">
        <f>AND(#REF!,"AAAAAB7nu3s=")</f>
        <v>#REF!</v>
      </c>
      <c r="DU304" t="e">
        <f>AND(#REF!,"AAAAAB7nu3w=")</f>
        <v>#REF!</v>
      </c>
      <c r="DV304" t="e">
        <f>AND(#REF!,"AAAAAB7nu30=")</f>
        <v>#REF!</v>
      </c>
      <c r="DW304" t="e">
        <f>AND(#REF!,"AAAAAB7nu34=")</f>
        <v>#REF!</v>
      </c>
      <c r="DX304" t="e">
        <f>AND(#REF!,"AAAAAB7nu38=")</f>
        <v>#REF!</v>
      </c>
      <c r="DY304" t="e">
        <f>AND(#REF!,"AAAAAB7nu4A=")</f>
        <v>#REF!</v>
      </c>
      <c r="DZ304" t="e">
        <f>AND(#REF!,"AAAAAB7nu4E=")</f>
        <v>#REF!</v>
      </c>
      <c r="EA304" t="e">
        <f>AND(#REF!,"AAAAAB7nu4I=")</f>
        <v>#REF!</v>
      </c>
      <c r="EB304" t="e">
        <f>AND(#REF!,"AAAAAB7nu4M=")</f>
        <v>#REF!</v>
      </c>
      <c r="EC304" t="e">
        <f>AND(#REF!,"AAAAAB7nu4Q=")</f>
        <v>#REF!</v>
      </c>
      <c r="ED304" t="e">
        <f>AND(#REF!,"AAAAAB7nu4U=")</f>
        <v>#REF!</v>
      </c>
      <c r="EE304" t="e">
        <f>AND(#REF!,"AAAAAB7nu4Y=")</f>
        <v>#REF!</v>
      </c>
      <c r="EF304" t="e">
        <f>AND(#REF!,"AAAAAB7nu4c=")</f>
        <v>#REF!</v>
      </c>
      <c r="EG304" t="e">
        <f>AND(#REF!,"AAAAAB7nu4g=")</f>
        <v>#REF!</v>
      </c>
      <c r="EH304" t="e">
        <f>AND(#REF!,"AAAAAB7nu4k=")</f>
        <v>#REF!</v>
      </c>
      <c r="EI304" t="e">
        <f>AND(#REF!,"AAAAAB7nu4o=")</f>
        <v>#REF!</v>
      </c>
      <c r="EJ304" t="e">
        <f>AND(#REF!,"AAAAAB7nu4s=")</f>
        <v>#REF!</v>
      </c>
      <c r="EK304" t="e">
        <f>AND(#REF!,"AAAAAB7nu4w=")</f>
        <v>#REF!</v>
      </c>
      <c r="EL304" t="e">
        <f>AND(#REF!,"AAAAAB7nu40=")</f>
        <v>#REF!</v>
      </c>
      <c r="EM304" t="e">
        <f>IF(#REF!,"AAAAAB7nu44=",0)</f>
        <v>#REF!</v>
      </c>
      <c r="EN304" t="e">
        <f>AND(#REF!,"AAAAAB7nu48=")</f>
        <v>#REF!</v>
      </c>
      <c r="EO304" t="e">
        <f>AND(#REF!,"AAAAAB7nu5A=")</f>
        <v>#REF!</v>
      </c>
      <c r="EP304" t="e">
        <f>AND(#REF!,"AAAAAB7nu5E=")</f>
        <v>#REF!</v>
      </c>
      <c r="EQ304" t="e">
        <f>AND(#REF!,"AAAAAB7nu5I=")</f>
        <v>#REF!</v>
      </c>
      <c r="ER304" t="e">
        <f>AND(#REF!,"AAAAAB7nu5M=")</f>
        <v>#REF!</v>
      </c>
      <c r="ES304" t="e">
        <f>AND(#REF!,"AAAAAB7nu5Q=")</f>
        <v>#REF!</v>
      </c>
      <c r="ET304" t="e">
        <f>AND(#REF!,"AAAAAB7nu5U=")</f>
        <v>#REF!</v>
      </c>
      <c r="EU304" t="e">
        <f>AND(#REF!,"AAAAAB7nu5Y=")</f>
        <v>#REF!</v>
      </c>
      <c r="EV304" t="e">
        <f>AND(#REF!,"AAAAAB7nu5c=")</f>
        <v>#REF!</v>
      </c>
      <c r="EW304" t="e">
        <f>AND(#REF!,"AAAAAB7nu5g=")</f>
        <v>#REF!</v>
      </c>
      <c r="EX304" t="e">
        <f>AND(#REF!,"AAAAAB7nu5k=")</f>
        <v>#REF!</v>
      </c>
      <c r="EY304" t="e">
        <f>AND(#REF!,"AAAAAB7nu5o=")</f>
        <v>#REF!</v>
      </c>
      <c r="EZ304" t="e">
        <f>AND(#REF!,"AAAAAB7nu5s=")</f>
        <v>#REF!</v>
      </c>
      <c r="FA304" t="e">
        <f>AND(#REF!,"AAAAAB7nu5w=")</f>
        <v>#REF!</v>
      </c>
      <c r="FB304" t="e">
        <f>AND(#REF!,"AAAAAB7nu50=")</f>
        <v>#REF!</v>
      </c>
      <c r="FC304" t="e">
        <f>AND(#REF!,"AAAAAB7nu54=")</f>
        <v>#REF!</v>
      </c>
      <c r="FD304" t="e">
        <f>AND(#REF!,"AAAAAB7nu58=")</f>
        <v>#REF!</v>
      </c>
      <c r="FE304" t="e">
        <f>AND(#REF!,"AAAAAB7nu6A=")</f>
        <v>#REF!</v>
      </c>
      <c r="FF304" t="e">
        <f>AND(#REF!,"AAAAAB7nu6E=")</f>
        <v>#REF!</v>
      </c>
      <c r="FG304" t="e">
        <f>AND(#REF!,"AAAAAB7nu6I=")</f>
        <v>#REF!</v>
      </c>
      <c r="FH304" t="e">
        <f>AND(#REF!,"AAAAAB7nu6M=")</f>
        <v>#REF!</v>
      </c>
      <c r="FI304" t="e">
        <f>AND(#REF!,"AAAAAB7nu6Q=")</f>
        <v>#REF!</v>
      </c>
      <c r="FJ304" t="e">
        <f>AND(#REF!,"AAAAAB7nu6U=")</f>
        <v>#REF!</v>
      </c>
      <c r="FK304" t="e">
        <f>AND(#REF!,"AAAAAB7nu6Y=")</f>
        <v>#REF!</v>
      </c>
      <c r="FL304" t="e">
        <f>IF(#REF!,"AAAAAB7nu6c=",0)</f>
        <v>#REF!</v>
      </c>
      <c r="FM304" t="e">
        <f>AND(#REF!,"AAAAAB7nu6g=")</f>
        <v>#REF!</v>
      </c>
      <c r="FN304" t="e">
        <f>AND(#REF!,"AAAAAB7nu6k=")</f>
        <v>#REF!</v>
      </c>
      <c r="FO304" t="e">
        <f>AND(#REF!,"AAAAAB7nu6o=")</f>
        <v>#REF!</v>
      </c>
      <c r="FP304" t="e">
        <f>AND(#REF!,"AAAAAB7nu6s=")</f>
        <v>#REF!</v>
      </c>
      <c r="FQ304" t="e">
        <f>AND(#REF!,"AAAAAB7nu6w=")</f>
        <v>#REF!</v>
      </c>
      <c r="FR304" t="e">
        <f>AND(#REF!,"AAAAAB7nu60=")</f>
        <v>#REF!</v>
      </c>
      <c r="FS304" t="e">
        <f>AND(#REF!,"AAAAAB7nu64=")</f>
        <v>#REF!</v>
      </c>
      <c r="FT304" t="e">
        <f>AND(#REF!,"AAAAAB7nu68=")</f>
        <v>#REF!</v>
      </c>
      <c r="FU304" t="e">
        <f>AND(#REF!,"AAAAAB7nu7A=")</f>
        <v>#REF!</v>
      </c>
      <c r="FV304" t="e">
        <f>AND(#REF!,"AAAAAB7nu7E=")</f>
        <v>#REF!</v>
      </c>
      <c r="FW304" t="e">
        <f>AND(#REF!,"AAAAAB7nu7I=")</f>
        <v>#REF!</v>
      </c>
      <c r="FX304" t="e">
        <f>AND(#REF!,"AAAAAB7nu7M=")</f>
        <v>#REF!</v>
      </c>
      <c r="FY304" t="e">
        <f>AND(#REF!,"AAAAAB7nu7Q=")</f>
        <v>#REF!</v>
      </c>
      <c r="FZ304" t="e">
        <f>AND(#REF!,"AAAAAB7nu7U=")</f>
        <v>#REF!</v>
      </c>
      <c r="GA304" t="e">
        <f>AND(#REF!,"AAAAAB7nu7Y=")</f>
        <v>#REF!</v>
      </c>
      <c r="GB304" t="e">
        <f>AND(#REF!,"AAAAAB7nu7c=")</f>
        <v>#REF!</v>
      </c>
      <c r="GC304" t="e">
        <f>AND(#REF!,"AAAAAB7nu7g=")</f>
        <v>#REF!</v>
      </c>
      <c r="GD304" t="e">
        <f>AND(#REF!,"AAAAAB7nu7k=")</f>
        <v>#REF!</v>
      </c>
      <c r="GE304" t="e">
        <f>AND(#REF!,"AAAAAB7nu7o=")</f>
        <v>#REF!</v>
      </c>
      <c r="GF304" t="e">
        <f>AND(#REF!,"AAAAAB7nu7s=")</f>
        <v>#REF!</v>
      </c>
      <c r="GG304" t="e">
        <f>AND(#REF!,"AAAAAB7nu7w=")</f>
        <v>#REF!</v>
      </c>
      <c r="GH304" t="e">
        <f>AND(#REF!,"AAAAAB7nu70=")</f>
        <v>#REF!</v>
      </c>
      <c r="GI304" t="e">
        <f>AND(#REF!,"AAAAAB7nu74=")</f>
        <v>#REF!</v>
      </c>
      <c r="GJ304" t="e">
        <f>AND(#REF!,"AAAAAB7nu78=")</f>
        <v>#REF!</v>
      </c>
      <c r="GK304" t="e">
        <f>IF(#REF!,"AAAAAB7nu8A=",0)</f>
        <v>#REF!</v>
      </c>
      <c r="GL304" t="e">
        <f>AND(#REF!,"AAAAAB7nu8E=")</f>
        <v>#REF!</v>
      </c>
      <c r="GM304" t="e">
        <f>AND(#REF!,"AAAAAB7nu8I=")</f>
        <v>#REF!</v>
      </c>
      <c r="GN304" t="e">
        <f>AND(#REF!,"AAAAAB7nu8M=")</f>
        <v>#REF!</v>
      </c>
      <c r="GO304" t="e">
        <f>AND(#REF!,"AAAAAB7nu8Q=")</f>
        <v>#REF!</v>
      </c>
      <c r="GP304" t="e">
        <f>AND(#REF!,"AAAAAB7nu8U=")</f>
        <v>#REF!</v>
      </c>
      <c r="GQ304" t="e">
        <f>AND(#REF!,"AAAAAB7nu8Y=")</f>
        <v>#REF!</v>
      </c>
      <c r="GR304" t="e">
        <f>AND(#REF!,"AAAAAB7nu8c=")</f>
        <v>#REF!</v>
      </c>
      <c r="GS304" t="e">
        <f>AND(#REF!,"AAAAAB7nu8g=")</f>
        <v>#REF!</v>
      </c>
      <c r="GT304" t="e">
        <f>AND(#REF!,"AAAAAB7nu8k=")</f>
        <v>#REF!</v>
      </c>
      <c r="GU304" t="e">
        <f>AND(#REF!,"AAAAAB7nu8o=")</f>
        <v>#REF!</v>
      </c>
      <c r="GV304" t="e">
        <f>AND(#REF!,"AAAAAB7nu8s=")</f>
        <v>#REF!</v>
      </c>
      <c r="GW304" t="e">
        <f>AND(#REF!,"AAAAAB7nu8w=")</f>
        <v>#REF!</v>
      </c>
      <c r="GX304" t="e">
        <f>AND(#REF!,"AAAAAB7nu80=")</f>
        <v>#REF!</v>
      </c>
      <c r="GY304" t="e">
        <f>AND(#REF!,"AAAAAB7nu84=")</f>
        <v>#REF!</v>
      </c>
      <c r="GZ304" t="e">
        <f>AND(#REF!,"AAAAAB7nu88=")</f>
        <v>#REF!</v>
      </c>
      <c r="HA304" t="e">
        <f>AND(#REF!,"AAAAAB7nu9A=")</f>
        <v>#REF!</v>
      </c>
      <c r="HB304" t="e">
        <f>AND(#REF!,"AAAAAB7nu9E=")</f>
        <v>#REF!</v>
      </c>
      <c r="HC304" t="e">
        <f>AND(#REF!,"AAAAAB7nu9I=")</f>
        <v>#REF!</v>
      </c>
      <c r="HD304" t="e">
        <f>AND(#REF!,"AAAAAB7nu9M=")</f>
        <v>#REF!</v>
      </c>
      <c r="HE304" t="e">
        <f>AND(#REF!,"AAAAAB7nu9Q=")</f>
        <v>#REF!</v>
      </c>
      <c r="HF304" t="e">
        <f>AND(#REF!,"AAAAAB7nu9U=")</f>
        <v>#REF!</v>
      </c>
      <c r="HG304" t="e">
        <f>AND(#REF!,"AAAAAB7nu9Y=")</f>
        <v>#REF!</v>
      </c>
      <c r="HH304" t="e">
        <f>AND(#REF!,"AAAAAB7nu9c=")</f>
        <v>#REF!</v>
      </c>
      <c r="HI304" t="e">
        <f>AND(#REF!,"AAAAAB7nu9g=")</f>
        <v>#REF!</v>
      </c>
      <c r="HJ304" t="e">
        <f>IF(#REF!,"AAAAAB7nu9k=",0)</f>
        <v>#REF!</v>
      </c>
      <c r="HK304" t="e">
        <f>AND(#REF!,"AAAAAB7nu9o=")</f>
        <v>#REF!</v>
      </c>
      <c r="HL304" t="e">
        <f>AND(#REF!,"AAAAAB7nu9s=")</f>
        <v>#REF!</v>
      </c>
      <c r="HM304" t="e">
        <f>AND(#REF!,"AAAAAB7nu9w=")</f>
        <v>#REF!</v>
      </c>
      <c r="HN304" t="e">
        <f>AND(#REF!,"AAAAAB7nu90=")</f>
        <v>#REF!</v>
      </c>
      <c r="HO304" t="e">
        <f>AND(#REF!,"AAAAAB7nu94=")</f>
        <v>#REF!</v>
      </c>
      <c r="HP304" t="e">
        <f>AND(#REF!,"AAAAAB7nu98=")</f>
        <v>#REF!</v>
      </c>
      <c r="HQ304" t="e">
        <f>AND(#REF!,"AAAAAB7nu+A=")</f>
        <v>#REF!</v>
      </c>
      <c r="HR304" t="e">
        <f>AND(#REF!,"AAAAAB7nu+E=")</f>
        <v>#REF!</v>
      </c>
      <c r="HS304" t="e">
        <f>AND(#REF!,"AAAAAB7nu+I=")</f>
        <v>#REF!</v>
      </c>
      <c r="HT304" t="e">
        <f>AND(#REF!,"AAAAAB7nu+M=")</f>
        <v>#REF!</v>
      </c>
      <c r="HU304" t="e">
        <f>AND(#REF!,"AAAAAB7nu+Q=")</f>
        <v>#REF!</v>
      </c>
      <c r="HV304" t="e">
        <f>AND(#REF!,"AAAAAB7nu+U=")</f>
        <v>#REF!</v>
      </c>
      <c r="HW304" t="e">
        <f>AND(#REF!,"AAAAAB7nu+Y=")</f>
        <v>#REF!</v>
      </c>
      <c r="HX304" t="e">
        <f>AND(#REF!,"AAAAAB7nu+c=")</f>
        <v>#REF!</v>
      </c>
      <c r="HY304" t="e">
        <f>AND(#REF!,"AAAAAB7nu+g=")</f>
        <v>#REF!</v>
      </c>
      <c r="HZ304" t="e">
        <f>AND(#REF!,"AAAAAB7nu+k=")</f>
        <v>#REF!</v>
      </c>
      <c r="IA304" t="e">
        <f>AND(#REF!,"AAAAAB7nu+o=")</f>
        <v>#REF!</v>
      </c>
      <c r="IB304" t="e">
        <f>AND(#REF!,"AAAAAB7nu+s=")</f>
        <v>#REF!</v>
      </c>
      <c r="IC304" t="e">
        <f>AND(#REF!,"AAAAAB7nu+w=")</f>
        <v>#REF!</v>
      </c>
      <c r="ID304" t="e">
        <f>AND(#REF!,"AAAAAB7nu+0=")</f>
        <v>#REF!</v>
      </c>
      <c r="IE304" t="e">
        <f>AND(#REF!,"AAAAAB7nu+4=")</f>
        <v>#REF!</v>
      </c>
      <c r="IF304" t="e">
        <f>AND(#REF!,"AAAAAB7nu+8=")</f>
        <v>#REF!</v>
      </c>
      <c r="IG304" t="e">
        <f>AND(#REF!,"AAAAAB7nu/A=")</f>
        <v>#REF!</v>
      </c>
      <c r="IH304" t="e">
        <f>AND(#REF!,"AAAAAB7nu/E=")</f>
        <v>#REF!</v>
      </c>
      <c r="II304" t="e">
        <f>IF(#REF!,"AAAAAB7nu/I=",0)</f>
        <v>#REF!</v>
      </c>
      <c r="IJ304" t="e">
        <f>AND(#REF!,"AAAAAB7nu/M=")</f>
        <v>#REF!</v>
      </c>
      <c r="IK304" t="e">
        <f>AND(#REF!,"AAAAAB7nu/Q=")</f>
        <v>#REF!</v>
      </c>
      <c r="IL304" t="e">
        <f>AND(#REF!,"AAAAAB7nu/U=")</f>
        <v>#REF!</v>
      </c>
      <c r="IM304" t="e">
        <f>AND(#REF!,"AAAAAB7nu/Y=")</f>
        <v>#REF!</v>
      </c>
      <c r="IN304" t="e">
        <f>AND(#REF!,"AAAAAB7nu/c=")</f>
        <v>#REF!</v>
      </c>
      <c r="IO304" t="e">
        <f>AND(#REF!,"AAAAAB7nu/g=")</f>
        <v>#REF!</v>
      </c>
      <c r="IP304" t="e">
        <f>AND(#REF!,"AAAAAB7nu/k=")</f>
        <v>#REF!</v>
      </c>
      <c r="IQ304" t="e">
        <f>AND(#REF!,"AAAAAB7nu/o=")</f>
        <v>#REF!</v>
      </c>
      <c r="IR304" t="e">
        <f>AND(#REF!,"AAAAAB7nu/s=")</f>
        <v>#REF!</v>
      </c>
      <c r="IS304" t="e">
        <f>AND(#REF!,"AAAAAB7nu/w=")</f>
        <v>#REF!</v>
      </c>
      <c r="IT304" t="e">
        <f>AND(#REF!,"AAAAAB7nu/0=")</f>
        <v>#REF!</v>
      </c>
      <c r="IU304" t="e">
        <f>AND(#REF!,"AAAAAB7nu/4=")</f>
        <v>#REF!</v>
      </c>
      <c r="IV304" t="e">
        <f>AND(#REF!,"AAAAAB7nu/8=")</f>
        <v>#REF!</v>
      </c>
    </row>
    <row r="305" spans="1:256">
      <c r="A305" t="e">
        <f>AND(#REF!,"AAAAAB7t/wA=")</f>
        <v>#REF!</v>
      </c>
      <c r="B305" t="e">
        <f>AND(#REF!,"AAAAAB7t/wE=")</f>
        <v>#REF!</v>
      </c>
      <c r="C305" t="e">
        <f>AND(#REF!,"AAAAAB7t/wI=")</f>
        <v>#REF!</v>
      </c>
      <c r="D305" t="e">
        <f>AND(#REF!,"AAAAAB7t/wM=")</f>
        <v>#REF!</v>
      </c>
      <c r="E305" t="e">
        <f>AND(#REF!,"AAAAAB7t/wQ=")</f>
        <v>#REF!</v>
      </c>
      <c r="F305" t="e">
        <f>AND(#REF!,"AAAAAB7t/wU=")</f>
        <v>#REF!</v>
      </c>
      <c r="G305" t="e">
        <f>AND(#REF!,"AAAAAB7t/wY=")</f>
        <v>#REF!</v>
      </c>
      <c r="H305" t="e">
        <f>AND(#REF!,"AAAAAB7t/wc=")</f>
        <v>#REF!</v>
      </c>
      <c r="I305" t="e">
        <f>AND(#REF!,"AAAAAB7t/wg=")</f>
        <v>#REF!</v>
      </c>
      <c r="J305" t="e">
        <f>AND(#REF!,"AAAAAB7t/wk=")</f>
        <v>#REF!</v>
      </c>
      <c r="K305" t="e">
        <f>AND(#REF!,"AAAAAB7t/wo=")</f>
        <v>#REF!</v>
      </c>
      <c r="L305" t="e">
        <f>IF(#REF!,"AAAAAB7t/ws=",0)</f>
        <v>#REF!</v>
      </c>
      <c r="M305" t="e">
        <f>AND(#REF!,"AAAAAB7t/ww=")</f>
        <v>#REF!</v>
      </c>
      <c r="N305" t="e">
        <f>AND(#REF!,"AAAAAB7t/w0=")</f>
        <v>#REF!</v>
      </c>
      <c r="O305" t="e">
        <f>AND(#REF!,"AAAAAB7t/w4=")</f>
        <v>#REF!</v>
      </c>
      <c r="P305" t="e">
        <f>AND(#REF!,"AAAAAB7t/w8=")</f>
        <v>#REF!</v>
      </c>
      <c r="Q305" t="e">
        <f>AND(#REF!,"AAAAAB7t/xA=")</f>
        <v>#REF!</v>
      </c>
      <c r="R305" t="e">
        <f>AND(#REF!,"AAAAAB7t/xE=")</f>
        <v>#REF!</v>
      </c>
      <c r="S305" t="e">
        <f>AND(#REF!,"AAAAAB7t/xI=")</f>
        <v>#REF!</v>
      </c>
      <c r="T305" t="e">
        <f>AND(#REF!,"AAAAAB7t/xM=")</f>
        <v>#REF!</v>
      </c>
      <c r="U305" t="e">
        <f>AND(#REF!,"AAAAAB7t/xQ=")</f>
        <v>#REF!</v>
      </c>
      <c r="V305" t="e">
        <f>AND(#REF!,"AAAAAB7t/xU=")</f>
        <v>#REF!</v>
      </c>
      <c r="W305" t="e">
        <f>AND(#REF!,"AAAAAB7t/xY=")</f>
        <v>#REF!</v>
      </c>
      <c r="X305" t="e">
        <f>AND(#REF!,"AAAAAB7t/xc=")</f>
        <v>#REF!</v>
      </c>
      <c r="Y305" t="e">
        <f>AND(#REF!,"AAAAAB7t/xg=")</f>
        <v>#REF!</v>
      </c>
      <c r="Z305" t="e">
        <f>AND(#REF!,"AAAAAB7t/xk=")</f>
        <v>#REF!</v>
      </c>
      <c r="AA305" t="e">
        <f>AND(#REF!,"AAAAAB7t/xo=")</f>
        <v>#REF!</v>
      </c>
      <c r="AB305" t="e">
        <f>AND(#REF!,"AAAAAB7t/xs=")</f>
        <v>#REF!</v>
      </c>
      <c r="AC305" t="e">
        <f>AND(#REF!,"AAAAAB7t/xw=")</f>
        <v>#REF!</v>
      </c>
      <c r="AD305" t="e">
        <f>AND(#REF!,"AAAAAB7t/x0=")</f>
        <v>#REF!</v>
      </c>
      <c r="AE305" t="e">
        <f>AND(#REF!,"AAAAAB7t/x4=")</f>
        <v>#REF!</v>
      </c>
      <c r="AF305" t="e">
        <f>AND(#REF!,"AAAAAB7t/x8=")</f>
        <v>#REF!</v>
      </c>
      <c r="AG305" t="e">
        <f>AND(#REF!,"AAAAAB7t/yA=")</f>
        <v>#REF!</v>
      </c>
      <c r="AH305" t="e">
        <f>AND(#REF!,"AAAAAB7t/yE=")</f>
        <v>#REF!</v>
      </c>
      <c r="AI305" t="e">
        <f>AND(#REF!,"AAAAAB7t/yI=")</f>
        <v>#REF!</v>
      </c>
      <c r="AJ305" t="e">
        <f>AND(#REF!,"AAAAAB7t/yM=")</f>
        <v>#REF!</v>
      </c>
      <c r="AK305" t="e">
        <f>IF(#REF!,"AAAAAB7t/yQ=",0)</f>
        <v>#REF!</v>
      </c>
      <c r="AL305" t="e">
        <f>AND(#REF!,"AAAAAB7t/yU=")</f>
        <v>#REF!</v>
      </c>
      <c r="AM305" t="e">
        <f>AND(#REF!,"AAAAAB7t/yY=")</f>
        <v>#REF!</v>
      </c>
      <c r="AN305" t="e">
        <f>AND(#REF!,"AAAAAB7t/yc=")</f>
        <v>#REF!</v>
      </c>
      <c r="AO305" t="e">
        <f>AND(#REF!,"AAAAAB7t/yg=")</f>
        <v>#REF!</v>
      </c>
      <c r="AP305" t="e">
        <f>AND(#REF!,"AAAAAB7t/yk=")</f>
        <v>#REF!</v>
      </c>
      <c r="AQ305" t="e">
        <f>AND(#REF!,"AAAAAB7t/yo=")</f>
        <v>#REF!</v>
      </c>
      <c r="AR305" t="e">
        <f>AND(#REF!,"AAAAAB7t/ys=")</f>
        <v>#REF!</v>
      </c>
      <c r="AS305" t="e">
        <f>AND(#REF!,"AAAAAB7t/yw=")</f>
        <v>#REF!</v>
      </c>
      <c r="AT305" t="e">
        <f>AND(#REF!,"AAAAAB7t/y0=")</f>
        <v>#REF!</v>
      </c>
      <c r="AU305" t="e">
        <f>AND(#REF!,"AAAAAB7t/y4=")</f>
        <v>#REF!</v>
      </c>
      <c r="AV305" t="e">
        <f>AND(#REF!,"AAAAAB7t/y8=")</f>
        <v>#REF!</v>
      </c>
      <c r="AW305" t="e">
        <f>AND(#REF!,"AAAAAB7t/zA=")</f>
        <v>#REF!</v>
      </c>
      <c r="AX305" t="e">
        <f>AND(#REF!,"AAAAAB7t/zE=")</f>
        <v>#REF!</v>
      </c>
      <c r="AY305" t="e">
        <f>AND(#REF!,"AAAAAB7t/zI=")</f>
        <v>#REF!</v>
      </c>
      <c r="AZ305" t="e">
        <f>AND(#REF!,"AAAAAB7t/zM=")</f>
        <v>#REF!</v>
      </c>
      <c r="BA305" t="e">
        <f>AND(#REF!,"AAAAAB7t/zQ=")</f>
        <v>#REF!</v>
      </c>
      <c r="BB305" t="e">
        <f>AND(#REF!,"AAAAAB7t/zU=")</f>
        <v>#REF!</v>
      </c>
      <c r="BC305" t="e">
        <f>AND(#REF!,"AAAAAB7t/zY=")</f>
        <v>#REF!</v>
      </c>
      <c r="BD305" t="e">
        <f>AND(#REF!,"AAAAAB7t/zc=")</f>
        <v>#REF!</v>
      </c>
      <c r="BE305" t="e">
        <f>AND(#REF!,"AAAAAB7t/zg=")</f>
        <v>#REF!</v>
      </c>
      <c r="BF305" t="e">
        <f>AND(#REF!,"AAAAAB7t/zk=")</f>
        <v>#REF!</v>
      </c>
      <c r="BG305" t="e">
        <f>AND(#REF!,"AAAAAB7t/zo=")</f>
        <v>#REF!</v>
      </c>
      <c r="BH305" t="e">
        <f>AND(#REF!,"AAAAAB7t/zs=")</f>
        <v>#REF!</v>
      </c>
      <c r="BI305" t="e">
        <f>AND(#REF!,"AAAAAB7t/zw=")</f>
        <v>#REF!</v>
      </c>
      <c r="BJ305" t="e">
        <f>IF(#REF!,"AAAAAB7t/z0=",0)</f>
        <v>#REF!</v>
      </c>
      <c r="BK305" t="e">
        <f>AND(#REF!,"AAAAAB7t/z4=")</f>
        <v>#REF!</v>
      </c>
      <c r="BL305" t="e">
        <f>AND(#REF!,"AAAAAB7t/z8=")</f>
        <v>#REF!</v>
      </c>
      <c r="BM305" t="e">
        <f>AND(#REF!,"AAAAAB7t/0A=")</f>
        <v>#REF!</v>
      </c>
      <c r="BN305" t="e">
        <f>AND(#REF!,"AAAAAB7t/0E=")</f>
        <v>#REF!</v>
      </c>
      <c r="BO305" t="e">
        <f>AND(#REF!,"AAAAAB7t/0I=")</f>
        <v>#REF!</v>
      </c>
      <c r="BP305" t="e">
        <f>AND(#REF!,"AAAAAB7t/0M=")</f>
        <v>#REF!</v>
      </c>
      <c r="BQ305" t="e">
        <f>AND(#REF!,"AAAAAB7t/0Q=")</f>
        <v>#REF!</v>
      </c>
      <c r="BR305" t="e">
        <f>AND(#REF!,"AAAAAB7t/0U=")</f>
        <v>#REF!</v>
      </c>
      <c r="BS305" t="e">
        <f>AND(#REF!,"AAAAAB7t/0Y=")</f>
        <v>#REF!</v>
      </c>
      <c r="BT305" t="e">
        <f>AND(#REF!,"AAAAAB7t/0c=")</f>
        <v>#REF!</v>
      </c>
      <c r="BU305" t="e">
        <f>AND(#REF!,"AAAAAB7t/0g=")</f>
        <v>#REF!</v>
      </c>
      <c r="BV305" t="e">
        <f>AND(#REF!,"AAAAAB7t/0k=")</f>
        <v>#REF!</v>
      </c>
      <c r="BW305" t="e">
        <f>AND(#REF!,"AAAAAB7t/0o=")</f>
        <v>#REF!</v>
      </c>
      <c r="BX305" t="e">
        <f>AND(#REF!,"AAAAAB7t/0s=")</f>
        <v>#REF!</v>
      </c>
      <c r="BY305" t="e">
        <f>AND(#REF!,"AAAAAB7t/0w=")</f>
        <v>#REF!</v>
      </c>
      <c r="BZ305" t="e">
        <f>AND(#REF!,"AAAAAB7t/00=")</f>
        <v>#REF!</v>
      </c>
      <c r="CA305" t="e">
        <f>AND(#REF!,"AAAAAB7t/04=")</f>
        <v>#REF!</v>
      </c>
      <c r="CB305" t="e">
        <f>AND(#REF!,"AAAAAB7t/08=")</f>
        <v>#REF!</v>
      </c>
      <c r="CC305" t="e">
        <f>AND(#REF!,"AAAAAB7t/1A=")</f>
        <v>#REF!</v>
      </c>
      <c r="CD305" t="e">
        <f>AND(#REF!,"AAAAAB7t/1E=")</f>
        <v>#REF!</v>
      </c>
      <c r="CE305" t="e">
        <f>AND(#REF!,"AAAAAB7t/1I=")</f>
        <v>#REF!</v>
      </c>
      <c r="CF305" t="e">
        <f>AND(#REF!,"AAAAAB7t/1M=")</f>
        <v>#REF!</v>
      </c>
      <c r="CG305" t="e">
        <f>AND(#REF!,"AAAAAB7t/1Q=")</f>
        <v>#REF!</v>
      </c>
      <c r="CH305" t="e">
        <f>AND(#REF!,"AAAAAB7t/1U=")</f>
        <v>#REF!</v>
      </c>
      <c r="CI305" t="e">
        <f>IF(#REF!,"AAAAAB7t/1Y=",0)</f>
        <v>#REF!</v>
      </c>
      <c r="CJ305" t="e">
        <f>AND(#REF!,"AAAAAB7t/1c=")</f>
        <v>#REF!</v>
      </c>
      <c r="CK305" t="e">
        <f>AND(#REF!,"AAAAAB7t/1g=")</f>
        <v>#REF!</v>
      </c>
      <c r="CL305" t="e">
        <f>AND(#REF!,"AAAAAB7t/1k=")</f>
        <v>#REF!</v>
      </c>
      <c r="CM305" t="e">
        <f>AND(#REF!,"AAAAAB7t/1o=")</f>
        <v>#REF!</v>
      </c>
      <c r="CN305" t="e">
        <f>AND(#REF!,"AAAAAB7t/1s=")</f>
        <v>#REF!</v>
      </c>
      <c r="CO305" t="e">
        <f>AND(#REF!,"AAAAAB7t/1w=")</f>
        <v>#REF!</v>
      </c>
      <c r="CP305" t="e">
        <f>AND(#REF!,"AAAAAB7t/10=")</f>
        <v>#REF!</v>
      </c>
      <c r="CQ305" t="e">
        <f>AND(#REF!,"AAAAAB7t/14=")</f>
        <v>#REF!</v>
      </c>
      <c r="CR305" t="e">
        <f>AND(#REF!,"AAAAAB7t/18=")</f>
        <v>#REF!</v>
      </c>
      <c r="CS305" t="e">
        <f>AND(#REF!,"AAAAAB7t/2A=")</f>
        <v>#REF!</v>
      </c>
      <c r="CT305" t="e">
        <f>AND(#REF!,"AAAAAB7t/2E=")</f>
        <v>#REF!</v>
      </c>
      <c r="CU305" t="e">
        <f>AND(#REF!,"AAAAAB7t/2I=")</f>
        <v>#REF!</v>
      </c>
      <c r="CV305" t="e">
        <f>AND(#REF!,"AAAAAB7t/2M=")</f>
        <v>#REF!</v>
      </c>
      <c r="CW305" t="e">
        <f>AND(#REF!,"AAAAAB7t/2Q=")</f>
        <v>#REF!</v>
      </c>
      <c r="CX305" t="e">
        <f>AND(#REF!,"AAAAAB7t/2U=")</f>
        <v>#REF!</v>
      </c>
      <c r="CY305" t="e">
        <f>AND(#REF!,"AAAAAB7t/2Y=")</f>
        <v>#REF!</v>
      </c>
      <c r="CZ305" t="e">
        <f>AND(#REF!,"AAAAAB7t/2c=")</f>
        <v>#REF!</v>
      </c>
      <c r="DA305" t="e">
        <f>AND(#REF!,"AAAAAB7t/2g=")</f>
        <v>#REF!</v>
      </c>
      <c r="DB305" t="e">
        <f>AND(#REF!,"AAAAAB7t/2k=")</f>
        <v>#REF!</v>
      </c>
      <c r="DC305" t="e">
        <f>AND(#REF!,"AAAAAB7t/2o=")</f>
        <v>#REF!</v>
      </c>
      <c r="DD305" t="e">
        <f>AND(#REF!,"AAAAAB7t/2s=")</f>
        <v>#REF!</v>
      </c>
      <c r="DE305" t="e">
        <f>AND(#REF!,"AAAAAB7t/2w=")</f>
        <v>#REF!</v>
      </c>
      <c r="DF305" t="e">
        <f>AND(#REF!,"AAAAAB7t/20=")</f>
        <v>#REF!</v>
      </c>
      <c r="DG305" t="e">
        <f>AND(#REF!,"AAAAAB7t/24=")</f>
        <v>#REF!</v>
      </c>
      <c r="DH305" t="e">
        <f>IF(#REF!,"AAAAAB7t/28=",0)</f>
        <v>#REF!</v>
      </c>
      <c r="DI305" t="e">
        <f>AND(#REF!,"AAAAAB7t/3A=")</f>
        <v>#REF!</v>
      </c>
      <c r="DJ305" t="e">
        <f>AND(#REF!,"AAAAAB7t/3E=")</f>
        <v>#REF!</v>
      </c>
      <c r="DK305" t="e">
        <f>AND(#REF!,"AAAAAB7t/3I=")</f>
        <v>#REF!</v>
      </c>
      <c r="DL305" t="e">
        <f>AND(#REF!,"AAAAAB7t/3M=")</f>
        <v>#REF!</v>
      </c>
      <c r="DM305" t="e">
        <f>AND(#REF!,"AAAAAB7t/3Q=")</f>
        <v>#REF!</v>
      </c>
      <c r="DN305" t="e">
        <f>AND(#REF!,"AAAAAB7t/3U=")</f>
        <v>#REF!</v>
      </c>
      <c r="DO305" t="e">
        <f>AND(#REF!,"AAAAAB7t/3Y=")</f>
        <v>#REF!</v>
      </c>
      <c r="DP305" t="e">
        <f>AND(#REF!,"AAAAAB7t/3c=")</f>
        <v>#REF!</v>
      </c>
      <c r="DQ305" t="e">
        <f>AND(#REF!,"AAAAAB7t/3g=")</f>
        <v>#REF!</v>
      </c>
      <c r="DR305" t="e">
        <f>AND(#REF!,"AAAAAB7t/3k=")</f>
        <v>#REF!</v>
      </c>
      <c r="DS305" t="e">
        <f>AND(#REF!,"AAAAAB7t/3o=")</f>
        <v>#REF!</v>
      </c>
      <c r="DT305" t="e">
        <f>AND(#REF!,"AAAAAB7t/3s=")</f>
        <v>#REF!</v>
      </c>
      <c r="DU305" t="e">
        <f>AND(#REF!,"AAAAAB7t/3w=")</f>
        <v>#REF!</v>
      </c>
      <c r="DV305" t="e">
        <f>AND(#REF!,"AAAAAB7t/30=")</f>
        <v>#REF!</v>
      </c>
      <c r="DW305" t="e">
        <f>AND(#REF!,"AAAAAB7t/34=")</f>
        <v>#REF!</v>
      </c>
      <c r="DX305" t="e">
        <f>AND(#REF!,"AAAAAB7t/38=")</f>
        <v>#REF!</v>
      </c>
      <c r="DY305" t="e">
        <f>AND(#REF!,"AAAAAB7t/4A=")</f>
        <v>#REF!</v>
      </c>
      <c r="DZ305" t="e">
        <f>AND(#REF!,"AAAAAB7t/4E=")</f>
        <v>#REF!</v>
      </c>
      <c r="EA305" t="e">
        <f>AND(#REF!,"AAAAAB7t/4I=")</f>
        <v>#REF!</v>
      </c>
      <c r="EB305" t="e">
        <f>AND(#REF!,"AAAAAB7t/4M=")</f>
        <v>#REF!</v>
      </c>
      <c r="EC305" t="e">
        <f>AND(#REF!,"AAAAAB7t/4Q=")</f>
        <v>#REF!</v>
      </c>
      <c r="ED305" t="e">
        <f>AND(#REF!,"AAAAAB7t/4U=")</f>
        <v>#REF!</v>
      </c>
      <c r="EE305" t="e">
        <f>AND(#REF!,"AAAAAB7t/4Y=")</f>
        <v>#REF!</v>
      </c>
      <c r="EF305" t="e">
        <f>AND(#REF!,"AAAAAB7t/4c=")</f>
        <v>#REF!</v>
      </c>
      <c r="EG305" t="e">
        <f>IF(#REF!,"AAAAAB7t/4g=",0)</f>
        <v>#REF!</v>
      </c>
      <c r="EH305" t="e">
        <f>AND(#REF!,"AAAAAB7t/4k=")</f>
        <v>#REF!</v>
      </c>
      <c r="EI305" t="e">
        <f>AND(#REF!,"AAAAAB7t/4o=")</f>
        <v>#REF!</v>
      </c>
      <c r="EJ305" t="e">
        <f>AND(#REF!,"AAAAAB7t/4s=")</f>
        <v>#REF!</v>
      </c>
      <c r="EK305" t="e">
        <f>AND(#REF!,"AAAAAB7t/4w=")</f>
        <v>#REF!</v>
      </c>
      <c r="EL305" t="e">
        <f>AND(#REF!,"AAAAAB7t/40=")</f>
        <v>#REF!</v>
      </c>
      <c r="EM305" t="e">
        <f>AND(#REF!,"AAAAAB7t/44=")</f>
        <v>#REF!</v>
      </c>
      <c r="EN305" t="e">
        <f>AND(#REF!,"AAAAAB7t/48=")</f>
        <v>#REF!</v>
      </c>
      <c r="EO305" t="e">
        <f>AND(#REF!,"AAAAAB7t/5A=")</f>
        <v>#REF!</v>
      </c>
      <c r="EP305" t="e">
        <f>AND(#REF!,"AAAAAB7t/5E=")</f>
        <v>#REF!</v>
      </c>
      <c r="EQ305" t="e">
        <f>AND(#REF!,"AAAAAB7t/5I=")</f>
        <v>#REF!</v>
      </c>
      <c r="ER305" t="e">
        <f>AND(#REF!,"AAAAAB7t/5M=")</f>
        <v>#REF!</v>
      </c>
      <c r="ES305" t="e">
        <f>AND(#REF!,"AAAAAB7t/5Q=")</f>
        <v>#REF!</v>
      </c>
      <c r="ET305" t="e">
        <f>AND(#REF!,"AAAAAB7t/5U=")</f>
        <v>#REF!</v>
      </c>
      <c r="EU305" t="e">
        <f>AND(#REF!,"AAAAAB7t/5Y=")</f>
        <v>#REF!</v>
      </c>
      <c r="EV305" t="e">
        <f>AND(#REF!,"AAAAAB7t/5c=")</f>
        <v>#REF!</v>
      </c>
      <c r="EW305" t="e">
        <f>AND(#REF!,"AAAAAB7t/5g=")</f>
        <v>#REF!</v>
      </c>
      <c r="EX305" t="e">
        <f>AND(#REF!,"AAAAAB7t/5k=")</f>
        <v>#REF!</v>
      </c>
      <c r="EY305" t="e">
        <f>AND(#REF!,"AAAAAB7t/5o=")</f>
        <v>#REF!</v>
      </c>
      <c r="EZ305" t="e">
        <f>AND(#REF!,"AAAAAB7t/5s=")</f>
        <v>#REF!</v>
      </c>
      <c r="FA305" t="e">
        <f>AND(#REF!,"AAAAAB7t/5w=")</f>
        <v>#REF!</v>
      </c>
      <c r="FB305" t="e">
        <f>AND(#REF!,"AAAAAB7t/50=")</f>
        <v>#REF!</v>
      </c>
      <c r="FC305" t="e">
        <f>AND(#REF!,"AAAAAB7t/54=")</f>
        <v>#REF!</v>
      </c>
      <c r="FD305" t="e">
        <f>AND(#REF!,"AAAAAB7t/58=")</f>
        <v>#REF!</v>
      </c>
      <c r="FE305" t="e">
        <f>AND(#REF!,"AAAAAB7t/6A=")</f>
        <v>#REF!</v>
      </c>
      <c r="FF305" t="e">
        <f>IF(#REF!,"AAAAAB7t/6E=",0)</f>
        <v>#REF!</v>
      </c>
      <c r="FG305" t="e">
        <f>AND(#REF!,"AAAAAB7t/6I=")</f>
        <v>#REF!</v>
      </c>
      <c r="FH305" t="e">
        <f>AND(#REF!,"AAAAAB7t/6M=")</f>
        <v>#REF!</v>
      </c>
      <c r="FI305" t="e">
        <f>AND(#REF!,"AAAAAB7t/6Q=")</f>
        <v>#REF!</v>
      </c>
      <c r="FJ305" t="e">
        <f>AND(#REF!,"AAAAAB7t/6U=")</f>
        <v>#REF!</v>
      </c>
      <c r="FK305" t="e">
        <f>AND(#REF!,"AAAAAB7t/6Y=")</f>
        <v>#REF!</v>
      </c>
      <c r="FL305" t="e">
        <f>AND(#REF!,"AAAAAB7t/6c=")</f>
        <v>#REF!</v>
      </c>
      <c r="FM305" t="e">
        <f>AND(#REF!,"AAAAAB7t/6g=")</f>
        <v>#REF!</v>
      </c>
      <c r="FN305" t="e">
        <f>AND(#REF!,"AAAAAB7t/6k=")</f>
        <v>#REF!</v>
      </c>
      <c r="FO305" t="e">
        <f>AND(#REF!,"AAAAAB7t/6o=")</f>
        <v>#REF!</v>
      </c>
      <c r="FP305" t="e">
        <f>AND(#REF!,"AAAAAB7t/6s=")</f>
        <v>#REF!</v>
      </c>
      <c r="FQ305" t="e">
        <f>AND(#REF!,"AAAAAB7t/6w=")</f>
        <v>#REF!</v>
      </c>
      <c r="FR305" t="e">
        <f>AND(#REF!,"AAAAAB7t/60=")</f>
        <v>#REF!</v>
      </c>
      <c r="FS305" t="e">
        <f>AND(#REF!,"AAAAAB7t/64=")</f>
        <v>#REF!</v>
      </c>
      <c r="FT305" t="e">
        <f>AND(#REF!,"AAAAAB7t/68=")</f>
        <v>#REF!</v>
      </c>
      <c r="FU305" t="e">
        <f>AND(#REF!,"AAAAAB7t/7A=")</f>
        <v>#REF!</v>
      </c>
      <c r="FV305" t="e">
        <f>AND(#REF!,"AAAAAB7t/7E=")</f>
        <v>#REF!</v>
      </c>
      <c r="FW305" t="e">
        <f>AND(#REF!,"AAAAAB7t/7I=")</f>
        <v>#REF!</v>
      </c>
      <c r="FX305" t="e">
        <f>AND(#REF!,"AAAAAB7t/7M=")</f>
        <v>#REF!</v>
      </c>
      <c r="FY305" t="e">
        <f>AND(#REF!,"AAAAAB7t/7Q=")</f>
        <v>#REF!</v>
      </c>
      <c r="FZ305" t="e">
        <f>AND(#REF!,"AAAAAB7t/7U=")</f>
        <v>#REF!</v>
      </c>
      <c r="GA305" t="e">
        <f>AND(#REF!,"AAAAAB7t/7Y=")</f>
        <v>#REF!</v>
      </c>
      <c r="GB305" t="e">
        <f>AND(#REF!,"AAAAAB7t/7c=")</f>
        <v>#REF!</v>
      </c>
      <c r="GC305" t="e">
        <f>AND(#REF!,"AAAAAB7t/7g=")</f>
        <v>#REF!</v>
      </c>
      <c r="GD305" t="e">
        <f>AND(#REF!,"AAAAAB7t/7k=")</f>
        <v>#REF!</v>
      </c>
      <c r="GE305" t="e">
        <f>IF(#REF!,"AAAAAB7t/7o=",0)</f>
        <v>#REF!</v>
      </c>
      <c r="GF305" t="e">
        <f>AND(#REF!,"AAAAAB7t/7s=")</f>
        <v>#REF!</v>
      </c>
      <c r="GG305" t="e">
        <f>AND(#REF!,"AAAAAB7t/7w=")</f>
        <v>#REF!</v>
      </c>
      <c r="GH305" t="e">
        <f>AND(#REF!,"AAAAAB7t/70=")</f>
        <v>#REF!</v>
      </c>
      <c r="GI305" t="e">
        <f>AND(#REF!,"AAAAAB7t/74=")</f>
        <v>#REF!</v>
      </c>
      <c r="GJ305" t="e">
        <f>AND(#REF!,"AAAAAB7t/78=")</f>
        <v>#REF!</v>
      </c>
      <c r="GK305" t="e">
        <f>AND(#REF!,"AAAAAB7t/8A=")</f>
        <v>#REF!</v>
      </c>
      <c r="GL305" t="e">
        <f>AND(#REF!,"AAAAAB7t/8E=")</f>
        <v>#REF!</v>
      </c>
      <c r="GM305" t="e">
        <f>AND(#REF!,"AAAAAB7t/8I=")</f>
        <v>#REF!</v>
      </c>
      <c r="GN305" t="e">
        <f>AND(#REF!,"AAAAAB7t/8M=")</f>
        <v>#REF!</v>
      </c>
      <c r="GO305" t="e">
        <f>AND(#REF!,"AAAAAB7t/8Q=")</f>
        <v>#REF!</v>
      </c>
      <c r="GP305" t="e">
        <f>AND(#REF!,"AAAAAB7t/8U=")</f>
        <v>#REF!</v>
      </c>
      <c r="GQ305" t="e">
        <f>AND(#REF!,"AAAAAB7t/8Y=")</f>
        <v>#REF!</v>
      </c>
      <c r="GR305" t="e">
        <f>AND(#REF!,"AAAAAB7t/8c=")</f>
        <v>#REF!</v>
      </c>
      <c r="GS305" t="e">
        <f>AND(#REF!,"AAAAAB7t/8g=")</f>
        <v>#REF!</v>
      </c>
      <c r="GT305" t="e">
        <f>AND(#REF!,"AAAAAB7t/8k=")</f>
        <v>#REF!</v>
      </c>
      <c r="GU305" t="e">
        <f>AND(#REF!,"AAAAAB7t/8o=")</f>
        <v>#REF!</v>
      </c>
      <c r="GV305" t="e">
        <f>AND(#REF!,"AAAAAB7t/8s=")</f>
        <v>#REF!</v>
      </c>
      <c r="GW305" t="e">
        <f>AND(#REF!,"AAAAAB7t/8w=")</f>
        <v>#REF!</v>
      </c>
      <c r="GX305" t="e">
        <f>AND(#REF!,"AAAAAB7t/80=")</f>
        <v>#REF!</v>
      </c>
      <c r="GY305" t="e">
        <f>AND(#REF!,"AAAAAB7t/84=")</f>
        <v>#REF!</v>
      </c>
      <c r="GZ305" t="e">
        <f>AND(#REF!,"AAAAAB7t/88=")</f>
        <v>#REF!</v>
      </c>
      <c r="HA305" t="e">
        <f>AND(#REF!,"AAAAAB7t/9A=")</f>
        <v>#REF!</v>
      </c>
      <c r="HB305" t="e">
        <f>AND(#REF!,"AAAAAB7t/9E=")</f>
        <v>#REF!</v>
      </c>
      <c r="HC305" t="e">
        <f>AND(#REF!,"AAAAAB7t/9I=")</f>
        <v>#REF!</v>
      </c>
      <c r="HD305" t="e">
        <f>IF(#REF!,"AAAAAB7t/9M=",0)</f>
        <v>#REF!</v>
      </c>
      <c r="HE305" t="e">
        <f>AND(#REF!,"AAAAAB7t/9Q=")</f>
        <v>#REF!</v>
      </c>
      <c r="HF305" t="e">
        <f>AND(#REF!,"AAAAAB7t/9U=")</f>
        <v>#REF!</v>
      </c>
      <c r="HG305" t="e">
        <f>AND(#REF!,"AAAAAB7t/9Y=")</f>
        <v>#REF!</v>
      </c>
      <c r="HH305" t="e">
        <f>AND(#REF!,"AAAAAB7t/9c=")</f>
        <v>#REF!</v>
      </c>
      <c r="HI305" t="e">
        <f>AND(#REF!,"AAAAAB7t/9g=")</f>
        <v>#REF!</v>
      </c>
      <c r="HJ305" t="e">
        <f>AND(#REF!,"AAAAAB7t/9k=")</f>
        <v>#REF!</v>
      </c>
      <c r="HK305" t="e">
        <f>AND(#REF!,"AAAAAB7t/9o=")</f>
        <v>#REF!</v>
      </c>
      <c r="HL305" t="e">
        <f>AND(#REF!,"AAAAAB7t/9s=")</f>
        <v>#REF!</v>
      </c>
      <c r="HM305" t="e">
        <f>AND(#REF!,"AAAAAB7t/9w=")</f>
        <v>#REF!</v>
      </c>
      <c r="HN305" t="e">
        <f>AND(#REF!,"AAAAAB7t/90=")</f>
        <v>#REF!</v>
      </c>
      <c r="HO305" t="e">
        <f>AND(#REF!,"AAAAAB7t/94=")</f>
        <v>#REF!</v>
      </c>
      <c r="HP305" t="e">
        <f>AND(#REF!,"AAAAAB7t/98=")</f>
        <v>#REF!</v>
      </c>
      <c r="HQ305" t="e">
        <f>AND(#REF!,"AAAAAB7t/+A=")</f>
        <v>#REF!</v>
      </c>
      <c r="HR305" t="e">
        <f>AND(#REF!,"AAAAAB7t/+E=")</f>
        <v>#REF!</v>
      </c>
      <c r="HS305" t="e">
        <f>AND(#REF!,"AAAAAB7t/+I=")</f>
        <v>#REF!</v>
      </c>
      <c r="HT305" t="e">
        <f>AND(#REF!,"AAAAAB7t/+M=")</f>
        <v>#REF!</v>
      </c>
      <c r="HU305" t="e">
        <f>AND(#REF!,"AAAAAB7t/+Q=")</f>
        <v>#REF!</v>
      </c>
      <c r="HV305" t="e">
        <f>AND(#REF!,"AAAAAB7t/+U=")</f>
        <v>#REF!</v>
      </c>
      <c r="HW305" t="e">
        <f>AND(#REF!,"AAAAAB7t/+Y=")</f>
        <v>#REF!</v>
      </c>
      <c r="HX305" t="e">
        <f>AND(#REF!,"AAAAAB7t/+c=")</f>
        <v>#REF!</v>
      </c>
      <c r="HY305" t="e">
        <f>AND(#REF!,"AAAAAB7t/+g=")</f>
        <v>#REF!</v>
      </c>
      <c r="HZ305" t="e">
        <f>AND(#REF!,"AAAAAB7t/+k=")</f>
        <v>#REF!</v>
      </c>
      <c r="IA305" t="e">
        <f>AND(#REF!,"AAAAAB7t/+o=")</f>
        <v>#REF!</v>
      </c>
      <c r="IB305" t="e">
        <f>AND(#REF!,"AAAAAB7t/+s=")</f>
        <v>#REF!</v>
      </c>
      <c r="IC305" t="e">
        <f>IF(#REF!,"AAAAAB7t/+w=",0)</f>
        <v>#REF!</v>
      </c>
      <c r="ID305" t="e">
        <f>AND(#REF!,"AAAAAB7t/+0=")</f>
        <v>#REF!</v>
      </c>
      <c r="IE305" t="e">
        <f>AND(#REF!,"AAAAAB7t/+4=")</f>
        <v>#REF!</v>
      </c>
      <c r="IF305" t="e">
        <f>AND(#REF!,"AAAAAB7t/+8=")</f>
        <v>#REF!</v>
      </c>
      <c r="IG305" t="e">
        <f>AND(#REF!,"AAAAAB7t//A=")</f>
        <v>#REF!</v>
      </c>
      <c r="IH305" t="e">
        <f>AND(#REF!,"AAAAAB7t//E=")</f>
        <v>#REF!</v>
      </c>
      <c r="II305" t="e">
        <f>AND(#REF!,"AAAAAB7t//I=")</f>
        <v>#REF!</v>
      </c>
      <c r="IJ305" t="e">
        <f>AND(#REF!,"AAAAAB7t//M=")</f>
        <v>#REF!</v>
      </c>
      <c r="IK305" t="e">
        <f>AND(#REF!,"AAAAAB7t//Q=")</f>
        <v>#REF!</v>
      </c>
      <c r="IL305" t="e">
        <f>AND(#REF!,"AAAAAB7t//U=")</f>
        <v>#REF!</v>
      </c>
      <c r="IM305" t="e">
        <f>AND(#REF!,"AAAAAB7t//Y=")</f>
        <v>#REF!</v>
      </c>
      <c r="IN305" t="e">
        <f>AND(#REF!,"AAAAAB7t//c=")</f>
        <v>#REF!</v>
      </c>
      <c r="IO305" t="e">
        <f>AND(#REF!,"AAAAAB7t//g=")</f>
        <v>#REF!</v>
      </c>
      <c r="IP305" t="e">
        <f>AND(#REF!,"AAAAAB7t//k=")</f>
        <v>#REF!</v>
      </c>
      <c r="IQ305" t="e">
        <f>AND(#REF!,"AAAAAB7t//o=")</f>
        <v>#REF!</v>
      </c>
      <c r="IR305" t="e">
        <f>AND(#REF!,"AAAAAB7t//s=")</f>
        <v>#REF!</v>
      </c>
      <c r="IS305" t="e">
        <f>AND(#REF!,"AAAAAB7t//w=")</f>
        <v>#REF!</v>
      </c>
      <c r="IT305" t="e">
        <f>AND(#REF!,"AAAAAB7t//0=")</f>
        <v>#REF!</v>
      </c>
      <c r="IU305" t="e">
        <f>AND(#REF!,"AAAAAB7t//4=")</f>
        <v>#REF!</v>
      </c>
      <c r="IV305" t="e">
        <f>AND(#REF!,"AAAAAB7t//8=")</f>
        <v>#REF!</v>
      </c>
    </row>
    <row r="306" spans="1:256">
      <c r="A306" t="e">
        <f>AND(#REF!,"AAAAACn65wA=")</f>
        <v>#REF!</v>
      </c>
      <c r="B306" t="e">
        <f>AND(#REF!,"AAAAACn65wE=")</f>
        <v>#REF!</v>
      </c>
      <c r="C306" t="e">
        <f>AND(#REF!,"AAAAACn65wI=")</f>
        <v>#REF!</v>
      </c>
      <c r="D306" t="e">
        <f>AND(#REF!,"AAAAACn65wM=")</f>
        <v>#REF!</v>
      </c>
      <c r="E306" t="e">
        <f>AND(#REF!,"AAAAACn65wQ=")</f>
        <v>#REF!</v>
      </c>
      <c r="F306" t="e">
        <f>IF(#REF!,"AAAAACn65wU=",0)</f>
        <v>#REF!</v>
      </c>
      <c r="G306" t="e">
        <f>AND(#REF!,"AAAAACn65wY=")</f>
        <v>#REF!</v>
      </c>
      <c r="H306" t="e">
        <f>AND(#REF!,"AAAAACn65wc=")</f>
        <v>#REF!</v>
      </c>
      <c r="I306" t="e">
        <f>AND(#REF!,"AAAAACn65wg=")</f>
        <v>#REF!</v>
      </c>
      <c r="J306" t="e">
        <f>AND(#REF!,"AAAAACn65wk=")</f>
        <v>#REF!</v>
      </c>
      <c r="K306" t="e">
        <f>AND(#REF!,"AAAAACn65wo=")</f>
        <v>#REF!</v>
      </c>
      <c r="L306" t="e">
        <f>AND(#REF!,"AAAAACn65ws=")</f>
        <v>#REF!</v>
      </c>
      <c r="M306" t="e">
        <f>AND(#REF!,"AAAAACn65ww=")</f>
        <v>#REF!</v>
      </c>
      <c r="N306" t="e">
        <f>AND(#REF!,"AAAAACn65w0=")</f>
        <v>#REF!</v>
      </c>
      <c r="O306" t="e">
        <f>AND(#REF!,"AAAAACn65w4=")</f>
        <v>#REF!</v>
      </c>
      <c r="P306" t="e">
        <f>AND(#REF!,"AAAAACn65w8=")</f>
        <v>#REF!</v>
      </c>
      <c r="Q306" t="e">
        <f>AND(#REF!,"AAAAACn65xA=")</f>
        <v>#REF!</v>
      </c>
      <c r="R306" t="e">
        <f>AND(#REF!,"AAAAACn65xE=")</f>
        <v>#REF!</v>
      </c>
      <c r="S306" t="e">
        <f>AND(#REF!,"AAAAACn65xI=")</f>
        <v>#REF!</v>
      </c>
      <c r="T306" t="e">
        <f>AND(#REF!,"AAAAACn65xM=")</f>
        <v>#REF!</v>
      </c>
      <c r="U306" t="e">
        <f>AND(#REF!,"AAAAACn65xQ=")</f>
        <v>#REF!</v>
      </c>
      <c r="V306" t="e">
        <f>AND(#REF!,"AAAAACn65xU=")</f>
        <v>#REF!</v>
      </c>
      <c r="W306" t="e">
        <f>AND(#REF!,"AAAAACn65xY=")</f>
        <v>#REF!</v>
      </c>
      <c r="X306" t="e">
        <f>AND(#REF!,"AAAAACn65xc=")</f>
        <v>#REF!</v>
      </c>
      <c r="Y306" t="e">
        <f>AND(#REF!,"AAAAACn65xg=")</f>
        <v>#REF!</v>
      </c>
      <c r="Z306" t="e">
        <f>AND(#REF!,"AAAAACn65xk=")</f>
        <v>#REF!</v>
      </c>
      <c r="AA306" t="e">
        <f>AND(#REF!,"AAAAACn65xo=")</f>
        <v>#REF!</v>
      </c>
      <c r="AB306" t="e">
        <f>AND(#REF!,"AAAAACn65xs=")</f>
        <v>#REF!</v>
      </c>
      <c r="AC306" t="e">
        <f>AND(#REF!,"AAAAACn65xw=")</f>
        <v>#REF!</v>
      </c>
      <c r="AD306" t="e">
        <f>AND(#REF!,"AAAAACn65x0=")</f>
        <v>#REF!</v>
      </c>
      <c r="AE306" t="e">
        <f>IF(#REF!,"AAAAACn65x4=",0)</f>
        <v>#REF!</v>
      </c>
      <c r="AF306" t="e">
        <f>AND(#REF!,"AAAAACn65x8=")</f>
        <v>#REF!</v>
      </c>
      <c r="AG306" t="e">
        <f>AND(#REF!,"AAAAACn65yA=")</f>
        <v>#REF!</v>
      </c>
      <c r="AH306" t="e">
        <f>AND(#REF!,"AAAAACn65yE=")</f>
        <v>#REF!</v>
      </c>
      <c r="AI306" t="e">
        <f>AND(#REF!,"AAAAACn65yI=")</f>
        <v>#REF!</v>
      </c>
      <c r="AJ306" t="e">
        <f>AND(#REF!,"AAAAACn65yM=")</f>
        <v>#REF!</v>
      </c>
      <c r="AK306" t="e">
        <f>AND(#REF!,"AAAAACn65yQ=")</f>
        <v>#REF!</v>
      </c>
      <c r="AL306" t="e">
        <f>AND(#REF!,"AAAAACn65yU=")</f>
        <v>#REF!</v>
      </c>
      <c r="AM306" t="e">
        <f>AND(#REF!,"AAAAACn65yY=")</f>
        <v>#REF!</v>
      </c>
      <c r="AN306" t="e">
        <f>AND(#REF!,"AAAAACn65yc=")</f>
        <v>#REF!</v>
      </c>
      <c r="AO306" t="e">
        <f>AND(#REF!,"AAAAACn65yg=")</f>
        <v>#REF!</v>
      </c>
      <c r="AP306" t="e">
        <f>AND(#REF!,"AAAAACn65yk=")</f>
        <v>#REF!</v>
      </c>
      <c r="AQ306" t="e">
        <f>AND(#REF!,"AAAAACn65yo=")</f>
        <v>#REF!</v>
      </c>
      <c r="AR306" t="e">
        <f>AND(#REF!,"AAAAACn65ys=")</f>
        <v>#REF!</v>
      </c>
      <c r="AS306" t="e">
        <f>AND(#REF!,"AAAAACn65yw=")</f>
        <v>#REF!</v>
      </c>
      <c r="AT306" t="e">
        <f>AND(#REF!,"AAAAACn65y0=")</f>
        <v>#REF!</v>
      </c>
      <c r="AU306" t="e">
        <f>AND(#REF!,"AAAAACn65y4=")</f>
        <v>#REF!</v>
      </c>
      <c r="AV306" t="e">
        <f>AND(#REF!,"AAAAACn65y8=")</f>
        <v>#REF!</v>
      </c>
      <c r="AW306" t="e">
        <f>AND(#REF!,"AAAAACn65zA=")</f>
        <v>#REF!</v>
      </c>
      <c r="AX306" t="e">
        <f>AND(#REF!,"AAAAACn65zE=")</f>
        <v>#REF!</v>
      </c>
      <c r="AY306" t="e">
        <f>AND(#REF!,"AAAAACn65zI=")</f>
        <v>#REF!</v>
      </c>
      <c r="AZ306" t="e">
        <f>AND(#REF!,"AAAAACn65zM=")</f>
        <v>#REF!</v>
      </c>
      <c r="BA306" t="e">
        <f>AND(#REF!,"AAAAACn65zQ=")</f>
        <v>#REF!</v>
      </c>
      <c r="BB306" t="e">
        <f>AND(#REF!,"AAAAACn65zU=")</f>
        <v>#REF!</v>
      </c>
      <c r="BC306" t="e">
        <f>AND(#REF!,"AAAAACn65zY=")</f>
        <v>#REF!</v>
      </c>
      <c r="BD306" t="e">
        <f>IF(#REF!,"AAAAACn65zc=",0)</f>
        <v>#REF!</v>
      </c>
      <c r="BE306" t="e">
        <f>AND(#REF!,"AAAAACn65zg=")</f>
        <v>#REF!</v>
      </c>
      <c r="BF306" t="e">
        <f>AND(#REF!,"AAAAACn65zk=")</f>
        <v>#REF!</v>
      </c>
      <c r="BG306" t="e">
        <f>AND(#REF!,"AAAAACn65zo=")</f>
        <v>#REF!</v>
      </c>
      <c r="BH306" t="e">
        <f>AND(#REF!,"AAAAACn65zs=")</f>
        <v>#REF!</v>
      </c>
      <c r="BI306" t="e">
        <f>AND(#REF!,"AAAAACn65zw=")</f>
        <v>#REF!</v>
      </c>
      <c r="BJ306" t="e">
        <f>AND(#REF!,"AAAAACn65z0=")</f>
        <v>#REF!</v>
      </c>
      <c r="BK306" t="e">
        <f>AND(#REF!,"AAAAACn65z4=")</f>
        <v>#REF!</v>
      </c>
      <c r="BL306" t="e">
        <f>AND(#REF!,"AAAAACn65z8=")</f>
        <v>#REF!</v>
      </c>
      <c r="BM306" t="e">
        <f>AND(#REF!,"AAAAACn650A=")</f>
        <v>#REF!</v>
      </c>
      <c r="BN306" t="e">
        <f>AND(#REF!,"AAAAACn650E=")</f>
        <v>#REF!</v>
      </c>
      <c r="BO306" t="e">
        <f>AND(#REF!,"AAAAACn650I=")</f>
        <v>#REF!</v>
      </c>
      <c r="BP306" t="e">
        <f>AND(#REF!,"AAAAACn650M=")</f>
        <v>#REF!</v>
      </c>
      <c r="BQ306" t="e">
        <f>AND(#REF!,"AAAAACn650Q=")</f>
        <v>#REF!</v>
      </c>
      <c r="BR306" t="e">
        <f>AND(#REF!,"AAAAACn650U=")</f>
        <v>#REF!</v>
      </c>
      <c r="BS306" t="e">
        <f>AND(#REF!,"AAAAACn650Y=")</f>
        <v>#REF!</v>
      </c>
      <c r="BT306" t="e">
        <f>AND(#REF!,"AAAAACn650c=")</f>
        <v>#REF!</v>
      </c>
      <c r="BU306" t="e">
        <f>AND(#REF!,"AAAAACn650g=")</f>
        <v>#REF!</v>
      </c>
      <c r="BV306" t="e">
        <f>AND(#REF!,"AAAAACn650k=")</f>
        <v>#REF!</v>
      </c>
      <c r="BW306" t="e">
        <f>AND(#REF!,"AAAAACn650o=")</f>
        <v>#REF!</v>
      </c>
      <c r="BX306" t="e">
        <f>AND(#REF!,"AAAAACn650s=")</f>
        <v>#REF!</v>
      </c>
      <c r="BY306" t="e">
        <f>AND(#REF!,"AAAAACn650w=")</f>
        <v>#REF!</v>
      </c>
      <c r="BZ306" t="e">
        <f>AND(#REF!,"AAAAACn6500=")</f>
        <v>#REF!</v>
      </c>
      <c r="CA306" t="e">
        <f>AND(#REF!,"AAAAACn6504=")</f>
        <v>#REF!</v>
      </c>
      <c r="CB306" t="e">
        <f>AND(#REF!,"AAAAACn6508=")</f>
        <v>#REF!</v>
      </c>
      <c r="CC306" t="e">
        <f>IF(#REF!,"AAAAACn651A=",0)</f>
        <v>#REF!</v>
      </c>
      <c r="CD306" t="e">
        <f>AND(#REF!,"AAAAACn651E=")</f>
        <v>#REF!</v>
      </c>
      <c r="CE306" t="e">
        <f>AND(#REF!,"AAAAACn651I=")</f>
        <v>#REF!</v>
      </c>
      <c r="CF306" t="e">
        <f>AND(#REF!,"AAAAACn651M=")</f>
        <v>#REF!</v>
      </c>
      <c r="CG306" t="e">
        <f>AND(#REF!,"AAAAACn651Q=")</f>
        <v>#REF!</v>
      </c>
      <c r="CH306" t="e">
        <f>AND(#REF!,"AAAAACn651U=")</f>
        <v>#REF!</v>
      </c>
      <c r="CI306" t="e">
        <f>AND(#REF!,"AAAAACn651Y=")</f>
        <v>#REF!</v>
      </c>
      <c r="CJ306" t="e">
        <f>AND(#REF!,"AAAAACn651c=")</f>
        <v>#REF!</v>
      </c>
      <c r="CK306" t="e">
        <f>AND(#REF!,"AAAAACn651g=")</f>
        <v>#REF!</v>
      </c>
      <c r="CL306" t="e">
        <f>AND(#REF!,"AAAAACn651k=")</f>
        <v>#REF!</v>
      </c>
      <c r="CM306" t="e">
        <f>AND(#REF!,"AAAAACn651o=")</f>
        <v>#REF!</v>
      </c>
      <c r="CN306" t="e">
        <f>AND(#REF!,"AAAAACn651s=")</f>
        <v>#REF!</v>
      </c>
      <c r="CO306" t="e">
        <f>AND(#REF!,"AAAAACn651w=")</f>
        <v>#REF!</v>
      </c>
      <c r="CP306" t="e">
        <f>AND(#REF!,"AAAAACn6510=")</f>
        <v>#REF!</v>
      </c>
      <c r="CQ306" t="e">
        <f>AND(#REF!,"AAAAACn6514=")</f>
        <v>#REF!</v>
      </c>
      <c r="CR306" t="e">
        <f>AND(#REF!,"AAAAACn6518=")</f>
        <v>#REF!</v>
      </c>
      <c r="CS306" t="e">
        <f>AND(#REF!,"AAAAACn652A=")</f>
        <v>#REF!</v>
      </c>
      <c r="CT306" t="e">
        <f>AND(#REF!,"AAAAACn652E=")</f>
        <v>#REF!</v>
      </c>
      <c r="CU306" t="e">
        <f>AND(#REF!,"AAAAACn652I=")</f>
        <v>#REF!</v>
      </c>
      <c r="CV306" t="e">
        <f>AND(#REF!,"AAAAACn652M=")</f>
        <v>#REF!</v>
      </c>
      <c r="CW306" t="e">
        <f>AND(#REF!,"AAAAACn652Q=")</f>
        <v>#REF!</v>
      </c>
      <c r="CX306" t="e">
        <f>AND(#REF!,"AAAAACn652U=")</f>
        <v>#REF!</v>
      </c>
      <c r="CY306" t="e">
        <f>AND(#REF!,"AAAAACn652Y=")</f>
        <v>#REF!</v>
      </c>
      <c r="CZ306" t="e">
        <f>AND(#REF!,"AAAAACn652c=")</f>
        <v>#REF!</v>
      </c>
      <c r="DA306" t="e">
        <f>AND(#REF!,"AAAAACn652g=")</f>
        <v>#REF!</v>
      </c>
      <c r="DB306" t="e">
        <f>IF(#REF!,"AAAAACn652k=",0)</f>
        <v>#REF!</v>
      </c>
      <c r="DC306" t="e">
        <f>AND(#REF!,"AAAAACn652o=")</f>
        <v>#REF!</v>
      </c>
      <c r="DD306" t="e">
        <f>AND(#REF!,"AAAAACn652s=")</f>
        <v>#REF!</v>
      </c>
      <c r="DE306" t="e">
        <f>AND(#REF!,"AAAAACn652w=")</f>
        <v>#REF!</v>
      </c>
      <c r="DF306" t="e">
        <f>AND(#REF!,"AAAAACn6520=")</f>
        <v>#REF!</v>
      </c>
      <c r="DG306" t="e">
        <f>AND(#REF!,"AAAAACn6524=")</f>
        <v>#REF!</v>
      </c>
      <c r="DH306" t="e">
        <f>AND(#REF!,"AAAAACn6528=")</f>
        <v>#REF!</v>
      </c>
      <c r="DI306" t="e">
        <f>AND(#REF!,"AAAAACn653A=")</f>
        <v>#REF!</v>
      </c>
      <c r="DJ306" t="e">
        <f>AND(#REF!,"AAAAACn653E=")</f>
        <v>#REF!</v>
      </c>
      <c r="DK306" t="e">
        <f>AND(#REF!,"AAAAACn653I=")</f>
        <v>#REF!</v>
      </c>
      <c r="DL306" t="e">
        <f>AND(#REF!,"AAAAACn653M=")</f>
        <v>#REF!</v>
      </c>
      <c r="DM306" t="e">
        <f>AND(#REF!,"AAAAACn653Q=")</f>
        <v>#REF!</v>
      </c>
      <c r="DN306" t="e">
        <f>AND(#REF!,"AAAAACn653U=")</f>
        <v>#REF!</v>
      </c>
      <c r="DO306" t="e">
        <f>AND(#REF!,"AAAAACn653Y=")</f>
        <v>#REF!</v>
      </c>
      <c r="DP306" t="e">
        <f>AND(#REF!,"AAAAACn653c=")</f>
        <v>#REF!</v>
      </c>
      <c r="DQ306" t="e">
        <f>AND(#REF!,"AAAAACn653g=")</f>
        <v>#REF!</v>
      </c>
      <c r="DR306" t="e">
        <f>AND(#REF!,"AAAAACn653k=")</f>
        <v>#REF!</v>
      </c>
      <c r="DS306" t="e">
        <f>AND(#REF!,"AAAAACn653o=")</f>
        <v>#REF!</v>
      </c>
      <c r="DT306" t="e">
        <f>AND(#REF!,"AAAAACn653s=")</f>
        <v>#REF!</v>
      </c>
      <c r="DU306" t="e">
        <f>AND(#REF!,"AAAAACn653w=")</f>
        <v>#REF!</v>
      </c>
      <c r="DV306" t="e">
        <f>AND(#REF!,"AAAAACn6530=")</f>
        <v>#REF!</v>
      </c>
      <c r="DW306" t="e">
        <f>AND(#REF!,"AAAAACn6534=")</f>
        <v>#REF!</v>
      </c>
      <c r="DX306" t="e">
        <f>AND(#REF!,"AAAAACn6538=")</f>
        <v>#REF!</v>
      </c>
      <c r="DY306" t="e">
        <f>AND(#REF!,"AAAAACn654A=")</f>
        <v>#REF!</v>
      </c>
      <c r="DZ306" t="e">
        <f>AND(#REF!,"AAAAACn654E=")</f>
        <v>#REF!</v>
      </c>
      <c r="EA306" t="e">
        <f>IF(#REF!,"AAAAACn654I=",0)</f>
        <v>#REF!</v>
      </c>
      <c r="EB306" t="e">
        <f>AND(#REF!,"AAAAACn654M=")</f>
        <v>#REF!</v>
      </c>
      <c r="EC306" t="e">
        <f>AND(#REF!,"AAAAACn654Q=")</f>
        <v>#REF!</v>
      </c>
      <c r="ED306" t="e">
        <f>AND(#REF!,"AAAAACn654U=")</f>
        <v>#REF!</v>
      </c>
      <c r="EE306" t="e">
        <f>AND(#REF!,"AAAAACn654Y=")</f>
        <v>#REF!</v>
      </c>
      <c r="EF306" t="e">
        <f>AND(#REF!,"AAAAACn654c=")</f>
        <v>#REF!</v>
      </c>
      <c r="EG306" t="e">
        <f>AND(#REF!,"AAAAACn654g=")</f>
        <v>#REF!</v>
      </c>
      <c r="EH306" t="e">
        <f>AND(#REF!,"AAAAACn654k=")</f>
        <v>#REF!</v>
      </c>
      <c r="EI306" t="e">
        <f>AND(#REF!,"AAAAACn654o=")</f>
        <v>#REF!</v>
      </c>
      <c r="EJ306" t="e">
        <f>AND(#REF!,"AAAAACn654s=")</f>
        <v>#REF!</v>
      </c>
      <c r="EK306" t="e">
        <f>AND(#REF!,"AAAAACn654w=")</f>
        <v>#REF!</v>
      </c>
      <c r="EL306" t="e">
        <f>AND(#REF!,"AAAAACn6540=")</f>
        <v>#REF!</v>
      </c>
      <c r="EM306" t="e">
        <f>AND(#REF!,"AAAAACn6544=")</f>
        <v>#REF!</v>
      </c>
      <c r="EN306" t="e">
        <f>AND(#REF!,"AAAAACn6548=")</f>
        <v>#REF!</v>
      </c>
      <c r="EO306" t="e">
        <f>AND(#REF!,"AAAAACn655A=")</f>
        <v>#REF!</v>
      </c>
      <c r="EP306" t="e">
        <f>AND(#REF!,"AAAAACn655E=")</f>
        <v>#REF!</v>
      </c>
      <c r="EQ306" t="e">
        <f>AND(#REF!,"AAAAACn655I=")</f>
        <v>#REF!</v>
      </c>
      <c r="ER306" t="e">
        <f>AND(#REF!,"AAAAACn655M=")</f>
        <v>#REF!</v>
      </c>
      <c r="ES306" t="e">
        <f>AND(#REF!,"AAAAACn655Q=")</f>
        <v>#REF!</v>
      </c>
      <c r="ET306" t="e">
        <f>AND(#REF!,"AAAAACn655U=")</f>
        <v>#REF!</v>
      </c>
      <c r="EU306" t="e">
        <f>AND(#REF!,"AAAAACn655Y=")</f>
        <v>#REF!</v>
      </c>
      <c r="EV306" t="e">
        <f>AND(#REF!,"AAAAACn655c=")</f>
        <v>#REF!</v>
      </c>
      <c r="EW306" t="e">
        <f>AND(#REF!,"AAAAACn655g=")</f>
        <v>#REF!</v>
      </c>
      <c r="EX306" t="e">
        <f>AND(#REF!,"AAAAACn655k=")</f>
        <v>#REF!</v>
      </c>
      <c r="EY306" t="e">
        <f>AND(#REF!,"AAAAACn655o=")</f>
        <v>#REF!</v>
      </c>
      <c r="EZ306" t="e">
        <f>IF(#REF!,"AAAAACn655s=",0)</f>
        <v>#REF!</v>
      </c>
      <c r="FA306" t="e">
        <f>AND(#REF!,"AAAAACn655w=")</f>
        <v>#REF!</v>
      </c>
      <c r="FB306" t="e">
        <f>AND(#REF!,"AAAAACn6550=")</f>
        <v>#REF!</v>
      </c>
      <c r="FC306" t="e">
        <f>AND(#REF!,"AAAAACn6554=")</f>
        <v>#REF!</v>
      </c>
      <c r="FD306" t="e">
        <f>AND(#REF!,"AAAAACn6558=")</f>
        <v>#REF!</v>
      </c>
      <c r="FE306" t="e">
        <f>AND(#REF!,"AAAAACn656A=")</f>
        <v>#REF!</v>
      </c>
      <c r="FF306" t="e">
        <f>AND(#REF!,"AAAAACn656E=")</f>
        <v>#REF!</v>
      </c>
      <c r="FG306" t="e">
        <f>AND(#REF!,"AAAAACn656I=")</f>
        <v>#REF!</v>
      </c>
      <c r="FH306" t="e">
        <f>AND(#REF!,"AAAAACn656M=")</f>
        <v>#REF!</v>
      </c>
      <c r="FI306" t="e">
        <f>AND(#REF!,"AAAAACn656Q=")</f>
        <v>#REF!</v>
      </c>
      <c r="FJ306" t="e">
        <f>AND(#REF!,"AAAAACn656U=")</f>
        <v>#REF!</v>
      </c>
      <c r="FK306" t="e">
        <f>AND(#REF!,"AAAAACn656Y=")</f>
        <v>#REF!</v>
      </c>
      <c r="FL306" t="e">
        <f>AND(#REF!,"AAAAACn656c=")</f>
        <v>#REF!</v>
      </c>
      <c r="FM306" t="e">
        <f>AND(#REF!,"AAAAACn656g=")</f>
        <v>#REF!</v>
      </c>
      <c r="FN306" t="e">
        <f>AND(#REF!,"AAAAACn656k=")</f>
        <v>#REF!</v>
      </c>
      <c r="FO306" t="e">
        <f>AND(#REF!,"AAAAACn656o=")</f>
        <v>#REF!</v>
      </c>
      <c r="FP306" t="e">
        <f>AND(#REF!,"AAAAACn656s=")</f>
        <v>#REF!</v>
      </c>
      <c r="FQ306" t="e">
        <f>AND(#REF!,"AAAAACn656w=")</f>
        <v>#REF!</v>
      </c>
      <c r="FR306" t="e">
        <f>AND(#REF!,"AAAAACn6560=")</f>
        <v>#REF!</v>
      </c>
      <c r="FS306" t="e">
        <f>AND(#REF!,"AAAAACn6564=")</f>
        <v>#REF!</v>
      </c>
      <c r="FT306" t="e">
        <f>AND(#REF!,"AAAAACn6568=")</f>
        <v>#REF!</v>
      </c>
      <c r="FU306" t="e">
        <f>AND(#REF!,"AAAAACn657A=")</f>
        <v>#REF!</v>
      </c>
      <c r="FV306" t="e">
        <f>AND(#REF!,"AAAAACn657E=")</f>
        <v>#REF!</v>
      </c>
      <c r="FW306" t="e">
        <f>AND(#REF!,"AAAAACn657I=")</f>
        <v>#REF!</v>
      </c>
      <c r="FX306" t="e">
        <f>AND(#REF!,"AAAAACn657M=")</f>
        <v>#REF!</v>
      </c>
      <c r="FY306" t="e">
        <f>IF(#REF!,"AAAAACn657Q=",0)</f>
        <v>#REF!</v>
      </c>
      <c r="FZ306" t="e">
        <f>AND(#REF!,"AAAAACn657U=")</f>
        <v>#REF!</v>
      </c>
      <c r="GA306" t="e">
        <f>AND(#REF!,"AAAAACn657Y=")</f>
        <v>#REF!</v>
      </c>
      <c r="GB306" t="e">
        <f>AND(#REF!,"AAAAACn657c=")</f>
        <v>#REF!</v>
      </c>
      <c r="GC306" t="e">
        <f>AND(#REF!,"AAAAACn657g=")</f>
        <v>#REF!</v>
      </c>
      <c r="GD306" t="e">
        <f>AND(#REF!,"AAAAACn657k=")</f>
        <v>#REF!</v>
      </c>
      <c r="GE306" t="e">
        <f>AND(#REF!,"AAAAACn657o=")</f>
        <v>#REF!</v>
      </c>
      <c r="GF306" t="e">
        <f>AND(#REF!,"AAAAACn657s=")</f>
        <v>#REF!</v>
      </c>
      <c r="GG306" t="e">
        <f>AND(#REF!,"AAAAACn657w=")</f>
        <v>#REF!</v>
      </c>
      <c r="GH306" t="e">
        <f>AND(#REF!,"AAAAACn6570=")</f>
        <v>#REF!</v>
      </c>
      <c r="GI306" t="e">
        <f>AND(#REF!,"AAAAACn6574=")</f>
        <v>#REF!</v>
      </c>
      <c r="GJ306" t="e">
        <f>AND(#REF!,"AAAAACn6578=")</f>
        <v>#REF!</v>
      </c>
      <c r="GK306" t="e">
        <f>AND(#REF!,"AAAAACn658A=")</f>
        <v>#REF!</v>
      </c>
      <c r="GL306" t="e">
        <f>AND(#REF!,"AAAAACn658E=")</f>
        <v>#REF!</v>
      </c>
      <c r="GM306" t="e">
        <f>AND(#REF!,"AAAAACn658I=")</f>
        <v>#REF!</v>
      </c>
      <c r="GN306" t="e">
        <f>AND(#REF!,"AAAAACn658M=")</f>
        <v>#REF!</v>
      </c>
      <c r="GO306" t="e">
        <f>AND(#REF!,"AAAAACn658Q=")</f>
        <v>#REF!</v>
      </c>
      <c r="GP306" t="e">
        <f>AND(#REF!,"AAAAACn658U=")</f>
        <v>#REF!</v>
      </c>
      <c r="GQ306" t="e">
        <f>AND(#REF!,"AAAAACn658Y=")</f>
        <v>#REF!</v>
      </c>
      <c r="GR306" t="e">
        <f>AND(#REF!,"AAAAACn658c=")</f>
        <v>#REF!</v>
      </c>
      <c r="GS306" t="e">
        <f>AND(#REF!,"AAAAACn658g=")</f>
        <v>#REF!</v>
      </c>
      <c r="GT306" t="e">
        <f>AND(#REF!,"AAAAACn658k=")</f>
        <v>#REF!</v>
      </c>
      <c r="GU306" t="e">
        <f>AND(#REF!,"AAAAACn658o=")</f>
        <v>#REF!</v>
      </c>
      <c r="GV306" t="e">
        <f>AND(#REF!,"AAAAACn658s=")</f>
        <v>#REF!</v>
      </c>
      <c r="GW306" t="e">
        <f>AND(#REF!,"AAAAACn658w=")</f>
        <v>#REF!</v>
      </c>
      <c r="GX306" t="e">
        <f>IF(#REF!,"AAAAACn6580=",0)</f>
        <v>#REF!</v>
      </c>
      <c r="GY306" t="e">
        <f>AND(#REF!,"AAAAACn6584=")</f>
        <v>#REF!</v>
      </c>
      <c r="GZ306" t="e">
        <f>AND(#REF!,"AAAAACn6588=")</f>
        <v>#REF!</v>
      </c>
      <c r="HA306" t="e">
        <f>AND(#REF!,"AAAAACn659A=")</f>
        <v>#REF!</v>
      </c>
      <c r="HB306" t="e">
        <f>AND(#REF!,"AAAAACn659E=")</f>
        <v>#REF!</v>
      </c>
      <c r="HC306" t="e">
        <f>AND(#REF!,"AAAAACn659I=")</f>
        <v>#REF!</v>
      </c>
      <c r="HD306" t="e">
        <f>AND(#REF!,"AAAAACn659M=")</f>
        <v>#REF!</v>
      </c>
      <c r="HE306" t="e">
        <f>AND(#REF!,"AAAAACn659Q=")</f>
        <v>#REF!</v>
      </c>
      <c r="HF306" t="e">
        <f>AND(#REF!,"AAAAACn659U=")</f>
        <v>#REF!</v>
      </c>
      <c r="HG306" t="e">
        <f>AND(#REF!,"AAAAACn659Y=")</f>
        <v>#REF!</v>
      </c>
      <c r="HH306" t="e">
        <f>AND(#REF!,"AAAAACn659c=")</f>
        <v>#REF!</v>
      </c>
      <c r="HI306" t="e">
        <f>AND(#REF!,"AAAAACn659g=")</f>
        <v>#REF!</v>
      </c>
      <c r="HJ306" t="e">
        <f>AND(#REF!,"AAAAACn659k=")</f>
        <v>#REF!</v>
      </c>
      <c r="HK306" t="e">
        <f>AND(#REF!,"AAAAACn659o=")</f>
        <v>#REF!</v>
      </c>
      <c r="HL306" t="e">
        <f>AND(#REF!,"AAAAACn659s=")</f>
        <v>#REF!</v>
      </c>
      <c r="HM306" t="e">
        <f>AND(#REF!,"AAAAACn659w=")</f>
        <v>#REF!</v>
      </c>
      <c r="HN306" t="e">
        <f>AND(#REF!,"AAAAACn6590=")</f>
        <v>#REF!</v>
      </c>
      <c r="HO306" t="e">
        <f>AND(#REF!,"AAAAACn6594=")</f>
        <v>#REF!</v>
      </c>
      <c r="HP306" t="e">
        <f>AND(#REF!,"AAAAACn6598=")</f>
        <v>#REF!</v>
      </c>
      <c r="HQ306" t="e">
        <f>AND(#REF!,"AAAAACn65+A=")</f>
        <v>#REF!</v>
      </c>
      <c r="HR306" t="e">
        <f>AND(#REF!,"AAAAACn65+E=")</f>
        <v>#REF!</v>
      </c>
      <c r="HS306" t="e">
        <f>AND(#REF!,"AAAAACn65+I=")</f>
        <v>#REF!</v>
      </c>
      <c r="HT306" t="e">
        <f>AND(#REF!,"AAAAACn65+M=")</f>
        <v>#REF!</v>
      </c>
      <c r="HU306" t="e">
        <f>AND(#REF!,"AAAAACn65+Q=")</f>
        <v>#REF!</v>
      </c>
      <c r="HV306" t="e">
        <f>AND(#REF!,"AAAAACn65+U=")</f>
        <v>#REF!</v>
      </c>
      <c r="HW306" t="e">
        <f>IF(#REF!,"AAAAACn65+Y=",0)</f>
        <v>#REF!</v>
      </c>
      <c r="HX306" t="e">
        <f>AND(#REF!,"AAAAACn65+c=")</f>
        <v>#REF!</v>
      </c>
      <c r="HY306" t="e">
        <f>AND(#REF!,"AAAAACn65+g=")</f>
        <v>#REF!</v>
      </c>
      <c r="HZ306" t="e">
        <f>AND(#REF!,"AAAAACn65+k=")</f>
        <v>#REF!</v>
      </c>
      <c r="IA306" t="e">
        <f>AND(#REF!,"AAAAACn65+o=")</f>
        <v>#REF!</v>
      </c>
      <c r="IB306" t="e">
        <f>AND(#REF!,"AAAAACn65+s=")</f>
        <v>#REF!</v>
      </c>
      <c r="IC306" t="e">
        <f>AND(#REF!,"AAAAACn65+w=")</f>
        <v>#REF!</v>
      </c>
      <c r="ID306" t="e">
        <f>AND(#REF!,"AAAAACn65+0=")</f>
        <v>#REF!</v>
      </c>
      <c r="IE306" t="e">
        <f>AND(#REF!,"AAAAACn65+4=")</f>
        <v>#REF!</v>
      </c>
      <c r="IF306" t="e">
        <f>AND(#REF!,"AAAAACn65+8=")</f>
        <v>#REF!</v>
      </c>
      <c r="IG306" t="e">
        <f>AND(#REF!,"AAAAACn65/A=")</f>
        <v>#REF!</v>
      </c>
      <c r="IH306" t="e">
        <f>AND(#REF!,"AAAAACn65/E=")</f>
        <v>#REF!</v>
      </c>
      <c r="II306" t="e">
        <f>AND(#REF!,"AAAAACn65/I=")</f>
        <v>#REF!</v>
      </c>
      <c r="IJ306" t="e">
        <f>AND(#REF!,"AAAAACn65/M=")</f>
        <v>#REF!</v>
      </c>
      <c r="IK306" t="e">
        <f>AND(#REF!,"AAAAACn65/Q=")</f>
        <v>#REF!</v>
      </c>
      <c r="IL306" t="e">
        <f>AND(#REF!,"AAAAACn65/U=")</f>
        <v>#REF!</v>
      </c>
      <c r="IM306" t="e">
        <f>AND(#REF!,"AAAAACn65/Y=")</f>
        <v>#REF!</v>
      </c>
      <c r="IN306" t="e">
        <f>AND(#REF!,"AAAAACn65/c=")</f>
        <v>#REF!</v>
      </c>
      <c r="IO306" t="e">
        <f>AND(#REF!,"AAAAACn65/g=")</f>
        <v>#REF!</v>
      </c>
      <c r="IP306" t="e">
        <f>AND(#REF!,"AAAAACn65/k=")</f>
        <v>#REF!</v>
      </c>
      <c r="IQ306" t="e">
        <f>AND(#REF!,"AAAAACn65/o=")</f>
        <v>#REF!</v>
      </c>
      <c r="IR306" t="e">
        <f>AND(#REF!,"AAAAACn65/s=")</f>
        <v>#REF!</v>
      </c>
      <c r="IS306" t="e">
        <f>AND(#REF!,"AAAAACn65/w=")</f>
        <v>#REF!</v>
      </c>
      <c r="IT306" t="e">
        <f>AND(#REF!,"AAAAACn65/0=")</f>
        <v>#REF!</v>
      </c>
      <c r="IU306" t="e">
        <f>AND(#REF!,"AAAAACn65/4=")</f>
        <v>#REF!</v>
      </c>
      <c r="IV306" t="e">
        <f>IF(#REF!,"AAAAACn65/8=",0)</f>
        <v>#REF!</v>
      </c>
    </row>
    <row r="307" spans="1:256">
      <c r="A307" t="e">
        <f>AND(#REF!,"AAAAAHN/XwA=")</f>
        <v>#REF!</v>
      </c>
      <c r="B307" t="e">
        <f>AND(#REF!,"AAAAAHN/XwE=")</f>
        <v>#REF!</v>
      </c>
      <c r="C307" t="e">
        <f>AND(#REF!,"AAAAAHN/XwI=")</f>
        <v>#REF!</v>
      </c>
      <c r="D307" t="e">
        <f>AND(#REF!,"AAAAAHN/XwM=")</f>
        <v>#REF!</v>
      </c>
      <c r="E307" t="e">
        <f>AND(#REF!,"AAAAAHN/XwQ=")</f>
        <v>#REF!</v>
      </c>
      <c r="F307" t="e">
        <f>AND(#REF!,"AAAAAHN/XwU=")</f>
        <v>#REF!</v>
      </c>
      <c r="G307" t="e">
        <f>AND(#REF!,"AAAAAHN/XwY=")</f>
        <v>#REF!</v>
      </c>
      <c r="H307" t="e">
        <f>AND(#REF!,"AAAAAHN/Xwc=")</f>
        <v>#REF!</v>
      </c>
      <c r="I307" t="e">
        <f>AND(#REF!,"AAAAAHN/Xwg=")</f>
        <v>#REF!</v>
      </c>
      <c r="J307" t="e">
        <f>AND(#REF!,"AAAAAHN/Xwk=")</f>
        <v>#REF!</v>
      </c>
      <c r="K307" t="e">
        <f>AND(#REF!,"AAAAAHN/Xwo=")</f>
        <v>#REF!</v>
      </c>
      <c r="L307" t="e">
        <f>AND(#REF!,"AAAAAHN/Xws=")</f>
        <v>#REF!</v>
      </c>
      <c r="M307" t="e">
        <f>AND(#REF!,"AAAAAHN/Xww=")</f>
        <v>#REF!</v>
      </c>
      <c r="N307" t="e">
        <f>AND(#REF!,"AAAAAHN/Xw0=")</f>
        <v>#REF!</v>
      </c>
      <c r="O307" t="e">
        <f>AND(#REF!,"AAAAAHN/Xw4=")</f>
        <v>#REF!</v>
      </c>
      <c r="P307" t="e">
        <f>AND(#REF!,"AAAAAHN/Xw8=")</f>
        <v>#REF!</v>
      </c>
      <c r="Q307" t="e">
        <f>AND(#REF!,"AAAAAHN/XxA=")</f>
        <v>#REF!</v>
      </c>
      <c r="R307" t="e">
        <f>AND(#REF!,"AAAAAHN/XxE=")</f>
        <v>#REF!</v>
      </c>
      <c r="S307" t="e">
        <f>AND(#REF!,"AAAAAHN/XxI=")</f>
        <v>#REF!</v>
      </c>
      <c r="T307" t="e">
        <f>AND(#REF!,"AAAAAHN/XxM=")</f>
        <v>#REF!</v>
      </c>
      <c r="U307" t="e">
        <f>AND(#REF!,"AAAAAHN/XxQ=")</f>
        <v>#REF!</v>
      </c>
      <c r="V307" t="e">
        <f>AND(#REF!,"AAAAAHN/XxU=")</f>
        <v>#REF!</v>
      </c>
      <c r="W307" t="e">
        <f>AND(#REF!,"AAAAAHN/XxY=")</f>
        <v>#REF!</v>
      </c>
      <c r="X307" t="e">
        <f>AND(#REF!,"AAAAAHN/Xxc=")</f>
        <v>#REF!</v>
      </c>
      <c r="Y307" t="e">
        <f>IF(#REF!,"AAAAAHN/Xxg=",0)</f>
        <v>#REF!</v>
      </c>
      <c r="Z307" t="e">
        <f>AND(#REF!,"AAAAAHN/Xxk=")</f>
        <v>#REF!</v>
      </c>
      <c r="AA307" t="e">
        <f>AND(#REF!,"AAAAAHN/Xxo=")</f>
        <v>#REF!</v>
      </c>
      <c r="AB307" t="e">
        <f>AND(#REF!,"AAAAAHN/Xxs=")</f>
        <v>#REF!</v>
      </c>
      <c r="AC307" t="e">
        <f>AND(#REF!,"AAAAAHN/Xxw=")</f>
        <v>#REF!</v>
      </c>
      <c r="AD307" t="e">
        <f>AND(#REF!,"AAAAAHN/Xx0=")</f>
        <v>#REF!</v>
      </c>
      <c r="AE307" t="e">
        <f>AND(#REF!,"AAAAAHN/Xx4=")</f>
        <v>#REF!</v>
      </c>
      <c r="AF307" t="e">
        <f>AND(#REF!,"AAAAAHN/Xx8=")</f>
        <v>#REF!</v>
      </c>
      <c r="AG307" t="e">
        <f>AND(#REF!,"AAAAAHN/XyA=")</f>
        <v>#REF!</v>
      </c>
      <c r="AH307" t="e">
        <f>AND(#REF!,"AAAAAHN/XyE=")</f>
        <v>#REF!</v>
      </c>
      <c r="AI307" t="e">
        <f>AND(#REF!,"AAAAAHN/XyI=")</f>
        <v>#REF!</v>
      </c>
      <c r="AJ307" t="e">
        <f>AND(#REF!,"AAAAAHN/XyM=")</f>
        <v>#REF!</v>
      </c>
      <c r="AK307" t="e">
        <f>AND(#REF!,"AAAAAHN/XyQ=")</f>
        <v>#REF!</v>
      </c>
      <c r="AL307" t="e">
        <f>AND(#REF!,"AAAAAHN/XyU=")</f>
        <v>#REF!</v>
      </c>
      <c r="AM307" t="e">
        <f>AND(#REF!,"AAAAAHN/XyY=")</f>
        <v>#REF!</v>
      </c>
      <c r="AN307" t="e">
        <f>AND(#REF!,"AAAAAHN/Xyc=")</f>
        <v>#REF!</v>
      </c>
      <c r="AO307" t="e">
        <f>AND(#REF!,"AAAAAHN/Xyg=")</f>
        <v>#REF!</v>
      </c>
      <c r="AP307" t="e">
        <f>AND(#REF!,"AAAAAHN/Xyk=")</f>
        <v>#REF!</v>
      </c>
      <c r="AQ307" t="e">
        <f>AND(#REF!,"AAAAAHN/Xyo=")</f>
        <v>#REF!</v>
      </c>
      <c r="AR307" t="e">
        <f>AND(#REF!,"AAAAAHN/Xys=")</f>
        <v>#REF!</v>
      </c>
      <c r="AS307" t="e">
        <f>AND(#REF!,"AAAAAHN/Xyw=")</f>
        <v>#REF!</v>
      </c>
      <c r="AT307" t="e">
        <f>AND(#REF!,"AAAAAHN/Xy0=")</f>
        <v>#REF!</v>
      </c>
      <c r="AU307" t="e">
        <f>AND(#REF!,"AAAAAHN/Xy4=")</f>
        <v>#REF!</v>
      </c>
      <c r="AV307" t="e">
        <f>AND(#REF!,"AAAAAHN/Xy8=")</f>
        <v>#REF!</v>
      </c>
      <c r="AW307" t="e">
        <f>AND(#REF!,"AAAAAHN/XzA=")</f>
        <v>#REF!</v>
      </c>
      <c r="AX307" t="e">
        <f>IF(#REF!,"AAAAAHN/XzE=",0)</f>
        <v>#REF!</v>
      </c>
      <c r="AY307" t="e">
        <f>AND(#REF!,"AAAAAHN/XzI=")</f>
        <v>#REF!</v>
      </c>
      <c r="AZ307" t="e">
        <f>AND(#REF!,"AAAAAHN/XzM=")</f>
        <v>#REF!</v>
      </c>
      <c r="BA307" t="e">
        <f>AND(#REF!,"AAAAAHN/XzQ=")</f>
        <v>#REF!</v>
      </c>
      <c r="BB307" t="e">
        <f>AND(#REF!,"AAAAAHN/XzU=")</f>
        <v>#REF!</v>
      </c>
      <c r="BC307" t="e">
        <f>AND(#REF!,"AAAAAHN/XzY=")</f>
        <v>#REF!</v>
      </c>
      <c r="BD307" t="e">
        <f>AND(#REF!,"AAAAAHN/Xzc=")</f>
        <v>#REF!</v>
      </c>
      <c r="BE307" t="e">
        <f>AND(#REF!,"AAAAAHN/Xzg=")</f>
        <v>#REF!</v>
      </c>
      <c r="BF307" t="e">
        <f>AND(#REF!,"AAAAAHN/Xzk=")</f>
        <v>#REF!</v>
      </c>
      <c r="BG307" t="e">
        <f>AND(#REF!,"AAAAAHN/Xzo=")</f>
        <v>#REF!</v>
      </c>
      <c r="BH307" t="e">
        <f>AND(#REF!,"AAAAAHN/Xzs=")</f>
        <v>#REF!</v>
      </c>
      <c r="BI307" t="e">
        <f>AND(#REF!,"AAAAAHN/Xzw=")</f>
        <v>#REF!</v>
      </c>
      <c r="BJ307" t="e">
        <f>AND(#REF!,"AAAAAHN/Xz0=")</f>
        <v>#REF!</v>
      </c>
      <c r="BK307" t="e">
        <f>AND(#REF!,"AAAAAHN/Xz4=")</f>
        <v>#REF!</v>
      </c>
      <c r="BL307" t="e">
        <f>AND(#REF!,"AAAAAHN/Xz8=")</f>
        <v>#REF!</v>
      </c>
      <c r="BM307" t="e">
        <f>AND(#REF!,"AAAAAHN/X0A=")</f>
        <v>#REF!</v>
      </c>
      <c r="BN307" t="e">
        <f>AND(#REF!,"AAAAAHN/X0E=")</f>
        <v>#REF!</v>
      </c>
      <c r="BO307" t="e">
        <f>AND(#REF!,"AAAAAHN/X0I=")</f>
        <v>#REF!</v>
      </c>
      <c r="BP307" t="e">
        <f>AND(#REF!,"AAAAAHN/X0M=")</f>
        <v>#REF!</v>
      </c>
      <c r="BQ307" t="e">
        <f>AND(#REF!,"AAAAAHN/X0Q=")</f>
        <v>#REF!</v>
      </c>
      <c r="BR307" t="e">
        <f>AND(#REF!,"AAAAAHN/X0U=")</f>
        <v>#REF!</v>
      </c>
      <c r="BS307" t="e">
        <f>AND(#REF!,"AAAAAHN/X0Y=")</f>
        <v>#REF!</v>
      </c>
      <c r="BT307" t="e">
        <f>AND(#REF!,"AAAAAHN/X0c=")</f>
        <v>#REF!</v>
      </c>
      <c r="BU307" t="e">
        <f>AND(#REF!,"AAAAAHN/X0g=")</f>
        <v>#REF!</v>
      </c>
      <c r="BV307" t="e">
        <f>AND(#REF!,"AAAAAHN/X0k=")</f>
        <v>#REF!</v>
      </c>
      <c r="BW307" t="e">
        <f>IF(#REF!,"AAAAAHN/X0o=",0)</f>
        <v>#REF!</v>
      </c>
      <c r="BX307" t="e">
        <f>AND(#REF!,"AAAAAHN/X0s=")</f>
        <v>#REF!</v>
      </c>
      <c r="BY307" t="e">
        <f>AND(#REF!,"AAAAAHN/X0w=")</f>
        <v>#REF!</v>
      </c>
      <c r="BZ307" t="e">
        <f>AND(#REF!,"AAAAAHN/X00=")</f>
        <v>#REF!</v>
      </c>
      <c r="CA307" t="e">
        <f>AND(#REF!,"AAAAAHN/X04=")</f>
        <v>#REF!</v>
      </c>
      <c r="CB307" t="e">
        <f>AND(#REF!,"AAAAAHN/X08=")</f>
        <v>#REF!</v>
      </c>
      <c r="CC307" t="e">
        <f>AND(#REF!,"AAAAAHN/X1A=")</f>
        <v>#REF!</v>
      </c>
      <c r="CD307" t="e">
        <f>AND(#REF!,"AAAAAHN/X1E=")</f>
        <v>#REF!</v>
      </c>
      <c r="CE307" t="e">
        <f>AND(#REF!,"AAAAAHN/X1I=")</f>
        <v>#REF!</v>
      </c>
      <c r="CF307" t="e">
        <f>AND(#REF!,"AAAAAHN/X1M=")</f>
        <v>#REF!</v>
      </c>
      <c r="CG307" t="e">
        <f>AND(#REF!,"AAAAAHN/X1Q=")</f>
        <v>#REF!</v>
      </c>
      <c r="CH307" t="e">
        <f>AND(#REF!,"AAAAAHN/X1U=")</f>
        <v>#REF!</v>
      </c>
      <c r="CI307" t="e">
        <f>AND(#REF!,"AAAAAHN/X1Y=")</f>
        <v>#REF!</v>
      </c>
      <c r="CJ307" t="e">
        <f>AND(#REF!,"AAAAAHN/X1c=")</f>
        <v>#REF!</v>
      </c>
      <c r="CK307" t="e">
        <f>AND(#REF!,"AAAAAHN/X1g=")</f>
        <v>#REF!</v>
      </c>
      <c r="CL307" t="e">
        <f>AND(#REF!,"AAAAAHN/X1k=")</f>
        <v>#REF!</v>
      </c>
      <c r="CM307" t="e">
        <f>AND(#REF!,"AAAAAHN/X1o=")</f>
        <v>#REF!</v>
      </c>
      <c r="CN307" t="e">
        <f>AND(#REF!,"AAAAAHN/X1s=")</f>
        <v>#REF!</v>
      </c>
      <c r="CO307" t="e">
        <f>AND(#REF!,"AAAAAHN/X1w=")</f>
        <v>#REF!</v>
      </c>
      <c r="CP307" t="e">
        <f>AND(#REF!,"AAAAAHN/X10=")</f>
        <v>#REF!</v>
      </c>
      <c r="CQ307" t="e">
        <f>AND(#REF!,"AAAAAHN/X14=")</f>
        <v>#REF!</v>
      </c>
      <c r="CR307" t="e">
        <f>AND(#REF!,"AAAAAHN/X18=")</f>
        <v>#REF!</v>
      </c>
      <c r="CS307" t="e">
        <f>AND(#REF!,"AAAAAHN/X2A=")</f>
        <v>#REF!</v>
      </c>
      <c r="CT307" t="e">
        <f>AND(#REF!,"AAAAAHN/X2E=")</f>
        <v>#REF!</v>
      </c>
      <c r="CU307" t="e">
        <f>AND(#REF!,"AAAAAHN/X2I=")</f>
        <v>#REF!</v>
      </c>
      <c r="CV307" t="e">
        <f>IF(#REF!,"AAAAAHN/X2M=",0)</f>
        <v>#REF!</v>
      </c>
      <c r="CW307" t="e">
        <f>AND(#REF!,"AAAAAHN/X2Q=")</f>
        <v>#REF!</v>
      </c>
      <c r="CX307" t="e">
        <f>AND(#REF!,"AAAAAHN/X2U=")</f>
        <v>#REF!</v>
      </c>
      <c r="CY307" t="e">
        <f>AND(#REF!,"AAAAAHN/X2Y=")</f>
        <v>#REF!</v>
      </c>
      <c r="CZ307" t="e">
        <f>AND(#REF!,"AAAAAHN/X2c=")</f>
        <v>#REF!</v>
      </c>
      <c r="DA307" t="e">
        <f>AND(#REF!,"AAAAAHN/X2g=")</f>
        <v>#REF!</v>
      </c>
      <c r="DB307" t="e">
        <f>AND(#REF!,"AAAAAHN/X2k=")</f>
        <v>#REF!</v>
      </c>
      <c r="DC307" t="e">
        <f>AND(#REF!,"AAAAAHN/X2o=")</f>
        <v>#REF!</v>
      </c>
      <c r="DD307" t="e">
        <f>AND(#REF!,"AAAAAHN/X2s=")</f>
        <v>#REF!</v>
      </c>
      <c r="DE307" t="e">
        <f>AND(#REF!,"AAAAAHN/X2w=")</f>
        <v>#REF!</v>
      </c>
      <c r="DF307" t="e">
        <f>AND(#REF!,"AAAAAHN/X20=")</f>
        <v>#REF!</v>
      </c>
      <c r="DG307" t="e">
        <f>AND(#REF!,"AAAAAHN/X24=")</f>
        <v>#REF!</v>
      </c>
      <c r="DH307" t="e">
        <f>AND(#REF!,"AAAAAHN/X28=")</f>
        <v>#REF!</v>
      </c>
      <c r="DI307" t="e">
        <f>AND(#REF!,"AAAAAHN/X3A=")</f>
        <v>#REF!</v>
      </c>
      <c r="DJ307" t="e">
        <f>AND(#REF!,"AAAAAHN/X3E=")</f>
        <v>#REF!</v>
      </c>
      <c r="DK307" t="e">
        <f>AND(#REF!,"AAAAAHN/X3I=")</f>
        <v>#REF!</v>
      </c>
      <c r="DL307" t="e">
        <f>AND(#REF!,"AAAAAHN/X3M=")</f>
        <v>#REF!</v>
      </c>
      <c r="DM307" t="e">
        <f>AND(#REF!,"AAAAAHN/X3Q=")</f>
        <v>#REF!</v>
      </c>
      <c r="DN307" t="e">
        <f>AND(#REF!,"AAAAAHN/X3U=")</f>
        <v>#REF!</v>
      </c>
      <c r="DO307" t="e">
        <f>AND(#REF!,"AAAAAHN/X3Y=")</f>
        <v>#REF!</v>
      </c>
      <c r="DP307" t="e">
        <f>AND(#REF!,"AAAAAHN/X3c=")</f>
        <v>#REF!</v>
      </c>
      <c r="DQ307" t="e">
        <f>AND(#REF!,"AAAAAHN/X3g=")</f>
        <v>#REF!</v>
      </c>
      <c r="DR307" t="e">
        <f>AND(#REF!,"AAAAAHN/X3k=")</f>
        <v>#REF!</v>
      </c>
      <c r="DS307" t="e">
        <f>AND(#REF!,"AAAAAHN/X3o=")</f>
        <v>#REF!</v>
      </c>
      <c r="DT307" t="e">
        <f>AND(#REF!,"AAAAAHN/X3s=")</f>
        <v>#REF!</v>
      </c>
      <c r="DU307" t="e">
        <f>IF(#REF!,"AAAAAHN/X3w=",0)</f>
        <v>#REF!</v>
      </c>
      <c r="DV307" t="e">
        <f>AND(#REF!,"AAAAAHN/X30=")</f>
        <v>#REF!</v>
      </c>
      <c r="DW307" t="e">
        <f>AND(#REF!,"AAAAAHN/X34=")</f>
        <v>#REF!</v>
      </c>
      <c r="DX307" t="e">
        <f>AND(#REF!,"AAAAAHN/X38=")</f>
        <v>#REF!</v>
      </c>
      <c r="DY307" t="e">
        <f>AND(#REF!,"AAAAAHN/X4A=")</f>
        <v>#REF!</v>
      </c>
      <c r="DZ307" t="e">
        <f>AND(#REF!,"AAAAAHN/X4E=")</f>
        <v>#REF!</v>
      </c>
      <c r="EA307" t="e">
        <f>AND(#REF!,"AAAAAHN/X4I=")</f>
        <v>#REF!</v>
      </c>
      <c r="EB307" t="e">
        <f>AND(#REF!,"AAAAAHN/X4M=")</f>
        <v>#REF!</v>
      </c>
      <c r="EC307" t="e">
        <f>AND(#REF!,"AAAAAHN/X4Q=")</f>
        <v>#REF!</v>
      </c>
      <c r="ED307" t="e">
        <f>AND(#REF!,"AAAAAHN/X4U=")</f>
        <v>#REF!</v>
      </c>
      <c r="EE307" t="e">
        <f>AND(#REF!,"AAAAAHN/X4Y=")</f>
        <v>#REF!</v>
      </c>
      <c r="EF307" t="e">
        <f>AND(#REF!,"AAAAAHN/X4c=")</f>
        <v>#REF!</v>
      </c>
      <c r="EG307" t="e">
        <f>AND(#REF!,"AAAAAHN/X4g=")</f>
        <v>#REF!</v>
      </c>
      <c r="EH307" t="e">
        <f>AND(#REF!,"AAAAAHN/X4k=")</f>
        <v>#REF!</v>
      </c>
      <c r="EI307" t="e">
        <f>AND(#REF!,"AAAAAHN/X4o=")</f>
        <v>#REF!</v>
      </c>
      <c r="EJ307" t="e">
        <f>AND(#REF!,"AAAAAHN/X4s=")</f>
        <v>#REF!</v>
      </c>
      <c r="EK307" t="e">
        <f>AND(#REF!,"AAAAAHN/X4w=")</f>
        <v>#REF!</v>
      </c>
      <c r="EL307" t="e">
        <f>AND(#REF!,"AAAAAHN/X40=")</f>
        <v>#REF!</v>
      </c>
      <c r="EM307" t="e">
        <f>AND(#REF!,"AAAAAHN/X44=")</f>
        <v>#REF!</v>
      </c>
      <c r="EN307" t="e">
        <f>AND(#REF!,"AAAAAHN/X48=")</f>
        <v>#REF!</v>
      </c>
      <c r="EO307" t="e">
        <f>AND(#REF!,"AAAAAHN/X5A=")</f>
        <v>#REF!</v>
      </c>
      <c r="EP307" t="e">
        <f>AND(#REF!,"AAAAAHN/X5E=")</f>
        <v>#REF!</v>
      </c>
      <c r="EQ307" t="e">
        <f>AND(#REF!,"AAAAAHN/X5I=")</f>
        <v>#REF!</v>
      </c>
      <c r="ER307" t="e">
        <f>AND(#REF!,"AAAAAHN/X5M=")</f>
        <v>#REF!</v>
      </c>
      <c r="ES307" t="e">
        <f>AND(#REF!,"AAAAAHN/X5Q=")</f>
        <v>#REF!</v>
      </c>
      <c r="ET307" t="e">
        <f>IF(#REF!,"AAAAAHN/X5U=",0)</f>
        <v>#REF!</v>
      </c>
      <c r="EU307" t="e">
        <f>AND(#REF!,"AAAAAHN/X5Y=")</f>
        <v>#REF!</v>
      </c>
      <c r="EV307" t="e">
        <f>AND(#REF!,"AAAAAHN/X5c=")</f>
        <v>#REF!</v>
      </c>
      <c r="EW307" t="e">
        <f>AND(#REF!,"AAAAAHN/X5g=")</f>
        <v>#REF!</v>
      </c>
      <c r="EX307" t="e">
        <f>AND(#REF!,"AAAAAHN/X5k=")</f>
        <v>#REF!</v>
      </c>
      <c r="EY307" t="e">
        <f>AND(#REF!,"AAAAAHN/X5o=")</f>
        <v>#REF!</v>
      </c>
      <c r="EZ307" t="e">
        <f>AND(#REF!,"AAAAAHN/X5s=")</f>
        <v>#REF!</v>
      </c>
      <c r="FA307" t="e">
        <f>AND(#REF!,"AAAAAHN/X5w=")</f>
        <v>#REF!</v>
      </c>
      <c r="FB307" t="e">
        <f>AND(#REF!,"AAAAAHN/X50=")</f>
        <v>#REF!</v>
      </c>
      <c r="FC307" t="e">
        <f>AND(#REF!,"AAAAAHN/X54=")</f>
        <v>#REF!</v>
      </c>
      <c r="FD307" t="e">
        <f>AND(#REF!,"AAAAAHN/X58=")</f>
        <v>#REF!</v>
      </c>
      <c r="FE307" t="e">
        <f>AND(#REF!,"AAAAAHN/X6A=")</f>
        <v>#REF!</v>
      </c>
      <c r="FF307" t="e">
        <f>AND(#REF!,"AAAAAHN/X6E=")</f>
        <v>#REF!</v>
      </c>
      <c r="FG307" t="e">
        <f>AND(#REF!,"AAAAAHN/X6I=")</f>
        <v>#REF!</v>
      </c>
      <c r="FH307" t="e">
        <f>AND(#REF!,"AAAAAHN/X6M=")</f>
        <v>#REF!</v>
      </c>
      <c r="FI307" t="e">
        <f>AND(#REF!,"AAAAAHN/X6Q=")</f>
        <v>#REF!</v>
      </c>
      <c r="FJ307" t="e">
        <f>AND(#REF!,"AAAAAHN/X6U=")</f>
        <v>#REF!</v>
      </c>
      <c r="FK307" t="e">
        <f>AND(#REF!,"AAAAAHN/X6Y=")</f>
        <v>#REF!</v>
      </c>
      <c r="FL307" t="e">
        <f>AND(#REF!,"AAAAAHN/X6c=")</f>
        <v>#REF!</v>
      </c>
      <c r="FM307" t="e">
        <f>AND(#REF!,"AAAAAHN/X6g=")</f>
        <v>#REF!</v>
      </c>
      <c r="FN307" t="e">
        <f>AND(#REF!,"AAAAAHN/X6k=")</f>
        <v>#REF!</v>
      </c>
      <c r="FO307" t="e">
        <f>AND(#REF!,"AAAAAHN/X6o=")</f>
        <v>#REF!</v>
      </c>
      <c r="FP307" t="e">
        <f>AND(#REF!,"AAAAAHN/X6s=")</f>
        <v>#REF!</v>
      </c>
      <c r="FQ307" t="e">
        <f>AND(#REF!,"AAAAAHN/X6w=")</f>
        <v>#REF!</v>
      </c>
      <c r="FR307" t="e">
        <f>AND(#REF!,"AAAAAHN/X60=")</f>
        <v>#REF!</v>
      </c>
      <c r="FS307" t="e">
        <f>IF(#REF!,"AAAAAHN/X64=",0)</f>
        <v>#REF!</v>
      </c>
      <c r="FT307" t="e">
        <f>AND(#REF!,"AAAAAHN/X68=")</f>
        <v>#REF!</v>
      </c>
      <c r="FU307" t="e">
        <f>AND(#REF!,"AAAAAHN/X7A=")</f>
        <v>#REF!</v>
      </c>
      <c r="FV307" t="e">
        <f>AND(#REF!,"AAAAAHN/X7E=")</f>
        <v>#REF!</v>
      </c>
      <c r="FW307" t="e">
        <f>AND(#REF!,"AAAAAHN/X7I=")</f>
        <v>#REF!</v>
      </c>
      <c r="FX307" t="e">
        <f>AND(#REF!,"AAAAAHN/X7M=")</f>
        <v>#REF!</v>
      </c>
      <c r="FY307" t="e">
        <f>AND(#REF!,"AAAAAHN/X7Q=")</f>
        <v>#REF!</v>
      </c>
      <c r="FZ307" t="e">
        <f>AND(#REF!,"AAAAAHN/X7U=")</f>
        <v>#REF!</v>
      </c>
      <c r="GA307" t="e">
        <f>AND(#REF!,"AAAAAHN/X7Y=")</f>
        <v>#REF!</v>
      </c>
      <c r="GB307" t="e">
        <f>AND(#REF!,"AAAAAHN/X7c=")</f>
        <v>#REF!</v>
      </c>
      <c r="GC307" t="e">
        <f>AND(#REF!,"AAAAAHN/X7g=")</f>
        <v>#REF!</v>
      </c>
      <c r="GD307" t="e">
        <f>AND(#REF!,"AAAAAHN/X7k=")</f>
        <v>#REF!</v>
      </c>
      <c r="GE307" t="e">
        <f>AND(#REF!,"AAAAAHN/X7o=")</f>
        <v>#REF!</v>
      </c>
      <c r="GF307" t="e">
        <f>AND(#REF!,"AAAAAHN/X7s=")</f>
        <v>#REF!</v>
      </c>
      <c r="GG307" t="e">
        <f>AND(#REF!,"AAAAAHN/X7w=")</f>
        <v>#REF!</v>
      </c>
      <c r="GH307" t="e">
        <f>AND(#REF!,"AAAAAHN/X70=")</f>
        <v>#REF!</v>
      </c>
      <c r="GI307" t="e">
        <f>AND(#REF!,"AAAAAHN/X74=")</f>
        <v>#REF!</v>
      </c>
      <c r="GJ307" t="e">
        <f>AND(#REF!,"AAAAAHN/X78=")</f>
        <v>#REF!</v>
      </c>
      <c r="GK307" t="e">
        <f>AND(#REF!,"AAAAAHN/X8A=")</f>
        <v>#REF!</v>
      </c>
      <c r="GL307" t="e">
        <f>AND(#REF!,"AAAAAHN/X8E=")</f>
        <v>#REF!</v>
      </c>
      <c r="GM307" t="e">
        <f>AND(#REF!,"AAAAAHN/X8I=")</f>
        <v>#REF!</v>
      </c>
      <c r="GN307" t="e">
        <f>AND(#REF!,"AAAAAHN/X8M=")</f>
        <v>#REF!</v>
      </c>
      <c r="GO307" t="e">
        <f>AND(#REF!,"AAAAAHN/X8Q=")</f>
        <v>#REF!</v>
      </c>
      <c r="GP307" t="e">
        <f>AND(#REF!,"AAAAAHN/X8U=")</f>
        <v>#REF!</v>
      </c>
      <c r="GQ307" t="e">
        <f>AND(#REF!,"AAAAAHN/X8Y=")</f>
        <v>#REF!</v>
      </c>
      <c r="GR307" t="e">
        <f>IF(#REF!,"AAAAAHN/X8c=",0)</f>
        <v>#REF!</v>
      </c>
      <c r="GS307" t="e">
        <f>AND(#REF!,"AAAAAHN/X8g=")</f>
        <v>#REF!</v>
      </c>
      <c r="GT307" t="e">
        <f>AND(#REF!,"AAAAAHN/X8k=")</f>
        <v>#REF!</v>
      </c>
      <c r="GU307" t="e">
        <f>AND(#REF!,"AAAAAHN/X8o=")</f>
        <v>#REF!</v>
      </c>
      <c r="GV307" t="e">
        <f>AND(#REF!,"AAAAAHN/X8s=")</f>
        <v>#REF!</v>
      </c>
      <c r="GW307" t="e">
        <f>AND(#REF!,"AAAAAHN/X8w=")</f>
        <v>#REF!</v>
      </c>
      <c r="GX307" t="e">
        <f>AND(#REF!,"AAAAAHN/X80=")</f>
        <v>#REF!</v>
      </c>
      <c r="GY307" t="e">
        <f>AND(#REF!,"AAAAAHN/X84=")</f>
        <v>#REF!</v>
      </c>
      <c r="GZ307" t="e">
        <f>AND(#REF!,"AAAAAHN/X88=")</f>
        <v>#REF!</v>
      </c>
      <c r="HA307" t="e">
        <f>AND(#REF!,"AAAAAHN/X9A=")</f>
        <v>#REF!</v>
      </c>
      <c r="HB307" t="e">
        <f>AND(#REF!,"AAAAAHN/X9E=")</f>
        <v>#REF!</v>
      </c>
      <c r="HC307" t="e">
        <f>AND(#REF!,"AAAAAHN/X9I=")</f>
        <v>#REF!</v>
      </c>
      <c r="HD307" t="e">
        <f>AND(#REF!,"AAAAAHN/X9M=")</f>
        <v>#REF!</v>
      </c>
      <c r="HE307" t="e">
        <f>AND(#REF!,"AAAAAHN/X9Q=")</f>
        <v>#REF!</v>
      </c>
      <c r="HF307" t="e">
        <f>AND(#REF!,"AAAAAHN/X9U=")</f>
        <v>#REF!</v>
      </c>
      <c r="HG307" t="e">
        <f>AND(#REF!,"AAAAAHN/X9Y=")</f>
        <v>#REF!</v>
      </c>
      <c r="HH307" t="e">
        <f>AND(#REF!,"AAAAAHN/X9c=")</f>
        <v>#REF!</v>
      </c>
      <c r="HI307" t="e">
        <f>AND(#REF!,"AAAAAHN/X9g=")</f>
        <v>#REF!</v>
      </c>
      <c r="HJ307" t="e">
        <f>AND(#REF!,"AAAAAHN/X9k=")</f>
        <v>#REF!</v>
      </c>
      <c r="HK307" t="e">
        <f>AND(#REF!,"AAAAAHN/X9o=")</f>
        <v>#REF!</v>
      </c>
      <c r="HL307" t="e">
        <f>AND(#REF!,"AAAAAHN/X9s=")</f>
        <v>#REF!</v>
      </c>
      <c r="HM307" t="e">
        <f>AND(#REF!,"AAAAAHN/X9w=")</f>
        <v>#REF!</v>
      </c>
      <c r="HN307" t="e">
        <f>AND(#REF!,"AAAAAHN/X90=")</f>
        <v>#REF!</v>
      </c>
      <c r="HO307" t="e">
        <f>AND(#REF!,"AAAAAHN/X94=")</f>
        <v>#REF!</v>
      </c>
      <c r="HP307" t="e">
        <f>AND(#REF!,"AAAAAHN/X98=")</f>
        <v>#REF!</v>
      </c>
      <c r="HQ307" t="e">
        <f>IF(#REF!,"AAAAAHN/X+A=",0)</f>
        <v>#REF!</v>
      </c>
      <c r="HR307" t="e">
        <f>AND(#REF!,"AAAAAHN/X+E=")</f>
        <v>#REF!</v>
      </c>
      <c r="HS307" t="e">
        <f>AND(#REF!,"AAAAAHN/X+I=")</f>
        <v>#REF!</v>
      </c>
      <c r="HT307" t="e">
        <f>AND(#REF!,"AAAAAHN/X+M=")</f>
        <v>#REF!</v>
      </c>
      <c r="HU307" t="e">
        <f>AND(#REF!,"AAAAAHN/X+Q=")</f>
        <v>#REF!</v>
      </c>
      <c r="HV307" t="e">
        <f>AND(#REF!,"AAAAAHN/X+U=")</f>
        <v>#REF!</v>
      </c>
      <c r="HW307" t="e">
        <f>AND(#REF!,"AAAAAHN/X+Y=")</f>
        <v>#REF!</v>
      </c>
      <c r="HX307" t="e">
        <f>AND(#REF!,"AAAAAHN/X+c=")</f>
        <v>#REF!</v>
      </c>
      <c r="HY307" t="e">
        <f>AND(#REF!,"AAAAAHN/X+g=")</f>
        <v>#REF!</v>
      </c>
      <c r="HZ307" t="e">
        <f>AND(#REF!,"AAAAAHN/X+k=")</f>
        <v>#REF!</v>
      </c>
      <c r="IA307" t="e">
        <f>AND(#REF!,"AAAAAHN/X+o=")</f>
        <v>#REF!</v>
      </c>
      <c r="IB307" t="e">
        <f>AND(#REF!,"AAAAAHN/X+s=")</f>
        <v>#REF!</v>
      </c>
      <c r="IC307" t="e">
        <f>AND(#REF!,"AAAAAHN/X+w=")</f>
        <v>#REF!</v>
      </c>
      <c r="ID307" t="e">
        <f>AND(#REF!,"AAAAAHN/X+0=")</f>
        <v>#REF!</v>
      </c>
      <c r="IE307" t="e">
        <f>AND(#REF!,"AAAAAHN/X+4=")</f>
        <v>#REF!</v>
      </c>
      <c r="IF307" t="e">
        <f>AND(#REF!,"AAAAAHN/X+8=")</f>
        <v>#REF!</v>
      </c>
      <c r="IG307" t="e">
        <f>AND(#REF!,"AAAAAHN/X/A=")</f>
        <v>#REF!</v>
      </c>
      <c r="IH307" t="e">
        <f>AND(#REF!,"AAAAAHN/X/E=")</f>
        <v>#REF!</v>
      </c>
      <c r="II307" t="e">
        <f>AND(#REF!,"AAAAAHN/X/I=")</f>
        <v>#REF!</v>
      </c>
      <c r="IJ307" t="e">
        <f>AND(#REF!,"AAAAAHN/X/M=")</f>
        <v>#REF!</v>
      </c>
      <c r="IK307" t="e">
        <f>AND(#REF!,"AAAAAHN/X/Q=")</f>
        <v>#REF!</v>
      </c>
      <c r="IL307" t="e">
        <f>AND(#REF!,"AAAAAHN/X/U=")</f>
        <v>#REF!</v>
      </c>
      <c r="IM307" t="e">
        <f>AND(#REF!,"AAAAAHN/X/Y=")</f>
        <v>#REF!</v>
      </c>
      <c r="IN307" t="e">
        <f>AND(#REF!,"AAAAAHN/X/c=")</f>
        <v>#REF!</v>
      </c>
      <c r="IO307" t="e">
        <f>AND(#REF!,"AAAAAHN/X/g=")</f>
        <v>#REF!</v>
      </c>
      <c r="IP307" t="e">
        <f>IF(#REF!,"AAAAAHN/X/k=",0)</f>
        <v>#REF!</v>
      </c>
      <c r="IQ307" t="e">
        <f>AND(#REF!,"AAAAAHN/X/o=")</f>
        <v>#REF!</v>
      </c>
      <c r="IR307" t="e">
        <f>AND(#REF!,"AAAAAHN/X/s=")</f>
        <v>#REF!</v>
      </c>
      <c r="IS307" t="e">
        <f>AND(#REF!,"AAAAAHN/X/w=")</f>
        <v>#REF!</v>
      </c>
      <c r="IT307" t="e">
        <f>AND(#REF!,"AAAAAHN/X/0=")</f>
        <v>#REF!</v>
      </c>
      <c r="IU307" t="e">
        <f>AND(#REF!,"AAAAAHN/X/4=")</f>
        <v>#REF!</v>
      </c>
      <c r="IV307" t="e">
        <f>AND(#REF!,"AAAAAHN/X/8=")</f>
        <v>#REF!</v>
      </c>
    </row>
    <row r="308" spans="1:256">
      <c r="A308" t="e">
        <f>AND(#REF!,"AAAAABp8/wA=")</f>
        <v>#REF!</v>
      </c>
      <c r="B308" t="e">
        <f>AND(#REF!,"AAAAABp8/wE=")</f>
        <v>#REF!</v>
      </c>
      <c r="C308" t="e">
        <f>AND(#REF!,"AAAAABp8/wI=")</f>
        <v>#REF!</v>
      </c>
      <c r="D308" t="e">
        <f>AND(#REF!,"AAAAABp8/wM=")</f>
        <v>#REF!</v>
      </c>
      <c r="E308" t="e">
        <f>AND(#REF!,"AAAAABp8/wQ=")</f>
        <v>#REF!</v>
      </c>
      <c r="F308" t="e">
        <f>AND(#REF!,"AAAAABp8/wU=")</f>
        <v>#REF!</v>
      </c>
      <c r="G308" t="e">
        <f>AND(#REF!,"AAAAABp8/wY=")</f>
        <v>#REF!</v>
      </c>
      <c r="H308" t="e">
        <f>AND(#REF!,"AAAAABp8/wc=")</f>
        <v>#REF!</v>
      </c>
      <c r="I308" t="e">
        <f>AND(#REF!,"AAAAABp8/wg=")</f>
        <v>#REF!</v>
      </c>
      <c r="J308" t="e">
        <f>AND(#REF!,"AAAAABp8/wk=")</f>
        <v>#REF!</v>
      </c>
      <c r="K308" t="e">
        <f>AND(#REF!,"AAAAABp8/wo=")</f>
        <v>#REF!</v>
      </c>
      <c r="L308" t="e">
        <f>AND(#REF!,"AAAAABp8/ws=")</f>
        <v>#REF!</v>
      </c>
      <c r="M308" t="e">
        <f>AND(#REF!,"AAAAABp8/ww=")</f>
        <v>#REF!</v>
      </c>
      <c r="N308" t="e">
        <f>AND(#REF!,"AAAAABp8/w0=")</f>
        <v>#REF!</v>
      </c>
      <c r="O308" t="e">
        <f>AND(#REF!,"AAAAABp8/w4=")</f>
        <v>#REF!</v>
      </c>
      <c r="P308" t="e">
        <f>AND(#REF!,"AAAAABp8/w8=")</f>
        <v>#REF!</v>
      </c>
      <c r="Q308" t="e">
        <f>AND(#REF!,"AAAAABp8/xA=")</f>
        <v>#REF!</v>
      </c>
      <c r="R308" t="e">
        <f>AND(#REF!,"AAAAABp8/xE=")</f>
        <v>#REF!</v>
      </c>
      <c r="S308" t="e">
        <f>IF(#REF!,"AAAAABp8/xI=",0)</f>
        <v>#REF!</v>
      </c>
      <c r="T308" t="e">
        <f>AND(#REF!,"AAAAABp8/xM=")</f>
        <v>#REF!</v>
      </c>
      <c r="U308" t="e">
        <f>AND(#REF!,"AAAAABp8/xQ=")</f>
        <v>#REF!</v>
      </c>
      <c r="V308" t="e">
        <f>AND(#REF!,"AAAAABp8/xU=")</f>
        <v>#REF!</v>
      </c>
      <c r="W308" t="e">
        <f>AND(#REF!,"AAAAABp8/xY=")</f>
        <v>#REF!</v>
      </c>
      <c r="X308" t="e">
        <f>AND(#REF!,"AAAAABp8/xc=")</f>
        <v>#REF!</v>
      </c>
      <c r="Y308" t="e">
        <f>AND(#REF!,"AAAAABp8/xg=")</f>
        <v>#REF!</v>
      </c>
      <c r="Z308" t="e">
        <f>AND(#REF!,"AAAAABp8/xk=")</f>
        <v>#REF!</v>
      </c>
      <c r="AA308" t="e">
        <f>AND(#REF!,"AAAAABp8/xo=")</f>
        <v>#REF!</v>
      </c>
      <c r="AB308" t="e">
        <f>AND(#REF!,"AAAAABp8/xs=")</f>
        <v>#REF!</v>
      </c>
      <c r="AC308" t="e">
        <f>AND(#REF!,"AAAAABp8/xw=")</f>
        <v>#REF!</v>
      </c>
      <c r="AD308" t="e">
        <f>AND(#REF!,"AAAAABp8/x0=")</f>
        <v>#REF!</v>
      </c>
      <c r="AE308" t="e">
        <f>AND(#REF!,"AAAAABp8/x4=")</f>
        <v>#REF!</v>
      </c>
      <c r="AF308" t="e">
        <f>AND(#REF!,"AAAAABp8/x8=")</f>
        <v>#REF!</v>
      </c>
      <c r="AG308" t="e">
        <f>AND(#REF!,"AAAAABp8/yA=")</f>
        <v>#REF!</v>
      </c>
      <c r="AH308" t="e">
        <f>AND(#REF!,"AAAAABp8/yE=")</f>
        <v>#REF!</v>
      </c>
      <c r="AI308" t="e">
        <f>AND(#REF!,"AAAAABp8/yI=")</f>
        <v>#REF!</v>
      </c>
      <c r="AJ308" t="e">
        <f>AND(#REF!,"AAAAABp8/yM=")</f>
        <v>#REF!</v>
      </c>
      <c r="AK308" t="e">
        <f>AND(#REF!,"AAAAABp8/yQ=")</f>
        <v>#REF!</v>
      </c>
      <c r="AL308" t="e">
        <f>AND(#REF!,"AAAAABp8/yU=")</f>
        <v>#REF!</v>
      </c>
      <c r="AM308" t="e">
        <f>AND(#REF!,"AAAAABp8/yY=")</f>
        <v>#REF!</v>
      </c>
      <c r="AN308" t="e">
        <f>AND(#REF!,"AAAAABp8/yc=")</f>
        <v>#REF!</v>
      </c>
      <c r="AO308" t="e">
        <f>AND(#REF!,"AAAAABp8/yg=")</f>
        <v>#REF!</v>
      </c>
      <c r="AP308" t="e">
        <f>AND(#REF!,"AAAAABp8/yk=")</f>
        <v>#REF!</v>
      </c>
      <c r="AQ308" t="e">
        <f>AND(#REF!,"AAAAABp8/yo=")</f>
        <v>#REF!</v>
      </c>
      <c r="AR308" t="e">
        <f>IF(#REF!,"AAAAABp8/ys=",0)</f>
        <v>#REF!</v>
      </c>
      <c r="AS308" t="e">
        <f>AND(#REF!,"AAAAABp8/yw=")</f>
        <v>#REF!</v>
      </c>
      <c r="AT308" t="e">
        <f>AND(#REF!,"AAAAABp8/y0=")</f>
        <v>#REF!</v>
      </c>
      <c r="AU308" t="e">
        <f>AND(#REF!,"AAAAABp8/y4=")</f>
        <v>#REF!</v>
      </c>
      <c r="AV308" t="e">
        <f>AND(#REF!,"AAAAABp8/y8=")</f>
        <v>#REF!</v>
      </c>
      <c r="AW308" t="e">
        <f>AND(#REF!,"AAAAABp8/zA=")</f>
        <v>#REF!</v>
      </c>
      <c r="AX308" t="e">
        <f>AND(#REF!,"AAAAABp8/zE=")</f>
        <v>#REF!</v>
      </c>
      <c r="AY308" t="e">
        <f>AND(#REF!,"AAAAABp8/zI=")</f>
        <v>#REF!</v>
      </c>
      <c r="AZ308" t="e">
        <f>AND(#REF!,"AAAAABp8/zM=")</f>
        <v>#REF!</v>
      </c>
      <c r="BA308" t="e">
        <f>AND(#REF!,"AAAAABp8/zQ=")</f>
        <v>#REF!</v>
      </c>
      <c r="BB308" t="e">
        <f>AND(#REF!,"AAAAABp8/zU=")</f>
        <v>#REF!</v>
      </c>
      <c r="BC308" t="e">
        <f>AND(#REF!,"AAAAABp8/zY=")</f>
        <v>#REF!</v>
      </c>
      <c r="BD308" t="e">
        <f>AND(#REF!,"AAAAABp8/zc=")</f>
        <v>#REF!</v>
      </c>
      <c r="BE308" t="e">
        <f>AND(#REF!,"AAAAABp8/zg=")</f>
        <v>#REF!</v>
      </c>
      <c r="BF308" t="e">
        <f>AND(#REF!,"AAAAABp8/zk=")</f>
        <v>#REF!</v>
      </c>
      <c r="BG308" t="e">
        <f>AND(#REF!,"AAAAABp8/zo=")</f>
        <v>#REF!</v>
      </c>
      <c r="BH308" t="e">
        <f>AND(#REF!,"AAAAABp8/zs=")</f>
        <v>#REF!</v>
      </c>
      <c r="BI308" t="e">
        <f>AND(#REF!,"AAAAABp8/zw=")</f>
        <v>#REF!</v>
      </c>
      <c r="BJ308" t="e">
        <f>AND(#REF!,"AAAAABp8/z0=")</f>
        <v>#REF!</v>
      </c>
      <c r="BK308" t="e">
        <f>AND(#REF!,"AAAAABp8/z4=")</f>
        <v>#REF!</v>
      </c>
      <c r="BL308" t="e">
        <f>AND(#REF!,"AAAAABp8/z8=")</f>
        <v>#REF!</v>
      </c>
      <c r="BM308" t="e">
        <f>AND(#REF!,"AAAAABp8/0A=")</f>
        <v>#REF!</v>
      </c>
      <c r="BN308" t="e">
        <f>AND(#REF!,"AAAAABp8/0E=")</f>
        <v>#REF!</v>
      </c>
      <c r="BO308" t="e">
        <f>AND(#REF!,"AAAAABp8/0I=")</f>
        <v>#REF!</v>
      </c>
      <c r="BP308" t="e">
        <f>AND(#REF!,"AAAAABp8/0M=")</f>
        <v>#REF!</v>
      </c>
      <c r="BQ308" t="e">
        <f>IF(#REF!,"AAAAABp8/0Q=",0)</f>
        <v>#REF!</v>
      </c>
      <c r="BR308" t="e">
        <f>AND(#REF!,"AAAAABp8/0U=")</f>
        <v>#REF!</v>
      </c>
      <c r="BS308" t="e">
        <f>AND(#REF!,"AAAAABp8/0Y=")</f>
        <v>#REF!</v>
      </c>
      <c r="BT308" t="e">
        <f>AND(#REF!,"AAAAABp8/0c=")</f>
        <v>#REF!</v>
      </c>
      <c r="BU308" t="e">
        <f>AND(#REF!,"AAAAABp8/0g=")</f>
        <v>#REF!</v>
      </c>
      <c r="BV308" t="e">
        <f>AND(#REF!,"AAAAABp8/0k=")</f>
        <v>#REF!</v>
      </c>
      <c r="BW308" t="e">
        <f>AND(#REF!,"AAAAABp8/0o=")</f>
        <v>#REF!</v>
      </c>
      <c r="BX308" t="e">
        <f>AND(#REF!,"AAAAABp8/0s=")</f>
        <v>#REF!</v>
      </c>
      <c r="BY308" t="e">
        <f>AND(#REF!,"AAAAABp8/0w=")</f>
        <v>#REF!</v>
      </c>
      <c r="BZ308" t="e">
        <f>AND(#REF!,"AAAAABp8/00=")</f>
        <v>#REF!</v>
      </c>
      <c r="CA308" t="e">
        <f>AND(#REF!,"AAAAABp8/04=")</f>
        <v>#REF!</v>
      </c>
      <c r="CB308" t="e">
        <f>AND(#REF!,"AAAAABp8/08=")</f>
        <v>#REF!</v>
      </c>
      <c r="CC308" t="e">
        <f>AND(#REF!,"AAAAABp8/1A=")</f>
        <v>#REF!</v>
      </c>
      <c r="CD308" t="e">
        <f>AND(#REF!,"AAAAABp8/1E=")</f>
        <v>#REF!</v>
      </c>
      <c r="CE308" t="e">
        <f>AND(#REF!,"AAAAABp8/1I=")</f>
        <v>#REF!</v>
      </c>
      <c r="CF308" t="e">
        <f>AND(#REF!,"AAAAABp8/1M=")</f>
        <v>#REF!</v>
      </c>
      <c r="CG308" t="e">
        <f>AND(#REF!,"AAAAABp8/1Q=")</f>
        <v>#REF!</v>
      </c>
      <c r="CH308" t="e">
        <f>AND(#REF!,"AAAAABp8/1U=")</f>
        <v>#REF!</v>
      </c>
      <c r="CI308" t="e">
        <f>AND(#REF!,"AAAAABp8/1Y=")</f>
        <v>#REF!</v>
      </c>
      <c r="CJ308" t="e">
        <f>AND(#REF!,"AAAAABp8/1c=")</f>
        <v>#REF!</v>
      </c>
      <c r="CK308" t="e">
        <f>AND(#REF!,"AAAAABp8/1g=")</f>
        <v>#REF!</v>
      </c>
      <c r="CL308" t="e">
        <f>AND(#REF!,"AAAAABp8/1k=")</f>
        <v>#REF!</v>
      </c>
      <c r="CM308" t="e">
        <f>AND(#REF!,"AAAAABp8/1o=")</f>
        <v>#REF!</v>
      </c>
      <c r="CN308" t="e">
        <f>AND(#REF!,"AAAAABp8/1s=")</f>
        <v>#REF!</v>
      </c>
      <c r="CO308" t="e">
        <f>AND(#REF!,"AAAAABp8/1w=")</f>
        <v>#REF!</v>
      </c>
      <c r="CP308" t="e">
        <f>IF(#REF!,"AAAAABp8/10=",0)</f>
        <v>#REF!</v>
      </c>
      <c r="CQ308" t="e">
        <f>AND(#REF!,"AAAAABp8/14=")</f>
        <v>#REF!</v>
      </c>
      <c r="CR308" t="e">
        <f>AND(#REF!,"AAAAABp8/18=")</f>
        <v>#REF!</v>
      </c>
      <c r="CS308" t="e">
        <f>AND(#REF!,"AAAAABp8/2A=")</f>
        <v>#REF!</v>
      </c>
      <c r="CT308" t="e">
        <f>AND(#REF!,"AAAAABp8/2E=")</f>
        <v>#REF!</v>
      </c>
      <c r="CU308" t="e">
        <f>AND(#REF!,"AAAAABp8/2I=")</f>
        <v>#REF!</v>
      </c>
      <c r="CV308" t="e">
        <f>AND(#REF!,"AAAAABp8/2M=")</f>
        <v>#REF!</v>
      </c>
      <c r="CW308" t="e">
        <f>AND(#REF!,"AAAAABp8/2Q=")</f>
        <v>#REF!</v>
      </c>
      <c r="CX308" t="e">
        <f>AND(#REF!,"AAAAABp8/2U=")</f>
        <v>#REF!</v>
      </c>
      <c r="CY308" t="e">
        <f>AND(#REF!,"AAAAABp8/2Y=")</f>
        <v>#REF!</v>
      </c>
      <c r="CZ308" t="e">
        <f>AND(#REF!,"AAAAABp8/2c=")</f>
        <v>#REF!</v>
      </c>
      <c r="DA308" t="e">
        <f>AND(#REF!,"AAAAABp8/2g=")</f>
        <v>#REF!</v>
      </c>
      <c r="DB308" t="e">
        <f>AND(#REF!,"AAAAABp8/2k=")</f>
        <v>#REF!</v>
      </c>
      <c r="DC308" t="e">
        <f>AND(#REF!,"AAAAABp8/2o=")</f>
        <v>#REF!</v>
      </c>
      <c r="DD308" t="e">
        <f>AND(#REF!,"AAAAABp8/2s=")</f>
        <v>#REF!</v>
      </c>
      <c r="DE308" t="e">
        <f>AND(#REF!,"AAAAABp8/2w=")</f>
        <v>#REF!</v>
      </c>
      <c r="DF308" t="e">
        <f>AND(#REF!,"AAAAABp8/20=")</f>
        <v>#REF!</v>
      </c>
      <c r="DG308" t="e">
        <f>AND(#REF!,"AAAAABp8/24=")</f>
        <v>#REF!</v>
      </c>
      <c r="DH308" t="e">
        <f>AND(#REF!,"AAAAABp8/28=")</f>
        <v>#REF!</v>
      </c>
      <c r="DI308" t="e">
        <f>AND(#REF!,"AAAAABp8/3A=")</f>
        <v>#REF!</v>
      </c>
      <c r="DJ308" t="e">
        <f>AND(#REF!,"AAAAABp8/3E=")</f>
        <v>#REF!</v>
      </c>
      <c r="DK308" t="e">
        <f>AND(#REF!,"AAAAABp8/3I=")</f>
        <v>#REF!</v>
      </c>
      <c r="DL308" t="e">
        <f>AND(#REF!,"AAAAABp8/3M=")</f>
        <v>#REF!</v>
      </c>
      <c r="DM308" t="e">
        <f>AND(#REF!,"AAAAABp8/3Q=")</f>
        <v>#REF!</v>
      </c>
      <c r="DN308" t="e">
        <f>AND(#REF!,"AAAAABp8/3U=")</f>
        <v>#REF!</v>
      </c>
      <c r="DO308" t="e">
        <f>IF(#REF!,"AAAAABp8/3Y=",0)</f>
        <v>#REF!</v>
      </c>
      <c r="DP308" t="e">
        <f>AND(#REF!,"AAAAABp8/3c=")</f>
        <v>#REF!</v>
      </c>
      <c r="DQ308" t="e">
        <f>AND(#REF!,"AAAAABp8/3g=")</f>
        <v>#REF!</v>
      </c>
      <c r="DR308" t="e">
        <f>AND(#REF!,"AAAAABp8/3k=")</f>
        <v>#REF!</v>
      </c>
      <c r="DS308" t="e">
        <f>AND(#REF!,"AAAAABp8/3o=")</f>
        <v>#REF!</v>
      </c>
      <c r="DT308" t="e">
        <f>AND(#REF!,"AAAAABp8/3s=")</f>
        <v>#REF!</v>
      </c>
      <c r="DU308" t="e">
        <f>AND(#REF!,"AAAAABp8/3w=")</f>
        <v>#REF!</v>
      </c>
      <c r="DV308" t="e">
        <f>AND(#REF!,"AAAAABp8/30=")</f>
        <v>#REF!</v>
      </c>
      <c r="DW308" t="e">
        <f>AND(#REF!,"AAAAABp8/34=")</f>
        <v>#REF!</v>
      </c>
      <c r="DX308" t="e">
        <f>AND(#REF!,"AAAAABp8/38=")</f>
        <v>#REF!</v>
      </c>
      <c r="DY308" t="e">
        <f>AND(#REF!,"AAAAABp8/4A=")</f>
        <v>#REF!</v>
      </c>
      <c r="DZ308" t="e">
        <f>AND(#REF!,"AAAAABp8/4E=")</f>
        <v>#REF!</v>
      </c>
      <c r="EA308" t="e">
        <f>AND(#REF!,"AAAAABp8/4I=")</f>
        <v>#REF!</v>
      </c>
      <c r="EB308" t="e">
        <f>AND(#REF!,"AAAAABp8/4M=")</f>
        <v>#REF!</v>
      </c>
      <c r="EC308" t="e">
        <f>AND(#REF!,"AAAAABp8/4Q=")</f>
        <v>#REF!</v>
      </c>
      <c r="ED308" t="e">
        <f>AND(#REF!,"AAAAABp8/4U=")</f>
        <v>#REF!</v>
      </c>
      <c r="EE308" t="e">
        <f>AND(#REF!,"AAAAABp8/4Y=")</f>
        <v>#REF!</v>
      </c>
      <c r="EF308" t="e">
        <f>AND(#REF!,"AAAAABp8/4c=")</f>
        <v>#REF!</v>
      </c>
      <c r="EG308" t="e">
        <f>AND(#REF!,"AAAAABp8/4g=")</f>
        <v>#REF!</v>
      </c>
      <c r="EH308" t="e">
        <f>AND(#REF!,"AAAAABp8/4k=")</f>
        <v>#REF!</v>
      </c>
      <c r="EI308" t="e">
        <f>AND(#REF!,"AAAAABp8/4o=")</f>
        <v>#REF!</v>
      </c>
      <c r="EJ308" t="e">
        <f>AND(#REF!,"AAAAABp8/4s=")</f>
        <v>#REF!</v>
      </c>
      <c r="EK308" t="e">
        <f>AND(#REF!,"AAAAABp8/4w=")</f>
        <v>#REF!</v>
      </c>
      <c r="EL308" t="e">
        <f>AND(#REF!,"AAAAABp8/40=")</f>
        <v>#REF!</v>
      </c>
      <c r="EM308" t="e">
        <f>AND(#REF!,"AAAAABp8/44=")</f>
        <v>#REF!</v>
      </c>
      <c r="EN308" t="e">
        <f>IF(#REF!,"AAAAABp8/48=",0)</f>
        <v>#REF!</v>
      </c>
      <c r="EO308" t="e">
        <f>AND(#REF!,"AAAAABp8/5A=")</f>
        <v>#REF!</v>
      </c>
      <c r="EP308" t="e">
        <f>AND(#REF!,"AAAAABp8/5E=")</f>
        <v>#REF!</v>
      </c>
      <c r="EQ308" t="e">
        <f>AND(#REF!,"AAAAABp8/5I=")</f>
        <v>#REF!</v>
      </c>
      <c r="ER308" t="e">
        <f>AND(#REF!,"AAAAABp8/5M=")</f>
        <v>#REF!</v>
      </c>
      <c r="ES308" t="e">
        <f>AND(#REF!,"AAAAABp8/5Q=")</f>
        <v>#REF!</v>
      </c>
      <c r="ET308" t="e">
        <f>AND(#REF!,"AAAAABp8/5U=")</f>
        <v>#REF!</v>
      </c>
      <c r="EU308" t="e">
        <f>AND(#REF!,"AAAAABp8/5Y=")</f>
        <v>#REF!</v>
      </c>
      <c r="EV308" t="e">
        <f>AND(#REF!,"AAAAABp8/5c=")</f>
        <v>#REF!</v>
      </c>
      <c r="EW308" t="e">
        <f>AND(#REF!,"AAAAABp8/5g=")</f>
        <v>#REF!</v>
      </c>
      <c r="EX308" t="e">
        <f>AND(#REF!,"AAAAABp8/5k=")</f>
        <v>#REF!</v>
      </c>
      <c r="EY308" t="e">
        <f>AND(#REF!,"AAAAABp8/5o=")</f>
        <v>#REF!</v>
      </c>
      <c r="EZ308" t="e">
        <f>AND(#REF!,"AAAAABp8/5s=")</f>
        <v>#REF!</v>
      </c>
      <c r="FA308" t="e">
        <f>AND(#REF!,"AAAAABp8/5w=")</f>
        <v>#REF!</v>
      </c>
      <c r="FB308" t="e">
        <f>AND(#REF!,"AAAAABp8/50=")</f>
        <v>#REF!</v>
      </c>
      <c r="FC308" t="e">
        <f>AND(#REF!,"AAAAABp8/54=")</f>
        <v>#REF!</v>
      </c>
      <c r="FD308" t="e">
        <f>AND(#REF!,"AAAAABp8/58=")</f>
        <v>#REF!</v>
      </c>
      <c r="FE308" t="e">
        <f>AND(#REF!,"AAAAABp8/6A=")</f>
        <v>#REF!</v>
      </c>
      <c r="FF308" t="e">
        <f>AND(#REF!,"AAAAABp8/6E=")</f>
        <v>#REF!</v>
      </c>
      <c r="FG308" t="e">
        <f>AND(#REF!,"AAAAABp8/6I=")</f>
        <v>#REF!</v>
      </c>
      <c r="FH308" t="e">
        <f>AND(#REF!,"AAAAABp8/6M=")</f>
        <v>#REF!</v>
      </c>
      <c r="FI308" t="e">
        <f>AND(#REF!,"AAAAABp8/6Q=")</f>
        <v>#REF!</v>
      </c>
      <c r="FJ308" t="e">
        <f>AND(#REF!,"AAAAABp8/6U=")</f>
        <v>#REF!</v>
      </c>
      <c r="FK308" t="e">
        <f>AND(#REF!,"AAAAABp8/6Y=")</f>
        <v>#REF!</v>
      </c>
      <c r="FL308" t="e">
        <f>AND(#REF!,"AAAAABp8/6c=")</f>
        <v>#REF!</v>
      </c>
      <c r="FM308" t="e">
        <f>IF(#REF!,"AAAAABp8/6g=",0)</f>
        <v>#REF!</v>
      </c>
      <c r="FN308" t="e">
        <f>AND(#REF!,"AAAAABp8/6k=")</f>
        <v>#REF!</v>
      </c>
      <c r="FO308" t="e">
        <f>AND(#REF!,"AAAAABp8/6o=")</f>
        <v>#REF!</v>
      </c>
      <c r="FP308" t="e">
        <f>AND(#REF!,"AAAAABp8/6s=")</f>
        <v>#REF!</v>
      </c>
      <c r="FQ308" t="e">
        <f>AND(#REF!,"AAAAABp8/6w=")</f>
        <v>#REF!</v>
      </c>
      <c r="FR308" t="e">
        <f>AND(#REF!,"AAAAABp8/60=")</f>
        <v>#REF!</v>
      </c>
      <c r="FS308" t="e">
        <f>AND(#REF!,"AAAAABp8/64=")</f>
        <v>#REF!</v>
      </c>
      <c r="FT308" t="e">
        <f>AND(#REF!,"AAAAABp8/68=")</f>
        <v>#REF!</v>
      </c>
      <c r="FU308" t="e">
        <f>AND(#REF!,"AAAAABp8/7A=")</f>
        <v>#REF!</v>
      </c>
      <c r="FV308" t="e">
        <f>AND(#REF!,"AAAAABp8/7E=")</f>
        <v>#REF!</v>
      </c>
      <c r="FW308" t="e">
        <f>AND(#REF!,"AAAAABp8/7I=")</f>
        <v>#REF!</v>
      </c>
      <c r="FX308" t="e">
        <f>AND(#REF!,"AAAAABp8/7M=")</f>
        <v>#REF!</v>
      </c>
      <c r="FY308" t="e">
        <f>AND(#REF!,"AAAAABp8/7Q=")</f>
        <v>#REF!</v>
      </c>
      <c r="FZ308" t="e">
        <f>AND(#REF!,"AAAAABp8/7U=")</f>
        <v>#REF!</v>
      </c>
      <c r="GA308" t="e">
        <f>AND(#REF!,"AAAAABp8/7Y=")</f>
        <v>#REF!</v>
      </c>
      <c r="GB308" t="e">
        <f>AND(#REF!,"AAAAABp8/7c=")</f>
        <v>#REF!</v>
      </c>
      <c r="GC308" t="e">
        <f>AND(#REF!,"AAAAABp8/7g=")</f>
        <v>#REF!</v>
      </c>
      <c r="GD308" t="e">
        <f>AND(#REF!,"AAAAABp8/7k=")</f>
        <v>#REF!</v>
      </c>
      <c r="GE308" t="e">
        <f>AND(#REF!,"AAAAABp8/7o=")</f>
        <v>#REF!</v>
      </c>
      <c r="GF308" t="e">
        <f>AND(#REF!,"AAAAABp8/7s=")</f>
        <v>#REF!</v>
      </c>
      <c r="GG308" t="e">
        <f>AND(#REF!,"AAAAABp8/7w=")</f>
        <v>#REF!</v>
      </c>
      <c r="GH308" t="e">
        <f>AND(#REF!,"AAAAABp8/70=")</f>
        <v>#REF!</v>
      </c>
      <c r="GI308" t="e">
        <f>AND(#REF!,"AAAAABp8/74=")</f>
        <v>#REF!</v>
      </c>
      <c r="GJ308" t="e">
        <f>AND(#REF!,"AAAAABp8/78=")</f>
        <v>#REF!</v>
      </c>
      <c r="GK308" t="e">
        <f>AND(#REF!,"AAAAABp8/8A=")</f>
        <v>#REF!</v>
      </c>
      <c r="GL308" t="e">
        <f>IF(#REF!,"AAAAABp8/8E=",0)</f>
        <v>#REF!</v>
      </c>
      <c r="GM308" t="e">
        <f>AND(#REF!,"AAAAABp8/8I=")</f>
        <v>#REF!</v>
      </c>
      <c r="GN308" t="e">
        <f>AND(#REF!,"AAAAABp8/8M=")</f>
        <v>#REF!</v>
      </c>
      <c r="GO308" t="e">
        <f>AND(#REF!,"AAAAABp8/8Q=")</f>
        <v>#REF!</v>
      </c>
      <c r="GP308" t="e">
        <f>AND(#REF!,"AAAAABp8/8U=")</f>
        <v>#REF!</v>
      </c>
      <c r="GQ308" t="e">
        <f>AND(#REF!,"AAAAABp8/8Y=")</f>
        <v>#REF!</v>
      </c>
      <c r="GR308" t="e">
        <f>AND(#REF!,"AAAAABp8/8c=")</f>
        <v>#REF!</v>
      </c>
      <c r="GS308" t="e">
        <f>AND(#REF!,"AAAAABp8/8g=")</f>
        <v>#REF!</v>
      </c>
      <c r="GT308" t="e">
        <f>AND(#REF!,"AAAAABp8/8k=")</f>
        <v>#REF!</v>
      </c>
      <c r="GU308" t="e">
        <f>AND(#REF!,"AAAAABp8/8o=")</f>
        <v>#REF!</v>
      </c>
      <c r="GV308" t="e">
        <f>AND(#REF!,"AAAAABp8/8s=")</f>
        <v>#REF!</v>
      </c>
      <c r="GW308" t="e">
        <f>AND(#REF!,"AAAAABp8/8w=")</f>
        <v>#REF!</v>
      </c>
      <c r="GX308" t="e">
        <f>AND(#REF!,"AAAAABp8/80=")</f>
        <v>#REF!</v>
      </c>
      <c r="GY308" t="e">
        <f>AND(#REF!,"AAAAABp8/84=")</f>
        <v>#REF!</v>
      </c>
      <c r="GZ308" t="e">
        <f>AND(#REF!,"AAAAABp8/88=")</f>
        <v>#REF!</v>
      </c>
      <c r="HA308" t="e">
        <f>AND(#REF!,"AAAAABp8/9A=")</f>
        <v>#REF!</v>
      </c>
      <c r="HB308" t="e">
        <f>AND(#REF!,"AAAAABp8/9E=")</f>
        <v>#REF!</v>
      </c>
      <c r="HC308" t="e">
        <f>AND(#REF!,"AAAAABp8/9I=")</f>
        <v>#REF!</v>
      </c>
      <c r="HD308" t="e">
        <f>AND(#REF!,"AAAAABp8/9M=")</f>
        <v>#REF!</v>
      </c>
      <c r="HE308" t="e">
        <f>AND(#REF!,"AAAAABp8/9Q=")</f>
        <v>#REF!</v>
      </c>
      <c r="HF308" t="e">
        <f>AND(#REF!,"AAAAABp8/9U=")</f>
        <v>#REF!</v>
      </c>
      <c r="HG308" t="e">
        <f>AND(#REF!,"AAAAABp8/9Y=")</f>
        <v>#REF!</v>
      </c>
      <c r="HH308" t="e">
        <f>AND(#REF!,"AAAAABp8/9c=")</f>
        <v>#REF!</v>
      </c>
      <c r="HI308" t="e">
        <f>AND(#REF!,"AAAAABp8/9g=")</f>
        <v>#REF!</v>
      </c>
      <c r="HJ308" t="e">
        <f>AND(#REF!,"AAAAABp8/9k=")</f>
        <v>#REF!</v>
      </c>
      <c r="HK308" t="e">
        <f>IF(#REF!,"AAAAABp8/9o=",0)</f>
        <v>#REF!</v>
      </c>
      <c r="HL308" t="e">
        <f>AND(#REF!,"AAAAABp8/9s=")</f>
        <v>#REF!</v>
      </c>
      <c r="HM308" t="e">
        <f>AND(#REF!,"AAAAABp8/9w=")</f>
        <v>#REF!</v>
      </c>
      <c r="HN308" t="e">
        <f>AND(#REF!,"AAAAABp8/90=")</f>
        <v>#REF!</v>
      </c>
      <c r="HO308" t="e">
        <f>AND(#REF!,"AAAAABp8/94=")</f>
        <v>#REF!</v>
      </c>
      <c r="HP308" t="e">
        <f>AND(#REF!,"AAAAABp8/98=")</f>
        <v>#REF!</v>
      </c>
      <c r="HQ308" t="e">
        <f>AND(#REF!,"AAAAABp8/+A=")</f>
        <v>#REF!</v>
      </c>
      <c r="HR308" t="e">
        <f>AND(#REF!,"AAAAABp8/+E=")</f>
        <v>#REF!</v>
      </c>
      <c r="HS308" t="e">
        <f>AND(#REF!,"AAAAABp8/+I=")</f>
        <v>#REF!</v>
      </c>
      <c r="HT308" t="e">
        <f>AND(#REF!,"AAAAABp8/+M=")</f>
        <v>#REF!</v>
      </c>
      <c r="HU308" t="e">
        <f>AND(#REF!,"AAAAABp8/+Q=")</f>
        <v>#REF!</v>
      </c>
      <c r="HV308" t="e">
        <f>AND(#REF!,"AAAAABp8/+U=")</f>
        <v>#REF!</v>
      </c>
      <c r="HW308" t="e">
        <f>AND(#REF!,"AAAAABp8/+Y=")</f>
        <v>#REF!</v>
      </c>
      <c r="HX308" t="e">
        <f>AND(#REF!,"AAAAABp8/+c=")</f>
        <v>#REF!</v>
      </c>
      <c r="HY308" t="e">
        <f>AND(#REF!,"AAAAABp8/+g=")</f>
        <v>#REF!</v>
      </c>
      <c r="HZ308" t="e">
        <f>AND(#REF!,"AAAAABp8/+k=")</f>
        <v>#REF!</v>
      </c>
      <c r="IA308" t="e">
        <f>AND(#REF!,"AAAAABp8/+o=")</f>
        <v>#REF!</v>
      </c>
      <c r="IB308" t="e">
        <f>AND(#REF!,"AAAAABp8/+s=")</f>
        <v>#REF!</v>
      </c>
      <c r="IC308" t="e">
        <f>AND(#REF!,"AAAAABp8/+w=")</f>
        <v>#REF!</v>
      </c>
      <c r="ID308" t="e">
        <f>AND(#REF!,"AAAAABp8/+0=")</f>
        <v>#REF!</v>
      </c>
      <c r="IE308" t="e">
        <f>AND(#REF!,"AAAAABp8/+4=")</f>
        <v>#REF!</v>
      </c>
      <c r="IF308" t="e">
        <f>AND(#REF!,"AAAAABp8/+8=")</f>
        <v>#REF!</v>
      </c>
      <c r="IG308" t="e">
        <f>AND(#REF!,"AAAAABp8//A=")</f>
        <v>#REF!</v>
      </c>
      <c r="IH308" t="e">
        <f>AND(#REF!,"AAAAABp8//E=")</f>
        <v>#REF!</v>
      </c>
      <c r="II308" t="e">
        <f>AND(#REF!,"AAAAABp8//I=")</f>
        <v>#REF!</v>
      </c>
      <c r="IJ308" t="e">
        <f>IF(#REF!,"AAAAABp8//M=",0)</f>
        <v>#REF!</v>
      </c>
      <c r="IK308" t="e">
        <f>AND(#REF!,"AAAAABp8//Q=")</f>
        <v>#REF!</v>
      </c>
      <c r="IL308" t="e">
        <f>AND(#REF!,"AAAAABp8//U=")</f>
        <v>#REF!</v>
      </c>
      <c r="IM308" t="e">
        <f>AND(#REF!,"AAAAABp8//Y=")</f>
        <v>#REF!</v>
      </c>
      <c r="IN308" t="e">
        <f>AND(#REF!,"AAAAABp8//c=")</f>
        <v>#REF!</v>
      </c>
      <c r="IO308" t="e">
        <f>AND(#REF!,"AAAAABp8//g=")</f>
        <v>#REF!</v>
      </c>
      <c r="IP308" t="e">
        <f>AND(#REF!,"AAAAABp8//k=")</f>
        <v>#REF!</v>
      </c>
      <c r="IQ308" t="e">
        <f>AND(#REF!,"AAAAABp8//o=")</f>
        <v>#REF!</v>
      </c>
      <c r="IR308" t="e">
        <f>AND(#REF!,"AAAAABp8//s=")</f>
        <v>#REF!</v>
      </c>
      <c r="IS308" t="e">
        <f>AND(#REF!,"AAAAABp8//w=")</f>
        <v>#REF!</v>
      </c>
      <c r="IT308" t="e">
        <f>AND(#REF!,"AAAAABp8//0=")</f>
        <v>#REF!</v>
      </c>
      <c r="IU308" t="e">
        <f>AND(#REF!,"AAAAABp8//4=")</f>
        <v>#REF!</v>
      </c>
      <c r="IV308" t="e">
        <f>AND(#REF!,"AAAAABp8//8=")</f>
        <v>#REF!</v>
      </c>
    </row>
    <row r="309" spans="1:256">
      <c r="A309" t="e">
        <f>AND(#REF!,"AAAAAG9rvwA=")</f>
        <v>#REF!</v>
      </c>
      <c r="B309" t="e">
        <f>AND(#REF!,"AAAAAG9rvwE=")</f>
        <v>#REF!</v>
      </c>
      <c r="C309" t="e">
        <f>AND(#REF!,"AAAAAG9rvwI=")</f>
        <v>#REF!</v>
      </c>
      <c r="D309" t="e">
        <f>AND(#REF!,"AAAAAG9rvwM=")</f>
        <v>#REF!</v>
      </c>
      <c r="E309" t="e">
        <f>AND(#REF!,"AAAAAG9rvwQ=")</f>
        <v>#REF!</v>
      </c>
      <c r="F309" t="e">
        <f>AND(#REF!,"AAAAAG9rvwU=")</f>
        <v>#REF!</v>
      </c>
      <c r="G309" t="e">
        <f>AND(#REF!,"AAAAAG9rvwY=")</f>
        <v>#REF!</v>
      </c>
      <c r="H309" t="e">
        <f>AND(#REF!,"AAAAAG9rvwc=")</f>
        <v>#REF!</v>
      </c>
      <c r="I309" t="e">
        <f>AND(#REF!,"AAAAAG9rvwg=")</f>
        <v>#REF!</v>
      </c>
      <c r="J309" t="e">
        <f>AND(#REF!,"AAAAAG9rvwk=")</f>
        <v>#REF!</v>
      </c>
      <c r="K309" t="e">
        <f>AND(#REF!,"AAAAAG9rvwo=")</f>
        <v>#REF!</v>
      </c>
      <c r="L309" t="e">
        <f>AND(#REF!,"AAAAAG9rvws=")</f>
        <v>#REF!</v>
      </c>
      <c r="M309" t="e">
        <f>IF(#REF!,"AAAAAG9rvww=",0)</f>
        <v>#REF!</v>
      </c>
      <c r="N309" t="e">
        <f>AND(#REF!,"AAAAAG9rvw0=")</f>
        <v>#REF!</v>
      </c>
      <c r="O309" t="e">
        <f>AND(#REF!,"AAAAAG9rvw4=")</f>
        <v>#REF!</v>
      </c>
      <c r="P309" t="e">
        <f>AND(#REF!,"AAAAAG9rvw8=")</f>
        <v>#REF!</v>
      </c>
      <c r="Q309" t="e">
        <f>AND(#REF!,"AAAAAG9rvxA=")</f>
        <v>#REF!</v>
      </c>
      <c r="R309" t="e">
        <f>AND(#REF!,"AAAAAG9rvxE=")</f>
        <v>#REF!</v>
      </c>
      <c r="S309" t="e">
        <f>AND(#REF!,"AAAAAG9rvxI=")</f>
        <v>#REF!</v>
      </c>
      <c r="T309" t="e">
        <f>AND(#REF!,"AAAAAG9rvxM=")</f>
        <v>#REF!</v>
      </c>
      <c r="U309" t="e">
        <f>AND(#REF!,"AAAAAG9rvxQ=")</f>
        <v>#REF!</v>
      </c>
      <c r="V309" t="e">
        <f>AND(#REF!,"AAAAAG9rvxU=")</f>
        <v>#REF!</v>
      </c>
      <c r="W309" t="e">
        <f>AND(#REF!,"AAAAAG9rvxY=")</f>
        <v>#REF!</v>
      </c>
      <c r="X309" t="e">
        <f>AND(#REF!,"AAAAAG9rvxc=")</f>
        <v>#REF!</v>
      </c>
      <c r="Y309" t="e">
        <f>AND(#REF!,"AAAAAG9rvxg=")</f>
        <v>#REF!</v>
      </c>
      <c r="Z309" t="e">
        <f>AND(#REF!,"AAAAAG9rvxk=")</f>
        <v>#REF!</v>
      </c>
      <c r="AA309" t="e">
        <f>AND(#REF!,"AAAAAG9rvxo=")</f>
        <v>#REF!</v>
      </c>
      <c r="AB309" t="e">
        <f>AND(#REF!,"AAAAAG9rvxs=")</f>
        <v>#REF!</v>
      </c>
      <c r="AC309" t="e">
        <f>AND(#REF!,"AAAAAG9rvxw=")</f>
        <v>#REF!</v>
      </c>
      <c r="AD309" t="e">
        <f>AND(#REF!,"AAAAAG9rvx0=")</f>
        <v>#REF!</v>
      </c>
      <c r="AE309" t="e">
        <f>AND(#REF!,"AAAAAG9rvx4=")</f>
        <v>#REF!</v>
      </c>
      <c r="AF309" t="e">
        <f>AND(#REF!,"AAAAAG9rvx8=")</f>
        <v>#REF!</v>
      </c>
      <c r="AG309" t="e">
        <f>AND(#REF!,"AAAAAG9rvyA=")</f>
        <v>#REF!</v>
      </c>
      <c r="AH309" t="e">
        <f>AND(#REF!,"AAAAAG9rvyE=")</f>
        <v>#REF!</v>
      </c>
      <c r="AI309" t="e">
        <f>AND(#REF!,"AAAAAG9rvyI=")</f>
        <v>#REF!</v>
      </c>
      <c r="AJ309" t="e">
        <f>AND(#REF!,"AAAAAG9rvyM=")</f>
        <v>#REF!</v>
      </c>
      <c r="AK309" t="e">
        <f>AND(#REF!,"AAAAAG9rvyQ=")</f>
        <v>#REF!</v>
      </c>
      <c r="AL309" t="e">
        <f>IF(#REF!,"AAAAAG9rvyU=",0)</f>
        <v>#REF!</v>
      </c>
      <c r="AM309" t="e">
        <f>AND(#REF!,"AAAAAG9rvyY=")</f>
        <v>#REF!</v>
      </c>
      <c r="AN309" t="e">
        <f>AND(#REF!,"AAAAAG9rvyc=")</f>
        <v>#REF!</v>
      </c>
      <c r="AO309" t="e">
        <f>AND(#REF!,"AAAAAG9rvyg=")</f>
        <v>#REF!</v>
      </c>
      <c r="AP309" t="e">
        <f>AND(#REF!,"AAAAAG9rvyk=")</f>
        <v>#REF!</v>
      </c>
      <c r="AQ309" t="e">
        <f>AND(#REF!,"AAAAAG9rvyo=")</f>
        <v>#REF!</v>
      </c>
      <c r="AR309" t="e">
        <f>AND(#REF!,"AAAAAG9rvys=")</f>
        <v>#REF!</v>
      </c>
      <c r="AS309" t="e">
        <f>AND(#REF!,"AAAAAG9rvyw=")</f>
        <v>#REF!</v>
      </c>
      <c r="AT309" t="e">
        <f>AND(#REF!,"AAAAAG9rvy0=")</f>
        <v>#REF!</v>
      </c>
      <c r="AU309" t="e">
        <f>AND(#REF!,"AAAAAG9rvy4=")</f>
        <v>#REF!</v>
      </c>
      <c r="AV309" t="e">
        <f>AND(#REF!,"AAAAAG9rvy8=")</f>
        <v>#REF!</v>
      </c>
      <c r="AW309" t="e">
        <f>AND(#REF!,"AAAAAG9rvzA=")</f>
        <v>#REF!</v>
      </c>
      <c r="AX309" t="e">
        <f>AND(#REF!,"AAAAAG9rvzE=")</f>
        <v>#REF!</v>
      </c>
      <c r="AY309" t="e">
        <f>AND(#REF!,"AAAAAG9rvzI=")</f>
        <v>#REF!</v>
      </c>
      <c r="AZ309" t="e">
        <f>AND(#REF!,"AAAAAG9rvzM=")</f>
        <v>#REF!</v>
      </c>
      <c r="BA309" t="e">
        <f>AND(#REF!,"AAAAAG9rvzQ=")</f>
        <v>#REF!</v>
      </c>
      <c r="BB309" t="e">
        <f>AND(#REF!,"AAAAAG9rvzU=")</f>
        <v>#REF!</v>
      </c>
      <c r="BC309" t="e">
        <f>AND(#REF!,"AAAAAG9rvzY=")</f>
        <v>#REF!</v>
      </c>
      <c r="BD309" t="e">
        <f>AND(#REF!,"AAAAAG9rvzc=")</f>
        <v>#REF!</v>
      </c>
      <c r="BE309" t="e">
        <f>AND(#REF!,"AAAAAG9rvzg=")</f>
        <v>#REF!</v>
      </c>
      <c r="BF309" t="e">
        <f>AND(#REF!,"AAAAAG9rvzk=")</f>
        <v>#REF!</v>
      </c>
      <c r="BG309" t="e">
        <f>AND(#REF!,"AAAAAG9rvzo=")</f>
        <v>#REF!</v>
      </c>
      <c r="BH309" t="e">
        <f>AND(#REF!,"AAAAAG9rvzs=")</f>
        <v>#REF!</v>
      </c>
      <c r="BI309" t="e">
        <f>AND(#REF!,"AAAAAG9rvzw=")</f>
        <v>#REF!</v>
      </c>
      <c r="BJ309" t="e">
        <f>AND(#REF!,"AAAAAG9rvz0=")</f>
        <v>#REF!</v>
      </c>
      <c r="BK309" t="e">
        <f>IF(#REF!,"AAAAAG9rvz4=",0)</f>
        <v>#REF!</v>
      </c>
      <c r="BL309" t="e">
        <f>AND(#REF!,"AAAAAG9rvz8=")</f>
        <v>#REF!</v>
      </c>
      <c r="BM309" t="e">
        <f>AND(#REF!,"AAAAAG9rv0A=")</f>
        <v>#REF!</v>
      </c>
      <c r="BN309" t="e">
        <f>AND(#REF!,"AAAAAG9rv0E=")</f>
        <v>#REF!</v>
      </c>
      <c r="BO309" t="e">
        <f>AND(#REF!,"AAAAAG9rv0I=")</f>
        <v>#REF!</v>
      </c>
      <c r="BP309" t="e">
        <f>AND(#REF!,"AAAAAG9rv0M=")</f>
        <v>#REF!</v>
      </c>
      <c r="BQ309" t="e">
        <f>AND(#REF!,"AAAAAG9rv0Q=")</f>
        <v>#REF!</v>
      </c>
      <c r="BR309" t="e">
        <f>AND(#REF!,"AAAAAG9rv0U=")</f>
        <v>#REF!</v>
      </c>
      <c r="BS309" t="e">
        <f>AND(#REF!,"AAAAAG9rv0Y=")</f>
        <v>#REF!</v>
      </c>
      <c r="BT309" t="e">
        <f>AND(#REF!,"AAAAAG9rv0c=")</f>
        <v>#REF!</v>
      </c>
      <c r="BU309" t="e">
        <f>AND(#REF!,"AAAAAG9rv0g=")</f>
        <v>#REF!</v>
      </c>
      <c r="BV309" t="e">
        <f>AND(#REF!,"AAAAAG9rv0k=")</f>
        <v>#REF!</v>
      </c>
      <c r="BW309" t="e">
        <f>AND(#REF!,"AAAAAG9rv0o=")</f>
        <v>#REF!</v>
      </c>
      <c r="BX309" t="e">
        <f>AND(#REF!,"AAAAAG9rv0s=")</f>
        <v>#REF!</v>
      </c>
      <c r="BY309" t="e">
        <f>AND(#REF!,"AAAAAG9rv0w=")</f>
        <v>#REF!</v>
      </c>
      <c r="BZ309" t="e">
        <f>AND(#REF!,"AAAAAG9rv00=")</f>
        <v>#REF!</v>
      </c>
      <c r="CA309" t="e">
        <f>AND(#REF!,"AAAAAG9rv04=")</f>
        <v>#REF!</v>
      </c>
      <c r="CB309" t="e">
        <f>AND(#REF!,"AAAAAG9rv08=")</f>
        <v>#REF!</v>
      </c>
      <c r="CC309" t="e">
        <f>AND(#REF!,"AAAAAG9rv1A=")</f>
        <v>#REF!</v>
      </c>
      <c r="CD309" t="e">
        <f>AND(#REF!,"AAAAAG9rv1E=")</f>
        <v>#REF!</v>
      </c>
      <c r="CE309" t="e">
        <f>AND(#REF!,"AAAAAG9rv1I=")</f>
        <v>#REF!</v>
      </c>
      <c r="CF309" t="e">
        <f>AND(#REF!,"AAAAAG9rv1M=")</f>
        <v>#REF!</v>
      </c>
      <c r="CG309" t="e">
        <f>AND(#REF!,"AAAAAG9rv1Q=")</f>
        <v>#REF!</v>
      </c>
      <c r="CH309" t="e">
        <f>AND(#REF!,"AAAAAG9rv1U=")</f>
        <v>#REF!</v>
      </c>
      <c r="CI309" t="e">
        <f>AND(#REF!,"AAAAAG9rv1Y=")</f>
        <v>#REF!</v>
      </c>
      <c r="CJ309" t="e">
        <f>IF(#REF!,"AAAAAG9rv1c=",0)</f>
        <v>#REF!</v>
      </c>
      <c r="CK309" t="e">
        <f>AND(#REF!,"AAAAAG9rv1g=")</f>
        <v>#REF!</v>
      </c>
      <c r="CL309" t="e">
        <f>AND(#REF!,"AAAAAG9rv1k=")</f>
        <v>#REF!</v>
      </c>
      <c r="CM309" t="e">
        <f>AND(#REF!,"AAAAAG9rv1o=")</f>
        <v>#REF!</v>
      </c>
      <c r="CN309" t="e">
        <f>AND(#REF!,"AAAAAG9rv1s=")</f>
        <v>#REF!</v>
      </c>
      <c r="CO309" t="e">
        <f>AND(#REF!,"AAAAAG9rv1w=")</f>
        <v>#REF!</v>
      </c>
      <c r="CP309" t="e">
        <f>AND(#REF!,"AAAAAG9rv10=")</f>
        <v>#REF!</v>
      </c>
      <c r="CQ309" t="e">
        <f>AND(#REF!,"AAAAAG9rv14=")</f>
        <v>#REF!</v>
      </c>
      <c r="CR309" t="e">
        <f>AND(#REF!,"AAAAAG9rv18=")</f>
        <v>#REF!</v>
      </c>
      <c r="CS309" t="e">
        <f>AND(#REF!,"AAAAAG9rv2A=")</f>
        <v>#REF!</v>
      </c>
      <c r="CT309" t="e">
        <f>AND(#REF!,"AAAAAG9rv2E=")</f>
        <v>#REF!</v>
      </c>
      <c r="CU309" t="e">
        <f>AND(#REF!,"AAAAAG9rv2I=")</f>
        <v>#REF!</v>
      </c>
      <c r="CV309" t="e">
        <f>AND(#REF!,"AAAAAG9rv2M=")</f>
        <v>#REF!</v>
      </c>
      <c r="CW309" t="e">
        <f>AND(#REF!,"AAAAAG9rv2Q=")</f>
        <v>#REF!</v>
      </c>
      <c r="CX309" t="e">
        <f>AND(#REF!,"AAAAAG9rv2U=")</f>
        <v>#REF!</v>
      </c>
      <c r="CY309" t="e">
        <f>AND(#REF!,"AAAAAG9rv2Y=")</f>
        <v>#REF!</v>
      </c>
      <c r="CZ309" t="e">
        <f>AND(#REF!,"AAAAAG9rv2c=")</f>
        <v>#REF!</v>
      </c>
      <c r="DA309" t="e">
        <f>AND(#REF!,"AAAAAG9rv2g=")</f>
        <v>#REF!</v>
      </c>
      <c r="DB309" t="e">
        <f>AND(#REF!,"AAAAAG9rv2k=")</f>
        <v>#REF!</v>
      </c>
      <c r="DC309" t="e">
        <f>AND(#REF!,"AAAAAG9rv2o=")</f>
        <v>#REF!</v>
      </c>
      <c r="DD309" t="e">
        <f>AND(#REF!,"AAAAAG9rv2s=")</f>
        <v>#REF!</v>
      </c>
      <c r="DE309" t="e">
        <f>AND(#REF!,"AAAAAG9rv2w=")</f>
        <v>#REF!</v>
      </c>
      <c r="DF309" t="e">
        <f>AND(#REF!,"AAAAAG9rv20=")</f>
        <v>#REF!</v>
      </c>
      <c r="DG309" t="e">
        <f>AND(#REF!,"AAAAAG9rv24=")</f>
        <v>#REF!</v>
      </c>
      <c r="DH309" t="e">
        <f>AND(#REF!,"AAAAAG9rv28=")</f>
        <v>#REF!</v>
      </c>
      <c r="DI309" t="e">
        <f>IF(#REF!,"AAAAAG9rv3A=",0)</f>
        <v>#REF!</v>
      </c>
      <c r="DJ309" t="e">
        <f>AND(#REF!,"AAAAAG9rv3E=")</f>
        <v>#REF!</v>
      </c>
      <c r="DK309" t="e">
        <f>AND(#REF!,"AAAAAG9rv3I=")</f>
        <v>#REF!</v>
      </c>
      <c r="DL309" t="e">
        <f>AND(#REF!,"AAAAAG9rv3M=")</f>
        <v>#REF!</v>
      </c>
      <c r="DM309" t="e">
        <f>AND(#REF!,"AAAAAG9rv3Q=")</f>
        <v>#REF!</v>
      </c>
      <c r="DN309" t="e">
        <f>AND(#REF!,"AAAAAG9rv3U=")</f>
        <v>#REF!</v>
      </c>
      <c r="DO309" t="e">
        <f>AND(#REF!,"AAAAAG9rv3Y=")</f>
        <v>#REF!</v>
      </c>
      <c r="DP309" t="e">
        <f>AND(#REF!,"AAAAAG9rv3c=")</f>
        <v>#REF!</v>
      </c>
      <c r="DQ309" t="e">
        <f>AND(#REF!,"AAAAAG9rv3g=")</f>
        <v>#REF!</v>
      </c>
      <c r="DR309" t="e">
        <f>AND(#REF!,"AAAAAG9rv3k=")</f>
        <v>#REF!</v>
      </c>
      <c r="DS309" t="e">
        <f>AND(#REF!,"AAAAAG9rv3o=")</f>
        <v>#REF!</v>
      </c>
      <c r="DT309" t="e">
        <f>AND(#REF!,"AAAAAG9rv3s=")</f>
        <v>#REF!</v>
      </c>
      <c r="DU309" t="e">
        <f>AND(#REF!,"AAAAAG9rv3w=")</f>
        <v>#REF!</v>
      </c>
      <c r="DV309" t="e">
        <f>AND(#REF!,"AAAAAG9rv30=")</f>
        <v>#REF!</v>
      </c>
      <c r="DW309" t="e">
        <f>AND(#REF!,"AAAAAG9rv34=")</f>
        <v>#REF!</v>
      </c>
      <c r="DX309" t="e">
        <f>AND(#REF!,"AAAAAG9rv38=")</f>
        <v>#REF!</v>
      </c>
      <c r="DY309" t="e">
        <f>AND(#REF!,"AAAAAG9rv4A=")</f>
        <v>#REF!</v>
      </c>
      <c r="DZ309" t="e">
        <f>AND(#REF!,"AAAAAG9rv4E=")</f>
        <v>#REF!</v>
      </c>
      <c r="EA309" t="e">
        <f>AND(#REF!,"AAAAAG9rv4I=")</f>
        <v>#REF!</v>
      </c>
      <c r="EB309" t="e">
        <f>AND(#REF!,"AAAAAG9rv4M=")</f>
        <v>#REF!</v>
      </c>
      <c r="EC309" t="e">
        <f>AND(#REF!,"AAAAAG9rv4Q=")</f>
        <v>#REF!</v>
      </c>
      <c r="ED309" t="e">
        <f>AND(#REF!,"AAAAAG9rv4U=")</f>
        <v>#REF!</v>
      </c>
      <c r="EE309" t="e">
        <f>AND(#REF!,"AAAAAG9rv4Y=")</f>
        <v>#REF!</v>
      </c>
      <c r="EF309" t="e">
        <f>AND(#REF!,"AAAAAG9rv4c=")</f>
        <v>#REF!</v>
      </c>
      <c r="EG309" t="e">
        <f>AND(#REF!,"AAAAAG9rv4g=")</f>
        <v>#REF!</v>
      </c>
      <c r="EH309" t="e">
        <f>IF(#REF!,"AAAAAG9rv4k=",0)</f>
        <v>#REF!</v>
      </c>
      <c r="EI309" t="e">
        <f>AND(#REF!,"AAAAAG9rv4o=")</f>
        <v>#REF!</v>
      </c>
      <c r="EJ309" t="e">
        <f>AND(#REF!,"AAAAAG9rv4s=")</f>
        <v>#REF!</v>
      </c>
      <c r="EK309" t="e">
        <f>AND(#REF!,"AAAAAG9rv4w=")</f>
        <v>#REF!</v>
      </c>
      <c r="EL309" t="e">
        <f>AND(#REF!,"AAAAAG9rv40=")</f>
        <v>#REF!</v>
      </c>
      <c r="EM309" t="e">
        <f>AND(#REF!,"AAAAAG9rv44=")</f>
        <v>#REF!</v>
      </c>
      <c r="EN309" t="e">
        <f>AND(#REF!,"AAAAAG9rv48=")</f>
        <v>#REF!</v>
      </c>
      <c r="EO309" t="e">
        <f>AND(#REF!,"AAAAAG9rv5A=")</f>
        <v>#REF!</v>
      </c>
      <c r="EP309" t="e">
        <f>AND(#REF!,"AAAAAG9rv5E=")</f>
        <v>#REF!</v>
      </c>
      <c r="EQ309" t="e">
        <f>AND(#REF!,"AAAAAG9rv5I=")</f>
        <v>#REF!</v>
      </c>
      <c r="ER309" t="e">
        <f>AND(#REF!,"AAAAAG9rv5M=")</f>
        <v>#REF!</v>
      </c>
      <c r="ES309" t="e">
        <f>AND(#REF!,"AAAAAG9rv5Q=")</f>
        <v>#REF!</v>
      </c>
      <c r="ET309" t="e">
        <f>AND(#REF!,"AAAAAG9rv5U=")</f>
        <v>#REF!</v>
      </c>
      <c r="EU309" t="e">
        <f>AND(#REF!,"AAAAAG9rv5Y=")</f>
        <v>#REF!</v>
      </c>
      <c r="EV309" t="e">
        <f>AND(#REF!,"AAAAAG9rv5c=")</f>
        <v>#REF!</v>
      </c>
      <c r="EW309" t="e">
        <f>AND(#REF!,"AAAAAG9rv5g=")</f>
        <v>#REF!</v>
      </c>
      <c r="EX309" t="e">
        <f>AND(#REF!,"AAAAAG9rv5k=")</f>
        <v>#REF!</v>
      </c>
      <c r="EY309" t="e">
        <f>AND(#REF!,"AAAAAG9rv5o=")</f>
        <v>#REF!</v>
      </c>
      <c r="EZ309" t="e">
        <f>AND(#REF!,"AAAAAG9rv5s=")</f>
        <v>#REF!</v>
      </c>
      <c r="FA309" t="e">
        <f>AND(#REF!,"AAAAAG9rv5w=")</f>
        <v>#REF!</v>
      </c>
      <c r="FB309" t="e">
        <f>AND(#REF!,"AAAAAG9rv50=")</f>
        <v>#REF!</v>
      </c>
      <c r="FC309" t="e">
        <f>AND(#REF!,"AAAAAG9rv54=")</f>
        <v>#REF!</v>
      </c>
      <c r="FD309" t="e">
        <f>AND(#REF!,"AAAAAG9rv58=")</f>
        <v>#REF!</v>
      </c>
      <c r="FE309" t="e">
        <f>AND(#REF!,"AAAAAG9rv6A=")</f>
        <v>#REF!</v>
      </c>
      <c r="FF309" t="e">
        <f>AND(#REF!,"AAAAAG9rv6E=")</f>
        <v>#REF!</v>
      </c>
      <c r="FG309" t="e">
        <f>IF(#REF!,"AAAAAG9rv6I=",0)</f>
        <v>#REF!</v>
      </c>
      <c r="FH309" t="e">
        <f>AND(#REF!,"AAAAAG9rv6M=")</f>
        <v>#REF!</v>
      </c>
      <c r="FI309" t="e">
        <f>AND(#REF!,"AAAAAG9rv6Q=")</f>
        <v>#REF!</v>
      </c>
      <c r="FJ309" t="e">
        <f>AND(#REF!,"AAAAAG9rv6U=")</f>
        <v>#REF!</v>
      </c>
      <c r="FK309" t="e">
        <f>AND(#REF!,"AAAAAG9rv6Y=")</f>
        <v>#REF!</v>
      </c>
      <c r="FL309" t="e">
        <f>AND(#REF!,"AAAAAG9rv6c=")</f>
        <v>#REF!</v>
      </c>
      <c r="FM309" t="e">
        <f>AND(#REF!,"AAAAAG9rv6g=")</f>
        <v>#REF!</v>
      </c>
      <c r="FN309" t="e">
        <f>AND(#REF!,"AAAAAG9rv6k=")</f>
        <v>#REF!</v>
      </c>
      <c r="FO309" t="e">
        <f>AND(#REF!,"AAAAAG9rv6o=")</f>
        <v>#REF!</v>
      </c>
      <c r="FP309" t="e">
        <f>AND(#REF!,"AAAAAG9rv6s=")</f>
        <v>#REF!</v>
      </c>
      <c r="FQ309" t="e">
        <f>AND(#REF!,"AAAAAG9rv6w=")</f>
        <v>#REF!</v>
      </c>
      <c r="FR309" t="e">
        <f>AND(#REF!,"AAAAAG9rv60=")</f>
        <v>#REF!</v>
      </c>
      <c r="FS309" t="e">
        <f>AND(#REF!,"AAAAAG9rv64=")</f>
        <v>#REF!</v>
      </c>
      <c r="FT309" t="e">
        <f>AND(#REF!,"AAAAAG9rv68=")</f>
        <v>#REF!</v>
      </c>
      <c r="FU309" t="e">
        <f>AND(#REF!,"AAAAAG9rv7A=")</f>
        <v>#REF!</v>
      </c>
      <c r="FV309" t="e">
        <f>AND(#REF!,"AAAAAG9rv7E=")</f>
        <v>#REF!</v>
      </c>
      <c r="FW309" t="e">
        <f>AND(#REF!,"AAAAAG9rv7I=")</f>
        <v>#REF!</v>
      </c>
      <c r="FX309" t="e">
        <f>AND(#REF!,"AAAAAG9rv7M=")</f>
        <v>#REF!</v>
      </c>
      <c r="FY309" t="e">
        <f>AND(#REF!,"AAAAAG9rv7Q=")</f>
        <v>#REF!</v>
      </c>
      <c r="FZ309" t="e">
        <f>AND(#REF!,"AAAAAG9rv7U=")</f>
        <v>#REF!</v>
      </c>
      <c r="GA309" t="e">
        <f>AND(#REF!,"AAAAAG9rv7Y=")</f>
        <v>#REF!</v>
      </c>
      <c r="GB309" t="e">
        <f>AND(#REF!,"AAAAAG9rv7c=")</f>
        <v>#REF!</v>
      </c>
      <c r="GC309" t="e">
        <f>AND(#REF!,"AAAAAG9rv7g=")</f>
        <v>#REF!</v>
      </c>
      <c r="GD309" t="e">
        <f>AND(#REF!,"AAAAAG9rv7k=")</f>
        <v>#REF!</v>
      </c>
      <c r="GE309" t="e">
        <f>AND(#REF!,"AAAAAG9rv7o=")</f>
        <v>#REF!</v>
      </c>
      <c r="GF309" t="e">
        <f>IF(#REF!,"AAAAAG9rv7s=",0)</f>
        <v>#REF!</v>
      </c>
      <c r="GG309" t="e">
        <f>AND(#REF!,"AAAAAG9rv7w=")</f>
        <v>#REF!</v>
      </c>
      <c r="GH309" t="e">
        <f>AND(#REF!,"AAAAAG9rv70=")</f>
        <v>#REF!</v>
      </c>
      <c r="GI309" t="e">
        <f>AND(#REF!,"AAAAAG9rv74=")</f>
        <v>#REF!</v>
      </c>
      <c r="GJ309" t="e">
        <f>AND(#REF!,"AAAAAG9rv78=")</f>
        <v>#REF!</v>
      </c>
      <c r="GK309" t="e">
        <f>AND(#REF!,"AAAAAG9rv8A=")</f>
        <v>#REF!</v>
      </c>
      <c r="GL309" t="e">
        <f>AND(#REF!,"AAAAAG9rv8E=")</f>
        <v>#REF!</v>
      </c>
      <c r="GM309" t="e">
        <f>AND(#REF!,"AAAAAG9rv8I=")</f>
        <v>#REF!</v>
      </c>
      <c r="GN309" t="e">
        <f>AND(#REF!,"AAAAAG9rv8M=")</f>
        <v>#REF!</v>
      </c>
      <c r="GO309" t="e">
        <f>AND(#REF!,"AAAAAG9rv8Q=")</f>
        <v>#REF!</v>
      </c>
      <c r="GP309" t="e">
        <f>AND(#REF!,"AAAAAG9rv8U=")</f>
        <v>#REF!</v>
      </c>
      <c r="GQ309" t="e">
        <f>AND(#REF!,"AAAAAG9rv8Y=")</f>
        <v>#REF!</v>
      </c>
      <c r="GR309" t="e">
        <f>AND(#REF!,"AAAAAG9rv8c=")</f>
        <v>#REF!</v>
      </c>
      <c r="GS309" t="e">
        <f>AND(#REF!,"AAAAAG9rv8g=")</f>
        <v>#REF!</v>
      </c>
      <c r="GT309" t="e">
        <f>AND(#REF!,"AAAAAG9rv8k=")</f>
        <v>#REF!</v>
      </c>
      <c r="GU309" t="e">
        <f>AND(#REF!,"AAAAAG9rv8o=")</f>
        <v>#REF!</v>
      </c>
      <c r="GV309" t="e">
        <f>AND(#REF!,"AAAAAG9rv8s=")</f>
        <v>#REF!</v>
      </c>
      <c r="GW309" t="e">
        <f>AND(#REF!,"AAAAAG9rv8w=")</f>
        <v>#REF!</v>
      </c>
      <c r="GX309" t="e">
        <f>AND(#REF!,"AAAAAG9rv80=")</f>
        <v>#REF!</v>
      </c>
      <c r="GY309" t="e">
        <f>AND(#REF!,"AAAAAG9rv84=")</f>
        <v>#REF!</v>
      </c>
      <c r="GZ309" t="e">
        <f>AND(#REF!,"AAAAAG9rv88=")</f>
        <v>#REF!</v>
      </c>
      <c r="HA309" t="e">
        <f>AND(#REF!,"AAAAAG9rv9A=")</f>
        <v>#REF!</v>
      </c>
      <c r="HB309" t="e">
        <f>AND(#REF!,"AAAAAG9rv9E=")</f>
        <v>#REF!</v>
      </c>
      <c r="HC309" t="e">
        <f>AND(#REF!,"AAAAAG9rv9I=")</f>
        <v>#REF!</v>
      </c>
      <c r="HD309" t="e">
        <f>AND(#REF!,"AAAAAG9rv9M=")</f>
        <v>#REF!</v>
      </c>
      <c r="HE309" t="e">
        <f>IF(#REF!,"AAAAAG9rv9Q=",0)</f>
        <v>#REF!</v>
      </c>
      <c r="HF309" t="e">
        <f>AND(#REF!,"AAAAAG9rv9U=")</f>
        <v>#REF!</v>
      </c>
      <c r="HG309" t="e">
        <f>AND(#REF!,"AAAAAG9rv9Y=")</f>
        <v>#REF!</v>
      </c>
      <c r="HH309" t="e">
        <f>AND(#REF!,"AAAAAG9rv9c=")</f>
        <v>#REF!</v>
      </c>
      <c r="HI309" t="e">
        <f>AND(#REF!,"AAAAAG9rv9g=")</f>
        <v>#REF!</v>
      </c>
      <c r="HJ309" t="e">
        <f>AND(#REF!,"AAAAAG9rv9k=")</f>
        <v>#REF!</v>
      </c>
      <c r="HK309" t="e">
        <f>AND(#REF!,"AAAAAG9rv9o=")</f>
        <v>#REF!</v>
      </c>
      <c r="HL309" t="e">
        <f>AND(#REF!,"AAAAAG9rv9s=")</f>
        <v>#REF!</v>
      </c>
      <c r="HM309" t="e">
        <f>AND(#REF!,"AAAAAG9rv9w=")</f>
        <v>#REF!</v>
      </c>
      <c r="HN309" t="e">
        <f>AND(#REF!,"AAAAAG9rv90=")</f>
        <v>#REF!</v>
      </c>
      <c r="HO309" t="e">
        <f>AND(#REF!,"AAAAAG9rv94=")</f>
        <v>#REF!</v>
      </c>
      <c r="HP309" t="e">
        <f>AND(#REF!,"AAAAAG9rv98=")</f>
        <v>#REF!</v>
      </c>
      <c r="HQ309" t="e">
        <f>AND(#REF!,"AAAAAG9rv+A=")</f>
        <v>#REF!</v>
      </c>
      <c r="HR309" t="e">
        <f>AND(#REF!,"AAAAAG9rv+E=")</f>
        <v>#REF!</v>
      </c>
      <c r="HS309" t="e">
        <f>AND(#REF!,"AAAAAG9rv+I=")</f>
        <v>#REF!</v>
      </c>
      <c r="HT309" t="e">
        <f>AND(#REF!,"AAAAAG9rv+M=")</f>
        <v>#REF!</v>
      </c>
      <c r="HU309" t="e">
        <f>AND(#REF!,"AAAAAG9rv+Q=")</f>
        <v>#REF!</v>
      </c>
      <c r="HV309" t="e">
        <f>AND(#REF!,"AAAAAG9rv+U=")</f>
        <v>#REF!</v>
      </c>
      <c r="HW309" t="e">
        <f>AND(#REF!,"AAAAAG9rv+Y=")</f>
        <v>#REF!</v>
      </c>
      <c r="HX309" t="e">
        <f>AND(#REF!,"AAAAAG9rv+c=")</f>
        <v>#REF!</v>
      </c>
      <c r="HY309" t="e">
        <f>AND(#REF!,"AAAAAG9rv+g=")</f>
        <v>#REF!</v>
      </c>
      <c r="HZ309" t="e">
        <f>AND(#REF!,"AAAAAG9rv+k=")</f>
        <v>#REF!</v>
      </c>
      <c r="IA309" t="e">
        <f>AND(#REF!,"AAAAAG9rv+o=")</f>
        <v>#REF!</v>
      </c>
      <c r="IB309" t="e">
        <f>AND(#REF!,"AAAAAG9rv+s=")</f>
        <v>#REF!</v>
      </c>
      <c r="IC309" t="e">
        <f>AND(#REF!,"AAAAAG9rv+w=")</f>
        <v>#REF!</v>
      </c>
      <c r="ID309" t="e">
        <f>IF(#REF!,"AAAAAG9rv+0=",0)</f>
        <v>#REF!</v>
      </c>
      <c r="IE309" t="e">
        <f>AND(#REF!,"AAAAAG9rv+4=")</f>
        <v>#REF!</v>
      </c>
      <c r="IF309" t="e">
        <f>AND(#REF!,"AAAAAG9rv+8=")</f>
        <v>#REF!</v>
      </c>
      <c r="IG309" t="e">
        <f>AND(#REF!,"AAAAAG9rv/A=")</f>
        <v>#REF!</v>
      </c>
      <c r="IH309" t="e">
        <f>AND(#REF!,"AAAAAG9rv/E=")</f>
        <v>#REF!</v>
      </c>
      <c r="II309" t="e">
        <f>AND(#REF!,"AAAAAG9rv/I=")</f>
        <v>#REF!</v>
      </c>
      <c r="IJ309" t="e">
        <f>AND(#REF!,"AAAAAG9rv/M=")</f>
        <v>#REF!</v>
      </c>
      <c r="IK309" t="e">
        <f>AND(#REF!,"AAAAAG9rv/Q=")</f>
        <v>#REF!</v>
      </c>
      <c r="IL309" t="e">
        <f>AND(#REF!,"AAAAAG9rv/U=")</f>
        <v>#REF!</v>
      </c>
      <c r="IM309" t="e">
        <f>AND(#REF!,"AAAAAG9rv/Y=")</f>
        <v>#REF!</v>
      </c>
      <c r="IN309" t="e">
        <f>AND(#REF!,"AAAAAG9rv/c=")</f>
        <v>#REF!</v>
      </c>
      <c r="IO309" t="e">
        <f>AND(#REF!,"AAAAAG9rv/g=")</f>
        <v>#REF!</v>
      </c>
      <c r="IP309" t="e">
        <f>AND(#REF!,"AAAAAG9rv/k=")</f>
        <v>#REF!</v>
      </c>
      <c r="IQ309" t="e">
        <f>AND(#REF!,"AAAAAG9rv/o=")</f>
        <v>#REF!</v>
      </c>
      <c r="IR309" t="e">
        <f>AND(#REF!,"AAAAAG9rv/s=")</f>
        <v>#REF!</v>
      </c>
      <c r="IS309" t="e">
        <f>AND(#REF!,"AAAAAG9rv/w=")</f>
        <v>#REF!</v>
      </c>
      <c r="IT309" t="e">
        <f>AND(#REF!,"AAAAAG9rv/0=")</f>
        <v>#REF!</v>
      </c>
      <c r="IU309" t="e">
        <f>AND(#REF!,"AAAAAG9rv/4=")</f>
        <v>#REF!</v>
      </c>
      <c r="IV309" t="e">
        <f>AND(#REF!,"AAAAAG9rv/8=")</f>
        <v>#REF!</v>
      </c>
    </row>
    <row r="310" spans="1:256">
      <c r="A310" t="e">
        <f>AND(#REF!,"AAAAAFxrngA=")</f>
        <v>#REF!</v>
      </c>
      <c r="B310" t="e">
        <f>AND(#REF!,"AAAAAFxrngE=")</f>
        <v>#REF!</v>
      </c>
      <c r="C310" t="e">
        <f>AND(#REF!,"AAAAAFxrngI=")</f>
        <v>#REF!</v>
      </c>
      <c r="D310" t="e">
        <f>AND(#REF!,"AAAAAFxrngM=")</f>
        <v>#REF!</v>
      </c>
      <c r="E310" t="e">
        <f>AND(#REF!,"AAAAAFxrngQ=")</f>
        <v>#REF!</v>
      </c>
      <c r="F310" t="e">
        <f>AND(#REF!,"AAAAAFxrngU=")</f>
        <v>#REF!</v>
      </c>
      <c r="G310" t="e">
        <f>IF(#REF!,"AAAAAFxrngY=",0)</f>
        <v>#REF!</v>
      </c>
      <c r="H310" t="e">
        <f>AND(#REF!,"AAAAAFxrngc=")</f>
        <v>#REF!</v>
      </c>
      <c r="I310" t="e">
        <f>AND(#REF!,"AAAAAFxrngg=")</f>
        <v>#REF!</v>
      </c>
      <c r="J310" t="e">
        <f>AND(#REF!,"AAAAAFxrngk=")</f>
        <v>#REF!</v>
      </c>
      <c r="K310" t="e">
        <f>AND(#REF!,"AAAAAFxrngo=")</f>
        <v>#REF!</v>
      </c>
      <c r="L310" t="e">
        <f>AND(#REF!,"AAAAAFxrngs=")</f>
        <v>#REF!</v>
      </c>
      <c r="M310" t="e">
        <f>AND(#REF!,"AAAAAFxrngw=")</f>
        <v>#REF!</v>
      </c>
      <c r="N310" t="e">
        <f>AND(#REF!,"AAAAAFxrng0=")</f>
        <v>#REF!</v>
      </c>
      <c r="O310" t="e">
        <f>AND(#REF!,"AAAAAFxrng4=")</f>
        <v>#REF!</v>
      </c>
      <c r="P310" t="e">
        <f>AND(#REF!,"AAAAAFxrng8=")</f>
        <v>#REF!</v>
      </c>
      <c r="Q310" t="e">
        <f>AND(#REF!,"AAAAAFxrnhA=")</f>
        <v>#REF!</v>
      </c>
      <c r="R310" t="e">
        <f>AND(#REF!,"AAAAAFxrnhE=")</f>
        <v>#REF!</v>
      </c>
      <c r="S310" t="e">
        <f>AND(#REF!,"AAAAAFxrnhI=")</f>
        <v>#REF!</v>
      </c>
      <c r="T310" t="e">
        <f>AND(#REF!,"AAAAAFxrnhM=")</f>
        <v>#REF!</v>
      </c>
      <c r="U310" t="e">
        <f>AND(#REF!,"AAAAAFxrnhQ=")</f>
        <v>#REF!</v>
      </c>
      <c r="V310" t="e">
        <f>AND(#REF!,"AAAAAFxrnhU=")</f>
        <v>#REF!</v>
      </c>
      <c r="W310" t="e">
        <f>AND(#REF!,"AAAAAFxrnhY=")</f>
        <v>#REF!</v>
      </c>
      <c r="X310" t="e">
        <f>AND(#REF!,"AAAAAFxrnhc=")</f>
        <v>#REF!</v>
      </c>
      <c r="Y310" t="e">
        <f>AND(#REF!,"AAAAAFxrnhg=")</f>
        <v>#REF!</v>
      </c>
      <c r="Z310" t="e">
        <f>AND(#REF!,"AAAAAFxrnhk=")</f>
        <v>#REF!</v>
      </c>
      <c r="AA310" t="e">
        <f>AND(#REF!,"AAAAAFxrnho=")</f>
        <v>#REF!</v>
      </c>
      <c r="AB310" t="e">
        <f>AND(#REF!,"AAAAAFxrnhs=")</f>
        <v>#REF!</v>
      </c>
      <c r="AC310" t="e">
        <f>AND(#REF!,"AAAAAFxrnhw=")</f>
        <v>#REF!</v>
      </c>
      <c r="AD310" t="e">
        <f>AND(#REF!,"AAAAAFxrnh0=")</f>
        <v>#REF!</v>
      </c>
      <c r="AE310" t="e">
        <f>AND(#REF!,"AAAAAFxrnh4=")</f>
        <v>#REF!</v>
      </c>
      <c r="AF310" t="e">
        <f>IF(#REF!,"AAAAAFxrnh8=",0)</f>
        <v>#REF!</v>
      </c>
      <c r="AG310" t="e">
        <f>AND(#REF!,"AAAAAFxrniA=")</f>
        <v>#REF!</v>
      </c>
      <c r="AH310" t="e">
        <f>AND(#REF!,"AAAAAFxrniE=")</f>
        <v>#REF!</v>
      </c>
      <c r="AI310" t="e">
        <f>AND(#REF!,"AAAAAFxrniI=")</f>
        <v>#REF!</v>
      </c>
      <c r="AJ310" t="e">
        <f>AND(#REF!,"AAAAAFxrniM=")</f>
        <v>#REF!</v>
      </c>
      <c r="AK310" t="e">
        <f>AND(#REF!,"AAAAAFxrniQ=")</f>
        <v>#REF!</v>
      </c>
      <c r="AL310" t="e">
        <f>AND(#REF!,"AAAAAFxrniU=")</f>
        <v>#REF!</v>
      </c>
      <c r="AM310" t="e">
        <f>AND(#REF!,"AAAAAFxrniY=")</f>
        <v>#REF!</v>
      </c>
      <c r="AN310" t="e">
        <f>AND(#REF!,"AAAAAFxrnic=")</f>
        <v>#REF!</v>
      </c>
      <c r="AO310" t="e">
        <f>AND(#REF!,"AAAAAFxrnig=")</f>
        <v>#REF!</v>
      </c>
      <c r="AP310" t="e">
        <f>AND(#REF!,"AAAAAFxrnik=")</f>
        <v>#REF!</v>
      </c>
      <c r="AQ310" t="e">
        <f>AND(#REF!,"AAAAAFxrnio=")</f>
        <v>#REF!</v>
      </c>
      <c r="AR310" t="e">
        <f>AND(#REF!,"AAAAAFxrnis=")</f>
        <v>#REF!</v>
      </c>
      <c r="AS310" t="e">
        <f>AND(#REF!,"AAAAAFxrniw=")</f>
        <v>#REF!</v>
      </c>
      <c r="AT310" t="e">
        <f>AND(#REF!,"AAAAAFxrni0=")</f>
        <v>#REF!</v>
      </c>
      <c r="AU310" t="e">
        <f>AND(#REF!,"AAAAAFxrni4=")</f>
        <v>#REF!</v>
      </c>
      <c r="AV310" t="e">
        <f>AND(#REF!,"AAAAAFxrni8=")</f>
        <v>#REF!</v>
      </c>
      <c r="AW310" t="e">
        <f>AND(#REF!,"AAAAAFxrnjA=")</f>
        <v>#REF!</v>
      </c>
      <c r="AX310" t="e">
        <f>AND(#REF!,"AAAAAFxrnjE=")</f>
        <v>#REF!</v>
      </c>
      <c r="AY310" t="e">
        <f>AND(#REF!,"AAAAAFxrnjI=")</f>
        <v>#REF!</v>
      </c>
      <c r="AZ310" t="e">
        <f>AND(#REF!,"AAAAAFxrnjM=")</f>
        <v>#REF!</v>
      </c>
      <c r="BA310" t="e">
        <f>AND(#REF!,"AAAAAFxrnjQ=")</f>
        <v>#REF!</v>
      </c>
      <c r="BB310" t="e">
        <f>AND(#REF!,"AAAAAFxrnjU=")</f>
        <v>#REF!</v>
      </c>
      <c r="BC310" t="e">
        <f>AND(#REF!,"AAAAAFxrnjY=")</f>
        <v>#REF!</v>
      </c>
      <c r="BD310" t="e">
        <f>AND(#REF!,"AAAAAFxrnjc=")</f>
        <v>#REF!</v>
      </c>
      <c r="BE310" t="e">
        <f>IF(#REF!,"AAAAAFxrnjg=",0)</f>
        <v>#REF!</v>
      </c>
      <c r="BF310" t="e">
        <f>AND(#REF!,"AAAAAFxrnjk=")</f>
        <v>#REF!</v>
      </c>
      <c r="BG310" t="e">
        <f>AND(#REF!,"AAAAAFxrnjo=")</f>
        <v>#REF!</v>
      </c>
      <c r="BH310" t="e">
        <f>AND(#REF!,"AAAAAFxrnjs=")</f>
        <v>#REF!</v>
      </c>
      <c r="BI310" t="e">
        <f>AND(#REF!,"AAAAAFxrnjw=")</f>
        <v>#REF!</v>
      </c>
      <c r="BJ310" t="e">
        <f>AND(#REF!,"AAAAAFxrnj0=")</f>
        <v>#REF!</v>
      </c>
      <c r="BK310" t="e">
        <f>AND(#REF!,"AAAAAFxrnj4=")</f>
        <v>#REF!</v>
      </c>
      <c r="BL310" t="e">
        <f>AND(#REF!,"AAAAAFxrnj8=")</f>
        <v>#REF!</v>
      </c>
      <c r="BM310" t="e">
        <f>AND(#REF!,"AAAAAFxrnkA=")</f>
        <v>#REF!</v>
      </c>
      <c r="BN310" t="e">
        <f>AND(#REF!,"AAAAAFxrnkE=")</f>
        <v>#REF!</v>
      </c>
      <c r="BO310" t="e">
        <f>AND(#REF!,"AAAAAFxrnkI=")</f>
        <v>#REF!</v>
      </c>
      <c r="BP310" t="e">
        <f>AND(#REF!,"AAAAAFxrnkM=")</f>
        <v>#REF!</v>
      </c>
      <c r="BQ310" t="e">
        <f>AND(#REF!,"AAAAAFxrnkQ=")</f>
        <v>#REF!</v>
      </c>
      <c r="BR310" t="e">
        <f>AND(#REF!,"AAAAAFxrnkU=")</f>
        <v>#REF!</v>
      </c>
      <c r="BS310" t="e">
        <f>AND(#REF!,"AAAAAFxrnkY=")</f>
        <v>#REF!</v>
      </c>
      <c r="BT310" t="e">
        <f>AND(#REF!,"AAAAAFxrnkc=")</f>
        <v>#REF!</v>
      </c>
      <c r="BU310" t="e">
        <f>AND(#REF!,"AAAAAFxrnkg=")</f>
        <v>#REF!</v>
      </c>
      <c r="BV310" t="e">
        <f>AND(#REF!,"AAAAAFxrnkk=")</f>
        <v>#REF!</v>
      </c>
      <c r="BW310" t="e">
        <f>AND(#REF!,"AAAAAFxrnko=")</f>
        <v>#REF!</v>
      </c>
      <c r="BX310" t="e">
        <f>AND(#REF!,"AAAAAFxrnks=")</f>
        <v>#REF!</v>
      </c>
      <c r="BY310" t="e">
        <f>AND(#REF!,"AAAAAFxrnkw=")</f>
        <v>#REF!</v>
      </c>
      <c r="BZ310" t="e">
        <f>AND(#REF!,"AAAAAFxrnk0=")</f>
        <v>#REF!</v>
      </c>
      <c r="CA310" t="e">
        <f>AND(#REF!,"AAAAAFxrnk4=")</f>
        <v>#REF!</v>
      </c>
      <c r="CB310" t="e">
        <f>AND(#REF!,"AAAAAFxrnk8=")</f>
        <v>#REF!</v>
      </c>
      <c r="CC310" t="e">
        <f>AND(#REF!,"AAAAAFxrnlA=")</f>
        <v>#REF!</v>
      </c>
      <c r="CD310" t="e">
        <f>IF(#REF!,"AAAAAFxrnlE=",0)</f>
        <v>#REF!</v>
      </c>
      <c r="CE310" t="e">
        <f>AND(#REF!,"AAAAAFxrnlI=")</f>
        <v>#REF!</v>
      </c>
      <c r="CF310" t="e">
        <f>AND(#REF!,"AAAAAFxrnlM=")</f>
        <v>#REF!</v>
      </c>
      <c r="CG310" t="e">
        <f>AND(#REF!,"AAAAAFxrnlQ=")</f>
        <v>#REF!</v>
      </c>
      <c r="CH310" t="e">
        <f>AND(#REF!,"AAAAAFxrnlU=")</f>
        <v>#REF!</v>
      </c>
      <c r="CI310" t="e">
        <f>AND(#REF!,"AAAAAFxrnlY=")</f>
        <v>#REF!</v>
      </c>
      <c r="CJ310" t="e">
        <f>AND(#REF!,"AAAAAFxrnlc=")</f>
        <v>#REF!</v>
      </c>
      <c r="CK310" t="e">
        <f>AND(#REF!,"AAAAAFxrnlg=")</f>
        <v>#REF!</v>
      </c>
      <c r="CL310" t="e">
        <f>AND(#REF!,"AAAAAFxrnlk=")</f>
        <v>#REF!</v>
      </c>
      <c r="CM310" t="e">
        <f>AND(#REF!,"AAAAAFxrnlo=")</f>
        <v>#REF!</v>
      </c>
      <c r="CN310" t="e">
        <f>AND(#REF!,"AAAAAFxrnls=")</f>
        <v>#REF!</v>
      </c>
      <c r="CO310" t="e">
        <f>AND(#REF!,"AAAAAFxrnlw=")</f>
        <v>#REF!</v>
      </c>
      <c r="CP310" t="e">
        <f>AND(#REF!,"AAAAAFxrnl0=")</f>
        <v>#REF!</v>
      </c>
      <c r="CQ310" t="e">
        <f>AND(#REF!,"AAAAAFxrnl4=")</f>
        <v>#REF!</v>
      </c>
      <c r="CR310" t="e">
        <f>AND(#REF!,"AAAAAFxrnl8=")</f>
        <v>#REF!</v>
      </c>
      <c r="CS310" t="e">
        <f>AND(#REF!,"AAAAAFxrnmA=")</f>
        <v>#REF!</v>
      </c>
      <c r="CT310" t="e">
        <f>AND(#REF!,"AAAAAFxrnmE=")</f>
        <v>#REF!</v>
      </c>
      <c r="CU310" t="e">
        <f>AND(#REF!,"AAAAAFxrnmI=")</f>
        <v>#REF!</v>
      </c>
      <c r="CV310" t="e">
        <f>AND(#REF!,"AAAAAFxrnmM=")</f>
        <v>#REF!</v>
      </c>
      <c r="CW310" t="e">
        <f>AND(#REF!,"AAAAAFxrnmQ=")</f>
        <v>#REF!</v>
      </c>
      <c r="CX310" t="e">
        <f>AND(#REF!,"AAAAAFxrnmU=")</f>
        <v>#REF!</v>
      </c>
      <c r="CY310" t="e">
        <f>AND(#REF!,"AAAAAFxrnmY=")</f>
        <v>#REF!</v>
      </c>
      <c r="CZ310" t="e">
        <f>AND(#REF!,"AAAAAFxrnmc=")</f>
        <v>#REF!</v>
      </c>
      <c r="DA310" t="e">
        <f>AND(#REF!,"AAAAAFxrnmg=")</f>
        <v>#REF!</v>
      </c>
      <c r="DB310" t="e">
        <f>AND(#REF!,"AAAAAFxrnmk=")</f>
        <v>#REF!</v>
      </c>
      <c r="DC310" t="e">
        <f>IF(#REF!,"AAAAAFxrnmo=",0)</f>
        <v>#REF!</v>
      </c>
      <c r="DD310" t="e">
        <f>AND(#REF!,"AAAAAFxrnms=")</f>
        <v>#REF!</v>
      </c>
      <c r="DE310" t="e">
        <f>AND(#REF!,"AAAAAFxrnmw=")</f>
        <v>#REF!</v>
      </c>
      <c r="DF310" t="e">
        <f>AND(#REF!,"AAAAAFxrnm0=")</f>
        <v>#REF!</v>
      </c>
      <c r="DG310" t="e">
        <f>AND(#REF!,"AAAAAFxrnm4=")</f>
        <v>#REF!</v>
      </c>
      <c r="DH310" t="e">
        <f>AND(#REF!,"AAAAAFxrnm8=")</f>
        <v>#REF!</v>
      </c>
      <c r="DI310" t="e">
        <f>AND(#REF!,"AAAAAFxrnnA=")</f>
        <v>#REF!</v>
      </c>
      <c r="DJ310" t="e">
        <f>AND(#REF!,"AAAAAFxrnnE=")</f>
        <v>#REF!</v>
      </c>
      <c r="DK310" t="e">
        <f>AND(#REF!,"AAAAAFxrnnI=")</f>
        <v>#REF!</v>
      </c>
      <c r="DL310" t="e">
        <f>AND(#REF!,"AAAAAFxrnnM=")</f>
        <v>#REF!</v>
      </c>
      <c r="DM310" t="e">
        <f>AND(#REF!,"AAAAAFxrnnQ=")</f>
        <v>#REF!</v>
      </c>
      <c r="DN310" t="e">
        <f>AND(#REF!,"AAAAAFxrnnU=")</f>
        <v>#REF!</v>
      </c>
      <c r="DO310" t="e">
        <f>AND(#REF!,"AAAAAFxrnnY=")</f>
        <v>#REF!</v>
      </c>
      <c r="DP310" t="e">
        <f>AND(#REF!,"AAAAAFxrnnc=")</f>
        <v>#REF!</v>
      </c>
      <c r="DQ310" t="e">
        <f>AND(#REF!,"AAAAAFxrnng=")</f>
        <v>#REF!</v>
      </c>
      <c r="DR310" t="e">
        <f>AND(#REF!,"AAAAAFxrnnk=")</f>
        <v>#REF!</v>
      </c>
      <c r="DS310" t="e">
        <f>AND(#REF!,"AAAAAFxrnno=")</f>
        <v>#REF!</v>
      </c>
      <c r="DT310" t="e">
        <f>AND(#REF!,"AAAAAFxrnns=")</f>
        <v>#REF!</v>
      </c>
      <c r="DU310" t="e">
        <f>AND(#REF!,"AAAAAFxrnnw=")</f>
        <v>#REF!</v>
      </c>
      <c r="DV310" t="e">
        <f>AND(#REF!,"AAAAAFxrnn0=")</f>
        <v>#REF!</v>
      </c>
      <c r="DW310" t="e">
        <f>AND(#REF!,"AAAAAFxrnn4=")</f>
        <v>#REF!</v>
      </c>
      <c r="DX310" t="e">
        <f>AND(#REF!,"AAAAAFxrnn8=")</f>
        <v>#REF!</v>
      </c>
      <c r="DY310" t="e">
        <f>AND(#REF!,"AAAAAFxrnoA=")</f>
        <v>#REF!</v>
      </c>
      <c r="DZ310" t="e">
        <f>AND(#REF!,"AAAAAFxrnoE=")</f>
        <v>#REF!</v>
      </c>
      <c r="EA310" t="e">
        <f>AND(#REF!,"AAAAAFxrnoI=")</f>
        <v>#REF!</v>
      </c>
      <c r="EB310" t="e">
        <f>IF(#REF!,"AAAAAFxrnoM=",0)</f>
        <v>#REF!</v>
      </c>
      <c r="EC310" t="e">
        <f>AND(#REF!,"AAAAAFxrnoQ=")</f>
        <v>#REF!</v>
      </c>
      <c r="ED310" t="e">
        <f>AND(#REF!,"AAAAAFxrnoU=")</f>
        <v>#REF!</v>
      </c>
      <c r="EE310" t="e">
        <f>AND(#REF!,"AAAAAFxrnoY=")</f>
        <v>#REF!</v>
      </c>
      <c r="EF310" t="e">
        <f>AND(#REF!,"AAAAAFxrnoc=")</f>
        <v>#REF!</v>
      </c>
      <c r="EG310" t="e">
        <f>AND(#REF!,"AAAAAFxrnog=")</f>
        <v>#REF!</v>
      </c>
      <c r="EH310" t="e">
        <f>AND(#REF!,"AAAAAFxrnok=")</f>
        <v>#REF!</v>
      </c>
      <c r="EI310" t="e">
        <f>AND(#REF!,"AAAAAFxrnoo=")</f>
        <v>#REF!</v>
      </c>
      <c r="EJ310" t="e">
        <f>AND(#REF!,"AAAAAFxrnos=")</f>
        <v>#REF!</v>
      </c>
      <c r="EK310" t="e">
        <f>AND(#REF!,"AAAAAFxrnow=")</f>
        <v>#REF!</v>
      </c>
      <c r="EL310" t="e">
        <f>AND(#REF!,"AAAAAFxrno0=")</f>
        <v>#REF!</v>
      </c>
      <c r="EM310" t="e">
        <f>AND(#REF!,"AAAAAFxrno4=")</f>
        <v>#REF!</v>
      </c>
      <c r="EN310" t="e">
        <f>AND(#REF!,"AAAAAFxrno8=")</f>
        <v>#REF!</v>
      </c>
      <c r="EO310" t="e">
        <f>AND(#REF!,"AAAAAFxrnpA=")</f>
        <v>#REF!</v>
      </c>
      <c r="EP310" t="e">
        <f>AND(#REF!,"AAAAAFxrnpE=")</f>
        <v>#REF!</v>
      </c>
      <c r="EQ310" t="e">
        <f>AND(#REF!,"AAAAAFxrnpI=")</f>
        <v>#REF!</v>
      </c>
      <c r="ER310" t="e">
        <f>AND(#REF!,"AAAAAFxrnpM=")</f>
        <v>#REF!</v>
      </c>
      <c r="ES310" t="e">
        <f>AND(#REF!,"AAAAAFxrnpQ=")</f>
        <v>#REF!</v>
      </c>
      <c r="ET310" t="e">
        <f>AND(#REF!,"AAAAAFxrnpU=")</f>
        <v>#REF!</v>
      </c>
      <c r="EU310" t="e">
        <f>AND(#REF!,"AAAAAFxrnpY=")</f>
        <v>#REF!</v>
      </c>
      <c r="EV310" t="e">
        <f>AND(#REF!,"AAAAAFxrnpc=")</f>
        <v>#REF!</v>
      </c>
      <c r="EW310" t="e">
        <f>AND(#REF!,"AAAAAFxrnpg=")</f>
        <v>#REF!</v>
      </c>
      <c r="EX310" t="e">
        <f>AND(#REF!,"AAAAAFxrnpk=")</f>
        <v>#REF!</v>
      </c>
      <c r="EY310" t="e">
        <f>AND(#REF!,"AAAAAFxrnpo=")</f>
        <v>#REF!</v>
      </c>
      <c r="EZ310" t="e">
        <f>AND(#REF!,"AAAAAFxrnps=")</f>
        <v>#REF!</v>
      </c>
      <c r="FA310" t="e">
        <f>IF(#REF!,"AAAAAFxrnpw=",0)</f>
        <v>#REF!</v>
      </c>
      <c r="FB310" t="e">
        <f>AND(#REF!,"AAAAAFxrnp0=")</f>
        <v>#REF!</v>
      </c>
      <c r="FC310" t="e">
        <f>AND(#REF!,"AAAAAFxrnp4=")</f>
        <v>#REF!</v>
      </c>
      <c r="FD310" t="e">
        <f>AND(#REF!,"AAAAAFxrnp8=")</f>
        <v>#REF!</v>
      </c>
      <c r="FE310" t="e">
        <f>AND(#REF!,"AAAAAFxrnqA=")</f>
        <v>#REF!</v>
      </c>
      <c r="FF310" t="e">
        <f>AND(#REF!,"AAAAAFxrnqE=")</f>
        <v>#REF!</v>
      </c>
      <c r="FG310" t="e">
        <f>AND(#REF!,"AAAAAFxrnqI=")</f>
        <v>#REF!</v>
      </c>
      <c r="FH310" t="e">
        <f>AND(#REF!,"AAAAAFxrnqM=")</f>
        <v>#REF!</v>
      </c>
      <c r="FI310" t="e">
        <f>AND(#REF!,"AAAAAFxrnqQ=")</f>
        <v>#REF!</v>
      </c>
      <c r="FJ310" t="e">
        <f>AND(#REF!,"AAAAAFxrnqU=")</f>
        <v>#REF!</v>
      </c>
      <c r="FK310" t="e">
        <f>AND(#REF!,"AAAAAFxrnqY=")</f>
        <v>#REF!</v>
      </c>
      <c r="FL310" t="e">
        <f>AND(#REF!,"AAAAAFxrnqc=")</f>
        <v>#REF!</v>
      </c>
      <c r="FM310" t="e">
        <f>AND(#REF!,"AAAAAFxrnqg=")</f>
        <v>#REF!</v>
      </c>
      <c r="FN310" t="e">
        <f>AND(#REF!,"AAAAAFxrnqk=")</f>
        <v>#REF!</v>
      </c>
      <c r="FO310" t="e">
        <f>AND(#REF!,"AAAAAFxrnqo=")</f>
        <v>#REF!</v>
      </c>
      <c r="FP310" t="e">
        <f>AND(#REF!,"AAAAAFxrnqs=")</f>
        <v>#REF!</v>
      </c>
      <c r="FQ310" t="e">
        <f>AND(#REF!,"AAAAAFxrnqw=")</f>
        <v>#REF!</v>
      </c>
      <c r="FR310" t="e">
        <f>AND(#REF!,"AAAAAFxrnq0=")</f>
        <v>#REF!</v>
      </c>
      <c r="FS310" t="e">
        <f>AND(#REF!,"AAAAAFxrnq4=")</f>
        <v>#REF!</v>
      </c>
      <c r="FT310" t="e">
        <f>AND(#REF!,"AAAAAFxrnq8=")</f>
        <v>#REF!</v>
      </c>
      <c r="FU310" t="e">
        <f>AND(#REF!,"AAAAAFxrnrA=")</f>
        <v>#REF!</v>
      </c>
      <c r="FV310" t="e">
        <f>AND(#REF!,"AAAAAFxrnrE=")</f>
        <v>#REF!</v>
      </c>
      <c r="FW310" t="e">
        <f>AND(#REF!,"AAAAAFxrnrI=")</f>
        <v>#REF!</v>
      </c>
      <c r="FX310" t="e">
        <f>AND(#REF!,"AAAAAFxrnrM=")</f>
        <v>#REF!</v>
      </c>
      <c r="FY310" t="e">
        <f>AND(#REF!,"AAAAAFxrnrQ=")</f>
        <v>#REF!</v>
      </c>
      <c r="FZ310" t="e">
        <f>IF(#REF!,"AAAAAFxrnrU=",0)</f>
        <v>#REF!</v>
      </c>
      <c r="GA310" t="e">
        <f>AND(#REF!,"AAAAAFxrnrY=")</f>
        <v>#REF!</v>
      </c>
      <c r="GB310" t="e">
        <f>AND(#REF!,"AAAAAFxrnrc=")</f>
        <v>#REF!</v>
      </c>
      <c r="GC310" t="e">
        <f>AND(#REF!,"AAAAAFxrnrg=")</f>
        <v>#REF!</v>
      </c>
      <c r="GD310" t="e">
        <f>AND(#REF!,"AAAAAFxrnrk=")</f>
        <v>#REF!</v>
      </c>
      <c r="GE310" t="e">
        <f>AND(#REF!,"AAAAAFxrnro=")</f>
        <v>#REF!</v>
      </c>
      <c r="GF310" t="e">
        <f>AND(#REF!,"AAAAAFxrnrs=")</f>
        <v>#REF!</v>
      </c>
      <c r="GG310" t="e">
        <f>AND(#REF!,"AAAAAFxrnrw=")</f>
        <v>#REF!</v>
      </c>
      <c r="GH310" t="e">
        <f>AND(#REF!,"AAAAAFxrnr0=")</f>
        <v>#REF!</v>
      </c>
      <c r="GI310" t="e">
        <f>AND(#REF!,"AAAAAFxrnr4=")</f>
        <v>#REF!</v>
      </c>
      <c r="GJ310" t="e">
        <f>AND(#REF!,"AAAAAFxrnr8=")</f>
        <v>#REF!</v>
      </c>
      <c r="GK310" t="e">
        <f>AND(#REF!,"AAAAAFxrnsA=")</f>
        <v>#REF!</v>
      </c>
      <c r="GL310" t="e">
        <f>AND(#REF!,"AAAAAFxrnsE=")</f>
        <v>#REF!</v>
      </c>
      <c r="GM310" t="e">
        <f>AND(#REF!,"AAAAAFxrnsI=")</f>
        <v>#REF!</v>
      </c>
      <c r="GN310" t="e">
        <f>AND(#REF!,"AAAAAFxrnsM=")</f>
        <v>#REF!</v>
      </c>
      <c r="GO310" t="e">
        <f>AND(#REF!,"AAAAAFxrnsQ=")</f>
        <v>#REF!</v>
      </c>
      <c r="GP310" t="e">
        <f>AND(#REF!,"AAAAAFxrnsU=")</f>
        <v>#REF!</v>
      </c>
      <c r="GQ310" t="e">
        <f>AND(#REF!,"AAAAAFxrnsY=")</f>
        <v>#REF!</v>
      </c>
      <c r="GR310" t="e">
        <f>AND(#REF!,"AAAAAFxrnsc=")</f>
        <v>#REF!</v>
      </c>
      <c r="GS310" t="e">
        <f>AND(#REF!,"AAAAAFxrnsg=")</f>
        <v>#REF!</v>
      </c>
      <c r="GT310" t="e">
        <f>AND(#REF!,"AAAAAFxrnsk=")</f>
        <v>#REF!</v>
      </c>
      <c r="GU310" t="e">
        <f>AND(#REF!,"AAAAAFxrnso=")</f>
        <v>#REF!</v>
      </c>
      <c r="GV310" t="e">
        <f>AND(#REF!,"AAAAAFxrnss=")</f>
        <v>#REF!</v>
      </c>
      <c r="GW310" t="e">
        <f>AND(#REF!,"AAAAAFxrnsw=")</f>
        <v>#REF!</v>
      </c>
      <c r="GX310" t="e">
        <f>AND(#REF!,"AAAAAFxrns0=")</f>
        <v>#REF!</v>
      </c>
      <c r="GY310" t="e">
        <f>IF(#REF!,"AAAAAFxrns4=",0)</f>
        <v>#REF!</v>
      </c>
      <c r="GZ310" t="e">
        <f>AND(#REF!,"AAAAAFxrns8=")</f>
        <v>#REF!</v>
      </c>
      <c r="HA310" t="e">
        <f>AND(#REF!,"AAAAAFxrntA=")</f>
        <v>#REF!</v>
      </c>
      <c r="HB310" t="e">
        <f>AND(#REF!,"AAAAAFxrntE=")</f>
        <v>#REF!</v>
      </c>
      <c r="HC310" t="e">
        <f>AND(#REF!,"AAAAAFxrntI=")</f>
        <v>#REF!</v>
      </c>
      <c r="HD310" t="e">
        <f>AND(#REF!,"AAAAAFxrntM=")</f>
        <v>#REF!</v>
      </c>
      <c r="HE310" t="e">
        <f>AND(#REF!,"AAAAAFxrntQ=")</f>
        <v>#REF!</v>
      </c>
      <c r="HF310" t="e">
        <f>AND(#REF!,"AAAAAFxrntU=")</f>
        <v>#REF!</v>
      </c>
      <c r="HG310" t="e">
        <f>AND(#REF!,"AAAAAFxrntY=")</f>
        <v>#REF!</v>
      </c>
      <c r="HH310" t="e">
        <f>AND(#REF!,"AAAAAFxrntc=")</f>
        <v>#REF!</v>
      </c>
      <c r="HI310" t="e">
        <f>AND(#REF!,"AAAAAFxrntg=")</f>
        <v>#REF!</v>
      </c>
      <c r="HJ310" t="e">
        <f>AND(#REF!,"AAAAAFxrntk=")</f>
        <v>#REF!</v>
      </c>
      <c r="HK310" t="e">
        <f>AND(#REF!,"AAAAAFxrnto=")</f>
        <v>#REF!</v>
      </c>
      <c r="HL310" t="e">
        <f>AND(#REF!,"AAAAAFxrnts=")</f>
        <v>#REF!</v>
      </c>
      <c r="HM310" t="e">
        <f>AND(#REF!,"AAAAAFxrntw=")</f>
        <v>#REF!</v>
      </c>
      <c r="HN310" t="e">
        <f>AND(#REF!,"AAAAAFxrnt0=")</f>
        <v>#REF!</v>
      </c>
      <c r="HO310" t="e">
        <f>AND(#REF!,"AAAAAFxrnt4=")</f>
        <v>#REF!</v>
      </c>
      <c r="HP310" t="e">
        <f>AND(#REF!,"AAAAAFxrnt8=")</f>
        <v>#REF!</v>
      </c>
      <c r="HQ310" t="e">
        <f>AND(#REF!,"AAAAAFxrnuA=")</f>
        <v>#REF!</v>
      </c>
      <c r="HR310" t="e">
        <f>AND(#REF!,"AAAAAFxrnuE=")</f>
        <v>#REF!</v>
      </c>
      <c r="HS310" t="e">
        <f>AND(#REF!,"AAAAAFxrnuI=")</f>
        <v>#REF!</v>
      </c>
      <c r="HT310" t="e">
        <f>AND(#REF!,"AAAAAFxrnuM=")</f>
        <v>#REF!</v>
      </c>
      <c r="HU310" t="e">
        <f>AND(#REF!,"AAAAAFxrnuQ=")</f>
        <v>#REF!</v>
      </c>
      <c r="HV310" t="e">
        <f>AND(#REF!,"AAAAAFxrnuU=")</f>
        <v>#REF!</v>
      </c>
      <c r="HW310" t="e">
        <f>AND(#REF!,"AAAAAFxrnuY=")</f>
        <v>#REF!</v>
      </c>
      <c r="HX310" t="e">
        <f>IF(#REF!,"AAAAAFxrnuc=",0)</f>
        <v>#REF!</v>
      </c>
      <c r="HY310" t="e">
        <f>AND(#REF!,"AAAAAFxrnug=")</f>
        <v>#REF!</v>
      </c>
      <c r="HZ310" t="e">
        <f>AND(#REF!,"AAAAAFxrnuk=")</f>
        <v>#REF!</v>
      </c>
      <c r="IA310" t="e">
        <f>AND(#REF!,"AAAAAFxrnuo=")</f>
        <v>#REF!</v>
      </c>
      <c r="IB310" t="e">
        <f>AND(#REF!,"AAAAAFxrnus=")</f>
        <v>#REF!</v>
      </c>
      <c r="IC310" t="e">
        <f>AND(#REF!,"AAAAAFxrnuw=")</f>
        <v>#REF!</v>
      </c>
      <c r="ID310" t="e">
        <f>AND(#REF!,"AAAAAFxrnu0=")</f>
        <v>#REF!</v>
      </c>
      <c r="IE310" t="e">
        <f>AND(#REF!,"AAAAAFxrnu4=")</f>
        <v>#REF!</v>
      </c>
      <c r="IF310" t="e">
        <f>AND(#REF!,"AAAAAFxrnu8=")</f>
        <v>#REF!</v>
      </c>
      <c r="IG310" t="e">
        <f>AND(#REF!,"AAAAAFxrnvA=")</f>
        <v>#REF!</v>
      </c>
      <c r="IH310" t="e">
        <f>AND(#REF!,"AAAAAFxrnvE=")</f>
        <v>#REF!</v>
      </c>
      <c r="II310" t="e">
        <f>AND(#REF!,"AAAAAFxrnvI=")</f>
        <v>#REF!</v>
      </c>
      <c r="IJ310" t="e">
        <f>AND(#REF!,"AAAAAFxrnvM=")</f>
        <v>#REF!</v>
      </c>
      <c r="IK310" t="e">
        <f>AND(#REF!,"AAAAAFxrnvQ=")</f>
        <v>#REF!</v>
      </c>
      <c r="IL310" t="e">
        <f>AND(#REF!,"AAAAAFxrnvU=")</f>
        <v>#REF!</v>
      </c>
      <c r="IM310" t="e">
        <f>AND(#REF!,"AAAAAFxrnvY=")</f>
        <v>#REF!</v>
      </c>
      <c r="IN310" t="e">
        <f>AND(#REF!,"AAAAAFxrnvc=")</f>
        <v>#REF!</v>
      </c>
      <c r="IO310" t="e">
        <f>AND(#REF!,"AAAAAFxrnvg=")</f>
        <v>#REF!</v>
      </c>
      <c r="IP310" t="e">
        <f>AND(#REF!,"AAAAAFxrnvk=")</f>
        <v>#REF!</v>
      </c>
      <c r="IQ310" t="e">
        <f>AND(#REF!,"AAAAAFxrnvo=")</f>
        <v>#REF!</v>
      </c>
      <c r="IR310" t="e">
        <f>AND(#REF!,"AAAAAFxrnvs=")</f>
        <v>#REF!</v>
      </c>
      <c r="IS310" t="e">
        <f>AND(#REF!,"AAAAAFxrnvw=")</f>
        <v>#REF!</v>
      </c>
      <c r="IT310" t="e">
        <f>AND(#REF!,"AAAAAFxrnv0=")</f>
        <v>#REF!</v>
      </c>
      <c r="IU310" t="e">
        <f>AND(#REF!,"AAAAAFxrnv4=")</f>
        <v>#REF!</v>
      </c>
      <c r="IV310" t="e">
        <f>AND(#REF!,"AAAAAFxrnv8=")</f>
        <v>#REF!</v>
      </c>
    </row>
    <row r="311" spans="1:256">
      <c r="A311" t="e">
        <f>IF(#REF!,"AAAAAHVvfwA=",0)</f>
        <v>#REF!</v>
      </c>
      <c r="B311" t="e">
        <f>AND(#REF!,"AAAAAHVvfwE=")</f>
        <v>#REF!</v>
      </c>
      <c r="C311" t="e">
        <f>AND(#REF!,"AAAAAHVvfwI=")</f>
        <v>#REF!</v>
      </c>
      <c r="D311" t="e">
        <f>AND(#REF!,"AAAAAHVvfwM=")</f>
        <v>#REF!</v>
      </c>
      <c r="E311" t="e">
        <f>AND(#REF!,"AAAAAHVvfwQ=")</f>
        <v>#REF!</v>
      </c>
      <c r="F311" t="e">
        <f>AND(#REF!,"AAAAAHVvfwU=")</f>
        <v>#REF!</v>
      </c>
      <c r="G311" t="e">
        <f>AND(#REF!,"AAAAAHVvfwY=")</f>
        <v>#REF!</v>
      </c>
      <c r="H311" t="e">
        <f>AND(#REF!,"AAAAAHVvfwc=")</f>
        <v>#REF!</v>
      </c>
      <c r="I311" t="e">
        <f>AND(#REF!,"AAAAAHVvfwg=")</f>
        <v>#REF!</v>
      </c>
      <c r="J311" t="e">
        <f>AND(#REF!,"AAAAAHVvfwk=")</f>
        <v>#REF!</v>
      </c>
      <c r="K311" t="e">
        <f>AND(#REF!,"AAAAAHVvfwo=")</f>
        <v>#REF!</v>
      </c>
      <c r="L311" t="e">
        <f>AND(#REF!,"AAAAAHVvfws=")</f>
        <v>#REF!</v>
      </c>
      <c r="M311" t="e">
        <f>AND(#REF!,"AAAAAHVvfww=")</f>
        <v>#REF!</v>
      </c>
      <c r="N311" t="e">
        <f>AND(#REF!,"AAAAAHVvfw0=")</f>
        <v>#REF!</v>
      </c>
      <c r="O311" t="e">
        <f>AND(#REF!,"AAAAAHVvfw4=")</f>
        <v>#REF!</v>
      </c>
      <c r="P311" t="e">
        <f>AND(#REF!,"AAAAAHVvfw8=")</f>
        <v>#REF!</v>
      </c>
      <c r="Q311" t="e">
        <f>AND(#REF!,"AAAAAHVvfxA=")</f>
        <v>#REF!</v>
      </c>
      <c r="R311" t="e">
        <f>AND(#REF!,"AAAAAHVvfxE=")</f>
        <v>#REF!</v>
      </c>
      <c r="S311" t="e">
        <f>AND(#REF!,"AAAAAHVvfxI=")</f>
        <v>#REF!</v>
      </c>
      <c r="T311" t="e">
        <f>AND(#REF!,"AAAAAHVvfxM=")</f>
        <v>#REF!</v>
      </c>
      <c r="U311" t="e">
        <f>AND(#REF!,"AAAAAHVvfxQ=")</f>
        <v>#REF!</v>
      </c>
      <c r="V311" t="e">
        <f>AND(#REF!,"AAAAAHVvfxU=")</f>
        <v>#REF!</v>
      </c>
      <c r="W311" t="e">
        <f>AND(#REF!,"AAAAAHVvfxY=")</f>
        <v>#REF!</v>
      </c>
      <c r="X311" t="e">
        <f>AND(#REF!,"AAAAAHVvfxc=")</f>
        <v>#REF!</v>
      </c>
      <c r="Y311" t="e">
        <f>AND(#REF!,"AAAAAHVvfxg=")</f>
        <v>#REF!</v>
      </c>
      <c r="Z311" t="e">
        <f>IF(#REF!,"AAAAAHVvfxk=",0)</f>
        <v>#REF!</v>
      </c>
      <c r="AA311" t="e">
        <f>AND(#REF!,"AAAAAHVvfxo=")</f>
        <v>#REF!</v>
      </c>
      <c r="AB311" t="e">
        <f>AND(#REF!,"AAAAAHVvfxs=")</f>
        <v>#REF!</v>
      </c>
      <c r="AC311" t="e">
        <f>AND(#REF!,"AAAAAHVvfxw=")</f>
        <v>#REF!</v>
      </c>
      <c r="AD311" t="e">
        <f>AND(#REF!,"AAAAAHVvfx0=")</f>
        <v>#REF!</v>
      </c>
      <c r="AE311" t="e">
        <f>AND(#REF!,"AAAAAHVvfx4=")</f>
        <v>#REF!</v>
      </c>
      <c r="AF311" t="e">
        <f>AND(#REF!,"AAAAAHVvfx8=")</f>
        <v>#REF!</v>
      </c>
      <c r="AG311" t="e">
        <f>AND(#REF!,"AAAAAHVvfyA=")</f>
        <v>#REF!</v>
      </c>
      <c r="AH311" t="e">
        <f>AND(#REF!,"AAAAAHVvfyE=")</f>
        <v>#REF!</v>
      </c>
      <c r="AI311" t="e">
        <f>AND(#REF!,"AAAAAHVvfyI=")</f>
        <v>#REF!</v>
      </c>
      <c r="AJ311" t="e">
        <f>AND(#REF!,"AAAAAHVvfyM=")</f>
        <v>#REF!</v>
      </c>
      <c r="AK311" t="e">
        <f>AND(#REF!,"AAAAAHVvfyQ=")</f>
        <v>#REF!</v>
      </c>
      <c r="AL311" t="e">
        <f>AND(#REF!,"AAAAAHVvfyU=")</f>
        <v>#REF!</v>
      </c>
      <c r="AM311" t="e">
        <f>AND(#REF!,"AAAAAHVvfyY=")</f>
        <v>#REF!</v>
      </c>
      <c r="AN311" t="e">
        <f>AND(#REF!,"AAAAAHVvfyc=")</f>
        <v>#REF!</v>
      </c>
      <c r="AO311" t="e">
        <f>AND(#REF!,"AAAAAHVvfyg=")</f>
        <v>#REF!</v>
      </c>
      <c r="AP311" t="e">
        <f>AND(#REF!,"AAAAAHVvfyk=")</f>
        <v>#REF!</v>
      </c>
      <c r="AQ311" t="e">
        <f>AND(#REF!,"AAAAAHVvfyo=")</f>
        <v>#REF!</v>
      </c>
      <c r="AR311" t="e">
        <f>AND(#REF!,"AAAAAHVvfys=")</f>
        <v>#REF!</v>
      </c>
      <c r="AS311" t="e">
        <f>AND(#REF!,"AAAAAHVvfyw=")</f>
        <v>#REF!</v>
      </c>
      <c r="AT311" t="e">
        <f>AND(#REF!,"AAAAAHVvfy0=")</f>
        <v>#REF!</v>
      </c>
      <c r="AU311" t="e">
        <f>AND(#REF!,"AAAAAHVvfy4=")</f>
        <v>#REF!</v>
      </c>
      <c r="AV311" t="e">
        <f>AND(#REF!,"AAAAAHVvfy8=")</f>
        <v>#REF!</v>
      </c>
      <c r="AW311" t="e">
        <f>AND(#REF!,"AAAAAHVvfzA=")</f>
        <v>#REF!</v>
      </c>
      <c r="AX311" t="e">
        <f>AND(#REF!,"AAAAAHVvfzE=")</f>
        <v>#REF!</v>
      </c>
      <c r="AY311" t="e">
        <f>IF(#REF!,"AAAAAHVvfzI=",0)</f>
        <v>#REF!</v>
      </c>
      <c r="AZ311" t="e">
        <f>AND(#REF!,"AAAAAHVvfzM=")</f>
        <v>#REF!</v>
      </c>
      <c r="BA311" t="e">
        <f>AND(#REF!,"AAAAAHVvfzQ=")</f>
        <v>#REF!</v>
      </c>
      <c r="BB311" t="e">
        <f>AND(#REF!,"AAAAAHVvfzU=")</f>
        <v>#REF!</v>
      </c>
      <c r="BC311" t="e">
        <f>AND(#REF!,"AAAAAHVvfzY=")</f>
        <v>#REF!</v>
      </c>
      <c r="BD311" t="e">
        <f>AND(#REF!,"AAAAAHVvfzc=")</f>
        <v>#REF!</v>
      </c>
      <c r="BE311" t="e">
        <f>AND(#REF!,"AAAAAHVvfzg=")</f>
        <v>#REF!</v>
      </c>
      <c r="BF311" t="e">
        <f>AND(#REF!,"AAAAAHVvfzk=")</f>
        <v>#REF!</v>
      </c>
      <c r="BG311" t="e">
        <f>AND(#REF!,"AAAAAHVvfzo=")</f>
        <v>#REF!</v>
      </c>
      <c r="BH311" t="e">
        <f>AND(#REF!,"AAAAAHVvfzs=")</f>
        <v>#REF!</v>
      </c>
      <c r="BI311" t="e">
        <f>AND(#REF!,"AAAAAHVvfzw=")</f>
        <v>#REF!</v>
      </c>
      <c r="BJ311" t="e">
        <f>AND(#REF!,"AAAAAHVvfz0=")</f>
        <v>#REF!</v>
      </c>
      <c r="BK311" t="e">
        <f>AND(#REF!,"AAAAAHVvfz4=")</f>
        <v>#REF!</v>
      </c>
      <c r="BL311" t="e">
        <f>AND(#REF!,"AAAAAHVvfz8=")</f>
        <v>#REF!</v>
      </c>
      <c r="BM311" t="e">
        <f>AND(#REF!,"AAAAAHVvf0A=")</f>
        <v>#REF!</v>
      </c>
      <c r="BN311" t="e">
        <f>AND(#REF!,"AAAAAHVvf0E=")</f>
        <v>#REF!</v>
      </c>
      <c r="BO311" t="e">
        <f>AND(#REF!,"AAAAAHVvf0I=")</f>
        <v>#REF!</v>
      </c>
      <c r="BP311" t="e">
        <f>AND(#REF!,"AAAAAHVvf0M=")</f>
        <v>#REF!</v>
      </c>
      <c r="BQ311" t="e">
        <f>AND(#REF!,"AAAAAHVvf0Q=")</f>
        <v>#REF!</v>
      </c>
      <c r="BR311" t="e">
        <f>AND(#REF!,"AAAAAHVvf0U=")</f>
        <v>#REF!</v>
      </c>
      <c r="BS311" t="e">
        <f>AND(#REF!,"AAAAAHVvf0Y=")</f>
        <v>#REF!</v>
      </c>
      <c r="BT311" t="e">
        <f>AND(#REF!,"AAAAAHVvf0c=")</f>
        <v>#REF!</v>
      </c>
      <c r="BU311" t="e">
        <f>AND(#REF!,"AAAAAHVvf0g=")</f>
        <v>#REF!</v>
      </c>
      <c r="BV311" t="e">
        <f>AND(#REF!,"AAAAAHVvf0k=")</f>
        <v>#REF!</v>
      </c>
      <c r="BW311" t="e">
        <f>AND(#REF!,"AAAAAHVvf0o=")</f>
        <v>#REF!</v>
      </c>
      <c r="BX311" t="e">
        <f>IF(#REF!,"AAAAAHVvf0s=",0)</f>
        <v>#REF!</v>
      </c>
      <c r="BY311" t="e">
        <f>AND(#REF!,"AAAAAHVvf0w=")</f>
        <v>#REF!</v>
      </c>
      <c r="BZ311" t="e">
        <f>AND(#REF!,"AAAAAHVvf00=")</f>
        <v>#REF!</v>
      </c>
      <c r="CA311" t="e">
        <f>AND(#REF!,"AAAAAHVvf04=")</f>
        <v>#REF!</v>
      </c>
      <c r="CB311" t="e">
        <f>AND(#REF!,"AAAAAHVvf08=")</f>
        <v>#REF!</v>
      </c>
      <c r="CC311" t="e">
        <f>AND(#REF!,"AAAAAHVvf1A=")</f>
        <v>#REF!</v>
      </c>
      <c r="CD311" t="e">
        <f>AND(#REF!,"AAAAAHVvf1E=")</f>
        <v>#REF!</v>
      </c>
      <c r="CE311" t="e">
        <f>AND(#REF!,"AAAAAHVvf1I=")</f>
        <v>#REF!</v>
      </c>
      <c r="CF311" t="e">
        <f>AND(#REF!,"AAAAAHVvf1M=")</f>
        <v>#REF!</v>
      </c>
      <c r="CG311" t="e">
        <f>AND(#REF!,"AAAAAHVvf1Q=")</f>
        <v>#REF!</v>
      </c>
      <c r="CH311" t="e">
        <f>AND(#REF!,"AAAAAHVvf1U=")</f>
        <v>#REF!</v>
      </c>
      <c r="CI311" t="e">
        <f>AND(#REF!,"AAAAAHVvf1Y=")</f>
        <v>#REF!</v>
      </c>
      <c r="CJ311" t="e">
        <f>AND(#REF!,"AAAAAHVvf1c=")</f>
        <v>#REF!</v>
      </c>
      <c r="CK311" t="e">
        <f>AND(#REF!,"AAAAAHVvf1g=")</f>
        <v>#REF!</v>
      </c>
      <c r="CL311" t="e">
        <f>AND(#REF!,"AAAAAHVvf1k=")</f>
        <v>#REF!</v>
      </c>
      <c r="CM311" t="e">
        <f>AND(#REF!,"AAAAAHVvf1o=")</f>
        <v>#REF!</v>
      </c>
      <c r="CN311" t="e">
        <f>AND(#REF!,"AAAAAHVvf1s=")</f>
        <v>#REF!</v>
      </c>
      <c r="CO311" t="e">
        <f>AND(#REF!,"AAAAAHVvf1w=")</f>
        <v>#REF!</v>
      </c>
      <c r="CP311" t="e">
        <f>AND(#REF!,"AAAAAHVvf10=")</f>
        <v>#REF!</v>
      </c>
      <c r="CQ311" t="e">
        <f>AND(#REF!,"AAAAAHVvf14=")</f>
        <v>#REF!</v>
      </c>
      <c r="CR311" t="e">
        <f>AND(#REF!,"AAAAAHVvf18=")</f>
        <v>#REF!</v>
      </c>
      <c r="CS311" t="e">
        <f>AND(#REF!,"AAAAAHVvf2A=")</f>
        <v>#REF!</v>
      </c>
      <c r="CT311" t="e">
        <f>AND(#REF!,"AAAAAHVvf2E=")</f>
        <v>#REF!</v>
      </c>
      <c r="CU311" t="e">
        <f>AND(#REF!,"AAAAAHVvf2I=")</f>
        <v>#REF!</v>
      </c>
      <c r="CV311" t="e">
        <f>AND(#REF!,"AAAAAHVvf2M=")</f>
        <v>#REF!</v>
      </c>
      <c r="CW311" t="e">
        <f>IF(#REF!,"AAAAAHVvf2Q=",0)</f>
        <v>#REF!</v>
      </c>
      <c r="CX311" t="e">
        <f>AND(#REF!,"AAAAAHVvf2U=")</f>
        <v>#REF!</v>
      </c>
      <c r="CY311" t="e">
        <f>AND(#REF!,"AAAAAHVvf2Y=")</f>
        <v>#REF!</v>
      </c>
      <c r="CZ311" t="e">
        <f>AND(#REF!,"AAAAAHVvf2c=")</f>
        <v>#REF!</v>
      </c>
      <c r="DA311" t="e">
        <f>AND(#REF!,"AAAAAHVvf2g=")</f>
        <v>#REF!</v>
      </c>
      <c r="DB311" t="e">
        <f>AND(#REF!,"AAAAAHVvf2k=")</f>
        <v>#REF!</v>
      </c>
      <c r="DC311" t="e">
        <f>AND(#REF!,"AAAAAHVvf2o=")</f>
        <v>#REF!</v>
      </c>
      <c r="DD311" t="e">
        <f>AND(#REF!,"AAAAAHVvf2s=")</f>
        <v>#REF!</v>
      </c>
      <c r="DE311" t="e">
        <f>AND(#REF!,"AAAAAHVvf2w=")</f>
        <v>#REF!</v>
      </c>
      <c r="DF311" t="e">
        <f>AND(#REF!,"AAAAAHVvf20=")</f>
        <v>#REF!</v>
      </c>
      <c r="DG311" t="e">
        <f>AND(#REF!,"AAAAAHVvf24=")</f>
        <v>#REF!</v>
      </c>
      <c r="DH311" t="e">
        <f>AND(#REF!,"AAAAAHVvf28=")</f>
        <v>#REF!</v>
      </c>
      <c r="DI311" t="e">
        <f>AND(#REF!,"AAAAAHVvf3A=")</f>
        <v>#REF!</v>
      </c>
      <c r="DJ311" t="e">
        <f>AND(#REF!,"AAAAAHVvf3E=")</f>
        <v>#REF!</v>
      </c>
      <c r="DK311" t="e">
        <f>AND(#REF!,"AAAAAHVvf3I=")</f>
        <v>#REF!</v>
      </c>
      <c r="DL311" t="e">
        <f>AND(#REF!,"AAAAAHVvf3M=")</f>
        <v>#REF!</v>
      </c>
      <c r="DM311" t="e">
        <f>AND(#REF!,"AAAAAHVvf3Q=")</f>
        <v>#REF!</v>
      </c>
      <c r="DN311" t="e">
        <f>AND(#REF!,"AAAAAHVvf3U=")</f>
        <v>#REF!</v>
      </c>
      <c r="DO311" t="e">
        <f>AND(#REF!,"AAAAAHVvf3Y=")</f>
        <v>#REF!</v>
      </c>
      <c r="DP311" t="e">
        <f>AND(#REF!,"AAAAAHVvf3c=")</f>
        <v>#REF!</v>
      </c>
      <c r="DQ311" t="e">
        <f>AND(#REF!,"AAAAAHVvf3g=")</f>
        <v>#REF!</v>
      </c>
      <c r="DR311" t="e">
        <f>AND(#REF!,"AAAAAHVvf3k=")</f>
        <v>#REF!</v>
      </c>
      <c r="DS311" t="e">
        <f>AND(#REF!,"AAAAAHVvf3o=")</f>
        <v>#REF!</v>
      </c>
      <c r="DT311" t="e">
        <f>AND(#REF!,"AAAAAHVvf3s=")</f>
        <v>#REF!</v>
      </c>
      <c r="DU311" t="e">
        <f>AND(#REF!,"AAAAAHVvf3w=")</f>
        <v>#REF!</v>
      </c>
      <c r="DV311" t="e">
        <f>IF(#REF!,"AAAAAHVvf30=",0)</f>
        <v>#REF!</v>
      </c>
      <c r="DW311" t="e">
        <f>AND(#REF!,"AAAAAHVvf34=")</f>
        <v>#REF!</v>
      </c>
      <c r="DX311" t="e">
        <f>AND(#REF!,"AAAAAHVvf38=")</f>
        <v>#REF!</v>
      </c>
      <c r="DY311" t="e">
        <f>AND(#REF!,"AAAAAHVvf4A=")</f>
        <v>#REF!</v>
      </c>
      <c r="DZ311" t="e">
        <f>AND(#REF!,"AAAAAHVvf4E=")</f>
        <v>#REF!</v>
      </c>
      <c r="EA311" t="e">
        <f>AND(#REF!,"AAAAAHVvf4I=")</f>
        <v>#REF!</v>
      </c>
      <c r="EB311" t="e">
        <f>AND(#REF!,"AAAAAHVvf4M=")</f>
        <v>#REF!</v>
      </c>
      <c r="EC311" t="e">
        <f>AND(#REF!,"AAAAAHVvf4Q=")</f>
        <v>#REF!</v>
      </c>
      <c r="ED311" t="e">
        <f>AND(#REF!,"AAAAAHVvf4U=")</f>
        <v>#REF!</v>
      </c>
      <c r="EE311" t="e">
        <f>AND(#REF!,"AAAAAHVvf4Y=")</f>
        <v>#REF!</v>
      </c>
      <c r="EF311" t="e">
        <f>AND(#REF!,"AAAAAHVvf4c=")</f>
        <v>#REF!</v>
      </c>
      <c r="EG311" t="e">
        <f>AND(#REF!,"AAAAAHVvf4g=")</f>
        <v>#REF!</v>
      </c>
      <c r="EH311" t="e">
        <f>AND(#REF!,"AAAAAHVvf4k=")</f>
        <v>#REF!</v>
      </c>
      <c r="EI311" t="e">
        <f>AND(#REF!,"AAAAAHVvf4o=")</f>
        <v>#REF!</v>
      </c>
      <c r="EJ311" t="e">
        <f>AND(#REF!,"AAAAAHVvf4s=")</f>
        <v>#REF!</v>
      </c>
      <c r="EK311" t="e">
        <f>AND(#REF!,"AAAAAHVvf4w=")</f>
        <v>#REF!</v>
      </c>
      <c r="EL311" t="e">
        <f>AND(#REF!,"AAAAAHVvf40=")</f>
        <v>#REF!</v>
      </c>
      <c r="EM311" t="e">
        <f>AND(#REF!,"AAAAAHVvf44=")</f>
        <v>#REF!</v>
      </c>
      <c r="EN311" t="e">
        <f>AND(#REF!,"AAAAAHVvf48=")</f>
        <v>#REF!</v>
      </c>
      <c r="EO311" t="e">
        <f>AND(#REF!,"AAAAAHVvf5A=")</f>
        <v>#REF!</v>
      </c>
      <c r="EP311" t="e">
        <f>AND(#REF!,"AAAAAHVvf5E=")</f>
        <v>#REF!</v>
      </c>
      <c r="EQ311" t="e">
        <f>AND(#REF!,"AAAAAHVvf5I=")</f>
        <v>#REF!</v>
      </c>
      <c r="ER311" t="e">
        <f>AND(#REF!,"AAAAAHVvf5M=")</f>
        <v>#REF!</v>
      </c>
      <c r="ES311" t="e">
        <f>AND(#REF!,"AAAAAHVvf5Q=")</f>
        <v>#REF!</v>
      </c>
      <c r="ET311" t="e">
        <f>AND(#REF!,"AAAAAHVvf5U=")</f>
        <v>#REF!</v>
      </c>
      <c r="EU311" t="e">
        <f>IF(#REF!,"AAAAAHVvf5Y=",0)</f>
        <v>#REF!</v>
      </c>
      <c r="EV311" t="e">
        <f>AND(#REF!,"AAAAAHVvf5c=")</f>
        <v>#REF!</v>
      </c>
      <c r="EW311" t="e">
        <f>AND(#REF!,"AAAAAHVvf5g=")</f>
        <v>#REF!</v>
      </c>
      <c r="EX311" t="e">
        <f>AND(#REF!,"AAAAAHVvf5k=")</f>
        <v>#REF!</v>
      </c>
      <c r="EY311" t="e">
        <f>AND(#REF!,"AAAAAHVvf5o=")</f>
        <v>#REF!</v>
      </c>
      <c r="EZ311" t="e">
        <f>AND(#REF!,"AAAAAHVvf5s=")</f>
        <v>#REF!</v>
      </c>
      <c r="FA311" t="e">
        <f>AND(#REF!,"AAAAAHVvf5w=")</f>
        <v>#REF!</v>
      </c>
      <c r="FB311" t="e">
        <f>AND(#REF!,"AAAAAHVvf50=")</f>
        <v>#REF!</v>
      </c>
      <c r="FC311" t="e">
        <f>AND(#REF!,"AAAAAHVvf54=")</f>
        <v>#REF!</v>
      </c>
      <c r="FD311" t="e">
        <f>AND(#REF!,"AAAAAHVvf58=")</f>
        <v>#REF!</v>
      </c>
      <c r="FE311" t="e">
        <f>AND(#REF!,"AAAAAHVvf6A=")</f>
        <v>#REF!</v>
      </c>
      <c r="FF311" t="e">
        <f>AND(#REF!,"AAAAAHVvf6E=")</f>
        <v>#REF!</v>
      </c>
      <c r="FG311" t="e">
        <f>AND(#REF!,"AAAAAHVvf6I=")</f>
        <v>#REF!</v>
      </c>
      <c r="FH311" t="e">
        <f>AND(#REF!,"AAAAAHVvf6M=")</f>
        <v>#REF!</v>
      </c>
      <c r="FI311" t="e">
        <f>AND(#REF!,"AAAAAHVvf6Q=")</f>
        <v>#REF!</v>
      </c>
      <c r="FJ311" t="e">
        <f>AND(#REF!,"AAAAAHVvf6U=")</f>
        <v>#REF!</v>
      </c>
      <c r="FK311" t="e">
        <f>AND(#REF!,"AAAAAHVvf6Y=")</f>
        <v>#REF!</v>
      </c>
      <c r="FL311" t="e">
        <f>AND(#REF!,"AAAAAHVvf6c=")</f>
        <v>#REF!</v>
      </c>
      <c r="FM311" t="e">
        <f>AND(#REF!,"AAAAAHVvf6g=")</f>
        <v>#REF!</v>
      </c>
      <c r="FN311" t="e">
        <f>AND(#REF!,"AAAAAHVvf6k=")</f>
        <v>#REF!</v>
      </c>
      <c r="FO311" t="e">
        <f>AND(#REF!,"AAAAAHVvf6o=")</f>
        <v>#REF!</v>
      </c>
      <c r="FP311" t="e">
        <f>AND(#REF!,"AAAAAHVvf6s=")</f>
        <v>#REF!</v>
      </c>
      <c r="FQ311" t="e">
        <f>AND(#REF!,"AAAAAHVvf6w=")</f>
        <v>#REF!</v>
      </c>
      <c r="FR311" t="e">
        <f>AND(#REF!,"AAAAAHVvf60=")</f>
        <v>#REF!</v>
      </c>
      <c r="FS311" t="e">
        <f>AND(#REF!,"AAAAAHVvf64=")</f>
        <v>#REF!</v>
      </c>
      <c r="FT311" t="e">
        <f>IF(#REF!,"AAAAAHVvf68=",0)</f>
        <v>#REF!</v>
      </c>
      <c r="FU311" t="e">
        <f>AND(#REF!,"AAAAAHVvf7A=")</f>
        <v>#REF!</v>
      </c>
      <c r="FV311" t="e">
        <f>AND(#REF!,"AAAAAHVvf7E=")</f>
        <v>#REF!</v>
      </c>
      <c r="FW311" t="e">
        <f>AND(#REF!,"AAAAAHVvf7I=")</f>
        <v>#REF!</v>
      </c>
      <c r="FX311" t="e">
        <f>AND(#REF!,"AAAAAHVvf7M=")</f>
        <v>#REF!</v>
      </c>
      <c r="FY311" t="e">
        <f>AND(#REF!,"AAAAAHVvf7Q=")</f>
        <v>#REF!</v>
      </c>
      <c r="FZ311" t="e">
        <f>AND(#REF!,"AAAAAHVvf7U=")</f>
        <v>#REF!</v>
      </c>
      <c r="GA311" t="e">
        <f>AND(#REF!,"AAAAAHVvf7Y=")</f>
        <v>#REF!</v>
      </c>
      <c r="GB311" t="e">
        <f>AND(#REF!,"AAAAAHVvf7c=")</f>
        <v>#REF!</v>
      </c>
      <c r="GC311" t="e">
        <f>AND(#REF!,"AAAAAHVvf7g=")</f>
        <v>#REF!</v>
      </c>
      <c r="GD311" t="e">
        <f>AND(#REF!,"AAAAAHVvf7k=")</f>
        <v>#REF!</v>
      </c>
      <c r="GE311" t="e">
        <f>AND(#REF!,"AAAAAHVvf7o=")</f>
        <v>#REF!</v>
      </c>
      <c r="GF311" t="e">
        <f>AND(#REF!,"AAAAAHVvf7s=")</f>
        <v>#REF!</v>
      </c>
      <c r="GG311" t="e">
        <f>AND(#REF!,"AAAAAHVvf7w=")</f>
        <v>#REF!</v>
      </c>
      <c r="GH311" t="e">
        <f>AND(#REF!,"AAAAAHVvf70=")</f>
        <v>#REF!</v>
      </c>
      <c r="GI311" t="e">
        <f>AND(#REF!,"AAAAAHVvf74=")</f>
        <v>#REF!</v>
      </c>
      <c r="GJ311" t="e">
        <f>AND(#REF!,"AAAAAHVvf78=")</f>
        <v>#REF!</v>
      </c>
      <c r="GK311" t="e">
        <f>AND(#REF!,"AAAAAHVvf8A=")</f>
        <v>#REF!</v>
      </c>
      <c r="GL311" t="e">
        <f>AND(#REF!,"AAAAAHVvf8E=")</f>
        <v>#REF!</v>
      </c>
      <c r="GM311" t="e">
        <f>AND(#REF!,"AAAAAHVvf8I=")</f>
        <v>#REF!</v>
      </c>
      <c r="GN311" t="e">
        <f>AND(#REF!,"AAAAAHVvf8M=")</f>
        <v>#REF!</v>
      </c>
      <c r="GO311" t="e">
        <f>AND(#REF!,"AAAAAHVvf8Q=")</f>
        <v>#REF!</v>
      </c>
      <c r="GP311" t="e">
        <f>AND(#REF!,"AAAAAHVvf8U=")</f>
        <v>#REF!</v>
      </c>
      <c r="GQ311" t="e">
        <f>AND(#REF!,"AAAAAHVvf8Y=")</f>
        <v>#REF!</v>
      </c>
      <c r="GR311" t="e">
        <f>AND(#REF!,"AAAAAHVvf8c=")</f>
        <v>#REF!</v>
      </c>
      <c r="GS311" t="e">
        <f>IF(#REF!,"AAAAAHVvf8g=",0)</f>
        <v>#REF!</v>
      </c>
      <c r="GT311" t="e">
        <f>AND(#REF!,"AAAAAHVvf8k=")</f>
        <v>#REF!</v>
      </c>
      <c r="GU311" t="e">
        <f>AND(#REF!,"AAAAAHVvf8o=")</f>
        <v>#REF!</v>
      </c>
      <c r="GV311" t="e">
        <f>AND(#REF!,"AAAAAHVvf8s=")</f>
        <v>#REF!</v>
      </c>
      <c r="GW311" t="e">
        <f>AND(#REF!,"AAAAAHVvf8w=")</f>
        <v>#REF!</v>
      </c>
      <c r="GX311" t="e">
        <f>AND(#REF!,"AAAAAHVvf80=")</f>
        <v>#REF!</v>
      </c>
      <c r="GY311" t="e">
        <f>AND(#REF!,"AAAAAHVvf84=")</f>
        <v>#REF!</v>
      </c>
      <c r="GZ311" t="e">
        <f>AND(#REF!,"AAAAAHVvf88=")</f>
        <v>#REF!</v>
      </c>
      <c r="HA311" t="e">
        <f>AND(#REF!,"AAAAAHVvf9A=")</f>
        <v>#REF!</v>
      </c>
      <c r="HB311" t="e">
        <f>AND(#REF!,"AAAAAHVvf9E=")</f>
        <v>#REF!</v>
      </c>
      <c r="HC311" t="e">
        <f>AND(#REF!,"AAAAAHVvf9I=")</f>
        <v>#REF!</v>
      </c>
      <c r="HD311" t="e">
        <f>AND(#REF!,"AAAAAHVvf9M=")</f>
        <v>#REF!</v>
      </c>
      <c r="HE311" t="e">
        <f>AND(#REF!,"AAAAAHVvf9Q=")</f>
        <v>#REF!</v>
      </c>
      <c r="HF311" t="e">
        <f>AND(#REF!,"AAAAAHVvf9U=")</f>
        <v>#REF!</v>
      </c>
      <c r="HG311" t="e">
        <f>AND(#REF!,"AAAAAHVvf9Y=")</f>
        <v>#REF!</v>
      </c>
      <c r="HH311" t="e">
        <f>AND(#REF!,"AAAAAHVvf9c=")</f>
        <v>#REF!</v>
      </c>
      <c r="HI311" t="e">
        <f>AND(#REF!,"AAAAAHVvf9g=")</f>
        <v>#REF!</v>
      </c>
      <c r="HJ311" t="e">
        <f>AND(#REF!,"AAAAAHVvf9k=")</f>
        <v>#REF!</v>
      </c>
      <c r="HK311" t="e">
        <f>AND(#REF!,"AAAAAHVvf9o=")</f>
        <v>#REF!</v>
      </c>
      <c r="HL311" t="e">
        <f>AND(#REF!,"AAAAAHVvf9s=")</f>
        <v>#REF!</v>
      </c>
      <c r="HM311" t="e">
        <f>AND(#REF!,"AAAAAHVvf9w=")</f>
        <v>#REF!</v>
      </c>
      <c r="HN311" t="e">
        <f>AND(#REF!,"AAAAAHVvf90=")</f>
        <v>#REF!</v>
      </c>
      <c r="HO311" t="e">
        <f>AND(#REF!,"AAAAAHVvf94=")</f>
        <v>#REF!</v>
      </c>
      <c r="HP311" t="e">
        <f>AND(#REF!,"AAAAAHVvf98=")</f>
        <v>#REF!</v>
      </c>
      <c r="HQ311" t="e">
        <f>AND(#REF!,"AAAAAHVvf+A=")</f>
        <v>#REF!</v>
      </c>
      <c r="HR311" t="e">
        <f>IF(#REF!,"AAAAAHVvf+E=",0)</f>
        <v>#REF!</v>
      </c>
      <c r="HS311" t="e">
        <f>AND(#REF!,"AAAAAHVvf+I=")</f>
        <v>#REF!</v>
      </c>
      <c r="HT311" t="e">
        <f>AND(#REF!,"AAAAAHVvf+M=")</f>
        <v>#REF!</v>
      </c>
      <c r="HU311" t="e">
        <f>AND(#REF!,"AAAAAHVvf+Q=")</f>
        <v>#REF!</v>
      </c>
      <c r="HV311" t="e">
        <f>AND(#REF!,"AAAAAHVvf+U=")</f>
        <v>#REF!</v>
      </c>
      <c r="HW311" t="e">
        <f>AND(#REF!,"AAAAAHVvf+Y=")</f>
        <v>#REF!</v>
      </c>
      <c r="HX311" t="e">
        <f>AND(#REF!,"AAAAAHVvf+c=")</f>
        <v>#REF!</v>
      </c>
      <c r="HY311" t="e">
        <f>AND(#REF!,"AAAAAHVvf+g=")</f>
        <v>#REF!</v>
      </c>
      <c r="HZ311" t="e">
        <f>AND(#REF!,"AAAAAHVvf+k=")</f>
        <v>#REF!</v>
      </c>
      <c r="IA311" t="e">
        <f>AND(#REF!,"AAAAAHVvf+o=")</f>
        <v>#REF!</v>
      </c>
      <c r="IB311" t="e">
        <f>AND(#REF!,"AAAAAHVvf+s=")</f>
        <v>#REF!</v>
      </c>
      <c r="IC311" t="e">
        <f>AND(#REF!,"AAAAAHVvf+w=")</f>
        <v>#REF!</v>
      </c>
      <c r="ID311" t="e">
        <f>AND(#REF!,"AAAAAHVvf+0=")</f>
        <v>#REF!</v>
      </c>
      <c r="IE311" t="e">
        <f>AND(#REF!,"AAAAAHVvf+4=")</f>
        <v>#REF!</v>
      </c>
      <c r="IF311" t="e">
        <f>AND(#REF!,"AAAAAHVvf+8=")</f>
        <v>#REF!</v>
      </c>
      <c r="IG311" t="e">
        <f>AND(#REF!,"AAAAAHVvf/A=")</f>
        <v>#REF!</v>
      </c>
      <c r="IH311" t="e">
        <f>AND(#REF!,"AAAAAHVvf/E=")</f>
        <v>#REF!</v>
      </c>
      <c r="II311" t="e">
        <f>AND(#REF!,"AAAAAHVvf/I=")</f>
        <v>#REF!</v>
      </c>
      <c r="IJ311" t="e">
        <f>AND(#REF!,"AAAAAHVvf/M=")</f>
        <v>#REF!</v>
      </c>
      <c r="IK311" t="e">
        <f>AND(#REF!,"AAAAAHVvf/Q=")</f>
        <v>#REF!</v>
      </c>
      <c r="IL311" t="e">
        <f>AND(#REF!,"AAAAAHVvf/U=")</f>
        <v>#REF!</v>
      </c>
      <c r="IM311" t="e">
        <f>AND(#REF!,"AAAAAHVvf/Y=")</f>
        <v>#REF!</v>
      </c>
      <c r="IN311" t="e">
        <f>AND(#REF!,"AAAAAHVvf/c=")</f>
        <v>#REF!</v>
      </c>
      <c r="IO311" t="e">
        <f>AND(#REF!,"AAAAAHVvf/g=")</f>
        <v>#REF!</v>
      </c>
      <c r="IP311" t="e">
        <f>AND(#REF!,"AAAAAHVvf/k=")</f>
        <v>#REF!</v>
      </c>
      <c r="IQ311" t="e">
        <f>IF(#REF!,"AAAAAHVvf/o=",0)</f>
        <v>#REF!</v>
      </c>
      <c r="IR311" t="e">
        <f>AND(#REF!,"AAAAAHVvf/s=")</f>
        <v>#REF!</v>
      </c>
      <c r="IS311" t="e">
        <f>AND(#REF!,"AAAAAHVvf/w=")</f>
        <v>#REF!</v>
      </c>
      <c r="IT311" t="e">
        <f>AND(#REF!,"AAAAAHVvf/0=")</f>
        <v>#REF!</v>
      </c>
      <c r="IU311" t="e">
        <f>AND(#REF!,"AAAAAHVvf/4=")</f>
        <v>#REF!</v>
      </c>
      <c r="IV311" t="e">
        <f>AND(#REF!,"AAAAAHVvf/8=")</f>
        <v>#REF!</v>
      </c>
    </row>
    <row r="312" spans="1:256">
      <c r="A312" t="e">
        <f>AND(#REF!,"AAAAAH771gA=")</f>
        <v>#REF!</v>
      </c>
      <c r="B312" t="e">
        <f>AND(#REF!,"AAAAAH771gE=")</f>
        <v>#REF!</v>
      </c>
      <c r="C312" t="e">
        <f>AND(#REF!,"AAAAAH771gI=")</f>
        <v>#REF!</v>
      </c>
      <c r="D312" t="e">
        <f>AND(#REF!,"AAAAAH771gM=")</f>
        <v>#REF!</v>
      </c>
      <c r="E312" t="e">
        <f>AND(#REF!,"AAAAAH771gQ=")</f>
        <v>#REF!</v>
      </c>
      <c r="F312" t="e">
        <f>AND(#REF!,"AAAAAH771gU=")</f>
        <v>#REF!</v>
      </c>
      <c r="G312" t="e">
        <f>AND(#REF!,"AAAAAH771gY=")</f>
        <v>#REF!</v>
      </c>
      <c r="H312" t="e">
        <f>AND(#REF!,"AAAAAH771gc=")</f>
        <v>#REF!</v>
      </c>
      <c r="I312" t="e">
        <f>AND(#REF!,"AAAAAH771gg=")</f>
        <v>#REF!</v>
      </c>
      <c r="J312" t="e">
        <f>AND(#REF!,"AAAAAH771gk=")</f>
        <v>#REF!</v>
      </c>
      <c r="K312" t="e">
        <f>AND(#REF!,"AAAAAH771go=")</f>
        <v>#REF!</v>
      </c>
      <c r="L312" t="e">
        <f>AND(#REF!,"AAAAAH771gs=")</f>
        <v>#REF!</v>
      </c>
      <c r="M312" t="e">
        <f>AND(#REF!,"AAAAAH771gw=")</f>
        <v>#REF!</v>
      </c>
      <c r="N312" t="e">
        <f>AND(#REF!,"AAAAAH771g0=")</f>
        <v>#REF!</v>
      </c>
      <c r="O312" t="e">
        <f>AND(#REF!,"AAAAAH771g4=")</f>
        <v>#REF!</v>
      </c>
      <c r="P312" t="e">
        <f>AND(#REF!,"AAAAAH771g8=")</f>
        <v>#REF!</v>
      </c>
      <c r="Q312" t="e">
        <f>AND(#REF!,"AAAAAH771hA=")</f>
        <v>#REF!</v>
      </c>
      <c r="R312" t="e">
        <f>AND(#REF!,"AAAAAH771hE=")</f>
        <v>#REF!</v>
      </c>
      <c r="S312" t="e">
        <f>AND(#REF!,"AAAAAH771hI=")</f>
        <v>#REF!</v>
      </c>
      <c r="T312" t="e">
        <f>IF(#REF!,"AAAAAH771hM=",0)</f>
        <v>#REF!</v>
      </c>
      <c r="U312" t="e">
        <f>AND(#REF!,"AAAAAH771hQ=")</f>
        <v>#REF!</v>
      </c>
      <c r="V312" t="e">
        <f>AND(#REF!,"AAAAAH771hU=")</f>
        <v>#REF!</v>
      </c>
      <c r="W312" t="e">
        <f>AND(#REF!,"AAAAAH771hY=")</f>
        <v>#REF!</v>
      </c>
      <c r="X312" t="e">
        <f>AND(#REF!,"AAAAAH771hc=")</f>
        <v>#REF!</v>
      </c>
      <c r="Y312" t="e">
        <f>AND(#REF!,"AAAAAH771hg=")</f>
        <v>#REF!</v>
      </c>
      <c r="Z312" t="e">
        <f>AND(#REF!,"AAAAAH771hk=")</f>
        <v>#REF!</v>
      </c>
      <c r="AA312" t="e">
        <f>AND(#REF!,"AAAAAH771ho=")</f>
        <v>#REF!</v>
      </c>
      <c r="AB312" t="e">
        <f>AND(#REF!,"AAAAAH771hs=")</f>
        <v>#REF!</v>
      </c>
      <c r="AC312" t="e">
        <f>AND(#REF!,"AAAAAH771hw=")</f>
        <v>#REF!</v>
      </c>
      <c r="AD312" t="e">
        <f>AND(#REF!,"AAAAAH771h0=")</f>
        <v>#REF!</v>
      </c>
      <c r="AE312" t="e">
        <f>AND(#REF!,"AAAAAH771h4=")</f>
        <v>#REF!</v>
      </c>
      <c r="AF312" t="e">
        <f>AND(#REF!,"AAAAAH771h8=")</f>
        <v>#REF!</v>
      </c>
      <c r="AG312" t="e">
        <f>AND(#REF!,"AAAAAH771iA=")</f>
        <v>#REF!</v>
      </c>
      <c r="AH312" t="e">
        <f>AND(#REF!,"AAAAAH771iE=")</f>
        <v>#REF!</v>
      </c>
      <c r="AI312" t="e">
        <f>AND(#REF!,"AAAAAH771iI=")</f>
        <v>#REF!</v>
      </c>
      <c r="AJ312" t="e">
        <f>AND(#REF!,"AAAAAH771iM=")</f>
        <v>#REF!</v>
      </c>
      <c r="AK312" t="e">
        <f>AND(#REF!,"AAAAAH771iQ=")</f>
        <v>#REF!</v>
      </c>
      <c r="AL312" t="e">
        <f>AND(#REF!,"AAAAAH771iU=")</f>
        <v>#REF!</v>
      </c>
      <c r="AM312" t="e">
        <f>AND(#REF!,"AAAAAH771iY=")</f>
        <v>#REF!</v>
      </c>
      <c r="AN312" t="e">
        <f>AND(#REF!,"AAAAAH771ic=")</f>
        <v>#REF!</v>
      </c>
      <c r="AO312" t="e">
        <f>AND(#REF!,"AAAAAH771ig=")</f>
        <v>#REF!</v>
      </c>
      <c r="AP312" t="e">
        <f>AND(#REF!,"AAAAAH771ik=")</f>
        <v>#REF!</v>
      </c>
      <c r="AQ312" t="e">
        <f>AND(#REF!,"AAAAAH771io=")</f>
        <v>#REF!</v>
      </c>
      <c r="AR312" t="e">
        <f>AND(#REF!,"AAAAAH771is=")</f>
        <v>#REF!</v>
      </c>
      <c r="AS312" t="e">
        <f>IF(#REF!,"AAAAAH771iw=",0)</f>
        <v>#REF!</v>
      </c>
      <c r="AT312" t="e">
        <f>AND(#REF!,"AAAAAH771i0=")</f>
        <v>#REF!</v>
      </c>
      <c r="AU312" t="e">
        <f>AND(#REF!,"AAAAAH771i4=")</f>
        <v>#REF!</v>
      </c>
      <c r="AV312" t="e">
        <f>AND(#REF!,"AAAAAH771i8=")</f>
        <v>#REF!</v>
      </c>
      <c r="AW312" t="e">
        <f>AND(#REF!,"AAAAAH771jA=")</f>
        <v>#REF!</v>
      </c>
      <c r="AX312" t="e">
        <f>AND(#REF!,"AAAAAH771jE=")</f>
        <v>#REF!</v>
      </c>
      <c r="AY312" t="e">
        <f>AND(#REF!,"AAAAAH771jI=")</f>
        <v>#REF!</v>
      </c>
      <c r="AZ312" t="e">
        <f>AND(#REF!,"AAAAAH771jM=")</f>
        <v>#REF!</v>
      </c>
      <c r="BA312" t="e">
        <f>AND(#REF!,"AAAAAH771jQ=")</f>
        <v>#REF!</v>
      </c>
      <c r="BB312" t="e">
        <f>AND(#REF!,"AAAAAH771jU=")</f>
        <v>#REF!</v>
      </c>
      <c r="BC312" t="e">
        <f>AND(#REF!,"AAAAAH771jY=")</f>
        <v>#REF!</v>
      </c>
      <c r="BD312" t="e">
        <f>AND(#REF!,"AAAAAH771jc=")</f>
        <v>#REF!</v>
      </c>
      <c r="BE312" t="e">
        <f>AND(#REF!,"AAAAAH771jg=")</f>
        <v>#REF!</v>
      </c>
      <c r="BF312" t="e">
        <f>AND(#REF!,"AAAAAH771jk=")</f>
        <v>#REF!</v>
      </c>
      <c r="BG312" t="e">
        <f>AND(#REF!,"AAAAAH771jo=")</f>
        <v>#REF!</v>
      </c>
      <c r="BH312" t="e">
        <f>AND(#REF!,"AAAAAH771js=")</f>
        <v>#REF!</v>
      </c>
      <c r="BI312" t="e">
        <f>AND(#REF!,"AAAAAH771jw=")</f>
        <v>#REF!</v>
      </c>
      <c r="BJ312" t="e">
        <f>AND(#REF!,"AAAAAH771j0=")</f>
        <v>#REF!</v>
      </c>
      <c r="BK312" t="e">
        <f>AND(#REF!,"AAAAAH771j4=")</f>
        <v>#REF!</v>
      </c>
      <c r="BL312" t="e">
        <f>AND(#REF!,"AAAAAH771j8=")</f>
        <v>#REF!</v>
      </c>
      <c r="BM312" t="e">
        <f>AND(#REF!,"AAAAAH771kA=")</f>
        <v>#REF!</v>
      </c>
      <c r="BN312" t="e">
        <f>AND(#REF!,"AAAAAH771kE=")</f>
        <v>#REF!</v>
      </c>
      <c r="BO312" t="e">
        <f>AND(#REF!,"AAAAAH771kI=")</f>
        <v>#REF!</v>
      </c>
      <c r="BP312" t="e">
        <f>AND(#REF!,"AAAAAH771kM=")</f>
        <v>#REF!</v>
      </c>
      <c r="BQ312" t="e">
        <f>AND(#REF!,"AAAAAH771kQ=")</f>
        <v>#REF!</v>
      </c>
      <c r="BR312" t="e">
        <f>IF(#REF!,"AAAAAH771kU=",0)</f>
        <v>#REF!</v>
      </c>
      <c r="BS312" t="e">
        <f>AND(#REF!,"AAAAAH771kY=")</f>
        <v>#REF!</v>
      </c>
      <c r="BT312" t="e">
        <f>AND(#REF!,"AAAAAH771kc=")</f>
        <v>#REF!</v>
      </c>
      <c r="BU312" t="e">
        <f>AND(#REF!,"AAAAAH771kg=")</f>
        <v>#REF!</v>
      </c>
      <c r="BV312" t="e">
        <f>AND(#REF!,"AAAAAH771kk=")</f>
        <v>#REF!</v>
      </c>
      <c r="BW312" t="e">
        <f>AND(#REF!,"AAAAAH771ko=")</f>
        <v>#REF!</v>
      </c>
      <c r="BX312" t="e">
        <f>AND(#REF!,"AAAAAH771ks=")</f>
        <v>#REF!</v>
      </c>
      <c r="BY312" t="e">
        <f>AND(#REF!,"AAAAAH771kw=")</f>
        <v>#REF!</v>
      </c>
      <c r="BZ312" t="e">
        <f>AND(#REF!,"AAAAAH771k0=")</f>
        <v>#REF!</v>
      </c>
      <c r="CA312" t="e">
        <f>AND(#REF!,"AAAAAH771k4=")</f>
        <v>#REF!</v>
      </c>
      <c r="CB312" t="e">
        <f>AND(#REF!,"AAAAAH771k8=")</f>
        <v>#REF!</v>
      </c>
      <c r="CC312" t="e">
        <f>AND(#REF!,"AAAAAH771lA=")</f>
        <v>#REF!</v>
      </c>
      <c r="CD312" t="e">
        <f>AND(#REF!,"AAAAAH771lE=")</f>
        <v>#REF!</v>
      </c>
      <c r="CE312" t="e">
        <f>AND(#REF!,"AAAAAH771lI=")</f>
        <v>#REF!</v>
      </c>
      <c r="CF312" t="e">
        <f>AND(#REF!,"AAAAAH771lM=")</f>
        <v>#REF!</v>
      </c>
      <c r="CG312" t="e">
        <f>AND(#REF!,"AAAAAH771lQ=")</f>
        <v>#REF!</v>
      </c>
      <c r="CH312" t="e">
        <f>AND(#REF!,"AAAAAH771lU=")</f>
        <v>#REF!</v>
      </c>
      <c r="CI312" t="e">
        <f>AND(#REF!,"AAAAAH771lY=")</f>
        <v>#REF!</v>
      </c>
      <c r="CJ312" t="e">
        <f>AND(#REF!,"AAAAAH771lc=")</f>
        <v>#REF!</v>
      </c>
      <c r="CK312" t="e">
        <f>AND(#REF!,"AAAAAH771lg=")</f>
        <v>#REF!</v>
      </c>
      <c r="CL312" t="e">
        <f>AND(#REF!,"AAAAAH771lk=")</f>
        <v>#REF!</v>
      </c>
      <c r="CM312" t="e">
        <f>AND(#REF!,"AAAAAH771lo=")</f>
        <v>#REF!</v>
      </c>
      <c r="CN312" t="e">
        <f>AND(#REF!,"AAAAAH771ls=")</f>
        <v>#REF!</v>
      </c>
      <c r="CO312" t="e">
        <f>AND(#REF!,"AAAAAH771lw=")</f>
        <v>#REF!</v>
      </c>
      <c r="CP312" t="e">
        <f>AND(#REF!,"AAAAAH771l0=")</f>
        <v>#REF!</v>
      </c>
      <c r="CQ312" t="e">
        <f>IF(#REF!,"AAAAAH771l4=",0)</f>
        <v>#REF!</v>
      </c>
      <c r="CR312" t="e">
        <f>AND(#REF!,"AAAAAH771l8=")</f>
        <v>#REF!</v>
      </c>
      <c r="CS312" t="e">
        <f>AND(#REF!,"AAAAAH771mA=")</f>
        <v>#REF!</v>
      </c>
      <c r="CT312" t="e">
        <f>AND(#REF!,"AAAAAH771mE=")</f>
        <v>#REF!</v>
      </c>
      <c r="CU312" t="e">
        <f>AND(#REF!,"AAAAAH771mI=")</f>
        <v>#REF!</v>
      </c>
      <c r="CV312" t="e">
        <f>AND(#REF!,"AAAAAH771mM=")</f>
        <v>#REF!</v>
      </c>
      <c r="CW312" t="e">
        <f>AND(#REF!,"AAAAAH771mQ=")</f>
        <v>#REF!</v>
      </c>
      <c r="CX312" t="e">
        <f>AND(#REF!,"AAAAAH771mU=")</f>
        <v>#REF!</v>
      </c>
      <c r="CY312" t="e">
        <f>AND(#REF!,"AAAAAH771mY=")</f>
        <v>#REF!</v>
      </c>
      <c r="CZ312" t="e">
        <f>AND(#REF!,"AAAAAH771mc=")</f>
        <v>#REF!</v>
      </c>
      <c r="DA312" t="e">
        <f>AND(#REF!,"AAAAAH771mg=")</f>
        <v>#REF!</v>
      </c>
      <c r="DB312" t="e">
        <f>AND(#REF!,"AAAAAH771mk=")</f>
        <v>#REF!</v>
      </c>
      <c r="DC312" t="e">
        <f>AND(#REF!,"AAAAAH771mo=")</f>
        <v>#REF!</v>
      </c>
      <c r="DD312" t="e">
        <f>AND(#REF!,"AAAAAH771ms=")</f>
        <v>#REF!</v>
      </c>
      <c r="DE312" t="e">
        <f>AND(#REF!,"AAAAAH771mw=")</f>
        <v>#REF!</v>
      </c>
      <c r="DF312" t="e">
        <f>AND(#REF!,"AAAAAH771m0=")</f>
        <v>#REF!</v>
      </c>
      <c r="DG312" t="e">
        <f>AND(#REF!,"AAAAAH771m4=")</f>
        <v>#REF!</v>
      </c>
      <c r="DH312" t="e">
        <f>AND(#REF!,"AAAAAH771m8=")</f>
        <v>#REF!</v>
      </c>
      <c r="DI312" t="e">
        <f>AND(#REF!,"AAAAAH771nA=")</f>
        <v>#REF!</v>
      </c>
      <c r="DJ312" t="e">
        <f>AND(#REF!,"AAAAAH771nE=")</f>
        <v>#REF!</v>
      </c>
      <c r="DK312" t="e">
        <f>AND(#REF!,"AAAAAH771nI=")</f>
        <v>#REF!</v>
      </c>
      <c r="DL312" t="e">
        <f>AND(#REF!,"AAAAAH771nM=")</f>
        <v>#REF!</v>
      </c>
      <c r="DM312" t="e">
        <f>AND(#REF!,"AAAAAH771nQ=")</f>
        <v>#REF!</v>
      </c>
      <c r="DN312" t="e">
        <f>AND(#REF!,"AAAAAH771nU=")</f>
        <v>#REF!</v>
      </c>
      <c r="DO312" t="e">
        <f>AND(#REF!,"AAAAAH771nY=")</f>
        <v>#REF!</v>
      </c>
      <c r="DP312" t="e">
        <f>IF(#REF!,"AAAAAH771nc=",0)</f>
        <v>#REF!</v>
      </c>
      <c r="DQ312" t="e">
        <f>AND(#REF!,"AAAAAH771ng=")</f>
        <v>#REF!</v>
      </c>
      <c r="DR312" t="e">
        <f>AND(#REF!,"AAAAAH771nk=")</f>
        <v>#REF!</v>
      </c>
      <c r="DS312" t="e">
        <f>AND(#REF!,"AAAAAH771no=")</f>
        <v>#REF!</v>
      </c>
      <c r="DT312" t="e">
        <f>AND(#REF!,"AAAAAH771ns=")</f>
        <v>#REF!</v>
      </c>
      <c r="DU312" t="e">
        <f>AND(#REF!,"AAAAAH771nw=")</f>
        <v>#REF!</v>
      </c>
      <c r="DV312" t="e">
        <f>AND(#REF!,"AAAAAH771n0=")</f>
        <v>#REF!</v>
      </c>
      <c r="DW312" t="e">
        <f>AND(#REF!,"AAAAAH771n4=")</f>
        <v>#REF!</v>
      </c>
      <c r="DX312" t="e">
        <f>AND(#REF!,"AAAAAH771n8=")</f>
        <v>#REF!</v>
      </c>
      <c r="DY312" t="e">
        <f>AND(#REF!,"AAAAAH771oA=")</f>
        <v>#REF!</v>
      </c>
      <c r="DZ312" t="e">
        <f>AND(#REF!,"AAAAAH771oE=")</f>
        <v>#REF!</v>
      </c>
      <c r="EA312" t="e">
        <f>AND(#REF!,"AAAAAH771oI=")</f>
        <v>#REF!</v>
      </c>
      <c r="EB312" t="e">
        <f>AND(#REF!,"AAAAAH771oM=")</f>
        <v>#REF!</v>
      </c>
      <c r="EC312" t="e">
        <f>AND(#REF!,"AAAAAH771oQ=")</f>
        <v>#REF!</v>
      </c>
      <c r="ED312" t="e">
        <f>AND(#REF!,"AAAAAH771oU=")</f>
        <v>#REF!</v>
      </c>
      <c r="EE312" t="e">
        <f>AND(#REF!,"AAAAAH771oY=")</f>
        <v>#REF!</v>
      </c>
      <c r="EF312" t="e">
        <f>AND(#REF!,"AAAAAH771oc=")</f>
        <v>#REF!</v>
      </c>
      <c r="EG312" t="e">
        <f>AND(#REF!,"AAAAAH771og=")</f>
        <v>#REF!</v>
      </c>
      <c r="EH312" t="e">
        <f>AND(#REF!,"AAAAAH771ok=")</f>
        <v>#REF!</v>
      </c>
      <c r="EI312" t="e">
        <f>AND(#REF!,"AAAAAH771oo=")</f>
        <v>#REF!</v>
      </c>
      <c r="EJ312" t="e">
        <f>AND(#REF!,"AAAAAH771os=")</f>
        <v>#REF!</v>
      </c>
      <c r="EK312" t="e">
        <f>AND(#REF!,"AAAAAH771ow=")</f>
        <v>#REF!</v>
      </c>
      <c r="EL312" t="e">
        <f>AND(#REF!,"AAAAAH771o0=")</f>
        <v>#REF!</v>
      </c>
      <c r="EM312" t="e">
        <f>AND(#REF!,"AAAAAH771o4=")</f>
        <v>#REF!</v>
      </c>
      <c r="EN312" t="e">
        <f>AND(#REF!,"AAAAAH771o8=")</f>
        <v>#REF!</v>
      </c>
      <c r="EO312" t="e">
        <f>IF(#REF!,"AAAAAH771pA=",0)</f>
        <v>#REF!</v>
      </c>
      <c r="EP312" t="e">
        <f>AND(#REF!,"AAAAAH771pE=")</f>
        <v>#REF!</v>
      </c>
      <c r="EQ312" t="e">
        <f>AND(#REF!,"AAAAAH771pI=")</f>
        <v>#REF!</v>
      </c>
      <c r="ER312" t="e">
        <f>AND(#REF!,"AAAAAH771pM=")</f>
        <v>#REF!</v>
      </c>
      <c r="ES312" t="e">
        <f>AND(#REF!,"AAAAAH771pQ=")</f>
        <v>#REF!</v>
      </c>
      <c r="ET312" t="e">
        <f>AND(#REF!,"AAAAAH771pU=")</f>
        <v>#REF!</v>
      </c>
      <c r="EU312" t="e">
        <f>AND(#REF!,"AAAAAH771pY=")</f>
        <v>#REF!</v>
      </c>
      <c r="EV312" t="e">
        <f>AND(#REF!,"AAAAAH771pc=")</f>
        <v>#REF!</v>
      </c>
      <c r="EW312" t="e">
        <f>AND(#REF!,"AAAAAH771pg=")</f>
        <v>#REF!</v>
      </c>
      <c r="EX312" t="e">
        <f>AND(#REF!,"AAAAAH771pk=")</f>
        <v>#REF!</v>
      </c>
      <c r="EY312" t="e">
        <f>AND(#REF!,"AAAAAH771po=")</f>
        <v>#REF!</v>
      </c>
      <c r="EZ312" t="e">
        <f>AND(#REF!,"AAAAAH771ps=")</f>
        <v>#REF!</v>
      </c>
      <c r="FA312" t="e">
        <f>AND(#REF!,"AAAAAH771pw=")</f>
        <v>#REF!</v>
      </c>
      <c r="FB312" t="e">
        <f>AND(#REF!,"AAAAAH771p0=")</f>
        <v>#REF!</v>
      </c>
      <c r="FC312" t="e">
        <f>AND(#REF!,"AAAAAH771p4=")</f>
        <v>#REF!</v>
      </c>
      <c r="FD312" t="e">
        <f>AND(#REF!,"AAAAAH771p8=")</f>
        <v>#REF!</v>
      </c>
      <c r="FE312" t="e">
        <f>AND(#REF!,"AAAAAH771qA=")</f>
        <v>#REF!</v>
      </c>
      <c r="FF312" t="e">
        <f>AND(#REF!,"AAAAAH771qE=")</f>
        <v>#REF!</v>
      </c>
      <c r="FG312" t="e">
        <f>AND(#REF!,"AAAAAH771qI=")</f>
        <v>#REF!</v>
      </c>
      <c r="FH312" t="e">
        <f>AND(#REF!,"AAAAAH771qM=")</f>
        <v>#REF!</v>
      </c>
      <c r="FI312" t="e">
        <f>AND(#REF!,"AAAAAH771qQ=")</f>
        <v>#REF!</v>
      </c>
      <c r="FJ312" t="e">
        <f>AND(#REF!,"AAAAAH771qU=")</f>
        <v>#REF!</v>
      </c>
      <c r="FK312" t="e">
        <f>AND(#REF!,"AAAAAH771qY=")</f>
        <v>#REF!</v>
      </c>
      <c r="FL312" t="e">
        <f>AND(#REF!,"AAAAAH771qc=")</f>
        <v>#REF!</v>
      </c>
      <c r="FM312" t="e">
        <f>AND(#REF!,"AAAAAH771qg=")</f>
        <v>#REF!</v>
      </c>
      <c r="FN312" t="e">
        <f>IF(#REF!,"AAAAAH771qk=",0)</f>
        <v>#REF!</v>
      </c>
      <c r="FO312" t="e">
        <f>AND(#REF!,"AAAAAH771qo=")</f>
        <v>#REF!</v>
      </c>
      <c r="FP312" t="e">
        <f>AND(#REF!,"AAAAAH771qs=")</f>
        <v>#REF!</v>
      </c>
      <c r="FQ312" t="e">
        <f>AND(#REF!,"AAAAAH771qw=")</f>
        <v>#REF!</v>
      </c>
      <c r="FR312" t="e">
        <f>AND(#REF!,"AAAAAH771q0=")</f>
        <v>#REF!</v>
      </c>
      <c r="FS312" t="e">
        <f>AND(#REF!,"AAAAAH771q4=")</f>
        <v>#REF!</v>
      </c>
      <c r="FT312" t="e">
        <f>AND(#REF!,"AAAAAH771q8=")</f>
        <v>#REF!</v>
      </c>
      <c r="FU312" t="e">
        <f>AND(#REF!,"AAAAAH771rA=")</f>
        <v>#REF!</v>
      </c>
      <c r="FV312" t="e">
        <f>AND(#REF!,"AAAAAH771rE=")</f>
        <v>#REF!</v>
      </c>
      <c r="FW312" t="e">
        <f>AND(#REF!,"AAAAAH771rI=")</f>
        <v>#REF!</v>
      </c>
      <c r="FX312" t="e">
        <f>AND(#REF!,"AAAAAH771rM=")</f>
        <v>#REF!</v>
      </c>
      <c r="FY312" t="e">
        <f>AND(#REF!,"AAAAAH771rQ=")</f>
        <v>#REF!</v>
      </c>
      <c r="FZ312" t="e">
        <f>AND(#REF!,"AAAAAH771rU=")</f>
        <v>#REF!</v>
      </c>
      <c r="GA312" t="e">
        <f>AND(#REF!,"AAAAAH771rY=")</f>
        <v>#REF!</v>
      </c>
      <c r="GB312" t="e">
        <f>AND(#REF!,"AAAAAH771rc=")</f>
        <v>#REF!</v>
      </c>
      <c r="GC312" t="e">
        <f>AND(#REF!,"AAAAAH771rg=")</f>
        <v>#REF!</v>
      </c>
      <c r="GD312" t="e">
        <f>AND(#REF!,"AAAAAH771rk=")</f>
        <v>#REF!</v>
      </c>
      <c r="GE312" t="e">
        <f>AND(#REF!,"AAAAAH771ro=")</f>
        <v>#REF!</v>
      </c>
      <c r="GF312" t="e">
        <f>AND(#REF!,"AAAAAH771rs=")</f>
        <v>#REF!</v>
      </c>
      <c r="GG312" t="e">
        <f>AND(#REF!,"AAAAAH771rw=")</f>
        <v>#REF!</v>
      </c>
      <c r="GH312" t="e">
        <f>AND(#REF!,"AAAAAH771r0=")</f>
        <v>#REF!</v>
      </c>
      <c r="GI312" t="e">
        <f>AND(#REF!,"AAAAAH771r4=")</f>
        <v>#REF!</v>
      </c>
      <c r="GJ312" t="e">
        <f>AND(#REF!,"AAAAAH771r8=")</f>
        <v>#REF!</v>
      </c>
      <c r="GK312" t="e">
        <f>AND(#REF!,"AAAAAH771sA=")</f>
        <v>#REF!</v>
      </c>
      <c r="GL312" t="e">
        <f>AND(#REF!,"AAAAAH771sE=")</f>
        <v>#REF!</v>
      </c>
      <c r="GM312" t="e">
        <f>IF(#REF!,"AAAAAH771sI=",0)</f>
        <v>#REF!</v>
      </c>
      <c r="GN312" t="e">
        <f>AND(#REF!,"AAAAAH771sM=")</f>
        <v>#REF!</v>
      </c>
      <c r="GO312" t="e">
        <f>AND(#REF!,"AAAAAH771sQ=")</f>
        <v>#REF!</v>
      </c>
      <c r="GP312" t="e">
        <f>AND(#REF!,"AAAAAH771sU=")</f>
        <v>#REF!</v>
      </c>
      <c r="GQ312" t="e">
        <f>AND(#REF!,"AAAAAH771sY=")</f>
        <v>#REF!</v>
      </c>
      <c r="GR312" t="e">
        <f>AND(#REF!,"AAAAAH771sc=")</f>
        <v>#REF!</v>
      </c>
      <c r="GS312" t="e">
        <f>AND(#REF!,"AAAAAH771sg=")</f>
        <v>#REF!</v>
      </c>
      <c r="GT312" t="e">
        <f>AND(#REF!,"AAAAAH771sk=")</f>
        <v>#REF!</v>
      </c>
      <c r="GU312" t="e">
        <f>AND(#REF!,"AAAAAH771so=")</f>
        <v>#REF!</v>
      </c>
      <c r="GV312" t="e">
        <f>AND(#REF!,"AAAAAH771ss=")</f>
        <v>#REF!</v>
      </c>
      <c r="GW312" t="e">
        <f>AND(#REF!,"AAAAAH771sw=")</f>
        <v>#REF!</v>
      </c>
      <c r="GX312" t="e">
        <f>AND(#REF!,"AAAAAH771s0=")</f>
        <v>#REF!</v>
      </c>
      <c r="GY312" t="e">
        <f>AND(#REF!,"AAAAAH771s4=")</f>
        <v>#REF!</v>
      </c>
      <c r="GZ312" t="e">
        <f>AND(#REF!,"AAAAAH771s8=")</f>
        <v>#REF!</v>
      </c>
      <c r="HA312" t="e">
        <f>AND(#REF!,"AAAAAH771tA=")</f>
        <v>#REF!</v>
      </c>
      <c r="HB312" t="e">
        <f>AND(#REF!,"AAAAAH771tE=")</f>
        <v>#REF!</v>
      </c>
      <c r="HC312" t="e">
        <f>AND(#REF!,"AAAAAH771tI=")</f>
        <v>#REF!</v>
      </c>
      <c r="HD312" t="e">
        <f>AND(#REF!,"AAAAAH771tM=")</f>
        <v>#REF!</v>
      </c>
      <c r="HE312" t="e">
        <f>AND(#REF!,"AAAAAH771tQ=")</f>
        <v>#REF!</v>
      </c>
      <c r="HF312" t="e">
        <f>AND(#REF!,"AAAAAH771tU=")</f>
        <v>#REF!</v>
      </c>
      <c r="HG312" t="e">
        <f>AND(#REF!,"AAAAAH771tY=")</f>
        <v>#REF!</v>
      </c>
      <c r="HH312" t="e">
        <f>AND(#REF!,"AAAAAH771tc=")</f>
        <v>#REF!</v>
      </c>
      <c r="HI312" t="e">
        <f>AND(#REF!,"AAAAAH771tg=")</f>
        <v>#REF!</v>
      </c>
      <c r="HJ312" t="e">
        <f>AND(#REF!,"AAAAAH771tk=")</f>
        <v>#REF!</v>
      </c>
      <c r="HK312" t="e">
        <f>AND(#REF!,"AAAAAH771to=")</f>
        <v>#REF!</v>
      </c>
      <c r="HL312" t="e">
        <f>IF(#REF!,"AAAAAH771ts=",0)</f>
        <v>#REF!</v>
      </c>
      <c r="HM312" t="e">
        <f>AND(#REF!,"AAAAAH771tw=")</f>
        <v>#REF!</v>
      </c>
      <c r="HN312" t="e">
        <f>AND(#REF!,"AAAAAH771t0=")</f>
        <v>#REF!</v>
      </c>
      <c r="HO312" t="e">
        <f>AND(#REF!,"AAAAAH771t4=")</f>
        <v>#REF!</v>
      </c>
      <c r="HP312" t="e">
        <f>AND(#REF!,"AAAAAH771t8=")</f>
        <v>#REF!</v>
      </c>
      <c r="HQ312" t="e">
        <f>AND(#REF!,"AAAAAH771uA=")</f>
        <v>#REF!</v>
      </c>
      <c r="HR312" t="e">
        <f>AND(#REF!,"AAAAAH771uE=")</f>
        <v>#REF!</v>
      </c>
      <c r="HS312" t="e">
        <f>AND(#REF!,"AAAAAH771uI=")</f>
        <v>#REF!</v>
      </c>
      <c r="HT312" t="e">
        <f>AND(#REF!,"AAAAAH771uM=")</f>
        <v>#REF!</v>
      </c>
      <c r="HU312" t="e">
        <f>AND(#REF!,"AAAAAH771uQ=")</f>
        <v>#REF!</v>
      </c>
      <c r="HV312" t="e">
        <f>AND(#REF!,"AAAAAH771uU=")</f>
        <v>#REF!</v>
      </c>
      <c r="HW312" t="e">
        <f>AND(#REF!,"AAAAAH771uY=")</f>
        <v>#REF!</v>
      </c>
      <c r="HX312" t="e">
        <f>AND(#REF!,"AAAAAH771uc=")</f>
        <v>#REF!</v>
      </c>
      <c r="HY312" t="e">
        <f>AND(#REF!,"AAAAAH771ug=")</f>
        <v>#REF!</v>
      </c>
      <c r="HZ312" t="e">
        <f>AND(#REF!,"AAAAAH771uk=")</f>
        <v>#REF!</v>
      </c>
      <c r="IA312" t="e">
        <f>AND(#REF!,"AAAAAH771uo=")</f>
        <v>#REF!</v>
      </c>
      <c r="IB312" t="e">
        <f>AND(#REF!,"AAAAAH771us=")</f>
        <v>#REF!</v>
      </c>
      <c r="IC312" t="e">
        <f>AND(#REF!,"AAAAAH771uw=")</f>
        <v>#REF!</v>
      </c>
      <c r="ID312" t="e">
        <f>AND(#REF!,"AAAAAH771u0=")</f>
        <v>#REF!</v>
      </c>
      <c r="IE312" t="e">
        <f>AND(#REF!,"AAAAAH771u4=")</f>
        <v>#REF!</v>
      </c>
      <c r="IF312" t="e">
        <f>AND(#REF!,"AAAAAH771u8=")</f>
        <v>#REF!</v>
      </c>
      <c r="IG312" t="e">
        <f>AND(#REF!,"AAAAAH771vA=")</f>
        <v>#REF!</v>
      </c>
      <c r="IH312" t="e">
        <f>AND(#REF!,"AAAAAH771vE=")</f>
        <v>#REF!</v>
      </c>
      <c r="II312" t="e">
        <f>AND(#REF!,"AAAAAH771vI=")</f>
        <v>#REF!</v>
      </c>
      <c r="IJ312" t="e">
        <f>AND(#REF!,"AAAAAH771vM=")</f>
        <v>#REF!</v>
      </c>
      <c r="IK312" t="e">
        <f>IF(#REF!,"AAAAAH771vQ=",0)</f>
        <v>#REF!</v>
      </c>
      <c r="IL312" t="e">
        <f>AND(#REF!,"AAAAAH771vU=")</f>
        <v>#REF!</v>
      </c>
      <c r="IM312" t="e">
        <f>AND(#REF!,"AAAAAH771vY=")</f>
        <v>#REF!</v>
      </c>
      <c r="IN312" t="e">
        <f>AND(#REF!,"AAAAAH771vc=")</f>
        <v>#REF!</v>
      </c>
      <c r="IO312" t="e">
        <f>AND(#REF!,"AAAAAH771vg=")</f>
        <v>#REF!</v>
      </c>
      <c r="IP312" t="e">
        <f>AND(#REF!,"AAAAAH771vk=")</f>
        <v>#REF!</v>
      </c>
      <c r="IQ312" t="e">
        <f>AND(#REF!,"AAAAAH771vo=")</f>
        <v>#REF!</v>
      </c>
      <c r="IR312" t="e">
        <f>AND(#REF!,"AAAAAH771vs=")</f>
        <v>#REF!</v>
      </c>
      <c r="IS312" t="e">
        <f>AND(#REF!,"AAAAAH771vw=")</f>
        <v>#REF!</v>
      </c>
      <c r="IT312" t="e">
        <f>AND(#REF!,"AAAAAH771v0=")</f>
        <v>#REF!</v>
      </c>
      <c r="IU312" t="e">
        <f>AND(#REF!,"AAAAAH771v4=")</f>
        <v>#REF!</v>
      </c>
      <c r="IV312" t="e">
        <f>AND(#REF!,"AAAAAH771v8=")</f>
        <v>#REF!</v>
      </c>
    </row>
    <row r="313" spans="1:256">
      <c r="A313" t="e">
        <f>AND(#REF!,"AAAAAHr89wA=")</f>
        <v>#REF!</v>
      </c>
      <c r="B313" t="e">
        <f>AND(#REF!,"AAAAAHr89wE=")</f>
        <v>#REF!</v>
      </c>
      <c r="C313" t="e">
        <f>AND(#REF!,"AAAAAHr89wI=")</f>
        <v>#REF!</v>
      </c>
      <c r="D313" t="e">
        <f>AND(#REF!,"AAAAAHr89wM=")</f>
        <v>#REF!</v>
      </c>
      <c r="E313" t="e">
        <f>AND(#REF!,"AAAAAHr89wQ=")</f>
        <v>#REF!</v>
      </c>
      <c r="F313" t="e">
        <f>AND(#REF!,"AAAAAHr89wU=")</f>
        <v>#REF!</v>
      </c>
      <c r="G313" t="e">
        <f>AND(#REF!,"AAAAAHr89wY=")</f>
        <v>#REF!</v>
      </c>
      <c r="H313" t="e">
        <f>AND(#REF!,"AAAAAHr89wc=")</f>
        <v>#REF!</v>
      </c>
      <c r="I313" t="e">
        <f>AND(#REF!,"AAAAAHr89wg=")</f>
        <v>#REF!</v>
      </c>
      <c r="J313" t="e">
        <f>AND(#REF!,"AAAAAHr89wk=")</f>
        <v>#REF!</v>
      </c>
      <c r="K313" t="e">
        <f>AND(#REF!,"AAAAAHr89wo=")</f>
        <v>#REF!</v>
      </c>
      <c r="L313" t="e">
        <f>AND(#REF!,"AAAAAHr89ws=")</f>
        <v>#REF!</v>
      </c>
      <c r="M313" t="e">
        <f>AND(#REF!,"AAAAAHr89ww=")</f>
        <v>#REF!</v>
      </c>
      <c r="N313" t="e">
        <f>IF(#REF!,"AAAAAHr89w0=",0)</f>
        <v>#REF!</v>
      </c>
      <c r="O313" t="e">
        <f>AND(#REF!,"AAAAAHr89w4=")</f>
        <v>#REF!</v>
      </c>
      <c r="P313" t="e">
        <f>AND(#REF!,"AAAAAHr89w8=")</f>
        <v>#REF!</v>
      </c>
      <c r="Q313" t="e">
        <f>AND(#REF!,"AAAAAHr89xA=")</f>
        <v>#REF!</v>
      </c>
      <c r="R313" t="e">
        <f>AND(#REF!,"AAAAAHr89xE=")</f>
        <v>#REF!</v>
      </c>
      <c r="S313" t="e">
        <f>AND(#REF!,"AAAAAHr89xI=")</f>
        <v>#REF!</v>
      </c>
      <c r="T313" t="e">
        <f>AND(#REF!,"AAAAAHr89xM=")</f>
        <v>#REF!</v>
      </c>
      <c r="U313" t="e">
        <f>AND(#REF!,"AAAAAHr89xQ=")</f>
        <v>#REF!</v>
      </c>
      <c r="V313" t="e">
        <f>AND(#REF!,"AAAAAHr89xU=")</f>
        <v>#REF!</v>
      </c>
      <c r="W313" t="e">
        <f>AND(#REF!,"AAAAAHr89xY=")</f>
        <v>#REF!</v>
      </c>
      <c r="X313" t="e">
        <f>AND(#REF!,"AAAAAHr89xc=")</f>
        <v>#REF!</v>
      </c>
      <c r="Y313" t="e">
        <f>AND(#REF!,"AAAAAHr89xg=")</f>
        <v>#REF!</v>
      </c>
      <c r="Z313" t="e">
        <f>AND(#REF!,"AAAAAHr89xk=")</f>
        <v>#REF!</v>
      </c>
      <c r="AA313" t="e">
        <f>AND(#REF!,"AAAAAHr89xo=")</f>
        <v>#REF!</v>
      </c>
      <c r="AB313" t="e">
        <f>AND(#REF!,"AAAAAHr89xs=")</f>
        <v>#REF!</v>
      </c>
      <c r="AC313" t="e">
        <f>AND(#REF!,"AAAAAHr89xw=")</f>
        <v>#REF!</v>
      </c>
      <c r="AD313" t="e">
        <f>AND(#REF!,"AAAAAHr89x0=")</f>
        <v>#REF!</v>
      </c>
      <c r="AE313" t="e">
        <f>AND(#REF!,"AAAAAHr89x4=")</f>
        <v>#REF!</v>
      </c>
      <c r="AF313" t="e">
        <f>AND(#REF!,"AAAAAHr89x8=")</f>
        <v>#REF!</v>
      </c>
      <c r="AG313" t="e">
        <f>AND(#REF!,"AAAAAHr89yA=")</f>
        <v>#REF!</v>
      </c>
      <c r="AH313" t="e">
        <f>AND(#REF!,"AAAAAHr89yE=")</f>
        <v>#REF!</v>
      </c>
      <c r="AI313" t="e">
        <f>AND(#REF!,"AAAAAHr89yI=")</f>
        <v>#REF!</v>
      </c>
      <c r="AJ313" t="e">
        <f>AND(#REF!,"AAAAAHr89yM=")</f>
        <v>#REF!</v>
      </c>
      <c r="AK313" t="e">
        <f>AND(#REF!,"AAAAAHr89yQ=")</f>
        <v>#REF!</v>
      </c>
      <c r="AL313" t="e">
        <f>AND(#REF!,"AAAAAHr89yU=")</f>
        <v>#REF!</v>
      </c>
      <c r="AM313" t="e">
        <f>IF(#REF!,"AAAAAHr89yY=",0)</f>
        <v>#REF!</v>
      </c>
      <c r="AN313" t="e">
        <f>AND(#REF!,"AAAAAHr89yc=")</f>
        <v>#REF!</v>
      </c>
      <c r="AO313" t="e">
        <f>AND(#REF!,"AAAAAHr89yg=")</f>
        <v>#REF!</v>
      </c>
      <c r="AP313" t="e">
        <f>AND(#REF!,"AAAAAHr89yk=")</f>
        <v>#REF!</v>
      </c>
      <c r="AQ313" t="e">
        <f>AND(#REF!,"AAAAAHr89yo=")</f>
        <v>#REF!</v>
      </c>
      <c r="AR313" t="e">
        <f>AND(#REF!,"AAAAAHr89ys=")</f>
        <v>#REF!</v>
      </c>
      <c r="AS313" t="e">
        <f>AND(#REF!,"AAAAAHr89yw=")</f>
        <v>#REF!</v>
      </c>
      <c r="AT313" t="e">
        <f>AND(#REF!,"AAAAAHr89y0=")</f>
        <v>#REF!</v>
      </c>
      <c r="AU313" t="e">
        <f>AND(#REF!,"AAAAAHr89y4=")</f>
        <v>#REF!</v>
      </c>
      <c r="AV313" t="e">
        <f>AND(#REF!,"AAAAAHr89y8=")</f>
        <v>#REF!</v>
      </c>
      <c r="AW313" t="e">
        <f>AND(#REF!,"AAAAAHr89zA=")</f>
        <v>#REF!</v>
      </c>
      <c r="AX313" t="e">
        <f>AND(#REF!,"AAAAAHr89zE=")</f>
        <v>#REF!</v>
      </c>
      <c r="AY313" t="e">
        <f>AND(#REF!,"AAAAAHr89zI=")</f>
        <v>#REF!</v>
      </c>
      <c r="AZ313" t="e">
        <f>AND(#REF!,"AAAAAHr89zM=")</f>
        <v>#REF!</v>
      </c>
      <c r="BA313" t="e">
        <f>AND(#REF!,"AAAAAHr89zQ=")</f>
        <v>#REF!</v>
      </c>
      <c r="BB313" t="e">
        <f>AND(#REF!,"AAAAAHr89zU=")</f>
        <v>#REF!</v>
      </c>
      <c r="BC313" t="e">
        <f>AND(#REF!,"AAAAAHr89zY=")</f>
        <v>#REF!</v>
      </c>
      <c r="BD313" t="e">
        <f>AND(#REF!,"AAAAAHr89zc=")</f>
        <v>#REF!</v>
      </c>
      <c r="BE313" t="e">
        <f>AND(#REF!,"AAAAAHr89zg=")</f>
        <v>#REF!</v>
      </c>
      <c r="BF313" t="e">
        <f>AND(#REF!,"AAAAAHr89zk=")</f>
        <v>#REF!</v>
      </c>
      <c r="BG313" t="e">
        <f>AND(#REF!,"AAAAAHr89zo=")</f>
        <v>#REF!</v>
      </c>
      <c r="BH313" t="e">
        <f>AND(#REF!,"AAAAAHr89zs=")</f>
        <v>#REF!</v>
      </c>
      <c r="BI313" t="e">
        <f>AND(#REF!,"AAAAAHr89zw=")</f>
        <v>#REF!</v>
      </c>
      <c r="BJ313" t="e">
        <f>AND(#REF!,"AAAAAHr89z0=")</f>
        <v>#REF!</v>
      </c>
      <c r="BK313" t="e">
        <f>AND(#REF!,"AAAAAHr89z4=")</f>
        <v>#REF!</v>
      </c>
      <c r="BL313" t="e">
        <f>IF(#REF!,"AAAAAHr89z8=",0)</f>
        <v>#REF!</v>
      </c>
      <c r="BM313" t="e">
        <f>AND(#REF!,"AAAAAHr890A=")</f>
        <v>#REF!</v>
      </c>
      <c r="BN313" t="e">
        <f>AND(#REF!,"AAAAAHr890E=")</f>
        <v>#REF!</v>
      </c>
      <c r="BO313" t="e">
        <f>AND(#REF!,"AAAAAHr890I=")</f>
        <v>#REF!</v>
      </c>
      <c r="BP313" t="e">
        <f>AND(#REF!,"AAAAAHr890M=")</f>
        <v>#REF!</v>
      </c>
      <c r="BQ313" t="e">
        <f>AND(#REF!,"AAAAAHr890Q=")</f>
        <v>#REF!</v>
      </c>
      <c r="BR313" t="e">
        <f>AND(#REF!,"AAAAAHr890U=")</f>
        <v>#REF!</v>
      </c>
      <c r="BS313" t="e">
        <f>AND(#REF!,"AAAAAHr890Y=")</f>
        <v>#REF!</v>
      </c>
      <c r="BT313" t="e">
        <f>AND(#REF!,"AAAAAHr890c=")</f>
        <v>#REF!</v>
      </c>
      <c r="BU313" t="e">
        <f>AND(#REF!,"AAAAAHr890g=")</f>
        <v>#REF!</v>
      </c>
      <c r="BV313" t="e">
        <f>AND(#REF!,"AAAAAHr890k=")</f>
        <v>#REF!</v>
      </c>
      <c r="BW313" t="e">
        <f>AND(#REF!,"AAAAAHr890o=")</f>
        <v>#REF!</v>
      </c>
      <c r="BX313" t="e">
        <f>AND(#REF!,"AAAAAHr890s=")</f>
        <v>#REF!</v>
      </c>
      <c r="BY313" t="e">
        <f>AND(#REF!,"AAAAAHr890w=")</f>
        <v>#REF!</v>
      </c>
      <c r="BZ313" t="e">
        <f>AND(#REF!,"AAAAAHr8900=")</f>
        <v>#REF!</v>
      </c>
      <c r="CA313" t="e">
        <f>AND(#REF!,"AAAAAHr8904=")</f>
        <v>#REF!</v>
      </c>
      <c r="CB313" t="e">
        <f>AND(#REF!,"AAAAAHr8908=")</f>
        <v>#REF!</v>
      </c>
      <c r="CC313" t="e">
        <f>AND(#REF!,"AAAAAHr891A=")</f>
        <v>#REF!</v>
      </c>
      <c r="CD313" t="e">
        <f>AND(#REF!,"AAAAAHr891E=")</f>
        <v>#REF!</v>
      </c>
      <c r="CE313" t="e">
        <f>AND(#REF!,"AAAAAHr891I=")</f>
        <v>#REF!</v>
      </c>
      <c r="CF313" t="e">
        <f>AND(#REF!,"AAAAAHr891M=")</f>
        <v>#REF!</v>
      </c>
      <c r="CG313" t="e">
        <f>AND(#REF!,"AAAAAHr891Q=")</f>
        <v>#REF!</v>
      </c>
      <c r="CH313" t="e">
        <f>AND(#REF!,"AAAAAHr891U=")</f>
        <v>#REF!</v>
      </c>
      <c r="CI313" t="e">
        <f>AND(#REF!,"AAAAAHr891Y=")</f>
        <v>#REF!</v>
      </c>
      <c r="CJ313" t="e">
        <f>AND(#REF!,"AAAAAHr891c=")</f>
        <v>#REF!</v>
      </c>
      <c r="CK313" t="e">
        <f>IF(#REF!,"AAAAAHr891g=",0)</f>
        <v>#REF!</v>
      </c>
      <c r="CL313" t="e">
        <f>AND(#REF!,"AAAAAHr891k=")</f>
        <v>#REF!</v>
      </c>
      <c r="CM313" t="e">
        <f>AND(#REF!,"AAAAAHr891o=")</f>
        <v>#REF!</v>
      </c>
      <c r="CN313" t="e">
        <f>AND(#REF!,"AAAAAHr891s=")</f>
        <v>#REF!</v>
      </c>
      <c r="CO313" t="e">
        <f>AND(#REF!,"AAAAAHr891w=")</f>
        <v>#REF!</v>
      </c>
      <c r="CP313" t="e">
        <f>AND(#REF!,"AAAAAHr8910=")</f>
        <v>#REF!</v>
      </c>
      <c r="CQ313" t="e">
        <f>AND(#REF!,"AAAAAHr8914=")</f>
        <v>#REF!</v>
      </c>
      <c r="CR313" t="e">
        <f>AND(#REF!,"AAAAAHr8918=")</f>
        <v>#REF!</v>
      </c>
      <c r="CS313" t="e">
        <f>AND(#REF!,"AAAAAHr892A=")</f>
        <v>#REF!</v>
      </c>
      <c r="CT313" t="e">
        <f>AND(#REF!,"AAAAAHr892E=")</f>
        <v>#REF!</v>
      </c>
      <c r="CU313" t="e">
        <f>AND(#REF!,"AAAAAHr892I=")</f>
        <v>#REF!</v>
      </c>
      <c r="CV313" t="e">
        <f>AND(#REF!,"AAAAAHr892M=")</f>
        <v>#REF!</v>
      </c>
      <c r="CW313" t="e">
        <f>AND(#REF!,"AAAAAHr892Q=")</f>
        <v>#REF!</v>
      </c>
      <c r="CX313" t="e">
        <f>AND(#REF!,"AAAAAHr892U=")</f>
        <v>#REF!</v>
      </c>
      <c r="CY313" t="e">
        <f>AND(#REF!,"AAAAAHr892Y=")</f>
        <v>#REF!</v>
      </c>
      <c r="CZ313" t="e">
        <f>AND(#REF!,"AAAAAHr892c=")</f>
        <v>#REF!</v>
      </c>
      <c r="DA313" t="e">
        <f>AND(#REF!,"AAAAAHr892g=")</f>
        <v>#REF!</v>
      </c>
      <c r="DB313" t="e">
        <f>AND(#REF!,"AAAAAHr892k=")</f>
        <v>#REF!</v>
      </c>
      <c r="DC313" t="e">
        <f>AND(#REF!,"AAAAAHr892o=")</f>
        <v>#REF!</v>
      </c>
      <c r="DD313" t="e">
        <f>AND(#REF!,"AAAAAHr892s=")</f>
        <v>#REF!</v>
      </c>
      <c r="DE313" t="e">
        <f>AND(#REF!,"AAAAAHr892w=")</f>
        <v>#REF!</v>
      </c>
      <c r="DF313" t="e">
        <f>AND(#REF!,"AAAAAHr8920=")</f>
        <v>#REF!</v>
      </c>
      <c r="DG313" t="e">
        <f>AND(#REF!,"AAAAAHr8924=")</f>
        <v>#REF!</v>
      </c>
      <c r="DH313" t="e">
        <f>AND(#REF!,"AAAAAHr8928=")</f>
        <v>#REF!</v>
      </c>
      <c r="DI313" t="e">
        <f>AND(#REF!,"AAAAAHr893A=")</f>
        <v>#REF!</v>
      </c>
      <c r="DJ313" t="e">
        <f>IF(#REF!,"AAAAAHr893E=",0)</f>
        <v>#REF!</v>
      </c>
      <c r="DK313" t="e">
        <f>AND(#REF!,"AAAAAHr893I=")</f>
        <v>#REF!</v>
      </c>
      <c r="DL313" t="e">
        <f>AND(#REF!,"AAAAAHr893M=")</f>
        <v>#REF!</v>
      </c>
      <c r="DM313" t="e">
        <f>AND(#REF!,"AAAAAHr893Q=")</f>
        <v>#REF!</v>
      </c>
      <c r="DN313" t="e">
        <f>AND(#REF!,"AAAAAHr893U=")</f>
        <v>#REF!</v>
      </c>
      <c r="DO313" t="e">
        <f>AND(#REF!,"AAAAAHr893Y=")</f>
        <v>#REF!</v>
      </c>
      <c r="DP313" t="e">
        <f>AND(#REF!,"AAAAAHr893c=")</f>
        <v>#REF!</v>
      </c>
      <c r="DQ313" t="e">
        <f>AND(#REF!,"AAAAAHr893g=")</f>
        <v>#REF!</v>
      </c>
      <c r="DR313" t="e">
        <f>AND(#REF!,"AAAAAHr893k=")</f>
        <v>#REF!</v>
      </c>
      <c r="DS313" t="e">
        <f>AND(#REF!,"AAAAAHr893o=")</f>
        <v>#REF!</v>
      </c>
      <c r="DT313" t="e">
        <f>AND(#REF!,"AAAAAHr893s=")</f>
        <v>#REF!</v>
      </c>
      <c r="DU313" t="e">
        <f>AND(#REF!,"AAAAAHr893w=")</f>
        <v>#REF!</v>
      </c>
      <c r="DV313" t="e">
        <f>AND(#REF!,"AAAAAHr8930=")</f>
        <v>#REF!</v>
      </c>
      <c r="DW313" t="e">
        <f>AND(#REF!,"AAAAAHr8934=")</f>
        <v>#REF!</v>
      </c>
      <c r="DX313" t="e">
        <f>AND(#REF!,"AAAAAHr8938=")</f>
        <v>#REF!</v>
      </c>
      <c r="DY313" t="e">
        <f>AND(#REF!,"AAAAAHr894A=")</f>
        <v>#REF!</v>
      </c>
      <c r="DZ313" t="e">
        <f>AND(#REF!,"AAAAAHr894E=")</f>
        <v>#REF!</v>
      </c>
      <c r="EA313" t="e">
        <f>AND(#REF!,"AAAAAHr894I=")</f>
        <v>#REF!</v>
      </c>
      <c r="EB313" t="e">
        <f>AND(#REF!,"AAAAAHr894M=")</f>
        <v>#REF!</v>
      </c>
      <c r="EC313" t="e">
        <f>AND(#REF!,"AAAAAHr894Q=")</f>
        <v>#REF!</v>
      </c>
      <c r="ED313" t="e">
        <f>AND(#REF!,"AAAAAHr894U=")</f>
        <v>#REF!</v>
      </c>
      <c r="EE313" t="e">
        <f>AND(#REF!,"AAAAAHr894Y=")</f>
        <v>#REF!</v>
      </c>
      <c r="EF313" t="e">
        <f>AND(#REF!,"AAAAAHr894c=")</f>
        <v>#REF!</v>
      </c>
      <c r="EG313" t="e">
        <f>AND(#REF!,"AAAAAHr894g=")</f>
        <v>#REF!</v>
      </c>
      <c r="EH313" t="e">
        <f>AND(#REF!,"AAAAAHr894k=")</f>
        <v>#REF!</v>
      </c>
      <c r="EI313" t="e">
        <f>IF(#REF!,"AAAAAHr894o=",0)</f>
        <v>#REF!</v>
      </c>
      <c r="EJ313" t="e">
        <f>AND(#REF!,"AAAAAHr894s=")</f>
        <v>#REF!</v>
      </c>
      <c r="EK313" t="e">
        <f>AND(#REF!,"AAAAAHr894w=")</f>
        <v>#REF!</v>
      </c>
      <c r="EL313" t="e">
        <f>AND(#REF!,"AAAAAHr8940=")</f>
        <v>#REF!</v>
      </c>
      <c r="EM313" t="e">
        <f>AND(#REF!,"AAAAAHr8944=")</f>
        <v>#REF!</v>
      </c>
      <c r="EN313" t="e">
        <f>AND(#REF!,"AAAAAHr8948=")</f>
        <v>#REF!</v>
      </c>
      <c r="EO313" t="e">
        <f>AND(#REF!,"AAAAAHr895A=")</f>
        <v>#REF!</v>
      </c>
      <c r="EP313" t="e">
        <f>AND(#REF!,"AAAAAHr895E=")</f>
        <v>#REF!</v>
      </c>
      <c r="EQ313" t="e">
        <f>AND(#REF!,"AAAAAHr895I=")</f>
        <v>#REF!</v>
      </c>
      <c r="ER313" t="e">
        <f>AND(#REF!,"AAAAAHr895M=")</f>
        <v>#REF!</v>
      </c>
      <c r="ES313" t="e">
        <f>AND(#REF!,"AAAAAHr895Q=")</f>
        <v>#REF!</v>
      </c>
      <c r="ET313" t="e">
        <f>AND(#REF!,"AAAAAHr895U=")</f>
        <v>#REF!</v>
      </c>
      <c r="EU313" t="e">
        <f>AND(#REF!,"AAAAAHr895Y=")</f>
        <v>#REF!</v>
      </c>
      <c r="EV313" t="e">
        <f>AND(#REF!,"AAAAAHr895c=")</f>
        <v>#REF!</v>
      </c>
      <c r="EW313" t="e">
        <f>AND(#REF!,"AAAAAHr895g=")</f>
        <v>#REF!</v>
      </c>
      <c r="EX313" t="e">
        <f>AND(#REF!,"AAAAAHr895k=")</f>
        <v>#REF!</v>
      </c>
      <c r="EY313" t="e">
        <f>AND(#REF!,"AAAAAHr895o=")</f>
        <v>#REF!</v>
      </c>
      <c r="EZ313" t="e">
        <f>AND(#REF!,"AAAAAHr895s=")</f>
        <v>#REF!</v>
      </c>
      <c r="FA313" t="e">
        <f>AND(#REF!,"AAAAAHr895w=")</f>
        <v>#REF!</v>
      </c>
      <c r="FB313" t="e">
        <f>AND(#REF!,"AAAAAHr8950=")</f>
        <v>#REF!</v>
      </c>
      <c r="FC313" t="e">
        <f>AND(#REF!,"AAAAAHr8954=")</f>
        <v>#REF!</v>
      </c>
      <c r="FD313" t="e">
        <f>AND(#REF!,"AAAAAHr8958=")</f>
        <v>#REF!</v>
      </c>
      <c r="FE313" t="e">
        <f>AND(#REF!,"AAAAAHr896A=")</f>
        <v>#REF!</v>
      </c>
      <c r="FF313" t="e">
        <f>AND(#REF!,"AAAAAHr896E=")</f>
        <v>#REF!</v>
      </c>
      <c r="FG313" t="e">
        <f>AND(#REF!,"AAAAAHr896I=")</f>
        <v>#REF!</v>
      </c>
      <c r="FH313" t="e">
        <f>IF(#REF!,"AAAAAHr896M=",0)</f>
        <v>#REF!</v>
      </c>
      <c r="FI313" t="e">
        <f>AND(#REF!,"AAAAAHr896Q=")</f>
        <v>#REF!</v>
      </c>
      <c r="FJ313" t="e">
        <f>AND(#REF!,"AAAAAHr896U=")</f>
        <v>#REF!</v>
      </c>
      <c r="FK313" t="e">
        <f>AND(#REF!,"AAAAAHr896Y=")</f>
        <v>#REF!</v>
      </c>
      <c r="FL313" t="e">
        <f>AND(#REF!,"AAAAAHr896c=")</f>
        <v>#REF!</v>
      </c>
      <c r="FM313" t="e">
        <f>AND(#REF!,"AAAAAHr896g=")</f>
        <v>#REF!</v>
      </c>
      <c r="FN313" t="e">
        <f>AND(#REF!,"AAAAAHr896k=")</f>
        <v>#REF!</v>
      </c>
      <c r="FO313" t="e">
        <f>AND(#REF!,"AAAAAHr896o=")</f>
        <v>#REF!</v>
      </c>
      <c r="FP313" t="e">
        <f>AND(#REF!,"AAAAAHr896s=")</f>
        <v>#REF!</v>
      </c>
      <c r="FQ313" t="e">
        <f>AND(#REF!,"AAAAAHr896w=")</f>
        <v>#REF!</v>
      </c>
      <c r="FR313" t="e">
        <f>AND(#REF!,"AAAAAHr8960=")</f>
        <v>#REF!</v>
      </c>
      <c r="FS313" t="e">
        <f>AND(#REF!,"AAAAAHr8964=")</f>
        <v>#REF!</v>
      </c>
      <c r="FT313" t="e">
        <f>AND(#REF!,"AAAAAHr8968=")</f>
        <v>#REF!</v>
      </c>
      <c r="FU313" t="e">
        <f>AND(#REF!,"AAAAAHr897A=")</f>
        <v>#REF!</v>
      </c>
      <c r="FV313" t="e">
        <f>AND(#REF!,"AAAAAHr897E=")</f>
        <v>#REF!</v>
      </c>
      <c r="FW313" t="e">
        <f>AND(#REF!,"AAAAAHr897I=")</f>
        <v>#REF!</v>
      </c>
      <c r="FX313" t="e">
        <f>AND(#REF!,"AAAAAHr897M=")</f>
        <v>#REF!</v>
      </c>
      <c r="FY313" t="e">
        <f>AND(#REF!,"AAAAAHr897Q=")</f>
        <v>#REF!</v>
      </c>
      <c r="FZ313" t="e">
        <f>AND(#REF!,"AAAAAHr897U=")</f>
        <v>#REF!</v>
      </c>
      <c r="GA313" t="e">
        <f>AND(#REF!,"AAAAAHr897Y=")</f>
        <v>#REF!</v>
      </c>
      <c r="GB313" t="e">
        <f>AND(#REF!,"AAAAAHr897c=")</f>
        <v>#REF!</v>
      </c>
      <c r="GC313" t="e">
        <f>AND(#REF!,"AAAAAHr897g=")</f>
        <v>#REF!</v>
      </c>
      <c r="GD313" t="e">
        <f>AND(#REF!,"AAAAAHr897k=")</f>
        <v>#REF!</v>
      </c>
      <c r="GE313" t="e">
        <f>AND(#REF!,"AAAAAHr897o=")</f>
        <v>#REF!</v>
      </c>
      <c r="GF313" t="e">
        <f>AND(#REF!,"AAAAAHr897s=")</f>
        <v>#REF!</v>
      </c>
      <c r="GG313" t="e">
        <f>IF(#REF!,"AAAAAHr897w=",0)</f>
        <v>#REF!</v>
      </c>
      <c r="GH313" t="e">
        <f>AND(#REF!,"AAAAAHr8970=")</f>
        <v>#REF!</v>
      </c>
      <c r="GI313" t="e">
        <f>AND(#REF!,"AAAAAHr8974=")</f>
        <v>#REF!</v>
      </c>
      <c r="GJ313" t="e">
        <f>AND(#REF!,"AAAAAHr8978=")</f>
        <v>#REF!</v>
      </c>
      <c r="GK313" t="e">
        <f>AND(#REF!,"AAAAAHr898A=")</f>
        <v>#REF!</v>
      </c>
      <c r="GL313" t="e">
        <f>AND(#REF!,"AAAAAHr898E=")</f>
        <v>#REF!</v>
      </c>
      <c r="GM313" t="e">
        <f>AND(#REF!,"AAAAAHr898I=")</f>
        <v>#REF!</v>
      </c>
      <c r="GN313" t="e">
        <f>AND(#REF!,"AAAAAHr898M=")</f>
        <v>#REF!</v>
      </c>
      <c r="GO313" t="e">
        <f>AND(#REF!,"AAAAAHr898Q=")</f>
        <v>#REF!</v>
      </c>
      <c r="GP313" t="e">
        <f>AND(#REF!,"AAAAAHr898U=")</f>
        <v>#REF!</v>
      </c>
      <c r="GQ313" t="e">
        <f>AND(#REF!,"AAAAAHr898Y=")</f>
        <v>#REF!</v>
      </c>
      <c r="GR313" t="e">
        <f>AND(#REF!,"AAAAAHr898c=")</f>
        <v>#REF!</v>
      </c>
      <c r="GS313" t="e">
        <f>AND(#REF!,"AAAAAHr898g=")</f>
        <v>#REF!</v>
      </c>
      <c r="GT313" t="e">
        <f>AND(#REF!,"AAAAAHr898k=")</f>
        <v>#REF!</v>
      </c>
      <c r="GU313" t="e">
        <f>AND(#REF!,"AAAAAHr898o=")</f>
        <v>#REF!</v>
      </c>
      <c r="GV313" t="e">
        <f>AND(#REF!,"AAAAAHr898s=")</f>
        <v>#REF!</v>
      </c>
      <c r="GW313" t="e">
        <f>AND(#REF!,"AAAAAHr898w=")</f>
        <v>#REF!</v>
      </c>
      <c r="GX313" t="e">
        <f>AND(#REF!,"AAAAAHr8980=")</f>
        <v>#REF!</v>
      </c>
      <c r="GY313" t="e">
        <f>AND(#REF!,"AAAAAHr8984=")</f>
        <v>#REF!</v>
      </c>
      <c r="GZ313" t="e">
        <f>AND(#REF!,"AAAAAHr8988=")</f>
        <v>#REF!</v>
      </c>
      <c r="HA313" t="e">
        <f>AND(#REF!,"AAAAAHr899A=")</f>
        <v>#REF!</v>
      </c>
      <c r="HB313" t="e">
        <f>AND(#REF!,"AAAAAHr899E=")</f>
        <v>#REF!</v>
      </c>
      <c r="HC313" t="e">
        <f>AND(#REF!,"AAAAAHr899I=")</f>
        <v>#REF!</v>
      </c>
      <c r="HD313" t="e">
        <f>AND(#REF!,"AAAAAHr899M=")</f>
        <v>#REF!</v>
      </c>
      <c r="HE313" t="e">
        <f>AND(#REF!,"AAAAAHr899Q=")</f>
        <v>#REF!</v>
      </c>
      <c r="HF313" t="e">
        <f>IF(#REF!,"AAAAAHr899U=",0)</f>
        <v>#REF!</v>
      </c>
      <c r="HG313" t="e">
        <f>AND(#REF!,"AAAAAHr899Y=")</f>
        <v>#REF!</v>
      </c>
      <c r="HH313" t="e">
        <f>AND(#REF!,"AAAAAHr899c=")</f>
        <v>#REF!</v>
      </c>
      <c r="HI313" t="e">
        <f>AND(#REF!,"AAAAAHr899g=")</f>
        <v>#REF!</v>
      </c>
      <c r="HJ313" t="e">
        <f>AND(#REF!,"AAAAAHr899k=")</f>
        <v>#REF!</v>
      </c>
      <c r="HK313" t="e">
        <f>AND(#REF!,"AAAAAHr899o=")</f>
        <v>#REF!</v>
      </c>
      <c r="HL313" t="e">
        <f>AND(#REF!,"AAAAAHr899s=")</f>
        <v>#REF!</v>
      </c>
      <c r="HM313" t="e">
        <f>AND(#REF!,"AAAAAHr899w=")</f>
        <v>#REF!</v>
      </c>
      <c r="HN313" t="e">
        <f>AND(#REF!,"AAAAAHr8990=")</f>
        <v>#REF!</v>
      </c>
      <c r="HO313" t="e">
        <f>AND(#REF!,"AAAAAHr8994=")</f>
        <v>#REF!</v>
      </c>
      <c r="HP313" t="e">
        <f>AND(#REF!,"AAAAAHr8998=")</f>
        <v>#REF!</v>
      </c>
      <c r="HQ313" t="e">
        <f>AND(#REF!,"AAAAAHr89+A=")</f>
        <v>#REF!</v>
      </c>
      <c r="HR313" t="e">
        <f>AND(#REF!,"AAAAAHr89+E=")</f>
        <v>#REF!</v>
      </c>
      <c r="HS313" t="e">
        <f>AND(#REF!,"AAAAAHr89+I=")</f>
        <v>#REF!</v>
      </c>
      <c r="HT313" t="e">
        <f>AND(#REF!,"AAAAAHr89+M=")</f>
        <v>#REF!</v>
      </c>
      <c r="HU313" t="e">
        <f>AND(#REF!,"AAAAAHr89+Q=")</f>
        <v>#REF!</v>
      </c>
      <c r="HV313" t="e">
        <f>AND(#REF!,"AAAAAHr89+U=")</f>
        <v>#REF!</v>
      </c>
      <c r="HW313" t="e">
        <f>AND(#REF!,"AAAAAHr89+Y=")</f>
        <v>#REF!</v>
      </c>
      <c r="HX313" t="e">
        <f>AND(#REF!,"AAAAAHr89+c=")</f>
        <v>#REF!</v>
      </c>
      <c r="HY313" t="e">
        <f>AND(#REF!,"AAAAAHr89+g=")</f>
        <v>#REF!</v>
      </c>
      <c r="HZ313" t="e">
        <f>AND(#REF!,"AAAAAHr89+k=")</f>
        <v>#REF!</v>
      </c>
      <c r="IA313" t="e">
        <f>AND(#REF!,"AAAAAHr89+o=")</f>
        <v>#REF!</v>
      </c>
      <c r="IB313" t="e">
        <f>AND(#REF!,"AAAAAHr89+s=")</f>
        <v>#REF!</v>
      </c>
      <c r="IC313" t="e">
        <f>AND(#REF!,"AAAAAHr89+w=")</f>
        <v>#REF!</v>
      </c>
      <c r="ID313" t="e">
        <f>AND(#REF!,"AAAAAHr89+0=")</f>
        <v>#REF!</v>
      </c>
      <c r="IE313" t="e">
        <f>IF(#REF!,"AAAAAHr89+4=",0)</f>
        <v>#REF!</v>
      </c>
      <c r="IF313" t="e">
        <f>AND(#REF!,"AAAAAHr89+8=")</f>
        <v>#REF!</v>
      </c>
      <c r="IG313" t="e">
        <f>AND(#REF!,"AAAAAHr89/A=")</f>
        <v>#REF!</v>
      </c>
      <c r="IH313" t="e">
        <f>AND(#REF!,"AAAAAHr89/E=")</f>
        <v>#REF!</v>
      </c>
      <c r="II313" t="e">
        <f>AND(#REF!,"AAAAAHr89/I=")</f>
        <v>#REF!</v>
      </c>
      <c r="IJ313" t="e">
        <f>AND(#REF!,"AAAAAHr89/M=")</f>
        <v>#REF!</v>
      </c>
      <c r="IK313" t="e">
        <f>AND(#REF!,"AAAAAHr89/Q=")</f>
        <v>#REF!</v>
      </c>
      <c r="IL313" t="e">
        <f>AND(#REF!,"AAAAAHr89/U=")</f>
        <v>#REF!</v>
      </c>
      <c r="IM313" t="e">
        <f>AND(#REF!,"AAAAAHr89/Y=")</f>
        <v>#REF!</v>
      </c>
      <c r="IN313" t="e">
        <f>AND(#REF!,"AAAAAHr89/c=")</f>
        <v>#REF!</v>
      </c>
      <c r="IO313" t="e">
        <f>AND(#REF!,"AAAAAHr89/g=")</f>
        <v>#REF!</v>
      </c>
      <c r="IP313" t="e">
        <f>AND(#REF!,"AAAAAHr89/k=")</f>
        <v>#REF!</v>
      </c>
      <c r="IQ313" t="e">
        <f>AND(#REF!,"AAAAAHr89/o=")</f>
        <v>#REF!</v>
      </c>
      <c r="IR313" t="e">
        <f>AND(#REF!,"AAAAAHr89/s=")</f>
        <v>#REF!</v>
      </c>
      <c r="IS313" t="e">
        <f>AND(#REF!,"AAAAAHr89/w=")</f>
        <v>#REF!</v>
      </c>
      <c r="IT313" t="e">
        <f>AND(#REF!,"AAAAAHr89/0=")</f>
        <v>#REF!</v>
      </c>
      <c r="IU313" t="e">
        <f>AND(#REF!,"AAAAAHr89/4=")</f>
        <v>#REF!</v>
      </c>
      <c r="IV313" t="e">
        <f>AND(#REF!,"AAAAAHr89/8=")</f>
        <v>#REF!</v>
      </c>
    </row>
    <row r="314" spans="1:256">
      <c r="A314" t="e">
        <f>AND(#REF!,"AAAAAHN7/wA=")</f>
        <v>#REF!</v>
      </c>
      <c r="B314" t="e">
        <f>AND(#REF!,"AAAAAHN7/wE=")</f>
        <v>#REF!</v>
      </c>
      <c r="C314" t="e">
        <f>AND(#REF!,"AAAAAHN7/wI=")</f>
        <v>#REF!</v>
      </c>
      <c r="D314" t="e">
        <f>AND(#REF!,"AAAAAHN7/wM=")</f>
        <v>#REF!</v>
      </c>
      <c r="E314" t="e">
        <f>AND(#REF!,"AAAAAHN7/wQ=")</f>
        <v>#REF!</v>
      </c>
      <c r="F314" t="e">
        <f>AND(#REF!,"AAAAAHN7/wU=")</f>
        <v>#REF!</v>
      </c>
      <c r="G314" t="e">
        <f>AND(#REF!,"AAAAAHN7/wY=")</f>
        <v>#REF!</v>
      </c>
      <c r="H314" t="e">
        <f>IF(#REF!,"AAAAAHN7/wc=",0)</f>
        <v>#REF!</v>
      </c>
      <c r="I314" t="e">
        <f>AND(#REF!,"AAAAAHN7/wg=")</f>
        <v>#REF!</v>
      </c>
      <c r="J314" t="e">
        <f>AND(#REF!,"AAAAAHN7/wk=")</f>
        <v>#REF!</v>
      </c>
      <c r="K314" t="e">
        <f>AND(#REF!,"AAAAAHN7/wo=")</f>
        <v>#REF!</v>
      </c>
      <c r="L314" t="e">
        <f>AND(#REF!,"AAAAAHN7/ws=")</f>
        <v>#REF!</v>
      </c>
      <c r="M314" t="e">
        <f>AND(#REF!,"AAAAAHN7/ww=")</f>
        <v>#REF!</v>
      </c>
      <c r="N314" t="e">
        <f>AND(#REF!,"AAAAAHN7/w0=")</f>
        <v>#REF!</v>
      </c>
      <c r="O314" t="e">
        <f>AND(#REF!,"AAAAAHN7/w4=")</f>
        <v>#REF!</v>
      </c>
      <c r="P314" t="e">
        <f>AND(#REF!,"AAAAAHN7/w8=")</f>
        <v>#REF!</v>
      </c>
      <c r="Q314" t="e">
        <f>AND(#REF!,"AAAAAHN7/xA=")</f>
        <v>#REF!</v>
      </c>
      <c r="R314" t="e">
        <f>AND(#REF!,"AAAAAHN7/xE=")</f>
        <v>#REF!</v>
      </c>
      <c r="S314" t="e">
        <f>AND(#REF!,"AAAAAHN7/xI=")</f>
        <v>#REF!</v>
      </c>
      <c r="T314" t="e">
        <f>AND(#REF!,"AAAAAHN7/xM=")</f>
        <v>#REF!</v>
      </c>
      <c r="U314" t="e">
        <f>AND(#REF!,"AAAAAHN7/xQ=")</f>
        <v>#REF!</v>
      </c>
      <c r="V314" t="e">
        <f>AND(#REF!,"AAAAAHN7/xU=")</f>
        <v>#REF!</v>
      </c>
      <c r="W314" t="e">
        <f>AND(#REF!,"AAAAAHN7/xY=")</f>
        <v>#REF!</v>
      </c>
      <c r="X314" t="e">
        <f>AND(#REF!,"AAAAAHN7/xc=")</f>
        <v>#REF!</v>
      </c>
      <c r="Y314" t="e">
        <f>AND(#REF!,"AAAAAHN7/xg=")</f>
        <v>#REF!</v>
      </c>
      <c r="Z314" t="e">
        <f>AND(#REF!,"AAAAAHN7/xk=")</f>
        <v>#REF!</v>
      </c>
      <c r="AA314" t="e">
        <f>AND(#REF!,"AAAAAHN7/xo=")</f>
        <v>#REF!</v>
      </c>
      <c r="AB314" t="e">
        <f>AND(#REF!,"AAAAAHN7/xs=")</f>
        <v>#REF!</v>
      </c>
      <c r="AC314" t="e">
        <f>AND(#REF!,"AAAAAHN7/xw=")</f>
        <v>#REF!</v>
      </c>
      <c r="AD314" t="e">
        <f>AND(#REF!,"AAAAAHN7/x0=")</f>
        <v>#REF!</v>
      </c>
      <c r="AE314" t="e">
        <f>AND(#REF!,"AAAAAHN7/x4=")</f>
        <v>#REF!</v>
      </c>
      <c r="AF314" t="e">
        <f>AND(#REF!,"AAAAAHN7/x8=")</f>
        <v>#REF!</v>
      </c>
      <c r="AG314" t="e">
        <f>IF(#REF!,"AAAAAHN7/yA=",0)</f>
        <v>#REF!</v>
      </c>
      <c r="AH314" t="e">
        <f>AND(#REF!,"AAAAAHN7/yE=")</f>
        <v>#REF!</v>
      </c>
      <c r="AI314" t="e">
        <f>AND(#REF!,"AAAAAHN7/yI=")</f>
        <v>#REF!</v>
      </c>
      <c r="AJ314" t="e">
        <f>AND(#REF!,"AAAAAHN7/yM=")</f>
        <v>#REF!</v>
      </c>
      <c r="AK314" t="e">
        <f>AND(#REF!,"AAAAAHN7/yQ=")</f>
        <v>#REF!</v>
      </c>
      <c r="AL314" t="e">
        <f>AND(#REF!,"AAAAAHN7/yU=")</f>
        <v>#REF!</v>
      </c>
      <c r="AM314" t="e">
        <f>AND(#REF!,"AAAAAHN7/yY=")</f>
        <v>#REF!</v>
      </c>
      <c r="AN314" t="e">
        <f>AND(#REF!,"AAAAAHN7/yc=")</f>
        <v>#REF!</v>
      </c>
      <c r="AO314" t="e">
        <f>AND(#REF!,"AAAAAHN7/yg=")</f>
        <v>#REF!</v>
      </c>
      <c r="AP314" t="e">
        <f>AND(#REF!,"AAAAAHN7/yk=")</f>
        <v>#REF!</v>
      </c>
      <c r="AQ314" t="e">
        <f>AND(#REF!,"AAAAAHN7/yo=")</f>
        <v>#REF!</v>
      </c>
      <c r="AR314" t="e">
        <f>AND(#REF!,"AAAAAHN7/ys=")</f>
        <v>#REF!</v>
      </c>
      <c r="AS314" t="e">
        <f>AND(#REF!,"AAAAAHN7/yw=")</f>
        <v>#REF!</v>
      </c>
      <c r="AT314" t="e">
        <f>AND(#REF!,"AAAAAHN7/y0=")</f>
        <v>#REF!</v>
      </c>
      <c r="AU314" t="e">
        <f>AND(#REF!,"AAAAAHN7/y4=")</f>
        <v>#REF!</v>
      </c>
      <c r="AV314" t="e">
        <f>AND(#REF!,"AAAAAHN7/y8=")</f>
        <v>#REF!</v>
      </c>
      <c r="AW314" t="e">
        <f>AND(#REF!,"AAAAAHN7/zA=")</f>
        <v>#REF!</v>
      </c>
      <c r="AX314" t="e">
        <f>AND(#REF!,"AAAAAHN7/zE=")</f>
        <v>#REF!</v>
      </c>
      <c r="AY314" t="e">
        <f>AND(#REF!,"AAAAAHN7/zI=")</f>
        <v>#REF!</v>
      </c>
      <c r="AZ314" t="e">
        <f>AND(#REF!,"AAAAAHN7/zM=")</f>
        <v>#REF!</v>
      </c>
      <c r="BA314" t="e">
        <f>AND(#REF!,"AAAAAHN7/zQ=")</f>
        <v>#REF!</v>
      </c>
      <c r="BB314" t="e">
        <f>AND(#REF!,"AAAAAHN7/zU=")</f>
        <v>#REF!</v>
      </c>
      <c r="BC314" t="e">
        <f>AND(#REF!,"AAAAAHN7/zY=")</f>
        <v>#REF!</v>
      </c>
      <c r="BD314" t="e">
        <f>AND(#REF!,"AAAAAHN7/zc=")</f>
        <v>#REF!</v>
      </c>
      <c r="BE314" t="e">
        <f>AND(#REF!,"AAAAAHN7/zg=")</f>
        <v>#REF!</v>
      </c>
      <c r="BF314" t="e">
        <f>IF(#REF!,"AAAAAHN7/zk=",0)</f>
        <v>#REF!</v>
      </c>
      <c r="BG314" t="e">
        <f>AND(#REF!,"AAAAAHN7/zo=")</f>
        <v>#REF!</v>
      </c>
      <c r="BH314" t="e">
        <f>AND(#REF!,"AAAAAHN7/zs=")</f>
        <v>#REF!</v>
      </c>
      <c r="BI314" t="e">
        <f>AND(#REF!,"AAAAAHN7/zw=")</f>
        <v>#REF!</v>
      </c>
      <c r="BJ314" t="e">
        <f>AND(#REF!,"AAAAAHN7/z0=")</f>
        <v>#REF!</v>
      </c>
      <c r="BK314" t="e">
        <f>AND(#REF!,"AAAAAHN7/z4=")</f>
        <v>#REF!</v>
      </c>
      <c r="BL314" t="e">
        <f>AND(#REF!,"AAAAAHN7/z8=")</f>
        <v>#REF!</v>
      </c>
      <c r="BM314" t="e">
        <f>AND(#REF!,"AAAAAHN7/0A=")</f>
        <v>#REF!</v>
      </c>
      <c r="BN314" t="e">
        <f>AND(#REF!,"AAAAAHN7/0E=")</f>
        <v>#REF!</v>
      </c>
      <c r="BO314" t="e">
        <f>AND(#REF!,"AAAAAHN7/0I=")</f>
        <v>#REF!</v>
      </c>
      <c r="BP314" t="e">
        <f>AND(#REF!,"AAAAAHN7/0M=")</f>
        <v>#REF!</v>
      </c>
      <c r="BQ314" t="e">
        <f>AND(#REF!,"AAAAAHN7/0Q=")</f>
        <v>#REF!</v>
      </c>
      <c r="BR314" t="e">
        <f>AND(#REF!,"AAAAAHN7/0U=")</f>
        <v>#REF!</v>
      </c>
      <c r="BS314" t="e">
        <f>AND(#REF!,"AAAAAHN7/0Y=")</f>
        <v>#REF!</v>
      </c>
      <c r="BT314" t="e">
        <f>AND(#REF!,"AAAAAHN7/0c=")</f>
        <v>#REF!</v>
      </c>
      <c r="BU314" t="e">
        <f>AND(#REF!,"AAAAAHN7/0g=")</f>
        <v>#REF!</v>
      </c>
      <c r="BV314" t="e">
        <f>AND(#REF!,"AAAAAHN7/0k=")</f>
        <v>#REF!</v>
      </c>
      <c r="BW314" t="e">
        <f>AND(#REF!,"AAAAAHN7/0o=")</f>
        <v>#REF!</v>
      </c>
      <c r="BX314" t="e">
        <f>AND(#REF!,"AAAAAHN7/0s=")</f>
        <v>#REF!</v>
      </c>
      <c r="BY314" t="e">
        <f>AND(#REF!,"AAAAAHN7/0w=")</f>
        <v>#REF!</v>
      </c>
      <c r="BZ314" t="e">
        <f>AND(#REF!,"AAAAAHN7/00=")</f>
        <v>#REF!</v>
      </c>
      <c r="CA314" t="e">
        <f>AND(#REF!,"AAAAAHN7/04=")</f>
        <v>#REF!</v>
      </c>
      <c r="CB314" t="e">
        <f>AND(#REF!,"AAAAAHN7/08=")</f>
        <v>#REF!</v>
      </c>
      <c r="CC314" t="e">
        <f>AND(#REF!,"AAAAAHN7/1A=")</f>
        <v>#REF!</v>
      </c>
      <c r="CD314" t="e">
        <f>AND(#REF!,"AAAAAHN7/1E=")</f>
        <v>#REF!</v>
      </c>
      <c r="CE314" t="e">
        <f>IF(#REF!,"AAAAAHN7/1I=",0)</f>
        <v>#REF!</v>
      </c>
      <c r="CF314" t="e">
        <f>AND(#REF!,"AAAAAHN7/1M=")</f>
        <v>#REF!</v>
      </c>
      <c r="CG314" t="e">
        <f>AND(#REF!,"AAAAAHN7/1Q=")</f>
        <v>#REF!</v>
      </c>
      <c r="CH314" t="e">
        <f>AND(#REF!,"AAAAAHN7/1U=")</f>
        <v>#REF!</v>
      </c>
      <c r="CI314" t="e">
        <f>AND(#REF!,"AAAAAHN7/1Y=")</f>
        <v>#REF!</v>
      </c>
      <c r="CJ314" t="e">
        <f>AND(#REF!,"AAAAAHN7/1c=")</f>
        <v>#REF!</v>
      </c>
      <c r="CK314" t="e">
        <f>AND(#REF!,"AAAAAHN7/1g=")</f>
        <v>#REF!</v>
      </c>
      <c r="CL314" t="e">
        <f>AND(#REF!,"AAAAAHN7/1k=")</f>
        <v>#REF!</v>
      </c>
      <c r="CM314" t="e">
        <f>AND(#REF!,"AAAAAHN7/1o=")</f>
        <v>#REF!</v>
      </c>
      <c r="CN314" t="e">
        <f>AND(#REF!,"AAAAAHN7/1s=")</f>
        <v>#REF!</v>
      </c>
      <c r="CO314" t="e">
        <f>AND(#REF!,"AAAAAHN7/1w=")</f>
        <v>#REF!</v>
      </c>
      <c r="CP314" t="e">
        <f>AND(#REF!,"AAAAAHN7/10=")</f>
        <v>#REF!</v>
      </c>
      <c r="CQ314" t="e">
        <f>AND(#REF!,"AAAAAHN7/14=")</f>
        <v>#REF!</v>
      </c>
      <c r="CR314" t="e">
        <f>AND(#REF!,"AAAAAHN7/18=")</f>
        <v>#REF!</v>
      </c>
      <c r="CS314" t="e">
        <f>AND(#REF!,"AAAAAHN7/2A=")</f>
        <v>#REF!</v>
      </c>
      <c r="CT314" t="e">
        <f>AND(#REF!,"AAAAAHN7/2E=")</f>
        <v>#REF!</v>
      </c>
      <c r="CU314" t="e">
        <f>AND(#REF!,"AAAAAHN7/2I=")</f>
        <v>#REF!</v>
      </c>
      <c r="CV314" t="e">
        <f>AND(#REF!,"AAAAAHN7/2M=")</f>
        <v>#REF!</v>
      </c>
      <c r="CW314" t="e">
        <f>AND(#REF!,"AAAAAHN7/2Q=")</f>
        <v>#REF!</v>
      </c>
      <c r="CX314" t="e">
        <f>AND(#REF!,"AAAAAHN7/2U=")</f>
        <v>#REF!</v>
      </c>
      <c r="CY314" t="e">
        <f>AND(#REF!,"AAAAAHN7/2Y=")</f>
        <v>#REF!</v>
      </c>
      <c r="CZ314" t="e">
        <f>AND(#REF!,"AAAAAHN7/2c=")</f>
        <v>#REF!</v>
      </c>
      <c r="DA314" t="e">
        <f>AND(#REF!,"AAAAAHN7/2g=")</f>
        <v>#REF!</v>
      </c>
      <c r="DB314" t="e">
        <f>AND(#REF!,"AAAAAHN7/2k=")</f>
        <v>#REF!</v>
      </c>
      <c r="DC314" t="e">
        <f>AND(#REF!,"AAAAAHN7/2o=")</f>
        <v>#REF!</v>
      </c>
      <c r="DD314" t="e">
        <f>IF(#REF!,"AAAAAHN7/2s=",0)</f>
        <v>#REF!</v>
      </c>
      <c r="DE314" t="e">
        <f>AND(#REF!,"AAAAAHN7/2w=")</f>
        <v>#REF!</v>
      </c>
      <c r="DF314" t="e">
        <f>AND(#REF!,"AAAAAHN7/20=")</f>
        <v>#REF!</v>
      </c>
      <c r="DG314" t="e">
        <f>AND(#REF!,"AAAAAHN7/24=")</f>
        <v>#REF!</v>
      </c>
      <c r="DH314" t="e">
        <f>AND(#REF!,"AAAAAHN7/28=")</f>
        <v>#REF!</v>
      </c>
      <c r="DI314" t="e">
        <f>AND(#REF!,"AAAAAHN7/3A=")</f>
        <v>#REF!</v>
      </c>
      <c r="DJ314" t="e">
        <f>AND(#REF!,"AAAAAHN7/3E=")</f>
        <v>#REF!</v>
      </c>
      <c r="DK314" t="e">
        <f>AND(#REF!,"AAAAAHN7/3I=")</f>
        <v>#REF!</v>
      </c>
      <c r="DL314" t="e">
        <f>AND(#REF!,"AAAAAHN7/3M=")</f>
        <v>#REF!</v>
      </c>
      <c r="DM314" t="e">
        <f>AND(#REF!,"AAAAAHN7/3Q=")</f>
        <v>#REF!</v>
      </c>
      <c r="DN314" t="e">
        <f>AND(#REF!,"AAAAAHN7/3U=")</f>
        <v>#REF!</v>
      </c>
      <c r="DO314" t="e">
        <f>AND(#REF!,"AAAAAHN7/3Y=")</f>
        <v>#REF!</v>
      </c>
      <c r="DP314" t="e">
        <f>AND(#REF!,"AAAAAHN7/3c=")</f>
        <v>#REF!</v>
      </c>
      <c r="DQ314" t="e">
        <f>AND(#REF!,"AAAAAHN7/3g=")</f>
        <v>#REF!</v>
      </c>
      <c r="DR314" t="e">
        <f>AND(#REF!,"AAAAAHN7/3k=")</f>
        <v>#REF!</v>
      </c>
      <c r="DS314" t="e">
        <f>AND(#REF!,"AAAAAHN7/3o=")</f>
        <v>#REF!</v>
      </c>
      <c r="DT314" t="e">
        <f>AND(#REF!,"AAAAAHN7/3s=")</f>
        <v>#REF!</v>
      </c>
      <c r="DU314" t="e">
        <f>AND(#REF!,"AAAAAHN7/3w=")</f>
        <v>#REF!</v>
      </c>
      <c r="DV314" t="e">
        <f>AND(#REF!,"AAAAAHN7/30=")</f>
        <v>#REF!</v>
      </c>
      <c r="DW314" t="e">
        <f>AND(#REF!,"AAAAAHN7/34=")</f>
        <v>#REF!</v>
      </c>
      <c r="DX314" t="e">
        <f>AND(#REF!,"AAAAAHN7/38=")</f>
        <v>#REF!</v>
      </c>
      <c r="DY314" t="e">
        <f>AND(#REF!,"AAAAAHN7/4A=")</f>
        <v>#REF!</v>
      </c>
      <c r="DZ314" t="e">
        <f>AND(#REF!,"AAAAAHN7/4E=")</f>
        <v>#REF!</v>
      </c>
      <c r="EA314" t="e">
        <f>AND(#REF!,"AAAAAHN7/4I=")</f>
        <v>#REF!</v>
      </c>
      <c r="EB314" t="e">
        <f>AND(#REF!,"AAAAAHN7/4M=")</f>
        <v>#REF!</v>
      </c>
      <c r="EC314" t="e">
        <f>IF(#REF!,"AAAAAHN7/4Q=",0)</f>
        <v>#REF!</v>
      </c>
      <c r="ED314" t="e">
        <f>AND(#REF!,"AAAAAHN7/4U=")</f>
        <v>#REF!</v>
      </c>
      <c r="EE314" t="e">
        <f>AND(#REF!,"AAAAAHN7/4Y=")</f>
        <v>#REF!</v>
      </c>
      <c r="EF314" t="e">
        <f>AND(#REF!,"AAAAAHN7/4c=")</f>
        <v>#REF!</v>
      </c>
      <c r="EG314" t="e">
        <f>AND(#REF!,"AAAAAHN7/4g=")</f>
        <v>#REF!</v>
      </c>
      <c r="EH314" t="e">
        <f>AND(#REF!,"AAAAAHN7/4k=")</f>
        <v>#REF!</v>
      </c>
      <c r="EI314" t="e">
        <f>AND(#REF!,"AAAAAHN7/4o=")</f>
        <v>#REF!</v>
      </c>
      <c r="EJ314" t="e">
        <f>AND(#REF!,"AAAAAHN7/4s=")</f>
        <v>#REF!</v>
      </c>
      <c r="EK314" t="e">
        <f>AND(#REF!,"AAAAAHN7/4w=")</f>
        <v>#REF!</v>
      </c>
      <c r="EL314" t="e">
        <f>AND(#REF!,"AAAAAHN7/40=")</f>
        <v>#REF!</v>
      </c>
      <c r="EM314" t="e">
        <f>AND(#REF!,"AAAAAHN7/44=")</f>
        <v>#REF!</v>
      </c>
      <c r="EN314" t="e">
        <f>AND(#REF!,"AAAAAHN7/48=")</f>
        <v>#REF!</v>
      </c>
      <c r="EO314" t="e">
        <f>AND(#REF!,"AAAAAHN7/5A=")</f>
        <v>#REF!</v>
      </c>
      <c r="EP314" t="e">
        <f>AND(#REF!,"AAAAAHN7/5E=")</f>
        <v>#REF!</v>
      </c>
      <c r="EQ314" t="e">
        <f>AND(#REF!,"AAAAAHN7/5I=")</f>
        <v>#REF!</v>
      </c>
      <c r="ER314" t="e">
        <f>AND(#REF!,"AAAAAHN7/5M=")</f>
        <v>#REF!</v>
      </c>
      <c r="ES314" t="e">
        <f>AND(#REF!,"AAAAAHN7/5Q=")</f>
        <v>#REF!</v>
      </c>
      <c r="ET314" t="e">
        <f>AND(#REF!,"AAAAAHN7/5U=")</f>
        <v>#REF!</v>
      </c>
      <c r="EU314" t="e">
        <f>AND(#REF!,"AAAAAHN7/5Y=")</f>
        <v>#REF!</v>
      </c>
      <c r="EV314" t="e">
        <f>AND(#REF!,"AAAAAHN7/5c=")</f>
        <v>#REF!</v>
      </c>
      <c r="EW314" t="e">
        <f>AND(#REF!,"AAAAAHN7/5g=")</f>
        <v>#REF!</v>
      </c>
      <c r="EX314" t="e">
        <f>AND(#REF!,"AAAAAHN7/5k=")</f>
        <v>#REF!</v>
      </c>
      <c r="EY314" t="e">
        <f>AND(#REF!,"AAAAAHN7/5o=")</f>
        <v>#REF!</v>
      </c>
      <c r="EZ314" t="e">
        <f>AND(#REF!,"AAAAAHN7/5s=")</f>
        <v>#REF!</v>
      </c>
      <c r="FA314" t="e">
        <f>AND(#REF!,"AAAAAHN7/5w=")</f>
        <v>#REF!</v>
      </c>
      <c r="FB314" t="e">
        <f>IF(#REF!,"AAAAAHN7/50=",0)</f>
        <v>#REF!</v>
      </c>
      <c r="FC314" t="e">
        <f>AND(#REF!,"AAAAAHN7/54=")</f>
        <v>#REF!</v>
      </c>
      <c r="FD314" t="e">
        <f>AND(#REF!,"AAAAAHN7/58=")</f>
        <v>#REF!</v>
      </c>
      <c r="FE314" t="e">
        <f>AND(#REF!,"AAAAAHN7/6A=")</f>
        <v>#REF!</v>
      </c>
      <c r="FF314" t="e">
        <f>AND(#REF!,"AAAAAHN7/6E=")</f>
        <v>#REF!</v>
      </c>
      <c r="FG314" t="e">
        <f>AND(#REF!,"AAAAAHN7/6I=")</f>
        <v>#REF!</v>
      </c>
      <c r="FH314" t="e">
        <f>AND(#REF!,"AAAAAHN7/6M=")</f>
        <v>#REF!</v>
      </c>
      <c r="FI314" t="e">
        <f>AND(#REF!,"AAAAAHN7/6Q=")</f>
        <v>#REF!</v>
      </c>
      <c r="FJ314" t="e">
        <f>AND(#REF!,"AAAAAHN7/6U=")</f>
        <v>#REF!</v>
      </c>
      <c r="FK314" t="e">
        <f>AND(#REF!,"AAAAAHN7/6Y=")</f>
        <v>#REF!</v>
      </c>
      <c r="FL314" t="e">
        <f>AND(#REF!,"AAAAAHN7/6c=")</f>
        <v>#REF!</v>
      </c>
      <c r="FM314" t="e">
        <f>AND(#REF!,"AAAAAHN7/6g=")</f>
        <v>#REF!</v>
      </c>
      <c r="FN314" t="e">
        <f>AND(#REF!,"AAAAAHN7/6k=")</f>
        <v>#REF!</v>
      </c>
      <c r="FO314" t="e">
        <f>AND(#REF!,"AAAAAHN7/6o=")</f>
        <v>#REF!</v>
      </c>
      <c r="FP314" t="e">
        <f>AND(#REF!,"AAAAAHN7/6s=")</f>
        <v>#REF!</v>
      </c>
      <c r="FQ314" t="e">
        <f>AND(#REF!,"AAAAAHN7/6w=")</f>
        <v>#REF!</v>
      </c>
      <c r="FR314" t="e">
        <f>AND(#REF!,"AAAAAHN7/60=")</f>
        <v>#REF!</v>
      </c>
      <c r="FS314" t="e">
        <f>AND(#REF!,"AAAAAHN7/64=")</f>
        <v>#REF!</v>
      </c>
      <c r="FT314" t="e">
        <f>AND(#REF!,"AAAAAHN7/68=")</f>
        <v>#REF!</v>
      </c>
      <c r="FU314" t="e">
        <f>AND(#REF!,"AAAAAHN7/7A=")</f>
        <v>#REF!</v>
      </c>
      <c r="FV314" t="e">
        <f>AND(#REF!,"AAAAAHN7/7E=")</f>
        <v>#REF!</v>
      </c>
      <c r="FW314" t="e">
        <f>AND(#REF!,"AAAAAHN7/7I=")</f>
        <v>#REF!</v>
      </c>
      <c r="FX314" t="e">
        <f>AND(#REF!,"AAAAAHN7/7M=")</f>
        <v>#REF!</v>
      </c>
      <c r="FY314" t="e">
        <f>AND(#REF!,"AAAAAHN7/7Q=")</f>
        <v>#REF!</v>
      </c>
      <c r="FZ314" t="e">
        <f>AND(#REF!,"AAAAAHN7/7U=")</f>
        <v>#REF!</v>
      </c>
      <c r="GA314" t="e">
        <f>IF(#REF!,"AAAAAHN7/7Y=",0)</f>
        <v>#REF!</v>
      </c>
      <c r="GB314" t="e">
        <f>AND(#REF!,"AAAAAHN7/7c=")</f>
        <v>#REF!</v>
      </c>
      <c r="GC314" t="e">
        <f>AND(#REF!,"AAAAAHN7/7g=")</f>
        <v>#REF!</v>
      </c>
      <c r="GD314" t="e">
        <f>AND(#REF!,"AAAAAHN7/7k=")</f>
        <v>#REF!</v>
      </c>
      <c r="GE314" t="e">
        <f>AND(#REF!,"AAAAAHN7/7o=")</f>
        <v>#REF!</v>
      </c>
      <c r="GF314" t="e">
        <f>AND(#REF!,"AAAAAHN7/7s=")</f>
        <v>#REF!</v>
      </c>
      <c r="GG314" t="e">
        <f>AND(#REF!,"AAAAAHN7/7w=")</f>
        <v>#REF!</v>
      </c>
      <c r="GH314" t="e">
        <f>AND(#REF!,"AAAAAHN7/70=")</f>
        <v>#REF!</v>
      </c>
      <c r="GI314" t="e">
        <f>AND(#REF!,"AAAAAHN7/74=")</f>
        <v>#REF!</v>
      </c>
      <c r="GJ314" t="e">
        <f>AND(#REF!,"AAAAAHN7/78=")</f>
        <v>#REF!</v>
      </c>
      <c r="GK314" t="e">
        <f>AND(#REF!,"AAAAAHN7/8A=")</f>
        <v>#REF!</v>
      </c>
      <c r="GL314" t="e">
        <f>AND(#REF!,"AAAAAHN7/8E=")</f>
        <v>#REF!</v>
      </c>
      <c r="GM314" t="e">
        <f>AND(#REF!,"AAAAAHN7/8I=")</f>
        <v>#REF!</v>
      </c>
      <c r="GN314" t="e">
        <f>AND(#REF!,"AAAAAHN7/8M=")</f>
        <v>#REF!</v>
      </c>
      <c r="GO314" t="e">
        <f>AND(#REF!,"AAAAAHN7/8Q=")</f>
        <v>#REF!</v>
      </c>
      <c r="GP314" t="e">
        <f>AND(#REF!,"AAAAAHN7/8U=")</f>
        <v>#REF!</v>
      </c>
      <c r="GQ314" t="e">
        <f>AND(#REF!,"AAAAAHN7/8Y=")</f>
        <v>#REF!</v>
      </c>
      <c r="GR314" t="e">
        <f>AND(#REF!,"AAAAAHN7/8c=")</f>
        <v>#REF!</v>
      </c>
      <c r="GS314" t="e">
        <f>AND(#REF!,"AAAAAHN7/8g=")</f>
        <v>#REF!</v>
      </c>
      <c r="GT314" t="e">
        <f>AND(#REF!,"AAAAAHN7/8k=")</f>
        <v>#REF!</v>
      </c>
      <c r="GU314" t="e">
        <f>AND(#REF!,"AAAAAHN7/8o=")</f>
        <v>#REF!</v>
      </c>
      <c r="GV314" t="e">
        <f>AND(#REF!,"AAAAAHN7/8s=")</f>
        <v>#REF!</v>
      </c>
      <c r="GW314" t="e">
        <f>AND(#REF!,"AAAAAHN7/8w=")</f>
        <v>#REF!</v>
      </c>
      <c r="GX314" t="e">
        <f>AND(#REF!,"AAAAAHN7/80=")</f>
        <v>#REF!</v>
      </c>
      <c r="GY314" t="e">
        <f>AND(#REF!,"AAAAAHN7/84=")</f>
        <v>#REF!</v>
      </c>
      <c r="GZ314" t="e">
        <f>IF(#REF!,"AAAAAHN7/88=",0)</f>
        <v>#REF!</v>
      </c>
      <c r="HA314" t="e">
        <f>AND(#REF!,"AAAAAHN7/9A=")</f>
        <v>#REF!</v>
      </c>
      <c r="HB314" t="e">
        <f>AND(#REF!,"AAAAAHN7/9E=")</f>
        <v>#REF!</v>
      </c>
      <c r="HC314" t="e">
        <f>AND(#REF!,"AAAAAHN7/9I=")</f>
        <v>#REF!</v>
      </c>
      <c r="HD314" t="e">
        <f>AND(#REF!,"AAAAAHN7/9M=")</f>
        <v>#REF!</v>
      </c>
      <c r="HE314" t="e">
        <f>AND(#REF!,"AAAAAHN7/9Q=")</f>
        <v>#REF!</v>
      </c>
      <c r="HF314" t="e">
        <f>AND(#REF!,"AAAAAHN7/9U=")</f>
        <v>#REF!</v>
      </c>
      <c r="HG314" t="e">
        <f>AND(#REF!,"AAAAAHN7/9Y=")</f>
        <v>#REF!</v>
      </c>
      <c r="HH314" t="e">
        <f>AND(#REF!,"AAAAAHN7/9c=")</f>
        <v>#REF!</v>
      </c>
      <c r="HI314" t="e">
        <f>AND(#REF!,"AAAAAHN7/9g=")</f>
        <v>#REF!</v>
      </c>
      <c r="HJ314" t="e">
        <f>AND(#REF!,"AAAAAHN7/9k=")</f>
        <v>#REF!</v>
      </c>
      <c r="HK314" t="e">
        <f>AND(#REF!,"AAAAAHN7/9o=")</f>
        <v>#REF!</v>
      </c>
      <c r="HL314" t="e">
        <f>AND(#REF!,"AAAAAHN7/9s=")</f>
        <v>#REF!</v>
      </c>
      <c r="HM314" t="e">
        <f>AND(#REF!,"AAAAAHN7/9w=")</f>
        <v>#REF!</v>
      </c>
      <c r="HN314" t="e">
        <f>AND(#REF!,"AAAAAHN7/90=")</f>
        <v>#REF!</v>
      </c>
      <c r="HO314" t="e">
        <f>AND(#REF!,"AAAAAHN7/94=")</f>
        <v>#REF!</v>
      </c>
      <c r="HP314" t="e">
        <f>AND(#REF!,"AAAAAHN7/98=")</f>
        <v>#REF!</v>
      </c>
      <c r="HQ314" t="e">
        <f>AND(#REF!,"AAAAAHN7/+A=")</f>
        <v>#REF!</v>
      </c>
      <c r="HR314" t="e">
        <f>AND(#REF!,"AAAAAHN7/+E=")</f>
        <v>#REF!</v>
      </c>
      <c r="HS314" t="e">
        <f>AND(#REF!,"AAAAAHN7/+I=")</f>
        <v>#REF!</v>
      </c>
      <c r="HT314" t="e">
        <f>AND(#REF!,"AAAAAHN7/+M=")</f>
        <v>#REF!</v>
      </c>
      <c r="HU314" t="e">
        <f>AND(#REF!,"AAAAAHN7/+Q=")</f>
        <v>#REF!</v>
      </c>
      <c r="HV314" t="e">
        <f>AND(#REF!,"AAAAAHN7/+U=")</f>
        <v>#REF!</v>
      </c>
      <c r="HW314" t="e">
        <f>AND(#REF!,"AAAAAHN7/+Y=")</f>
        <v>#REF!</v>
      </c>
      <c r="HX314" t="e">
        <f>AND(#REF!,"AAAAAHN7/+c=")</f>
        <v>#REF!</v>
      </c>
      <c r="HY314" t="e">
        <f>IF(#REF!,"AAAAAHN7/+g=",0)</f>
        <v>#REF!</v>
      </c>
      <c r="HZ314" t="e">
        <f>AND(#REF!,"AAAAAHN7/+k=")</f>
        <v>#REF!</v>
      </c>
      <c r="IA314" t="e">
        <f>AND(#REF!,"AAAAAHN7/+o=")</f>
        <v>#REF!</v>
      </c>
      <c r="IB314" t="e">
        <f>AND(#REF!,"AAAAAHN7/+s=")</f>
        <v>#REF!</v>
      </c>
      <c r="IC314" t="e">
        <f>AND(#REF!,"AAAAAHN7/+w=")</f>
        <v>#REF!</v>
      </c>
      <c r="ID314" t="e">
        <f>AND(#REF!,"AAAAAHN7/+0=")</f>
        <v>#REF!</v>
      </c>
      <c r="IE314" t="e">
        <f>AND(#REF!,"AAAAAHN7/+4=")</f>
        <v>#REF!</v>
      </c>
      <c r="IF314" t="e">
        <f>AND(#REF!,"AAAAAHN7/+8=")</f>
        <v>#REF!</v>
      </c>
      <c r="IG314" t="e">
        <f>AND(#REF!,"AAAAAHN7//A=")</f>
        <v>#REF!</v>
      </c>
      <c r="IH314" t="e">
        <f>AND(#REF!,"AAAAAHN7//E=")</f>
        <v>#REF!</v>
      </c>
      <c r="II314" t="e">
        <f>AND(#REF!,"AAAAAHN7//I=")</f>
        <v>#REF!</v>
      </c>
      <c r="IJ314" t="e">
        <f>AND(#REF!,"AAAAAHN7//M=")</f>
        <v>#REF!</v>
      </c>
      <c r="IK314" t="e">
        <f>AND(#REF!,"AAAAAHN7//Q=")</f>
        <v>#REF!</v>
      </c>
      <c r="IL314" t="e">
        <f>AND(#REF!,"AAAAAHN7//U=")</f>
        <v>#REF!</v>
      </c>
      <c r="IM314" t="e">
        <f>AND(#REF!,"AAAAAHN7//Y=")</f>
        <v>#REF!</v>
      </c>
      <c r="IN314" t="e">
        <f>AND(#REF!,"AAAAAHN7//c=")</f>
        <v>#REF!</v>
      </c>
      <c r="IO314" t="e">
        <f>AND(#REF!,"AAAAAHN7//g=")</f>
        <v>#REF!</v>
      </c>
      <c r="IP314" t="e">
        <f>AND(#REF!,"AAAAAHN7//k=")</f>
        <v>#REF!</v>
      </c>
      <c r="IQ314" t="e">
        <f>AND(#REF!,"AAAAAHN7//o=")</f>
        <v>#REF!</v>
      </c>
      <c r="IR314" t="e">
        <f>AND(#REF!,"AAAAAHN7//s=")</f>
        <v>#REF!</v>
      </c>
      <c r="IS314" t="e">
        <f>AND(#REF!,"AAAAAHN7//w=")</f>
        <v>#REF!</v>
      </c>
      <c r="IT314" t="e">
        <f>AND(#REF!,"AAAAAHN7//0=")</f>
        <v>#REF!</v>
      </c>
      <c r="IU314" t="e">
        <f>AND(#REF!,"AAAAAHN7//4=")</f>
        <v>#REF!</v>
      </c>
      <c r="IV314" t="e">
        <f>AND(#REF!,"AAAAAHN7//8=")</f>
        <v>#REF!</v>
      </c>
    </row>
    <row r="315" spans="1:256">
      <c r="A315" t="e">
        <f>AND(#REF!,"AAAAAF23vQA=")</f>
        <v>#REF!</v>
      </c>
      <c r="B315" t="e">
        <f>IF(#REF!,"AAAAAF23vQE=",0)</f>
        <v>#REF!</v>
      </c>
      <c r="C315" t="e">
        <f>AND(#REF!,"AAAAAF23vQI=")</f>
        <v>#REF!</v>
      </c>
      <c r="D315" t="e">
        <f>AND(#REF!,"AAAAAF23vQM=")</f>
        <v>#REF!</v>
      </c>
      <c r="E315" t="e">
        <f>AND(#REF!,"AAAAAF23vQQ=")</f>
        <v>#REF!</v>
      </c>
      <c r="F315" t="e">
        <f>AND(#REF!,"AAAAAF23vQU=")</f>
        <v>#REF!</v>
      </c>
      <c r="G315" t="e">
        <f>AND(#REF!,"AAAAAF23vQY=")</f>
        <v>#REF!</v>
      </c>
      <c r="H315" t="e">
        <f>AND(#REF!,"AAAAAF23vQc=")</f>
        <v>#REF!</v>
      </c>
      <c r="I315" t="e">
        <f>AND(#REF!,"AAAAAF23vQg=")</f>
        <v>#REF!</v>
      </c>
      <c r="J315" t="e">
        <f>AND(#REF!,"AAAAAF23vQk=")</f>
        <v>#REF!</v>
      </c>
      <c r="K315" t="e">
        <f>AND(#REF!,"AAAAAF23vQo=")</f>
        <v>#REF!</v>
      </c>
      <c r="L315" t="e">
        <f>AND(#REF!,"AAAAAF23vQs=")</f>
        <v>#REF!</v>
      </c>
      <c r="M315" t="e">
        <f>AND(#REF!,"AAAAAF23vQw=")</f>
        <v>#REF!</v>
      </c>
      <c r="N315" t="e">
        <f>AND(#REF!,"AAAAAF23vQ0=")</f>
        <v>#REF!</v>
      </c>
      <c r="O315" t="e">
        <f>AND(#REF!,"AAAAAF23vQ4=")</f>
        <v>#REF!</v>
      </c>
      <c r="P315" t="e">
        <f>AND(#REF!,"AAAAAF23vQ8=")</f>
        <v>#REF!</v>
      </c>
      <c r="Q315" t="e">
        <f>AND(#REF!,"AAAAAF23vRA=")</f>
        <v>#REF!</v>
      </c>
      <c r="R315" t="e">
        <f>AND(#REF!,"AAAAAF23vRE=")</f>
        <v>#REF!</v>
      </c>
      <c r="S315" t="e">
        <f>AND(#REF!,"AAAAAF23vRI=")</f>
        <v>#REF!</v>
      </c>
      <c r="T315" t="e">
        <f>AND(#REF!,"AAAAAF23vRM=")</f>
        <v>#REF!</v>
      </c>
      <c r="U315" t="e">
        <f>AND(#REF!,"AAAAAF23vRQ=")</f>
        <v>#REF!</v>
      </c>
      <c r="V315" t="e">
        <f>AND(#REF!,"AAAAAF23vRU=")</f>
        <v>#REF!</v>
      </c>
      <c r="W315" t="e">
        <f>AND(#REF!,"AAAAAF23vRY=")</f>
        <v>#REF!</v>
      </c>
      <c r="X315" t="e">
        <f>AND(#REF!,"AAAAAF23vRc=")</f>
        <v>#REF!</v>
      </c>
      <c r="Y315" t="e">
        <f>AND(#REF!,"AAAAAF23vRg=")</f>
        <v>#REF!</v>
      </c>
      <c r="Z315" t="e">
        <f>AND(#REF!,"AAAAAF23vRk=")</f>
        <v>#REF!</v>
      </c>
      <c r="AA315" t="e">
        <f>IF(#REF!,"AAAAAF23vRo=",0)</f>
        <v>#REF!</v>
      </c>
      <c r="AB315" t="e">
        <f>AND(#REF!,"AAAAAF23vRs=")</f>
        <v>#REF!</v>
      </c>
      <c r="AC315" t="e">
        <f>AND(#REF!,"AAAAAF23vRw=")</f>
        <v>#REF!</v>
      </c>
      <c r="AD315" t="e">
        <f>AND(#REF!,"AAAAAF23vR0=")</f>
        <v>#REF!</v>
      </c>
      <c r="AE315" t="e">
        <f>AND(#REF!,"AAAAAF23vR4=")</f>
        <v>#REF!</v>
      </c>
      <c r="AF315" t="e">
        <f>AND(#REF!,"AAAAAF23vR8=")</f>
        <v>#REF!</v>
      </c>
      <c r="AG315" t="e">
        <f>AND(#REF!,"AAAAAF23vSA=")</f>
        <v>#REF!</v>
      </c>
      <c r="AH315" t="e">
        <f>AND(#REF!,"AAAAAF23vSE=")</f>
        <v>#REF!</v>
      </c>
      <c r="AI315" t="e">
        <f>AND(#REF!,"AAAAAF23vSI=")</f>
        <v>#REF!</v>
      </c>
      <c r="AJ315" t="e">
        <f>AND(#REF!,"AAAAAF23vSM=")</f>
        <v>#REF!</v>
      </c>
      <c r="AK315" t="e">
        <f>AND(#REF!,"AAAAAF23vSQ=")</f>
        <v>#REF!</v>
      </c>
      <c r="AL315" t="e">
        <f>AND(#REF!,"AAAAAF23vSU=")</f>
        <v>#REF!</v>
      </c>
      <c r="AM315" t="e">
        <f>AND(#REF!,"AAAAAF23vSY=")</f>
        <v>#REF!</v>
      </c>
      <c r="AN315" t="e">
        <f>AND(#REF!,"AAAAAF23vSc=")</f>
        <v>#REF!</v>
      </c>
      <c r="AO315" t="e">
        <f>AND(#REF!,"AAAAAF23vSg=")</f>
        <v>#REF!</v>
      </c>
      <c r="AP315" t="e">
        <f>AND(#REF!,"AAAAAF23vSk=")</f>
        <v>#REF!</v>
      </c>
      <c r="AQ315" t="e">
        <f>AND(#REF!,"AAAAAF23vSo=")</f>
        <v>#REF!</v>
      </c>
      <c r="AR315" t="e">
        <f>AND(#REF!,"AAAAAF23vSs=")</f>
        <v>#REF!</v>
      </c>
      <c r="AS315" t="e">
        <f>AND(#REF!,"AAAAAF23vSw=")</f>
        <v>#REF!</v>
      </c>
      <c r="AT315" t="e">
        <f>AND(#REF!,"AAAAAF23vS0=")</f>
        <v>#REF!</v>
      </c>
      <c r="AU315" t="e">
        <f>AND(#REF!,"AAAAAF23vS4=")</f>
        <v>#REF!</v>
      </c>
      <c r="AV315" t="e">
        <f>AND(#REF!,"AAAAAF23vS8=")</f>
        <v>#REF!</v>
      </c>
      <c r="AW315" t="e">
        <f>AND(#REF!,"AAAAAF23vTA=")</f>
        <v>#REF!</v>
      </c>
      <c r="AX315" t="e">
        <f>AND(#REF!,"AAAAAF23vTE=")</f>
        <v>#REF!</v>
      </c>
      <c r="AY315" t="e">
        <f>AND(#REF!,"AAAAAF23vTI=")</f>
        <v>#REF!</v>
      </c>
      <c r="AZ315" t="e">
        <f>IF(#REF!,"AAAAAF23vTM=",0)</f>
        <v>#REF!</v>
      </c>
      <c r="BA315" t="e">
        <f>AND(#REF!,"AAAAAF23vTQ=")</f>
        <v>#REF!</v>
      </c>
      <c r="BB315" t="e">
        <f>AND(#REF!,"AAAAAF23vTU=")</f>
        <v>#REF!</v>
      </c>
      <c r="BC315" t="e">
        <f>AND(#REF!,"AAAAAF23vTY=")</f>
        <v>#REF!</v>
      </c>
      <c r="BD315" t="e">
        <f>AND(#REF!,"AAAAAF23vTc=")</f>
        <v>#REF!</v>
      </c>
      <c r="BE315" t="e">
        <f>AND(#REF!,"AAAAAF23vTg=")</f>
        <v>#REF!</v>
      </c>
      <c r="BF315" t="e">
        <f>AND(#REF!,"AAAAAF23vTk=")</f>
        <v>#REF!</v>
      </c>
      <c r="BG315" t="e">
        <f>AND(#REF!,"AAAAAF23vTo=")</f>
        <v>#REF!</v>
      </c>
      <c r="BH315" t="e">
        <f>AND(#REF!,"AAAAAF23vTs=")</f>
        <v>#REF!</v>
      </c>
      <c r="BI315" t="e">
        <f>AND(#REF!,"AAAAAF23vTw=")</f>
        <v>#REF!</v>
      </c>
      <c r="BJ315" t="e">
        <f>AND(#REF!,"AAAAAF23vT0=")</f>
        <v>#REF!</v>
      </c>
      <c r="BK315" t="e">
        <f>AND(#REF!,"AAAAAF23vT4=")</f>
        <v>#REF!</v>
      </c>
      <c r="BL315" t="e">
        <f>AND(#REF!,"AAAAAF23vT8=")</f>
        <v>#REF!</v>
      </c>
      <c r="BM315" t="e">
        <f>AND(#REF!,"AAAAAF23vUA=")</f>
        <v>#REF!</v>
      </c>
      <c r="BN315" t="e">
        <f>AND(#REF!,"AAAAAF23vUE=")</f>
        <v>#REF!</v>
      </c>
      <c r="BO315" t="e">
        <f>AND(#REF!,"AAAAAF23vUI=")</f>
        <v>#REF!</v>
      </c>
      <c r="BP315" t="e">
        <f>AND(#REF!,"AAAAAF23vUM=")</f>
        <v>#REF!</v>
      </c>
      <c r="BQ315" t="e">
        <f>AND(#REF!,"AAAAAF23vUQ=")</f>
        <v>#REF!</v>
      </c>
      <c r="BR315" t="e">
        <f>AND(#REF!,"AAAAAF23vUU=")</f>
        <v>#REF!</v>
      </c>
      <c r="BS315" t="e">
        <f>AND(#REF!,"AAAAAF23vUY=")</f>
        <v>#REF!</v>
      </c>
      <c r="BT315" t="e">
        <f>AND(#REF!,"AAAAAF23vUc=")</f>
        <v>#REF!</v>
      </c>
      <c r="BU315" t="e">
        <f>AND(#REF!,"AAAAAF23vUg=")</f>
        <v>#REF!</v>
      </c>
      <c r="BV315" t="e">
        <f>AND(#REF!,"AAAAAF23vUk=")</f>
        <v>#REF!</v>
      </c>
      <c r="BW315" t="e">
        <f>AND(#REF!,"AAAAAF23vUo=")</f>
        <v>#REF!</v>
      </c>
      <c r="BX315" t="e">
        <f>AND(#REF!,"AAAAAF23vUs=")</f>
        <v>#REF!</v>
      </c>
      <c r="BY315" t="e">
        <f>IF(#REF!,"AAAAAF23vUw=",0)</f>
        <v>#REF!</v>
      </c>
      <c r="BZ315" t="e">
        <f>AND(#REF!,"AAAAAF23vU0=")</f>
        <v>#REF!</v>
      </c>
      <c r="CA315" t="e">
        <f>AND(#REF!,"AAAAAF23vU4=")</f>
        <v>#REF!</v>
      </c>
      <c r="CB315" t="e">
        <f>AND(#REF!,"AAAAAF23vU8=")</f>
        <v>#REF!</v>
      </c>
      <c r="CC315" t="e">
        <f>AND(#REF!,"AAAAAF23vVA=")</f>
        <v>#REF!</v>
      </c>
      <c r="CD315" t="e">
        <f>AND(#REF!,"AAAAAF23vVE=")</f>
        <v>#REF!</v>
      </c>
      <c r="CE315" t="e">
        <f>AND(#REF!,"AAAAAF23vVI=")</f>
        <v>#REF!</v>
      </c>
      <c r="CF315" t="e">
        <f>AND(#REF!,"AAAAAF23vVM=")</f>
        <v>#REF!</v>
      </c>
      <c r="CG315" t="e">
        <f>AND(#REF!,"AAAAAF23vVQ=")</f>
        <v>#REF!</v>
      </c>
      <c r="CH315" t="e">
        <f>AND(#REF!,"AAAAAF23vVU=")</f>
        <v>#REF!</v>
      </c>
      <c r="CI315" t="e">
        <f>AND(#REF!,"AAAAAF23vVY=")</f>
        <v>#REF!</v>
      </c>
      <c r="CJ315" t="e">
        <f>AND(#REF!,"AAAAAF23vVc=")</f>
        <v>#REF!</v>
      </c>
      <c r="CK315" t="e">
        <f>AND(#REF!,"AAAAAF23vVg=")</f>
        <v>#REF!</v>
      </c>
      <c r="CL315" t="e">
        <f>AND(#REF!,"AAAAAF23vVk=")</f>
        <v>#REF!</v>
      </c>
      <c r="CM315" t="e">
        <f>AND(#REF!,"AAAAAF23vVo=")</f>
        <v>#REF!</v>
      </c>
      <c r="CN315" t="e">
        <f>AND(#REF!,"AAAAAF23vVs=")</f>
        <v>#REF!</v>
      </c>
      <c r="CO315" t="e">
        <f>AND(#REF!,"AAAAAF23vVw=")</f>
        <v>#REF!</v>
      </c>
      <c r="CP315" t="e">
        <f>AND(#REF!,"AAAAAF23vV0=")</f>
        <v>#REF!</v>
      </c>
      <c r="CQ315" t="e">
        <f>AND(#REF!,"AAAAAF23vV4=")</f>
        <v>#REF!</v>
      </c>
      <c r="CR315" t="e">
        <f>AND(#REF!,"AAAAAF23vV8=")</f>
        <v>#REF!</v>
      </c>
      <c r="CS315" t="e">
        <f>AND(#REF!,"AAAAAF23vWA=")</f>
        <v>#REF!</v>
      </c>
      <c r="CT315" t="e">
        <f>AND(#REF!,"AAAAAF23vWE=")</f>
        <v>#REF!</v>
      </c>
      <c r="CU315" t="e">
        <f>AND(#REF!,"AAAAAF23vWI=")</f>
        <v>#REF!</v>
      </c>
      <c r="CV315" t="e">
        <f>AND(#REF!,"AAAAAF23vWM=")</f>
        <v>#REF!</v>
      </c>
      <c r="CW315" t="e">
        <f>AND(#REF!,"AAAAAF23vWQ=")</f>
        <v>#REF!</v>
      </c>
      <c r="CX315" t="e">
        <f>IF(#REF!,"AAAAAF23vWU=",0)</f>
        <v>#REF!</v>
      </c>
      <c r="CY315" t="e">
        <f>AND(#REF!,"AAAAAF23vWY=")</f>
        <v>#REF!</v>
      </c>
      <c r="CZ315" t="e">
        <f>AND(#REF!,"AAAAAF23vWc=")</f>
        <v>#REF!</v>
      </c>
      <c r="DA315" t="e">
        <f>AND(#REF!,"AAAAAF23vWg=")</f>
        <v>#REF!</v>
      </c>
      <c r="DB315" t="e">
        <f>AND(#REF!,"AAAAAF23vWk=")</f>
        <v>#REF!</v>
      </c>
      <c r="DC315" t="e">
        <f>AND(#REF!,"AAAAAF23vWo=")</f>
        <v>#REF!</v>
      </c>
      <c r="DD315" t="e">
        <f>AND(#REF!,"AAAAAF23vWs=")</f>
        <v>#REF!</v>
      </c>
      <c r="DE315" t="e">
        <f>AND(#REF!,"AAAAAF23vWw=")</f>
        <v>#REF!</v>
      </c>
      <c r="DF315" t="e">
        <f>AND(#REF!,"AAAAAF23vW0=")</f>
        <v>#REF!</v>
      </c>
      <c r="DG315" t="e">
        <f>AND(#REF!,"AAAAAF23vW4=")</f>
        <v>#REF!</v>
      </c>
      <c r="DH315" t="e">
        <f>AND(#REF!,"AAAAAF23vW8=")</f>
        <v>#REF!</v>
      </c>
      <c r="DI315" t="e">
        <f>AND(#REF!,"AAAAAF23vXA=")</f>
        <v>#REF!</v>
      </c>
      <c r="DJ315" t="e">
        <f>AND(#REF!,"AAAAAF23vXE=")</f>
        <v>#REF!</v>
      </c>
      <c r="DK315" t="e">
        <f>AND(#REF!,"AAAAAF23vXI=")</f>
        <v>#REF!</v>
      </c>
      <c r="DL315" t="e">
        <f>AND(#REF!,"AAAAAF23vXM=")</f>
        <v>#REF!</v>
      </c>
      <c r="DM315" t="e">
        <f>AND(#REF!,"AAAAAF23vXQ=")</f>
        <v>#REF!</v>
      </c>
      <c r="DN315" t="e">
        <f>AND(#REF!,"AAAAAF23vXU=")</f>
        <v>#REF!</v>
      </c>
      <c r="DO315" t="e">
        <f>AND(#REF!,"AAAAAF23vXY=")</f>
        <v>#REF!</v>
      </c>
      <c r="DP315" t="e">
        <f>AND(#REF!,"AAAAAF23vXc=")</f>
        <v>#REF!</v>
      </c>
      <c r="DQ315" t="e">
        <f>AND(#REF!,"AAAAAF23vXg=")</f>
        <v>#REF!</v>
      </c>
      <c r="DR315" t="e">
        <f>AND(#REF!,"AAAAAF23vXk=")</f>
        <v>#REF!</v>
      </c>
      <c r="DS315" t="e">
        <f>AND(#REF!,"AAAAAF23vXo=")</f>
        <v>#REF!</v>
      </c>
      <c r="DT315" t="e">
        <f>AND(#REF!,"AAAAAF23vXs=")</f>
        <v>#REF!</v>
      </c>
      <c r="DU315" t="e">
        <f>AND(#REF!,"AAAAAF23vXw=")</f>
        <v>#REF!</v>
      </c>
      <c r="DV315" t="e">
        <f>AND(#REF!,"AAAAAF23vX0=")</f>
        <v>#REF!</v>
      </c>
      <c r="DW315" t="e">
        <f>IF(#REF!,"AAAAAF23vX4=",0)</f>
        <v>#REF!</v>
      </c>
      <c r="DX315" t="e">
        <f>AND(#REF!,"AAAAAF23vX8=")</f>
        <v>#REF!</v>
      </c>
      <c r="DY315" t="e">
        <f>AND(#REF!,"AAAAAF23vYA=")</f>
        <v>#REF!</v>
      </c>
      <c r="DZ315" t="e">
        <f>AND(#REF!,"AAAAAF23vYE=")</f>
        <v>#REF!</v>
      </c>
      <c r="EA315" t="e">
        <f>AND(#REF!,"AAAAAF23vYI=")</f>
        <v>#REF!</v>
      </c>
      <c r="EB315" t="e">
        <f>AND(#REF!,"AAAAAF23vYM=")</f>
        <v>#REF!</v>
      </c>
      <c r="EC315" t="e">
        <f>AND(#REF!,"AAAAAF23vYQ=")</f>
        <v>#REF!</v>
      </c>
      <c r="ED315" t="e">
        <f>AND(#REF!,"AAAAAF23vYU=")</f>
        <v>#REF!</v>
      </c>
      <c r="EE315" t="e">
        <f>AND(#REF!,"AAAAAF23vYY=")</f>
        <v>#REF!</v>
      </c>
      <c r="EF315" t="e">
        <f>AND(#REF!,"AAAAAF23vYc=")</f>
        <v>#REF!</v>
      </c>
      <c r="EG315" t="e">
        <f>AND(#REF!,"AAAAAF23vYg=")</f>
        <v>#REF!</v>
      </c>
      <c r="EH315" t="e">
        <f>AND(#REF!,"AAAAAF23vYk=")</f>
        <v>#REF!</v>
      </c>
      <c r="EI315" t="e">
        <f>AND(#REF!,"AAAAAF23vYo=")</f>
        <v>#REF!</v>
      </c>
      <c r="EJ315" t="e">
        <f>AND(#REF!,"AAAAAF23vYs=")</f>
        <v>#REF!</v>
      </c>
      <c r="EK315" t="e">
        <f>AND(#REF!,"AAAAAF23vYw=")</f>
        <v>#REF!</v>
      </c>
      <c r="EL315" t="e">
        <f>AND(#REF!,"AAAAAF23vY0=")</f>
        <v>#REF!</v>
      </c>
      <c r="EM315" t="e">
        <f>AND(#REF!,"AAAAAF23vY4=")</f>
        <v>#REF!</v>
      </c>
      <c r="EN315" t="e">
        <f>AND(#REF!,"AAAAAF23vY8=")</f>
        <v>#REF!</v>
      </c>
      <c r="EO315" t="e">
        <f>AND(#REF!,"AAAAAF23vZA=")</f>
        <v>#REF!</v>
      </c>
      <c r="EP315" t="e">
        <f>AND(#REF!,"AAAAAF23vZE=")</f>
        <v>#REF!</v>
      </c>
      <c r="EQ315" t="e">
        <f>AND(#REF!,"AAAAAF23vZI=")</f>
        <v>#REF!</v>
      </c>
      <c r="ER315" t="e">
        <f>AND(#REF!,"AAAAAF23vZM=")</f>
        <v>#REF!</v>
      </c>
      <c r="ES315" t="e">
        <f>AND(#REF!,"AAAAAF23vZQ=")</f>
        <v>#REF!</v>
      </c>
      <c r="ET315" t="e">
        <f>AND(#REF!,"AAAAAF23vZU=")</f>
        <v>#REF!</v>
      </c>
      <c r="EU315" t="e">
        <f>AND(#REF!,"AAAAAF23vZY=")</f>
        <v>#REF!</v>
      </c>
      <c r="EV315" t="e">
        <f>IF(#REF!,"AAAAAF23vZc=",0)</f>
        <v>#REF!</v>
      </c>
      <c r="EW315" t="e">
        <f>AND(#REF!,"AAAAAF23vZg=")</f>
        <v>#REF!</v>
      </c>
      <c r="EX315" t="e">
        <f>AND(#REF!,"AAAAAF23vZk=")</f>
        <v>#REF!</v>
      </c>
      <c r="EY315" t="e">
        <f>AND(#REF!,"AAAAAF23vZo=")</f>
        <v>#REF!</v>
      </c>
      <c r="EZ315" t="e">
        <f>AND(#REF!,"AAAAAF23vZs=")</f>
        <v>#REF!</v>
      </c>
      <c r="FA315" t="e">
        <f>AND(#REF!,"AAAAAF23vZw=")</f>
        <v>#REF!</v>
      </c>
      <c r="FB315" t="e">
        <f>AND(#REF!,"AAAAAF23vZ0=")</f>
        <v>#REF!</v>
      </c>
      <c r="FC315" t="e">
        <f>AND(#REF!,"AAAAAF23vZ4=")</f>
        <v>#REF!</v>
      </c>
      <c r="FD315" t="e">
        <f>AND(#REF!,"AAAAAF23vZ8=")</f>
        <v>#REF!</v>
      </c>
      <c r="FE315" t="e">
        <f>AND(#REF!,"AAAAAF23vaA=")</f>
        <v>#REF!</v>
      </c>
      <c r="FF315" t="e">
        <f>AND(#REF!,"AAAAAF23vaE=")</f>
        <v>#REF!</v>
      </c>
      <c r="FG315" t="e">
        <f>AND(#REF!,"AAAAAF23vaI=")</f>
        <v>#REF!</v>
      </c>
      <c r="FH315" t="e">
        <f>AND(#REF!,"AAAAAF23vaM=")</f>
        <v>#REF!</v>
      </c>
      <c r="FI315" t="e">
        <f>AND(#REF!,"AAAAAF23vaQ=")</f>
        <v>#REF!</v>
      </c>
      <c r="FJ315" t="e">
        <f>AND(#REF!,"AAAAAF23vaU=")</f>
        <v>#REF!</v>
      </c>
      <c r="FK315" t="e">
        <f>AND(#REF!,"AAAAAF23vaY=")</f>
        <v>#REF!</v>
      </c>
      <c r="FL315" t="e">
        <f>AND(#REF!,"AAAAAF23vac=")</f>
        <v>#REF!</v>
      </c>
      <c r="FM315" t="e">
        <f>AND(#REF!,"AAAAAF23vag=")</f>
        <v>#REF!</v>
      </c>
      <c r="FN315" t="e">
        <f>AND(#REF!,"AAAAAF23vak=")</f>
        <v>#REF!</v>
      </c>
      <c r="FO315" t="e">
        <f>AND(#REF!,"AAAAAF23vao=")</f>
        <v>#REF!</v>
      </c>
      <c r="FP315" t="e">
        <f>AND(#REF!,"AAAAAF23vas=")</f>
        <v>#REF!</v>
      </c>
      <c r="FQ315" t="e">
        <f>AND(#REF!,"AAAAAF23vaw=")</f>
        <v>#REF!</v>
      </c>
      <c r="FR315" t="e">
        <f>AND(#REF!,"AAAAAF23va0=")</f>
        <v>#REF!</v>
      </c>
      <c r="FS315" t="e">
        <f>AND(#REF!,"AAAAAF23va4=")</f>
        <v>#REF!</v>
      </c>
      <c r="FT315" t="e">
        <f>AND(#REF!,"AAAAAF23va8=")</f>
        <v>#REF!</v>
      </c>
      <c r="FU315" t="e">
        <f>IF(#REF!,"AAAAAF23vbA=",0)</f>
        <v>#REF!</v>
      </c>
      <c r="FV315" t="e">
        <f>AND(#REF!,"AAAAAF23vbE=")</f>
        <v>#REF!</v>
      </c>
      <c r="FW315" t="e">
        <f>AND(#REF!,"AAAAAF23vbI=")</f>
        <v>#REF!</v>
      </c>
      <c r="FX315" t="e">
        <f>AND(#REF!,"AAAAAF23vbM=")</f>
        <v>#REF!</v>
      </c>
      <c r="FY315" t="e">
        <f>AND(#REF!,"AAAAAF23vbQ=")</f>
        <v>#REF!</v>
      </c>
      <c r="FZ315" t="e">
        <f>AND(#REF!,"AAAAAF23vbU=")</f>
        <v>#REF!</v>
      </c>
      <c r="GA315" t="e">
        <f>AND(#REF!,"AAAAAF23vbY=")</f>
        <v>#REF!</v>
      </c>
      <c r="GB315" t="e">
        <f>AND(#REF!,"AAAAAF23vbc=")</f>
        <v>#REF!</v>
      </c>
      <c r="GC315" t="e">
        <f>AND(#REF!,"AAAAAF23vbg=")</f>
        <v>#REF!</v>
      </c>
      <c r="GD315" t="e">
        <f>AND(#REF!,"AAAAAF23vbk=")</f>
        <v>#REF!</v>
      </c>
      <c r="GE315" t="e">
        <f>AND(#REF!,"AAAAAF23vbo=")</f>
        <v>#REF!</v>
      </c>
      <c r="GF315" t="e">
        <f>AND(#REF!,"AAAAAF23vbs=")</f>
        <v>#REF!</v>
      </c>
      <c r="GG315" t="e">
        <f>AND(#REF!,"AAAAAF23vbw=")</f>
        <v>#REF!</v>
      </c>
      <c r="GH315" t="e">
        <f>AND(#REF!,"AAAAAF23vb0=")</f>
        <v>#REF!</v>
      </c>
      <c r="GI315" t="e">
        <f>AND(#REF!,"AAAAAF23vb4=")</f>
        <v>#REF!</v>
      </c>
      <c r="GJ315" t="e">
        <f>AND(#REF!,"AAAAAF23vb8=")</f>
        <v>#REF!</v>
      </c>
      <c r="GK315" t="e">
        <f>AND(#REF!,"AAAAAF23vcA=")</f>
        <v>#REF!</v>
      </c>
      <c r="GL315" t="e">
        <f>AND(#REF!,"AAAAAF23vcE=")</f>
        <v>#REF!</v>
      </c>
      <c r="GM315" t="e">
        <f>AND(#REF!,"AAAAAF23vcI=")</f>
        <v>#REF!</v>
      </c>
      <c r="GN315" t="e">
        <f>AND(#REF!,"AAAAAF23vcM=")</f>
        <v>#REF!</v>
      </c>
      <c r="GO315" t="e">
        <f>AND(#REF!,"AAAAAF23vcQ=")</f>
        <v>#REF!</v>
      </c>
      <c r="GP315" t="e">
        <f>AND(#REF!,"AAAAAF23vcU=")</f>
        <v>#REF!</v>
      </c>
      <c r="GQ315" t="e">
        <f>AND(#REF!,"AAAAAF23vcY=")</f>
        <v>#REF!</v>
      </c>
      <c r="GR315" t="e">
        <f>AND(#REF!,"AAAAAF23vcc=")</f>
        <v>#REF!</v>
      </c>
      <c r="GS315" t="e">
        <f>AND(#REF!,"AAAAAF23vcg=")</f>
        <v>#REF!</v>
      </c>
      <c r="GT315" t="e">
        <f>IF(#REF!,"AAAAAF23vck=",0)</f>
        <v>#REF!</v>
      </c>
      <c r="GU315" t="e">
        <f>AND(#REF!,"AAAAAF23vco=")</f>
        <v>#REF!</v>
      </c>
      <c r="GV315" t="e">
        <f>AND(#REF!,"AAAAAF23vcs=")</f>
        <v>#REF!</v>
      </c>
      <c r="GW315" t="e">
        <f>AND(#REF!,"AAAAAF23vcw=")</f>
        <v>#REF!</v>
      </c>
      <c r="GX315" t="e">
        <f>AND(#REF!,"AAAAAF23vc0=")</f>
        <v>#REF!</v>
      </c>
      <c r="GY315" t="e">
        <f>AND(#REF!,"AAAAAF23vc4=")</f>
        <v>#REF!</v>
      </c>
      <c r="GZ315" t="e">
        <f>AND(#REF!,"AAAAAF23vc8=")</f>
        <v>#REF!</v>
      </c>
      <c r="HA315" t="e">
        <f>AND(#REF!,"AAAAAF23vdA=")</f>
        <v>#REF!</v>
      </c>
      <c r="HB315" t="e">
        <f>AND(#REF!,"AAAAAF23vdE=")</f>
        <v>#REF!</v>
      </c>
      <c r="HC315" t="e">
        <f>AND(#REF!,"AAAAAF23vdI=")</f>
        <v>#REF!</v>
      </c>
      <c r="HD315" t="e">
        <f>AND(#REF!,"AAAAAF23vdM=")</f>
        <v>#REF!</v>
      </c>
      <c r="HE315" t="e">
        <f>AND(#REF!,"AAAAAF23vdQ=")</f>
        <v>#REF!</v>
      </c>
      <c r="HF315" t="e">
        <f>AND(#REF!,"AAAAAF23vdU=")</f>
        <v>#REF!</v>
      </c>
      <c r="HG315" t="e">
        <f>AND(#REF!,"AAAAAF23vdY=")</f>
        <v>#REF!</v>
      </c>
      <c r="HH315" t="e">
        <f>AND(#REF!,"AAAAAF23vdc=")</f>
        <v>#REF!</v>
      </c>
      <c r="HI315" t="e">
        <f>AND(#REF!,"AAAAAF23vdg=")</f>
        <v>#REF!</v>
      </c>
      <c r="HJ315" t="e">
        <f>AND(#REF!,"AAAAAF23vdk=")</f>
        <v>#REF!</v>
      </c>
      <c r="HK315" t="e">
        <f>AND(#REF!,"AAAAAF23vdo=")</f>
        <v>#REF!</v>
      </c>
      <c r="HL315" t="e">
        <f>AND(#REF!,"AAAAAF23vds=")</f>
        <v>#REF!</v>
      </c>
      <c r="HM315" t="e">
        <f>AND(#REF!,"AAAAAF23vdw=")</f>
        <v>#REF!</v>
      </c>
      <c r="HN315" t="e">
        <f>AND(#REF!,"AAAAAF23vd0=")</f>
        <v>#REF!</v>
      </c>
      <c r="HO315" t="e">
        <f>AND(#REF!,"AAAAAF23vd4=")</f>
        <v>#REF!</v>
      </c>
      <c r="HP315" t="e">
        <f>AND(#REF!,"AAAAAF23vd8=")</f>
        <v>#REF!</v>
      </c>
      <c r="HQ315" t="e">
        <f>AND(#REF!,"AAAAAF23veA=")</f>
        <v>#REF!</v>
      </c>
      <c r="HR315" t="e">
        <f>AND(#REF!,"AAAAAF23veE=")</f>
        <v>#REF!</v>
      </c>
      <c r="HS315" t="e">
        <f>IF(#REF!,"AAAAAF23veI=",0)</f>
        <v>#REF!</v>
      </c>
      <c r="HT315" t="e">
        <f>AND(#REF!,"AAAAAF23veM=")</f>
        <v>#REF!</v>
      </c>
      <c r="HU315" t="e">
        <f>AND(#REF!,"AAAAAF23veQ=")</f>
        <v>#REF!</v>
      </c>
      <c r="HV315" t="e">
        <f>AND(#REF!,"AAAAAF23veU=")</f>
        <v>#REF!</v>
      </c>
      <c r="HW315" t="e">
        <f>AND(#REF!,"AAAAAF23veY=")</f>
        <v>#REF!</v>
      </c>
      <c r="HX315" t="e">
        <f>AND(#REF!,"AAAAAF23vec=")</f>
        <v>#REF!</v>
      </c>
      <c r="HY315" t="e">
        <f>AND(#REF!,"AAAAAF23veg=")</f>
        <v>#REF!</v>
      </c>
      <c r="HZ315" t="e">
        <f>AND(#REF!,"AAAAAF23vek=")</f>
        <v>#REF!</v>
      </c>
      <c r="IA315" t="e">
        <f>AND(#REF!,"AAAAAF23veo=")</f>
        <v>#REF!</v>
      </c>
      <c r="IB315" t="e">
        <f>AND(#REF!,"AAAAAF23ves=")</f>
        <v>#REF!</v>
      </c>
      <c r="IC315" t="e">
        <f>AND(#REF!,"AAAAAF23vew=")</f>
        <v>#REF!</v>
      </c>
      <c r="ID315" t="e">
        <f>AND(#REF!,"AAAAAF23ve0=")</f>
        <v>#REF!</v>
      </c>
      <c r="IE315" t="e">
        <f>AND(#REF!,"AAAAAF23ve4=")</f>
        <v>#REF!</v>
      </c>
      <c r="IF315" t="e">
        <f>AND(#REF!,"AAAAAF23ve8=")</f>
        <v>#REF!</v>
      </c>
      <c r="IG315" t="e">
        <f>AND(#REF!,"AAAAAF23vfA=")</f>
        <v>#REF!</v>
      </c>
      <c r="IH315" t="e">
        <f>AND(#REF!,"AAAAAF23vfE=")</f>
        <v>#REF!</v>
      </c>
      <c r="II315" t="e">
        <f>AND(#REF!,"AAAAAF23vfI=")</f>
        <v>#REF!</v>
      </c>
      <c r="IJ315" t="e">
        <f>AND(#REF!,"AAAAAF23vfM=")</f>
        <v>#REF!</v>
      </c>
      <c r="IK315" t="e">
        <f>AND(#REF!,"AAAAAF23vfQ=")</f>
        <v>#REF!</v>
      </c>
      <c r="IL315" t="e">
        <f>AND(#REF!,"AAAAAF23vfU=")</f>
        <v>#REF!</v>
      </c>
      <c r="IM315" t="e">
        <f>AND(#REF!,"AAAAAF23vfY=")</f>
        <v>#REF!</v>
      </c>
      <c r="IN315" t="e">
        <f>AND(#REF!,"AAAAAF23vfc=")</f>
        <v>#REF!</v>
      </c>
      <c r="IO315" t="e">
        <f>AND(#REF!,"AAAAAF23vfg=")</f>
        <v>#REF!</v>
      </c>
      <c r="IP315" t="e">
        <f>AND(#REF!,"AAAAAF23vfk=")</f>
        <v>#REF!</v>
      </c>
      <c r="IQ315" t="e">
        <f>AND(#REF!,"AAAAAF23vfo=")</f>
        <v>#REF!</v>
      </c>
      <c r="IR315" t="e">
        <f>IF(#REF!,"AAAAAF23vfs=",0)</f>
        <v>#REF!</v>
      </c>
      <c r="IS315" t="e">
        <f>AND(#REF!,"AAAAAF23vfw=")</f>
        <v>#REF!</v>
      </c>
      <c r="IT315" t="e">
        <f>AND(#REF!,"AAAAAF23vf0=")</f>
        <v>#REF!</v>
      </c>
      <c r="IU315" t="e">
        <f>AND(#REF!,"AAAAAF23vf4=")</f>
        <v>#REF!</v>
      </c>
      <c r="IV315" t="e">
        <f>AND(#REF!,"AAAAAF23vf8=")</f>
        <v>#REF!</v>
      </c>
    </row>
    <row r="316" spans="1:256">
      <c r="A316" t="e">
        <f>AND(#REF!,"AAAAAHv/cwA=")</f>
        <v>#REF!</v>
      </c>
      <c r="B316" t="e">
        <f>AND(#REF!,"AAAAAHv/cwE=")</f>
        <v>#REF!</v>
      </c>
      <c r="C316" t="e">
        <f>AND(#REF!,"AAAAAHv/cwI=")</f>
        <v>#REF!</v>
      </c>
      <c r="D316" t="e">
        <f>AND(#REF!,"AAAAAHv/cwM=")</f>
        <v>#REF!</v>
      </c>
      <c r="E316" t="e">
        <f>AND(#REF!,"AAAAAHv/cwQ=")</f>
        <v>#REF!</v>
      </c>
      <c r="F316" t="e">
        <f>AND(#REF!,"AAAAAHv/cwU=")</f>
        <v>#REF!</v>
      </c>
      <c r="G316" t="e">
        <f>AND(#REF!,"AAAAAHv/cwY=")</f>
        <v>#REF!</v>
      </c>
      <c r="H316" t="e">
        <f>AND(#REF!,"AAAAAHv/cwc=")</f>
        <v>#REF!</v>
      </c>
      <c r="I316" t="e">
        <f>AND(#REF!,"AAAAAHv/cwg=")</f>
        <v>#REF!</v>
      </c>
      <c r="J316" t="e">
        <f>AND(#REF!,"AAAAAHv/cwk=")</f>
        <v>#REF!</v>
      </c>
      <c r="K316" t="e">
        <f>AND(#REF!,"AAAAAHv/cwo=")</f>
        <v>#REF!</v>
      </c>
      <c r="L316" t="e">
        <f>AND(#REF!,"AAAAAHv/cws=")</f>
        <v>#REF!</v>
      </c>
      <c r="M316" t="e">
        <f>AND(#REF!,"AAAAAHv/cww=")</f>
        <v>#REF!</v>
      </c>
      <c r="N316" t="e">
        <f>AND(#REF!,"AAAAAHv/cw0=")</f>
        <v>#REF!</v>
      </c>
      <c r="O316" t="e">
        <f>AND(#REF!,"AAAAAHv/cw4=")</f>
        <v>#REF!</v>
      </c>
      <c r="P316" t="e">
        <f>AND(#REF!,"AAAAAHv/cw8=")</f>
        <v>#REF!</v>
      </c>
      <c r="Q316" t="e">
        <f>AND(#REF!,"AAAAAHv/cxA=")</f>
        <v>#REF!</v>
      </c>
      <c r="R316" t="e">
        <f>AND(#REF!,"AAAAAHv/cxE=")</f>
        <v>#REF!</v>
      </c>
      <c r="S316" t="e">
        <f>AND(#REF!,"AAAAAHv/cxI=")</f>
        <v>#REF!</v>
      </c>
      <c r="T316" t="e">
        <f>AND(#REF!,"AAAAAHv/cxM=")</f>
        <v>#REF!</v>
      </c>
      <c r="U316" t="e">
        <f>IF(#REF!,"AAAAAHv/cxQ=",0)</f>
        <v>#REF!</v>
      </c>
      <c r="V316" t="e">
        <f>AND(#REF!,"AAAAAHv/cxU=")</f>
        <v>#REF!</v>
      </c>
      <c r="W316" t="e">
        <f>AND(#REF!,"AAAAAHv/cxY=")</f>
        <v>#REF!</v>
      </c>
      <c r="X316" t="e">
        <f>AND(#REF!,"AAAAAHv/cxc=")</f>
        <v>#REF!</v>
      </c>
      <c r="Y316" t="e">
        <f>AND(#REF!,"AAAAAHv/cxg=")</f>
        <v>#REF!</v>
      </c>
      <c r="Z316" t="e">
        <f>AND(#REF!,"AAAAAHv/cxk=")</f>
        <v>#REF!</v>
      </c>
      <c r="AA316" t="e">
        <f>AND(#REF!,"AAAAAHv/cxo=")</f>
        <v>#REF!</v>
      </c>
      <c r="AB316" t="e">
        <f>AND(#REF!,"AAAAAHv/cxs=")</f>
        <v>#REF!</v>
      </c>
      <c r="AC316" t="e">
        <f>AND(#REF!,"AAAAAHv/cxw=")</f>
        <v>#REF!</v>
      </c>
      <c r="AD316" t="e">
        <f>AND(#REF!,"AAAAAHv/cx0=")</f>
        <v>#REF!</v>
      </c>
      <c r="AE316" t="e">
        <f>AND(#REF!,"AAAAAHv/cx4=")</f>
        <v>#REF!</v>
      </c>
      <c r="AF316" t="e">
        <f>AND(#REF!,"AAAAAHv/cx8=")</f>
        <v>#REF!</v>
      </c>
      <c r="AG316" t="e">
        <f>AND(#REF!,"AAAAAHv/cyA=")</f>
        <v>#REF!</v>
      </c>
      <c r="AH316" t="e">
        <f>AND(#REF!,"AAAAAHv/cyE=")</f>
        <v>#REF!</v>
      </c>
      <c r="AI316" t="e">
        <f>AND(#REF!,"AAAAAHv/cyI=")</f>
        <v>#REF!</v>
      </c>
      <c r="AJ316" t="e">
        <f>AND(#REF!,"AAAAAHv/cyM=")</f>
        <v>#REF!</v>
      </c>
      <c r="AK316" t="e">
        <f>AND(#REF!,"AAAAAHv/cyQ=")</f>
        <v>#REF!</v>
      </c>
      <c r="AL316" t="e">
        <f>AND(#REF!,"AAAAAHv/cyU=")</f>
        <v>#REF!</v>
      </c>
      <c r="AM316" t="e">
        <f>AND(#REF!,"AAAAAHv/cyY=")</f>
        <v>#REF!</v>
      </c>
      <c r="AN316" t="e">
        <f>AND(#REF!,"AAAAAHv/cyc=")</f>
        <v>#REF!</v>
      </c>
      <c r="AO316" t="e">
        <f>AND(#REF!,"AAAAAHv/cyg=")</f>
        <v>#REF!</v>
      </c>
      <c r="AP316" t="e">
        <f>AND(#REF!,"AAAAAHv/cyk=")</f>
        <v>#REF!</v>
      </c>
      <c r="AQ316" t="e">
        <f>AND(#REF!,"AAAAAHv/cyo=")</f>
        <v>#REF!</v>
      </c>
      <c r="AR316" t="e">
        <f>AND(#REF!,"AAAAAHv/cys=")</f>
        <v>#REF!</v>
      </c>
      <c r="AS316" t="e">
        <f>AND(#REF!,"AAAAAHv/cyw=")</f>
        <v>#REF!</v>
      </c>
      <c r="AT316" t="e">
        <f>IF(#REF!,"AAAAAHv/cy0=",0)</f>
        <v>#REF!</v>
      </c>
      <c r="AU316" t="e">
        <f>AND(#REF!,"AAAAAHv/cy4=")</f>
        <v>#REF!</v>
      </c>
      <c r="AV316" t="e">
        <f>AND(#REF!,"AAAAAHv/cy8=")</f>
        <v>#REF!</v>
      </c>
      <c r="AW316" t="e">
        <f>AND(#REF!,"AAAAAHv/czA=")</f>
        <v>#REF!</v>
      </c>
      <c r="AX316" t="e">
        <f>AND(#REF!,"AAAAAHv/czE=")</f>
        <v>#REF!</v>
      </c>
      <c r="AY316" t="e">
        <f>AND(#REF!,"AAAAAHv/czI=")</f>
        <v>#REF!</v>
      </c>
      <c r="AZ316" t="e">
        <f>AND(#REF!,"AAAAAHv/czM=")</f>
        <v>#REF!</v>
      </c>
      <c r="BA316" t="e">
        <f>AND(#REF!,"AAAAAHv/czQ=")</f>
        <v>#REF!</v>
      </c>
      <c r="BB316" t="e">
        <f>AND(#REF!,"AAAAAHv/czU=")</f>
        <v>#REF!</v>
      </c>
      <c r="BC316" t="e">
        <f>AND(#REF!,"AAAAAHv/czY=")</f>
        <v>#REF!</v>
      </c>
      <c r="BD316" t="e">
        <f>AND(#REF!,"AAAAAHv/czc=")</f>
        <v>#REF!</v>
      </c>
      <c r="BE316" t="e">
        <f>AND(#REF!,"AAAAAHv/czg=")</f>
        <v>#REF!</v>
      </c>
      <c r="BF316" t="e">
        <f>AND(#REF!,"AAAAAHv/czk=")</f>
        <v>#REF!</v>
      </c>
      <c r="BG316" t="e">
        <f>AND(#REF!,"AAAAAHv/czo=")</f>
        <v>#REF!</v>
      </c>
      <c r="BH316" t="e">
        <f>AND(#REF!,"AAAAAHv/czs=")</f>
        <v>#REF!</v>
      </c>
      <c r="BI316" t="e">
        <f>AND(#REF!,"AAAAAHv/czw=")</f>
        <v>#REF!</v>
      </c>
      <c r="BJ316" t="e">
        <f>AND(#REF!,"AAAAAHv/cz0=")</f>
        <v>#REF!</v>
      </c>
      <c r="BK316" t="e">
        <f>AND(#REF!,"AAAAAHv/cz4=")</f>
        <v>#REF!</v>
      </c>
      <c r="BL316" t="e">
        <f>AND(#REF!,"AAAAAHv/cz8=")</f>
        <v>#REF!</v>
      </c>
      <c r="BM316" t="e">
        <f>AND(#REF!,"AAAAAHv/c0A=")</f>
        <v>#REF!</v>
      </c>
      <c r="BN316" t="e">
        <f>AND(#REF!,"AAAAAHv/c0E=")</f>
        <v>#REF!</v>
      </c>
      <c r="BO316" t="e">
        <f>AND(#REF!,"AAAAAHv/c0I=")</f>
        <v>#REF!</v>
      </c>
      <c r="BP316" t="e">
        <f>AND(#REF!,"AAAAAHv/c0M=")</f>
        <v>#REF!</v>
      </c>
      <c r="BQ316" t="e">
        <f>AND(#REF!,"AAAAAHv/c0Q=")</f>
        <v>#REF!</v>
      </c>
      <c r="BR316" t="e">
        <f>AND(#REF!,"AAAAAHv/c0U=")</f>
        <v>#REF!</v>
      </c>
      <c r="BS316" t="e">
        <f>IF(#REF!,"AAAAAHv/c0Y=",0)</f>
        <v>#REF!</v>
      </c>
      <c r="BT316" t="e">
        <f>AND(#REF!,"AAAAAHv/c0c=")</f>
        <v>#REF!</v>
      </c>
      <c r="BU316" t="e">
        <f>AND(#REF!,"AAAAAHv/c0g=")</f>
        <v>#REF!</v>
      </c>
      <c r="BV316" t="e">
        <f>AND(#REF!,"AAAAAHv/c0k=")</f>
        <v>#REF!</v>
      </c>
      <c r="BW316" t="e">
        <f>AND(#REF!,"AAAAAHv/c0o=")</f>
        <v>#REF!</v>
      </c>
      <c r="BX316" t="e">
        <f>AND(#REF!,"AAAAAHv/c0s=")</f>
        <v>#REF!</v>
      </c>
      <c r="BY316" t="e">
        <f>AND(#REF!,"AAAAAHv/c0w=")</f>
        <v>#REF!</v>
      </c>
      <c r="BZ316" t="e">
        <f>AND(#REF!,"AAAAAHv/c00=")</f>
        <v>#REF!</v>
      </c>
      <c r="CA316" t="e">
        <f>AND(#REF!,"AAAAAHv/c04=")</f>
        <v>#REF!</v>
      </c>
      <c r="CB316" t="e">
        <f>AND(#REF!,"AAAAAHv/c08=")</f>
        <v>#REF!</v>
      </c>
      <c r="CC316" t="e">
        <f>AND(#REF!,"AAAAAHv/c1A=")</f>
        <v>#REF!</v>
      </c>
      <c r="CD316" t="e">
        <f>AND(#REF!,"AAAAAHv/c1E=")</f>
        <v>#REF!</v>
      </c>
      <c r="CE316" t="e">
        <f>AND(#REF!,"AAAAAHv/c1I=")</f>
        <v>#REF!</v>
      </c>
      <c r="CF316" t="e">
        <f>AND(#REF!,"AAAAAHv/c1M=")</f>
        <v>#REF!</v>
      </c>
      <c r="CG316" t="e">
        <f>AND(#REF!,"AAAAAHv/c1Q=")</f>
        <v>#REF!</v>
      </c>
      <c r="CH316" t="e">
        <f>AND(#REF!,"AAAAAHv/c1U=")</f>
        <v>#REF!</v>
      </c>
      <c r="CI316" t="e">
        <f>AND(#REF!,"AAAAAHv/c1Y=")</f>
        <v>#REF!</v>
      </c>
      <c r="CJ316" t="e">
        <f>AND(#REF!,"AAAAAHv/c1c=")</f>
        <v>#REF!</v>
      </c>
      <c r="CK316" t="e">
        <f>AND(#REF!,"AAAAAHv/c1g=")</f>
        <v>#REF!</v>
      </c>
      <c r="CL316" t="e">
        <f>AND(#REF!,"AAAAAHv/c1k=")</f>
        <v>#REF!</v>
      </c>
      <c r="CM316" t="e">
        <f>AND(#REF!,"AAAAAHv/c1o=")</f>
        <v>#REF!</v>
      </c>
      <c r="CN316" t="e">
        <f>AND(#REF!,"AAAAAHv/c1s=")</f>
        <v>#REF!</v>
      </c>
      <c r="CO316" t="e">
        <f>AND(#REF!,"AAAAAHv/c1w=")</f>
        <v>#REF!</v>
      </c>
      <c r="CP316" t="e">
        <f>AND(#REF!,"AAAAAHv/c10=")</f>
        <v>#REF!</v>
      </c>
      <c r="CQ316" t="e">
        <f>AND(#REF!,"AAAAAHv/c14=")</f>
        <v>#REF!</v>
      </c>
      <c r="CR316" t="e">
        <f>IF(#REF!,"AAAAAHv/c18=",0)</f>
        <v>#REF!</v>
      </c>
      <c r="CS316" t="e">
        <f>AND(#REF!,"AAAAAHv/c2A=")</f>
        <v>#REF!</v>
      </c>
      <c r="CT316" t="e">
        <f>AND(#REF!,"AAAAAHv/c2E=")</f>
        <v>#REF!</v>
      </c>
      <c r="CU316" t="e">
        <f>AND(#REF!,"AAAAAHv/c2I=")</f>
        <v>#REF!</v>
      </c>
      <c r="CV316" t="e">
        <f>AND(#REF!,"AAAAAHv/c2M=")</f>
        <v>#REF!</v>
      </c>
      <c r="CW316" t="e">
        <f>AND(#REF!,"AAAAAHv/c2Q=")</f>
        <v>#REF!</v>
      </c>
      <c r="CX316" t="e">
        <f>AND(#REF!,"AAAAAHv/c2U=")</f>
        <v>#REF!</v>
      </c>
      <c r="CY316" t="e">
        <f>AND(#REF!,"AAAAAHv/c2Y=")</f>
        <v>#REF!</v>
      </c>
      <c r="CZ316" t="e">
        <f>AND(#REF!,"AAAAAHv/c2c=")</f>
        <v>#REF!</v>
      </c>
      <c r="DA316" t="e">
        <f>AND(#REF!,"AAAAAHv/c2g=")</f>
        <v>#REF!</v>
      </c>
      <c r="DB316" t="e">
        <f>AND(#REF!,"AAAAAHv/c2k=")</f>
        <v>#REF!</v>
      </c>
      <c r="DC316" t="e">
        <f>AND(#REF!,"AAAAAHv/c2o=")</f>
        <v>#REF!</v>
      </c>
      <c r="DD316" t="e">
        <f>AND(#REF!,"AAAAAHv/c2s=")</f>
        <v>#REF!</v>
      </c>
      <c r="DE316" t="e">
        <f>AND(#REF!,"AAAAAHv/c2w=")</f>
        <v>#REF!</v>
      </c>
      <c r="DF316" t="e">
        <f>AND(#REF!,"AAAAAHv/c20=")</f>
        <v>#REF!</v>
      </c>
      <c r="DG316" t="e">
        <f>AND(#REF!,"AAAAAHv/c24=")</f>
        <v>#REF!</v>
      </c>
      <c r="DH316" t="e">
        <f>AND(#REF!,"AAAAAHv/c28=")</f>
        <v>#REF!</v>
      </c>
      <c r="DI316" t="e">
        <f>AND(#REF!,"AAAAAHv/c3A=")</f>
        <v>#REF!</v>
      </c>
      <c r="DJ316" t="e">
        <f>AND(#REF!,"AAAAAHv/c3E=")</f>
        <v>#REF!</v>
      </c>
      <c r="DK316" t="e">
        <f>AND(#REF!,"AAAAAHv/c3I=")</f>
        <v>#REF!</v>
      </c>
      <c r="DL316" t="e">
        <f>AND(#REF!,"AAAAAHv/c3M=")</f>
        <v>#REF!</v>
      </c>
      <c r="DM316" t="e">
        <f>AND(#REF!,"AAAAAHv/c3Q=")</f>
        <v>#REF!</v>
      </c>
      <c r="DN316" t="e">
        <f>AND(#REF!,"AAAAAHv/c3U=")</f>
        <v>#REF!</v>
      </c>
      <c r="DO316" t="e">
        <f>AND(#REF!,"AAAAAHv/c3Y=")</f>
        <v>#REF!</v>
      </c>
      <c r="DP316" t="e">
        <f>AND(#REF!,"AAAAAHv/c3c=")</f>
        <v>#REF!</v>
      </c>
      <c r="DQ316" t="e">
        <f>IF(#REF!,"AAAAAHv/c3g=",0)</f>
        <v>#REF!</v>
      </c>
      <c r="DR316" t="e">
        <f>AND(#REF!,"AAAAAHv/c3k=")</f>
        <v>#REF!</v>
      </c>
      <c r="DS316" t="e">
        <f>AND(#REF!,"AAAAAHv/c3o=")</f>
        <v>#REF!</v>
      </c>
      <c r="DT316" t="e">
        <f>AND(#REF!,"AAAAAHv/c3s=")</f>
        <v>#REF!</v>
      </c>
      <c r="DU316" t="e">
        <f>AND(#REF!,"AAAAAHv/c3w=")</f>
        <v>#REF!</v>
      </c>
      <c r="DV316" t="e">
        <f>AND(#REF!,"AAAAAHv/c30=")</f>
        <v>#REF!</v>
      </c>
      <c r="DW316" t="e">
        <f>AND(#REF!,"AAAAAHv/c34=")</f>
        <v>#REF!</v>
      </c>
      <c r="DX316" t="e">
        <f>AND(#REF!,"AAAAAHv/c38=")</f>
        <v>#REF!</v>
      </c>
      <c r="DY316" t="e">
        <f>AND(#REF!,"AAAAAHv/c4A=")</f>
        <v>#REF!</v>
      </c>
      <c r="DZ316" t="e">
        <f>AND(#REF!,"AAAAAHv/c4E=")</f>
        <v>#REF!</v>
      </c>
      <c r="EA316" t="e">
        <f>AND(#REF!,"AAAAAHv/c4I=")</f>
        <v>#REF!</v>
      </c>
      <c r="EB316" t="e">
        <f>AND(#REF!,"AAAAAHv/c4M=")</f>
        <v>#REF!</v>
      </c>
      <c r="EC316" t="e">
        <f>AND(#REF!,"AAAAAHv/c4Q=")</f>
        <v>#REF!</v>
      </c>
      <c r="ED316" t="e">
        <f>AND(#REF!,"AAAAAHv/c4U=")</f>
        <v>#REF!</v>
      </c>
      <c r="EE316" t="e">
        <f>AND(#REF!,"AAAAAHv/c4Y=")</f>
        <v>#REF!</v>
      </c>
      <c r="EF316" t="e">
        <f>AND(#REF!,"AAAAAHv/c4c=")</f>
        <v>#REF!</v>
      </c>
      <c r="EG316" t="e">
        <f>AND(#REF!,"AAAAAHv/c4g=")</f>
        <v>#REF!</v>
      </c>
      <c r="EH316" t="e">
        <f>AND(#REF!,"AAAAAHv/c4k=")</f>
        <v>#REF!</v>
      </c>
      <c r="EI316" t="e">
        <f>AND(#REF!,"AAAAAHv/c4o=")</f>
        <v>#REF!</v>
      </c>
      <c r="EJ316" t="e">
        <f>AND(#REF!,"AAAAAHv/c4s=")</f>
        <v>#REF!</v>
      </c>
      <c r="EK316" t="e">
        <f>AND(#REF!,"AAAAAHv/c4w=")</f>
        <v>#REF!</v>
      </c>
      <c r="EL316" t="e">
        <f>AND(#REF!,"AAAAAHv/c40=")</f>
        <v>#REF!</v>
      </c>
      <c r="EM316" t="e">
        <f>AND(#REF!,"AAAAAHv/c44=")</f>
        <v>#REF!</v>
      </c>
      <c r="EN316" t="e">
        <f>AND(#REF!,"AAAAAHv/c48=")</f>
        <v>#REF!</v>
      </c>
      <c r="EO316" t="e">
        <f>AND(#REF!,"AAAAAHv/c5A=")</f>
        <v>#REF!</v>
      </c>
      <c r="EP316" t="e">
        <f>IF(#REF!,"AAAAAHv/c5E=",0)</f>
        <v>#REF!</v>
      </c>
      <c r="EQ316" t="e">
        <f>AND(#REF!,"AAAAAHv/c5I=")</f>
        <v>#REF!</v>
      </c>
      <c r="ER316" t="e">
        <f>AND(#REF!,"AAAAAHv/c5M=")</f>
        <v>#REF!</v>
      </c>
      <c r="ES316" t="e">
        <f>AND(#REF!,"AAAAAHv/c5Q=")</f>
        <v>#REF!</v>
      </c>
      <c r="ET316" t="e">
        <f>AND(#REF!,"AAAAAHv/c5U=")</f>
        <v>#REF!</v>
      </c>
      <c r="EU316" t="e">
        <f>AND(#REF!,"AAAAAHv/c5Y=")</f>
        <v>#REF!</v>
      </c>
      <c r="EV316" t="e">
        <f>AND(#REF!,"AAAAAHv/c5c=")</f>
        <v>#REF!</v>
      </c>
      <c r="EW316" t="e">
        <f>AND(#REF!,"AAAAAHv/c5g=")</f>
        <v>#REF!</v>
      </c>
      <c r="EX316" t="e">
        <f>AND(#REF!,"AAAAAHv/c5k=")</f>
        <v>#REF!</v>
      </c>
      <c r="EY316" t="e">
        <f>AND(#REF!,"AAAAAHv/c5o=")</f>
        <v>#REF!</v>
      </c>
      <c r="EZ316" t="e">
        <f>AND(#REF!,"AAAAAHv/c5s=")</f>
        <v>#REF!</v>
      </c>
      <c r="FA316" t="e">
        <f>AND(#REF!,"AAAAAHv/c5w=")</f>
        <v>#REF!</v>
      </c>
      <c r="FB316" t="e">
        <f>AND(#REF!,"AAAAAHv/c50=")</f>
        <v>#REF!</v>
      </c>
      <c r="FC316" t="e">
        <f>AND(#REF!,"AAAAAHv/c54=")</f>
        <v>#REF!</v>
      </c>
      <c r="FD316" t="e">
        <f>AND(#REF!,"AAAAAHv/c58=")</f>
        <v>#REF!</v>
      </c>
      <c r="FE316" t="e">
        <f>AND(#REF!,"AAAAAHv/c6A=")</f>
        <v>#REF!</v>
      </c>
      <c r="FF316" t="e">
        <f>AND(#REF!,"AAAAAHv/c6E=")</f>
        <v>#REF!</v>
      </c>
      <c r="FG316" t="e">
        <f>AND(#REF!,"AAAAAHv/c6I=")</f>
        <v>#REF!</v>
      </c>
      <c r="FH316" t="e">
        <f>AND(#REF!,"AAAAAHv/c6M=")</f>
        <v>#REF!</v>
      </c>
      <c r="FI316" t="e">
        <f>AND(#REF!,"AAAAAHv/c6Q=")</f>
        <v>#REF!</v>
      </c>
      <c r="FJ316" t="e">
        <f>AND(#REF!,"AAAAAHv/c6U=")</f>
        <v>#REF!</v>
      </c>
      <c r="FK316" t="e">
        <f>AND(#REF!,"AAAAAHv/c6Y=")</f>
        <v>#REF!</v>
      </c>
      <c r="FL316" t="e">
        <f>AND(#REF!,"AAAAAHv/c6c=")</f>
        <v>#REF!</v>
      </c>
      <c r="FM316" t="e">
        <f>AND(#REF!,"AAAAAHv/c6g=")</f>
        <v>#REF!</v>
      </c>
      <c r="FN316" t="e">
        <f>AND(#REF!,"AAAAAHv/c6k=")</f>
        <v>#REF!</v>
      </c>
      <c r="FO316" t="e">
        <f>IF(#REF!,"AAAAAHv/c6o=",0)</f>
        <v>#REF!</v>
      </c>
      <c r="FP316" t="e">
        <f>AND(#REF!,"AAAAAHv/c6s=")</f>
        <v>#REF!</v>
      </c>
      <c r="FQ316" t="e">
        <f>AND(#REF!,"AAAAAHv/c6w=")</f>
        <v>#REF!</v>
      </c>
      <c r="FR316" t="e">
        <f>AND(#REF!,"AAAAAHv/c60=")</f>
        <v>#REF!</v>
      </c>
      <c r="FS316" t="e">
        <f>AND(#REF!,"AAAAAHv/c64=")</f>
        <v>#REF!</v>
      </c>
      <c r="FT316" t="e">
        <f>AND(#REF!,"AAAAAHv/c68=")</f>
        <v>#REF!</v>
      </c>
      <c r="FU316" t="e">
        <f>AND(#REF!,"AAAAAHv/c7A=")</f>
        <v>#REF!</v>
      </c>
      <c r="FV316" t="e">
        <f>AND(#REF!,"AAAAAHv/c7E=")</f>
        <v>#REF!</v>
      </c>
      <c r="FW316" t="e">
        <f>AND(#REF!,"AAAAAHv/c7I=")</f>
        <v>#REF!</v>
      </c>
      <c r="FX316" t="e">
        <f>AND(#REF!,"AAAAAHv/c7M=")</f>
        <v>#REF!</v>
      </c>
      <c r="FY316" t="e">
        <f>AND(#REF!,"AAAAAHv/c7Q=")</f>
        <v>#REF!</v>
      </c>
      <c r="FZ316" t="e">
        <f>AND(#REF!,"AAAAAHv/c7U=")</f>
        <v>#REF!</v>
      </c>
      <c r="GA316" t="e">
        <f>AND(#REF!,"AAAAAHv/c7Y=")</f>
        <v>#REF!</v>
      </c>
      <c r="GB316" t="e">
        <f>AND(#REF!,"AAAAAHv/c7c=")</f>
        <v>#REF!</v>
      </c>
      <c r="GC316" t="e">
        <f>AND(#REF!,"AAAAAHv/c7g=")</f>
        <v>#REF!</v>
      </c>
      <c r="GD316" t="e">
        <f>AND(#REF!,"AAAAAHv/c7k=")</f>
        <v>#REF!</v>
      </c>
      <c r="GE316" t="e">
        <f>AND(#REF!,"AAAAAHv/c7o=")</f>
        <v>#REF!</v>
      </c>
      <c r="GF316" t="e">
        <f>AND(#REF!,"AAAAAHv/c7s=")</f>
        <v>#REF!</v>
      </c>
      <c r="GG316" t="e">
        <f>AND(#REF!,"AAAAAHv/c7w=")</f>
        <v>#REF!</v>
      </c>
      <c r="GH316" t="e">
        <f>AND(#REF!,"AAAAAHv/c70=")</f>
        <v>#REF!</v>
      </c>
      <c r="GI316" t="e">
        <f>AND(#REF!,"AAAAAHv/c74=")</f>
        <v>#REF!</v>
      </c>
      <c r="GJ316" t="e">
        <f>AND(#REF!,"AAAAAHv/c78=")</f>
        <v>#REF!</v>
      </c>
      <c r="GK316" t="e">
        <f>AND(#REF!,"AAAAAHv/c8A=")</f>
        <v>#REF!</v>
      </c>
      <c r="GL316" t="e">
        <f>AND(#REF!,"AAAAAHv/c8E=")</f>
        <v>#REF!</v>
      </c>
      <c r="GM316" t="e">
        <f>AND(#REF!,"AAAAAHv/c8I=")</f>
        <v>#REF!</v>
      </c>
      <c r="GN316" t="e">
        <f>IF(#REF!,"AAAAAHv/c8M=",0)</f>
        <v>#REF!</v>
      </c>
      <c r="GO316" t="e">
        <f>AND(#REF!,"AAAAAHv/c8Q=")</f>
        <v>#REF!</v>
      </c>
      <c r="GP316" t="e">
        <f>AND(#REF!,"AAAAAHv/c8U=")</f>
        <v>#REF!</v>
      </c>
      <c r="GQ316" t="e">
        <f>AND(#REF!,"AAAAAHv/c8Y=")</f>
        <v>#REF!</v>
      </c>
      <c r="GR316" t="e">
        <f>AND(#REF!,"AAAAAHv/c8c=")</f>
        <v>#REF!</v>
      </c>
      <c r="GS316" t="e">
        <f>AND(#REF!,"AAAAAHv/c8g=")</f>
        <v>#REF!</v>
      </c>
      <c r="GT316" t="e">
        <f>AND(#REF!,"AAAAAHv/c8k=")</f>
        <v>#REF!</v>
      </c>
      <c r="GU316" t="e">
        <f>AND(#REF!,"AAAAAHv/c8o=")</f>
        <v>#REF!</v>
      </c>
      <c r="GV316" t="e">
        <f>AND(#REF!,"AAAAAHv/c8s=")</f>
        <v>#REF!</v>
      </c>
      <c r="GW316" t="e">
        <f>AND(#REF!,"AAAAAHv/c8w=")</f>
        <v>#REF!</v>
      </c>
      <c r="GX316" t="e">
        <f>AND(#REF!,"AAAAAHv/c80=")</f>
        <v>#REF!</v>
      </c>
      <c r="GY316" t="e">
        <f>AND(#REF!,"AAAAAHv/c84=")</f>
        <v>#REF!</v>
      </c>
      <c r="GZ316" t="e">
        <f>AND(#REF!,"AAAAAHv/c88=")</f>
        <v>#REF!</v>
      </c>
      <c r="HA316" t="e">
        <f>AND(#REF!,"AAAAAHv/c9A=")</f>
        <v>#REF!</v>
      </c>
      <c r="HB316" t="e">
        <f>AND(#REF!,"AAAAAHv/c9E=")</f>
        <v>#REF!</v>
      </c>
      <c r="HC316" t="e">
        <f>AND(#REF!,"AAAAAHv/c9I=")</f>
        <v>#REF!</v>
      </c>
      <c r="HD316" t="e">
        <f>AND(#REF!,"AAAAAHv/c9M=")</f>
        <v>#REF!</v>
      </c>
      <c r="HE316" t="e">
        <f>AND(#REF!,"AAAAAHv/c9Q=")</f>
        <v>#REF!</v>
      </c>
      <c r="HF316" t="e">
        <f>AND(#REF!,"AAAAAHv/c9U=")</f>
        <v>#REF!</v>
      </c>
      <c r="HG316" t="e">
        <f>AND(#REF!,"AAAAAHv/c9Y=")</f>
        <v>#REF!</v>
      </c>
      <c r="HH316" t="e">
        <f>AND(#REF!,"AAAAAHv/c9c=")</f>
        <v>#REF!</v>
      </c>
      <c r="HI316" t="e">
        <f>AND(#REF!,"AAAAAHv/c9g=")</f>
        <v>#REF!</v>
      </c>
      <c r="HJ316" t="e">
        <f>AND(#REF!,"AAAAAHv/c9k=")</f>
        <v>#REF!</v>
      </c>
      <c r="HK316" t="e">
        <f>AND(#REF!,"AAAAAHv/c9o=")</f>
        <v>#REF!</v>
      </c>
      <c r="HL316" t="e">
        <f>AND(#REF!,"AAAAAHv/c9s=")</f>
        <v>#REF!</v>
      </c>
      <c r="HM316" t="e">
        <f>IF(#REF!,"AAAAAHv/c9w=",0)</f>
        <v>#REF!</v>
      </c>
      <c r="HN316" t="e">
        <f>AND(#REF!,"AAAAAHv/c90=")</f>
        <v>#REF!</v>
      </c>
      <c r="HO316" t="e">
        <f>AND(#REF!,"AAAAAHv/c94=")</f>
        <v>#REF!</v>
      </c>
      <c r="HP316" t="e">
        <f>AND(#REF!,"AAAAAHv/c98=")</f>
        <v>#REF!</v>
      </c>
      <c r="HQ316" t="e">
        <f>AND(#REF!,"AAAAAHv/c+A=")</f>
        <v>#REF!</v>
      </c>
      <c r="HR316" t="e">
        <f>AND(#REF!,"AAAAAHv/c+E=")</f>
        <v>#REF!</v>
      </c>
      <c r="HS316" t="e">
        <f>AND(#REF!,"AAAAAHv/c+I=")</f>
        <v>#REF!</v>
      </c>
      <c r="HT316" t="e">
        <f>AND(#REF!,"AAAAAHv/c+M=")</f>
        <v>#REF!</v>
      </c>
      <c r="HU316" t="e">
        <f>AND(#REF!,"AAAAAHv/c+Q=")</f>
        <v>#REF!</v>
      </c>
      <c r="HV316" t="e">
        <f>AND(#REF!,"AAAAAHv/c+U=")</f>
        <v>#REF!</v>
      </c>
      <c r="HW316" t="e">
        <f>AND(#REF!,"AAAAAHv/c+Y=")</f>
        <v>#REF!</v>
      </c>
      <c r="HX316" t="e">
        <f>AND(#REF!,"AAAAAHv/c+c=")</f>
        <v>#REF!</v>
      </c>
      <c r="HY316" t="e">
        <f>AND(#REF!,"AAAAAHv/c+g=")</f>
        <v>#REF!</v>
      </c>
      <c r="HZ316" t="e">
        <f>AND(#REF!,"AAAAAHv/c+k=")</f>
        <v>#REF!</v>
      </c>
      <c r="IA316" t="e">
        <f>AND(#REF!,"AAAAAHv/c+o=")</f>
        <v>#REF!</v>
      </c>
      <c r="IB316" t="e">
        <f>AND(#REF!,"AAAAAHv/c+s=")</f>
        <v>#REF!</v>
      </c>
      <c r="IC316" t="e">
        <f>AND(#REF!,"AAAAAHv/c+w=")</f>
        <v>#REF!</v>
      </c>
      <c r="ID316" t="e">
        <f>AND(#REF!,"AAAAAHv/c+0=")</f>
        <v>#REF!</v>
      </c>
      <c r="IE316" t="e">
        <f>AND(#REF!,"AAAAAHv/c+4=")</f>
        <v>#REF!</v>
      </c>
      <c r="IF316" t="e">
        <f>AND(#REF!,"AAAAAHv/c+8=")</f>
        <v>#REF!</v>
      </c>
      <c r="IG316" t="e">
        <f>AND(#REF!,"AAAAAHv/c/A=")</f>
        <v>#REF!</v>
      </c>
      <c r="IH316" t="e">
        <f>AND(#REF!,"AAAAAHv/c/E=")</f>
        <v>#REF!</v>
      </c>
      <c r="II316" t="e">
        <f>AND(#REF!,"AAAAAHv/c/I=")</f>
        <v>#REF!</v>
      </c>
      <c r="IJ316" t="e">
        <f>AND(#REF!,"AAAAAHv/c/M=")</f>
        <v>#REF!</v>
      </c>
      <c r="IK316" t="e">
        <f>AND(#REF!,"AAAAAHv/c/Q=")</f>
        <v>#REF!</v>
      </c>
      <c r="IL316" t="e">
        <f>IF(#REF!,"AAAAAHv/c/U=",0)</f>
        <v>#REF!</v>
      </c>
      <c r="IM316" t="e">
        <f>AND(#REF!,"AAAAAHv/c/Y=")</f>
        <v>#REF!</v>
      </c>
      <c r="IN316" t="e">
        <f>AND(#REF!,"AAAAAHv/c/c=")</f>
        <v>#REF!</v>
      </c>
      <c r="IO316" t="e">
        <f>AND(#REF!,"AAAAAHv/c/g=")</f>
        <v>#REF!</v>
      </c>
      <c r="IP316" t="e">
        <f>AND(#REF!,"AAAAAHv/c/k=")</f>
        <v>#REF!</v>
      </c>
      <c r="IQ316" t="e">
        <f>AND(#REF!,"AAAAAHv/c/o=")</f>
        <v>#REF!</v>
      </c>
      <c r="IR316" t="e">
        <f>AND(#REF!,"AAAAAHv/c/s=")</f>
        <v>#REF!</v>
      </c>
      <c r="IS316" t="e">
        <f>AND(#REF!,"AAAAAHv/c/w=")</f>
        <v>#REF!</v>
      </c>
      <c r="IT316" t="e">
        <f>AND(#REF!,"AAAAAHv/c/0=")</f>
        <v>#REF!</v>
      </c>
      <c r="IU316" t="e">
        <f>AND(#REF!,"AAAAAHv/c/4=")</f>
        <v>#REF!</v>
      </c>
      <c r="IV316" t="e">
        <f>AND(#REF!,"AAAAAHv/c/8=")</f>
        <v>#REF!</v>
      </c>
    </row>
    <row r="317" spans="1:256">
      <c r="A317" t="e">
        <f>AND(#REF!,"AAAAAH/r+wA=")</f>
        <v>#REF!</v>
      </c>
      <c r="B317" t="e">
        <f>AND(#REF!,"AAAAAH/r+wE=")</f>
        <v>#REF!</v>
      </c>
      <c r="C317" t="e">
        <f>AND(#REF!,"AAAAAH/r+wI=")</f>
        <v>#REF!</v>
      </c>
      <c r="D317" t="e">
        <f>AND(#REF!,"AAAAAH/r+wM=")</f>
        <v>#REF!</v>
      </c>
      <c r="E317" t="e">
        <f>AND(#REF!,"AAAAAH/r+wQ=")</f>
        <v>#REF!</v>
      </c>
      <c r="F317" t="e">
        <f>AND(#REF!,"AAAAAH/r+wU=")</f>
        <v>#REF!</v>
      </c>
      <c r="G317" t="e">
        <f>AND(#REF!,"AAAAAH/r+wY=")</f>
        <v>#REF!</v>
      </c>
      <c r="H317" t="e">
        <f>AND(#REF!,"AAAAAH/r+wc=")</f>
        <v>#REF!</v>
      </c>
      <c r="I317" t="e">
        <f>AND(#REF!,"AAAAAH/r+wg=")</f>
        <v>#REF!</v>
      </c>
      <c r="J317" t="e">
        <f>AND(#REF!,"AAAAAH/r+wk=")</f>
        <v>#REF!</v>
      </c>
      <c r="K317" t="e">
        <f>AND(#REF!,"AAAAAH/r+wo=")</f>
        <v>#REF!</v>
      </c>
      <c r="L317" t="e">
        <f>AND(#REF!,"AAAAAH/r+ws=")</f>
        <v>#REF!</v>
      </c>
      <c r="M317" t="e">
        <f>AND(#REF!,"AAAAAH/r+ww=")</f>
        <v>#REF!</v>
      </c>
      <c r="N317" t="e">
        <f>AND(#REF!,"AAAAAH/r+w0=")</f>
        <v>#REF!</v>
      </c>
      <c r="O317" t="e">
        <f>IF(#REF!,"AAAAAH/r+w4=",0)</f>
        <v>#REF!</v>
      </c>
      <c r="P317" t="e">
        <f>AND(#REF!,"AAAAAH/r+w8=")</f>
        <v>#REF!</v>
      </c>
      <c r="Q317" t="e">
        <f>AND(#REF!,"AAAAAH/r+xA=")</f>
        <v>#REF!</v>
      </c>
      <c r="R317" t="e">
        <f>AND(#REF!,"AAAAAH/r+xE=")</f>
        <v>#REF!</v>
      </c>
      <c r="S317" t="e">
        <f>AND(#REF!,"AAAAAH/r+xI=")</f>
        <v>#REF!</v>
      </c>
      <c r="T317" t="e">
        <f>AND(#REF!,"AAAAAH/r+xM=")</f>
        <v>#REF!</v>
      </c>
      <c r="U317" t="e">
        <f>AND(#REF!,"AAAAAH/r+xQ=")</f>
        <v>#REF!</v>
      </c>
      <c r="V317" t="e">
        <f>AND(#REF!,"AAAAAH/r+xU=")</f>
        <v>#REF!</v>
      </c>
      <c r="W317" t="e">
        <f>AND(#REF!,"AAAAAH/r+xY=")</f>
        <v>#REF!</v>
      </c>
      <c r="X317" t="e">
        <f>AND(#REF!,"AAAAAH/r+xc=")</f>
        <v>#REF!</v>
      </c>
      <c r="Y317" t="e">
        <f>AND(#REF!,"AAAAAH/r+xg=")</f>
        <v>#REF!</v>
      </c>
      <c r="Z317" t="e">
        <f>AND(#REF!,"AAAAAH/r+xk=")</f>
        <v>#REF!</v>
      </c>
      <c r="AA317" t="e">
        <f>AND(#REF!,"AAAAAH/r+xo=")</f>
        <v>#REF!</v>
      </c>
      <c r="AB317" t="e">
        <f>AND(#REF!,"AAAAAH/r+xs=")</f>
        <v>#REF!</v>
      </c>
      <c r="AC317" t="e">
        <f>AND(#REF!,"AAAAAH/r+xw=")</f>
        <v>#REF!</v>
      </c>
      <c r="AD317" t="e">
        <f>AND(#REF!,"AAAAAH/r+x0=")</f>
        <v>#REF!</v>
      </c>
      <c r="AE317" t="e">
        <f>AND(#REF!,"AAAAAH/r+x4=")</f>
        <v>#REF!</v>
      </c>
      <c r="AF317" t="e">
        <f>AND(#REF!,"AAAAAH/r+x8=")</f>
        <v>#REF!</v>
      </c>
      <c r="AG317" t="e">
        <f>AND(#REF!,"AAAAAH/r+yA=")</f>
        <v>#REF!</v>
      </c>
      <c r="AH317" t="e">
        <f>AND(#REF!,"AAAAAH/r+yE=")</f>
        <v>#REF!</v>
      </c>
      <c r="AI317" t="e">
        <f>AND(#REF!,"AAAAAH/r+yI=")</f>
        <v>#REF!</v>
      </c>
      <c r="AJ317" t="e">
        <f>AND(#REF!,"AAAAAH/r+yM=")</f>
        <v>#REF!</v>
      </c>
      <c r="AK317" t="e">
        <f>AND(#REF!,"AAAAAH/r+yQ=")</f>
        <v>#REF!</v>
      </c>
      <c r="AL317" t="e">
        <f>AND(#REF!,"AAAAAH/r+yU=")</f>
        <v>#REF!</v>
      </c>
      <c r="AM317" t="e">
        <f>AND(#REF!,"AAAAAH/r+yY=")</f>
        <v>#REF!</v>
      </c>
      <c r="AN317" t="e">
        <f>IF(#REF!,"AAAAAH/r+yc=",0)</f>
        <v>#REF!</v>
      </c>
      <c r="AO317" t="e">
        <f>AND(#REF!,"AAAAAH/r+yg=")</f>
        <v>#REF!</v>
      </c>
      <c r="AP317" t="e">
        <f>AND(#REF!,"AAAAAH/r+yk=")</f>
        <v>#REF!</v>
      </c>
      <c r="AQ317" t="e">
        <f>AND(#REF!,"AAAAAH/r+yo=")</f>
        <v>#REF!</v>
      </c>
      <c r="AR317" t="e">
        <f>AND(#REF!,"AAAAAH/r+ys=")</f>
        <v>#REF!</v>
      </c>
      <c r="AS317" t="e">
        <f>AND(#REF!,"AAAAAH/r+yw=")</f>
        <v>#REF!</v>
      </c>
      <c r="AT317" t="e">
        <f>AND(#REF!,"AAAAAH/r+y0=")</f>
        <v>#REF!</v>
      </c>
      <c r="AU317" t="e">
        <f>AND(#REF!,"AAAAAH/r+y4=")</f>
        <v>#REF!</v>
      </c>
      <c r="AV317" t="e">
        <f>AND(#REF!,"AAAAAH/r+y8=")</f>
        <v>#REF!</v>
      </c>
      <c r="AW317" t="e">
        <f>AND(#REF!,"AAAAAH/r+zA=")</f>
        <v>#REF!</v>
      </c>
      <c r="AX317" t="e">
        <f>AND(#REF!,"AAAAAH/r+zE=")</f>
        <v>#REF!</v>
      </c>
      <c r="AY317" t="e">
        <f>AND(#REF!,"AAAAAH/r+zI=")</f>
        <v>#REF!</v>
      </c>
      <c r="AZ317" t="e">
        <f>AND(#REF!,"AAAAAH/r+zM=")</f>
        <v>#REF!</v>
      </c>
      <c r="BA317" t="e">
        <f>AND(#REF!,"AAAAAH/r+zQ=")</f>
        <v>#REF!</v>
      </c>
      <c r="BB317" t="e">
        <f>AND(#REF!,"AAAAAH/r+zU=")</f>
        <v>#REF!</v>
      </c>
      <c r="BC317" t="e">
        <f>AND(#REF!,"AAAAAH/r+zY=")</f>
        <v>#REF!</v>
      </c>
      <c r="BD317" t="e">
        <f>AND(#REF!,"AAAAAH/r+zc=")</f>
        <v>#REF!</v>
      </c>
      <c r="BE317" t="e">
        <f>AND(#REF!,"AAAAAH/r+zg=")</f>
        <v>#REF!</v>
      </c>
      <c r="BF317" t="e">
        <f>AND(#REF!,"AAAAAH/r+zk=")</f>
        <v>#REF!</v>
      </c>
      <c r="BG317" t="e">
        <f>AND(#REF!,"AAAAAH/r+zo=")</f>
        <v>#REF!</v>
      </c>
      <c r="BH317" t="e">
        <f>AND(#REF!,"AAAAAH/r+zs=")</f>
        <v>#REF!</v>
      </c>
      <c r="BI317" t="e">
        <f>AND(#REF!,"AAAAAH/r+zw=")</f>
        <v>#REF!</v>
      </c>
      <c r="BJ317" t="e">
        <f>AND(#REF!,"AAAAAH/r+z0=")</f>
        <v>#REF!</v>
      </c>
      <c r="BK317" t="e">
        <f>AND(#REF!,"AAAAAH/r+z4=")</f>
        <v>#REF!</v>
      </c>
      <c r="BL317" t="e">
        <f>AND(#REF!,"AAAAAH/r+z8=")</f>
        <v>#REF!</v>
      </c>
      <c r="BM317" t="e">
        <f>IF(#REF!,"AAAAAH/r+0A=",0)</f>
        <v>#REF!</v>
      </c>
      <c r="BN317" t="e">
        <f>AND(#REF!,"AAAAAH/r+0E=")</f>
        <v>#REF!</v>
      </c>
      <c r="BO317" t="e">
        <f>AND(#REF!,"AAAAAH/r+0I=")</f>
        <v>#REF!</v>
      </c>
      <c r="BP317" t="e">
        <f>AND(#REF!,"AAAAAH/r+0M=")</f>
        <v>#REF!</v>
      </c>
      <c r="BQ317" t="e">
        <f>AND(#REF!,"AAAAAH/r+0Q=")</f>
        <v>#REF!</v>
      </c>
      <c r="BR317" t="e">
        <f>AND(#REF!,"AAAAAH/r+0U=")</f>
        <v>#REF!</v>
      </c>
      <c r="BS317" t="e">
        <f>AND(#REF!,"AAAAAH/r+0Y=")</f>
        <v>#REF!</v>
      </c>
      <c r="BT317" t="e">
        <f>AND(#REF!,"AAAAAH/r+0c=")</f>
        <v>#REF!</v>
      </c>
      <c r="BU317" t="e">
        <f>AND(#REF!,"AAAAAH/r+0g=")</f>
        <v>#REF!</v>
      </c>
      <c r="BV317" t="e">
        <f>AND(#REF!,"AAAAAH/r+0k=")</f>
        <v>#REF!</v>
      </c>
      <c r="BW317" t="e">
        <f>AND(#REF!,"AAAAAH/r+0o=")</f>
        <v>#REF!</v>
      </c>
      <c r="BX317" t="e">
        <f>AND(#REF!,"AAAAAH/r+0s=")</f>
        <v>#REF!</v>
      </c>
      <c r="BY317" t="e">
        <f>AND(#REF!,"AAAAAH/r+0w=")</f>
        <v>#REF!</v>
      </c>
      <c r="BZ317" t="e">
        <f>AND(#REF!,"AAAAAH/r+00=")</f>
        <v>#REF!</v>
      </c>
      <c r="CA317" t="e">
        <f>AND(#REF!,"AAAAAH/r+04=")</f>
        <v>#REF!</v>
      </c>
      <c r="CB317" t="e">
        <f>AND(#REF!,"AAAAAH/r+08=")</f>
        <v>#REF!</v>
      </c>
      <c r="CC317" t="e">
        <f>AND(#REF!,"AAAAAH/r+1A=")</f>
        <v>#REF!</v>
      </c>
      <c r="CD317" t="e">
        <f>AND(#REF!,"AAAAAH/r+1E=")</f>
        <v>#REF!</v>
      </c>
      <c r="CE317" t="e">
        <f>AND(#REF!,"AAAAAH/r+1I=")</f>
        <v>#REF!</v>
      </c>
      <c r="CF317" t="e">
        <f>AND(#REF!,"AAAAAH/r+1M=")</f>
        <v>#REF!</v>
      </c>
      <c r="CG317" t="e">
        <f>AND(#REF!,"AAAAAH/r+1Q=")</f>
        <v>#REF!</v>
      </c>
      <c r="CH317" t="e">
        <f>AND(#REF!,"AAAAAH/r+1U=")</f>
        <v>#REF!</v>
      </c>
      <c r="CI317" t="e">
        <f>AND(#REF!,"AAAAAH/r+1Y=")</f>
        <v>#REF!</v>
      </c>
      <c r="CJ317" t="e">
        <f>AND(#REF!,"AAAAAH/r+1c=")</f>
        <v>#REF!</v>
      </c>
      <c r="CK317" t="e">
        <f>AND(#REF!,"AAAAAH/r+1g=")</f>
        <v>#REF!</v>
      </c>
      <c r="CL317" t="e">
        <f>IF(#REF!,"AAAAAH/r+1k=",0)</f>
        <v>#REF!</v>
      </c>
      <c r="CM317" t="e">
        <f>AND(#REF!,"AAAAAH/r+1o=")</f>
        <v>#REF!</v>
      </c>
      <c r="CN317" t="e">
        <f>AND(#REF!,"AAAAAH/r+1s=")</f>
        <v>#REF!</v>
      </c>
      <c r="CO317" t="e">
        <f>AND(#REF!,"AAAAAH/r+1w=")</f>
        <v>#REF!</v>
      </c>
      <c r="CP317" t="e">
        <f>AND(#REF!,"AAAAAH/r+10=")</f>
        <v>#REF!</v>
      </c>
      <c r="CQ317" t="e">
        <f>AND(#REF!,"AAAAAH/r+14=")</f>
        <v>#REF!</v>
      </c>
      <c r="CR317" t="e">
        <f>AND(#REF!,"AAAAAH/r+18=")</f>
        <v>#REF!</v>
      </c>
      <c r="CS317" t="e">
        <f>AND(#REF!,"AAAAAH/r+2A=")</f>
        <v>#REF!</v>
      </c>
      <c r="CT317" t="e">
        <f>AND(#REF!,"AAAAAH/r+2E=")</f>
        <v>#REF!</v>
      </c>
      <c r="CU317" t="e">
        <f>AND(#REF!,"AAAAAH/r+2I=")</f>
        <v>#REF!</v>
      </c>
      <c r="CV317" t="e">
        <f>AND(#REF!,"AAAAAH/r+2M=")</f>
        <v>#REF!</v>
      </c>
      <c r="CW317" t="e">
        <f>AND(#REF!,"AAAAAH/r+2Q=")</f>
        <v>#REF!</v>
      </c>
      <c r="CX317" t="e">
        <f>AND(#REF!,"AAAAAH/r+2U=")</f>
        <v>#REF!</v>
      </c>
      <c r="CY317" t="e">
        <f>AND(#REF!,"AAAAAH/r+2Y=")</f>
        <v>#REF!</v>
      </c>
      <c r="CZ317" t="e">
        <f>AND(#REF!,"AAAAAH/r+2c=")</f>
        <v>#REF!</v>
      </c>
      <c r="DA317" t="e">
        <f>AND(#REF!,"AAAAAH/r+2g=")</f>
        <v>#REF!</v>
      </c>
      <c r="DB317" t="e">
        <f>AND(#REF!,"AAAAAH/r+2k=")</f>
        <v>#REF!</v>
      </c>
      <c r="DC317" t="e">
        <f>AND(#REF!,"AAAAAH/r+2o=")</f>
        <v>#REF!</v>
      </c>
      <c r="DD317" t="e">
        <f>AND(#REF!,"AAAAAH/r+2s=")</f>
        <v>#REF!</v>
      </c>
      <c r="DE317" t="e">
        <f>AND(#REF!,"AAAAAH/r+2w=")</f>
        <v>#REF!</v>
      </c>
      <c r="DF317" t="e">
        <f>AND(#REF!,"AAAAAH/r+20=")</f>
        <v>#REF!</v>
      </c>
      <c r="DG317" t="e">
        <f>AND(#REF!,"AAAAAH/r+24=")</f>
        <v>#REF!</v>
      </c>
      <c r="DH317" t="e">
        <f>AND(#REF!,"AAAAAH/r+28=")</f>
        <v>#REF!</v>
      </c>
      <c r="DI317" t="e">
        <f>AND(#REF!,"AAAAAH/r+3A=")</f>
        <v>#REF!</v>
      </c>
      <c r="DJ317" t="e">
        <f>AND(#REF!,"AAAAAH/r+3E=")</f>
        <v>#REF!</v>
      </c>
      <c r="DK317" t="e">
        <f>IF(#REF!,"AAAAAH/r+3I=",0)</f>
        <v>#REF!</v>
      </c>
      <c r="DL317" t="e">
        <f>AND(#REF!,"AAAAAH/r+3M=")</f>
        <v>#REF!</v>
      </c>
      <c r="DM317" t="e">
        <f>AND(#REF!,"AAAAAH/r+3Q=")</f>
        <v>#REF!</v>
      </c>
      <c r="DN317" t="e">
        <f>AND(#REF!,"AAAAAH/r+3U=")</f>
        <v>#REF!</v>
      </c>
      <c r="DO317" t="e">
        <f>AND(#REF!,"AAAAAH/r+3Y=")</f>
        <v>#REF!</v>
      </c>
      <c r="DP317" t="e">
        <f>AND(#REF!,"AAAAAH/r+3c=")</f>
        <v>#REF!</v>
      </c>
      <c r="DQ317" t="e">
        <f>AND(#REF!,"AAAAAH/r+3g=")</f>
        <v>#REF!</v>
      </c>
      <c r="DR317" t="e">
        <f>AND(#REF!,"AAAAAH/r+3k=")</f>
        <v>#REF!</v>
      </c>
      <c r="DS317" t="e">
        <f>AND(#REF!,"AAAAAH/r+3o=")</f>
        <v>#REF!</v>
      </c>
      <c r="DT317" t="e">
        <f>AND(#REF!,"AAAAAH/r+3s=")</f>
        <v>#REF!</v>
      </c>
      <c r="DU317" t="e">
        <f>AND(#REF!,"AAAAAH/r+3w=")</f>
        <v>#REF!</v>
      </c>
      <c r="DV317" t="e">
        <f>AND(#REF!,"AAAAAH/r+30=")</f>
        <v>#REF!</v>
      </c>
      <c r="DW317" t="e">
        <f>AND(#REF!,"AAAAAH/r+34=")</f>
        <v>#REF!</v>
      </c>
      <c r="DX317" t="e">
        <f>AND(#REF!,"AAAAAH/r+38=")</f>
        <v>#REF!</v>
      </c>
      <c r="DY317" t="e">
        <f>AND(#REF!,"AAAAAH/r+4A=")</f>
        <v>#REF!</v>
      </c>
      <c r="DZ317" t="e">
        <f>AND(#REF!,"AAAAAH/r+4E=")</f>
        <v>#REF!</v>
      </c>
      <c r="EA317" t="e">
        <f>AND(#REF!,"AAAAAH/r+4I=")</f>
        <v>#REF!</v>
      </c>
      <c r="EB317" t="e">
        <f>AND(#REF!,"AAAAAH/r+4M=")</f>
        <v>#REF!</v>
      </c>
      <c r="EC317" t="e">
        <f>AND(#REF!,"AAAAAH/r+4Q=")</f>
        <v>#REF!</v>
      </c>
      <c r="ED317" t="e">
        <f>AND(#REF!,"AAAAAH/r+4U=")</f>
        <v>#REF!</v>
      </c>
      <c r="EE317" t="e">
        <f>AND(#REF!,"AAAAAH/r+4Y=")</f>
        <v>#REF!</v>
      </c>
      <c r="EF317" t="e">
        <f>AND(#REF!,"AAAAAH/r+4c=")</f>
        <v>#REF!</v>
      </c>
      <c r="EG317" t="e">
        <f>AND(#REF!,"AAAAAH/r+4g=")</f>
        <v>#REF!</v>
      </c>
      <c r="EH317" t="e">
        <f>AND(#REF!,"AAAAAH/r+4k=")</f>
        <v>#REF!</v>
      </c>
      <c r="EI317" t="e">
        <f>AND(#REF!,"AAAAAH/r+4o=")</f>
        <v>#REF!</v>
      </c>
      <c r="EJ317" t="e">
        <f>IF(#REF!,"AAAAAH/r+4s=",0)</f>
        <v>#REF!</v>
      </c>
      <c r="EK317" t="e">
        <f>AND(#REF!,"AAAAAH/r+4w=")</f>
        <v>#REF!</v>
      </c>
      <c r="EL317" t="e">
        <f>AND(#REF!,"AAAAAH/r+40=")</f>
        <v>#REF!</v>
      </c>
      <c r="EM317" t="e">
        <f>AND(#REF!,"AAAAAH/r+44=")</f>
        <v>#REF!</v>
      </c>
      <c r="EN317" t="e">
        <f>AND(#REF!,"AAAAAH/r+48=")</f>
        <v>#REF!</v>
      </c>
      <c r="EO317" t="e">
        <f>AND(#REF!,"AAAAAH/r+5A=")</f>
        <v>#REF!</v>
      </c>
      <c r="EP317" t="e">
        <f>AND(#REF!,"AAAAAH/r+5E=")</f>
        <v>#REF!</v>
      </c>
      <c r="EQ317" t="e">
        <f>AND(#REF!,"AAAAAH/r+5I=")</f>
        <v>#REF!</v>
      </c>
      <c r="ER317" t="e">
        <f>AND(#REF!,"AAAAAH/r+5M=")</f>
        <v>#REF!</v>
      </c>
      <c r="ES317" t="e">
        <f>AND(#REF!,"AAAAAH/r+5Q=")</f>
        <v>#REF!</v>
      </c>
      <c r="ET317" t="e">
        <f>AND(#REF!,"AAAAAH/r+5U=")</f>
        <v>#REF!</v>
      </c>
      <c r="EU317" t="e">
        <f>AND(#REF!,"AAAAAH/r+5Y=")</f>
        <v>#REF!</v>
      </c>
      <c r="EV317" t="e">
        <f>AND(#REF!,"AAAAAH/r+5c=")</f>
        <v>#REF!</v>
      </c>
      <c r="EW317" t="e">
        <f>AND(#REF!,"AAAAAH/r+5g=")</f>
        <v>#REF!</v>
      </c>
      <c r="EX317" t="e">
        <f>AND(#REF!,"AAAAAH/r+5k=")</f>
        <v>#REF!</v>
      </c>
      <c r="EY317" t="e">
        <f>AND(#REF!,"AAAAAH/r+5o=")</f>
        <v>#REF!</v>
      </c>
      <c r="EZ317" t="e">
        <f>AND(#REF!,"AAAAAH/r+5s=")</f>
        <v>#REF!</v>
      </c>
      <c r="FA317" t="e">
        <f>AND(#REF!,"AAAAAH/r+5w=")</f>
        <v>#REF!</v>
      </c>
      <c r="FB317" t="e">
        <f>AND(#REF!,"AAAAAH/r+50=")</f>
        <v>#REF!</v>
      </c>
      <c r="FC317" t="e">
        <f>AND(#REF!,"AAAAAH/r+54=")</f>
        <v>#REF!</v>
      </c>
      <c r="FD317" t="e">
        <f>AND(#REF!,"AAAAAH/r+58=")</f>
        <v>#REF!</v>
      </c>
      <c r="FE317" t="e">
        <f>AND(#REF!,"AAAAAH/r+6A=")</f>
        <v>#REF!</v>
      </c>
      <c r="FF317" t="e">
        <f>AND(#REF!,"AAAAAH/r+6E=")</f>
        <v>#REF!</v>
      </c>
      <c r="FG317" t="e">
        <f>AND(#REF!,"AAAAAH/r+6I=")</f>
        <v>#REF!</v>
      </c>
      <c r="FH317" t="e">
        <f>AND(#REF!,"AAAAAH/r+6M=")</f>
        <v>#REF!</v>
      </c>
      <c r="FI317" t="e">
        <f>IF(#REF!,"AAAAAH/r+6Q=",0)</f>
        <v>#REF!</v>
      </c>
      <c r="FJ317" t="e">
        <f>AND(#REF!,"AAAAAH/r+6U=")</f>
        <v>#REF!</v>
      </c>
      <c r="FK317" t="e">
        <f>AND(#REF!,"AAAAAH/r+6Y=")</f>
        <v>#REF!</v>
      </c>
      <c r="FL317" t="e">
        <f>AND(#REF!,"AAAAAH/r+6c=")</f>
        <v>#REF!</v>
      </c>
      <c r="FM317" t="e">
        <f>AND(#REF!,"AAAAAH/r+6g=")</f>
        <v>#REF!</v>
      </c>
      <c r="FN317" t="e">
        <f>AND(#REF!,"AAAAAH/r+6k=")</f>
        <v>#REF!</v>
      </c>
      <c r="FO317" t="e">
        <f>AND(#REF!,"AAAAAH/r+6o=")</f>
        <v>#REF!</v>
      </c>
      <c r="FP317" t="e">
        <f>AND(#REF!,"AAAAAH/r+6s=")</f>
        <v>#REF!</v>
      </c>
      <c r="FQ317" t="e">
        <f>AND(#REF!,"AAAAAH/r+6w=")</f>
        <v>#REF!</v>
      </c>
      <c r="FR317" t="e">
        <f>AND(#REF!,"AAAAAH/r+60=")</f>
        <v>#REF!</v>
      </c>
      <c r="FS317" t="e">
        <f>AND(#REF!,"AAAAAH/r+64=")</f>
        <v>#REF!</v>
      </c>
      <c r="FT317" t="e">
        <f>AND(#REF!,"AAAAAH/r+68=")</f>
        <v>#REF!</v>
      </c>
      <c r="FU317" t="e">
        <f>AND(#REF!,"AAAAAH/r+7A=")</f>
        <v>#REF!</v>
      </c>
      <c r="FV317" t="e">
        <f>AND(#REF!,"AAAAAH/r+7E=")</f>
        <v>#REF!</v>
      </c>
      <c r="FW317" t="e">
        <f>AND(#REF!,"AAAAAH/r+7I=")</f>
        <v>#REF!</v>
      </c>
      <c r="FX317" t="e">
        <f>AND(#REF!,"AAAAAH/r+7M=")</f>
        <v>#REF!</v>
      </c>
      <c r="FY317" t="e">
        <f>AND(#REF!,"AAAAAH/r+7Q=")</f>
        <v>#REF!</v>
      </c>
      <c r="FZ317" t="e">
        <f>AND(#REF!,"AAAAAH/r+7U=")</f>
        <v>#REF!</v>
      </c>
      <c r="GA317" t="e">
        <f>AND(#REF!,"AAAAAH/r+7Y=")</f>
        <v>#REF!</v>
      </c>
      <c r="GB317" t="e">
        <f>AND(#REF!,"AAAAAH/r+7c=")</f>
        <v>#REF!</v>
      </c>
      <c r="GC317" t="e">
        <f>AND(#REF!,"AAAAAH/r+7g=")</f>
        <v>#REF!</v>
      </c>
      <c r="GD317" t="e">
        <f>AND(#REF!,"AAAAAH/r+7k=")</f>
        <v>#REF!</v>
      </c>
      <c r="GE317" t="e">
        <f>AND(#REF!,"AAAAAH/r+7o=")</f>
        <v>#REF!</v>
      </c>
      <c r="GF317" t="e">
        <f>AND(#REF!,"AAAAAH/r+7s=")</f>
        <v>#REF!</v>
      </c>
      <c r="GG317" t="e">
        <f>AND(#REF!,"AAAAAH/r+7w=")</f>
        <v>#REF!</v>
      </c>
      <c r="GH317" t="e">
        <f>IF(#REF!,"AAAAAH/r+70=",0)</f>
        <v>#REF!</v>
      </c>
      <c r="GI317" t="e">
        <f>AND(#REF!,"AAAAAH/r+74=")</f>
        <v>#REF!</v>
      </c>
      <c r="GJ317" t="e">
        <f>AND(#REF!,"AAAAAH/r+78=")</f>
        <v>#REF!</v>
      </c>
      <c r="GK317" t="e">
        <f>AND(#REF!,"AAAAAH/r+8A=")</f>
        <v>#REF!</v>
      </c>
      <c r="GL317" t="e">
        <f>AND(#REF!,"AAAAAH/r+8E=")</f>
        <v>#REF!</v>
      </c>
      <c r="GM317" t="e">
        <f>AND(#REF!,"AAAAAH/r+8I=")</f>
        <v>#REF!</v>
      </c>
      <c r="GN317" t="e">
        <f>AND(#REF!,"AAAAAH/r+8M=")</f>
        <v>#REF!</v>
      </c>
      <c r="GO317" t="e">
        <f>AND(#REF!,"AAAAAH/r+8Q=")</f>
        <v>#REF!</v>
      </c>
      <c r="GP317" t="e">
        <f>AND(#REF!,"AAAAAH/r+8U=")</f>
        <v>#REF!</v>
      </c>
      <c r="GQ317" t="e">
        <f>AND(#REF!,"AAAAAH/r+8Y=")</f>
        <v>#REF!</v>
      </c>
      <c r="GR317" t="e">
        <f>AND(#REF!,"AAAAAH/r+8c=")</f>
        <v>#REF!</v>
      </c>
      <c r="GS317" t="e">
        <f>AND(#REF!,"AAAAAH/r+8g=")</f>
        <v>#REF!</v>
      </c>
      <c r="GT317" t="e">
        <f>AND(#REF!,"AAAAAH/r+8k=")</f>
        <v>#REF!</v>
      </c>
      <c r="GU317" t="e">
        <f>AND(#REF!,"AAAAAH/r+8o=")</f>
        <v>#REF!</v>
      </c>
      <c r="GV317" t="e">
        <f>AND(#REF!,"AAAAAH/r+8s=")</f>
        <v>#REF!</v>
      </c>
      <c r="GW317" t="e">
        <f>AND(#REF!,"AAAAAH/r+8w=")</f>
        <v>#REF!</v>
      </c>
      <c r="GX317" t="e">
        <f>AND(#REF!,"AAAAAH/r+80=")</f>
        <v>#REF!</v>
      </c>
      <c r="GY317" t="e">
        <f>AND(#REF!,"AAAAAH/r+84=")</f>
        <v>#REF!</v>
      </c>
      <c r="GZ317" t="e">
        <f>AND(#REF!,"AAAAAH/r+88=")</f>
        <v>#REF!</v>
      </c>
      <c r="HA317" t="e">
        <f>AND(#REF!,"AAAAAH/r+9A=")</f>
        <v>#REF!</v>
      </c>
      <c r="HB317" t="e">
        <f>AND(#REF!,"AAAAAH/r+9E=")</f>
        <v>#REF!</v>
      </c>
      <c r="HC317" t="e">
        <f>AND(#REF!,"AAAAAH/r+9I=")</f>
        <v>#REF!</v>
      </c>
      <c r="HD317" t="e">
        <f>AND(#REF!,"AAAAAH/r+9M=")</f>
        <v>#REF!</v>
      </c>
      <c r="HE317" t="e">
        <f>AND(#REF!,"AAAAAH/r+9Q=")</f>
        <v>#REF!</v>
      </c>
      <c r="HF317" t="e">
        <f>AND(#REF!,"AAAAAH/r+9U=")</f>
        <v>#REF!</v>
      </c>
      <c r="HG317" t="e">
        <f>IF(#REF!,"AAAAAH/r+9Y=",0)</f>
        <v>#REF!</v>
      </c>
      <c r="HH317" t="e">
        <f>AND(#REF!,"AAAAAH/r+9c=")</f>
        <v>#REF!</v>
      </c>
      <c r="HI317" t="e">
        <f>AND(#REF!,"AAAAAH/r+9g=")</f>
        <v>#REF!</v>
      </c>
      <c r="HJ317" t="e">
        <f>AND(#REF!,"AAAAAH/r+9k=")</f>
        <v>#REF!</v>
      </c>
      <c r="HK317" t="e">
        <f>AND(#REF!,"AAAAAH/r+9o=")</f>
        <v>#REF!</v>
      </c>
      <c r="HL317" t="e">
        <f>AND(#REF!,"AAAAAH/r+9s=")</f>
        <v>#REF!</v>
      </c>
      <c r="HM317" t="e">
        <f>AND(#REF!,"AAAAAH/r+9w=")</f>
        <v>#REF!</v>
      </c>
      <c r="HN317" t="e">
        <f>AND(#REF!,"AAAAAH/r+90=")</f>
        <v>#REF!</v>
      </c>
      <c r="HO317" t="e">
        <f>AND(#REF!,"AAAAAH/r+94=")</f>
        <v>#REF!</v>
      </c>
      <c r="HP317" t="e">
        <f>AND(#REF!,"AAAAAH/r+98=")</f>
        <v>#REF!</v>
      </c>
      <c r="HQ317" t="e">
        <f>AND(#REF!,"AAAAAH/r++A=")</f>
        <v>#REF!</v>
      </c>
      <c r="HR317" t="e">
        <f>AND(#REF!,"AAAAAH/r++E=")</f>
        <v>#REF!</v>
      </c>
      <c r="HS317" t="e">
        <f>AND(#REF!,"AAAAAH/r++I=")</f>
        <v>#REF!</v>
      </c>
      <c r="HT317" t="e">
        <f>AND(#REF!,"AAAAAH/r++M=")</f>
        <v>#REF!</v>
      </c>
      <c r="HU317" t="e">
        <f>AND(#REF!,"AAAAAH/r++Q=")</f>
        <v>#REF!</v>
      </c>
      <c r="HV317" t="e">
        <f>AND(#REF!,"AAAAAH/r++U=")</f>
        <v>#REF!</v>
      </c>
      <c r="HW317" t="e">
        <f>AND(#REF!,"AAAAAH/r++Y=")</f>
        <v>#REF!</v>
      </c>
      <c r="HX317" t="e">
        <f>AND(#REF!,"AAAAAH/r++c=")</f>
        <v>#REF!</v>
      </c>
      <c r="HY317" t="e">
        <f>AND(#REF!,"AAAAAH/r++g=")</f>
        <v>#REF!</v>
      </c>
      <c r="HZ317" t="e">
        <f>AND(#REF!,"AAAAAH/r++k=")</f>
        <v>#REF!</v>
      </c>
      <c r="IA317" t="e">
        <f>AND(#REF!,"AAAAAH/r++o=")</f>
        <v>#REF!</v>
      </c>
      <c r="IB317" t="e">
        <f>AND(#REF!,"AAAAAH/r++s=")</f>
        <v>#REF!</v>
      </c>
      <c r="IC317" t="e">
        <f>AND(#REF!,"AAAAAH/r++w=")</f>
        <v>#REF!</v>
      </c>
      <c r="ID317" t="e">
        <f>AND(#REF!,"AAAAAH/r++0=")</f>
        <v>#REF!</v>
      </c>
      <c r="IE317" t="e">
        <f>AND(#REF!,"AAAAAH/r++4=")</f>
        <v>#REF!</v>
      </c>
      <c r="IF317" t="e">
        <f>IF(#REF!,"AAAAAH/r++8=",0)</f>
        <v>#REF!</v>
      </c>
      <c r="IG317" t="e">
        <f>AND(#REF!,"AAAAAH/r+/A=")</f>
        <v>#REF!</v>
      </c>
      <c r="IH317" t="e">
        <f>AND(#REF!,"AAAAAH/r+/E=")</f>
        <v>#REF!</v>
      </c>
      <c r="II317" t="e">
        <f>AND(#REF!,"AAAAAH/r+/I=")</f>
        <v>#REF!</v>
      </c>
      <c r="IJ317" t="e">
        <f>AND(#REF!,"AAAAAH/r+/M=")</f>
        <v>#REF!</v>
      </c>
      <c r="IK317" t="e">
        <f>AND(#REF!,"AAAAAH/r+/Q=")</f>
        <v>#REF!</v>
      </c>
      <c r="IL317" t="e">
        <f>AND(#REF!,"AAAAAH/r+/U=")</f>
        <v>#REF!</v>
      </c>
      <c r="IM317" t="e">
        <f>AND(#REF!,"AAAAAH/r+/Y=")</f>
        <v>#REF!</v>
      </c>
      <c r="IN317" t="e">
        <f>AND(#REF!,"AAAAAH/r+/c=")</f>
        <v>#REF!</v>
      </c>
      <c r="IO317" t="e">
        <f>AND(#REF!,"AAAAAH/r+/g=")</f>
        <v>#REF!</v>
      </c>
      <c r="IP317" t="e">
        <f>AND(#REF!,"AAAAAH/r+/k=")</f>
        <v>#REF!</v>
      </c>
      <c r="IQ317" t="e">
        <f>AND(#REF!,"AAAAAH/r+/o=")</f>
        <v>#REF!</v>
      </c>
      <c r="IR317" t="e">
        <f>AND(#REF!,"AAAAAH/r+/s=")</f>
        <v>#REF!</v>
      </c>
      <c r="IS317" t="e">
        <f>AND(#REF!,"AAAAAH/r+/w=")</f>
        <v>#REF!</v>
      </c>
      <c r="IT317" t="e">
        <f>AND(#REF!,"AAAAAH/r+/0=")</f>
        <v>#REF!</v>
      </c>
      <c r="IU317" t="e">
        <f>AND(#REF!,"AAAAAH/r+/4=")</f>
        <v>#REF!</v>
      </c>
      <c r="IV317" t="e">
        <f>AND(#REF!,"AAAAAH/r+/8=")</f>
        <v>#REF!</v>
      </c>
    </row>
    <row r="318" spans="1:256">
      <c r="A318" t="e">
        <f>AND(#REF!,"AAAAAHef5gA=")</f>
        <v>#REF!</v>
      </c>
      <c r="B318" t="e">
        <f>AND(#REF!,"AAAAAHef5gE=")</f>
        <v>#REF!</v>
      </c>
      <c r="C318" t="e">
        <f>AND(#REF!,"AAAAAHef5gI=")</f>
        <v>#REF!</v>
      </c>
      <c r="D318" t="e">
        <f>AND(#REF!,"AAAAAHef5gM=")</f>
        <v>#REF!</v>
      </c>
      <c r="E318" t="e">
        <f>AND(#REF!,"AAAAAHef5gQ=")</f>
        <v>#REF!</v>
      </c>
      <c r="F318" t="e">
        <f>AND(#REF!,"AAAAAHef5gU=")</f>
        <v>#REF!</v>
      </c>
      <c r="G318" t="e">
        <f>AND(#REF!,"AAAAAHef5gY=")</f>
        <v>#REF!</v>
      </c>
      <c r="H318" t="e">
        <f>AND(#REF!,"AAAAAHef5gc=")</f>
        <v>#REF!</v>
      </c>
      <c r="I318" t="e">
        <f>IF(#REF!,"AAAAAHef5gg=",0)</f>
        <v>#REF!</v>
      </c>
      <c r="J318" t="e">
        <f>AND(#REF!,"AAAAAHef5gk=")</f>
        <v>#REF!</v>
      </c>
      <c r="K318" t="e">
        <f>AND(#REF!,"AAAAAHef5go=")</f>
        <v>#REF!</v>
      </c>
      <c r="L318" t="e">
        <f>AND(#REF!,"AAAAAHef5gs=")</f>
        <v>#REF!</v>
      </c>
      <c r="M318" t="e">
        <f>AND(#REF!,"AAAAAHef5gw=")</f>
        <v>#REF!</v>
      </c>
      <c r="N318" t="e">
        <f>AND(#REF!,"AAAAAHef5g0=")</f>
        <v>#REF!</v>
      </c>
      <c r="O318" t="e">
        <f>AND(#REF!,"AAAAAHef5g4=")</f>
        <v>#REF!</v>
      </c>
      <c r="P318" t="e">
        <f>AND(#REF!,"AAAAAHef5g8=")</f>
        <v>#REF!</v>
      </c>
      <c r="Q318" t="e">
        <f>AND(#REF!,"AAAAAHef5hA=")</f>
        <v>#REF!</v>
      </c>
      <c r="R318" t="e">
        <f>AND(#REF!,"AAAAAHef5hE=")</f>
        <v>#REF!</v>
      </c>
      <c r="S318" t="e">
        <f>AND(#REF!,"AAAAAHef5hI=")</f>
        <v>#REF!</v>
      </c>
      <c r="T318" t="e">
        <f>AND(#REF!,"AAAAAHef5hM=")</f>
        <v>#REF!</v>
      </c>
      <c r="U318" t="e">
        <f>AND(#REF!,"AAAAAHef5hQ=")</f>
        <v>#REF!</v>
      </c>
      <c r="V318" t="e">
        <f>AND(#REF!,"AAAAAHef5hU=")</f>
        <v>#REF!</v>
      </c>
      <c r="W318" t="e">
        <f>AND(#REF!,"AAAAAHef5hY=")</f>
        <v>#REF!</v>
      </c>
      <c r="X318" t="e">
        <f>AND(#REF!,"AAAAAHef5hc=")</f>
        <v>#REF!</v>
      </c>
      <c r="Y318" t="e">
        <f>AND(#REF!,"AAAAAHef5hg=")</f>
        <v>#REF!</v>
      </c>
      <c r="Z318" t="e">
        <f>AND(#REF!,"AAAAAHef5hk=")</f>
        <v>#REF!</v>
      </c>
      <c r="AA318" t="e">
        <f>AND(#REF!,"AAAAAHef5ho=")</f>
        <v>#REF!</v>
      </c>
      <c r="AB318" t="e">
        <f>AND(#REF!,"AAAAAHef5hs=")</f>
        <v>#REF!</v>
      </c>
      <c r="AC318" t="e">
        <f>AND(#REF!,"AAAAAHef5hw=")</f>
        <v>#REF!</v>
      </c>
      <c r="AD318" t="e">
        <f>AND(#REF!,"AAAAAHef5h0=")</f>
        <v>#REF!</v>
      </c>
      <c r="AE318" t="e">
        <f>AND(#REF!,"AAAAAHef5h4=")</f>
        <v>#REF!</v>
      </c>
      <c r="AF318" t="e">
        <f>AND(#REF!,"AAAAAHef5h8=")</f>
        <v>#REF!</v>
      </c>
      <c r="AG318" t="e">
        <f>AND(#REF!,"AAAAAHef5iA=")</f>
        <v>#REF!</v>
      </c>
      <c r="AH318" t="e">
        <f>IF(#REF!,"AAAAAHef5iE=",0)</f>
        <v>#REF!</v>
      </c>
      <c r="AI318" t="e">
        <f>AND(#REF!,"AAAAAHef5iI=")</f>
        <v>#REF!</v>
      </c>
      <c r="AJ318" t="e">
        <f>AND(#REF!,"AAAAAHef5iM=")</f>
        <v>#REF!</v>
      </c>
      <c r="AK318" t="e">
        <f>AND(#REF!,"AAAAAHef5iQ=")</f>
        <v>#REF!</v>
      </c>
      <c r="AL318" t="e">
        <f>AND(#REF!,"AAAAAHef5iU=")</f>
        <v>#REF!</v>
      </c>
      <c r="AM318" t="e">
        <f>AND(#REF!,"AAAAAHef5iY=")</f>
        <v>#REF!</v>
      </c>
      <c r="AN318" t="e">
        <f>AND(#REF!,"AAAAAHef5ic=")</f>
        <v>#REF!</v>
      </c>
      <c r="AO318" t="e">
        <f>AND(#REF!,"AAAAAHef5ig=")</f>
        <v>#REF!</v>
      </c>
      <c r="AP318" t="e">
        <f>AND(#REF!,"AAAAAHef5ik=")</f>
        <v>#REF!</v>
      </c>
      <c r="AQ318" t="e">
        <f>AND(#REF!,"AAAAAHef5io=")</f>
        <v>#REF!</v>
      </c>
      <c r="AR318" t="e">
        <f>AND(#REF!,"AAAAAHef5is=")</f>
        <v>#REF!</v>
      </c>
      <c r="AS318" t="e">
        <f>AND(#REF!,"AAAAAHef5iw=")</f>
        <v>#REF!</v>
      </c>
      <c r="AT318" t="e">
        <f>AND(#REF!,"AAAAAHef5i0=")</f>
        <v>#REF!</v>
      </c>
      <c r="AU318" t="e">
        <f>AND(#REF!,"AAAAAHef5i4=")</f>
        <v>#REF!</v>
      </c>
      <c r="AV318" t="e">
        <f>AND(#REF!,"AAAAAHef5i8=")</f>
        <v>#REF!</v>
      </c>
      <c r="AW318" t="e">
        <f>AND(#REF!,"AAAAAHef5jA=")</f>
        <v>#REF!</v>
      </c>
      <c r="AX318" t="e">
        <f>AND(#REF!,"AAAAAHef5jE=")</f>
        <v>#REF!</v>
      </c>
      <c r="AY318" t="e">
        <f>AND(#REF!,"AAAAAHef5jI=")</f>
        <v>#REF!</v>
      </c>
      <c r="AZ318" t="e">
        <f>AND(#REF!,"AAAAAHef5jM=")</f>
        <v>#REF!</v>
      </c>
      <c r="BA318" t="e">
        <f>AND(#REF!,"AAAAAHef5jQ=")</f>
        <v>#REF!</v>
      </c>
      <c r="BB318" t="e">
        <f>AND(#REF!,"AAAAAHef5jU=")</f>
        <v>#REF!</v>
      </c>
      <c r="BC318" t="e">
        <f>AND(#REF!,"AAAAAHef5jY=")</f>
        <v>#REF!</v>
      </c>
      <c r="BD318" t="e">
        <f>AND(#REF!,"AAAAAHef5jc=")</f>
        <v>#REF!</v>
      </c>
      <c r="BE318" t="e">
        <f>AND(#REF!,"AAAAAHef5jg=")</f>
        <v>#REF!</v>
      </c>
      <c r="BF318" t="e">
        <f>AND(#REF!,"AAAAAHef5jk=")</f>
        <v>#REF!</v>
      </c>
      <c r="BG318" t="e">
        <f>IF(#REF!,"AAAAAHef5jo=",0)</f>
        <v>#REF!</v>
      </c>
      <c r="BH318" t="e">
        <f>AND(#REF!,"AAAAAHef5js=")</f>
        <v>#REF!</v>
      </c>
      <c r="BI318" t="e">
        <f>AND(#REF!,"AAAAAHef5jw=")</f>
        <v>#REF!</v>
      </c>
      <c r="BJ318" t="e">
        <f>AND(#REF!,"AAAAAHef5j0=")</f>
        <v>#REF!</v>
      </c>
      <c r="BK318" t="e">
        <f>AND(#REF!,"AAAAAHef5j4=")</f>
        <v>#REF!</v>
      </c>
      <c r="BL318" t="e">
        <f>AND(#REF!,"AAAAAHef5j8=")</f>
        <v>#REF!</v>
      </c>
      <c r="BM318" t="e">
        <f>AND(#REF!,"AAAAAHef5kA=")</f>
        <v>#REF!</v>
      </c>
      <c r="BN318" t="e">
        <f>AND(#REF!,"AAAAAHef5kE=")</f>
        <v>#REF!</v>
      </c>
      <c r="BO318" t="e">
        <f>AND(#REF!,"AAAAAHef5kI=")</f>
        <v>#REF!</v>
      </c>
      <c r="BP318" t="e">
        <f>AND(#REF!,"AAAAAHef5kM=")</f>
        <v>#REF!</v>
      </c>
      <c r="BQ318" t="e">
        <f>AND(#REF!,"AAAAAHef5kQ=")</f>
        <v>#REF!</v>
      </c>
      <c r="BR318" t="e">
        <f>AND(#REF!,"AAAAAHef5kU=")</f>
        <v>#REF!</v>
      </c>
      <c r="BS318" t="e">
        <f>AND(#REF!,"AAAAAHef5kY=")</f>
        <v>#REF!</v>
      </c>
      <c r="BT318" t="e">
        <f>AND(#REF!,"AAAAAHef5kc=")</f>
        <v>#REF!</v>
      </c>
      <c r="BU318" t="e">
        <f>AND(#REF!,"AAAAAHef5kg=")</f>
        <v>#REF!</v>
      </c>
      <c r="BV318" t="e">
        <f>AND(#REF!,"AAAAAHef5kk=")</f>
        <v>#REF!</v>
      </c>
      <c r="BW318" t="e">
        <f>AND(#REF!,"AAAAAHef5ko=")</f>
        <v>#REF!</v>
      </c>
      <c r="BX318" t="e">
        <f>AND(#REF!,"AAAAAHef5ks=")</f>
        <v>#REF!</v>
      </c>
      <c r="BY318" t="e">
        <f>AND(#REF!,"AAAAAHef5kw=")</f>
        <v>#REF!</v>
      </c>
      <c r="BZ318" t="e">
        <f>AND(#REF!,"AAAAAHef5k0=")</f>
        <v>#REF!</v>
      </c>
      <c r="CA318" t="e">
        <f>AND(#REF!,"AAAAAHef5k4=")</f>
        <v>#REF!</v>
      </c>
      <c r="CB318" t="e">
        <f>AND(#REF!,"AAAAAHef5k8=")</f>
        <v>#REF!</v>
      </c>
      <c r="CC318" t="e">
        <f>AND(#REF!,"AAAAAHef5lA=")</f>
        <v>#REF!</v>
      </c>
      <c r="CD318" t="e">
        <f>AND(#REF!,"AAAAAHef5lE=")</f>
        <v>#REF!</v>
      </c>
      <c r="CE318" t="e">
        <f>AND(#REF!,"AAAAAHef5lI=")</f>
        <v>#REF!</v>
      </c>
      <c r="CF318" t="e">
        <f>IF(#REF!,"AAAAAHef5lM=",0)</f>
        <v>#REF!</v>
      </c>
      <c r="CG318" t="e">
        <f>AND(#REF!,"AAAAAHef5lQ=")</f>
        <v>#REF!</v>
      </c>
      <c r="CH318" t="e">
        <f>AND(#REF!,"AAAAAHef5lU=")</f>
        <v>#REF!</v>
      </c>
      <c r="CI318" t="e">
        <f>AND(#REF!,"AAAAAHef5lY=")</f>
        <v>#REF!</v>
      </c>
      <c r="CJ318" t="e">
        <f>AND(#REF!,"AAAAAHef5lc=")</f>
        <v>#REF!</v>
      </c>
      <c r="CK318" t="e">
        <f>AND(#REF!,"AAAAAHef5lg=")</f>
        <v>#REF!</v>
      </c>
      <c r="CL318" t="e">
        <f>AND(#REF!,"AAAAAHef5lk=")</f>
        <v>#REF!</v>
      </c>
      <c r="CM318" t="e">
        <f>AND(#REF!,"AAAAAHef5lo=")</f>
        <v>#REF!</v>
      </c>
      <c r="CN318" t="e">
        <f>AND(#REF!,"AAAAAHef5ls=")</f>
        <v>#REF!</v>
      </c>
      <c r="CO318" t="e">
        <f>AND(#REF!,"AAAAAHef5lw=")</f>
        <v>#REF!</v>
      </c>
      <c r="CP318" t="e">
        <f>AND(#REF!,"AAAAAHef5l0=")</f>
        <v>#REF!</v>
      </c>
      <c r="CQ318" t="e">
        <f>AND(#REF!,"AAAAAHef5l4=")</f>
        <v>#REF!</v>
      </c>
      <c r="CR318" t="e">
        <f>AND(#REF!,"AAAAAHef5l8=")</f>
        <v>#REF!</v>
      </c>
      <c r="CS318" t="e">
        <f>AND(#REF!,"AAAAAHef5mA=")</f>
        <v>#REF!</v>
      </c>
      <c r="CT318" t="e">
        <f>AND(#REF!,"AAAAAHef5mE=")</f>
        <v>#REF!</v>
      </c>
      <c r="CU318" t="e">
        <f>AND(#REF!,"AAAAAHef5mI=")</f>
        <v>#REF!</v>
      </c>
      <c r="CV318" t="e">
        <f>AND(#REF!,"AAAAAHef5mM=")</f>
        <v>#REF!</v>
      </c>
      <c r="CW318" t="e">
        <f>AND(#REF!,"AAAAAHef5mQ=")</f>
        <v>#REF!</v>
      </c>
      <c r="CX318" t="e">
        <f>AND(#REF!,"AAAAAHef5mU=")</f>
        <v>#REF!</v>
      </c>
      <c r="CY318" t="e">
        <f>AND(#REF!,"AAAAAHef5mY=")</f>
        <v>#REF!</v>
      </c>
      <c r="CZ318" t="e">
        <f>AND(#REF!,"AAAAAHef5mc=")</f>
        <v>#REF!</v>
      </c>
      <c r="DA318" t="e">
        <f>AND(#REF!,"AAAAAHef5mg=")</f>
        <v>#REF!</v>
      </c>
      <c r="DB318" t="e">
        <f>AND(#REF!,"AAAAAHef5mk=")</f>
        <v>#REF!</v>
      </c>
      <c r="DC318" t="e">
        <f>AND(#REF!,"AAAAAHef5mo=")</f>
        <v>#REF!</v>
      </c>
      <c r="DD318" t="e">
        <f>AND(#REF!,"AAAAAHef5ms=")</f>
        <v>#REF!</v>
      </c>
      <c r="DE318" t="e">
        <f>IF(#REF!,"AAAAAHef5mw=",0)</f>
        <v>#REF!</v>
      </c>
      <c r="DF318" t="e">
        <f>AND(#REF!,"AAAAAHef5m0=")</f>
        <v>#REF!</v>
      </c>
      <c r="DG318" t="e">
        <f>AND(#REF!,"AAAAAHef5m4=")</f>
        <v>#REF!</v>
      </c>
      <c r="DH318" t="e">
        <f>AND(#REF!,"AAAAAHef5m8=")</f>
        <v>#REF!</v>
      </c>
      <c r="DI318" t="e">
        <f>AND(#REF!,"AAAAAHef5nA=")</f>
        <v>#REF!</v>
      </c>
      <c r="DJ318" t="e">
        <f>AND(#REF!,"AAAAAHef5nE=")</f>
        <v>#REF!</v>
      </c>
      <c r="DK318" t="e">
        <f>AND(#REF!,"AAAAAHef5nI=")</f>
        <v>#REF!</v>
      </c>
      <c r="DL318" t="e">
        <f>AND(#REF!,"AAAAAHef5nM=")</f>
        <v>#REF!</v>
      </c>
      <c r="DM318" t="e">
        <f>AND(#REF!,"AAAAAHef5nQ=")</f>
        <v>#REF!</v>
      </c>
      <c r="DN318" t="e">
        <f>AND(#REF!,"AAAAAHef5nU=")</f>
        <v>#REF!</v>
      </c>
      <c r="DO318" t="e">
        <f>AND(#REF!,"AAAAAHef5nY=")</f>
        <v>#REF!</v>
      </c>
      <c r="DP318" t="e">
        <f>AND(#REF!,"AAAAAHef5nc=")</f>
        <v>#REF!</v>
      </c>
      <c r="DQ318" t="e">
        <f>AND(#REF!,"AAAAAHef5ng=")</f>
        <v>#REF!</v>
      </c>
      <c r="DR318" t="e">
        <f>AND(#REF!,"AAAAAHef5nk=")</f>
        <v>#REF!</v>
      </c>
      <c r="DS318" t="e">
        <f>AND(#REF!,"AAAAAHef5no=")</f>
        <v>#REF!</v>
      </c>
      <c r="DT318" t="e">
        <f>AND(#REF!,"AAAAAHef5ns=")</f>
        <v>#REF!</v>
      </c>
      <c r="DU318" t="e">
        <f>AND(#REF!,"AAAAAHef5nw=")</f>
        <v>#REF!</v>
      </c>
      <c r="DV318" t="e">
        <f>AND(#REF!,"AAAAAHef5n0=")</f>
        <v>#REF!</v>
      </c>
      <c r="DW318" t="e">
        <f>AND(#REF!,"AAAAAHef5n4=")</f>
        <v>#REF!</v>
      </c>
      <c r="DX318" t="e">
        <f>AND(#REF!,"AAAAAHef5n8=")</f>
        <v>#REF!</v>
      </c>
      <c r="DY318" t="e">
        <f>AND(#REF!,"AAAAAHef5oA=")</f>
        <v>#REF!</v>
      </c>
      <c r="DZ318" t="e">
        <f>AND(#REF!,"AAAAAHef5oE=")</f>
        <v>#REF!</v>
      </c>
      <c r="EA318" t="e">
        <f>AND(#REF!,"AAAAAHef5oI=")</f>
        <v>#REF!</v>
      </c>
      <c r="EB318" t="e">
        <f>AND(#REF!,"AAAAAHef5oM=")</f>
        <v>#REF!</v>
      </c>
      <c r="EC318" t="e">
        <f>AND(#REF!,"AAAAAHef5oQ=")</f>
        <v>#REF!</v>
      </c>
      <c r="ED318" t="e">
        <f>IF(#REF!,"AAAAAHef5oU=",0)</f>
        <v>#REF!</v>
      </c>
      <c r="EE318" t="e">
        <f>AND(#REF!,"AAAAAHef5oY=")</f>
        <v>#REF!</v>
      </c>
      <c r="EF318" t="e">
        <f>AND(#REF!,"AAAAAHef5oc=")</f>
        <v>#REF!</v>
      </c>
      <c r="EG318" t="e">
        <f>AND(#REF!,"AAAAAHef5og=")</f>
        <v>#REF!</v>
      </c>
      <c r="EH318" t="e">
        <f>AND(#REF!,"AAAAAHef5ok=")</f>
        <v>#REF!</v>
      </c>
      <c r="EI318" t="e">
        <f>AND(#REF!,"AAAAAHef5oo=")</f>
        <v>#REF!</v>
      </c>
      <c r="EJ318" t="e">
        <f>AND(#REF!,"AAAAAHef5os=")</f>
        <v>#REF!</v>
      </c>
      <c r="EK318" t="e">
        <f>AND(#REF!,"AAAAAHef5ow=")</f>
        <v>#REF!</v>
      </c>
      <c r="EL318" t="e">
        <f>AND(#REF!,"AAAAAHef5o0=")</f>
        <v>#REF!</v>
      </c>
      <c r="EM318" t="e">
        <f>AND(#REF!,"AAAAAHef5o4=")</f>
        <v>#REF!</v>
      </c>
      <c r="EN318" t="e">
        <f>AND(#REF!,"AAAAAHef5o8=")</f>
        <v>#REF!</v>
      </c>
      <c r="EO318" t="e">
        <f>AND(#REF!,"AAAAAHef5pA=")</f>
        <v>#REF!</v>
      </c>
      <c r="EP318" t="e">
        <f>AND(#REF!,"AAAAAHef5pE=")</f>
        <v>#REF!</v>
      </c>
      <c r="EQ318" t="e">
        <f>AND(#REF!,"AAAAAHef5pI=")</f>
        <v>#REF!</v>
      </c>
      <c r="ER318" t="e">
        <f>AND(#REF!,"AAAAAHef5pM=")</f>
        <v>#REF!</v>
      </c>
      <c r="ES318" t="e">
        <f>AND(#REF!,"AAAAAHef5pQ=")</f>
        <v>#REF!</v>
      </c>
      <c r="ET318" t="e">
        <f>AND(#REF!,"AAAAAHef5pU=")</f>
        <v>#REF!</v>
      </c>
      <c r="EU318" t="e">
        <f>AND(#REF!,"AAAAAHef5pY=")</f>
        <v>#REF!</v>
      </c>
      <c r="EV318" t="e">
        <f>AND(#REF!,"AAAAAHef5pc=")</f>
        <v>#REF!</v>
      </c>
      <c r="EW318" t="e">
        <f>AND(#REF!,"AAAAAHef5pg=")</f>
        <v>#REF!</v>
      </c>
      <c r="EX318" t="e">
        <f>AND(#REF!,"AAAAAHef5pk=")</f>
        <v>#REF!</v>
      </c>
      <c r="EY318" t="e">
        <f>AND(#REF!,"AAAAAHef5po=")</f>
        <v>#REF!</v>
      </c>
      <c r="EZ318" t="e">
        <f>AND(#REF!,"AAAAAHef5ps=")</f>
        <v>#REF!</v>
      </c>
      <c r="FA318" t="e">
        <f>AND(#REF!,"AAAAAHef5pw=")</f>
        <v>#REF!</v>
      </c>
      <c r="FB318" t="e">
        <f>AND(#REF!,"AAAAAHef5p0=")</f>
        <v>#REF!</v>
      </c>
      <c r="FC318" t="e">
        <f>IF(#REF!,"AAAAAHef5p4=",0)</f>
        <v>#REF!</v>
      </c>
      <c r="FD318" t="e">
        <f>AND(#REF!,"AAAAAHef5p8=")</f>
        <v>#REF!</v>
      </c>
      <c r="FE318" t="e">
        <f>AND(#REF!,"AAAAAHef5qA=")</f>
        <v>#REF!</v>
      </c>
      <c r="FF318" t="e">
        <f>AND(#REF!,"AAAAAHef5qE=")</f>
        <v>#REF!</v>
      </c>
      <c r="FG318" t="e">
        <f>AND(#REF!,"AAAAAHef5qI=")</f>
        <v>#REF!</v>
      </c>
      <c r="FH318" t="e">
        <f>AND(#REF!,"AAAAAHef5qM=")</f>
        <v>#REF!</v>
      </c>
      <c r="FI318" t="e">
        <f>AND(#REF!,"AAAAAHef5qQ=")</f>
        <v>#REF!</v>
      </c>
      <c r="FJ318" t="e">
        <f>AND(#REF!,"AAAAAHef5qU=")</f>
        <v>#REF!</v>
      </c>
      <c r="FK318" t="e">
        <f>AND(#REF!,"AAAAAHef5qY=")</f>
        <v>#REF!</v>
      </c>
      <c r="FL318" t="e">
        <f>AND(#REF!,"AAAAAHef5qc=")</f>
        <v>#REF!</v>
      </c>
      <c r="FM318" t="e">
        <f>AND(#REF!,"AAAAAHef5qg=")</f>
        <v>#REF!</v>
      </c>
      <c r="FN318" t="e">
        <f>AND(#REF!,"AAAAAHef5qk=")</f>
        <v>#REF!</v>
      </c>
      <c r="FO318" t="e">
        <f>AND(#REF!,"AAAAAHef5qo=")</f>
        <v>#REF!</v>
      </c>
      <c r="FP318" t="e">
        <f>AND(#REF!,"AAAAAHef5qs=")</f>
        <v>#REF!</v>
      </c>
      <c r="FQ318" t="e">
        <f>AND(#REF!,"AAAAAHef5qw=")</f>
        <v>#REF!</v>
      </c>
      <c r="FR318" t="e">
        <f>AND(#REF!,"AAAAAHef5q0=")</f>
        <v>#REF!</v>
      </c>
      <c r="FS318" t="e">
        <f>AND(#REF!,"AAAAAHef5q4=")</f>
        <v>#REF!</v>
      </c>
      <c r="FT318" t="e">
        <f>AND(#REF!,"AAAAAHef5q8=")</f>
        <v>#REF!</v>
      </c>
      <c r="FU318" t="e">
        <f>AND(#REF!,"AAAAAHef5rA=")</f>
        <v>#REF!</v>
      </c>
      <c r="FV318" t="e">
        <f>AND(#REF!,"AAAAAHef5rE=")</f>
        <v>#REF!</v>
      </c>
      <c r="FW318" t="e">
        <f>AND(#REF!,"AAAAAHef5rI=")</f>
        <v>#REF!</v>
      </c>
      <c r="FX318" t="e">
        <f>AND(#REF!,"AAAAAHef5rM=")</f>
        <v>#REF!</v>
      </c>
      <c r="FY318" t="e">
        <f>AND(#REF!,"AAAAAHef5rQ=")</f>
        <v>#REF!</v>
      </c>
      <c r="FZ318" t="e">
        <f>AND(#REF!,"AAAAAHef5rU=")</f>
        <v>#REF!</v>
      </c>
      <c r="GA318" t="e">
        <f>AND(#REF!,"AAAAAHef5rY=")</f>
        <v>#REF!</v>
      </c>
      <c r="GB318" t="e">
        <f>IF(#REF!,"AAAAAHef5rc=",0)</f>
        <v>#REF!</v>
      </c>
      <c r="GC318" t="e">
        <f>AND(#REF!,"AAAAAHef5rg=")</f>
        <v>#REF!</v>
      </c>
      <c r="GD318" t="e">
        <f>AND(#REF!,"AAAAAHef5rk=")</f>
        <v>#REF!</v>
      </c>
      <c r="GE318" t="e">
        <f>AND(#REF!,"AAAAAHef5ro=")</f>
        <v>#REF!</v>
      </c>
      <c r="GF318" t="e">
        <f>AND(#REF!,"AAAAAHef5rs=")</f>
        <v>#REF!</v>
      </c>
      <c r="GG318" t="e">
        <f>AND(#REF!,"AAAAAHef5rw=")</f>
        <v>#REF!</v>
      </c>
      <c r="GH318" t="e">
        <f>AND(#REF!,"AAAAAHef5r0=")</f>
        <v>#REF!</v>
      </c>
      <c r="GI318" t="e">
        <f>AND(#REF!,"AAAAAHef5r4=")</f>
        <v>#REF!</v>
      </c>
      <c r="GJ318" t="e">
        <f>AND(#REF!,"AAAAAHef5r8=")</f>
        <v>#REF!</v>
      </c>
      <c r="GK318" t="e">
        <f>AND(#REF!,"AAAAAHef5sA=")</f>
        <v>#REF!</v>
      </c>
      <c r="GL318" t="e">
        <f>AND(#REF!,"AAAAAHef5sE=")</f>
        <v>#REF!</v>
      </c>
      <c r="GM318" t="e">
        <f>AND(#REF!,"AAAAAHef5sI=")</f>
        <v>#REF!</v>
      </c>
      <c r="GN318" t="e">
        <f>AND(#REF!,"AAAAAHef5sM=")</f>
        <v>#REF!</v>
      </c>
      <c r="GO318" t="e">
        <f>AND(#REF!,"AAAAAHef5sQ=")</f>
        <v>#REF!</v>
      </c>
      <c r="GP318" t="e">
        <f>AND(#REF!,"AAAAAHef5sU=")</f>
        <v>#REF!</v>
      </c>
      <c r="GQ318" t="e">
        <f>AND(#REF!,"AAAAAHef5sY=")</f>
        <v>#REF!</v>
      </c>
      <c r="GR318" t="e">
        <f>AND(#REF!,"AAAAAHef5sc=")</f>
        <v>#REF!</v>
      </c>
      <c r="GS318" t="e">
        <f>AND(#REF!,"AAAAAHef5sg=")</f>
        <v>#REF!</v>
      </c>
      <c r="GT318" t="e">
        <f>AND(#REF!,"AAAAAHef5sk=")</f>
        <v>#REF!</v>
      </c>
      <c r="GU318" t="e">
        <f>AND(#REF!,"AAAAAHef5so=")</f>
        <v>#REF!</v>
      </c>
      <c r="GV318" t="e">
        <f>AND(#REF!,"AAAAAHef5ss=")</f>
        <v>#REF!</v>
      </c>
      <c r="GW318" t="e">
        <f>AND(#REF!,"AAAAAHef5sw=")</f>
        <v>#REF!</v>
      </c>
      <c r="GX318" t="e">
        <f>AND(#REF!,"AAAAAHef5s0=")</f>
        <v>#REF!</v>
      </c>
      <c r="GY318" t="e">
        <f>AND(#REF!,"AAAAAHef5s4=")</f>
        <v>#REF!</v>
      </c>
      <c r="GZ318" t="e">
        <f>AND(#REF!,"AAAAAHef5s8=")</f>
        <v>#REF!</v>
      </c>
      <c r="HA318" t="e">
        <f>IF(#REF!,"AAAAAHef5tA=",0)</f>
        <v>#REF!</v>
      </c>
      <c r="HB318" t="e">
        <f>AND(#REF!,"AAAAAHef5tE=")</f>
        <v>#REF!</v>
      </c>
      <c r="HC318" t="e">
        <f>AND(#REF!,"AAAAAHef5tI=")</f>
        <v>#REF!</v>
      </c>
      <c r="HD318" t="e">
        <f>AND(#REF!,"AAAAAHef5tM=")</f>
        <v>#REF!</v>
      </c>
      <c r="HE318" t="e">
        <f>AND(#REF!,"AAAAAHef5tQ=")</f>
        <v>#REF!</v>
      </c>
      <c r="HF318" t="e">
        <f>AND(#REF!,"AAAAAHef5tU=")</f>
        <v>#REF!</v>
      </c>
      <c r="HG318" t="e">
        <f>AND(#REF!,"AAAAAHef5tY=")</f>
        <v>#REF!</v>
      </c>
      <c r="HH318" t="e">
        <f>AND(#REF!,"AAAAAHef5tc=")</f>
        <v>#REF!</v>
      </c>
      <c r="HI318" t="e">
        <f>AND(#REF!,"AAAAAHef5tg=")</f>
        <v>#REF!</v>
      </c>
      <c r="HJ318" t="e">
        <f>AND(#REF!,"AAAAAHef5tk=")</f>
        <v>#REF!</v>
      </c>
      <c r="HK318" t="e">
        <f>AND(#REF!,"AAAAAHef5to=")</f>
        <v>#REF!</v>
      </c>
      <c r="HL318" t="e">
        <f>AND(#REF!,"AAAAAHef5ts=")</f>
        <v>#REF!</v>
      </c>
      <c r="HM318" t="e">
        <f>AND(#REF!,"AAAAAHef5tw=")</f>
        <v>#REF!</v>
      </c>
      <c r="HN318" t="e">
        <f>AND(#REF!,"AAAAAHef5t0=")</f>
        <v>#REF!</v>
      </c>
      <c r="HO318" t="e">
        <f>AND(#REF!,"AAAAAHef5t4=")</f>
        <v>#REF!</v>
      </c>
      <c r="HP318" t="e">
        <f>AND(#REF!,"AAAAAHef5t8=")</f>
        <v>#REF!</v>
      </c>
      <c r="HQ318" t="e">
        <f>AND(#REF!,"AAAAAHef5uA=")</f>
        <v>#REF!</v>
      </c>
      <c r="HR318" t="e">
        <f>AND(#REF!,"AAAAAHef5uE=")</f>
        <v>#REF!</v>
      </c>
      <c r="HS318" t="e">
        <f>AND(#REF!,"AAAAAHef5uI=")</f>
        <v>#REF!</v>
      </c>
      <c r="HT318" t="e">
        <f>AND(#REF!,"AAAAAHef5uM=")</f>
        <v>#REF!</v>
      </c>
      <c r="HU318" t="e">
        <f>AND(#REF!,"AAAAAHef5uQ=")</f>
        <v>#REF!</v>
      </c>
      <c r="HV318" t="e">
        <f>AND(#REF!,"AAAAAHef5uU=")</f>
        <v>#REF!</v>
      </c>
      <c r="HW318" t="e">
        <f>AND(#REF!,"AAAAAHef5uY=")</f>
        <v>#REF!</v>
      </c>
      <c r="HX318" t="e">
        <f>AND(#REF!,"AAAAAHef5uc=")</f>
        <v>#REF!</v>
      </c>
      <c r="HY318" t="e">
        <f>AND(#REF!,"AAAAAHef5ug=")</f>
        <v>#REF!</v>
      </c>
      <c r="HZ318" t="e">
        <f>IF(#REF!,"AAAAAHef5uk=",0)</f>
        <v>#REF!</v>
      </c>
      <c r="IA318" t="e">
        <f>AND(#REF!,"AAAAAHef5uo=")</f>
        <v>#REF!</v>
      </c>
      <c r="IB318" t="e">
        <f>AND(#REF!,"AAAAAHef5us=")</f>
        <v>#REF!</v>
      </c>
      <c r="IC318" t="e">
        <f>AND(#REF!,"AAAAAHef5uw=")</f>
        <v>#REF!</v>
      </c>
      <c r="ID318" t="e">
        <f>AND(#REF!,"AAAAAHef5u0=")</f>
        <v>#REF!</v>
      </c>
      <c r="IE318" t="e">
        <f>AND(#REF!,"AAAAAHef5u4=")</f>
        <v>#REF!</v>
      </c>
      <c r="IF318" t="e">
        <f>AND(#REF!,"AAAAAHef5u8=")</f>
        <v>#REF!</v>
      </c>
      <c r="IG318" t="e">
        <f>AND(#REF!,"AAAAAHef5vA=")</f>
        <v>#REF!</v>
      </c>
      <c r="IH318" t="e">
        <f>AND(#REF!,"AAAAAHef5vE=")</f>
        <v>#REF!</v>
      </c>
      <c r="II318" t="e">
        <f>AND(#REF!,"AAAAAHef5vI=")</f>
        <v>#REF!</v>
      </c>
      <c r="IJ318" t="e">
        <f>AND(#REF!,"AAAAAHef5vM=")</f>
        <v>#REF!</v>
      </c>
      <c r="IK318" t="e">
        <f>AND(#REF!,"AAAAAHef5vQ=")</f>
        <v>#REF!</v>
      </c>
      <c r="IL318" t="e">
        <f>AND(#REF!,"AAAAAHef5vU=")</f>
        <v>#REF!</v>
      </c>
      <c r="IM318" t="e">
        <f>AND(#REF!,"AAAAAHef5vY=")</f>
        <v>#REF!</v>
      </c>
      <c r="IN318" t="e">
        <f>AND(#REF!,"AAAAAHef5vc=")</f>
        <v>#REF!</v>
      </c>
      <c r="IO318" t="e">
        <f>AND(#REF!,"AAAAAHef5vg=")</f>
        <v>#REF!</v>
      </c>
      <c r="IP318" t="e">
        <f>AND(#REF!,"AAAAAHef5vk=")</f>
        <v>#REF!</v>
      </c>
      <c r="IQ318" t="e">
        <f>AND(#REF!,"AAAAAHef5vo=")</f>
        <v>#REF!</v>
      </c>
      <c r="IR318" t="e">
        <f>AND(#REF!,"AAAAAHef5vs=")</f>
        <v>#REF!</v>
      </c>
      <c r="IS318" t="e">
        <f>AND(#REF!,"AAAAAHef5vw=")</f>
        <v>#REF!</v>
      </c>
      <c r="IT318" t="e">
        <f>AND(#REF!,"AAAAAHef5v0=")</f>
        <v>#REF!</v>
      </c>
      <c r="IU318" t="e">
        <f>AND(#REF!,"AAAAAHef5v4=")</f>
        <v>#REF!</v>
      </c>
      <c r="IV318" t="e">
        <f>AND(#REF!,"AAAAAHef5v8=")</f>
        <v>#REF!</v>
      </c>
    </row>
    <row r="319" spans="1:256">
      <c r="A319" t="e">
        <f>AND(#REF!,"AAAAAF/p8gA=")</f>
        <v>#REF!</v>
      </c>
      <c r="B319" t="e">
        <f>AND(#REF!,"AAAAAF/p8gE=")</f>
        <v>#REF!</v>
      </c>
      <c r="C319" t="e">
        <f>IF(#REF!,"AAAAAF/p8gI=",0)</f>
        <v>#REF!</v>
      </c>
      <c r="D319" t="e">
        <f>AND(#REF!,"AAAAAF/p8gM=")</f>
        <v>#REF!</v>
      </c>
      <c r="E319" t="e">
        <f>AND(#REF!,"AAAAAF/p8gQ=")</f>
        <v>#REF!</v>
      </c>
      <c r="F319" t="e">
        <f>AND(#REF!,"AAAAAF/p8gU=")</f>
        <v>#REF!</v>
      </c>
      <c r="G319" t="e">
        <f>AND(#REF!,"AAAAAF/p8gY=")</f>
        <v>#REF!</v>
      </c>
      <c r="H319" t="e">
        <f>AND(#REF!,"AAAAAF/p8gc=")</f>
        <v>#REF!</v>
      </c>
      <c r="I319" t="e">
        <f>AND(#REF!,"AAAAAF/p8gg=")</f>
        <v>#REF!</v>
      </c>
      <c r="J319" t="e">
        <f>AND(#REF!,"AAAAAF/p8gk=")</f>
        <v>#REF!</v>
      </c>
      <c r="K319" t="e">
        <f>AND(#REF!,"AAAAAF/p8go=")</f>
        <v>#REF!</v>
      </c>
      <c r="L319" t="e">
        <f>AND(#REF!,"AAAAAF/p8gs=")</f>
        <v>#REF!</v>
      </c>
      <c r="M319" t="e">
        <f>AND(#REF!,"AAAAAF/p8gw=")</f>
        <v>#REF!</v>
      </c>
      <c r="N319" t="e">
        <f>AND(#REF!,"AAAAAF/p8g0=")</f>
        <v>#REF!</v>
      </c>
      <c r="O319" t="e">
        <f>AND(#REF!,"AAAAAF/p8g4=")</f>
        <v>#REF!</v>
      </c>
      <c r="P319" t="e">
        <f>AND(#REF!,"AAAAAF/p8g8=")</f>
        <v>#REF!</v>
      </c>
      <c r="Q319" t="e">
        <f>AND(#REF!,"AAAAAF/p8hA=")</f>
        <v>#REF!</v>
      </c>
      <c r="R319" t="e">
        <f>AND(#REF!,"AAAAAF/p8hE=")</f>
        <v>#REF!</v>
      </c>
      <c r="S319" t="e">
        <f>AND(#REF!,"AAAAAF/p8hI=")</f>
        <v>#REF!</v>
      </c>
      <c r="T319" t="e">
        <f>AND(#REF!,"AAAAAF/p8hM=")</f>
        <v>#REF!</v>
      </c>
      <c r="U319" t="e">
        <f>AND(#REF!,"AAAAAF/p8hQ=")</f>
        <v>#REF!</v>
      </c>
      <c r="V319" t="e">
        <f>AND(#REF!,"AAAAAF/p8hU=")</f>
        <v>#REF!</v>
      </c>
      <c r="W319" t="e">
        <f>AND(#REF!,"AAAAAF/p8hY=")</f>
        <v>#REF!</v>
      </c>
      <c r="X319" t="e">
        <f>AND(#REF!,"AAAAAF/p8hc=")</f>
        <v>#REF!</v>
      </c>
      <c r="Y319" t="e">
        <f>AND(#REF!,"AAAAAF/p8hg=")</f>
        <v>#REF!</v>
      </c>
      <c r="Z319" t="e">
        <f>AND(#REF!,"AAAAAF/p8hk=")</f>
        <v>#REF!</v>
      </c>
      <c r="AA319" t="e">
        <f>AND(#REF!,"AAAAAF/p8ho=")</f>
        <v>#REF!</v>
      </c>
      <c r="AB319" t="e">
        <f>IF(#REF!,"AAAAAF/p8hs=",0)</f>
        <v>#REF!</v>
      </c>
      <c r="AC319" t="e">
        <f>AND(#REF!,"AAAAAF/p8hw=")</f>
        <v>#REF!</v>
      </c>
      <c r="AD319" t="e">
        <f>AND(#REF!,"AAAAAF/p8h0=")</f>
        <v>#REF!</v>
      </c>
      <c r="AE319" t="e">
        <f>AND(#REF!,"AAAAAF/p8h4=")</f>
        <v>#REF!</v>
      </c>
      <c r="AF319" t="e">
        <f>AND(#REF!,"AAAAAF/p8h8=")</f>
        <v>#REF!</v>
      </c>
      <c r="AG319" t="e">
        <f>AND(#REF!,"AAAAAF/p8iA=")</f>
        <v>#REF!</v>
      </c>
      <c r="AH319" t="e">
        <f>AND(#REF!,"AAAAAF/p8iE=")</f>
        <v>#REF!</v>
      </c>
      <c r="AI319" t="e">
        <f>AND(#REF!,"AAAAAF/p8iI=")</f>
        <v>#REF!</v>
      </c>
      <c r="AJ319" t="e">
        <f>AND(#REF!,"AAAAAF/p8iM=")</f>
        <v>#REF!</v>
      </c>
      <c r="AK319" t="e">
        <f>AND(#REF!,"AAAAAF/p8iQ=")</f>
        <v>#REF!</v>
      </c>
      <c r="AL319" t="e">
        <f>AND(#REF!,"AAAAAF/p8iU=")</f>
        <v>#REF!</v>
      </c>
      <c r="AM319" t="e">
        <f>AND(#REF!,"AAAAAF/p8iY=")</f>
        <v>#REF!</v>
      </c>
      <c r="AN319" t="e">
        <f>AND(#REF!,"AAAAAF/p8ic=")</f>
        <v>#REF!</v>
      </c>
      <c r="AO319" t="e">
        <f>AND(#REF!,"AAAAAF/p8ig=")</f>
        <v>#REF!</v>
      </c>
      <c r="AP319" t="e">
        <f>AND(#REF!,"AAAAAF/p8ik=")</f>
        <v>#REF!</v>
      </c>
      <c r="AQ319" t="e">
        <f>AND(#REF!,"AAAAAF/p8io=")</f>
        <v>#REF!</v>
      </c>
      <c r="AR319" t="e">
        <f>AND(#REF!,"AAAAAF/p8is=")</f>
        <v>#REF!</v>
      </c>
      <c r="AS319" t="e">
        <f>AND(#REF!,"AAAAAF/p8iw=")</f>
        <v>#REF!</v>
      </c>
      <c r="AT319" t="e">
        <f>AND(#REF!,"AAAAAF/p8i0=")</f>
        <v>#REF!</v>
      </c>
      <c r="AU319" t="e">
        <f>AND(#REF!,"AAAAAF/p8i4=")</f>
        <v>#REF!</v>
      </c>
      <c r="AV319" t="e">
        <f>AND(#REF!,"AAAAAF/p8i8=")</f>
        <v>#REF!</v>
      </c>
      <c r="AW319" t="e">
        <f>AND(#REF!,"AAAAAF/p8jA=")</f>
        <v>#REF!</v>
      </c>
      <c r="AX319" t="e">
        <f>AND(#REF!,"AAAAAF/p8jE=")</f>
        <v>#REF!</v>
      </c>
      <c r="AY319" t="e">
        <f>AND(#REF!,"AAAAAF/p8jI=")</f>
        <v>#REF!</v>
      </c>
      <c r="AZ319" t="e">
        <f>AND(#REF!,"AAAAAF/p8jM=")</f>
        <v>#REF!</v>
      </c>
      <c r="BA319" t="e">
        <f>IF(#REF!,"AAAAAF/p8jQ=",0)</f>
        <v>#REF!</v>
      </c>
      <c r="BB319" t="e">
        <f>AND(#REF!,"AAAAAF/p8jU=")</f>
        <v>#REF!</v>
      </c>
      <c r="BC319" t="e">
        <f>AND(#REF!,"AAAAAF/p8jY=")</f>
        <v>#REF!</v>
      </c>
      <c r="BD319" t="e">
        <f>AND(#REF!,"AAAAAF/p8jc=")</f>
        <v>#REF!</v>
      </c>
      <c r="BE319" t="e">
        <f>AND(#REF!,"AAAAAF/p8jg=")</f>
        <v>#REF!</v>
      </c>
      <c r="BF319" t="e">
        <f>AND(#REF!,"AAAAAF/p8jk=")</f>
        <v>#REF!</v>
      </c>
      <c r="BG319" t="e">
        <f>AND(#REF!,"AAAAAF/p8jo=")</f>
        <v>#REF!</v>
      </c>
      <c r="BH319" t="e">
        <f>AND(#REF!,"AAAAAF/p8js=")</f>
        <v>#REF!</v>
      </c>
      <c r="BI319" t="e">
        <f>AND(#REF!,"AAAAAF/p8jw=")</f>
        <v>#REF!</v>
      </c>
      <c r="BJ319" t="e">
        <f>AND(#REF!,"AAAAAF/p8j0=")</f>
        <v>#REF!</v>
      </c>
      <c r="BK319" t="e">
        <f>AND(#REF!,"AAAAAF/p8j4=")</f>
        <v>#REF!</v>
      </c>
      <c r="BL319" t="e">
        <f>AND(#REF!,"AAAAAF/p8j8=")</f>
        <v>#REF!</v>
      </c>
      <c r="BM319" t="e">
        <f>AND(#REF!,"AAAAAF/p8kA=")</f>
        <v>#REF!</v>
      </c>
      <c r="BN319" t="e">
        <f>AND(#REF!,"AAAAAF/p8kE=")</f>
        <v>#REF!</v>
      </c>
      <c r="BO319" t="e">
        <f>AND(#REF!,"AAAAAF/p8kI=")</f>
        <v>#REF!</v>
      </c>
      <c r="BP319" t="e">
        <f>AND(#REF!,"AAAAAF/p8kM=")</f>
        <v>#REF!</v>
      </c>
      <c r="BQ319" t="e">
        <f>AND(#REF!,"AAAAAF/p8kQ=")</f>
        <v>#REF!</v>
      </c>
      <c r="BR319" t="e">
        <f>AND(#REF!,"AAAAAF/p8kU=")</f>
        <v>#REF!</v>
      </c>
      <c r="BS319" t="e">
        <f>AND(#REF!,"AAAAAF/p8kY=")</f>
        <v>#REF!</v>
      </c>
      <c r="BT319" t="e">
        <f>AND(#REF!,"AAAAAF/p8kc=")</f>
        <v>#REF!</v>
      </c>
      <c r="BU319" t="e">
        <f>AND(#REF!,"AAAAAF/p8kg=")</f>
        <v>#REF!</v>
      </c>
      <c r="BV319" t="e">
        <f>AND(#REF!,"AAAAAF/p8kk=")</f>
        <v>#REF!</v>
      </c>
      <c r="BW319" t="e">
        <f>AND(#REF!,"AAAAAF/p8ko=")</f>
        <v>#REF!</v>
      </c>
      <c r="BX319" t="e">
        <f>AND(#REF!,"AAAAAF/p8ks=")</f>
        <v>#REF!</v>
      </c>
      <c r="BY319" t="e">
        <f>AND(#REF!,"AAAAAF/p8kw=")</f>
        <v>#REF!</v>
      </c>
      <c r="BZ319" t="e">
        <f>IF(#REF!,"AAAAAF/p8k0=",0)</f>
        <v>#REF!</v>
      </c>
      <c r="CA319" t="e">
        <f>AND(#REF!,"AAAAAF/p8k4=")</f>
        <v>#REF!</v>
      </c>
      <c r="CB319" t="e">
        <f>AND(#REF!,"AAAAAF/p8k8=")</f>
        <v>#REF!</v>
      </c>
      <c r="CC319" t="e">
        <f>AND(#REF!,"AAAAAF/p8lA=")</f>
        <v>#REF!</v>
      </c>
      <c r="CD319" t="e">
        <f>AND(#REF!,"AAAAAF/p8lE=")</f>
        <v>#REF!</v>
      </c>
      <c r="CE319" t="e">
        <f>AND(#REF!,"AAAAAF/p8lI=")</f>
        <v>#REF!</v>
      </c>
      <c r="CF319" t="e">
        <f>AND(#REF!,"AAAAAF/p8lM=")</f>
        <v>#REF!</v>
      </c>
      <c r="CG319" t="e">
        <f>AND(#REF!,"AAAAAF/p8lQ=")</f>
        <v>#REF!</v>
      </c>
      <c r="CH319" t="e">
        <f>AND(#REF!,"AAAAAF/p8lU=")</f>
        <v>#REF!</v>
      </c>
      <c r="CI319" t="e">
        <f>AND(#REF!,"AAAAAF/p8lY=")</f>
        <v>#REF!</v>
      </c>
      <c r="CJ319" t="e">
        <f>AND(#REF!,"AAAAAF/p8lc=")</f>
        <v>#REF!</v>
      </c>
      <c r="CK319" t="e">
        <f>AND(#REF!,"AAAAAF/p8lg=")</f>
        <v>#REF!</v>
      </c>
      <c r="CL319" t="e">
        <f>AND(#REF!,"AAAAAF/p8lk=")</f>
        <v>#REF!</v>
      </c>
      <c r="CM319" t="e">
        <f>AND(#REF!,"AAAAAF/p8lo=")</f>
        <v>#REF!</v>
      </c>
      <c r="CN319" t="e">
        <f>AND(#REF!,"AAAAAF/p8ls=")</f>
        <v>#REF!</v>
      </c>
      <c r="CO319" t="e">
        <f>AND(#REF!,"AAAAAF/p8lw=")</f>
        <v>#REF!</v>
      </c>
      <c r="CP319" t="e">
        <f>AND(#REF!,"AAAAAF/p8l0=")</f>
        <v>#REF!</v>
      </c>
      <c r="CQ319" t="e">
        <f>AND(#REF!,"AAAAAF/p8l4=")</f>
        <v>#REF!</v>
      </c>
      <c r="CR319" t="e">
        <f>AND(#REF!,"AAAAAF/p8l8=")</f>
        <v>#REF!</v>
      </c>
      <c r="CS319" t="e">
        <f>AND(#REF!,"AAAAAF/p8mA=")</f>
        <v>#REF!</v>
      </c>
      <c r="CT319" t="e">
        <f>AND(#REF!,"AAAAAF/p8mE=")</f>
        <v>#REF!</v>
      </c>
      <c r="CU319" t="e">
        <f>AND(#REF!,"AAAAAF/p8mI=")</f>
        <v>#REF!</v>
      </c>
      <c r="CV319" t="e">
        <f>AND(#REF!,"AAAAAF/p8mM=")</f>
        <v>#REF!</v>
      </c>
      <c r="CW319" t="e">
        <f>AND(#REF!,"AAAAAF/p8mQ=")</f>
        <v>#REF!</v>
      </c>
      <c r="CX319" t="e">
        <f>AND(#REF!,"AAAAAF/p8mU=")</f>
        <v>#REF!</v>
      </c>
      <c r="CY319" t="e">
        <f>IF(#REF!,"AAAAAF/p8mY=",0)</f>
        <v>#REF!</v>
      </c>
      <c r="CZ319" t="e">
        <f>AND(#REF!,"AAAAAF/p8mc=")</f>
        <v>#REF!</v>
      </c>
      <c r="DA319" t="e">
        <f>AND(#REF!,"AAAAAF/p8mg=")</f>
        <v>#REF!</v>
      </c>
      <c r="DB319" t="e">
        <f>AND(#REF!,"AAAAAF/p8mk=")</f>
        <v>#REF!</v>
      </c>
      <c r="DC319" t="e">
        <f>AND(#REF!,"AAAAAF/p8mo=")</f>
        <v>#REF!</v>
      </c>
      <c r="DD319" t="e">
        <f>AND(#REF!,"AAAAAF/p8ms=")</f>
        <v>#REF!</v>
      </c>
      <c r="DE319" t="e">
        <f>AND(#REF!,"AAAAAF/p8mw=")</f>
        <v>#REF!</v>
      </c>
      <c r="DF319" t="e">
        <f>AND(#REF!,"AAAAAF/p8m0=")</f>
        <v>#REF!</v>
      </c>
      <c r="DG319" t="e">
        <f>AND(#REF!,"AAAAAF/p8m4=")</f>
        <v>#REF!</v>
      </c>
      <c r="DH319" t="e">
        <f>AND(#REF!,"AAAAAF/p8m8=")</f>
        <v>#REF!</v>
      </c>
      <c r="DI319" t="e">
        <f>AND(#REF!,"AAAAAF/p8nA=")</f>
        <v>#REF!</v>
      </c>
      <c r="DJ319" t="e">
        <f>AND(#REF!,"AAAAAF/p8nE=")</f>
        <v>#REF!</v>
      </c>
      <c r="DK319" t="e">
        <f>AND(#REF!,"AAAAAF/p8nI=")</f>
        <v>#REF!</v>
      </c>
      <c r="DL319" t="e">
        <f>AND(#REF!,"AAAAAF/p8nM=")</f>
        <v>#REF!</v>
      </c>
      <c r="DM319" t="e">
        <f>AND(#REF!,"AAAAAF/p8nQ=")</f>
        <v>#REF!</v>
      </c>
      <c r="DN319" t="e">
        <f>AND(#REF!,"AAAAAF/p8nU=")</f>
        <v>#REF!</v>
      </c>
      <c r="DO319" t="e">
        <f>AND(#REF!,"AAAAAF/p8nY=")</f>
        <v>#REF!</v>
      </c>
      <c r="DP319" t="e">
        <f>AND(#REF!,"AAAAAF/p8nc=")</f>
        <v>#REF!</v>
      </c>
      <c r="DQ319" t="e">
        <f>AND(#REF!,"AAAAAF/p8ng=")</f>
        <v>#REF!</v>
      </c>
      <c r="DR319" t="e">
        <f>AND(#REF!,"AAAAAF/p8nk=")</f>
        <v>#REF!</v>
      </c>
      <c r="DS319" t="e">
        <f>AND(#REF!,"AAAAAF/p8no=")</f>
        <v>#REF!</v>
      </c>
      <c r="DT319" t="e">
        <f>AND(#REF!,"AAAAAF/p8ns=")</f>
        <v>#REF!</v>
      </c>
      <c r="DU319" t="e">
        <f>AND(#REF!,"AAAAAF/p8nw=")</f>
        <v>#REF!</v>
      </c>
      <c r="DV319" t="e">
        <f>AND(#REF!,"AAAAAF/p8n0=")</f>
        <v>#REF!</v>
      </c>
      <c r="DW319" t="e">
        <f>AND(#REF!,"AAAAAF/p8n4=")</f>
        <v>#REF!</v>
      </c>
      <c r="DX319" t="e">
        <f>IF(#REF!,"AAAAAF/p8n8=",0)</f>
        <v>#REF!</v>
      </c>
      <c r="DY319" t="e">
        <f>AND(#REF!,"AAAAAF/p8oA=")</f>
        <v>#REF!</v>
      </c>
      <c r="DZ319" t="e">
        <f>AND(#REF!,"AAAAAF/p8oE=")</f>
        <v>#REF!</v>
      </c>
      <c r="EA319" t="e">
        <f>AND(#REF!,"AAAAAF/p8oI=")</f>
        <v>#REF!</v>
      </c>
      <c r="EB319" t="e">
        <f>AND(#REF!,"AAAAAF/p8oM=")</f>
        <v>#REF!</v>
      </c>
      <c r="EC319" t="e">
        <f>AND(#REF!,"AAAAAF/p8oQ=")</f>
        <v>#REF!</v>
      </c>
      <c r="ED319" t="e">
        <f>AND(#REF!,"AAAAAF/p8oU=")</f>
        <v>#REF!</v>
      </c>
      <c r="EE319" t="e">
        <f>AND(#REF!,"AAAAAF/p8oY=")</f>
        <v>#REF!</v>
      </c>
      <c r="EF319" t="e">
        <f>AND(#REF!,"AAAAAF/p8oc=")</f>
        <v>#REF!</v>
      </c>
      <c r="EG319" t="e">
        <f>AND(#REF!,"AAAAAF/p8og=")</f>
        <v>#REF!</v>
      </c>
      <c r="EH319" t="e">
        <f>AND(#REF!,"AAAAAF/p8ok=")</f>
        <v>#REF!</v>
      </c>
      <c r="EI319" t="e">
        <f>AND(#REF!,"AAAAAF/p8oo=")</f>
        <v>#REF!</v>
      </c>
      <c r="EJ319" t="e">
        <f>AND(#REF!,"AAAAAF/p8os=")</f>
        <v>#REF!</v>
      </c>
      <c r="EK319" t="e">
        <f>AND(#REF!,"AAAAAF/p8ow=")</f>
        <v>#REF!</v>
      </c>
      <c r="EL319" t="e">
        <f>AND(#REF!,"AAAAAF/p8o0=")</f>
        <v>#REF!</v>
      </c>
      <c r="EM319" t="e">
        <f>AND(#REF!,"AAAAAF/p8o4=")</f>
        <v>#REF!</v>
      </c>
      <c r="EN319" t="e">
        <f>AND(#REF!,"AAAAAF/p8o8=")</f>
        <v>#REF!</v>
      </c>
      <c r="EO319" t="e">
        <f>AND(#REF!,"AAAAAF/p8pA=")</f>
        <v>#REF!</v>
      </c>
      <c r="EP319" t="e">
        <f>AND(#REF!,"AAAAAF/p8pE=")</f>
        <v>#REF!</v>
      </c>
      <c r="EQ319" t="e">
        <f>AND(#REF!,"AAAAAF/p8pI=")</f>
        <v>#REF!</v>
      </c>
      <c r="ER319" t="e">
        <f>AND(#REF!,"AAAAAF/p8pM=")</f>
        <v>#REF!</v>
      </c>
      <c r="ES319" t="e">
        <f>AND(#REF!,"AAAAAF/p8pQ=")</f>
        <v>#REF!</v>
      </c>
      <c r="ET319" t="e">
        <f>AND(#REF!,"AAAAAF/p8pU=")</f>
        <v>#REF!</v>
      </c>
      <c r="EU319" t="e">
        <f>AND(#REF!,"AAAAAF/p8pY=")</f>
        <v>#REF!</v>
      </c>
      <c r="EV319" t="e">
        <f>AND(#REF!,"AAAAAF/p8pc=")</f>
        <v>#REF!</v>
      </c>
      <c r="EW319" t="e">
        <f>IF(#REF!,"AAAAAF/p8pg=",0)</f>
        <v>#REF!</v>
      </c>
      <c r="EX319" t="e">
        <f>AND(#REF!,"AAAAAF/p8pk=")</f>
        <v>#REF!</v>
      </c>
      <c r="EY319" t="e">
        <f>AND(#REF!,"AAAAAF/p8po=")</f>
        <v>#REF!</v>
      </c>
      <c r="EZ319" t="e">
        <f>AND(#REF!,"AAAAAF/p8ps=")</f>
        <v>#REF!</v>
      </c>
      <c r="FA319" t="e">
        <f>AND(#REF!,"AAAAAF/p8pw=")</f>
        <v>#REF!</v>
      </c>
      <c r="FB319" t="e">
        <f>AND(#REF!,"AAAAAF/p8p0=")</f>
        <v>#REF!</v>
      </c>
      <c r="FC319" t="e">
        <f>AND(#REF!,"AAAAAF/p8p4=")</f>
        <v>#REF!</v>
      </c>
      <c r="FD319" t="e">
        <f>AND(#REF!,"AAAAAF/p8p8=")</f>
        <v>#REF!</v>
      </c>
      <c r="FE319" t="e">
        <f>AND(#REF!,"AAAAAF/p8qA=")</f>
        <v>#REF!</v>
      </c>
      <c r="FF319" t="e">
        <f>AND(#REF!,"AAAAAF/p8qE=")</f>
        <v>#REF!</v>
      </c>
      <c r="FG319" t="e">
        <f>AND(#REF!,"AAAAAF/p8qI=")</f>
        <v>#REF!</v>
      </c>
      <c r="FH319" t="e">
        <f>AND(#REF!,"AAAAAF/p8qM=")</f>
        <v>#REF!</v>
      </c>
      <c r="FI319" t="e">
        <f>AND(#REF!,"AAAAAF/p8qQ=")</f>
        <v>#REF!</v>
      </c>
      <c r="FJ319" t="e">
        <f>AND(#REF!,"AAAAAF/p8qU=")</f>
        <v>#REF!</v>
      </c>
      <c r="FK319" t="e">
        <f>AND(#REF!,"AAAAAF/p8qY=")</f>
        <v>#REF!</v>
      </c>
      <c r="FL319" t="e">
        <f>AND(#REF!,"AAAAAF/p8qc=")</f>
        <v>#REF!</v>
      </c>
      <c r="FM319" t="e">
        <f>AND(#REF!,"AAAAAF/p8qg=")</f>
        <v>#REF!</v>
      </c>
      <c r="FN319" t="e">
        <f>AND(#REF!,"AAAAAF/p8qk=")</f>
        <v>#REF!</v>
      </c>
      <c r="FO319" t="e">
        <f>AND(#REF!,"AAAAAF/p8qo=")</f>
        <v>#REF!</v>
      </c>
      <c r="FP319" t="e">
        <f>AND(#REF!,"AAAAAF/p8qs=")</f>
        <v>#REF!</v>
      </c>
      <c r="FQ319" t="e">
        <f>AND(#REF!,"AAAAAF/p8qw=")</f>
        <v>#REF!</v>
      </c>
      <c r="FR319" t="e">
        <f>AND(#REF!,"AAAAAF/p8q0=")</f>
        <v>#REF!</v>
      </c>
      <c r="FS319" t="e">
        <f>AND(#REF!,"AAAAAF/p8q4=")</f>
        <v>#REF!</v>
      </c>
      <c r="FT319" t="e">
        <f>AND(#REF!,"AAAAAF/p8q8=")</f>
        <v>#REF!</v>
      </c>
      <c r="FU319" t="e">
        <f>AND(#REF!,"AAAAAF/p8rA=")</f>
        <v>#REF!</v>
      </c>
      <c r="FV319" t="e">
        <f>IF(#REF!,"AAAAAF/p8rE=",0)</f>
        <v>#REF!</v>
      </c>
      <c r="FW319" t="e">
        <f>AND(#REF!,"AAAAAF/p8rI=")</f>
        <v>#REF!</v>
      </c>
      <c r="FX319" t="e">
        <f>AND(#REF!,"AAAAAF/p8rM=")</f>
        <v>#REF!</v>
      </c>
      <c r="FY319" t="e">
        <f>AND(#REF!,"AAAAAF/p8rQ=")</f>
        <v>#REF!</v>
      </c>
      <c r="FZ319" t="e">
        <f>AND(#REF!,"AAAAAF/p8rU=")</f>
        <v>#REF!</v>
      </c>
      <c r="GA319" t="e">
        <f>AND(#REF!,"AAAAAF/p8rY=")</f>
        <v>#REF!</v>
      </c>
      <c r="GB319" t="e">
        <f>AND(#REF!,"AAAAAF/p8rc=")</f>
        <v>#REF!</v>
      </c>
      <c r="GC319" t="e">
        <f>AND(#REF!,"AAAAAF/p8rg=")</f>
        <v>#REF!</v>
      </c>
      <c r="GD319" t="e">
        <f>AND(#REF!,"AAAAAF/p8rk=")</f>
        <v>#REF!</v>
      </c>
      <c r="GE319" t="e">
        <f>AND(#REF!,"AAAAAF/p8ro=")</f>
        <v>#REF!</v>
      </c>
      <c r="GF319" t="e">
        <f>AND(#REF!,"AAAAAF/p8rs=")</f>
        <v>#REF!</v>
      </c>
      <c r="GG319" t="e">
        <f>AND(#REF!,"AAAAAF/p8rw=")</f>
        <v>#REF!</v>
      </c>
      <c r="GH319" t="e">
        <f>AND(#REF!,"AAAAAF/p8r0=")</f>
        <v>#REF!</v>
      </c>
      <c r="GI319" t="e">
        <f>AND(#REF!,"AAAAAF/p8r4=")</f>
        <v>#REF!</v>
      </c>
      <c r="GJ319" t="e">
        <f>AND(#REF!,"AAAAAF/p8r8=")</f>
        <v>#REF!</v>
      </c>
      <c r="GK319" t="e">
        <f>AND(#REF!,"AAAAAF/p8sA=")</f>
        <v>#REF!</v>
      </c>
      <c r="GL319" t="e">
        <f>AND(#REF!,"AAAAAF/p8sE=")</f>
        <v>#REF!</v>
      </c>
      <c r="GM319" t="e">
        <f>AND(#REF!,"AAAAAF/p8sI=")</f>
        <v>#REF!</v>
      </c>
      <c r="GN319" t="e">
        <f>AND(#REF!,"AAAAAF/p8sM=")</f>
        <v>#REF!</v>
      </c>
      <c r="GO319" t="e">
        <f>AND(#REF!,"AAAAAF/p8sQ=")</f>
        <v>#REF!</v>
      </c>
      <c r="GP319" t="e">
        <f>AND(#REF!,"AAAAAF/p8sU=")</f>
        <v>#REF!</v>
      </c>
      <c r="GQ319" t="e">
        <f>AND(#REF!,"AAAAAF/p8sY=")</f>
        <v>#REF!</v>
      </c>
      <c r="GR319" t="e">
        <f>AND(#REF!,"AAAAAF/p8sc=")</f>
        <v>#REF!</v>
      </c>
      <c r="GS319" t="e">
        <f>AND(#REF!,"AAAAAF/p8sg=")</f>
        <v>#REF!</v>
      </c>
      <c r="GT319" t="e">
        <f>AND(#REF!,"AAAAAF/p8sk=")</f>
        <v>#REF!</v>
      </c>
      <c r="GU319" t="e">
        <f>IF(#REF!,"AAAAAF/p8so=",0)</f>
        <v>#REF!</v>
      </c>
      <c r="GV319" t="e">
        <f>AND(#REF!,"AAAAAF/p8ss=")</f>
        <v>#REF!</v>
      </c>
      <c r="GW319" t="e">
        <f>AND(#REF!,"AAAAAF/p8sw=")</f>
        <v>#REF!</v>
      </c>
      <c r="GX319" t="e">
        <f>AND(#REF!,"AAAAAF/p8s0=")</f>
        <v>#REF!</v>
      </c>
      <c r="GY319" t="e">
        <f>AND(#REF!,"AAAAAF/p8s4=")</f>
        <v>#REF!</v>
      </c>
      <c r="GZ319" t="e">
        <f>AND(#REF!,"AAAAAF/p8s8=")</f>
        <v>#REF!</v>
      </c>
      <c r="HA319" t="e">
        <f>AND(#REF!,"AAAAAF/p8tA=")</f>
        <v>#REF!</v>
      </c>
      <c r="HB319" t="e">
        <f>AND(#REF!,"AAAAAF/p8tE=")</f>
        <v>#REF!</v>
      </c>
      <c r="HC319" t="e">
        <f>AND(#REF!,"AAAAAF/p8tI=")</f>
        <v>#REF!</v>
      </c>
      <c r="HD319" t="e">
        <f>AND(#REF!,"AAAAAF/p8tM=")</f>
        <v>#REF!</v>
      </c>
      <c r="HE319" t="e">
        <f>AND(#REF!,"AAAAAF/p8tQ=")</f>
        <v>#REF!</v>
      </c>
      <c r="HF319" t="e">
        <f>AND(#REF!,"AAAAAF/p8tU=")</f>
        <v>#REF!</v>
      </c>
      <c r="HG319" t="e">
        <f>AND(#REF!,"AAAAAF/p8tY=")</f>
        <v>#REF!</v>
      </c>
      <c r="HH319" t="e">
        <f>AND(#REF!,"AAAAAF/p8tc=")</f>
        <v>#REF!</v>
      </c>
      <c r="HI319" t="e">
        <f>AND(#REF!,"AAAAAF/p8tg=")</f>
        <v>#REF!</v>
      </c>
      <c r="HJ319" t="e">
        <f>AND(#REF!,"AAAAAF/p8tk=")</f>
        <v>#REF!</v>
      </c>
      <c r="HK319" t="e">
        <f>AND(#REF!,"AAAAAF/p8to=")</f>
        <v>#REF!</v>
      </c>
      <c r="HL319" t="e">
        <f>AND(#REF!,"AAAAAF/p8ts=")</f>
        <v>#REF!</v>
      </c>
      <c r="HM319" t="e">
        <f>AND(#REF!,"AAAAAF/p8tw=")</f>
        <v>#REF!</v>
      </c>
      <c r="HN319" t="e">
        <f>AND(#REF!,"AAAAAF/p8t0=")</f>
        <v>#REF!</v>
      </c>
      <c r="HO319" t="e">
        <f>AND(#REF!,"AAAAAF/p8t4=")</f>
        <v>#REF!</v>
      </c>
      <c r="HP319" t="e">
        <f>AND(#REF!,"AAAAAF/p8t8=")</f>
        <v>#REF!</v>
      </c>
      <c r="HQ319" t="e">
        <f>AND(#REF!,"AAAAAF/p8uA=")</f>
        <v>#REF!</v>
      </c>
      <c r="HR319" t="e">
        <f>AND(#REF!,"AAAAAF/p8uE=")</f>
        <v>#REF!</v>
      </c>
      <c r="HS319" t="e">
        <f>AND(#REF!,"AAAAAF/p8uI=")</f>
        <v>#REF!</v>
      </c>
      <c r="HT319" t="e">
        <f>IF(#REF!,"AAAAAF/p8uM=",0)</f>
        <v>#REF!</v>
      </c>
      <c r="HU319" t="e">
        <f>AND(#REF!,"AAAAAF/p8uQ=")</f>
        <v>#REF!</v>
      </c>
      <c r="HV319" t="e">
        <f>AND(#REF!,"AAAAAF/p8uU=")</f>
        <v>#REF!</v>
      </c>
      <c r="HW319" t="e">
        <f>AND(#REF!,"AAAAAF/p8uY=")</f>
        <v>#REF!</v>
      </c>
      <c r="HX319" t="e">
        <f>AND(#REF!,"AAAAAF/p8uc=")</f>
        <v>#REF!</v>
      </c>
      <c r="HY319" t="e">
        <f>AND(#REF!,"AAAAAF/p8ug=")</f>
        <v>#REF!</v>
      </c>
      <c r="HZ319" t="e">
        <f>AND(#REF!,"AAAAAF/p8uk=")</f>
        <v>#REF!</v>
      </c>
      <c r="IA319" t="e">
        <f>AND(#REF!,"AAAAAF/p8uo=")</f>
        <v>#REF!</v>
      </c>
      <c r="IB319" t="e">
        <f>AND(#REF!,"AAAAAF/p8us=")</f>
        <v>#REF!</v>
      </c>
      <c r="IC319" t="e">
        <f>AND(#REF!,"AAAAAF/p8uw=")</f>
        <v>#REF!</v>
      </c>
      <c r="ID319" t="e">
        <f>AND(#REF!,"AAAAAF/p8u0=")</f>
        <v>#REF!</v>
      </c>
      <c r="IE319" t="e">
        <f>AND(#REF!,"AAAAAF/p8u4=")</f>
        <v>#REF!</v>
      </c>
      <c r="IF319" t="e">
        <f>AND(#REF!,"AAAAAF/p8u8=")</f>
        <v>#REF!</v>
      </c>
      <c r="IG319" t="e">
        <f>AND(#REF!,"AAAAAF/p8vA=")</f>
        <v>#REF!</v>
      </c>
      <c r="IH319" t="e">
        <f>AND(#REF!,"AAAAAF/p8vE=")</f>
        <v>#REF!</v>
      </c>
      <c r="II319" t="e">
        <f>AND(#REF!,"AAAAAF/p8vI=")</f>
        <v>#REF!</v>
      </c>
      <c r="IJ319" t="e">
        <f>AND(#REF!,"AAAAAF/p8vM=")</f>
        <v>#REF!</v>
      </c>
      <c r="IK319" t="e">
        <f>AND(#REF!,"AAAAAF/p8vQ=")</f>
        <v>#REF!</v>
      </c>
      <c r="IL319" t="e">
        <f>AND(#REF!,"AAAAAF/p8vU=")</f>
        <v>#REF!</v>
      </c>
      <c r="IM319" t="e">
        <f>AND(#REF!,"AAAAAF/p8vY=")</f>
        <v>#REF!</v>
      </c>
      <c r="IN319" t="e">
        <f>AND(#REF!,"AAAAAF/p8vc=")</f>
        <v>#REF!</v>
      </c>
      <c r="IO319" t="e">
        <f>AND(#REF!,"AAAAAF/p8vg=")</f>
        <v>#REF!</v>
      </c>
      <c r="IP319" t="e">
        <f>AND(#REF!,"AAAAAF/p8vk=")</f>
        <v>#REF!</v>
      </c>
      <c r="IQ319" t="e">
        <f>AND(#REF!,"AAAAAF/p8vo=")</f>
        <v>#REF!</v>
      </c>
      <c r="IR319" t="e">
        <f>AND(#REF!,"AAAAAF/p8vs=")</f>
        <v>#REF!</v>
      </c>
      <c r="IS319" t="e">
        <f>IF(#REF!,"AAAAAF/p8vw=",0)</f>
        <v>#REF!</v>
      </c>
      <c r="IT319" t="e">
        <f>AND(#REF!,"AAAAAF/p8v0=")</f>
        <v>#REF!</v>
      </c>
      <c r="IU319" t="e">
        <f>AND(#REF!,"AAAAAF/p8v4=")</f>
        <v>#REF!</v>
      </c>
      <c r="IV319" t="e">
        <f>AND(#REF!,"AAAAAF/p8v8=")</f>
        <v>#REF!</v>
      </c>
    </row>
    <row r="320" spans="1:256">
      <c r="A320" t="e">
        <f>AND(#REF!,"AAAAAH/vowA=")</f>
        <v>#REF!</v>
      </c>
      <c r="B320" t="e">
        <f>AND(#REF!,"AAAAAH/vowE=")</f>
        <v>#REF!</v>
      </c>
      <c r="C320" t="e">
        <f>AND(#REF!,"AAAAAH/vowI=")</f>
        <v>#REF!</v>
      </c>
      <c r="D320" t="e">
        <f>AND(#REF!,"AAAAAH/vowM=")</f>
        <v>#REF!</v>
      </c>
      <c r="E320" t="e">
        <f>AND(#REF!,"AAAAAH/vowQ=")</f>
        <v>#REF!</v>
      </c>
      <c r="F320" t="e">
        <f>AND(#REF!,"AAAAAH/vowU=")</f>
        <v>#REF!</v>
      </c>
      <c r="G320" t="e">
        <f>AND(#REF!,"AAAAAH/vowY=")</f>
        <v>#REF!</v>
      </c>
      <c r="H320" t="e">
        <f>AND(#REF!,"AAAAAH/vowc=")</f>
        <v>#REF!</v>
      </c>
      <c r="I320" t="e">
        <f>AND(#REF!,"AAAAAH/vowg=")</f>
        <v>#REF!</v>
      </c>
      <c r="J320" t="e">
        <f>AND(#REF!,"AAAAAH/vowk=")</f>
        <v>#REF!</v>
      </c>
      <c r="K320" t="e">
        <f>AND(#REF!,"AAAAAH/vowo=")</f>
        <v>#REF!</v>
      </c>
      <c r="L320" t="e">
        <f>AND(#REF!,"AAAAAH/vows=")</f>
        <v>#REF!</v>
      </c>
      <c r="M320" t="e">
        <f>AND(#REF!,"AAAAAH/voww=")</f>
        <v>#REF!</v>
      </c>
      <c r="N320" t="e">
        <f>AND(#REF!,"AAAAAH/vow0=")</f>
        <v>#REF!</v>
      </c>
      <c r="O320" t="e">
        <f>AND(#REF!,"AAAAAH/vow4=")</f>
        <v>#REF!</v>
      </c>
      <c r="P320" t="e">
        <f>AND(#REF!,"AAAAAH/vow8=")</f>
        <v>#REF!</v>
      </c>
      <c r="Q320" t="e">
        <f>AND(#REF!,"AAAAAH/voxA=")</f>
        <v>#REF!</v>
      </c>
      <c r="R320" t="e">
        <f>AND(#REF!,"AAAAAH/voxE=")</f>
        <v>#REF!</v>
      </c>
      <c r="S320" t="e">
        <f>AND(#REF!,"AAAAAH/voxI=")</f>
        <v>#REF!</v>
      </c>
      <c r="T320" t="e">
        <f>AND(#REF!,"AAAAAH/voxM=")</f>
        <v>#REF!</v>
      </c>
      <c r="U320" t="e">
        <f>AND(#REF!,"AAAAAH/voxQ=")</f>
        <v>#REF!</v>
      </c>
      <c r="V320" t="e">
        <f>IF(#REF!,"AAAAAH/voxU=",0)</f>
        <v>#REF!</v>
      </c>
      <c r="W320" t="e">
        <f>AND(#REF!,"AAAAAH/voxY=")</f>
        <v>#REF!</v>
      </c>
      <c r="X320" t="e">
        <f>AND(#REF!,"AAAAAH/voxc=")</f>
        <v>#REF!</v>
      </c>
      <c r="Y320" t="e">
        <f>AND(#REF!,"AAAAAH/voxg=")</f>
        <v>#REF!</v>
      </c>
      <c r="Z320" t="e">
        <f>AND(#REF!,"AAAAAH/voxk=")</f>
        <v>#REF!</v>
      </c>
      <c r="AA320" t="e">
        <f>AND(#REF!,"AAAAAH/voxo=")</f>
        <v>#REF!</v>
      </c>
      <c r="AB320" t="e">
        <f>AND(#REF!,"AAAAAH/voxs=")</f>
        <v>#REF!</v>
      </c>
      <c r="AC320" t="e">
        <f>AND(#REF!,"AAAAAH/voxw=")</f>
        <v>#REF!</v>
      </c>
      <c r="AD320" t="e">
        <f>AND(#REF!,"AAAAAH/vox0=")</f>
        <v>#REF!</v>
      </c>
      <c r="AE320" t="e">
        <f>AND(#REF!,"AAAAAH/vox4=")</f>
        <v>#REF!</v>
      </c>
      <c r="AF320" t="e">
        <f>AND(#REF!,"AAAAAH/vox8=")</f>
        <v>#REF!</v>
      </c>
      <c r="AG320" t="e">
        <f>AND(#REF!,"AAAAAH/voyA=")</f>
        <v>#REF!</v>
      </c>
      <c r="AH320" t="e">
        <f>AND(#REF!,"AAAAAH/voyE=")</f>
        <v>#REF!</v>
      </c>
      <c r="AI320" t="e">
        <f>AND(#REF!,"AAAAAH/voyI=")</f>
        <v>#REF!</v>
      </c>
      <c r="AJ320" t="e">
        <f>AND(#REF!,"AAAAAH/voyM=")</f>
        <v>#REF!</v>
      </c>
      <c r="AK320" t="e">
        <f>AND(#REF!,"AAAAAH/voyQ=")</f>
        <v>#REF!</v>
      </c>
      <c r="AL320" t="e">
        <f>AND(#REF!,"AAAAAH/voyU=")</f>
        <v>#REF!</v>
      </c>
      <c r="AM320" t="e">
        <f>AND(#REF!,"AAAAAH/voyY=")</f>
        <v>#REF!</v>
      </c>
      <c r="AN320" t="e">
        <f>AND(#REF!,"AAAAAH/voyc=")</f>
        <v>#REF!</v>
      </c>
      <c r="AO320" t="e">
        <f>AND(#REF!,"AAAAAH/voyg=")</f>
        <v>#REF!</v>
      </c>
      <c r="AP320" t="e">
        <f>AND(#REF!,"AAAAAH/voyk=")</f>
        <v>#REF!</v>
      </c>
      <c r="AQ320" t="e">
        <f>AND(#REF!,"AAAAAH/voyo=")</f>
        <v>#REF!</v>
      </c>
      <c r="AR320" t="e">
        <f>AND(#REF!,"AAAAAH/voys=")</f>
        <v>#REF!</v>
      </c>
      <c r="AS320" t="e">
        <f>AND(#REF!,"AAAAAH/voyw=")</f>
        <v>#REF!</v>
      </c>
      <c r="AT320" t="e">
        <f>AND(#REF!,"AAAAAH/voy0=")</f>
        <v>#REF!</v>
      </c>
      <c r="AU320" t="e">
        <f>IF(#REF!,"AAAAAH/voy4=",0)</f>
        <v>#REF!</v>
      </c>
      <c r="AV320" t="e">
        <f>AND(#REF!,"AAAAAH/voy8=")</f>
        <v>#REF!</v>
      </c>
      <c r="AW320" t="e">
        <f>AND(#REF!,"AAAAAH/vozA=")</f>
        <v>#REF!</v>
      </c>
      <c r="AX320" t="e">
        <f>AND(#REF!,"AAAAAH/vozE=")</f>
        <v>#REF!</v>
      </c>
      <c r="AY320" t="e">
        <f>AND(#REF!,"AAAAAH/vozI=")</f>
        <v>#REF!</v>
      </c>
      <c r="AZ320" t="e">
        <f>AND(#REF!,"AAAAAH/vozM=")</f>
        <v>#REF!</v>
      </c>
      <c r="BA320" t="e">
        <f>AND(#REF!,"AAAAAH/vozQ=")</f>
        <v>#REF!</v>
      </c>
      <c r="BB320" t="e">
        <f>AND(#REF!,"AAAAAH/vozU=")</f>
        <v>#REF!</v>
      </c>
      <c r="BC320" t="e">
        <f>AND(#REF!,"AAAAAH/vozY=")</f>
        <v>#REF!</v>
      </c>
      <c r="BD320" t="e">
        <f>AND(#REF!,"AAAAAH/vozc=")</f>
        <v>#REF!</v>
      </c>
      <c r="BE320" t="e">
        <f>AND(#REF!,"AAAAAH/vozg=")</f>
        <v>#REF!</v>
      </c>
      <c r="BF320" t="e">
        <f>AND(#REF!,"AAAAAH/vozk=")</f>
        <v>#REF!</v>
      </c>
      <c r="BG320" t="e">
        <f>AND(#REF!,"AAAAAH/vozo=")</f>
        <v>#REF!</v>
      </c>
      <c r="BH320" t="e">
        <f>AND(#REF!,"AAAAAH/vozs=")</f>
        <v>#REF!</v>
      </c>
      <c r="BI320" t="e">
        <f>AND(#REF!,"AAAAAH/vozw=")</f>
        <v>#REF!</v>
      </c>
      <c r="BJ320" t="e">
        <f>AND(#REF!,"AAAAAH/voz0=")</f>
        <v>#REF!</v>
      </c>
      <c r="BK320" t="e">
        <f>AND(#REF!,"AAAAAH/voz4=")</f>
        <v>#REF!</v>
      </c>
      <c r="BL320" t="e">
        <f>AND(#REF!,"AAAAAH/voz8=")</f>
        <v>#REF!</v>
      </c>
      <c r="BM320" t="e">
        <f>AND(#REF!,"AAAAAH/vo0A=")</f>
        <v>#REF!</v>
      </c>
      <c r="BN320" t="e">
        <f>AND(#REF!,"AAAAAH/vo0E=")</f>
        <v>#REF!</v>
      </c>
      <c r="BO320" t="e">
        <f>AND(#REF!,"AAAAAH/vo0I=")</f>
        <v>#REF!</v>
      </c>
      <c r="BP320" t="e">
        <f>AND(#REF!,"AAAAAH/vo0M=")</f>
        <v>#REF!</v>
      </c>
      <c r="BQ320" t="e">
        <f>AND(#REF!,"AAAAAH/vo0Q=")</f>
        <v>#REF!</v>
      </c>
      <c r="BR320" t="e">
        <f>AND(#REF!,"AAAAAH/vo0U=")</f>
        <v>#REF!</v>
      </c>
      <c r="BS320" t="e">
        <f>AND(#REF!,"AAAAAH/vo0Y=")</f>
        <v>#REF!</v>
      </c>
      <c r="BT320" t="e">
        <f>IF(#REF!,"AAAAAH/vo0c=",0)</f>
        <v>#REF!</v>
      </c>
      <c r="BU320" t="e">
        <f>AND(#REF!,"AAAAAH/vo0g=")</f>
        <v>#REF!</v>
      </c>
      <c r="BV320" t="e">
        <f>AND(#REF!,"AAAAAH/vo0k=")</f>
        <v>#REF!</v>
      </c>
      <c r="BW320" t="e">
        <f>AND(#REF!,"AAAAAH/vo0o=")</f>
        <v>#REF!</v>
      </c>
      <c r="BX320" t="e">
        <f>AND(#REF!,"AAAAAH/vo0s=")</f>
        <v>#REF!</v>
      </c>
      <c r="BY320" t="e">
        <f>AND(#REF!,"AAAAAH/vo0w=")</f>
        <v>#REF!</v>
      </c>
      <c r="BZ320" t="e">
        <f>AND(#REF!,"AAAAAH/vo00=")</f>
        <v>#REF!</v>
      </c>
      <c r="CA320" t="e">
        <f>AND(#REF!,"AAAAAH/vo04=")</f>
        <v>#REF!</v>
      </c>
      <c r="CB320" t="e">
        <f>AND(#REF!,"AAAAAH/vo08=")</f>
        <v>#REF!</v>
      </c>
      <c r="CC320" t="e">
        <f>AND(#REF!,"AAAAAH/vo1A=")</f>
        <v>#REF!</v>
      </c>
      <c r="CD320" t="e">
        <f>AND(#REF!,"AAAAAH/vo1E=")</f>
        <v>#REF!</v>
      </c>
      <c r="CE320" t="e">
        <f>AND(#REF!,"AAAAAH/vo1I=")</f>
        <v>#REF!</v>
      </c>
      <c r="CF320" t="e">
        <f>AND(#REF!,"AAAAAH/vo1M=")</f>
        <v>#REF!</v>
      </c>
      <c r="CG320" t="e">
        <f>AND(#REF!,"AAAAAH/vo1Q=")</f>
        <v>#REF!</v>
      </c>
      <c r="CH320" t="e">
        <f>AND(#REF!,"AAAAAH/vo1U=")</f>
        <v>#REF!</v>
      </c>
      <c r="CI320" t="e">
        <f>AND(#REF!,"AAAAAH/vo1Y=")</f>
        <v>#REF!</v>
      </c>
      <c r="CJ320" t="e">
        <f>AND(#REF!,"AAAAAH/vo1c=")</f>
        <v>#REF!</v>
      </c>
      <c r="CK320" t="e">
        <f>AND(#REF!,"AAAAAH/vo1g=")</f>
        <v>#REF!</v>
      </c>
      <c r="CL320" t="e">
        <f>AND(#REF!,"AAAAAH/vo1k=")</f>
        <v>#REF!</v>
      </c>
      <c r="CM320" t="e">
        <f>AND(#REF!,"AAAAAH/vo1o=")</f>
        <v>#REF!</v>
      </c>
      <c r="CN320" t="e">
        <f>AND(#REF!,"AAAAAH/vo1s=")</f>
        <v>#REF!</v>
      </c>
      <c r="CO320" t="e">
        <f>AND(#REF!,"AAAAAH/vo1w=")</f>
        <v>#REF!</v>
      </c>
      <c r="CP320" t="e">
        <f>AND(#REF!,"AAAAAH/vo10=")</f>
        <v>#REF!</v>
      </c>
      <c r="CQ320" t="e">
        <f>AND(#REF!,"AAAAAH/vo14=")</f>
        <v>#REF!</v>
      </c>
      <c r="CR320" t="e">
        <f>AND(#REF!,"AAAAAH/vo18=")</f>
        <v>#REF!</v>
      </c>
      <c r="CS320" t="e">
        <f>IF(#REF!,"AAAAAH/vo2A=",0)</f>
        <v>#REF!</v>
      </c>
      <c r="CT320" t="e">
        <f>AND(#REF!,"AAAAAH/vo2E=")</f>
        <v>#REF!</v>
      </c>
      <c r="CU320" t="e">
        <f>AND(#REF!,"AAAAAH/vo2I=")</f>
        <v>#REF!</v>
      </c>
      <c r="CV320" t="e">
        <f>AND(#REF!,"AAAAAH/vo2M=")</f>
        <v>#REF!</v>
      </c>
      <c r="CW320" t="e">
        <f>AND(#REF!,"AAAAAH/vo2Q=")</f>
        <v>#REF!</v>
      </c>
      <c r="CX320" t="e">
        <f>AND(#REF!,"AAAAAH/vo2U=")</f>
        <v>#REF!</v>
      </c>
      <c r="CY320" t="e">
        <f>AND(#REF!,"AAAAAH/vo2Y=")</f>
        <v>#REF!</v>
      </c>
      <c r="CZ320" t="e">
        <f>AND(#REF!,"AAAAAH/vo2c=")</f>
        <v>#REF!</v>
      </c>
      <c r="DA320" t="e">
        <f>AND(#REF!,"AAAAAH/vo2g=")</f>
        <v>#REF!</v>
      </c>
      <c r="DB320" t="e">
        <f>AND(#REF!,"AAAAAH/vo2k=")</f>
        <v>#REF!</v>
      </c>
      <c r="DC320" t="e">
        <f>AND(#REF!,"AAAAAH/vo2o=")</f>
        <v>#REF!</v>
      </c>
      <c r="DD320" t="e">
        <f>AND(#REF!,"AAAAAH/vo2s=")</f>
        <v>#REF!</v>
      </c>
      <c r="DE320" t="e">
        <f>AND(#REF!,"AAAAAH/vo2w=")</f>
        <v>#REF!</v>
      </c>
      <c r="DF320" t="e">
        <f>AND(#REF!,"AAAAAH/vo20=")</f>
        <v>#REF!</v>
      </c>
      <c r="DG320" t="e">
        <f>AND(#REF!,"AAAAAH/vo24=")</f>
        <v>#REF!</v>
      </c>
      <c r="DH320" t="e">
        <f>AND(#REF!,"AAAAAH/vo28=")</f>
        <v>#REF!</v>
      </c>
      <c r="DI320" t="e">
        <f>AND(#REF!,"AAAAAH/vo3A=")</f>
        <v>#REF!</v>
      </c>
      <c r="DJ320" t="e">
        <f>AND(#REF!,"AAAAAH/vo3E=")</f>
        <v>#REF!</v>
      </c>
      <c r="DK320" t="e">
        <f>AND(#REF!,"AAAAAH/vo3I=")</f>
        <v>#REF!</v>
      </c>
      <c r="DL320" t="e">
        <f>AND(#REF!,"AAAAAH/vo3M=")</f>
        <v>#REF!</v>
      </c>
      <c r="DM320" t="e">
        <f>AND(#REF!,"AAAAAH/vo3Q=")</f>
        <v>#REF!</v>
      </c>
      <c r="DN320" t="e">
        <f>AND(#REF!,"AAAAAH/vo3U=")</f>
        <v>#REF!</v>
      </c>
      <c r="DO320" t="e">
        <f>AND(#REF!,"AAAAAH/vo3Y=")</f>
        <v>#REF!</v>
      </c>
      <c r="DP320" t="e">
        <f>AND(#REF!,"AAAAAH/vo3c=")</f>
        <v>#REF!</v>
      </c>
      <c r="DQ320" t="e">
        <f>AND(#REF!,"AAAAAH/vo3g=")</f>
        <v>#REF!</v>
      </c>
      <c r="DR320" t="e">
        <f>IF(#REF!,"AAAAAH/vo3k=",0)</f>
        <v>#REF!</v>
      </c>
      <c r="DS320" t="e">
        <f>AND(#REF!,"AAAAAH/vo3o=")</f>
        <v>#REF!</v>
      </c>
      <c r="DT320" t="e">
        <f>AND(#REF!,"AAAAAH/vo3s=")</f>
        <v>#REF!</v>
      </c>
      <c r="DU320" t="e">
        <f>AND(#REF!,"AAAAAH/vo3w=")</f>
        <v>#REF!</v>
      </c>
      <c r="DV320" t="e">
        <f>AND(#REF!,"AAAAAH/vo30=")</f>
        <v>#REF!</v>
      </c>
      <c r="DW320" t="e">
        <f>AND(#REF!,"AAAAAH/vo34=")</f>
        <v>#REF!</v>
      </c>
      <c r="DX320" t="e">
        <f>AND(#REF!,"AAAAAH/vo38=")</f>
        <v>#REF!</v>
      </c>
      <c r="DY320" t="e">
        <f>AND(#REF!,"AAAAAH/vo4A=")</f>
        <v>#REF!</v>
      </c>
      <c r="DZ320" t="e">
        <f>AND(#REF!,"AAAAAH/vo4E=")</f>
        <v>#REF!</v>
      </c>
      <c r="EA320" t="e">
        <f>AND(#REF!,"AAAAAH/vo4I=")</f>
        <v>#REF!</v>
      </c>
      <c r="EB320" t="e">
        <f>AND(#REF!,"AAAAAH/vo4M=")</f>
        <v>#REF!</v>
      </c>
      <c r="EC320" t="e">
        <f>AND(#REF!,"AAAAAH/vo4Q=")</f>
        <v>#REF!</v>
      </c>
      <c r="ED320" t="e">
        <f>AND(#REF!,"AAAAAH/vo4U=")</f>
        <v>#REF!</v>
      </c>
      <c r="EE320" t="e">
        <f>AND(#REF!,"AAAAAH/vo4Y=")</f>
        <v>#REF!</v>
      </c>
      <c r="EF320" t="e">
        <f>AND(#REF!,"AAAAAH/vo4c=")</f>
        <v>#REF!</v>
      </c>
      <c r="EG320" t="e">
        <f>AND(#REF!,"AAAAAH/vo4g=")</f>
        <v>#REF!</v>
      </c>
      <c r="EH320" t="e">
        <f>AND(#REF!,"AAAAAH/vo4k=")</f>
        <v>#REF!</v>
      </c>
      <c r="EI320" t="e">
        <f>AND(#REF!,"AAAAAH/vo4o=")</f>
        <v>#REF!</v>
      </c>
      <c r="EJ320" t="e">
        <f>AND(#REF!,"AAAAAH/vo4s=")</f>
        <v>#REF!</v>
      </c>
      <c r="EK320" t="e">
        <f>AND(#REF!,"AAAAAH/vo4w=")</f>
        <v>#REF!</v>
      </c>
      <c r="EL320" t="e">
        <f>AND(#REF!,"AAAAAH/vo40=")</f>
        <v>#REF!</v>
      </c>
      <c r="EM320" t="e">
        <f>AND(#REF!,"AAAAAH/vo44=")</f>
        <v>#REF!</v>
      </c>
      <c r="EN320" t="e">
        <f>AND(#REF!,"AAAAAH/vo48=")</f>
        <v>#REF!</v>
      </c>
      <c r="EO320" t="e">
        <f>AND(#REF!,"AAAAAH/vo5A=")</f>
        <v>#REF!</v>
      </c>
      <c r="EP320" t="e">
        <f>AND(#REF!,"AAAAAH/vo5E=")</f>
        <v>#REF!</v>
      </c>
      <c r="EQ320" t="e">
        <f>IF(#REF!,"AAAAAH/vo5I=",0)</f>
        <v>#REF!</v>
      </c>
      <c r="ER320" t="e">
        <f>AND(#REF!,"AAAAAH/vo5M=")</f>
        <v>#REF!</v>
      </c>
      <c r="ES320" t="e">
        <f>AND(#REF!,"AAAAAH/vo5Q=")</f>
        <v>#REF!</v>
      </c>
      <c r="ET320" t="e">
        <f>AND(#REF!,"AAAAAH/vo5U=")</f>
        <v>#REF!</v>
      </c>
      <c r="EU320" t="e">
        <f>AND(#REF!,"AAAAAH/vo5Y=")</f>
        <v>#REF!</v>
      </c>
      <c r="EV320" t="e">
        <f>AND(#REF!,"AAAAAH/vo5c=")</f>
        <v>#REF!</v>
      </c>
      <c r="EW320" t="e">
        <f>AND(#REF!,"AAAAAH/vo5g=")</f>
        <v>#REF!</v>
      </c>
      <c r="EX320" t="e">
        <f>AND(#REF!,"AAAAAH/vo5k=")</f>
        <v>#REF!</v>
      </c>
      <c r="EY320" t="e">
        <f>AND(#REF!,"AAAAAH/vo5o=")</f>
        <v>#REF!</v>
      </c>
      <c r="EZ320" t="e">
        <f>AND(#REF!,"AAAAAH/vo5s=")</f>
        <v>#REF!</v>
      </c>
      <c r="FA320" t="e">
        <f>AND(#REF!,"AAAAAH/vo5w=")</f>
        <v>#REF!</v>
      </c>
      <c r="FB320" t="e">
        <f>AND(#REF!,"AAAAAH/vo50=")</f>
        <v>#REF!</v>
      </c>
      <c r="FC320" t="e">
        <f>AND(#REF!,"AAAAAH/vo54=")</f>
        <v>#REF!</v>
      </c>
      <c r="FD320" t="e">
        <f>AND(#REF!,"AAAAAH/vo58=")</f>
        <v>#REF!</v>
      </c>
      <c r="FE320" t="e">
        <f>AND(#REF!,"AAAAAH/vo6A=")</f>
        <v>#REF!</v>
      </c>
      <c r="FF320" t="e">
        <f>AND(#REF!,"AAAAAH/vo6E=")</f>
        <v>#REF!</v>
      </c>
      <c r="FG320" t="e">
        <f>AND(#REF!,"AAAAAH/vo6I=")</f>
        <v>#REF!</v>
      </c>
      <c r="FH320" t="e">
        <f>AND(#REF!,"AAAAAH/vo6M=")</f>
        <v>#REF!</v>
      </c>
      <c r="FI320" t="e">
        <f>AND(#REF!,"AAAAAH/vo6Q=")</f>
        <v>#REF!</v>
      </c>
      <c r="FJ320" t="e">
        <f>AND(#REF!,"AAAAAH/vo6U=")</f>
        <v>#REF!</v>
      </c>
      <c r="FK320" t="e">
        <f>AND(#REF!,"AAAAAH/vo6Y=")</f>
        <v>#REF!</v>
      </c>
      <c r="FL320" t="e">
        <f>AND(#REF!,"AAAAAH/vo6c=")</f>
        <v>#REF!</v>
      </c>
      <c r="FM320" t="e">
        <f>AND(#REF!,"AAAAAH/vo6g=")</f>
        <v>#REF!</v>
      </c>
      <c r="FN320" t="e">
        <f>AND(#REF!,"AAAAAH/vo6k=")</f>
        <v>#REF!</v>
      </c>
      <c r="FO320" t="e">
        <f>AND(#REF!,"AAAAAH/vo6o=")</f>
        <v>#REF!</v>
      </c>
      <c r="FP320" t="e">
        <f>IF(#REF!,"AAAAAH/vo6s=",0)</f>
        <v>#REF!</v>
      </c>
      <c r="FQ320" t="e">
        <f>AND(#REF!,"AAAAAH/vo6w=")</f>
        <v>#REF!</v>
      </c>
      <c r="FR320" t="e">
        <f>AND(#REF!,"AAAAAH/vo60=")</f>
        <v>#REF!</v>
      </c>
      <c r="FS320" t="e">
        <f>AND(#REF!,"AAAAAH/vo64=")</f>
        <v>#REF!</v>
      </c>
      <c r="FT320" t="e">
        <f>AND(#REF!,"AAAAAH/vo68=")</f>
        <v>#REF!</v>
      </c>
      <c r="FU320" t="e">
        <f>AND(#REF!,"AAAAAH/vo7A=")</f>
        <v>#REF!</v>
      </c>
      <c r="FV320" t="e">
        <f>AND(#REF!,"AAAAAH/vo7E=")</f>
        <v>#REF!</v>
      </c>
      <c r="FW320" t="e">
        <f>AND(#REF!,"AAAAAH/vo7I=")</f>
        <v>#REF!</v>
      </c>
      <c r="FX320" t="e">
        <f>AND(#REF!,"AAAAAH/vo7M=")</f>
        <v>#REF!</v>
      </c>
      <c r="FY320" t="e">
        <f>AND(#REF!,"AAAAAH/vo7Q=")</f>
        <v>#REF!</v>
      </c>
      <c r="FZ320" t="e">
        <f>AND(#REF!,"AAAAAH/vo7U=")</f>
        <v>#REF!</v>
      </c>
      <c r="GA320" t="e">
        <f>AND(#REF!,"AAAAAH/vo7Y=")</f>
        <v>#REF!</v>
      </c>
      <c r="GB320" t="e">
        <f>AND(#REF!,"AAAAAH/vo7c=")</f>
        <v>#REF!</v>
      </c>
      <c r="GC320" t="e">
        <f>AND(#REF!,"AAAAAH/vo7g=")</f>
        <v>#REF!</v>
      </c>
      <c r="GD320" t="e">
        <f>AND(#REF!,"AAAAAH/vo7k=")</f>
        <v>#REF!</v>
      </c>
      <c r="GE320" t="e">
        <f>AND(#REF!,"AAAAAH/vo7o=")</f>
        <v>#REF!</v>
      </c>
      <c r="GF320" t="e">
        <f>AND(#REF!,"AAAAAH/vo7s=")</f>
        <v>#REF!</v>
      </c>
      <c r="GG320" t="e">
        <f>AND(#REF!,"AAAAAH/vo7w=")</f>
        <v>#REF!</v>
      </c>
      <c r="GH320" t="e">
        <f>AND(#REF!,"AAAAAH/vo70=")</f>
        <v>#REF!</v>
      </c>
      <c r="GI320" t="e">
        <f>AND(#REF!,"AAAAAH/vo74=")</f>
        <v>#REF!</v>
      </c>
      <c r="GJ320" t="e">
        <f>AND(#REF!,"AAAAAH/vo78=")</f>
        <v>#REF!</v>
      </c>
      <c r="GK320" t="e">
        <f>AND(#REF!,"AAAAAH/vo8A=")</f>
        <v>#REF!</v>
      </c>
      <c r="GL320" t="e">
        <f>AND(#REF!,"AAAAAH/vo8E=")</f>
        <v>#REF!</v>
      </c>
      <c r="GM320" t="e">
        <f>AND(#REF!,"AAAAAH/vo8I=")</f>
        <v>#REF!</v>
      </c>
      <c r="GN320" t="e">
        <f>AND(#REF!,"AAAAAH/vo8M=")</f>
        <v>#REF!</v>
      </c>
      <c r="GO320" t="e">
        <f>IF(#REF!,"AAAAAH/vo8Q=",0)</f>
        <v>#REF!</v>
      </c>
      <c r="GP320" t="e">
        <f>AND(#REF!,"AAAAAH/vo8U=")</f>
        <v>#REF!</v>
      </c>
      <c r="GQ320" t="e">
        <f>AND(#REF!,"AAAAAH/vo8Y=")</f>
        <v>#REF!</v>
      </c>
      <c r="GR320" t="e">
        <f>AND(#REF!,"AAAAAH/vo8c=")</f>
        <v>#REF!</v>
      </c>
      <c r="GS320" t="e">
        <f>AND(#REF!,"AAAAAH/vo8g=")</f>
        <v>#REF!</v>
      </c>
      <c r="GT320" t="e">
        <f>AND(#REF!,"AAAAAH/vo8k=")</f>
        <v>#REF!</v>
      </c>
      <c r="GU320" t="e">
        <f>AND(#REF!,"AAAAAH/vo8o=")</f>
        <v>#REF!</v>
      </c>
      <c r="GV320" t="e">
        <f>AND(#REF!,"AAAAAH/vo8s=")</f>
        <v>#REF!</v>
      </c>
      <c r="GW320" t="e">
        <f>AND(#REF!,"AAAAAH/vo8w=")</f>
        <v>#REF!</v>
      </c>
      <c r="GX320" t="e">
        <f>AND(#REF!,"AAAAAH/vo80=")</f>
        <v>#REF!</v>
      </c>
      <c r="GY320" t="e">
        <f>AND(#REF!,"AAAAAH/vo84=")</f>
        <v>#REF!</v>
      </c>
      <c r="GZ320" t="e">
        <f>AND(#REF!,"AAAAAH/vo88=")</f>
        <v>#REF!</v>
      </c>
      <c r="HA320" t="e">
        <f>AND(#REF!,"AAAAAH/vo9A=")</f>
        <v>#REF!</v>
      </c>
      <c r="HB320" t="e">
        <f>AND(#REF!,"AAAAAH/vo9E=")</f>
        <v>#REF!</v>
      </c>
      <c r="HC320" t="e">
        <f>AND(#REF!,"AAAAAH/vo9I=")</f>
        <v>#REF!</v>
      </c>
      <c r="HD320" t="e">
        <f>AND(#REF!,"AAAAAH/vo9M=")</f>
        <v>#REF!</v>
      </c>
      <c r="HE320" t="e">
        <f>AND(#REF!,"AAAAAH/vo9Q=")</f>
        <v>#REF!</v>
      </c>
      <c r="HF320" t="e">
        <f>AND(#REF!,"AAAAAH/vo9U=")</f>
        <v>#REF!</v>
      </c>
      <c r="HG320" t="e">
        <f>AND(#REF!,"AAAAAH/vo9Y=")</f>
        <v>#REF!</v>
      </c>
      <c r="HH320" t="e">
        <f>AND(#REF!,"AAAAAH/vo9c=")</f>
        <v>#REF!</v>
      </c>
      <c r="HI320" t="e">
        <f>AND(#REF!,"AAAAAH/vo9g=")</f>
        <v>#REF!</v>
      </c>
      <c r="HJ320" t="e">
        <f>AND(#REF!,"AAAAAH/vo9k=")</f>
        <v>#REF!</v>
      </c>
      <c r="HK320" t="e">
        <f>AND(#REF!,"AAAAAH/vo9o=")</f>
        <v>#REF!</v>
      </c>
      <c r="HL320" t="e">
        <f>AND(#REF!,"AAAAAH/vo9s=")</f>
        <v>#REF!</v>
      </c>
      <c r="HM320" t="e">
        <f>AND(#REF!,"AAAAAH/vo9w=")</f>
        <v>#REF!</v>
      </c>
      <c r="HN320" t="e">
        <f>IF(#REF!,"AAAAAH/vo90=",0)</f>
        <v>#REF!</v>
      </c>
      <c r="HO320" t="e">
        <f>AND(#REF!,"AAAAAH/vo94=")</f>
        <v>#REF!</v>
      </c>
      <c r="HP320" t="e">
        <f>AND(#REF!,"AAAAAH/vo98=")</f>
        <v>#REF!</v>
      </c>
      <c r="HQ320" t="e">
        <f>AND(#REF!,"AAAAAH/vo+A=")</f>
        <v>#REF!</v>
      </c>
      <c r="HR320" t="e">
        <f>AND(#REF!,"AAAAAH/vo+E=")</f>
        <v>#REF!</v>
      </c>
      <c r="HS320" t="e">
        <f>AND(#REF!,"AAAAAH/vo+I=")</f>
        <v>#REF!</v>
      </c>
      <c r="HT320" t="e">
        <f>AND(#REF!,"AAAAAH/vo+M=")</f>
        <v>#REF!</v>
      </c>
      <c r="HU320" t="e">
        <f>AND(#REF!,"AAAAAH/vo+Q=")</f>
        <v>#REF!</v>
      </c>
      <c r="HV320" t="e">
        <f>AND(#REF!,"AAAAAH/vo+U=")</f>
        <v>#REF!</v>
      </c>
      <c r="HW320" t="e">
        <f>AND(#REF!,"AAAAAH/vo+Y=")</f>
        <v>#REF!</v>
      </c>
      <c r="HX320" t="e">
        <f>AND(#REF!,"AAAAAH/vo+c=")</f>
        <v>#REF!</v>
      </c>
      <c r="HY320" t="e">
        <f>AND(#REF!,"AAAAAH/vo+g=")</f>
        <v>#REF!</v>
      </c>
      <c r="HZ320" t="e">
        <f>AND(#REF!,"AAAAAH/vo+k=")</f>
        <v>#REF!</v>
      </c>
      <c r="IA320" t="e">
        <f>AND(#REF!,"AAAAAH/vo+o=")</f>
        <v>#REF!</v>
      </c>
      <c r="IB320" t="e">
        <f>AND(#REF!,"AAAAAH/vo+s=")</f>
        <v>#REF!</v>
      </c>
      <c r="IC320" t="e">
        <f>AND(#REF!,"AAAAAH/vo+w=")</f>
        <v>#REF!</v>
      </c>
      <c r="ID320" t="e">
        <f>AND(#REF!,"AAAAAH/vo+0=")</f>
        <v>#REF!</v>
      </c>
      <c r="IE320" t="e">
        <f>AND(#REF!,"AAAAAH/vo+4=")</f>
        <v>#REF!</v>
      </c>
      <c r="IF320" t="e">
        <f>AND(#REF!,"AAAAAH/vo+8=")</f>
        <v>#REF!</v>
      </c>
      <c r="IG320" t="e">
        <f>AND(#REF!,"AAAAAH/vo/A=")</f>
        <v>#REF!</v>
      </c>
      <c r="IH320" t="e">
        <f>AND(#REF!,"AAAAAH/vo/E=")</f>
        <v>#REF!</v>
      </c>
      <c r="II320" t="e">
        <f>AND(#REF!,"AAAAAH/vo/I=")</f>
        <v>#REF!</v>
      </c>
      <c r="IJ320" t="e">
        <f>AND(#REF!,"AAAAAH/vo/M=")</f>
        <v>#REF!</v>
      </c>
      <c r="IK320" t="e">
        <f>AND(#REF!,"AAAAAH/vo/Q=")</f>
        <v>#REF!</v>
      </c>
      <c r="IL320" t="e">
        <f>AND(#REF!,"AAAAAH/vo/U=")</f>
        <v>#REF!</v>
      </c>
      <c r="IM320" t="e">
        <f>IF(#REF!,"AAAAAH/vo/Y=",0)</f>
        <v>#REF!</v>
      </c>
      <c r="IN320" t="e">
        <f>AND(#REF!,"AAAAAH/vo/c=")</f>
        <v>#REF!</v>
      </c>
      <c r="IO320" t="e">
        <f>AND(#REF!,"AAAAAH/vo/g=")</f>
        <v>#REF!</v>
      </c>
      <c r="IP320" t="e">
        <f>AND(#REF!,"AAAAAH/vo/k=")</f>
        <v>#REF!</v>
      </c>
      <c r="IQ320" t="e">
        <f>AND(#REF!,"AAAAAH/vo/o=")</f>
        <v>#REF!</v>
      </c>
      <c r="IR320" t="e">
        <f>AND(#REF!,"AAAAAH/vo/s=")</f>
        <v>#REF!</v>
      </c>
      <c r="IS320" t="e">
        <f>AND(#REF!,"AAAAAH/vo/w=")</f>
        <v>#REF!</v>
      </c>
      <c r="IT320" t="e">
        <f>AND(#REF!,"AAAAAH/vo/0=")</f>
        <v>#REF!</v>
      </c>
      <c r="IU320" t="e">
        <f>AND(#REF!,"AAAAAH/vo/4=")</f>
        <v>#REF!</v>
      </c>
      <c r="IV320" t="e">
        <f>AND(#REF!,"AAAAAH/vo/8=")</f>
        <v>#REF!</v>
      </c>
    </row>
    <row r="321" spans="1:256">
      <c r="A321" t="e">
        <f>AND(#REF!,"AAAAAH533wA=")</f>
        <v>#REF!</v>
      </c>
      <c r="B321" t="e">
        <f>AND(#REF!,"AAAAAH533wE=")</f>
        <v>#REF!</v>
      </c>
      <c r="C321" t="e">
        <f>AND(#REF!,"AAAAAH533wI=")</f>
        <v>#REF!</v>
      </c>
      <c r="D321" t="e">
        <f>AND(#REF!,"AAAAAH533wM=")</f>
        <v>#REF!</v>
      </c>
      <c r="E321" t="e">
        <f>AND(#REF!,"AAAAAH533wQ=")</f>
        <v>#REF!</v>
      </c>
      <c r="F321" t="e">
        <f>AND(#REF!,"AAAAAH533wU=")</f>
        <v>#REF!</v>
      </c>
      <c r="G321" t="e">
        <f>AND(#REF!,"AAAAAH533wY=")</f>
        <v>#REF!</v>
      </c>
      <c r="H321" t="e">
        <f>AND(#REF!,"AAAAAH533wc=")</f>
        <v>#REF!</v>
      </c>
      <c r="I321" t="e">
        <f>AND(#REF!,"AAAAAH533wg=")</f>
        <v>#REF!</v>
      </c>
      <c r="J321" t="e">
        <f>AND(#REF!,"AAAAAH533wk=")</f>
        <v>#REF!</v>
      </c>
      <c r="K321" t="e">
        <f>AND(#REF!,"AAAAAH533wo=")</f>
        <v>#REF!</v>
      </c>
      <c r="L321" t="e">
        <f>AND(#REF!,"AAAAAH533ws=")</f>
        <v>#REF!</v>
      </c>
      <c r="M321" t="e">
        <f>AND(#REF!,"AAAAAH533ww=")</f>
        <v>#REF!</v>
      </c>
      <c r="N321" t="e">
        <f>AND(#REF!,"AAAAAH533w0=")</f>
        <v>#REF!</v>
      </c>
      <c r="O321" t="e">
        <f>AND(#REF!,"AAAAAH533w4=")</f>
        <v>#REF!</v>
      </c>
      <c r="P321" t="e">
        <f>IF(#REF!,"AAAAAH533w8=",0)</f>
        <v>#REF!</v>
      </c>
      <c r="Q321" t="e">
        <f>AND(#REF!,"AAAAAH533xA=")</f>
        <v>#REF!</v>
      </c>
      <c r="R321" t="e">
        <f>AND(#REF!,"AAAAAH533xE=")</f>
        <v>#REF!</v>
      </c>
      <c r="S321" t="e">
        <f>AND(#REF!,"AAAAAH533xI=")</f>
        <v>#REF!</v>
      </c>
      <c r="T321" t="e">
        <f>AND(#REF!,"AAAAAH533xM=")</f>
        <v>#REF!</v>
      </c>
      <c r="U321" t="e">
        <f>AND(#REF!,"AAAAAH533xQ=")</f>
        <v>#REF!</v>
      </c>
      <c r="V321" t="e">
        <f>AND(#REF!,"AAAAAH533xU=")</f>
        <v>#REF!</v>
      </c>
      <c r="W321" t="e">
        <f>AND(#REF!,"AAAAAH533xY=")</f>
        <v>#REF!</v>
      </c>
      <c r="X321" t="e">
        <f>AND(#REF!,"AAAAAH533xc=")</f>
        <v>#REF!</v>
      </c>
      <c r="Y321" t="e">
        <f>AND(#REF!,"AAAAAH533xg=")</f>
        <v>#REF!</v>
      </c>
      <c r="Z321" t="e">
        <f>AND(#REF!,"AAAAAH533xk=")</f>
        <v>#REF!</v>
      </c>
      <c r="AA321" t="e">
        <f>AND(#REF!,"AAAAAH533xo=")</f>
        <v>#REF!</v>
      </c>
      <c r="AB321" t="e">
        <f>AND(#REF!,"AAAAAH533xs=")</f>
        <v>#REF!</v>
      </c>
      <c r="AC321" t="e">
        <f>AND(#REF!,"AAAAAH533xw=")</f>
        <v>#REF!</v>
      </c>
      <c r="AD321" t="e">
        <f>AND(#REF!,"AAAAAH533x0=")</f>
        <v>#REF!</v>
      </c>
      <c r="AE321" t="e">
        <f>AND(#REF!,"AAAAAH533x4=")</f>
        <v>#REF!</v>
      </c>
      <c r="AF321" t="e">
        <f>AND(#REF!,"AAAAAH533x8=")</f>
        <v>#REF!</v>
      </c>
      <c r="AG321" t="e">
        <f>AND(#REF!,"AAAAAH533yA=")</f>
        <v>#REF!</v>
      </c>
      <c r="AH321" t="e">
        <f>AND(#REF!,"AAAAAH533yE=")</f>
        <v>#REF!</v>
      </c>
      <c r="AI321" t="e">
        <f>AND(#REF!,"AAAAAH533yI=")</f>
        <v>#REF!</v>
      </c>
      <c r="AJ321" t="e">
        <f>AND(#REF!,"AAAAAH533yM=")</f>
        <v>#REF!</v>
      </c>
      <c r="AK321" t="e">
        <f>AND(#REF!,"AAAAAH533yQ=")</f>
        <v>#REF!</v>
      </c>
      <c r="AL321" t="e">
        <f>AND(#REF!,"AAAAAH533yU=")</f>
        <v>#REF!</v>
      </c>
      <c r="AM321" t="e">
        <f>AND(#REF!,"AAAAAH533yY=")</f>
        <v>#REF!</v>
      </c>
      <c r="AN321" t="e">
        <f>AND(#REF!,"AAAAAH533yc=")</f>
        <v>#REF!</v>
      </c>
      <c r="AO321" t="e">
        <f>IF(#REF!,"AAAAAH533yg=",0)</f>
        <v>#REF!</v>
      </c>
      <c r="AP321" t="e">
        <f>AND(#REF!,"AAAAAH533yk=")</f>
        <v>#REF!</v>
      </c>
      <c r="AQ321" t="e">
        <f>AND(#REF!,"AAAAAH533yo=")</f>
        <v>#REF!</v>
      </c>
      <c r="AR321" t="e">
        <f>AND(#REF!,"AAAAAH533ys=")</f>
        <v>#REF!</v>
      </c>
      <c r="AS321" t="e">
        <f>AND(#REF!,"AAAAAH533yw=")</f>
        <v>#REF!</v>
      </c>
      <c r="AT321" t="e">
        <f>AND(#REF!,"AAAAAH533y0=")</f>
        <v>#REF!</v>
      </c>
      <c r="AU321" t="e">
        <f>AND(#REF!,"AAAAAH533y4=")</f>
        <v>#REF!</v>
      </c>
      <c r="AV321" t="e">
        <f>AND(#REF!,"AAAAAH533y8=")</f>
        <v>#REF!</v>
      </c>
      <c r="AW321" t="e">
        <f>AND(#REF!,"AAAAAH533zA=")</f>
        <v>#REF!</v>
      </c>
      <c r="AX321" t="e">
        <f>AND(#REF!,"AAAAAH533zE=")</f>
        <v>#REF!</v>
      </c>
      <c r="AY321" t="e">
        <f>AND(#REF!,"AAAAAH533zI=")</f>
        <v>#REF!</v>
      </c>
      <c r="AZ321" t="e">
        <f>AND(#REF!,"AAAAAH533zM=")</f>
        <v>#REF!</v>
      </c>
      <c r="BA321" t="e">
        <f>AND(#REF!,"AAAAAH533zQ=")</f>
        <v>#REF!</v>
      </c>
      <c r="BB321" t="e">
        <f>AND(#REF!,"AAAAAH533zU=")</f>
        <v>#REF!</v>
      </c>
      <c r="BC321" t="e">
        <f>AND(#REF!,"AAAAAH533zY=")</f>
        <v>#REF!</v>
      </c>
      <c r="BD321" t="e">
        <f>AND(#REF!,"AAAAAH533zc=")</f>
        <v>#REF!</v>
      </c>
      <c r="BE321" t="e">
        <f>AND(#REF!,"AAAAAH533zg=")</f>
        <v>#REF!</v>
      </c>
      <c r="BF321" t="e">
        <f>AND(#REF!,"AAAAAH533zk=")</f>
        <v>#REF!</v>
      </c>
      <c r="BG321" t="e">
        <f>AND(#REF!,"AAAAAH533zo=")</f>
        <v>#REF!</v>
      </c>
      <c r="BH321" t="e">
        <f>AND(#REF!,"AAAAAH533zs=")</f>
        <v>#REF!</v>
      </c>
      <c r="BI321" t="e">
        <f>AND(#REF!,"AAAAAH533zw=")</f>
        <v>#REF!</v>
      </c>
      <c r="BJ321" t="e">
        <f>AND(#REF!,"AAAAAH533z0=")</f>
        <v>#REF!</v>
      </c>
      <c r="BK321" t="e">
        <f>AND(#REF!,"AAAAAH533z4=")</f>
        <v>#REF!</v>
      </c>
      <c r="BL321" t="e">
        <f>AND(#REF!,"AAAAAH533z8=")</f>
        <v>#REF!</v>
      </c>
      <c r="BM321" t="e">
        <f>AND(#REF!,"AAAAAH5330A=")</f>
        <v>#REF!</v>
      </c>
      <c r="BN321" t="e">
        <f>IF(#REF!,"AAAAAH5330E=",0)</f>
        <v>#REF!</v>
      </c>
      <c r="BO321" t="e">
        <f>AND(#REF!,"AAAAAH5330I=")</f>
        <v>#REF!</v>
      </c>
      <c r="BP321" t="e">
        <f>AND(#REF!,"AAAAAH5330M=")</f>
        <v>#REF!</v>
      </c>
      <c r="BQ321" t="e">
        <f>AND(#REF!,"AAAAAH5330Q=")</f>
        <v>#REF!</v>
      </c>
      <c r="BR321" t="e">
        <f>AND(#REF!,"AAAAAH5330U=")</f>
        <v>#REF!</v>
      </c>
      <c r="BS321" t="e">
        <f>AND(#REF!,"AAAAAH5330Y=")</f>
        <v>#REF!</v>
      </c>
      <c r="BT321" t="e">
        <f>AND(#REF!,"AAAAAH5330c=")</f>
        <v>#REF!</v>
      </c>
      <c r="BU321" t="e">
        <f>AND(#REF!,"AAAAAH5330g=")</f>
        <v>#REF!</v>
      </c>
      <c r="BV321" t="e">
        <f>AND(#REF!,"AAAAAH5330k=")</f>
        <v>#REF!</v>
      </c>
      <c r="BW321" t="e">
        <f>AND(#REF!,"AAAAAH5330o=")</f>
        <v>#REF!</v>
      </c>
      <c r="BX321" t="e">
        <f>AND(#REF!,"AAAAAH5330s=")</f>
        <v>#REF!</v>
      </c>
      <c r="BY321" t="e">
        <f>AND(#REF!,"AAAAAH5330w=")</f>
        <v>#REF!</v>
      </c>
      <c r="BZ321" t="e">
        <f>AND(#REF!,"AAAAAH53300=")</f>
        <v>#REF!</v>
      </c>
      <c r="CA321" t="e">
        <f>AND(#REF!,"AAAAAH53304=")</f>
        <v>#REF!</v>
      </c>
      <c r="CB321" t="e">
        <f>AND(#REF!,"AAAAAH53308=")</f>
        <v>#REF!</v>
      </c>
      <c r="CC321" t="e">
        <f>AND(#REF!,"AAAAAH5331A=")</f>
        <v>#REF!</v>
      </c>
      <c r="CD321" t="e">
        <f>AND(#REF!,"AAAAAH5331E=")</f>
        <v>#REF!</v>
      </c>
      <c r="CE321" t="e">
        <f>AND(#REF!,"AAAAAH5331I=")</f>
        <v>#REF!</v>
      </c>
      <c r="CF321" t="e">
        <f>AND(#REF!,"AAAAAH5331M=")</f>
        <v>#REF!</v>
      </c>
      <c r="CG321" t="e">
        <f>AND(#REF!,"AAAAAH5331Q=")</f>
        <v>#REF!</v>
      </c>
      <c r="CH321" t="e">
        <f>AND(#REF!,"AAAAAH5331U=")</f>
        <v>#REF!</v>
      </c>
      <c r="CI321" t="e">
        <f>AND(#REF!,"AAAAAH5331Y=")</f>
        <v>#REF!</v>
      </c>
      <c r="CJ321" t="e">
        <f>AND(#REF!,"AAAAAH5331c=")</f>
        <v>#REF!</v>
      </c>
      <c r="CK321" t="e">
        <f>AND(#REF!,"AAAAAH5331g=")</f>
        <v>#REF!</v>
      </c>
      <c r="CL321" t="e">
        <f>AND(#REF!,"AAAAAH5331k=")</f>
        <v>#REF!</v>
      </c>
      <c r="CM321" t="e">
        <f>IF(#REF!,"AAAAAH5331o=",0)</f>
        <v>#REF!</v>
      </c>
      <c r="CN321" t="e">
        <f>AND(#REF!,"AAAAAH5331s=")</f>
        <v>#REF!</v>
      </c>
      <c r="CO321" t="e">
        <f>AND(#REF!,"AAAAAH5331w=")</f>
        <v>#REF!</v>
      </c>
      <c r="CP321" t="e">
        <f>AND(#REF!,"AAAAAH53310=")</f>
        <v>#REF!</v>
      </c>
      <c r="CQ321" t="e">
        <f>AND(#REF!,"AAAAAH53314=")</f>
        <v>#REF!</v>
      </c>
      <c r="CR321" t="e">
        <f>AND(#REF!,"AAAAAH53318=")</f>
        <v>#REF!</v>
      </c>
      <c r="CS321" t="e">
        <f>AND(#REF!,"AAAAAH5332A=")</f>
        <v>#REF!</v>
      </c>
      <c r="CT321" t="e">
        <f>AND(#REF!,"AAAAAH5332E=")</f>
        <v>#REF!</v>
      </c>
      <c r="CU321" t="e">
        <f>AND(#REF!,"AAAAAH5332I=")</f>
        <v>#REF!</v>
      </c>
      <c r="CV321" t="e">
        <f>AND(#REF!,"AAAAAH5332M=")</f>
        <v>#REF!</v>
      </c>
      <c r="CW321" t="e">
        <f>AND(#REF!,"AAAAAH5332Q=")</f>
        <v>#REF!</v>
      </c>
      <c r="CX321" t="e">
        <f>AND(#REF!,"AAAAAH5332U=")</f>
        <v>#REF!</v>
      </c>
      <c r="CY321" t="e">
        <f>AND(#REF!,"AAAAAH5332Y=")</f>
        <v>#REF!</v>
      </c>
      <c r="CZ321" t="e">
        <f>AND(#REF!,"AAAAAH5332c=")</f>
        <v>#REF!</v>
      </c>
      <c r="DA321" t="e">
        <f>AND(#REF!,"AAAAAH5332g=")</f>
        <v>#REF!</v>
      </c>
      <c r="DB321" t="e">
        <f>AND(#REF!,"AAAAAH5332k=")</f>
        <v>#REF!</v>
      </c>
      <c r="DC321" t="e">
        <f>AND(#REF!,"AAAAAH5332o=")</f>
        <v>#REF!</v>
      </c>
      <c r="DD321" t="e">
        <f>AND(#REF!,"AAAAAH5332s=")</f>
        <v>#REF!</v>
      </c>
      <c r="DE321" t="e">
        <f>AND(#REF!,"AAAAAH5332w=")</f>
        <v>#REF!</v>
      </c>
      <c r="DF321" t="e">
        <f>AND(#REF!,"AAAAAH53320=")</f>
        <v>#REF!</v>
      </c>
      <c r="DG321" t="e">
        <f>AND(#REF!,"AAAAAH53324=")</f>
        <v>#REF!</v>
      </c>
      <c r="DH321" t="e">
        <f>AND(#REF!,"AAAAAH53328=")</f>
        <v>#REF!</v>
      </c>
      <c r="DI321" t="e">
        <f>AND(#REF!,"AAAAAH5333A=")</f>
        <v>#REF!</v>
      </c>
      <c r="DJ321" t="e">
        <f>AND(#REF!,"AAAAAH5333E=")</f>
        <v>#REF!</v>
      </c>
      <c r="DK321" t="e">
        <f>AND(#REF!,"AAAAAH5333I=")</f>
        <v>#REF!</v>
      </c>
      <c r="DL321" t="e">
        <f>IF(#REF!,"AAAAAH5333M=",0)</f>
        <v>#REF!</v>
      </c>
      <c r="DM321" t="e">
        <f>AND(#REF!,"AAAAAH5333Q=")</f>
        <v>#REF!</v>
      </c>
      <c r="DN321" t="e">
        <f>AND(#REF!,"AAAAAH5333U=")</f>
        <v>#REF!</v>
      </c>
      <c r="DO321" t="e">
        <f>AND(#REF!,"AAAAAH5333Y=")</f>
        <v>#REF!</v>
      </c>
      <c r="DP321" t="e">
        <f>AND(#REF!,"AAAAAH5333c=")</f>
        <v>#REF!</v>
      </c>
      <c r="DQ321" t="e">
        <f>AND(#REF!,"AAAAAH5333g=")</f>
        <v>#REF!</v>
      </c>
      <c r="DR321" t="e">
        <f>AND(#REF!,"AAAAAH5333k=")</f>
        <v>#REF!</v>
      </c>
      <c r="DS321" t="e">
        <f>AND(#REF!,"AAAAAH5333o=")</f>
        <v>#REF!</v>
      </c>
      <c r="DT321" t="e">
        <f>AND(#REF!,"AAAAAH5333s=")</f>
        <v>#REF!</v>
      </c>
      <c r="DU321" t="e">
        <f>AND(#REF!,"AAAAAH5333w=")</f>
        <v>#REF!</v>
      </c>
      <c r="DV321" t="e">
        <f>AND(#REF!,"AAAAAH53330=")</f>
        <v>#REF!</v>
      </c>
      <c r="DW321" t="e">
        <f>AND(#REF!,"AAAAAH53334=")</f>
        <v>#REF!</v>
      </c>
      <c r="DX321" t="e">
        <f>AND(#REF!,"AAAAAH53338=")</f>
        <v>#REF!</v>
      </c>
      <c r="DY321" t="e">
        <f>AND(#REF!,"AAAAAH5334A=")</f>
        <v>#REF!</v>
      </c>
      <c r="DZ321" t="e">
        <f>AND(#REF!,"AAAAAH5334E=")</f>
        <v>#REF!</v>
      </c>
      <c r="EA321" t="e">
        <f>AND(#REF!,"AAAAAH5334I=")</f>
        <v>#REF!</v>
      </c>
      <c r="EB321" t="e">
        <f>AND(#REF!,"AAAAAH5334M=")</f>
        <v>#REF!</v>
      </c>
      <c r="EC321" t="e">
        <f>AND(#REF!,"AAAAAH5334Q=")</f>
        <v>#REF!</v>
      </c>
      <c r="ED321" t="e">
        <f>AND(#REF!,"AAAAAH5334U=")</f>
        <v>#REF!</v>
      </c>
      <c r="EE321" t="e">
        <f>AND(#REF!,"AAAAAH5334Y=")</f>
        <v>#REF!</v>
      </c>
      <c r="EF321" t="e">
        <f>AND(#REF!,"AAAAAH5334c=")</f>
        <v>#REF!</v>
      </c>
      <c r="EG321" t="e">
        <f>AND(#REF!,"AAAAAH5334g=")</f>
        <v>#REF!</v>
      </c>
      <c r="EH321" t="e">
        <f>AND(#REF!,"AAAAAH5334k=")</f>
        <v>#REF!</v>
      </c>
      <c r="EI321" t="e">
        <f>AND(#REF!,"AAAAAH5334o=")</f>
        <v>#REF!</v>
      </c>
      <c r="EJ321" t="e">
        <f>AND(#REF!,"AAAAAH5334s=")</f>
        <v>#REF!</v>
      </c>
      <c r="EK321" t="e">
        <f>IF(#REF!,"AAAAAH5334w=",0)</f>
        <v>#REF!</v>
      </c>
      <c r="EL321" t="e">
        <f>AND(#REF!,"AAAAAH53340=")</f>
        <v>#REF!</v>
      </c>
      <c r="EM321" t="e">
        <f>AND(#REF!,"AAAAAH53344=")</f>
        <v>#REF!</v>
      </c>
      <c r="EN321" t="e">
        <f>AND(#REF!,"AAAAAH53348=")</f>
        <v>#REF!</v>
      </c>
      <c r="EO321" t="e">
        <f>AND(#REF!,"AAAAAH5335A=")</f>
        <v>#REF!</v>
      </c>
      <c r="EP321" t="e">
        <f>AND(#REF!,"AAAAAH5335E=")</f>
        <v>#REF!</v>
      </c>
      <c r="EQ321" t="e">
        <f>AND(#REF!,"AAAAAH5335I=")</f>
        <v>#REF!</v>
      </c>
      <c r="ER321" t="e">
        <f>AND(#REF!,"AAAAAH5335M=")</f>
        <v>#REF!</v>
      </c>
      <c r="ES321" t="e">
        <f>AND(#REF!,"AAAAAH5335Q=")</f>
        <v>#REF!</v>
      </c>
      <c r="ET321" t="e">
        <f>AND(#REF!,"AAAAAH5335U=")</f>
        <v>#REF!</v>
      </c>
      <c r="EU321" t="e">
        <f>AND(#REF!,"AAAAAH5335Y=")</f>
        <v>#REF!</v>
      </c>
      <c r="EV321" t="e">
        <f>AND(#REF!,"AAAAAH5335c=")</f>
        <v>#REF!</v>
      </c>
      <c r="EW321" t="e">
        <f>AND(#REF!,"AAAAAH5335g=")</f>
        <v>#REF!</v>
      </c>
      <c r="EX321" t="e">
        <f>AND(#REF!,"AAAAAH5335k=")</f>
        <v>#REF!</v>
      </c>
      <c r="EY321" t="e">
        <f>AND(#REF!,"AAAAAH5335o=")</f>
        <v>#REF!</v>
      </c>
      <c r="EZ321" t="e">
        <f>AND(#REF!,"AAAAAH5335s=")</f>
        <v>#REF!</v>
      </c>
      <c r="FA321" t="e">
        <f>AND(#REF!,"AAAAAH5335w=")</f>
        <v>#REF!</v>
      </c>
      <c r="FB321" t="e">
        <f>AND(#REF!,"AAAAAH53350=")</f>
        <v>#REF!</v>
      </c>
      <c r="FC321" t="e">
        <f>AND(#REF!,"AAAAAH53354=")</f>
        <v>#REF!</v>
      </c>
      <c r="FD321" t="e">
        <f>AND(#REF!,"AAAAAH53358=")</f>
        <v>#REF!</v>
      </c>
      <c r="FE321" t="e">
        <f>AND(#REF!,"AAAAAH5336A=")</f>
        <v>#REF!</v>
      </c>
      <c r="FF321" t="e">
        <f>AND(#REF!,"AAAAAH5336E=")</f>
        <v>#REF!</v>
      </c>
      <c r="FG321" t="e">
        <f>AND(#REF!,"AAAAAH5336I=")</f>
        <v>#REF!</v>
      </c>
      <c r="FH321" t="e">
        <f>AND(#REF!,"AAAAAH5336M=")</f>
        <v>#REF!</v>
      </c>
      <c r="FI321" t="e">
        <f>AND(#REF!,"AAAAAH5336Q=")</f>
        <v>#REF!</v>
      </c>
      <c r="FJ321" t="e">
        <f>IF(#REF!,"AAAAAH5336U=",0)</f>
        <v>#REF!</v>
      </c>
      <c r="FK321" t="e">
        <f>AND(#REF!,"AAAAAH5336Y=")</f>
        <v>#REF!</v>
      </c>
      <c r="FL321" t="e">
        <f>AND(#REF!,"AAAAAH5336c=")</f>
        <v>#REF!</v>
      </c>
      <c r="FM321" t="e">
        <f>AND(#REF!,"AAAAAH5336g=")</f>
        <v>#REF!</v>
      </c>
      <c r="FN321" t="e">
        <f>AND(#REF!,"AAAAAH5336k=")</f>
        <v>#REF!</v>
      </c>
      <c r="FO321" t="e">
        <f>AND(#REF!,"AAAAAH5336o=")</f>
        <v>#REF!</v>
      </c>
      <c r="FP321" t="e">
        <f>AND(#REF!,"AAAAAH5336s=")</f>
        <v>#REF!</v>
      </c>
      <c r="FQ321" t="e">
        <f>AND(#REF!,"AAAAAH5336w=")</f>
        <v>#REF!</v>
      </c>
      <c r="FR321" t="e">
        <f>AND(#REF!,"AAAAAH53360=")</f>
        <v>#REF!</v>
      </c>
      <c r="FS321" t="e">
        <f>AND(#REF!,"AAAAAH53364=")</f>
        <v>#REF!</v>
      </c>
      <c r="FT321" t="e">
        <f>AND(#REF!,"AAAAAH53368=")</f>
        <v>#REF!</v>
      </c>
      <c r="FU321" t="e">
        <f>AND(#REF!,"AAAAAH5337A=")</f>
        <v>#REF!</v>
      </c>
      <c r="FV321" t="e">
        <f>AND(#REF!,"AAAAAH5337E=")</f>
        <v>#REF!</v>
      </c>
      <c r="FW321" t="e">
        <f>AND(#REF!,"AAAAAH5337I=")</f>
        <v>#REF!</v>
      </c>
      <c r="FX321" t="e">
        <f>AND(#REF!,"AAAAAH5337M=")</f>
        <v>#REF!</v>
      </c>
      <c r="FY321" t="e">
        <f>AND(#REF!,"AAAAAH5337Q=")</f>
        <v>#REF!</v>
      </c>
      <c r="FZ321" t="e">
        <f>AND(#REF!,"AAAAAH5337U=")</f>
        <v>#REF!</v>
      </c>
      <c r="GA321" t="e">
        <f>AND(#REF!,"AAAAAH5337Y=")</f>
        <v>#REF!</v>
      </c>
      <c r="GB321" t="e">
        <f>AND(#REF!,"AAAAAH5337c=")</f>
        <v>#REF!</v>
      </c>
      <c r="GC321" t="e">
        <f>AND(#REF!,"AAAAAH5337g=")</f>
        <v>#REF!</v>
      </c>
      <c r="GD321" t="e">
        <f>AND(#REF!,"AAAAAH5337k=")</f>
        <v>#REF!</v>
      </c>
      <c r="GE321" t="e">
        <f>AND(#REF!,"AAAAAH5337o=")</f>
        <v>#REF!</v>
      </c>
      <c r="GF321" t="e">
        <f>AND(#REF!,"AAAAAH5337s=")</f>
        <v>#REF!</v>
      </c>
      <c r="GG321" t="e">
        <f>AND(#REF!,"AAAAAH5337w=")</f>
        <v>#REF!</v>
      </c>
      <c r="GH321" t="e">
        <f>AND(#REF!,"AAAAAH53370=")</f>
        <v>#REF!</v>
      </c>
      <c r="GI321" t="e">
        <f>IF(#REF!,"AAAAAH53374=",0)</f>
        <v>#REF!</v>
      </c>
      <c r="GJ321" t="e">
        <f>AND(#REF!,"AAAAAH53378=")</f>
        <v>#REF!</v>
      </c>
      <c r="GK321" t="e">
        <f>AND(#REF!,"AAAAAH5338A=")</f>
        <v>#REF!</v>
      </c>
      <c r="GL321" t="e">
        <f>AND(#REF!,"AAAAAH5338E=")</f>
        <v>#REF!</v>
      </c>
      <c r="GM321" t="e">
        <f>AND(#REF!,"AAAAAH5338I=")</f>
        <v>#REF!</v>
      </c>
      <c r="GN321" t="e">
        <f>AND(#REF!,"AAAAAH5338M=")</f>
        <v>#REF!</v>
      </c>
      <c r="GO321" t="e">
        <f>AND(#REF!,"AAAAAH5338Q=")</f>
        <v>#REF!</v>
      </c>
      <c r="GP321" t="e">
        <f>AND(#REF!,"AAAAAH5338U=")</f>
        <v>#REF!</v>
      </c>
      <c r="GQ321" t="e">
        <f>AND(#REF!,"AAAAAH5338Y=")</f>
        <v>#REF!</v>
      </c>
      <c r="GR321" t="e">
        <f>AND(#REF!,"AAAAAH5338c=")</f>
        <v>#REF!</v>
      </c>
      <c r="GS321" t="e">
        <f>AND(#REF!,"AAAAAH5338g=")</f>
        <v>#REF!</v>
      </c>
      <c r="GT321" t="e">
        <f>AND(#REF!,"AAAAAH5338k=")</f>
        <v>#REF!</v>
      </c>
      <c r="GU321" t="e">
        <f>AND(#REF!,"AAAAAH5338o=")</f>
        <v>#REF!</v>
      </c>
      <c r="GV321" t="e">
        <f>AND(#REF!,"AAAAAH5338s=")</f>
        <v>#REF!</v>
      </c>
      <c r="GW321" t="e">
        <f>AND(#REF!,"AAAAAH5338w=")</f>
        <v>#REF!</v>
      </c>
      <c r="GX321" t="e">
        <f>AND(#REF!,"AAAAAH53380=")</f>
        <v>#REF!</v>
      </c>
      <c r="GY321" t="e">
        <f>AND(#REF!,"AAAAAH53384=")</f>
        <v>#REF!</v>
      </c>
      <c r="GZ321" t="e">
        <f>AND(#REF!,"AAAAAH53388=")</f>
        <v>#REF!</v>
      </c>
      <c r="HA321" t="e">
        <f>AND(#REF!,"AAAAAH5339A=")</f>
        <v>#REF!</v>
      </c>
      <c r="HB321" t="e">
        <f>AND(#REF!,"AAAAAH5339E=")</f>
        <v>#REF!</v>
      </c>
      <c r="HC321" t="e">
        <f>AND(#REF!,"AAAAAH5339I=")</f>
        <v>#REF!</v>
      </c>
      <c r="HD321" t="e">
        <f>AND(#REF!,"AAAAAH5339M=")</f>
        <v>#REF!</v>
      </c>
      <c r="HE321" t="e">
        <f>AND(#REF!,"AAAAAH5339Q=")</f>
        <v>#REF!</v>
      </c>
      <c r="HF321" t="e">
        <f>AND(#REF!,"AAAAAH5339U=")</f>
        <v>#REF!</v>
      </c>
      <c r="HG321" t="e">
        <f>AND(#REF!,"AAAAAH5339Y=")</f>
        <v>#REF!</v>
      </c>
      <c r="HH321" t="e">
        <f>IF(#REF!,"AAAAAH5339c=",0)</f>
        <v>#REF!</v>
      </c>
      <c r="HI321" t="e">
        <f>AND(#REF!,"AAAAAH5339g=")</f>
        <v>#REF!</v>
      </c>
      <c r="HJ321" t="e">
        <f>AND(#REF!,"AAAAAH5339k=")</f>
        <v>#REF!</v>
      </c>
      <c r="HK321" t="e">
        <f>AND(#REF!,"AAAAAH5339o=")</f>
        <v>#REF!</v>
      </c>
      <c r="HL321" t="e">
        <f>AND(#REF!,"AAAAAH5339s=")</f>
        <v>#REF!</v>
      </c>
      <c r="HM321" t="e">
        <f>AND(#REF!,"AAAAAH5339w=")</f>
        <v>#REF!</v>
      </c>
      <c r="HN321" t="e">
        <f>AND(#REF!,"AAAAAH53390=")</f>
        <v>#REF!</v>
      </c>
      <c r="HO321" t="e">
        <f>AND(#REF!,"AAAAAH53394=")</f>
        <v>#REF!</v>
      </c>
      <c r="HP321" t="e">
        <f>AND(#REF!,"AAAAAH53398=")</f>
        <v>#REF!</v>
      </c>
      <c r="HQ321" t="e">
        <f>AND(#REF!,"AAAAAH533+A=")</f>
        <v>#REF!</v>
      </c>
      <c r="HR321" t="e">
        <f>AND(#REF!,"AAAAAH533+E=")</f>
        <v>#REF!</v>
      </c>
      <c r="HS321" t="e">
        <f>AND(#REF!,"AAAAAH533+I=")</f>
        <v>#REF!</v>
      </c>
      <c r="HT321" t="e">
        <f>AND(#REF!,"AAAAAH533+M=")</f>
        <v>#REF!</v>
      </c>
      <c r="HU321" t="e">
        <f>AND(#REF!,"AAAAAH533+Q=")</f>
        <v>#REF!</v>
      </c>
      <c r="HV321" t="e">
        <f>AND(#REF!,"AAAAAH533+U=")</f>
        <v>#REF!</v>
      </c>
      <c r="HW321" t="e">
        <f>AND(#REF!,"AAAAAH533+Y=")</f>
        <v>#REF!</v>
      </c>
      <c r="HX321" t="e">
        <f>AND(#REF!,"AAAAAH533+c=")</f>
        <v>#REF!</v>
      </c>
      <c r="HY321" t="e">
        <f>AND(#REF!,"AAAAAH533+g=")</f>
        <v>#REF!</v>
      </c>
      <c r="HZ321" t="e">
        <f>AND(#REF!,"AAAAAH533+k=")</f>
        <v>#REF!</v>
      </c>
      <c r="IA321" t="e">
        <f>AND(#REF!,"AAAAAH533+o=")</f>
        <v>#REF!</v>
      </c>
      <c r="IB321" t="e">
        <f>AND(#REF!,"AAAAAH533+s=")</f>
        <v>#REF!</v>
      </c>
      <c r="IC321" t="e">
        <f>AND(#REF!,"AAAAAH533+w=")</f>
        <v>#REF!</v>
      </c>
      <c r="ID321" t="e">
        <f>AND(#REF!,"AAAAAH533+0=")</f>
        <v>#REF!</v>
      </c>
      <c r="IE321" t="e">
        <f>AND(#REF!,"AAAAAH533+4=")</f>
        <v>#REF!</v>
      </c>
      <c r="IF321" t="e">
        <f>AND(#REF!,"AAAAAH533+8=")</f>
        <v>#REF!</v>
      </c>
      <c r="IG321" t="e">
        <f>IF(#REF!,"AAAAAH533/A=",0)</f>
        <v>#REF!</v>
      </c>
      <c r="IH321" t="e">
        <f>AND(#REF!,"AAAAAH533/E=")</f>
        <v>#REF!</v>
      </c>
      <c r="II321" t="e">
        <f>AND(#REF!,"AAAAAH533/I=")</f>
        <v>#REF!</v>
      </c>
      <c r="IJ321" t="e">
        <f>AND(#REF!,"AAAAAH533/M=")</f>
        <v>#REF!</v>
      </c>
      <c r="IK321" t="e">
        <f>AND(#REF!,"AAAAAH533/Q=")</f>
        <v>#REF!</v>
      </c>
      <c r="IL321" t="e">
        <f>AND(#REF!,"AAAAAH533/U=")</f>
        <v>#REF!</v>
      </c>
      <c r="IM321" t="e">
        <f>AND(#REF!,"AAAAAH533/Y=")</f>
        <v>#REF!</v>
      </c>
      <c r="IN321" t="e">
        <f>AND(#REF!,"AAAAAH533/c=")</f>
        <v>#REF!</v>
      </c>
      <c r="IO321" t="e">
        <f>AND(#REF!,"AAAAAH533/g=")</f>
        <v>#REF!</v>
      </c>
      <c r="IP321" t="e">
        <f>AND(#REF!,"AAAAAH533/k=")</f>
        <v>#REF!</v>
      </c>
      <c r="IQ321" t="e">
        <f>AND(#REF!,"AAAAAH533/o=")</f>
        <v>#REF!</v>
      </c>
      <c r="IR321" t="e">
        <f>AND(#REF!,"AAAAAH533/s=")</f>
        <v>#REF!</v>
      </c>
      <c r="IS321" t="e">
        <f>AND(#REF!,"AAAAAH533/w=")</f>
        <v>#REF!</v>
      </c>
      <c r="IT321" t="e">
        <f>AND(#REF!,"AAAAAH533/0=")</f>
        <v>#REF!</v>
      </c>
      <c r="IU321" t="e">
        <f>AND(#REF!,"AAAAAH533/4=")</f>
        <v>#REF!</v>
      </c>
      <c r="IV321" t="e">
        <f>AND(#REF!,"AAAAAH533/8=")</f>
        <v>#REF!</v>
      </c>
    </row>
    <row r="322" spans="1:256">
      <c r="A322" t="e">
        <f>AND(#REF!,"AAAAADbb7AA=")</f>
        <v>#REF!</v>
      </c>
      <c r="B322" t="e">
        <f>AND(#REF!,"AAAAADbb7AE=")</f>
        <v>#REF!</v>
      </c>
      <c r="C322" t="e">
        <f>AND(#REF!,"AAAAADbb7AI=")</f>
        <v>#REF!</v>
      </c>
      <c r="D322" t="e">
        <f>AND(#REF!,"AAAAADbb7AM=")</f>
        <v>#REF!</v>
      </c>
      <c r="E322" t="e">
        <f>AND(#REF!,"AAAAADbb7AQ=")</f>
        <v>#REF!</v>
      </c>
      <c r="F322" t="e">
        <f>AND(#REF!,"AAAAADbb7AU=")</f>
        <v>#REF!</v>
      </c>
      <c r="G322" t="e">
        <f>AND(#REF!,"AAAAADbb7AY=")</f>
        <v>#REF!</v>
      </c>
      <c r="H322" t="e">
        <f>AND(#REF!,"AAAAADbb7Ac=")</f>
        <v>#REF!</v>
      </c>
      <c r="I322" t="e">
        <f>AND(#REF!,"AAAAADbb7Ag=")</f>
        <v>#REF!</v>
      </c>
      <c r="J322" t="e">
        <f>IF(#REF!,"AAAAADbb7Ak=",0)</f>
        <v>#REF!</v>
      </c>
      <c r="K322" t="e">
        <f>AND(#REF!,"AAAAADbb7Ao=")</f>
        <v>#REF!</v>
      </c>
      <c r="L322" t="e">
        <f>AND(#REF!,"AAAAADbb7As=")</f>
        <v>#REF!</v>
      </c>
      <c r="M322" t="e">
        <f>AND(#REF!,"AAAAADbb7Aw=")</f>
        <v>#REF!</v>
      </c>
      <c r="N322" t="e">
        <f>AND(#REF!,"AAAAADbb7A0=")</f>
        <v>#REF!</v>
      </c>
      <c r="O322" t="e">
        <f>AND(#REF!,"AAAAADbb7A4=")</f>
        <v>#REF!</v>
      </c>
      <c r="P322" t="e">
        <f>AND(#REF!,"AAAAADbb7A8=")</f>
        <v>#REF!</v>
      </c>
      <c r="Q322" t="e">
        <f>AND(#REF!,"AAAAADbb7BA=")</f>
        <v>#REF!</v>
      </c>
      <c r="R322" t="e">
        <f>AND(#REF!,"AAAAADbb7BE=")</f>
        <v>#REF!</v>
      </c>
      <c r="S322" t="e">
        <f>AND(#REF!,"AAAAADbb7BI=")</f>
        <v>#REF!</v>
      </c>
      <c r="T322" t="e">
        <f>AND(#REF!,"AAAAADbb7BM=")</f>
        <v>#REF!</v>
      </c>
      <c r="U322" t="e">
        <f>AND(#REF!,"AAAAADbb7BQ=")</f>
        <v>#REF!</v>
      </c>
      <c r="V322" t="e">
        <f>AND(#REF!,"AAAAADbb7BU=")</f>
        <v>#REF!</v>
      </c>
      <c r="W322" t="e">
        <f>AND(#REF!,"AAAAADbb7BY=")</f>
        <v>#REF!</v>
      </c>
      <c r="X322" t="e">
        <f>AND(#REF!,"AAAAADbb7Bc=")</f>
        <v>#REF!</v>
      </c>
      <c r="Y322" t="e">
        <f>AND(#REF!,"AAAAADbb7Bg=")</f>
        <v>#REF!</v>
      </c>
      <c r="Z322" t="e">
        <f>AND(#REF!,"AAAAADbb7Bk=")</f>
        <v>#REF!</v>
      </c>
      <c r="AA322" t="e">
        <f>AND(#REF!,"AAAAADbb7Bo=")</f>
        <v>#REF!</v>
      </c>
      <c r="AB322" t="e">
        <f>AND(#REF!,"AAAAADbb7Bs=")</f>
        <v>#REF!</v>
      </c>
      <c r="AC322" t="e">
        <f>AND(#REF!,"AAAAADbb7Bw=")</f>
        <v>#REF!</v>
      </c>
      <c r="AD322" t="e">
        <f>AND(#REF!,"AAAAADbb7B0=")</f>
        <v>#REF!</v>
      </c>
      <c r="AE322" t="e">
        <f>AND(#REF!,"AAAAADbb7B4=")</f>
        <v>#REF!</v>
      </c>
      <c r="AF322" t="e">
        <f>AND(#REF!,"AAAAADbb7B8=")</f>
        <v>#REF!</v>
      </c>
      <c r="AG322" t="e">
        <f>AND(#REF!,"AAAAADbb7CA=")</f>
        <v>#REF!</v>
      </c>
      <c r="AH322" t="e">
        <f>AND(#REF!,"AAAAADbb7CE=")</f>
        <v>#REF!</v>
      </c>
      <c r="AI322" t="e">
        <f>IF(#REF!,"AAAAADbb7CI=",0)</f>
        <v>#REF!</v>
      </c>
      <c r="AJ322" t="e">
        <f>AND(#REF!,"AAAAADbb7CM=")</f>
        <v>#REF!</v>
      </c>
      <c r="AK322" t="e">
        <f>AND(#REF!,"AAAAADbb7CQ=")</f>
        <v>#REF!</v>
      </c>
      <c r="AL322" t="e">
        <f>AND(#REF!,"AAAAADbb7CU=")</f>
        <v>#REF!</v>
      </c>
      <c r="AM322" t="e">
        <f>AND(#REF!,"AAAAADbb7CY=")</f>
        <v>#REF!</v>
      </c>
      <c r="AN322" t="e">
        <f>AND(#REF!,"AAAAADbb7Cc=")</f>
        <v>#REF!</v>
      </c>
      <c r="AO322" t="e">
        <f>AND(#REF!,"AAAAADbb7Cg=")</f>
        <v>#REF!</v>
      </c>
      <c r="AP322" t="e">
        <f>AND(#REF!,"AAAAADbb7Ck=")</f>
        <v>#REF!</v>
      </c>
      <c r="AQ322" t="e">
        <f>AND(#REF!,"AAAAADbb7Co=")</f>
        <v>#REF!</v>
      </c>
      <c r="AR322" t="e">
        <f>AND(#REF!,"AAAAADbb7Cs=")</f>
        <v>#REF!</v>
      </c>
      <c r="AS322" t="e">
        <f>AND(#REF!,"AAAAADbb7Cw=")</f>
        <v>#REF!</v>
      </c>
      <c r="AT322" t="e">
        <f>AND(#REF!,"AAAAADbb7C0=")</f>
        <v>#REF!</v>
      </c>
      <c r="AU322" t="e">
        <f>AND(#REF!,"AAAAADbb7C4=")</f>
        <v>#REF!</v>
      </c>
      <c r="AV322" t="e">
        <f>AND(#REF!,"AAAAADbb7C8=")</f>
        <v>#REF!</v>
      </c>
      <c r="AW322" t="e">
        <f>AND(#REF!,"AAAAADbb7DA=")</f>
        <v>#REF!</v>
      </c>
      <c r="AX322" t="e">
        <f>AND(#REF!,"AAAAADbb7DE=")</f>
        <v>#REF!</v>
      </c>
      <c r="AY322" t="e">
        <f>AND(#REF!,"AAAAADbb7DI=")</f>
        <v>#REF!</v>
      </c>
      <c r="AZ322" t="e">
        <f>AND(#REF!,"AAAAADbb7DM=")</f>
        <v>#REF!</v>
      </c>
      <c r="BA322" t="e">
        <f>AND(#REF!,"AAAAADbb7DQ=")</f>
        <v>#REF!</v>
      </c>
      <c r="BB322" t="e">
        <f>AND(#REF!,"AAAAADbb7DU=")</f>
        <v>#REF!</v>
      </c>
      <c r="BC322" t="e">
        <f>AND(#REF!,"AAAAADbb7DY=")</f>
        <v>#REF!</v>
      </c>
      <c r="BD322" t="e">
        <f>AND(#REF!,"AAAAADbb7Dc=")</f>
        <v>#REF!</v>
      </c>
      <c r="BE322" t="e">
        <f>AND(#REF!,"AAAAADbb7Dg=")</f>
        <v>#REF!</v>
      </c>
      <c r="BF322" t="e">
        <f>AND(#REF!,"AAAAADbb7Dk=")</f>
        <v>#REF!</v>
      </c>
      <c r="BG322" t="e">
        <f>AND(#REF!,"AAAAADbb7Do=")</f>
        <v>#REF!</v>
      </c>
      <c r="BH322" t="e">
        <f>IF(#REF!,"AAAAADbb7Ds=",0)</f>
        <v>#REF!</v>
      </c>
      <c r="BI322" t="e">
        <f>AND(#REF!,"AAAAADbb7Dw=")</f>
        <v>#REF!</v>
      </c>
      <c r="BJ322" t="e">
        <f>AND(#REF!,"AAAAADbb7D0=")</f>
        <v>#REF!</v>
      </c>
      <c r="BK322" t="e">
        <f>AND(#REF!,"AAAAADbb7D4=")</f>
        <v>#REF!</v>
      </c>
      <c r="BL322" t="e">
        <f>AND(#REF!,"AAAAADbb7D8=")</f>
        <v>#REF!</v>
      </c>
      <c r="BM322" t="e">
        <f>AND(#REF!,"AAAAADbb7EA=")</f>
        <v>#REF!</v>
      </c>
      <c r="BN322" t="e">
        <f>AND(#REF!,"AAAAADbb7EE=")</f>
        <v>#REF!</v>
      </c>
      <c r="BO322" t="e">
        <f>AND(#REF!,"AAAAADbb7EI=")</f>
        <v>#REF!</v>
      </c>
      <c r="BP322" t="e">
        <f>AND(#REF!,"AAAAADbb7EM=")</f>
        <v>#REF!</v>
      </c>
      <c r="BQ322" t="e">
        <f>AND(#REF!,"AAAAADbb7EQ=")</f>
        <v>#REF!</v>
      </c>
      <c r="BR322" t="e">
        <f>AND(#REF!,"AAAAADbb7EU=")</f>
        <v>#REF!</v>
      </c>
      <c r="BS322" t="e">
        <f>AND(#REF!,"AAAAADbb7EY=")</f>
        <v>#REF!</v>
      </c>
      <c r="BT322" t="e">
        <f>AND(#REF!,"AAAAADbb7Ec=")</f>
        <v>#REF!</v>
      </c>
      <c r="BU322" t="e">
        <f>AND(#REF!,"AAAAADbb7Eg=")</f>
        <v>#REF!</v>
      </c>
      <c r="BV322" t="e">
        <f>AND(#REF!,"AAAAADbb7Ek=")</f>
        <v>#REF!</v>
      </c>
      <c r="BW322" t="e">
        <f>AND(#REF!,"AAAAADbb7Eo=")</f>
        <v>#REF!</v>
      </c>
      <c r="BX322" t="e">
        <f>AND(#REF!,"AAAAADbb7Es=")</f>
        <v>#REF!</v>
      </c>
      <c r="BY322" t="e">
        <f>AND(#REF!,"AAAAADbb7Ew=")</f>
        <v>#REF!</v>
      </c>
      <c r="BZ322" t="e">
        <f>AND(#REF!,"AAAAADbb7E0=")</f>
        <v>#REF!</v>
      </c>
      <c r="CA322" t="e">
        <f>AND(#REF!,"AAAAADbb7E4=")</f>
        <v>#REF!</v>
      </c>
      <c r="CB322" t="e">
        <f>AND(#REF!,"AAAAADbb7E8=")</f>
        <v>#REF!</v>
      </c>
      <c r="CC322" t="e">
        <f>AND(#REF!,"AAAAADbb7FA=")</f>
        <v>#REF!</v>
      </c>
      <c r="CD322" t="e">
        <f>AND(#REF!,"AAAAADbb7FE=")</f>
        <v>#REF!</v>
      </c>
      <c r="CE322" t="e">
        <f>AND(#REF!,"AAAAADbb7FI=")</f>
        <v>#REF!</v>
      </c>
      <c r="CF322" t="e">
        <f>AND(#REF!,"AAAAADbb7FM=")</f>
        <v>#REF!</v>
      </c>
      <c r="CG322" t="e">
        <f>IF(#REF!,"AAAAADbb7FQ=",0)</f>
        <v>#REF!</v>
      </c>
      <c r="CH322" t="e">
        <f>AND(#REF!,"AAAAADbb7FU=")</f>
        <v>#REF!</v>
      </c>
      <c r="CI322" t="e">
        <f>AND(#REF!,"AAAAADbb7FY=")</f>
        <v>#REF!</v>
      </c>
      <c r="CJ322" t="e">
        <f>AND(#REF!,"AAAAADbb7Fc=")</f>
        <v>#REF!</v>
      </c>
      <c r="CK322" t="e">
        <f>AND(#REF!,"AAAAADbb7Fg=")</f>
        <v>#REF!</v>
      </c>
      <c r="CL322" t="e">
        <f>AND(#REF!,"AAAAADbb7Fk=")</f>
        <v>#REF!</v>
      </c>
      <c r="CM322" t="e">
        <f>AND(#REF!,"AAAAADbb7Fo=")</f>
        <v>#REF!</v>
      </c>
      <c r="CN322" t="e">
        <f>AND(#REF!,"AAAAADbb7Fs=")</f>
        <v>#REF!</v>
      </c>
      <c r="CO322" t="e">
        <f>AND(#REF!,"AAAAADbb7Fw=")</f>
        <v>#REF!</v>
      </c>
      <c r="CP322" t="e">
        <f>AND(#REF!,"AAAAADbb7F0=")</f>
        <v>#REF!</v>
      </c>
      <c r="CQ322" t="e">
        <f>AND(#REF!,"AAAAADbb7F4=")</f>
        <v>#REF!</v>
      </c>
      <c r="CR322" t="e">
        <f>AND(#REF!,"AAAAADbb7F8=")</f>
        <v>#REF!</v>
      </c>
      <c r="CS322" t="e">
        <f>AND(#REF!,"AAAAADbb7GA=")</f>
        <v>#REF!</v>
      </c>
      <c r="CT322" t="e">
        <f>AND(#REF!,"AAAAADbb7GE=")</f>
        <v>#REF!</v>
      </c>
      <c r="CU322" t="e">
        <f>AND(#REF!,"AAAAADbb7GI=")</f>
        <v>#REF!</v>
      </c>
      <c r="CV322" t="e">
        <f>AND(#REF!,"AAAAADbb7GM=")</f>
        <v>#REF!</v>
      </c>
      <c r="CW322" t="e">
        <f>AND(#REF!,"AAAAADbb7GQ=")</f>
        <v>#REF!</v>
      </c>
      <c r="CX322" t="e">
        <f>AND(#REF!,"AAAAADbb7GU=")</f>
        <v>#REF!</v>
      </c>
      <c r="CY322" t="e">
        <f>AND(#REF!,"AAAAADbb7GY=")</f>
        <v>#REF!</v>
      </c>
      <c r="CZ322" t="e">
        <f>AND(#REF!,"AAAAADbb7Gc=")</f>
        <v>#REF!</v>
      </c>
      <c r="DA322" t="e">
        <f>AND(#REF!,"AAAAADbb7Gg=")</f>
        <v>#REF!</v>
      </c>
      <c r="DB322" t="e">
        <f>AND(#REF!,"AAAAADbb7Gk=")</f>
        <v>#REF!</v>
      </c>
      <c r="DC322" t="e">
        <f>AND(#REF!,"AAAAADbb7Go=")</f>
        <v>#REF!</v>
      </c>
      <c r="DD322" t="e">
        <f>AND(#REF!,"AAAAADbb7Gs=")</f>
        <v>#REF!</v>
      </c>
      <c r="DE322" t="e">
        <f>AND(#REF!,"AAAAADbb7Gw=")</f>
        <v>#REF!</v>
      </c>
      <c r="DF322" t="e">
        <f>IF(#REF!,"AAAAADbb7G0=",0)</f>
        <v>#REF!</v>
      </c>
      <c r="DG322" t="e">
        <f>AND(#REF!,"AAAAADbb7G4=")</f>
        <v>#REF!</v>
      </c>
      <c r="DH322" t="e">
        <f>AND(#REF!,"AAAAADbb7G8=")</f>
        <v>#REF!</v>
      </c>
      <c r="DI322" t="e">
        <f>AND(#REF!,"AAAAADbb7HA=")</f>
        <v>#REF!</v>
      </c>
      <c r="DJ322" t="e">
        <f>AND(#REF!,"AAAAADbb7HE=")</f>
        <v>#REF!</v>
      </c>
      <c r="DK322" t="e">
        <f>AND(#REF!,"AAAAADbb7HI=")</f>
        <v>#REF!</v>
      </c>
      <c r="DL322" t="e">
        <f>AND(#REF!,"AAAAADbb7HM=")</f>
        <v>#REF!</v>
      </c>
      <c r="DM322" t="e">
        <f>AND(#REF!,"AAAAADbb7HQ=")</f>
        <v>#REF!</v>
      </c>
      <c r="DN322" t="e">
        <f>AND(#REF!,"AAAAADbb7HU=")</f>
        <v>#REF!</v>
      </c>
      <c r="DO322" t="e">
        <f>AND(#REF!,"AAAAADbb7HY=")</f>
        <v>#REF!</v>
      </c>
      <c r="DP322" t="e">
        <f>AND(#REF!,"AAAAADbb7Hc=")</f>
        <v>#REF!</v>
      </c>
      <c r="DQ322" t="e">
        <f>AND(#REF!,"AAAAADbb7Hg=")</f>
        <v>#REF!</v>
      </c>
      <c r="DR322" t="e">
        <f>AND(#REF!,"AAAAADbb7Hk=")</f>
        <v>#REF!</v>
      </c>
      <c r="DS322" t="e">
        <f>AND(#REF!,"AAAAADbb7Ho=")</f>
        <v>#REF!</v>
      </c>
      <c r="DT322" t="e">
        <f>AND(#REF!,"AAAAADbb7Hs=")</f>
        <v>#REF!</v>
      </c>
      <c r="DU322" t="e">
        <f>AND(#REF!,"AAAAADbb7Hw=")</f>
        <v>#REF!</v>
      </c>
      <c r="DV322" t="e">
        <f>AND(#REF!,"AAAAADbb7H0=")</f>
        <v>#REF!</v>
      </c>
      <c r="DW322" t="e">
        <f>AND(#REF!,"AAAAADbb7H4=")</f>
        <v>#REF!</v>
      </c>
      <c r="DX322" t="e">
        <f>AND(#REF!,"AAAAADbb7H8=")</f>
        <v>#REF!</v>
      </c>
      <c r="DY322" t="e">
        <f>AND(#REF!,"AAAAADbb7IA=")</f>
        <v>#REF!</v>
      </c>
      <c r="DZ322" t="e">
        <f>AND(#REF!,"AAAAADbb7IE=")</f>
        <v>#REF!</v>
      </c>
      <c r="EA322" t="e">
        <f>AND(#REF!,"AAAAADbb7II=")</f>
        <v>#REF!</v>
      </c>
      <c r="EB322" t="e">
        <f>AND(#REF!,"AAAAADbb7IM=")</f>
        <v>#REF!</v>
      </c>
      <c r="EC322" t="e">
        <f>AND(#REF!,"AAAAADbb7IQ=")</f>
        <v>#REF!</v>
      </c>
      <c r="ED322" t="e">
        <f>AND(#REF!,"AAAAADbb7IU=")</f>
        <v>#REF!</v>
      </c>
      <c r="EE322" t="e">
        <f>IF(#REF!,"AAAAADbb7IY=",0)</f>
        <v>#REF!</v>
      </c>
      <c r="EF322" t="e">
        <f>AND(#REF!,"AAAAADbb7Ic=")</f>
        <v>#REF!</v>
      </c>
      <c r="EG322" t="e">
        <f>AND(#REF!,"AAAAADbb7Ig=")</f>
        <v>#REF!</v>
      </c>
      <c r="EH322" t="e">
        <f>AND(#REF!,"AAAAADbb7Ik=")</f>
        <v>#REF!</v>
      </c>
      <c r="EI322" t="e">
        <f>AND(#REF!,"AAAAADbb7Io=")</f>
        <v>#REF!</v>
      </c>
      <c r="EJ322" t="e">
        <f>AND(#REF!,"AAAAADbb7Is=")</f>
        <v>#REF!</v>
      </c>
      <c r="EK322" t="e">
        <f>AND(#REF!,"AAAAADbb7Iw=")</f>
        <v>#REF!</v>
      </c>
      <c r="EL322" t="e">
        <f>AND(#REF!,"AAAAADbb7I0=")</f>
        <v>#REF!</v>
      </c>
      <c r="EM322" t="e">
        <f>AND(#REF!,"AAAAADbb7I4=")</f>
        <v>#REF!</v>
      </c>
      <c r="EN322" t="e">
        <f>AND(#REF!,"AAAAADbb7I8=")</f>
        <v>#REF!</v>
      </c>
      <c r="EO322" t="e">
        <f>AND(#REF!,"AAAAADbb7JA=")</f>
        <v>#REF!</v>
      </c>
      <c r="EP322" t="e">
        <f>AND(#REF!,"AAAAADbb7JE=")</f>
        <v>#REF!</v>
      </c>
      <c r="EQ322" t="e">
        <f>AND(#REF!,"AAAAADbb7JI=")</f>
        <v>#REF!</v>
      </c>
      <c r="ER322" t="e">
        <f>AND(#REF!,"AAAAADbb7JM=")</f>
        <v>#REF!</v>
      </c>
      <c r="ES322" t="e">
        <f>AND(#REF!,"AAAAADbb7JQ=")</f>
        <v>#REF!</v>
      </c>
      <c r="ET322" t="e">
        <f>AND(#REF!,"AAAAADbb7JU=")</f>
        <v>#REF!</v>
      </c>
      <c r="EU322" t="e">
        <f>AND(#REF!,"AAAAADbb7JY=")</f>
        <v>#REF!</v>
      </c>
      <c r="EV322" t="e">
        <f>AND(#REF!,"AAAAADbb7Jc=")</f>
        <v>#REF!</v>
      </c>
      <c r="EW322" t="e">
        <f>AND(#REF!,"AAAAADbb7Jg=")</f>
        <v>#REF!</v>
      </c>
      <c r="EX322" t="e">
        <f>AND(#REF!,"AAAAADbb7Jk=")</f>
        <v>#REF!</v>
      </c>
      <c r="EY322" t="e">
        <f>AND(#REF!,"AAAAADbb7Jo=")</f>
        <v>#REF!</v>
      </c>
      <c r="EZ322" t="e">
        <f>AND(#REF!,"AAAAADbb7Js=")</f>
        <v>#REF!</v>
      </c>
      <c r="FA322" t="e">
        <f>AND(#REF!,"AAAAADbb7Jw=")</f>
        <v>#REF!</v>
      </c>
      <c r="FB322" t="e">
        <f>AND(#REF!,"AAAAADbb7J0=")</f>
        <v>#REF!</v>
      </c>
      <c r="FC322" t="e">
        <f>AND(#REF!,"AAAAADbb7J4=")</f>
        <v>#REF!</v>
      </c>
      <c r="FD322" t="e">
        <f>IF(#REF!,"AAAAADbb7J8=",0)</f>
        <v>#REF!</v>
      </c>
      <c r="FE322" t="e">
        <f>AND(#REF!,"AAAAADbb7KA=")</f>
        <v>#REF!</v>
      </c>
      <c r="FF322" t="e">
        <f>AND(#REF!,"AAAAADbb7KE=")</f>
        <v>#REF!</v>
      </c>
      <c r="FG322" t="e">
        <f>AND(#REF!,"AAAAADbb7KI=")</f>
        <v>#REF!</v>
      </c>
      <c r="FH322" t="e">
        <f>AND(#REF!,"AAAAADbb7KM=")</f>
        <v>#REF!</v>
      </c>
      <c r="FI322" t="e">
        <f>AND(#REF!,"AAAAADbb7KQ=")</f>
        <v>#REF!</v>
      </c>
      <c r="FJ322" t="e">
        <f>AND(#REF!,"AAAAADbb7KU=")</f>
        <v>#REF!</v>
      </c>
      <c r="FK322" t="e">
        <f>AND(#REF!,"AAAAADbb7KY=")</f>
        <v>#REF!</v>
      </c>
      <c r="FL322" t="e">
        <f>AND(#REF!,"AAAAADbb7Kc=")</f>
        <v>#REF!</v>
      </c>
      <c r="FM322" t="e">
        <f>AND(#REF!,"AAAAADbb7Kg=")</f>
        <v>#REF!</v>
      </c>
      <c r="FN322" t="e">
        <f>AND(#REF!,"AAAAADbb7Kk=")</f>
        <v>#REF!</v>
      </c>
      <c r="FO322" t="e">
        <f>AND(#REF!,"AAAAADbb7Ko=")</f>
        <v>#REF!</v>
      </c>
      <c r="FP322" t="e">
        <f>AND(#REF!,"AAAAADbb7Ks=")</f>
        <v>#REF!</v>
      </c>
      <c r="FQ322" t="e">
        <f>AND(#REF!,"AAAAADbb7Kw=")</f>
        <v>#REF!</v>
      </c>
      <c r="FR322" t="e">
        <f>AND(#REF!,"AAAAADbb7K0=")</f>
        <v>#REF!</v>
      </c>
      <c r="FS322" t="e">
        <f>AND(#REF!,"AAAAADbb7K4=")</f>
        <v>#REF!</v>
      </c>
      <c r="FT322" t="e">
        <f>AND(#REF!,"AAAAADbb7K8=")</f>
        <v>#REF!</v>
      </c>
      <c r="FU322" t="e">
        <f>AND(#REF!,"AAAAADbb7LA=")</f>
        <v>#REF!</v>
      </c>
      <c r="FV322" t="e">
        <f>AND(#REF!,"AAAAADbb7LE=")</f>
        <v>#REF!</v>
      </c>
      <c r="FW322" t="e">
        <f>AND(#REF!,"AAAAADbb7LI=")</f>
        <v>#REF!</v>
      </c>
      <c r="FX322" t="e">
        <f>AND(#REF!,"AAAAADbb7LM=")</f>
        <v>#REF!</v>
      </c>
      <c r="FY322" t="e">
        <f>AND(#REF!,"AAAAADbb7LQ=")</f>
        <v>#REF!</v>
      </c>
      <c r="FZ322" t="e">
        <f>AND(#REF!,"AAAAADbb7LU=")</f>
        <v>#REF!</v>
      </c>
      <c r="GA322" t="e">
        <f>AND(#REF!,"AAAAADbb7LY=")</f>
        <v>#REF!</v>
      </c>
      <c r="GB322" t="e">
        <f>AND(#REF!,"AAAAADbb7Lc=")</f>
        <v>#REF!</v>
      </c>
      <c r="GC322" t="e">
        <f>IF(#REF!,"AAAAADbb7Lg=",0)</f>
        <v>#REF!</v>
      </c>
      <c r="GD322" t="e">
        <f>AND(#REF!,"AAAAADbb7Lk=")</f>
        <v>#REF!</v>
      </c>
      <c r="GE322" t="e">
        <f>AND(#REF!,"AAAAADbb7Lo=")</f>
        <v>#REF!</v>
      </c>
      <c r="GF322" t="e">
        <f>AND(#REF!,"AAAAADbb7Ls=")</f>
        <v>#REF!</v>
      </c>
      <c r="GG322" t="e">
        <f>AND(#REF!,"AAAAADbb7Lw=")</f>
        <v>#REF!</v>
      </c>
      <c r="GH322" t="e">
        <f>AND(#REF!,"AAAAADbb7L0=")</f>
        <v>#REF!</v>
      </c>
      <c r="GI322" t="e">
        <f>AND(#REF!,"AAAAADbb7L4=")</f>
        <v>#REF!</v>
      </c>
      <c r="GJ322" t="e">
        <f>AND(#REF!,"AAAAADbb7L8=")</f>
        <v>#REF!</v>
      </c>
      <c r="GK322" t="e">
        <f>AND(#REF!,"AAAAADbb7MA=")</f>
        <v>#REF!</v>
      </c>
      <c r="GL322" t="e">
        <f>AND(#REF!,"AAAAADbb7ME=")</f>
        <v>#REF!</v>
      </c>
      <c r="GM322" t="e">
        <f>AND(#REF!,"AAAAADbb7MI=")</f>
        <v>#REF!</v>
      </c>
      <c r="GN322" t="e">
        <f>AND(#REF!,"AAAAADbb7MM=")</f>
        <v>#REF!</v>
      </c>
      <c r="GO322" t="e">
        <f>AND(#REF!,"AAAAADbb7MQ=")</f>
        <v>#REF!</v>
      </c>
      <c r="GP322" t="e">
        <f>AND(#REF!,"AAAAADbb7MU=")</f>
        <v>#REF!</v>
      </c>
      <c r="GQ322" t="e">
        <f>AND(#REF!,"AAAAADbb7MY=")</f>
        <v>#REF!</v>
      </c>
      <c r="GR322" t="e">
        <f>AND(#REF!,"AAAAADbb7Mc=")</f>
        <v>#REF!</v>
      </c>
      <c r="GS322" t="e">
        <f>AND(#REF!,"AAAAADbb7Mg=")</f>
        <v>#REF!</v>
      </c>
      <c r="GT322" t="e">
        <f>AND(#REF!,"AAAAADbb7Mk=")</f>
        <v>#REF!</v>
      </c>
      <c r="GU322" t="e">
        <f>AND(#REF!,"AAAAADbb7Mo=")</f>
        <v>#REF!</v>
      </c>
      <c r="GV322" t="e">
        <f>AND(#REF!,"AAAAADbb7Ms=")</f>
        <v>#REF!</v>
      </c>
      <c r="GW322" t="e">
        <f>AND(#REF!,"AAAAADbb7Mw=")</f>
        <v>#REF!</v>
      </c>
      <c r="GX322" t="e">
        <f>AND(#REF!,"AAAAADbb7M0=")</f>
        <v>#REF!</v>
      </c>
      <c r="GY322" t="e">
        <f>AND(#REF!,"AAAAADbb7M4=")</f>
        <v>#REF!</v>
      </c>
      <c r="GZ322" t="e">
        <f>AND(#REF!,"AAAAADbb7M8=")</f>
        <v>#REF!</v>
      </c>
      <c r="HA322" t="e">
        <f>AND(#REF!,"AAAAADbb7NA=")</f>
        <v>#REF!</v>
      </c>
      <c r="HB322" t="e">
        <f>IF(#REF!,"AAAAADbb7NE=",0)</f>
        <v>#REF!</v>
      </c>
      <c r="HC322" t="e">
        <f>AND(#REF!,"AAAAADbb7NI=")</f>
        <v>#REF!</v>
      </c>
      <c r="HD322" t="e">
        <f>AND(#REF!,"AAAAADbb7NM=")</f>
        <v>#REF!</v>
      </c>
      <c r="HE322" t="e">
        <f>AND(#REF!,"AAAAADbb7NQ=")</f>
        <v>#REF!</v>
      </c>
      <c r="HF322" t="e">
        <f>AND(#REF!,"AAAAADbb7NU=")</f>
        <v>#REF!</v>
      </c>
      <c r="HG322" t="e">
        <f>AND(#REF!,"AAAAADbb7NY=")</f>
        <v>#REF!</v>
      </c>
      <c r="HH322" t="e">
        <f>AND(#REF!,"AAAAADbb7Nc=")</f>
        <v>#REF!</v>
      </c>
      <c r="HI322" t="e">
        <f>AND(#REF!,"AAAAADbb7Ng=")</f>
        <v>#REF!</v>
      </c>
      <c r="HJ322" t="e">
        <f>AND(#REF!,"AAAAADbb7Nk=")</f>
        <v>#REF!</v>
      </c>
      <c r="HK322" t="e">
        <f>AND(#REF!,"AAAAADbb7No=")</f>
        <v>#REF!</v>
      </c>
      <c r="HL322" t="e">
        <f>AND(#REF!,"AAAAADbb7Ns=")</f>
        <v>#REF!</v>
      </c>
      <c r="HM322" t="e">
        <f>AND(#REF!,"AAAAADbb7Nw=")</f>
        <v>#REF!</v>
      </c>
      <c r="HN322" t="e">
        <f>AND(#REF!,"AAAAADbb7N0=")</f>
        <v>#REF!</v>
      </c>
      <c r="HO322" t="e">
        <f>AND(#REF!,"AAAAADbb7N4=")</f>
        <v>#REF!</v>
      </c>
      <c r="HP322" t="e">
        <f>AND(#REF!,"AAAAADbb7N8=")</f>
        <v>#REF!</v>
      </c>
      <c r="HQ322" t="e">
        <f>AND(#REF!,"AAAAADbb7OA=")</f>
        <v>#REF!</v>
      </c>
      <c r="HR322" t="e">
        <f>AND(#REF!,"AAAAADbb7OE=")</f>
        <v>#REF!</v>
      </c>
      <c r="HS322" t="e">
        <f>AND(#REF!,"AAAAADbb7OI=")</f>
        <v>#REF!</v>
      </c>
      <c r="HT322" t="e">
        <f>AND(#REF!,"AAAAADbb7OM=")</f>
        <v>#REF!</v>
      </c>
      <c r="HU322" t="e">
        <f>AND(#REF!,"AAAAADbb7OQ=")</f>
        <v>#REF!</v>
      </c>
      <c r="HV322" t="e">
        <f>AND(#REF!,"AAAAADbb7OU=")</f>
        <v>#REF!</v>
      </c>
      <c r="HW322" t="e">
        <f>AND(#REF!,"AAAAADbb7OY=")</f>
        <v>#REF!</v>
      </c>
      <c r="HX322" t="e">
        <f>AND(#REF!,"AAAAADbb7Oc=")</f>
        <v>#REF!</v>
      </c>
      <c r="HY322" t="e">
        <f>AND(#REF!,"AAAAADbb7Og=")</f>
        <v>#REF!</v>
      </c>
      <c r="HZ322" t="e">
        <f>AND(#REF!,"AAAAADbb7Ok=")</f>
        <v>#REF!</v>
      </c>
      <c r="IA322" t="e">
        <f>IF(#REF!,"AAAAADbb7Oo=",0)</f>
        <v>#REF!</v>
      </c>
      <c r="IB322" t="e">
        <f>AND(#REF!,"AAAAADbb7Os=")</f>
        <v>#REF!</v>
      </c>
      <c r="IC322" t="e">
        <f>AND(#REF!,"AAAAADbb7Ow=")</f>
        <v>#REF!</v>
      </c>
      <c r="ID322" t="e">
        <f>AND(#REF!,"AAAAADbb7O0=")</f>
        <v>#REF!</v>
      </c>
      <c r="IE322" t="e">
        <f>AND(#REF!,"AAAAADbb7O4=")</f>
        <v>#REF!</v>
      </c>
      <c r="IF322" t="e">
        <f>AND(#REF!,"AAAAADbb7O8=")</f>
        <v>#REF!</v>
      </c>
      <c r="IG322" t="e">
        <f>AND(#REF!,"AAAAADbb7PA=")</f>
        <v>#REF!</v>
      </c>
      <c r="IH322" t="e">
        <f>AND(#REF!,"AAAAADbb7PE=")</f>
        <v>#REF!</v>
      </c>
      <c r="II322" t="e">
        <f>AND(#REF!,"AAAAADbb7PI=")</f>
        <v>#REF!</v>
      </c>
      <c r="IJ322" t="e">
        <f>AND(#REF!,"AAAAADbb7PM=")</f>
        <v>#REF!</v>
      </c>
      <c r="IK322" t="e">
        <f>AND(#REF!,"AAAAADbb7PQ=")</f>
        <v>#REF!</v>
      </c>
      <c r="IL322" t="e">
        <f>AND(#REF!,"AAAAADbb7PU=")</f>
        <v>#REF!</v>
      </c>
      <c r="IM322" t="e">
        <f>AND(#REF!,"AAAAADbb7PY=")</f>
        <v>#REF!</v>
      </c>
      <c r="IN322" t="e">
        <f>AND(#REF!,"AAAAADbb7Pc=")</f>
        <v>#REF!</v>
      </c>
      <c r="IO322" t="e">
        <f>AND(#REF!,"AAAAADbb7Pg=")</f>
        <v>#REF!</v>
      </c>
      <c r="IP322" t="e">
        <f>AND(#REF!,"AAAAADbb7Pk=")</f>
        <v>#REF!</v>
      </c>
      <c r="IQ322" t="e">
        <f>AND(#REF!,"AAAAADbb7Po=")</f>
        <v>#REF!</v>
      </c>
      <c r="IR322" t="e">
        <f>AND(#REF!,"AAAAADbb7Ps=")</f>
        <v>#REF!</v>
      </c>
      <c r="IS322" t="e">
        <f>AND(#REF!,"AAAAADbb7Pw=")</f>
        <v>#REF!</v>
      </c>
      <c r="IT322" t="e">
        <f>AND(#REF!,"AAAAADbb7P0=")</f>
        <v>#REF!</v>
      </c>
      <c r="IU322" t="e">
        <f>AND(#REF!,"AAAAADbb7P4=")</f>
        <v>#REF!</v>
      </c>
      <c r="IV322" t="e">
        <f>AND(#REF!,"AAAAADbb7P8=")</f>
        <v>#REF!</v>
      </c>
    </row>
    <row r="323" spans="1:256">
      <c r="A323" t="e">
        <f>AND(#REF!,"AAAAADc/WwA=")</f>
        <v>#REF!</v>
      </c>
      <c r="B323" t="e">
        <f>AND(#REF!,"AAAAADc/WwE=")</f>
        <v>#REF!</v>
      </c>
      <c r="C323" t="e">
        <f>AND(#REF!,"AAAAADc/WwI=")</f>
        <v>#REF!</v>
      </c>
      <c r="D323" t="e">
        <f>IF(#REF!,"AAAAADc/WwM=",0)</f>
        <v>#REF!</v>
      </c>
      <c r="E323" t="e">
        <f>AND(#REF!,"AAAAADc/WwQ=")</f>
        <v>#REF!</v>
      </c>
      <c r="F323" t="e">
        <f>AND(#REF!,"AAAAADc/WwU=")</f>
        <v>#REF!</v>
      </c>
      <c r="G323" t="e">
        <f>AND(#REF!,"AAAAADc/WwY=")</f>
        <v>#REF!</v>
      </c>
      <c r="H323" t="e">
        <f>AND(#REF!,"AAAAADc/Wwc=")</f>
        <v>#REF!</v>
      </c>
      <c r="I323" t="e">
        <f>AND(#REF!,"AAAAADc/Wwg=")</f>
        <v>#REF!</v>
      </c>
      <c r="J323" t="e">
        <f>AND(#REF!,"AAAAADc/Wwk=")</f>
        <v>#REF!</v>
      </c>
      <c r="K323" t="e">
        <f>AND(#REF!,"AAAAADc/Wwo=")</f>
        <v>#REF!</v>
      </c>
      <c r="L323" t="e">
        <f>AND(#REF!,"AAAAADc/Wws=")</f>
        <v>#REF!</v>
      </c>
      <c r="M323" t="e">
        <f>AND(#REF!,"AAAAADc/Www=")</f>
        <v>#REF!</v>
      </c>
      <c r="N323" t="e">
        <f>AND(#REF!,"AAAAADc/Ww0=")</f>
        <v>#REF!</v>
      </c>
      <c r="O323" t="e">
        <f>AND(#REF!,"AAAAADc/Ww4=")</f>
        <v>#REF!</v>
      </c>
      <c r="P323" t="e">
        <f>AND(#REF!,"AAAAADc/Ww8=")</f>
        <v>#REF!</v>
      </c>
      <c r="Q323" t="e">
        <f>AND(#REF!,"AAAAADc/WxA=")</f>
        <v>#REF!</v>
      </c>
      <c r="R323" t="e">
        <f>AND(#REF!,"AAAAADc/WxE=")</f>
        <v>#REF!</v>
      </c>
      <c r="S323" t="e">
        <f>AND(#REF!,"AAAAADc/WxI=")</f>
        <v>#REF!</v>
      </c>
      <c r="T323" t="e">
        <f>AND(#REF!,"AAAAADc/WxM=")</f>
        <v>#REF!</v>
      </c>
      <c r="U323" t="e">
        <f>AND(#REF!,"AAAAADc/WxQ=")</f>
        <v>#REF!</v>
      </c>
      <c r="V323" t="e">
        <f>AND(#REF!,"AAAAADc/WxU=")</f>
        <v>#REF!</v>
      </c>
      <c r="W323" t="e">
        <f>AND(#REF!,"AAAAADc/WxY=")</f>
        <v>#REF!</v>
      </c>
      <c r="X323" t="e">
        <f>AND(#REF!,"AAAAADc/Wxc=")</f>
        <v>#REF!</v>
      </c>
      <c r="Y323" t="e">
        <f>AND(#REF!,"AAAAADc/Wxg=")</f>
        <v>#REF!</v>
      </c>
      <c r="Z323" t="e">
        <f>AND(#REF!,"AAAAADc/Wxk=")</f>
        <v>#REF!</v>
      </c>
      <c r="AA323" t="e">
        <f>AND(#REF!,"AAAAADc/Wxo=")</f>
        <v>#REF!</v>
      </c>
      <c r="AB323" t="e">
        <f>AND(#REF!,"AAAAADc/Wxs=")</f>
        <v>#REF!</v>
      </c>
      <c r="AC323" t="e">
        <f>IF(#REF!,"AAAAADc/Wxw=",0)</f>
        <v>#REF!</v>
      </c>
      <c r="AD323" t="e">
        <f>AND(#REF!,"AAAAADc/Wx0=")</f>
        <v>#REF!</v>
      </c>
      <c r="AE323" t="e">
        <f>AND(#REF!,"AAAAADc/Wx4=")</f>
        <v>#REF!</v>
      </c>
      <c r="AF323" t="e">
        <f>AND(#REF!,"AAAAADc/Wx8=")</f>
        <v>#REF!</v>
      </c>
      <c r="AG323" t="e">
        <f>AND(#REF!,"AAAAADc/WyA=")</f>
        <v>#REF!</v>
      </c>
      <c r="AH323" t="e">
        <f>AND(#REF!,"AAAAADc/WyE=")</f>
        <v>#REF!</v>
      </c>
      <c r="AI323" t="e">
        <f>AND(#REF!,"AAAAADc/WyI=")</f>
        <v>#REF!</v>
      </c>
      <c r="AJ323" t="e">
        <f>AND(#REF!,"AAAAADc/WyM=")</f>
        <v>#REF!</v>
      </c>
      <c r="AK323" t="e">
        <f>AND(#REF!,"AAAAADc/WyQ=")</f>
        <v>#REF!</v>
      </c>
      <c r="AL323" t="e">
        <f>AND(#REF!,"AAAAADc/WyU=")</f>
        <v>#REF!</v>
      </c>
      <c r="AM323" t="e">
        <f>AND(#REF!,"AAAAADc/WyY=")</f>
        <v>#REF!</v>
      </c>
      <c r="AN323" t="e">
        <f>AND(#REF!,"AAAAADc/Wyc=")</f>
        <v>#REF!</v>
      </c>
      <c r="AO323" t="e">
        <f>AND(#REF!,"AAAAADc/Wyg=")</f>
        <v>#REF!</v>
      </c>
      <c r="AP323" t="e">
        <f>AND(#REF!,"AAAAADc/Wyk=")</f>
        <v>#REF!</v>
      </c>
      <c r="AQ323" t="e">
        <f>AND(#REF!,"AAAAADc/Wyo=")</f>
        <v>#REF!</v>
      </c>
      <c r="AR323" t="e">
        <f>AND(#REF!,"AAAAADc/Wys=")</f>
        <v>#REF!</v>
      </c>
      <c r="AS323" t="e">
        <f>AND(#REF!,"AAAAADc/Wyw=")</f>
        <v>#REF!</v>
      </c>
      <c r="AT323" t="e">
        <f>AND(#REF!,"AAAAADc/Wy0=")</f>
        <v>#REF!</v>
      </c>
      <c r="AU323" t="e">
        <f>AND(#REF!,"AAAAADc/Wy4=")</f>
        <v>#REF!</v>
      </c>
      <c r="AV323" t="e">
        <f>AND(#REF!,"AAAAADc/Wy8=")</f>
        <v>#REF!</v>
      </c>
      <c r="AW323" t="e">
        <f>AND(#REF!,"AAAAADc/WzA=")</f>
        <v>#REF!</v>
      </c>
      <c r="AX323" t="e">
        <f>AND(#REF!,"AAAAADc/WzE=")</f>
        <v>#REF!</v>
      </c>
      <c r="AY323" t="e">
        <f>AND(#REF!,"AAAAADc/WzI=")</f>
        <v>#REF!</v>
      </c>
      <c r="AZ323" t="e">
        <f>AND(#REF!,"AAAAADc/WzM=")</f>
        <v>#REF!</v>
      </c>
      <c r="BA323" t="e">
        <f>AND(#REF!,"AAAAADc/WzQ=")</f>
        <v>#REF!</v>
      </c>
      <c r="BB323" t="e">
        <f>IF(#REF!,"AAAAADc/WzU=",0)</f>
        <v>#REF!</v>
      </c>
      <c r="BC323" t="e">
        <f>AND(#REF!,"AAAAADc/WzY=")</f>
        <v>#REF!</v>
      </c>
      <c r="BD323" t="e">
        <f>AND(#REF!,"AAAAADc/Wzc=")</f>
        <v>#REF!</v>
      </c>
      <c r="BE323" t="e">
        <f>AND(#REF!,"AAAAADc/Wzg=")</f>
        <v>#REF!</v>
      </c>
      <c r="BF323" t="e">
        <f>AND(#REF!,"AAAAADc/Wzk=")</f>
        <v>#REF!</v>
      </c>
      <c r="BG323" t="e">
        <f>AND(#REF!,"AAAAADc/Wzo=")</f>
        <v>#REF!</v>
      </c>
      <c r="BH323" t="e">
        <f>AND(#REF!,"AAAAADc/Wzs=")</f>
        <v>#REF!</v>
      </c>
      <c r="BI323" t="e">
        <f>AND(#REF!,"AAAAADc/Wzw=")</f>
        <v>#REF!</v>
      </c>
      <c r="BJ323" t="e">
        <f>AND(#REF!,"AAAAADc/Wz0=")</f>
        <v>#REF!</v>
      </c>
      <c r="BK323" t="e">
        <f>AND(#REF!,"AAAAADc/Wz4=")</f>
        <v>#REF!</v>
      </c>
      <c r="BL323" t="e">
        <f>AND(#REF!,"AAAAADc/Wz8=")</f>
        <v>#REF!</v>
      </c>
      <c r="BM323" t="e">
        <f>AND(#REF!,"AAAAADc/W0A=")</f>
        <v>#REF!</v>
      </c>
      <c r="BN323" t="e">
        <f>AND(#REF!,"AAAAADc/W0E=")</f>
        <v>#REF!</v>
      </c>
      <c r="BO323" t="e">
        <f>AND(#REF!,"AAAAADc/W0I=")</f>
        <v>#REF!</v>
      </c>
      <c r="BP323" t="e">
        <f>AND(#REF!,"AAAAADc/W0M=")</f>
        <v>#REF!</v>
      </c>
      <c r="BQ323" t="e">
        <f>AND(#REF!,"AAAAADc/W0Q=")</f>
        <v>#REF!</v>
      </c>
      <c r="BR323" t="e">
        <f>AND(#REF!,"AAAAADc/W0U=")</f>
        <v>#REF!</v>
      </c>
      <c r="BS323" t="e">
        <f>AND(#REF!,"AAAAADc/W0Y=")</f>
        <v>#REF!</v>
      </c>
      <c r="BT323" t="e">
        <f>AND(#REF!,"AAAAADc/W0c=")</f>
        <v>#REF!</v>
      </c>
      <c r="BU323" t="e">
        <f>AND(#REF!,"AAAAADc/W0g=")</f>
        <v>#REF!</v>
      </c>
      <c r="BV323" t="e">
        <f>AND(#REF!,"AAAAADc/W0k=")</f>
        <v>#REF!</v>
      </c>
      <c r="BW323" t="e">
        <f>AND(#REF!,"AAAAADc/W0o=")</f>
        <v>#REF!</v>
      </c>
      <c r="BX323" t="e">
        <f>AND(#REF!,"AAAAADc/W0s=")</f>
        <v>#REF!</v>
      </c>
      <c r="BY323" t="e">
        <f>AND(#REF!,"AAAAADc/W0w=")</f>
        <v>#REF!</v>
      </c>
      <c r="BZ323" t="e">
        <f>AND(#REF!,"AAAAADc/W00=")</f>
        <v>#REF!</v>
      </c>
      <c r="CA323" t="e">
        <f>IF(#REF!,"AAAAADc/W04=",0)</f>
        <v>#REF!</v>
      </c>
      <c r="CB323" t="e">
        <f>AND(#REF!,"AAAAADc/W08=")</f>
        <v>#REF!</v>
      </c>
      <c r="CC323" t="e">
        <f>AND(#REF!,"AAAAADc/W1A=")</f>
        <v>#REF!</v>
      </c>
      <c r="CD323" t="e">
        <f>AND(#REF!,"AAAAADc/W1E=")</f>
        <v>#REF!</v>
      </c>
      <c r="CE323" t="e">
        <f>AND(#REF!,"AAAAADc/W1I=")</f>
        <v>#REF!</v>
      </c>
      <c r="CF323" t="e">
        <f>AND(#REF!,"AAAAADc/W1M=")</f>
        <v>#REF!</v>
      </c>
      <c r="CG323" t="e">
        <f>AND(#REF!,"AAAAADc/W1Q=")</f>
        <v>#REF!</v>
      </c>
      <c r="CH323" t="e">
        <f>AND(#REF!,"AAAAADc/W1U=")</f>
        <v>#REF!</v>
      </c>
      <c r="CI323" t="e">
        <f>AND(#REF!,"AAAAADc/W1Y=")</f>
        <v>#REF!</v>
      </c>
      <c r="CJ323" t="e">
        <f>AND(#REF!,"AAAAADc/W1c=")</f>
        <v>#REF!</v>
      </c>
      <c r="CK323" t="e">
        <f>AND(#REF!,"AAAAADc/W1g=")</f>
        <v>#REF!</v>
      </c>
      <c r="CL323" t="e">
        <f>AND(#REF!,"AAAAADc/W1k=")</f>
        <v>#REF!</v>
      </c>
      <c r="CM323" t="e">
        <f>AND(#REF!,"AAAAADc/W1o=")</f>
        <v>#REF!</v>
      </c>
      <c r="CN323" t="e">
        <f>AND(#REF!,"AAAAADc/W1s=")</f>
        <v>#REF!</v>
      </c>
      <c r="CO323" t="e">
        <f>AND(#REF!,"AAAAADc/W1w=")</f>
        <v>#REF!</v>
      </c>
      <c r="CP323" t="e">
        <f>AND(#REF!,"AAAAADc/W10=")</f>
        <v>#REF!</v>
      </c>
      <c r="CQ323" t="e">
        <f>AND(#REF!,"AAAAADc/W14=")</f>
        <v>#REF!</v>
      </c>
      <c r="CR323" t="e">
        <f>AND(#REF!,"AAAAADc/W18=")</f>
        <v>#REF!</v>
      </c>
      <c r="CS323" t="e">
        <f>AND(#REF!,"AAAAADc/W2A=")</f>
        <v>#REF!</v>
      </c>
      <c r="CT323" t="e">
        <f>AND(#REF!,"AAAAADc/W2E=")</f>
        <v>#REF!</v>
      </c>
      <c r="CU323" t="e">
        <f>AND(#REF!,"AAAAADc/W2I=")</f>
        <v>#REF!</v>
      </c>
      <c r="CV323" t="e">
        <f>AND(#REF!,"AAAAADc/W2M=")</f>
        <v>#REF!</v>
      </c>
      <c r="CW323" t="e">
        <f>AND(#REF!,"AAAAADc/W2Q=")</f>
        <v>#REF!</v>
      </c>
      <c r="CX323" t="e">
        <f>AND(#REF!,"AAAAADc/W2U=")</f>
        <v>#REF!</v>
      </c>
      <c r="CY323" t="e">
        <f>AND(#REF!,"AAAAADc/W2Y=")</f>
        <v>#REF!</v>
      </c>
      <c r="CZ323" t="e">
        <f>IF(#REF!,"AAAAADc/W2c=",0)</f>
        <v>#REF!</v>
      </c>
      <c r="DA323" t="e">
        <f>AND(#REF!,"AAAAADc/W2g=")</f>
        <v>#REF!</v>
      </c>
      <c r="DB323" t="e">
        <f>AND(#REF!,"AAAAADc/W2k=")</f>
        <v>#REF!</v>
      </c>
      <c r="DC323" t="e">
        <f>AND(#REF!,"AAAAADc/W2o=")</f>
        <v>#REF!</v>
      </c>
      <c r="DD323" t="e">
        <f>AND(#REF!,"AAAAADc/W2s=")</f>
        <v>#REF!</v>
      </c>
      <c r="DE323" t="e">
        <f>AND(#REF!,"AAAAADc/W2w=")</f>
        <v>#REF!</v>
      </c>
      <c r="DF323" t="e">
        <f>AND(#REF!,"AAAAADc/W20=")</f>
        <v>#REF!</v>
      </c>
      <c r="DG323" t="e">
        <f>AND(#REF!,"AAAAADc/W24=")</f>
        <v>#REF!</v>
      </c>
      <c r="DH323" t="e">
        <f>AND(#REF!,"AAAAADc/W28=")</f>
        <v>#REF!</v>
      </c>
      <c r="DI323" t="e">
        <f>AND(#REF!,"AAAAADc/W3A=")</f>
        <v>#REF!</v>
      </c>
      <c r="DJ323" t="e">
        <f>AND(#REF!,"AAAAADc/W3E=")</f>
        <v>#REF!</v>
      </c>
      <c r="DK323" t="e">
        <f>AND(#REF!,"AAAAADc/W3I=")</f>
        <v>#REF!</v>
      </c>
      <c r="DL323" t="e">
        <f>AND(#REF!,"AAAAADc/W3M=")</f>
        <v>#REF!</v>
      </c>
      <c r="DM323" t="e">
        <f>AND(#REF!,"AAAAADc/W3Q=")</f>
        <v>#REF!</v>
      </c>
      <c r="DN323" t="e">
        <f>AND(#REF!,"AAAAADc/W3U=")</f>
        <v>#REF!</v>
      </c>
      <c r="DO323" t="e">
        <f>AND(#REF!,"AAAAADc/W3Y=")</f>
        <v>#REF!</v>
      </c>
      <c r="DP323" t="e">
        <f>AND(#REF!,"AAAAADc/W3c=")</f>
        <v>#REF!</v>
      </c>
      <c r="DQ323" t="e">
        <f>AND(#REF!,"AAAAADc/W3g=")</f>
        <v>#REF!</v>
      </c>
      <c r="DR323" t="e">
        <f>AND(#REF!,"AAAAADc/W3k=")</f>
        <v>#REF!</v>
      </c>
      <c r="DS323" t="e">
        <f>AND(#REF!,"AAAAADc/W3o=")</f>
        <v>#REF!</v>
      </c>
      <c r="DT323" t="e">
        <f>AND(#REF!,"AAAAADc/W3s=")</f>
        <v>#REF!</v>
      </c>
      <c r="DU323" t="e">
        <f>AND(#REF!,"AAAAADc/W3w=")</f>
        <v>#REF!</v>
      </c>
      <c r="DV323" t="e">
        <f>AND(#REF!,"AAAAADc/W30=")</f>
        <v>#REF!</v>
      </c>
      <c r="DW323" t="e">
        <f>AND(#REF!,"AAAAADc/W34=")</f>
        <v>#REF!</v>
      </c>
      <c r="DX323" t="e">
        <f>AND(#REF!,"AAAAADc/W38=")</f>
        <v>#REF!</v>
      </c>
      <c r="DY323" t="e">
        <f>IF(#REF!,"AAAAADc/W4A=",0)</f>
        <v>#REF!</v>
      </c>
      <c r="DZ323" t="e">
        <f>AND(#REF!,"AAAAADc/W4E=")</f>
        <v>#REF!</v>
      </c>
      <c r="EA323" t="e">
        <f>AND(#REF!,"AAAAADc/W4I=")</f>
        <v>#REF!</v>
      </c>
      <c r="EB323" t="e">
        <f>AND(#REF!,"AAAAADc/W4M=")</f>
        <v>#REF!</v>
      </c>
      <c r="EC323" t="e">
        <f>AND(#REF!,"AAAAADc/W4Q=")</f>
        <v>#REF!</v>
      </c>
      <c r="ED323" t="e">
        <f>AND(#REF!,"AAAAADc/W4U=")</f>
        <v>#REF!</v>
      </c>
      <c r="EE323" t="e">
        <f>AND(#REF!,"AAAAADc/W4Y=")</f>
        <v>#REF!</v>
      </c>
      <c r="EF323" t="e">
        <f>AND(#REF!,"AAAAADc/W4c=")</f>
        <v>#REF!</v>
      </c>
      <c r="EG323" t="e">
        <f>AND(#REF!,"AAAAADc/W4g=")</f>
        <v>#REF!</v>
      </c>
      <c r="EH323" t="e">
        <f>AND(#REF!,"AAAAADc/W4k=")</f>
        <v>#REF!</v>
      </c>
      <c r="EI323" t="e">
        <f>AND(#REF!,"AAAAADc/W4o=")</f>
        <v>#REF!</v>
      </c>
      <c r="EJ323" t="e">
        <f>AND(#REF!,"AAAAADc/W4s=")</f>
        <v>#REF!</v>
      </c>
      <c r="EK323" t="e">
        <f>AND(#REF!,"AAAAADc/W4w=")</f>
        <v>#REF!</v>
      </c>
      <c r="EL323" t="e">
        <f>AND(#REF!,"AAAAADc/W40=")</f>
        <v>#REF!</v>
      </c>
      <c r="EM323" t="e">
        <f>AND(#REF!,"AAAAADc/W44=")</f>
        <v>#REF!</v>
      </c>
      <c r="EN323" t="e">
        <f>AND(#REF!,"AAAAADc/W48=")</f>
        <v>#REF!</v>
      </c>
      <c r="EO323" t="e">
        <f>AND(#REF!,"AAAAADc/W5A=")</f>
        <v>#REF!</v>
      </c>
      <c r="EP323" t="e">
        <f>AND(#REF!,"AAAAADc/W5E=")</f>
        <v>#REF!</v>
      </c>
      <c r="EQ323" t="e">
        <f>AND(#REF!,"AAAAADc/W5I=")</f>
        <v>#REF!</v>
      </c>
      <c r="ER323" t="e">
        <f>AND(#REF!,"AAAAADc/W5M=")</f>
        <v>#REF!</v>
      </c>
      <c r="ES323" t="e">
        <f>AND(#REF!,"AAAAADc/W5Q=")</f>
        <v>#REF!</v>
      </c>
      <c r="ET323" t="e">
        <f>AND(#REF!,"AAAAADc/W5U=")</f>
        <v>#REF!</v>
      </c>
      <c r="EU323" t="e">
        <f>AND(#REF!,"AAAAADc/W5Y=")</f>
        <v>#REF!</v>
      </c>
      <c r="EV323" t="e">
        <f>AND(#REF!,"AAAAADc/W5c=")</f>
        <v>#REF!</v>
      </c>
      <c r="EW323" t="e">
        <f>AND(#REF!,"AAAAADc/W5g=")</f>
        <v>#REF!</v>
      </c>
      <c r="EX323" t="e">
        <f>IF(#REF!,"AAAAADc/W5k=",0)</f>
        <v>#REF!</v>
      </c>
      <c r="EY323" t="e">
        <f>AND(#REF!,"AAAAADc/W5o=")</f>
        <v>#REF!</v>
      </c>
      <c r="EZ323" t="e">
        <f>AND(#REF!,"AAAAADc/W5s=")</f>
        <v>#REF!</v>
      </c>
      <c r="FA323" t="e">
        <f>AND(#REF!,"AAAAADc/W5w=")</f>
        <v>#REF!</v>
      </c>
      <c r="FB323" t="e">
        <f>AND(#REF!,"AAAAADc/W50=")</f>
        <v>#REF!</v>
      </c>
      <c r="FC323" t="e">
        <f>AND(#REF!,"AAAAADc/W54=")</f>
        <v>#REF!</v>
      </c>
      <c r="FD323" t="e">
        <f>AND(#REF!,"AAAAADc/W58=")</f>
        <v>#REF!</v>
      </c>
      <c r="FE323" t="e">
        <f>AND(#REF!,"AAAAADc/W6A=")</f>
        <v>#REF!</v>
      </c>
      <c r="FF323" t="e">
        <f>AND(#REF!,"AAAAADc/W6E=")</f>
        <v>#REF!</v>
      </c>
      <c r="FG323" t="e">
        <f>AND(#REF!,"AAAAADc/W6I=")</f>
        <v>#REF!</v>
      </c>
      <c r="FH323" t="e">
        <f>AND(#REF!,"AAAAADc/W6M=")</f>
        <v>#REF!</v>
      </c>
      <c r="FI323" t="e">
        <f>AND(#REF!,"AAAAADc/W6Q=")</f>
        <v>#REF!</v>
      </c>
      <c r="FJ323" t="e">
        <f>AND(#REF!,"AAAAADc/W6U=")</f>
        <v>#REF!</v>
      </c>
      <c r="FK323" t="e">
        <f>AND(#REF!,"AAAAADc/W6Y=")</f>
        <v>#REF!</v>
      </c>
      <c r="FL323" t="e">
        <f>AND(#REF!,"AAAAADc/W6c=")</f>
        <v>#REF!</v>
      </c>
      <c r="FM323" t="e">
        <f>AND(#REF!,"AAAAADc/W6g=")</f>
        <v>#REF!</v>
      </c>
      <c r="FN323" t="e">
        <f>AND(#REF!,"AAAAADc/W6k=")</f>
        <v>#REF!</v>
      </c>
      <c r="FO323" t="e">
        <f>AND(#REF!,"AAAAADc/W6o=")</f>
        <v>#REF!</v>
      </c>
      <c r="FP323" t="e">
        <f>AND(#REF!,"AAAAADc/W6s=")</f>
        <v>#REF!</v>
      </c>
      <c r="FQ323" t="e">
        <f>AND(#REF!,"AAAAADc/W6w=")</f>
        <v>#REF!</v>
      </c>
      <c r="FR323" t="e">
        <f>AND(#REF!,"AAAAADc/W60=")</f>
        <v>#REF!</v>
      </c>
      <c r="FS323" t="e">
        <f>AND(#REF!,"AAAAADc/W64=")</f>
        <v>#REF!</v>
      </c>
      <c r="FT323" t="e">
        <f>AND(#REF!,"AAAAADc/W68=")</f>
        <v>#REF!</v>
      </c>
      <c r="FU323" t="e">
        <f>AND(#REF!,"AAAAADc/W7A=")</f>
        <v>#REF!</v>
      </c>
      <c r="FV323" t="e">
        <f>AND(#REF!,"AAAAADc/W7E=")</f>
        <v>#REF!</v>
      </c>
      <c r="FW323" t="e">
        <f>IF(#REF!,"AAAAADc/W7I=",0)</f>
        <v>#REF!</v>
      </c>
      <c r="FX323" t="e">
        <f>AND(#REF!,"AAAAADc/W7M=")</f>
        <v>#REF!</v>
      </c>
      <c r="FY323" t="e">
        <f>AND(#REF!,"AAAAADc/W7Q=")</f>
        <v>#REF!</v>
      </c>
      <c r="FZ323" t="e">
        <f>AND(#REF!,"AAAAADc/W7U=")</f>
        <v>#REF!</v>
      </c>
      <c r="GA323" t="e">
        <f>AND(#REF!,"AAAAADc/W7Y=")</f>
        <v>#REF!</v>
      </c>
      <c r="GB323" t="e">
        <f>AND(#REF!,"AAAAADc/W7c=")</f>
        <v>#REF!</v>
      </c>
      <c r="GC323" t="e">
        <f>AND(#REF!,"AAAAADc/W7g=")</f>
        <v>#REF!</v>
      </c>
      <c r="GD323" t="e">
        <f>AND(#REF!,"AAAAADc/W7k=")</f>
        <v>#REF!</v>
      </c>
      <c r="GE323" t="e">
        <f>AND(#REF!,"AAAAADc/W7o=")</f>
        <v>#REF!</v>
      </c>
      <c r="GF323" t="e">
        <f>AND(#REF!,"AAAAADc/W7s=")</f>
        <v>#REF!</v>
      </c>
      <c r="GG323" t="e">
        <f>AND(#REF!,"AAAAADc/W7w=")</f>
        <v>#REF!</v>
      </c>
      <c r="GH323" t="e">
        <f>AND(#REF!,"AAAAADc/W70=")</f>
        <v>#REF!</v>
      </c>
      <c r="GI323" t="e">
        <f>AND(#REF!,"AAAAADc/W74=")</f>
        <v>#REF!</v>
      </c>
      <c r="GJ323" t="e">
        <f>AND(#REF!,"AAAAADc/W78=")</f>
        <v>#REF!</v>
      </c>
      <c r="GK323" t="e">
        <f>AND(#REF!,"AAAAADc/W8A=")</f>
        <v>#REF!</v>
      </c>
      <c r="GL323" t="e">
        <f>AND(#REF!,"AAAAADc/W8E=")</f>
        <v>#REF!</v>
      </c>
      <c r="GM323" t="e">
        <f>AND(#REF!,"AAAAADc/W8I=")</f>
        <v>#REF!</v>
      </c>
      <c r="GN323" t="e">
        <f>AND(#REF!,"AAAAADc/W8M=")</f>
        <v>#REF!</v>
      </c>
      <c r="GO323" t="e">
        <f>AND(#REF!,"AAAAADc/W8Q=")</f>
        <v>#REF!</v>
      </c>
      <c r="GP323" t="e">
        <f>AND(#REF!,"AAAAADc/W8U=")</f>
        <v>#REF!</v>
      </c>
      <c r="GQ323" t="e">
        <f>AND(#REF!,"AAAAADc/W8Y=")</f>
        <v>#REF!</v>
      </c>
      <c r="GR323" t="e">
        <f>AND(#REF!,"AAAAADc/W8c=")</f>
        <v>#REF!</v>
      </c>
      <c r="GS323" t="e">
        <f>AND(#REF!,"AAAAADc/W8g=")</f>
        <v>#REF!</v>
      </c>
      <c r="GT323" t="e">
        <f>AND(#REF!,"AAAAADc/W8k=")</f>
        <v>#REF!</v>
      </c>
      <c r="GU323" t="e">
        <f>AND(#REF!,"AAAAADc/W8o=")</f>
        <v>#REF!</v>
      </c>
      <c r="GV323" t="e">
        <f>IF(#REF!,"AAAAADc/W8s=",0)</f>
        <v>#REF!</v>
      </c>
      <c r="GW323" t="e">
        <f>AND(#REF!,"AAAAADc/W8w=")</f>
        <v>#REF!</v>
      </c>
      <c r="GX323" t="e">
        <f>AND(#REF!,"AAAAADc/W80=")</f>
        <v>#REF!</v>
      </c>
      <c r="GY323" t="e">
        <f>AND(#REF!,"AAAAADc/W84=")</f>
        <v>#REF!</v>
      </c>
      <c r="GZ323" t="e">
        <f>AND(#REF!,"AAAAADc/W88=")</f>
        <v>#REF!</v>
      </c>
      <c r="HA323" t="e">
        <f>AND(#REF!,"AAAAADc/W9A=")</f>
        <v>#REF!</v>
      </c>
      <c r="HB323" t="e">
        <f>AND(#REF!,"AAAAADc/W9E=")</f>
        <v>#REF!</v>
      </c>
      <c r="HC323" t="e">
        <f>AND(#REF!,"AAAAADc/W9I=")</f>
        <v>#REF!</v>
      </c>
      <c r="HD323" t="e">
        <f>AND(#REF!,"AAAAADc/W9M=")</f>
        <v>#REF!</v>
      </c>
      <c r="HE323" t="e">
        <f>AND(#REF!,"AAAAADc/W9Q=")</f>
        <v>#REF!</v>
      </c>
      <c r="HF323" t="e">
        <f>AND(#REF!,"AAAAADc/W9U=")</f>
        <v>#REF!</v>
      </c>
      <c r="HG323" t="e">
        <f>AND(#REF!,"AAAAADc/W9Y=")</f>
        <v>#REF!</v>
      </c>
      <c r="HH323" t="e">
        <f>AND(#REF!,"AAAAADc/W9c=")</f>
        <v>#REF!</v>
      </c>
      <c r="HI323" t="e">
        <f>AND(#REF!,"AAAAADc/W9g=")</f>
        <v>#REF!</v>
      </c>
      <c r="HJ323" t="e">
        <f>AND(#REF!,"AAAAADc/W9k=")</f>
        <v>#REF!</v>
      </c>
      <c r="HK323" t="e">
        <f>AND(#REF!,"AAAAADc/W9o=")</f>
        <v>#REF!</v>
      </c>
      <c r="HL323" t="e">
        <f>AND(#REF!,"AAAAADc/W9s=")</f>
        <v>#REF!</v>
      </c>
      <c r="HM323" t="e">
        <f>AND(#REF!,"AAAAADc/W9w=")</f>
        <v>#REF!</v>
      </c>
      <c r="HN323" t="e">
        <f>AND(#REF!,"AAAAADc/W90=")</f>
        <v>#REF!</v>
      </c>
      <c r="HO323" t="e">
        <f>AND(#REF!,"AAAAADc/W94=")</f>
        <v>#REF!</v>
      </c>
      <c r="HP323" t="e">
        <f>AND(#REF!,"AAAAADc/W98=")</f>
        <v>#REF!</v>
      </c>
      <c r="HQ323" t="e">
        <f>AND(#REF!,"AAAAADc/W+A=")</f>
        <v>#REF!</v>
      </c>
      <c r="HR323" t="e">
        <f>AND(#REF!,"AAAAADc/W+E=")</f>
        <v>#REF!</v>
      </c>
      <c r="HS323" t="e">
        <f>AND(#REF!,"AAAAADc/W+I=")</f>
        <v>#REF!</v>
      </c>
      <c r="HT323" t="e">
        <f>AND(#REF!,"AAAAADc/W+M=")</f>
        <v>#REF!</v>
      </c>
      <c r="HU323" t="e">
        <f>IF(#REF!,"AAAAADc/W+Q=",0)</f>
        <v>#REF!</v>
      </c>
      <c r="HV323" t="e">
        <f>AND(#REF!,"AAAAADc/W+U=")</f>
        <v>#REF!</v>
      </c>
      <c r="HW323" t="e">
        <f>AND(#REF!,"AAAAADc/W+Y=")</f>
        <v>#REF!</v>
      </c>
      <c r="HX323" t="e">
        <f>AND(#REF!,"AAAAADc/W+c=")</f>
        <v>#REF!</v>
      </c>
      <c r="HY323" t="e">
        <f>AND(#REF!,"AAAAADc/W+g=")</f>
        <v>#REF!</v>
      </c>
      <c r="HZ323" t="e">
        <f>AND(#REF!,"AAAAADc/W+k=")</f>
        <v>#REF!</v>
      </c>
      <c r="IA323" t="e">
        <f>AND(#REF!,"AAAAADc/W+o=")</f>
        <v>#REF!</v>
      </c>
      <c r="IB323" t="e">
        <f>AND(#REF!,"AAAAADc/W+s=")</f>
        <v>#REF!</v>
      </c>
      <c r="IC323" t="e">
        <f>AND(#REF!,"AAAAADc/W+w=")</f>
        <v>#REF!</v>
      </c>
      <c r="ID323" t="e">
        <f>AND(#REF!,"AAAAADc/W+0=")</f>
        <v>#REF!</v>
      </c>
      <c r="IE323" t="e">
        <f>AND(#REF!,"AAAAADc/W+4=")</f>
        <v>#REF!</v>
      </c>
      <c r="IF323" t="e">
        <f>AND(#REF!,"AAAAADc/W+8=")</f>
        <v>#REF!</v>
      </c>
      <c r="IG323" t="e">
        <f>AND(#REF!,"AAAAADc/W/A=")</f>
        <v>#REF!</v>
      </c>
      <c r="IH323" t="e">
        <f>AND(#REF!,"AAAAADc/W/E=")</f>
        <v>#REF!</v>
      </c>
      <c r="II323" t="e">
        <f>AND(#REF!,"AAAAADc/W/I=")</f>
        <v>#REF!</v>
      </c>
      <c r="IJ323" t="e">
        <f>AND(#REF!,"AAAAADc/W/M=")</f>
        <v>#REF!</v>
      </c>
      <c r="IK323" t="e">
        <f>AND(#REF!,"AAAAADc/W/Q=")</f>
        <v>#REF!</v>
      </c>
      <c r="IL323" t="e">
        <f>AND(#REF!,"AAAAADc/W/U=")</f>
        <v>#REF!</v>
      </c>
      <c r="IM323" t="e">
        <f>AND(#REF!,"AAAAADc/W/Y=")</f>
        <v>#REF!</v>
      </c>
      <c r="IN323" t="e">
        <f>AND(#REF!,"AAAAADc/W/c=")</f>
        <v>#REF!</v>
      </c>
      <c r="IO323" t="e">
        <f>AND(#REF!,"AAAAADc/W/g=")</f>
        <v>#REF!</v>
      </c>
      <c r="IP323" t="e">
        <f>AND(#REF!,"AAAAADc/W/k=")</f>
        <v>#REF!</v>
      </c>
      <c r="IQ323" t="e">
        <f>AND(#REF!,"AAAAADc/W/o=")</f>
        <v>#REF!</v>
      </c>
      <c r="IR323" t="e">
        <f>AND(#REF!,"AAAAADc/W/s=")</f>
        <v>#REF!</v>
      </c>
      <c r="IS323" t="e">
        <f>AND(#REF!,"AAAAADc/W/w=")</f>
        <v>#REF!</v>
      </c>
      <c r="IT323" t="e">
        <f>IF(#REF!,"AAAAADc/W/0=",0)</f>
        <v>#REF!</v>
      </c>
      <c r="IU323" t="e">
        <f>AND(#REF!,"AAAAADc/W/4=")</f>
        <v>#REF!</v>
      </c>
      <c r="IV323" t="e">
        <f>AND(#REF!,"AAAAADc/W/8=")</f>
        <v>#REF!</v>
      </c>
    </row>
    <row r="324" spans="1:256">
      <c r="A324" t="e">
        <f>AND(#REF!,"AAAAAHtK9QA=")</f>
        <v>#REF!</v>
      </c>
      <c r="B324" t="e">
        <f>AND(#REF!,"AAAAAHtK9QE=")</f>
        <v>#REF!</v>
      </c>
      <c r="C324" t="e">
        <f>AND(#REF!,"AAAAAHtK9QI=")</f>
        <v>#REF!</v>
      </c>
      <c r="D324" t="e">
        <f>AND(#REF!,"AAAAAHtK9QM=")</f>
        <v>#REF!</v>
      </c>
      <c r="E324" t="e">
        <f>AND(#REF!,"AAAAAHtK9QQ=")</f>
        <v>#REF!</v>
      </c>
      <c r="F324" t="e">
        <f>AND(#REF!,"AAAAAHtK9QU=")</f>
        <v>#REF!</v>
      </c>
      <c r="G324" t="e">
        <f>AND(#REF!,"AAAAAHtK9QY=")</f>
        <v>#REF!</v>
      </c>
      <c r="H324" t="e">
        <f>AND(#REF!,"AAAAAHtK9Qc=")</f>
        <v>#REF!</v>
      </c>
      <c r="I324" t="e">
        <f>AND(#REF!,"AAAAAHtK9Qg=")</f>
        <v>#REF!</v>
      </c>
      <c r="J324" t="e">
        <f>AND(#REF!,"AAAAAHtK9Qk=")</f>
        <v>#REF!</v>
      </c>
      <c r="K324" t="e">
        <f>AND(#REF!,"AAAAAHtK9Qo=")</f>
        <v>#REF!</v>
      </c>
      <c r="L324" t="e">
        <f>AND(#REF!,"AAAAAHtK9Qs=")</f>
        <v>#REF!</v>
      </c>
      <c r="M324" t="e">
        <f>AND(#REF!,"AAAAAHtK9Qw=")</f>
        <v>#REF!</v>
      </c>
      <c r="N324" t="e">
        <f>AND(#REF!,"AAAAAHtK9Q0=")</f>
        <v>#REF!</v>
      </c>
      <c r="O324" t="e">
        <f>AND(#REF!,"AAAAAHtK9Q4=")</f>
        <v>#REF!</v>
      </c>
      <c r="P324" t="e">
        <f>AND(#REF!,"AAAAAHtK9Q8=")</f>
        <v>#REF!</v>
      </c>
      <c r="Q324" t="e">
        <f>AND(#REF!,"AAAAAHtK9RA=")</f>
        <v>#REF!</v>
      </c>
      <c r="R324" t="e">
        <f>AND(#REF!,"AAAAAHtK9RE=")</f>
        <v>#REF!</v>
      </c>
      <c r="S324" t="e">
        <f>AND(#REF!,"AAAAAHtK9RI=")</f>
        <v>#REF!</v>
      </c>
      <c r="T324" t="e">
        <f>AND(#REF!,"AAAAAHtK9RM=")</f>
        <v>#REF!</v>
      </c>
      <c r="U324" t="e">
        <f>AND(#REF!,"AAAAAHtK9RQ=")</f>
        <v>#REF!</v>
      </c>
      <c r="V324" t="e">
        <f>AND(#REF!,"AAAAAHtK9RU=")</f>
        <v>#REF!</v>
      </c>
      <c r="W324" t="e">
        <f>IF(#REF!,"AAAAAHtK9RY=",0)</f>
        <v>#REF!</v>
      </c>
      <c r="X324" t="e">
        <f>AND(#REF!,"AAAAAHtK9Rc=")</f>
        <v>#REF!</v>
      </c>
      <c r="Y324" t="e">
        <f>AND(#REF!,"AAAAAHtK9Rg=")</f>
        <v>#REF!</v>
      </c>
      <c r="Z324" t="e">
        <f>AND(#REF!,"AAAAAHtK9Rk=")</f>
        <v>#REF!</v>
      </c>
      <c r="AA324" t="e">
        <f>AND(#REF!,"AAAAAHtK9Ro=")</f>
        <v>#REF!</v>
      </c>
      <c r="AB324" t="e">
        <f>AND(#REF!,"AAAAAHtK9Rs=")</f>
        <v>#REF!</v>
      </c>
      <c r="AC324" t="e">
        <f>AND(#REF!,"AAAAAHtK9Rw=")</f>
        <v>#REF!</v>
      </c>
      <c r="AD324" t="e">
        <f>AND(#REF!,"AAAAAHtK9R0=")</f>
        <v>#REF!</v>
      </c>
      <c r="AE324" t="e">
        <f>AND(#REF!,"AAAAAHtK9R4=")</f>
        <v>#REF!</v>
      </c>
      <c r="AF324" t="e">
        <f>AND(#REF!,"AAAAAHtK9R8=")</f>
        <v>#REF!</v>
      </c>
      <c r="AG324" t="e">
        <f>AND(#REF!,"AAAAAHtK9SA=")</f>
        <v>#REF!</v>
      </c>
      <c r="AH324" t="e">
        <f>AND(#REF!,"AAAAAHtK9SE=")</f>
        <v>#REF!</v>
      </c>
      <c r="AI324" t="e">
        <f>AND(#REF!,"AAAAAHtK9SI=")</f>
        <v>#REF!</v>
      </c>
      <c r="AJ324" t="e">
        <f>AND(#REF!,"AAAAAHtK9SM=")</f>
        <v>#REF!</v>
      </c>
      <c r="AK324" t="e">
        <f>AND(#REF!,"AAAAAHtK9SQ=")</f>
        <v>#REF!</v>
      </c>
      <c r="AL324" t="e">
        <f>AND(#REF!,"AAAAAHtK9SU=")</f>
        <v>#REF!</v>
      </c>
      <c r="AM324" t="e">
        <f>AND(#REF!,"AAAAAHtK9SY=")</f>
        <v>#REF!</v>
      </c>
      <c r="AN324" t="e">
        <f>AND(#REF!,"AAAAAHtK9Sc=")</f>
        <v>#REF!</v>
      </c>
      <c r="AO324" t="e">
        <f>AND(#REF!,"AAAAAHtK9Sg=")</f>
        <v>#REF!</v>
      </c>
      <c r="AP324" t="e">
        <f>AND(#REF!,"AAAAAHtK9Sk=")</f>
        <v>#REF!</v>
      </c>
      <c r="AQ324" t="e">
        <f>AND(#REF!,"AAAAAHtK9So=")</f>
        <v>#REF!</v>
      </c>
      <c r="AR324" t="e">
        <f>AND(#REF!,"AAAAAHtK9Ss=")</f>
        <v>#REF!</v>
      </c>
      <c r="AS324" t="e">
        <f>AND(#REF!,"AAAAAHtK9Sw=")</f>
        <v>#REF!</v>
      </c>
      <c r="AT324" t="e">
        <f>AND(#REF!,"AAAAAHtK9S0=")</f>
        <v>#REF!</v>
      </c>
      <c r="AU324" t="e">
        <f>AND(#REF!,"AAAAAHtK9S4=")</f>
        <v>#REF!</v>
      </c>
      <c r="AV324" t="e">
        <f>IF(#REF!,"AAAAAHtK9S8=",0)</f>
        <v>#REF!</v>
      </c>
      <c r="AW324" t="e">
        <f>AND(#REF!,"AAAAAHtK9TA=")</f>
        <v>#REF!</v>
      </c>
      <c r="AX324" t="e">
        <f>AND(#REF!,"AAAAAHtK9TE=")</f>
        <v>#REF!</v>
      </c>
      <c r="AY324" t="e">
        <f>AND(#REF!,"AAAAAHtK9TI=")</f>
        <v>#REF!</v>
      </c>
      <c r="AZ324" t="e">
        <f>AND(#REF!,"AAAAAHtK9TM=")</f>
        <v>#REF!</v>
      </c>
      <c r="BA324" t="e">
        <f>AND(#REF!,"AAAAAHtK9TQ=")</f>
        <v>#REF!</v>
      </c>
      <c r="BB324" t="e">
        <f>AND(#REF!,"AAAAAHtK9TU=")</f>
        <v>#REF!</v>
      </c>
      <c r="BC324" t="e">
        <f>AND(#REF!,"AAAAAHtK9TY=")</f>
        <v>#REF!</v>
      </c>
      <c r="BD324" t="e">
        <f>AND(#REF!,"AAAAAHtK9Tc=")</f>
        <v>#REF!</v>
      </c>
      <c r="BE324" t="e">
        <f>AND(#REF!,"AAAAAHtK9Tg=")</f>
        <v>#REF!</v>
      </c>
      <c r="BF324" t="e">
        <f>AND(#REF!,"AAAAAHtK9Tk=")</f>
        <v>#REF!</v>
      </c>
      <c r="BG324" t="e">
        <f>AND(#REF!,"AAAAAHtK9To=")</f>
        <v>#REF!</v>
      </c>
      <c r="BH324" t="e">
        <f>AND(#REF!,"AAAAAHtK9Ts=")</f>
        <v>#REF!</v>
      </c>
      <c r="BI324" t="e">
        <f>AND(#REF!,"AAAAAHtK9Tw=")</f>
        <v>#REF!</v>
      </c>
      <c r="BJ324" t="e">
        <f>AND(#REF!,"AAAAAHtK9T0=")</f>
        <v>#REF!</v>
      </c>
      <c r="BK324" t="e">
        <f>AND(#REF!,"AAAAAHtK9T4=")</f>
        <v>#REF!</v>
      </c>
      <c r="BL324" t="e">
        <f>AND(#REF!,"AAAAAHtK9T8=")</f>
        <v>#REF!</v>
      </c>
      <c r="BM324" t="e">
        <f>AND(#REF!,"AAAAAHtK9UA=")</f>
        <v>#REF!</v>
      </c>
      <c r="BN324" t="e">
        <f>AND(#REF!,"AAAAAHtK9UE=")</f>
        <v>#REF!</v>
      </c>
      <c r="BO324" t="e">
        <f>AND(#REF!,"AAAAAHtK9UI=")</f>
        <v>#REF!</v>
      </c>
      <c r="BP324" t="e">
        <f>AND(#REF!,"AAAAAHtK9UM=")</f>
        <v>#REF!</v>
      </c>
      <c r="BQ324" t="e">
        <f>AND(#REF!,"AAAAAHtK9UQ=")</f>
        <v>#REF!</v>
      </c>
      <c r="BR324" t="e">
        <f>AND(#REF!,"AAAAAHtK9UU=")</f>
        <v>#REF!</v>
      </c>
      <c r="BS324" t="e">
        <f>AND(#REF!,"AAAAAHtK9UY=")</f>
        <v>#REF!</v>
      </c>
      <c r="BT324" t="e">
        <f>AND(#REF!,"AAAAAHtK9Uc=")</f>
        <v>#REF!</v>
      </c>
      <c r="BU324" t="e">
        <f>IF(#REF!,"AAAAAHtK9Ug=",0)</f>
        <v>#REF!</v>
      </c>
      <c r="BV324" t="e">
        <f>AND(#REF!,"AAAAAHtK9Uk=")</f>
        <v>#REF!</v>
      </c>
      <c r="BW324" t="e">
        <f>AND(#REF!,"AAAAAHtK9Uo=")</f>
        <v>#REF!</v>
      </c>
      <c r="BX324" t="e">
        <f>AND(#REF!,"AAAAAHtK9Us=")</f>
        <v>#REF!</v>
      </c>
      <c r="BY324" t="e">
        <f>AND(#REF!,"AAAAAHtK9Uw=")</f>
        <v>#REF!</v>
      </c>
      <c r="BZ324" t="e">
        <f>AND(#REF!,"AAAAAHtK9U0=")</f>
        <v>#REF!</v>
      </c>
      <c r="CA324" t="e">
        <f>AND(#REF!,"AAAAAHtK9U4=")</f>
        <v>#REF!</v>
      </c>
      <c r="CB324" t="e">
        <f>AND(#REF!,"AAAAAHtK9U8=")</f>
        <v>#REF!</v>
      </c>
      <c r="CC324" t="e">
        <f>AND(#REF!,"AAAAAHtK9VA=")</f>
        <v>#REF!</v>
      </c>
      <c r="CD324" t="e">
        <f>AND(#REF!,"AAAAAHtK9VE=")</f>
        <v>#REF!</v>
      </c>
      <c r="CE324" t="e">
        <f>AND(#REF!,"AAAAAHtK9VI=")</f>
        <v>#REF!</v>
      </c>
      <c r="CF324" t="e">
        <f>AND(#REF!,"AAAAAHtK9VM=")</f>
        <v>#REF!</v>
      </c>
      <c r="CG324" t="e">
        <f>AND(#REF!,"AAAAAHtK9VQ=")</f>
        <v>#REF!</v>
      </c>
      <c r="CH324" t="e">
        <f>AND(#REF!,"AAAAAHtK9VU=")</f>
        <v>#REF!</v>
      </c>
      <c r="CI324" t="e">
        <f>AND(#REF!,"AAAAAHtK9VY=")</f>
        <v>#REF!</v>
      </c>
      <c r="CJ324" t="e">
        <f>AND(#REF!,"AAAAAHtK9Vc=")</f>
        <v>#REF!</v>
      </c>
      <c r="CK324" t="e">
        <f>AND(#REF!,"AAAAAHtK9Vg=")</f>
        <v>#REF!</v>
      </c>
      <c r="CL324" t="e">
        <f>AND(#REF!,"AAAAAHtK9Vk=")</f>
        <v>#REF!</v>
      </c>
      <c r="CM324" t="e">
        <f>AND(#REF!,"AAAAAHtK9Vo=")</f>
        <v>#REF!</v>
      </c>
      <c r="CN324" t="e">
        <f>AND(#REF!,"AAAAAHtK9Vs=")</f>
        <v>#REF!</v>
      </c>
      <c r="CO324" t="e">
        <f>AND(#REF!,"AAAAAHtK9Vw=")</f>
        <v>#REF!</v>
      </c>
      <c r="CP324" t="e">
        <f>AND(#REF!,"AAAAAHtK9V0=")</f>
        <v>#REF!</v>
      </c>
      <c r="CQ324" t="e">
        <f>AND(#REF!,"AAAAAHtK9V4=")</f>
        <v>#REF!</v>
      </c>
      <c r="CR324" t="e">
        <f>AND(#REF!,"AAAAAHtK9V8=")</f>
        <v>#REF!</v>
      </c>
      <c r="CS324" t="e">
        <f>AND(#REF!,"AAAAAHtK9WA=")</f>
        <v>#REF!</v>
      </c>
      <c r="CT324" t="e">
        <f>IF(#REF!,"AAAAAHtK9WE=",0)</f>
        <v>#REF!</v>
      </c>
      <c r="CU324" t="e">
        <f>AND(#REF!,"AAAAAHtK9WI=")</f>
        <v>#REF!</v>
      </c>
      <c r="CV324" t="e">
        <f>AND(#REF!,"AAAAAHtK9WM=")</f>
        <v>#REF!</v>
      </c>
      <c r="CW324" t="e">
        <f>AND(#REF!,"AAAAAHtK9WQ=")</f>
        <v>#REF!</v>
      </c>
      <c r="CX324" t="e">
        <f>AND(#REF!,"AAAAAHtK9WU=")</f>
        <v>#REF!</v>
      </c>
      <c r="CY324" t="e">
        <f>AND(#REF!,"AAAAAHtK9WY=")</f>
        <v>#REF!</v>
      </c>
      <c r="CZ324" t="e">
        <f>AND(#REF!,"AAAAAHtK9Wc=")</f>
        <v>#REF!</v>
      </c>
      <c r="DA324" t="e">
        <f>AND(#REF!,"AAAAAHtK9Wg=")</f>
        <v>#REF!</v>
      </c>
      <c r="DB324" t="e">
        <f>AND(#REF!,"AAAAAHtK9Wk=")</f>
        <v>#REF!</v>
      </c>
      <c r="DC324" t="e">
        <f>AND(#REF!,"AAAAAHtK9Wo=")</f>
        <v>#REF!</v>
      </c>
      <c r="DD324" t="e">
        <f>AND(#REF!,"AAAAAHtK9Ws=")</f>
        <v>#REF!</v>
      </c>
      <c r="DE324" t="e">
        <f>AND(#REF!,"AAAAAHtK9Ww=")</f>
        <v>#REF!</v>
      </c>
      <c r="DF324" t="e">
        <f>AND(#REF!,"AAAAAHtK9W0=")</f>
        <v>#REF!</v>
      </c>
      <c r="DG324" t="e">
        <f>AND(#REF!,"AAAAAHtK9W4=")</f>
        <v>#REF!</v>
      </c>
      <c r="DH324" t="e">
        <f>AND(#REF!,"AAAAAHtK9W8=")</f>
        <v>#REF!</v>
      </c>
      <c r="DI324" t="e">
        <f>AND(#REF!,"AAAAAHtK9XA=")</f>
        <v>#REF!</v>
      </c>
      <c r="DJ324" t="e">
        <f>AND(#REF!,"AAAAAHtK9XE=")</f>
        <v>#REF!</v>
      </c>
      <c r="DK324" t="e">
        <f>AND(#REF!,"AAAAAHtK9XI=")</f>
        <v>#REF!</v>
      </c>
      <c r="DL324" t="e">
        <f>AND(#REF!,"AAAAAHtK9XM=")</f>
        <v>#REF!</v>
      </c>
      <c r="DM324" t="e">
        <f>AND(#REF!,"AAAAAHtK9XQ=")</f>
        <v>#REF!</v>
      </c>
      <c r="DN324" t="e">
        <f>AND(#REF!,"AAAAAHtK9XU=")</f>
        <v>#REF!</v>
      </c>
      <c r="DO324" t="e">
        <f>AND(#REF!,"AAAAAHtK9XY=")</f>
        <v>#REF!</v>
      </c>
      <c r="DP324" t="e">
        <f>AND(#REF!,"AAAAAHtK9Xc=")</f>
        <v>#REF!</v>
      </c>
      <c r="DQ324" t="e">
        <f>AND(#REF!,"AAAAAHtK9Xg=")</f>
        <v>#REF!</v>
      </c>
      <c r="DR324" t="e">
        <f>AND(#REF!,"AAAAAHtK9Xk=")</f>
        <v>#REF!</v>
      </c>
      <c r="DS324" t="e">
        <f>IF(#REF!,"AAAAAHtK9Xo=",0)</f>
        <v>#REF!</v>
      </c>
      <c r="DT324" t="e">
        <f>AND(#REF!,"AAAAAHtK9Xs=")</f>
        <v>#REF!</v>
      </c>
      <c r="DU324" t="e">
        <f>AND(#REF!,"AAAAAHtK9Xw=")</f>
        <v>#REF!</v>
      </c>
      <c r="DV324" t="e">
        <f>AND(#REF!,"AAAAAHtK9X0=")</f>
        <v>#REF!</v>
      </c>
      <c r="DW324" t="e">
        <f>AND(#REF!,"AAAAAHtK9X4=")</f>
        <v>#REF!</v>
      </c>
      <c r="DX324" t="e">
        <f>AND(#REF!,"AAAAAHtK9X8=")</f>
        <v>#REF!</v>
      </c>
      <c r="DY324" t="e">
        <f>AND(#REF!,"AAAAAHtK9YA=")</f>
        <v>#REF!</v>
      </c>
      <c r="DZ324" t="e">
        <f>AND(#REF!,"AAAAAHtK9YE=")</f>
        <v>#REF!</v>
      </c>
      <c r="EA324" t="e">
        <f>AND(#REF!,"AAAAAHtK9YI=")</f>
        <v>#REF!</v>
      </c>
      <c r="EB324" t="e">
        <f>AND(#REF!,"AAAAAHtK9YM=")</f>
        <v>#REF!</v>
      </c>
      <c r="EC324" t="e">
        <f>AND(#REF!,"AAAAAHtK9YQ=")</f>
        <v>#REF!</v>
      </c>
      <c r="ED324" t="e">
        <f>AND(#REF!,"AAAAAHtK9YU=")</f>
        <v>#REF!</v>
      </c>
      <c r="EE324" t="e">
        <f>AND(#REF!,"AAAAAHtK9YY=")</f>
        <v>#REF!</v>
      </c>
      <c r="EF324" t="e">
        <f>AND(#REF!,"AAAAAHtK9Yc=")</f>
        <v>#REF!</v>
      </c>
      <c r="EG324" t="e">
        <f>AND(#REF!,"AAAAAHtK9Yg=")</f>
        <v>#REF!</v>
      </c>
      <c r="EH324" t="e">
        <f>AND(#REF!,"AAAAAHtK9Yk=")</f>
        <v>#REF!</v>
      </c>
      <c r="EI324" t="e">
        <f>AND(#REF!,"AAAAAHtK9Yo=")</f>
        <v>#REF!</v>
      </c>
      <c r="EJ324" t="e">
        <f>AND(#REF!,"AAAAAHtK9Ys=")</f>
        <v>#REF!</v>
      </c>
      <c r="EK324" t="e">
        <f>AND(#REF!,"AAAAAHtK9Yw=")</f>
        <v>#REF!</v>
      </c>
      <c r="EL324" t="e">
        <f>AND(#REF!,"AAAAAHtK9Y0=")</f>
        <v>#REF!</v>
      </c>
      <c r="EM324" t="e">
        <f>AND(#REF!,"AAAAAHtK9Y4=")</f>
        <v>#REF!</v>
      </c>
      <c r="EN324" t="e">
        <f>AND(#REF!,"AAAAAHtK9Y8=")</f>
        <v>#REF!</v>
      </c>
      <c r="EO324" t="e">
        <f>AND(#REF!,"AAAAAHtK9ZA=")</f>
        <v>#REF!</v>
      </c>
      <c r="EP324" t="e">
        <f>AND(#REF!,"AAAAAHtK9ZE=")</f>
        <v>#REF!</v>
      </c>
      <c r="EQ324" t="e">
        <f>AND(#REF!,"AAAAAHtK9ZI=")</f>
        <v>#REF!</v>
      </c>
      <c r="ER324" t="e">
        <f>IF(#REF!,"AAAAAHtK9ZM=",0)</f>
        <v>#REF!</v>
      </c>
      <c r="ES324" t="e">
        <f>AND(#REF!,"AAAAAHtK9ZQ=")</f>
        <v>#REF!</v>
      </c>
      <c r="ET324" t="e">
        <f>AND(#REF!,"AAAAAHtK9ZU=")</f>
        <v>#REF!</v>
      </c>
      <c r="EU324" t="e">
        <f>AND(#REF!,"AAAAAHtK9ZY=")</f>
        <v>#REF!</v>
      </c>
      <c r="EV324" t="e">
        <f>AND(#REF!,"AAAAAHtK9Zc=")</f>
        <v>#REF!</v>
      </c>
      <c r="EW324" t="e">
        <f>AND(#REF!,"AAAAAHtK9Zg=")</f>
        <v>#REF!</v>
      </c>
      <c r="EX324" t="e">
        <f>AND(#REF!,"AAAAAHtK9Zk=")</f>
        <v>#REF!</v>
      </c>
      <c r="EY324" t="e">
        <f>AND(#REF!,"AAAAAHtK9Zo=")</f>
        <v>#REF!</v>
      </c>
      <c r="EZ324" t="e">
        <f>AND(#REF!,"AAAAAHtK9Zs=")</f>
        <v>#REF!</v>
      </c>
      <c r="FA324" t="e">
        <f>AND(#REF!,"AAAAAHtK9Zw=")</f>
        <v>#REF!</v>
      </c>
      <c r="FB324" t="e">
        <f>AND(#REF!,"AAAAAHtK9Z0=")</f>
        <v>#REF!</v>
      </c>
      <c r="FC324" t="e">
        <f>AND(#REF!,"AAAAAHtK9Z4=")</f>
        <v>#REF!</v>
      </c>
      <c r="FD324" t="e">
        <f>AND(#REF!,"AAAAAHtK9Z8=")</f>
        <v>#REF!</v>
      </c>
      <c r="FE324" t="e">
        <f>AND(#REF!,"AAAAAHtK9aA=")</f>
        <v>#REF!</v>
      </c>
      <c r="FF324" t="e">
        <f>AND(#REF!,"AAAAAHtK9aE=")</f>
        <v>#REF!</v>
      </c>
      <c r="FG324" t="e">
        <f>AND(#REF!,"AAAAAHtK9aI=")</f>
        <v>#REF!</v>
      </c>
      <c r="FH324" t="e">
        <f>AND(#REF!,"AAAAAHtK9aM=")</f>
        <v>#REF!</v>
      </c>
      <c r="FI324" t="e">
        <f>AND(#REF!,"AAAAAHtK9aQ=")</f>
        <v>#REF!</v>
      </c>
      <c r="FJ324" t="e">
        <f>AND(#REF!,"AAAAAHtK9aU=")</f>
        <v>#REF!</v>
      </c>
      <c r="FK324" t="e">
        <f>AND(#REF!,"AAAAAHtK9aY=")</f>
        <v>#REF!</v>
      </c>
      <c r="FL324" t="e">
        <f>AND(#REF!,"AAAAAHtK9ac=")</f>
        <v>#REF!</v>
      </c>
      <c r="FM324" t="e">
        <f>AND(#REF!,"AAAAAHtK9ag=")</f>
        <v>#REF!</v>
      </c>
      <c r="FN324" t="e">
        <f>AND(#REF!,"AAAAAHtK9ak=")</f>
        <v>#REF!</v>
      </c>
      <c r="FO324" t="e">
        <f>AND(#REF!,"AAAAAHtK9ao=")</f>
        <v>#REF!</v>
      </c>
      <c r="FP324" t="e">
        <f>AND(#REF!,"AAAAAHtK9as=")</f>
        <v>#REF!</v>
      </c>
      <c r="FQ324" t="e">
        <f>IF(#REF!,"AAAAAHtK9aw=",0)</f>
        <v>#REF!</v>
      </c>
      <c r="FR324" t="e">
        <f>AND(#REF!,"AAAAAHtK9a0=")</f>
        <v>#REF!</v>
      </c>
      <c r="FS324" t="e">
        <f>AND(#REF!,"AAAAAHtK9a4=")</f>
        <v>#REF!</v>
      </c>
      <c r="FT324" t="e">
        <f>AND(#REF!,"AAAAAHtK9a8=")</f>
        <v>#REF!</v>
      </c>
      <c r="FU324" t="e">
        <f>AND(#REF!,"AAAAAHtK9bA=")</f>
        <v>#REF!</v>
      </c>
      <c r="FV324" t="e">
        <f>AND(#REF!,"AAAAAHtK9bE=")</f>
        <v>#REF!</v>
      </c>
      <c r="FW324" t="e">
        <f>AND(#REF!,"AAAAAHtK9bI=")</f>
        <v>#REF!</v>
      </c>
      <c r="FX324" t="e">
        <f>AND(#REF!,"AAAAAHtK9bM=")</f>
        <v>#REF!</v>
      </c>
      <c r="FY324" t="e">
        <f>AND(#REF!,"AAAAAHtK9bQ=")</f>
        <v>#REF!</v>
      </c>
      <c r="FZ324" t="e">
        <f>AND(#REF!,"AAAAAHtK9bU=")</f>
        <v>#REF!</v>
      </c>
      <c r="GA324" t="e">
        <f>AND(#REF!,"AAAAAHtK9bY=")</f>
        <v>#REF!</v>
      </c>
      <c r="GB324" t="e">
        <f>AND(#REF!,"AAAAAHtK9bc=")</f>
        <v>#REF!</v>
      </c>
      <c r="GC324" t="e">
        <f>AND(#REF!,"AAAAAHtK9bg=")</f>
        <v>#REF!</v>
      </c>
      <c r="GD324" t="e">
        <f>AND(#REF!,"AAAAAHtK9bk=")</f>
        <v>#REF!</v>
      </c>
      <c r="GE324" t="e">
        <f>AND(#REF!,"AAAAAHtK9bo=")</f>
        <v>#REF!</v>
      </c>
      <c r="GF324" t="e">
        <f>AND(#REF!,"AAAAAHtK9bs=")</f>
        <v>#REF!</v>
      </c>
      <c r="GG324" t="e">
        <f>AND(#REF!,"AAAAAHtK9bw=")</f>
        <v>#REF!</v>
      </c>
      <c r="GH324" t="e">
        <f>AND(#REF!,"AAAAAHtK9b0=")</f>
        <v>#REF!</v>
      </c>
      <c r="GI324" t="e">
        <f>AND(#REF!,"AAAAAHtK9b4=")</f>
        <v>#REF!</v>
      </c>
      <c r="GJ324" t="e">
        <f>AND(#REF!,"AAAAAHtK9b8=")</f>
        <v>#REF!</v>
      </c>
      <c r="GK324" t="e">
        <f>AND(#REF!,"AAAAAHtK9cA=")</f>
        <v>#REF!</v>
      </c>
      <c r="GL324" t="e">
        <f>AND(#REF!,"AAAAAHtK9cE=")</f>
        <v>#REF!</v>
      </c>
      <c r="GM324" t="e">
        <f>AND(#REF!,"AAAAAHtK9cI=")</f>
        <v>#REF!</v>
      </c>
      <c r="GN324" t="e">
        <f>AND(#REF!,"AAAAAHtK9cM=")</f>
        <v>#REF!</v>
      </c>
      <c r="GO324" t="e">
        <f>AND(#REF!,"AAAAAHtK9cQ=")</f>
        <v>#REF!</v>
      </c>
      <c r="GP324" t="e">
        <f>IF(#REF!,"AAAAAHtK9cU=",0)</f>
        <v>#REF!</v>
      </c>
      <c r="GQ324" t="e">
        <f>AND(#REF!,"AAAAAHtK9cY=")</f>
        <v>#REF!</v>
      </c>
      <c r="GR324" t="e">
        <f>AND(#REF!,"AAAAAHtK9cc=")</f>
        <v>#REF!</v>
      </c>
      <c r="GS324" t="e">
        <f>AND(#REF!,"AAAAAHtK9cg=")</f>
        <v>#REF!</v>
      </c>
      <c r="GT324" t="e">
        <f>AND(#REF!,"AAAAAHtK9ck=")</f>
        <v>#REF!</v>
      </c>
      <c r="GU324" t="e">
        <f>AND(#REF!,"AAAAAHtK9co=")</f>
        <v>#REF!</v>
      </c>
      <c r="GV324" t="e">
        <f>AND(#REF!,"AAAAAHtK9cs=")</f>
        <v>#REF!</v>
      </c>
      <c r="GW324" t="e">
        <f>AND(#REF!,"AAAAAHtK9cw=")</f>
        <v>#REF!</v>
      </c>
      <c r="GX324" t="e">
        <f>AND(#REF!,"AAAAAHtK9c0=")</f>
        <v>#REF!</v>
      </c>
      <c r="GY324" t="e">
        <f>AND(#REF!,"AAAAAHtK9c4=")</f>
        <v>#REF!</v>
      </c>
      <c r="GZ324" t="e">
        <f>AND(#REF!,"AAAAAHtK9c8=")</f>
        <v>#REF!</v>
      </c>
      <c r="HA324" t="e">
        <f>AND(#REF!,"AAAAAHtK9dA=")</f>
        <v>#REF!</v>
      </c>
      <c r="HB324" t="e">
        <f>AND(#REF!,"AAAAAHtK9dE=")</f>
        <v>#REF!</v>
      </c>
      <c r="HC324" t="e">
        <f>AND(#REF!,"AAAAAHtK9dI=")</f>
        <v>#REF!</v>
      </c>
      <c r="HD324" t="e">
        <f>AND(#REF!,"AAAAAHtK9dM=")</f>
        <v>#REF!</v>
      </c>
      <c r="HE324" t="e">
        <f>AND(#REF!,"AAAAAHtK9dQ=")</f>
        <v>#REF!</v>
      </c>
      <c r="HF324" t="e">
        <f>AND(#REF!,"AAAAAHtK9dU=")</f>
        <v>#REF!</v>
      </c>
      <c r="HG324" t="e">
        <f>AND(#REF!,"AAAAAHtK9dY=")</f>
        <v>#REF!</v>
      </c>
      <c r="HH324" t="e">
        <f>AND(#REF!,"AAAAAHtK9dc=")</f>
        <v>#REF!</v>
      </c>
      <c r="HI324" t="e">
        <f>AND(#REF!,"AAAAAHtK9dg=")</f>
        <v>#REF!</v>
      </c>
      <c r="HJ324" t="e">
        <f>AND(#REF!,"AAAAAHtK9dk=")</f>
        <v>#REF!</v>
      </c>
      <c r="HK324" t="e">
        <f>AND(#REF!,"AAAAAHtK9do=")</f>
        <v>#REF!</v>
      </c>
      <c r="HL324" t="e">
        <f>AND(#REF!,"AAAAAHtK9ds=")</f>
        <v>#REF!</v>
      </c>
      <c r="HM324" t="e">
        <f>AND(#REF!,"AAAAAHtK9dw=")</f>
        <v>#REF!</v>
      </c>
      <c r="HN324" t="e">
        <f>AND(#REF!,"AAAAAHtK9d0=")</f>
        <v>#REF!</v>
      </c>
      <c r="HO324" t="e">
        <f>IF(#REF!,"AAAAAHtK9d4=",0)</f>
        <v>#REF!</v>
      </c>
      <c r="HP324" t="e">
        <f>AND(#REF!,"AAAAAHtK9d8=")</f>
        <v>#REF!</v>
      </c>
      <c r="HQ324" t="e">
        <f>AND(#REF!,"AAAAAHtK9eA=")</f>
        <v>#REF!</v>
      </c>
      <c r="HR324" t="e">
        <f>AND(#REF!,"AAAAAHtK9eE=")</f>
        <v>#REF!</v>
      </c>
      <c r="HS324" t="e">
        <f>AND(#REF!,"AAAAAHtK9eI=")</f>
        <v>#REF!</v>
      </c>
      <c r="HT324" t="e">
        <f>AND(#REF!,"AAAAAHtK9eM=")</f>
        <v>#REF!</v>
      </c>
      <c r="HU324" t="e">
        <f>AND(#REF!,"AAAAAHtK9eQ=")</f>
        <v>#REF!</v>
      </c>
      <c r="HV324" t="e">
        <f>AND(#REF!,"AAAAAHtK9eU=")</f>
        <v>#REF!</v>
      </c>
      <c r="HW324" t="e">
        <f>AND(#REF!,"AAAAAHtK9eY=")</f>
        <v>#REF!</v>
      </c>
      <c r="HX324" t="e">
        <f>AND(#REF!,"AAAAAHtK9ec=")</f>
        <v>#REF!</v>
      </c>
      <c r="HY324" t="e">
        <f>AND(#REF!,"AAAAAHtK9eg=")</f>
        <v>#REF!</v>
      </c>
      <c r="HZ324" t="e">
        <f>AND(#REF!,"AAAAAHtK9ek=")</f>
        <v>#REF!</v>
      </c>
      <c r="IA324" t="e">
        <f>AND(#REF!,"AAAAAHtK9eo=")</f>
        <v>#REF!</v>
      </c>
      <c r="IB324" t="e">
        <f>AND(#REF!,"AAAAAHtK9es=")</f>
        <v>#REF!</v>
      </c>
      <c r="IC324" t="e">
        <f>AND(#REF!,"AAAAAHtK9ew=")</f>
        <v>#REF!</v>
      </c>
      <c r="ID324" t="e">
        <f>AND(#REF!,"AAAAAHtK9e0=")</f>
        <v>#REF!</v>
      </c>
      <c r="IE324" t="e">
        <f>AND(#REF!,"AAAAAHtK9e4=")</f>
        <v>#REF!</v>
      </c>
      <c r="IF324" t="e">
        <f>AND(#REF!,"AAAAAHtK9e8=")</f>
        <v>#REF!</v>
      </c>
      <c r="IG324" t="e">
        <f>AND(#REF!,"AAAAAHtK9fA=")</f>
        <v>#REF!</v>
      </c>
      <c r="IH324" t="e">
        <f>AND(#REF!,"AAAAAHtK9fE=")</f>
        <v>#REF!</v>
      </c>
      <c r="II324" t="e">
        <f>AND(#REF!,"AAAAAHtK9fI=")</f>
        <v>#REF!</v>
      </c>
      <c r="IJ324" t="e">
        <f>AND(#REF!,"AAAAAHtK9fM=")</f>
        <v>#REF!</v>
      </c>
      <c r="IK324" t="e">
        <f>AND(#REF!,"AAAAAHtK9fQ=")</f>
        <v>#REF!</v>
      </c>
      <c r="IL324" t="e">
        <f>AND(#REF!,"AAAAAHtK9fU=")</f>
        <v>#REF!</v>
      </c>
      <c r="IM324" t="e">
        <f>AND(#REF!,"AAAAAHtK9fY=")</f>
        <v>#REF!</v>
      </c>
      <c r="IN324" t="e">
        <f>IF(#REF!,"AAAAAHtK9fc=",0)</f>
        <v>#REF!</v>
      </c>
      <c r="IO324" t="e">
        <f>AND(#REF!,"AAAAAHtK9fg=")</f>
        <v>#REF!</v>
      </c>
      <c r="IP324" t="e">
        <f>AND(#REF!,"AAAAAHtK9fk=")</f>
        <v>#REF!</v>
      </c>
      <c r="IQ324" t="e">
        <f>AND(#REF!,"AAAAAHtK9fo=")</f>
        <v>#REF!</v>
      </c>
      <c r="IR324" t="e">
        <f>AND(#REF!,"AAAAAHtK9fs=")</f>
        <v>#REF!</v>
      </c>
      <c r="IS324" t="e">
        <f>AND(#REF!,"AAAAAHtK9fw=")</f>
        <v>#REF!</v>
      </c>
      <c r="IT324" t="e">
        <f>AND(#REF!,"AAAAAHtK9f0=")</f>
        <v>#REF!</v>
      </c>
      <c r="IU324" t="e">
        <f>AND(#REF!,"AAAAAHtK9f4=")</f>
        <v>#REF!</v>
      </c>
      <c r="IV324" t="e">
        <f>AND(#REF!,"AAAAAHtK9f8=")</f>
        <v>#REF!</v>
      </c>
    </row>
    <row r="325" spans="1:256">
      <c r="A325" t="e">
        <f>AND(#REF!,"AAAAAFr/zQA=")</f>
        <v>#REF!</v>
      </c>
      <c r="B325" t="e">
        <f>AND(#REF!,"AAAAAFr/zQE=")</f>
        <v>#REF!</v>
      </c>
      <c r="C325" t="e">
        <f>AND(#REF!,"AAAAAFr/zQI=")</f>
        <v>#REF!</v>
      </c>
      <c r="D325" t="e">
        <f>AND(#REF!,"AAAAAFr/zQM=")</f>
        <v>#REF!</v>
      </c>
      <c r="E325" t="e">
        <f>AND(#REF!,"AAAAAFr/zQQ=")</f>
        <v>#REF!</v>
      </c>
      <c r="F325" t="e">
        <f>AND(#REF!,"AAAAAFr/zQU=")</f>
        <v>#REF!</v>
      </c>
      <c r="G325" t="e">
        <f>AND(#REF!,"AAAAAFr/zQY=")</f>
        <v>#REF!</v>
      </c>
      <c r="H325" t="e">
        <f>AND(#REF!,"AAAAAFr/zQc=")</f>
        <v>#REF!</v>
      </c>
      <c r="I325" t="e">
        <f>AND(#REF!,"AAAAAFr/zQg=")</f>
        <v>#REF!</v>
      </c>
      <c r="J325" t="e">
        <f>AND(#REF!,"AAAAAFr/zQk=")</f>
        <v>#REF!</v>
      </c>
      <c r="K325" t="e">
        <f>AND(#REF!,"AAAAAFr/zQo=")</f>
        <v>#REF!</v>
      </c>
      <c r="L325" t="e">
        <f>AND(#REF!,"AAAAAFr/zQs=")</f>
        <v>#REF!</v>
      </c>
      <c r="M325" t="e">
        <f>AND(#REF!,"AAAAAFr/zQw=")</f>
        <v>#REF!</v>
      </c>
      <c r="N325" t="e">
        <f>AND(#REF!,"AAAAAFr/zQ0=")</f>
        <v>#REF!</v>
      </c>
      <c r="O325" t="e">
        <f>AND(#REF!,"AAAAAFr/zQ4=")</f>
        <v>#REF!</v>
      </c>
      <c r="P325" t="e">
        <f>AND(#REF!,"AAAAAFr/zQ8=")</f>
        <v>#REF!</v>
      </c>
      <c r="Q325" t="e">
        <f>IF(#REF!,"AAAAAFr/zRA=",0)</f>
        <v>#REF!</v>
      </c>
      <c r="R325" t="e">
        <f>AND(#REF!,"AAAAAFr/zRE=")</f>
        <v>#REF!</v>
      </c>
      <c r="S325" t="e">
        <f>AND(#REF!,"AAAAAFr/zRI=")</f>
        <v>#REF!</v>
      </c>
      <c r="T325" t="e">
        <f>AND(#REF!,"AAAAAFr/zRM=")</f>
        <v>#REF!</v>
      </c>
      <c r="U325" t="e">
        <f>AND(#REF!,"AAAAAFr/zRQ=")</f>
        <v>#REF!</v>
      </c>
      <c r="V325" t="e">
        <f>AND(#REF!,"AAAAAFr/zRU=")</f>
        <v>#REF!</v>
      </c>
      <c r="W325" t="e">
        <f>AND(#REF!,"AAAAAFr/zRY=")</f>
        <v>#REF!</v>
      </c>
      <c r="X325" t="e">
        <f>AND(#REF!,"AAAAAFr/zRc=")</f>
        <v>#REF!</v>
      </c>
      <c r="Y325" t="e">
        <f>AND(#REF!,"AAAAAFr/zRg=")</f>
        <v>#REF!</v>
      </c>
      <c r="Z325" t="e">
        <f>AND(#REF!,"AAAAAFr/zRk=")</f>
        <v>#REF!</v>
      </c>
      <c r="AA325" t="e">
        <f>AND(#REF!,"AAAAAFr/zRo=")</f>
        <v>#REF!</v>
      </c>
      <c r="AB325" t="e">
        <f>AND(#REF!,"AAAAAFr/zRs=")</f>
        <v>#REF!</v>
      </c>
      <c r="AC325" t="e">
        <f>AND(#REF!,"AAAAAFr/zRw=")</f>
        <v>#REF!</v>
      </c>
      <c r="AD325" t="e">
        <f>AND(#REF!,"AAAAAFr/zR0=")</f>
        <v>#REF!</v>
      </c>
      <c r="AE325" t="e">
        <f>AND(#REF!,"AAAAAFr/zR4=")</f>
        <v>#REF!</v>
      </c>
      <c r="AF325" t="e">
        <f>AND(#REF!,"AAAAAFr/zR8=")</f>
        <v>#REF!</v>
      </c>
      <c r="AG325" t="e">
        <f>AND(#REF!,"AAAAAFr/zSA=")</f>
        <v>#REF!</v>
      </c>
      <c r="AH325" t="e">
        <f>AND(#REF!,"AAAAAFr/zSE=")</f>
        <v>#REF!</v>
      </c>
      <c r="AI325" t="e">
        <f>AND(#REF!,"AAAAAFr/zSI=")</f>
        <v>#REF!</v>
      </c>
      <c r="AJ325" t="e">
        <f>AND(#REF!,"AAAAAFr/zSM=")</f>
        <v>#REF!</v>
      </c>
      <c r="AK325" t="e">
        <f>AND(#REF!,"AAAAAFr/zSQ=")</f>
        <v>#REF!</v>
      </c>
      <c r="AL325" t="e">
        <f>AND(#REF!,"AAAAAFr/zSU=")</f>
        <v>#REF!</v>
      </c>
      <c r="AM325" t="e">
        <f>AND(#REF!,"AAAAAFr/zSY=")</f>
        <v>#REF!</v>
      </c>
      <c r="AN325" t="e">
        <f>AND(#REF!,"AAAAAFr/zSc=")</f>
        <v>#REF!</v>
      </c>
      <c r="AO325" t="e">
        <f>AND(#REF!,"AAAAAFr/zSg=")</f>
        <v>#REF!</v>
      </c>
      <c r="AP325" t="e">
        <f>IF(#REF!,"AAAAAFr/zSk=",0)</f>
        <v>#REF!</v>
      </c>
      <c r="AQ325" t="e">
        <f>AND(#REF!,"AAAAAFr/zSo=")</f>
        <v>#REF!</v>
      </c>
      <c r="AR325" t="e">
        <f>AND(#REF!,"AAAAAFr/zSs=")</f>
        <v>#REF!</v>
      </c>
      <c r="AS325" t="e">
        <f>AND(#REF!,"AAAAAFr/zSw=")</f>
        <v>#REF!</v>
      </c>
      <c r="AT325" t="e">
        <f>AND(#REF!,"AAAAAFr/zS0=")</f>
        <v>#REF!</v>
      </c>
      <c r="AU325" t="e">
        <f>AND(#REF!,"AAAAAFr/zS4=")</f>
        <v>#REF!</v>
      </c>
      <c r="AV325" t="e">
        <f>AND(#REF!,"AAAAAFr/zS8=")</f>
        <v>#REF!</v>
      </c>
      <c r="AW325" t="e">
        <f>AND(#REF!,"AAAAAFr/zTA=")</f>
        <v>#REF!</v>
      </c>
      <c r="AX325" t="e">
        <f>AND(#REF!,"AAAAAFr/zTE=")</f>
        <v>#REF!</v>
      </c>
      <c r="AY325" t="e">
        <f>AND(#REF!,"AAAAAFr/zTI=")</f>
        <v>#REF!</v>
      </c>
      <c r="AZ325" t="e">
        <f>AND(#REF!,"AAAAAFr/zTM=")</f>
        <v>#REF!</v>
      </c>
      <c r="BA325" t="e">
        <f>AND(#REF!,"AAAAAFr/zTQ=")</f>
        <v>#REF!</v>
      </c>
      <c r="BB325" t="e">
        <f>AND(#REF!,"AAAAAFr/zTU=")</f>
        <v>#REF!</v>
      </c>
      <c r="BC325" t="e">
        <f>AND(#REF!,"AAAAAFr/zTY=")</f>
        <v>#REF!</v>
      </c>
      <c r="BD325" t="e">
        <f>AND(#REF!,"AAAAAFr/zTc=")</f>
        <v>#REF!</v>
      </c>
      <c r="BE325" t="e">
        <f>AND(#REF!,"AAAAAFr/zTg=")</f>
        <v>#REF!</v>
      </c>
      <c r="BF325" t="e">
        <f>AND(#REF!,"AAAAAFr/zTk=")</f>
        <v>#REF!</v>
      </c>
      <c r="BG325" t="e">
        <f>AND(#REF!,"AAAAAFr/zTo=")</f>
        <v>#REF!</v>
      </c>
      <c r="BH325" t="e">
        <f>AND(#REF!,"AAAAAFr/zTs=")</f>
        <v>#REF!</v>
      </c>
      <c r="BI325" t="e">
        <f>AND(#REF!,"AAAAAFr/zTw=")</f>
        <v>#REF!</v>
      </c>
      <c r="BJ325" t="e">
        <f>AND(#REF!,"AAAAAFr/zT0=")</f>
        <v>#REF!</v>
      </c>
      <c r="BK325" t="e">
        <f>AND(#REF!,"AAAAAFr/zT4=")</f>
        <v>#REF!</v>
      </c>
      <c r="BL325" t="e">
        <f>AND(#REF!,"AAAAAFr/zT8=")</f>
        <v>#REF!</v>
      </c>
      <c r="BM325" t="e">
        <f>AND(#REF!,"AAAAAFr/zUA=")</f>
        <v>#REF!</v>
      </c>
      <c r="BN325" t="e">
        <f>AND(#REF!,"AAAAAFr/zUE=")</f>
        <v>#REF!</v>
      </c>
      <c r="BO325" t="e">
        <f>IF(#REF!,"AAAAAFr/zUI=",0)</f>
        <v>#REF!</v>
      </c>
      <c r="BP325" t="e">
        <f>AND(#REF!,"AAAAAFr/zUM=")</f>
        <v>#REF!</v>
      </c>
      <c r="BQ325" t="e">
        <f>AND(#REF!,"AAAAAFr/zUQ=")</f>
        <v>#REF!</v>
      </c>
      <c r="BR325" t="e">
        <f>AND(#REF!,"AAAAAFr/zUU=")</f>
        <v>#REF!</v>
      </c>
      <c r="BS325" t="e">
        <f>AND(#REF!,"AAAAAFr/zUY=")</f>
        <v>#REF!</v>
      </c>
      <c r="BT325" t="e">
        <f>AND(#REF!,"AAAAAFr/zUc=")</f>
        <v>#REF!</v>
      </c>
      <c r="BU325" t="e">
        <f>AND(#REF!,"AAAAAFr/zUg=")</f>
        <v>#REF!</v>
      </c>
      <c r="BV325" t="e">
        <f>AND(#REF!,"AAAAAFr/zUk=")</f>
        <v>#REF!</v>
      </c>
      <c r="BW325" t="e">
        <f>AND(#REF!,"AAAAAFr/zUo=")</f>
        <v>#REF!</v>
      </c>
      <c r="BX325" t="e">
        <f>AND(#REF!,"AAAAAFr/zUs=")</f>
        <v>#REF!</v>
      </c>
      <c r="BY325" t="e">
        <f>AND(#REF!,"AAAAAFr/zUw=")</f>
        <v>#REF!</v>
      </c>
      <c r="BZ325" t="e">
        <f>AND(#REF!,"AAAAAFr/zU0=")</f>
        <v>#REF!</v>
      </c>
      <c r="CA325" t="e">
        <f>AND(#REF!,"AAAAAFr/zU4=")</f>
        <v>#REF!</v>
      </c>
      <c r="CB325" t="e">
        <f>AND(#REF!,"AAAAAFr/zU8=")</f>
        <v>#REF!</v>
      </c>
      <c r="CC325" t="e">
        <f>AND(#REF!,"AAAAAFr/zVA=")</f>
        <v>#REF!</v>
      </c>
      <c r="CD325" t="e">
        <f>AND(#REF!,"AAAAAFr/zVE=")</f>
        <v>#REF!</v>
      </c>
      <c r="CE325" t="e">
        <f>AND(#REF!,"AAAAAFr/zVI=")</f>
        <v>#REF!</v>
      </c>
      <c r="CF325" t="e">
        <f>AND(#REF!,"AAAAAFr/zVM=")</f>
        <v>#REF!</v>
      </c>
      <c r="CG325" t="e">
        <f>AND(#REF!,"AAAAAFr/zVQ=")</f>
        <v>#REF!</v>
      </c>
      <c r="CH325" t="e">
        <f>AND(#REF!,"AAAAAFr/zVU=")</f>
        <v>#REF!</v>
      </c>
      <c r="CI325" t="e">
        <f>AND(#REF!,"AAAAAFr/zVY=")</f>
        <v>#REF!</v>
      </c>
      <c r="CJ325" t="e">
        <f>AND(#REF!,"AAAAAFr/zVc=")</f>
        <v>#REF!</v>
      </c>
      <c r="CK325" t="e">
        <f>AND(#REF!,"AAAAAFr/zVg=")</f>
        <v>#REF!</v>
      </c>
      <c r="CL325" t="e">
        <f>AND(#REF!,"AAAAAFr/zVk=")</f>
        <v>#REF!</v>
      </c>
      <c r="CM325" t="e">
        <f>AND(#REF!,"AAAAAFr/zVo=")</f>
        <v>#REF!</v>
      </c>
      <c r="CN325" t="e">
        <f>IF(#REF!,"AAAAAFr/zVs=",0)</f>
        <v>#REF!</v>
      </c>
      <c r="CO325" t="e">
        <f>AND(#REF!,"AAAAAFr/zVw=")</f>
        <v>#REF!</v>
      </c>
      <c r="CP325" t="e">
        <f>AND(#REF!,"AAAAAFr/zV0=")</f>
        <v>#REF!</v>
      </c>
      <c r="CQ325" t="e">
        <f>AND(#REF!,"AAAAAFr/zV4=")</f>
        <v>#REF!</v>
      </c>
      <c r="CR325" t="e">
        <f>AND(#REF!,"AAAAAFr/zV8=")</f>
        <v>#REF!</v>
      </c>
      <c r="CS325" t="e">
        <f>AND(#REF!,"AAAAAFr/zWA=")</f>
        <v>#REF!</v>
      </c>
      <c r="CT325" t="e">
        <f>AND(#REF!,"AAAAAFr/zWE=")</f>
        <v>#REF!</v>
      </c>
      <c r="CU325" t="e">
        <f>AND(#REF!,"AAAAAFr/zWI=")</f>
        <v>#REF!</v>
      </c>
      <c r="CV325" t="e">
        <f>AND(#REF!,"AAAAAFr/zWM=")</f>
        <v>#REF!</v>
      </c>
      <c r="CW325" t="e">
        <f>AND(#REF!,"AAAAAFr/zWQ=")</f>
        <v>#REF!</v>
      </c>
      <c r="CX325" t="e">
        <f>AND(#REF!,"AAAAAFr/zWU=")</f>
        <v>#REF!</v>
      </c>
      <c r="CY325" t="e">
        <f>AND(#REF!,"AAAAAFr/zWY=")</f>
        <v>#REF!</v>
      </c>
      <c r="CZ325" t="e">
        <f>AND(#REF!,"AAAAAFr/zWc=")</f>
        <v>#REF!</v>
      </c>
      <c r="DA325" t="e">
        <f>AND(#REF!,"AAAAAFr/zWg=")</f>
        <v>#REF!</v>
      </c>
      <c r="DB325" t="e">
        <f>AND(#REF!,"AAAAAFr/zWk=")</f>
        <v>#REF!</v>
      </c>
      <c r="DC325" t="e">
        <f>AND(#REF!,"AAAAAFr/zWo=")</f>
        <v>#REF!</v>
      </c>
      <c r="DD325" t="e">
        <f>AND(#REF!,"AAAAAFr/zWs=")</f>
        <v>#REF!</v>
      </c>
      <c r="DE325" t="e">
        <f>AND(#REF!,"AAAAAFr/zWw=")</f>
        <v>#REF!</v>
      </c>
      <c r="DF325" t="e">
        <f>AND(#REF!,"AAAAAFr/zW0=")</f>
        <v>#REF!</v>
      </c>
      <c r="DG325" t="e">
        <f>AND(#REF!,"AAAAAFr/zW4=")</f>
        <v>#REF!</v>
      </c>
      <c r="DH325" t="e">
        <f>AND(#REF!,"AAAAAFr/zW8=")</f>
        <v>#REF!</v>
      </c>
      <c r="DI325" t="e">
        <f>AND(#REF!,"AAAAAFr/zXA=")</f>
        <v>#REF!</v>
      </c>
      <c r="DJ325" t="e">
        <f>AND(#REF!,"AAAAAFr/zXE=")</f>
        <v>#REF!</v>
      </c>
      <c r="DK325" t="e">
        <f>AND(#REF!,"AAAAAFr/zXI=")</f>
        <v>#REF!</v>
      </c>
      <c r="DL325" t="e">
        <f>AND(#REF!,"AAAAAFr/zXM=")</f>
        <v>#REF!</v>
      </c>
      <c r="DM325" t="e">
        <f>IF(#REF!,"AAAAAFr/zXQ=",0)</f>
        <v>#REF!</v>
      </c>
      <c r="DN325" t="e">
        <f>AND(#REF!,"AAAAAFr/zXU=")</f>
        <v>#REF!</v>
      </c>
      <c r="DO325" t="e">
        <f>AND(#REF!,"AAAAAFr/zXY=")</f>
        <v>#REF!</v>
      </c>
      <c r="DP325" t="e">
        <f>AND(#REF!,"AAAAAFr/zXc=")</f>
        <v>#REF!</v>
      </c>
      <c r="DQ325" t="e">
        <f>AND(#REF!,"AAAAAFr/zXg=")</f>
        <v>#REF!</v>
      </c>
      <c r="DR325" t="e">
        <f>AND(#REF!,"AAAAAFr/zXk=")</f>
        <v>#REF!</v>
      </c>
      <c r="DS325" t="e">
        <f>AND(#REF!,"AAAAAFr/zXo=")</f>
        <v>#REF!</v>
      </c>
      <c r="DT325" t="e">
        <f>AND(#REF!,"AAAAAFr/zXs=")</f>
        <v>#REF!</v>
      </c>
      <c r="DU325" t="e">
        <f>AND(#REF!,"AAAAAFr/zXw=")</f>
        <v>#REF!</v>
      </c>
      <c r="DV325" t="e">
        <f>AND(#REF!,"AAAAAFr/zX0=")</f>
        <v>#REF!</v>
      </c>
      <c r="DW325" t="e">
        <f>AND(#REF!,"AAAAAFr/zX4=")</f>
        <v>#REF!</v>
      </c>
      <c r="DX325" t="e">
        <f>AND(#REF!,"AAAAAFr/zX8=")</f>
        <v>#REF!</v>
      </c>
      <c r="DY325" t="e">
        <f>AND(#REF!,"AAAAAFr/zYA=")</f>
        <v>#REF!</v>
      </c>
      <c r="DZ325" t="e">
        <f>AND(#REF!,"AAAAAFr/zYE=")</f>
        <v>#REF!</v>
      </c>
      <c r="EA325" t="e">
        <f>AND(#REF!,"AAAAAFr/zYI=")</f>
        <v>#REF!</v>
      </c>
      <c r="EB325" t="e">
        <f>AND(#REF!,"AAAAAFr/zYM=")</f>
        <v>#REF!</v>
      </c>
      <c r="EC325" t="e">
        <f>AND(#REF!,"AAAAAFr/zYQ=")</f>
        <v>#REF!</v>
      </c>
      <c r="ED325" t="e">
        <f>AND(#REF!,"AAAAAFr/zYU=")</f>
        <v>#REF!</v>
      </c>
      <c r="EE325" t="e">
        <f>AND(#REF!,"AAAAAFr/zYY=")</f>
        <v>#REF!</v>
      </c>
      <c r="EF325" t="e">
        <f>AND(#REF!,"AAAAAFr/zYc=")</f>
        <v>#REF!</v>
      </c>
      <c r="EG325" t="e">
        <f>AND(#REF!,"AAAAAFr/zYg=")</f>
        <v>#REF!</v>
      </c>
      <c r="EH325" t="e">
        <f>AND(#REF!,"AAAAAFr/zYk=")</f>
        <v>#REF!</v>
      </c>
      <c r="EI325" t="e">
        <f>AND(#REF!,"AAAAAFr/zYo=")</f>
        <v>#REF!</v>
      </c>
      <c r="EJ325" t="e">
        <f>AND(#REF!,"AAAAAFr/zYs=")</f>
        <v>#REF!</v>
      </c>
      <c r="EK325" t="e">
        <f>AND(#REF!,"AAAAAFr/zYw=")</f>
        <v>#REF!</v>
      </c>
      <c r="EL325" t="e">
        <f>IF(#REF!,"AAAAAFr/zY0=",0)</f>
        <v>#REF!</v>
      </c>
      <c r="EM325" t="e">
        <f>AND(#REF!,"AAAAAFr/zY4=")</f>
        <v>#REF!</v>
      </c>
      <c r="EN325" t="e">
        <f>AND(#REF!,"AAAAAFr/zY8=")</f>
        <v>#REF!</v>
      </c>
      <c r="EO325" t="e">
        <f>AND(#REF!,"AAAAAFr/zZA=")</f>
        <v>#REF!</v>
      </c>
      <c r="EP325" t="e">
        <f>AND(#REF!,"AAAAAFr/zZE=")</f>
        <v>#REF!</v>
      </c>
      <c r="EQ325" t="e">
        <f>AND(#REF!,"AAAAAFr/zZI=")</f>
        <v>#REF!</v>
      </c>
      <c r="ER325" t="e">
        <f>AND(#REF!,"AAAAAFr/zZM=")</f>
        <v>#REF!</v>
      </c>
      <c r="ES325" t="e">
        <f>AND(#REF!,"AAAAAFr/zZQ=")</f>
        <v>#REF!</v>
      </c>
      <c r="ET325" t="e">
        <f>AND(#REF!,"AAAAAFr/zZU=")</f>
        <v>#REF!</v>
      </c>
      <c r="EU325" t="e">
        <f>AND(#REF!,"AAAAAFr/zZY=")</f>
        <v>#REF!</v>
      </c>
      <c r="EV325" t="e">
        <f>AND(#REF!,"AAAAAFr/zZc=")</f>
        <v>#REF!</v>
      </c>
      <c r="EW325" t="e">
        <f>AND(#REF!,"AAAAAFr/zZg=")</f>
        <v>#REF!</v>
      </c>
      <c r="EX325" t="e">
        <f>AND(#REF!,"AAAAAFr/zZk=")</f>
        <v>#REF!</v>
      </c>
      <c r="EY325" t="e">
        <f>AND(#REF!,"AAAAAFr/zZo=")</f>
        <v>#REF!</v>
      </c>
      <c r="EZ325" t="e">
        <f>AND(#REF!,"AAAAAFr/zZs=")</f>
        <v>#REF!</v>
      </c>
      <c r="FA325" t="e">
        <f>AND(#REF!,"AAAAAFr/zZw=")</f>
        <v>#REF!</v>
      </c>
      <c r="FB325" t="e">
        <f>AND(#REF!,"AAAAAFr/zZ0=")</f>
        <v>#REF!</v>
      </c>
      <c r="FC325" t="e">
        <f>AND(#REF!,"AAAAAFr/zZ4=")</f>
        <v>#REF!</v>
      </c>
      <c r="FD325" t="e">
        <f>AND(#REF!,"AAAAAFr/zZ8=")</f>
        <v>#REF!</v>
      </c>
      <c r="FE325" t="e">
        <f>AND(#REF!,"AAAAAFr/zaA=")</f>
        <v>#REF!</v>
      </c>
      <c r="FF325" t="e">
        <f>AND(#REF!,"AAAAAFr/zaE=")</f>
        <v>#REF!</v>
      </c>
      <c r="FG325" t="e">
        <f>AND(#REF!,"AAAAAFr/zaI=")</f>
        <v>#REF!</v>
      </c>
      <c r="FH325" t="e">
        <f>AND(#REF!,"AAAAAFr/zaM=")</f>
        <v>#REF!</v>
      </c>
      <c r="FI325" t="e">
        <f>AND(#REF!,"AAAAAFr/zaQ=")</f>
        <v>#REF!</v>
      </c>
      <c r="FJ325" t="e">
        <f>AND(#REF!,"AAAAAFr/zaU=")</f>
        <v>#REF!</v>
      </c>
      <c r="FK325" t="e">
        <f>IF(#REF!,"AAAAAFr/zaY=",0)</f>
        <v>#REF!</v>
      </c>
      <c r="FL325" t="e">
        <f>AND(#REF!,"AAAAAFr/zac=")</f>
        <v>#REF!</v>
      </c>
      <c r="FM325" t="e">
        <f>AND(#REF!,"AAAAAFr/zag=")</f>
        <v>#REF!</v>
      </c>
      <c r="FN325" t="e">
        <f>AND(#REF!,"AAAAAFr/zak=")</f>
        <v>#REF!</v>
      </c>
      <c r="FO325" t="e">
        <f>AND(#REF!,"AAAAAFr/zao=")</f>
        <v>#REF!</v>
      </c>
      <c r="FP325" t="e">
        <f>AND(#REF!,"AAAAAFr/zas=")</f>
        <v>#REF!</v>
      </c>
      <c r="FQ325" t="e">
        <f>AND(#REF!,"AAAAAFr/zaw=")</f>
        <v>#REF!</v>
      </c>
      <c r="FR325" t="e">
        <f>AND(#REF!,"AAAAAFr/za0=")</f>
        <v>#REF!</v>
      </c>
      <c r="FS325" t="e">
        <f>AND(#REF!,"AAAAAFr/za4=")</f>
        <v>#REF!</v>
      </c>
      <c r="FT325" t="e">
        <f>AND(#REF!,"AAAAAFr/za8=")</f>
        <v>#REF!</v>
      </c>
      <c r="FU325" t="e">
        <f>AND(#REF!,"AAAAAFr/zbA=")</f>
        <v>#REF!</v>
      </c>
      <c r="FV325" t="e">
        <f>AND(#REF!,"AAAAAFr/zbE=")</f>
        <v>#REF!</v>
      </c>
      <c r="FW325" t="e">
        <f>AND(#REF!,"AAAAAFr/zbI=")</f>
        <v>#REF!</v>
      </c>
      <c r="FX325" t="e">
        <f>AND(#REF!,"AAAAAFr/zbM=")</f>
        <v>#REF!</v>
      </c>
      <c r="FY325" t="e">
        <f>AND(#REF!,"AAAAAFr/zbQ=")</f>
        <v>#REF!</v>
      </c>
      <c r="FZ325" t="e">
        <f>AND(#REF!,"AAAAAFr/zbU=")</f>
        <v>#REF!</v>
      </c>
      <c r="GA325" t="e">
        <f>AND(#REF!,"AAAAAFr/zbY=")</f>
        <v>#REF!</v>
      </c>
      <c r="GB325" t="e">
        <f>AND(#REF!,"AAAAAFr/zbc=")</f>
        <v>#REF!</v>
      </c>
      <c r="GC325" t="e">
        <f>AND(#REF!,"AAAAAFr/zbg=")</f>
        <v>#REF!</v>
      </c>
      <c r="GD325" t="e">
        <f>AND(#REF!,"AAAAAFr/zbk=")</f>
        <v>#REF!</v>
      </c>
      <c r="GE325" t="e">
        <f>AND(#REF!,"AAAAAFr/zbo=")</f>
        <v>#REF!</v>
      </c>
      <c r="GF325" t="e">
        <f>AND(#REF!,"AAAAAFr/zbs=")</f>
        <v>#REF!</v>
      </c>
      <c r="GG325" t="e">
        <f>AND(#REF!,"AAAAAFr/zbw=")</f>
        <v>#REF!</v>
      </c>
      <c r="GH325" t="e">
        <f>AND(#REF!,"AAAAAFr/zb0=")</f>
        <v>#REF!</v>
      </c>
      <c r="GI325" t="e">
        <f>AND(#REF!,"AAAAAFr/zb4=")</f>
        <v>#REF!</v>
      </c>
      <c r="GJ325" t="e">
        <f>IF(#REF!,"AAAAAFr/zb8=",0)</f>
        <v>#REF!</v>
      </c>
      <c r="GK325" t="e">
        <f>AND(#REF!,"AAAAAFr/zcA=")</f>
        <v>#REF!</v>
      </c>
      <c r="GL325" t="e">
        <f>AND(#REF!,"AAAAAFr/zcE=")</f>
        <v>#REF!</v>
      </c>
      <c r="GM325" t="e">
        <f>AND(#REF!,"AAAAAFr/zcI=")</f>
        <v>#REF!</v>
      </c>
      <c r="GN325" t="e">
        <f>AND(#REF!,"AAAAAFr/zcM=")</f>
        <v>#REF!</v>
      </c>
      <c r="GO325" t="e">
        <f>AND(#REF!,"AAAAAFr/zcQ=")</f>
        <v>#REF!</v>
      </c>
      <c r="GP325" t="e">
        <f>AND(#REF!,"AAAAAFr/zcU=")</f>
        <v>#REF!</v>
      </c>
      <c r="GQ325" t="e">
        <f>AND(#REF!,"AAAAAFr/zcY=")</f>
        <v>#REF!</v>
      </c>
      <c r="GR325" t="e">
        <f>AND(#REF!,"AAAAAFr/zcc=")</f>
        <v>#REF!</v>
      </c>
      <c r="GS325" t="e">
        <f>AND(#REF!,"AAAAAFr/zcg=")</f>
        <v>#REF!</v>
      </c>
      <c r="GT325" t="e">
        <f>AND(#REF!,"AAAAAFr/zck=")</f>
        <v>#REF!</v>
      </c>
      <c r="GU325" t="e">
        <f>AND(#REF!,"AAAAAFr/zco=")</f>
        <v>#REF!</v>
      </c>
      <c r="GV325" t="e">
        <f>AND(#REF!,"AAAAAFr/zcs=")</f>
        <v>#REF!</v>
      </c>
      <c r="GW325" t="e">
        <f>AND(#REF!,"AAAAAFr/zcw=")</f>
        <v>#REF!</v>
      </c>
      <c r="GX325" t="e">
        <f>AND(#REF!,"AAAAAFr/zc0=")</f>
        <v>#REF!</v>
      </c>
      <c r="GY325" t="e">
        <f>AND(#REF!,"AAAAAFr/zc4=")</f>
        <v>#REF!</v>
      </c>
      <c r="GZ325" t="e">
        <f>AND(#REF!,"AAAAAFr/zc8=")</f>
        <v>#REF!</v>
      </c>
      <c r="HA325" t="e">
        <f>AND(#REF!,"AAAAAFr/zdA=")</f>
        <v>#REF!</v>
      </c>
      <c r="HB325" t="e">
        <f>AND(#REF!,"AAAAAFr/zdE=")</f>
        <v>#REF!</v>
      </c>
      <c r="HC325" t="e">
        <f>AND(#REF!,"AAAAAFr/zdI=")</f>
        <v>#REF!</v>
      </c>
      <c r="HD325" t="e">
        <f>AND(#REF!,"AAAAAFr/zdM=")</f>
        <v>#REF!</v>
      </c>
      <c r="HE325" t="e">
        <f>AND(#REF!,"AAAAAFr/zdQ=")</f>
        <v>#REF!</v>
      </c>
      <c r="HF325" t="e">
        <f>AND(#REF!,"AAAAAFr/zdU=")</f>
        <v>#REF!</v>
      </c>
      <c r="HG325" t="e">
        <f>AND(#REF!,"AAAAAFr/zdY=")</f>
        <v>#REF!</v>
      </c>
      <c r="HH325" t="e">
        <f>AND(#REF!,"AAAAAFr/zdc=")</f>
        <v>#REF!</v>
      </c>
      <c r="HI325" t="e">
        <f>IF(#REF!,"AAAAAFr/zdg=",0)</f>
        <v>#REF!</v>
      </c>
      <c r="HJ325" t="e">
        <f>AND(#REF!,"AAAAAFr/zdk=")</f>
        <v>#REF!</v>
      </c>
      <c r="HK325" t="e">
        <f>AND(#REF!,"AAAAAFr/zdo=")</f>
        <v>#REF!</v>
      </c>
      <c r="HL325" t="e">
        <f>AND(#REF!,"AAAAAFr/zds=")</f>
        <v>#REF!</v>
      </c>
      <c r="HM325" t="e">
        <f>AND(#REF!,"AAAAAFr/zdw=")</f>
        <v>#REF!</v>
      </c>
      <c r="HN325" t="e">
        <f>AND(#REF!,"AAAAAFr/zd0=")</f>
        <v>#REF!</v>
      </c>
      <c r="HO325" t="e">
        <f>AND(#REF!,"AAAAAFr/zd4=")</f>
        <v>#REF!</v>
      </c>
      <c r="HP325" t="e">
        <f>AND(#REF!,"AAAAAFr/zd8=")</f>
        <v>#REF!</v>
      </c>
      <c r="HQ325" t="e">
        <f>AND(#REF!,"AAAAAFr/zeA=")</f>
        <v>#REF!</v>
      </c>
      <c r="HR325" t="e">
        <f>AND(#REF!,"AAAAAFr/zeE=")</f>
        <v>#REF!</v>
      </c>
      <c r="HS325" t="e">
        <f>AND(#REF!,"AAAAAFr/zeI=")</f>
        <v>#REF!</v>
      </c>
      <c r="HT325" t="e">
        <f>AND(#REF!,"AAAAAFr/zeM=")</f>
        <v>#REF!</v>
      </c>
      <c r="HU325" t="e">
        <f>AND(#REF!,"AAAAAFr/zeQ=")</f>
        <v>#REF!</v>
      </c>
      <c r="HV325" t="e">
        <f>AND(#REF!,"AAAAAFr/zeU=")</f>
        <v>#REF!</v>
      </c>
      <c r="HW325" t="e">
        <f>AND(#REF!,"AAAAAFr/zeY=")</f>
        <v>#REF!</v>
      </c>
      <c r="HX325" t="e">
        <f>AND(#REF!,"AAAAAFr/zec=")</f>
        <v>#REF!</v>
      </c>
      <c r="HY325" t="e">
        <f>AND(#REF!,"AAAAAFr/zeg=")</f>
        <v>#REF!</v>
      </c>
      <c r="HZ325" t="e">
        <f>AND(#REF!,"AAAAAFr/zek=")</f>
        <v>#REF!</v>
      </c>
      <c r="IA325" t="e">
        <f>AND(#REF!,"AAAAAFr/zeo=")</f>
        <v>#REF!</v>
      </c>
      <c r="IB325" t="e">
        <f>AND(#REF!,"AAAAAFr/zes=")</f>
        <v>#REF!</v>
      </c>
      <c r="IC325" t="e">
        <f>AND(#REF!,"AAAAAFr/zew=")</f>
        <v>#REF!</v>
      </c>
      <c r="ID325" t="e">
        <f>AND(#REF!,"AAAAAFr/ze0=")</f>
        <v>#REF!</v>
      </c>
      <c r="IE325" t="e">
        <f>AND(#REF!,"AAAAAFr/ze4=")</f>
        <v>#REF!</v>
      </c>
      <c r="IF325" t="e">
        <f>AND(#REF!,"AAAAAFr/ze8=")</f>
        <v>#REF!</v>
      </c>
      <c r="IG325" t="e">
        <f>AND(#REF!,"AAAAAFr/zfA=")</f>
        <v>#REF!</v>
      </c>
      <c r="IH325" t="e">
        <f>IF(#REF!,"AAAAAFr/zfE=",0)</f>
        <v>#REF!</v>
      </c>
      <c r="II325" t="e">
        <f>AND(#REF!,"AAAAAFr/zfI=")</f>
        <v>#REF!</v>
      </c>
      <c r="IJ325" t="e">
        <f>AND(#REF!,"AAAAAFr/zfM=")</f>
        <v>#REF!</v>
      </c>
      <c r="IK325" t="e">
        <f>AND(#REF!,"AAAAAFr/zfQ=")</f>
        <v>#REF!</v>
      </c>
      <c r="IL325" t="e">
        <f>AND(#REF!,"AAAAAFr/zfU=")</f>
        <v>#REF!</v>
      </c>
      <c r="IM325" t="e">
        <f>AND(#REF!,"AAAAAFr/zfY=")</f>
        <v>#REF!</v>
      </c>
      <c r="IN325" t="e">
        <f>AND(#REF!,"AAAAAFr/zfc=")</f>
        <v>#REF!</v>
      </c>
      <c r="IO325" t="e">
        <f>AND(#REF!,"AAAAAFr/zfg=")</f>
        <v>#REF!</v>
      </c>
      <c r="IP325" t="e">
        <f>AND(#REF!,"AAAAAFr/zfk=")</f>
        <v>#REF!</v>
      </c>
      <c r="IQ325" t="e">
        <f>AND(#REF!,"AAAAAFr/zfo=")</f>
        <v>#REF!</v>
      </c>
      <c r="IR325" t="e">
        <f>AND(#REF!,"AAAAAFr/zfs=")</f>
        <v>#REF!</v>
      </c>
      <c r="IS325" t="e">
        <f>AND(#REF!,"AAAAAFr/zfw=")</f>
        <v>#REF!</v>
      </c>
      <c r="IT325" t="e">
        <f>AND(#REF!,"AAAAAFr/zf0=")</f>
        <v>#REF!</v>
      </c>
      <c r="IU325" t="e">
        <f>AND(#REF!,"AAAAAFr/zf4=")</f>
        <v>#REF!</v>
      </c>
      <c r="IV325" t="e">
        <f>AND(#REF!,"AAAAAFr/zf8=")</f>
        <v>#REF!</v>
      </c>
    </row>
    <row r="326" spans="1:256">
      <c r="A326" t="e">
        <f>AND(#REF!,"AAAAAD+f7wA=")</f>
        <v>#REF!</v>
      </c>
      <c r="B326" t="e">
        <f>AND(#REF!,"AAAAAD+f7wE=")</f>
        <v>#REF!</v>
      </c>
      <c r="C326" t="e">
        <f>AND(#REF!,"AAAAAD+f7wI=")</f>
        <v>#REF!</v>
      </c>
      <c r="D326" t="e">
        <f>AND(#REF!,"AAAAAD+f7wM=")</f>
        <v>#REF!</v>
      </c>
      <c r="E326" t="e">
        <f>AND(#REF!,"AAAAAD+f7wQ=")</f>
        <v>#REF!</v>
      </c>
      <c r="F326" t="e">
        <f>AND(#REF!,"AAAAAD+f7wU=")</f>
        <v>#REF!</v>
      </c>
      <c r="G326" t="e">
        <f>AND(#REF!,"AAAAAD+f7wY=")</f>
        <v>#REF!</v>
      </c>
      <c r="H326" t="e">
        <f>AND(#REF!,"AAAAAD+f7wc=")</f>
        <v>#REF!</v>
      </c>
      <c r="I326" t="e">
        <f>AND(#REF!,"AAAAAD+f7wg=")</f>
        <v>#REF!</v>
      </c>
      <c r="J326" t="e">
        <f>AND(#REF!,"AAAAAD+f7wk=")</f>
        <v>#REF!</v>
      </c>
      <c r="K326" t="e">
        <f>IF(#REF!,"AAAAAD+f7wo=",0)</f>
        <v>#REF!</v>
      </c>
      <c r="L326" t="e">
        <f>AND(#REF!,"AAAAAD+f7ws=")</f>
        <v>#REF!</v>
      </c>
      <c r="M326" t="e">
        <f>AND(#REF!,"AAAAAD+f7ww=")</f>
        <v>#REF!</v>
      </c>
      <c r="N326" t="e">
        <f>AND(#REF!,"AAAAAD+f7w0=")</f>
        <v>#REF!</v>
      </c>
      <c r="O326" t="e">
        <f>AND(#REF!,"AAAAAD+f7w4=")</f>
        <v>#REF!</v>
      </c>
      <c r="P326" t="e">
        <f>AND(#REF!,"AAAAAD+f7w8=")</f>
        <v>#REF!</v>
      </c>
      <c r="Q326" t="e">
        <f>AND(#REF!,"AAAAAD+f7xA=")</f>
        <v>#REF!</v>
      </c>
      <c r="R326" t="e">
        <f>AND(#REF!,"AAAAAD+f7xE=")</f>
        <v>#REF!</v>
      </c>
      <c r="S326" t="e">
        <f>AND(#REF!,"AAAAAD+f7xI=")</f>
        <v>#REF!</v>
      </c>
      <c r="T326" t="e">
        <f>AND(#REF!,"AAAAAD+f7xM=")</f>
        <v>#REF!</v>
      </c>
      <c r="U326" t="e">
        <f>AND(#REF!,"AAAAAD+f7xQ=")</f>
        <v>#REF!</v>
      </c>
      <c r="V326" t="e">
        <f>AND(#REF!,"AAAAAD+f7xU=")</f>
        <v>#REF!</v>
      </c>
      <c r="W326" t="e">
        <f>AND(#REF!,"AAAAAD+f7xY=")</f>
        <v>#REF!</v>
      </c>
      <c r="X326" t="e">
        <f>AND(#REF!,"AAAAAD+f7xc=")</f>
        <v>#REF!</v>
      </c>
      <c r="Y326" t="e">
        <f>AND(#REF!,"AAAAAD+f7xg=")</f>
        <v>#REF!</v>
      </c>
      <c r="Z326" t="e">
        <f>AND(#REF!,"AAAAAD+f7xk=")</f>
        <v>#REF!</v>
      </c>
      <c r="AA326" t="e">
        <f>AND(#REF!,"AAAAAD+f7xo=")</f>
        <v>#REF!</v>
      </c>
      <c r="AB326" t="e">
        <f>AND(#REF!,"AAAAAD+f7xs=")</f>
        <v>#REF!</v>
      </c>
      <c r="AC326" t="e">
        <f>AND(#REF!,"AAAAAD+f7xw=")</f>
        <v>#REF!</v>
      </c>
      <c r="AD326" t="e">
        <f>AND(#REF!,"AAAAAD+f7x0=")</f>
        <v>#REF!</v>
      </c>
      <c r="AE326" t="e">
        <f>AND(#REF!,"AAAAAD+f7x4=")</f>
        <v>#REF!</v>
      </c>
      <c r="AF326" t="e">
        <f>AND(#REF!,"AAAAAD+f7x8=")</f>
        <v>#REF!</v>
      </c>
      <c r="AG326" t="e">
        <f>AND(#REF!,"AAAAAD+f7yA=")</f>
        <v>#REF!</v>
      </c>
      <c r="AH326" t="e">
        <f>AND(#REF!,"AAAAAD+f7yE=")</f>
        <v>#REF!</v>
      </c>
      <c r="AI326" t="e">
        <f>AND(#REF!,"AAAAAD+f7yI=")</f>
        <v>#REF!</v>
      </c>
      <c r="AJ326" t="e">
        <f>IF(#REF!,"AAAAAD+f7yM=",0)</f>
        <v>#REF!</v>
      </c>
      <c r="AK326" t="e">
        <f>AND(#REF!,"AAAAAD+f7yQ=")</f>
        <v>#REF!</v>
      </c>
      <c r="AL326" t="e">
        <f>AND(#REF!,"AAAAAD+f7yU=")</f>
        <v>#REF!</v>
      </c>
      <c r="AM326" t="e">
        <f>AND(#REF!,"AAAAAD+f7yY=")</f>
        <v>#REF!</v>
      </c>
      <c r="AN326" t="e">
        <f>AND(#REF!,"AAAAAD+f7yc=")</f>
        <v>#REF!</v>
      </c>
      <c r="AO326" t="e">
        <f>AND(#REF!,"AAAAAD+f7yg=")</f>
        <v>#REF!</v>
      </c>
      <c r="AP326" t="e">
        <f>AND(#REF!,"AAAAAD+f7yk=")</f>
        <v>#REF!</v>
      </c>
      <c r="AQ326" t="e">
        <f>AND(#REF!,"AAAAAD+f7yo=")</f>
        <v>#REF!</v>
      </c>
      <c r="AR326" t="e">
        <f>AND(#REF!,"AAAAAD+f7ys=")</f>
        <v>#REF!</v>
      </c>
      <c r="AS326" t="e">
        <f>AND(#REF!,"AAAAAD+f7yw=")</f>
        <v>#REF!</v>
      </c>
      <c r="AT326" t="e">
        <f>AND(#REF!,"AAAAAD+f7y0=")</f>
        <v>#REF!</v>
      </c>
      <c r="AU326" t="e">
        <f>AND(#REF!,"AAAAAD+f7y4=")</f>
        <v>#REF!</v>
      </c>
      <c r="AV326" t="e">
        <f>AND(#REF!,"AAAAAD+f7y8=")</f>
        <v>#REF!</v>
      </c>
      <c r="AW326" t="e">
        <f>AND(#REF!,"AAAAAD+f7zA=")</f>
        <v>#REF!</v>
      </c>
      <c r="AX326" t="e">
        <f>AND(#REF!,"AAAAAD+f7zE=")</f>
        <v>#REF!</v>
      </c>
      <c r="AY326" t="e">
        <f>AND(#REF!,"AAAAAD+f7zI=")</f>
        <v>#REF!</v>
      </c>
      <c r="AZ326" t="e">
        <f>AND(#REF!,"AAAAAD+f7zM=")</f>
        <v>#REF!</v>
      </c>
      <c r="BA326" t="e">
        <f>AND(#REF!,"AAAAAD+f7zQ=")</f>
        <v>#REF!</v>
      </c>
      <c r="BB326" t="e">
        <f>AND(#REF!,"AAAAAD+f7zU=")</f>
        <v>#REF!</v>
      </c>
      <c r="BC326" t="e">
        <f>AND(#REF!,"AAAAAD+f7zY=")</f>
        <v>#REF!</v>
      </c>
      <c r="BD326" t="e">
        <f>AND(#REF!,"AAAAAD+f7zc=")</f>
        <v>#REF!</v>
      </c>
      <c r="BE326" t="e">
        <f>AND(#REF!,"AAAAAD+f7zg=")</f>
        <v>#REF!</v>
      </c>
      <c r="BF326" t="e">
        <f>AND(#REF!,"AAAAAD+f7zk=")</f>
        <v>#REF!</v>
      </c>
      <c r="BG326" t="e">
        <f>AND(#REF!,"AAAAAD+f7zo=")</f>
        <v>#REF!</v>
      </c>
      <c r="BH326" t="e">
        <f>AND(#REF!,"AAAAAD+f7zs=")</f>
        <v>#REF!</v>
      </c>
      <c r="BI326" t="e">
        <f>IF(#REF!,"AAAAAD+f7zw=",0)</f>
        <v>#REF!</v>
      </c>
      <c r="BJ326" t="e">
        <f>AND(#REF!,"AAAAAD+f7z0=")</f>
        <v>#REF!</v>
      </c>
      <c r="BK326" t="e">
        <f>AND(#REF!,"AAAAAD+f7z4=")</f>
        <v>#REF!</v>
      </c>
      <c r="BL326" t="e">
        <f>AND(#REF!,"AAAAAD+f7z8=")</f>
        <v>#REF!</v>
      </c>
      <c r="BM326" t="e">
        <f>AND(#REF!,"AAAAAD+f70A=")</f>
        <v>#REF!</v>
      </c>
      <c r="BN326" t="e">
        <f>AND(#REF!,"AAAAAD+f70E=")</f>
        <v>#REF!</v>
      </c>
      <c r="BO326" t="e">
        <f>AND(#REF!,"AAAAAD+f70I=")</f>
        <v>#REF!</v>
      </c>
      <c r="BP326" t="e">
        <f>AND(#REF!,"AAAAAD+f70M=")</f>
        <v>#REF!</v>
      </c>
      <c r="BQ326" t="e">
        <f>AND(#REF!,"AAAAAD+f70Q=")</f>
        <v>#REF!</v>
      </c>
      <c r="BR326" t="e">
        <f>AND(#REF!,"AAAAAD+f70U=")</f>
        <v>#REF!</v>
      </c>
      <c r="BS326" t="e">
        <f>AND(#REF!,"AAAAAD+f70Y=")</f>
        <v>#REF!</v>
      </c>
      <c r="BT326" t="e">
        <f>AND(#REF!,"AAAAAD+f70c=")</f>
        <v>#REF!</v>
      </c>
      <c r="BU326" t="e">
        <f>AND(#REF!,"AAAAAD+f70g=")</f>
        <v>#REF!</v>
      </c>
      <c r="BV326" t="e">
        <f>AND(#REF!,"AAAAAD+f70k=")</f>
        <v>#REF!</v>
      </c>
      <c r="BW326" t="e">
        <f>AND(#REF!,"AAAAAD+f70o=")</f>
        <v>#REF!</v>
      </c>
      <c r="BX326" t="e">
        <f>AND(#REF!,"AAAAAD+f70s=")</f>
        <v>#REF!</v>
      </c>
      <c r="BY326" t="e">
        <f>AND(#REF!,"AAAAAD+f70w=")</f>
        <v>#REF!</v>
      </c>
      <c r="BZ326" t="e">
        <f>AND(#REF!,"AAAAAD+f700=")</f>
        <v>#REF!</v>
      </c>
      <c r="CA326" t="e">
        <f>AND(#REF!,"AAAAAD+f704=")</f>
        <v>#REF!</v>
      </c>
      <c r="CB326" t="e">
        <f>AND(#REF!,"AAAAAD+f708=")</f>
        <v>#REF!</v>
      </c>
      <c r="CC326" t="e">
        <f>AND(#REF!,"AAAAAD+f71A=")</f>
        <v>#REF!</v>
      </c>
      <c r="CD326" t="e">
        <f>AND(#REF!,"AAAAAD+f71E=")</f>
        <v>#REF!</v>
      </c>
      <c r="CE326" t="e">
        <f>AND(#REF!,"AAAAAD+f71I=")</f>
        <v>#REF!</v>
      </c>
      <c r="CF326" t="e">
        <f>AND(#REF!,"AAAAAD+f71M=")</f>
        <v>#REF!</v>
      </c>
      <c r="CG326" t="e">
        <f>AND(#REF!,"AAAAAD+f71Q=")</f>
        <v>#REF!</v>
      </c>
      <c r="CH326" t="e">
        <f>IF(#REF!,"AAAAAD+f71U=",0)</f>
        <v>#REF!</v>
      </c>
      <c r="CI326" t="e">
        <f>AND(#REF!,"AAAAAD+f71Y=")</f>
        <v>#REF!</v>
      </c>
      <c r="CJ326" t="e">
        <f>AND(#REF!,"AAAAAD+f71c=")</f>
        <v>#REF!</v>
      </c>
      <c r="CK326" t="e">
        <f>AND(#REF!,"AAAAAD+f71g=")</f>
        <v>#REF!</v>
      </c>
      <c r="CL326" t="e">
        <f>AND(#REF!,"AAAAAD+f71k=")</f>
        <v>#REF!</v>
      </c>
      <c r="CM326" t="e">
        <f>AND(#REF!,"AAAAAD+f71o=")</f>
        <v>#REF!</v>
      </c>
      <c r="CN326" t="e">
        <f>AND(#REF!,"AAAAAD+f71s=")</f>
        <v>#REF!</v>
      </c>
      <c r="CO326" t="e">
        <f>AND(#REF!,"AAAAAD+f71w=")</f>
        <v>#REF!</v>
      </c>
      <c r="CP326" t="e">
        <f>AND(#REF!,"AAAAAD+f710=")</f>
        <v>#REF!</v>
      </c>
      <c r="CQ326" t="e">
        <f>AND(#REF!,"AAAAAD+f714=")</f>
        <v>#REF!</v>
      </c>
      <c r="CR326" t="e">
        <f>AND(#REF!,"AAAAAD+f718=")</f>
        <v>#REF!</v>
      </c>
      <c r="CS326" t="e">
        <f>AND(#REF!,"AAAAAD+f72A=")</f>
        <v>#REF!</v>
      </c>
      <c r="CT326" t="e">
        <f>AND(#REF!,"AAAAAD+f72E=")</f>
        <v>#REF!</v>
      </c>
      <c r="CU326" t="e">
        <f>AND(#REF!,"AAAAAD+f72I=")</f>
        <v>#REF!</v>
      </c>
      <c r="CV326" t="e">
        <f>AND(#REF!,"AAAAAD+f72M=")</f>
        <v>#REF!</v>
      </c>
      <c r="CW326" t="e">
        <f>AND(#REF!,"AAAAAD+f72Q=")</f>
        <v>#REF!</v>
      </c>
      <c r="CX326" t="e">
        <f>AND(#REF!,"AAAAAD+f72U=")</f>
        <v>#REF!</v>
      </c>
      <c r="CY326" t="e">
        <f>AND(#REF!,"AAAAAD+f72Y=")</f>
        <v>#REF!</v>
      </c>
      <c r="CZ326" t="e">
        <f>AND(#REF!,"AAAAAD+f72c=")</f>
        <v>#REF!</v>
      </c>
      <c r="DA326" t="e">
        <f>AND(#REF!,"AAAAAD+f72g=")</f>
        <v>#REF!</v>
      </c>
      <c r="DB326" t="e">
        <f>AND(#REF!,"AAAAAD+f72k=")</f>
        <v>#REF!</v>
      </c>
      <c r="DC326" t="e">
        <f>AND(#REF!,"AAAAAD+f72o=")</f>
        <v>#REF!</v>
      </c>
      <c r="DD326" t="e">
        <f>AND(#REF!,"AAAAAD+f72s=")</f>
        <v>#REF!</v>
      </c>
      <c r="DE326" t="e">
        <f>AND(#REF!,"AAAAAD+f72w=")</f>
        <v>#REF!</v>
      </c>
      <c r="DF326" t="e">
        <f>AND(#REF!,"AAAAAD+f720=")</f>
        <v>#REF!</v>
      </c>
      <c r="DG326" t="e">
        <f>IF(#REF!,"AAAAAD+f724=",0)</f>
        <v>#REF!</v>
      </c>
      <c r="DH326" t="e">
        <f>AND(#REF!,"AAAAAD+f728=")</f>
        <v>#REF!</v>
      </c>
      <c r="DI326" t="e">
        <f>AND(#REF!,"AAAAAD+f73A=")</f>
        <v>#REF!</v>
      </c>
      <c r="DJ326" t="e">
        <f>AND(#REF!,"AAAAAD+f73E=")</f>
        <v>#REF!</v>
      </c>
      <c r="DK326" t="e">
        <f>AND(#REF!,"AAAAAD+f73I=")</f>
        <v>#REF!</v>
      </c>
      <c r="DL326" t="e">
        <f>AND(#REF!,"AAAAAD+f73M=")</f>
        <v>#REF!</v>
      </c>
      <c r="DM326" t="e">
        <f>AND(#REF!,"AAAAAD+f73Q=")</f>
        <v>#REF!</v>
      </c>
      <c r="DN326" t="e">
        <f>AND(#REF!,"AAAAAD+f73U=")</f>
        <v>#REF!</v>
      </c>
      <c r="DO326" t="e">
        <f>AND(#REF!,"AAAAAD+f73Y=")</f>
        <v>#REF!</v>
      </c>
      <c r="DP326" t="e">
        <f>AND(#REF!,"AAAAAD+f73c=")</f>
        <v>#REF!</v>
      </c>
      <c r="DQ326" t="e">
        <f>AND(#REF!,"AAAAAD+f73g=")</f>
        <v>#REF!</v>
      </c>
      <c r="DR326" t="e">
        <f>AND(#REF!,"AAAAAD+f73k=")</f>
        <v>#REF!</v>
      </c>
      <c r="DS326" t="e">
        <f>AND(#REF!,"AAAAAD+f73o=")</f>
        <v>#REF!</v>
      </c>
      <c r="DT326" t="e">
        <f>AND(#REF!,"AAAAAD+f73s=")</f>
        <v>#REF!</v>
      </c>
      <c r="DU326" t="e">
        <f>AND(#REF!,"AAAAAD+f73w=")</f>
        <v>#REF!</v>
      </c>
      <c r="DV326" t="e">
        <f>AND(#REF!,"AAAAAD+f730=")</f>
        <v>#REF!</v>
      </c>
      <c r="DW326" t="e">
        <f>AND(#REF!,"AAAAAD+f734=")</f>
        <v>#REF!</v>
      </c>
      <c r="DX326" t="e">
        <f>AND(#REF!,"AAAAAD+f738=")</f>
        <v>#REF!</v>
      </c>
      <c r="DY326" t="e">
        <f>AND(#REF!,"AAAAAD+f74A=")</f>
        <v>#REF!</v>
      </c>
      <c r="DZ326" t="e">
        <f>AND(#REF!,"AAAAAD+f74E=")</f>
        <v>#REF!</v>
      </c>
      <c r="EA326" t="e">
        <f>AND(#REF!,"AAAAAD+f74I=")</f>
        <v>#REF!</v>
      </c>
      <c r="EB326" t="e">
        <f>AND(#REF!,"AAAAAD+f74M=")</f>
        <v>#REF!</v>
      </c>
      <c r="EC326" t="e">
        <f>AND(#REF!,"AAAAAD+f74Q=")</f>
        <v>#REF!</v>
      </c>
      <c r="ED326" t="e">
        <f>AND(#REF!,"AAAAAD+f74U=")</f>
        <v>#REF!</v>
      </c>
      <c r="EE326" t="e">
        <f>AND(#REF!,"AAAAAD+f74Y=")</f>
        <v>#REF!</v>
      </c>
      <c r="EF326" t="e">
        <f>IF(#REF!,"AAAAAD+f74c=",0)</f>
        <v>#REF!</v>
      </c>
      <c r="EG326" t="e">
        <f>AND(#REF!,"AAAAAD+f74g=")</f>
        <v>#REF!</v>
      </c>
      <c r="EH326" t="e">
        <f>AND(#REF!,"AAAAAD+f74k=")</f>
        <v>#REF!</v>
      </c>
      <c r="EI326" t="e">
        <f>AND(#REF!,"AAAAAD+f74o=")</f>
        <v>#REF!</v>
      </c>
      <c r="EJ326" t="e">
        <f>AND(#REF!,"AAAAAD+f74s=")</f>
        <v>#REF!</v>
      </c>
      <c r="EK326" t="e">
        <f>AND(#REF!,"AAAAAD+f74w=")</f>
        <v>#REF!</v>
      </c>
      <c r="EL326" t="e">
        <f>AND(#REF!,"AAAAAD+f740=")</f>
        <v>#REF!</v>
      </c>
      <c r="EM326" t="e">
        <f>AND(#REF!,"AAAAAD+f744=")</f>
        <v>#REF!</v>
      </c>
      <c r="EN326" t="e">
        <f>AND(#REF!,"AAAAAD+f748=")</f>
        <v>#REF!</v>
      </c>
      <c r="EO326" t="e">
        <f>AND(#REF!,"AAAAAD+f75A=")</f>
        <v>#REF!</v>
      </c>
      <c r="EP326" t="e">
        <f>AND(#REF!,"AAAAAD+f75E=")</f>
        <v>#REF!</v>
      </c>
      <c r="EQ326" t="e">
        <f>AND(#REF!,"AAAAAD+f75I=")</f>
        <v>#REF!</v>
      </c>
      <c r="ER326" t="e">
        <f>AND(#REF!,"AAAAAD+f75M=")</f>
        <v>#REF!</v>
      </c>
      <c r="ES326" t="e">
        <f>AND(#REF!,"AAAAAD+f75Q=")</f>
        <v>#REF!</v>
      </c>
      <c r="ET326" t="e">
        <f>AND(#REF!,"AAAAAD+f75U=")</f>
        <v>#REF!</v>
      </c>
      <c r="EU326" t="e">
        <f>AND(#REF!,"AAAAAD+f75Y=")</f>
        <v>#REF!</v>
      </c>
      <c r="EV326" t="e">
        <f>AND(#REF!,"AAAAAD+f75c=")</f>
        <v>#REF!</v>
      </c>
      <c r="EW326" t="e">
        <f>AND(#REF!,"AAAAAD+f75g=")</f>
        <v>#REF!</v>
      </c>
      <c r="EX326" t="e">
        <f>AND(#REF!,"AAAAAD+f75k=")</f>
        <v>#REF!</v>
      </c>
      <c r="EY326" t="e">
        <f>AND(#REF!,"AAAAAD+f75o=")</f>
        <v>#REF!</v>
      </c>
      <c r="EZ326" t="e">
        <f>AND(#REF!,"AAAAAD+f75s=")</f>
        <v>#REF!</v>
      </c>
      <c r="FA326" t="e">
        <f>AND(#REF!,"AAAAAD+f75w=")</f>
        <v>#REF!</v>
      </c>
      <c r="FB326" t="e">
        <f>AND(#REF!,"AAAAAD+f750=")</f>
        <v>#REF!</v>
      </c>
      <c r="FC326" t="e">
        <f>AND(#REF!,"AAAAAD+f754=")</f>
        <v>#REF!</v>
      </c>
      <c r="FD326" t="e">
        <f>AND(#REF!,"AAAAAD+f758=")</f>
        <v>#REF!</v>
      </c>
      <c r="FE326" t="e">
        <f>IF(#REF!,"AAAAAD+f76A=",0)</f>
        <v>#REF!</v>
      </c>
      <c r="FF326" t="e">
        <f>AND(#REF!,"AAAAAD+f76E=")</f>
        <v>#REF!</v>
      </c>
      <c r="FG326" t="e">
        <f>AND(#REF!,"AAAAAD+f76I=")</f>
        <v>#REF!</v>
      </c>
      <c r="FH326" t="e">
        <f>AND(#REF!,"AAAAAD+f76M=")</f>
        <v>#REF!</v>
      </c>
      <c r="FI326" t="e">
        <f>AND(#REF!,"AAAAAD+f76Q=")</f>
        <v>#REF!</v>
      </c>
      <c r="FJ326" t="e">
        <f>AND(#REF!,"AAAAAD+f76U=")</f>
        <v>#REF!</v>
      </c>
      <c r="FK326" t="e">
        <f>AND(#REF!,"AAAAAD+f76Y=")</f>
        <v>#REF!</v>
      </c>
      <c r="FL326" t="e">
        <f>AND(#REF!,"AAAAAD+f76c=")</f>
        <v>#REF!</v>
      </c>
      <c r="FM326" t="e">
        <f>AND(#REF!,"AAAAAD+f76g=")</f>
        <v>#REF!</v>
      </c>
      <c r="FN326" t="e">
        <f>AND(#REF!,"AAAAAD+f76k=")</f>
        <v>#REF!</v>
      </c>
      <c r="FO326" t="e">
        <f>AND(#REF!,"AAAAAD+f76o=")</f>
        <v>#REF!</v>
      </c>
      <c r="FP326" t="e">
        <f>AND(#REF!,"AAAAAD+f76s=")</f>
        <v>#REF!</v>
      </c>
      <c r="FQ326" t="e">
        <f>AND(#REF!,"AAAAAD+f76w=")</f>
        <v>#REF!</v>
      </c>
      <c r="FR326" t="e">
        <f>AND(#REF!,"AAAAAD+f760=")</f>
        <v>#REF!</v>
      </c>
      <c r="FS326" t="e">
        <f>AND(#REF!,"AAAAAD+f764=")</f>
        <v>#REF!</v>
      </c>
      <c r="FT326" t="e">
        <f>AND(#REF!,"AAAAAD+f768=")</f>
        <v>#REF!</v>
      </c>
      <c r="FU326" t="e">
        <f>AND(#REF!,"AAAAAD+f77A=")</f>
        <v>#REF!</v>
      </c>
      <c r="FV326" t="e">
        <f>AND(#REF!,"AAAAAD+f77E=")</f>
        <v>#REF!</v>
      </c>
      <c r="FW326" t="e">
        <f>AND(#REF!,"AAAAAD+f77I=")</f>
        <v>#REF!</v>
      </c>
      <c r="FX326" t="e">
        <f>AND(#REF!,"AAAAAD+f77M=")</f>
        <v>#REF!</v>
      </c>
      <c r="FY326" t="e">
        <f>AND(#REF!,"AAAAAD+f77Q=")</f>
        <v>#REF!</v>
      </c>
      <c r="FZ326" t="e">
        <f>AND(#REF!,"AAAAAD+f77U=")</f>
        <v>#REF!</v>
      </c>
      <c r="GA326" t="e">
        <f>AND(#REF!,"AAAAAD+f77Y=")</f>
        <v>#REF!</v>
      </c>
      <c r="GB326" t="e">
        <f>AND(#REF!,"AAAAAD+f77c=")</f>
        <v>#REF!</v>
      </c>
      <c r="GC326" t="e">
        <f>AND(#REF!,"AAAAAD+f77g=")</f>
        <v>#REF!</v>
      </c>
      <c r="GD326" t="e">
        <f>IF(#REF!,"AAAAAD+f77k=",0)</f>
        <v>#REF!</v>
      </c>
      <c r="GE326" t="e">
        <f>AND(#REF!,"AAAAAD+f77o=")</f>
        <v>#REF!</v>
      </c>
      <c r="GF326" t="e">
        <f>AND(#REF!,"AAAAAD+f77s=")</f>
        <v>#REF!</v>
      </c>
      <c r="GG326" t="e">
        <f>AND(#REF!,"AAAAAD+f77w=")</f>
        <v>#REF!</v>
      </c>
      <c r="GH326" t="e">
        <f>AND(#REF!,"AAAAAD+f770=")</f>
        <v>#REF!</v>
      </c>
      <c r="GI326" t="e">
        <f>AND(#REF!,"AAAAAD+f774=")</f>
        <v>#REF!</v>
      </c>
      <c r="GJ326" t="e">
        <f>AND(#REF!,"AAAAAD+f778=")</f>
        <v>#REF!</v>
      </c>
      <c r="GK326" t="e">
        <f>AND(#REF!,"AAAAAD+f78A=")</f>
        <v>#REF!</v>
      </c>
      <c r="GL326" t="e">
        <f>AND(#REF!,"AAAAAD+f78E=")</f>
        <v>#REF!</v>
      </c>
      <c r="GM326" t="e">
        <f>AND(#REF!,"AAAAAD+f78I=")</f>
        <v>#REF!</v>
      </c>
      <c r="GN326" t="e">
        <f>AND(#REF!,"AAAAAD+f78M=")</f>
        <v>#REF!</v>
      </c>
      <c r="GO326" t="e">
        <f>AND(#REF!,"AAAAAD+f78Q=")</f>
        <v>#REF!</v>
      </c>
      <c r="GP326" t="e">
        <f>AND(#REF!,"AAAAAD+f78U=")</f>
        <v>#REF!</v>
      </c>
      <c r="GQ326" t="e">
        <f>AND(#REF!,"AAAAAD+f78Y=")</f>
        <v>#REF!</v>
      </c>
      <c r="GR326" t="e">
        <f>AND(#REF!,"AAAAAD+f78c=")</f>
        <v>#REF!</v>
      </c>
      <c r="GS326" t="e">
        <f>AND(#REF!,"AAAAAD+f78g=")</f>
        <v>#REF!</v>
      </c>
      <c r="GT326" t="e">
        <f>AND(#REF!,"AAAAAD+f78k=")</f>
        <v>#REF!</v>
      </c>
      <c r="GU326" t="e">
        <f>AND(#REF!,"AAAAAD+f78o=")</f>
        <v>#REF!</v>
      </c>
      <c r="GV326" t="e">
        <f>AND(#REF!,"AAAAAD+f78s=")</f>
        <v>#REF!</v>
      </c>
      <c r="GW326" t="e">
        <f>AND(#REF!,"AAAAAD+f78w=")</f>
        <v>#REF!</v>
      </c>
      <c r="GX326" t="e">
        <f>AND(#REF!,"AAAAAD+f780=")</f>
        <v>#REF!</v>
      </c>
      <c r="GY326" t="e">
        <f>AND(#REF!,"AAAAAD+f784=")</f>
        <v>#REF!</v>
      </c>
      <c r="GZ326" t="e">
        <f>AND(#REF!,"AAAAAD+f788=")</f>
        <v>#REF!</v>
      </c>
      <c r="HA326" t="e">
        <f>AND(#REF!,"AAAAAD+f79A=")</f>
        <v>#REF!</v>
      </c>
      <c r="HB326" t="e">
        <f>AND(#REF!,"AAAAAD+f79E=")</f>
        <v>#REF!</v>
      </c>
      <c r="HC326" t="e">
        <f>IF(#REF!,"AAAAAD+f79I=",0)</f>
        <v>#REF!</v>
      </c>
      <c r="HD326" t="e">
        <f>AND(#REF!,"AAAAAD+f79M=")</f>
        <v>#REF!</v>
      </c>
      <c r="HE326" t="e">
        <f>AND(#REF!,"AAAAAD+f79Q=")</f>
        <v>#REF!</v>
      </c>
      <c r="HF326" t="e">
        <f>AND(#REF!,"AAAAAD+f79U=")</f>
        <v>#REF!</v>
      </c>
      <c r="HG326" t="e">
        <f>AND(#REF!,"AAAAAD+f79Y=")</f>
        <v>#REF!</v>
      </c>
      <c r="HH326" t="e">
        <f>AND(#REF!,"AAAAAD+f79c=")</f>
        <v>#REF!</v>
      </c>
      <c r="HI326" t="e">
        <f>AND(#REF!,"AAAAAD+f79g=")</f>
        <v>#REF!</v>
      </c>
      <c r="HJ326" t="e">
        <f>AND(#REF!,"AAAAAD+f79k=")</f>
        <v>#REF!</v>
      </c>
      <c r="HK326" t="e">
        <f>AND(#REF!,"AAAAAD+f79o=")</f>
        <v>#REF!</v>
      </c>
      <c r="HL326" t="e">
        <f>AND(#REF!,"AAAAAD+f79s=")</f>
        <v>#REF!</v>
      </c>
      <c r="HM326" t="e">
        <f>AND(#REF!,"AAAAAD+f79w=")</f>
        <v>#REF!</v>
      </c>
      <c r="HN326" t="e">
        <f>AND(#REF!,"AAAAAD+f790=")</f>
        <v>#REF!</v>
      </c>
      <c r="HO326" t="e">
        <f>AND(#REF!,"AAAAAD+f794=")</f>
        <v>#REF!</v>
      </c>
      <c r="HP326" t="e">
        <f>AND(#REF!,"AAAAAD+f798=")</f>
        <v>#REF!</v>
      </c>
      <c r="HQ326" t="e">
        <f>AND(#REF!,"AAAAAD+f7+A=")</f>
        <v>#REF!</v>
      </c>
      <c r="HR326" t="e">
        <f>AND(#REF!,"AAAAAD+f7+E=")</f>
        <v>#REF!</v>
      </c>
      <c r="HS326" t="e">
        <f>AND(#REF!,"AAAAAD+f7+I=")</f>
        <v>#REF!</v>
      </c>
      <c r="HT326" t="e">
        <f>AND(#REF!,"AAAAAD+f7+M=")</f>
        <v>#REF!</v>
      </c>
      <c r="HU326" t="e">
        <f>AND(#REF!,"AAAAAD+f7+Q=")</f>
        <v>#REF!</v>
      </c>
      <c r="HV326" t="e">
        <f>AND(#REF!,"AAAAAD+f7+U=")</f>
        <v>#REF!</v>
      </c>
      <c r="HW326" t="e">
        <f>AND(#REF!,"AAAAAD+f7+Y=")</f>
        <v>#REF!</v>
      </c>
      <c r="HX326" t="e">
        <f>AND(#REF!,"AAAAAD+f7+c=")</f>
        <v>#REF!</v>
      </c>
      <c r="HY326" t="e">
        <f>AND(#REF!,"AAAAAD+f7+g=")</f>
        <v>#REF!</v>
      </c>
      <c r="HZ326" t="e">
        <f>AND(#REF!,"AAAAAD+f7+k=")</f>
        <v>#REF!</v>
      </c>
      <c r="IA326" t="e">
        <f>AND(#REF!,"AAAAAD+f7+o=")</f>
        <v>#REF!</v>
      </c>
      <c r="IB326" t="e">
        <f>IF(#REF!,"AAAAAD+f7+s=",0)</f>
        <v>#REF!</v>
      </c>
      <c r="IC326" t="e">
        <f>AND(#REF!,"AAAAAD+f7+w=")</f>
        <v>#REF!</v>
      </c>
      <c r="ID326" t="e">
        <f>AND(#REF!,"AAAAAD+f7+0=")</f>
        <v>#REF!</v>
      </c>
      <c r="IE326" t="e">
        <f>AND(#REF!,"AAAAAD+f7+4=")</f>
        <v>#REF!</v>
      </c>
      <c r="IF326" t="e">
        <f>AND(#REF!,"AAAAAD+f7+8=")</f>
        <v>#REF!</v>
      </c>
      <c r="IG326" t="e">
        <f>AND(#REF!,"AAAAAD+f7/A=")</f>
        <v>#REF!</v>
      </c>
      <c r="IH326" t="e">
        <f>AND(#REF!,"AAAAAD+f7/E=")</f>
        <v>#REF!</v>
      </c>
      <c r="II326" t="e">
        <f>AND(#REF!,"AAAAAD+f7/I=")</f>
        <v>#REF!</v>
      </c>
      <c r="IJ326" t="e">
        <f>AND(#REF!,"AAAAAD+f7/M=")</f>
        <v>#REF!</v>
      </c>
      <c r="IK326" t="e">
        <f>AND(#REF!,"AAAAAD+f7/Q=")</f>
        <v>#REF!</v>
      </c>
      <c r="IL326" t="e">
        <f>AND(#REF!,"AAAAAD+f7/U=")</f>
        <v>#REF!</v>
      </c>
      <c r="IM326" t="e">
        <f>AND(#REF!,"AAAAAD+f7/Y=")</f>
        <v>#REF!</v>
      </c>
      <c r="IN326" t="e">
        <f>AND(#REF!,"AAAAAD+f7/c=")</f>
        <v>#REF!</v>
      </c>
      <c r="IO326" t="e">
        <f>AND(#REF!,"AAAAAD+f7/g=")</f>
        <v>#REF!</v>
      </c>
      <c r="IP326" t="e">
        <f>AND(#REF!,"AAAAAD+f7/k=")</f>
        <v>#REF!</v>
      </c>
      <c r="IQ326" t="e">
        <f>AND(#REF!,"AAAAAD+f7/o=")</f>
        <v>#REF!</v>
      </c>
      <c r="IR326" t="e">
        <f>AND(#REF!,"AAAAAD+f7/s=")</f>
        <v>#REF!</v>
      </c>
      <c r="IS326" t="e">
        <f>AND(#REF!,"AAAAAD+f7/w=")</f>
        <v>#REF!</v>
      </c>
      <c r="IT326" t="e">
        <f>AND(#REF!,"AAAAAD+f7/0=")</f>
        <v>#REF!</v>
      </c>
      <c r="IU326" t="e">
        <f>AND(#REF!,"AAAAAD+f7/4=")</f>
        <v>#REF!</v>
      </c>
      <c r="IV326" t="e">
        <f>AND(#REF!,"AAAAAD+f7/8=")</f>
        <v>#REF!</v>
      </c>
    </row>
    <row r="327" spans="1:256">
      <c r="A327" t="e">
        <f>AND(#REF!,"AAAAAHbr5QA=")</f>
        <v>#REF!</v>
      </c>
      <c r="B327" t="e">
        <f>AND(#REF!,"AAAAAHbr5QE=")</f>
        <v>#REF!</v>
      </c>
      <c r="C327" t="e">
        <f>AND(#REF!,"AAAAAHbr5QI=")</f>
        <v>#REF!</v>
      </c>
      <c r="D327" t="e">
        <f>AND(#REF!,"AAAAAHbr5QM=")</f>
        <v>#REF!</v>
      </c>
      <c r="E327" t="e">
        <f>IF(#REF!,"AAAAAHbr5QQ=",0)</f>
        <v>#REF!</v>
      </c>
      <c r="F327" t="e">
        <f>AND(#REF!,"AAAAAHbr5QU=")</f>
        <v>#REF!</v>
      </c>
      <c r="G327" t="e">
        <f>AND(#REF!,"AAAAAHbr5QY=")</f>
        <v>#REF!</v>
      </c>
      <c r="H327" t="e">
        <f>AND(#REF!,"AAAAAHbr5Qc=")</f>
        <v>#REF!</v>
      </c>
      <c r="I327" t="e">
        <f>AND(#REF!,"AAAAAHbr5Qg=")</f>
        <v>#REF!</v>
      </c>
      <c r="J327" t="e">
        <f>AND(#REF!,"AAAAAHbr5Qk=")</f>
        <v>#REF!</v>
      </c>
      <c r="K327" t="e">
        <f>AND(#REF!,"AAAAAHbr5Qo=")</f>
        <v>#REF!</v>
      </c>
      <c r="L327" t="e">
        <f>AND(#REF!,"AAAAAHbr5Qs=")</f>
        <v>#REF!</v>
      </c>
      <c r="M327" t="e">
        <f>AND(#REF!,"AAAAAHbr5Qw=")</f>
        <v>#REF!</v>
      </c>
      <c r="N327" t="e">
        <f>AND(#REF!,"AAAAAHbr5Q0=")</f>
        <v>#REF!</v>
      </c>
      <c r="O327" t="e">
        <f>AND(#REF!,"AAAAAHbr5Q4=")</f>
        <v>#REF!</v>
      </c>
      <c r="P327" t="e">
        <f>AND(#REF!,"AAAAAHbr5Q8=")</f>
        <v>#REF!</v>
      </c>
      <c r="Q327" t="e">
        <f>AND(#REF!,"AAAAAHbr5RA=")</f>
        <v>#REF!</v>
      </c>
      <c r="R327" t="e">
        <f>AND(#REF!,"AAAAAHbr5RE=")</f>
        <v>#REF!</v>
      </c>
      <c r="S327" t="e">
        <f>AND(#REF!,"AAAAAHbr5RI=")</f>
        <v>#REF!</v>
      </c>
      <c r="T327" t="e">
        <f>AND(#REF!,"AAAAAHbr5RM=")</f>
        <v>#REF!</v>
      </c>
      <c r="U327" t="e">
        <f>AND(#REF!,"AAAAAHbr5RQ=")</f>
        <v>#REF!</v>
      </c>
      <c r="V327" t="e">
        <f>AND(#REF!,"AAAAAHbr5RU=")</f>
        <v>#REF!</v>
      </c>
      <c r="W327" t="e">
        <f>AND(#REF!,"AAAAAHbr5RY=")</f>
        <v>#REF!</v>
      </c>
      <c r="X327" t="e">
        <f>AND(#REF!,"AAAAAHbr5Rc=")</f>
        <v>#REF!</v>
      </c>
      <c r="Y327" t="e">
        <f>AND(#REF!,"AAAAAHbr5Rg=")</f>
        <v>#REF!</v>
      </c>
      <c r="Z327" t="e">
        <f>AND(#REF!,"AAAAAHbr5Rk=")</f>
        <v>#REF!</v>
      </c>
      <c r="AA327" t="e">
        <f>AND(#REF!,"AAAAAHbr5Ro=")</f>
        <v>#REF!</v>
      </c>
      <c r="AB327" t="e">
        <f>AND(#REF!,"AAAAAHbr5Rs=")</f>
        <v>#REF!</v>
      </c>
      <c r="AC327" t="e">
        <f>AND(#REF!,"AAAAAHbr5Rw=")</f>
        <v>#REF!</v>
      </c>
      <c r="AD327" t="e">
        <f>IF(#REF!,"AAAAAHbr5R0=",0)</f>
        <v>#REF!</v>
      </c>
      <c r="AE327" t="e">
        <f>AND(#REF!,"AAAAAHbr5R4=")</f>
        <v>#REF!</v>
      </c>
      <c r="AF327" t="e">
        <f>AND(#REF!,"AAAAAHbr5R8=")</f>
        <v>#REF!</v>
      </c>
      <c r="AG327" t="e">
        <f>AND(#REF!,"AAAAAHbr5SA=")</f>
        <v>#REF!</v>
      </c>
      <c r="AH327" t="e">
        <f>AND(#REF!,"AAAAAHbr5SE=")</f>
        <v>#REF!</v>
      </c>
      <c r="AI327" t="e">
        <f>AND(#REF!,"AAAAAHbr5SI=")</f>
        <v>#REF!</v>
      </c>
      <c r="AJ327" t="e">
        <f>AND(#REF!,"AAAAAHbr5SM=")</f>
        <v>#REF!</v>
      </c>
      <c r="AK327" t="e">
        <f>AND(#REF!,"AAAAAHbr5SQ=")</f>
        <v>#REF!</v>
      </c>
      <c r="AL327" t="e">
        <f>AND(#REF!,"AAAAAHbr5SU=")</f>
        <v>#REF!</v>
      </c>
      <c r="AM327" t="e">
        <f>AND(#REF!,"AAAAAHbr5SY=")</f>
        <v>#REF!</v>
      </c>
      <c r="AN327" t="e">
        <f>AND(#REF!,"AAAAAHbr5Sc=")</f>
        <v>#REF!</v>
      </c>
      <c r="AO327" t="e">
        <f>AND(#REF!,"AAAAAHbr5Sg=")</f>
        <v>#REF!</v>
      </c>
      <c r="AP327" t="e">
        <f>AND(#REF!,"AAAAAHbr5Sk=")</f>
        <v>#REF!</v>
      </c>
      <c r="AQ327" t="e">
        <f>AND(#REF!,"AAAAAHbr5So=")</f>
        <v>#REF!</v>
      </c>
      <c r="AR327" t="e">
        <f>AND(#REF!,"AAAAAHbr5Ss=")</f>
        <v>#REF!</v>
      </c>
      <c r="AS327" t="e">
        <f>AND(#REF!,"AAAAAHbr5Sw=")</f>
        <v>#REF!</v>
      </c>
      <c r="AT327" t="e">
        <f>AND(#REF!,"AAAAAHbr5S0=")</f>
        <v>#REF!</v>
      </c>
      <c r="AU327" t="e">
        <f>AND(#REF!,"AAAAAHbr5S4=")</f>
        <v>#REF!</v>
      </c>
      <c r="AV327" t="e">
        <f>AND(#REF!,"AAAAAHbr5S8=")</f>
        <v>#REF!</v>
      </c>
      <c r="AW327" t="e">
        <f>AND(#REF!,"AAAAAHbr5TA=")</f>
        <v>#REF!</v>
      </c>
      <c r="AX327" t="e">
        <f>AND(#REF!,"AAAAAHbr5TE=")</f>
        <v>#REF!</v>
      </c>
      <c r="AY327" t="e">
        <f>AND(#REF!,"AAAAAHbr5TI=")</f>
        <v>#REF!</v>
      </c>
      <c r="AZ327" t="e">
        <f>AND(#REF!,"AAAAAHbr5TM=")</f>
        <v>#REF!</v>
      </c>
      <c r="BA327" t="e">
        <f>AND(#REF!,"AAAAAHbr5TQ=")</f>
        <v>#REF!</v>
      </c>
      <c r="BB327" t="e">
        <f>AND(#REF!,"AAAAAHbr5TU=")</f>
        <v>#REF!</v>
      </c>
      <c r="BC327" t="e">
        <f>IF(#REF!,"AAAAAHbr5TY=",0)</f>
        <v>#REF!</v>
      </c>
      <c r="BD327" t="e">
        <f>AND(#REF!,"AAAAAHbr5Tc=")</f>
        <v>#REF!</v>
      </c>
      <c r="BE327" t="e">
        <f>AND(#REF!,"AAAAAHbr5Tg=")</f>
        <v>#REF!</v>
      </c>
      <c r="BF327" t="e">
        <f>AND(#REF!,"AAAAAHbr5Tk=")</f>
        <v>#REF!</v>
      </c>
      <c r="BG327" t="e">
        <f>AND(#REF!,"AAAAAHbr5To=")</f>
        <v>#REF!</v>
      </c>
      <c r="BH327" t="e">
        <f>AND(#REF!,"AAAAAHbr5Ts=")</f>
        <v>#REF!</v>
      </c>
      <c r="BI327" t="e">
        <f>AND(#REF!,"AAAAAHbr5Tw=")</f>
        <v>#REF!</v>
      </c>
      <c r="BJ327" t="e">
        <f>AND(#REF!,"AAAAAHbr5T0=")</f>
        <v>#REF!</v>
      </c>
      <c r="BK327" t="e">
        <f>AND(#REF!,"AAAAAHbr5T4=")</f>
        <v>#REF!</v>
      </c>
      <c r="BL327" t="e">
        <f>AND(#REF!,"AAAAAHbr5T8=")</f>
        <v>#REF!</v>
      </c>
      <c r="BM327" t="e">
        <f>AND(#REF!,"AAAAAHbr5UA=")</f>
        <v>#REF!</v>
      </c>
      <c r="BN327" t="e">
        <f>AND(#REF!,"AAAAAHbr5UE=")</f>
        <v>#REF!</v>
      </c>
      <c r="BO327" t="e">
        <f>AND(#REF!,"AAAAAHbr5UI=")</f>
        <v>#REF!</v>
      </c>
      <c r="BP327" t="e">
        <f>AND(#REF!,"AAAAAHbr5UM=")</f>
        <v>#REF!</v>
      </c>
      <c r="BQ327" t="e">
        <f>AND(#REF!,"AAAAAHbr5UQ=")</f>
        <v>#REF!</v>
      </c>
      <c r="BR327" t="e">
        <f>AND(#REF!,"AAAAAHbr5UU=")</f>
        <v>#REF!</v>
      </c>
      <c r="BS327" t="e">
        <f>AND(#REF!,"AAAAAHbr5UY=")</f>
        <v>#REF!</v>
      </c>
      <c r="BT327" t="e">
        <f>AND(#REF!,"AAAAAHbr5Uc=")</f>
        <v>#REF!</v>
      </c>
      <c r="BU327" t="e">
        <f>AND(#REF!,"AAAAAHbr5Ug=")</f>
        <v>#REF!</v>
      </c>
      <c r="BV327" t="e">
        <f>AND(#REF!,"AAAAAHbr5Uk=")</f>
        <v>#REF!</v>
      </c>
      <c r="BW327" t="e">
        <f>AND(#REF!,"AAAAAHbr5Uo=")</f>
        <v>#REF!</v>
      </c>
      <c r="BX327" t="e">
        <f>AND(#REF!,"AAAAAHbr5Us=")</f>
        <v>#REF!</v>
      </c>
      <c r="BY327" t="e">
        <f>AND(#REF!,"AAAAAHbr5Uw=")</f>
        <v>#REF!</v>
      </c>
      <c r="BZ327" t="e">
        <f>AND(#REF!,"AAAAAHbr5U0=")</f>
        <v>#REF!</v>
      </c>
      <c r="CA327" t="e">
        <f>AND(#REF!,"AAAAAHbr5U4=")</f>
        <v>#REF!</v>
      </c>
      <c r="CB327" t="e">
        <f>IF(#REF!,"AAAAAHbr5U8=",0)</f>
        <v>#REF!</v>
      </c>
      <c r="CC327" t="e">
        <f>AND(#REF!,"AAAAAHbr5VA=")</f>
        <v>#REF!</v>
      </c>
      <c r="CD327" t="e">
        <f>AND(#REF!,"AAAAAHbr5VE=")</f>
        <v>#REF!</v>
      </c>
      <c r="CE327" t="e">
        <f>AND(#REF!,"AAAAAHbr5VI=")</f>
        <v>#REF!</v>
      </c>
      <c r="CF327" t="e">
        <f>AND(#REF!,"AAAAAHbr5VM=")</f>
        <v>#REF!</v>
      </c>
      <c r="CG327" t="e">
        <f>AND(#REF!,"AAAAAHbr5VQ=")</f>
        <v>#REF!</v>
      </c>
      <c r="CH327" t="e">
        <f>AND(#REF!,"AAAAAHbr5VU=")</f>
        <v>#REF!</v>
      </c>
      <c r="CI327" t="e">
        <f>AND(#REF!,"AAAAAHbr5VY=")</f>
        <v>#REF!</v>
      </c>
      <c r="CJ327" t="e">
        <f>AND(#REF!,"AAAAAHbr5Vc=")</f>
        <v>#REF!</v>
      </c>
      <c r="CK327" t="e">
        <f>AND(#REF!,"AAAAAHbr5Vg=")</f>
        <v>#REF!</v>
      </c>
      <c r="CL327" t="e">
        <f>AND(#REF!,"AAAAAHbr5Vk=")</f>
        <v>#REF!</v>
      </c>
      <c r="CM327" t="e">
        <f>AND(#REF!,"AAAAAHbr5Vo=")</f>
        <v>#REF!</v>
      </c>
      <c r="CN327" t="e">
        <f>AND(#REF!,"AAAAAHbr5Vs=")</f>
        <v>#REF!</v>
      </c>
      <c r="CO327" t="e">
        <f>AND(#REF!,"AAAAAHbr5Vw=")</f>
        <v>#REF!</v>
      </c>
      <c r="CP327" t="e">
        <f>AND(#REF!,"AAAAAHbr5V0=")</f>
        <v>#REF!</v>
      </c>
      <c r="CQ327" t="e">
        <f>AND(#REF!,"AAAAAHbr5V4=")</f>
        <v>#REF!</v>
      </c>
      <c r="CR327" t="e">
        <f>AND(#REF!,"AAAAAHbr5V8=")</f>
        <v>#REF!</v>
      </c>
      <c r="CS327" t="e">
        <f>AND(#REF!,"AAAAAHbr5WA=")</f>
        <v>#REF!</v>
      </c>
      <c r="CT327" t="e">
        <f>AND(#REF!,"AAAAAHbr5WE=")</f>
        <v>#REF!</v>
      </c>
      <c r="CU327" t="e">
        <f>AND(#REF!,"AAAAAHbr5WI=")</f>
        <v>#REF!</v>
      </c>
      <c r="CV327" t="e">
        <f>AND(#REF!,"AAAAAHbr5WM=")</f>
        <v>#REF!</v>
      </c>
      <c r="CW327" t="e">
        <f>AND(#REF!,"AAAAAHbr5WQ=")</f>
        <v>#REF!</v>
      </c>
      <c r="CX327" t="e">
        <f>AND(#REF!,"AAAAAHbr5WU=")</f>
        <v>#REF!</v>
      </c>
      <c r="CY327" t="e">
        <f>AND(#REF!,"AAAAAHbr5WY=")</f>
        <v>#REF!</v>
      </c>
      <c r="CZ327" t="e">
        <f>AND(#REF!,"AAAAAHbr5Wc=")</f>
        <v>#REF!</v>
      </c>
      <c r="DA327" t="e">
        <f>IF(#REF!,"AAAAAHbr5Wg=",0)</f>
        <v>#REF!</v>
      </c>
      <c r="DB327" t="e">
        <f>AND(#REF!,"AAAAAHbr5Wk=")</f>
        <v>#REF!</v>
      </c>
      <c r="DC327" t="e">
        <f>AND(#REF!,"AAAAAHbr5Wo=")</f>
        <v>#REF!</v>
      </c>
      <c r="DD327" t="e">
        <f>AND(#REF!,"AAAAAHbr5Ws=")</f>
        <v>#REF!</v>
      </c>
      <c r="DE327" t="e">
        <f>AND(#REF!,"AAAAAHbr5Ww=")</f>
        <v>#REF!</v>
      </c>
      <c r="DF327" t="e">
        <f>AND(#REF!,"AAAAAHbr5W0=")</f>
        <v>#REF!</v>
      </c>
      <c r="DG327" t="e">
        <f>AND(#REF!,"AAAAAHbr5W4=")</f>
        <v>#REF!</v>
      </c>
      <c r="DH327" t="e">
        <f>AND(#REF!,"AAAAAHbr5W8=")</f>
        <v>#REF!</v>
      </c>
      <c r="DI327" t="e">
        <f>AND(#REF!,"AAAAAHbr5XA=")</f>
        <v>#REF!</v>
      </c>
      <c r="DJ327" t="e">
        <f>AND(#REF!,"AAAAAHbr5XE=")</f>
        <v>#REF!</v>
      </c>
      <c r="DK327" t="e">
        <f>AND(#REF!,"AAAAAHbr5XI=")</f>
        <v>#REF!</v>
      </c>
      <c r="DL327" t="e">
        <f>AND(#REF!,"AAAAAHbr5XM=")</f>
        <v>#REF!</v>
      </c>
      <c r="DM327" t="e">
        <f>AND(#REF!,"AAAAAHbr5XQ=")</f>
        <v>#REF!</v>
      </c>
      <c r="DN327" t="e">
        <f>AND(#REF!,"AAAAAHbr5XU=")</f>
        <v>#REF!</v>
      </c>
      <c r="DO327" t="e">
        <f>AND(#REF!,"AAAAAHbr5XY=")</f>
        <v>#REF!</v>
      </c>
      <c r="DP327" t="e">
        <f>AND(#REF!,"AAAAAHbr5Xc=")</f>
        <v>#REF!</v>
      </c>
      <c r="DQ327" t="e">
        <f>AND(#REF!,"AAAAAHbr5Xg=")</f>
        <v>#REF!</v>
      </c>
      <c r="DR327" t="e">
        <f>AND(#REF!,"AAAAAHbr5Xk=")</f>
        <v>#REF!</v>
      </c>
      <c r="DS327" t="e">
        <f>AND(#REF!,"AAAAAHbr5Xo=")</f>
        <v>#REF!</v>
      </c>
      <c r="DT327" t="e">
        <f>AND(#REF!,"AAAAAHbr5Xs=")</f>
        <v>#REF!</v>
      </c>
      <c r="DU327" t="e">
        <f>AND(#REF!,"AAAAAHbr5Xw=")</f>
        <v>#REF!</v>
      </c>
      <c r="DV327" t="e">
        <f>AND(#REF!,"AAAAAHbr5X0=")</f>
        <v>#REF!</v>
      </c>
      <c r="DW327" t="e">
        <f>AND(#REF!,"AAAAAHbr5X4=")</f>
        <v>#REF!</v>
      </c>
      <c r="DX327" t="e">
        <f>AND(#REF!,"AAAAAHbr5X8=")</f>
        <v>#REF!</v>
      </c>
      <c r="DY327" t="e">
        <f>AND(#REF!,"AAAAAHbr5YA=")</f>
        <v>#REF!</v>
      </c>
      <c r="DZ327" t="e">
        <f>IF(#REF!,"AAAAAHbr5YE=",0)</f>
        <v>#REF!</v>
      </c>
      <c r="EA327" t="e">
        <f>AND(#REF!,"AAAAAHbr5YI=")</f>
        <v>#REF!</v>
      </c>
      <c r="EB327" t="e">
        <f>AND(#REF!,"AAAAAHbr5YM=")</f>
        <v>#REF!</v>
      </c>
      <c r="EC327" t="e">
        <f>AND(#REF!,"AAAAAHbr5YQ=")</f>
        <v>#REF!</v>
      </c>
      <c r="ED327" t="e">
        <f>AND(#REF!,"AAAAAHbr5YU=")</f>
        <v>#REF!</v>
      </c>
      <c r="EE327" t="e">
        <f>AND(#REF!,"AAAAAHbr5YY=")</f>
        <v>#REF!</v>
      </c>
      <c r="EF327" t="e">
        <f>AND(#REF!,"AAAAAHbr5Yc=")</f>
        <v>#REF!</v>
      </c>
      <c r="EG327" t="e">
        <f>AND(#REF!,"AAAAAHbr5Yg=")</f>
        <v>#REF!</v>
      </c>
      <c r="EH327" t="e">
        <f>AND(#REF!,"AAAAAHbr5Yk=")</f>
        <v>#REF!</v>
      </c>
      <c r="EI327" t="e">
        <f>AND(#REF!,"AAAAAHbr5Yo=")</f>
        <v>#REF!</v>
      </c>
      <c r="EJ327" t="e">
        <f>AND(#REF!,"AAAAAHbr5Ys=")</f>
        <v>#REF!</v>
      </c>
      <c r="EK327" t="e">
        <f>AND(#REF!,"AAAAAHbr5Yw=")</f>
        <v>#REF!</v>
      </c>
      <c r="EL327" t="e">
        <f>AND(#REF!,"AAAAAHbr5Y0=")</f>
        <v>#REF!</v>
      </c>
      <c r="EM327" t="e">
        <f>AND(#REF!,"AAAAAHbr5Y4=")</f>
        <v>#REF!</v>
      </c>
      <c r="EN327" t="e">
        <f>AND(#REF!,"AAAAAHbr5Y8=")</f>
        <v>#REF!</v>
      </c>
      <c r="EO327" t="e">
        <f>AND(#REF!,"AAAAAHbr5ZA=")</f>
        <v>#REF!</v>
      </c>
      <c r="EP327" t="e">
        <f>AND(#REF!,"AAAAAHbr5ZE=")</f>
        <v>#REF!</v>
      </c>
      <c r="EQ327" t="e">
        <f>AND(#REF!,"AAAAAHbr5ZI=")</f>
        <v>#REF!</v>
      </c>
      <c r="ER327" t="e">
        <f>AND(#REF!,"AAAAAHbr5ZM=")</f>
        <v>#REF!</v>
      </c>
      <c r="ES327" t="e">
        <f>AND(#REF!,"AAAAAHbr5ZQ=")</f>
        <v>#REF!</v>
      </c>
      <c r="ET327" t="e">
        <f>AND(#REF!,"AAAAAHbr5ZU=")</f>
        <v>#REF!</v>
      </c>
      <c r="EU327" t="e">
        <f>AND(#REF!,"AAAAAHbr5ZY=")</f>
        <v>#REF!</v>
      </c>
      <c r="EV327" t="e">
        <f>AND(#REF!,"AAAAAHbr5Zc=")</f>
        <v>#REF!</v>
      </c>
      <c r="EW327" t="e">
        <f>AND(#REF!,"AAAAAHbr5Zg=")</f>
        <v>#REF!</v>
      </c>
      <c r="EX327" t="e">
        <f>AND(#REF!,"AAAAAHbr5Zk=")</f>
        <v>#REF!</v>
      </c>
      <c r="EY327" t="e">
        <f>IF(#REF!,"AAAAAHbr5Zo=",0)</f>
        <v>#REF!</v>
      </c>
      <c r="EZ327" t="e">
        <f>AND(#REF!,"AAAAAHbr5Zs=")</f>
        <v>#REF!</v>
      </c>
      <c r="FA327" t="e">
        <f>AND(#REF!,"AAAAAHbr5Zw=")</f>
        <v>#REF!</v>
      </c>
      <c r="FB327" t="e">
        <f>AND(#REF!,"AAAAAHbr5Z0=")</f>
        <v>#REF!</v>
      </c>
      <c r="FC327" t="e">
        <f>AND(#REF!,"AAAAAHbr5Z4=")</f>
        <v>#REF!</v>
      </c>
      <c r="FD327" t="e">
        <f>AND(#REF!,"AAAAAHbr5Z8=")</f>
        <v>#REF!</v>
      </c>
      <c r="FE327" t="e">
        <f>AND(#REF!,"AAAAAHbr5aA=")</f>
        <v>#REF!</v>
      </c>
      <c r="FF327" t="e">
        <f>AND(#REF!,"AAAAAHbr5aE=")</f>
        <v>#REF!</v>
      </c>
      <c r="FG327" t="e">
        <f>AND(#REF!,"AAAAAHbr5aI=")</f>
        <v>#REF!</v>
      </c>
      <c r="FH327" t="e">
        <f>AND(#REF!,"AAAAAHbr5aM=")</f>
        <v>#REF!</v>
      </c>
      <c r="FI327" t="e">
        <f>AND(#REF!,"AAAAAHbr5aQ=")</f>
        <v>#REF!</v>
      </c>
      <c r="FJ327" t="e">
        <f>AND(#REF!,"AAAAAHbr5aU=")</f>
        <v>#REF!</v>
      </c>
      <c r="FK327" t="e">
        <f>AND(#REF!,"AAAAAHbr5aY=")</f>
        <v>#REF!</v>
      </c>
      <c r="FL327" t="e">
        <f>AND(#REF!,"AAAAAHbr5ac=")</f>
        <v>#REF!</v>
      </c>
      <c r="FM327" t="e">
        <f>AND(#REF!,"AAAAAHbr5ag=")</f>
        <v>#REF!</v>
      </c>
      <c r="FN327" t="e">
        <f>AND(#REF!,"AAAAAHbr5ak=")</f>
        <v>#REF!</v>
      </c>
      <c r="FO327" t="e">
        <f>AND(#REF!,"AAAAAHbr5ao=")</f>
        <v>#REF!</v>
      </c>
      <c r="FP327" t="e">
        <f>AND(#REF!,"AAAAAHbr5as=")</f>
        <v>#REF!</v>
      </c>
      <c r="FQ327" t="e">
        <f>AND(#REF!,"AAAAAHbr5aw=")</f>
        <v>#REF!</v>
      </c>
      <c r="FR327" t="e">
        <f>AND(#REF!,"AAAAAHbr5a0=")</f>
        <v>#REF!</v>
      </c>
      <c r="FS327" t="e">
        <f>AND(#REF!,"AAAAAHbr5a4=")</f>
        <v>#REF!</v>
      </c>
      <c r="FT327" t="e">
        <f>AND(#REF!,"AAAAAHbr5a8=")</f>
        <v>#REF!</v>
      </c>
      <c r="FU327" t="e">
        <f>AND(#REF!,"AAAAAHbr5bA=")</f>
        <v>#REF!</v>
      </c>
      <c r="FV327" t="e">
        <f>AND(#REF!,"AAAAAHbr5bE=")</f>
        <v>#REF!</v>
      </c>
      <c r="FW327" t="e">
        <f>AND(#REF!,"AAAAAHbr5bI=")</f>
        <v>#REF!</v>
      </c>
      <c r="FX327" t="e">
        <f>IF(#REF!,"AAAAAHbr5bM=",0)</f>
        <v>#REF!</v>
      </c>
      <c r="FY327" t="e">
        <f>AND(#REF!,"AAAAAHbr5bQ=")</f>
        <v>#REF!</v>
      </c>
      <c r="FZ327" t="e">
        <f>AND(#REF!,"AAAAAHbr5bU=")</f>
        <v>#REF!</v>
      </c>
      <c r="GA327" t="e">
        <f>AND(#REF!,"AAAAAHbr5bY=")</f>
        <v>#REF!</v>
      </c>
      <c r="GB327" t="e">
        <f>AND(#REF!,"AAAAAHbr5bc=")</f>
        <v>#REF!</v>
      </c>
      <c r="GC327" t="e">
        <f>AND(#REF!,"AAAAAHbr5bg=")</f>
        <v>#REF!</v>
      </c>
      <c r="GD327" t="e">
        <f>AND(#REF!,"AAAAAHbr5bk=")</f>
        <v>#REF!</v>
      </c>
      <c r="GE327" t="e">
        <f>AND(#REF!,"AAAAAHbr5bo=")</f>
        <v>#REF!</v>
      </c>
      <c r="GF327" t="e">
        <f>AND(#REF!,"AAAAAHbr5bs=")</f>
        <v>#REF!</v>
      </c>
      <c r="GG327" t="e">
        <f>AND(#REF!,"AAAAAHbr5bw=")</f>
        <v>#REF!</v>
      </c>
      <c r="GH327" t="e">
        <f>AND(#REF!,"AAAAAHbr5b0=")</f>
        <v>#REF!</v>
      </c>
      <c r="GI327" t="e">
        <f>AND(#REF!,"AAAAAHbr5b4=")</f>
        <v>#REF!</v>
      </c>
      <c r="GJ327" t="e">
        <f>AND(#REF!,"AAAAAHbr5b8=")</f>
        <v>#REF!</v>
      </c>
      <c r="GK327" t="e">
        <f>AND(#REF!,"AAAAAHbr5cA=")</f>
        <v>#REF!</v>
      </c>
      <c r="GL327" t="e">
        <f>AND(#REF!,"AAAAAHbr5cE=")</f>
        <v>#REF!</v>
      </c>
      <c r="GM327" t="e">
        <f>AND(#REF!,"AAAAAHbr5cI=")</f>
        <v>#REF!</v>
      </c>
      <c r="GN327" t="e">
        <f>AND(#REF!,"AAAAAHbr5cM=")</f>
        <v>#REF!</v>
      </c>
      <c r="GO327" t="e">
        <f>AND(#REF!,"AAAAAHbr5cQ=")</f>
        <v>#REF!</v>
      </c>
      <c r="GP327" t="e">
        <f>AND(#REF!,"AAAAAHbr5cU=")</f>
        <v>#REF!</v>
      </c>
      <c r="GQ327" t="e">
        <f>AND(#REF!,"AAAAAHbr5cY=")</f>
        <v>#REF!</v>
      </c>
      <c r="GR327" t="e">
        <f>AND(#REF!,"AAAAAHbr5cc=")</f>
        <v>#REF!</v>
      </c>
      <c r="GS327" t="e">
        <f>AND(#REF!,"AAAAAHbr5cg=")</f>
        <v>#REF!</v>
      </c>
      <c r="GT327" t="e">
        <f>AND(#REF!,"AAAAAHbr5ck=")</f>
        <v>#REF!</v>
      </c>
      <c r="GU327" t="e">
        <f>AND(#REF!,"AAAAAHbr5co=")</f>
        <v>#REF!</v>
      </c>
      <c r="GV327" t="e">
        <f>AND(#REF!,"AAAAAHbr5cs=")</f>
        <v>#REF!</v>
      </c>
      <c r="GW327" t="e">
        <f>IF(#REF!,"AAAAAHbr5cw=",0)</f>
        <v>#REF!</v>
      </c>
      <c r="GX327" t="e">
        <f>AND(#REF!,"AAAAAHbr5c0=")</f>
        <v>#REF!</v>
      </c>
      <c r="GY327" t="e">
        <f>AND(#REF!,"AAAAAHbr5c4=")</f>
        <v>#REF!</v>
      </c>
      <c r="GZ327" t="e">
        <f>AND(#REF!,"AAAAAHbr5c8=")</f>
        <v>#REF!</v>
      </c>
      <c r="HA327" t="e">
        <f>AND(#REF!,"AAAAAHbr5dA=")</f>
        <v>#REF!</v>
      </c>
      <c r="HB327" t="e">
        <f>AND(#REF!,"AAAAAHbr5dE=")</f>
        <v>#REF!</v>
      </c>
      <c r="HC327" t="e">
        <f>AND(#REF!,"AAAAAHbr5dI=")</f>
        <v>#REF!</v>
      </c>
      <c r="HD327" t="e">
        <f>AND(#REF!,"AAAAAHbr5dM=")</f>
        <v>#REF!</v>
      </c>
      <c r="HE327" t="e">
        <f>AND(#REF!,"AAAAAHbr5dQ=")</f>
        <v>#REF!</v>
      </c>
      <c r="HF327" t="e">
        <f>AND(#REF!,"AAAAAHbr5dU=")</f>
        <v>#REF!</v>
      </c>
      <c r="HG327" t="e">
        <f>AND(#REF!,"AAAAAHbr5dY=")</f>
        <v>#REF!</v>
      </c>
      <c r="HH327" t="e">
        <f>AND(#REF!,"AAAAAHbr5dc=")</f>
        <v>#REF!</v>
      </c>
      <c r="HI327" t="e">
        <f>AND(#REF!,"AAAAAHbr5dg=")</f>
        <v>#REF!</v>
      </c>
      <c r="HJ327" t="e">
        <f>AND(#REF!,"AAAAAHbr5dk=")</f>
        <v>#REF!</v>
      </c>
      <c r="HK327" t="e">
        <f>AND(#REF!,"AAAAAHbr5do=")</f>
        <v>#REF!</v>
      </c>
      <c r="HL327" t="e">
        <f>AND(#REF!,"AAAAAHbr5ds=")</f>
        <v>#REF!</v>
      </c>
      <c r="HM327" t="e">
        <f>AND(#REF!,"AAAAAHbr5dw=")</f>
        <v>#REF!</v>
      </c>
      <c r="HN327" t="e">
        <f>AND(#REF!,"AAAAAHbr5d0=")</f>
        <v>#REF!</v>
      </c>
      <c r="HO327" t="e">
        <f>AND(#REF!,"AAAAAHbr5d4=")</f>
        <v>#REF!</v>
      </c>
      <c r="HP327" t="e">
        <f>AND(#REF!,"AAAAAHbr5d8=")</f>
        <v>#REF!</v>
      </c>
      <c r="HQ327" t="e">
        <f>AND(#REF!,"AAAAAHbr5eA=")</f>
        <v>#REF!</v>
      </c>
      <c r="HR327" t="e">
        <f>AND(#REF!,"AAAAAHbr5eE=")</f>
        <v>#REF!</v>
      </c>
      <c r="HS327" t="e">
        <f>AND(#REF!,"AAAAAHbr5eI=")</f>
        <v>#REF!</v>
      </c>
      <c r="HT327" t="e">
        <f>AND(#REF!,"AAAAAHbr5eM=")</f>
        <v>#REF!</v>
      </c>
      <c r="HU327" t="e">
        <f>AND(#REF!,"AAAAAHbr5eQ=")</f>
        <v>#REF!</v>
      </c>
      <c r="HV327" t="e">
        <f>IF(#REF!,"AAAAAHbr5eU=",0)</f>
        <v>#REF!</v>
      </c>
      <c r="HW327" t="e">
        <f>AND(#REF!,"AAAAAHbr5eY=")</f>
        <v>#REF!</v>
      </c>
      <c r="HX327" t="e">
        <f>AND(#REF!,"AAAAAHbr5ec=")</f>
        <v>#REF!</v>
      </c>
      <c r="HY327" t="e">
        <f>AND(#REF!,"AAAAAHbr5eg=")</f>
        <v>#REF!</v>
      </c>
      <c r="HZ327" t="e">
        <f>AND(#REF!,"AAAAAHbr5ek=")</f>
        <v>#REF!</v>
      </c>
      <c r="IA327" t="e">
        <f>AND(#REF!,"AAAAAHbr5eo=")</f>
        <v>#REF!</v>
      </c>
      <c r="IB327" t="e">
        <f>AND(#REF!,"AAAAAHbr5es=")</f>
        <v>#REF!</v>
      </c>
      <c r="IC327" t="e">
        <f>AND(#REF!,"AAAAAHbr5ew=")</f>
        <v>#REF!</v>
      </c>
      <c r="ID327" t="e">
        <f>AND(#REF!,"AAAAAHbr5e0=")</f>
        <v>#REF!</v>
      </c>
      <c r="IE327" t="e">
        <f>AND(#REF!,"AAAAAHbr5e4=")</f>
        <v>#REF!</v>
      </c>
      <c r="IF327" t="e">
        <f>AND(#REF!,"AAAAAHbr5e8=")</f>
        <v>#REF!</v>
      </c>
      <c r="IG327" t="e">
        <f>AND(#REF!,"AAAAAHbr5fA=")</f>
        <v>#REF!</v>
      </c>
      <c r="IH327" t="e">
        <f>AND(#REF!,"AAAAAHbr5fE=")</f>
        <v>#REF!</v>
      </c>
      <c r="II327" t="e">
        <f>AND(#REF!,"AAAAAHbr5fI=")</f>
        <v>#REF!</v>
      </c>
      <c r="IJ327" t="e">
        <f>AND(#REF!,"AAAAAHbr5fM=")</f>
        <v>#REF!</v>
      </c>
      <c r="IK327" t="e">
        <f>AND(#REF!,"AAAAAHbr5fQ=")</f>
        <v>#REF!</v>
      </c>
      <c r="IL327" t="e">
        <f>AND(#REF!,"AAAAAHbr5fU=")</f>
        <v>#REF!</v>
      </c>
      <c r="IM327" t="e">
        <f>AND(#REF!,"AAAAAHbr5fY=")</f>
        <v>#REF!</v>
      </c>
      <c r="IN327" t="e">
        <f>AND(#REF!,"AAAAAHbr5fc=")</f>
        <v>#REF!</v>
      </c>
      <c r="IO327" t="e">
        <f>AND(#REF!,"AAAAAHbr5fg=")</f>
        <v>#REF!</v>
      </c>
      <c r="IP327" t="e">
        <f>AND(#REF!,"AAAAAHbr5fk=")</f>
        <v>#REF!</v>
      </c>
      <c r="IQ327" t="e">
        <f>AND(#REF!,"AAAAAHbr5fo=")</f>
        <v>#REF!</v>
      </c>
      <c r="IR327" t="e">
        <f>AND(#REF!,"AAAAAHbr5fs=")</f>
        <v>#REF!</v>
      </c>
      <c r="IS327" t="e">
        <f>AND(#REF!,"AAAAAHbr5fw=")</f>
        <v>#REF!</v>
      </c>
      <c r="IT327" t="e">
        <f>AND(#REF!,"AAAAAHbr5f0=")</f>
        <v>#REF!</v>
      </c>
      <c r="IU327" t="e">
        <f>IF(#REF!,"AAAAAHbr5f4=",0)</f>
        <v>#REF!</v>
      </c>
      <c r="IV327" t="e">
        <f>AND(#REF!,"AAAAAHbr5f8=")</f>
        <v>#REF!</v>
      </c>
    </row>
    <row r="328" spans="1:256">
      <c r="A328" t="e">
        <f>AND(#REF!,"AAAAAHq9xQA=")</f>
        <v>#REF!</v>
      </c>
      <c r="B328" t="e">
        <f>AND(#REF!,"AAAAAHq9xQE=")</f>
        <v>#REF!</v>
      </c>
      <c r="C328" t="e">
        <f>AND(#REF!,"AAAAAHq9xQI=")</f>
        <v>#REF!</v>
      </c>
      <c r="D328" t="e">
        <f>AND(#REF!,"AAAAAHq9xQM=")</f>
        <v>#REF!</v>
      </c>
      <c r="E328" t="e">
        <f>AND(#REF!,"AAAAAHq9xQQ=")</f>
        <v>#REF!</v>
      </c>
      <c r="F328" t="e">
        <f>AND(#REF!,"AAAAAHq9xQU=")</f>
        <v>#REF!</v>
      </c>
      <c r="G328" t="e">
        <f>AND(#REF!,"AAAAAHq9xQY=")</f>
        <v>#REF!</v>
      </c>
      <c r="H328" t="e">
        <f>AND(#REF!,"AAAAAHq9xQc=")</f>
        <v>#REF!</v>
      </c>
      <c r="I328" t="e">
        <f>AND(#REF!,"AAAAAHq9xQg=")</f>
        <v>#REF!</v>
      </c>
      <c r="J328" t="e">
        <f>AND(#REF!,"AAAAAHq9xQk=")</f>
        <v>#REF!</v>
      </c>
      <c r="K328" t="e">
        <f>AND(#REF!,"AAAAAHq9xQo=")</f>
        <v>#REF!</v>
      </c>
      <c r="L328" t="e">
        <f>AND(#REF!,"AAAAAHq9xQs=")</f>
        <v>#REF!</v>
      </c>
      <c r="M328" t="e">
        <f>AND(#REF!,"AAAAAHq9xQw=")</f>
        <v>#REF!</v>
      </c>
      <c r="N328" t="e">
        <f>AND(#REF!,"AAAAAHq9xQ0=")</f>
        <v>#REF!</v>
      </c>
      <c r="O328" t="e">
        <f>AND(#REF!,"AAAAAHq9xQ4=")</f>
        <v>#REF!</v>
      </c>
      <c r="P328" t="e">
        <f>AND(#REF!,"AAAAAHq9xQ8=")</f>
        <v>#REF!</v>
      </c>
      <c r="Q328" t="e">
        <f>AND(#REF!,"AAAAAHq9xRA=")</f>
        <v>#REF!</v>
      </c>
      <c r="R328" t="e">
        <f>AND(#REF!,"AAAAAHq9xRE=")</f>
        <v>#REF!</v>
      </c>
      <c r="S328" t="e">
        <f>AND(#REF!,"AAAAAHq9xRI=")</f>
        <v>#REF!</v>
      </c>
      <c r="T328" t="e">
        <f>AND(#REF!,"AAAAAHq9xRM=")</f>
        <v>#REF!</v>
      </c>
      <c r="U328" t="e">
        <f>AND(#REF!,"AAAAAHq9xRQ=")</f>
        <v>#REF!</v>
      </c>
      <c r="V328" t="e">
        <f>AND(#REF!,"AAAAAHq9xRU=")</f>
        <v>#REF!</v>
      </c>
      <c r="W328" t="e">
        <f>AND(#REF!,"AAAAAHq9xRY=")</f>
        <v>#REF!</v>
      </c>
      <c r="X328" t="e">
        <f>IF(#REF!,"AAAAAHq9xRc=",0)</f>
        <v>#REF!</v>
      </c>
      <c r="Y328" t="e">
        <f>AND(#REF!,"AAAAAHq9xRg=")</f>
        <v>#REF!</v>
      </c>
      <c r="Z328" t="e">
        <f>AND(#REF!,"AAAAAHq9xRk=")</f>
        <v>#REF!</v>
      </c>
      <c r="AA328" t="e">
        <f>AND(#REF!,"AAAAAHq9xRo=")</f>
        <v>#REF!</v>
      </c>
      <c r="AB328" t="e">
        <f>AND(#REF!,"AAAAAHq9xRs=")</f>
        <v>#REF!</v>
      </c>
      <c r="AC328" t="e">
        <f>AND(#REF!,"AAAAAHq9xRw=")</f>
        <v>#REF!</v>
      </c>
      <c r="AD328" t="e">
        <f>AND(#REF!,"AAAAAHq9xR0=")</f>
        <v>#REF!</v>
      </c>
      <c r="AE328" t="e">
        <f>AND(#REF!,"AAAAAHq9xR4=")</f>
        <v>#REF!</v>
      </c>
      <c r="AF328" t="e">
        <f>AND(#REF!,"AAAAAHq9xR8=")</f>
        <v>#REF!</v>
      </c>
      <c r="AG328" t="e">
        <f>AND(#REF!,"AAAAAHq9xSA=")</f>
        <v>#REF!</v>
      </c>
      <c r="AH328" t="e">
        <f>AND(#REF!,"AAAAAHq9xSE=")</f>
        <v>#REF!</v>
      </c>
      <c r="AI328" t="e">
        <f>AND(#REF!,"AAAAAHq9xSI=")</f>
        <v>#REF!</v>
      </c>
      <c r="AJ328" t="e">
        <f>AND(#REF!,"AAAAAHq9xSM=")</f>
        <v>#REF!</v>
      </c>
      <c r="AK328" t="e">
        <f>AND(#REF!,"AAAAAHq9xSQ=")</f>
        <v>#REF!</v>
      </c>
      <c r="AL328" t="e">
        <f>AND(#REF!,"AAAAAHq9xSU=")</f>
        <v>#REF!</v>
      </c>
      <c r="AM328" t="e">
        <f>AND(#REF!,"AAAAAHq9xSY=")</f>
        <v>#REF!</v>
      </c>
      <c r="AN328" t="e">
        <f>AND(#REF!,"AAAAAHq9xSc=")</f>
        <v>#REF!</v>
      </c>
      <c r="AO328" t="e">
        <f>AND(#REF!,"AAAAAHq9xSg=")</f>
        <v>#REF!</v>
      </c>
      <c r="AP328" t="e">
        <f>AND(#REF!,"AAAAAHq9xSk=")</f>
        <v>#REF!</v>
      </c>
      <c r="AQ328" t="e">
        <f>AND(#REF!,"AAAAAHq9xSo=")</f>
        <v>#REF!</v>
      </c>
      <c r="AR328" t="e">
        <f>AND(#REF!,"AAAAAHq9xSs=")</f>
        <v>#REF!</v>
      </c>
      <c r="AS328" t="e">
        <f>AND(#REF!,"AAAAAHq9xSw=")</f>
        <v>#REF!</v>
      </c>
      <c r="AT328" t="e">
        <f>AND(#REF!,"AAAAAHq9xS0=")</f>
        <v>#REF!</v>
      </c>
      <c r="AU328" t="e">
        <f>AND(#REF!,"AAAAAHq9xS4=")</f>
        <v>#REF!</v>
      </c>
      <c r="AV328" t="e">
        <f>AND(#REF!,"AAAAAHq9xS8=")</f>
        <v>#REF!</v>
      </c>
      <c r="AW328" t="e">
        <f>IF(#REF!,"AAAAAHq9xTA=",0)</f>
        <v>#REF!</v>
      </c>
      <c r="AX328" t="e">
        <f>AND(#REF!,"AAAAAHq9xTE=")</f>
        <v>#REF!</v>
      </c>
      <c r="AY328" t="e">
        <f>AND(#REF!,"AAAAAHq9xTI=")</f>
        <v>#REF!</v>
      </c>
      <c r="AZ328" t="e">
        <f>AND(#REF!,"AAAAAHq9xTM=")</f>
        <v>#REF!</v>
      </c>
      <c r="BA328" t="e">
        <f>AND(#REF!,"AAAAAHq9xTQ=")</f>
        <v>#REF!</v>
      </c>
      <c r="BB328" t="e">
        <f>AND(#REF!,"AAAAAHq9xTU=")</f>
        <v>#REF!</v>
      </c>
      <c r="BC328" t="e">
        <f>AND(#REF!,"AAAAAHq9xTY=")</f>
        <v>#REF!</v>
      </c>
      <c r="BD328" t="e">
        <f>AND(#REF!,"AAAAAHq9xTc=")</f>
        <v>#REF!</v>
      </c>
      <c r="BE328" t="e">
        <f>AND(#REF!,"AAAAAHq9xTg=")</f>
        <v>#REF!</v>
      </c>
      <c r="BF328" t="e">
        <f>AND(#REF!,"AAAAAHq9xTk=")</f>
        <v>#REF!</v>
      </c>
      <c r="BG328" t="e">
        <f>AND(#REF!,"AAAAAHq9xTo=")</f>
        <v>#REF!</v>
      </c>
      <c r="BH328" t="e">
        <f>AND(#REF!,"AAAAAHq9xTs=")</f>
        <v>#REF!</v>
      </c>
      <c r="BI328" t="e">
        <f>AND(#REF!,"AAAAAHq9xTw=")</f>
        <v>#REF!</v>
      </c>
      <c r="BJ328" t="e">
        <f>AND(#REF!,"AAAAAHq9xT0=")</f>
        <v>#REF!</v>
      </c>
      <c r="BK328" t="e">
        <f>AND(#REF!,"AAAAAHq9xT4=")</f>
        <v>#REF!</v>
      </c>
      <c r="BL328" t="e">
        <f>AND(#REF!,"AAAAAHq9xT8=")</f>
        <v>#REF!</v>
      </c>
      <c r="BM328" t="e">
        <f>AND(#REF!,"AAAAAHq9xUA=")</f>
        <v>#REF!</v>
      </c>
      <c r="BN328" t="e">
        <f>AND(#REF!,"AAAAAHq9xUE=")</f>
        <v>#REF!</v>
      </c>
      <c r="BO328" t="e">
        <f>AND(#REF!,"AAAAAHq9xUI=")</f>
        <v>#REF!</v>
      </c>
      <c r="BP328" t="e">
        <f>AND(#REF!,"AAAAAHq9xUM=")</f>
        <v>#REF!</v>
      </c>
      <c r="BQ328" t="e">
        <f>AND(#REF!,"AAAAAHq9xUQ=")</f>
        <v>#REF!</v>
      </c>
      <c r="BR328" t="e">
        <f>AND(#REF!,"AAAAAHq9xUU=")</f>
        <v>#REF!</v>
      </c>
      <c r="BS328" t="e">
        <f>AND(#REF!,"AAAAAHq9xUY=")</f>
        <v>#REF!</v>
      </c>
      <c r="BT328" t="e">
        <f>AND(#REF!,"AAAAAHq9xUc=")</f>
        <v>#REF!</v>
      </c>
      <c r="BU328" t="e">
        <f>AND(#REF!,"AAAAAHq9xUg=")</f>
        <v>#REF!</v>
      </c>
      <c r="BV328" t="e">
        <f>IF(#REF!,"AAAAAHq9xUk=",0)</f>
        <v>#REF!</v>
      </c>
      <c r="BW328" t="e">
        <f>AND(#REF!,"AAAAAHq9xUo=")</f>
        <v>#REF!</v>
      </c>
      <c r="BX328" t="e">
        <f>AND(#REF!,"AAAAAHq9xUs=")</f>
        <v>#REF!</v>
      </c>
      <c r="BY328" t="e">
        <f>AND(#REF!,"AAAAAHq9xUw=")</f>
        <v>#REF!</v>
      </c>
      <c r="BZ328" t="e">
        <f>AND(#REF!,"AAAAAHq9xU0=")</f>
        <v>#REF!</v>
      </c>
      <c r="CA328" t="e">
        <f>AND(#REF!,"AAAAAHq9xU4=")</f>
        <v>#REF!</v>
      </c>
      <c r="CB328" t="e">
        <f>AND(#REF!,"AAAAAHq9xU8=")</f>
        <v>#REF!</v>
      </c>
      <c r="CC328" t="e">
        <f>AND(#REF!,"AAAAAHq9xVA=")</f>
        <v>#REF!</v>
      </c>
      <c r="CD328" t="e">
        <f>AND(#REF!,"AAAAAHq9xVE=")</f>
        <v>#REF!</v>
      </c>
      <c r="CE328" t="e">
        <f>AND(#REF!,"AAAAAHq9xVI=")</f>
        <v>#REF!</v>
      </c>
      <c r="CF328" t="e">
        <f>AND(#REF!,"AAAAAHq9xVM=")</f>
        <v>#REF!</v>
      </c>
      <c r="CG328" t="e">
        <f>AND(#REF!,"AAAAAHq9xVQ=")</f>
        <v>#REF!</v>
      </c>
      <c r="CH328" t="e">
        <f>AND(#REF!,"AAAAAHq9xVU=")</f>
        <v>#REF!</v>
      </c>
      <c r="CI328" t="e">
        <f>AND(#REF!,"AAAAAHq9xVY=")</f>
        <v>#REF!</v>
      </c>
      <c r="CJ328" t="e">
        <f>AND(#REF!,"AAAAAHq9xVc=")</f>
        <v>#REF!</v>
      </c>
      <c r="CK328" t="e">
        <f>AND(#REF!,"AAAAAHq9xVg=")</f>
        <v>#REF!</v>
      </c>
      <c r="CL328" t="e">
        <f>AND(#REF!,"AAAAAHq9xVk=")</f>
        <v>#REF!</v>
      </c>
      <c r="CM328" t="e">
        <f>AND(#REF!,"AAAAAHq9xVo=")</f>
        <v>#REF!</v>
      </c>
      <c r="CN328" t="e">
        <f>AND(#REF!,"AAAAAHq9xVs=")</f>
        <v>#REF!</v>
      </c>
      <c r="CO328" t="e">
        <f>AND(#REF!,"AAAAAHq9xVw=")</f>
        <v>#REF!</v>
      </c>
      <c r="CP328" t="e">
        <f>AND(#REF!,"AAAAAHq9xV0=")</f>
        <v>#REF!</v>
      </c>
      <c r="CQ328" t="e">
        <f>AND(#REF!,"AAAAAHq9xV4=")</f>
        <v>#REF!</v>
      </c>
      <c r="CR328" t="e">
        <f>AND(#REF!,"AAAAAHq9xV8=")</f>
        <v>#REF!</v>
      </c>
      <c r="CS328" t="e">
        <f>AND(#REF!,"AAAAAHq9xWA=")</f>
        <v>#REF!</v>
      </c>
      <c r="CT328" t="e">
        <f>AND(#REF!,"AAAAAHq9xWE=")</f>
        <v>#REF!</v>
      </c>
      <c r="CU328" t="e">
        <f>IF(#REF!,"AAAAAHq9xWI=",0)</f>
        <v>#REF!</v>
      </c>
      <c r="CV328" t="e">
        <f>AND(#REF!,"AAAAAHq9xWM=")</f>
        <v>#REF!</v>
      </c>
      <c r="CW328" t="e">
        <f>AND(#REF!,"AAAAAHq9xWQ=")</f>
        <v>#REF!</v>
      </c>
      <c r="CX328" t="e">
        <f>AND(#REF!,"AAAAAHq9xWU=")</f>
        <v>#REF!</v>
      </c>
      <c r="CY328" t="e">
        <f>AND(#REF!,"AAAAAHq9xWY=")</f>
        <v>#REF!</v>
      </c>
      <c r="CZ328" t="e">
        <f>AND(#REF!,"AAAAAHq9xWc=")</f>
        <v>#REF!</v>
      </c>
      <c r="DA328" t="e">
        <f>AND(#REF!,"AAAAAHq9xWg=")</f>
        <v>#REF!</v>
      </c>
      <c r="DB328" t="e">
        <f>AND(#REF!,"AAAAAHq9xWk=")</f>
        <v>#REF!</v>
      </c>
      <c r="DC328" t="e">
        <f>AND(#REF!,"AAAAAHq9xWo=")</f>
        <v>#REF!</v>
      </c>
      <c r="DD328" t="e">
        <f>AND(#REF!,"AAAAAHq9xWs=")</f>
        <v>#REF!</v>
      </c>
      <c r="DE328" t="e">
        <f>AND(#REF!,"AAAAAHq9xWw=")</f>
        <v>#REF!</v>
      </c>
      <c r="DF328" t="e">
        <f>AND(#REF!,"AAAAAHq9xW0=")</f>
        <v>#REF!</v>
      </c>
      <c r="DG328" t="e">
        <f>AND(#REF!,"AAAAAHq9xW4=")</f>
        <v>#REF!</v>
      </c>
      <c r="DH328" t="e">
        <f>AND(#REF!,"AAAAAHq9xW8=")</f>
        <v>#REF!</v>
      </c>
      <c r="DI328" t="e">
        <f>AND(#REF!,"AAAAAHq9xXA=")</f>
        <v>#REF!</v>
      </c>
      <c r="DJ328" t="e">
        <f>AND(#REF!,"AAAAAHq9xXE=")</f>
        <v>#REF!</v>
      </c>
      <c r="DK328" t="e">
        <f>AND(#REF!,"AAAAAHq9xXI=")</f>
        <v>#REF!</v>
      </c>
      <c r="DL328" t="e">
        <f>AND(#REF!,"AAAAAHq9xXM=")</f>
        <v>#REF!</v>
      </c>
      <c r="DM328" t="e">
        <f>AND(#REF!,"AAAAAHq9xXQ=")</f>
        <v>#REF!</v>
      </c>
      <c r="DN328" t="e">
        <f>AND(#REF!,"AAAAAHq9xXU=")</f>
        <v>#REF!</v>
      </c>
      <c r="DO328" t="e">
        <f>AND(#REF!,"AAAAAHq9xXY=")</f>
        <v>#REF!</v>
      </c>
      <c r="DP328" t="e">
        <f>AND(#REF!,"AAAAAHq9xXc=")</f>
        <v>#REF!</v>
      </c>
      <c r="DQ328" t="e">
        <f>AND(#REF!,"AAAAAHq9xXg=")</f>
        <v>#REF!</v>
      </c>
      <c r="DR328" t="e">
        <f>AND(#REF!,"AAAAAHq9xXk=")</f>
        <v>#REF!</v>
      </c>
      <c r="DS328" t="e">
        <f>AND(#REF!,"AAAAAHq9xXo=")</f>
        <v>#REF!</v>
      </c>
      <c r="DT328" t="e">
        <f>IF(#REF!,"AAAAAHq9xXs=",0)</f>
        <v>#REF!</v>
      </c>
      <c r="DU328" t="e">
        <f>AND(#REF!,"AAAAAHq9xXw=")</f>
        <v>#REF!</v>
      </c>
      <c r="DV328" t="e">
        <f>AND(#REF!,"AAAAAHq9xX0=")</f>
        <v>#REF!</v>
      </c>
      <c r="DW328" t="e">
        <f>AND(#REF!,"AAAAAHq9xX4=")</f>
        <v>#REF!</v>
      </c>
      <c r="DX328" t="e">
        <f>AND(#REF!,"AAAAAHq9xX8=")</f>
        <v>#REF!</v>
      </c>
      <c r="DY328" t="e">
        <f>AND(#REF!,"AAAAAHq9xYA=")</f>
        <v>#REF!</v>
      </c>
      <c r="DZ328" t="e">
        <f>AND(#REF!,"AAAAAHq9xYE=")</f>
        <v>#REF!</v>
      </c>
      <c r="EA328" t="e">
        <f>AND(#REF!,"AAAAAHq9xYI=")</f>
        <v>#REF!</v>
      </c>
      <c r="EB328" t="e">
        <f>AND(#REF!,"AAAAAHq9xYM=")</f>
        <v>#REF!</v>
      </c>
      <c r="EC328" t="e">
        <f>AND(#REF!,"AAAAAHq9xYQ=")</f>
        <v>#REF!</v>
      </c>
      <c r="ED328" t="e">
        <f>AND(#REF!,"AAAAAHq9xYU=")</f>
        <v>#REF!</v>
      </c>
      <c r="EE328" t="e">
        <f>AND(#REF!,"AAAAAHq9xYY=")</f>
        <v>#REF!</v>
      </c>
      <c r="EF328" t="e">
        <f>AND(#REF!,"AAAAAHq9xYc=")</f>
        <v>#REF!</v>
      </c>
      <c r="EG328" t="e">
        <f>AND(#REF!,"AAAAAHq9xYg=")</f>
        <v>#REF!</v>
      </c>
      <c r="EH328" t="e">
        <f>AND(#REF!,"AAAAAHq9xYk=")</f>
        <v>#REF!</v>
      </c>
      <c r="EI328" t="e">
        <f>AND(#REF!,"AAAAAHq9xYo=")</f>
        <v>#REF!</v>
      </c>
      <c r="EJ328" t="e">
        <f>AND(#REF!,"AAAAAHq9xYs=")</f>
        <v>#REF!</v>
      </c>
      <c r="EK328" t="e">
        <f>AND(#REF!,"AAAAAHq9xYw=")</f>
        <v>#REF!</v>
      </c>
      <c r="EL328" t="e">
        <f>AND(#REF!,"AAAAAHq9xY0=")</f>
        <v>#REF!</v>
      </c>
      <c r="EM328" t="e">
        <f>AND(#REF!,"AAAAAHq9xY4=")</f>
        <v>#REF!</v>
      </c>
      <c r="EN328" t="e">
        <f>AND(#REF!,"AAAAAHq9xY8=")</f>
        <v>#REF!</v>
      </c>
      <c r="EO328" t="e">
        <f>AND(#REF!,"AAAAAHq9xZA=")</f>
        <v>#REF!</v>
      </c>
      <c r="EP328" t="e">
        <f>AND(#REF!,"AAAAAHq9xZE=")</f>
        <v>#REF!</v>
      </c>
      <c r="EQ328" t="e">
        <f>AND(#REF!,"AAAAAHq9xZI=")</f>
        <v>#REF!</v>
      </c>
      <c r="ER328" t="e">
        <f>AND(#REF!,"AAAAAHq9xZM=")</f>
        <v>#REF!</v>
      </c>
      <c r="ES328" t="e">
        <f>IF(#REF!,"AAAAAHq9xZQ=",0)</f>
        <v>#REF!</v>
      </c>
      <c r="ET328" t="e">
        <f>AND(#REF!,"AAAAAHq9xZU=")</f>
        <v>#REF!</v>
      </c>
      <c r="EU328" t="e">
        <f>AND(#REF!,"AAAAAHq9xZY=")</f>
        <v>#REF!</v>
      </c>
      <c r="EV328" t="e">
        <f>AND(#REF!,"AAAAAHq9xZc=")</f>
        <v>#REF!</v>
      </c>
      <c r="EW328" t="e">
        <f>AND(#REF!,"AAAAAHq9xZg=")</f>
        <v>#REF!</v>
      </c>
      <c r="EX328" t="e">
        <f>AND(#REF!,"AAAAAHq9xZk=")</f>
        <v>#REF!</v>
      </c>
      <c r="EY328" t="e">
        <f>AND(#REF!,"AAAAAHq9xZo=")</f>
        <v>#REF!</v>
      </c>
      <c r="EZ328" t="e">
        <f>AND(#REF!,"AAAAAHq9xZs=")</f>
        <v>#REF!</v>
      </c>
      <c r="FA328" t="e">
        <f>AND(#REF!,"AAAAAHq9xZw=")</f>
        <v>#REF!</v>
      </c>
      <c r="FB328" t="e">
        <f>AND(#REF!,"AAAAAHq9xZ0=")</f>
        <v>#REF!</v>
      </c>
      <c r="FC328" t="e">
        <f>AND(#REF!,"AAAAAHq9xZ4=")</f>
        <v>#REF!</v>
      </c>
      <c r="FD328" t="e">
        <f>AND(#REF!,"AAAAAHq9xZ8=")</f>
        <v>#REF!</v>
      </c>
      <c r="FE328" t="e">
        <f>AND(#REF!,"AAAAAHq9xaA=")</f>
        <v>#REF!</v>
      </c>
      <c r="FF328" t="e">
        <f>AND(#REF!,"AAAAAHq9xaE=")</f>
        <v>#REF!</v>
      </c>
      <c r="FG328" t="e">
        <f>AND(#REF!,"AAAAAHq9xaI=")</f>
        <v>#REF!</v>
      </c>
      <c r="FH328" t="e">
        <f>AND(#REF!,"AAAAAHq9xaM=")</f>
        <v>#REF!</v>
      </c>
      <c r="FI328" t="e">
        <f>AND(#REF!,"AAAAAHq9xaQ=")</f>
        <v>#REF!</v>
      </c>
      <c r="FJ328" t="e">
        <f>AND(#REF!,"AAAAAHq9xaU=")</f>
        <v>#REF!</v>
      </c>
      <c r="FK328" t="e">
        <f>AND(#REF!,"AAAAAHq9xaY=")</f>
        <v>#REF!</v>
      </c>
      <c r="FL328" t="e">
        <f>AND(#REF!,"AAAAAHq9xac=")</f>
        <v>#REF!</v>
      </c>
      <c r="FM328" t="e">
        <f>AND(#REF!,"AAAAAHq9xag=")</f>
        <v>#REF!</v>
      </c>
      <c r="FN328" t="e">
        <f>AND(#REF!,"AAAAAHq9xak=")</f>
        <v>#REF!</v>
      </c>
      <c r="FO328" t="e">
        <f>AND(#REF!,"AAAAAHq9xao=")</f>
        <v>#REF!</v>
      </c>
      <c r="FP328" t="e">
        <f>AND(#REF!,"AAAAAHq9xas=")</f>
        <v>#REF!</v>
      </c>
      <c r="FQ328" t="e">
        <f>AND(#REF!,"AAAAAHq9xaw=")</f>
        <v>#REF!</v>
      </c>
      <c r="FR328" t="e">
        <f>IF(#REF!,"AAAAAHq9xa0=",0)</f>
        <v>#REF!</v>
      </c>
      <c r="FS328" t="e">
        <f>AND(#REF!,"AAAAAHq9xa4=")</f>
        <v>#REF!</v>
      </c>
      <c r="FT328" t="e">
        <f>AND(#REF!,"AAAAAHq9xa8=")</f>
        <v>#REF!</v>
      </c>
      <c r="FU328" t="e">
        <f>AND(#REF!,"AAAAAHq9xbA=")</f>
        <v>#REF!</v>
      </c>
      <c r="FV328" t="e">
        <f>AND(#REF!,"AAAAAHq9xbE=")</f>
        <v>#REF!</v>
      </c>
      <c r="FW328" t="e">
        <f>AND(#REF!,"AAAAAHq9xbI=")</f>
        <v>#REF!</v>
      </c>
      <c r="FX328" t="e">
        <f>AND(#REF!,"AAAAAHq9xbM=")</f>
        <v>#REF!</v>
      </c>
      <c r="FY328" t="e">
        <f>AND(#REF!,"AAAAAHq9xbQ=")</f>
        <v>#REF!</v>
      </c>
      <c r="FZ328" t="e">
        <f>AND(#REF!,"AAAAAHq9xbU=")</f>
        <v>#REF!</v>
      </c>
      <c r="GA328" t="e">
        <f>AND(#REF!,"AAAAAHq9xbY=")</f>
        <v>#REF!</v>
      </c>
      <c r="GB328" t="e">
        <f>AND(#REF!,"AAAAAHq9xbc=")</f>
        <v>#REF!</v>
      </c>
      <c r="GC328" t="e">
        <f>AND(#REF!,"AAAAAHq9xbg=")</f>
        <v>#REF!</v>
      </c>
      <c r="GD328" t="e">
        <f>AND(#REF!,"AAAAAHq9xbk=")</f>
        <v>#REF!</v>
      </c>
      <c r="GE328" t="e">
        <f>AND(#REF!,"AAAAAHq9xbo=")</f>
        <v>#REF!</v>
      </c>
      <c r="GF328" t="e">
        <f>AND(#REF!,"AAAAAHq9xbs=")</f>
        <v>#REF!</v>
      </c>
      <c r="GG328" t="e">
        <f>AND(#REF!,"AAAAAHq9xbw=")</f>
        <v>#REF!</v>
      </c>
      <c r="GH328" t="e">
        <f>AND(#REF!,"AAAAAHq9xb0=")</f>
        <v>#REF!</v>
      </c>
      <c r="GI328" t="e">
        <f>AND(#REF!,"AAAAAHq9xb4=")</f>
        <v>#REF!</v>
      </c>
      <c r="GJ328" t="e">
        <f>AND(#REF!,"AAAAAHq9xb8=")</f>
        <v>#REF!</v>
      </c>
      <c r="GK328" t="e">
        <f>AND(#REF!,"AAAAAHq9xcA=")</f>
        <v>#REF!</v>
      </c>
      <c r="GL328" t="e">
        <f>AND(#REF!,"AAAAAHq9xcE=")</f>
        <v>#REF!</v>
      </c>
      <c r="GM328" t="e">
        <f>AND(#REF!,"AAAAAHq9xcI=")</f>
        <v>#REF!</v>
      </c>
      <c r="GN328" t="e">
        <f>AND(#REF!,"AAAAAHq9xcM=")</f>
        <v>#REF!</v>
      </c>
      <c r="GO328" t="e">
        <f>AND(#REF!,"AAAAAHq9xcQ=")</f>
        <v>#REF!</v>
      </c>
      <c r="GP328" t="e">
        <f>AND(#REF!,"AAAAAHq9xcU=")</f>
        <v>#REF!</v>
      </c>
      <c r="GQ328" t="e">
        <f>IF(#REF!,"AAAAAHq9xcY=",0)</f>
        <v>#REF!</v>
      </c>
      <c r="GR328" t="e">
        <f>AND(#REF!,"AAAAAHq9xcc=")</f>
        <v>#REF!</v>
      </c>
      <c r="GS328" t="e">
        <f>AND(#REF!,"AAAAAHq9xcg=")</f>
        <v>#REF!</v>
      </c>
      <c r="GT328" t="e">
        <f>AND(#REF!,"AAAAAHq9xck=")</f>
        <v>#REF!</v>
      </c>
      <c r="GU328" t="e">
        <f>AND(#REF!,"AAAAAHq9xco=")</f>
        <v>#REF!</v>
      </c>
      <c r="GV328" t="e">
        <f>AND(#REF!,"AAAAAHq9xcs=")</f>
        <v>#REF!</v>
      </c>
      <c r="GW328" t="e">
        <f>AND(#REF!,"AAAAAHq9xcw=")</f>
        <v>#REF!</v>
      </c>
      <c r="GX328" t="e">
        <f>AND(#REF!,"AAAAAHq9xc0=")</f>
        <v>#REF!</v>
      </c>
      <c r="GY328" t="e">
        <f>AND(#REF!,"AAAAAHq9xc4=")</f>
        <v>#REF!</v>
      </c>
      <c r="GZ328" t="e">
        <f>AND(#REF!,"AAAAAHq9xc8=")</f>
        <v>#REF!</v>
      </c>
      <c r="HA328" t="e">
        <f>AND(#REF!,"AAAAAHq9xdA=")</f>
        <v>#REF!</v>
      </c>
      <c r="HB328" t="e">
        <f>AND(#REF!,"AAAAAHq9xdE=")</f>
        <v>#REF!</v>
      </c>
      <c r="HC328" t="e">
        <f>AND(#REF!,"AAAAAHq9xdI=")</f>
        <v>#REF!</v>
      </c>
      <c r="HD328" t="e">
        <f>AND(#REF!,"AAAAAHq9xdM=")</f>
        <v>#REF!</v>
      </c>
      <c r="HE328" t="e">
        <f>AND(#REF!,"AAAAAHq9xdQ=")</f>
        <v>#REF!</v>
      </c>
      <c r="HF328" t="e">
        <f>AND(#REF!,"AAAAAHq9xdU=")</f>
        <v>#REF!</v>
      </c>
      <c r="HG328" t="e">
        <f>AND(#REF!,"AAAAAHq9xdY=")</f>
        <v>#REF!</v>
      </c>
      <c r="HH328" t="e">
        <f>AND(#REF!,"AAAAAHq9xdc=")</f>
        <v>#REF!</v>
      </c>
      <c r="HI328" t="e">
        <f>AND(#REF!,"AAAAAHq9xdg=")</f>
        <v>#REF!</v>
      </c>
      <c r="HJ328" t="e">
        <f>AND(#REF!,"AAAAAHq9xdk=")</f>
        <v>#REF!</v>
      </c>
      <c r="HK328" t="e">
        <f>AND(#REF!,"AAAAAHq9xdo=")</f>
        <v>#REF!</v>
      </c>
      <c r="HL328" t="e">
        <f>AND(#REF!,"AAAAAHq9xds=")</f>
        <v>#REF!</v>
      </c>
      <c r="HM328" t="e">
        <f>AND(#REF!,"AAAAAHq9xdw=")</f>
        <v>#REF!</v>
      </c>
      <c r="HN328" t="e">
        <f>AND(#REF!,"AAAAAHq9xd0=")</f>
        <v>#REF!</v>
      </c>
      <c r="HO328" t="e">
        <f>AND(#REF!,"AAAAAHq9xd4=")</f>
        <v>#REF!</v>
      </c>
      <c r="HP328" t="e">
        <f>IF(#REF!,"AAAAAHq9xd8=",0)</f>
        <v>#REF!</v>
      </c>
      <c r="HQ328" t="e">
        <f>AND(#REF!,"AAAAAHq9xeA=")</f>
        <v>#REF!</v>
      </c>
      <c r="HR328" t="e">
        <f>AND(#REF!,"AAAAAHq9xeE=")</f>
        <v>#REF!</v>
      </c>
      <c r="HS328" t="e">
        <f>AND(#REF!,"AAAAAHq9xeI=")</f>
        <v>#REF!</v>
      </c>
      <c r="HT328" t="e">
        <f>AND(#REF!,"AAAAAHq9xeM=")</f>
        <v>#REF!</v>
      </c>
      <c r="HU328" t="e">
        <f>AND(#REF!,"AAAAAHq9xeQ=")</f>
        <v>#REF!</v>
      </c>
      <c r="HV328" t="e">
        <f>AND(#REF!,"AAAAAHq9xeU=")</f>
        <v>#REF!</v>
      </c>
      <c r="HW328" t="e">
        <f>AND(#REF!,"AAAAAHq9xeY=")</f>
        <v>#REF!</v>
      </c>
      <c r="HX328" t="e">
        <f>AND(#REF!,"AAAAAHq9xec=")</f>
        <v>#REF!</v>
      </c>
      <c r="HY328" t="e">
        <f>AND(#REF!,"AAAAAHq9xeg=")</f>
        <v>#REF!</v>
      </c>
      <c r="HZ328" t="e">
        <f>AND(#REF!,"AAAAAHq9xek=")</f>
        <v>#REF!</v>
      </c>
      <c r="IA328" t="e">
        <f>AND(#REF!,"AAAAAHq9xeo=")</f>
        <v>#REF!</v>
      </c>
      <c r="IB328" t="e">
        <f>AND(#REF!,"AAAAAHq9xes=")</f>
        <v>#REF!</v>
      </c>
      <c r="IC328" t="e">
        <f>AND(#REF!,"AAAAAHq9xew=")</f>
        <v>#REF!</v>
      </c>
      <c r="ID328" t="e">
        <f>AND(#REF!,"AAAAAHq9xe0=")</f>
        <v>#REF!</v>
      </c>
      <c r="IE328" t="e">
        <f>AND(#REF!,"AAAAAHq9xe4=")</f>
        <v>#REF!</v>
      </c>
      <c r="IF328" t="e">
        <f>AND(#REF!,"AAAAAHq9xe8=")</f>
        <v>#REF!</v>
      </c>
      <c r="IG328" t="e">
        <f>AND(#REF!,"AAAAAHq9xfA=")</f>
        <v>#REF!</v>
      </c>
      <c r="IH328" t="e">
        <f>AND(#REF!,"AAAAAHq9xfE=")</f>
        <v>#REF!</v>
      </c>
      <c r="II328" t="e">
        <f>AND(#REF!,"AAAAAHq9xfI=")</f>
        <v>#REF!</v>
      </c>
      <c r="IJ328" t="e">
        <f>AND(#REF!,"AAAAAHq9xfM=")</f>
        <v>#REF!</v>
      </c>
      <c r="IK328" t="e">
        <f>AND(#REF!,"AAAAAHq9xfQ=")</f>
        <v>#REF!</v>
      </c>
      <c r="IL328" t="e">
        <f>AND(#REF!,"AAAAAHq9xfU=")</f>
        <v>#REF!</v>
      </c>
      <c r="IM328" t="e">
        <f>AND(#REF!,"AAAAAHq9xfY=")</f>
        <v>#REF!</v>
      </c>
      <c r="IN328" t="e">
        <f>AND(#REF!,"AAAAAHq9xfc=")</f>
        <v>#REF!</v>
      </c>
      <c r="IO328" t="e">
        <f>IF(#REF!,"AAAAAHq9xfg=",0)</f>
        <v>#REF!</v>
      </c>
      <c r="IP328" t="e">
        <f>AND(#REF!,"AAAAAHq9xfk=")</f>
        <v>#REF!</v>
      </c>
      <c r="IQ328" t="e">
        <f>AND(#REF!,"AAAAAHq9xfo=")</f>
        <v>#REF!</v>
      </c>
      <c r="IR328" t="e">
        <f>AND(#REF!,"AAAAAHq9xfs=")</f>
        <v>#REF!</v>
      </c>
      <c r="IS328" t="e">
        <f>AND(#REF!,"AAAAAHq9xfw=")</f>
        <v>#REF!</v>
      </c>
      <c r="IT328" t="e">
        <f>AND(#REF!,"AAAAAHq9xf0=")</f>
        <v>#REF!</v>
      </c>
      <c r="IU328" t="e">
        <f>AND(#REF!,"AAAAAHq9xf4=")</f>
        <v>#REF!</v>
      </c>
      <c r="IV328" t="e">
        <f>AND(#REF!,"AAAAAHq9xf8=")</f>
        <v>#REF!</v>
      </c>
    </row>
    <row r="329" spans="1:256">
      <c r="A329" t="e">
        <f>AND(#REF!,"AAAAAH+uVwA=")</f>
        <v>#REF!</v>
      </c>
      <c r="B329" t="e">
        <f>AND(#REF!,"AAAAAH+uVwE=")</f>
        <v>#REF!</v>
      </c>
      <c r="C329" t="e">
        <f>AND(#REF!,"AAAAAH+uVwI=")</f>
        <v>#REF!</v>
      </c>
      <c r="D329" t="e">
        <f>AND(#REF!,"AAAAAH+uVwM=")</f>
        <v>#REF!</v>
      </c>
      <c r="E329" t="e">
        <f>AND(#REF!,"AAAAAH+uVwQ=")</f>
        <v>#REF!</v>
      </c>
      <c r="F329" t="e">
        <f>AND(#REF!,"AAAAAH+uVwU=")</f>
        <v>#REF!</v>
      </c>
      <c r="G329" t="e">
        <f>AND(#REF!,"AAAAAH+uVwY=")</f>
        <v>#REF!</v>
      </c>
      <c r="H329" t="e">
        <f>AND(#REF!,"AAAAAH+uVwc=")</f>
        <v>#REF!</v>
      </c>
      <c r="I329" t="e">
        <f>AND(#REF!,"AAAAAH+uVwg=")</f>
        <v>#REF!</v>
      </c>
      <c r="J329" t="e">
        <f>AND(#REF!,"AAAAAH+uVwk=")</f>
        <v>#REF!</v>
      </c>
      <c r="K329" t="e">
        <f>AND(#REF!,"AAAAAH+uVwo=")</f>
        <v>#REF!</v>
      </c>
      <c r="L329" t="e">
        <f>AND(#REF!,"AAAAAH+uVws=")</f>
        <v>#REF!</v>
      </c>
      <c r="M329" t="e">
        <f>AND(#REF!,"AAAAAH+uVww=")</f>
        <v>#REF!</v>
      </c>
      <c r="N329" t="e">
        <f>AND(#REF!,"AAAAAH+uVw0=")</f>
        <v>#REF!</v>
      </c>
      <c r="O329" t="e">
        <f>AND(#REF!,"AAAAAH+uVw4=")</f>
        <v>#REF!</v>
      </c>
      <c r="P329" t="e">
        <f>AND(#REF!,"AAAAAH+uVw8=")</f>
        <v>#REF!</v>
      </c>
      <c r="Q329" t="e">
        <f>AND(#REF!,"AAAAAH+uVxA=")</f>
        <v>#REF!</v>
      </c>
      <c r="R329" t="e">
        <f>IF(#REF!,"AAAAAH+uVxE=",0)</f>
        <v>#REF!</v>
      </c>
      <c r="S329" t="e">
        <f>AND(#REF!,"AAAAAH+uVxI=")</f>
        <v>#REF!</v>
      </c>
      <c r="T329" t="e">
        <f>AND(#REF!,"AAAAAH+uVxM=")</f>
        <v>#REF!</v>
      </c>
      <c r="U329" t="e">
        <f>AND(#REF!,"AAAAAH+uVxQ=")</f>
        <v>#REF!</v>
      </c>
      <c r="V329" t="e">
        <f>AND(#REF!,"AAAAAH+uVxU=")</f>
        <v>#REF!</v>
      </c>
      <c r="W329" t="e">
        <f>AND(#REF!,"AAAAAH+uVxY=")</f>
        <v>#REF!</v>
      </c>
      <c r="X329" t="e">
        <f>AND(#REF!,"AAAAAH+uVxc=")</f>
        <v>#REF!</v>
      </c>
      <c r="Y329" t="e">
        <f>AND(#REF!,"AAAAAH+uVxg=")</f>
        <v>#REF!</v>
      </c>
      <c r="Z329" t="e">
        <f>AND(#REF!,"AAAAAH+uVxk=")</f>
        <v>#REF!</v>
      </c>
      <c r="AA329" t="e">
        <f>AND(#REF!,"AAAAAH+uVxo=")</f>
        <v>#REF!</v>
      </c>
      <c r="AB329" t="e">
        <f>AND(#REF!,"AAAAAH+uVxs=")</f>
        <v>#REF!</v>
      </c>
      <c r="AC329" t="e">
        <f>AND(#REF!,"AAAAAH+uVxw=")</f>
        <v>#REF!</v>
      </c>
      <c r="AD329" t="e">
        <f>AND(#REF!,"AAAAAH+uVx0=")</f>
        <v>#REF!</v>
      </c>
      <c r="AE329" t="e">
        <f>AND(#REF!,"AAAAAH+uVx4=")</f>
        <v>#REF!</v>
      </c>
      <c r="AF329" t="e">
        <f>AND(#REF!,"AAAAAH+uVx8=")</f>
        <v>#REF!</v>
      </c>
      <c r="AG329" t="e">
        <f>AND(#REF!,"AAAAAH+uVyA=")</f>
        <v>#REF!</v>
      </c>
      <c r="AH329" t="e">
        <f>AND(#REF!,"AAAAAH+uVyE=")</f>
        <v>#REF!</v>
      </c>
      <c r="AI329" t="e">
        <f>AND(#REF!,"AAAAAH+uVyI=")</f>
        <v>#REF!</v>
      </c>
      <c r="AJ329" t="e">
        <f>AND(#REF!,"AAAAAH+uVyM=")</f>
        <v>#REF!</v>
      </c>
      <c r="AK329" t="e">
        <f>AND(#REF!,"AAAAAH+uVyQ=")</f>
        <v>#REF!</v>
      </c>
      <c r="AL329" t="e">
        <f>AND(#REF!,"AAAAAH+uVyU=")</f>
        <v>#REF!</v>
      </c>
      <c r="AM329" t="e">
        <f>AND(#REF!,"AAAAAH+uVyY=")</f>
        <v>#REF!</v>
      </c>
      <c r="AN329" t="e">
        <f>AND(#REF!,"AAAAAH+uVyc=")</f>
        <v>#REF!</v>
      </c>
      <c r="AO329" t="e">
        <f>AND(#REF!,"AAAAAH+uVyg=")</f>
        <v>#REF!</v>
      </c>
      <c r="AP329" t="e">
        <f>AND(#REF!,"AAAAAH+uVyk=")</f>
        <v>#REF!</v>
      </c>
      <c r="AQ329" t="e">
        <f>IF(#REF!,"AAAAAH+uVyo=",0)</f>
        <v>#REF!</v>
      </c>
      <c r="AR329" t="e">
        <f>AND(#REF!,"AAAAAH+uVys=")</f>
        <v>#REF!</v>
      </c>
      <c r="AS329" t="e">
        <f>AND(#REF!,"AAAAAH+uVyw=")</f>
        <v>#REF!</v>
      </c>
      <c r="AT329" t="e">
        <f>AND(#REF!,"AAAAAH+uVy0=")</f>
        <v>#REF!</v>
      </c>
      <c r="AU329" t="e">
        <f>AND(#REF!,"AAAAAH+uVy4=")</f>
        <v>#REF!</v>
      </c>
      <c r="AV329" t="e">
        <f>AND(#REF!,"AAAAAH+uVy8=")</f>
        <v>#REF!</v>
      </c>
      <c r="AW329" t="e">
        <f>AND(#REF!,"AAAAAH+uVzA=")</f>
        <v>#REF!</v>
      </c>
      <c r="AX329" t="e">
        <f>AND(#REF!,"AAAAAH+uVzE=")</f>
        <v>#REF!</v>
      </c>
      <c r="AY329" t="e">
        <f>AND(#REF!,"AAAAAH+uVzI=")</f>
        <v>#REF!</v>
      </c>
      <c r="AZ329" t="e">
        <f>AND(#REF!,"AAAAAH+uVzM=")</f>
        <v>#REF!</v>
      </c>
      <c r="BA329" t="e">
        <f>AND(#REF!,"AAAAAH+uVzQ=")</f>
        <v>#REF!</v>
      </c>
      <c r="BB329" t="e">
        <f>AND(#REF!,"AAAAAH+uVzU=")</f>
        <v>#REF!</v>
      </c>
      <c r="BC329" t="e">
        <f>AND(#REF!,"AAAAAH+uVzY=")</f>
        <v>#REF!</v>
      </c>
      <c r="BD329" t="e">
        <f>AND(#REF!,"AAAAAH+uVzc=")</f>
        <v>#REF!</v>
      </c>
      <c r="BE329" t="e">
        <f>AND(#REF!,"AAAAAH+uVzg=")</f>
        <v>#REF!</v>
      </c>
      <c r="BF329" t="e">
        <f>AND(#REF!,"AAAAAH+uVzk=")</f>
        <v>#REF!</v>
      </c>
      <c r="BG329" t="e">
        <f>AND(#REF!,"AAAAAH+uVzo=")</f>
        <v>#REF!</v>
      </c>
      <c r="BH329" t="e">
        <f>AND(#REF!,"AAAAAH+uVzs=")</f>
        <v>#REF!</v>
      </c>
      <c r="BI329" t="e">
        <f>AND(#REF!,"AAAAAH+uVzw=")</f>
        <v>#REF!</v>
      </c>
      <c r="BJ329" t="e">
        <f>AND(#REF!,"AAAAAH+uVz0=")</f>
        <v>#REF!</v>
      </c>
      <c r="BK329" t="e">
        <f>AND(#REF!,"AAAAAH+uVz4=")</f>
        <v>#REF!</v>
      </c>
      <c r="BL329" t="e">
        <f>AND(#REF!,"AAAAAH+uVz8=")</f>
        <v>#REF!</v>
      </c>
      <c r="BM329" t="e">
        <f>AND(#REF!,"AAAAAH+uV0A=")</f>
        <v>#REF!</v>
      </c>
      <c r="BN329" t="e">
        <f>AND(#REF!,"AAAAAH+uV0E=")</f>
        <v>#REF!</v>
      </c>
      <c r="BO329" t="e">
        <f>AND(#REF!,"AAAAAH+uV0I=")</f>
        <v>#REF!</v>
      </c>
      <c r="BP329" t="e">
        <f>IF(#REF!,"AAAAAH+uV0M=",0)</f>
        <v>#REF!</v>
      </c>
      <c r="BQ329" t="e">
        <f>AND(#REF!,"AAAAAH+uV0Q=")</f>
        <v>#REF!</v>
      </c>
      <c r="BR329" t="e">
        <f>AND(#REF!,"AAAAAH+uV0U=")</f>
        <v>#REF!</v>
      </c>
      <c r="BS329" t="e">
        <f>AND(#REF!,"AAAAAH+uV0Y=")</f>
        <v>#REF!</v>
      </c>
      <c r="BT329" t="e">
        <f>AND(#REF!,"AAAAAH+uV0c=")</f>
        <v>#REF!</v>
      </c>
      <c r="BU329" t="e">
        <f>AND(#REF!,"AAAAAH+uV0g=")</f>
        <v>#REF!</v>
      </c>
      <c r="BV329" t="e">
        <f>AND(#REF!,"AAAAAH+uV0k=")</f>
        <v>#REF!</v>
      </c>
      <c r="BW329" t="e">
        <f>AND(#REF!,"AAAAAH+uV0o=")</f>
        <v>#REF!</v>
      </c>
      <c r="BX329" t="e">
        <f>AND(#REF!,"AAAAAH+uV0s=")</f>
        <v>#REF!</v>
      </c>
      <c r="BY329" t="e">
        <f>AND(#REF!,"AAAAAH+uV0w=")</f>
        <v>#REF!</v>
      </c>
      <c r="BZ329" t="e">
        <f>AND(#REF!,"AAAAAH+uV00=")</f>
        <v>#REF!</v>
      </c>
      <c r="CA329" t="e">
        <f>AND(#REF!,"AAAAAH+uV04=")</f>
        <v>#REF!</v>
      </c>
      <c r="CB329" t="e">
        <f>AND(#REF!,"AAAAAH+uV08=")</f>
        <v>#REF!</v>
      </c>
      <c r="CC329" t="e">
        <f>AND(#REF!,"AAAAAH+uV1A=")</f>
        <v>#REF!</v>
      </c>
      <c r="CD329" t="e">
        <f>AND(#REF!,"AAAAAH+uV1E=")</f>
        <v>#REF!</v>
      </c>
      <c r="CE329" t="e">
        <f>AND(#REF!,"AAAAAH+uV1I=")</f>
        <v>#REF!</v>
      </c>
      <c r="CF329" t="e">
        <f>AND(#REF!,"AAAAAH+uV1M=")</f>
        <v>#REF!</v>
      </c>
      <c r="CG329" t="e">
        <f>AND(#REF!,"AAAAAH+uV1Q=")</f>
        <v>#REF!</v>
      </c>
      <c r="CH329" t="e">
        <f>AND(#REF!,"AAAAAH+uV1U=")</f>
        <v>#REF!</v>
      </c>
      <c r="CI329" t="e">
        <f>AND(#REF!,"AAAAAH+uV1Y=")</f>
        <v>#REF!</v>
      </c>
      <c r="CJ329" t="e">
        <f>AND(#REF!,"AAAAAH+uV1c=")</f>
        <v>#REF!</v>
      </c>
      <c r="CK329" t="e">
        <f>AND(#REF!,"AAAAAH+uV1g=")</f>
        <v>#REF!</v>
      </c>
      <c r="CL329" t="e">
        <f>AND(#REF!,"AAAAAH+uV1k=")</f>
        <v>#REF!</v>
      </c>
      <c r="CM329" t="e">
        <f>AND(#REF!,"AAAAAH+uV1o=")</f>
        <v>#REF!</v>
      </c>
      <c r="CN329" t="e">
        <f>AND(#REF!,"AAAAAH+uV1s=")</f>
        <v>#REF!</v>
      </c>
      <c r="CO329" t="e">
        <f>IF(#REF!,"AAAAAH+uV1w=",0)</f>
        <v>#REF!</v>
      </c>
      <c r="CP329" t="e">
        <f>AND(#REF!,"AAAAAH+uV10=")</f>
        <v>#REF!</v>
      </c>
      <c r="CQ329" t="e">
        <f>AND(#REF!,"AAAAAH+uV14=")</f>
        <v>#REF!</v>
      </c>
      <c r="CR329" t="e">
        <f>AND(#REF!,"AAAAAH+uV18=")</f>
        <v>#REF!</v>
      </c>
      <c r="CS329" t="e">
        <f>AND(#REF!,"AAAAAH+uV2A=")</f>
        <v>#REF!</v>
      </c>
      <c r="CT329" t="e">
        <f>AND(#REF!,"AAAAAH+uV2E=")</f>
        <v>#REF!</v>
      </c>
      <c r="CU329" t="e">
        <f>AND(#REF!,"AAAAAH+uV2I=")</f>
        <v>#REF!</v>
      </c>
      <c r="CV329" t="e">
        <f>AND(#REF!,"AAAAAH+uV2M=")</f>
        <v>#REF!</v>
      </c>
      <c r="CW329" t="e">
        <f>AND(#REF!,"AAAAAH+uV2Q=")</f>
        <v>#REF!</v>
      </c>
      <c r="CX329" t="e">
        <f>AND(#REF!,"AAAAAH+uV2U=")</f>
        <v>#REF!</v>
      </c>
      <c r="CY329" t="e">
        <f>AND(#REF!,"AAAAAH+uV2Y=")</f>
        <v>#REF!</v>
      </c>
      <c r="CZ329" t="e">
        <f>AND(#REF!,"AAAAAH+uV2c=")</f>
        <v>#REF!</v>
      </c>
      <c r="DA329" t="e">
        <f>AND(#REF!,"AAAAAH+uV2g=")</f>
        <v>#REF!</v>
      </c>
      <c r="DB329" t="e">
        <f>AND(#REF!,"AAAAAH+uV2k=")</f>
        <v>#REF!</v>
      </c>
      <c r="DC329" t="e">
        <f>AND(#REF!,"AAAAAH+uV2o=")</f>
        <v>#REF!</v>
      </c>
      <c r="DD329" t="e">
        <f>AND(#REF!,"AAAAAH+uV2s=")</f>
        <v>#REF!</v>
      </c>
      <c r="DE329" t="e">
        <f>AND(#REF!,"AAAAAH+uV2w=")</f>
        <v>#REF!</v>
      </c>
      <c r="DF329" t="e">
        <f>AND(#REF!,"AAAAAH+uV20=")</f>
        <v>#REF!</v>
      </c>
      <c r="DG329" t="e">
        <f>AND(#REF!,"AAAAAH+uV24=")</f>
        <v>#REF!</v>
      </c>
      <c r="DH329" t="e">
        <f>AND(#REF!,"AAAAAH+uV28=")</f>
        <v>#REF!</v>
      </c>
      <c r="DI329" t="e">
        <f>AND(#REF!,"AAAAAH+uV3A=")</f>
        <v>#REF!</v>
      </c>
      <c r="DJ329" t="e">
        <f>AND(#REF!,"AAAAAH+uV3E=")</f>
        <v>#REF!</v>
      </c>
      <c r="DK329" t="e">
        <f>AND(#REF!,"AAAAAH+uV3I=")</f>
        <v>#REF!</v>
      </c>
      <c r="DL329" t="e">
        <f>AND(#REF!,"AAAAAH+uV3M=")</f>
        <v>#REF!</v>
      </c>
      <c r="DM329" t="e">
        <f>AND(#REF!,"AAAAAH+uV3Q=")</f>
        <v>#REF!</v>
      </c>
      <c r="DN329" t="e">
        <f>IF(#REF!,"AAAAAH+uV3U=",0)</f>
        <v>#REF!</v>
      </c>
      <c r="DO329" t="e">
        <f>AND(#REF!,"AAAAAH+uV3Y=")</f>
        <v>#REF!</v>
      </c>
      <c r="DP329" t="e">
        <f>AND(#REF!,"AAAAAH+uV3c=")</f>
        <v>#REF!</v>
      </c>
      <c r="DQ329" t="e">
        <f>AND(#REF!,"AAAAAH+uV3g=")</f>
        <v>#REF!</v>
      </c>
      <c r="DR329" t="e">
        <f>AND(#REF!,"AAAAAH+uV3k=")</f>
        <v>#REF!</v>
      </c>
      <c r="DS329" t="e">
        <f>AND(#REF!,"AAAAAH+uV3o=")</f>
        <v>#REF!</v>
      </c>
      <c r="DT329" t="e">
        <f>AND(#REF!,"AAAAAH+uV3s=")</f>
        <v>#REF!</v>
      </c>
      <c r="DU329" t="e">
        <f>AND(#REF!,"AAAAAH+uV3w=")</f>
        <v>#REF!</v>
      </c>
      <c r="DV329" t="e">
        <f>AND(#REF!,"AAAAAH+uV30=")</f>
        <v>#REF!</v>
      </c>
      <c r="DW329" t="e">
        <f>AND(#REF!,"AAAAAH+uV34=")</f>
        <v>#REF!</v>
      </c>
      <c r="DX329" t="e">
        <f>AND(#REF!,"AAAAAH+uV38=")</f>
        <v>#REF!</v>
      </c>
      <c r="DY329" t="e">
        <f>AND(#REF!,"AAAAAH+uV4A=")</f>
        <v>#REF!</v>
      </c>
      <c r="DZ329" t="e">
        <f>AND(#REF!,"AAAAAH+uV4E=")</f>
        <v>#REF!</v>
      </c>
      <c r="EA329" t="e">
        <f>AND(#REF!,"AAAAAH+uV4I=")</f>
        <v>#REF!</v>
      </c>
      <c r="EB329" t="e">
        <f>AND(#REF!,"AAAAAH+uV4M=")</f>
        <v>#REF!</v>
      </c>
      <c r="EC329" t="e">
        <f>AND(#REF!,"AAAAAH+uV4Q=")</f>
        <v>#REF!</v>
      </c>
      <c r="ED329" t="e">
        <f>AND(#REF!,"AAAAAH+uV4U=")</f>
        <v>#REF!</v>
      </c>
      <c r="EE329" t="e">
        <f>AND(#REF!,"AAAAAH+uV4Y=")</f>
        <v>#REF!</v>
      </c>
      <c r="EF329" t="e">
        <f>AND(#REF!,"AAAAAH+uV4c=")</f>
        <v>#REF!</v>
      </c>
      <c r="EG329" t="e">
        <f>AND(#REF!,"AAAAAH+uV4g=")</f>
        <v>#REF!</v>
      </c>
      <c r="EH329" t="e">
        <f>AND(#REF!,"AAAAAH+uV4k=")</f>
        <v>#REF!</v>
      </c>
      <c r="EI329" t="e">
        <f>AND(#REF!,"AAAAAH+uV4o=")</f>
        <v>#REF!</v>
      </c>
      <c r="EJ329" t="e">
        <f>AND(#REF!,"AAAAAH+uV4s=")</f>
        <v>#REF!</v>
      </c>
      <c r="EK329" t="e">
        <f>AND(#REF!,"AAAAAH+uV4w=")</f>
        <v>#REF!</v>
      </c>
      <c r="EL329" t="e">
        <f>AND(#REF!,"AAAAAH+uV40=")</f>
        <v>#REF!</v>
      </c>
      <c r="EM329" t="e">
        <f>IF(#REF!,"AAAAAH+uV44=",0)</f>
        <v>#REF!</v>
      </c>
      <c r="EN329" t="e">
        <f>AND(#REF!,"AAAAAH+uV48=")</f>
        <v>#REF!</v>
      </c>
      <c r="EO329" t="e">
        <f>AND(#REF!,"AAAAAH+uV5A=")</f>
        <v>#REF!</v>
      </c>
      <c r="EP329" t="e">
        <f>AND(#REF!,"AAAAAH+uV5E=")</f>
        <v>#REF!</v>
      </c>
      <c r="EQ329" t="e">
        <f>AND(#REF!,"AAAAAH+uV5I=")</f>
        <v>#REF!</v>
      </c>
      <c r="ER329" t="e">
        <f>AND(#REF!,"AAAAAH+uV5M=")</f>
        <v>#REF!</v>
      </c>
      <c r="ES329" t="e">
        <f>AND(#REF!,"AAAAAH+uV5Q=")</f>
        <v>#REF!</v>
      </c>
      <c r="ET329" t="e">
        <f>AND(#REF!,"AAAAAH+uV5U=")</f>
        <v>#REF!</v>
      </c>
      <c r="EU329" t="e">
        <f>AND(#REF!,"AAAAAH+uV5Y=")</f>
        <v>#REF!</v>
      </c>
      <c r="EV329" t="e">
        <f>AND(#REF!,"AAAAAH+uV5c=")</f>
        <v>#REF!</v>
      </c>
      <c r="EW329" t="e">
        <f>AND(#REF!,"AAAAAH+uV5g=")</f>
        <v>#REF!</v>
      </c>
      <c r="EX329" t="e">
        <f>AND(#REF!,"AAAAAH+uV5k=")</f>
        <v>#REF!</v>
      </c>
      <c r="EY329" t="e">
        <f>AND(#REF!,"AAAAAH+uV5o=")</f>
        <v>#REF!</v>
      </c>
      <c r="EZ329" t="e">
        <f>AND(#REF!,"AAAAAH+uV5s=")</f>
        <v>#REF!</v>
      </c>
      <c r="FA329" t="e">
        <f>AND(#REF!,"AAAAAH+uV5w=")</f>
        <v>#REF!</v>
      </c>
      <c r="FB329" t="e">
        <f>AND(#REF!,"AAAAAH+uV50=")</f>
        <v>#REF!</v>
      </c>
      <c r="FC329" t="e">
        <f>AND(#REF!,"AAAAAH+uV54=")</f>
        <v>#REF!</v>
      </c>
      <c r="FD329" t="e">
        <f>AND(#REF!,"AAAAAH+uV58=")</f>
        <v>#REF!</v>
      </c>
      <c r="FE329" t="e">
        <f>AND(#REF!,"AAAAAH+uV6A=")</f>
        <v>#REF!</v>
      </c>
      <c r="FF329" t="e">
        <f>AND(#REF!,"AAAAAH+uV6E=")</f>
        <v>#REF!</v>
      </c>
      <c r="FG329" t="e">
        <f>AND(#REF!,"AAAAAH+uV6I=")</f>
        <v>#REF!</v>
      </c>
      <c r="FH329" t="e">
        <f>AND(#REF!,"AAAAAH+uV6M=")</f>
        <v>#REF!</v>
      </c>
      <c r="FI329" t="e">
        <f>AND(#REF!,"AAAAAH+uV6Q=")</f>
        <v>#REF!</v>
      </c>
      <c r="FJ329" t="e">
        <f>AND(#REF!,"AAAAAH+uV6U=")</f>
        <v>#REF!</v>
      </c>
      <c r="FK329" t="e">
        <f>AND(#REF!,"AAAAAH+uV6Y=")</f>
        <v>#REF!</v>
      </c>
      <c r="FL329" t="e">
        <f>IF(#REF!,"AAAAAH+uV6c=",0)</f>
        <v>#REF!</v>
      </c>
      <c r="FM329" t="e">
        <f>AND(#REF!,"AAAAAH+uV6g=")</f>
        <v>#REF!</v>
      </c>
      <c r="FN329" t="e">
        <f>AND(#REF!,"AAAAAH+uV6k=")</f>
        <v>#REF!</v>
      </c>
      <c r="FO329" t="e">
        <f>AND(#REF!,"AAAAAH+uV6o=")</f>
        <v>#REF!</v>
      </c>
      <c r="FP329" t="e">
        <f>AND(#REF!,"AAAAAH+uV6s=")</f>
        <v>#REF!</v>
      </c>
      <c r="FQ329" t="e">
        <f>AND(#REF!,"AAAAAH+uV6w=")</f>
        <v>#REF!</v>
      </c>
      <c r="FR329" t="e">
        <f>AND(#REF!,"AAAAAH+uV60=")</f>
        <v>#REF!</v>
      </c>
      <c r="FS329" t="e">
        <f>AND(#REF!,"AAAAAH+uV64=")</f>
        <v>#REF!</v>
      </c>
      <c r="FT329" t="e">
        <f>AND(#REF!,"AAAAAH+uV68=")</f>
        <v>#REF!</v>
      </c>
      <c r="FU329" t="e">
        <f>AND(#REF!,"AAAAAH+uV7A=")</f>
        <v>#REF!</v>
      </c>
      <c r="FV329" t="e">
        <f>AND(#REF!,"AAAAAH+uV7E=")</f>
        <v>#REF!</v>
      </c>
      <c r="FW329" t="e">
        <f>AND(#REF!,"AAAAAH+uV7I=")</f>
        <v>#REF!</v>
      </c>
      <c r="FX329" t="e">
        <f>AND(#REF!,"AAAAAH+uV7M=")</f>
        <v>#REF!</v>
      </c>
      <c r="FY329" t="e">
        <f>AND(#REF!,"AAAAAH+uV7Q=")</f>
        <v>#REF!</v>
      </c>
      <c r="FZ329" t="e">
        <f>AND(#REF!,"AAAAAH+uV7U=")</f>
        <v>#REF!</v>
      </c>
      <c r="GA329" t="e">
        <f>AND(#REF!,"AAAAAH+uV7Y=")</f>
        <v>#REF!</v>
      </c>
      <c r="GB329" t="e">
        <f>AND(#REF!,"AAAAAH+uV7c=")</f>
        <v>#REF!</v>
      </c>
      <c r="GC329" t="e">
        <f>AND(#REF!,"AAAAAH+uV7g=")</f>
        <v>#REF!</v>
      </c>
      <c r="GD329" t="e">
        <f>AND(#REF!,"AAAAAH+uV7k=")</f>
        <v>#REF!</v>
      </c>
      <c r="GE329" t="e">
        <f>AND(#REF!,"AAAAAH+uV7o=")</f>
        <v>#REF!</v>
      </c>
      <c r="GF329" t="e">
        <f>AND(#REF!,"AAAAAH+uV7s=")</f>
        <v>#REF!</v>
      </c>
      <c r="GG329" t="e">
        <f>AND(#REF!,"AAAAAH+uV7w=")</f>
        <v>#REF!</v>
      </c>
      <c r="GH329" t="e">
        <f>AND(#REF!,"AAAAAH+uV70=")</f>
        <v>#REF!</v>
      </c>
      <c r="GI329" t="e">
        <f>AND(#REF!,"AAAAAH+uV74=")</f>
        <v>#REF!</v>
      </c>
      <c r="GJ329" t="e">
        <f>AND(#REF!,"AAAAAH+uV78=")</f>
        <v>#REF!</v>
      </c>
      <c r="GK329" t="e">
        <f>IF(#REF!,"AAAAAH+uV8A=",0)</f>
        <v>#REF!</v>
      </c>
      <c r="GL329" t="e">
        <f>AND(#REF!,"AAAAAH+uV8E=")</f>
        <v>#REF!</v>
      </c>
      <c r="GM329" t="e">
        <f>AND(#REF!,"AAAAAH+uV8I=")</f>
        <v>#REF!</v>
      </c>
      <c r="GN329" t="e">
        <f>AND(#REF!,"AAAAAH+uV8M=")</f>
        <v>#REF!</v>
      </c>
      <c r="GO329" t="e">
        <f>AND(#REF!,"AAAAAH+uV8Q=")</f>
        <v>#REF!</v>
      </c>
      <c r="GP329" t="e">
        <f>AND(#REF!,"AAAAAH+uV8U=")</f>
        <v>#REF!</v>
      </c>
      <c r="GQ329" t="e">
        <f>AND(#REF!,"AAAAAH+uV8Y=")</f>
        <v>#REF!</v>
      </c>
      <c r="GR329" t="e">
        <f>AND(#REF!,"AAAAAH+uV8c=")</f>
        <v>#REF!</v>
      </c>
      <c r="GS329" t="e">
        <f>AND(#REF!,"AAAAAH+uV8g=")</f>
        <v>#REF!</v>
      </c>
      <c r="GT329" t="e">
        <f>AND(#REF!,"AAAAAH+uV8k=")</f>
        <v>#REF!</v>
      </c>
      <c r="GU329" t="e">
        <f>AND(#REF!,"AAAAAH+uV8o=")</f>
        <v>#REF!</v>
      </c>
      <c r="GV329" t="e">
        <f>AND(#REF!,"AAAAAH+uV8s=")</f>
        <v>#REF!</v>
      </c>
      <c r="GW329" t="e">
        <f>AND(#REF!,"AAAAAH+uV8w=")</f>
        <v>#REF!</v>
      </c>
      <c r="GX329" t="e">
        <f>AND(#REF!,"AAAAAH+uV80=")</f>
        <v>#REF!</v>
      </c>
      <c r="GY329" t="e">
        <f>AND(#REF!,"AAAAAH+uV84=")</f>
        <v>#REF!</v>
      </c>
      <c r="GZ329" t="e">
        <f>AND(#REF!,"AAAAAH+uV88=")</f>
        <v>#REF!</v>
      </c>
      <c r="HA329" t="e">
        <f>AND(#REF!,"AAAAAH+uV9A=")</f>
        <v>#REF!</v>
      </c>
      <c r="HB329" t="e">
        <f>AND(#REF!,"AAAAAH+uV9E=")</f>
        <v>#REF!</v>
      </c>
      <c r="HC329" t="e">
        <f>AND(#REF!,"AAAAAH+uV9I=")</f>
        <v>#REF!</v>
      </c>
      <c r="HD329" t="e">
        <f>AND(#REF!,"AAAAAH+uV9M=")</f>
        <v>#REF!</v>
      </c>
      <c r="HE329" t="e">
        <f>AND(#REF!,"AAAAAH+uV9Q=")</f>
        <v>#REF!</v>
      </c>
      <c r="HF329" t="e">
        <f>AND(#REF!,"AAAAAH+uV9U=")</f>
        <v>#REF!</v>
      </c>
      <c r="HG329" t="e">
        <f>AND(#REF!,"AAAAAH+uV9Y=")</f>
        <v>#REF!</v>
      </c>
      <c r="HH329" t="e">
        <f>AND(#REF!,"AAAAAH+uV9c=")</f>
        <v>#REF!</v>
      </c>
      <c r="HI329" t="e">
        <f>AND(#REF!,"AAAAAH+uV9g=")</f>
        <v>#REF!</v>
      </c>
      <c r="HJ329" t="e">
        <f>IF(#REF!,"AAAAAH+uV9k=",0)</f>
        <v>#REF!</v>
      </c>
      <c r="HK329" t="e">
        <f>AND(#REF!,"AAAAAH+uV9o=")</f>
        <v>#REF!</v>
      </c>
      <c r="HL329" t="e">
        <f>AND(#REF!,"AAAAAH+uV9s=")</f>
        <v>#REF!</v>
      </c>
      <c r="HM329" t="e">
        <f>AND(#REF!,"AAAAAH+uV9w=")</f>
        <v>#REF!</v>
      </c>
      <c r="HN329" t="e">
        <f>AND(#REF!,"AAAAAH+uV90=")</f>
        <v>#REF!</v>
      </c>
      <c r="HO329" t="e">
        <f>AND(#REF!,"AAAAAH+uV94=")</f>
        <v>#REF!</v>
      </c>
      <c r="HP329" t="e">
        <f>AND(#REF!,"AAAAAH+uV98=")</f>
        <v>#REF!</v>
      </c>
      <c r="HQ329" t="e">
        <f>AND(#REF!,"AAAAAH+uV+A=")</f>
        <v>#REF!</v>
      </c>
      <c r="HR329" t="e">
        <f>AND(#REF!,"AAAAAH+uV+E=")</f>
        <v>#REF!</v>
      </c>
      <c r="HS329" t="e">
        <f>AND(#REF!,"AAAAAH+uV+I=")</f>
        <v>#REF!</v>
      </c>
      <c r="HT329" t="e">
        <f>AND(#REF!,"AAAAAH+uV+M=")</f>
        <v>#REF!</v>
      </c>
      <c r="HU329" t="e">
        <f>AND(#REF!,"AAAAAH+uV+Q=")</f>
        <v>#REF!</v>
      </c>
      <c r="HV329" t="e">
        <f>AND(#REF!,"AAAAAH+uV+U=")</f>
        <v>#REF!</v>
      </c>
      <c r="HW329" t="e">
        <f>AND(#REF!,"AAAAAH+uV+Y=")</f>
        <v>#REF!</v>
      </c>
      <c r="HX329" t="e">
        <f>AND(#REF!,"AAAAAH+uV+c=")</f>
        <v>#REF!</v>
      </c>
      <c r="HY329" t="e">
        <f>AND(#REF!,"AAAAAH+uV+g=")</f>
        <v>#REF!</v>
      </c>
      <c r="HZ329" t="e">
        <f>AND(#REF!,"AAAAAH+uV+k=")</f>
        <v>#REF!</v>
      </c>
      <c r="IA329" t="e">
        <f>AND(#REF!,"AAAAAH+uV+o=")</f>
        <v>#REF!</v>
      </c>
      <c r="IB329" t="e">
        <f>AND(#REF!,"AAAAAH+uV+s=")</f>
        <v>#REF!</v>
      </c>
      <c r="IC329" t="e">
        <f>AND(#REF!,"AAAAAH+uV+w=")</f>
        <v>#REF!</v>
      </c>
      <c r="ID329" t="e">
        <f>AND(#REF!,"AAAAAH+uV+0=")</f>
        <v>#REF!</v>
      </c>
      <c r="IE329" t="e">
        <f>AND(#REF!,"AAAAAH+uV+4=")</f>
        <v>#REF!</v>
      </c>
      <c r="IF329" t="e">
        <f>AND(#REF!,"AAAAAH+uV+8=")</f>
        <v>#REF!</v>
      </c>
      <c r="IG329" t="e">
        <f>AND(#REF!,"AAAAAH+uV/A=")</f>
        <v>#REF!</v>
      </c>
      <c r="IH329" t="e">
        <f>AND(#REF!,"AAAAAH+uV/E=")</f>
        <v>#REF!</v>
      </c>
      <c r="II329" t="e">
        <f>IF(#REF!,"AAAAAH+uV/I=",0)</f>
        <v>#REF!</v>
      </c>
      <c r="IJ329" t="e">
        <f>AND(#REF!,"AAAAAH+uV/M=")</f>
        <v>#REF!</v>
      </c>
      <c r="IK329" t="e">
        <f>AND(#REF!,"AAAAAH+uV/Q=")</f>
        <v>#REF!</v>
      </c>
      <c r="IL329" t="e">
        <f>AND(#REF!,"AAAAAH+uV/U=")</f>
        <v>#REF!</v>
      </c>
      <c r="IM329" t="e">
        <f>AND(#REF!,"AAAAAH+uV/Y=")</f>
        <v>#REF!</v>
      </c>
      <c r="IN329" t="e">
        <f>AND(#REF!,"AAAAAH+uV/c=")</f>
        <v>#REF!</v>
      </c>
      <c r="IO329" t="e">
        <f>AND(#REF!,"AAAAAH+uV/g=")</f>
        <v>#REF!</v>
      </c>
      <c r="IP329" t="e">
        <f>AND(#REF!,"AAAAAH+uV/k=")</f>
        <v>#REF!</v>
      </c>
      <c r="IQ329" t="e">
        <f>AND(#REF!,"AAAAAH+uV/o=")</f>
        <v>#REF!</v>
      </c>
      <c r="IR329" t="e">
        <f>AND(#REF!,"AAAAAH+uV/s=")</f>
        <v>#REF!</v>
      </c>
      <c r="IS329" t="e">
        <f>AND(#REF!,"AAAAAH+uV/w=")</f>
        <v>#REF!</v>
      </c>
      <c r="IT329" t="e">
        <f>AND(#REF!,"AAAAAH+uV/0=")</f>
        <v>#REF!</v>
      </c>
      <c r="IU329" t="e">
        <f>AND(#REF!,"AAAAAH+uV/4=")</f>
        <v>#REF!</v>
      </c>
      <c r="IV329" t="e">
        <f>AND(#REF!,"AAAAAH+uV/8=")</f>
        <v>#REF!</v>
      </c>
    </row>
    <row r="330" spans="1:256">
      <c r="A330" t="e">
        <f>AND(#REF!,"AAAAAFPXfwA=")</f>
        <v>#REF!</v>
      </c>
      <c r="B330" t="e">
        <f>AND(#REF!,"AAAAAFPXfwE=")</f>
        <v>#REF!</v>
      </c>
      <c r="C330" t="e">
        <f>AND(#REF!,"AAAAAFPXfwI=")</f>
        <v>#REF!</v>
      </c>
      <c r="D330" t="e">
        <f>AND(#REF!,"AAAAAFPXfwM=")</f>
        <v>#REF!</v>
      </c>
      <c r="E330" t="e">
        <f>AND(#REF!,"AAAAAFPXfwQ=")</f>
        <v>#REF!</v>
      </c>
      <c r="F330" t="e">
        <f>AND(#REF!,"AAAAAFPXfwU=")</f>
        <v>#REF!</v>
      </c>
      <c r="G330" t="e">
        <f>AND(#REF!,"AAAAAFPXfwY=")</f>
        <v>#REF!</v>
      </c>
      <c r="H330" t="e">
        <f>AND(#REF!,"AAAAAFPXfwc=")</f>
        <v>#REF!</v>
      </c>
      <c r="I330" t="e">
        <f>AND(#REF!,"AAAAAFPXfwg=")</f>
        <v>#REF!</v>
      </c>
      <c r="J330" t="e">
        <f>AND(#REF!,"AAAAAFPXfwk=")</f>
        <v>#REF!</v>
      </c>
      <c r="K330" t="e">
        <f>AND(#REF!,"AAAAAFPXfwo=")</f>
        <v>#REF!</v>
      </c>
      <c r="L330" t="e">
        <f>IF(#REF!,"AAAAAFPXfws=",0)</f>
        <v>#REF!</v>
      </c>
      <c r="M330" t="e">
        <f>AND(#REF!,"AAAAAFPXfww=")</f>
        <v>#REF!</v>
      </c>
      <c r="N330" t="e">
        <f>AND(#REF!,"AAAAAFPXfw0=")</f>
        <v>#REF!</v>
      </c>
      <c r="O330" t="e">
        <f>AND(#REF!,"AAAAAFPXfw4=")</f>
        <v>#REF!</v>
      </c>
      <c r="P330" t="e">
        <f>AND(#REF!,"AAAAAFPXfw8=")</f>
        <v>#REF!</v>
      </c>
      <c r="Q330" t="e">
        <f>AND(#REF!,"AAAAAFPXfxA=")</f>
        <v>#REF!</v>
      </c>
      <c r="R330" t="e">
        <f>AND(#REF!,"AAAAAFPXfxE=")</f>
        <v>#REF!</v>
      </c>
      <c r="S330" t="e">
        <f>AND(#REF!,"AAAAAFPXfxI=")</f>
        <v>#REF!</v>
      </c>
      <c r="T330" t="e">
        <f>AND(#REF!,"AAAAAFPXfxM=")</f>
        <v>#REF!</v>
      </c>
      <c r="U330" t="e">
        <f>AND(#REF!,"AAAAAFPXfxQ=")</f>
        <v>#REF!</v>
      </c>
      <c r="V330" t="e">
        <f>AND(#REF!,"AAAAAFPXfxU=")</f>
        <v>#REF!</v>
      </c>
      <c r="W330" t="e">
        <f>AND(#REF!,"AAAAAFPXfxY=")</f>
        <v>#REF!</v>
      </c>
      <c r="X330" t="e">
        <f>AND(#REF!,"AAAAAFPXfxc=")</f>
        <v>#REF!</v>
      </c>
      <c r="Y330" t="e">
        <f>AND(#REF!,"AAAAAFPXfxg=")</f>
        <v>#REF!</v>
      </c>
      <c r="Z330" t="e">
        <f>AND(#REF!,"AAAAAFPXfxk=")</f>
        <v>#REF!</v>
      </c>
      <c r="AA330" t="e">
        <f>AND(#REF!,"AAAAAFPXfxo=")</f>
        <v>#REF!</v>
      </c>
      <c r="AB330" t="e">
        <f>AND(#REF!,"AAAAAFPXfxs=")</f>
        <v>#REF!</v>
      </c>
      <c r="AC330" t="e">
        <f>AND(#REF!,"AAAAAFPXfxw=")</f>
        <v>#REF!</v>
      </c>
      <c r="AD330" t="e">
        <f>AND(#REF!,"AAAAAFPXfx0=")</f>
        <v>#REF!</v>
      </c>
      <c r="AE330" t="e">
        <f>AND(#REF!,"AAAAAFPXfx4=")</f>
        <v>#REF!</v>
      </c>
      <c r="AF330" t="e">
        <f>AND(#REF!,"AAAAAFPXfx8=")</f>
        <v>#REF!</v>
      </c>
      <c r="AG330" t="e">
        <f>AND(#REF!,"AAAAAFPXfyA=")</f>
        <v>#REF!</v>
      </c>
      <c r="AH330" t="e">
        <f>AND(#REF!,"AAAAAFPXfyE=")</f>
        <v>#REF!</v>
      </c>
      <c r="AI330" t="e">
        <f>AND(#REF!,"AAAAAFPXfyI=")</f>
        <v>#REF!</v>
      </c>
      <c r="AJ330" t="e">
        <f>AND(#REF!,"AAAAAFPXfyM=")</f>
        <v>#REF!</v>
      </c>
      <c r="AK330" t="e">
        <f>IF(#REF!,"AAAAAFPXfyQ=",0)</f>
        <v>#REF!</v>
      </c>
      <c r="AL330" t="e">
        <f>AND(#REF!,"AAAAAFPXfyU=")</f>
        <v>#REF!</v>
      </c>
      <c r="AM330" t="e">
        <f>AND(#REF!,"AAAAAFPXfyY=")</f>
        <v>#REF!</v>
      </c>
      <c r="AN330" t="e">
        <f>AND(#REF!,"AAAAAFPXfyc=")</f>
        <v>#REF!</v>
      </c>
      <c r="AO330" t="e">
        <f>AND(#REF!,"AAAAAFPXfyg=")</f>
        <v>#REF!</v>
      </c>
      <c r="AP330" t="e">
        <f>AND(#REF!,"AAAAAFPXfyk=")</f>
        <v>#REF!</v>
      </c>
      <c r="AQ330" t="e">
        <f>AND(#REF!,"AAAAAFPXfyo=")</f>
        <v>#REF!</v>
      </c>
      <c r="AR330" t="e">
        <f>AND(#REF!,"AAAAAFPXfys=")</f>
        <v>#REF!</v>
      </c>
      <c r="AS330" t="e">
        <f>AND(#REF!,"AAAAAFPXfyw=")</f>
        <v>#REF!</v>
      </c>
      <c r="AT330" t="e">
        <f>AND(#REF!,"AAAAAFPXfy0=")</f>
        <v>#REF!</v>
      </c>
      <c r="AU330" t="e">
        <f>AND(#REF!,"AAAAAFPXfy4=")</f>
        <v>#REF!</v>
      </c>
      <c r="AV330" t="e">
        <f>AND(#REF!,"AAAAAFPXfy8=")</f>
        <v>#REF!</v>
      </c>
      <c r="AW330" t="e">
        <f>AND(#REF!,"AAAAAFPXfzA=")</f>
        <v>#REF!</v>
      </c>
      <c r="AX330" t="e">
        <f>AND(#REF!,"AAAAAFPXfzE=")</f>
        <v>#REF!</v>
      </c>
      <c r="AY330" t="e">
        <f>AND(#REF!,"AAAAAFPXfzI=")</f>
        <v>#REF!</v>
      </c>
      <c r="AZ330" t="e">
        <f>AND(#REF!,"AAAAAFPXfzM=")</f>
        <v>#REF!</v>
      </c>
      <c r="BA330" t="e">
        <f>AND(#REF!,"AAAAAFPXfzQ=")</f>
        <v>#REF!</v>
      </c>
      <c r="BB330" t="e">
        <f>AND(#REF!,"AAAAAFPXfzU=")</f>
        <v>#REF!</v>
      </c>
      <c r="BC330" t="e">
        <f>AND(#REF!,"AAAAAFPXfzY=")</f>
        <v>#REF!</v>
      </c>
      <c r="BD330" t="e">
        <f>AND(#REF!,"AAAAAFPXfzc=")</f>
        <v>#REF!</v>
      </c>
      <c r="BE330" t="e">
        <f>AND(#REF!,"AAAAAFPXfzg=")</f>
        <v>#REF!</v>
      </c>
      <c r="BF330" t="e">
        <f>AND(#REF!,"AAAAAFPXfzk=")</f>
        <v>#REF!</v>
      </c>
      <c r="BG330" t="e">
        <f>AND(#REF!,"AAAAAFPXfzo=")</f>
        <v>#REF!</v>
      </c>
      <c r="BH330" t="e">
        <f>AND(#REF!,"AAAAAFPXfzs=")</f>
        <v>#REF!</v>
      </c>
      <c r="BI330" t="e">
        <f>AND(#REF!,"AAAAAFPXfzw=")</f>
        <v>#REF!</v>
      </c>
      <c r="BJ330" t="e">
        <f>IF(#REF!,"AAAAAFPXfz0=",0)</f>
        <v>#REF!</v>
      </c>
      <c r="BK330" t="e">
        <f>AND(#REF!,"AAAAAFPXfz4=")</f>
        <v>#REF!</v>
      </c>
      <c r="BL330" t="e">
        <f>AND(#REF!,"AAAAAFPXfz8=")</f>
        <v>#REF!</v>
      </c>
      <c r="BM330" t="e">
        <f>AND(#REF!,"AAAAAFPXf0A=")</f>
        <v>#REF!</v>
      </c>
      <c r="BN330" t="e">
        <f>AND(#REF!,"AAAAAFPXf0E=")</f>
        <v>#REF!</v>
      </c>
      <c r="BO330" t="e">
        <f>AND(#REF!,"AAAAAFPXf0I=")</f>
        <v>#REF!</v>
      </c>
      <c r="BP330" t="e">
        <f>AND(#REF!,"AAAAAFPXf0M=")</f>
        <v>#REF!</v>
      </c>
      <c r="BQ330" t="e">
        <f>AND(#REF!,"AAAAAFPXf0Q=")</f>
        <v>#REF!</v>
      </c>
      <c r="BR330" t="e">
        <f>AND(#REF!,"AAAAAFPXf0U=")</f>
        <v>#REF!</v>
      </c>
      <c r="BS330" t="e">
        <f>AND(#REF!,"AAAAAFPXf0Y=")</f>
        <v>#REF!</v>
      </c>
      <c r="BT330" t="e">
        <f>AND(#REF!,"AAAAAFPXf0c=")</f>
        <v>#REF!</v>
      </c>
      <c r="BU330" t="e">
        <f>AND(#REF!,"AAAAAFPXf0g=")</f>
        <v>#REF!</v>
      </c>
      <c r="BV330" t="e">
        <f>AND(#REF!,"AAAAAFPXf0k=")</f>
        <v>#REF!</v>
      </c>
      <c r="BW330" t="e">
        <f>AND(#REF!,"AAAAAFPXf0o=")</f>
        <v>#REF!</v>
      </c>
      <c r="BX330" t="e">
        <f>AND(#REF!,"AAAAAFPXf0s=")</f>
        <v>#REF!</v>
      </c>
      <c r="BY330" t="e">
        <f>AND(#REF!,"AAAAAFPXf0w=")</f>
        <v>#REF!</v>
      </c>
      <c r="BZ330" t="e">
        <f>AND(#REF!,"AAAAAFPXf00=")</f>
        <v>#REF!</v>
      </c>
      <c r="CA330" t="e">
        <f>AND(#REF!,"AAAAAFPXf04=")</f>
        <v>#REF!</v>
      </c>
      <c r="CB330" t="e">
        <f>AND(#REF!,"AAAAAFPXf08=")</f>
        <v>#REF!</v>
      </c>
      <c r="CC330" t="e">
        <f>AND(#REF!,"AAAAAFPXf1A=")</f>
        <v>#REF!</v>
      </c>
      <c r="CD330" t="e">
        <f>AND(#REF!,"AAAAAFPXf1E=")</f>
        <v>#REF!</v>
      </c>
      <c r="CE330" t="e">
        <f>AND(#REF!,"AAAAAFPXf1I=")</f>
        <v>#REF!</v>
      </c>
      <c r="CF330" t="e">
        <f>AND(#REF!,"AAAAAFPXf1M=")</f>
        <v>#REF!</v>
      </c>
      <c r="CG330" t="e">
        <f>AND(#REF!,"AAAAAFPXf1Q=")</f>
        <v>#REF!</v>
      </c>
      <c r="CH330" t="e">
        <f>AND(#REF!,"AAAAAFPXf1U=")</f>
        <v>#REF!</v>
      </c>
      <c r="CI330" t="e">
        <f>IF(#REF!,"AAAAAFPXf1Y=",0)</f>
        <v>#REF!</v>
      </c>
      <c r="CJ330" t="e">
        <f>AND(#REF!,"AAAAAFPXf1c=")</f>
        <v>#REF!</v>
      </c>
      <c r="CK330" t="e">
        <f>AND(#REF!,"AAAAAFPXf1g=")</f>
        <v>#REF!</v>
      </c>
      <c r="CL330" t="e">
        <f>AND(#REF!,"AAAAAFPXf1k=")</f>
        <v>#REF!</v>
      </c>
      <c r="CM330" t="e">
        <f>AND(#REF!,"AAAAAFPXf1o=")</f>
        <v>#REF!</v>
      </c>
      <c r="CN330" t="e">
        <f>AND(#REF!,"AAAAAFPXf1s=")</f>
        <v>#REF!</v>
      </c>
      <c r="CO330" t="e">
        <f>AND(#REF!,"AAAAAFPXf1w=")</f>
        <v>#REF!</v>
      </c>
      <c r="CP330" t="e">
        <f>AND(#REF!,"AAAAAFPXf10=")</f>
        <v>#REF!</v>
      </c>
      <c r="CQ330" t="e">
        <f>AND(#REF!,"AAAAAFPXf14=")</f>
        <v>#REF!</v>
      </c>
      <c r="CR330" t="e">
        <f>AND(#REF!,"AAAAAFPXf18=")</f>
        <v>#REF!</v>
      </c>
      <c r="CS330" t="e">
        <f>AND(#REF!,"AAAAAFPXf2A=")</f>
        <v>#REF!</v>
      </c>
      <c r="CT330" t="e">
        <f>AND(#REF!,"AAAAAFPXf2E=")</f>
        <v>#REF!</v>
      </c>
      <c r="CU330" t="e">
        <f>AND(#REF!,"AAAAAFPXf2I=")</f>
        <v>#REF!</v>
      </c>
      <c r="CV330" t="e">
        <f>AND(#REF!,"AAAAAFPXf2M=")</f>
        <v>#REF!</v>
      </c>
      <c r="CW330" t="e">
        <f>AND(#REF!,"AAAAAFPXf2Q=")</f>
        <v>#REF!</v>
      </c>
      <c r="CX330" t="e">
        <f>AND(#REF!,"AAAAAFPXf2U=")</f>
        <v>#REF!</v>
      </c>
      <c r="CY330" t="e">
        <f>AND(#REF!,"AAAAAFPXf2Y=")</f>
        <v>#REF!</v>
      </c>
      <c r="CZ330" t="e">
        <f>AND(#REF!,"AAAAAFPXf2c=")</f>
        <v>#REF!</v>
      </c>
      <c r="DA330" t="e">
        <f>AND(#REF!,"AAAAAFPXf2g=")</f>
        <v>#REF!</v>
      </c>
      <c r="DB330" t="e">
        <f>AND(#REF!,"AAAAAFPXf2k=")</f>
        <v>#REF!</v>
      </c>
      <c r="DC330" t="e">
        <f>AND(#REF!,"AAAAAFPXf2o=")</f>
        <v>#REF!</v>
      </c>
      <c r="DD330" t="e">
        <f>AND(#REF!,"AAAAAFPXf2s=")</f>
        <v>#REF!</v>
      </c>
      <c r="DE330" t="e">
        <f>AND(#REF!,"AAAAAFPXf2w=")</f>
        <v>#REF!</v>
      </c>
      <c r="DF330" t="e">
        <f>AND(#REF!,"AAAAAFPXf20=")</f>
        <v>#REF!</v>
      </c>
      <c r="DG330" t="e">
        <f>AND(#REF!,"AAAAAFPXf24=")</f>
        <v>#REF!</v>
      </c>
      <c r="DH330" t="e">
        <f>IF(#REF!,"AAAAAFPXf28=",0)</f>
        <v>#REF!</v>
      </c>
      <c r="DI330" t="e">
        <f>AND(#REF!,"AAAAAFPXf3A=")</f>
        <v>#REF!</v>
      </c>
      <c r="DJ330" t="e">
        <f>AND(#REF!,"AAAAAFPXf3E=")</f>
        <v>#REF!</v>
      </c>
      <c r="DK330" t="e">
        <f>AND(#REF!,"AAAAAFPXf3I=")</f>
        <v>#REF!</v>
      </c>
      <c r="DL330" t="e">
        <f>AND(#REF!,"AAAAAFPXf3M=")</f>
        <v>#REF!</v>
      </c>
      <c r="DM330" t="e">
        <f>AND(#REF!,"AAAAAFPXf3Q=")</f>
        <v>#REF!</v>
      </c>
      <c r="DN330" t="e">
        <f>AND(#REF!,"AAAAAFPXf3U=")</f>
        <v>#REF!</v>
      </c>
      <c r="DO330" t="e">
        <f>AND(#REF!,"AAAAAFPXf3Y=")</f>
        <v>#REF!</v>
      </c>
      <c r="DP330" t="e">
        <f>AND(#REF!,"AAAAAFPXf3c=")</f>
        <v>#REF!</v>
      </c>
      <c r="DQ330" t="e">
        <f>AND(#REF!,"AAAAAFPXf3g=")</f>
        <v>#REF!</v>
      </c>
      <c r="DR330" t="e">
        <f>AND(#REF!,"AAAAAFPXf3k=")</f>
        <v>#REF!</v>
      </c>
      <c r="DS330" t="e">
        <f>AND(#REF!,"AAAAAFPXf3o=")</f>
        <v>#REF!</v>
      </c>
      <c r="DT330" t="e">
        <f>AND(#REF!,"AAAAAFPXf3s=")</f>
        <v>#REF!</v>
      </c>
      <c r="DU330" t="e">
        <f>AND(#REF!,"AAAAAFPXf3w=")</f>
        <v>#REF!</v>
      </c>
      <c r="DV330" t="e">
        <f>AND(#REF!,"AAAAAFPXf30=")</f>
        <v>#REF!</v>
      </c>
      <c r="DW330" t="e">
        <f>AND(#REF!,"AAAAAFPXf34=")</f>
        <v>#REF!</v>
      </c>
      <c r="DX330" t="e">
        <f>AND(#REF!,"AAAAAFPXf38=")</f>
        <v>#REF!</v>
      </c>
      <c r="DY330" t="e">
        <f>AND(#REF!,"AAAAAFPXf4A=")</f>
        <v>#REF!</v>
      </c>
      <c r="DZ330" t="e">
        <f>AND(#REF!,"AAAAAFPXf4E=")</f>
        <v>#REF!</v>
      </c>
      <c r="EA330" t="e">
        <f>AND(#REF!,"AAAAAFPXf4I=")</f>
        <v>#REF!</v>
      </c>
      <c r="EB330" t="e">
        <f>AND(#REF!,"AAAAAFPXf4M=")</f>
        <v>#REF!</v>
      </c>
      <c r="EC330" t="e">
        <f>AND(#REF!,"AAAAAFPXf4Q=")</f>
        <v>#REF!</v>
      </c>
      <c r="ED330" t="e">
        <f>AND(#REF!,"AAAAAFPXf4U=")</f>
        <v>#REF!</v>
      </c>
      <c r="EE330" t="e">
        <f>AND(#REF!,"AAAAAFPXf4Y=")</f>
        <v>#REF!</v>
      </c>
      <c r="EF330" t="e">
        <f>AND(#REF!,"AAAAAFPXf4c=")</f>
        <v>#REF!</v>
      </c>
      <c r="EG330" t="e">
        <f>IF(#REF!,"AAAAAFPXf4g=",0)</f>
        <v>#REF!</v>
      </c>
      <c r="EH330" t="e">
        <f>AND(#REF!,"AAAAAFPXf4k=")</f>
        <v>#REF!</v>
      </c>
      <c r="EI330" t="e">
        <f>AND(#REF!,"AAAAAFPXf4o=")</f>
        <v>#REF!</v>
      </c>
      <c r="EJ330" t="e">
        <f>AND(#REF!,"AAAAAFPXf4s=")</f>
        <v>#REF!</v>
      </c>
      <c r="EK330" t="e">
        <f>AND(#REF!,"AAAAAFPXf4w=")</f>
        <v>#REF!</v>
      </c>
      <c r="EL330" t="e">
        <f>AND(#REF!,"AAAAAFPXf40=")</f>
        <v>#REF!</v>
      </c>
      <c r="EM330" t="e">
        <f>AND(#REF!,"AAAAAFPXf44=")</f>
        <v>#REF!</v>
      </c>
      <c r="EN330" t="e">
        <f>AND(#REF!,"AAAAAFPXf48=")</f>
        <v>#REF!</v>
      </c>
      <c r="EO330" t="e">
        <f>AND(#REF!,"AAAAAFPXf5A=")</f>
        <v>#REF!</v>
      </c>
      <c r="EP330" t="e">
        <f>AND(#REF!,"AAAAAFPXf5E=")</f>
        <v>#REF!</v>
      </c>
      <c r="EQ330" t="e">
        <f>AND(#REF!,"AAAAAFPXf5I=")</f>
        <v>#REF!</v>
      </c>
      <c r="ER330" t="e">
        <f>AND(#REF!,"AAAAAFPXf5M=")</f>
        <v>#REF!</v>
      </c>
      <c r="ES330" t="e">
        <f>AND(#REF!,"AAAAAFPXf5Q=")</f>
        <v>#REF!</v>
      </c>
      <c r="ET330" t="e">
        <f>AND(#REF!,"AAAAAFPXf5U=")</f>
        <v>#REF!</v>
      </c>
      <c r="EU330" t="e">
        <f>AND(#REF!,"AAAAAFPXf5Y=")</f>
        <v>#REF!</v>
      </c>
      <c r="EV330" t="e">
        <f>AND(#REF!,"AAAAAFPXf5c=")</f>
        <v>#REF!</v>
      </c>
      <c r="EW330" t="e">
        <f>AND(#REF!,"AAAAAFPXf5g=")</f>
        <v>#REF!</v>
      </c>
      <c r="EX330" t="e">
        <f>AND(#REF!,"AAAAAFPXf5k=")</f>
        <v>#REF!</v>
      </c>
      <c r="EY330" t="e">
        <f>AND(#REF!,"AAAAAFPXf5o=")</f>
        <v>#REF!</v>
      </c>
      <c r="EZ330" t="e">
        <f>AND(#REF!,"AAAAAFPXf5s=")</f>
        <v>#REF!</v>
      </c>
      <c r="FA330" t="e">
        <f>AND(#REF!,"AAAAAFPXf5w=")</f>
        <v>#REF!</v>
      </c>
      <c r="FB330" t="e">
        <f>AND(#REF!,"AAAAAFPXf50=")</f>
        <v>#REF!</v>
      </c>
      <c r="FC330" t="e">
        <f>AND(#REF!,"AAAAAFPXf54=")</f>
        <v>#REF!</v>
      </c>
      <c r="FD330" t="e">
        <f>AND(#REF!,"AAAAAFPXf58=")</f>
        <v>#REF!</v>
      </c>
      <c r="FE330" t="e">
        <f>AND(#REF!,"AAAAAFPXf6A=")</f>
        <v>#REF!</v>
      </c>
      <c r="FF330" t="e">
        <f>IF(#REF!,"AAAAAFPXf6E=",0)</f>
        <v>#REF!</v>
      </c>
      <c r="FG330" t="e">
        <f>AND(#REF!,"AAAAAFPXf6I=")</f>
        <v>#REF!</v>
      </c>
      <c r="FH330" t="e">
        <f>AND(#REF!,"AAAAAFPXf6M=")</f>
        <v>#REF!</v>
      </c>
      <c r="FI330" t="e">
        <f>AND(#REF!,"AAAAAFPXf6Q=")</f>
        <v>#REF!</v>
      </c>
      <c r="FJ330" t="e">
        <f>AND(#REF!,"AAAAAFPXf6U=")</f>
        <v>#REF!</v>
      </c>
      <c r="FK330" t="e">
        <f>AND(#REF!,"AAAAAFPXf6Y=")</f>
        <v>#REF!</v>
      </c>
      <c r="FL330" t="e">
        <f>AND(#REF!,"AAAAAFPXf6c=")</f>
        <v>#REF!</v>
      </c>
      <c r="FM330" t="e">
        <f>AND(#REF!,"AAAAAFPXf6g=")</f>
        <v>#REF!</v>
      </c>
      <c r="FN330" t="e">
        <f>AND(#REF!,"AAAAAFPXf6k=")</f>
        <v>#REF!</v>
      </c>
      <c r="FO330" t="e">
        <f>AND(#REF!,"AAAAAFPXf6o=")</f>
        <v>#REF!</v>
      </c>
      <c r="FP330" t="e">
        <f>AND(#REF!,"AAAAAFPXf6s=")</f>
        <v>#REF!</v>
      </c>
      <c r="FQ330" t="e">
        <f>AND(#REF!,"AAAAAFPXf6w=")</f>
        <v>#REF!</v>
      </c>
      <c r="FR330" t="e">
        <f>AND(#REF!,"AAAAAFPXf60=")</f>
        <v>#REF!</v>
      </c>
      <c r="FS330" t="e">
        <f>AND(#REF!,"AAAAAFPXf64=")</f>
        <v>#REF!</v>
      </c>
      <c r="FT330" t="e">
        <f>AND(#REF!,"AAAAAFPXf68=")</f>
        <v>#REF!</v>
      </c>
      <c r="FU330" t="e">
        <f>AND(#REF!,"AAAAAFPXf7A=")</f>
        <v>#REF!</v>
      </c>
      <c r="FV330" t="e">
        <f>AND(#REF!,"AAAAAFPXf7E=")</f>
        <v>#REF!</v>
      </c>
      <c r="FW330" t="e">
        <f>AND(#REF!,"AAAAAFPXf7I=")</f>
        <v>#REF!</v>
      </c>
      <c r="FX330" t="e">
        <f>AND(#REF!,"AAAAAFPXf7M=")</f>
        <v>#REF!</v>
      </c>
      <c r="FY330" t="e">
        <f>AND(#REF!,"AAAAAFPXf7Q=")</f>
        <v>#REF!</v>
      </c>
      <c r="FZ330" t="e">
        <f>AND(#REF!,"AAAAAFPXf7U=")</f>
        <v>#REF!</v>
      </c>
      <c r="GA330" t="e">
        <f>AND(#REF!,"AAAAAFPXf7Y=")</f>
        <v>#REF!</v>
      </c>
      <c r="GB330" t="e">
        <f>AND(#REF!,"AAAAAFPXf7c=")</f>
        <v>#REF!</v>
      </c>
      <c r="GC330" t="e">
        <f>AND(#REF!,"AAAAAFPXf7g=")</f>
        <v>#REF!</v>
      </c>
      <c r="GD330" t="e">
        <f>AND(#REF!,"AAAAAFPXf7k=")</f>
        <v>#REF!</v>
      </c>
      <c r="GE330" t="e">
        <f>IF(#REF!,"AAAAAFPXf7o=",0)</f>
        <v>#REF!</v>
      </c>
      <c r="GF330" t="e">
        <f>AND(#REF!,"AAAAAFPXf7s=")</f>
        <v>#REF!</v>
      </c>
      <c r="GG330" t="e">
        <f>AND(#REF!,"AAAAAFPXf7w=")</f>
        <v>#REF!</v>
      </c>
      <c r="GH330" t="e">
        <f>AND(#REF!,"AAAAAFPXf70=")</f>
        <v>#REF!</v>
      </c>
      <c r="GI330" t="e">
        <f>AND(#REF!,"AAAAAFPXf74=")</f>
        <v>#REF!</v>
      </c>
      <c r="GJ330" t="e">
        <f>AND(#REF!,"AAAAAFPXf78=")</f>
        <v>#REF!</v>
      </c>
      <c r="GK330" t="e">
        <f>AND(#REF!,"AAAAAFPXf8A=")</f>
        <v>#REF!</v>
      </c>
      <c r="GL330" t="e">
        <f>AND(#REF!,"AAAAAFPXf8E=")</f>
        <v>#REF!</v>
      </c>
      <c r="GM330" t="e">
        <f>AND(#REF!,"AAAAAFPXf8I=")</f>
        <v>#REF!</v>
      </c>
      <c r="GN330" t="e">
        <f>AND(#REF!,"AAAAAFPXf8M=")</f>
        <v>#REF!</v>
      </c>
      <c r="GO330" t="e">
        <f>AND(#REF!,"AAAAAFPXf8Q=")</f>
        <v>#REF!</v>
      </c>
      <c r="GP330" t="e">
        <f>AND(#REF!,"AAAAAFPXf8U=")</f>
        <v>#REF!</v>
      </c>
      <c r="GQ330" t="e">
        <f>AND(#REF!,"AAAAAFPXf8Y=")</f>
        <v>#REF!</v>
      </c>
      <c r="GR330" t="e">
        <f>AND(#REF!,"AAAAAFPXf8c=")</f>
        <v>#REF!</v>
      </c>
      <c r="GS330" t="e">
        <f>AND(#REF!,"AAAAAFPXf8g=")</f>
        <v>#REF!</v>
      </c>
      <c r="GT330" t="e">
        <f>AND(#REF!,"AAAAAFPXf8k=")</f>
        <v>#REF!</v>
      </c>
      <c r="GU330" t="e">
        <f>AND(#REF!,"AAAAAFPXf8o=")</f>
        <v>#REF!</v>
      </c>
      <c r="GV330" t="e">
        <f>AND(#REF!,"AAAAAFPXf8s=")</f>
        <v>#REF!</v>
      </c>
      <c r="GW330" t="e">
        <f>AND(#REF!,"AAAAAFPXf8w=")</f>
        <v>#REF!</v>
      </c>
      <c r="GX330" t="e">
        <f>AND(#REF!,"AAAAAFPXf80=")</f>
        <v>#REF!</v>
      </c>
      <c r="GY330" t="e">
        <f>AND(#REF!,"AAAAAFPXf84=")</f>
        <v>#REF!</v>
      </c>
      <c r="GZ330" t="e">
        <f>AND(#REF!,"AAAAAFPXf88=")</f>
        <v>#REF!</v>
      </c>
      <c r="HA330" t="e">
        <f>AND(#REF!,"AAAAAFPXf9A=")</f>
        <v>#REF!</v>
      </c>
      <c r="HB330" t="e">
        <f>AND(#REF!,"AAAAAFPXf9E=")</f>
        <v>#REF!</v>
      </c>
      <c r="HC330" t="e">
        <f>AND(#REF!,"AAAAAFPXf9I=")</f>
        <v>#REF!</v>
      </c>
      <c r="HD330" t="e">
        <f>IF(#REF!,"AAAAAFPXf9M=",0)</f>
        <v>#REF!</v>
      </c>
      <c r="HE330" t="e">
        <f>AND(#REF!,"AAAAAFPXf9Q=")</f>
        <v>#REF!</v>
      </c>
      <c r="HF330" t="e">
        <f>AND(#REF!,"AAAAAFPXf9U=")</f>
        <v>#REF!</v>
      </c>
      <c r="HG330" t="e">
        <f>AND(#REF!,"AAAAAFPXf9Y=")</f>
        <v>#REF!</v>
      </c>
      <c r="HH330" t="e">
        <f>AND(#REF!,"AAAAAFPXf9c=")</f>
        <v>#REF!</v>
      </c>
      <c r="HI330" t="e">
        <f>AND(#REF!,"AAAAAFPXf9g=")</f>
        <v>#REF!</v>
      </c>
      <c r="HJ330" t="e">
        <f>AND(#REF!,"AAAAAFPXf9k=")</f>
        <v>#REF!</v>
      </c>
      <c r="HK330" t="e">
        <f>AND(#REF!,"AAAAAFPXf9o=")</f>
        <v>#REF!</v>
      </c>
      <c r="HL330" t="e">
        <f>AND(#REF!,"AAAAAFPXf9s=")</f>
        <v>#REF!</v>
      </c>
      <c r="HM330" t="e">
        <f>AND(#REF!,"AAAAAFPXf9w=")</f>
        <v>#REF!</v>
      </c>
      <c r="HN330" t="e">
        <f>AND(#REF!,"AAAAAFPXf90=")</f>
        <v>#REF!</v>
      </c>
      <c r="HO330" t="e">
        <f>AND(#REF!,"AAAAAFPXf94=")</f>
        <v>#REF!</v>
      </c>
      <c r="HP330" t="e">
        <f>AND(#REF!,"AAAAAFPXf98=")</f>
        <v>#REF!</v>
      </c>
      <c r="HQ330" t="e">
        <f>AND(#REF!,"AAAAAFPXf+A=")</f>
        <v>#REF!</v>
      </c>
      <c r="HR330" t="e">
        <f>AND(#REF!,"AAAAAFPXf+E=")</f>
        <v>#REF!</v>
      </c>
      <c r="HS330" t="e">
        <f>AND(#REF!,"AAAAAFPXf+I=")</f>
        <v>#REF!</v>
      </c>
      <c r="HT330" t="e">
        <f>AND(#REF!,"AAAAAFPXf+M=")</f>
        <v>#REF!</v>
      </c>
      <c r="HU330" t="e">
        <f>AND(#REF!,"AAAAAFPXf+Q=")</f>
        <v>#REF!</v>
      </c>
      <c r="HV330" t="e">
        <f>AND(#REF!,"AAAAAFPXf+U=")</f>
        <v>#REF!</v>
      </c>
      <c r="HW330" t="e">
        <f>AND(#REF!,"AAAAAFPXf+Y=")</f>
        <v>#REF!</v>
      </c>
      <c r="HX330" t="e">
        <f>AND(#REF!,"AAAAAFPXf+c=")</f>
        <v>#REF!</v>
      </c>
      <c r="HY330" t="e">
        <f>AND(#REF!,"AAAAAFPXf+g=")</f>
        <v>#REF!</v>
      </c>
      <c r="HZ330" t="e">
        <f>AND(#REF!,"AAAAAFPXf+k=")</f>
        <v>#REF!</v>
      </c>
      <c r="IA330" t="e">
        <f>AND(#REF!,"AAAAAFPXf+o=")</f>
        <v>#REF!</v>
      </c>
      <c r="IB330" t="e">
        <f>AND(#REF!,"AAAAAFPXf+s=")</f>
        <v>#REF!</v>
      </c>
      <c r="IC330" t="e">
        <f>IF(#REF!,"AAAAAFPXf+w=",0)</f>
        <v>#REF!</v>
      </c>
      <c r="ID330" t="e">
        <f>AND(#REF!,"AAAAAFPXf+0=")</f>
        <v>#REF!</v>
      </c>
      <c r="IE330" t="e">
        <f>AND(#REF!,"AAAAAFPXf+4=")</f>
        <v>#REF!</v>
      </c>
      <c r="IF330" t="e">
        <f>AND(#REF!,"AAAAAFPXf+8=")</f>
        <v>#REF!</v>
      </c>
      <c r="IG330" t="e">
        <f>AND(#REF!,"AAAAAFPXf/A=")</f>
        <v>#REF!</v>
      </c>
      <c r="IH330" t="e">
        <f>AND(#REF!,"AAAAAFPXf/E=")</f>
        <v>#REF!</v>
      </c>
      <c r="II330" t="e">
        <f>AND(#REF!,"AAAAAFPXf/I=")</f>
        <v>#REF!</v>
      </c>
      <c r="IJ330" t="e">
        <f>AND(#REF!,"AAAAAFPXf/M=")</f>
        <v>#REF!</v>
      </c>
      <c r="IK330" t="e">
        <f>AND(#REF!,"AAAAAFPXf/Q=")</f>
        <v>#REF!</v>
      </c>
      <c r="IL330" t="e">
        <f>AND(#REF!,"AAAAAFPXf/U=")</f>
        <v>#REF!</v>
      </c>
      <c r="IM330" t="e">
        <f>AND(#REF!,"AAAAAFPXf/Y=")</f>
        <v>#REF!</v>
      </c>
      <c r="IN330" t="e">
        <f>AND(#REF!,"AAAAAFPXf/c=")</f>
        <v>#REF!</v>
      </c>
      <c r="IO330" t="e">
        <f>AND(#REF!,"AAAAAFPXf/g=")</f>
        <v>#REF!</v>
      </c>
      <c r="IP330" t="e">
        <f>AND(#REF!,"AAAAAFPXf/k=")</f>
        <v>#REF!</v>
      </c>
      <c r="IQ330" t="e">
        <f>AND(#REF!,"AAAAAFPXf/o=")</f>
        <v>#REF!</v>
      </c>
      <c r="IR330" t="e">
        <f>AND(#REF!,"AAAAAFPXf/s=")</f>
        <v>#REF!</v>
      </c>
      <c r="IS330" t="e">
        <f>AND(#REF!,"AAAAAFPXf/w=")</f>
        <v>#REF!</v>
      </c>
      <c r="IT330" t="e">
        <f>AND(#REF!,"AAAAAFPXf/0=")</f>
        <v>#REF!</v>
      </c>
      <c r="IU330" t="e">
        <f>AND(#REF!,"AAAAAFPXf/4=")</f>
        <v>#REF!</v>
      </c>
      <c r="IV330" t="e">
        <f>AND(#REF!,"AAAAAFPXf/8=")</f>
        <v>#REF!</v>
      </c>
    </row>
    <row r="331" spans="1:256">
      <c r="A331" t="e">
        <f>AND(#REF!,"AAAAAFZ/QwA=")</f>
        <v>#REF!</v>
      </c>
      <c r="B331" t="e">
        <f>AND(#REF!,"AAAAAFZ/QwE=")</f>
        <v>#REF!</v>
      </c>
      <c r="C331" t="e">
        <f>AND(#REF!,"AAAAAFZ/QwI=")</f>
        <v>#REF!</v>
      </c>
      <c r="D331" t="e">
        <f>AND(#REF!,"AAAAAFZ/QwM=")</f>
        <v>#REF!</v>
      </c>
      <c r="E331" t="e">
        <f>AND(#REF!,"AAAAAFZ/QwQ=")</f>
        <v>#REF!</v>
      </c>
      <c r="F331" t="e">
        <f>IF(#REF!,"AAAAAFZ/QwU=",0)</f>
        <v>#REF!</v>
      </c>
      <c r="G331" t="e">
        <f>AND(#REF!,"AAAAAFZ/QwY=")</f>
        <v>#REF!</v>
      </c>
      <c r="H331" t="e">
        <f>AND(#REF!,"AAAAAFZ/Qwc=")</f>
        <v>#REF!</v>
      </c>
      <c r="I331" t="e">
        <f>AND(#REF!,"AAAAAFZ/Qwg=")</f>
        <v>#REF!</v>
      </c>
      <c r="J331" t="e">
        <f>AND(#REF!,"AAAAAFZ/Qwk=")</f>
        <v>#REF!</v>
      </c>
      <c r="K331" t="e">
        <f>AND(#REF!,"AAAAAFZ/Qwo=")</f>
        <v>#REF!</v>
      </c>
      <c r="L331" t="e">
        <f>AND(#REF!,"AAAAAFZ/Qws=")</f>
        <v>#REF!</v>
      </c>
      <c r="M331" t="e">
        <f>AND(#REF!,"AAAAAFZ/Qww=")</f>
        <v>#REF!</v>
      </c>
      <c r="N331" t="e">
        <f>AND(#REF!,"AAAAAFZ/Qw0=")</f>
        <v>#REF!</v>
      </c>
      <c r="O331" t="e">
        <f>AND(#REF!,"AAAAAFZ/Qw4=")</f>
        <v>#REF!</v>
      </c>
      <c r="P331" t="e">
        <f>AND(#REF!,"AAAAAFZ/Qw8=")</f>
        <v>#REF!</v>
      </c>
      <c r="Q331" t="e">
        <f>AND(#REF!,"AAAAAFZ/QxA=")</f>
        <v>#REF!</v>
      </c>
      <c r="R331" t="e">
        <f>AND(#REF!,"AAAAAFZ/QxE=")</f>
        <v>#REF!</v>
      </c>
      <c r="S331" t="e">
        <f>AND(#REF!,"AAAAAFZ/QxI=")</f>
        <v>#REF!</v>
      </c>
      <c r="T331" t="e">
        <f>AND(#REF!,"AAAAAFZ/QxM=")</f>
        <v>#REF!</v>
      </c>
      <c r="U331" t="e">
        <f>AND(#REF!,"AAAAAFZ/QxQ=")</f>
        <v>#REF!</v>
      </c>
      <c r="V331" t="e">
        <f>AND(#REF!,"AAAAAFZ/QxU=")</f>
        <v>#REF!</v>
      </c>
      <c r="W331" t="e">
        <f>AND(#REF!,"AAAAAFZ/QxY=")</f>
        <v>#REF!</v>
      </c>
      <c r="X331" t="e">
        <f>AND(#REF!,"AAAAAFZ/Qxc=")</f>
        <v>#REF!</v>
      </c>
      <c r="Y331" t="e">
        <f>AND(#REF!,"AAAAAFZ/Qxg=")</f>
        <v>#REF!</v>
      </c>
      <c r="Z331" t="e">
        <f>AND(#REF!,"AAAAAFZ/Qxk=")</f>
        <v>#REF!</v>
      </c>
      <c r="AA331" t="e">
        <f>AND(#REF!,"AAAAAFZ/Qxo=")</f>
        <v>#REF!</v>
      </c>
      <c r="AB331" t="e">
        <f>AND(#REF!,"AAAAAFZ/Qxs=")</f>
        <v>#REF!</v>
      </c>
      <c r="AC331" t="e">
        <f>AND(#REF!,"AAAAAFZ/Qxw=")</f>
        <v>#REF!</v>
      </c>
      <c r="AD331" t="e">
        <f>AND(#REF!,"AAAAAFZ/Qx0=")</f>
        <v>#REF!</v>
      </c>
      <c r="AE331" t="e">
        <f>IF(#REF!,"AAAAAFZ/Qx4=",0)</f>
        <v>#REF!</v>
      </c>
      <c r="AF331" t="e">
        <f>AND(#REF!,"AAAAAFZ/Qx8=")</f>
        <v>#REF!</v>
      </c>
      <c r="AG331" t="e">
        <f>AND(#REF!,"AAAAAFZ/QyA=")</f>
        <v>#REF!</v>
      </c>
      <c r="AH331" t="e">
        <f>AND(#REF!,"AAAAAFZ/QyE=")</f>
        <v>#REF!</v>
      </c>
      <c r="AI331" t="e">
        <f>AND(#REF!,"AAAAAFZ/QyI=")</f>
        <v>#REF!</v>
      </c>
      <c r="AJ331" t="e">
        <f>AND(#REF!,"AAAAAFZ/QyM=")</f>
        <v>#REF!</v>
      </c>
      <c r="AK331" t="e">
        <f>AND(#REF!,"AAAAAFZ/QyQ=")</f>
        <v>#REF!</v>
      </c>
      <c r="AL331" t="e">
        <f>AND(#REF!,"AAAAAFZ/QyU=")</f>
        <v>#REF!</v>
      </c>
      <c r="AM331" t="e">
        <f>AND(#REF!,"AAAAAFZ/QyY=")</f>
        <v>#REF!</v>
      </c>
      <c r="AN331" t="e">
        <f>AND(#REF!,"AAAAAFZ/Qyc=")</f>
        <v>#REF!</v>
      </c>
      <c r="AO331" t="e">
        <f>AND(#REF!,"AAAAAFZ/Qyg=")</f>
        <v>#REF!</v>
      </c>
      <c r="AP331" t="e">
        <f>AND(#REF!,"AAAAAFZ/Qyk=")</f>
        <v>#REF!</v>
      </c>
      <c r="AQ331" t="e">
        <f>AND(#REF!,"AAAAAFZ/Qyo=")</f>
        <v>#REF!</v>
      </c>
      <c r="AR331" t="e">
        <f>AND(#REF!,"AAAAAFZ/Qys=")</f>
        <v>#REF!</v>
      </c>
      <c r="AS331" t="e">
        <f>AND(#REF!,"AAAAAFZ/Qyw=")</f>
        <v>#REF!</v>
      </c>
      <c r="AT331" t="e">
        <f>AND(#REF!,"AAAAAFZ/Qy0=")</f>
        <v>#REF!</v>
      </c>
      <c r="AU331" t="e">
        <f>AND(#REF!,"AAAAAFZ/Qy4=")</f>
        <v>#REF!</v>
      </c>
      <c r="AV331" t="e">
        <f>AND(#REF!,"AAAAAFZ/Qy8=")</f>
        <v>#REF!</v>
      </c>
      <c r="AW331" t="e">
        <f>AND(#REF!,"AAAAAFZ/QzA=")</f>
        <v>#REF!</v>
      </c>
      <c r="AX331" t="e">
        <f>AND(#REF!,"AAAAAFZ/QzE=")</f>
        <v>#REF!</v>
      </c>
      <c r="AY331" t="e">
        <f>AND(#REF!,"AAAAAFZ/QzI=")</f>
        <v>#REF!</v>
      </c>
      <c r="AZ331" t="e">
        <f>AND(#REF!,"AAAAAFZ/QzM=")</f>
        <v>#REF!</v>
      </c>
      <c r="BA331" t="e">
        <f>AND(#REF!,"AAAAAFZ/QzQ=")</f>
        <v>#REF!</v>
      </c>
      <c r="BB331" t="e">
        <f>AND(#REF!,"AAAAAFZ/QzU=")</f>
        <v>#REF!</v>
      </c>
      <c r="BC331" t="e">
        <f>AND(#REF!,"AAAAAFZ/QzY=")</f>
        <v>#REF!</v>
      </c>
      <c r="BD331" t="e">
        <f>IF(#REF!,"AAAAAFZ/Qzc=",0)</f>
        <v>#REF!</v>
      </c>
      <c r="BE331" t="e">
        <f>AND(#REF!,"AAAAAFZ/Qzg=")</f>
        <v>#REF!</v>
      </c>
      <c r="BF331" t="e">
        <f>AND(#REF!,"AAAAAFZ/Qzk=")</f>
        <v>#REF!</v>
      </c>
      <c r="BG331" t="e">
        <f>AND(#REF!,"AAAAAFZ/Qzo=")</f>
        <v>#REF!</v>
      </c>
      <c r="BH331" t="e">
        <f>AND(#REF!,"AAAAAFZ/Qzs=")</f>
        <v>#REF!</v>
      </c>
      <c r="BI331" t="e">
        <f>AND(#REF!,"AAAAAFZ/Qzw=")</f>
        <v>#REF!</v>
      </c>
      <c r="BJ331" t="e">
        <f>AND(#REF!,"AAAAAFZ/Qz0=")</f>
        <v>#REF!</v>
      </c>
      <c r="BK331" t="e">
        <f>AND(#REF!,"AAAAAFZ/Qz4=")</f>
        <v>#REF!</v>
      </c>
      <c r="BL331" t="e">
        <f>AND(#REF!,"AAAAAFZ/Qz8=")</f>
        <v>#REF!</v>
      </c>
      <c r="BM331" t="e">
        <f>AND(#REF!,"AAAAAFZ/Q0A=")</f>
        <v>#REF!</v>
      </c>
      <c r="BN331" t="e">
        <f>AND(#REF!,"AAAAAFZ/Q0E=")</f>
        <v>#REF!</v>
      </c>
      <c r="BO331" t="e">
        <f>AND(#REF!,"AAAAAFZ/Q0I=")</f>
        <v>#REF!</v>
      </c>
      <c r="BP331" t="e">
        <f>AND(#REF!,"AAAAAFZ/Q0M=")</f>
        <v>#REF!</v>
      </c>
      <c r="BQ331" t="e">
        <f>AND(#REF!,"AAAAAFZ/Q0Q=")</f>
        <v>#REF!</v>
      </c>
      <c r="BR331" t="e">
        <f>AND(#REF!,"AAAAAFZ/Q0U=")</f>
        <v>#REF!</v>
      </c>
      <c r="BS331" t="e">
        <f>AND(#REF!,"AAAAAFZ/Q0Y=")</f>
        <v>#REF!</v>
      </c>
      <c r="BT331" t="e">
        <f>AND(#REF!,"AAAAAFZ/Q0c=")</f>
        <v>#REF!</v>
      </c>
      <c r="BU331" t="e">
        <f>AND(#REF!,"AAAAAFZ/Q0g=")</f>
        <v>#REF!</v>
      </c>
      <c r="BV331" t="e">
        <f>AND(#REF!,"AAAAAFZ/Q0k=")</f>
        <v>#REF!</v>
      </c>
      <c r="BW331" t="e">
        <f>AND(#REF!,"AAAAAFZ/Q0o=")</f>
        <v>#REF!</v>
      </c>
      <c r="BX331" t="e">
        <f>AND(#REF!,"AAAAAFZ/Q0s=")</f>
        <v>#REF!</v>
      </c>
      <c r="BY331" t="e">
        <f>AND(#REF!,"AAAAAFZ/Q0w=")</f>
        <v>#REF!</v>
      </c>
      <c r="BZ331" t="e">
        <f>AND(#REF!,"AAAAAFZ/Q00=")</f>
        <v>#REF!</v>
      </c>
      <c r="CA331" t="e">
        <f>AND(#REF!,"AAAAAFZ/Q04=")</f>
        <v>#REF!</v>
      </c>
      <c r="CB331" t="e">
        <f>AND(#REF!,"AAAAAFZ/Q08=")</f>
        <v>#REF!</v>
      </c>
      <c r="CC331" t="e">
        <f>IF(#REF!,"AAAAAFZ/Q1A=",0)</f>
        <v>#REF!</v>
      </c>
      <c r="CD331" t="e">
        <f>AND(#REF!,"AAAAAFZ/Q1E=")</f>
        <v>#REF!</v>
      </c>
      <c r="CE331" t="e">
        <f>AND(#REF!,"AAAAAFZ/Q1I=")</f>
        <v>#REF!</v>
      </c>
      <c r="CF331" t="e">
        <f>AND(#REF!,"AAAAAFZ/Q1M=")</f>
        <v>#REF!</v>
      </c>
      <c r="CG331" t="e">
        <f>AND(#REF!,"AAAAAFZ/Q1Q=")</f>
        <v>#REF!</v>
      </c>
      <c r="CH331" t="e">
        <f>AND(#REF!,"AAAAAFZ/Q1U=")</f>
        <v>#REF!</v>
      </c>
      <c r="CI331" t="e">
        <f>AND(#REF!,"AAAAAFZ/Q1Y=")</f>
        <v>#REF!</v>
      </c>
      <c r="CJ331" t="e">
        <f>AND(#REF!,"AAAAAFZ/Q1c=")</f>
        <v>#REF!</v>
      </c>
      <c r="CK331" t="e">
        <f>AND(#REF!,"AAAAAFZ/Q1g=")</f>
        <v>#REF!</v>
      </c>
      <c r="CL331" t="e">
        <f>AND(#REF!,"AAAAAFZ/Q1k=")</f>
        <v>#REF!</v>
      </c>
      <c r="CM331" t="e">
        <f>AND(#REF!,"AAAAAFZ/Q1o=")</f>
        <v>#REF!</v>
      </c>
      <c r="CN331" t="e">
        <f>AND(#REF!,"AAAAAFZ/Q1s=")</f>
        <v>#REF!</v>
      </c>
      <c r="CO331" t="e">
        <f>AND(#REF!,"AAAAAFZ/Q1w=")</f>
        <v>#REF!</v>
      </c>
      <c r="CP331" t="e">
        <f>AND(#REF!,"AAAAAFZ/Q10=")</f>
        <v>#REF!</v>
      </c>
      <c r="CQ331" t="e">
        <f>AND(#REF!,"AAAAAFZ/Q14=")</f>
        <v>#REF!</v>
      </c>
      <c r="CR331" t="e">
        <f>AND(#REF!,"AAAAAFZ/Q18=")</f>
        <v>#REF!</v>
      </c>
      <c r="CS331" t="e">
        <f>AND(#REF!,"AAAAAFZ/Q2A=")</f>
        <v>#REF!</v>
      </c>
      <c r="CT331" t="e">
        <f>AND(#REF!,"AAAAAFZ/Q2E=")</f>
        <v>#REF!</v>
      </c>
      <c r="CU331" t="e">
        <f>AND(#REF!,"AAAAAFZ/Q2I=")</f>
        <v>#REF!</v>
      </c>
      <c r="CV331" t="e">
        <f>AND(#REF!,"AAAAAFZ/Q2M=")</f>
        <v>#REF!</v>
      </c>
      <c r="CW331" t="e">
        <f>AND(#REF!,"AAAAAFZ/Q2Q=")</f>
        <v>#REF!</v>
      </c>
      <c r="CX331" t="e">
        <f>AND(#REF!,"AAAAAFZ/Q2U=")</f>
        <v>#REF!</v>
      </c>
      <c r="CY331" t="e">
        <f>AND(#REF!,"AAAAAFZ/Q2Y=")</f>
        <v>#REF!</v>
      </c>
      <c r="CZ331" t="e">
        <f>AND(#REF!,"AAAAAFZ/Q2c=")</f>
        <v>#REF!</v>
      </c>
      <c r="DA331" t="e">
        <f>AND(#REF!,"AAAAAFZ/Q2g=")</f>
        <v>#REF!</v>
      </c>
      <c r="DB331" t="e">
        <f>IF(#REF!,"AAAAAFZ/Q2k=",0)</f>
        <v>#REF!</v>
      </c>
      <c r="DC331" t="e">
        <f>AND(#REF!,"AAAAAFZ/Q2o=")</f>
        <v>#REF!</v>
      </c>
      <c r="DD331" t="e">
        <f>AND(#REF!,"AAAAAFZ/Q2s=")</f>
        <v>#REF!</v>
      </c>
      <c r="DE331" t="e">
        <f>AND(#REF!,"AAAAAFZ/Q2w=")</f>
        <v>#REF!</v>
      </c>
      <c r="DF331" t="e">
        <f>AND(#REF!,"AAAAAFZ/Q20=")</f>
        <v>#REF!</v>
      </c>
      <c r="DG331" t="e">
        <f>AND(#REF!,"AAAAAFZ/Q24=")</f>
        <v>#REF!</v>
      </c>
      <c r="DH331" t="e">
        <f>AND(#REF!,"AAAAAFZ/Q28=")</f>
        <v>#REF!</v>
      </c>
      <c r="DI331" t="e">
        <f>AND(#REF!,"AAAAAFZ/Q3A=")</f>
        <v>#REF!</v>
      </c>
      <c r="DJ331" t="e">
        <f>AND(#REF!,"AAAAAFZ/Q3E=")</f>
        <v>#REF!</v>
      </c>
      <c r="DK331" t="e">
        <f>AND(#REF!,"AAAAAFZ/Q3I=")</f>
        <v>#REF!</v>
      </c>
      <c r="DL331" t="e">
        <f>AND(#REF!,"AAAAAFZ/Q3M=")</f>
        <v>#REF!</v>
      </c>
      <c r="DM331" t="e">
        <f>AND(#REF!,"AAAAAFZ/Q3Q=")</f>
        <v>#REF!</v>
      </c>
      <c r="DN331" t="e">
        <f>AND(#REF!,"AAAAAFZ/Q3U=")</f>
        <v>#REF!</v>
      </c>
      <c r="DO331" t="e">
        <f>AND(#REF!,"AAAAAFZ/Q3Y=")</f>
        <v>#REF!</v>
      </c>
      <c r="DP331" t="e">
        <f>AND(#REF!,"AAAAAFZ/Q3c=")</f>
        <v>#REF!</v>
      </c>
      <c r="DQ331" t="e">
        <f>AND(#REF!,"AAAAAFZ/Q3g=")</f>
        <v>#REF!</v>
      </c>
      <c r="DR331" t="e">
        <f>AND(#REF!,"AAAAAFZ/Q3k=")</f>
        <v>#REF!</v>
      </c>
      <c r="DS331" t="e">
        <f>AND(#REF!,"AAAAAFZ/Q3o=")</f>
        <v>#REF!</v>
      </c>
      <c r="DT331" t="e">
        <f>AND(#REF!,"AAAAAFZ/Q3s=")</f>
        <v>#REF!</v>
      </c>
      <c r="DU331" t="e">
        <f>AND(#REF!,"AAAAAFZ/Q3w=")</f>
        <v>#REF!</v>
      </c>
      <c r="DV331" t="e">
        <f>AND(#REF!,"AAAAAFZ/Q30=")</f>
        <v>#REF!</v>
      </c>
      <c r="DW331" t="e">
        <f>AND(#REF!,"AAAAAFZ/Q34=")</f>
        <v>#REF!</v>
      </c>
      <c r="DX331" t="e">
        <f>AND(#REF!,"AAAAAFZ/Q38=")</f>
        <v>#REF!</v>
      </c>
      <c r="DY331" t="e">
        <f>AND(#REF!,"AAAAAFZ/Q4A=")</f>
        <v>#REF!</v>
      </c>
      <c r="DZ331" t="e">
        <f>AND(#REF!,"AAAAAFZ/Q4E=")</f>
        <v>#REF!</v>
      </c>
      <c r="EA331" t="e">
        <f>IF(#REF!,"AAAAAFZ/Q4I=",0)</f>
        <v>#REF!</v>
      </c>
      <c r="EB331" t="e">
        <f>AND(#REF!,"AAAAAFZ/Q4M=")</f>
        <v>#REF!</v>
      </c>
      <c r="EC331" t="e">
        <f>AND(#REF!,"AAAAAFZ/Q4Q=")</f>
        <v>#REF!</v>
      </c>
      <c r="ED331" t="e">
        <f>AND(#REF!,"AAAAAFZ/Q4U=")</f>
        <v>#REF!</v>
      </c>
      <c r="EE331" t="e">
        <f>AND(#REF!,"AAAAAFZ/Q4Y=")</f>
        <v>#REF!</v>
      </c>
      <c r="EF331" t="e">
        <f>AND(#REF!,"AAAAAFZ/Q4c=")</f>
        <v>#REF!</v>
      </c>
      <c r="EG331" t="e">
        <f>AND(#REF!,"AAAAAFZ/Q4g=")</f>
        <v>#REF!</v>
      </c>
      <c r="EH331" t="e">
        <f>AND(#REF!,"AAAAAFZ/Q4k=")</f>
        <v>#REF!</v>
      </c>
      <c r="EI331" t="e">
        <f>AND(#REF!,"AAAAAFZ/Q4o=")</f>
        <v>#REF!</v>
      </c>
      <c r="EJ331" t="e">
        <f>AND(#REF!,"AAAAAFZ/Q4s=")</f>
        <v>#REF!</v>
      </c>
      <c r="EK331" t="e">
        <f>AND(#REF!,"AAAAAFZ/Q4w=")</f>
        <v>#REF!</v>
      </c>
      <c r="EL331" t="e">
        <f>AND(#REF!,"AAAAAFZ/Q40=")</f>
        <v>#REF!</v>
      </c>
      <c r="EM331" t="e">
        <f>AND(#REF!,"AAAAAFZ/Q44=")</f>
        <v>#REF!</v>
      </c>
      <c r="EN331" t="e">
        <f>AND(#REF!,"AAAAAFZ/Q48=")</f>
        <v>#REF!</v>
      </c>
      <c r="EO331" t="e">
        <f>AND(#REF!,"AAAAAFZ/Q5A=")</f>
        <v>#REF!</v>
      </c>
      <c r="EP331" t="e">
        <f>AND(#REF!,"AAAAAFZ/Q5E=")</f>
        <v>#REF!</v>
      </c>
      <c r="EQ331" t="e">
        <f>AND(#REF!,"AAAAAFZ/Q5I=")</f>
        <v>#REF!</v>
      </c>
      <c r="ER331" t="e">
        <f>AND(#REF!,"AAAAAFZ/Q5M=")</f>
        <v>#REF!</v>
      </c>
      <c r="ES331" t="e">
        <f>AND(#REF!,"AAAAAFZ/Q5Q=")</f>
        <v>#REF!</v>
      </c>
      <c r="ET331" t="e">
        <f>AND(#REF!,"AAAAAFZ/Q5U=")</f>
        <v>#REF!</v>
      </c>
      <c r="EU331" t="e">
        <f>AND(#REF!,"AAAAAFZ/Q5Y=")</f>
        <v>#REF!</v>
      </c>
      <c r="EV331" t="e">
        <f>AND(#REF!,"AAAAAFZ/Q5c=")</f>
        <v>#REF!</v>
      </c>
      <c r="EW331" t="e">
        <f>AND(#REF!,"AAAAAFZ/Q5g=")</f>
        <v>#REF!</v>
      </c>
      <c r="EX331" t="e">
        <f>AND(#REF!,"AAAAAFZ/Q5k=")</f>
        <v>#REF!</v>
      </c>
      <c r="EY331" t="e">
        <f>AND(#REF!,"AAAAAFZ/Q5o=")</f>
        <v>#REF!</v>
      </c>
      <c r="EZ331" t="e">
        <f>IF(#REF!,"AAAAAFZ/Q5s=",0)</f>
        <v>#REF!</v>
      </c>
      <c r="FA331" t="e">
        <f>AND(#REF!,"AAAAAFZ/Q5w=")</f>
        <v>#REF!</v>
      </c>
      <c r="FB331" t="e">
        <f>AND(#REF!,"AAAAAFZ/Q50=")</f>
        <v>#REF!</v>
      </c>
      <c r="FC331" t="e">
        <f>AND(#REF!,"AAAAAFZ/Q54=")</f>
        <v>#REF!</v>
      </c>
      <c r="FD331" t="e">
        <f>AND(#REF!,"AAAAAFZ/Q58=")</f>
        <v>#REF!</v>
      </c>
      <c r="FE331" t="e">
        <f>AND(#REF!,"AAAAAFZ/Q6A=")</f>
        <v>#REF!</v>
      </c>
      <c r="FF331" t="e">
        <f>AND(#REF!,"AAAAAFZ/Q6E=")</f>
        <v>#REF!</v>
      </c>
      <c r="FG331" t="e">
        <f>AND(#REF!,"AAAAAFZ/Q6I=")</f>
        <v>#REF!</v>
      </c>
      <c r="FH331" t="e">
        <f>AND(#REF!,"AAAAAFZ/Q6M=")</f>
        <v>#REF!</v>
      </c>
      <c r="FI331" t="e">
        <f>AND(#REF!,"AAAAAFZ/Q6Q=")</f>
        <v>#REF!</v>
      </c>
      <c r="FJ331" t="e">
        <f>AND(#REF!,"AAAAAFZ/Q6U=")</f>
        <v>#REF!</v>
      </c>
      <c r="FK331" t="e">
        <f>AND(#REF!,"AAAAAFZ/Q6Y=")</f>
        <v>#REF!</v>
      </c>
      <c r="FL331" t="e">
        <f>AND(#REF!,"AAAAAFZ/Q6c=")</f>
        <v>#REF!</v>
      </c>
      <c r="FM331" t="e">
        <f>AND(#REF!,"AAAAAFZ/Q6g=")</f>
        <v>#REF!</v>
      </c>
      <c r="FN331" t="e">
        <f>AND(#REF!,"AAAAAFZ/Q6k=")</f>
        <v>#REF!</v>
      </c>
      <c r="FO331" t="e">
        <f>AND(#REF!,"AAAAAFZ/Q6o=")</f>
        <v>#REF!</v>
      </c>
      <c r="FP331" t="e">
        <f>AND(#REF!,"AAAAAFZ/Q6s=")</f>
        <v>#REF!</v>
      </c>
      <c r="FQ331" t="e">
        <f>AND(#REF!,"AAAAAFZ/Q6w=")</f>
        <v>#REF!</v>
      </c>
      <c r="FR331" t="e">
        <f>AND(#REF!,"AAAAAFZ/Q60=")</f>
        <v>#REF!</v>
      </c>
      <c r="FS331" t="e">
        <f>AND(#REF!,"AAAAAFZ/Q64=")</f>
        <v>#REF!</v>
      </c>
      <c r="FT331" t="e">
        <f>AND(#REF!,"AAAAAFZ/Q68=")</f>
        <v>#REF!</v>
      </c>
      <c r="FU331" t="e">
        <f>AND(#REF!,"AAAAAFZ/Q7A=")</f>
        <v>#REF!</v>
      </c>
      <c r="FV331" t="e">
        <f>AND(#REF!,"AAAAAFZ/Q7E=")</f>
        <v>#REF!</v>
      </c>
      <c r="FW331" t="e">
        <f>AND(#REF!,"AAAAAFZ/Q7I=")</f>
        <v>#REF!</v>
      </c>
      <c r="FX331" t="e">
        <f>AND(#REF!,"AAAAAFZ/Q7M=")</f>
        <v>#REF!</v>
      </c>
      <c r="FY331" t="e">
        <f>IF(#REF!,"AAAAAFZ/Q7Q=",0)</f>
        <v>#REF!</v>
      </c>
      <c r="FZ331" t="e">
        <f>AND(#REF!,"AAAAAFZ/Q7U=")</f>
        <v>#REF!</v>
      </c>
      <c r="GA331" t="e">
        <f>AND(#REF!,"AAAAAFZ/Q7Y=")</f>
        <v>#REF!</v>
      </c>
      <c r="GB331" t="e">
        <f>AND(#REF!,"AAAAAFZ/Q7c=")</f>
        <v>#REF!</v>
      </c>
      <c r="GC331" t="e">
        <f>AND(#REF!,"AAAAAFZ/Q7g=")</f>
        <v>#REF!</v>
      </c>
      <c r="GD331" t="e">
        <f>AND(#REF!,"AAAAAFZ/Q7k=")</f>
        <v>#REF!</v>
      </c>
      <c r="GE331" t="e">
        <f>AND(#REF!,"AAAAAFZ/Q7o=")</f>
        <v>#REF!</v>
      </c>
      <c r="GF331" t="e">
        <f>AND(#REF!,"AAAAAFZ/Q7s=")</f>
        <v>#REF!</v>
      </c>
      <c r="GG331" t="e">
        <f>AND(#REF!,"AAAAAFZ/Q7w=")</f>
        <v>#REF!</v>
      </c>
      <c r="GH331" t="e">
        <f>AND(#REF!,"AAAAAFZ/Q70=")</f>
        <v>#REF!</v>
      </c>
      <c r="GI331" t="e">
        <f>AND(#REF!,"AAAAAFZ/Q74=")</f>
        <v>#REF!</v>
      </c>
      <c r="GJ331" t="e">
        <f>AND(#REF!,"AAAAAFZ/Q78=")</f>
        <v>#REF!</v>
      </c>
      <c r="GK331" t="e">
        <f>AND(#REF!,"AAAAAFZ/Q8A=")</f>
        <v>#REF!</v>
      </c>
      <c r="GL331" t="e">
        <f>AND(#REF!,"AAAAAFZ/Q8E=")</f>
        <v>#REF!</v>
      </c>
      <c r="GM331" t="e">
        <f>AND(#REF!,"AAAAAFZ/Q8I=")</f>
        <v>#REF!</v>
      </c>
      <c r="GN331" t="e">
        <f>AND(#REF!,"AAAAAFZ/Q8M=")</f>
        <v>#REF!</v>
      </c>
      <c r="GO331" t="e">
        <f>AND(#REF!,"AAAAAFZ/Q8Q=")</f>
        <v>#REF!</v>
      </c>
      <c r="GP331" t="e">
        <f>AND(#REF!,"AAAAAFZ/Q8U=")</f>
        <v>#REF!</v>
      </c>
      <c r="GQ331" t="e">
        <f>AND(#REF!,"AAAAAFZ/Q8Y=")</f>
        <v>#REF!</v>
      </c>
      <c r="GR331" t="e">
        <f>AND(#REF!,"AAAAAFZ/Q8c=")</f>
        <v>#REF!</v>
      </c>
      <c r="GS331" t="e">
        <f>AND(#REF!,"AAAAAFZ/Q8g=")</f>
        <v>#REF!</v>
      </c>
      <c r="GT331" t="e">
        <f>AND(#REF!,"AAAAAFZ/Q8k=")</f>
        <v>#REF!</v>
      </c>
      <c r="GU331" t="e">
        <f>AND(#REF!,"AAAAAFZ/Q8o=")</f>
        <v>#REF!</v>
      </c>
      <c r="GV331" t="e">
        <f>AND(#REF!,"AAAAAFZ/Q8s=")</f>
        <v>#REF!</v>
      </c>
      <c r="GW331" t="e">
        <f>AND(#REF!,"AAAAAFZ/Q8w=")</f>
        <v>#REF!</v>
      </c>
      <c r="GX331" t="e">
        <f>IF(#REF!,"AAAAAFZ/Q80=",0)</f>
        <v>#REF!</v>
      </c>
      <c r="GY331" t="e">
        <f>AND(#REF!,"AAAAAFZ/Q84=")</f>
        <v>#REF!</v>
      </c>
      <c r="GZ331" t="e">
        <f>AND(#REF!,"AAAAAFZ/Q88=")</f>
        <v>#REF!</v>
      </c>
      <c r="HA331" t="e">
        <f>AND(#REF!,"AAAAAFZ/Q9A=")</f>
        <v>#REF!</v>
      </c>
      <c r="HB331" t="e">
        <f>AND(#REF!,"AAAAAFZ/Q9E=")</f>
        <v>#REF!</v>
      </c>
      <c r="HC331" t="e">
        <f>AND(#REF!,"AAAAAFZ/Q9I=")</f>
        <v>#REF!</v>
      </c>
      <c r="HD331" t="e">
        <f>AND(#REF!,"AAAAAFZ/Q9M=")</f>
        <v>#REF!</v>
      </c>
      <c r="HE331" t="e">
        <f>AND(#REF!,"AAAAAFZ/Q9Q=")</f>
        <v>#REF!</v>
      </c>
      <c r="HF331" t="e">
        <f>AND(#REF!,"AAAAAFZ/Q9U=")</f>
        <v>#REF!</v>
      </c>
      <c r="HG331" t="e">
        <f>AND(#REF!,"AAAAAFZ/Q9Y=")</f>
        <v>#REF!</v>
      </c>
      <c r="HH331" t="e">
        <f>AND(#REF!,"AAAAAFZ/Q9c=")</f>
        <v>#REF!</v>
      </c>
      <c r="HI331" t="e">
        <f>AND(#REF!,"AAAAAFZ/Q9g=")</f>
        <v>#REF!</v>
      </c>
      <c r="HJ331" t="e">
        <f>AND(#REF!,"AAAAAFZ/Q9k=")</f>
        <v>#REF!</v>
      </c>
      <c r="HK331" t="e">
        <f>AND(#REF!,"AAAAAFZ/Q9o=")</f>
        <v>#REF!</v>
      </c>
      <c r="HL331" t="e">
        <f>AND(#REF!,"AAAAAFZ/Q9s=")</f>
        <v>#REF!</v>
      </c>
      <c r="HM331" t="e">
        <f>AND(#REF!,"AAAAAFZ/Q9w=")</f>
        <v>#REF!</v>
      </c>
      <c r="HN331" t="e">
        <f>AND(#REF!,"AAAAAFZ/Q90=")</f>
        <v>#REF!</v>
      </c>
      <c r="HO331" t="e">
        <f>AND(#REF!,"AAAAAFZ/Q94=")</f>
        <v>#REF!</v>
      </c>
      <c r="HP331" t="e">
        <f>AND(#REF!,"AAAAAFZ/Q98=")</f>
        <v>#REF!</v>
      </c>
      <c r="HQ331" t="e">
        <f>AND(#REF!,"AAAAAFZ/Q+A=")</f>
        <v>#REF!</v>
      </c>
      <c r="HR331" t="e">
        <f>AND(#REF!,"AAAAAFZ/Q+E=")</f>
        <v>#REF!</v>
      </c>
      <c r="HS331" t="e">
        <f>AND(#REF!,"AAAAAFZ/Q+I=")</f>
        <v>#REF!</v>
      </c>
      <c r="HT331" t="e">
        <f>AND(#REF!,"AAAAAFZ/Q+M=")</f>
        <v>#REF!</v>
      </c>
      <c r="HU331" t="e">
        <f>AND(#REF!,"AAAAAFZ/Q+Q=")</f>
        <v>#REF!</v>
      </c>
      <c r="HV331" t="e">
        <f>AND(#REF!,"AAAAAFZ/Q+U=")</f>
        <v>#REF!</v>
      </c>
      <c r="HW331" t="e">
        <f>IF(#REF!,"AAAAAFZ/Q+Y=",0)</f>
        <v>#REF!</v>
      </c>
      <c r="HX331" t="e">
        <f>AND(#REF!,"AAAAAFZ/Q+c=")</f>
        <v>#REF!</v>
      </c>
      <c r="HY331" t="e">
        <f>AND(#REF!,"AAAAAFZ/Q+g=")</f>
        <v>#REF!</v>
      </c>
      <c r="HZ331" t="e">
        <f>AND(#REF!,"AAAAAFZ/Q+k=")</f>
        <v>#REF!</v>
      </c>
      <c r="IA331" t="e">
        <f>AND(#REF!,"AAAAAFZ/Q+o=")</f>
        <v>#REF!</v>
      </c>
      <c r="IB331" t="e">
        <f>AND(#REF!,"AAAAAFZ/Q+s=")</f>
        <v>#REF!</v>
      </c>
      <c r="IC331" t="e">
        <f>AND(#REF!,"AAAAAFZ/Q+w=")</f>
        <v>#REF!</v>
      </c>
      <c r="ID331" t="e">
        <f>AND(#REF!,"AAAAAFZ/Q+0=")</f>
        <v>#REF!</v>
      </c>
      <c r="IE331" t="e">
        <f>AND(#REF!,"AAAAAFZ/Q+4=")</f>
        <v>#REF!</v>
      </c>
      <c r="IF331" t="e">
        <f>AND(#REF!,"AAAAAFZ/Q+8=")</f>
        <v>#REF!</v>
      </c>
      <c r="IG331" t="e">
        <f>AND(#REF!,"AAAAAFZ/Q/A=")</f>
        <v>#REF!</v>
      </c>
      <c r="IH331" t="e">
        <f>AND(#REF!,"AAAAAFZ/Q/E=")</f>
        <v>#REF!</v>
      </c>
      <c r="II331" t="e">
        <f>AND(#REF!,"AAAAAFZ/Q/I=")</f>
        <v>#REF!</v>
      </c>
      <c r="IJ331" t="e">
        <f>AND(#REF!,"AAAAAFZ/Q/M=")</f>
        <v>#REF!</v>
      </c>
      <c r="IK331" t="e">
        <f>AND(#REF!,"AAAAAFZ/Q/Q=")</f>
        <v>#REF!</v>
      </c>
      <c r="IL331" t="e">
        <f>AND(#REF!,"AAAAAFZ/Q/U=")</f>
        <v>#REF!</v>
      </c>
      <c r="IM331" t="e">
        <f>AND(#REF!,"AAAAAFZ/Q/Y=")</f>
        <v>#REF!</v>
      </c>
      <c r="IN331" t="e">
        <f>AND(#REF!,"AAAAAFZ/Q/c=")</f>
        <v>#REF!</v>
      </c>
      <c r="IO331" t="e">
        <f>AND(#REF!,"AAAAAFZ/Q/g=")</f>
        <v>#REF!</v>
      </c>
      <c r="IP331" t="e">
        <f>AND(#REF!,"AAAAAFZ/Q/k=")</f>
        <v>#REF!</v>
      </c>
      <c r="IQ331" t="e">
        <f>AND(#REF!,"AAAAAFZ/Q/o=")</f>
        <v>#REF!</v>
      </c>
      <c r="IR331" t="e">
        <f>AND(#REF!,"AAAAAFZ/Q/s=")</f>
        <v>#REF!</v>
      </c>
      <c r="IS331" t="e">
        <f>AND(#REF!,"AAAAAFZ/Q/w=")</f>
        <v>#REF!</v>
      </c>
      <c r="IT331" t="e">
        <f>AND(#REF!,"AAAAAFZ/Q/0=")</f>
        <v>#REF!</v>
      </c>
      <c r="IU331" t="e">
        <f>AND(#REF!,"AAAAAFZ/Q/4=")</f>
        <v>#REF!</v>
      </c>
      <c r="IV331" t="e">
        <f>IF(#REF!,"AAAAAFZ/Q/8=",0)</f>
        <v>#REF!</v>
      </c>
    </row>
    <row r="332" spans="1:256">
      <c r="A332" t="e">
        <f>AND(#REF!,"AAAAAHy/fgA=")</f>
        <v>#REF!</v>
      </c>
      <c r="B332" t="e">
        <f>AND(#REF!,"AAAAAHy/fgE=")</f>
        <v>#REF!</v>
      </c>
      <c r="C332" t="e">
        <f>AND(#REF!,"AAAAAHy/fgI=")</f>
        <v>#REF!</v>
      </c>
      <c r="D332" t="e">
        <f>AND(#REF!,"AAAAAHy/fgM=")</f>
        <v>#REF!</v>
      </c>
      <c r="E332" t="e">
        <f>AND(#REF!,"AAAAAHy/fgQ=")</f>
        <v>#REF!</v>
      </c>
      <c r="F332" t="e">
        <f>AND(#REF!,"AAAAAHy/fgU=")</f>
        <v>#REF!</v>
      </c>
      <c r="G332" t="e">
        <f>AND(#REF!,"AAAAAHy/fgY=")</f>
        <v>#REF!</v>
      </c>
      <c r="H332" t="e">
        <f>AND(#REF!,"AAAAAHy/fgc=")</f>
        <v>#REF!</v>
      </c>
      <c r="I332" t="e">
        <f>AND(#REF!,"AAAAAHy/fgg=")</f>
        <v>#REF!</v>
      </c>
      <c r="J332" t="e">
        <f>AND(#REF!,"AAAAAHy/fgk=")</f>
        <v>#REF!</v>
      </c>
      <c r="K332" t="e">
        <f>AND(#REF!,"AAAAAHy/fgo=")</f>
        <v>#REF!</v>
      </c>
      <c r="L332" t="e">
        <f>AND(#REF!,"AAAAAHy/fgs=")</f>
        <v>#REF!</v>
      </c>
      <c r="M332" t="e">
        <f>AND(#REF!,"AAAAAHy/fgw=")</f>
        <v>#REF!</v>
      </c>
      <c r="N332" t="e">
        <f>AND(#REF!,"AAAAAHy/fg0=")</f>
        <v>#REF!</v>
      </c>
      <c r="O332" t="e">
        <f>AND(#REF!,"AAAAAHy/fg4=")</f>
        <v>#REF!</v>
      </c>
      <c r="P332" t="e">
        <f>AND(#REF!,"AAAAAHy/fg8=")</f>
        <v>#REF!</v>
      </c>
      <c r="Q332" t="e">
        <f>AND(#REF!,"AAAAAHy/fhA=")</f>
        <v>#REF!</v>
      </c>
      <c r="R332" t="e">
        <f>AND(#REF!,"AAAAAHy/fhE=")</f>
        <v>#REF!</v>
      </c>
      <c r="S332" t="e">
        <f>AND(#REF!,"AAAAAHy/fhI=")</f>
        <v>#REF!</v>
      </c>
      <c r="T332" t="e">
        <f>AND(#REF!,"AAAAAHy/fhM=")</f>
        <v>#REF!</v>
      </c>
      <c r="U332" t="e">
        <f>AND(#REF!,"AAAAAHy/fhQ=")</f>
        <v>#REF!</v>
      </c>
      <c r="V332" t="e">
        <f>AND(#REF!,"AAAAAHy/fhU=")</f>
        <v>#REF!</v>
      </c>
      <c r="W332" t="e">
        <f>AND(#REF!,"AAAAAHy/fhY=")</f>
        <v>#REF!</v>
      </c>
      <c r="X332" t="e">
        <f>AND(#REF!,"AAAAAHy/fhc=")</f>
        <v>#REF!</v>
      </c>
      <c r="Y332" t="e">
        <f>IF(#REF!,"AAAAAHy/fhg=",0)</f>
        <v>#REF!</v>
      </c>
      <c r="Z332" t="e">
        <f>AND(#REF!,"AAAAAHy/fhk=")</f>
        <v>#REF!</v>
      </c>
      <c r="AA332" t="e">
        <f>AND(#REF!,"AAAAAHy/fho=")</f>
        <v>#REF!</v>
      </c>
      <c r="AB332" t="e">
        <f>AND(#REF!,"AAAAAHy/fhs=")</f>
        <v>#REF!</v>
      </c>
      <c r="AC332" t="e">
        <f>AND(#REF!,"AAAAAHy/fhw=")</f>
        <v>#REF!</v>
      </c>
      <c r="AD332" t="e">
        <f>AND(#REF!,"AAAAAHy/fh0=")</f>
        <v>#REF!</v>
      </c>
      <c r="AE332" t="e">
        <f>AND(#REF!,"AAAAAHy/fh4=")</f>
        <v>#REF!</v>
      </c>
      <c r="AF332" t="e">
        <f>AND(#REF!,"AAAAAHy/fh8=")</f>
        <v>#REF!</v>
      </c>
      <c r="AG332" t="e">
        <f>AND(#REF!,"AAAAAHy/fiA=")</f>
        <v>#REF!</v>
      </c>
      <c r="AH332" t="e">
        <f>AND(#REF!,"AAAAAHy/fiE=")</f>
        <v>#REF!</v>
      </c>
      <c r="AI332" t="e">
        <f>AND(#REF!,"AAAAAHy/fiI=")</f>
        <v>#REF!</v>
      </c>
      <c r="AJ332" t="e">
        <f>AND(#REF!,"AAAAAHy/fiM=")</f>
        <v>#REF!</v>
      </c>
      <c r="AK332" t="e">
        <f>AND(#REF!,"AAAAAHy/fiQ=")</f>
        <v>#REF!</v>
      </c>
      <c r="AL332" t="e">
        <f>AND(#REF!,"AAAAAHy/fiU=")</f>
        <v>#REF!</v>
      </c>
      <c r="AM332" t="e">
        <f>AND(#REF!,"AAAAAHy/fiY=")</f>
        <v>#REF!</v>
      </c>
      <c r="AN332" t="e">
        <f>AND(#REF!,"AAAAAHy/fic=")</f>
        <v>#REF!</v>
      </c>
      <c r="AO332" t="e">
        <f>AND(#REF!,"AAAAAHy/fig=")</f>
        <v>#REF!</v>
      </c>
      <c r="AP332" t="e">
        <f>AND(#REF!,"AAAAAHy/fik=")</f>
        <v>#REF!</v>
      </c>
      <c r="AQ332" t="e">
        <f>AND(#REF!,"AAAAAHy/fio=")</f>
        <v>#REF!</v>
      </c>
      <c r="AR332" t="e">
        <f>AND(#REF!,"AAAAAHy/fis=")</f>
        <v>#REF!</v>
      </c>
      <c r="AS332" t="e">
        <f>AND(#REF!,"AAAAAHy/fiw=")</f>
        <v>#REF!</v>
      </c>
      <c r="AT332" t="e">
        <f>AND(#REF!,"AAAAAHy/fi0=")</f>
        <v>#REF!</v>
      </c>
      <c r="AU332" t="e">
        <f>AND(#REF!,"AAAAAHy/fi4=")</f>
        <v>#REF!</v>
      </c>
      <c r="AV332" t="e">
        <f>AND(#REF!,"AAAAAHy/fi8=")</f>
        <v>#REF!</v>
      </c>
      <c r="AW332" t="e">
        <f>AND(#REF!,"AAAAAHy/fjA=")</f>
        <v>#REF!</v>
      </c>
      <c r="AX332" t="e">
        <f>IF(#REF!,"AAAAAHy/fjE=",0)</f>
        <v>#REF!</v>
      </c>
      <c r="AY332" t="e">
        <f>AND(#REF!,"AAAAAHy/fjI=")</f>
        <v>#REF!</v>
      </c>
      <c r="AZ332" t="e">
        <f>AND(#REF!,"AAAAAHy/fjM=")</f>
        <v>#REF!</v>
      </c>
      <c r="BA332" t="e">
        <f>AND(#REF!,"AAAAAHy/fjQ=")</f>
        <v>#REF!</v>
      </c>
      <c r="BB332" t="e">
        <f>AND(#REF!,"AAAAAHy/fjU=")</f>
        <v>#REF!</v>
      </c>
      <c r="BC332" t="e">
        <f>AND(#REF!,"AAAAAHy/fjY=")</f>
        <v>#REF!</v>
      </c>
      <c r="BD332" t="e">
        <f>AND(#REF!,"AAAAAHy/fjc=")</f>
        <v>#REF!</v>
      </c>
      <c r="BE332" t="e">
        <f>AND(#REF!,"AAAAAHy/fjg=")</f>
        <v>#REF!</v>
      </c>
      <c r="BF332" t="e">
        <f>AND(#REF!,"AAAAAHy/fjk=")</f>
        <v>#REF!</v>
      </c>
      <c r="BG332" t="e">
        <f>AND(#REF!,"AAAAAHy/fjo=")</f>
        <v>#REF!</v>
      </c>
      <c r="BH332" t="e">
        <f>AND(#REF!,"AAAAAHy/fjs=")</f>
        <v>#REF!</v>
      </c>
      <c r="BI332" t="e">
        <f>AND(#REF!,"AAAAAHy/fjw=")</f>
        <v>#REF!</v>
      </c>
      <c r="BJ332" t="e">
        <f>AND(#REF!,"AAAAAHy/fj0=")</f>
        <v>#REF!</v>
      </c>
      <c r="BK332" t="e">
        <f>AND(#REF!,"AAAAAHy/fj4=")</f>
        <v>#REF!</v>
      </c>
      <c r="BL332" t="e">
        <f>AND(#REF!,"AAAAAHy/fj8=")</f>
        <v>#REF!</v>
      </c>
      <c r="BM332" t="e">
        <f>AND(#REF!,"AAAAAHy/fkA=")</f>
        <v>#REF!</v>
      </c>
      <c r="BN332" t="e">
        <f>AND(#REF!,"AAAAAHy/fkE=")</f>
        <v>#REF!</v>
      </c>
      <c r="BO332" t="e">
        <f>AND(#REF!,"AAAAAHy/fkI=")</f>
        <v>#REF!</v>
      </c>
      <c r="BP332" t="e">
        <f>AND(#REF!,"AAAAAHy/fkM=")</f>
        <v>#REF!</v>
      </c>
      <c r="BQ332" t="e">
        <f>AND(#REF!,"AAAAAHy/fkQ=")</f>
        <v>#REF!</v>
      </c>
      <c r="BR332" t="e">
        <f>AND(#REF!,"AAAAAHy/fkU=")</f>
        <v>#REF!</v>
      </c>
      <c r="BS332" t="e">
        <f>AND(#REF!,"AAAAAHy/fkY=")</f>
        <v>#REF!</v>
      </c>
      <c r="BT332" t="e">
        <f>AND(#REF!,"AAAAAHy/fkc=")</f>
        <v>#REF!</v>
      </c>
      <c r="BU332" t="e">
        <f>AND(#REF!,"AAAAAHy/fkg=")</f>
        <v>#REF!</v>
      </c>
      <c r="BV332" t="e">
        <f>AND(#REF!,"AAAAAHy/fkk=")</f>
        <v>#REF!</v>
      </c>
      <c r="BW332" t="e">
        <f>IF(#REF!,"AAAAAHy/fko=",0)</f>
        <v>#REF!</v>
      </c>
      <c r="BX332" t="e">
        <f>AND(#REF!,"AAAAAHy/fks=")</f>
        <v>#REF!</v>
      </c>
      <c r="BY332" t="e">
        <f>AND(#REF!,"AAAAAHy/fkw=")</f>
        <v>#REF!</v>
      </c>
      <c r="BZ332" t="e">
        <f>AND(#REF!,"AAAAAHy/fk0=")</f>
        <v>#REF!</v>
      </c>
      <c r="CA332" t="e">
        <f>AND(#REF!,"AAAAAHy/fk4=")</f>
        <v>#REF!</v>
      </c>
      <c r="CB332" t="e">
        <f>AND(#REF!,"AAAAAHy/fk8=")</f>
        <v>#REF!</v>
      </c>
      <c r="CC332" t="e">
        <f>AND(#REF!,"AAAAAHy/flA=")</f>
        <v>#REF!</v>
      </c>
      <c r="CD332" t="e">
        <f>AND(#REF!,"AAAAAHy/flE=")</f>
        <v>#REF!</v>
      </c>
      <c r="CE332" t="e">
        <f>AND(#REF!,"AAAAAHy/flI=")</f>
        <v>#REF!</v>
      </c>
      <c r="CF332" t="e">
        <f>AND(#REF!,"AAAAAHy/flM=")</f>
        <v>#REF!</v>
      </c>
      <c r="CG332" t="e">
        <f>AND(#REF!,"AAAAAHy/flQ=")</f>
        <v>#REF!</v>
      </c>
      <c r="CH332" t="e">
        <f>AND(#REF!,"AAAAAHy/flU=")</f>
        <v>#REF!</v>
      </c>
      <c r="CI332" t="e">
        <f>AND(#REF!,"AAAAAHy/flY=")</f>
        <v>#REF!</v>
      </c>
      <c r="CJ332" t="e">
        <f>AND(#REF!,"AAAAAHy/flc=")</f>
        <v>#REF!</v>
      </c>
      <c r="CK332" t="e">
        <f>AND(#REF!,"AAAAAHy/flg=")</f>
        <v>#REF!</v>
      </c>
      <c r="CL332" t="e">
        <f>AND(#REF!,"AAAAAHy/flk=")</f>
        <v>#REF!</v>
      </c>
      <c r="CM332" t="e">
        <f>AND(#REF!,"AAAAAHy/flo=")</f>
        <v>#REF!</v>
      </c>
      <c r="CN332" t="e">
        <f>AND(#REF!,"AAAAAHy/fls=")</f>
        <v>#REF!</v>
      </c>
      <c r="CO332" t="e">
        <f>AND(#REF!,"AAAAAHy/flw=")</f>
        <v>#REF!</v>
      </c>
      <c r="CP332" t="e">
        <f>AND(#REF!,"AAAAAHy/fl0=")</f>
        <v>#REF!</v>
      </c>
      <c r="CQ332" t="e">
        <f>AND(#REF!,"AAAAAHy/fl4=")</f>
        <v>#REF!</v>
      </c>
      <c r="CR332" t="e">
        <f>AND(#REF!,"AAAAAHy/fl8=")</f>
        <v>#REF!</v>
      </c>
      <c r="CS332" t="e">
        <f>AND(#REF!,"AAAAAHy/fmA=")</f>
        <v>#REF!</v>
      </c>
      <c r="CT332" t="e">
        <f>AND(#REF!,"AAAAAHy/fmE=")</f>
        <v>#REF!</v>
      </c>
      <c r="CU332" t="e">
        <f>AND(#REF!,"AAAAAHy/fmI=")</f>
        <v>#REF!</v>
      </c>
      <c r="CV332" t="e">
        <f>IF(#REF!,"AAAAAHy/fmM=",0)</f>
        <v>#REF!</v>
      </c>
      <c r="CW332" t="e">
        <f>AND(#REF!,"AAAAAHy/fmQ=")</f>
        <v>#REF!</v>
      </c>
      <c r="CX332" t="e">
        <f>AND(#REF!,"AAAAAHy/fmU=")</f>
        <v>#REF!</v>
      </c>
      <c r="CY332" t="e">
        <f>AND(#REF!,"AAAAAHy/fmY=")</f>
        <v>#REF!</v>
      </c>
      <c r="CZ332" t="e">
        <f>AND(#REF!,"AAAAAHy/fmc=")</f>
        <v>#REF!</v>
      </c>
      <c r="DA332" t="e">
        <f>AND(#REF!,"AAAAAHy/fmg=")</f>
        <v>#REF!</v>
      </c>
      <c r="DB332" t="e">
        <f>AND(#REF!,"AAAAAHy/fmk=")</f>
        <v>#REF!</v>
      </c>
      <c r="DC332" t="e">
        <f>AND(#REF!,"AAAAAHy/fmo=")</f>
        <v>#REF!</v>
      </c>
      <c r="DD332" t="e">
        <f>AND(#REF!,"AAAAAHy/fms=")</f>
        <v>#REF!</v>
      </c>
      <c r="DE332" t="e">
        <f>AND(#REF!,"AAAAAHy/fmw=")</f>
        <v>#REF!</v>
      </c>
      <c r="DF332" t="e">
        <f>AND(#REF!,"AAAAAHy/fm0=")</f>
        <v>#REF!</v>
      </c>
      <c r="DG332" t="e">
        <f>AND(#REF!,"AAAAAHy/fm4=")</f>
        <v>#REF!</v>
      </c>
      <c r="DH332" t="e">
        <f>AND(#REF!,"AAAAAHy/fm8=")</f>
        <v>#REF!</v>
      </c>
      <c r="DI332" t="e">
        <f>AND(#REF!,"AAAAAHy/fnA=")</f>
        <v>#REF!</v>
      </c>
      <c r="DJ332" t="e">
        <f>AND(#REF!,"AAAAAHy/fnE=")</f>
        <v>#REF!</v>
      </c>
      <c r="DK332" t="e">
        <f>AND(#REF!,"AAAAAHy/fnI=")</f>
        <v>#REF!</v>
      </c>
      <c r="DL332" t="e">
        <f>AND(#REF!,"AAAAAHy/fnM=")</f>
        <v>#REF!</v>
      </c>
      <c r="DM332" t="e">
        <f>AND(#REF!,"AAAAAHy/fnQ=")</f>
        <v>#REF!</v>
      </c>
      <c r="DN332" t="e">
        <f>AND(#REF!,"AAAAAHy/fnU=")</f>
        <v>#REF!</v>
      </c>
      <c r="DO332" t="e">
        <f>AND(#REF!,"AAAAAHy/fnY=")</f>
        <v>#REF!</v>
      </c>
      <c r="DP332" t="e">
        <f>AND(#REF!,"AAAAAHy/fnc=")</f>
        <v>#REF!</v>
      </c>
      <c r="DQ332" t="e">
        <f>AND(#REF!,"AAAAAHy/fng=")</f>
        <v>#REF!</v>
      </c>
      <c r="DR332" t="e">
        <f>AND(#REF!,"AAAAAHy/fnk=")</f>
        <v>#REF!</v>
      </c>
      <c r="DS332" t="e">
        <f>AND(#REF!,"AAAAAHy/fno=")</f>
        <v>#REF!</v>
      </c>
      <c r="DT332" t="e">
        <f>AND(#REF!,"AAAAAHy/fns=")</f>
        <v>#REF!</v>
      </c>
      <c r="DU332" t="e">
        <f>IF(#REF!,"AAAAAHy/fnw=",0)</f>
        <v>#REF!</v>
      </c>
      <c r="DV332" t="e">
        <f>AND(#REF!,"AAAAAHy/fn0=")</f>
        <v>#REF!</v>
      </c>
      <c r="DW332" t="e">
        <f>AND(#REF!,"AAAAAHy/fn4=")</f>
        <v>#REF!</v>
      </c>
      <c r="DX332" t="e">
        <f>AND(#REF!,"AAAAAHy/fn8=")</f>
        <v>#REF!</v>
      </c>
      <c r="DY332" t="e">
        <f>AND(#REF!,"AAAAAHy/foA=")</f>
        <v>#REF!</v>
      </c>
      <c r="DZ332" t="e">
        <f>AND(#REF!,"AAAAAHy/foE=")</f>
        <v>#REF!</v>
      </c>
      <c r="EA332" t="e">
        <f>AND(#REF!,"AAAAAHy/foI=")</f>
        <v>#REF!</v>
      </c>
      <c r="EB332" t="e">
        <f>AND(#REF!,"AAAAAHy/foM=")</f>
        <v>#REF!</v>
      </c>
      <c r="EC332" t="e">
        <f>AND(#REF!,"AAAAAHy/foQ=")</f>
        <v>#REF!</v>
      </c>
      <c r="ED332" t="e">
        <f>AND(#REF!,"AAAAAHy/foU=")</f>
        <v>#REF!</v>
      </c>
      <c r="EE332" t="e">
        <f>AND(#REF!,"AAAAAHy/foY=")</f>
        <v>#REF!</v>
      </c>
      <c r="EF332" t="e">
        <f>AND(#REF!,"AAAAAHy/foc=")</f>
        <v>#REF!</v>
      </c>
      <c r="EG332" t="e">
        <f>AND(#REF!,"AAAAAHy/fog=")</f>
        <v>#REF!</v>
      </c>
      <c r="EH332" t="e">
        <f>AND(#REF!,"AAAAAHy/fok=")</f>
        <v>#REF!</v>
      </c>
      <c r="EI332" t="e">
        <f>AND(#REF!,"AAAAAHy/foo=")</f>
        <v>#REF!</v>
      </c>
      <c r="EJ332" t="e">
        <f>AND(#REF!,"AAAAAHy/fos=")</f>
        <v>#REF!</v>
      </c>
      <c r="EK332" t="e">
        <f>AND(#REF!,"AAAAAHy/fow=")</f>
        <v>#REF!</v>
      </c>
      <c r="EL332" t="e">
        <f>AND(#REF!,"AAAAAHy/fo0=")</f>
        <v>#REF!</v>
      </c>
      <c r="EM332" t="e">
        <f>AND(#REF!,"AAAAAHy/fo4=")</f>
        <v>#REF!</v>
      </c>
      <c r="EN332" t="e">
        <f>AND(#REF!,"AAAAAHy/fo8=")</f>
        <v>#REF!</v>
      </c>
      <c r="EO332" t="e">
        <f>AND(#REF!,"AAAAAHy/fpA=")</f>
        <v>#REF!</v>
      </c>
      <c r="EP332" t="e">
        <f>AND(#REF!,"AAAAAHy/fpE=")</f>
        <v>#REF!</v>
      </c>
      <c r="EQ332" t="e">
        <f>AND(#REF!,"AAAAAHy/fpI=")</f>
        <v>#REF!</v>
      </c>
      <c r="ER332" t="e">
        <f>AND(#REF!,"AAAAAHy/fpM=")</f>
        <v>#REF!</v>
      </c>
      <c r="ES332" t="e">
        <f>AND(#REF!,"AAAAAHy/fpQ=")</f>
        <v>#REF!</v>
      </c>
      <c r="ET332" t="e">
        <f>IF(#REF!,"AAAAAHy/fpU=",0)</f>
        <v>#REF!</v>
      </c>
      <c r="EU332" t="e">
        <f>AND(#REF!,"AAAAAHy/fpY=")</f>
        <v>#REF!</v>
      </c>
      <c r="EV332" t="e">
        <f>AND(#REF!,"AAAAAHy/fpc=")</f>
        <v>#REF!</v>
      </c>
      <c r="EW332" t="e">
        <f>AND(#REF!,"AAAAAHy/fpg=")</f>
        <v>#REF!</v>
      </c>
      <c r="EX332" t="e">
        <f>AND(#REF!,"AAAAAHy/fpk=")</f>
        <v>#REF!</v>
      </c>
      <c r="EY332" t="e">
        <f>AND(#REF!,"AAAAAHy/fpo=")</f>
        <v>#REF!</v>
      </c>
      <c r="EZ332" t="e">
        <f>AND(#REF!,"AAAAAHy/fps=")</f>
        <v>#REF!</v>
      </c>
      <c r="FA332" t="e">
        <f>AND(#REF!,"AAAAAHy/fpw=")</f>
        <v>#REF!</v>
      </c>
      <c r="FB332" t="e">
        <f>AND(#REF!,"AAAAAHy/fp0=")</f>
        <v>#REF!</v>
      </c>
      <c r="FC332" t="e">
        <f>AND(#REF!,"AAAAAHy/fp4=")</f>
        <v>#REF!</v>
      </c>
      <c r="FD332" t="e">
        <f>AND(#REF!,"AAAAAHy/fp8=")</f>
        <v>#REF!</v>
      </c>
      <c r="FE332" t="e">
        <f>AND(#REF!,"AAAAAHy/fqA=")</f>
        <v>#REF!</v>
      </c>
      <c r="FF332" t="e">
        <f>AND(#REF!,"AAAAAHy/fqE=")</f>
        <v>#REF!</v>
      </c>
      <c r="FG332" t="e">
        <f>AND(#REF!,"AAAAAHy/fqI=")</f>
        <v>#REF!</v>
      </c>
      <c r="FH332" t="e">
        <f>AND(#REF!,"AAAAAHy/fqM=")</f>
        <v>#REF!</v>
      </c>
      <c r="FI332" t="e">
        <f>AND(#REF!,"AAAAAHy/fqQ=")</f>
        <v>#REF!</v>
      </c>
      <c r="FJ332" t="e">
        <f>AND(#REF!,"AAAAAHy/fqU=")</f>
        <v>#REF!</v>
      </c>
      <c r="FK332" t="e">
        <f>AND(#REF!,"AAAAAHy/fqY=")</f>
        <v>#REF!</v>
      </c>
      <c r="FL332" t="e">
        <f>AND(#REF!,"AAAAAHy/fqc=")</f>
        <v>#REF!</v>
      </c>
      <c r="FM332" t="e">
        <f>AND(#REF!,"AAAAAHy/fqg=")</f>
        <v>#REF!</v>
      </c>
      <c r="FN332" t="e">
        <f>AND(#REF!,"AAAAAHy/fqk=")</f>
        <v>#REF!</v>
      </c>
      <c r="FO332" t="e">
        <f>AND(#REF!,"AAAAAHy/fqo=")</f>
        <v>#REF!</v>
      </c>
      <c r="FP332" t="e">
        <f>AND(#REF!,"AAAAAHy/fqs=")</f>
        <v>#REF!</v>
      </c>
      <c r="FQ332" t="e">
        <f>AND(#REF!,"AAAAAHy/fqw=")</f>
        <v>#REF!</v>
      </c>
      <c r="FR332" t="e">
        <f>AND(#REF!,"AAAAAHy/fq0=")</f>
        <v>#REF!</v>
      </c>
      <c r="FS332" t="e">
        <f>IF(#REF!,"AAAAAHy/fq4=",0)</f>
        <v>#REF!</v>
      </c>
      <c r="FT332" t="e">
        <f>AND(#REF!,"AAAAAHy/fq8=")</f>
        <v>#REF!</v>
      </c>
      <c r="FU332" t="e">
        <f>AND(#REF!,"AAAAAHy/frA=")</f>
        <v>#REF!</v>
      </c>
      <c r="FV332" t="e">
        <f>AND(#REF!,"AAAAAHy/frE=")</f>
        <v>#REF!</v>
      </c>
      <c r="FW332" t="e">
        <f>AND(#REF!,"AAAAAHy/frI=")</f>
        <v>#REF!</v>
      </c>
      <c r="FX332" t="e">
        <f>AND(#REF!,"AAAAAHy/frM=")</f>
        <v>#REF!</v>
      </c>
      <c r="FY332" t="e">
        <f>AND(#REF!,"AAAAAHy/frQ=")</f>
        <v>#REF!</v>
      </c>
      <c r="FZ332" t="e">
        <f>AND(#REF!,"AAAAAHy/frU=")</f>
        <v>#REF!</v>
      </c>
      <c r="GA332" t="e">
        <f>AND(#REF!,"AAAAAHy/frY=")</f>
        <v>#REF!</v>
      </c>
      <c r="GB332" t="e">
        <f>AND(#REF!,"AAAAAHy/frc=")</f>
        <v>#REF!</v>
      </c>
      <c r="GC332" t="e">
        <f>AND(#REF!,"AAAAAHy/frg=")</f>
        <v>#REF!</v>
      </c>
      <c r="GD332" t="e">
        <f>AND(#REF!,"AAAAAHy/frk=")</f>
        <v>#REF!</v>
      </c>
      <c r="GE332" t="e">
        <f>AND(#REF!,"AAAAAHy/fro=")</f>
        <v>#REF!</v>
      </c>
      <c r="GF332" t="e">
        <f>AND(#REF!,"AAAAAHy/frs=")</f>
        <v>#REF!</v>
      </c>
      <c r="GG332" t="e">
        <f>AND(#REF!,"AAAAAHy/frw=")</f>
        <v>#REF!</v>
      </c>
      <c r="GH332" t="e">
        <f>AND(#REF!,"AAAAAHy/fr0=")</f>
        <v>#REF!</v>
      </c>
      <c r="GI332" t="e">
        <f>AND(#REF!,"AAAAAHy/fr4=")</f>
        <v>#REF!</v>
      </c>
      <c r="GJ332" t="e">
        <f>AND(#REF!,"AAAAAHy/fr8=")</f>
        <v>#REF!</v>
      </c>
      <c r="GK332" t="e">
        <f>AND(#REF!,"AAAAAHy/fsA=")</f>
        <v>#REF!</v>
      </c>
      <c r="GL332" t="e">
        <f>AND(#REF!,"AAAAAHy/fsE=")</f>
        <v>#REF!</v>
      </c>
      <c r="GM332" t="e">
        <f>AND(#REF!,"AAAAAHy/fsI=")</f>
        <v>#REF!</v>
      </c>
      <c r="GN332" t="e">
        <f>AND(#REF!,"AAAAAHy/fsM=")</f>
        <v>#REF!</v>
      </c>
      <c r="GO332" t="e">
        <f>AND(#REF!,"AAAAAHy/fsQ=")</f>
        <v>#REF!</v>
      </c>
      <c r="GP332" t="e">
        <f>AND(#REF!,"AAAAAHy/fsU=")</f>
        <v>#REF!</v>
      </c>
      <c r="GQ332" t="e">
        <f>AND(#REF!,"AAAAAHy/fsY=")</f>
        <v>#REF!</v>
      </c>
      <c r="GR332" t="e">
        <f>IF(#REF!,"AAAAAHy/fsc=",0)</f>
        <v>#REF!</v>
      </c>
      <c r="GS332" t="e">
        <f>AND(#REF!,"AAAAAHy/fsg=")</f>
        <v>#REF!</v>
      </c>
      <c r="GT332" t="e">
        <f>AND(#REF!,"AAAAAHy/fsk=")</f>
        <v>#REF!</v>
      </c>
      <c r="GU332" t="e">
        <f>AND(#REF!,"AAAAAHy/fso=")</f>
        <v>#REF!</v>
      </c>
      <c r="GV332" t="e">
        <f>AND(#REF!,"AAAAAHy/fss=")</f>
        <v>#REF!</v>
      </c>
      <c r="GW332" t="e">
        <f>AND(#REF!,"AAAAAHy/fsw=")</f>
        <v>#REF!</v>
      </c>
      <c r="GX332" t="e">
        <f>AND(#REF!,"AAAAAHy/fs0=")</f>
        <v>#REF!</v>
      </c>
      <c r="GY332" t="e">
        <f>AND(#REF!,"AAAAAHy/fs4=")</f>
        <v>#REF!</v>
      </c>
      <c r="GZ332" t="e">
        <f>AND(#REF!,"AAAAAHy/fs8=")</f>
        <v>#REF!</v>
      </c>
      <c r="HA332" t="e">
        <f>AND(#REF!,"AAAAAHy/ftA=")</f>
        <v>#REF!</v>
      </c>
      <c r="HB332" t="e">
        <f>AND(#REF!,"AAAAAHy/ftE=")</f>
        <v>#REF!</v>
      </c>
      <c r="HC332" t="e">
        <f>AND(#REF!,"AAAAAHy/ftI=")</f>
        <v>#REF!</v>
      </c>
      <c r="HD332" t="e">
        <f>AND(#REF!,"AAAAAHy/ftM=")</f>
        <v>#REF!</v>
      </c>
      <c r="HE332" t="e">
        <f>AND(#REF!,"AAAAAHy/ftQ=")</f>
        <v>#REF!</v>
      </c>
      <c r="HF332" t="e">
        <f>AND(#REF!,"AAAAAHy/ftU=")</f>
        <v>#REF!</v>
      </c>
      <c r="HG332" t="e">
        <f>AND(#REF!,"AAAAAHy/ftY=")</f>
        <v>#REF!</v>
      </c>
      <c r="HH332" t="e">
        <f>AND(#REF!,"AAAAAHy/ftc=")</f>
        <v>#REF!</v>
      </c>
      <c r="HI332" t="e">
        <f>AND(#REF!,"AAAAAHy/ftg=")</f>
        <v>#REF!</v>
      </c>
      <c r="HJ332" t="e">
        <f>AND(#REF!,"AAAAAHy/ftk=")</f>
        <v>#REF!</v>
      </c>
      <c r="HK332" t="e">
        <f>AND(#REF!,"AAAAAHy/fto=")</f>
        <v>#REF!</v>
      </c>
      <c r="HL332" t="e">
        <f>AND(#REF!,"AAAAAHy/fts=")</f>
        <v>#REF!</v>
      </c>
      <c r="HM332" t="e">
        <f>AND(#REF!,"AAAAAHy/ftw=")</f>
        <v>#REF!</v>
      </c>
      <c r="HN332" t="e">
        <f>AND(#REF!,"AAAAAHy/ft0=")</f>
        <v>#REF!</v>
      </c>
      <c r="HO332" t="e">
        <f>AND(#REF!,"AAAAAHy/ft4=")</f>
        <v>#REF!</v>
      </c>
      <c r="HP332" t="e">
        <f>AND(#REF!,"AAAAAHy/ft8=")</f>
        <v>#REF!</v>
      </c>
      <c r="HQ332" t="e">
        <f>IF(#REF!,"AAAAAHy/fuA=",0)</f>
        <v>#REF!</v>
      </c>
      <c r="HR332" t="e">
        <f>AND(#REF!,"AAAAAHy/fuE=")</f>
        <v>#REF!</v>
      </c>
      <c r="HS332" t="e">
        <f>AND(#REF!,"AAAAAHy/fuI=")</f>
        <v>#REF!</v>
      </c>
      <c r="HT332" t="e">
        <f>AND(#REF!,"AAAAAHy/fuM=")</f>
        <v>#REF!</v>
      </c>
      <c r="HU332" t="e">
        <f>AND(#REF!,"AAAAAHy/fuQ=")</f>
        <v>#REF!</v>
      </c>
      <c r="HV332" t="e">
        <f>AND(#REF!,"AAAAAHy/fuU=")</f>
        <v>#REF!</v>
      </c>
      <c r="HW332" t="e">
        <f>AND(#REF!,"AAAAAHy/fuY=")</f>
        <v>#REF!</v>
      </c>
      <c r="HX332" t="e">
        <f>AND(#REF!,"AAAAAHy/fuc=")</f>
        <v>#REF!</v>
      </c>
      <c r="HY332" t="e">
        <f>AND(#REF!,"AAAAAHy/fug=")</f>
        <v>#REF!</v>
      </c>
      <c r="HZ332" t="e">
        <f>AND(#REF!,"AAAAAHy/fuk=")</f>
        <v>#REF!</v>
      </c>
      <c r="IA332" t="e">
        <f>AND(#REF!,"AAAAAHy/fuo=")</f>
        <v>#REF!</v>
      </c>
      <c r="IB332" t="e">
        <f>AND(#REF!,"AAAAAHy/fus=")</f>
        <v>#REF!</v>
      </c>
      <c r="IC332" t="e">
        <f>AND(#REF!,"AAAAAHy/fuw=")</f>
        <v>#REF!</v>
      </c>
      <c r="ID332" t="e">
        <f>AND(#REF!,"AAAAAHy/fu0=")</f>
        <v>#REF!</v>
      </c>
      <c r="IE332" t="e">
        <f>AND(#REF!,"AAAAAHy/fu4=")</f>
        <v>#REF!</v>
      </c>
      <c r="IF332" t="e">
        <f>AND(#REF!,"AAAAAHy/fu8=")</f>
        <v>#REF!</v>
      </c>
      <c r="IG332" t="e">
        <f>AND(#REF!,"AAAAAHy/fvA=")</f>
        <v>#REF!</v>
      </c>
      <c r="IH332" t="e">
        <f>AND(#REF!,"AAAAAHy/fvE=")</f>
        <v>#REF!</v>
      </c>
      <c r="II332" t="e">
        <f>AND(#REF!,"AAAAAHy/fvI=")</f>
        <v>#REF!</v>
      </c>
      <c r="IJ332" t="e">
        <f>AND(#REF!,"AAAAAHy/fvM=")</f>
        <v>#REF!</v>
      </c>
      <c r="IK332" t="e">
        <f>AND(#REF!,"AAAAAHy/fvQ=")</f>
        <v>#REF!</v>
      </c>
      <c r="IL332" t="e">
        <f>AND(#REF!,"AAAAAHy/fvU=")</f>
        <v>#REF!</v>
      </c>
      <c r="IM332" t="e">
        <f>AND(#REF!,"AAAAAHy/fvY=")</f>
        <v>#REF!</v>
      </c>
      <c r="IN332" t="e">
        <f>AND(#REF!,"AAAAAHy/fvc=")</f>
        <v>#REF!</v>
      </c>
      <c r="IO332" t="e">
        <f>AND(#REF!,"AAAAAHy/fvg=")</f>
        <v>#REF!</v>
      </c>
      <c r="IP332" t="e">
        <f>IF(#REF!,"AAAAAHy/fvk=",0)</f>
        <v>#REF!</v>
      </c>
      <c r="IQ332" t="e">
        <f>AND(#REF!,"AAAAAHy/fvo=")</f>
        <v>#REF!</v>
      </c>
      <c r="IR332" t="e">
        <f>AND(#REF!,"AAAAAHy/fvs=")</f>
        <v>#REF!</v>
      </c>
      <c r="IS332" t="e">
        <f>AND(#REF!,"AAAAAHy/fvw=")</f>
        <v>#REF!</v>
      </c>
      <c r="IT332" t="e">
        <f>AND(#REF!,"AAAAAHy/fv0=")</f>
        <v>#REF!</v>
      </c>
      <c r="IU332" t="e">
        <f>AND(#REF!,"AAAAAHy/fv4=")</f>
        <v>#REF!</v>
      </c>
      <c r="IV332" t="e">
        <f>AND(#REF!,"AAAAAHy/fv8=")</f>
        <v>#REF!</v>
      </c>
    </row>
    <row r="333" spans="1:256">
      <c r="A333" t="e">
        <f>AND(#REF!,"AAAAAD2v/gA=")</f>
        <v>#REF!</v>
      </c>
      <c r="B333" t="e">
        <f>AND(#REF!,"AAAAAD2v/gE=")</f>
        <v>#REF!</v>
      </c>
      <c r="C333" t="e">
        <f>AND(#REF!,"AAAAAD2v/gI=")</f>
        <v>#REF!</v>
      </c>
      <c r="D333" t="e">
        <f>AND(#REF!,"AAAAAD2v/gM=")</f>
        <v>#REF!</v>
      </c>
      <c r="E333" t="e">
        <f>AND(#REF!,"AAAAAD2v/gQ=")</f>
        <v>#REF!</v>
      </c>
      <c r="F333" t="e">
        <f>AND(#REF!,"AAAAAD2v/gU=")</f>
        <v>#REF!</v>
      </c>
      <c r="G333" t="e">
        <f>AND(#REF!,"AAAAAD2v/gY=")</f>
        <v>#REF!</v>
      </c>
      <c r="H333" t="e">
        <f>AND(#REF!,"AAAAAD2v/gc=")</f>
        <v>#REF!</v>
      </c>
      <c r="I333" t="e">
        <f>AND(#REF!,"AAAAAD2v/gg=")</f>
        <v>#REF!</v>
      </c>
      <c r="J333" t="e">
        <f>AND(#REF!,"AAAAAD2v/gk=")</f>
        <v>#REF!</v>
      </c>
      <c r="K333" t="e">
        <f>AND(#REF!,"AAAAAD2v/go=")</f>
        <v>#REF!</v>
      </c>
      <c r="L333" t="e">
        <f>AND(#REF!,"AAAAAD2v/gs=")</f>
        <v>#REF!</v>
      </c>
      <c r="M333" t="e">
        <f>AND(#REF!,"AAAAAD2v/gw=")</f>
        <v>#REF!</v>
      </c>
      <c r="N333" t="e">
        <f>AND(#REF!,"AAAAAD2v/g0=")</f>
        <v>#REF!</v>
      </c>
      <c r="O333" t="e">
        <f>AND(#REF!,"AAAAAD2v/g4=")</f>
        <v>#REF!</v>
      </c>
      <c r="P333" t="e">
        <f>AND(#REF!,"AAAAAD2v/g8=")</f>
        <v>#REF!</v>
      </c>
      <c r="Q333" t="e">
        <f>AND(#REF!,"AAAAAD2v/hA=")</f>
        <v>#REF!</v>
      </c>
      <c r="R333" t="e">
        <f>AND(#REF!,"AAAAAD2v/hE=")</f>
        <v>#REF!</v>
      </c>
      <c r="S333" t="e">
        <f>IF(#REF!,"AAAAAD2v/hI=",0)</f>
        <v>#REF!</v>
      </c>
      <c r="T333" t="e">
        <f>AND(#REF!,"AAAAAD2v/hM=")</f>
        <v>#REF!</v>
      </c>
      <c r="U333" t="e">
        <f>AND(#REF!,"AAAAAD2v/hQ=")</f>
        <v>#REF!</v>
      </c>
      <c r="V333" t="e">
        <f>AND(#REF!,"AAAAAD2v/hU=")</f>
        <v>#REF!</v>
      </c>
      <c r="W333" t="e">
        <f>AND(#REF!,"AAAAAD2v/hY=")</f>
        <v>#REF!</v>
      </c>
      <c r="X333" t="e">
        <f>AND(#REF!,"AAAAAD2v/hc=")</f>
        <v>#REF!</v>
      </c>
      <c r="Y333" t="e">
        <f>AND(#REF!,"AAAAAD2v/hg=")</f>
        <v>#REF!</v>
      </c>
      <c r="Z333" t="e">
        <f>AND(#REF!,"AAAAAD2v/hk=")</f>
        <v>#REF!</v>
      </c>
      <c r="AA333" t="e">
        <f>AND(#REF!,"AAAAAD2v/ho=")</f>
        <v>#REF!</v>
      </c>
      <c r="AB333" t="e">
        <f>AND(#REF!,"AAAAAD2v/hs=")</f>
        <v>#REF!</v>
      </c>
      <c r="AC333" t="e">
        <f>AND(#REF!,"AAAAAD2v/hw=")</f>
        <v>#REF!</v>
      </c>
      <c r="AD333" t="e">
        <f>AND(#REF!,"AAAAAD2v/h0=")</f>
        <v>#REF!</v>
      </c>
      <c r="AE333" t="e">
        <f>AND(#REF!,"AAAAAD2v/h4=")</f>
        <v>#REF!</v>
      </c>
      <c r="AF333" t="e">
        <f>AND(#REF!,"AAAAAD2v/h8=")</f>
        <v>#REF!</v>
      </c>
      <c r="AG333" t="e">
        <f>AND(#REF!,"AAAAAD2v/iA=")</f>
        <v>#REF!</v>
      </c>
      <c r="AH333" t="e">
        <f>AND(#REF!,"AAAAAD2v/iE=")</f>
        <v>#REF!</v>
      </c>
      <c r="AI333" t="e">
        <f>AND(#REF!,"AAAAAD2v/iI=")</f>
        <v>#REF!</v>
      </c>
      <c r="AJ333" t="e">
        <f>AND(#REF!,"AAAAAD2v/iM=")</f>
        <v>#REF!</v>
      </c>
      <c r="AK333" t="e">
        <f>AND(#REF!,"AAAAAD2v/iQ=")</f>
        <v>#REF!</v>
      </c>
      <c r="AL333" t="e">
        <f>AND(#REF!,"AAAAAD2v/iU=")</f>
        <v>#REF!</v>
      </c>
      <c r="AM333" t="e">
        <f>AND(#REF!,"AAAAAD2v/iY=")</f>
        <v>#REF!</v>
      </c>
      <c r="AN333" t="e">
        <f>AND(#REF!,"AAAAAD2v/ic=")</f>
        <v>#REF!</v>
      </c>
      <c r="AO333" t="e">
        <f>AND(#REF!,"AAAAAD2v/ig=")</f>
        <v>#REF!</v>
      </c>
      <c r="AP333" t="e">
        <f>AND(#REF!,"AAAAAD2v/ik=")</f>
        <v>#REF!</v>
      </c>
      <c r="AQ333" t="e">
        <f>AND(#REF!,"AAAAAD2v/io=")</f>
        <v>#REF!</v>
      </c>
      <c r="AR333" t="e">
        <f>IF(#REF!,"AAAAAD2v/is=",0)</f>
        <v>#REF!</v>
      </c>
      <c r="AS333" t="e">
        <f>AND(#REF!,"AAAAAD2v/iw=")</f>
        <v>#REF!</v>
      </c>
      <c r="AT333" t="e">
        <f>AND(#REF!,"AAAAAD2v/i0=")</f>
        <v>#REF!</v>
      </c>
      <c r="AU333" t="e">
        <f>AND(#REF!,"AAAAAD2v/i4=")</f>
        <v>#REF!</v>
      </c>
      <c r="AV333" t="e">
        <f>AND(#REF!,"AAAAAD2v/i8=")</f>
        <v>#REF!</v>
      </c>
      <c r="AW333" t="e">
        <f>AND(#REF!,"AAAAAD2v/jA=")</f>
        <v>#REF!</v>
      </c>
      <c r="AX333" t="e">
        <f>AND(#REF!,"AAAAAD2v/jE=")</f>
        <v>#REF!</v>
      </c>
      <c r="AY333" t="e">
        <f>AND(#REF!,"AAAAAD2v/jI=")</f>
        <v>#REF!</v>
      </c>
      <c r="AZ333" t="e">
        <f>AND(#REF!,"AAAAAD2v/jM=")</f>
        <v>#REF!</v>
      </c>
      <c r="BA333" t="e">
        <f>AND(#REF!,"AAAAAD2v/jQ=")</f>
        <v>#REF!</v>
      </c>
      <c r="BB333" t="e">
        <f>AND(#REF!,"AAAAAD2v/jU=")</f>
        <v>#REF!</v>
      </c>
      <c r="BC333" t="e">
        <f>AND(#REF!,"AAAAAD2v/jY=")</f>
        <v>#REF!</v>
      </c>
      <c r="BD333" t="e">
        <f>AND(#REF!,"AAAAAD2v/jc=")</f>
        <v>#REF!</v>
      </c>
      <c r="BE333" t="e">
        <f>AND(#REF!,"AAAAAD2v/jg=")</f>
        <v>#REF!</v>
      </c>
      <c r="BF333" t="e">
        <f>AND(#REF!,"AAAAAD2v/jk=")</f>
        <v>#REF!</v>
      </c>
      <c r="BG333" t="e">
        <f>AND(#REF!,"AAAAAD2v/jo=")</f>
        <v>#REF!</v>
      </c>
      <c r="BH333" t="e">
        <f>AND(#REF!,"AAAAAD2v/js=")</f>
        <v>#REF!</v>
      </c>
      <c r="BI333" t="e">
        <f>AND(#REF!,"AAAAAD2v/jw=")</f>
        <v>#REF!</v>
      </c>
      <c r="BJ333" t="e">
        <f>AND(#REF!,"AAAAAD2v/j0=")</f>
        <v>#REF!</v>
      </c>
      <c r="BK333" t="e">
        <f>AND(#REF!,"AAAAAD2v/j4=")</f>
        <v>#REF!</v>
      </c>
      <c r="BL333" t="e">
        <f>AND(#REF!,"AAAAAD2v/j8=")</f>
        <v>#REF!</v>
      </c>
      <c r="BM333" t="e">
        <f>AND(#REF!,"AAAAAD2v/kA=")</f>
        <v>#REF!</v>
      </c>
      <c r="BN333" t="e">
        <f>AND(#REF!,"AAAAAD2v/kE=")</f>
        <v>#REF!</v>
      </c>
      <c r="BO333" t="e">
        <f>AND(#REF!,"AAAAAD2v/kI=")</f>
        <v>#REF!</v>
      </c>
      <c r="BP333" t="e">
        <f>AND(#REF!,"AAAAAD2v/kM=")</f>
        <v>#REF!</v>
      </c>
      <c r="BQ333" t="e">
        <f>IF(#REF!,"AAAAAD2v/kQ=",0)</f>
        <v>#REF!</v>
      </c>
      <c r="BR333" t="e">
        <f>AND(#REF!,"AAAAAD2v/kU=")</f>
        <v>#REF!</v>
      </c>
      <c r="BS333" t="e">
        <f>AND(#REF!,"AAAAAD2v/kY=")</f>
        <v>#REF!</v>
      </c>
      <c r="BT333" t="e">
        <f>AND(#REF!,"AAAAAD2v/kc=")</f>
        <v>#REF!</v>
      </c>
      <c r="BU333" t="e">
        <f>AND(#REF!,"AAAAAD2v/kg=")</f>
        <v>#REF!</v>
      </c>
      <c r="BV333" t="e">
        <f>AND(#REF!,"AAAAAD2v/kk=")</f>
        <v>#REF!</v>
      </c>
      <c r="BW333" t="e">
        <f>AND(#REF!,"AAAAAD2v/ko=")</f>
        <v>#REF!</v>
      </c>
      <c r="BX333" t="e">
        <f>AND(#REF!,"AAAAAD2v/ks=")</f>
        <v>#REF!</v>
      </c>
      <c r="BY333" t="e">
        <f>AND(#REF!,"AAAAAD2v/kw=")</f>
        <v>#REF!</v>
      </c>
      <c r="BZ333" t="e">
        <f>AND(#REF!,"AAAAAD2v/k0=")</f>
        <v>#REF!</v>
      </c>
      <c r="CA333" t="e">
        <f>AND(#REF!,"AAAAAD2v/k4=")</f>
        <v>#REF!</v>
      </c>
      <c r="CB333" t="e">
        <f>AND(#REF!,"AAAAAD2v/k8=")</f>
        <v>#REF!</v>
      </c>
      <c r="CC333" t="e">
        <f>AND(#REF!,"AAAAAD2v/lA=")</f>
        <v>#REF!</v>
      </c>
      <c r="CD333" t="e">
        <f>AND(#REF!,"AAAAAD2v/lE=")</f>
        <v>#REF!</v>
      </c>
      <c r="CE333" t="e">
        <f>AND(#REF!,"AAAAAD2v/lI=")</f>
        <v>#REF!</v>
      </c>
      <c r="CF333" t="e">
        <f>AND(#REF!,"AAAAAD2v/lM=")</f>
        <v>#REF!</v>
      </c>
      <c r="CG333" t="e">
        <f>AND(#REF!,"AAAAAD2v/lQ=")</f>
        <v>#REF!</v>
      </c>
      <c r="CH333" t="e">
        <f>AND(#REF!,"AAAAAD2v/lU=")</f>
        <v>#REF!</v>
      </c>
      <c r="CI333" t="e">
        <f>AND(#REF!,"AAAAAD2v/lY=")</f>
        <v>#REF!</v>
      </c>
      <c r="CJ333" t="e">
        <f>AND(#REF!,"AAAAAD2v/lc=")</f>
        <v>#REF!</v>
      </c>
      <c r="CK333" t="e">
        <f>AND(#REF!,"AAAAAD2v/lg=")</f>
        <v>#REF!</v>
      </c>
      <c r="CL333" t="e">
        <f>AND(#REF!,"AAAAAD2v/lk=")</f>
        <v>#REF!</v>
      </c>
      <c r="CM333" t="e">
        <f>AND(#REF!,"AAAAAD2v/lo=")</f>
        <v>#REF!</v>
      </c>
      <c r="CN333" t="e">
        <f>AND(#REF!,"AAAAAD2v/ls=")</f>
        <v>#REF!</v>
      </c>
      <c r="CO333" t="e">
        <f>AND(#REF!,"AAAAAD2v/lw=")</f>
        <v>#REF!</v>
      </c>
      <c r="CP333" t="e">
        <f>IF(#REF!,"AAAAAD2v/l0=",0)</f>
        <v>#REF!</v>
      </c>
      <c r="CQ333" t="e">
        <f>AND(#REF!,"AAAAAD2v/l4=")</f>
        <v>#REF!</v>
      </c>
      <c r="CR333" t="e">
        <f>AND(#REF!,"AAAAAD2v/l8=")</f>
        <v>#REF!</v>
      </c>
      <c r="CS333" t="e">
        <f>AND(#REF!,"AAAAAD2v/mA=")</f>
        <v>#REF!</v>
      </c>
      <c r="CT333" t="e">
        <f>AND(#REF!,"AAAAAD2v/mE=")</f>
        <v>#REF!</v>
      </c>
      <c r="CU333" t="e">
        <f>AND(#REF!,"AAAAAD2v/mI=")</f>
        <v>#REF!</v>
      </c>
      <c r="CV333" t="e">
        <f>AND(#REF!,"AAAAAD2v/mM=")</f>
        <v>#REF!</v>
      </c>
      <c r="CW333" t="e">
        <f>AND(#REF!,"AAAAAD2v/mQ=")</f>
        <v>#REF!</v>
      </c>
      <c r="CX333" t="e">
        <f>AND(#REF!,"AAAAAD2v/mU=")</f>
        <v>#REF!</v>
      </c>
      <c r="CY333" t="e">
        <f>AND(#REF!,"AAAAAD2v/mY=")</f>
        <v>#REF!</v>
      </c>
      <c r="CZ333" t="e">
        <f>AND(#REF!,"AAAAAD2v/mc=")</f>
        <v>#REF!</v>
      </c>
      <c r="DA333" t="e">
        <f>AND(#REF!,"AAAAAD2v/mg=")</f>
        <v>#REF!</v>
      </c>
      <c r="DB333" t="e">
        <f>AND(#REF!,"AAAAAD2v/mk=")</f>
        <v>#REF!</v>
      </c>
      <c r="DC333" t="e">
        <f>AND(#REF!,"AAAAAD2v/mo=")</f>
        <v>#REF!</v>
      </c>
      <c r="DD333" t="e">
        <f>AND(#REF!,"AAAAAD2v/ms=")</f>
        <v>#REF!</v>
      </c>
      <c r="DE333" t="e">
        <f>AND(#REF!,"AAAAAD2v/mw=")</f>
        <v>#REF!</v>
      </c>
      <c r="DF333" t="e">
        <f>AND(#REF!,"AAAAAD2v/m0=")</f>
        <v>#REF!</v>
      </c>
      <c r="DG333" t="e">
        <f>AND(#REF!,"AAAAAD2v/m4=")</f>
        <v>#REF!</v>
      </c>
      <c r="DH333" t="e">
        <f>AND(#REF!,"AAAAAD2v/m8=")</f>
        <v>#REF!</v>
      </c>
      <c r="DI333" t="e">
        <f>AND(#REF!,"AAAAAD2v/nA=")</f>
        <v>#REF!</v>
      </c>
      <c r="DJ333" t="e">
        <f>AND(#REF!,"AAAAAD2v/nE=")</f>
        <v>#REF!</v>
      </c>
      <c r="DK333" t="e">
        <f>AND(#REF!,"AAAAAD2v/nI=")</f>
        <v>#REF!</v>
      </c>
      <c r="DL333" t="e">
        <f>AND(#REF!,"AAAAAD2v/nM=")</f>
        <v>#REF!</v>
      </c>
      <c r="DM333" t="e">
        <f>AND(#REF!,"AAAAAD2v/nQ=")</f>
        <v>#REF!</v>
      </c>
      <c r="DN333" t="e">
        <f>AND(#REF!,"AAAAAD2v/nU=")</f>
        <v>#REF!</v>
      </c>
      <c r="DO333" t="e">
        <f>IF(#REF!,"AAAAAD2v/nY=",0)</f>
        <v>#REF!</v>
      </c>
      <c r="DP333" t="e">
        <f>AND(#REF!,"AAAAAD2v/nc=")</f>
        <v>#REF!</v>
      </c>
      <c r="DQ333" t="e">
        <f>AND(#REF!,"AAAAAD2v/ng=")</f>
        <v>#REF!</v>
      </c>
      <c r="DR333" t="e">
        <f>AND(#REF!,"AAAAAD2v/nk=")</f>
        <v>#REF!</v>
      </c>
      <c r="DS333" t="e">
        <f>AND(#REF!,"AAAAAD2v/no=")</f>
        <v>#REF!</v>
      </c>
      <c r="DT333" t="e">
        <f>AND(#REF!,"AAAAAD2v/ns=")</f>
        <v>#REF!</v>
      </c>
      <c r="DU333" t="e">
        <f>AND(#REF!,"AAAAAD2v/nw=")</f>
        <v>#REF!</v>
      </c>
      <c r="DV333" t="e">
        <f>AND(#REF!,"AAAAAD2v/n0=")</f>
        <v>#REF!</v>
      </c>
      <c r="DW333" t="e">
        <f>AND(#REF!,"AAAAAD2v/n4=")</f>
        <v>#REF!</v>
      </c>
      <c r="DX333" t="e">
        <f>AND(#REF!,"AAAAAD2v/n8=")</f>
        <v>#REF!</v>
      </c>
      <c r="DY333" t="e">
        <f>AND(#REF!,"AAAAAD2v/oA=")</f>
        <v>#REF!</v>
      </c>
      <c r="DZ333" t="e">
        <f>AND(#REF!,"AAAAAD2v/oE=")</f>
        <v>#REF!</v>
      </c>
      <c r="EA333" t="e">
        <f>AND(#REF!,"AAAAAD2v/oI=")</f>
        <v>#REF!</v>
      </c>
      <c r="EB333" t="e">
        <f>AND(#REF!,"AAAAAD2v/oM=")</f>
        <v>#REF!</v>
      </c>
      <c r="EC333" t="e">
        <f>AND(#REF!,"AAAAAD2v/oQ=")</f>
        <v>#REF!</v>
      </c>
      <c r="ED333" t="e">
        <f>AND(#REF!,"AAAAAD2v/oU=")</f>
        <v>#REF!</v>
      </c>
      <c r="EE333" t="e">
        <f>AND(#REF!,"AAAAAD2v/oY=")</f>
        <v>#REF!</v>
      </c>
      <c r="EF333" t="e">
        <f>AND(#REF!,"AAAAAD2v/oc=")</f>
        <v>#REF!</v>
      </c>
      <c r="EG333" t="e">
        <f>AND(#REF!,"AAAAAD2v/og=")</f>
        <v>#REF!</v>
      </c>
      <c r="EH333" t="e">
        <f>AND(#REF!,"AAAAAD2v/ok=")</f>
        <v>#REF!</v>
      </c>
      <c r="EI333" t="e">
        <f>AND(#REF!,"AAAAAD2v/oo=")</f>
        <v>#REF!</v>
      </c>
      <c r="EJ333" t="e">
        <f>AND(#REF!,"AAAAAD2v/os=")</f>
        <v>#REF!</v>
      </c>
      <c r="EK333" t="e">
        <f>AND(#REF!,"AAAAAD2v/ow=")</f>
        <v>#REF!</v>
      </c>
      <c r="EL333" t="e">
        <f>AND(#REF!,"AAAAAD2v/o0=")</f>
        <v>#REF!</v>
      </c>
      <c r="EM333" t="e">
        <f>AND(#REF!,"AAAAAD2v/o4=")</f>
        <v>#REF!</v>
      </c>
      <c r="EN333" t="e">
        <f>IF(#REF!,"AAAAAD2v/o8=",0)</f>
        <v>#REF!</v>
      </c>
      <c r="EO333" t="e">
        <f>AND(#REF!,"AAAAAD2v/pA=")</f>
        <v>#REF!</v>
      </c>
      <c r="EP333" t="e">
        <f>AND(#REF!,"AAAAAD2v/pE=")</f>
        <v>#REF!</v>
      </c>
      <c r="EQ333" t="e">
        <f>AND(#REF!,"AAAAAD2v/pI=")</f>
        <v>#REF!</v>
      </c>
      <c r="ER333" t="e">
        <f>AND(#REF!,"AAAAAD2v/pM=")</f>
        <v>#REF!</v>
      </c>
      <c r="ES333" t="e">
        <f>AND(#REF!,"AAAAAD2v/pQ=")</f>
        <v>#REF!</v>
      </c>
      <c r="ET333" t="e">
        <f>AND(#REF!,"AAAAAD2v/pU=")</f>
        <v>#REF!</v>
      </c>
      <c r="EU333" t="e">
        <f>AND(#REF!,"AAAAAD2v/pY=")</f>
        <v>#REF!</v>
      </c>
      <c r="EV333" t="e">
        <f>AND(#REF!,"AAAAAD2v/pc=")</f>
        <v>#REF!</v>
      </c>
      <c r="EW333" t="e">
        <f>AND(#REF!,"AAAAAD2v/pg=")</f>
        <v>#REF!</v>
      </c>
      <c r="EX333" t="e">
        <f>AND(#REF!,"AAAAAD2v/pk=")</f>
        <v>#REF!</v>
      </c>
      <c r="EY333" t="e">
        <f>AND(#REF!,"AAAAAD2v/po=")</f>
        <v>#REF!</v>
      </c>
      <c r="EZ333" t="e">
        <f>AND(#REF!,"AAAAAD2v/ps=")</f>
        <v>#REF!</v>
      </c>
      <c r="FA333" t="e">
        <f>AND(#REF!,"AAAAAD2v/pw=")</f>
        <v>#REF!</v>
      </c>
      <c r="FB333" t="e">
        <f>AND(#REF!,"AAAAAD2v/p0=")</f>
        <v>#REF!</v>
      </c>
      <c r="FC333" t="e">
        <f>AND(#REF!,"AAAAAD2v/p4=")</f>
        <v>#REF!</v>
      </c>
      <c r="FD333" t="e">
        <f>AND(#REF!,"AAAAAD2v/p8=")</f>
        <v>#REF!</v>
      </c>
      <c r="FE333" t="e">
        <f>AND(#REF!,"AAAAAD2v/qA=")</f>
        <v>#REF!</v>
      </c>
      <c r="FF333" t="e">
        <f>AND(#REF!,"AAAAAD2v/qE=")</f>
        <v>#REF!</v>
      </c>
      <c r="FG333" t="e">
        <f>AND(#REF!,"AAAAAD2v/qI=")</f>
        <v>#REF!</v>
      </c>
      <c r="FH333" t="e">
        <f>AND(#REF!,"AAAAAD2v/qM=")</f>
        <v>#REF!</v>
      </c>
      <c r="FI333" t="e">
        <f>AND(#REF!,"AAAAAD2v/qQ=")</f>
        <v>#REF!</v>
      </c>
      <c r="FJ333" t="e">
        <f>AND(#REF!,"AAAAAD2v/qU=")</f>
        <v>#REF!</v>
      </c>
      <c r="FK333" t="e">
        <f>AND(#REF!,"AAAAAD2v/qY=")</f>
        <v>#REF!</v>
      </c>
      <c r="FL333" t="e">
        <f>AND(#REF!,"AAAAAD2v/qc=")</f>
        <v>#REF!</v>
      </c>
      <c r="FM333" t="e">
        <f>IF(#REF!,"AAAAAD2v/qg=",0)</f>
        <v>#REF!</v>
      </c>
      <c r="FN333" t="e">
        <f>AND(#REF!,"AAAAAD2v/qk=")</f>
        <v>#REF!</v>
      </c>
      <c r="FO333" t="e">
        <f>AND(#REF!,"AAAAAD2v/qo=")</f>
        <v>#REF!</v>
      </c>
      <c r="FP333" t="e">
        <f>AND(#REF!,"AAAAAD2v/qs=")</f>
        <v>#REF!</v>
      </c>
      <c r="FQ333" t="e">
        <f>AND(#REF!,"AAAAAD2v/qw=")</f>
        <v>#REF!</v>
      </c>
      <c r="FR333" t="e">
        <f>AND(#REF!,"AAAAAD2v/q0=")</f>
        <v>#REF!</v>
      </c>
      <c r="FS333" t="e">
        <f>AND(#REF!,"AAAAAD2v/q4=")</f>
        <v>#REF!</v>
      </c>
      <c r="FT333" t="e">
        <f>AND(#REF!,"AAAAAD2v/q8=")</f>
        <v>#REF!</v>
      </c>
      <c r="FU333" t="e">
        <f>AND(#REF!,"AAAAAD2v/rA=")</f>
        <v>#REF!</v>
      </c>
      <c r="FV333" t="e">
        <f>AND(#REF!,"AAAAAD2v/rE=")</f>
        <v>#REF!</v>
      </c>
      <c r="FW333" t="e">
        <f>AND(#REF!,"AAAAAD2v/rI=")</f>
        <v>#REF!</v>
      </c>
      <c r="FX333" t="e">
        <f>AND(#REF!,"AAAAAD2v/rM=")</f>
        <v>#REF!</v>
      </c>
      <c r="FY333" t="e">
        <f>AND(#REF!,"AAAAAD2v/rQ=")</f>
        <v>#REF!</v>
      </c>
      <c r="FZ333" t="e">
        <f>AND(#REF!,"AAAAAD2v/rU=")</f>
        <v>#REF!</v>
      </c>
      <c r="GA333" t="e">
        <f>AND(#REF!,"AAAAAD2v/rY=")</f>
        <v>#REF!</v>
      </c>
      <c r="GB333" t="e">
        <f>AND(#REF!,"AAAAAD2v/rc=")</f>
        <v>#REF!</v>
      </c>
      <c r="GC333" t="e">
        <f>AND(#REF!,"AAAAAD2v/rg=")</f>
        <v>#REF!</v>
      </c>
      <c r="GD333" t="e">
        <f>AND(#REF!,"AAAAAD2v/rk=")</f>
        <v>#REF!</v>
      </c>
      <c r="GE333" t="e">
        <f>AND(#REF!,"AAAAAD2v/ro=")</f>
        <v>#REF!</v>
      </c>
      <c r="GF333" t="e">
        <f>AND(#REF!,"AAAAAD2v/rs=")</f>
        <v>#REF!</v>
      </c>
      <c r="GG333" t="e">
        <f>AND(#REF!,"AAAAAD2v/rw=")</f>
        <v>#REF!</v>
      </c>
      <c r="GH333" t="e">
        <f>AND(#REF!,"AAAAAD2v/r0=")</f>
        <v>#REF!</v>
      </c>
      <c r="GI333" t="e">
        <f>AND(#REF!,"AAAAAD2v/r4=")</f>
        <v>#REF!</v>
      </c>
      <c r="GJ333" t="e">
        <f>AND(#REF!,"AAAAAD2v/r8=")</f>
        <v>#REF!</v>
      </c>
      <c r="GK333" t="e">
        <f>AND(#REF!,"AAAAAD2v/sA=")</f>
        <v>#REF!</v>
      </c>
      <c r="GL333" t="e">
        <f>IF(#REF!,"AAAAAD2v/sE=",0)</f>
        <v>#REF!</v>
      </c>
      <c r="GM333" t="e">
        <f>AND(#REF!,"AAAAAD2v/sI=")</f>
        <v>#REF!</v>
      </c>
      <c r="GN333" t="e">
        <f>AND(#REF!,"AAAAAD2v/sM=")</f>
        <v>#REF!</v>
      </c>
      <c r="GO333" t="e">
        <f>AND(#REF!,"AAAAAD2v/sQ=")</f>
        <v>#REF!</v>
      </c>
      <c r="GP333" t="e">
        <f>AND(#REF!,"AAAAAD2v/sU=")</f>
        <v>#REF!</v>
      </c>
      <c r="GQ333" t="e">
        <f>AND(#REF!,"AAAAAD2v/sY=")</f>
        <v>#REF!</v>
      </c>
      <c r="GR333" t="e">
        <f>AND(#REF!,"AAAAAD2v/sc=")</f>
        <v>#REF!</v>
      </c>
      <c r="GS333" t="e">
        <f>AND(#REF!,"AAAAAD2v/sg=")</f>
        <v>#REF!</v>
      </c>
      <c r="GT333" t="e">
        <f>AND(#REF!,"AAAAAD2v/sk=")</f>
        <v>#REF!</v>
      </c>
      <c r="GU333" t="e">
        <f>AND(#REF!,"AAAAAD2v/so=")</f>
        <v>#REF!</v>
      </c>
      <c r="GV333" t="e">
        <f>AND(#REF!,"AAAAAD2v/ss=")</f>
        <v>#REF!</v>
      </c>
      <c r="GW333" t="e">
        <f>AND(#REF!,"AAAAAD2v/sw=")</f>
        <v>#REF!</v>
      </c>
      <c r="GX333" t="e">
        <f>AND(#REF!,"AAAAAD2v/s0=")</f>
        <v>#REF!</v>
      </c>
      <c r="GY333" t="e">
        <f>AND(#REF!,"AAAAAD2v/s4=")</f>
        <v>#REF!</v>
      </c>
      <c r="GZ333" t="e">
        <f>AND(#REF!,"AAAAAD2v/s8=")</f>
        <v>#REF!</v>
      </c>
      <c r="HA333" t="e">
        <f>AND(#REF!,"AAAAAD2v/tA=")</f>
        <v>#REF!</v>
      </c>
      <c r="HB333" t="e">
        <f>AND(#REF!,"AAAAAD2v/tE=")</f>
        <v>#REF!</v>
      </c>
      <c r="HC333" t="e">
        <f>AND(#REF!,"AAAAAD2v/tI=")</f>
        <v>#REF!</v>
      </c>
      <c r="HD333" t="e">
        <f>AND(#REF!,"AAAAAD2v/tM=")</f>
        <v>#REF!</v>
      </c>
      <c r="HE333" t="e">
        <f>AND(#REF!,"AAAAAD2v/tQ=")</f>
        <v>#REF!</v>
      </c>
      <c r="HF333" t="e">
        <f>AND(#REF!,"AAAAAD2v/tU=")</f>
        <v>#REF!</v>
      </c>
      <c r="HG333" t="e">
        <f>AND(#REF!,"AAAAAD2v/tY=")</f>
        <v>#REF!</v>
      </c>
      <c r="HH333" t="e">
        <f>AND(#REF!,"AAAAAD2v/tc=")</f>
        <v>#REF!</v>
      </c>
      <c r="HI333" t="e">
        <f>AND(#REF!,"AAAAAD2v/tg=")</f>
        <v>#REF!</v>
      </c>
      <c r="HJ333" t="e">
        <f>AND(#REF!,"AAAAAD2v/tk=")</f>
        <v>#REF!</v>
      </c>
      <c r="HK333" t="e">
        <f>IF(#REF!,"AAAAAD2v/to=",0)</f>
        <v>#REF!</v>
      </c>
      <c r="HL333" t="e">
        <f>AND(#REF!,"AAAAAD2v/ts=")</f>
        <v>#REF!</v>
      </c>
      <c r="HM333" t="e">
        <f>AND(#REF!,"AAAAAD2v/tw=")</f>
        <v>#REF!</v>
      </c>
      <c r="HN333" t="e">
        <f>AND(#REF!,"AAAAAD2v/t0=")</f>
        <v>#REF!</v>
      </c>
      <c r="HO333" t="e">
        <f>AND(#REF!,"AAAAAD2v/t4=")</f>
        <v>#REF!</v>
      </c>
      <c r="HP333" t="e">
        <f>AND(#REF!,"AAAAAD2v/t8=")</f>
        <v>#REF!</v>
      </c>
      <c r="HQ333" t="e">
        <f>AND(#REF!,"AAAAAD2v/uA=")</f>
        <v>#REF!</v>
      </c>
      <c r="HR333" t="e">
        <f>AND(#REF!,"AAAAAD2v/uE=")</f>
        <v>#REF!</v>
      </c>
      <c r="HS333" t="e">
        <f>AND(#REF!,"AAAAAD2v/uI=")</f>
        <v>#REF!</v>
      </c>
      <c r="HT333" t="e">
        <f>AND(#REF!,"AAAAAD2v/uM=")</f>
        <v>#REF!</v>
      </c>
      <c r="HU333" t="e">
        <f>AND(#REF!,"AAAAAD2v/uQ=")</f>
        <v>#REF!</v>
      </c>
      <c r="HV333" t="e">
        <f>AND(#REF!,"AAAAAD2v/uU=")</f>
        <v>#REF!</v>
      </c>
      <c r="HW333" t="e">
        <f>AND(#REF!,"AAAAAD2v/uY=")</f>
        <v>#REF!</v>
      </c>
      <c r="HX333" t="e">
        <f>AND(#REF!,"AAAAAD2v/uc=")</f>
        <v>#REF!</v>
      </c>
      <c r="HY333" t="e">
        <f>AND(#REF!,"AAAAAD2v/ug=")</f>
        <v>#REF!</v>
      </c>
      <c r="HZ333" t="e">
        <f>AND(#REF!,"AAAAAD2v/uk=")</f>
        <v>#REF!</v>
      </c>
      <c r="IA333" t="e">
        <f>AND(#REF!,"AAAAAD2v/uo=")</f>
        <v>#REF!</v>
      </c>
      <c r="IB333" t="e">
        <f>AND(#REF!,"AAAAAD2v/us=")</f>
        <v>#REF!</v>
      </c>
      <c r="IC333" t="e">
        <f>AND(#REF!,"AAAAAD2v/uw=")</f>
        <v>#REF!</v>
      </c>
      <c r="ID333" t="e">
        <f>AND(#REF!,"AAAAAD2v/u0=")</f>
        <v>#REF!</v>
      </c>
      <c r="IE333" t="e">
        <f>AND(#REF!,"AAAAAD2v/u4=")</f>
        <v>#REF!</v>
      </c>
      <c r="IF333" t="e">
        <f>AND(#REF!,"AAAAAD2v/u8=")</f>
        <v>#REF!</v>
      </c>
      <c r="IG333" t="e">
        <f>AND(#REF!,"AAAAAD2v/vA=")</f>
        <v>#REF!</v>
      </c>
      <c r="IH333" t="e">
        <f>AND(#REF!,"AAAAAD2v/vE=")</f>
        <v>#REF!</v>
      </c>
      <c r="II333" t="e">
        <f>AND(#REF!,"AAAAAD2v/vI=")</f>
        <v>#REF!</v>
      </c>
      <c r="IJ333" t="e">
        <f>IF(#REF!,"AAAAAD2v/vM=",0)</f>
        <v>#REF!</v>
      </c>
      <c r="IK333" t="e">
        <f>AND(#REF!,"AAAAAD2v/vQ=")</f>
        <v>#REF!</v>
      </c>
      <c r="IL333" t="e">
        <f>AND(#REF!,"AAAAAD2v/vU=")</f>
        <v>#REF!</v>
      </c>
      <c r="IM333" t="e">
        <f>AND(#REF!,"AAAAAD2v/vY=")</f>
        <v>#REF!</v>
      </c>
      <c r="IN333" t="e">
        <f>AND(#REF!,"AAAAAD2v/vc=")</f>
        <v>#REF!</v>
      </c>
      <c r="IO333" t="e">
        <f>AND(#REF!,"AAAAAD2v/vg=")</f>
        <v>#REF!</v>
      </c>
      <c r="IP333" t="e">
        <f>AND(#REF!,"AAAAAD2v/vk=")</f>
        <v>#REF!</v>
      </c>
      <c r="IQ333" t="e">
        <f>AND(#REF!,"AAAAAD2v/vo=")</f>
        <v>#REF!</v>
      </c>
      <c r="IR333" t="e">
        <f>AND(#REF!,"AAAAAD2v/vs=")</f>
        <v>#REF!</v>
      </c>
      <c r="IS333" t="e">
        <f>AND(#REF!,"AAAAAD2v/vw=")</f>
        <v>#REF!</v>
      </c>
      <c r="IT333" t="e">
        <f>AND(#REF!,"AAAAAD2v/v0=")</f>
        <v>#REF!</v>
      </c>
      <c r="IU333" t="e">
        <f>AND(#REF!,"AAAAAD2v/v4=")</f>
        <v>#REF!</v>
      </c>
      <c r="IV333" t="e">
        <f>AND(#REF!,"AAAAAD2v/v8=")</f>
        <v>#REF!</v>
      </c>
    </row>
    <row r="334" spans="1:256">
      <c r="A334" t="e">
        <f>AND(#REF!,"AAAAAFz9XQA=")</f>
        <v>#REF!</v>
      </c>
      <c r="B334" t="e">
        <f>AND(#REF!,"AAAAAFz9XQE=")</f>
        <v>#REF!</v>
      </c>
      <c r="C334" t="e">
        <f>AND(#REF!,"AAAAAFz9XQI=")</f>
        <v>#REF!</v>
      </c>
      <c r="D334" t="e">
        <f>AND(#REF!,"AAAAAFz9XQM=")</f>
        <v>#REF!</v>
      </c>
      <c r="E334" t="e">
        <f>AND(#REF!,"AAAAAFz9XQQ=")</f>
        <v>#REF!</v>
      </c>
      <c r="F334" t="e">
        <f>AND(#REF!,"AAAAAFz9XQU=")</f>
        <v>#REF!</v>
      </c>
      <c r="G334" t="e">
        <f>AND(#REF!,"AAAAAFz9XQY=")</f>
        <v>#REF!</v>
      </c>
      <c r="H334" t="e">
        <f>AND(#REF!,"AAAAAFz9XQc=")</f>
        <v>#REF!</v>
      </c>
      <c r="I334" t="e">
        <f>AND(#REF!,"AAAAAFz9XQg=")</f>
        <v>#REF!</v>
      </c>
      <c r="J334" t="e">
        <f>AND(#REF!,"AAAAAFz9XQk=")</f>
        <v>#REF!</v>
      </c>
      <c r="K334" t="e">
        <f>AND(#REF!,"AAAAAFz9XQo=")</f>
        <v>#REF!</v>
      </c>
      <c r="L334" t="e">
        <f>AND(#REF!,"AAAAAFz9XQs=")</f>
        <v>#REF!</v>
      </c>
      <c r="M334" t="e">
        <f>IF(#REF!,"AAAAAFz9XQw=",0)</f>
        <v>#REF!</v>
      </c>
      <c r="N334" t="e">
        <f>AND(#REF!,"AAAAAFz9XQ0=")</f>
        <v>#REF!</v>
      </c>
      <c r="O334" t="e">
        <f>AND(#REF!,"AAAAAFz9XQ4=")</f>
        <v>#REF!</v>
      </c>
      <c r="P334" t="e">
        <f>AND(#REF!,"AAAAAFz9XQ8=")</f>
        <v>#REF!</v>
      </c>
      <c r="Q334" t="e">
        <f>AND(#REF!,"AAAAAFz9XRA=")</f>
        <v>#REF!</v>
      </c>
      <c r="R334" t="e">
        <f>AND(#REF!,"AAAAAFz9XRE=")</f>
        <v>#REF!</v>
      </c>
      <c r="S334" t="e">
        <f>AND(#REF!,"AAAAAFz9XRI=")</f>
        <v>#REF!</v>
      </c>
      <c r="T334" t="e">
        <f>AND(#REF!,"AAAAAFz9XRM=")</f>
        <v>#REF!</v>
      </c>
      <c r="U334" t="e">
        <f>AND(#REF!,"AAAAAFz9XRQ=")</f>
        <v>#REF!</v>
      </c>
      <c r="V334" t="e">
        <f>AND(#REF!,"AAAAAFz9XRU=")</f>
        <v>#REF!</v>
      </c>
      <c r="W334" t="e">
        <f>AND(#REF!,"AAAAAFz9XRY=")</f>
        <v>#REF!</v>
      </c>
      <c r="X334" t="e">
        <f>AND(#REF!,"AAAAAFz9XRc=")</f>
        <v>#REF!</v>
      </c>
      <c r="Y334" t="e">
        <f>AND(#REF!,"AAAAAFz9XRg=")</f>
        <v>#REF!</v>
      </c>
      <c r="Z334" t="e">
        <f>AND(#REF!,"AAAAAFz9XRk=")</f>
        <v>#REF!</v>
      </c>
      <c r="AA334" t="e">
        <f>AND(#REF!,"AAAAAFz9XRo=")</f>
        <v>#REF!</v>
      </c>
      <c r="AB334" t="e">
        <f>AND(#REF!,"AAAAAFz9XRs=")</f>
        <v>#REF!</v>
      </c>
      <c r="AC334" t="e">
        <f>AND(#REF!,"AAAAAFz9XRw=")</f>
        <v>#REF!</v>
      </c>
      <c r="AD334" t="e">
        <f>AND(#REF!,"AAAAAFz9XR0=")</f>
        <v>#REF!</v>
      </c>
      <c r="AE334" t="e">
        <f>AND(#REF!,"AAAAAFz9XR4=")</f>
        <v>#REF!</v>
      </c>
      <c r="AF334" t="e">
        <f>AND(#REF!,"AAAAAFz9XR8=")</f>
        <v>#REF!</v>
      </c>
      <c r="AG334" t="e">
        <f>AND(#REF!,"AAAAAFz9XSA=")</f>
        <v>#REF!</v>
      </c>
      <c r="AH334" t="e">
        <f>AND(#REF!,"AAAAAFz9XSE=")</f>
        <v>#REF!</v>
      </c>
      <c r="AI334" t="e">
        <f>AND(#REF!,"AAAAAFz9XSI=")</f>
        <v>#REF!</v>
      </c>
      <c r="AJ334" t="e">
        <f>AND(#REF!,"AAAAAFz9XSM=")</f>
        <v>#REF!</v>
      </c>
      <c r="AK334" t="e">
        <f>AND(#REF!,"AAAAAFz9XSQ=")</f>
        <v>#REF!</v>
      </c>
      <c r="AL334" t="e">
        <f>IF(#REF!,"AAAAAFz9XSU=",0)</f>
        <v>#REF!</v>
      </c>
      <c r="AM334" t="e">
        <f>AND(#REF!,"AAAAAFz9XSY=")</f>
        <v>#REF!</v>
      </c>
      <c r="AN334" t="e">
        <f>AND(#REF!,"AAAAAFz9XSc=")</f>
        <v>#REF!</v>
      </c>
      <c r="AO334" t="e">
        <f>AND(#REF!,"AAAAAFz9XSg=")</f>
        <v>#REF!</v>
      </c>
      <c r="AP334" t="e">
        <f>AND(#REF!,"AAAAAFz9XSk=")</f>
        <v>#REF!</v>
      </c>
      <c r="AQ334" t="e">
        <f>AND(#REF!,"AAAAAFz9XSo=")</f>
        <v>#REF!</v>
      </c>
      <c r="AR334" t="e">
        <f>AND(#REF!,"AAAAAFz9XSs=")</f>
        <v>#REF!</v>
      </c>
      <c r="AS334" t="e">
        <f>AND(#REF!,"AAAAAFz9XSw=")</f>
        <v>#REF!</v>
      </c>
      <c r="AT334" t="e">
        <f>AND(#REF!,"AAAAAFz9XS0=")</f>
        <v>#REF!</v>
      </c>
      <c r="AU334" t="e">
        <f>AND(#REF!,"AAAAAFz9XS4=")</f>
        <v>#REF!</v>
      </c>
      <c r="AV334" t="e">
        <f>AND(#REF!,"AAAAAFz9XS8=")</f>
        <v>#REF!</v>
      </c>
      <c r="AW334" t="e">
        <f>AND(#REF!,"AAAAAFz9XTA=")</f>
        <v>#REF!</v>
      </c>
      <c r="AX334" t="e">
        <f>AND(#REF!,"AAAAAFz9XTE=")</f>
        <v>#REF!</v>
      </c>
      <c r="AY334" t="e">
        <f>AND(#REF!,"AAAAAFz9XTI=")</f>
        <v>#REF!</v>
      </c>
      <c r="AZ334" t="e">
        <f>AND(#REF!,"AAAAAFz9XTM=")</f>
        <v>#REF!</v>
      </c>
      <c r="BA334" t="e">
        <f>AND(#REF!,"AAAAAFz9XTQ=")</f>
        <v>#REF!</v>
      </c>
      <c r="BB334" t="e">
        <f>AND(#REF!,"AAAAAFz9XTU=")</f>
        <v>#REF!</v>
      </c>
      <c r="BC334" t="e">
        <f>AND(#REF!,"AAAAAFz9XTY=")</f>
        <v>#REF!</v>
      </c>
      <c r="BD334" t="e">
        <f>AND(#REF!,"AAAAAFz9XTc=")</f>
        <v>#REF!</v>
      </c>
      <c r="BE334" t="e">
        <f>AND(#REF!,"AAAAAFz9XTg=")</f>
        <v>#REF!</v>
      </c>
      <c r="BF334" t="e">
        <f>AND(#REF!,"AAAAAFz9XTk=")</f>
        <v>#REF!</v>
      </c>
      <c r="BG334" t="e">
        <f>AND(#REF!,"AAAAAFz9XTo=")</f>
        <v>#REF!</v>
      </c>
      <c r="BH334" t="e">
        <f>AND(#REF!,"AAAAAFz9XTs=")</f>
        <v>#REF!</v>
      </c>
      <c r="BI334" t="e">
        <f>AND(#REF!,"AAAAAFz9XTw=")</f>
        <v>#REF!</v>
      </c>
      <c r="BJ334" t="e">
        <f>AND(#REF!,"AAAAAFz9XT0=")</f>
        <v>#REF!</v>
      </c>
      <c r="BK334" t="e">
        <f>IF(#REF!,"AAAAAFz9XT4=",0)</f>
        <v>#REF!</v>
      </c>
      <c r="BL334" t="e">
        <f>AND(#REF!,"AAAAAFz9XT8=")</f>
        <v>#REF!</v>
      </c>
      <c r="BM334" t="e">
        <f>AND(#REF!,"AAAAAFz9XUA=")</f>
        <v>#REF!</v>
      </c>
      <c r="BN334" t="e">
        <f>AND(#REF!,"AAAAAFz9XUE=")</f>
        <v>#REF!</v>
      </c>
      <c r="BO334" t="e">
        <f>AND(#REF!,"AAAAAFz9XUI=")</f>
        <v>#REF!</v>
      </c>
      <c r="BP334" t="e">
        <f>AND(#REF!,"AAAAAFz9XUM=")</f>
        <v>#REF!</v>
      </c>
      <c r="BQ334" t="e">
        <f>AND(#REF!,"AAAAAFz9XUQ=")</f>
        <v>#REF!</v>
      </c>
      <c r="BR334" t="e">
        <f>AND(#REF!,"AAAAAFz9XUU=")</f>
        <v>#REF!</v>
      </c>
      <c r="BS334" t="e">
        <f>AND(#REF!,"AAAAAFz9XUY=")</f>
        <v>#REF!</v>
      </c>
      <c r="BT334" t="e">
        <f>AND(#REF!,"AAAAAFz9XUc=")</f>
        <v>#REF!</v>
      </c>
      <c r="BU334" t="e">
        <f>AND(#REF!,"AAAAAFz9XUg=")</f>
        <v>#REF!</v>
      </c>
      <c r="BV334" t="e">
        <f>AND(#REF!,"AAAAAFz9XUk=")</f>
        <v>#REF!</v>
      </c>
      <c r="BW334" t="e">
        <f>AND(#REF!,"AAAAAFz9XUo=")</f>
        <v>#REF!</v>
      </c>
      <c r="BX334" t="e">
        <f>AND(#REF!,"AAAAAFz9XUs=")</f>
        <v>#REF!</v>
      </c>
      <c r="BY334" t="e">
        <f>AND(#REF!,"AAAAAFz9XUw=")</f>
        <v>#REF!</v>
      </c>
      <c r="BZ334" t="e">
        <f>AND(#REF!,"AAAAAFz9XU0=")</f>
        <v>#REF!</v>
      </c>
      <c r="CA334" t="e">
        <f>AND(#REF!,"AAAAAFz9XU4=")</f>
        <v>#REF!</v>
      </c>
      <c r="CB334" t="e">
        <f>AND(#REF!,"AAAAAFz9XU8=")</f>
        <v>#REF!</v>
      </c>
      <c r="CC334" t="e">
        <f>AND(#REF!,"AAAAAFz9XVA=")</f>
        <v>#REF!</v>
      </c>
      <c r="CD334" t="e">
        <f>AND(#REF!,"AAAAAFz9XVE=")</f>
        <v>#REF!</v>
      </c>
      <c r="CE334" t="e">
        <f>AND(#REF!,"AAAAAFz9XVI=")</f>
        <v>#REF!</v>
      </c>
      <c r="CF334" t="e">
        <f>AND(#REF!,"AAAAAFz9XVM=")</f>
        <v>#REF!</v>
      </c>
      <c r="CG334" t="e">
        <f>AND(#REF!,"AAAAAFz9XVQ=")</f>
        <v>#REF!</v>
      </c>
      <c r="CH334" t="e">
        <f>AND(#REF!,"AAAAAFz9XVU=")</f>
        <v>#REF!</v>
      </c>
      <c r="CI334" t="e">
        <f>AND(#REF!,"AAAAAFz9XVY=")</f>
        <v>#REF!</v>
      </c>
      <c r="CJ334" t="e">
        <f>IF(#REF!,"AAAAAFz9XVc=",0)</f>
        <v>#REF!</v>
      </c>
      <c r="CK334" t="e">
        <f>AND(#REF!,"AAAAAFz9XVg=")</f>
        <v>#REF!</v>
      </c>
      <c r="CL334" t="e">
        <f>AND(#REF!,"AAAAAFz9XVk=")</f>
        <v>#REF!</v>
      </c>
      <c r="CM334" t="e">
        <f>AND(#REF!,"AAAAAFz9XVo=")</f>
        <v>#REF!</v>
      </c>
      <c r="CN334" t="e">
        <f>AND(#REF!,"AAAAAFz9XVs=")</f>
        <v>#REF!</v>
      </c>
      <c r="CO334" t="e">
        <f>AND(#REF!,"AAAAAFz9XVw=")</f>
        <v>#REF!</v>
      </c>
      <c r="CP334" t="e">
        <f>AND(#REF!,"AAAAAFz9XV0=")</f>
        <v>#REF!</v>
      </c>
      <c r="CQ334" t="e">
        <f>AND(#REF!,"AAAAAFz9XV4=")</f>
        <v>#REF!</v>
      </c>
      <c r="CR334" t="e">
        <f>AND(#REF!,"AAAAAFz9XV8=")</f>
        <v>#REF!</v>
      </c>
      <c r="CS334" t="e">
        <f>AND(#REF!,"AAAAAFz9XWA=")</f>
        <v>#REF!</v>
      </c>
      <c r="CT334" t="e">
        <f>AND(#REF!,"AAAAAFz9XWE=")</f>
        <v>#REF!</v>
      </c>
      <c r="CU334" t="e">
        <f>AND(#REF!,"AAAAAFz9XWI=")</f>
        <v>#REF!</v>
      </c>
      <c r="CV334" t="e">
        <f>AND(#REF!,"AAAAAFz9XWM=")</f>
        <v>#REF!</v>
      </c>
      <c r="CW334" t="e">
        <f>AND(#REF!,"AAAAAFz9XWQ=")</f>
        <v>#REF!</v>
      </c>
      <c r="CX334" t="e">
        <f>AND(#REF!,"AAAAAFz9XWU=")</f>
        <v>#REF!</v>
      </c>
      <c r="CY334" t="e">
        <f>AND(#REF!,"AAAAAFz9XWY=")</f>
        <v>#REF!</v>
      </c>
      <c r="CZ334" t="e">
        <f>AND(#REF!,"AAAAAFz9XWc=")</f>
        <v>#REF!</v>
      </c>
      <c r="DA334" t="e">
        <f>AND(#REF!,"AAAAAFz9XWg=")</f>
        <v>#REF!</v>
      </c>
      <c r="DB334" t="e">
        <f>AND(#REF!,"AAAAAFz9XWk=")</f>
        <v>#REF!</v>
      </c>
      <c r="DC334" t="e">
        <f>AND(#REF!,"AAAAAFz9XWo=")</f>
        <v>#REF!</v>
      </c>
      <c r="DD334" t="e">
        <f>AND(#REF!,"AAAAAFz9XWs=")</f>
        <v>#REF!</v>
      </c>
      <c r="DE334" t="e">
        <f>AND(#REF!,"AAAAAFz9XWw=")</f>
        <v>#REF!</v>
      </c>
      <c r="DF334" t="e">
        <f>AND(#REF!,"AAAAAFz9XW0=")</f>
        <v>#REF!</v>
      </c>
      <c r="DG334" t="e">
        <f>AND(#REF!,"AAAAAFz9XW4=")</f>
        <v>#REF!</v>
      </c>
      <c r="DH334" t="e">
        <f>AND(#REF!,"AAAAAFz9XW8=")</f>
        <v>#REF!</v>
      </c>
      <c r="DI334" t="e">
        <f>IF(#REF!,"AAAAAFz9XXA=",0)</f>
        <v>#REF!</v>
      </c>
      <c r="DJ334" t="e">
        <f>AND(#REF!,"AAAAAFz9XXE=")</f>
        <v>#REF!</v>
      </c>
      <c r="DK334" t="e">
        <f>AND(#REF!,"AAAAAFz9XXI=")</f>
        <v>#REF!</v>
      </c>
      <c r="DL334" t="e">
        <f>AND(#REF!,"AAAAAFz9XXM=")</f>
        <v>#REF!</v>
      </c>
      <c r="DM334" t="e">
        <f>AND(#REF!,"AAAAAFz9XXQ=")</f>
        <v>#REF!</v>
      </c>
      <c r="DN334" t="e">
        <f>AND(#REF!,"AAAAAFz9XXU=")</f>
        <v>#REF!</v>
      </c>
      <c r="DO334" t="e">
        <f>AND(#REF!,"AAAAAFz9XXY=")</f>
        <v>#REF!</v>
      </c>
      <c r="DP334" t="e">
        <f>AND(#REF!,"AAAAAFz9XXc=")</f>
        <v>#REF!</v>
      </c>
      <c r="DQ334" t="e">
        <f>AND(#REF!,"AAAAAFz9XXg=")</f>
        <v>#REF!</v>
      </c>
      <c r="DR334" t="e">
        <f>AND(#REF!,"AAAAAFz9XXk=")</f>
        <v>#REF!</v>
      </c>
      <c r="DS334" t="e">
        <f>AND(#REF!,"AAAAAFz9XXo=")</f>
        <v>#REF!</v>
      </c>
      <c r="DT334" t="e">
        <f>AND(#REF!,"AAAAAFz9XXs=")</f>
        <v>#REF!</v>
      </c>
      <c r="DU334" t="e">
        <f>AND(#REF!,"AAAAAFz9XXw=")</f>
        <v>#REF!</v>
      </c>
      <c r="DV334" t="e">
        <f>AND(#REF!,"AAAAAFz9XX0=")</f>
        <v>#REF!</v>
      </c>
      <c r="DW334" t="e">
        <f>AND(#REF!,"AAAAAFz9XX4=")</f>
        <v>#REF!</v>
      </c>
      <c r="DX334" t="e">
        <f>AND(#REF!,"AAAAAFz9XX8=")</f>
        <v>#REF!</v>
      </c>
      <c r="DY334" t="e">
        <f>AND(#REF!,"AAAAAFz9XYA=")</f>
        <v>#REF!</v>
      </c>
      <c r="DZ334" t="e">
        <f>AND(#REF!,"AAAAAFz9XYE=")</f>
        <v>#REF!</v>
      </c>
      <c r="EA334" t="e">
        <f>AND(#REF!,"AAAAAFz9XYI=")</f>
        <v>#REF!</v>
      </c>
      <c r="EB334" t="e">
        <f>AND(#REF!,"AAAAAFz9XYM=")</f>
        <v>#REF!</v>
      </c>
      <c r="EC334" t="e">
        <f>AND(#REF!,"AAAAAFz9XYQ=")</f>
        <v>#REF!</v>
      </c>
      <c r="ED334" t="e">
        <f>AND(#REF!,"AAAAAFz9XYU=")</f>
        <v>#REF!</v>
      </c>
      <c r="EE334" t="e">
        <f>AND(#REF!,"AAAAAFz9XYY=")</f>
        <v>#REF!</v>
      </c>
      <c r="EF334" t="e">
        <f>AND(#REF!,"AAAAAFz9XYc=")</f>
        <v>#REF!</v>
      </c>
      <c r="EG334" t="e">
        <f>AND(#REF!,"AAAAAFz9XYg=")</f>
        <v>#REF!</v>
      </c>
      <c r="EH334" t="e">
        <f>IF(#REF!,"AAAAAFz9XYk=",0)</f>
        <v>#REF!</v>
      </c>
      <c r="EI334" t="e">
        <f>AND(#REF!,"AAAAAFz9XYo=")</f>
        <v>#REF!</v>
      </c>
      <c r="EJ334" t="e">
        <f>AND(#REF!,"AAAAAFz9XYs=")</f>
        <v>#REF!</v>
      </c>
      <c r="EK334" t="e">
        <f>AND(#REF!,"AAAAAFz9XYw=")</f>
        <v>#REF!</v>
      </c>
      <c r="EL334" t="e">
        <f>AND(#REF!,"AAAAAFz9XY0=")</f>
        <v>#REF!</v>
      </c>
      <c r="EM334" t="e">
        <f>AND(#REF!,"AAAAAFz9XY4=")</f>
        <v>#REF!</v>
      </c>
      <c r="EN334" t="e">
        <f>AND(#REF!,"AAAAAFz9XY8=")</f>
        <v>#REF!</v>
      </c>
      <c r="EO334" t="e">
        <f>AND(#REF!,"AAAAAFz9XZA=")</f>
        <v>#REF!</v>
      </c>
      <c r="EP334" t="e">
        <f>AND(#REF!,"AAAAAFz9XZE=")</f>
        <v>#REF!</v>
      </c>
      <c r="EQ334" t="e">
        <f>AND(#REF!,"AAAAAFz9XZI=")</f>
        <v>#REF!</v>
      </c>
      <c r="ER334" t="e">
        <f>AND(#REF!,"AAAAAFz9XZM=")</f>
        <v>#REF!</v>
      </c>
      <c r="ES334" t="e">
        <f>AND(#REF!,"AAAAAFz9XZQ=")</f>
        <v>#REF!</v>
      </c>
      <c r="ET334" t="e">
        <f>AND(#REF!,"AAAAAFz9XZU=")</f>
        <v>#REF!</v>
      </c>
      <c r="EU334" t="e">
        <f>AND(#REF!,"AAAAAFz9XZY=")</f>
        <v>#REF!</v>
      </c>
      <c r="EV334" t="e">
        <f>AND(#REF!,"AAAAAFz9XZc=")</f>
        <v>#REF!</v>
      </c>
      <c r="EW334" t="e">
        <f>AND(#REF!,"AAAAAFz9XZg=")</f>
        <v>#REF!</v>
      </c>
      <c r="EX334" t="e">
        <f>AND(#REF!,"AAAAAFz9XZk=")</f>
        <v>#REF!</v>
      </c>
      <c r="EY334" t="e">
        <f>AND(#REF!,"AAAAAFz9XZo=")</f>
        <v>#REF!</v>
      </c>
      <c r="EZ334" t="e">
        <f>AND(#REF!,"AAAAAFz9XZs=")</f>
        <v>#REF!</v>
      </c>
      <c r="FA334" t="e">
        <f>AND(#REF!,"AAAAAFz9XZw=")</f>
        <v>#REF!</v>
      </c>
      <c r="FB334" t="e">
        <f>AND(#REF!,"AAAAAFz9XZ0=")</f>
        <v>#REF!</v>
      </c>
      <c r="FC334" t="e">
        <f>AND(#REF!,"AAAAAFz9XZ4=")</f>
        <v>#REF!</v>
      </c>
      <c r="FD334" t="e">
        <f>AND(#REF!,"AAAAAFz9XZ8=")</f>
        <v>#REF!</v>
      </c>
      <c r="FE334" t="e">
        <f>AND(#REF!,"AAAAAFz9XaA=")</f>
        <v>#REF!</v>
      </c>
      <c r="FF334" t="e">
        <f>AND(#REF!,"AAAAAFz9XaE=")</f>
        <v>#REF!</v>
      </c>
      <c r="FG334" t="e">
        <f>IF(#REF!,"AAAAAFz9XaI=",0)</f>
        <v>#REF!</v>
      </c>
      <c r="FH334" t="e">
        <f>AND(#REF!,"AAAAAFz9XaM=")</f>
        <v>#REF!</v>
      </c>
      <c r="FI334" t="e">
        <f>AND(#REF!,"AAAAAFz9XaQ=")</f>
        <v>#REF!</v>
      </c>
      <c r="FJ334" t="e">
        <f>AND(#REF!,"AAAAAFz9XaU=")</f>
        <v>#REF!</v>
      </c>
      <c r="FK334" t="e">
        <f>AND(#REF!,"AAAAAFz9XaY=")</f>
        <v>#REF!</v>
      </c>
      <c r="FL334" t="e">
        <f>AND(#REF!,"AAAAAFz9Xac=")</f>
        <v>#REF!</v>
      </c>
      <c r="FM334" t="e">
        <f>AND(#REF!,"AAAAAFz9Xag=")</f>
        <v>#REF!</v>
      </c>
      <c r="FN334" t="e">
        <f>AND(#REF!,"AAAAAFz9Xak=")</f>
        <v>#REF!</v>
      </c>
      <c r="FO334" t="e">
        <f>AND(#REF!,"AAAAAFz9Xao=")</f>
        <v>#REF!</v>
      </c>
      <c r="FP334" t="e">
        <f>AND(#REF!,"AAAAAFz9Xas=")</f>
        <v>#REF!</v>
      </c>
      <c r="FQ334" t="e">
        <f>AND(#REF!,"AAAAAFz9Xaw=")</f>
        <v>#REF!</v>
      </c>
      <c r="FR334" t="e">
        <f>AND(#REF!,"AAAAAFz9Xa0=")</f>
        <v>#REF!</v>
      </c>
      <c r="FS334" t="e">
        <f>AND(#REF!,"AAAAAFz9Xa4=")</f>
        <v>#REF!</v>
      </c>
      <c r="FT334" t="e">
        <f>AND(#REF!,"AAAAAFz9Xa8=")</f>
        <v>#REF!</v>
      </c>
      <c r="FU334" t="e">
        <f>AND(#REF!,"AAAAAFz9XbA=")</f>
        <v>#REF!</v>
      </c>
      <c r="FV334" t="e">
        <f>AND(#REF!,"AAAAAFz9XbE=")</f>
        <v>#REF!</v>
      </c>
      <c r="FW334" t="e">
        <f>AND(#REF!,"AAAAAFz9XbI=")</f>
        <v>#REF!</v>
      </c>
      <c r="FX334" t="e">
        <f>AND(#REF!,"AAAAAFz9XbM=")</f>
        <v>#REF!</v>
      </c>
      <c r="FY334" t="e">
        <f>AND(#REF!,"AAAAAFz9XbQ=")</f>
        <v>#REF!</v>
      </c>
      <c r="FZ334" t="e">
        <f>AND(#REF!,"AAAAAFz9XbU=")</f>
        <v>#REF!</v>
      </c>
      <c r="GA334" t="e">
        <f>AND(#REF!,"AAAAAFz9XbY=")</f>
        <v>#REF!</v>
      </c>
      <c r="GB334" t="e">
        <f>AND(#REF!,"AAAAAFz9Xbc=")</f>
        <v>#REF!</v>
      </c>
      <c r="GC334" t="e">
        <f>AND(#REF!,"AAAAAFz9Xbg=")</f>
        <v>#REF!</v>
      </c>
      <c r="GD334" t="e">
        <f>AND(#REF!,"AAAAAFz9Xbk=")</f>
        <v>#REF!</v>
      </c>
      <c r="GE334" t="e">
        <f>AND(#REF!,"AAAAAFz9Xbo=")</f>
        <v>#REF!</v>
      </c>
      <c r="GF334" t="e">
        <f>IF(#REF!,"AAAAAFz9Xbs=",0)</f>
        <v>#REF!</v>
      </c>
      <c r="GG334" t="e">
        <f>AND(#REF!,"AAAAAFz9Xbw=")</f>
        <v>#REF!</v>
      </c>
      <c r="GH334" t="e">
        <f>AND(#REF!,"AAAAAFz9Xb0=")</f>
        <v>#REF!</v>
      </c>
      <c r="GI334" t="e">
        <f>AND(#REF!,"AAAAAFz9Xb4=")</f>
        <v>#REF!</v>
      </c>
      <c r="GJ334" t="e">
        <f>AND(#REF!,"AAAAAFz9Xb8=")</f>
        <v>#REF!</v>
      </c>
      <c r="GK334" t="e">
        <f>AND(#REF!,"AAAAAFz9XcA=")</f>
        <v>#REF!</v>
      </c>
      <c r="GL334" t="e">
        <f>AND(#REF!,"AAAAAFz9XcE=")</f>
        <v>#REF!</v>
      </c>
      <c r="GM334" t="e">
        <f>AND(#REF!,"AAAAAFz9XcI=")</f>
        <v>#REF!</v>
      </c>
      <c r="GN334" t="e">
        <f>AND(#REF!,"AAAAAFz9XcM=")</f>
        <v>#REF!</v>
      </c>
      <c r="GO334" t="e">
        <f>AND(#REF!,"AAAAAFz9XcQ=")</f>
        <v>#REF!</v>
      </c>
      <c r="GP334" t="e">
        <f>AND(#REF!,"AAAAAFz9XcU=")</f>
        <v>#REF!</v>
      </c>
      <c r="GQ334" t="e">
        <f>AND(#REF!,"AAAAAFz9XcY=")</f>
        <v>#REF!</v>
      </c>
      <c r="GR334" t="e">
        <f>AND(#REF!,"AAAAAFz9Xcc=")</f>
        <v>#REF!</v>
      </c>
      <c r="GS334" t="e">
        <f>AND(#REF!,"AAAAAFz9Xcg=")</f>
        <v>#REF!</v>
      </c>
      <c r="GT334" t="e">
        <f>AND(#REF!,"AAAAAFz9Xck=")</f>
        <v>#REF!</v>
      </c>
      <c r="GU334" t="e">
        <f>AND(#REF!,"AAAAAFz9Xco=")</f>
        <v>#REF!</v>
      </c>
      <c r="GV334" t="e">
        <f>AND(#REF!,"AAAAAFz9Xcs=")</f>
        <v>#REF!</v>
      </c>
      <c r="GW334" t="e">
        <f>AND(#REF!,"AAAAAFz9Xcw=")</f>
        <v>#REF!</v>
      </c>
      <c r="GX334" t="e">
        <f>AND(#REF!,"AAAAAFz9Xc0=")</f>
        <v>#REF!</v>
      </c>
      <c r="GY334" t="e">
        <f>AND(#REF!,"AAAAAFz9Xc4=")</f>
        <v>#REF!</v>
      </c>
      <c r="GZ334" t="e">
        <f>AND(#REF!,"AAAAAFz9Xc8=")</f>
        <v>#REF!</v>
      </c>
      <c r="HA334" t="e">
        <f>AND(#REF!,"AAAAAFz9XdA=")</f>
        <v>#REF!</v>
      </c>
      <c r="HB334" t="e">
        <f>AND(#REF!,"AAAAAFz9XdE=")</f>
        <v>#REF!</v>
      </c>
      <c r="HC334" t="e">
        <f>AND(#REF!,"AAAAAFz9XdI=")</f>
        <v>#REF!</v>
      </c>
      <c r="HD334" t="e">
        <f>AND(#REF!,"AAAAAFz9XdM=")</f>
        <v>#REF!</v>
      </c>
      <c r="HE334" t="e">
        <f>IF(#REF!,"AAAAAFz9XdQ=",0)</f>
        <v>#REF!</v>
      </c>
      <c r="HF334" t="e">
        <f>AND(#REF!,"AAAAAFz9XdU=")</f>
        <v>#REF!</v>
      </c>
      <c r="HG334" t="e">
        <f>AND(#REF!,"AAAAAFz9XdY=")</f>
        <v>#REF!</v>
      </c>
      <c r="HH334" t="e">
        <f>AND(#REF!,"AAAAAFz9Xdc=")</f>
        <v>#REF!</v>
      </c>
      <c r="HI334" t="e">
        <f>AND(#REF!,"AAAAAFz9Xdg=")</f>
        <v>#REF!</v>
      </c>
      <c r="HJ334" t="e">
        <f>AND(#REF!,"AAAAAFz9Xdk=")</f>
        <v>#REF!</v>
      </c>
      <c r="HK334" t="e">
        <f>AND(#REF!,"AAAAAFz9Xdo=")</f>
        <v>#REF!</v>
      </c>
      <c r="HL334" t="e">
        <f>AND(#REF!,"AAAAAFz9Xds=")</f>
        <v>#REF!</v>
      </c>
      <c r="HM334" t="e">
        <f>AND(#REF!,"AAAAAFz9Xdw=")</f>
        <v>#REF!</v>
      </c>
      <c r="HN334" t="e">
        <f>AND(#REF!,"AAAAAFz9Xd0=")</f>
        <v>#REF!</v>
      </c>
      <c r="HO334" t="e">
        <f>AND(#REF!,"AAAAAFz9Xd4=")</f>
        <v>#REF!</v>
      </c>
      <c r="HP334" t="e">
        <f>AND(#REF!,"AAAAAFz9Xd8=")</f>
        <v>#REF!</v>
      </c>
      <c r="HQ334" t="e">
        <f>AND(#REF!,"AAAAAFz9XeA=")</f>
        <v>#REF!</v>
      </c>
      <c r="HR334" t="e">
        <f>AND(#REF!,"AAAAAFz9XeE=")</f>
        <v>#REF!</v>
      </c>
      <c r="HS334" t="e">
        <f>AND(#REF!,"AAAAAFz9XeI=")</f>
        <v>#REF!</v>
      </c>
      <c r="HT334" t="e">
        <f>AND(#REF!,"AAAAAFz9XeM=")</f>
        <v>#REF!</v>
      </c>
      <c r="HU334" t="e">
        <f>AND(#REF!,"AAAAAFz9XeQ=")</f>
        <v>#REF!</v>
      </c>
      <c r="HV334" t="e">
        <f>AND(#REF!,"AAAAAFz9XeU=")</f>
        <v>#REF!</v>
      </c>
      <c r="HW334" t="e">
        <f>AND(#REF!,"AAAAAFz9XeY=")</f>
        <v>#REF!</v>
      </c>
      <c r="HX334" t="e">
        <f>AND(#REF!,"AAAAAFz9Xec=")</f>
        <v>#REF!</v>
      </c>
      <c r="HY334" t="e">
        <f>AND(#REF!,"AAAAAFz9Xeg=")</f>
        <v>#REF!</v>
      </c>
      <c r="HZ334" t="e">
        <f>AND(#REF!,"AAAAAFz9Xek=")</f>
        <v>#REF!</v>
      </c>
      <c r="IA334" t="e">
        <f>AND(#REF!,"AAAAAFz9Xeo=")</f>
        <v>#REF!</v>
      </c>
      <c r="IB334" t="e">
        <f>AND(#REF!,"AAAAAFz9Xes=")</f>
        <v>#REF!</v>
      </c>
      <c r="IC334" t="e">
        <f>AND(#REF!,"AAAAAFz9Xew=")</f>
        <v>#REF!</v>
      </c>
      <c r="ID334" t="e">
        <f>IF(#REF!,"AAAAAFz9Xe0=",0)</f>
        <v>#REF!</v>
      </c>
      <c r="IE334" t="e">
        <f>AND(#REF!,"AAAAAFz9Xe4=")</f>
        <v>#REF!</v>
      </c>
      <c r="IF334" t="e">
        <f>AND(#REF!,"AAAAAFz9Xe8=")</f>
        <v>#REF!</v>
      </c>
      <c r="IG334" t="e">
        <f>AND(#REF!,"AAAAAFz9XfA=")</f>
        <v>#REF!</v>
      </c>
      <c r="IH334" t="e">
        <f>AND(#REF!,"AAAAAFz9XfE=")</f>
        <v>#REF!</v>
      </c>
      <c r="II334" t="e">
        <f>AND(#REF!,"AAAAAFz9XfI=")</f>
        <v>#REF!</v>
      </c>
      <c r="IJ334" t="e">
        <f>AND(#REF!,"AAAAAFz9XfM=")</f>
        <v>#REF!</v>
      </c>
      <c r="IK334" t="e">
        <f>AND(#REF!,"AAAAAFz9XfQ=")</f>
        <v>#REF!</v>
      </c>
      <c r="IL334" t="e">
        <f>AND(#REF!,"AAAAAFz9XfU=")</f>
        <v>#REF!</v>
      </c>
      <c r="IM334" t="e">
        <f>AND(#REF!,"AAAAAFz9XfY=")</f>
        <v>#REF!</v>
      </c>
      <c r="IN334" t="e">
        <f>AND(#REF!,"AAAAAFz9Xfc=")</f>
        <v>#REF!</v>
      </c>
      <c r="IO334" t="e">
        <f>AND(#REF!,"AAAAAFz9Xfg=")</f>
        <v>#REF!</v>
      </c>
      <c r="IP334" t="e">
        <f>AND(#REF!,"AAAAAFz9Xfk=")</f>
        <v>#REF!</v>
      </c>
      <c r="IQ334" t="e">
        <f>AND(#REF!,"AAAAAFz9Xfo=")</f>
        <v>#REF!</v>
      </c>
      <c r="IR334" t="e">
        <f>AND(#REF!,"AAAAAFz9Xfs=")</f>
        <v>#REF!</v>
      </c>
      <c r="IS334" t="e">
        <f>AND(#REF!,"AAAAAFz9Xfw=")</f>
        <v>#REF!</v>
      </c>
      <c r="IT334" t="e">
        <f>AND(#REF!,"AAAAAFz9Xf0=")</f>
        <v>#REF!</v>
      </c>
      <c r="IU334" t="e">
        <f>AND(#REF!,"AAAAAFz9Xf4=")</f>
        <v>#REF!</v>
      </c>
      <c r="IV334" t="e">
        <f>AND(#REF!,"AAAAAFz9Xf8=")</f>
        <v>#REF!</v>
      </c>
    </row>
    <row r="335" spans="1:256">
      <c r="A335" t="e">
        <f>AND(#REF!,"AAAAAD/cvAA=")</f>
        <v>#REF!</v>
      </c>
      <c r="B335" t="e">
        <f>AND(#REF!,"AAAAAD/cvAE=")</f>
        <v>#REF!</v>
      </c>
      <c r="C335" t="e">
        <f>AND(#REF!,"AAAAAD/cvAI=")</f>
        <v>#REF!</v>
      </c>
      <c r="D335" t="e">
        <f>AND(#REF!,"AAAAAD/cvAM=")</f>
        <v>#REF!</v>
      </c>
      <c r="E335" t="e">
        <f>AND(#REF!,"AAAAAD/cvAQ=")</f>
        <v>#REF!</v>
      </c>
      <c r="F335" t="e">
        <f>AND(#REF!,"AAAAAD/cvAU=")</f>
        <v>#REF!</v>
      </c>
      <c r="G335" t="e">
        <f>IF(#REF!,"AAAAAD/cvAY=",0)</f>
        <v>#REF!</v>
      </c>
      <c r="H335" t="e">
        <f>AND(#REF!,"AAAAAD/cvAc=")</f>
        <v>#REF!</v>
      </c>
      <c r="I335" t="e">
        <f>AND(#REF!,"AAAAAD/cvAg=")</f>
        <v>#REF!</v>
      </c>
      <c r="J335" t="e">
        <f>AND(#REF!,"AAAAAD/cvAk=")</f>
        <v>#REF!</v>
      </c>
      <c r="K335" t="e">
        <f>AND(#REF!,"AAAAAD/cvAo=")</f>
        <v>#REF!</v>
      </c>
      <c r="L335" t="e">
        <f>AND(#REF!,"AAAAAD/cvAs=")</f>
        <v>#REF!</v>
      </c>
      <c r="M335" t="e">
        <f>AND(#REF!,"AAAAAD/cvAw=")</f>
        <v>#REF!</v>
      </c>
      <c r="N335" t="e">
        <f>AND(#REF!,"AAAAAD/cvA0=")</f>
        <v>#REF!</v>
      </c>
      <c r="O335" t="e">
        <f>AND(#REF!,"AAAAAD/cvA4=")</f>
        <v>#REF!</v>
      </c>
      <c r="P335" t="e">
        <f>AND(#REF!,"AAAAAD/cvA8=")</f>
        <v>#REF!</v>
      </c>
      <c r="Q335" t="e">
        <f>AND(#REF!,"AAAAAD/cvBA=")</f>
        <v>#REF!</v>
      </c>
      <c r="R335" t="e">
        <f>AND(#REF!,"AAAAAD/cvBE=")</f>
        <v>#REF!</v>
      </c>
      <c r="S335" t="e">
        <f>AND(#REF!,"AAAAAD/cvBI=")</f>
        <v>#REF!</v>
      </c>
      <c r="T335" t="e">
        <f>AND(#REF!,"AAAAAD/cvBM=")</f>
        <v>#REF!</v>
      </c>
      <c r="U335" t="e">
        <f>AND(#REF!,"AAAAAD/cvBQ=")</f>
        <v>#REF!</v>
      </c>
      <c r="V335" t="e">
        <f>AND(#REF!,"AAAAAD/cvBU=")</f>
        <v>#REF!</v>
      </c>
      <c r="W335" t="e">
        <f>AND(#REF!,"AAAAAD/cvBY=")</f>
        <v>#REF!</v>
      </c>
      <c r="X335" t="e">
        <f>AND(#REF!,"AAAAAD/cvBc=")</f>
        <v>#REF!</v>
      </c>
      <c r="Y335" t="e">
        <f>AND(#REF!,"AAAAAD/cvBg=")</f>
        <v>#REF!</v>
      </c>
      <c r="Z335" t="e">
        <f>AND(#REF!,"AAAAAD/cvBk=")</f>
        <v>#REF!</v>
      </c>
      <c r="AA335" t="e">
        <f>AND(#REF!,"AAAAAD/cvBo=")</f>
        <v>#REF!</v>
      </c>
      <c r="AB335" t="e">
        <f>AND(#REF!,"AAAAAD/cvBs=")</f>
        <v>#REF!</v>
      </c>
      <c r="AC335" t="e">
        <f>AND(#REF!,"AAAAAD/cvBw=")</f>
        <v>#REF!</v>
      </c>
      <c r="AD335" t="e">
        <f>AND(#REF!,"AAAAAD/cvB0=")</f>
        <v>#REF!</v>
      </c>
      <c r="AE335" t="e">
        <f>AND(#REF!,"AAAAAD/cvB4=")</f>
        <v>#REF!</v>
      </c>
      <c r="AF335" t="e">
        <f>IF(#REF!,"AAAAAD/cvB8=",0)</f>
        <v>#REF!</v>
      </c>
      <c r="AG335" t="e">
        <f>AND(#REF!,"AAAAAD/cvCA=")</f>
        <v>#REF!</v>
      </c>
      <c r="AH335" t="e">
        <f>AND(#REF!,"AAAAAD/cvCE=")</f>
        <v>#REF!</v>
      </c>
      <c r="AI335" t="e">
        <f>AND(#REF!,"AAAAAD/cvCI=")</f>
        <v>#REF!</v>
      </c>
      <c r="AJ335" t="e">
        <f>AND(#REF!,"AAAAAD/cvCM=")</f>
        <v>#REF!</v>
      </c>
      <c r="AK335" t="e">
        <f>AND(#REF!,"AAAAAD/cvCQ=")</f>
        <v>#REF!</v>
      </c>
      <c r="AL335" t="e">
        <f>AND(#REF!,"AAAAAD/cvCU=")</f>
        <v>#REF!</v>
      </c>
      <c r="AM335" t="e">
        <f>AND(#REF!,"AAAAAD/cvCY=")</f>
        <v>#REF!</v>
      </c>
      <c r="AN335" t="e">
        <f>AND(#REF!,"AAAAAD/cvCc=")</f>
        <v>#REF!</v>
      </c>
      <c r="AO335" t="e">
        <f>AND(#REF!,"AAAAAD/cvCg=")</f>
        <v>#REF!</v>
      </c>
      <c r="AP335" t="e">
        <f>AND(#REF!,"AAAAAD/cvCk=")</f>
        <v>#REF!</v>
      </c>
      <c r="AQ335" t="e">
        <f>AND(#REF!,"AAAAAD/cvCo=")</f>
        <v>#REF!</v>
      </c>
      <c r="AR335" t="e">
        <f>AND(#REF!,"AAAAAD/cvCs=")</f>
        <v>#REF!</v>
      </c>
      <c r="AS335" t="e">
        <f>AND(#REF!,"AAAAAD/cvCw=")</f>
        <v>#REF!</v>
      </c>
      <c r="AT335" t="e">
        <f>AND(#REF!,"AAAAAD/cvC0=")</f>
        <v>#REF!</v>
      </c>
      <c r="AU335" t="e">
        <f>AND(#REF!,"AAAAAD/cvC4=")</f>
        <v>#REF!</v>
      </c>
      <c r="AV335" t="e">
        <f>AND(#REF!,"AAAAAD/cvC8=")</f>
        <v>#REF!</v>
      </c>
      <c r="AW335" t="e">
        <f>AND(#REF!,"AAAAAD/cvDA=")</f>
        <v>#REF!</v>
      </c>
      <c r="AX335" t="e">
        <f>AND(#REF!,"AAAAAD/cvDE=")</f>
        <v>#REF!</v>
      </c>
      <c r="AY335" t="e">
        <f>AND(#REF!,"AAAAAD/cvDI=")</f>
        <v>#REF!</v>
      </c>
      <c r="AZ335" t="e">
        <f>AND(#REF!,"AAAAAD/cvDM=")</f>
        <v>#REF!</v>
      </c>
      <c r="BA335" t="e">
        <f>AND(#REF!,"AAAAAD/cvDQ=")</f>
        <v>#REF!</v>
      </c>
      <c r="BB335" t="e">
        <f>AND(#REF!,"AAAAAD/cvDU=")</f>
        <v>#REF!</v>
      </c>
      <c r="BC335" t="e">
        <f>AND(#REF!,"AAAAAD/cvDY=")</f>
        <v>#REF!</v>
      </c>
      <c r="BD335" t="e">
        <f>AND(#REF!,"AAAAAD/cvDc=")</f>
        <v>#REF!</v>
      </c>
      <c r="BE335" t="e">
        <f>IF(#REF!,"AAAAAD/cvDg=",0)</f>
        <v>#REF!</v>
      </c>
      <c r="BF335" t="e">
        <f>AND(#REF!,"AAAAAD/cvDk=")</f>
        <v>#REF!</v>
      </c>
      <c r="BG335" t="e">
        <f>AND(#REF!,"AAAAAD/cvDo=")</f>
        <v>#REF!</v>
      </c>
      <c r="BH335" t="e">
        <f>AND(#REF!,"AAAAAD/cvDs=")</f>
        <v>#REF!</v>
      </c>
      <c r="BI335" t="e">
        <f>AND(#REF!,"AAAAAD/cvDw=")</f>
        <v>#REF!</v>
      </c>
      <c r="BJ335" t="e">
        <f>AND(#REF!,"AAAAAD/cvD0=")</f>
        <v>#REF!</v>
      </c>
      <c r="BK335" t="e">
        <f>AND(#REF!,"AAAAAD/cvD4=")</f>
        <v>#REF!</v>
      </c>
      <c r="BL335" t="e">
        <f>AND(#REF!,"AAAAAD/cvD8=")</f>
        <v>#REF!</v>
      </c>
      <c r="BM335" t="e">
        <f>AND(#REF!,"AAAAAD/cvEA=")</f>
        <v>#REF!</v>
      </c>
      <c r="BN335" t="e">
        <f>AND(#REF!,"AAAAAD/cvEE=")</f>
        <v>#REF!</v>
      </c>
      <c r="BO335" t="e">
        <f>AND(#REF!,"AAAAAD/cvEI=")</f>
        <v>#REF!</v>
      </c>
      <c r="BP335" t="e">
        <f>AND(#REF!,"AAAAAD/cvEM=")</f>
        <v>#REF!</v>
      </c>
      <c r="BQ335" t="e">
        <f>AND(#REF!,"AAAAAD/cvEQ=")</f>
        <v>#REF!</v>
      </c>
      <c r="BR335" t="e">
        <f>AND(#REF!,"AAAAAD/cvEU=")</f>
        <v>#REF!</v>
      </c>
      <c r="BS335" t="e">
        <f>AND(#REF!,"AAAAAD/cvEY=")</f>
        <v>#REF!</v>
      </c>
      <c r="BT335" t="e">
        <f>AND(#REF!,"AAAAAD/cvEc=")</f>
        <v>#REF!</v>
      </c>
      <c r="BU335" t="e">
        <f>AND(#REF!,"AAAAAD/cvEg=")</f>
        <v>#REF!</v>
      </c>
      <c r="BV335" t="e">
        <f>AND(#REF!,"AAAAAD/cvEk=")</f>
        <v>#REF!</v>
      </c>
      <c r="BW335" t="e">
        <f>AND(#REF!,"AAAAAD/cvEo=")</f>
        <v>#REF!</v>
      </c>
      <c r="BX335" t="e">
        <f>AND(#REF!,"AAAAAD/cvEs=")</f>
        <v>#REF!</v>
      </c>
      <c r="BY335" t="e">
        <f>AND(#REF!,"AAAAAD/cvEw=")</f>
        <v>#REF!</v>
      </c>
      <c r="BZ335" t="e">
        <f>AND(#REF!,"AAAAAD/cvE0=")</f>
        <v>#REF!</v>
      </c>
      <c r="CA335" t="e">
        <f>AND(#REF!,"AAAAAD/cvE4=")</f>
        <v>#REF!</v>
      </c>
      <c r="CB335" t="e">
        <f>AND(#REF!,"AAAAAD/cvE8=")</f>
        <v>#REF!</v>
      </c>
      <c r="CC335" t="e">
        <f>AND(#REF!,"AAAAAD/cvFA=")</f>
        <v>#REF!</v>
      </c>
      <c r="CD335" t="e">
        <f>IF(#REF!,"AAAAAD/cvFE=",0)</f>
        <v>#REF!</v>
      </c>
      <c r="CE335" t="e">
        <f>AND(#REF!,"AAAAAD/cvFI=")</f>
        <v>#REF!</v>
      </c>
      <c r="CF335" t="e">
        <f>AND(#REF!,"AAAAAD/cvFM=")</f>
        <v>#REF!</v>
      </c>
      <c r="CG335" t="e">
        <f>AND(#REF!,"AAAAAD/cvFQ=")</f>
        <v>#REF!</v>
      </c>
      <c r="CH335" t="e">
        <f>AND(#REF!,"AAAAAD/cvFU=")</f>
        <v>#REF!</v>
      </c>
      <c r="CI335" t="e">
        <f>AND(#REF!,"AAAAAD/cvFY=")</f>
        <v>#REF!</v>
      </c>
      <c r="CJ335" t="e">
        <f>AND(#REF!,"AAAAAD/cvFc=")</f>
        <v>#REF!</v>
      </c>
      <c r="CK335" t="e">
        <f>AND(#REF!,"AAAAAD/cvFg=")</f>
        <v>#REF!</v>
      </c>
      <c r="CL335" t="e">
        <f>AND(#REF!,"AAAAAD/cvFk=")</f>
        <v>#REF!</v>
      </c>
      <c r="CM335" t="e">
        <f>AND(#REF!,"AAAAAD/cvFo=")</f>
        <v>#REF!</v>
      </c>
      <c r="CN335" t="e">
        <f>AND(#REF!,"AAAAAD/cvFs=")</f>
        <v>#REF!</v>
      </c>
      <c r="CO335" t="e">
        <f>AND(#REF!,"AAAAAD/cvFw=")</f>
        <v>#REF!</v>
      </c>
      <c r="CP335" t="e">
        <f>AND(#REF!,"AAAAAD/cvF0=")</f>
        <v>#REF!</v>
      </c>
      <c r="CQ335" t="e">
        <f>AND(#REF!,"AAAAAD/cvF4=")</f>
        <v>#REF!</v>
      </c>
      <c r="CR335" t="e">
        <f>AND(#REF!,"AAAAAD/cvF8=")</f>
        <v>#REF!</v>
      </c>
      <c r="CS335" t="e">
        <f>AND(#REF!,"AAAAAD/cvGA=")</f>
        <v>#REF!</v>
      </c>
      <c r="CT335" t="e">
        <f>AND(#REF!,"AAAAAD/cvGE=")</f>
        <v>#REF!</v>
      </c>
      <c r="CU335" t="e">
        <f>AND(#REF!,"AAAAAD/cvGI=")</f>
        <v>#REF!</v>
      </c>
      <c r="CV335" t="e">
        <f>AND(#REF!,"AAAAAD/cvGM=")</f>
        <v>#REF!</v>
      </c>
      <c r="CW335" t="e">
        <f>AND(#REF!,"AAAAAD/cvGQ=")</f>
        <v>#REF!</v>
      </c>
      <c r="CX335" t="e">
        <f>AND(#REF!,"AAAAAD/cvGU=")</f>
        <v>#REF!</v>
      </c>
      <c r="CY335" t="e">
        <f>AND(#REF!,"AAAAAD/cvGY=")</f>
        <v>#REF!</v>
      </c>
      <c r="CZ335" t="e">
        <f>AND(#REF!,"AAAAAD/cvGc=")</f>
        <v>#REF!</v>
      </c>
      <c r="DA335" t="e">
        <f>AND(#REF!,"AAAAAD/cvGg=")</f>
        <v>#REF!</v>
      </c>
      <c r="DB335" t="e">
        <f>AND(#REF!,"AAAAAD/cvGk=")</f>
        <v>#REF!</v>
      </c>
      <c r="DC335" t="e">
        <f>IF(#REF!,"AAAAAD/cvGo=",0)</f>
        <v>#REF!</v>
      </c>
      <c r="DD335" t="e">
        <f>AND(#REF!,"AAAAAD/cvGs=")</f>
        <v>#REF!</v>
      </c>
      <c r="DE335" t="e">
        <f>AND(#REF!,"AAAAAD/cvGw=")</f>
        <v>#REF!</v>
      </c>
      <c r="DF335" t="e">
        <f>AND(#REF!,"AAAAAD/cvG0=")</f>
        <v>#REF!</v>
      </c>
      <c r="DG335" t="e">
        <f>AND(#REF!,"AAAAAD/cvG4=")</f>
        <v>#REF!</v>
      </c>
      <c r="DH335" t="e">
        <f>AND(#REF!,"AAAAAD/cvG8=")</f>
        <v>#REF!</v>
      </c>
      <c r="DI335" t="e">
        <f>AND(#REF!,"AAAAAD/cvHA=")</f>
        <v>#REF!</v>
      </c>
      <c r="DJ335" t="e">
        <f>AND(#REF!,"AAAAAD/cvHE=")</f>
        <v>#REF!</v>
      </c>
      <c r="DK335" t="e">
        <f>AND(#REF!,"AAAAAD/cvHI=")</f>
        <v>#REF!</v>
      </c>
      <c r="DL335" t="e">
        <f>AND(#REF!,"AAAAAD/cvHM=")</f>
        <v>#REF!</v>
      </c>
      <c r="DM335" t="e">
        <f>AND(#REF!,"AAAAAD/cvHQ=")</f>
        <v>#REF!</v>
      </c>
      <c r="DN335" t="e">
        <f>AND(#REF!,"AAAAAD/cvHU=")</f>
        <v>#REF!</v>
      </c>
      <c r="DO335" t="e">
        <f>AND(#REF!,"AAAAAD/cvHY=")</f>
        <v>#REF!</v>
      </c>
      <c r="DP335" t="e">
        <f>AND(#REF!,"AAAAAD/cvHc=")</f>
        <v>#REF!</v>
      </c>
      <c r="DQ335" t="e">
        <f>AND(#REF!,"AAAAAD/cvHg=")</f>
        <v>#REF!</v>
      </c>
      <c r="DR335" t="e">
        <f>AND(#REF!,"AAAAAD/cvHk=")</f>
        <v>#REF!</v>
      </c>
      <c r="DS335" t="e">
        <f>AND(#REF!,"AAAAAD/cvHo=")</f>
        <v>#REF!</v>
      </c>
      <c r="DT335" t="e">
        <f>AND(#REF!,"AAAAAD/cvHs=")</f>
        <v>#REF!</v>
      </c>
      <c r="DU335" t="e">
        <f>AND(#REF!,"AAAAAD/cvHw=")</f>
        <v>#REF!</v>
      </c>
      <c r="DV335" t="e">
        <f>AND(#REF!,"AAAAAD/cvH0=")</f>
        <v>#REF!</v>
      </c>
      <c r="DW335" t="e">
        <f>AND(#REF!,"AAAAAD/cvH4=")</f>
        <v>#REF!</v>
      </c>
      <c r="DX335" t="e">
        <f>AND(#REF!,"AAAAAD/cvH8=")</f>
        <v>#REF!</v>
      </c>
      <c r="DY335" t="e">
        <f>AND(#REF!,"AAAAAD/cvIA=")</f>
        <v>#REF!</v>
      </c>
      <c r="DZ335" t="e">
        <f>AND(#REF!,"AAAAAD/cvIE=")</f>
        <v>#REF!</v>
      </c>
      <c r="EA335" t="e">
        <f>AND(#REF!,"AAAAAD/cvII=")</f>
        <v>#REF!</v>
      </c>
      <c r="EB335" t="e">
        <f>IF(#REF!,"AAAAAD/cvIM=",0)</f>
        <v>#REF!</v>
      </c>
      <c r="EC335" t="e">
        <f>AND(#REF!,"AAAAAD/cvIQ=")</f>
        <v>#REF!</v>
      </c>
      <c r="ED335" t="e">
        <f>AND(#REF!,"AAAAAD/cvIU=")</f>
        <v>#REF!</v>
      </c>
      <c r="EE335" t="e">
        <f>AND(#REF!,"AAAAAD/cvIY=")</f>
        <v>#REF!</v>
      </c>
      <c r="EF335" t="e">
        <f>AND(#REF!,"AAAAAD/cvIc=")</f>
        <v>#REF!</v>
      </c>
      <c r="EG335" t="e">
        <f>AND(#REF!,"AAAAAD/cvIg=")</f>
        <v>#REF!</v>
      </c>
      <c r="EH335" t="e">
        <f>AND(#REF!,"AAAAAD/cvIk=")</f>
        <v>#REF!</v>
      </c>
      <c r="EI335" t="e">
        <f>AND(#REF!,"AAAAAD/cvIo=")</f>
        <v>#REF!</v>
      </c>
      <c r="EJ335" t="e">
        <f>AND(#REF!,"AAAAAD/cvIs=")</f>
        <v>#REF!</v>
      </c>
      <c r="EK335" t="e">
        <f>AND(#REF!,"AAAAAD/cvIw=")</f>
        <v>#REF!</v>
      </c>
      <c r="EL335" t="e">
        <f>AND(#REF!,"AAAAAD/cvI0=")</f>
        <v>#REF!</v>
      </c>
      <c r="EM335" t="e">
        <f>AND(#REF!,"AAAAAD/cvI4=")</f>
        <v>#REF!</v>
      </c>
      <c r="EN335" t="e">
        <f>AND(#REF!,"AAAAAD/cvI8=")</f>
        <v>#REF!</v>
      </c>
      <c r="EO335" t="e">
        <f>AND(#REF!,"AAAAAD/cvJA=")</f>
        <v>#REF!</v>
      </c>
      <c r="EP335" t="e">
        <f>AND(#REF!,"AAAAAD/cvJE=")</f>
        <v>#REF!</v>
      </c>
      <c r="EQ335" t="e">
        <f>AND(#REF!,"AAAAAD/cvJI=")</f>
        <v>#REF!</v>
      </c>
      <c r="ER335" t="e">
        <f>AND(#REF!,"AAAAAD/cvJM=")</f>
        <v>#REF!</v>
      </c>
      <c r="ES335" t="e">
        <f>AND(#REF!,"AAAAAD/cvJQ=")</f>
        <v>#REF!</v>
      </c>
      <c r="ET335" t="e">
        <f>AND(#REF!,"AAAAAD/cvJU=")</f>
        <v>#REF!</v>
      </c>
      <c r="EU335" t="e">
        <f>AND(#REF!,"AAAAAD/cvJY=")</f>
        <v>#REF!</v>
      </c>
      <c r="EV335" t="e">
        <f>AND(#REF!,"AAAAAD/cvJc=")</f>
        <v>#REF!</v>
      </c>
      <c r="EW335" t="e">
        <f>AND(#REF!,"AAAAAD/cvJg=")</f>
        <v>#REF!</v>
      </c>
      <c r="EX335" t="e">
        <f>AND(#REF!,"AAAAAD/cvJk=")</f>
        <v>#REF!</v>
      </c>
      <c r="EY335" t="e">
        <f>AND(#REF!,"AAAAAD/cvJo=")</f>
        <v>#REF!</v>
      </c>
      <c r="EZ335" t="e">
        <f>AND(#REF!,"AAAAAD/cvJs=")</f>
        <v>#REF!</v>
      </c>
      <c r="FA335" t="e">
        <f>IF(#REF!,"AAAAAD/cvJw=",0)</f>
        <v>#REF!</v>
      </c>
      <c r="FB335" t="e">
        <f>AND(#REF!,"AAAAAD/cvJ0=")</f>
        <v>#REF!</v>
      </c>
      <c r="FC335" t="e">
        <f>AND(#REF!,"AAAAAD/cvJ4=")</f>
        <v>#REF!</v>
      </c>
      <c r="FD335" t="e">
        <f>AND(#REF!,"AAAAAD/cvJ8=")</f>
        <v>#REF!</v>
      </c>
      <c r="FE335" t="e">
        <f>AND(#REF!,"AAAAAD/cvKA=")</f>
        <v>#REF!</v>
      </c>
      <c r="FF335" t="e">
        <f>AND(#REF!,"AAAAAD/cvKE=")</f>
        <v>#REF!</v>
      </c>
      <c r="FG335" t="e">
        <f>AND(#REF!,"AAAAAD/cvKI=")</f>
        <v>#REF!</v>
      </c>
      <c r="FH335" t="e">
        <f>AND(#REF!,"AAAAAD/cvKM=")</f>
        <v>#REF!</v>
      </c>
      <c r="FI335" t="e">
        <f>AND(#REF!,"AAAAAD/cvKQ=")</f>
        <v>#REF!</v>
      </c>
      <c r="FJ335" t="e">
        <f>AND(#REF!,"AAAAAD/cvKU=")</f>
        <v>#REF!</v>
      </c>
      <c r="FK335" t="e">
        <f>AND(#REF!,"AAAAAD/cvKY=")</f>
        <v>#REF!</v>
      </c>
      <c r="FL335" t="e">
        <f>AND(#REF!,"AAAAAD/cvKc=")</f>
        <v>#REF!</v>
      </c>
      <c r="FM335" t="e">
        <f>AND(#REF!,"AAAAAD/cvKg=")</f>
        <v>#REF!</v>
      </c>
      <c r="FN335" t="e">
        <f>AND(#REF!,"AAAAAD/cvKk=")</f>
        <v>#REF!</v>
      </c>
      <c r="FO335" t="e">
        <f>AND(#REF!,"AAAAAD/cvKo=")</f>
        <v>#REF!</v>
      </c>
      <c r="FP335" t="e">
        <f>AND(#REF!,"AAAAAD/cvKs=")</f>
        <v>#REF!</v>
      </c>
      <c r="FQ335" t="e">
        <f>AND(#REF!,"AAAAAD/cvKw=")</f>
        <v>#REF!</v>
      </c>
      <c r="FR335" t="e">
        <f>AND(#REF!,"AAAAAD/cvK0=")</f>
        <v>#REF!</v>
      </c>
      <c r="FS335" t="e">
        <f>AND(#REF!,"AAAAAD/cvK4=")</f>
        <v>#REF!</v>
      </c>
      <c r="FT335" t="e">
        <f>AND(#REF!,"AAAAAD/cvK8=")</f>
        <v>#REF!</v>
      </c>
      <c r="FU335" t="e">
        <f>AND(#REF!,"AAAAAD/cvLA=")</f>
        <v>#REF!</v>
      </c>
      <c r="FV335" t="e">
        <f>AND(#REF!,"AAAAAD/cvLE=")</f>
        <v>#REF!</v>
      </c>
      <c r="FW335" t="e">
        <f>AND(#REF!,"AAAAAD/cvLI=")</f>
        <v>#REF!</v>
      </c>
      <c r="FX335" t="e">
        <f>AND(#REF!,"AAAAAD/cvLM=")</f>
        <v>#REF!</v>
      </c>
      <c r="FY335" t="e">
        <f>AND(#REF!,"AAAAAD/cvLQ=")</f>
        <v>#REF!</v>
      </c>
      <c r="FZ335" t="e">
        <f>IF(#REF!,"AAAAAD/cvLU=",0)</f>
        <v>#REF!</v>
      </c>
      <c r="GA335" t="e">
        <f>AND(#REF!,"AAAAAD/cvLY=")</f>
        <v>#REF!</v>
      </c>
      <c r="GB335" t="e">
        <f>AND(#REF!,"AAAAAD/cvLc=")</f>
        <v>#REF!</v>
      </c>
      <c r="GC335" t="e">
        <f>AND(#REF!,"AAAAAD/cvLg=")</f>
        <v>#REF!</v>
      </c>
      <c r="GD335" t="e">
        <f>AND(#REF!,"AAAAAD/cvLk=")</f>
        <v>#REF!</v>
      </c>
      <c r="GE335" t="e">
        <f>AND(#REF!,"AAAAAD/cvLo=")</f>
        <v>#REF!</v>
      </c>
      <c r="GF335" t="e">
        <f>AND(#REF!,"AAAAAD/cvLs=")</f>
        <v>#REF!</v>
      </c>
      <c r="GG335" t="e">
        <f>AND(#REF!,"AAAAAD/cvLw=")</f>
        <v>#REF!</v>
      </c>
      <c r="GH335" t="e">
        <f>AND(#REF!,"AAAAAD/cvL0=")</f>
        <v>#REF!</v>
      </c>
      <c r="GI335" t="e">
        <f>AND(#REF!,"AAAAAD/cvL4=")</f>
        <v>#REF!</v>
      </c>
      <c r="GJ335" t="e">
        <f>AND(#REF!,"AAAAAD/cvL8=")</f>
        <v>#REF!</v>
      </c>
      <c r="GK335" t="e">
        <f>AND(#REF!,"AAAAAD/cvMA=")</f>
        <v>#REF!</v>
      </c>
      <c r="GL335" t="e">
        <f>AND(#REF!,"AAAAAD/cvME=")</f>
        <v>#REF!</v>
      </c>
      <c r="GM335" t="e">
        <f>AND(#REF!,"AAAAAD/cvMI=")</f>
        <v>#REF!</v>
      </c>
      <c r="GN335" t="e">
        <f>AND(#REF!,"AAAAAD/cvMM=")</f>
        <v>#REF!</v>
      </c>
      <c r="GO335" t="e">
        <f>AND(#REF!,"AAAAAD/cvMQ=")</f>
        <v>#REF!</v>
      </c>
      <c r="GP335" t="e">
        <f>AND(#REF!,"AAAAAD/cvMU=")</f>
        <v>#REF!</v>
      </c>
      <c r="GQ335" t="e">
        <f>AND(#REF!,"AAAAAD/cvMY=")</f>
        <v>#REF!</v>
      </c>
      <c r="GR335" t="e">
        <f>AND(#REF!,"AAAAAD/cvMc=")</f>
        <v>#REF!</v>
      </c>
      <c r="GS335" t="e">
        <f>AND(#REF!,"AAAAAD/cvMg=")</f>
        <v>#REF!</v>
      </c>
      <c r="GT335" t="e">
        <f>AND(#REF!,"AAAAAD/cvMk=")</f>
        <v>#REF!</v>
      </c>
      <c r="GU335" t="e">
        <f>AND(#REF!,"AAAAAD/cvMo=")</f>
        <v>#REF!</v>
      </c>
      <c r="GV335" t="e">
        <f>AND(#REF!,"AAAAAD/cvMs=")</f>
        <v>#REF!</v>
      </c>
      <c r="GW335" t="e">
        <f>AND(#REF!,"AAAAAD/cvMw=")</f>
        <v>#REF!</v>
      </c>
      <c r="GX335" t="e">
        <f>AND(#REF!,"AAAAAD/cvM0=")</f>
        <v>#REF!</v>
      </c>
      <c r="GY335" t="e">
        <f>IF(#REF!,"AAAAAD/cvM4=",0)</f>
        <v>#REF!</v>
      </c>
      <c r="GZ335" t="e">
        <f>AND(#REF!,"AAAAAD/cvM8=")</f>
        <v>#REF!</v>
      </c>
      <c r="HA335" t="e">
        <f>AND(#REF!,"AAAAAD/cvNA=")</f>
        <v>#REF!</v>
      </c>
      <c r="HB335" t="e">
        <f>AND(#REF!,"AAAAAD/cvNE=")</f>
        <v>#REF!</v>
      </c>
      <c r="HC335" t="e">
        <f>AND(#REF!,"AAAAAD/cvNI=")</f>
        <v>#REF!</v>
      </c>
      <c r="HD335" t="e">
        <f>AND(#REF!,"AAAAAD/cvNM=")</f>
        <v>#REF!</v>
      </c>
      <c r="HE335" t="e">
        <f>AND(#REF!,"AAAAAD/cvNQ=")</f>
        <v>#REF!</v>
      </c>
      <c r="HF335" t="e">
        <f>AND(#REF!,"AAAAAD/cvNU=")</f>
        <v>#REF!</v>
      </c>
      <c r="HG335" t="e">
        <f>AND(#REF!,"AAAAAD/cvNY=")</f>
        <v>#REF!</v>
      </c>
      <c r="HH335" t="e">
        <f>AND(#REF!,"AAAAAD/cvNc=")</f>
        <v>#REF!</v>
      </c>
      <c r="HI335" t="e">
        <f>AND(#REF!,"AAAAAD/cvNg=")</f>
        <v>#REF!</v>
      </c>
      <c r="HJ335" t="e">
        <f>AND(#REF!,"AAAAAD/cvNk=")</f>
        <v>#REF!</v>
      </c>
      <c r="HK335" t="e">
        <f>AND(#REF!,"AAAAAD/cvNo=")</f>
        <v>#REF!</v>
      </c>
      <c r="HL335" t="e">
        <f>AND(#REF!,"AAAAAD/cvNs=")</f>
        <v>#REF!</v>
      </c>
      <c r="HM335" t="e">
        <f>AND(#REF!,"AAAAAD/cvNw=")</f>
        <v>#REF!</v>
      </c>
      <c r="HN335" t="e">
        <f>AND(#REF!,"AAAAAD/cvN0=")</f>
        <v>#REF!</v>
      </c>
      <c r="HO335" t="e">
        <f>AND(#REF!,"AAAAAD/cvN4=")</f>
        <v>#REF!</v>
      </c>
      <c r="HP335" t="e">
        <f>AND(#REF!,"AAAAAD/cvN8=")</f>
        <v>#REF!</v>
      </c>
      <c r="HQ335" t="e">
        <f>AND(#REF!,"AAAAAD/cvOA=")</f>
        <v>#REF!</v>
      </c>
      <c r="HR335" t="e">
        <f>AND(#REF!,"AAAAAD/cvOE=")</f>
        <v>#REF!</v>
      </c>
      <c r="HS335" t="e">
        <f>AND(#REF!,"AAAAAD/cvOI=")</f>
        <v>#REF!</v>
      </c>
      <c r="HT335" t="e">
        <f>AND(#REF!,"AAAAAD/cvOM=")</f>
        <v>#REF!</v>
      </c>
      <c r="HU335" t="e">
        <f>AND(#REF!,"AAAAAD/cvOQ=")</f>
        <v>#REF!</v>
      </c>
      <c r="HV335" t="e">
        <f>AND(#REF!,"AAAAAD/cvOU=")</f>
        <v>#REF!</v>
      </c>
      <c r="HW335" t="e">
        <f>AND(#REF!,"AAAAAD/cvOY=")</f>
        <v>#REF!</v>
      </c>
      <c r="HX335" t="e">
        <f>IF(#REF!,"AAAAAD/cvOc=",0)</f>
        <v>#REF!</v>
      </c>
      <c r="HY335" t="e">
        <f>AND(#REF!,"AAAAAD/cvOg=")</f>
        <v>#REF!</v>
      </c>
      <c r="HZ335" t="e">
        <f>AND(#REF!,"AAAAAD/cvOk=")</f>
        <v>#REF!</v>
      </c>
      <c r="IA335" t="e">
        <f>AND(#REF!,"AAAAAD/cvOo=")</f>
        <v>#REF!</v>
      </c>
      <c r="IB335" t="e">
        <f>AND(#REF!,"AAAAAD/cvOs=")</f>
        <v>#REF!</v>
      </c>
      <c r="IC335" t="e">
        <f>AND(#REF!,"AAAAAD/cvOw=")</f>
        <v>#REF!</v>
      </c>
      <c r="ID335" t="e">
        <f>AND(#REF!,"AAAAAD/cvO0=")</f>
        <v>#REF!</v>
      </c>
      <c r="IE335" t="e">
        <f>AND(#REF!,"AAAAAD/cvO4=")</f>
        <v>#REF!</v>
      </c>
      <c r="IF335" t="e">
        <f>AND(#REF!,"AAAAAD/cvO8=")</f>
        <v>#REF!</v>
      </c>
      <c r="IG335" t="e">
        <f>AND(#REF!,"AAAAAD/cvPA=")</f>
        <v>#REF!</v>
      </c>
      <c r="IH335" t="e">
        <f>AND(#REF!,"AAAAAD/cvPE=")</f>
        <v>#REF!</v>
      </c>
      <c r="II335" t="e">
        <f>AND(#REF!,"AAAAAD/cvPI=")</f>
        <v>#REF!</v>
      </c>
      <c r="IJ335" t="e">
        <f>AND(#REF!,"AAAAAD/cvPM=")</f>
        <v>#REF!</v>
      </c>
      <c r="IK335" t="e">
        <f>AND(#REF!,"AAAAAD/cvPQ=")</f>
        <v>#REF!</v>
      </c>
      <c r="IL335" t="e">
        <f>AND(#REF!,"AAAAAD/cvPU=")</f>
        <v>#REF!</v>
      </c>
      <c r="IM335" t="e">
        <f>AND(#REF!,"AAAAAD/cvPY=")</f>
        <v>#REF!</v>
      </c>
      <c r="IN335" t="e">
        <f>AND(#REF!,"AAAAAD/cvPc=")</f>
        <v>#REF!</v>
      </c>
      <c r="IO335" t="e">
        <f>AND(#REF!,"AAAAAD/cvPg=")</f>
        <v>#REF!</v>
      </c>
      <c r="IP335" t="e">
        <f>AND(#REF!,"AAAAAD/cvPk=")</f>
        <v>#REF!</v>
      </c>
      <c r="IQ335" t="e">
        <f>AND(#REF!,"AAAAAD/cvPo=")</f>
        <v>#REF!</v>
      </c>
      <c r="IR335" t="e">
        <f>AND(#REF!,"AAAAAD/cvPs=")</f>
        <v>#REF!</v>
      </c>
      <c r="IS335" t="e">
        <f>AND(#REF!,"AAAAAD/cvPw=")</f>
        <v>#REF!</v>
      </c>
      <c r="IT335" t="e">
        <f>AND(#REF!,"AAAAAD/cvP0=")</f>
        <v>#REF!</v>
      </c>
      <c r="IU335" t="e">
        <f>AND(#REF!,"AAAAAD/cvP4=")</f>
        <v>#REF!</v>
      </c>
      <c r="IV335" t="e">
        <f>AND(#REF!,"AAAAAD/cvP8=")</f>
        <v>#REF!</v>
      </c>
    </row>
    <row r="336" spans="1:256">
      <c r="A336" t="e">
        <f>IF(#REF!,"AAAAAH/LdwA=",0)</f>
        <v>#REF!</v>
      </c>
      <c r="B336" t="e">
        <f>AND(#REF!,"AAAAAH/LdwE=")</f>
        <v>#REF!</v>
      </c>
      <c r="C336" t="e">
        <f>AND(#REF!,"AAAAAH/LdwI=")</f>
        <v>#REF!</v>
      </c>
      <c r="D336" t="e">
        <f>AND(#REF!,"AAAAAH/LdwM=")</f>
        <v>#REF!</v>
      </c>
      <c r="E336" t="e">
        <f>AND(#REF!,"AAAAAH/LdwQ=")</f>
        <v>#REF!</v>
      </c>
      <c r="F336" t="e">
        <f>AND(#REF!,"AAAAAH/LdwU=")</f>
        <v>#REF!</v>
      </c>
      <c r="G336" t="e">
        <f>AND(#REF!,"AAAAAH/LdwY=")</f>
        <v>#REF!</v>
      </c>
      <c r="H336" t="e">
        <f>AND(#REF!,"AAAAAH/Ldwc=")</f>
        <v>#REF!</v>
      </c>
      <c r="I336" t="e">
        <f>AND(#REF!,"AAAAAH/Ldwg=")</f>
        <v>#REF!</v>
      </c>
      <c r="J336" t="e">
        <f>AND(#REF!,"AAAAAH/Ldwk=")</f>
        <v>#REF!</v>
      </c>
      <c r="K336" t="e">
        <f>AND(#REF!,"AAAAAH/Ldwo=")</f>
        <v>#REF!</v>
      </c>
      <c r="L336" t="e">
        <f>AND(#REF!,"AAAAAH/Ldws=")</f>
        <v>#REF!</v>
      </c>
      <c r="M336" t="e">
        <f>AND(#REF!,"AAAAAH/Ldww=")</f>
        <v>#REF!</v>
      </c>
      <c r="N336" t="e">
        <f>AND(#REF!,"AAAAAH/Ldw0=")</f>
        <v>#REF!</v>
      </c>
      <c r="O336" t="e">
        <f>AND(#REF!,"AAAAAH/Ldw4=")</f>
        <v>#REF!</v>
      </c>
      <c r="P336" t="e">
        <f>AND(#REF!,"AAAAAH/Ldw8=")</f>
        <v>#REF!</v>
      </c>
      <c r="Q336" t="e">
        <f>AND(#REF!,"AAAAAH/LdxA=")</f>
        <v>#REF!</v>
      </c>
      <c r="R336" t="e">
        <f>AND(#REF!,"AAAAAH/LdxE=")</f>
        <v>#REF!</v>
      </c>
      <c r="S336" t="e">
        <f>AND(#REF!,"AAAAAH/LdxI=")</f>
        <v>#REF!</v>
      </c>
      <c r="T336" t="e">
        <f>AND(#REF!,"AAAAAH/LdxM=")</f>
        <v>#REF!</v>
      </c>
      <c r="U336" t="e">
        <f>AND(#REF!,"AAAAAH/LdxQ=")</f>
        <v>#REF!</v>
      </c>
      <c r="V336" t="e">
        <f>AND(#REF!,"AAAAAH/LdxU=")</f>
        <v>#REF!</v>
      </c>
      <c r="W336" t="e">
        <f>AND(#REF!,"AAAAAH/LdxY=")</f>
        <v>#REF!</v>
      </c>
      <c r="X336" t="e">
        <f>AND(#REF!,"AAAAAH/Ldxc=")</f>
        <v>#REF!</v>
      </c>
      <c r="Y336" t="e">
        <f>AND(#REF!,"AAAAAH/Ldxg=")</f>
        <v>#REF!</v>
      </c>
      <c r="Z336" t="e">
        <f>IF(#REF!,"AAAAAH/Ldxk=",0)</f>
        <v>#REF!</v>
      </c>
      <c r="AA336" t="e">
        <f>AND(#REF!,"AAAAAH/Ldxo=")</f>
        <v>#REF!</v>
      </c>
      <c r="AB336" t="e">
        <f>AND(#REF!,"AAAAAH/Ldxs=")</f>
        <v>#REF!</v>
      </c>
      <c r="AC336" t="e">
        <f>AND(#REF!,"AAAAAH/Ldxw=")</f>
        <v>#REF!</v>
      </c>
      <c r="AD336" t="e">
        <f>AND(#REF!,"AAAAAH/Ldx0=")</f>
        <v>#REF!</v>
      </c>
      <c r="AE336" t="e">
        <f>AND(#REF!,"AAAAAH/Ldx4=")</f>
        <v>#REF!</v>
      </c>
      <c r="AF336" t="e">
        <f>AND(#REF!,"AAAAAH/Ldx8=")</f>
        <v>#REF!</v>
      </c>
      <c r="AG336" t="e">
        <f>AND(#REF!,"AAAAAH/LdyA=")</f>
        <v>#REF!</v>
      </c>
      <c r="AH336" t="e">
        <f>AND(#REF!,"AAAAAH/LdyE=")</f>
        <v>#REF!</v>
      </c>
      <c r="AI336" t="e">
        <f>AND(#REF!,"AAAAAH/LdyI=")</f>
        <v>#REF!</v>
      </c>
      <c r="AJ336" t="e">
        <f>AND(#REF!,"AAAAAH/LdyM=")</f>
        <v>#REF!</v>
      </c>
      <c r="AK336" t="e">
        <f>AND(#REF!,"AAAAAH/LdyQ=")</f>
        <v>#REF!</v>
      </c>
      <c r="AL336" t="e">
        <f>AND(#REF!,"AAAAAH/LdyU=")</f>
        <v>#REF!</v>
      </c>
      <c r="AM336" t="e">
        <f>AND(#REF!,"AAAAAH/LdyY=")</f>
        <v>#REF!</v>
      </c>
      <c r="AN336" t="e">
        <f>AND(#REF!,"AAAAAH/Ldyc=")</f>
        <v>#REF!</v>
      </c>
      <c r="AO336" t="e">
        <f>AND(#REF!,"AAAAAH/Ldyg=")</f>
        <v>#REF!</v>
      </c>
      <c r="AP336" t="e">
        <f>AND(#REF!,"AAAAAH/Ldyk=")</f>
        <v>#REF!</v>
      </c>
      <c r="AQ336" t="e">
        <f>AND(#REF!,"AAAAAH/Ldyo=")</f>
        <v>#REF!</v>
      </c>
      <c r="AR336" t="e">
        <f>AND(#REF!,"AAAAAH/Ldys=")</f>
        <v>#REF!</v>
      </c>
      <c r="AS336" t="e">
        <f>AND(#REF!,"AAAAAH/Ldyw=")</f>
        <v>#REF!</v>
      </c>
      <c r="AT336" t="e">
        <f>AND(#REF!,"AAAAAH/Ldy0=")</f>
        <v>#REF!</v>
      </c>
      <c r="AU336" t="e">
        <f>AND(#REF!,"AAAAAH/Ldy4=")</f>
        <v>#REF!</v>
      </c>
      <c r="AV336" t="e">
        <f>AND(#REF!,"AAAAAH/Ldy8=")</f>
        <v>#REF!</v>
      </c>
      <c r="AW336" t="e">
        <f>AND(#REF!,"AAAAAH/LdzA=")</f>
        <v>#REF!</v>
      </c>
      <c r="AX336" t="e">
        <f>AND(#REF!,"AAAAAH/LdzE=")</f>
        <v>#REF!</v>
      </c>
      <c r="AY336" t="e">
        <f>IF(#REF!,"AAAAAH/LdzI=",0)</f>
        <v>#REF!</v>
      </c>
      <c r="AZ336" t="e">
        <f>AND(#REF!,"AAAAAH/LdzM=")</f>
        <v>#REF!</v>
      </c>
      <c r="BA336" t="e">
        <f>AND(#REF!,"AAAAAH/LdzQ=")</f>
        <v>#REF!</v>
      </c>
      <c r="BB336" t="e">
        <f>AND(#REF!,"AAAAAH/LdzU=")</f>
        <v>#REF!</v>
      </c>
      <c r="BC336" t="e">
        <f>AND(#REF!,"AAAAAH/LdzY=")</f>
        <v>#REF!</v>
      </c>
      <c r="BD336" t="e">
        <f>AND(#REF!,"AAAAAH/Ldzc=")</f>
        <v>#REF!</v>
      </c>
      <c r="BE336" t="e">
        <f>AND(#REF!,"AAAAAH/Ldzg=")</f>
        <v>#REF!</v>
      </c>
      <c r="BF336" t="e">
        <f>AND(#REF!,"AAAAAH/Ldzk=")</f>
        <v>#REF!</v>
      </c>
      <c r="BG336" t="e">
        <f>AND(#REF!,"AAAAAH/Ldzo=")</f>
        <v>#REF!</v>
      </c>
      <c r="BH336" t="e">
        <f>AND(#REF!,"AAAAAH/Ldzs=")</f>
        <v>#REF!</v>
      </c>
      <c r="BI336" t="e">
        <f>AND(#REF!,"AAAAAH/Ldzw=")</f>
        <v>#REF!</v>
      </c>
      <c r="BJ336" t="e">
        <f>AND(#REF!,"AAAAAH/Ldz0=")</f>
        <v>#REF!</v>
      </c>
      <c r="BK336" t="e">
        <f>AND(#REF!,"AAAAAH/Ldz4=")</f>
        <v>#REF!</v>
      </c>
      <c r="BL336" t="e">
        <f>AND(#REF!,"AAAAAH/Ldz8=")</f>
        <v>#REF!</v>
      </c>
      <c r="BM336" t="e">
        <f>AND(#REF!,"AAAAAH/Ld0A=")</f>
        <v>#REF!</v>
      </c>
      <c r="BN336" t="e">
        <f>AND(#REF!,"AAAAAH/Ld0E=")</f>
        <v>#REF!</v>
      </c>
      <c r="BO336" t="e">
        <f>AND(#REF!,"AAAAAH/Ld0I=")</f>
        <v>#REF!</v>
      </c>
      <c r="BP336" t="e">
        <f>AND(#REF!,"AAAAAH/Ld0M=")</f>
        <v>#REF!</v>
      </c>
      <c r="BQ336" t="e">
        <f>AND(#REF!,"AAAAAH/Ld0Q=")</f>
        <v>#REF!</v>
      </c>
      <c r="BR336" t="e">
        <f>AND(#REF!,"AAAAAH/Ld0U=")</f>
        <v>#REF!</v>
      </c>
      <c r="BS336" t="e">
        <f>AND(#REF!,"AAAAAH/Ld0Y=")</f>
        <v>#REF!</v>
      </c>
      <c r="BT336" t="e">
        <f>AND(#REF!,"AAAAAH/Ld0c=")</f>
        <v>#REF!</v>
      </c>
      <c r="BU336" t="e">
        <f>AND(#REF!,"AAAAAH/Ld0g=")</f>
        <v>#REF!</v>
      </c>
      <c r="BV336" t="e">
        <f>AND(#REF!,"AAAAAH/Ld0k=")</f>
        <v>#REF!</v>
      </c>
      <c r="BW336" t="e">
        <f>AND(#REF!,"AAAAAH/Ld0o=")</f>
        <v>#REF!</v>
      </c>
      <c r="BX336" t="e">
        <f>IF(#REF!,"AAAAAH/Ld0s=",0)</f>
        <v>#REF!</v>
      </c>
      <c r="BY336" t="e">
        <f>AND(#REF!,"AAAAAH/Ld0w=")</f>
        <v>#REF!</v>
      </c>
      <c r="BZ336" t="e">
        <f>AND(#REF!,"AAAAAH/Ld00=")</f>
        <v>#REF!</v>
      </c>
      <c r="CA336" t="e">
        <f>AND(#REF!,"AAAAAH/Ld04=")</f>
        <v>#REF!</v>
      </c>
      <c r="CB336" t="e">
        <f>AND(#REF!,"AAAAAH/Ld08=")</f>
        <v>#REF!</v>
      </c>
      <c r="CC336" t="e">
        <f>AND(#REF!,"AAAAAH/Ld1A=")</f>
        <v>#REF!</v>
      </c>
      <c r="CD336" t="e">
        <f>AND(#REF!,"AAAAAH/Ld1E=")</f>
        <v>#REF!</v>
      </c>
      <c r="CE336" t="e">
        <f>AND(#REF!,"AAAAAH/Ld1I=")</f>
        <v>#REF!</v>
      </c>
      <c r="CF336" t="e">
        <f>AND(#REF!,"AAAAAH/Ld1M=")</f>
        <v>#REF!</v>
      </c>
      <c r="CG336" t="e">
        <f>AND(#REF!,"AAAAAH/Ld1Q=")</f>
        <v>#REF!</v>
      </c>
      <c r="CH336" t="e">
        <f>AND(#REF!,"AAAAAH/Ld1U=")</f>
        <v>#REF!</v>
      </c>
      <c r="CI336" t="e">
        <f>AND(#REF!,"AAAAAH/Ld1Y=")</f>
        <v>#REF!</v>
      </c>
      <c r="CJ336" t="e">
        <f>AND(#REF!,"AAAAAH/Ld1c=")</f>
        <v>#REF!</v>
      </c>
      <c r="CK336" t="e">
        <f>AND(#REF!,"AAAAAH/Ld1g=")</f>
        <v>#REF!</v>
      </c>
      <c r="CL336" t="e">
        <f>AND(#REF!,"AAAAAH/Ld1k=")</f>
        <v>#REF!</v>
      </c>
      <c r="CM336" t="e">
        <f>AND(#REF!,"AAAAAH/Ld1o=")</f>
        <v>#REF!</v>
      </c>
      <c r="CN336" t="e">
        <f>AND(#REF!,"AAAAAH/Ld1s=")</f>
        <v>#REF!</v>
      </c>
      <c r="CO336" t="e">
        <f>AND(#REF!,"AAAAAH/Ld1w=")</f>
        <v>#REF!</v>
      </c>
      <c r="CP336" t="e">
        <f>AND(#REF!,"AAAAAH/Ld10=")</f>
        <v>#REF!</v>
      </c>
      <c r="CQ336" t="e">
        <f>AND(#REF!,"AAAAAH/Ld14=")</f>
        <v>#REF!</v>
      </c>
      <c r="CR336" t="e">
        <f>AND(#REF!,"AAAAAH/Ld18=")</f>
        <v>#REF!</v>
      </c>
      <c r="CS336" t="e">
        <f>AND(#REF!,"AAAAAH/Ld2A=")</f>
        <v>#REF!</v>
      </c>
      <c r="CT336" t="e">
        <f>AND(#REF!,"AAAAAH/Ld2E=")</f>
        <v>#REF!</v>
      </c>
      <c r="CU336" t="e">
        <f>AND(#REF!,"AAAAAH/Ld2I=")</f>
        <v>#REF!</v>
      </c>
      <c r="CV336" t="e">
        <f>AND(#REF!,"AAAAAH/Ld2M=")</f>
        <v>#REF!</v>
      </c>
      <c r="CW336" t="e">
        <f>IF(#REF!,"AAAAAH/Ld2Q=",0)</f>
        <v>#REF!</v>
      </c>
      <c r="CX336" t="e">
        <f>AND(#REF!,"AAAAAH/Ld2U=")</f>
        <v>#REF!</v>
      </c>
      <c r="CY336" t="e">
        <f>AND(#REF!,"AAAAAH/Ld2Y=")</f>
        <v>#REF!</v>
      </c>
      <c r="CZ336" t="e">
        <f>AND(#REF!,"AAAAAH/Ld2c=")</f>
        <v>#REF!</v>
      </c>
      <c r="DA336" t="e">
        <f>AND(#REF!,"AAAAAH/Ld2g=")</f>
        <v>#REF!</v>
      </c>
      <c r="DB336" t="e">
        <f>AND(#REF!,"AAAAAH/Ld2k=")</f>
        <v>#REF!</v>
      </c>
      <c r="DC336" t="e">
        <f>AND(#REF!,"AAAAAH/Ld2o=")</f>
        <v>#REF!</v>
      </c>
      <c r="DD336" t="e">
        <f>AND(#REF!,"AAAAAH/Ld2s=")</f>
        <v>#REF!</v>
      </c>
      <c r="DE336" t="e">
        <f>AND(#REF!,"AAAAAH/Ld2w=")</f>
        <v>#REF!</v>
      </c>
      <c r="DF336" t="e">
        <f>AND(#REF!,"AAAAAH/Ld20=")</f>
        <v>#REF!</v>
      </c>
      <c r="DG336" t="e">
        <f>AND(#REF!,"AAAAAH/Ld24=")</f>
        <v>#REF!</v>
      </c>
      <c r="DH336" t="e">
        <f>AND(#REF!,"AAAAAH/Ld28=")</f>
        <v>#REF!</v>
      </c>
      <c r="DI336" t="e">
        <f>AND(#REF!,"AAAAAH/Ld3A=")</f>
        <v>#REF!</v>
      </c>
      <c r="DJ336" t="e">
        <f>AND(#REF!,"AAAAAH/Ld3E=")</f>
        <v>#REF!</v>
      </c>
      <c r="DK336" t="e">
        <f>AND(#REF!,"AAAAAH/Ld3I=")</f>
        <v>#REF!</v>
      </c>
      <c r="DL336" t="e">
        <f>AND(#REF!,"AAAAAH/Ld3M=")</f>
        <v>#REF!</v>
      </c>
      <c r="DM336" t="e">
        <f>AND(#REF!,"AAAAAH/Ld3Q=")</f>
        <v>#REF!</v>
      </c>
      <c r="DN336" t="e">
        <f>AND(#REF!,"AAAAAH/Ld3U=")</f>
        <v>#REF!</v>
      </c>
      <c r="DO336" t="e">
        <f>AND(#REF!,"AAAAAH/Ld3Y=")</f>
        <v>#REF!</v>
      </c>
      <c r="DP336" t="e">
        <f>AND(#REF!,"AAAAAH/Ld3c=")</f>
        <v>#REF!</v>
      </c>
      <c r="DQ336" t="e">
        <f>AND(#REF!,"AAAAAH/Ld3g=")</f>
        <v>#REF!</v>
      </c>
      <c r="DR336" t="e">
        <f>AND(#REF!,"AAAAAH/Ld3k=")</f>
        <v>#REF!</v>
      </c>
      <c r="DS336" t="e">
        <f>AND(#REF!,"AAAAAH/Ld3o=")</f>
        <v>#REF!</v>
      </c>
      <c r="DT336" t="e">
        <f>AND(#REF!,"AAAAAH/Ld3s=")</f>
        <v>#REF!</v>
      </c>
      <c r="DU336" t="e">
        <f>AND(#REF!,"AAAAAH/Ld3w=")</f>
        <v>#REF!</v>
      </c>
      <c r="DV336" t="e">
        <f>IF(#REF!,"AAAAAH/Ld30=",0)</f>
        <v>#REF!</v>
      </c>
      <c r="DW336" t="e">
        <f>AND(#REF!,"AAAAAH/Ld34=")</f>
        <v>#REF!</v>
      </c>
      <c r="DX336" t="e">
        <f>AND(#REF!,"AAAAAH/Ld38=")</f>
        <v>#REF!</v>
      </c>
      <c r="DY336" t="e">
        <f>AND(#REF!,"AAAAAH/Ld4A=")</f>
        <v>#REF!</v>
      </c>
      <c r="DZ336" t="e">
        <f>AND(#REF!,"AAAAAH/Ld4E=")</f>
        <v>#REF!</v>
      </c>
      <c r="EA336" t="e">
        <f>AND(#REF!,"AAAAAH/Ld4I=")</f>
        <v>#REF!</v>
      </c>
      <c r="EB336" t="e">
        <f>AND(#REF!,"AAAAAH/Ld4M=")</f>
        <v>#REF!</v>
      </c>
      <c r="EC336" t="e">
        <f>AND(#REF!,"AAAAAH/Ld4Q=")</f>
        <v>#REF!</v>
      </c>
      <c r="ED336" t="e">
        <f>AND(#REF!,"AAAAAH/Ld4U=")</f>
        <v>#REF!</v>
      </c>
      <c r="EE336" t="e">
        <f>AND(#REF!,"AAAAAH/Ld4Y=")</f>
        <v>#REF!</v>
      </c>
      <c r="EF336" t="e">
        <f>AND(#REF!,"AAAAAH/Ld4c=")</f>
        <v>#REF!</v>
      </c>
      <c r="EG336" t="e">
        <f>AND(#REF!,"AAAAAH/Ld4g=")</f>
        <v>#REF!</v>
      </c>
      <c r="EH336" t="e">
        <f>AND(#REF!,"AAAAAH/Ld4k=")</f>
        <v>#REF!</v>
      </c>
      <c r="EI336" t="e">
        <f>AND(#REF!,"AAAAAH/Ld4o=")</f>
        <v>#REF!</v>
      </c>
      <c r="EJ336" t="e">
        <f>AND(#REF!,"AAAAAH/Ld4s=")</f>
        <v>#REF!</v>
      </c>
      <c r="EK336" t="e">
        <f>AND(#REF!,"AAAAAH/Ld4w=")</f>
        <v>#REF!</v>
      </c>
      <c r="EL336" t="e">
        <f>AND(#REF!,"AAAAAH/Ld40=")</f>
        <v>#REF!</v>
      </c>
      <c r="EM336" t="e">
        <f>AND(#REF!,"AAAAAH/Ld44=")</f>
        <v>#REF!</v>
      </c>
      <c r="EN336" t="e">
        <f>AND(#REF!,"AAAAAH/Ld48=")</f>
        <v>#REF!</v>
      </c>
      <c r="EO336" t="e">
        <f>AND(#REF!,"AAAAAH/Ld5A=")</f>
        <v>#REF!</v>
      </c>
      <c r="EP336" t="e">
        <f>AND(#REF!,"AAAAAH/Ld5E=")</f>
        <v>#REF!</v>
      </c>
      <c r="EQ336" t="e">
        <f>AND(#REF!,"AAAAAH/Ld5I=")</f>
        <v>#REF!</v>
      </c>
      <c r="ER336" t="e">
        <f>AND(#REF!,"AAAAAH/Ld5M=")</f>
        <v>#REF!</v>
      </c>
      <c r="ES336" t="e">
        <f>AND(#REF!,"AAAAAH/Ld5Q=")</f>
        <v>#REF!</v>
      </c>
      <c r="ET336" t="e">
        <f>AND(#REF!,"AAAAAH/Ld5U=")</f>
        <v>#REF!</v>
      </c>
      <c r="EU336" t="e">
        <f>IF(#REF!,"AAAAAH/Ld5Y=",0)</f>
        <v>#REF!</v>
      </c>
      <c r="EV336" t="e">
        <f>AND(#REF!,"AAAAAH/Ld5c=")</f>
        <v>#REF!</v>
      </c>
      <c r="EW336" t="e">
        <f>AND(#REF!,"AAAAAH/Ld5g=")</f>
        <v>#REF!</v>
      </c>
      <c r="EX336" t="e">
        <f>AND(#REF!,"AAAAAH/Ld5k=")</f>
        <v>#REF!</v>
      </c>
      <c r="EY336" t="e">
        <f>AND(#REF!,"AAAAAH/Ld5o=")</f>
        <v>#REF!</v>
      </c>
      <c r="EZ336" t="e">
        <f>AND(#REF!,"AAAAAH/Ld5s=")</f>
        <v>#REF!</v>
      </c>
      <c r="FA336" t="e">
        <f>AND(#REF!,"AAAAAH/Ld5w=")</f>
        <v>#REF!</v>
      </c>
      <c r="FB336" t="e">
        <f>AND(#REF!,"AAAAAH/Ld50=")</f>
        <v>#REF!</v>
      </c>
      <c r="FC336" t="e">
        <f>AND(#REF!,"AAAAAH/Ld54=")</f>
        <v>#REF!</v>
      </c>
      <c r="FD336" t="e">
        <f>AND(#REF!,"AAAAAH/Ld58=")</f>
        <v>#REF!</v>
      </c>
      <c r="FE336" t="e">
        <f>AND(#REF!,"AAAAAH/Ld6A=")</f>
        <v>#REF!</v>
      </c>
      <c r="FF336" t="e">
        <f>AND(#REF!,"AAAAAH/Ld6E=")</f>
        <v>#REF!</v>
      </c>
      <c r="FG336" t="e">
        <f>AND(#REF!,"AAAAAH/Ld6I=")</f>
        <v>#REF!</v>
      </c>
      <c r="FH336" t="e">
        <f>AND(#REF!,"AAAAAH/Ld6M=")</f>
        <v>#REF!</v>
      </c>
      <c r="FI336" t="e">
        <f>AND(#REF!,"AAAAAH/Ld6Q=")</f>
        <v>#REF!</v>
      </c>
      <c r="FJ336" t="e">
        <f>AND(#REF!,"AAAAAH/Ld6U=")</f>
        <v>#REF!</v>
      </c>
      <c r="FK336" t="e">
        <f>AND(#REF!,"AAAAAH/Ld6Y=")</f>
        <v>#REF!</v>
      </c>
      <c r="FL336" t="e">
        <f>AND(#REF!,"AAAAAH/Ld6c=")</f>
        <v>#REF!</v>
      </c>
      <c r="FM336" t="e">
        <f>AND(#REF!,"AAAAAH/Ld6g=")</f>
        <v>#REF!</v>
      </c>
      <c r="FN336" t="e">
        <f>AND(#REF!,"AAAAAH/Ld6k=")</f>
        <v>#REF!</v>
      </c>
      <c r="FO336" t="e">
        <f>AND(#REF!,"AAAAAH/Ld6o=")</f>
        <v>#REF!</v>
      </c>
      <c r="FP336" t="e">
        <f>AND(#REF!,"AAAAAH/Ld6s=")</f>
        <v>#REF!</v>
      </c>
      <c r="FQ336" t="e">
        <f>AND(#REF!,"AAAAAH/Ld6w=")</f>
        <v>#REF!</v>
      </c>
      <c r="FR336" t="e">
        <f>AND(#REF!,"AAAAAH/Ld60=")</f>
        <v>#REF!</v>
      </c>
      <c r="FS336" t="e">
        <f>AND(#REF!,"AAAAAH/Ld64=")</f>
        <v>#REF!</v>
      </c>
      <c r="FT336" t="e">
        <f>IF(#REF!,"AAAAAH/Ld68=",0)</f>
        <v>#REF!</v>
      </c>
      <c r="FU336" t="e">
        <f>AND(#REF!,"AAAAAH/Ld7A=")</f>
        <v>#REF!</v>
      </c>
      <c r="FV336" t="e">
        <f>AND(#REF!,"AAAAAH/Ld7E=")</f>
        <v>#REF!</v>
      </c>
      <c r="FW336" t="e">
        <f>AND(#REF!,"AAAAAH/Ld7I=")</f>
        <v>#REF!</v>
      </c>
      <c r="FX336" t="e">
        <f>AND(#REF!,"AAAAAH/Ld7M=")</f>
        <v>#REF!</v>
      </c>
      <c r="FY336" t="e">
        <f>AND(#REF!,"AAAAAH/Ld7Q=")</f>
        <v>#REF!</v>
      </c>
      <c r="FZ336" t="e">
        <f>AND(#REF!,"AAAAAH/Ld7U=")</f>
        <v>#REF!</v>
      </c>
      <c r="GA336" t="e">
        <f>AND(#REF!,"AAAAAH/Ld7Y=")</f>
        <v>#REF!</v>
      </c>
      <c r="GB336" t="e">
        <f>AND(#REF!,"AAAAAH/Ld7c=")</f>
        <v>#REF!</v>
      </c>
      <c r="GC336" t="e">
        <f>AND(#REF!,"AAAAAH/Ld7g=")</f>
        <v>#REF!</v>
      </c>
      <c r="GD336" t="e">
        <f>AND(#REF!,"AAAAAH/Ld7k=")</f>
        <v>#REF!</v>
      </c>
      <c r="GE336" t="e">
        <f>AND(#REF!,"AAAAAH/Ld7o=")</f>
        <v>#REF!</v>
      </c>
      <c r="GF336" t="e">
        <f>AND(#REF!,"AAAAAH/Ld7s=")</f>
        <v>#REF!</v>
      </c>
      <c r="GG336" t="e">
        <f>AND(#REF!,"AAAAAH/Ld7w=")</f>
        <v>#REF!</v>
      </c>
      <c r="GH336" t="e">
        <f>AND(#REF!,"AAAAAH/Ld70=")</f>
        <v>#REF!</v>
      </c>
      <c r="GI336" t="e">
        <f>AND(#REF!,"AAAAAH/Ld74=")</f>
        <v>#REF!</v>
      </c>
      <c r="GJ336" t="e">
        <f>AND(#REF!,"AAAAAH/Ld78=")</f>
        <v>#REF!</v>
      </c>
      <c r="GK336" t="e">
        <f>AND(#REF!,"AAAAAH/Ld8A=")</f>
        <v>#REF!</v>
      </c>
      <c r="GL336" t="e">
        <f>AND(#REF!,"AAAAAH/Ld8E=")</f>
        <v>#REF!</v>
      </c>
      <c r="GM336" t="e">
        <f>AND(#REF!,"AAAAAH/Ld8I=")</f>
        <v>#REF!</v>
      </c>
      <c r="GN336" t="e">
        <f>AND(#REF!,"AAAAAH/Ld8M=")</f>
        <v>#REF!</v>
      </c>
      <c r="GO336" t="e">
        <f>AND(#REF!,"AAAAAH/Ld8Q=")</f>
        <v>#REF!</v>
      </c>
      <c r="GP336" t="e">
        <f>AND(#REF!,"AAAAAH/Ld8U=")</f>
        <v>#REF!</v>
      </c>
      <c r="GQ336" t="e">
        <f>AND(#REF!,"AAAAAH/Ld8Y=")</f>
        <v>#REF!</v>
      </c>
      <c r="GR336" t="e">
        <f>AND(#REF!,"AAAAAH/Ld8c=")</f>
        <v>#REF!</v>
      </c>
      <c r="GS336" t="e">
        <f>IF(#REF!,"AAAAAH/Ld8g=",0)</f>
        <v>#REF!</v>
      </c>
      <c r="GT336" t="e">
        <f>AND(#REF!,"AAAAAH/Ld8k=")</f>
        <v>#REF!</v>
      </c>
      <c r="GU336" t="e">
        <f>AND(#REF!,"AAAAAH/Ld8o=")</f>
        <v>#REF!</v>
      </c>
      <c r="GV336" t="e">
        <f>AND(#REF!,"AAAAAH/Ld8s=")</f>
        <v>#REF!</v>
      </c>
      <c r="GW336" t="e">
        <f>AND(#REF!,"AAAAAH/Ld8w=")</f>
        <v>#REF!</v>
      </c>
      <c r="GX336" t="e">
        <f>AND(#REF!,"AAAAAH/Ld80=")</f>
        <v>#REF!</v>
      </c>
      <c r="GY336" t="e">
        <f>AND(#REF!,"AAAAAH/Ld84=")</f>
        <v>#REF!</v>
      </c>
      <c r="GZ336" t="e">
        <f>AND(#REF!,"AAAAAH/Ld88=")</f>
        <v>#REF!</v>
      </c>
      <c r="HA336" t="e">
        <f>AND(#REF!,"AAAAAH/Ld9A=")</f>
        <v>#REF!</v>
      </c>
      <c r="HB336" t="e">
        <f>AND(#REF!,"AAAAAH/Ld9E=")</f>
        <v>#REF!</v>
      </c>
      <c r="HC336" t="e">
        <f>AND(#REF!,"AAAAAH/Ld9I=")</f>
        <v>#REF!</v>
      </c>
      <c r="HD336" t="e">
        <f>AND(#REF!,"AAAAAH/Ld9M=")</f>
        <v>#REF!</v>
      </c>
      <c r="HE336" t="e">
        <f>AND(#REF!,"AAAAAH/Ld9Q=")</f>
        <v>#REF!</v>
      </c>
      <c r="HF336" t="e">
        <f>AND(#REF!,"AAAAAH/Ld9U=")</f>
        <v>#REF!</v>
      </c>
      <c r="HG336" t="e">
        <f>AND(#REF!,"AAAAAH/Ld9Y=")</f>
        <v>#REF!</v>
      </c>
      <c r="HH336" t="e">
        <f>AND(#REF!,"AAAAAH/Ld9c=")</f>
        <v>#REF!</v>
      </c>
      <c r="HI336" t="e">
        <f>AND(#REF!,"AAAAAH/Ld9g=")</f>
        <v>#REF!</v>
      </c>
      <c r="HJ336" t="e">
        <f>AND(#REF!,"AAAAAH/Ld9k=")</f>
        <v>#REF!</v>
      </c>
      <c r="HK336" t="e">
        <f>AND(#REF!,"AAAAAH/Ld9o=")</f>
        <v>#REF!</v>
      </c>
      <c r="HL336" t="e">
        <f>AND(#REF!,"AAAAAH/Ld9s=")</f>
        <v>#REF!</v>
      </c>
      <c r="HM336" t="e">
        <f>AND(#REF!,"AAAAAH/Ld9w=")</f>
        <v>#REF!</v>
      </c>
      <c r="HN336" t="e">
        <f>AND(#REF!,"AAAAAH/Ld90=")</f>
        <v>#REF!</v>
      </c>
      <c r="HO336" t="e">
        <f>AND(#REF!,"AAAAAH/Ld94=")</f>
        <v>#REF!</v>
      </c>
      <c r="HP336" t="e">
        <f>AND(#REF!,"AAAAAH/Ld98=")</f>
        <v>#REF!</v>
      </c>
      <c r="HQ336" t="e">
        <f>AND(#REF!,"AAAAAH/Ld+A=")</f>
        <v>#REF!</v>
      </c>
      <c r="HR336" t="e">
        <f>IF(#REF!,"AAAAAH/Ld+E=",0)</f>
        <v>#REF!</v>
      </c>
      <c r="HS336" t="e">
        <f>AND(#REF!,"AAAAAH/Ld+I=")</f>
        <v>#REF!</v>
      </c>
      <c r="HT336" t="e">
        <f>AND(#REF!,"AAAAAH/Ld+M=")</f>
        <v>#REF!</v>
      </c>
      <c r="HU336" t="e">
        <f>AND(#REF!,"AAAAAH/Ld+Q=")</f>
        <v>#REF!</v>
      </c>
      <c r="HV336" t="e">
        <f>AND(#REF!,"AAAAAH/Ld+U=")</f>
        <v>#REF!</v>
      </c>
      <c r="HW336" t="e">
        <f>AND(#REF!,"AAAAAH/Ld+Y=")</f>
        <v>#REF!</v>
      </c>
      <c r="HX336" t="e">
        <f>AND(#REF!,"AAAAAH/Ld+c=")</f>
        <v>#REF!</v>
      </c>
      <c r="HY336" t="e">
        <f>AND(#REF!,"AAAAAH/Ld+g=")</f>
        <v>#REF!</v>
      </c>
      <c r="HZ336" t="e">
        <f>AND(#REF!,"AAAAAH/Ld+k=")</f>
        <v>#REF!</v>
      </c>
      <c r="IA336" t="e">
        <f>AND(#REF!,"AAAAAH/Ld+o=")</f>
        <v>#REF!</v>
      </c>
      <c r="IB336" t="e">
        <f>AND(#REF!,"AAAAAH/Ld+s=")</f>
        <v>#REF!</v>
      </c>
      <c r="IC336" t="e">
        <f>AND(#REF!,"AAAAAH/Ld+w=")</f>
        <v>#REF!</v>
      </c>
      <c r="ID336" t="e">
        <f>AND(#REF!,"AAAAAH/Ld+0=")</f>
        <v>#REF!</v>
      </c>
      <c r="IE336" t="e">
        <f>AND(#REF!,"AAAAAH/Ld+4=")</f>
        <v>#REF!</v>
      </c>
      <c r="IF336" t="e">
        <f>AND(#REF!,"AAAAAH/Ld+8=")</f>
        <v>#REF!</v>
      </c>
      <c r="IG336" t="e">
        <f>AND(#REF!,"AAAAAH/Ld/A=")</f>
        <v>#REF!</v>
      </c>
      <c r="IH336" t="e">
        <f>AND(#REF!,"AAAAAH/Ld/E=")</f>
        <v>#REF!</v>
      </c>
      <c r="II336" t="e">
        <f>AND(#REF!,"AAAAAH/Ld/I=")</f>
        <v>#REF!</v>
      </c>
      <c r="IJ336" t="e">
        <f>AND(#REF!,"AAAAAH/Ld/M=")</f>
        <v>#REF!</v>
      </c>
      <c r="IK336" t="e">
        <f>AND(#REF!,"AAAAAH/Ld/Q=")</f>
        <v>#REF!</v>
      </c>
      <c r="IL336" t="e">
        <f>AND(#REF!,"AAAAAH/Ld/U=")</f>
        <v>#REF!</v>
      </c>
      <c r="IM336" t="e">
        <f>AND(#REF!,"AAAAAH/Ld/Y=")</f>
        <v>#REF!</v>
      </c>
      <c r="IN336" t="e">
        <f>AND(#REF!,"AAAAAH/Ld/c=")</f>
        <v>#REF!</v>
      </c>
      <c r="IO336" t="e">
        <f>AND(#REF!,"AAAAAH/Ld/g=")</f>
        <v>#REF!</v>
      </c>
      <c r="IP336" t="e">
        <f>AND(#REF!,"AAAAAH/Ld/k=")</f>
        <v>#REF!</v>
      </c>
      <c r="IQ336" t="e">
        <f>IF(#REF!,"AAAAAH/Ld/o=",0)</f>
        <v>#REF!</v>
      </c>
      <c r="IR336" t="e">
        <f>AND(#REF!,"AAAAAH/Ld/s=")</f>
        <v>#REF!</v>
      </c>
      <c r="IS336" t="e">
        <f>AND(#REF!,"AAAAAH/Ld/w=")</f>
        <v>#REF!</v>
      </c>
      <c r="IT336" t="e">
        <f>AND(#REF!,"AAAAAH/Ld/0=")</f>
        <v>#REF!</v>
      </c>
      <c r="IU336" t="e">
        <f>AND(#REF!,"AAAAAH/Ld/4=")</f>
        <v>#REF!</v>
      </c>
      <c r="IV336" t="e">
        <f>AND(#REF!,"AAAAAH/Ld/8=")</f>
        <v>#REF!</v>
      </c>
    </row>
    <row r="337" spans="1:256">
      <c r="A337" t="e">
        <f>AND(#REF!,"AAAAAF/b/wA=")</f>
        <v>#REF!</v>
      </c>
      <c r="B337" t="e">
        <f>AND(#REF!,"AAAAAF/b/wE=")</f>
        <v>#REF!</v>
      </c>
      <c r="C337" t="e">
        <f>AND(#REF!,"AAAAAF/b/wI=")</f>
        <v>#REF!</v>
      </c>
      <c r="D337" t="e">
        <f>AND(#REF!,"AAAAAF/b/wM=")</f>
        <v>#REF!</v>
      </c>
      <c r="E337" t="e">
        <f>AND(#REF!,"AAAAAF/b/wQ=")</f>
        <v>#REF!</v>
      </c>
      <c r="F337" t="e">
        <f>AND(#REF!,"AAAAAF/b/wU=")</f>
        <v>#REF!</v>
      </c>
      <c r="G337" t="e">
        <f>AND(#REF!,"AAAAAF/b/wY=")</f>
        <v>#REF!</v>
      </c>
      <c r="H337" t="e">
        <f>AND(#REF!,"AAAAAF/b/wc=")</f>
        <v>#REF!</v>
      </c>
      <c r="I337" t="e">
        <f>AND(#REF!,"AAAAAF/b/wg=")</f>
        <v>#REF!</v>
      </c>
      <c r="J337" t="e">
        <f>AND(#REF!,"AAAAAF/b/wk=")</f>
        <v>#REF!</v>
      </c>
      <c r="K337" t="e">
        <f>AND(#REF!,"AAAAAF/b/wo=")</f>
        <v>#REF!</v>
      </c>
      <c r="L337" t="e">
        <f>AND(#REF!,"AAAAAF/b/ws=")</f>
        <v>#REF!</v>
      </c>
      <c r="M337" t="e">
        <f>AND(#REF!,"AAAAAF/b/ww=")</f>
        <v>#REF!</v>
      </c>
      <c r="N337" t="e">
        <f>AND(#REF!,"AAAAAF/b/w0=")</f>
        <v>#REF!</v>
      </c>
      <c r="O337" t="e">
        <f>AND(#REF!,"AAAAAF/b/w4=")</f>
        <v>#REF!</v>
      </c>
      <c r="P337" t="e">
        <f>AND(#REF!,"AAAAAF/b/w8=")</f>
        <v>#REF!</v>
      </c>
      <c r="Q337" t="e">
        <f>AND(#REF!,"AAAAAF/b/xA=")</f>
        <v>#REF!</v>
      </c>
      <c r="R337" t="e">
        <f>AND(#REF!,"AAAAAF/b/xE=")</f>
        <v>#REF!</v>
      </c>
      <c r="S337" t="e">
        <f>AND(#REF!,"AAAAAF/b/xI=")</f>
        <v>#REF!</v>
      </c>
      <c r="T337" t="e">
        <f>IF(#REF!,"AAAAAF/b/xM=",0)</f>
        <v>#REF!</v>
      </c>
      <c r="U337" t="e">
        <f>AND(#REF!,"AAAAAF/b/xQ=")</f>
        <v>#REF!</v>
      </c>
      <c r="V337" t="e">
        <f>AND(#REF!,"AAAAAF/b/xU=")</f>
        <v>#REF!</v>
      </c>
      <c r="W337" t="e">
        <f>AND(#REF!,"AAAAAF/b/xY=")</f>
        <v>#REF!</v>
      </c>
      <c r="X337" t="e">
        <f>AND(#REF!,"AAAAAF/b/xc=")</f>
        <v>#REF!</v>
      </c>
      <c r="Y337" t="e">
        <f>AND(#REF!,"AAAAAF/b/xg=")</f>
        <v>#REF!</v>
      </c>
      <c r="Z337" t="e">
        <f>AND(#REF!,"AAAAAF/b/xk=")</f>
        <v>#REF!</v>
      </c>
      <c r="AA337" t="e">
        <f>AND(#REF!,"AAAAAF/b/xo=")</f>
        <v>#REF!</v>
      </c>
      <c r="AB337" t="e">
        <f>AND(#REF!,"AAAAAF/b/xs=")</f>
        <v>#REF!</v>
      </c>
      <c r="AC337" t="e">
        <f>AND(#REF!,"AAAAAF/b/xw=")</f>
        <v>#REF!</v>
      </c>
      <c r="AD337" t="e">
        <f>AND(#REF!,"AAAAAF/b/x0=")</f>
        <v>#REF!</v>
      </c>
      <c r="AE337" t="e">
        <f>AND(#REF!,"AAAAAF/b/x4=")</f>
        <v>#REF!</v>
      </c>
      <c r="AF337" t="e">
        <f>AND(#REF!,"AAAAAF/b/x8=")</f>
        <v>#REF!</v>
      </c>
      <c r="AG337" t="e">
        <f>AND(#REF!,"AAAAAF/b/yA=")</f>
        <v>#REF!</v>
      </c>
      <c r="AH337" t="e">
        <f>AND(#REF!,"AAAAAF/b/yE=")</f>
        <v>#REF!</v>
      </c>
      <c r="AI337" t="e">
        <f>AND(#REF!,"AAAAAF/b/yI=")</f>
        <v>#REF!</v>
      </c>
      <c r="AJ337" t="e">
        <f>AND(#REF!,"AAAAAF/b/yM=")</f>
        <v>#REF!</v>
      </c>
      <c r="AK337" t="e">
        <f>AND(#REF!,"AAAAAF/b/yQ=")</f>
        <v>#REF!</v>
      </c>
      <c r="AL337" t="e">
        <f>AND(#REF!,"AAAAAF/b/yU=")</f>
        <v>#REF!</v>
      </c>
      <c r="AM337" t="e">
        <f>AND(#REF!,"AAAAAF/b/yY=")</f>
        <v>#REF!</v>
      </c>
      <c r="AN337" t="e">
        <f>AND(#REF!,"AAAAAF/b/yc=")</f>
        <v>#REF!</v>
      </c>
      <c r="AO337" t="e">
        <f>AND(#REF!,"AAAAAF/b/yg=")</f>
        <v>#REF!</v>
      </c>
      <c r="AP337" t="e">
        <f>AND(#REF!,"AAAAAF/b/yk=")</f>
        <v>#REF!</v>
      </c>
      <c r="AQ337" t="e">
        <f>AND(#REF!,"AAAAAF/b/yo=")</f>
        <v>#REF!</v>
      </c>
      <c r="AR337" t="e">
        <f>AND(#REF!,"AAAAAF/b/ys=")</f>
        <v>#REF!</v>
      </c>
      <c r="AS337" t="e">
        <f>IF(#REF!,"AAAAAF/b/yw=",0)</f>
        <v>#REF!</v>
      </c>
      <c r="AT337" t="e">
        <f>AND(#REF!,"AAAAAF/b/y0=")</f>
        <v>#REF!</v>
      </c>
      <c r="AU337" t="e">
        <f>AND(#REF!,"AAAAAF/b/y4=")</f>
        <v>#REF!</v>
      </c>
      <c r="AV337" t="e">
        <f>AND(#REF!,"AAAAAF/b/y8=")</f>
        <v>#REF!</v>
      </c>
      <c r="AW337" t="e">
        <f>AND(#REF!,"AAAAAF/b/zA=")</f>
        <v>#REF!</v>
      </c>
      <c r="AX337" t="e">
        <f>AND(#REF!,"AAAAAF/b/zE=")</f>
        <v>#REF!</v>
      </c>
      <c r="AY337" t="e">
        <f>AND(#REF!,"AAAAAF/b/zI=")</f>
        <v>#REF!</v>
      </c>
      <c r="AZ337" t="e">
        <f>AND(#REF!,"AAAAAF/b/zM=")</f>
        <v>#REF!</v>
      </c>
      <c r="BA337" t="e">
        <f>AND(#REF!,"AAAAAF/b/zQ=")</f>
        <v>#REF!</v>
      </c>
      <c r="BB337" t="e">
        <f>AND(#REF!,"AAAAAF/b/zU=")</f>
        <v>#REF!</v>
      </c>
      <c r="BC337" t="e">
        <f>AND(#REF!,"AAAAAF/b/zY=")</f>
        <v>#REF!</v>
      </c>
      <c r="BD337" t="e">
        <f>AND(#REF!,"AAAAAF/b/zc=")</f>
        <v>#REF!</v>
      </c>
      <c r="BE337" t="e">
        <f>AND(#REF!,"AAAAAF/b/zg=")</f>
        <v>#REF!</v>
      </c>
      <c r="BF337" t="e">
        <f>AND(#REF!,"AAAAAF/b/zk=")</f>
        <v>#REF!</v>
      </c>
      <c r="BG337" t="e">
        <f>AND(#REF!,"AAAAAF/b/zo=")</f>
        <v>#REF!</v>
      </c>
      <c r="BH337" t="e">
        <f>AND(#REF!,"AAAAAF/b/zs=")</f>
        <v>#REF!</v>
      </c>
      <c r="BI337" t="e">
        <f>AND(#REF!,"AAAAAF/b/zw=")</f>
        <v>#REF!</v>
      </c>
      <c r="BJ337" t="e">
        <f>AND(#REF!,"AAAAAF/b/z0=")</f>
        <v>#REF!</v>
      </c>
      <c r="BK337" t="e">
        <f>AND(#REF!,"AAAAAF/b/z4=")</f>
        <v>#REF!</v>
      </c>
      <c r="BL337" t="e">
        <f>AND(#REF!,"AAAAAF/b/z8=")</f>
        <v>#REF!</v>
      </c>
      <c r="BM337" t="e">
        <f>AND(#REF!,"AAAAAF/b/0A=")</f>
        <v>#REF!</v>
      </c>
      <c r="BN337" t="e">
        <f>AND(#REF!,"AAAAAF/b/0E=")</f>
        <v>#REF!</v>
      </c>
      <c r="BO337" t="e">
        <f>AND(#REF!,"AAAAAF/b/0I=")</f>
        <v>#REF!</v>
      </c>
      <c r="BP337" t="e">
        <f>AND(#REF!,"AAAAAF/b/0M=")</f>
        <v>#REF!</v>
      </c>
      <c r="BQ337" t="e">
        <f>AND(#REF!,"AAAAAF/b/0Q=")</f>
        <v>#REF!</v>
      </c>
      <c r="BR337" t="e">
        <f>IF(#REF!,"AAAAAF/b/0U=",0)</f>
        <v>#REF!</v>
      </c>
      <c r="BS337" t="e">
        <f>AND(#REF!,"AAAAAF/b/0Y=")</f>
        <v>#REF!</v>
      </c>
      <c r="BT337" t="e">
        <f>AND(#REF!,"AAAAAF/b/0c=")</f>
        <v>#REF!</v>
      </c>
      <c r="BU337" t="e">
        <f>AND(#REF!,"AAAAAF/b/0g=")</f>
        <v>#REF!</v>
      </c>
      <c r="BV337" t="e">
        <f>AND(#REF!,"AAAAAF/b/0k=")</f>
        <v>#REF!</v>
      </c>
      <c r="BW337" t="e">
        <f>AND(#REF!,"AAAAAF/b/0o=")</f>
        <v>#REF!</v>
      </c>
      <c r="BX337" t="e">
        <f>AND(#REF!,"AAAAAF/b/0s=")</f>
        <v>#REF!</v>
      </c>
      <c r="BY337" t="e">
        <f>AND(#REF!,"AAAAAF/b/0w=")</f>
        <v>#REF!</v>
      </c>
      <c r="BZ337" t="e">
        <f>AND(#REF!,"AAAAAF/b/00=")</f>
        <v>#REF!</v>
      </c>
      <c r="CA337" t="e">
        <f>AND(#REF!,"AAAAAF/b/04=")</f>
        <v>#REF!</v>
      </c>
      <c r="CB337" t="e">
        <f>AND(#REF!,"AAAAAF/b/08=")</f>
        <v>#REF!</v>
      </c>
      <c r="CC337" t="e">
        <f>AND(#REF!,"AAAAAF/b/1A=")</f>
        <v>#REF!</v>
      </c>
      <c r="CD337" t="e">
        <f>AND(#REF!,"AAAAAF/b/1E=")</f>
        <v>#REF!</v>
      </c>
      <c r="CE337" t="e">
        <f>AND(#REF!,"AAAAAF/b/1I=")</f>
        <v>#REF!</v>
      </c>
      <c r="CF337" t="e">
        <f>AND(#REF!,"AAAAAF/b/1M=")</f>
        <v>#REF!</v>
      </c>
      <c r="CG337" t="e">
        <f>AND(#REF!,"AAAAAF/b/1Q=")</f>
        <v>#REF!</v>
      </c>
      <c r="CH337" t="e">
        <f>AND(#REF!,"AAAAAF/b/1U=")</f>
        <v>#REF!</v>
      </c>
      <c r="CI337" t="e">
        <f>AND(#REF!,"AAAAAF/b/1Y=")</f>
        <v>#REF!</v>
      </c>
      <c r="CJ337" t="e">
        <f>AND(#REF!,"AAAAAF/b/1c=")</f>
        <v>#REF!</v>
      </c>
      <c r="CK337" t="e">
        <f>AND(#REF!,"AAAAAF/b/1g=")</f>
        <v>#REF!</v>
      </c>
      <c r="CL337" t="e">
        <f>AND(#REF!,"AAAAAF/b/1k=")</f>
        <v>#REF!</v>
      </c>
      <c r="CM337" t="e">
        <f>AND(#REF!,"AAAAAF/b/1o=")</f>
        <v>#REF!</v>
      </c>
      <c r="CN337" t="e">
        <f>AND(#REF!,"AAAAAF/b/1s=")</f>
        <v>#REF!</v>
      </c>
      <c r="CO337" t="e">
        <f>AND(#REF!,"AAAAAF/b/1w=")</f>
        <v>#REF!</v>
      </c>
      <c r="CP337" t="e">
        <f>AND(#REF!,"AAAAAF/b/10=")</f>
        <v>#REF!</v>
      </c>
      <c r="CQ337" t="e">
        <f>IF(#REF!,"AAAAAF/b/14=",0)</f>
        <v>#REF!</v>
      </c>
      <c r="CR337" t="e">
        <f>AND(#REF!,"AAAAAF/b/18=")</f>
        <v>#REF!</v>
      </c>
      <c r="CS337" t="e">
        <f>AND(#REF!,"AAAAAF/b/2A=")</f>
        <v>#REF!</v>
      </c>
      <c r="CT337" t="e">
        <f>AND(#REF!,"AAAAAF/b/2E=")</f>
        <v>#REF!</v>
      </c>
      <c r="CU337" t="e">
        <f>AND(#REF!,"AAAAAF/b/2I=")</f>
        <v>#REF!</v>
      </c>
      <c r="CV337" t="e">
        <f>AND(#REF!,"AAAAAF/b/2M=")</f>
        <v>#REF!</v>
      </c>
      <c r="CW337" t="e">
        <f>AND(#REF!,"AAAAAF/b/2Q=")</f>
        <v>#REF!</v>
      </c>
      <c r="CX337" t="e">
        <f>AND(#REF!,"AAAAAF/b/2U=")</f>
        <v>#REF!</v>
      </c>
      <c r="CY337" t="e">
        <f>AND(#REF!,"AAAAAF/b/2Y=")</f>
        <v>#REF!</v>
      </c>
      <c r="CZ337" t="e">
        <f>AND(#REF!,"AAAAAF/b/2c=")</f>
        <v>#REF!</v>
      </c>
      <c r="DA337" t="e">
        <f>AND(#REF!,"AAAAAF/b/2g=")</f>
        <v>#REF!</v>
      </c>
      <c r="DB337" t="e">
        <f>AND(#REF!,"AAAAAF/b/2k=")</f>
        <v>#REF!</v>
      </c>
      <c r="DC337" t="e">
        <f>AND(#REF!,"AAAAAF/b/2o=")</f>
        <v>#REF!</v>
      </c>
      <c r="DD337" t="e">
        <f>AND(#REF!,"AAAAAF/b/2s=")</f>
        <v>#REF!</v>
      </c>
      <c r="DE337" t="e">
        <f>AND(#REF!,"AAAAAF/b/2w=")</f>
        <v>#REF!</v>
      </c>
      <c r="DF337" t="e">
        <f>AND(#REF!,"AAAAAF/b/20=")</f>
        <v>#REF!</v>
      </c>
      <c r="DG337" t="e">
        <f>AND(#REF!,"AAAAAF/b/24=")</f>
        <v>#REF!</v>
      </c>
      <c r="DH337" t="e">
        <f>AND(#REF!,"AAAAAF/b/28=")</f>
        <v>#REF!</v>
      </c>
      <c r="DI337" t="e">
        <f>AND(#REF!,"AAAAAF/b/3A=")</f>
        <v>#REF!</v>
      </c>
      <c r="DJ337" t="e">
        <f>AND(#REF!,"AAAAAF/b/3E=")</f>
        <v>#REF!</v>
      </c>
      <c r="DK337" t="e">
        <f>AND(#REF!,"AAAAAF/b/3I=")</f>
        <v>#REF!</v>
      </c>
      <c r="DL337" t="e">
        <f>AND(#REF!,"AAAAAF/b/3M=")</f>
        <v>#REF!</v>
      </c>
      <c r="DM337" t="e">
        <f>AND(#REF!,"AAAAAF/b/3Q=")</f>
        <v>#REF!</v>
      </c>
      <c r="DN337" t="e">
        <f>AND(#REF!,"AAAAAF/b/3U=")</f>
        <v>#REF!</v>
      </c>
      <c r="DO337" t="e">
        <f>AND(#REF!,"AAAAAF/b/3Y=")</f>
        <v>#REF!</v>
      </c>
      <c r="DP337" t="e">
        <f>IF(#REF!,"AAAAAF/b/3c=",0)</f>
        <v>#REF!</v>
      </c>
      <c r="DQ337" t="e">
        <f>AND(#REF!,"AAAAAF/b/3g=")</f>
        <v>#REF!</v>
      </c>
      <c r="DR337" t="e">
        <f>AND(#REF!,"AAAAAF/b/3k=")</f>
        <v>#REF!</v>
      </c>
      <c r="DS337" t="e">
        <f>AND(#REF!,"AAAAAF/b/3o=")</f>
        <v>#REF!</v>
      </c>
      <c r="DT337" t="e">
        <f>AND(#REF!,"AAAAAF/b/3s=")</f>
        <v>#REF!</v>
      </c>
      <c r="DU337" t="e">
        <f>AND(#REF!,"AAAAAF/b/3w=")</f>
        <v>#REF!</v>
      </c>
      <c r="DV337" t="e">
        <f>AND(#REF!,"AAAAAF/b/30=")</f>
        <v>#REF!</v>
      </c>
      <c r="DW337" t="e">
        <f>AND(#REF!,"AAAAAF/b/34=")</f>
        <v>#REF!</v>
      </c>
      <c r="DX337" t="e">
        <f>AND(#REF!,"AAAAAF/b/38=")</f>
        <v>#REF!</v>
      </c>
      <c r="DY337" t="e">
        <f>AND(#REF!,"AAAAAF/b/4A=")</f>
        <v>#REF!</v>
      </c>
      <c r="DZ337" t="e">
        <f>AND(#REF!,"AAAAAF/b/4E=")</f>
        <v>#REF!</v>
      </c>
      <c r="EA337" t="e">
        <f>AND(#REF!,"AAAAAF/b/4I=")</f>
        <v>#REF!</v>
      </c>
      <c r="EB337" t="e">
        <f>AND(#REF!,"AAAAAF/b/4M=")</f>
        <v>#REF!</v>
      </c>
      <c r="EC337" t="e">
        <f>AND(#REF!,"AAAAAF/b/4Q=")</f>
        <v>#REF!</v>
      </c>
      <c r="ED337" t="e">
        <f>AND(#REF!,"AAAAAF/b/4U=")</f>
        <v>#REF!</v>
      </c>
      <c r="EE337" t="e">
        <f>AND(#REF!,"AAAAAF/b/4Y=")</f>
        <v>#REF!</v>
      </c>
      <c r="EF337" t="e">
        <f>AND(#REF!,"AAAAAF/b/4c=")</f>
        <v>#REF!</v>
      </c>
      <c r="EG337" t="e">
        <f>AND(#REF!,"AAAAAF/b/4g=")</f>
        <v>#REF!</v>
      </c>
      <c r="EH337" t="e">
        <f>AND(#REF!,"AAAAAF/b/4k=")</f>
        <v>#REF!</v>
      </c>
      <c r="EI337" t="e">
        <f>AND(#REF!,"AAAAAF/b/4o=")</f>
        <v>#REF!</v>
      </c>
      <c r="EJ337" t="e">
        <f>AND(#REF!,"AAAAAF/b/4s=")</f>
        <v>#REF!</v>
      </c>
      <c r="EK337" t="e">
        <f>AND(#REF!,"AAAAAF/b/4w=")</f>
        <v>#REF!</v>
      </c>
      <c r="EL337" t="e">
        <f>AND(#REF!,"AAAAAF/b/40=")</f>
        <v>#REF!</v>
      </c>
      <c r="EM337" t="e">
        <f>AND(#REF!,"AAAAAF/b/44=")</f>
        <v>#REF!</v>
      </c>
      <c r="EN337" t="e">
        <f>AND(#REF!,"AAAAAF/b/48=")</f>
        <v>#REF!</v>
      </c>
      <c r="EO337" t="e">
        <f>IF(#REF!,"AAAAAF/b/5A=",0)</f>
        <v>#REF!</v>
      </c>
      <c r="EP337" t="e">
        <f>AND(#REF!,"AAAAAF/b/5E=")</f>
        <v>#REF!</v>
      </c>
      <c r="EQ337" t="e">
        <f>AND(#REF!,"AAAAAF/b/5I=")</f>
        <v>#REF!</v>
      </c>
      <c r="ER337" t="e">
        <f>AND(#REF!,"AAAAAF/b/5M=")</f>
        <v>#REF!</v>
      </c>
      <c r="ES337" t="e">
        <f>AND(#REF!,"AAAAAF/b/5Q=")</f>
        <v>#REF!</v>
      </c>
      <c r="ET337" t="e">
        <f>AND(#REF!,"AAAAAF/b/5U=")</f>
        <v>#REF!</v>
      </c>
      <c r="EU337" t="e">
        <f>AND(#REF!,"AAAAAF/b/5Y=")</f>
        <v>#REF!</v>
      </c>
      <c r="EV337" t="e">
        <f>AND(#REF!,"AAAAAF/b/5c=")</f>
        <v>#REF!</v>
      </c>
      <c r="EW337" t="e">
        <f>AND(#REF!,"AAAAAF/b/5g=")</f>
        <v>#REF!</v>
      </c>
      <c r="EX337" t="e">
        <f>AND(#REF!,"AAAAAF/b/5k=")</f>
        <v>#REF!</v>
      </c>
      <c r="EY337" t="e">
        <f>AND(#REF!,"AAAAAF/b/5o=")</f>
        <v>#REF!</v>
      </c>
      <c r="EZ337" t="e">
        <f>AND(#REF!,"AAAAAF/b/5s=")</f>
        <v>#REF!</v>
      </c>
      <c r="FA337" t="e">
        <f>AND(#REF!,"AAAAAF/b/5w=")</f>
        <v>#REF!</v>
      </c>
      <c r="FB337" t="e">
        <f>AND(#REF!,"AAAAAF/b/50=")</f>
        <v>#REF!</v>
      </c>
      <c r="FC337" t="e">
        <f>AND(#REF!,"AAAAAF/b/54=")</f>
        <v>#REF!</v>
      </c>
      <c r="FD337" t="e">
        <f>AND(#REF!,"AAAAAF/b/58=")</f>
        <v>#REF!</v>
      </c>
      <c r="FE337" t="e">
        <f>AND(#REF!,"AAAAAF/b/6A=")</f>
        <v>#REF!</v>
      </c>
      <c r="FF337" t="e">
        <f>AND(#REF!,"AAAAAF/b/6E=")</f>
        <v>#REF!</v>
      </c>
      <c r="FG337" t="e">
        <f>AND(#REF!,"AAAAAF/b/6I=")</f>
        <v>#REF!</v>
      </c>
      <c r="FH337" t="e">
        <f>AND(#REF!,"AAAAAF/b/6M=")</f>
        <v>#REF!</v>
      </c>
      <c r="FI337" t="e">
        <f>AND(#REF!,"AAAAAF/b/6Q=")</f>
        <v>#REF!</v>
      </c>
      <c r="FJ337" t="e">
        <f>AND(#REF!,"AAAAAF/b/6U=")</f>
        <v>#REF!</v>
      </c>
      <c r="FK337" t="e">
        <f>AND(#REF!,"AAAAAF/b/6Y=")</f>
        <v>#REF!</v>
      </c>
      <c r="FL337" t="e">
        <f>AND(#REF!,"AAAAAF/b/6c=")</f>
        <v>#REF!</v>
      </c>
      <c r="FM337" t="e">
        <f>AND(#REF!,"AAAAAF/b/6g=")</f>
        <v>#REF!</v>
      </c>
      <c r="FN337" t="e">
        <f>IF(#REF!,"AAAAAF/b/6k=",0)</f>
        <v>#REF!</v>
      </c>
      <c r="FO337" t="e">
        <f>AND(#REF!,"AAAAAF/b/6o=")</f>
        <v>#REF!</v>
      </c>
      <c r="FP337" t="e">
        <f>AND(#REF!,"AAAAAF/b/6s=")</f>
        <v>#REF!</v>
      </c>
      <c r="FQ337" t="e">
        <f>AND(#REF!,"AAAAAF/b/6w=")</f>
        <v>#REF!</v>
      </c>
      <c r="FR337" t="e">
        <f>AND(#REF!,"AAAAAF/b/60=")</f>
        <v>#REF!</v>
      </c>
      <c r="FS337" t="e">
        <f>AND(#REF!,"AAAAAF/b/64=")</f>
        <v>#REF!</v>
      </c>
      <c r="FT337" t="e">
        <f>AND(#REF!,"AAAAAF/b/68=")</f>
        <v>#REF!</v>
      </c>
      <c r="FU337" t="e">
        <f>AND(#REF!,"AAAAAF/b/7A=")</f>
        <v>#REF!</v>
      </c>
      <c r="FV337" t="e">
        <f>AND(#REF!,"AAAAAF/b/7E=")</f>
        <v>#REF!</v>
      </c>
      <c r="FW337" t="e">
        <f>AND(#REF!,"AAAAAF/b/7I=")</f>
        <v>#REF!</v>
      </c>
      <c r="FX337" t="e">
        <f>AND(#REF!,"AAAAAF/b/7M=")</f>
        <v>#REF!</v>
      </c>
      <c r="FY337" t="e">
        <f>AND(#REF!,"AAAAAF/b/7Q=")</f>
        <v>#REF!</v>
      </c>
      <c r="FZ337" t="e">
        <f>AND(#REF!,"AAAAAF/b/7U=")</f>
        <v>#REF!</v>
      </c>
      <c r="GA337" t="e">
        <f>AND(#REF!,"AAAAAF/b/7Y=")</f>
        <v>#REF!</v>
      </c>
      <c r="GB337" t="e">
        <f>AND(#REF!,"AAAAAF/b/7c=")</f>
        <v>#REF!</v>
      </c>
      <c r="GC337" t="e">
        <f>AND(#REF!,"AAAAAF/b/7g=")</f>
        <v>#REF!</v>
      </c>
      <c r="GD337" t="e">
        <f>AND(#REF!,"AAAAAF/b/7k=")</f>
        <v>#REF!</v>
      </c>
      <c r="GE337" t="e">
        <f>AND(#REF!,"AAAAAF/b/7o=")</f>
        <v>#REF!</v>
      </c>
      <c r="GF337" t="e">
        <f>AND(#REF!,"AAAAAF/b/7s=")</f>
        <v>#REF!</v>
      </c>
      <c r="GG337" t="e">
        <f>AND(#REF!,"AAAAAF/b/7w=")</f>
        <v>#REF!</v>
      </c>
      <c r="GH337" t="e">
        <f>AND(#REF!,"AAAAAF/b/70=")</f>
        <v>#REF!</v>
      </c>
      <c r="GI337" t="e">
        <f>AND(#REF!,"AAAAAF/b/74=")</f>
        <v>#REF!</v>
      </c>
      <c r="GJ337" t="e">
        <f>AND(#REF!,"AAAAAF/b/78=")</f>
        <v>#REF!</v>
      </c>
      <c r="GK337" t="e">
        <f>AND(#REF!,"AAAAAF/b/8A=")</f>
        <v>#REF!</v>
      </c>
      <c r="GL337" t="e">
        <f>AND(#REF!,"AAAAAF/b/8E=")</f>
        <v>#REF!</v>
      </c>
      <c r="GM337" t="e">
        <f>IF(#REF!,"AAAAAF/b/8I=",0)</f>
        <v>#REF!</v>
      </c>
      <c r="GN337" t="e">
        <f>AND(#REF!,"AAAAAF/b/8M=")</f>
        <v>#REF!</v>
      </c>
      <c r="GO337" t="e">
        <f>AND(#REF!,"AAAAAF/b/8Q=")</f>
        <v>#REF!</v>
      </c>
      <c r="GP337" t="e">
        <f>AND(#REF!,"AAAAAF/b/8U=")</f>
        <v>#REF!</v>
      </c>
      <c r="GQ337" t="e">
        <f>AND(#REF!,"AAAAAF/b/8Y=")</f>
        <v>#REF!</v>
      </c>
      <c r="GR337" t="e">
        <f>AND(#REF!,"AAAAAF/b/8c=")</f>
        <v>#REF!</v>
      </c>
      <c r="GS337" t="e">
        <f>AND(#REF!,"AAAAAF/b/8g=")</f>
        <v>#REF!</v>
      </c>
      <c r="GT337" t="e">
        <f>AND(#REF!,"AAAAAF/b/8k=")</f>
        <v>#REF!</v>
      </c>
      <c r="GU337" t="e">
        <f>AND(#REF!,"AAAAAF/b/8o=")</f>
        <v>#REF!</v>
      </c>
      <c r="GV337" t="e">
        <f>AND(#REF!,"AAAAAF/b/8s=")</f>
        <v>#REF!</v>
      </c>
      <c r="GW337" t="e">
        <f>AND(#REF!,"AAAAAF/b/8w=")</f>
        <v>#REF!</v>
      </c>
      <c r="GX337" t="e">
        <f>AND(#REF!,"AAAAAF/b/80=")</f>
        <v>#REF!</v>
      </c>
      <c r="GY337" t="e">
        <f>AND(#REF!,"AAAAAF/b/84=")</f>
        <v>#REF!</v>
      </c>
      <c r="GZ337" t="e">
        <f>AND(#REF!,"AAAAAF/b/88=")</f>
        <v>#REF!</v>
      </c>
      <c r="HA337" t="e">
        <f>AND(#REF!,"AAAAAF/b/9A=")</f>
        <v>#REF!</v>
      </c>
      <c r="HB337" t="e">
        <f>AND(#REF!,"AAAAAF/b/9E=")</f>
        <v>#REF!</v>
      </c>
      <c r="HC337" t="e">
        <f>AND(#REF!,"AAAAAF/b/9I=")</f>
        <v>#REF!</v>
      </c>
      <c r="HD337" t="e">
        <f>AND(#REF!,"AAAAAF/b/9M=")</f>
        <v>#REF!</v>
      </c>
      <c r="HE337" t="e">
        <f>AND(#REF!,"AAAAAF/b/9Q=")</f>
        <v>#REF!</v>
      </c>
      <c r="HF337" t="e">
        <f>AND(#REF!,"AAAAAF/b/9U=")</f>
        <v>#REF!</v>
      </c>
      <c r="HG337" t="e">
        <f>AND(#REF!,"AAAAAF/b/9Y=")</f>
        <v>#REF!</v>
      </c>
      <c r="HH337" t="e">
        <f>AND(#REF!,"AAAAAF/b/9c=")</f>
        <v>#REF!</v>
      </c>
      <c r="HI337" t="e">
        <f>AND(#REF!,"AAAAAF/b/9g=")</f>
        <v>#REF!</v>
      </c>
      <c r="HJ337" t="e">
        <f>AND(#REF!,"AAAAAF/b/9k=")</f>
        <v>#REF!</v>
      </c>
      <c r="HK337" t="e">
        <f>AND(#REF!,"AAAAAF/b/9o=")</f>
        <v>#REF!</v>
      </c>
      <c r="HL337" t="e">
        <f>IF(#REF!,"AAAAAF/b/9s=",0)</f>
        <v>#REF!</v>
      </c>
      <c r="HM337" t="e">
        <f>AND(#REF!,"AAAAAF/b/9w=")</f>
        <v>#REF!</v>
      </c>
      <c r="HN337" t="e">
        <f>AND(#REF!,"AAAAAF/b/90=")</f>
        <v>#REF!</v>
      </c>
      <c r="HO337" t="e">
        <f>AND(#REF!,"AAAAAF/b/94=")</f>
        <v>#REF!</v>
      </c>
      <c r="HP337" t="e">
        <f>AND(#REF!,"AAAAAF/b/98=")</f>
        <v>#REF!</v>
      </c>
      <c r="HQ337" t="e">
        <f>AND(#REF!,"AAAAAF/b/+A=")</f>
        <v>#REF!</v>
      </c>
      <c r="HR337" t="e">
        <f>AND(#REF!,"AAAAAF/b/+E=")</f>
        <v>#REF!</v>
      </c>
      <c r="HS337" t="e">
        <f>AND(#REF!,"AAAAAF/b/+I=")</f>
        <v>#REF!</v>
      </c>
      <c r="HT337" t="e">
        <f>AND(#REF!,"AAAAAF/b/+M=")</f>
        <v>#REF!</v>
      </c>
      <c r="HU337" t="e">
        <f>AND(#REF!,"AAAAAF/b/+Q=")</f>
        <v>#REF!</v>
      </c>
      <c r="HV337" t="e">
        <f>AND(#REF!,"AAAAAF/b/+U=")</f>
        <v>#REF!</v>
      </c>
      <c r="HW337" t="e">
        <f>AND(#REF!,"AAAAAF/b/+Y=")</f>
        <v>#REF!</v>
      </c>
      <c r="HX337" t="e">
        <f>AND(#REF!,"AAAAAF/b/+c=")</f>
        <v>#REF!</v>
      </c>
      <c r="HY337" t="e">
        <f>AND(#REF!,"AAAAAF/b/+g=")</f>
        <v>#REF!</v>
      </c>
      <c r="HZ337" t="e">
        <f>AND(#REF!,"AAAAAF/b/+k=")</f>
        <v>#REF!</v>
      </c>
      <c r="IA337" t="e">
        <f>AND(#REF!,"AAAAAF/b/+o=")</f>
        <v>#REF!</v>
      </c>
      <c r="IB337" t="e">
        <f>AND(#REF!,"AAAAAF/b/+s=")</f>
        <v>#REF!</v>
      </c>
      <c r="IC337" t="e">
        <f>AND(#REF!,"AAAAAF/b/+w=")</f>
        <v>#REF!</v>
      </c>
      <c r="ID337" t="e">
        <f>AND(#REF!,"AAAAAF/b/+0=")</f>
        <v>#REF!</v>
      </c>
      <c r="IE337" t="e">
        <f>AND(#REF!,"AAAAAF/b/+4=")</f>
        <v>#REF!</v>
      </c>
      <c r="IF337" t="e">
        <f>AND(#REF!,"AAAAAF/b/+8=")</f>
        <v>#REF!</v>
      </c>
      <c r="IG337" t="e">
        <f>AND(#REF!,"AAAAAF/b//A=")</f>
        <v>#REF!</v>
      </c>
      <c r="IH337" t="e">
        <f>AND(#REF!,"AAAAAF/b//E=")</f>
        <v>#REF!</v>
      </c>
      <c r="II337" t="e">
        <f>AND(#REF!,"AAAAAF/b//I=")</f>
        <v>#REF!</v>
      </c>
      <c r="IJ337" t="e">
        <f>AND(#REF!,"AAAAAF/b//M=")</f>
        <v>#REF!</v>
      </c>
      <c r="IK337" t="e">
        <f>IF(#REF!,"AAAAAF/b//Q=",0)</f>
        <v>#REF!</v>
      </c>
      <c r="IL337" t="e">
        <f>AND(#REF!,"AAAAAF/b//U=")</f>
        <v>#REF!</v>
      </c>
      <c r="IM337" t="e">
        <f>AND(#REF!,"AAAAAF/b//Y=")</f>
        <v>#REF!</v>
      </c>
      <c r="IN337" t="e">
        <f>AND(#REF!,"AAAAAF/b//c=")</f>
        <v>#REF!</v>
      </c>
      <c r="IO337" t="e">
        <f>AND(#REF!,"AAAAAF/b//g=")</f>
        <v>#REF!</v>
      </c>
      <c r="IP337" t="e">
        <f>AND(#REF!,"AAAAAF/b//k=")</f>
        <v>#REF!</v>
      </c>
      <c r="IQ337" t="e">
        <f>AND(#REF!,"AAAAAF/b//o=")</f>
        <v>#REF!</v>
      </c>
      <c r="IR337" t="e">
        <f>AND(#REF!,"AAAAAF/b//s=")</f>
        <v>#REF!</v>
      </c>
      <c r="IS337" t="e">
        <f>AND(#REF!,"AAAAAF/b//w=")</f>
        <v>#REF!</v>
      </c>
      <c r="IT337" t="e">
        <f>AND(#REF!,"AAAAAF/b//0=")</f>
        <v>#REF!</v>
      </c>
      <c r="IU337" t="e">
        <f>AND(#REF!,"AAAAAF/b//4=")</f>
        <v>#REF!</v>
      </c>
      <c r="IV337" t="e">
        <f>AND(#REF!,"AAAAAF/b//8=")</f>
        <v>#REF!</v>
      </c>
    </row>
    <row r="338" spans="1:256">
      <c r="A338" t="e">
        <f>AND(#REF!,"AAAAAH7X7wA=")</f>
        <v>#REF!</v>
      </c>
      <c r="B338" t="e">
        <f>AND(#REF!,"AAAAAH7X7wE=")</f>
        <v>#REF!</v>
      </c>
      <c r="C338" t="e">
        <f>AND(#REF!,"AAAAAH7X7wI=")</f>
        <v>#REF!</v>
      </c>
      <c r="D338" t="e">
        <f>AND(#REF!,"AAAAAH7X7wM=")</f>
        <v>#REF!</v>
      </c>
      <c r="E338" t="e">
        <f>AND(#REF!,"AAAAAH7X7wQ=")</f>
        <v>#REF!</v>
      </c>
      <c r="F338" t="e">
        <f>AND(#REF!,"AAAAAH7X7wU=")</f>
        <v>#REF!</v>
      </c>
      <c r="G338" t="e">
        <f>AND(#REF!,"AAAAAH7X7wY=")</f>
        <v>#REF!</v>
      </c>
      <c r="H338" t="e">
        <f>AND(#REF!,"AAAAAH7X7wc=")</f>
        <v>#REF!</v>
      </c>
      <c r="I338" t="e">
        <f>AND(#REF!,"AAAAAH7X7wg=")</f>
        <v>#REF!</v>
      </c>
      <c r="J338" t="e">
        <f>AND(#REF!,"AAAAAH7X7wk=")</f>
        <v>#REF!</v>
      </c>
      <c r="K338" t="e">
        <f>AND(#REF!,"AAAAAH7X7wo=")</f>
        <v>#REF!</v>
      </c>
      <c r="L338" t="e">
        <f>AND(#REF!,"AAAAAH7X7ws=")</f>
        <v>#REF!</v>
      </c>
      <c r="M338" t="e">
        <f>AND(#REF!,"AAAAAH7X7ww=")</f>
        <v>#REF!</v>
      </c>
      <c r="N338" t="e">
        <f>IF(#REF!,"AAAAAH7X7w0=",0)</f>
        <v>#REF!</v>
      </c>
      <c r="O338" t="e">
        <f>AND(#REF!,"AAAAAH7X7w4=")</f>
        <v>#REF!</v>
      </c>
      <c r="P338" t="e">
        <f>AND(#REF!,"AAAAAH7X7w8=")</f>
        <v>#REF!</v>
      </c>
      <c r="Q338" t="e">
        <f>AND(#REF!,"AAAAAH7X7xA=")</f>
        <v>#REF!</v>
      </c>
      <c r="R338" t="e">
        <f>AND(#REF!,"AAAAAH7X7xE=")</f>
        <v>#REF!</v>
      </c>
      <c r="S338" t="e">
        <f>AND(#REF!,"AAAAAH7X7xI=")</f>
        <v>#REF!</v>
      </c>
      <c r="T338" t="e">
        <f>AND(#REF!,"AAAAAH7X7xM=")</f>
        <v>#REF!</v>
      </c>
      <c r="U338" t="e">
        <f>AND(#REF!,"AAAAAH7X7xQ=")</f>
        <v>#REF!</v>
      </c>
      <c r="V338" t="e">
        <f>AND(#REF!,"AAAAAH7X7xU=")</f>
        <v>#REF!</v>
      </c>
      <c r="W338" t="e">
        <f>AND(#REF!,"AAAAAH7X7xY=")</f>
        <v>#REF!</v>
      </c>
      <c r="X338" t="e">
        <f>AND(#REF!,"AAAAAH7X7xc=")</f>
        <v>#REF!</v>
      </c>
      <c r="Y338" t="e">
        <f>AND(#REF!,"AAAAAH7X7xg=")</f>
        <v>#REF!</v>
      </c>
      <c r="Z338" t="e">
        <f>AND(#REF!,"AAAAAH7X7xk=")</f>
        <v>#REF!</v>
      </c>
      <c r="AA338" t="e">
        <f>AND(#REF!,"AAAAAH7X7xo=")</f>
        <v>#REF!</v>
      </c>
      <c r="AB338" t="e">
        <f>AND(#REF!,"AAAAAH7X7xs=")</f>
        <v>#REF!</v>
      </c>
      <c r="AC338" t="e">
        <f>AND(#REF!,"AAAAAH7X7xw=")</f>
        <v>#REF!</v>
      </c>
      <c r="AD338" t="e">
        <f>AND(#REF!,"AAAAAH7X7x0=")</f>
        <v>#REF!</v>
      </c>
      <c r="AE338" t="e">
        <f>AND(#REF!,"AAAAAH7X7x4=")</f>
        <v>#REF!</v>
      </c>
      <c r="AF338" t="e">
        <f>AND(#REF!,"AAAAAH7X7x8=")</f>
        <v>#REF!</v>
      </c>
      <c r="AG338" t="e">
        <f>AND(#REF!,"AAAAAH7X7yA=")</f>
        <v>#REF!</v>
      </c>
      <c r="AH338" t="e">
        <f>AND(#REF!,"AAAAAH7X7yE=")</f>
        <v>#REF!</v>
      </c>
      <c r="AI338" t="e">
        <f>AND(#REF!,"AAAAAH7X7yI=")</f>
        <v>#REF!</v>
      </c>
      <c r="AJ338" t="e">
        <f>AND(#REF!,"AAAAAH7X7yM=")</f>
        <v>#REF!</v>
      </c>
      <c r="AK338" t="e">
        <f>AND(#REF!,"AAAAAH7X7yQ=")</f>
        <v>#REF!</v>
      </c>
      <c r="AL338" t="e">
        <f>AND(#REF!,"AAAAAH7X7yU=")</f>
        <v>#REF!</v>
      </c>
      <c r="AM338" t="e">
        <f>IF(#REF!,"AAAAAH7X7yY=",0)</f>
        <v>#REF!</v>
      </c>
      <c r="AN338" t="e">
        <f>AND(#REF!,"AAAAAH7X7yc=")</f>
        <v>#REF!</v>
      </c>
      <c r="AO338" t="e">
        <f>AND(#REF!,"AAAAAH7X7yg=")</f>
        <v>#REF!</v>
      </c>
      <c r="AP338" t="e">
        <f>AND(#REF!,"AAAAAH7X7yk=")</f>
        <v>#REF!</v>
      </c>
      <c r="AQ338" t="e">
        <f>AND(#REF!,"AAAAAH7X7yo=")</f>
        <v>#REF!</v>
      </c>
      <c r="AR338" t="e">
        <f>AND(#REF!,"AAAAAH7X7ys=")</f>
        <v>#REF!</v>
      </c>
      <c r="AS338" t="e">
        <f>AND(#REF!,"AAAAAH7X7yw=")</f>
        <v>#REF!</v>
      </c>
      <c r="AT338" t="e">
        <f>AND(#REF!,"AAAAAH7X7y0=")</f>
        <v>#REF!</v>
      </c>
      <c r="AU338" t="e">
        <f>AND(#REF!,"AAAAAH7X7y4=")</f>
        <v>#REF!</v>
      </c>
      <c r="AV338" t="e">
        <f>AND(#REF!,"AAAAAH7X7y8=")</f>
        <v>#REF!</v>
      </c>
      <c r="AW338" t="e">
        <f>AND(#REF!,"AAAAAH7X7zA=")</f>
        <v>#REF!</v>
      </c>
      <c r="AX338" t="e">
        <f>AND(#REF!,"AAAAAH7X7zE=")</f>
        <v>#REF!</v>
      </c>
      <c r="AY338" t="e">
        <f>AND(#REF!,"AAAAAH7X7zI=")</f>
        <v>#REF!</v>
      </c>
      <c r="AZ338" t="e">
        <f>AND(#REF!,"AAAAAH7X7zM=")</f>
        <v>#REF!</v>
      </c>
      <c r="BA338" t="e">
        <f>AND(#REF!,"AAAAAH7X7zQ=")</f>
        <v>#REF!</v>
      </c>
      <c r="BB338" t="e">
        <f>AND(#REF!,"AAAAAH7X7zU=")</f>
        <v>#REF!</v>
      </c>
      <c r="BC338" t="e">
        <f>AND(#REF!,"AAAAAH7X7zY=")</f>
        <v>#REF!</v>
      </c>
      <c r="BD338" t="e">
        <f>AND(#REF!,"AAAAAH7X7zc=")</f>
        <v>#REF!</v>
      </c>
      <c r="BE338" t="e">
        <f>AND(#REF!,"AAAAAH7X7zg=")</f>
        <v>#REF!</v>
      </c>
      <c r="BF338" t="e">
        <f>AND(#REF!,"AAAAAH7X7zk=")</f>
        <v>#REF!</v>
      </c>
      <c r="BG338" t="e">
        <f>AND(#REF!,"AAAAAH7X7zo=")</f>
        <v>#REF!</v>
      </c>
      <c r="BH338" t="e">
        <f>AND(#REF!,"AAAAAH7X7zs=")</f>
        <v>#REF!</v>
      </c>
      <c r="BI338" t="e">
        <f>AND(#REF!,"AAAAAH7X7zw=")</f>
        <v>#REF!</v>
      </c>
      <c r="BJ338" t="e">
        <f>AND(#REF!,"AAAAAH7X7z0=")</f>
        <v>#REF!</v>
      </c>
      <c r="BK338" t="e">
        <f>AND(#REF!,"AAAAAH7X7z4=")</f>
        <v>#REF!</v>
      </c>
      <c r="BL338" t="e">
        <f>IF(#REF!,"AAAAAH7X7z8=",0)</f>
        <v>#REF!</v>
      </c>
      <c r="BM338" t="e">
        <f>AND(#REF!,"AAAAAH7X70A=")</f>
        <v>#REF!</v>
      </c>
      <c r="BN338" t="e">
        <f>AND(#REF!,"AAAAAH7X70E=")</f>
        <v>#REF!</v>
      </c>
      <c r="BO338" t="e">
        <f>AND(#REF!,"AAAAAH7X70I=")</f>
        <v>#REF!</v>
      </c>
      <c r="BP338" t="e">
        <f>AND(#REF!,"AAAAAH7X70M=")</f>
        <v>#REF!</v>
      </c>
      <c r="BQ338" t="e">
        <f>AND(#REF!,"AAAAAH7X70Q=")</f>
        <v>#REF!</v>
      </c>
      <c r="BR338" t="e">
        <f>AND(#REF!,"AAAAAH7X70U=")</f>
        <v>#REF!</v>
      </c>
      <c r="BS338" t="e">
        <f>AND(#REF!,"AAAAAH7X70Y=")</f>
        <v>#REF!</v>
      </c>
      <c r="BT338" t="e">
        <f>AND(#REF!,"AAAAAH7X70c=")</f>
        <v>#REF!</v>
      </c>
      <c r="BU338" t="e">
        <f>AND(#REF!,"AAAAAH7X70g=")</f>
        <v>#REF!</v>
      </c>
      <c r="BV338" t="e">
        <f>AND(#REF!,"AAAAAH7X70k=")</f>
        <v>#REF!</v>
      </c>
      <c r="BW338" t="e">
        <f>AND(#REF!,"AAAAAH7X70o=")</f>
        <v>#REF!</v>
      </c>
      <c r="BX338" t="e">
        <f>AND(#REF!,"AAAAAH7X70s=")</f>
        <v>#REF!</v>
      </c>
      <c r="BY338" t="e">
        <f>AND(#REF!,"AAAAAH7X70w=")</f>
        <v>#REF!</v>
      </c>
      <c r="BZ338" t="e">
        <f>AND(#REF!,"AAAAAH7X700=")</f>
        <v>#REF!</v>
      </c>
      <c r="CA338" t="e">
        <f>AND(#REF!,"AAAAAH7X704=")</f>
        <v>#REF!</v>
      </c>
      <c r="CB338" t="e">
        <f>AND(#REF!,"AAAAAH7X708=")</f>
        <v>#REF!</v>
      </c>
      <c r="CC338" t="e">
        <f>AND(#REF!,"AAAAAH7X71A=")</f>
        <v>#REF!</v>
      </c>
      <c r="CD338" t="e">
        <f>AND(#REF!,"AAAAAH7X71E=")</f>
        <v>#REF!</v>
      </c>
      <c r="CE338" t="e">
        <f>AND(#REF!,"AAAAAH7X71I=")</f>
        <v>#REF!</v>
      </c>
      <c r="CF338" t="e">
        <f>AND(#REF!,"AAAAAH7X71M=")</f>
        <v>#REF!</v>
      </c>
      <c r="CG338" t="e">
        <f>AND(#REF!,"AAAAAH7X71Q=")</f>
        <v>#REF!</v>
      </c>
      <c r="CH338" t="e">
        <f>AND(#REF!,"AAAAAH7X71U=")</f>
        <v>#REF!</v>
      </c>
      <c r="CI338" t="e">
        <f>AND(#REF!,"AAAAAH7X71Y=")</f>
        <v>#REF!</v>
      </c>
      <c r="CJ338" t="e">
        <f>AND(#REF!,"AAAAAH7X71c=")</f>
        <v>#REF!</v>
      </c>
      <c r="CK338" t="e">
        <f>IF(#REF!,"AAAAAH7X71g=",0)</f>
        <v>#REF!</v>
      </c>
      <c r="CL338" t="e">
        <f>AND(#REF!,"AAAAAH7X71k=")</f>
        <v>#REF!</v>
      </c>
      <c r="CM338" t="e">
        <f>AND(#REF!,"AAAAAH7X71o=")</f>
        <v>#REF!</v>
      </c>
      <c r="CN338" t="e">
        <f>AND(#REF!,"AAAAAH7X71s=")</f>
        <v>#REF!</v>
      </c>
      <c r="CO338" t="e">
        <f>AND(#REF!,"AAAAAH7X71w=")</f>
        <v>#REF!</v>
      </c>
      <c r="CP338" t="e">
        <f>AND(#REF!,"AAAAAH7X710=")</f>
        <v>#REF!</v>
      </c>
      <c r="CQ338" t="e">
        <f>AND(#REF!,"AAAAAH7X714=")</f>
        <v>#REF!</v>
      </c>
      <c r="CR338" t="e">
        <f>AND(#REF!,"AAAAAH7X718=")</f>
        <v>#REF!</v>
      </c>
      <c r="CS338" t="e">
        <f>AND(#REF!,"AAAAAH7X72A=")</f>
        <v>#REF!</v>
      </c>
      <c r="CT338" t="e">
        <f>AND(#REF!,"AAAAAH7X72E=")</f>
        <v>#REF!</v>
      </c>
      <c r="CU338" t="e">
        <f>AND(#REF!,"AAAAAH7X72I=")</f>
        <v>#REF!</v>
      </c>
      <c r="CV338" t="e">
        <f>AND(#REF!,"AAAAAH7X72M=")</f>
        <v>#REF!</v>
      </c>
      <c r="CW338" t="e">
        <f>AND(#REF!,"AAAAAH7X72Q=")</f>
        <v>#REF!</v>
      </c>
      <c r="CX338" t="e">
        <f>AND(#REF!,"AAAAAH7X72U=")</f>
        <v>#REF!</v>
      </c>
      <c r="CY338" t="e">
        <f>AND(#REF!,"AAAAAH7X72Y=")</f>
        <v>#REF!</v>
      </c>
      <c r="CZ338" t="e">
        <f>AND(#REF!,"AAAAAH7X72c=")</f>
        <v>#REF!</v>
      </c>
      <c r="DA338" t="e">
        <f>AND(#REF!,"AAAAAH7X72g=")</f>
        <v>#REF!</v>
      </c>
      <c r="DB338" t="e">
        <f>AND(#REF!,"AAAAAH7X72k=")</f>
        <v>#REF!</v>
      </c>
      <c r="DC338" t="e">
        <f>AND(#REF!,"AAAAAH7X72o=")</f>
        <v>#REF!</v>
      </c>
      <c r="DD338" t="e">
        <f>AND(#REF!,"AAAAAH7X72s=")</f>
        <v>#REF!</v>
      </c>
      <c r="DE338" t="e">
        <f>AND(#REF!,"AAAAAH7X72w=")</f>
        <v>#REF!</v>
      </c>
      <c r="DF338" t="e">
        <f>AND(#REF!,"AAAAAH7X720=")</f>
        <v>#REF!</v>
      </c>
      <c r="DG338" t="e">
        <f>AND(#REF!,"AAAAAH7X724=")</f>
        <v>#REF!</v>
      </c>
      <c r="DH338" t="e">
        <f>AND(#REF!,"AAAAAH7X728=")</f>
        <v>#REF!</v>
      </c>
      <c r="DI338" t="e">
        <f>AND(#REF!,"AAAAAH7X73A=")</f>
        <v>#REF!</v>
      </c>
      <c r="DJ338" t="e">
        <f>IF(#REF!,"AAAAAH7X73E=",0)</f>
        <v>#REF!</v>
      </c>
      <c r="DK338" t="e">
        <f>AND(#REF!,"AAAAAH7X73I=")</f>
        <v>#REF!</v>
      </c>
      <c r="DL338" t="e">
        <f>AND(#REF!,"AAAAAH7X73M=")</f>
        <v>#REF!</v>
      </c>
      <c r="DM338" t="e">
        <f>AND(#REF!,"AAAAAH7X73Q=")</f>
        <v>#REF!</v>
      </c>
      <c r="DN338" t="e">
        <f>AND(#REF!,"AAAAAH7X73U=")</f>
        <v>#REF!</v>
      </c>
      <c r="DO338" t="e">
        <f>AND(#REF!,"AAAAAH7X73Y=")</f>
        <v>#REF!</v>
      </c>
      <c r="DP338" t="e">
        <f>AND(#REF!,"AAAAAH7X73c=")</f>
        <v>#REF!</v>
      </c>
      <c r="DQ338" t="e">
        <f>AND(#REF!,"AAAAAH7X73g=")</f>
        <v>#REF!</v>
      </c>
      <c r="DR338" t="e">
        <f>AND(#REF!,"AAAAAH7X73k=")</f>
        <v>#REF!</v>
      </c>
      <c r="DS338" t="e">
        <f>AND(#REF!,"AAAAAH7X73o=")</f>
        <v>#REF!</v>
      </c>
      <c r="DT338" t="e">
        <f>AND(#REF!,"AAAAAH7X73s=")</f>
        <v>#REF!</v>
      </c>
      <c r="DU338" t="e">
        <f>AND(#REF!,"AAAAAH7X73w=")</f>
        <v>#REF!</v>
      </c>
      <c r="DV338" t="e">
        <f>AND(#REF!,"AAAAAH7X730=")</f>
        <v>#REF!</v>
      </c>
      <c r="DW338" t="e">
        <f>AND(#REF!,"AAAAAH7X734=")</f>
        <v>#REF!</v>
      </c>
      <c r="DX338" t="e">
        <f>AND(#REF!,"AAAAAH7X738=")</f>
        <v>#REF!</v>
      </c>
      <c r="DY338" t="e">
        <f>AND(#REF!,"AAAAAH7X74A=")</f>
        <v>#REF!</v>
      </c>
      <c r="DZ338" t="e">
        <f>AND(#REF!,"AAAAAH7X74E=")</f>
        <v>#REF!</v>
      </c>
      <c r="EA338" t="e">
        <f>AND(#REF!,"AAAAAH7X74I=")</f>
        <v>#REF!</v>
      </c>
      <c r="EB338" t="e">
        <f>AND(#REF!,"AAAAAH7X74M=")</f>
        <v>#REF!</v>
      </c>
      <c r="EC338" t="e">
        <f>AND(#REF!,"AAAAAH7X74Q=")</f>
        <v>#REF!</v>
      </c>
      <c r="ED338" t="e">
        <f>AND(#REF!,"AAAAAH7X74U=")</f>
        <v>#REF!</v>
      </c>
      <c r="EE338" t="e">
        <f>AND(#REF!,"AAAAAH7X74Y=")</f>
        <v>#REF!</v>
      </c>
      <c r="EF338" t="e">
        <f>AND(#REF!,"AAAAAH7X74c=")</f>
        <v>#REF!</v>
      </c>
      <c r="EG338" t="e">
        <f>AND(#REF!,"AAAAAH7X74g=")</f>
        <v>#REF!</v>
      </c>
      <c r="EH338" t="e">
        <f>AND(#REF!,"AAAAAH7X74k=")</f>
        <v>#REF!</v>
      </c>
      <c r="EI338" t="e">
        <f>IF(#REF!,"AAAAAH7X74o=",0)</f>
        <v>#REF!</v>
      </c>
      <c r="EJ338" t="e">
        <f>AND(#REF!,"AAAAAH7X74s=")</f>
        <v>#REF!</v>
      </c>
      <c r="EK338" t="e">
        <f>AND(#REF!,"AAAAAH7X74w=")</f>
        <v>#REF!</v>
      </c>
      <c r="EL338" t="e">
        <f>AND(#REF!,"AAAAAH7X740=")</f>
        <v>#REF!</v>
      </c>
      <c r="EM338" t="e">
        <f>AND(#REF!,"AAAAAH7X744=")</f>
        <v>#REF!</v>
      </c>
      <c r="EN338" t="e">
        <f>AND(#REF!,"AAAAAH7X748=")</f>
        <v>#REF!</v>
      </c>
      <c r="EO338" t="e">
        <f>AND(#REF!,"AAAAAH7X75A=")</f>
        <v>#REF!</v>
      </c>
      <c r="EP338" t="e">
        <f>AND(#REF!,"AAAAAH7X75E=")</f>
        <v>#REF!</v>
      </c>
      <c r="EQ338" t="e">
        <f>AND(#REF!,"AAAAAH7X75I=")</f>
        <v>#REF!</v>
      </c>
      <c r="ER338" t="e">
        <f>AND(#REF!,"AAAAAH7X75M=")</f>
        <v>#REF!</v>
      </c>
      <c r="ES338" t="e">
        <f>AND(#REF!,"AAAAAH7X75Q=")</f>
        <v>#REF!</v>
      </c>
      <c r="ET338" t="e">
        <f>AND(#REF!,"AAAAAH7X75U=")</f>
        <v>#REF!</v>
      </c>
      <c r="EU338" t="e">
        <f>AND(#REF!,"AAAAAH7X75Y=")</f>
        <v>#REF!</v>
      </c>
      <c r="EV338" t="e">
        <f>AND(#REF!,"AAAAAH7X75c=")</f>
        <v>#REF!</v>
      </c>
      <c r="EW338" t="e">
        <f>AND(#REF!,"AAAAAH7X75g=")</f>
        <v>#REF!</v>
      </c>
      <c r="EX338" t="e">
        <f>AND(#REF!,"AAAAAH7X75k=")</f>
        <v>#REF!</v>
      </c>
      <c r="EY338" t="e">
        <f>AND(#REF!,"AAAAAH7X75o=")</f>
        <v>#REF!</v>
      </c>
      <c r="EZ338" t="e">
        <f>AND(#REF!,"AAAAAH7X75s=")</f>
        <v>#REF!</v>
      </c>
      <c r="FA338" t="e">
        <f>AND(#REF!,"AAAAAH7X75w=")</f>
        <v>#REF!</v>
      </c>
      <c r="FB338" t="e">
        <f>AND(#REF!,"AAAAAH7X750=")</f>
        <v>#REF!</v>
      </c>
      <c r="FC338" t="e">
        <f>AND(#REF!,"AAAAAH7X754=")</f>
        <v>#REF!</v>
      </c>
      <c r="FD338" t="e">
        <f>AND(#REF!,"AAAAAH7X758=")</f>
        <v>#REF!</v>
      </c>
      <c r="FE338" t="e">
        <f>AND(#REF!,"AAAAAH7X76A=")</f>
        <v>#REF!</v>
      </c>
      <c r="FF338" t="e">
        <f>AND(#REF!,"AAAAAH7X76E=")</f>
        <v>#REF!</v>
      </c>
      <c r="FG338" t="e">
        <f>AND(#REF!,"AAAAAH7X76I=")</f>
        <v>#REF!</v>
      </c>
      <c r="FH338" t="e">
        <f>IF(#REF!,"AAAAAH7X76M=",0)</f>
        <v>#REF!</v>
      </c>
      <c r="FI338" t="e">
        <f>AND(#REF!,"AAAAAH7X76Q=")</f>
        <v>#REF!</v>
      </c>
      <c r="FJ338" t="e">
        <f>AND(#REF!,"AAAAAH7X76U=")</f>
        <v>#REF!</v>
      </c>
      <c r="FK338" t="e">
        <f>AND(#REF!,"AAAAAH7X76Y=")</f>
        <v>#REF!</v>
      </c>
      <c r="FL338" t="e">
        <f>AND(#REF!,"AAAAAH7X76c=")</f>
        <v>#REF!</v>
      </c>
      <c r="FM338" t="e">
        <f>AND(#REF!,"AAAAAH7X76g=")</f>
        <v>#REF!</v>
      </c>
      <c r="FN338" t="e">
        <f>AND(#REF!,"AAAAAH7X76k=")</f>
        <v>#REF!</v>
      </c>
      <c r="FO338" t="e">
        <f>AND(#REF!,"AAAAAH7X76o=")</f>
        <v>#REF!</v>
      </c>
      <c r="FP338" t="e">
        <f>AND(#REF!,"AAAAAH7X76s=")</f>
        <v>#REF!</v>
      </c>
      <c r="FQ338" t="e">
        <f>AND(#REF!,"AAAAAH7X76w=")</f>
        <v>#REF!</v>
      </c>
      <c r="FR338" t="e">
        <f>AND(#REF!,"AAAAAH7X760=")</f>
        <v>#REF!</v>
      </c>
      <c r="FS338" t="e">
        <f>AND(#REF!,"AAAAAH7X764=")</f>
        <v>#REF!</v>
      </c>
      <c r="FT338" t="e">
        <f>AND(#REF!,"AAAAAH7X768=")</f>
        <v>#REF!</v>
      </c>
      <c r="FU338" t="e">
        <f>AND(#REF!,"AAAAAH7X77A=")</f>
        <v>#REF!</v>
      </c>
      <c r="FV338" t="e">
        <f>AND(#REF!,"AAAAAH7X77E=")</f>
        <v>#REF!</v>
      </c>
      <c r="FW338" t="e">
        <f>AND(#REF!,"AAAAAH7X77I=")</f>
        <v>#REF!</v>
      </c>
      <c r="FX338" t="e">
        <f>AND(#REF!,"AAAAAH7X77M=")</f>
        <v>#REF!</v>
      </c>
      <c r="FY338" t="e">
        <f>AND(#REF!,"AAAAAH7X77Q=")</f>
        <v>#REF!</v>
      </c>
      <c r="FZ338" t="e">
        <f>AND(#REF!,"AAAAAH7X77U=")</f>
        <v>#REF!</v>
      </c>
      <c r="GA338" t="e">
        <f>AND(#REF!,"AAAAAH7X77Y=")</f>
        <v>#REF!</v>
      </c>
      <c r="GB338" t="e">
        <f>AND(#REF!,"AAAAAH7X77c=")</f>
        <v>#REF!</v>
      </c>
      <c r="GC338" t="e">
        <f>AND(#REF!,"AAAAAH7X77g=")</f>
        <v>#REF!</v>
      </c>
      <c r="GD338" t="e">
        <f>AND(#REF!,"AAAAAH7X77k=")</f>
        <v>#REF!</v>
      </c>
      <c r="GE338" t="e">
        <f>AND(#REF!,"AAAAAH7X77o=")</f>
        <v>#REF!</v>
      </c>
      <c r="GF338" t="e">
        <f>AND(#REF!,"AAAAAH7X77s=")</f>
        <v>#REF!</v>
      </c>
      <c r="GG338" t="e">
        <f>IF(#REF!,"AAAAAH7X77w=",0)</f>
        <v>#REF!</v>
      </c>
      <c r="GH338" t="e">
        <f>AND(#REF!,"AAAAAH7X770=")</f>
        <v>#REF!</v>
      </c>
      <c r="GI338" t="e">
        <f>AND(#REF!,"AAAAAH7X774=")</f>
        <v>#REF!</v>
      </c>
      <c r="GJ338" t="e">
        <f>AND(#REF!,"AAAAAH7X778=")</f>
        <v>#REF!</v>
      </c>
      <c r="GK338" t="e">
        <f>AND(#REF!,"AAAAAH7X78A=")</f>
        <v>#REF!</v>
      </c>
      <c r="GL338" t="e">
        <f>AND(#REF!,"AAAAAH7X78E=")</f>
        <v>#REF!</v>
      </c>
      <c r="GM338" t="e">
        <f>AND(#REF!,"AAAAAH7X78I=")</f>
        <v>#REF!</v>
      </c>
      <c r="GN338" t="e">
        <f>AND(#REF!,"AAAAAH7X78M=")</f>
        <v>#REF!</v>
      </c>
      <c r="GO338" t="e">
        <f>AND(#REF!,"AAAAAH7X78Q=")</f>
        <v>#REF!</v>
      </c>
      <c r="GP338" t="e">
        <f>AND(#REF!,"AAAAAH7X78U=")</f>
        <v>#REF!</v>
      </c>
      <c r="GQ338" t="e">
        <f>AND(#REF!,"AAAAAH7X78Y=")</f>
        <v>#REF!</v>
      </c>
      <c r="GR338" t="e">
        <f>AND(#REF!,"AAAAAH7X78c=")</f>
        <v>#REF!</v>
      </c>
      <c r="GS338" t="e">
        <f>AND(#REF!,"AAAAAH7X78g=")</f>
        <v>#REF!</v>
      </c>
      <c r="GT338" t="e">
        <f>AND(#REF!,"AAAAAH7X78k=")</f>
        <v>#REF!</v>
      </c>
      <c r="GU338" t="e">
        <f>AND(#REF!,"AAAAAH7X78o=")</f>
        <v>#REF!</v>
      </c>
      <c r="GV338" t="e">
        <f>AND(#REF!,"AAAAAH7X78s=")</f>
        <v>#REF!</v>
      </c>
      <c r="GW338" t="e">
        <f>AND(#REF!,"AAAAAH7X78w=")</f>
        <v>#REF!</v>
      </c>
      <c r="GX338" t="e">
        <f>AND(#REF!,"AAAAAH7X780=")</f>
        <v>#REF!</v>
      </c>
      <c r="GY338" t="e">
        <f>AND(#REF!,"AAAAAH7X784=")</f>
        <v>#REF!</v>
      </c>
      <c r="GZ338" t="e">
        <f>AND(#REF!,"AAAAAH7X788=")</f>
        <v>#REF!</v>
      </c>
      <c r="HA338" t="e">
        <f>AND(#REF!,"AAAAAH7X79A=")</f>
        <v>#REF!</v>
      </c>
      <c r="HB338" t="e">
        <f>AND(#REF!,"AAAAAH7X79E=")</f>
        <v>#REF!</v>
      </c>
      <c r="HC338" t="e">
        <f>AND(#REF!,"AAAAAH7X79I=")</f>
        <v>#REF!</v>
      </c>
      <c r="HD338" t="e">
        <f>AND(#REF!,"AAAAAH7X79M=")</f>
        <v>#REF!</v>
      </c>
      <c r="HE338" t="e">
        <f>AND(#REF!,"AAAAAH7X79Q=")</f>
        <v>#REF!</v>
      </c>
      <c r="HF338" t="e">
        <f>IF(#REF!,"AAAAAH7X79U=",0)</f>
        <v>#REF!</v>
      </c>
      <c r="HG338" t="e">
        <f>AND(#REF!,"AAAAAH7X79Y=")</f>
        <v>#REF!</v>
      </c>
      <c r="HH338" t="e">
        <f>AND(#REF!,"AAAAAH7X79c=")</f>
        <v>#REF!</v>
      </c>
      <c r="HI338" t="e">
        <f>AND(#REF!,"AAAAAH7X79g=")</f>
        <v>#REF!</v>
      </c>
      <c r="HJ338" t="e">
        <f>AND(#REF!,"AAAAAH7X79k=")</f>
        <v>#REF!</v>
      </c>
      <c r="HK338" t="e">
        <f>AND(#REF!,"AAAAAH7X79o=")</f>
        <v>#REF!</v>
      </c>
      <c r="HL338" t="e">
        <f>AND(#REF!,"AAAAAH7X79s=")</f>
        <v>#REF!</v>
      </c>
      <c r="HM338" t="e">
        <f>AND(#REF!,"AAAAAH7X79w=")</f>
        <v>#REF!</v>
      </c>
      <c r="HN338" t="e">
        <f>AND(#REF!,"AAAAAH7X790=")</f>
        <v>#REF!</v>
      </c>
      <c r="HO338" t="e">
        <f>AND(#REF!,"AAAAAH7X794=")</f>
        <v>#REF!</v>
      </c>
      <c r="HP338" t="e">
        <f>AND(#REF!,"AAAAAH7X798=")</f>
        <v>#REF!</v>
      </c>
      <c r="HQ338" t="e">
        <f>AND(#REF!,"AAAAAH7X7+A=")</f>
        <v>#REF!</v>
      </c>
      <c r="HR338" t="e">
        <f>AND(#REF!,"AAAAAH7X7+E=")</f>
        <v>#REF!</v>
      </c>
      <c r="HS338" t="e">
        <f>AND(#REF!,"AAAAAH7X7+I=")</f>
        <v>#REF!</v>
      </c>
      <c r="HT338" t="e">
        <f>AND(#REF!,"AAAAAH7X7+M=")</f>
        <v>#REF!</v>
      </c>
      <c r="HU338" t="e">
        <f>AND(#REF!,"AAAAAH7X7+Q=")</f>
        <v>#REF!</v>
      </c>
      <c r="HV338" t="e">
        <f>AND(#REF!,"AAAAAH7X7+U=")</f>
        <v>#REF!</v>
      </c>
      <c r="HW338" t="e">
        <f>AND(#REF!,"AAAAAH7X7+Y=")</f>
        <v>#REF!</v>
      </c>
      <c r="HX338" t="e">
        <f>AND(#REF!,"AAAAAH7X7+c=")</f>
        <v>#REF!</v>
      </c>
      <c r="HY338" t="e">
        <f>AND(#REF!,"AAAAAH7X7+g=")</f>
        <v>#REF!</v>
      </c>
      <c r="HZ338" t="e">
        <f>AND(#REF!,"AAAAAH7X7+k=")</f>
        <v>#REF!</v>
      </c>
      <c r="IA338" t="e">
        <f>AND(#REF!,"AAAAAH7X7+o=")</f>
        <v>#REF!</v>
      </c>
      <c r="IB338" t="e">
        <f>AND(#REF!,"AAAAAH7X7+s=")</f>
        <v>#REF!</v>
      </c>
      <c r="IC338" t="e">
        <f>AND(#REF!,"AAAAAH7X7+w=")</f>
        <v>#REF!</v>
      </c>
      <c r="ID338" t="e">
        <f>AND(#REF!,"AAAAAH7X7+0=")</f>
        <v>#REF!</v>
      </c>
      <c r="IE338" t="e">
        <f>IF(#REF!,"AAAAAH7X7+4=",0)</f>
        <v>#REF!</v>
      </c>
      <c r="IF338" t="e">
        <f>AND(#REF!,"AAAAAH7X7+8=")</f>
        <v>#REF!</v>
      </c>
      <c r="IG338" t="e">
        <f>AND(#REF!,"AAAAAH7X7/A=")</f>
        <v>#REF!</v>
      </c>
      <c r="IH338" t="e">
        <f>AND(#REF!,"AAAAAH7X7/E=")</f>
        <v>#REF!</v>
      </c>
      <c r="II338" t="e">
        <f>AND(#REF!,"AAAAAH7X7/I=")</f>
        <v>#REF!</v>
      </c>
      <c r="IJ338" t="e">
        <f>AND(#REF!,"AAAAAH7X7/M=")</f>
        <v>#REF!</v>
      </c>
      <c r="IK338" t="e">
        <f>AND(#REF!,"AAAAAH7X7/Q=")</f>
        <v>#REF!</v>
      </c>
      <c r="IL338" t="e">
        <f>AND(#REF!,"AAAAAH7X7/U=")</f>
        <v>#REF!</v>
      </c>
      <c r="IM338" t="e">
        <f>AND(#REF!,"AAAAAH7X7/Y=")</f>
        <v>#REF!</v>
      </c>
      <c r="IN338" t="e">
        <f>AND(#REF!,"AAAAAH7X7/c=")</f>
        <v>#REF!</v>
      </c>
      <c r="IO338" t="e">
        <f>AND(#REF!,"AAAAAH7X7/g=")</f>
        <v>#REF!</v>
      </c>
      <c r="IP338" t="e">
        <f>AND(#REF!,"AAAAAH7X7/k=")</f>
        <v>#REF!</v>
      </c>
      <c r="IQ338" t="e">
        <f>AND(#REF!,"AAAAAH7X7/o=")</f>
        <v>#REF!</v>
      </c>
      <c r="IR338" t="e">
        <f>AND(#REF!,"AAAAAH7X7/s=")</f>
        <v>#REF!</v>
      </c>
      <c r="IS338" t="e">
        <f>AND(#REF!,"AAAAAH7X7/w=")</f>
        <v>#REF!</v>
      </c>
      <c r="IT338" t="e">
        <f>AND(#REF!,"AAAAAH7X7/0=")</f>
        <v>#REF!</v>
      </c>
      <c r="IU338" t="e">
        <f>AND(#REF!,"AAAAAH7X7/4=")</f>
        <v>#REF!</v>
      </c>
      <c r="IV338" t="e">
        <f>AND(#REF!,"AAAAAH7X7/8=")</f>
        <v>#REF!</v>
      </c>
    </row>
    <row r="339" spans="1:256">
      <c r="A339" t="e">
        <f>AND(#REF!,"AAAAAF6vrgA=")</f>
        <v>#REF!</v>
      </c>
      <c r="B339" t="e">
        <f>AND(#REF!,"AAAAAF6vrgE=")</f>
        <v>#REF!</v>
      </c>
      <c r="C339" t="e">
        <f>AND(#REF!,"AAAAAF6vrgI=")</f>
        <v>#REF!</v>
      </c>
      <c r="D339" t="e">
        <f>AND(#REF!,"AAAAAF6vrgM=")</f>
        <v>#REF!</v>
      </c>
      <c r="E339" t="e">
        <f>AND(#REF!,"AAAAAF6vrgQ=")</f>
        <v>#REF!</v>
      </c>
      <c r="F339" t="e">
        <f>AND(#REF!,"AAAAAF6vrgU=")</f>
        <v>#REF!</v>
      </c>
      <c r="G339" t="e">
        <f>AND(#REF!,"AAAAAF6vrgY=")</f>
        <v>#REF!</v>
      </c>
      <c r="H339" t="e">
        <f>IF(#REF!,"AAAAAF6vrgc=",0)</f>
        <v>#REF!</v>
      </c>
      <c r="I339" t="e">
        <f>AND(#REF!,"AAAAAF6vrgg=")</f>
        <v>#REF!</v>
      </c>
      <c r="J339" t="e">
        <f>AND(#REF!,"AAAAAF6vrgk=")</f>
        <v>#REF!</v>
      </c>
      <c r="K339" t="e">
        <f>AND(#REF!,"AAAAAF6vrgo=")</f>
        <v>#REF!</v>
      </c>
      <c r="L339" t="e">
        <f>AND(#REF!,"AAAAAF6vrgs=")</f>
        <v>#REF!</v>
      </c>
      <c r="M339" t="e">
        <f>AND(#REF!,"AAAAAF6vrgw=")</f>
        <v>#REF!</v>
      </c>
      <c r="N339" t="e">
        <f>AND(#REF!,"AAAAAF6vrg0=")</f>
        <v>#REF!</v>
      </c>
      <c r="O339" t="e">
        <f>AND(#REF!,"AAAAAF6vrg4=")</f>
        <v>#REF!</v>
      </c>
      <c r="P339" t="e">
        <f>AND(#REF!,"AAAAAF6vrg8=")</f>
        <v>#REF!</v>
      </c>
      <c r="Q339" t="e">
        <f>AND(#REF!,"AAAAAF6vrhA=")</f>
        <v>#REF!</v>
      </c>
      <c r="R339" t="e">
        <f>AND(#REF!,"AAAAAF6vrhE=")</f>
        <v>#REF!</v>
      </c>
      <c r="S339" t="e">
        <f>AND(#REF!,"AAAAAF6vrhI=")</f>
        <v>#REF!</v>
      </c>
      <c r="T339" t="e">
        <f>AND(#REF!,"AAAAAF6vrhM=")</f>
        <v>#REF!</v>
      </c>
      <c r="U339" t="e">
        <f>AND(#REF!,"AAAAAF6vrhQ=")</f>
        <v>#REF!</v>
      </c>
      <c r="V339" t="e">
        <f>AND(#REF!,"AAAAAF6vrhU=")</f>
        <v>#REF!</v>
      </c>
      <c r="W339" t="e">
        <f>AND(#REF!,"AAAAAF6vrhY=")</f>
        <v>#REF!</v>
      </c>
      <c r="X339" t="e">
        <f>AND(#REF!,"AAAAAF6vrhc=")</f>
        <v>#REF!</v>
      </c>
      <c r="Y339" t="e">
        <f>AND(#REF!,"AAAAAF6vrhg=")</f>
        <v>#REF!</v>
      </c>
      <c r="Z339" t="e">
        <f>AND(#REF!,"AAAAAF6vrhk=")</f>
        <v>#REF!</v>
      </c>
      <c r="AA339" t="e">
        <f>AND(#REF!,"AAAAAF6vrho=")</f>
        <v>#REF!</v>
      </c>
      <c r="AB339" t="e">
        <f>AND(#REF!,"AAAAAF6vrhs=")</f>
        <v>#REF!</v>
      </c>
      <c r="AC339" t="e">
        <f>AND(#REF!,"AAAAAF6vrhw=")</f>
        <v>#REF!</v>
      </c>
      <c r="AD339" t="e">
        <f>AND(#REF!,"AAAAAF6vrh0=")</f>
        <v>#REF!</v>
      </c>
      <c r="AE339" t="e">
        <f>AND(#REF!,"AAAAAF6vrh4=")</f>
        <v>#REF!</v>
      </c>
      <c r="AF339" t="e">
        <f>AND(#REF!,"AAAAAF6vrh8=")</f>
        <v>#REF!</v>
      </c>
      <c r="AG339" t="e">
        <f>IF(#REF!,"AAAAAF6vriA=",0)</f>
        <v>#REF!</v>
      </c>
      <c r="AH339" t="e">
        <f>AND(#REF!,"AAAAAF6vriE=")</f>
        <v>#REF!</v>
      </c>
      <c r="AI339" t="e">
        <f>AND(#REF!,"AAAAAF6vriI=")</f>
        <v>#REF!</v>
      </c>
      <c r="AJ339" t="e">
        <f>AND(#REF!,"AAAAAF6vriM=")</f>
        <v>#REF!</v>
      </c>
      <c r="AK339" t="e">
        <f>AND(#REF!,"AAAAAF6vriQ=")</f>
        <v>#REF!</v>
      </c>
      <c r="AL339" t="e">
        <f>AND(#REF!,"AAAAAF6vriU=")</f>
        <v>#REF!</v>
      </c>
      <c r="AM339" t="e">
        <f>AND(#REF!,"AAAAAF6vriY=")</f>
        <v>#REF!</v>
      </c>
      <c r="AN339" t="e">
        <f>AND(#REF!,"AAAAAF6vric=")</f>
        <v>#REF!</v>
      </c>
      <c r="AO339" t="e">
        <f>AND(#REF!,"AAAAAF6vrig=")</f>
        <v>#REF!</v>
      </c>
      <c r="AP339" t="e">
        <f>AND(#REF!,"AAAAAF6vrik=")</f>
        <v>#REF!</v>
      </c>
      <c r="AQ339" t="e">
        <f>AND(#REF!,"AAAAAF6vrio=")</f>
        <v>#REF!</v>
      </c>
      <c r="AR339" t="e">
        <f>AND(#REF!,"AAAAAF6vris=")</f>
        <v>#REF!</v>
      </c>
      <c r="AS339" t="e">
        <f>AND(#REF!,"AAAAAF6vriw=")</f>
        <v>#REF!</v>
      </c>
      <c r="AT339" t="e">
        <f>AND(#REF!,"AAAAAF6vri0=")</f>
        <v>#REF!</v>
      </c>
      <c r="AU339" t="e">
        <f>AND(#REF!,"AAAAAF6vri4=")</f>
        <v>#REF!</v>
      </c>
      <c r="AV339" t="e">
        <f>AND(#REF!,"AAAAAF6vri8=")</f>
        <v>#REF!</v>
      </c>
      <c r="AW339" t="e">
        <f>AND(#REF!,"AAAAAF6vrjA=")</f>
        <v>#REF!</v>
      </c>
      <c r="AX339" t="e">
        <f>AND(#REF!,"AAAAAF6vrjE=")</f>
        <v>#REF!</v>
      </c>
      <c r="AY339" t="e">
        <f>AND(#REF!,"AAAAAF6vrjI=")</f>
        <v>#REF!</v>
      </c>
      <c r="AZ339" t="e">
        <f>AND(#REF!,"AAAAAF6vrjM=")</f>
        <v>#REF!</v>
      </c>
      <c r="BA339" t="e">
        <f>AND(#REF!,"AAAAAF6vrjQ=")</f>
        <v>#REF!</v>
      </c>
      <c r="BB339" t="e">
        <f>AND(#REF!,"AAAAAF6vrjU=")</f>
        <v>#REF!</v>
      </c>
      <c r="BC339" t="e">
        <f>AND(#REF!,"AAAAAF6vrjY=")</f>
        <v>#REF!</v>
      </c>
      <c r="BD339" t="e">
        <f>AND(#REF!,"AAAAAF6vrjc=")</f>
        <v>#REF!</v>
      </c>
      <c r="BE339" t="e">
        <f>AND(#REF!,"AAAAAF6vrjg=")</f>
        <v>#REF!</v>
      </c>
      <c r="BF339" t="e">
        <f>IF(#REF!,"AAAAAF6vrjk=",0)</f>
        <v>#REF!</v>
      </c>
      <c r="BG339" t="e">
        <f>AND(#REF!,"AAAAAF6vrjo=")</f>
        <v>#REF!</v>
      </c>
      <c r="BH339" t="e">
        <f>AND(#REF!,"AAAAAF6vrjs=")</f>
        <v>#REF!</v>
      </c>
      <c r="BI339" t="e">
        <f>AND(#REF!,"AAAAAF6vrjw=")</f>
        <v>#REF!</v>
      </c>
      <c r="BJ339" t="e">
        <f>AND(#REF!,"AAAAAF6vrj0=")</f>
        <v>#REF!</v>
      </c>
      <c r="BK339" t="e">
        <f>AND(#REF!,"AAAAAF6vrj4=")</f>
        <v>#REF!</v>
      </c>
      <c r="BL339" t="e">
        <f>AND(#REF!,"AAAAAF6vrj8=")</f>
        <v>#REF!</v>
      </c>
      <c r="BM339" t="e">
        <f>AND(#REF!,"AAAAAF6vrkA=")</f>
        <v>#REF!</v>
      </c>
      <c r="BN339" t="e">
        <f>AND(#REF!,"AAAAAF6vrkE=")</f>
        <v>#REF!</v>
      </c>
      <c r="BO339" t="e">
        <f>AND(#REF!,"AAAAAF6vrkI=")</f>
        <v>#REF!</v>
      </c>
      <c r="BP339" t="e">
        <f>AND(#REF!,"AAAAAF6vrkM=")</f>
        <v>#REF!</v>
      </c>
      <c r="BQ339" t="e">
        <f>AND(#REF!,"AAAAAF6vrkQ=")</f>
        <v>#REF!</v>
      </c>
      <c r="BR339" t="e">
        <f>AND(#REF!,"AAAAAF6vrkU=")</f>
        <v>#REF!</v>
      </c>
      <c r="BS339" t="e">
        <f>AND(#REF!,"AAAAAF6vrkY=")</f>
        <v>#REF!</v>
      </c>
      <c r="BT339" t="e">
        <f>AND(#REF!,"AAAAAF6vrkc=")</f>
        <v>#REF!</v>
      </c>
      <c r="BU339" t="e">
        <f>AND(#REF!,"AAAAAF6vrkg=")</f>
        <v>#REF!</v>
      </c>
      <c r="BV339" t="e">
        <f>AND(#REF!,"AAAAAF6vrkk=")</f>
        <v>#REF!</v>
      </c>
      <c r="BW339" t="e">
        <f>AND(#REF!,"AAAAAF6vrko=")</f>
        <v>#REF!</v>
      </c>
      <c r="BX339" t="e">
        <f>AND(#REF!,"AAAAAF6vrks=")</f>
        <v>#REF!</v>
      </c>
      <c r="BY339" t="e">
        <f>AND(#REF!,"AAAAAF6vrkw=")</f>
        <v>#REF!</v>
      </c>
      <c r="BZ339" t="e">
        <f>AND(#REF!,"AAAAAF6vrk0=")</f>
        <v>#REF!</v>
      </c>
      <c r="CA339" t="e">
        <f>AND(#REF!,"AAAAAF6vrk4=")</f>
        <v>#REF!</v>
      </c>
      <c r="CB339" t="e">
        <f>AND(#REF!,"AAAAAF6vrk8=")</f>
        <v>#REF!</v>
      </c>
      <c r="CC339" t="e">
        <f>AND(#REF!,"AAAAAF6vrlA=")</f>
        <v>#REF!</v>
      </c>
      <c r="CD339" t="e">
        <f>AND(#REF!,"AAAAAF6vrlE=")</f>
        <v>#REF!</v>
      </c>
      <c r="CE339" t="e">
        <f>IF(#REF!,"AAAAAF6vrlI=",0)</f>
        <v>#REF!</v>
      </c>
      <c r="CF339" t="e">
        <f>AND(#REF!,"AAAAAF6vrlM=")</f>
        <v>#REF!</v>
      </c>
      <c r="CG339" t="e">
        <f>AND(#REF!,"AAAAAF6vrlQ=")</f>
        <v>#REF!</v>
      </c>
      <c r="CH339" t="e">
        <f>AND(#REF!,"AAAAAF6vrlU=")</f>
        <v>#REF!</v>
      </c>
      <c r="CI339" t="e">
        <f>AND(#REF!,"AAAAAF6vrlY=")</f>
        <v>#REF!</v>
      </c>
      <c r="CJ339" t="e">
        <f>AND(#REF!,"AAAAAF6vrlc=")</f>
        <v>#REF!</v>
      </c>
      <c r="CK339" t="e">
        <f>AND(#REF!,"AAAAAF6vrlg=")</f>
        <v>#REF!</v>
      </c>
      <c r="CL339" t="e">
        <f>AND(#REF!,"AAAAAF6vrlk=")</f>
        <v>#REF!</v>
      </c>
      <c r="CM339" t="e">
        <f>AND(#REF!,"AAAAAF6vrlo=")</f>
        <v>#REF!</v>
      </c>
      <c r="CN339" t="e">
        <f>AND(#REF!,"AAAAAF6vrls=")</f>
        <v>#REF!</v>
      </c>
      <c r="CO339" t="e">
        <f>AND(#REF!,"AAAAAF6vrlw=")</f>
        <v>#REF!</v>
      </c>
      <c r="CP339" t="e">
        <f>AND(#REF!,"AAAAAF6vrl0=")</f>
        <v>#REF!</v>
      </c>
      <c r="CQ339" t="e">
        <f>AND(#REF!,"AAAAAF6vrl4=")</f>
        <v>#REF!</v>
      </c>
      <c r="CR339" t="e">
        <f>AND(#REF!,"AAAAAF6vrl8=")</f>
        <v>#REF!</v>
      </c>
      <c r="CS339" t="e">
        <f>AND(#REF!,"AAAAAF6vrmA=")</f>
        <v>#REF!</v>
      </c>
      <c r="CT339" t="e">
        <f>AND(#REF!,"AAAAAF6vrmE=")</f>
        <v>#REF!</v>
      </c>
      <c r="CU339" t="e">
        <f>AND(#REF!,"AAAAAF6vrmI=")</f>
        <v>#REF!</v>
      </c>
      <c r="CV339" t="e">
        <f>AND(#REF!,"AAAAAF6vrmM=")</f>
        <v>#REF!</v>
      </c>
      <c r="CW339" t="e">
        <f>AND(#REF!,"AAAAAF6vrmQ=")</f>
        <v>#REF!</v>
      </c>
      <c r="CX339" t="e">
        <f>AND(#REF!,"AAAAAF6vrmU=")</f>
        <v>#REF!</v>
      </c>
      <c r="CY339" t="e">
        <f>AND(#REF!,"AAAAAF6vrmY=")</f>
        <v>#REF!</v>
      </c>
      <c r="CZ339" t="e">
        <f>AND(#REF!,"AAAAAF6vrmc=")</f>
        <v>#REF!</v>
      </c>
      <c r="DA339" t="e">
        <f>AND(#REF!,"AAAAAF6vrmg=")</f>
        <v>#REF!</v>
      </c>
      <c r="DB339" t="e">
        <f>AND(#REF!,"AAAAAF6vrmk=")</f>
        <v>#REF!</v>
      </c>
      <c r="DC339" t="e">
        <f>AND(#REF!,"AAAAAF6vrmo=")</f>
        <v>#REF!</v>
      </c>
      <c r="DD339" t="e">
        <f>IF(#REF!,"AAAAAF6vrms=",0)</f>
        <v>#REF!</v>
      </c>
      <c r="DE339" t="e">
        <f>AND(#REF!,"AAAAAF6vrmw=")</f>
        <v>#REF!</v>
      </c>
      <c r="DF339" t="e">
        <f>AND(#REF!,"AAAAAF6vrm0=")</f>
        <v>#REF!</v>
      </c>
      <c r="DG339" t="e">
        <f>AND(#REF!,"AAAAAF6vrm4=")</f>
        <v>#REF!</v>
      </c>
      <c r="DH339" t="e">
        <f>AND(#REF!,"AAAAAF6vrm8=")</f>
        <v>#REF!</v>
      </c>
      <c r="DI339" t="e">
        <f>AND(#REF!,"AAAAAF6vrnA=")</f>
        <v>#REF!</v>
      </c>
      <c r="DJ339" t="e">
        <f>AND(#REF!,"AAAAAF6vrnE=")</f>
        <v>#REF!</v>
      </c>
      <c r="DK339" t="e">
        <f>AND(#REF!,"AAAAAF6vrnI=")</f>
        <v>#REF!</v>
      </c>
      <c r="DL339" t="e">
        <f>AND(#REF!,"AAAAAF6vrnM=")</f>
        <v>#REF!</v>
      </c>
      <c r="DM339" t="e">
        <f>AND(#REF!,"AAAAAF6vrnQ=")</f>
        <v>#REF!</v>
      </c>
      <c r="DN339" t="e">
        <f>AND(#REF!,"AAAAAF6vrnU=")</f>
        <v>#REF!</v>
      </c>
      <c r="DO339" t="e">
        <f>AND(#REF!,"AAAAAF6vrnY=")</f>
        <v>#REF!</v>
      </c>
      <c r="DP339" t="e">
        <f>AND(#REF!,"AAAAAF6vrnc=")</f>
        <v>#REF!</v>
      </c>
      <c r="DQ339" t="e">
        <f>AND(#REF!,"AAAAAF6vrng=")</f>
        <v>#REF!</v>
      </c>
      <c r="DR339" t="e">
        <f>AND(#REF!,"AAAAAF6vrnk=")</f>
        <v>#REF!</v>
      </c>
      <c r="DS339" t="e">
        <f>AND(#REF!,"AAAAAF6vrno=")</f>
        <v>#REF!</v>
      </c>
      <c r="DT339" t="e">
        <f>AND(#REF!,"AAAAAF6vrns=")</f>
        <v>#REF!</v>
      </c>
      <c r="DU339" t="e">
        <f>AND(#REF!,"AAAAAF6vrnw=")</f>
        <v>#REF!</v>
      </c>
      <c r="DV339" t="e">
        <f>AND(#REF!,"AAAAAF6vrn0=")</f>
        <v>#REF!</v>
      </c>
      <c r="DW339" t="e">
        <f>AND(#REF!,"AAAAAF6vrn4=")</f>
        <v>#REF!</v>
      </c>
      <c r="DX339" t="e">
        <f>AND(#REF!,"AAAAAF6vrn8=")</f>
        <v>#REF!</v>
      </c>
      <c r="DY339" t="e">
        <f>AND(#REF!,"AAAAAF6vroA=")</f>
        <v>#REF!</v>
      </c>
      <c r="DZ339" t="e">
        <f>AND(#REF!,"AAAAAF6vroE=")</f>
        <v>#REF!</v>
      </c>
      <c r="EA339" t="e">
        <f>AND(#REF!,"AAAAAF6vroI=")</f>
        <v>#REF!</v>
      </c>
      <c r="EB339" t="e">
        <f>AND(#REF!,"AAAAAF6vroM=")</f>
        <v>#REF!</v>
      </c>
      <c r="EC339" t="e">
        <f>IF(#REF!,"AAAAAF6vroQ=",0)</f>
        <v>#REF!</v>
      </c>
      <c r="ED339" t="e">
        <f>AND(#REF!,"AAAAAF6vroU=")</f>
        <v>#REF!</v>
      </c>
      <c r="EE339" t="e">
        <f>AND(#REF!,"AAAAAF6vroY=")</f>
        <v>#REF!</v>
      </c>
      <c r="EF339" t="e">
        <f>AND(#REF!,"AAAAAF6vroc=")</f>
        <v>#REF!</v>
      </c>
      <c r="EG339" t="e">
        <f>AND(#REF!,"AAAAAF6vrog=")</f>
        <v>#REF!</v>
      </c>
      <c r="EH339" t="e">
        <f>AND(#REF!,"AAAAAF6vrok=")</f>
        <v>#REF!</v>
      </c>
      <c r="EI339" t="e">
        <f>AND(#REF!,"AAAAAF6vroo=")</f>
        <v>#REF!</v>
      </c>
      <c r="EJ339" t="e">
        <f>AND(#REF!,"AAAAAF6vros=")</f>
        <v>#REF!</v>
      </c>
      <c r="EK339" t="e">
        <f>AND(#REF!,"AAAAAF6vrow=")</f>
        <v>#REF!</v>
      </c>
      <c r="EL339" t="e">
        <f>AND(#REF!,"AAAAAF6vro0=")</f>
        <v>#REF!</v>
      </c>
      <c r="EM339" t="e">
        <f>AND(#REF!,"AAAAAF6vro4=")</f>
        <v>#REF!</v>
      </c>
      <c r="EN339" t="e">
        <f>AND(#REF!,"AAAAAF6vro8=")</f>
        <v>#REF!</v>
      </c>
      <c r="EO339" t="e">
        <f>AND(#REF!,"AAAAAF6vrpA=")</f>
        <v>#REF!</v>
      </c>
      <c r="EP339" t="e">
        <f>AND(#REF!,"AAAAAF6vrpE=")</f>
        <v>#REF!</v>
      </c>
      <c r="EQ339" t="e">
        <f>AND(#REF!,"AAAAAF6vrpI=")</f>
        <v>#REF!</v>
      </c>
      <c r="ER339" t="e">
        <f>AND(#REF!,"AAAAAF6vrpM=")</f>
        <v>#REF!</v>
      </c>
      <c r="ES339" t="e">
        <f>AND(#REF!,"AAAAAF6vrpQ=")</f>
        <v>#REF!</v>
      </c>
      <c r="ET339" t="e">
        <f>AND(#REF!,"AAAAAF6vrpU=")</f>
        <v>#REF!</v>
      </c>
      <c r="EU339" t="e">
        <f>AND(#REF!,"AAAAAF6vrpY=")</f>
        <v>#REF!</v>
      </c>
      <c r="EV339" t="e">
        <f>AND(#REF!,"AAAAAF6vrpc=")</f>
        <v>#REF!</v>
      </c>
      <c r="EW339" t="e">
        <f>AND(#REF!,"AAAAAF6vrpg=")</f>
        <v>#REF!</v>
      </c>
      <c r="EX339" t="e">
        <f>AND(#REF!,"AAAAAF6vrpk=")</f>
        <v>#REF!</v>
      </c>
      <c r="EY339" t="e">
        <f>AND(#REF!,"AAAAAF6vrpo=")</f>
        <v>#REF!</v>
      </c>
      <c r="EZ339" t="e">
        <f>AND(#REF!,"AAAAAF6vrps=")</f>
        <v>#REF!</v>
      </c>
      <c r="FA339" t="e">
        <f>AND(#REF!,"AAAAAF6vrpw=")</f>
        <v>#REF!</v>
      </c>
      <c r="FB339" t="e">
        <f>IF(#REF!,"AAAAAF6vrp0=",0)</f>
        <v>#REF!</v>
      </c>
      <c r="FC339" t="e">
        <f>AND(#REF!,"AAAAAF6vrp4=")</f>
        <v>#REF!</v>
      </c>
      <c r="FD339" t="e">
        <f>AND(#REF!,"AAAAAF6vrp8=")</f>
        <v>#REF!</v>
      </c>
      <c r="FE339" t="e">
        <f>AND(#REF!,"AAAAAF6vrqA=")</f>
        <v>#REF!</v>
      </c>
      <c r="FF339" t="e">
        <f>AND(#REF!,"AAAAAF6vrqE=")</f>
        <v>#REF!</v>
      </c>
      <c r="FG339" t="e">
        <f>AND(#REF!,"AAAAAF6vrqI=")</f>
        <v>#REF!</v>
      </c>
      <c r="FH339" t="e">
        <f>AND(#REF!,"AAAAAF6vrqM=")</f>
        <v>#REF!</v>
      </c>
      <c r="FI339" t="e">
        <f>AND(#REF!,"AAAAAF6vrqQ=")</f>
        <v>#REF!</v>
      </c>
      <c r="FJ339" t="e">
        <f>AND(#REF!,"AAAAAF6vrqU=")</f>
        <v>#REF!</v>
      </c>
      <c r="FK339" t="e">
        <f>AND(#REF!,"AAAAAF6vrqY=")</f>
        <v>#REF!</v>
      </c>
      <c r="FL339" t="e">
        <f>AND(#REF!,"AAAAAF6vrqc=")</f>
        <v>#REF!</v>
      </c>
      <c r="FM339" t="e">
        <f>AND(#REF!,"AAAAAF6vrqg=")</f>
        <v>#REF!</v>
      </c>
      <c r="FN339" t="e">
        <f>AND(#REF!,"AAAAAF6vrqk=")</f>
        <v>#REF!</v>
      </c>
      <c r="FO339" t="e">
        <f>AND(#REF!,"AAAAAF6vrqo=")</f>
        <v>#REF!</v>
      </c>
      <c r="FP339" t="e">
        <f>AND(#REF!,"AAAAAF6vrqs=")</f>
        <v>#REF!</v>
      </c>
      <c r="FQ339" t="e">
        <f>AND(#REF!,"AAAAAF6vrqw=")</f>
        <v>#REF!</v>
      </c>
      <c r="FR339" t="e">
        <f>AND(#REF!,"AAAAAF6vrq0=")</f>
        <v>#REF!</v>
      </c>
      <c r="FS339" t="e">
        <f>AND(#REF!,"AAAAAF6vrq4=")</f>
        <v>#REF!</v>
      </c>
      <c r="FT339" t="e">
        <f>AND(#REF!,"AAAAAF6vrq8=")</f>
        <v>#REF!</v>
      </c>
      <c r="FU339" t="e">
        <f>AND(#REF!,"AAAAAF6vrrA=")</f>
        <v>#REF!</v>
      </c>
      <c r="FV339" t="e">
        <f>AND(#REF!,"AAAAAF6vrrE=")</f>
        <v>#REF!</v>
      </c>
      <c r="FW339" t="e">
        <f>AND(#REF!,"AAAAAF6vrrI=")</f>
        <v>#REF!</v>
      </c>
      <c r="FX339" t="e">
        <f>AND(#REF!,"AAAAAF6vrrM=")</f>
        <v>#REF!</v>
      </c>
      <c r="FY339" t="e">
        <f>AND(#REF!,"AAAAAF6vrrQ=")</f>
        <v>#REF!</v>
      </c>
      <c r="FZ339" t="e">
        <f>AND(#REF!,"AAAAAF6vrrU=")</f>
        <v>#REF!</v>
      </c>
      <c r="GA339" t="e">
        <f>IF(#REF!,"AAAAAF6vrrY=",0)</f>
        <v>#REF!</v>
      </c>
      <c r="GB339" t="e">
        <f>AND(#REF!,"AAAAAF6vrrc=")</f>
        <v>#REF!</v>
      </c>
      <c r="GC339" t="e">
        <f>AND(#REF!,"AAAAAF6vrrg=")</f>
        <v>#REF!</v>
      </c>
      <c r="GD339" t="e">
        <f>AND(#REF!,"AAAAAF6vrrk=")</f>
        <v>#REF!</v>
      </c>
      <c r="GE339" t="e">
        <f>AND(#REF!,"AAAAAF6vrro=")</f>
        <v>#REF!</v>
      </c>
      <c r="GF339" t="e">
        <f>AND(#REF!,"AAAAAF6vrrs=")</f>
        <v>#REF!</v>
      </c>
      <c r="GG339" t="e">
        <f>AND(#REF!,"AAAAAF6vrrw=")</f>
        <v>#REF!</v>
      </c>
      <c r="GH339" t="e">
        <f>AND(#REF!,"AAAAAF6vrr0=")</f>
        <v>#REF!</v>
      </c>
      <c r="GI339" t="e">
        <f>AND(#REF!,"AAAAAF6vrr4=")</f>
        <v>#REF!</v>
      </c>
      <c r="GJ339" t="e">
        <f>AND(#REF!,"AAAAAF6vrr8=")</f>
        <v>#REF!</v>
      </c>
      <c r="GK339" t="e">
        <f>AND(#REF!,"AAAAAF6vrsA=")</f>
        <v>#REF!</v>
      </c>
      <c r="GL339" t="e">
        <f>AND(#REF!,"AAAAAF6vrsE=")</f>
        <v>#REF!</v>
      </c>
      <c r="GM339" t="e">
        <f>AND(#REF!,"AAAAAF6vrsI=")</f>
        <v>#REF!</v>
      </c>
      <c r="GN339" t="e">
        <f>AND(#REF!,"AAAAAF6vrsM=")</f>
        <v>#REF!</v>
      </c>
      <c r="GO339" t="e">
        <f>AND(#REF!,"AAAAAF6vrsQ=")</f>
        <v>#REF!</v>
      </c>
      <c r="GP339" t="e">
        <f>AND(#REF!,"AAAAAF6vrsU=")</f>
        <v>#REF!</v>
      </c>
      <c r="GQ339" t="e">
        <f>AND(#REF!,"AAAAAF6vrsY=")</f>
        <v>#REF!</v>
      </c>
      <c r="GR339" t="e">
        <f>AND(#REF!,"AAAAAF6vrsc=")</f>
        <v>#REF!</v>
      </c>
      <c r="GS339" t="e">
        <f>AND(#REF!,"AAAAAF6vrsg=")</f>
        <v>#REF!</v>
      </c>
      <c r="GT339" t="e">
        <f>AND(#REF!,"AAAAAF6vrsk=")</f>
        <v>#REF!</v>
      </c>
      <c r="GU339" t="e">
        <f>AND(#REF!,"AAAAAF6vrso=")</f>
        <v>#REF!</v>
      </c>
      <c r="GV339" t="e">
        <f>AND(#REF!,"AAAAAF6vrss=")</f>
        <v>#REF!</v>
      </c>
      <c r="GW339" t="e">
        <f>AND(#REF!,"AAAAAF6vrsw=")</f>
        <v>#REF!</v>
      </c>
      <c r="GX339" t="e">
        <f>AND(#REF!,"AAAAAF6vrs0=")</f>
        <v>#REF!</v>
      </c>
      <c r="GY339" t="e">
        <f>AND(#REF!,"AAAAAF6vrs4=")</f>
        <v>#REF!</v>
      </c>
      <c r="GZ339" t="e">
        <f>IF(#REF!,"AAAAAF6vrs8=",0)</f>
        <v>#REF!</v>
      </c>
      <c r="HA339" t="e">
        <f>AND(#REF!,"AAAAAF6vrtA=")</f>
        <v>#REF!</v>
      </c>
      <c r="HB339" t="e">
        <f>AND(#REF!,"AAAAAF6vrtE=")</f>
        <v>#REF!</v>
      </c>
      <c r="HC339" t="e">
        <f>AND(#REF!,"AAAAAF6vrtI=")</f>
        <v>#REF!</v>
      </c>
      <c r="HD339" t="e">
        <f>AND(#REF!,"AAAAAF6vrtM=")</f>
        <v>#REF!</v>
      </c>
      <c r="HE339" t="e">
        <f>AND(#REF!,"AAAAAF6vrtQ=")</f>
        <v>#REF!</v>
      </c>
      <c r="HF339" t="e">
        <f>AND(#REF!,"AAAAAF6vrtU=")</f>
        <v>#REF!</v>
      </c>
      <c r="HG339" t="e">
        <f>AND(#REF!,"AAAAAF6vrtY=")</f>
        <v>#REF!</v>
      </c>
      <c r="HH339" t="e">
        <f>AND(#REF!,"AAAAAF6vrtc=")</f>
        <v>#REF!</v>
      </c>
      <c r="HI339" t="e">
        <f>AND(#REF!,"AAAAAF6vrtg=")</f>
        <v>#REF!</v>
      </c>
      <c r="HJ339" t="e">
        <f>AND(#REF!,"AAAAAF6vrtk=")</f>
        <v>#REF!</v>
      </c>
      <c r="HK339" t="e">
        <f>AND(#REF!,"AAAAAF6vrto=")</f>
        <v>#REF!</v>
      </c>
      <c r="HL339" t="e">
        <f>AND(#REF!,"AAAAAF6vrts=")</f>
        <v>#REF!</v>
      </c>
      <c r="HM339" t="e">
        <f>AND(#REF!,"AAAAAF6vrtw=")</f>
        <v>#REF!</v>
      </c>
      <c r="HN339" t="e">
        <f>AND(#REF!,"AAAAAF6vrt0=")</f>
        <v>#REF!</v>
      </c>
      <c r="HO339" t="e">
        <f>AND(#REF!,"AAAAAF6vrt4=")</f>
        <v>#REF!</v>
      </c>
      <c r="HP339" t="e">
        <f>AND(#REF!,"AAAAAF6vrt8=")</f>
        <v>#REF!</v>
      </c>
      <c r="HQ339" t="e">
        <f>AND(#REF!,"AAAAAF6vruA=")</f>
        <v>#REF!</v>
      </c>
      <c r="HR339" t="e">
        <f>AND(#REF!,"AAAAAF6vruE=")</f>
        <v>#REF!</v>
      </c>
      <c r="HS339" t="e">
        <f>AND(#REF!,"AAAAAF6vruI=")</f>
        <v>#REF!</v>
      </c>
      <c r="HT339" t="e">
        <f>AND(#REF!,"AAAAAF6vruM=")</f>
        <v>#REF!</v>
      </c>
      <c r="HU339" t="e">
        <f>AND(#REF!,"AAAAAF6vruQ=")</f>
        <v>#REF!</v>
      </c>
      <c r="HV339" t="e">
        <f>AND(#REF!,"AAAAAF6vruU=")</f>
        <v>#REF!</v>
      </c>
      <c r="HW339" t="e">
        <f>AND(#REF!,"AAAAAF6vruY=")</f>
        <v>#REF!</v>
      </c>
      <c r="HX339" t="e">
        <f>AND(#REF!,"AAAAAF6vruc=")</f>
        <v>#REF!</v>
      </c>
      <c r="HY339" t="e">
        <f>IF(#REF!,"AAAAAF6vrug=",0)</f>
        <v>#REF!</v>
      </c>
      <c r="HZ339" t="e">
        <f>AND(#REF!,"AAAAAF6vruk=")</f>
        <v>#REF!</v>
      </c>
      <c r="IA339" t="e">
        <f>AND(#REF!,"AAAAAF6vruo=")</f>
        <v>#REF!</v>
      </c>
      <c r="IB339" t="e">
        <f>AND(#REF!,"AAAAAF6vrus=")</f>
        <v>#REF!</v>
      </c>
      <c r="IC339" t="e">
        <f>AND(#REF!,"AAAAAF6vruw=")</f>
        <v>#REF!</v>
      </c>
      <c r="ID339" t="e">
        <f>AND(#REF!,"AAAAAF6vru0=")</f>
        <v>#REF!</v>
      </c>
      <c r="IE339" t="e">
        <f>AND(#REF!,"AAAAAF6vru4=")</f>
        <v>#REF!</v>
      </c>
      <c r="IF339" t="e">
        <f>AND(#REF!,"AAAAAF6vru8=")</f>
        <v>#REF!</v>
      </c>
      <c r="IG339" t="e">
        <f>AND(#REF!,"AAAAAF6vrvA=")</f>
        <v>#REF!</v>
      </c>
      <c r="IH339" t="e">
        <f>AND(#REF!,"AAAAAF6vrvE=")</f>
        <v>#REF!</v>
      </c>
      <c r="II339" t="e">
        <f>AND(#REF!,"AAAAAF6vrvI=")</f>
        <v>#REF!</v>
      </c>
      <c r="IJ339" t="e">
        <f>AND(#REF!,"AAAAAF6vrvM=")</f>
        <v>#REF!</v>
      </c>
      <c r="IK339" t="e">
        <f>AND(#REF!,"AAAAAF6vrvQ=")</f>
        <v>#REF!</v>
      </c>
      <c r="IL339" t="e">
        <f>AND(#REF!,"AAAAAF6vrvU=")</f>
        <v>#REF!</v>
      </c>
      <c r="IM339" t="e">
        <f>AND(#REF!,"AAAAAF6vrvY=")</f>
        <v>#REF!</v>
      </c>
      <c r="IN339" t="e">
        <f>AND(#REF!,"AAAAAF6vrvc=")</f>
        <v>#REF!</v>
      </c>
      <c r="IO339" t="e">
        <f>AND(#REF!,"AAAAAF6vrvg=")</f>
        <v>#REF!</v>
      </c>
      <c r="IP339" t="e">
        <f>AND(#REF!,"AAAAAF6vrvk=")</f>
        <v>#REF!</v>
      </c>
      <c r="IQ339" t="e">
        <f>AND(#REF!,"AAAAAF6vrvo=")</f>
        <v>#REF!</v>
      </c>
      <c r="IR339" t="e">
        <f>AND(#REF!,"AAAAAF6vrvs=")</f>
        <v>#REF!</v>
      </c>
      <c r="IS339" t="e">
        <f>AND(#REF!,"AAAAAF6vrvw=")</f>
        <v>#REF!</v>
      </c>
      <c r="IT339" t="e">
        <f>AND(#REF!,"AAAAAF6vrv0=")</f>
        <v>#REF!</v>
      </c>
      <c r="IU339" t="e">
        <f>AND(#REF!,"AAAAAF6vrv4=")</f>
        <v>#REF!</v>
      </c>
      <c r="IV339" t="e">
        <f>AND(#REF!,"AAAAAF6vrv8=")</f>
        <v>#REF!</v>
      </c>
    </row>
    <row r="340" spans="1:256">
      <c r="A340" t="e">
        <f>AND(#REF!,"AAAAAH++2wA=")</f>
        <v>#REF!</v>
      </c>
      <c r="B340" t="e">
        <f>IF(#REF!,"AAAAAH++2wE=",0)</f>
        <v>#REF!</v>
      </c>
      <c r="C340" t="e">
        <f>AND(#REF!,"AAAAAH++2wI=")</f>
        <v>#REF!</v>
      </c>
      <c r="D340" t="e">
        <f>AND(#REF!,"AAAAAH++2wM=")</f>
        <v>#REF!</v>
      </c>
      <c r="E340" t="e">
        <f>AND(#REF!,"AAAAAH++2wQ=")</f>
        <v>#REF!</v>
      </c>
      <c r="F340" t="e">
        <f>AND(#REF!,"AAAAAH++2wU=")</f>
        <v>#REF!</v>
      </c>
      <c r="G340" t="e">
        <f>AND(#REF!,"AAAAAH++2wY=")</f>
        <v>#REF!</v>
      </c>
      <c r="H340" t="e">
        <f>AND(#REF!,"AAAAAH++2wc=")</f>
        <v>#REF!</v>
      </c>
      <c r="I340" t="e">
        <f>AND(#REF!,"AAAAAH++2wg=")</f>
        <v>#REF!</v>
      </c>
      <c r="J340" t="e">
        <f>AND(#REF!,"AAAAAH++2wk=")</f>
        <v>#REF!</v>
      </c>
      <c r="K340" t="e">
        <f>AND(#REF!,"AAAAAH++2wo=")</f>
        <v>#REF!</v>
      </c>
      <c r="L340" t="e">
        <f>AND(#REF!,"AAAAAH++2ws=")</f>
        <v>#REF!</v>
      </c>
      <c r="M340" t="e">
        <f>AND(#REF!,"AAAAAH++2ww=")</f>
        <v>#REF!</v>
      </c>
      <c r="N340" t="e">
        <f>AND(#REF!,"AAAAAH++2w0=")</f>
        <v>#REF!</v>
      </c>
      <c r="O340" t="e">
        <f>AND(#REF!,"AAAAAH++2w4=")</f>
        <v>#REF!</v>
      </c>
      <c r="P340" t="e">
        <f>AND(#REF!,"AAAAAH++2w8=")</f>
        <v>#REF!</v>
      </c>
      <c r="Q340" t="e">
        <f>AND(#REF!,"AAAAAH++2xA=")</f>
        <v>#REF!</v>
      </c>
      <c r="R340" t="e">
        <f>AND(#REF!,"AAAAAH++2xE=")</f>
        <v>#REF!</v>
      </c>
      <c r="S340" t="e">
        <f>AND(#REF!,"AAAAAH++2xI=")</f>
        <v>#REF!</v>
      </c>
      <c r="T340" t="e">
        <f>AND(#REF!,"AAAAAH++2xM=")</f>
        <v>#REF!</v>
      </c>
      <c r="U340" t="e">
        <f>AND(#REF!,"AAAAAH++2xQ=")</f>
        <v>#REF!</v>
      </c>
      <c r="V340" t="e">
        <f>AND(#REF!,"AAAAAH++2xU=")</f>
        <v>#REF!</v>
      </c>
      <c r="W340" t="e">
        <f>AND(#REF!,"AAAAAH++2xY=")</f>
        <v>#REF!</v>
      </c>
      <c r="X340" t="e">
        <f>AND(#REF!,"AAAAAH++2xc=")</f>
        <v>#REF!</v>
      </c>
      <c r="Y340" t="e">
        <f>AND(#REF!,"AAAAAH++2xg=")</f>
        <v>#REF!</v>
      </c>
      <c r="Z340" t="e">
        <f>AND(#REF!,"AAAAAH++2xk=")</f>
        <v>#REF!</v>
      </c>
      <c r="AA340" t="e">
        <f>IF(#REF!,"AAAAAH++2xo=",0)</f>
        <v>#REF!</v>
      </c>
      <c r="AB340" t="e">
        <f>AND(#REF!,"AAAAAH++2xs=")</f>
        <v>#REF!</v>
      </c>
      <c r="AC340" t="e">
        <f>AND(#REF!,"AAAAAH++2xw=")</f>
        <v>#REF!</v>
      </c>
      <c r="AD340" t="e">
        <f>AND(#REF!,"AAAAAH++2x0=")</f>
        <v>#REF!</v>
      </c>
      <c r="AE340" t="e">
        <f>AND(#REF!,"AAAAAH++2x4=")</f>
        <v>#REF!</v>
      </c>
      <c r="AF340" t="e">
        <f>AND(#REF!,"AAAAAH++2x8=")</f>
        <v>#REF!</v>
      </c>
      <c r="AG340" t="e">
        <f>AND(#REF!,"AAAAAH++2yA=")</f>
        <v>#REF!</v>
      </c>
      <c r="AH340" t="e">
        <f>AND(#REF!,"AAAAAH++2yE=")</f>
        <v>#REF!</v>
      </c>
      <c r="AI340" t="e">
        <f>AND(#REF!,"AAAAAH++2yI=")</f>
        <v>#REF!</v>
      </c>
      <c r="AJ340" t="e">
        <f>AND(#REF!,"AAAAAH++2yM=")</f>
        <v>#REF!</v>
      </c>
      <c r="AK340" t="e">
        <f>AND(#REF!,"AAAAAH++2yQ=")</f>
        <v>#REF!</v>
      </c>
      <c r="AL340" t="e">
        <f>AND(#REF!,"AAAAAH++2yU=")</f>
        <v>#REF!</v>
      </c>
      <c r="AM340" t="e">
        <f>AND(#REF!,"AAAAAH++2yY=")</f>
        <v>#REF!</v>
      </c>
      <c r="AN340" t="e">
        <f>AND(#REF!,"AAAAAH++2yc=")</f>
        <v>#REF!</v>
      </c>
      <c r="AO340" t="e">
        <f>AND(#REF!,"AAAAAH++2yg=")</f>
        <v>#REF!</v>
      </c>
      <c r="AP340" t="e">
        <f>AND(#REF!,"AAAAAH++2yk=")</f>
        <v>#REF!</v>
      </c>
      <c r="AQ340" t="e">
        <f>AND(#REF!,"AAAAAH++2yo=")</f>
        <v>#REF!</v>
      </c>
      <c r="AR340" t="e">
        <f>AND(#REF!,"AAAAAH++2ys=")</f>
        <v>#REF!</v>
      </c>
      <c r="AS340" t="e">
        <f>AND(#REF!,"AAAAAH++2yw=")</f>
        <v>#REF!</v>
      </c>
      <c r="AT340" t="e">
        <f>AND(#REF!,"AAAAAH++2y0=")</f>
        <v>#REF!</v>
      </c>
      <c r="AU340" t="e">
        <f>AND(#REF!,"AAAAAH++2y4=")</f>
        <v>#REF!</v>
      </c>
      <c r="AV340" t="e">
        <f>AND(#REF!,"AAAAAH++2y8=")</f>
        <v>#REF!</v>
      </c>
      <c r="AW340" t="e">
        <f>AND(#REF!,"AAAAAH++2zA=")</f>
        <v>#REF!</v>
      </c>
      <c r="AX340" t="e">
        <f>AND(#REF!,"AAAAAH++2zE=")</f>
        <v>#REF!</v>
      </c>
      <c r="AY340" t="e">
        <f>AND(#REF!,"AAAAAH++2zI=")</f>
        <v>#REF!</v>
      </c>
      <c r="AZ340" t="e">
        <f>IF(#REF!,"AAAAAH++2zM=",0)</f>
        <v>#REF!</v>
      </c>
      <c r="BA340" t="e">
        <f>AND(#REF!,"AAAAAH++2zQ=")</f>
        <v>#REF!</v>
      </c>
      <c r="BB340" t="e">
        <f>AND(#REF!,"AAAAAH++2zU=")</f>
        <v>#REF!</v>
      </c>
      <c r="BC340" t="e">
        <f>AND(#REF!,"AAAAAH++2zY=")</f>
        <v>#REF!</v>
      </c>
      <c r="BD340" t="e">
        <f>AND(#REF!,"AAAAAH++2zc=")</f>
        <v>#REF!</v>
      </c>
      <c r="BE340" t="e">
        <f>AND(#REF!,"AAAAAH++2zg=")</f>
        <v>#REF!</v>
      </c>
      <c r="BF340" t="e">
        <f>AND(#REF!,"AAAAAH++2zk=")</f>
        <v>#REF!</v>
      </c>
      <c r="BG340" t="e">
        <f>AND(#REF!,"AAAAAH++2zo=")</f>
        <v>#REF!</v>
      </c>
      <c r="BH340" t="e">
        <f>AND(#REF!,"AAAAAH++2zs=")</f>
        <v>#REF!</v>
      </c>
      <c r="BI340" t="e">
        <f>AND(#REF!,"AAAAAH++2zw=")</f>
        <v>#REF!</v>
      </c>
      <c r="BJ340" t="e">
        <f>AND(#REF!,"AAAAAH++2z0=")</f>
        <v>#REF!</v>
      </c>
      <c r="BK340" t="e">
        <f>AND(#REF!,"AAAAAH++2z4=")</f>
        <v>#REF!</v>
      </c>
      <c r="BL340" t="e">
        <f>AND(#REF!,"AAAAAH++2z8=")</f>
        <v>#REF!</v>
      </c>
      <c r="BM340" t="e">
        <f>AND(#REF!,"AAAAAH++20A=")</f>
        <v>#REF!</v>
      </c>
      <c r="BN340" t="e">
        <f>AND(#REF!,"AAAAAH++20E=")</f>
        <v>#REF!</v>
      </c>
      <c r="BO340" t="e">
        <f>AND(#REF!,"AAAAAH++20I=")</f>
        <v>#REF!</v>
      </c>
      <c r="BP340" t="e">
        <f>AND(#REF!,"AAAAAH++20M=")</f>
        <v>#REF!</v>
      </c>
      <c r="BQ340" t="e">
        <f>AND(#REF!,"AAAAAH++20Q=")</f>
        <v>#REF!</v>
      </c>
      <c r="BR340" t="e">
        <f>AND(#REF!,"AAAAAH++20U=")</f>
        <v>#REF!</v>
      </c>
      <c r="BS340" t="e">
        <f>AND(#REF!,"AAAAAH++20Y=")</f>
        <v>#REF!</v>
      </c>
      <c r="BT340" t="e">
        <f>AND(#REF!,"AAAAAH++20c=")</f>
        <v>#REF!</v>
      </c>
      <c r="BU340" t="e">
        <f>AND(#REF!,"AAAAAH++20g=")</f>
        <v>#REF!</v>
      </c>
      <c r="BV340" t="e">
        <f>AND(#REF!,"AAAAAH++20k=")</f>
        <v>#REF!</v>
      </c>
      <c r="BW340" t="e">
        <f>AND(#REF!,"AAAAAH++20o=")</f>
        <v>#REF!</v>
      </c>
      <c r="BX340" t="e">
        <f>AND(#REF!,"AAAAAH++20s=")</f>
        <v>#REF!</v>
      </c>
      <c r="BY340" t="e">
        <f>IF(#REF!,"AAAAAH++20w=",0)</f>
        <v>#REF!</v>
      </c>
      <c r="BZ340" t="e">
        <f>AND(#REF!,"AAAAAH++200=")</f>
        <v>#REF!</v>
      </c>
      <c r="CA340" t="e">
        <f>AND(#REF!,"AAAAAH++204=")</f>
        <v>#REF!</v>
      </c>
      <c r="CB340" t="e">
        <f>AND(#REF!,"AAAAAH++208=")</f>
        <v>#REF!</v>
      </c>
      <c r="CC340" t="e">
        <f>AND(#REF!,"AAAAAH++21A=")</f>
        <v>#REF!</v>
      </c>
      <c r="CD340" t="e">
        <f>AND(#REF!,"AAAAAH++21E=")</f>
        <v>#REF!</v>
      </c>
      <c r="CE340" t="e">
        <f>AND(#REF!,"AAAAAH++21I=")</f>
        <v>#REF!</v>
      </c>
      <c r="CF340" t="e">
        <f>AND(#REF!,"AAAAAH++21M=")</f>
        <v>#REF!</v>
      </c>
      <c r="CG340" t="e">
        <f>AND(#REF!,"AAAAAH++21Q=")</f>
        <v>#REF!</v>
      </c>
      <c r="CH340" t="e">
        <f>AND(#REF!,"AAAAAH++21U=")</f>
        <v>#REF!</v>
      </c>
      <c r="CI340" t="e">
        <f>AND(#REF!,"AAAAAH++21Y=")</f>
        <v>#REF!</v>
      </c>
      <c r="CJ340" t="e">
        <f>AND(#REF!,"AAAAAH++21c=")</f>
        <v>#REF!</v>
      </c>
      <c r="CK340" t="e">
        <f>AND(#REF!,"AAAAAH++21g=")</f>
        <v>#REF!</v>
      </c>
      <c r="CL340" t="e">
        <f>AND(#REF!,"AAAAAH++21k=")</f>
        <v>#REF!</v>
      </c>
      <c r="CM340" t="e">
        <f>AND(#REF!,"AAAAAH++21o=")</f>
        <v>#REF!</v>
      </c>
      <c r="CN340" t="e">
        <f>AND(#REF!,"AAAAAH++21s=")</f>
        <v>#REF!</v>
      </c>
      <c r="CO340" t="e">
        <f>AND(#REF!,"AAAAAH++21w=")</f>
        <v>#REF!</v>
      </c>
      <c r="CP340" t="e">
        <f>AND(#REF!,"AAAAAH++210=")</f>
        <v>#REF!</v>
      </c>
      <c r="CQ340" t="e">
        <f>AND(#REF!,"AAAAAH++214=")</f>
        <v>#REF!</v>
      </c>
      <c r="CR340" t="e">
        <f>AND(#REF!,"AAAAAH++218=")</f>
        <v>#REF!</v>
      </c>
      <c r="CS340" t="e">
        <f>AND(#REF!,"AAAAAH++22A=")</f>
        <v>#REF!</v>
      </c>
      <c r="CT340" t="e">
        <f>AND(#REF!,"AAAAAH++22E=")</f>
        <v>#REF!</v>
      </c>
      <c r="CU340" t="e">
        <f>AND(#REF!,"AAAAAH++22I=")</f>
        <v>#REF!</v>
      </c>
      <c r="CV340" t="e">
        <f>AND(#REF!,"AAAAAH++22M=")</f>
        <v>#REF!</v>
      </c>
      <c r="CW340" t="e">
        <f>AND(#REF!,"AAAAAH++22Q=")</f>
        <v>#REF!</v>
      </c>
      <c r="CX340" t="e">
        <f>IF(#REF!,"AAAAAH++22U=",0)</f>
        <v>#REF!</v>
      </c>
      <c r="CY340" t="e">
        <f>AND(#REF!,"AAAAAH++22Y=")</f>
        <v>#REF!</v>
      </c>
      <c r="CZ340" t="e">
        <f>AND(#REF!,"AAAAAH++22c=")</f>
        <v>#REF!</v>
      </c>
      <c r="DA340" t="e">
        <f>AND(#REF!,"AAAAAH++22g=")</f>
        <v>#REF!</v>
      </c>
      <c r="DB340" t="e">
        <f>AND(#REF!,"AAAAAH++22k=")</f>
        <v>#REF!</v>
      </c>
      <c r="DC340" t="e">
        <f>AND(#REF!,"AAAAAH++22o=")</f>
        <v>#REF!</v>
      </c>
      <c r="DD340" t="e">
        <f>AND(#REF!,"AAAAAH++22s=")</f>
        <v>#REF!</v>
      </c>
      <c r="DE340" t="e">
        <f>AND(#REF!,"AAAAAH++22w=")</f>
        <v>#REF!</v>
      </c>
      <c r="DF340" t="e">
        <f>AND(#REF!,"AAAAAH++220=")</f>
        <v>#REF!</v>
      </c>
      <c r="DG340" t="e">
        <f>AND(#REF!,"AAAAAH++224=")</f>
        <v>#REF!</v>
      </c>
      <c r="DH340" t="e">
        <f>AND(#REF!,"AAAAAH++228=")</f>
        <v>#REF!</v>
      </c>
      <c r="DI340" t="e">
        <f>AND(#REF!,"AAAAAH++23A=")</f>
        <v>#REF!</v>
      </c>
      <c r="DJ340" t="e">
        <f>AND(#REF!,"AAAAAH++23E=")</f>
        <v>#REF!</v>
      </c>
      <c r="DK340" t="e">
        <f>AND(#REF!,"AAAAAH++23I=")</f>
        <v>#REF!</v>
      </c>
      <c r="DL340" t="e">
        <f>AND(#REF!,"AAAAAH++23M=")</f>
        <v>#REF!</v>
      </c>
      <c r="DM340" t="e">
        <f>AND(#REF!,"AAAAAH++23Q=")</f>
        <v>#REF!</v>
      </c>
      <c r="DN340" t="e">
        <f>AND(#REF!,"AAAAAH++23U=")</f>
        <v>#REF!</v>
      </c>
      <c r="DO340" t="e">
        <f>AND(#REF!,"AAAAAH++23Y=")</f>
        <v>#REF!</v>
      </c>
      <c r="DP340" t="e">
        <f>AND(#REF!,"AAAAAH++23c=")</f>
        <v>#REF!</v>
      </c>
      <c r="DQ340" t="e">
        <f>AND(#REF!,"AAAAAH++23g=")</f>
        <v>#REF!</v>
      </c>
      <c r="DR340" t="e">
        <f>AND(#REF!,"AAAAAH++23k=")</f>
        <v>#REF!</v>
      </c>
      <c r="DS340" t="e">
        <f>AND(#REF!,"AAAAAH++23o=")</f>
        <v>#REF!</v>
      </c>
      <c r="DT340" t="e">
        <f>AND(#REF!,"AAAAAH++23s=")</f>
        <v>#REF!</v>
      </c>
      <c r="DU340" t="e">
        <f>AND(#REF!,"AAAAAH++23w=")</f>
        <v>#REF!</v>
      </c>
      <c r="DV340" t="e">
        <f>AND(#REF!,"AAAAAH++230=")</f>
        <v>#REF!</v>
      </c>
      <c r="DW340" t="e">
        <f>IF(#REF!,"AAAAAH++234=",0)</f>
        <v>#REF!</v>
      </c>
      <c r="DX340" t="e">
        <f>AND(#REF!,"AAAAAH++238=")</f>
        <v>#REF!</v>
      </c>
      <c r="DY340" t="e">
        <f>AND(#REF!,"AAAAAH++24A=")</f>
        <v>#REF!</v>
      </c>
      <c r="DZ340" t="e">
        <f>AND(#REF!,"AAAAAH++24E=")</f>
        <v>#REF!</v>
      </c>
      <c r="EA340" t="e">
        <f>AND(#REF!,"AAAAAH++24I=")</f>
        <v>#REF!</v>
      </c>
      <c r="EB340" t="e">
        <f>AND(#REF!,"AAAAAH++24M=")</f>
        <v>#REF!</v>
      </c>
      <c r="EC340" t="e">
        <f>AND(#REF!,"AAAAAH++24Q=")</f>
        <v>#REF!</v>
      </c>
      <c r="ED340" t="e">
        <f>AND(#REF!,"AAAAAH++24U=")</f>
        <v>#REF!</v>
      </c>
      <c r="EE340" t="e">
        <f>AND(#REF!,"AAAAAH++24Y=")</f>
        <v>#REF!</v>
      </c>
      <c r="EF340" t="e">
        <f>AND(#REF!,"AAAAAH++24c=")</f>
        <v>#REF!</v>
      </c>
      <c r="EG340" t="e">
        <f>AND(#REF!,"AAAAAH++24g=")</f>
        <v>#REF!</v>
      </c>
      <c r="EH340" t="e">
        <f>AND(#REF!,"AAAAAH++24k=")</f>
        <v>#REF!</v>
      </c>
      <c r="EI340" t="e">
        <f>AND(#REF!,"AAAAAH++24o=")</f>
        <v>#REF!</v>
      </c>
      <c r="EJ340" t="e">
        <f>AND(#REF!,"AAAAAH++24s=")</f>
        <v>#REF!</v>
      </c>
      <c r="EK340" t="e">
        <f>AND(#REF!,"AAAAAH++24w=")</f>
        <v>#REF!</v>
      </c>
      <c r="EL340" t="e">
        <f>AND(#REF!,"AAAAAH++240=")</f>
        <v>#REF!</v>
      </c>
      <c r="EM340" t="e">
        <f>AND(#REF!,"AAAAAH++244=")</f>
        <v>#REF!</v>
      </c>
      <c r="EN340" t="e">
        <f>AND(#REF!,"AAAAAH++248=")</f>
        <v>#REF!</v>
      </c>
      <c r="EO340" t="e">
        <f>AND(#REF!,"AAAAAH++25A=")</f>
        <v>#REF!</v>
      </c>
      <c r="EP340" t="e">
        <f>AND(#REF!,"AAAAAH++25E=")</f>
        <v>#REF!</v>
      </c>
      <c r="EQ340" t="e">
        <f>AND(#REF!,"AAAAAH++25I=")</f>
        <v>#REF!</v>
      </c>
      <c r="ER340" t="e">
        <f>AND(#REF!,"AAAAAH++25M=")</f>
        <v>#REF!</v>
      </c>
      <c r="ES340" t="e">
        <f>AND(#REF!,"AAAAAH++25Q=")</f>
        <v>#REF!</v>
      </c>
      <c r="ET340" t="e">
        <f>AND(#REF!,"AAAAAH++25U=")</f>
        <v>#REF!</v>
      </c>
      <c r="EU340" t="e">
        <f>AND(#REF!,"AAAAAH++25Y=")</f>
        <v>#REF!</v>
      </c>
      <c r="EV340" t="e">
        <f>IF(#REF!,"AAAAAH++25c=",0)</f>
        <v>#REF!</v>
      </c>
      <c r="EW340" t="e">
        <f>AND(#REF!,"AAAAAH++25g=")</f>
        <v>#REF!</v>
      </c>
      <c r="EX340" t="e">
        <f>AND(#REF!,"AAAAAH++25k=")</f>
        <v>#REF!</v>
      </c>
      <c r="EY340" t="e">
        <f>AND(#REF!,"AAAAAH++25o=")</f>
        <v>#REF!</v>
      </c>
      <c r="EZ340" t="e">
        <f>AND(#REF!,"AAAAAH++25s=")</f>
        <v>#REF!</v>
      </c>
      <c r="FA340" t="e">
        <f>AND(#REF!,"AAAAAH++25w=")</f>
        <v>#REF!</v>
      </c>
      <c r="FB340" t="e">
        <f>AND(#REF!,"AAAAAH++250=")</f>
        <v>#REF!</v>
      </c>
      <c r="FC340" t="e">
        <f>AND(#REF!,"AAAAAH++254=")</f>
        <v>#REF!</v>
      </c>
      <c r="FD340" t="e">
        <f>AND(#REF!,"AAAAAH++258=")</f>
        <v>#REF!</v>
      </c>
      <c r="FE340" t="e">
        <f>AND(#REF!,"AAAAAH++26A=")</f>
        <v>#REF!</v>
      </c>
      <c r="FF340" t="e">
        <f>AND(#REF!,"AAAAAH++26E=")</f>
        <v>#REF!</v>
      </c>
      <c r="FG340" t="e">
        <f>AND(#REF!,"AAAAAH++26I=")</f>
        <v>#REF!</v>
      </c>
      <c r="FH340" t="e">
        <f>AND(#REF!,"AAAAAH++26M=")</f>
        <v>#REF!</v>
      </c>
      <c r="FI340" t="e">
        <f>AND(#REF!,"AAAAAH++26Q=")</f>
        <v>#REF!</v>
      </c>
      <c r="FJ340" t="e">
        <f>AND(#REF!,"AAAAAH++26U=")</f>
        <v>#REF!</v>
      </c>
      <c r="FK340" t="e">
        <f>AND(#REF!,"AAAAAH++26Y=")</f>
        <v>#REF!</v>
      </c>
      <c r="FL340" t="e">
        <f>AND(#REF!,"AAAAAH++26c=")</f>
        <v>#REF!</v>
      </c>
      <c r="FM340" t="e">
        <f>AND(#REF!,"AAAAAH++26g=")</f>
        <v>#REF!</v>
      </c>
      <c r="FN340" t="e">
        <f>AND(#REF!,"AAAAAH++26k=")</f>
        <v>#REF!</v>
      </c>
      <c r="FO340" t="e">
        <f>AND(#REF!,"AAAAAH++26o=")</f>
        <v>#REF!</v>
      </c>
      <c r="FP340" t="e">
        <f>AND(#REF!,"AAAAAH++26s=")</f>
        <v>#REF!</v>
      </c>
      <c r="FQ340" t="e">
        <f>AND(#REF!,"AAAAAH++26w=")</f>
        <v>#REF!</v>
      </c>
      <c r="FR340" t="e">
        <f>AND(#REF!,"AAAAAH++260=")</f>
        <v>#REF!</v>
      </c>
      <c r="FS340" t="e">
        <f>AND(#REF!,"AAAAAH++264=")</f>
        <v>#REF!</v>
      </c>
      <c r="FT340" t="e">
        <f>AND(#REF!,"AAAAAH++268=")</f>
        <v>#REF!</v>
      </c>
      <c r="FU340" t="e">
        <f>IF(#REF!,"AAAAAH++27A=",0)</f>
        <v>#REF!</v>
      </c>
      <c r="FV340" t="e">
        <f>AND(#REF!,"AAAAAH++27E=")</f>
        <v>#REF!</v>
      </c>
      <c r="FW340" t="e">
        <f>AND(#REF!,"AAAAAH++27I=")</f>
        <v>#REF!</v>
      </c>
      <c r="FX340" t="e">
        <f>AND(#REF!,"AAAAAH++27M=")</f>
        <v>#REF!</v>
      </c>
      <c r="FY340" t="e">
        <f>AND(#REF!,"AAAAAH++27Q=")</f>
        <v>#REF!</v>
      </c>
      <c r="FZ340" t="e">
        <f>AND(#REF!,"AAAAAH++27U=")</f>
        <v>#REF!</v>
      </c>
      <c r="GA340" t="e">
        <f>AND(#REF!,"AAAAAH++27Y=")</f>
        <v>#REF!</v>
      </c>
      <c r="GB340" t="e">
        <f>AND(#REF!,"AAAAAH++27c=")</f>
        <v>#REF!</v>
      </c>
      <c r="GC340" t="e">
        <f>AND(#REF!,"AAAAAH++27g=")</f>
        <v>#REF!</v>
      </c>
      <c r="GD340" t="e">
        <f>AND(#REF!,"AAAAAH++27k=")</f>
        <v>#REF!</v>
      </c>
      <c r="GE340" t="e">
        <f>AND(#REF!,"AAAAAH++27o=")</f>
        <v>#REF!</v>
      </c>
      <c r="GF340" t="e">
        <f>AND(#REF!,"AAAAAH++27s=")</f>
        <v>#REF!</v>
      </c>
      <c r="GG340" t="e">
        <f>AND(#REF!,"AAAAAH++27w=")</f>
        <v>#REF!</v>
      </c>
      <c r="GH340" t="e">
        <f>AND(#REF!,"AAAAAH++270=")</f>
        <v>#REF!</v>
      </c>
      <c r="GI340" t="e">
        <f>AND(#REF!,"AAAAAH++274=")</f>
        <v>#REF!</v>
      </c>
      <c r="GJ340" t="e">
        <f>AND(#REF!,"AAAAAH++278=")</f>
        <v>#REF!</v>
      </c>
      <c r="GK340" t="e">
        <f>AND(#REF!,"AAAAAH++28A=")</f>
        <v>#REF!</v>
      </c>
      <c r="GL340" t="e">
        <f>AND(#REF!,"AAAAAH++28E=")</f>
        <v>#REF!</v>
      </c>
      <c r="GM340" t="e">
        <f>AND(#REF!,"AAAAAH++28I=")</f>
        <v>#REF!</v>
      </c>
      <c r="GN340" t="e">
        <f>AND(#REF!,"AAAAAH++28M=")</f>
        <v>#REF!</v>
      </c>
      <c r="GO340" t="e">
        <f>AND(#REF!,"AAAAAH++28Q=")</f>
        <v>#REF!</v>
      </c>
      <c r="GP340" t="e">
        <f>AND(#REF!,"AAAAAH++28U=")</f>
        <v>#REF!</v>
      </c>
      <c r="GQ340" t="e">
        <f>AND(#REF!,"AAAAAH++28Y=")</f>
        <v>#REF!</v>
      </c>
      <c r="GR340" t="e">
        <f>AND(#REF!,"AAAAAH++28c=")</f>
        <v>#REF!</v>
      </c>
      <c r="GS340" t="e">
        <f>AND(#REF!,"AAAAAH++28g=")</f>
        <v>#REF!</v>
      </c>
      <c r="GT340" t="e">
        <f>IF(#REF!,"AAAAAH++28k=",0)</f>
        <v>#REF!</v>
      </c>
      <c r="GU340" t="e">
        <f>AND(#REF!,"AAAAAH++28o=")</f>
        <v>#REF!</v>
      </c>
      <c r="GV340" t="e">
        <f>AND(#REF!,"AAAAAH++28s=")</f>
        <v>#REF!</v>
      </c>
      <c r="GW340" t="e">
        <f>AND(#REF!,"AAAAAH++28w=")</f>
        <v>#REF!</v>
      </c>
      <c r="GX340" t="e">
        <f>AND(#REF!,"AAAAAH++280=")</f>
        <v>#REF!</v>
      </c>
      <c r="GY340" t="e">
        <f>AND(#REF!,"AAAAAH++284=")</f>
        <v>#REF!</v>
      </c>
      <c r="GZ340" t="e">
        <f>AND(#REF!,"AAAAAH++288=")</f>
        <v>#REF!</v>
      </c>
      <c r="HA340" t="e">
        <f>AND(#REF!,"AAAAAH++29A=")</f>
        <v>#REF!</v>
      </c>
      <c r="HB340" t="e">
        <f>AND(#REF!,"AAAAAH++29E=")</f>
        <v>#REF!</v>
      </c>
      <c r="HC340" t="e">
        <f>AND(#REF!,"AAAAAH++29I=")</f>
        <v>#REF!</v>
      </c>
      <c r="HD340" t="e">
        <f>AND(#REF!,"AAAAAH++29M=")</f>
        <v>#REF!</v>
      </c>
      <c r="HE340" t="e">
        <f>AND(#REF!,"AAAAAH++29Q=")</f>
        <v>#REF!</v>
      </c>
      <c r="HF340" t="e">
        <f>AND(#REF!,"AAAAAH++29U=")</f>
        <v>#REF!</v>
      </c>
      <c r="HG340" t="e">
        <f>AND(#REF!,"AAAAAH++29Y=")</f>
        <v>#REF!</v>
      </c>
      <c r="HH340" t="e">
        <f>AND(#REF!,"AAAAAH++29c=")</f>
        <v>#REF!</v>
      </c>
      <c r="HI340" t="e">
        <f>AND(#REF!,"AAAAAH++29g=")</f>
        <v>#REF!</v>
      </c>
      <c r="HJ340" t="e">
        <f>AND(#REF!,"AAAAAH++29k=")</f>
        <v>#REF!</v>
      </c>
      <c r="HK340" t="e">
        <f>AND(#REF!,"AAAAAH++29o=")</f>
        <v>#REF!</v>
      </c>
      <c r="HL340" t="e">
        <f>AND(#REF!,"AAAAAH++29s=")</f>
        <v>#REF!</v>
      </c>
      <c r="HM340" t="e">
        <f>AND(#REF!,"AAAAAH++29w=")</f>
        <v>#REF!</v>
      </c>
      <c r="HN340" t="e">
        <f>AND(#REF!,"AAAAAH++290=")</f>
        <v>#REF!</v>
      </c>
      <c r="HO340" t="e">
        <f>AND(#REF!,"AAAAAH++294=")</f>
        <v>#REF!</v>
      </c>
      <c r="HP340" t="e">
        <f>AND(#REF!,"AAAAAH++298=")</f>
        <v>#REF!</v>
      </c>
      <c r="HQ340" t="e">
        <f>AND(#REF!,"AAAAAH++2+A=")</f>
        <v>#REF!</v>
      </c>
      <c r="HR340" t="e">
        <f>AND(#REF!,"AAAAAH++2+E=")</f>
        <v>#REF!</v>
      </c>
      <c r="HS340" t="e">
        <f>IF(#REF!,"AAAAAH++2+I=",0)</f>
        <v>#REF!</v>
      </c>
      <c r="HT340" t="e">
        <f>AND(#REF!,"AAAAAH++2+M=")</f>
        <v>#REF!</v>
      </c>
      <c r="HU340" t="e">
        <f>AND(#REF!,"AAAAAH++2+Q=")</f>
        <v>#REF!</v>
      </c>
      <c r="HV340" t="e">
        <f>AND(#REF!,"AAAAAH++2+U=")</f>
        <v>#REF!</v>
      </c>
      <c r="HW340" t="e">
        <f>AND(#REF!,"AAAAAH++2+Y=")</f>
        <v>#REF!</v>
      </c>
      <c r="HX340" t="e">
        <f>AND(#REF!,"AAAAAH++2+c=")</f>
        <v>#REF!</v>
      </c>
      <c r="HY340" t="e">
        <f>AND(#REF!,"AAAAAH++2+g=")</f>
        <v>#REF!</v>
      </c>
      <c r="HZ340" t="e">
        <f>AND(#REF!,"AAAAAH++2+k=")</f>
        <v>#REF!</v>
      </c>
      <c r="IA340" t="e">
        <f>AND(#REF!,"AAAAAH++2+o=")</f>
        <v>#REF!</v>
      </c>
      <c r="IB340" t="e">
        <f>AND(#REF!,"AAAAAH++2+s=")</f>
        <v>#REF!</v>
      </c>
      <c r="IC340" t="e">
        <f>AND(#REF!,"AAAAAH++2+w=")</f>
        <v>#REF!</v>
      </c>
      <c r="ID340" t="e">
        <f>AND(#REF!,"AAAAAH++2+0=")</f>
        <v>#REF!</v>
      </c>
      <c r="IE340" t="e">
        <f>AND(#REF!,"AAAAAH++2+4=")</f>
        <v>#REF!</v>
      </c>
      <c r="IF340" t="e">
        <f>AND(#REF!,"AAAAAH++2+8=")</f>
        <v>#REF!</v>
      </c>
      <c r="IG340" t="e">
        <f>AND(#REF!,"AAAAAH++2/A=")</f>
        <v>#REF!</v>
      </c>
      <c r="IH340" t="e">
        <f>AND(#REF!,"AAAAAH++2/E=")</f>
        <v>#REF!</v>
      </c>
      <c r="II340" t="e">
        <f>AND(#REF!,"AAAAAH++2/I=")</f>
        <v>#REF!</v>
      </c>
      <c r="IJ340" t="e">
        <f>AND(#REF!,"AAAAAH++2/M=")</f>
        <v>#REF!</v>
      </c>
      <c r="IK340" t="e">
        <f>AND(#REF!,"AAAAAH++2/Q=")</f>
        <v>#REF!</v>
      </c>
      <c r="IL340" t="e">
        <f>AND(#REF!,"AAAAAH++2/U=")</f>
        <v>#REF!</v>
      </c>
      <c r="IM340" t="e">
        <f>AND(#REF!,"AAAAAH++2/Y=")</f>
        <v>#REF!</v>
      </c>
      <c r="IN340" t="e">
        <f>AND(#REF!,"AAAAAH++2/c=")</f>
        <v>#REF!</v>
      </c>
      <c r="IO340" t="e">
        <f>AND(#REF!,"AAAAAH++2/g=")</f>
        <v>#REF!</v>
      </c>
      <c r="IP340" t="e">
        <f>AND(#REF!,"AAAAAH++2/k=")</f>
        <v>#REF!</v>
      </c>
      <c r="IQ340" t="e">
        <f>AND(#REF!,"AAAAAH++2/o=")</f>
        <v>#REF!</v>
      </c>
      <c r="IR340" t="e">
        <f>IF(#REF!,"AAAAAH++2/s=",0)</f>
        <v>#REF!</v>
      </c>
      <c r="IS340" t="e">
        <f>AND(#REF!,"AAAAAH++2/w=")</f>
        <v>#REF!</v>
      </c>
      <c r="IT340" t="e">
        <f>AND(#REF!,"AAAAAH++2/0=")</f>
        <v>#REF!</v>
      </c>
      <c r="IU340" t="e">
        <f>AND(#REF!,"AAAAAH++2/4=")</f>
        <v>#REF!</v>
      </c>
      <c r="IV340" t="e">
        <f>AND(#REF!,"AAAAAH++2/8=")</f>
        <v>#REF!</v>
      </c>
    </row>
    <row r="341" spans="1:256">
      <c r="A341" t="e">
        <f>AND(#REF!,"AAAAAHi/+wA=")</f>
        <v>#REF!</v>
      </c>
      <c r="B341" t="e">
        <f>AND(#REF!,"AAAAAHi/+wE=")</f>
        <v>#REF!</v>
      </c>
      <c r="C341" t="e">
        <f>AND(#REF!,"AAAAAHi/+wI=")</f>
        <v>#REF!</v>
      </c>
      <c r="D341" t="e">
        <f>AND(#REF!,"AAAAAHi/+wM=")</f>
        <v>#REF!</v>
      </c>
      <c r="E341" t="e">
        <f>AND(#REF!,"AAAAAHi/+wQ=")</f>
        <v>#REF!</v>
      </c>
      <c r="F341" t="e">
        <f>AND(#REF!,"AAAAAHi/+wU=")</f>
        <v>#REF!</v>
      </c>
      <c r="G341" t="e">
        <f>AND(#REF!,"AAAAAHi/+wY=")</f>
        <v>#REF!</v>
      </c>
      <c r="H341" t="e">
        <f>AND(#REF!,"AAAAAHi/+wc=")</f>
        <v>#REF!</v>
      </c>
      <c r="I341" t="e">
        <f>AND(#REF!,"AAAAAHi/+wg=")</f>
        <v>#REF!</v>
      </c>
      <c r="J341" t="e">
        <f>AND(#REF!,"AAAAAHi/+wk=")</f>
        <v>#REF!</v>
      </c>
      <c r="K341" t="e">
        <f>AND(#REF!,"AAAAAHi/+wo=")</f>
        <v>#REF!</v>
      </c>
      <c r="L341" t="e">
        <f>AND(#REF!,"AAAAAHi/+ws=")</f>
        <v>#REF!</v>
      </c>
      <c r="M341" t="e">
        <f>AND(#REF!,"AAAAAHi/+ww=")</f>
        <v>#REF!</v>
      </c>
      <c r="N341" t="e">
        <f>AND(#REF!,"AAAAAHi/+w0=")</f>
        <v>#REF!</v>
      </c>
      <c r="O341" t="e">
        <f>AND(#REF!,"AAAAAHi/+w4=")</f>
        <v>#REF!</v>
      </c>
      <c r="P341" t="e">
        <f>AND(#REF!,"AAAAAHi/+w8=")</f>
        <v>#REF!</v>
      </c>
      <c r="Q341" t="e">
        <f>AND(#REF!,"AAAAAHi/+xA=")</f>
        <v>#REF!</v>
      </c>
      <c r="R341" t="e">
        <f>AND(#REF!,"AAAAAHi/+xE=")</f>
        <v>#REF!</v>
      </c>
      <c r="S341" t="e">
        <f>AND(#REF!,"AAAAAHi/+xI=")</f>
        <v>#REF!</v>
      </c>
      <c r="T341" t="e">
        <f>AND(#REF!,"AAAAAHi/+xM=")</f>
        <v>#REF!</v>
      </c>
      <c r="U341" t="e">
        <f>IF(#REF!,"AAAAAHi/+xQ=",0)</f>
        <v>#REF!</v>
      </c>
      <c r="V341" t="e">
        <f>AND(#REF!,"AAAAAHi/+xU=")</f>
        <v>#REF!</v>
      </c>
      <c r="W341" t="e">
        <f>AND(#REF!,"AAAAAHi/+xY=")</f>
        <v>#REF!</v>
      </c>
      <c r="X341" t="e">
        <f>AND(#REF!,"AAAAAHi/+xc=")</f>
        <v>#REF!</v>
      </c>
      <c r="Y341" t="e">
        <f>AND(#REF!,"AAAAAHi/+xg=")</f>
        <v>#REF!</v>
      </c>
      <c r="Z341" t="e">
        <f>AND(#REF!,"AAAAAHi/+xk=")</f>
        <v>#REF!</v>
      </c>
      <c r="AA341" t="e">
        <f>AND(#REF!,"AAAAAHi/+xo=")</f>
        <v>#REF!</v>
      </c>
      <c r="AB341" t="e">
        <f>AND(#REF!,"AAAAAHi/+xs=")</f>
        <v>#REF!</v>
      </c>
      <c r="AC341" t="e">
        <f>AND(#REF!,"AAAAAHi/+xw=")</f>
        <v>#REF!</v>
      </c>
      <c r="AD341" t="e">
        <f>AND(#REF!,"AAAAAHi/+x0=")</f>
        <v>#REF!</v>
      </c>
      <c r="AE341" t="e">
        <f>AND(#REF!,"AAAAAHi/+x4=")</f>
        <v>#REF!</v>
      </c>
      <c r="AF341" t="e">
        <f>AND(#REF!,"AAAAAHi/+x8=")</f>
        <v>#REF!</v>
      </c>
      <c r="AG341" t="e">
        <f>AND(#REF!,"AAAAAHi/+yA=")</f>
        <v>#REF!</v>
      </c>
      <c r="AH341" t="e">
        <f>AND(#REF!,"AAAAAHi/+yE=")</f>
        <v>#REF!</v>
      </c>
      <c r="AI341" t="e">
        <f>AND(#REF!,"AAAAAHi/+yI=")</f>
        <v>#REF!</v>
      </c>
      <c r="AJ341" t="e">
        <f>AND(#REF!,"AAAAAHi/+yM=")</f>
        <v>#REF!</v>
      </c>
      <c r="AK341" t="e">
        <f>AND(#REF!,"AAAAAHi/+yQ=")</f>
        <v>#REF!</v>
      </c>
      <c r="AL341" t="e">
        <f>AND(#REF!,"AAAAAHi/+yU=")</f>
        <v>#REF!</v>
      </c>
      <c r="AM341" t="e">
        <f>AND(#REF!,"AAAAAHi/+yY=")</f>
        <v>#REF!</v>
      </c>
      <c r="AN341" t="e">
        <f>AND(#REF!,"AAAAAHi/+yc=")</f>
        <v>#REF!</v>
      </c>
      <c r="AO341" t="e">
        <f>AND(#REF!,"AAAAAHi/+yg=")</f>
        <v>#REF!</v>
      </c>
      <c r="AP341" t="e">
        <f>AND(#REF!,"AAAAAHi/+yk=")</f>
        <v>#REF!</v>
      </c>
      <c r="AQ341" t="e">
        <f>AND(#REF!,"AAAAAHi/+yo=")</f>
        <v>#REF!</v>
      </c>
      <c r="AR341" t="e">
        <f>AND(#REF!,"AAAAAHi/+ys=")</f>
        <v>#REF!</v>
      </c>
      <c r="AS341" t="e">
        <f>AND(#REF!,"AAAAAHi/+yw=")</f>
        <v>#REF!</v>
      </c>
      <c r="AT341" t="e">
        <f>IF(#REF!,"AAAAAHi/+y0=",0)</f>
        <v>#REF!</v>
      </c>
      <c r="AU341" t="e">
        <f>AND(#REF!,"AAAAAHi/+y4=")</f>
        <v>#REF!</v>
      </c>
      <c r="AV341" t="e">
        <f>AND(#REF!,"AAAAAHi/+y8=")</f>
        <v>#REF!</v>
      </c>
      <c r="AW341" t="e">
        <f>AND(#REF!,"AAAAAHi/+zA=")</f>
        <v>#REF!</v>
      </c>
      <c r="AX341" t="e">
        <f>AND(#REF!,"AAAAAHi/+zE=")</f>
        <v>#REF!</v>
      </c>
      <c r="AY341" t="e">
        <f>AND(#REF!,"AAAAAHi/+zI=")</f>
        <v>#REF!</v>
      </c>
      <c r="AZ341" t="e">
        <f>AND(#REF!,"AAAAAHi/+zM=")</f>
        <v>#REF!</v>
      </c>
      <c r="BA341" t="e">
        <f>AND(#REF!,"AAAAAHi/+zQ=")</f>
        <v>#REF!</v>
      </c>
      <c r="BB341" t="e">
        <f>AND(#REF!,"AAAAAHi/+zU=")</f>
        <v>#REF!</v>
      </c>
      <c r="BC341" t="e">
        <f>AND(#REF!,"AAAAAHi/+zY=")</f>
        <v>#REF!</v>
      </c>
      <c r="BD341" t="e">
        <f>AND(#REF!,"AAAAAHi/+zc=")</f>
        <v>#REF!</v>
      </c>
      <c r="BE341" t="e">
        <f>AND(#REF!,"AAAAAHi/+zg=")</f>
        <v>#REF!</v>
      </c>
      <c r="BF341" t="e">
        <f>AND(#REF!,"AAAAAHi/+zk=")</f>
        <v>#REF!</v>
      </c>
      <c r="BG341" t="e">
        <f>AND(#REF!,"AAAAAHi/+zo=")</f>
        <v>#REF!</v>
      </c>
      <c r="BH341" t="e">
        <f>AND(#REF!,"AAAAAHi/+zs=")</f>
        <v>#REF!</v>
      </c>
      <c r="BI341" t="e">
        <f>AND(#REF!,"AAAAAHi/+zw=")</f>
        <v>#REF!</v>
      </c>
      <c r="BJ341" t="e">
        <f>AND(#REF!,"AAAAAHi/+z0=")</f>
        <v>#REF!</v>
      </c>
      <c r="BK341" t="e">
        <f>AND(#REF!,"AAAAAHi/+z4=")</f>
        <v>#REF!</v>
      </c>
      <c r="BL341" t="e">
        <f>AND(#REF!,"AAAAAHi/+z8=")</f>
        <v>#REF!</v>
      </c>
      <c r="BM341" t="e">
        <f>AND(#REF!,"AAAAAHi/+0A=")</f>
        <v>#REF!</v>
      </c>
      <c r="BN341" t="e">
        <f>AND(#REF!,"AAAAAHi/+0E=")</f>
        <v>#REF!</v>
      </c>
      <c r="BO341" t="e">
        <f>AND(#REF!,"AAAAAHi/+0I=")</f>
        <v>#REF!</v>
      </c>
      <c r="BP341" t="e">
        <f>AND(#REF!,"AAAAAHi/+0M=")</f>
        <v>#REF!</v>
      </c>
      <c r="BQ341" t="e">
        <f>AND(#REF!,"AAAAAHi/+0Q=")</f>
        <v>#REF!</v>
      </c>
      <c r="BR341" t="e">
        <f>AND(#REF!,"AAAAAHi/+0U=")</f>
        <v>#REF!</v>
      </c>
      <c r="BS341" t="e">
        <f>IF(#REF!,"AAAAAHi/+0Y=",0)</f>
        <v>#REF!</v>
      </c>
      <c r="BT341" t="e">
        <f>AND(#REF!,"AAAAAHi/+0c=")</f>
        <v>#REF!</v>
      </c>
      <c r="BU341" t="e">
        <f>AND(#REF!,"AAAAAHi/+0g=")</f>
        <v>#REF!</v>
      </c>
      <c r="BV341" t="e">
        <f>AND(#REF!,"AAAAAHi/+0k=")</f>
        <v>#REF!</v>
      </c>
      <c r="BW341" t="e">
        <f>AND(#REF!,"AAAAAHi/+0o=")</f>
        <v>#REF!</v>
      </c>
      <c r="BX341" t="e">
        <f>AND(#REF!,"AAAAAHi/+0s=")</f>
        <v>#REF!</v>
      </c>
      <c r="BY341" t="e">
        <f>AND(#REF!,"AAAAAHi/+0w=")</f>
        <v>#REF!</v>
      </c>
      <c r="BZ341" t="e">
        <f>AND(#REF!,"AAAAAHi/+00=")</f>
        <v>#REF!</v>
      </c>
      <c r="CA341" t="e">
        <f>AND(#REF!,"AAAAAHi/+04=")</f>
        <v>#REF!</v>
      </c>
      <c r="CB341" t="e">
        <f>AND(#REF!,"AAAAAHi/+08=")</f>
        <v>#REF!</v>
      </c>
      <c r="CC341" t="e">
        <f>AND(#REF!,"AAAAAHi/+1A=")</f>
        <v>#REF!</v>
      </c>
      <c r="CD341" t="e">
        <f>AND(#REF!,"AAAAAHi/+1E=")</f>
        <v>#REF!</v>
      </c>
      <c r="CE341" t="e">
        <f>AND(#REF!,"AAAAAHi/+1I=")</f>
        <v>#REF!</v>
      </c>
      <c r="CF341" t="e">
        <f>AND(#REF!,"AAAAAHi/+1M=")</f>
        <v>#REF!</v>
      </c>
      <c r="CG341" t="e">
        <f>AND(#REF!,"AAAAAHi/+1Q=")</f>
        <v>#REF!</v>
      </c>
      <c r="CH341" t="e">
        <f>AND(#REF!,"AAAAAHi/+1U=")</f>
        <v>#REF!</v>
      </c>
      <c r="CI341" t="e">
        <f>AND(#REF!,"AAAAAHi/+1Y=")</f>
        <v>#REF!</v>
      </c>
      <c r="CJ341" t="e">
        <f>AND(#REF!,"AAAAAHi/+1c=")</f>
        <v>#REF!</v>
      </c>
      <c r="CK341" t="e">
        <f>AND(#REF!,"AAAAAHi/+1g=")</f>
        <v>#REF!</v>
      </c>
      <c r="CL341" t="e">
        <f>AND(#REF!,"AAAAAHi/+1k=")</f>
        <v>#REF!</v>
      </c>
      <c r="CM341" t="e">
        <f>AND(#REF!,"AAAAAHi/+1o=")</f>
        <v>#REF!</v>
      </c>
      <c r="CN341" t="e">
        <f>AND(#REF!,"AAAAAHi/+1s=")</f>
        <v>#REF!</v>
      </c>
      <c r="CO341" t="e">
        <f>AND(#REF!,"AAAAAHi/+1w=")</f>
        <v>#REF!</v>
      </c>
      <c r="CP341" t="e">
        <f>AND(#REF!,"AAAAAHi/+10=")</f>
        <v>#REF!</v>
      </c>
      <c r="CQ341" t="e">
        <f>AND(#REF!,"AAAAAHi/+14=")</f>
        <v>#REF!</v>
      </c>
      <c r="CR341" t="e">
        <f>IF(#REF!,"AAAAAHi/+18=",0)</f>
        <v>#REF!</v>
      </c>
      <c r="CS341" t="e">
        <f>AND(#REF!,"AAAAAHi/+2A=")</f>
        <v>#REF!</v>
      </c>
      <c r="CT341" t="e">
        <f>AND(#REF!,"AAAAAHi/+2E=")</f>
        <v>#REF!</v>
      </c>
      <c r="CU341" t="e">
        <f>AND(#REF!,"AAAAAHi/+2I=")</f>
        <v>#REF!</v>
      </c>
      <c r="CV341" t="e">
        <f>AND(#REF!,"AAAAAHi/+2M=")</f>
        <v>#REF!</v>
      </c>
      <c r="CW341" t="e">
        <f>AND(#REF!,"AAAAAHi/+2Q=")</f>
        <v>#REF!</v>
      </c>
      <c r="CX341" t="e">
        <f>AND(#REF!,"AAAAAHi/+2U=")</f>
        <v>#REF!</v>
      </c>
      <c r="CY341" t="e">
        <f>AND(#REF!,"AAAAAHi/+2Y=")</f>
        <v>#REF!</v>
      </c>
      <c r="CZ341" t="e">
        <f>AND(#REF!,"AAAAAHi/+2c=")</f>
        <v>#REF!</v>
      </c>
      <c r="DA341" t="e">
        <f>AND(#REF!,"AAAAAHi/+2g=")</f>
        <v>#REF!</v>
      </c>
      <c r="DB341" t="e">
        <f>AND(#REF!,"AAAAAHi/+2k=")</f>
        <v>#REF!</v>
      </c>
      <c r="DC341" t="e">
        <f>AND(#REF!,"AAAAAHi/+2o=")</f>
        <v>#REF!</v>
      </c>
      <c r="DD341" t="e">
        <f>AND(#REF!,"AAAAAHi/+2s=")</f>
        <v>#REF!</v>
      </c>
      <c r="DE341" t="e">
        <f>AND(#REF!,"AAAAAHi/+2w=")</f>
        <v>#REF!</v>
      </c>
      <c r="DF341" t="e">
        <f>AND(#REF!,"AAAAAHi/+20=")</f>
        <v>#REF!</v>
      </c>
      <c r="DG341" t="e">
        <f>AND(#REF!,"AAAAAHi/+24=")</f>
        <v>#REF!</v>
      </c>
      <c r="DH341" t="e">
        <f>AND(#REF!,"AAAAAHi/+28=")</f>
        <v>#REF!</v>
      </c>
      <c r="DI341" t="e">
        <f>AND(#REF!,"AAAAAHi/+3A=")</f>
        <v>#REF!</v>
      </c>
      <c r="DJ341" t="e">
        <f>AND(#REF!,"AAAAAHi/+3E=")</f>
        <v>#REF!</v>
      </c>
      <c r="DK341" t="e">
        <f>AND(#REF!,"AAAAAHi/+3I=")</f>
        <v>#REF!</v>
      </c>
      <c r="DL341" t="e">
        <f>AND(#REF!,"AAAAAHi/+3M=")</f>
        <v>#REF!</v>
      </c>
      <c r="DM341" t="e">
        <f>AND(#REF!,"AAAAAHi/+3Q=")</f>
        <v>#REF!</v>
      </c>
      <c r="DN341" t="e">
        <f>AND(#REF!,"AAAAAHi/+3U=")</f>
        <v>#REF!</v>
      </c>
      <c r="DO341" t="e">
        <f>AND(#REF!,"AAAAAHi/+3Y=")</f>
        <v>#REF!</v>
      </c>
      <c r="DP341" t="e">
        <f>AND(#REF!,"AAAAAHi/+3c=")</f>
        <v>#REF!</v>
      </c>
      <c r="DQ341" t="e">
        <f>IF(#REF!,"AAAAAHi/+3g=",0)</f>
        <v>#REF!</v>
      </c>
      <c r="DR341" t="e">
        <f>AND(#REF!,"AAAAAHi/+3k=")</f>
        <v>#REF!</v>
      </c>
      <c r="DS341" t="e">
        <f>AND(#REF!,"AAAAAHi/+3o=")</f>
        <v>#REF!</v>
      </c>
      <c r="DT341" t="e">
        <f>AND(#REF!,"AAAAAHi/+3s=")</f>
        <v>#REF!</v>
      </c>
      <c r="DU341" t="e">
        <f>AND(#REF!,"AAAAAHi/+3w=")</f>
        <v>#REF!</v>
      </c>
      <c r="DV341" t="e">
        <f>AND(#REF!,"AAAAAHi/+30=")</f>
        <v>#REF!</v>
      </c>
      <c r="DW341" t="e">
        <f>AND(#REF!,"AAAAAHi/+34=")</f>
        <v>#REF!</v>
      </c>
      <c r="DX341" t="e">
        <f>AND(#REF!,"AAAAAHi/+38=")</f>
        <v>#REF!</v>
      </c>
      <c r="DY341" t="e">
        <f>AND(#REF!,"AAAAAHi/+4A=")</f>
        <v>#REF!</v>
      </c>
      <c r="DZ341" t="e">
        <f>AND(#REF!,"AAAAAHi/+4E=")</f>
        <v>#REF!</v>
      </c>
      <c r="EA341" t="e">
        <f>AND(#REF!,"AAAAAHi/+4I=")</f>
        <v>#REF!</v>
      </c>
      <c r="EB341" t="e">
        <f>AND(#REF!,"AAAAAHi/+4M=")</f>
        <v>#REF!</v>
      </c>
      <c r="EC341" t="e">
        <f>AND(#REF!,"AAAAAHi/+4Q=")</f>
        <v>#REF!</v>
      </c>
      <c r="ED341" t="e">
        <f>AND(#REF!,"AAAAAHi/+4U=")</f>
        <v>#REF!</v>
      </c>
      <c r="EE341" t="e">
        <f>AND(#REF!,"AAAAAHi/+4Y=")</f>
        <v>#REF!</v>
      </c>
      <c r="EF341" t="e">
        <f>AND(#REF!,"AAAAAHi/+4c=")</f>
        <v>#REF!</v>
      </c>
      <c r="EG341" t="e">
        <f>AND(#REF!,"AAAAAHi/+4g=")</f>
        <v>#REF!</v>
      </c>
      <c r="EH341" t="e">
        <f>AND(#REF!,"AAAAAHi/+4k=")</f>
        <v>#REF!</v>
      </c>
      <c r="EI341" t="e">
        <f>AND(#REF!,"AAAAAHi/+4o=")</f>
        <v>#REF!</v>
      </c>
      <c r="EJ341" t="e">
        <f>AND(#REF!,"AAAAAHi/+4s=")</f>
        <v>#REF!</v>
      </c>
      <c r="EK341" t="e">
        <f>AND(#REF!,"AAAAAHi/+4w=")</f>
        <v>#REF!</v>
      </c>
      <c r="EL341" t="e">
        <f>AND(#REF!,"AAAAAHi/+40=")</f>
        <v>#REF!</v>
      </c>
      <c r="EM341" t="e">
        <f>AND(#REF!,"AAAAAHi/+44=")</f>
        <v>#REF!</v>
      </c>
      <c r="EN341" t="e">
        <f>AND(#REF!,"AAAAAHi/+48=")</f>
        <v>#REF!</v>
      </c>
      <c r="EO341" t="e">
        <f>AND(#REF!,"AAAAAHi/+5A=")</f>
        <v>#REF!</v>
      </c>
      <c r="EP341" t="e">
        <f>IF(#REF!,"AAAAAHi/+5E=",0)</f>
        <v>#REF!</v>
      </c>
      <c r="EQ341" t="e">
        <f>AND(#REF!,"AAAAAHi/+5I=")</f>
        <v>#REF!</v>
      </c>
      <c r="ER341" t="e">
        <f>AND(#REF!,"AAAAAHi/+5M=")</f>
        <v>#REF!</v>
      </c>
      <c r="ES341" t="e">
        <f>AND(#REF!,"AAAAAHi/+5Q=")</f>
        <v>#REF!</v>
      </c>
      <c r="ET341" t="e">
        <f>AND(#REF!,"AAAAAHi/+5U=")</f>
        <v>#REF!</v>
      </c>
      <c r="EU341" t="e">
        <f>AND(#REF!,"AAAAAHi/+5Y=")</f>
        <v>#REF!</v>
      </c>
      <c r="EV341" t="e">
        <f>AND(#REF!,"AAAAAHi/+5c=")</f>
        <v>#REF!</v>
      </c>
      <c r="EW341" t="e">
        <f>AND(#REF!,"AAAAAHi/+5g=")</f>
        <v>#REF!</v>
      </c>
      <c r="EX341" t="e">
        <f>AND(#REF!,"AAAAAHi/+5k=")</f>
        <v>#REF!</v>
      </c>
      <c r="EY341" t="e">
        <f>AND(#REF!,"AAAAAHi/+5o=")</f>
        <v>#REF!</v>
      </c>
      <c r="EZ341" t="e">
        <f>AND(#REF!,"AAAAAHi/+5s=")</f>
        <v>#REF!</v>
      </c>
      <c r="FA341" t="e">
        <f>AND(#REF!,"AAAAAHi/+5w=")</f>
        <v>#REF!</v>
      </c>
      <c r="FB341" t="e">
        <f>AND(#REF!,"AAAAAHi/+50=")</f>
        <v>#REF!</v>
      </c>
      <c r="FC341" t="e">
        <f>AND(#REF!,"AAAAAHi/+54=")</f>
        <v>#REF!</v>
      </c>
      <c r="FD341" t="e">
        <f>AND(#REF!,"AAAAAHi/+58=")</f>
        <v>#REF!</v>
      </c>
      <c r="FE341" t="e">
        <f>AND(#REF!,"AAAAAHi/+6A=")</f>
        <v>#REF!</v>
      </c>
      <c r="FF341" t="e">
        <f>AND(#REF!,"AAAAAHi/+6E=")</f>
        <v>#REF!</v>
      </c>
      <c r="FG341" t="e">
        <f>AND(#REF!,"AAAAAHi/+6I=")</f>
        <v>#REF!</v>
      </c>
      <c r="FH341" t="e">
        <f>AND(#REF!,"AAAAAHi/+6M=")</f>
        <v>#REF!</v>
      </c>
      <c r="FI341" t="e">
        <f>AND(#REF!,"AAAAAHi/+6Q=")</f>
        <v>#REF!</v>
      </c>
      <c r="FJ341" t="e">
        <f>AND(#REF!,"AAAAAHi/+6U=")</f>
        <v>#REF!</v>
      </c>
      <c r="FK341" t="e">
        <f>AND(#REF!,"AAAAAHi/+6Y=")</f>
        <v>#REF!</v>
      </c>
      <c r="FL341" t="e">
        <f>AND(#REF!,"AAAAAHi/+6c=")</f>
        <v>#REF!</v>
      </c>
      <c r="FM341" t="e">
        <f>AND(#REF!,"AAAAAHi/+6g=")</f>
        <v>#REF!</v>
      </c>
      <c r="FN341" t="e">
        <f>AND(#REF!,"AAAAAHi/+6k=")</f>
        <v>#REF!</v>
      </c>
      <c r="FO341" t="e">
        <f>IF(#REF!,"AAAAAHi/+6o=",0)</f>
        <v>#REF!</v>
      </c>
      <c r="FP341" t="e">
        <f>AND(#REF!,"AAAAAHi/+6s=")</f>
        <v>#REF!</v>
      </c>
      <c r="FQ341" t="e">
        <f>AND(#REF!,"AAAAAHi/+6w=")</f>
        <v>#REF!</v>
      </c>
      <c r="FR341" t="e">
        <f>AND(#REF!,"AAAAAHi/+60=")</f>
        <v>#REF!</v>
      </c>
      <c r="FS341" t="e">
        <f>AND(#REF!,"AAAAAHi/+64=")</f>
        <v>#REF!</v>
      </c>
      <c r="FT341" t="e">
        <f>AND(#REF!,"AAAAAHi/+68=")</f>
        <v>#REF!</v>
      </c>
      <c r="FU341" t="e">
        <f>AND(#REF!,"AAAAAHi/+7A=")</f>
        <v>#REF!</v>
      </c>
      <c r="FV341" t="e">
        <f>AND(#REF!,"AAAAAHi/+7E=")</f>
        <v>#REF!</v>
      </c>
      <c r="FW341" t="e">
        <f>AND(#REF!,"AAAAAHi/+7I=")</f>
        <v>#REF!</v>
      </c>
      <c r="FX341" t="e">
        <f>AND(#REF!,"AAAAAHi/+7M=")</f>
        <v>#REF!</v>
      </c>
      <c r="FY341" t="e">
        <f>AND(#REF!,"AAAAAHi/+7Q=")</f>
        <v>#REF!</v>
      </c>
      <c r="FZ341" t="e">
        <f>AND(#REF!,"AAAAAHi/+7U=")</f>
        <v>#REF!</v>
      </c>
      <c r="GA341" t="e">
        <f>AND(#REF!,"AAAAAHi/+7Y=")</f>
        <v>#REF!</v>
      </c>
      <c r="GB341" t="e">
        <f>AND(#REF!,"AAAAAHi/+7c=")</f>
        <v>#REF!</v>
      </c>
      <c r="GC341" t="e">
        <f>AND(#REF!,"AAAAAHi/+7g=")</f>
        <v>#REF!</v>
      </c>
      <c r="GD341" t="e">
        <f>AND(#REF!,"AAAAAHi/+7k=")</f>
        <v>#REF!</v>
      </c>
      <c r="GE341" t="e">
        <f>AND(#REF!,"AAAAAHi/+7o=")</f>
        <v>#REF!</v>
      </c>
      <c r="GF341" t="e">
        <f>AND(#REF!,"AAAAAHi/+7s=")</f>
        <v>#REF!</v>
      </c>
      <c r="GG341" t="e">
        <f>AND(#REF!,"AAAAAHi/+7w=")</f>
        <v>#REF!</v>
      </c>
      <c r="GH341" t="e">
        <f>AND(#REF!,"AAAAAHi/+70=")</f>
        <v>#REF!</v>
      </c>
      <c r="GI341" t="e">
        <f>AND(#REF!,"AAAAAHi/+74=")</f>
        <v>#REF!</v>
      </c>
      <c r="GJ341" t="e">
        <f>AND(#REF!,"AAAAAHi/+78=")</f>
        <v>#REF!</v>
      </c>
      <c r="GK341" t="e">
        <f>AND(#REF!,"AAAAAHi/+8A=")</f>
        <v>#REF!</v>
      </c>
      <c r="GL341" t="e">
        <f>AND(#REF!,"AAAAAHi/+8E=")</f>
        <v>#REF!</v>
      </c>
      <c r="GM341" t="e">
        <f>AND(#REF!,"AAAAAHi/+8I=")</f>
        <v>#REF!</v>
      </c>
      <c r="GN341" t="e">
        <f>IF(#REF!,"AAAAAHi/+8M=",0)</f>
        <v>#REF!</v>
      </c>
      <c r="GO341" t="e">
        <f>AND(#REF!,"AAAAAHi/+8Q=")</f>
        <v>#REF!</v>
      </c>
      <c r="GP341" t="e">
        <f>AND(#REF!,"AAAAAHi/+8U=")</f>
        <v>#REF!</v>
      </c>
      <c r="GQ341" t="e">
        <f>AND(#REF!,"AAAAAHi/+8Y=")</f>
        <v>#REF!</v>
      </c>
      <c r="GR341" t="e">
        <f>AND(#REF!,"AAAAAHi/+8c=")</f>
        <v>#REF!</v>
      </c>
      <c r="GS341" t="e">
        <f>AND(#REF!,"AAAAAHi/+8g=")</f>
        <v>#REF!</v>
      </c>
      <c r="GT341" t="e">
        <f>AND(#REF!,"AAAAAHi/+8k=")</f>
        <v>#REF!</v>
      </c>
      <c r="GU341" t="e">
        <f>AND(#REF!,"AAAAAHi/+8o=")</f>
        <v>#REF!</v>
      </c>
      <c r="GV341" t="e">
        <f>AND(#REF!,"AAAAAHi/+8s=")</f>
        <v>#REF!</v>
      </c>
      <c r="GW341" t="e">
        <f>AND(#REF!,"AAAAAHi/+8w=")</f>
        <v>#REF!</v>
      </c>
      <c r="GX341" t="e">
        <f>AND(#REF!,"AAAAAHi/+80=")</f>
        <v>#REF!</v>
      </c>
      <c r="GY341" t="e">
        <f>AND(#REF!,"AAAAAHi/+84=")</f>
        <v>#REF!</v>
      </c>
      <c r="GZ341" t="e">
        <f>AND(#REF!,"AAAAAHi/+88=")</f>
        <v>#REF!</v>
      </c>
      <c r="HA341" t="e">
        <f>AND(#REF!,"AAAAAHi/+9A=")</f>
        <v>#REF!</v>
      </c>
      <c r="HB341" t="e">
        <f>AND(#REF!,"AAAAAHi/+9E=")</f>
        <v>#REF!</v>
      </c>
      <c r="HC341" t="e">
        <f>AND(#REF!,"AAAAAHi/+9I=")</f>
        <v>#REF!</v>
      </c>
      <c r="HD341" t="e">
        <f>AND(#REF!,"AAAAAHi/+9M=")</f>
        <v>#REF!</v>
      </c>
      <c r="HE341" t="e">
        <f>AND(#REF!,"AAAAAHi/+9Q=")</f>
        <v>#REF!</v>
      </c>
      <c r="HF341" t="e">
        <f>AND(#REF!,"AAAAAHi/+9U=")</f>
        <v>#REF!</v>
      </c>
      <c r="HG341" t="e">
        <f>AND(#REF!,"AAAAAHi/+9Y=")</f>
        <v>#REF!</v>
      </c>
      <c r="HH341" t="e">
        <f>AND(#REF!,"AAAAAHi/+9c=")</f>
        <v>#REF!</v>
      </c>
      <c r="HI341" t="e">
        <f>AND(#REF!,"AAAAAHi/+9g=")</f>
        <v>#REF!</v>
      </c>
      <c r="HJ341" t="e">
        <f>AND(#REF!,"AAAAAHi/+9k=")</f>
        <v>#REF!</v>
      </c>
      <c r="HK341" t="e">
        <f>AND(#REF!,"AAAAAHi/+9o=")</f>
        <v>#REF!</v>
      </c>
      <c r="HL341" t="e">
        <f>AND(#REF!,"AAAAAHi/+9s=")</f>
        <v>#REF!</v>
      </c>
      <c r="HM341" t="e">
        <f>IF(#REF!,"AAAAAHi/+9w=",0)</f>
        <v>#REF!</v>
      </c>
      <c r="HN341" t="e">
        <f>AND(#REF!,"AAAAAHi/+90=")</f>
        <v>#REF!</v>
      </c>
      <c r="HO341" t="e">
        <f>AND(#REF!,"AAAAAHi/+94=")</f>
        <v>#REF!</v>
      </c>
      <c r="HP341" t="e">
        <f>AND(#REF!,"AAAAAHi/+98=")</f>
        <v>#REF!</v>
      </c>
      <c r="HQ341" t="e">
        <f>AND(#REF!,"AAAAAHi/++A=")</f>
        <v>#REF!</v>
      </c>
      <c r="HR341" t="e">
        <f>AND(#REF!,"AAAAAHi/++E=")</f>
        <v>#REF!</v>
      </c>
      <c r="HS341" t="e">
        <f>AND(#REF!,"AAAAAHi/++I=")</f>
        <v>#REF!</v>
      </c>
      <c r="HT341" t="e">
        <f>AND(#REF!,"AAAAAHi/++M=")</f>
        <v>#REF!</v>
      </c>
      <c r="HU341" t="e">
        <f>AND(#REF!,"AAAAAHi/++Q=")</f>
        <v>#REF!</v>
      </c>
      <c r="HV341" t="e">
        <f>AND(#REF!,"AAAAAHi/++U=")</f>
        <v>#REF!</v>
      </c>
      <c r="HW341" t="e">
        <f>AND(#REF!,"AAAAAHi/++Y=")</f>
        <v>#REF!</v>
      </c>
      <c r="HX341" t="e">
        <f>AND(#REF!,"AAAAAHi/++c=")</f>
        <v>#REF!</v>
      </c>
      <c r="HY341" t="e">
        <f>AND(#REF!,"AAAAAHi/++g=")</f>
        <v>#REF!</v>
      </c>
      <c r="HZ341" t="e">
        <f>AND(#REF!,"AAAAAHi/++k=")</f>
        <v>#REF!</v>
      </c>
      <c r="IA341" t="e">
        <f>AND(#REF!,"AAAAAHi/++o=")</f>
        <v>#REF!</v>
      </c>
      <c r="IB341" t="e">
        <f>AND(#REF!,"AAAAAHi/++s=")</f>
        <v>#REF!</v>
      </c>
      <c r="IC341" t="e">
        <f>AND(#REF!,"AAAAAHi/++w=")</f>
        <v>#REF!</v>
      </c>
      <c r="ID341" t="e">
        <f>AND(#REF!,"AAAAAHi/++0=")</f>
        <v>#REF!</v>
      </c>
      <c r="IE341" t="e">
        <f>AND(#REF!,"AAAAAHi/++4=")</f>
        <v>#REF!</v>
      </c>
      <c r="IF341" t="e">
        <f>AND(#REF!,"AAAAAHi/++8=")</f>
        <v>#REF!</v>
      </c>
      <c r="IG341" t="e">
        <f>AND(#REF!,"AAAAAHi/+/A=")</f>
        <v>#REF!</v>
      </c>
      <c r="IH341" t="e">
        <f>AND(#REF!,"AAAAAHi/+/E=")</f>
        <v>#REF!</v>
      </c>
      <c r="II341" t="e">
        <f>AND(#REF!,"AAAAAHi/+/I=")</f>
        <v>#REF!</v>
      </c>
      <c r="IJ341" t="e">
        <f>AND(#REF!,"AAAAAHi/+/M=")</f>
        <v>#REF!</v>
      </c>
      <c r="IK341" t="e">
        <f>AND(#REF!,"AAAAAHi/+/Q=")</f>
        <v>#REF!</v>
      </c>
      <c r="IL341" t="e">
        <f>IF(#REF!,"AAAAAHi/+/U=",0)</f>
        <v>#REF!</v>
      </c>
      <c r="IM341" t="e">
        <f>AND(#REF!,"AAAAAHi/+/Y=")</f>
        <v>#REF!</v>
      </c>
      <c r="IN341" t="e">
        <f>AND(#REF!,"AAAAAHi/+/c=")</f>
        <v>#REF!</v>
      </c>
      <c r="IO341" t="e">
        <f>AND(#REF!,"AAAAAHi/+/g=")</f>
        <v>#REF!</v>
      </c>
      <c r="IP341" t="e">
        <f>AND(#REF!,"AAAAAHi/+/k=")</f>
        <v>#REF!</v>
      </c>
      <c r="IQ341" t="e">
        <f>AND(#REF!,"AAAAAHi/+/o=")</f>
        <v>#REF!</v>
      </c>
      <c r="IR341" t="e">
        <f>AND(#REF!,"AAAAAHi/+/s=")</f>
        <v>#REF!</v>
      </c>
      <c r="IS341" t="e">
        <f>AND(#REF!,"AAAAAHi/+/w=")</f>
        <v>#REF!</v>
      </c>
      <c r="IT341" t="e">
        <f>AND(#REF!,"AAAAAHi/+/0=")</f>
        <v>#REF!</v>
      </c>
      <c r="IU341" t="e">
        <f>AND(#REF!,"AAAAAHi/+/4=")</f>
        <v>#REF!</v>
      </c>
      <c r="IV341" t="e">
        <f>AND(#REF!,"AAAAAHi/+/8=")</f>
        <v>#REF!</v>
      </c>
    </row>
    <row r="342" spans="1:256">
      <c r="A342" t="e">
        <f>AND(#REF!,"AAAAAH31/QA=")</f>
        <v>#REF!</v>
      </c>
      <c r="B342" t="e">
        <f>AND(#REF!,"AAAAAH31/QE=")</f>
        <v>#REF!</v>
      </c>
      <c r="C342" t="e">
        <f>AND(#REF!,"AAAAAH31/QI=")</f>
        <v>#REF!</v>
      </c>
      <c r="D342" t="e">
        <f>AND(#REF!,"AAAAAH31/QM=")</f>
        <v>#REF!</v>
      </c>
      <c r="E342" t="e">
        <f>AND(#REF!,"AAAAAH31/QQ=")</f>
        <v>#REF!</v>
      </c>
      <c r="F342" t="e">
        <f>AND(#REF!,"AAAAAH31/QU=")</f>
        <v>#REF!</v>
      </c>
      <c r="G342" t="e">
        <f>AND(#REF!,"AAAAAH31/QY=")</f>
        <v>#REF!</v>
      </c>
      <c r="H342" t="e">
        <f>AND(#REF!,"AAAAAH31/Qc=")</f>
        <v>#REF!</v>
      </c>
      <c r="I342" t="e">
        <f>AND(#REF!,"AAAAAH31/Qg=")</f>
        <v>#REF!</v>
      </c>
      <c r="J342" t="e">
        <f>AND(#REF!,"AAAAAH31/Qk=")</f>
        <v>#REF!</v>
      </c>
      <c r="K342" t="e">
        <f>AND(#REF!,"AAAAAH31/Qo=")</f>
        <v>#REF!</v>
      </c>
      <c r="L342" t="e">
        <f>AND(#REF!,"AAAAAH31/Qs=")</f>
        <v>#REF!</v>
      </c>
      <c r="M342" t="e">
        <f>AND(#REF!,"AAAAAH31/Qw=")</f>
        <v>#REF!</v>
      </c>
      <c r="N342" t="e">
        <f>AND(#REF!,"AAAAAH31/Q0=")</f>
        <v>#REF!</v>
      </c>
      <c r="O342" t="e">
        <f>IF(#REF!,"AAAAAH31/Q4=",0)</f>
        <v>#REF!</v>
      </c>
      <c r="P342" t="e">
        <f>AND(#REF!,"AAAAAH31/Q8=")</f>
        <v>#REF!</v>
      </c>
      <c r="Q342" t="e">
        <f>AND(#REF!,"AAAAAH31/RA=")</f>
        <v>#REF!</v>
      </c>
      <c r="R342" t="e">
        <f>AND(#REF!,"AAAAAH31/RE=")</f>
        <v>#REF!</v>
      </c>
      <c r="S342" t="e">
        <f>AND(#REF!,"AAAAAH31/RI=")</f>
        <v>#REF!</v>
      </c>
      <c r="T342" t="e">
        <f>AND(#REF!,"AAAAAH31/RM=")</f>
        <v>#REF!</v>
      </c>
      <c r="U342" t="e">
        <f>AND(#REF!,"AAAAAH31/RQ=")</f>
        <v>#REF!</v>
      </c>
      <c r="V342" t="e">
        <f>AND(#REF!,"AAAAAH31/RU=")</f>
        <v>#REF!</v>
      </c>
      <c r="W342" t="e">
        <f>AND(#REF!,"AAAAAH31/RY=")</f>
        <v>#REF!</v>
      </c>
      <c r="X342" t="e">
        <f>AND(#REF!,"AAAAAH31/Rc=")</f>
        <v>#REF!</v>
      </c>
      <c r="Y342" t="e">
        <f>AND(#REF!,"AAAAAH31/Rg=")</f>
        <v>#REF!</v>
      </c>
      <c r="Z342" t="e">
        <f>AND(#REF!,"AAAAAH31/Rk=")</f>
        <v>#REF!</v>
      </c>
      <c r="AA342" t="e">
        <f>AND(#REF!,"AAAAAH31/Ro=")</f>
        <v>#REF!</v>
      </c>
      <c r="AB342" t="e">
        <f>AND(#REF!,"AAAAAH31/Rs=")</f>
        <v>#REF!</v>
      </c>
      <c r="AC342" t="e">
        <f>AND(#REF!,"AAAAAH31/Rw=")</f>
        <v>#REF!</v>
      </c>
      <c r="AD342" t="e">
        <f>AND(#REF!,"AAAAAH31/R0=")</f>
        <v>#REF!</v>
      </c>
      <c r="AE342" t="e">
        <f>AND(#REF!,"AAAAAH31/R4=")</f>
        <v>#REF!</v>
      </c>
      <c r="AF342" t="e">
        <f>AND(#REF!,"AAAAAH31/R8=")</f>
        <v>#REF!</v>
      </c>
      <c r="AG342" t="e">
        <f>AND(#REF!,"AAAAAH31/SA=")</f>
        <v>#REF!</v>
      </c>
      <c r="AH342" t="e">
        <f>AND(#REF!,"AAAAAH31/SE=")</f>
        <v>#REF!</v>
      </c>
      <c r="AI342" t="e">
        <f>AND(#REF!,"AAAAAH31/SI=")</f>
        <v>#REF!</v>
      </c>
      <c r="AJ342" t="e">
        <f>AND(#REF!,"AAAAAH31/SM=")</f>
        <v>#REF!</v>
      </c>
      <c r="AK342" t="e">
        <f>AND(#REF!,"AAAAAH31/SQ=")</f>
        <v>#REF!</v>
      </c>
      <c r="AL342" t="e">
        <f>AND(#REF!,"AAAAAH31/SU=")</f>
        <v>#REF!</v>
      </c>
      <c r="AM342" t="e">
        <f>AND(#REF!,"AAAAAH31/SY=")</f>
        <v>#REF!</v>
      </c>
      <c r="AN342" t="e">
        <f>IF(#REF!,"AAAAAH31/Sc=",0)</f>
        <v>#REF!</v>
      </c>
      <c r="AO342" t="e">
        <f>AND(#REF!,"AAAAAH31/Sg=")</f>
        <v>#REF!</v>
      </c>
      <c r="AP342" t="e">
        <f>AND(#REF!,"AAAAAH31/Sk=")</f>
        <v>#REF!</v>
      </c>
      <c r="AQ342" t="e">
        <f>AND(#REF!,"AAAAAH31/So=")</f>
        <v>#REF!</v>
      </c>
      <c r="AR342" t="e">
        <f>AND(#REF!,"AAAAAH31/Ss=")</f>
        <v>#REF!</v>
      </c>
      <c r="AS342" t="e">
        <f>AND(#REF!,"AAAAAH31/Sw=")</f>
        <v>#REF!</v>
      </c>
      <c r="AT342" t="e">
        <f>AND(#REF!,"AAAAAH31/S0=")</f>
        <v>#REF!</v>
      </c>
      <c r="AU342" t="e">
        <f>AND(#REF!,"AAAAAH31/S4=")</f>
        <v>#REF!</v>
      </c>
      <c r="AV342" t="e">
        <f>AND(#REF!,"AAAAAH31/S8=")</f>
        <v>#REF!</v>
      </c>
      <c r="AW342" t="e">
        <f>AND(#REF!,"AAAAAH31/TA=")</f>
        <v>#REF!</v>
      </c>
      <c r="AX342" t="e">
        <f>AND(#REF!,"AAAAAH31/TE=")</f>
        <v>#REF!</v>
      </c>
      <c r="AY342" t="e">
        <f>AND(#REF!,"AAAAAH31/TI=")</f>
        <v>#REF!</v>
      </c>
      <c r="AZ342" t="e">
        <f>AND(#REF!,"AAAAAH31/TM=")</f>
        <v>#REF!</v>
      </c>
      <c r="BA342" t="e">
        <f>AND(#REF!,"AAAAAH31/TQ=")</f>
        <v>#REF!</v>
      </c>
      <c r="BB342" t="e">
        <f>AND(#REF!,"AAAAAH31/TU=")</f>
        <v>#REF!</v>
      </c>
      <c r="BC342" t="e">
        <f>AND(#REF!,"AAAAAH31/TY=")</f>
        <v>#REF!</v>
      </c>
      <c r="BD342" t="e">
        <f>AND(#REF!,"AAAAAH31/Tc=")</f>
        <v>#REF!</v>
      </c>
      <c r="BE342" t="e">
        <f>AND(#REF!,"AAAAAH31/Tg=")</f>
        <v>#REF!</v>
      </c>
      <c r="BF342" t="e">
        <f>AND(#REF!,"AAAAAH31/Tk=")</f>
        <v>#REF!</v>
      </c>
      <c r="BG342" t="e">
        <f>AND(#REF!,"AAAAAH31/To=")</f>
        <v>#REF!</v>
      </c>
      <c r="BH342" t="e">
        <f>AND(#REF!,"AAAAAH31/Ts=")</f>
        <v>#REF!</v>
      </c>
      <c r="BI342" t="e">
        <f>AND(#REF!,"AAAAAH31/Tw=")</f>
        <v>#REF!</v>
      </c>
      <c r="BJ342" t="e">
        <f>AND(#REF!,"AAAAAH31/T0=")</f>
        <v>#REF!</v>
      </c>
      <c r="BK342" t="e">
        <f>AND(#REF!,"AAAAAH31/T4=")</f>
        <v>#REF!</v>
      </c>
      <c r="BL342" t="e">
        <f>AND(#REF!,"AAAAAH31/T8=")</f>
        <v>#REF!</v>
      </c>
      <c r="BM342" t="e">
        <f>IF(#REF!,"AAAAAH31/UA=",0)</f>
        <v>#REF!</v>
      </c>
      <c r="BN342" t="e">
        <f>AND(#REF!,"AAAAAH31/UE=")</f>
        <v>#REF!</v>
      </c>
      <c r="BO342" t="e">
        <f>AND(#REF!,"AAAAAH31/UI=")</f>
        <v>#REF!</v>
      </c>
      <c r="BP342" t="e">
        <f>AND(#REF!,"AAAAAH31/UM=")</f>
        <v>#REF!</v>
      </c>
      <c r="BQ342" t="e">
        <f>AND(#REF!,"AAAAAH31/UQ=")</f>
        <v>#REF!</v>
      </c>
      <c r="BR342" t="e">
        <f>AND(#REF!,"AAAAAH31/UU=")</f>
        <v>#REF!</v>
      </c>
      <c r="BS342" t="e">
        <f>AND(#REF!,"AAAAAH31/UY=")</f>
        <v>#REF!</v>
      </c>
      <c r="BT342" t="e">
        <f>AND(#REF!,"AAAAAH31/Uc=")</f>
        <v>#REF!</v>
      </c>
      <c r="BU342" t="e">
        <f>AND(#REF!,"AAAAAH31/Ug=")</f>
        <v>#REF!</v>
      </c>
      <c r="BV342" t="e">
        <f>AND(#REF!,"AAAAAH31/Uk=")</f>
        <v>#REF!</v>
      </c>
      <c r="BW342" t="e">
        <f>AND(#REF!,"AAAAAH31/Uo=")</f>
        <v>#REF!</v>
      </c>
      <c r="BX342" t="e">
        <f>AND(#REF!,"AAAAAH31/Us=")</f>
        <v>#REF!</v>
      </c>
      <c r="BY342" t="e">
        <f>AND(#REF!,"AAAAAH31/Uw=")</f>
        <v>#REF!</v>
      </c>
      <c r="BZ342" t="e">
        <f>AND(#REF!,"AAAAAH31/U0=")</f>
        <v>#REF!</v>
      </c>
      <c r="CA342" t="e">
        <f>AND(#REF!,"AAAAAH31/U4=")</f>
        <v>#REF!</v>
      </c>
      <c r="CB342" t="e">
        <f>AND(#REF!,"AAAAAH31/U8=")</f>
        <v>#REF!</v>
      </c>
      <c r="CC342" t="e">
        <f>AND(#REF!,"AAAAAH31/VA=")</f>
        <v>#REF!</v>
      </c>
      <c r="CD342" t="e">
        <f>AND(#REF!,"AAAAAH31/VE=")</f>
        <v>#REF!</v>
      </c>
      <c r="CE342" t="e">
        <f>AND(#REF!,"AAAAAH31/VI=")</f>
        <v>#REF!</v>
      </c>
      <c r="CF342" t="e">
        <f>AND(#REF!,"AAAAAH31/VM=")</f>
        <v>#REF!</v>
      </c>
      <c r="CG342" t="e">
        <f>AND(#REF!,"AAAAAH31/VQ=")</f>
        <v>#REF!</v>
      </c>
      <c r="CH342" t="e">
        <f>AND(#REF!,"AAAAAH31/VU=")</f>
        <v>#REF!</v>
      </c>
      <c r="CI342" t="e">
        <f>AND(#REF!,"AAAAAH31/VY=")</f>
        <v>#REF!</v>
      </c>
      <c r="CJ342" t="e">
        <f>AND(#REF!,"AAAAAH31/Vc=")</f>
        <v>#REF!</v>
      </c>
      <c r="CK342" t="e">
        <f>AND(#REF!,"AAAAAH31/Vg=")</f>
        <v>#REF!</v>
      </c>
      <c r="CL342" t="e">
        <f>IF(#REF!,"AAAAAH31/Vk=",0)</f>
        <v>#REF!</v>
      </c>
      <c r="CM342" t="e">
        <f>AND(#REF!,"AAAAAH31/Vo=")</f>
        <v>#REF!</v>
      </c>
      <c r="CN342" t="e">
        <f>AND(#REF!,"AAAAAH31/Vs=")</f>
        <v>#REF!</v>
      </c>
      <c r="CO342" t="e">
        <f>AND(#REF!,"AAAAAH31/Vw=")</f>
        <v>#REF!</v>
      </c>
      <c r="CP342" t="e">
        <f>AND(#REF!,"AAAAAH31/V0=")</f>
        <v>#REF!</v>
      </c>
      <c r="CQ342" t="e">
        <f>AND(#REF!,"AAAAAH31/V4=")</f>
        <v>#REF!</v>
      </c>
      <c r="CR342" t="e">
        <f>AND(#REF!,"AAAAAH31/V8=")</f>
        <v>#REF!</v>
      </c>
      <c r="CS342" t="e">
        <f>AND(#REF!,"AAAAAH31/WA=")</f>
        <v>#REF!</v>
      </c>
      <c r="CT342" t="e">
        <f>AND(#REF!,"AAAAAH31/WE=")</f>
        <v>#REF!</v>
      </c>
      <c r="CU342" t="e">
        <f>AND(#REF!,"AAAAAH31/WI=")</f>
        <v>#REF!</v>
      </c>
      <c r="CV342" t="e">
        <f>AND(#REF!,"AAAAAH31/WM=")</f>
        <v>#REF!</v>
      </c>
      <c r="CW342" t="e">
        <f>AND(#REF!,"AAAAAH31/WQ=")</f>
        <v>#REF!</v>
      </c>
      <c r="CX342" t="e">
        <f>AND(#REF!,"AAAAAH31/WU=")</f>
        <v>#REF!</v>
      </c>
      <c r="CY342" t="e">
        <f>AND(#REF!,"AAAAAH31/WY=")</f>
        <v>#REF!</v>
      </c>
      <c r="CZ342" t="e">
        <f>AND(#REF!,"AAAAAH31/Wc=")</f>
        <v>#REF!</v>
      </c>
      <c r="DA342" t="e">
        <f>AND(#REF!,"AAAAAH31/Wg=")</f>
        <v>#REF!</v>
      </c>
      <c r="DB342" t="e">
        <f>AND(#REF!,"AAAAAH31/Wk=")</f>
        <v>#REF!</v>
      </c>
      <c r="DC342" t="e">
        <f>AND(#REF!,"AAAAAH31/Wo=")</f>
        <v>#REF!</v>
      </c>
      <c r="DD342" t="e">
        <f>AND(#REF!,"AAAAAH31/Ws=")</f>
        <v>#REF!</v>
      </c>
      <c r="DE342" t="e">
        <f>AND(#REF!,"AAAAAH31/Ww=")</f>
        <v>#REF!</v>
      </c>
      <c r="DF342" t="e">
        <f>AND(#REF!,"AAAAAH31/W0=")</f>
        <v>#REF!</v>
      </c>
      <c r="DG342" t="e">
        <f>AND(#REF!,"AAAAAH31/W4=")</f>
        <v>#REF!</v>
      </c>
      <c r="DH342" t="e">
        <f>AND(#REF!,"AAAAAH31/W8=")</f>
        <v>#REF!</v>
      </c>
      <c r="DI342" t="e">
        <f>AND(#REF!,"AAAAAH31/XA=")</f>
        <v>#REF!</v>
      </c>
      <c r="DJ342" t="e">
        <f>AND(#REF!,"AAAAAH31/XE=")</f>
        <v>#REF!</v>
      </c>
      <c r="DK342" t="e">
        <f>IF(#REF!,"AAAAAH31/XI=",0)</f>
        <v>#REF!</v>
      </c>
      <c r="DL342" t="e">
        <f>AND(#REF!,"AAAAAH31/XM=")</f>
        <v>#REF!</v>
      </c>
      <c r="DM342" t="e">
        <f>AND(#REF!,"AAAAAH31/XQ=")</f>
        <v>#REF!</v>
      </c>
      <c r="DN342" t="e">
        <f>AND(#REF!,"AAAAAH31/XU=")</f>
        <v>#REF!</v>
      </c>
      <c r="DO342" t="e">
        <f>AND(#REF!,"AAAAAH31/XY=")</f>
        <v>#REF!</v>
      </c>
      <c r="DP342" t="e">
        <f>AND(#REF!,"AAAAAH31/Xc=")</f>
        <v>#REF!</v>
      </c>
      <c r="DQ342" t="e">
        <f>AND(#REF!,"AAAAAH31/Xg=")</f>
        <v>#REF!</v>
      </c>
      <c r="DR342" t="e">
        <f>AND(#REF!,"AAAAAH31/Xk=")</f>
        <v>#REF!</v>
      </c>
      <c r="DS342" t="e">
        <f>AND(#REF!,"AAAAAH31/Xo=")</f>
        <v>#REF!</v>
      </c>
      <c r="DT342" t="e">
        <f>AND(#REF!,"AAAAAH31/Xs=")</f>
        <v>#REF!</v>
      </c>
      <c r="DU342" t="e">
        <f>AND(#REF!,"AAAAAH31/Xw=")</f>
        <v>#REF!</v>
      </c>
      <c r="DV342" t="e">
        <f>AND(#REF!,"AAAAAH31/X0=")</f>
        <v>#REF!</v>
      </c>
      <c r="DW342" t="e">
        <f>AND(#REF!,"AAAAAH31/X4=")</f>
        <v>#REF!</v>
      </c>
      <c r="DX342" t="e">
        <f>AND(#REF!,"AAAAAH31/X8=")</f>
        <v>#REF!</v>
      </c>
      <c r="DY342" t="e">
        <f>AND(#REF!,"AAAAAH31/YA=")</f>
        <v>#REF!</v>
      </c>
      <c r="DZ342" t="e">
        <f>AND(#REF!,"AAAAAH31/YE=")</f>
        <v>#REF!</v>
      </c>
      <c r="EA342" t="e">
        <f>AND(#REF!,"AAAAAH31/YI=")</f>
        <v>#REF!</v>
      </c>
      <c r="EB342" t="e">
        <f>AND(#REF!,"AAAAAH31/YM=")</f>
        <v>#REF!</v>
      </c>
      <c r="EC342" t="e">
        <f>AND(#REF!,"AAAAAH31/YQ=")</f>
        <v>#REF!</v>
      </c>
      <c r="ED342" t="e">
        <f>AND(#REF!,"AAAAAH31/YU=")</f>
        <v>#REF!</v>
      </c>
      <c r="EE342" t="e">
        <f>AND(#REF!,"AAAAAH31/YY=")</f>
        <v>#REF!</v>
      </c>
      <c r="EF342" t="e">
        <f>AND(#REF!,"AAAAAH31/Yc=")</f>
        <v>#REF!</v>
      </c>
      <c r="EG342" t="e">
        <f>AND(#REF!,"AAAAAH31/Yg=")</f>
        <v>#REF!</v>
      </c>
      <c r="EH342" t="e">
        <f>AND(#REF!,"AAAAAH31/Yk=")</f>
        <v>#REF!</v>
      </c>
      <c r="EI342" t="e">
        <f>AND(#REF!,"AAAAAH31/Yo=")</f>
        <v>#REF!</v>
      </c>
      <c r="EJ342" t="e">
        <f>IF(#REF!,"AAAAAH31/Ys=",0)</f>
        <v>#REF!</v>
      </c>
      <c r="EK342" t="e">
        <f>AND(#REF!,"AAAAAH31/Yw=")</f>
        <v>#REF!</v>
      </c>
      <c r="EL342" t="e">
        <f>AND(#REF!,"AAAAAH31/Y0=")</f>
        <v>#REF!</v>
      </c>
      <c r="EM342" t="e">
        <f>AND(#REF!,"AAAAAH31/Y4=")</f>
        <v>#REF!</v>
      </c>
      <c r="EN342" t="e">
        <f>AND(#REF!,"AAAAAH31/Y8=")</f>
        <v>#REF!</v>
      </c>
      <c r="EO342" t="e">
        <f>AND(#REF!,"AAAAAH31/ZA=")</f>
        <v>#REF!</v>
      </c>
      <c r="EP342" t="e">
        <f>AND(#REF!,"AAAAAH31/ZE=")</f>
        <v>#REF!</v>
      </c>
      <c r="EQ342" t="e">
        <f>AND(#REF!,"AAAAAH31/ZI=")</f>
        <v>#REF!</v>
      </c>
      <c r="ER342" t="e">
        <f>AND(#REF!,"AAAAAH31/ZM=")</f>
        <v>#REF!</v>
      </c>
      <c r="ES342" t="e">
        <f>AND(#REF!,"AAAAAH31/ZQ=")</f>
        <v>#REF!</v>
      </c>
      <c r="ET342" t="e">
        <f>AND(#REF!,"AAAAAH31/ZU=")</f>
        <v>#REF!</v>
      </c>
      <c r="EU342" t="e">
        <f>AND(#REF!,"AAAAAH31/ZY=")</f>
        <v>#REF!</v>
      </c>
      <c r="EV342" t="e">
        <f>AND(#REF!,"AAAAAH31/Zc=")</f>
        <v>#REF!</v>
      </c>
      <c r="EW342" t="e">
        <f>AND(#REF!,"AAAAAH31/Zg=")</f>
        <v>#REF!</v>
      </c>
      <c r="EX342" t="e">
        <f>AND(#REF!,"AAAAAH31/Zk=")</f>
        <v>#REF!</v>
      </c>
      <c r="EY342" t="e">
        <f>AND(#REF!,"AAAAAH31/Zo=")</f>
        <v>#REF!</v>
      </c>
      <c r="EZ342" t="e">
        <f>AND(#REF!,"AAAAAH31/Zs=")</f>
        <v>#REF!</v>
      </c>
      <c r="FA342" t="e">
        <f>AND(#REF!,"AAAAAH31/Zw=")</f>
        <v>#REF!</v>
      </c>
      <c r="FB342" t="e">
        <f>AND(#REF!,"AAAAAH31/Z0=")</f>
        <v>#REF!</v>
      </c>
      <c r="FC342" t="e">
        <f>AND(#REF!,"AAAAAH31/Z4=")</f>
        <v>#REF!</v>
      </c>
      <c r="FD342" t="e">
        <f>AND(#REF!,"AAAAAH31/Z8=")</f>
        <v>#REF!</v>
      </c>
      <c r="FE342" t="e">
        <f>AND(#REF!,"AAAAAH31/aA=")</f>
        <v>#REF!</v>
      </c>
      <c r="FF342" t="e">
        <f>AND(#REF!,"AAAAAH31/aE=")</f>
        <v>#REF!</v>
      </c>
      <c r="FG342" t="e">
        <f>AND(#REF!,"AAAAAH31/aI=")</f>
        <v>#REF!</v>
      </c>
      <c r="FH342" t="e">
        <f>AND(#REF!,"AAAAAH31/aM=")</f>
        <v>#REF!</v>
      </c>
      <c r="FI342" t="e">
        <f>IF(#REF!,"AAAAAH31/aQ=",0)</f>
        <v>#REF!</v>
      </c>
      <c r="FJ342" t="e">
        <f>AND(#REF!,"AAAAAH31/aU=")</f>
        <v>#REF!</v>
      </c>
      <c r="FK342" t="e">
        <f>AND(#REF!,"AAAAAH31/aY=")</f>
        <v>#REF!</v>
      </c>
      <c r="FL342" t="e">
        <f>AND(#REF!,"AAAAAH31/ac=")</f>
        <v>#REF!</v>
      </c>
      <c r="FM342" t="e">
        <f>AND(#REF!,"AAAAAH31/ag=")</f>
        <v>#REF!</v>
      </c>
      <c r="FN342" t="e">
        <f>AND(#REF!,"AAAAAH31/ak=")</f>
        <v>#REF!</v>
      </c>
      <c r="FO342" t="e">
        <f>AND(#REF!,"AAAAAH31/ao=")</f>
        <v>#REF!</v>
      </c>
      <c r="FP342" t="e">
        <f>AND(#REF!,"AAAAAH31/as=")</f>
        <v>#REF!</v>
      </c>
      <c r="FQ342" t="e">
        <f>AND(#REF!,"AAAAAH31/aw=")</f>
        <v>#REF!</v>
      </c>
      <c r="FR342" t="e">
        <f>AND(#REF!,"AAAAAH31/a0=")</f>
        <v>#REF!</v>
      </c>
      <c r="FS342" t="e">
        <f>AND(#REF!,"AAAAAH31/a4=")</f>
        <v>#REF!</v>
      </c>
      <c r="FT342" t="e">
        <f>AND(#REF!,"AAAAAH31/a8=")</f>
        <v>#REF!</v>
      </c>
      <c r="FU342" t="e">
        <f>AND(#REF!,"AAAAAH31/bA=")</f>
        <v>#REF!</v>
      </c>
      <c r="FV342" t="e">
        <f>AND(#REF!,"AAAAAH31/bE=")</f>
        <v>#REF!</v>
      </c>
      <c r="FW342" t="e">
        <f>AND(#REF!,"AAAAAH31/bI=")</f>
        <v>#REF!</v>
      </c>
      <c r="FX342" t="e">
        <f>AND(#REF!,"AAAAAH31/bM=")</f>
        <v>#REF!</v>
      </c>
      <c r="FY342" t="e">
        <f>AND(#REF!,"AAAAAH31/bQ=")</f>
        <v>#REF!</v>
      </c>
      <c r="FZ342" t="e">
        <f>AND(#REF!,"AAAAAH31/bU=")</f>
        <v>#REF!</v>
      </c>
      <c r="GA342" t="e">
        <f>AND(#REF!,"AAAAAH31/bY=")</f>
        <v>#REF!</v>
      </c>
      <c r="GB342" t="e">
        <f>AND(#REF!,"AAAAAH31/bc=")</f>
        <v>#REF!</v>
      </c>
      <c r="GC342" t="e">
        <f>AND(#REF!,"AAAAAH31/bg=")</f>
        <v>#REF!</v>
      </c>
      <c r="GD342" t="e">
        <f>AND(#REF!,"AAAAAH31/bk=")</f>
        <v>#REF!</v>
      </c>
      <c r="GE342" t="e">
        <f>AND(#REF!,"AAAAAH31/bo=")</f>
        <v>#REF!</v>
      </c>
      <c r="GF342" t="e">
        <f>AND(#REF!,"AAAAAH31/bs=")</f>
        <v>#REF!</v>
      </c>
      <c r="GG342" t="e">
        <f>AND(#REF!,"AAAAAH31/bw=")</f>
        <v>#REF!</v>
      </c>
      <c r="GH342" t="e">
        <f>IF(#REF!,"AAAAAH31/b0=",0)</f>
        <v>#REF!</v>
      </c>
      <c r="GI342" t="e">
        <f>AND(#REF!,"AAAAAH31/b4=")</f>
        <v>#REF!</v>
      </c>
      <c r="GJ342" t="e">
        <f>AND(#REF!,"AAAAAH31/b8=")</f>
        <v>#REF!</v>
      </c>
      <c r="GK342" t="e">
        <f>AND(#REF!,"AAAAAH31/cA=")</f>
        <v>#REF!</v>
      </c>
      <c r="GL342" t="e">
        <f>AND(#REF!,"AAAAAH31/cE=")</f>
        <v>#REF!</v>
      </c>
      <c r="GM342" t="e">
        <f>AND(#REF!,"AAAAAH31/cI=")</f>
        <v>#REF!</v>
      </c>
      <c r="GN342" t="e">
        <f>AND(#REF!,"AAAAAH31/cM=")</f>
        <v>#REF!</v>
      </c>
      <c r="GO342" t="e">
        <f>AND(#REF!,"AAAAAH31/cQ=")</f>
        <v>#REF!</v>
      </c>
      <c r="GP342" t="e">
        <f>AND(#REF!,"AAAAAH31/cU=")</f>
        <v>#REF!</v>
      </c>
      <c r="GQ342" t="e">
        <f>AND(#REF!,"AAAAAH31/cY=")</f>
        <v>#REF!</v>
      </c>
      <c r="GR342" t="e">
        <f>AND(#REF!,"AAAAAH31/cc=")</f>
        <v>#REF!</v>
      </c>
      <c r="GS342" t="e">
        <f>AND(#REF!,"AAAAAH31/cg=")</f>
        <v>#REF!</v>
      </c>
      <c r="GT342" t="e">
        <f>AND(#REF!,"AAAAAH31/ck=")</f>
        <v>#REF!</v>
      </c>
      <c r="GU342" t="e">
        <f>AND(#REF!,"AAAAAH31/co=")</f>
        <v>#REF!</v>
      </c>
      <c r="GV342" t="e">
        <f>AND(#REF!,"AAAAAH31/cs=")</f>
        <v>#REF!</v>
      </c>
      <c r="GW342" t="e">
        <f>AND(#REF!,"AAAAAH31/cw=")</f>
        <v>#REF!</v>
      </c>
      <c r="GX342" t="e">
        <f>AND(#REF!,"AAAAAH31/c0=")</f>
        <v>#REF!</v>
      </c>
      <c r="GY342" t="e">
        <f>AND(#REF!,"AAAAAH31/c4=")</f>
        <v>#REF!</v>
      </c>
      <c r="GZ342" t="e">
        <f>AND(#REF!,"AAAAAH31/c8=")</f>
        <v>#REF!</v>
      </c>
      <c r="HA342" t="e">
        <f>AND(#REF!,"AAAAAH31/dA=")</f>
        <v>#REF!</v>
      </c>
      <c r="HB342" t="e">
        <f>AND(#REF!,"AAAAAH31/dE=")</f>
        <v>#REF!</v>
      </c>
      <c r="HC342" t="e">
        <f>AND(#REF!,"AAAAAH31/dI=")</f>
        <v>#REF!</v>
      </c>
      <c r="HD342" t="e">
        <f>AND(#REF!,"AAAAAH31/dM=")</f>
        <v>#REF!</v>
      </c>
      <c r="HE342" t="e">
        <f>AND(#REF!,"AAAAAH31/dQ=")</f>
        <v>#REF!</v>
      </c>
      <c r="HF342" t="e">
        <f>AND(#REF!,"AAAAAH31/dU=")</f>
        <v>#REF!</v>
      </c>
      <c r="HG342" t="e">
        <f>IF(#REF!,"AAAAAH31/dY=",0)</f>
        <v>#REF!</v>
      </c>
      <c r="HH342" t="e">
        <f>AND(#REF!,"AAAAAH31/dc=")</f>
        <v>#REF!</v>
      </c>
      <c r="HI342" t="e">
        <f>AND(#REF!,"AAAAAH31/dg=")</f>
        <v>#REF!</v>
      </c>
      <c r="HJ342" t="e">
        <f>AND(#REF!,"AAAAAH31/dk=")</f>
        <v>#REF!</v>
      </c>
      <c r="HK342" t="e">
        <f>AND(#REF!,"AAAAAH31/do=")</f>
        <v>#REF!</v>
      </c>
      <c r="HL342" t="e">
        <f>AND(#REF!,"AAAAAH31/ds=")</f>
        <v>#REF!</v>
      </c>
      <c r="HM342" t="e">
        <f>AND(#REF!,"AAAAAH31/dw=")</f>
        <v>#REF!</v>
      </c>
      <c r="HN342" t="e">
        <f>AND(#REF!,"AAAAAH31/d0=")</f>
        <v>#REF!</v>
      </c>
      <c r="HO342" t="e">
        <f>AND(#REF!,"AAAAAH31/d4=")</f>
        <v>#REF!</v>
      </c>
      <c r="HP342" t="e">
        <f>AND(#REF!,"AAAAAH31/d8=")</f>
        <v>#REF!</v>
      </c>
      <c r="HQ342" t="e">
        <f>AND(#REF!,"AAAAAH31/eA=")</f>
        <v>#REF!</v>
      </c>
      <c r="HR342" t="e">
        <f>AND(#REF!,"AAAAAH31/eE=")</f>
        <v>#REF!</v>
      </c>
      <c r="HS342" t="e">
        <f>AND(#REF!,"AAAAAH31/eI=")</f>
        <v>#REF!</v>
      </c>
      <c r="HT342" t="e">
        <f>AND(#REF!,"AAAAAH31/eM=")</f>
        <v>#REF!</v>
      </c>
      <c r="HU342" t="e">
        <f>AND(#REF!,"AAAAAH31/eQ=")</f>
        <v>#REF!</v>
      </c>
      <c r="HV342" t="e">
        <f>AND(#REF!,"AAAAAH31/eU=")</f>
        <v>#REF!</v>
      </c>
      <c r="HW342" t="e">
        <f>AND(#REF!,"AAAAAH31/eY=")</f>
        <v>#REF!</v>
      </c>
      <c r="HX342" t="e">
        <f>AND(#REF!,"AAAAAH31/ec=")</f>
        <v>#REF!</v>
      </c>
      <c r="HY342" t="e">
        <f>AND(#REF!,"AAAAAH31/eg=")</f>
        <v>#REF!</v>
      </c>
      <c r="HZ342" t="e">
        <f>AND(#REF!,"AAAAAH31/ek=")</f>
        <v>#REF!</v>
      </c>
      <c r="IA342" t="e">
        <f>AND(#REF!,"AAAAAH31/eo=")</f>
        <v>#REF!</v>
      </c>
      <c r="IB342" t="e">
        <f>AND(#REF!,"AAAAAH31/es=")</f>
        <v>#REF!</v>
      </c>
      <c r="IC342" t="e">
        <f>AND(#REF!,"AAAAAH31/ew=")</f>
        <v>#REF!</v>
      </c>
      <c r="ID342" t="e">
        <f>AND(#REF!,"AAAAAH31/e0=")</f>
        <v>#REF!</v>
      </c>
      <c r="IE342" t="e">
        <f>AND(#REF!,"AAAAAH31/e4=")</f>
        <v>#REF!</v>
      </c>
      <c r="IF342" t="e">
        <f>IF(#REF!,"AAAAAH31/e8=",0)</f>
        <v>#REF!</v>
      </c>
      <c r="IG342" t="e">
        <f>AND(#REF!,"AAAAAH31/fA=")</f>
        <v>#REF!</v>
      </c>
      <c r="IH342" t="e">
        <f>AND(#REF!,"AAAAAH31/fE=")</f>
        <v>#REF!</v>
      </c>
      <c r="II342" t="e">
        <f>AND(#REF!,"AAAAAH31/fI=")</f>
        <v>#REF!</v>
      </c>
      <c r="IJ342" t="e">
        <f>AND(#REF!,"AAAAAH31/fM=")</f>
        <v>#REF!</v>
      </c>
      <c r="IK342" t="e">
        <f>AND(#REF!,"AAAAAH31/fQ=")</f>
        <v>#REF!</v>
      </c>
      <c r="IL342" t="e">
        <f>AND(#REF!,"AAAAAH31/fU=")</f>
        <v>#REF!</v>
      </c>
      <c r="IM342" t="e">
        <f>AND(#REF!,"AAAAAH31/fY=")</f>
        <v>#REF!</v>
      </c>
      <c r="IN342" t="e">
        <f>AND(#REF!,"AAAAAH31/fc=")</f>
        <v>#REF!</v>
      </c>
      <c r="IO342" t="e">
        <f>AND(#REF!,"AAAAAH31/fg=")</f>
        <v>#REF!</v>
      </c>
      <c r="IP342" t="e">
        <f>AND(#REF!,"AAAAAH31/fk=")</f>
        <v>#REF!</v>
      </c>
      <c r="IQ342" t="e">
        <f>AND(#REF!,"AAAAAH31/fo=")</f>
        <v>#REF!</v>
      </c>
      <c r="IR342" t="e">
        <f>AND(#REF!,"AAAAAH31/fs=")</f>
        <v>#REF!</v>
      </c>
      <c r="IS342" t="e">
        <f>AND(#REF!,"AAAAAH31/fw=")</f>
        <v>#REF!</v>
      </c>
      <c r="IT342" t="e">
        <f>AND(#REF!,"AAAAAH31/f0=")</f>
        <v>#REF!</v>
      </c>
      <c r="IU342" t="e">
        <f>AND(#REF!,"AAAAAH31/f4=")</f>
        <v>#REF!</v>
      </c>
      <c r="IV342" t="e">
        <f>AND(#REF!,"AAAAAH31/f8=")</f>
        <v>#REF!</v>
      </c>
    </row>
    <row r="343" spans="1:256">
      <c r="A343" t="e">
        <f>AND(#REF!,"AAAAAH+5swA=")</f>
        <v>#REF!</v>
      </c>
      <c r="B343" t="e">
        <f>AND(#REF!,"AAAAAH+5swE=")</f>
        <v>#REF!</v>
      </c>
      <c r="C343" t="e">
        <f>AND(#REF!,"AAAAAH+5swI=")</f>
        <v>#REF!</v>
      </c>
      <c r="D343" t="e">
        <f>AND(#REF!,"AAAAAH+5swM=")</f>
        <v>#REF!</v>
      </c>
      <c r="E343" t="e">
        <f>AND(#REF!,"AAAAAH+5swQ=")</f>
        <v>#REF!</v>
      </c>
      <c r="F343" t="e">
        <f>AND(#REF!,"AAAAAH+5swU=")</f>
        <v>#REF!</v>
      </c>
      <c r="G343" t="e">
        <f>AND(#REF!,"AAAAAH+5swY=")</f>
        <v>#REF!</v>
      </c>
      <c r="H343" t="e">
        <f>AND(#REF!,"AAAAAH+5swc=")</f>
        <v>#REF!</v>
      </c>
      <c r="I343" t="e">
        <f>IF(#REF!,"AAAAAH+5swg=",0)</f>
        <v>#REF!</v>
      </c>
      <c r="J343" t="e">
        <f>AND(#REF!,"AAAAAH+5swk=")</f>
        <v>#REF!</v>
      </c>
      <c r="K343" t="e">
        <f>AND(#REF!,"AAAAAH+5swo=")</f>
        <v>#REF!</v>
      </c>
      <c r="L343" t="e">
        <f>AND(#REF!,"AAAAAH+5sws=")</f>
        <v>#REF!</v>
      </c>
      <c r="M343" t="e">
        <f>AND(#REF!,"AAAAAH+5sww=")</f>
        <v>#REF!</v>
      </c>
      <c r="N343" t="e">
        <f>AND(#REF!,"AAAAAH+5sw0=")</f>
        <v>#REF!</v>
      </c>
      <c r="O343" t="e">
        <f>AND(#REF!,"AAAAAH+5sw4=")</f>
        <v>#REF!</v>
      </c>
      <c r="P343" t="e">
        <f>AND(#REF!,"AAAAAH+5sw8=")</f>
        <v>#REF!</v>
      </c>
      <c r="Q343" t="e">
        <f>AND(#REF!,"AAAAAH+5sxA=")</f>
        <v>#REF!</v>
      </c>
      <c r="R343" t="e">
        <f>AND(#REF!,"AAAAAH+5sxE=")</f>
        <v>#REF!</v>
      </c>
      <c r="S343" t="e">
        <f>AND(#REF!,"AAAAAH+5sxI=")</f>
        <v>#REF!</v>
      </c>
      <c r="T343" t="e">
        <f>AND(#REF!,"AAAAAH+5sxM=")</f>
        <v>#REF!</v>
      </c>
      <c r="U343" t="e">
        <f>AND(#REF!,"AAAAAH+5sxQ=")</f>
        <v>#REF!</v>
      </c>
      <c r="V343" t="e">
        <f>AND(#REF!,"AAAAAH+5sxU=")</f>
        <v>#REF!</v>
      </c>
      <c r="W343" t="e">
        <f>AND(#REF!,"AAAAAH+5sxY=")</f>
        <v>#REF!</v>
      </c>
      <c r="X343" t="e">
        <f>AND(#REF!,"AAAAAH+5sxc=")</f>
        <v>#REF!</v>
      </c>
      <c r="Y343" t="e">
        <f>AND(#REF!,"AAAAAH+5sxg=")</f>
        <v>#REF!</v>
      </c>
      <c r="Z343" t="e">
        <f>AND(#REF!,"AAAAAH+5sxk=")</f>
        <v>#REF!</v>
      </c>
      <c r="AA343" t="e">
        <f>AND(#REF!,"AAAAAH+5sxo=")</f>
        <v>#REF!</v>
      </c>
      <c r="AB343" t="e">
        <f>AND(#REF!,"AAAAAH+5sxs=")</f>
        <v>#REF!</v>
      </c>
      <c r="AC343" t="e">
        <f>AND(#REF!,"AAAAAH+5sxw=")</f>
        <v>#REF!</v>
      </c>
      <c r="AD343" t="e">
        <f>AND(#REF!,"AAAAAH+5sx0=")</f>
        <v>#REF!</v>
      </c>
      <c r="AE343" t="e">
        <f>AND(#REF!,"AAAAAH+5sx4=")</f>
        <v>#REF!</v>
      </c>
      <c r="AF343" t="e">
        <f>AND(#REF!,"AAAAAH+5sx8=")</f>
        <v>#REF!</v>
      </c>
      <c r="AG343" t="e">
        <f>AND(#REF!,"AAAAAH+5syA=")</f>
        <v>#REF!</v>
      </c>
      <c r="AH343" t="e">
        <f>IF(#REF!,"AAAAAH+5syE=",0)</f>
        <v>#REF!</v>
      </c>
      <c r="AI343" t="e">
        <f>AND(#REF!,"AAAAAH+5syI=")</f>
        <v>#REF!</v>
      </c>
      <c r="AJ343" t="e">
        <f>AND(#REF!,"AAAAAH+5syM=")</f>
        <v>#REF!</v>
      </c>
      <c r="AK343" t="e">
        <f>AND(#REF!,"AAAAAH+5syQ=")</f>
        <v>#REF!</v>
      </c>
      <c r="AL343" t="e">
        <f>AND(#REF!,"AAAAAH+5syU=")</f>
        <v>#REF!</v>
      </c>
      <c r="AM343" t="e">
        <f>AND(#REF!,"AAAAAH+5syY=")</f>
        <v>#REF!</v>
      </c>
      <c r="AN343" t="e">
        <f>AND(#REF!,"AAAAAH+5syc=")</f>
        <v>#REF!</v>
      </c>
      <c r="AO343" t="e">
        <f>AND(#REF!,"AAAAAH+5syg=")</f>
        <v>#REF!</v>
      </c>
      <c r="AP343" t="e">
        <f>AND(#REF!,"AAAAAH+5syk=")</f>
        <v>#REF!</v>
      </c>
      <c r="AQ343" t="e">
        <f>AND(#REF!,"AAAAAH+5syo=")</f>
        <v>#REF!</v>
      </c>
      <c r="AR343" t="e">
        <f>AND(#REF!,"AAAAAH+5sys=")</f>
        <v>#REF!</v>
      </c>
      <c r="AS343" t="e">
        <f>AND(#REF!,"AAAAAH+5syw=")</f>
        <v>#REF!</v>
      </c>
      <c r="AT343" t="e">
        <f>AND(#REF!,"AAAAAH+5sy0=")</f>
        <v>#REF!</v>
      </c>
      <c r="AU343" t="e">
        <f>AND(#REF!,"AAAAAH+5sy4=")</f>
        <v>#REF!</v>
      </c>
      <c r="AV343" t="e">
        <f>AND(#REF!,"AAAAAH+5sy8=")</f>
        <v>#REF!</v>
      </c>
      <c r="AW343" t="e">
        <f>AND(#REF!,"AAAAAH+5szA=")</f>
        <v>#REF!</v>
      </c>
      <c r="AX343" t="e">
        <f>AND(#REF!,"AAAAAH+5szE=")</f>
        <v>#REF!</v>
      </c>
      <c r="AY343" t="e">
        <f>AND(#REF!,"AAAAAH+5szI=")</f>
        <v>#REF!</v>
      </c>
      <c r="AZ343" t="e">
        <f>AND(#REF!,"AAAAAH+5szM=")</f>
        <v>#REF!</v>
      </c>
      <c r="BA343" t="e">
        <f>AND(#REF!,"AAAAAH+5szQ=")</f>
        <v>#REF!</v>
      </c>
      <c r="BB343" t="e">
        <f>AND(#REF!,"AAAAAH+5szU=")</f>
        <v>#REF!</v>
      </c>
      <c r="BC343" t="e">
        <f>AND(#REF!,"AAAAAH+5szY=")</f>
        <v>#REF!</v>
      </c>
      <c r="BD343" t="e">
        <f>AND(#REF!,"AAAAAH+5szc=")</f>
        <v>#REF!</v>
      </c>
      <c r="BE343" t="e">
        <f>AND(#REF!,"AAAAAH+5szg=")</f>
        <v>#REF!</v>
      </c>
      <c r="BF343" t="e">
        <f>AND(#REF!,"AAAAAH+5szk=")</f>
        <v>#REF!</v>
      </c>
      <c r="BG343" t="e">
        <f>IF(#REF!,"AAAAAH+5szo=",0)</f>
        <v>#REF!</v>
      </c>
      <c r="BH343" t="e">
        <f>AND(#REF!,"AAAAAH+5szs=")</f>
        <v>#REF!</v>
      </c>
      <c r="BI343" t="e">
        <f>AND(#REF!,"AAAAAH+5szw=")</f>
        <v>#REF!</v>
      </c>
      <c r="BJ343" t="e">
        <f>AND(#REF!,"AAAAAH+5sz0=")</f>
        <v>#REF!</v>
      </c>
      <c r="BK343" t="e">
        <f>AND(#REF!,"AAAAAH+5sz4=")</f>
        <v>#REF!</v>
      </c>
      <c r="BL343" t="e">
        <f>AND(#REF!,"AAAAAH+5sz8=")</f>
        <v>#REF!</v>
      </c>
      <c r="BM343" t="e">
        <f>AND(#REF!,"AAAAAH+5s0A=")</f>
        <v>#REF!</v>
      </c>
      <c r="BN343" t="e">
        <f>AND(#REF!,"AAAAAH+5s0E=")</f>
        <v>#REF!</v>
      </c>
      <c r="BO343" t="e">
        <f>AND(#REF!,"AAAAAH+5s0I=")</f>
        <v>#REF!</v>
      </c>
      <c r="BP343" t="e">
        <f>AND(#REF!,"AAAAAH+5s0M=")</f>
        <v>#REF!</v>
      </c>
      <c r="BQ343" t="e">
        <f>AND(#REF!,"AAAAAH+5s0Q=")</f>
        <v>#REF!</v>
      </c>
      <c r="BR343" t="e">
        <f>AND(#REF!,"AAAAAH+5s0U=")</f>
        <v>#REF!</v>
      </c>
      <c r="BS343" t="e">
        <f>AND(#REF!,"AAAAAH+5s0Y=")</f>
        <v>#REF!</v>
      </c>
      <c r="BT343" t="e">
        <f>AND(#REF!,"AAAAAH+5s0c=")</f>
        <v>#REF!</v>
      </c>
      <c r="BU343" t="e">
        <f>AND(#REF!,"AAAAAH+5s0g=")</f>
        <v>#REF!</v>
      </c>
      <c r="BV343" t="e">
        <f>AND(#REF!,"AAAAAH+5s0k=")</f>
        <v>#REF!</v>
      </c>
      <c r="BW343" t="e">
        <f>AND(#REF!,"AAAAAH+5s0o=")</f>
        <v>#REF!</v>
      </c>
      <c r="BX343" t="e">
        <f>AND(#REF!,"AAAAAH+5s0s=")</f>
        <v>#REF!</v>
      </c>
      <c r="BY343" t="e">
        <f>AND(#REF!,"AAAAAH+5s0w=")</f>
        <v>#REF!</v>
      </c>
      <c r="BZ343" t="e">
        <f>AND(#REF!,"AAAAAH+5s00=")</f>
        <v>#REF!</v>
      </c>
      <c r="CA343" t="e">
        <f>AND(#REF!,"AAAAAH+5s04=")</f>
        <v>#REF!</v>
      </c>
      <c r="CB343" t="e">
        <f>AND(#REF!,"AAAAAH+5s08=")</f>
        <v>#REF!</v>
      </c>
      <c r="CC343" t="e">
        <f>AND(#REF!,"AAAAAH+5s1A=")</f>
        <v>#REF!</v>
      </c>
      <c r="CD343" t="e">
        <f>AND(#REF!,"AAAAAH+5s1E=")</f>
        <v>#REF!</v>
      </c>
      <c r="CE343" t="e">
        <f>AND(#REF!,"AAAAAH+5s1I=")</f>
        <v>#REF!</v>
      </c>
      <c r="CF343" t="e">
        <f>IF(#REF!,"AAAAAH+5s1M=",0)</f>
        <v>#REF!</v>
      </c>
      <c r="CG343" t="e">
        <f>AND(#REF!,"AAAAAH+5s1Q=")</f>
        <v>#REF!</v>
      </c>
      <c r="CH343" t="e">
        <f>AND(#REF!,"AAAAAH+5s1U=")</f>
        <v>#REF!</v>
      </c>
      <c r="CI343" t="e">
        <f>AND(#REF!,"AAAAAH+5s1Y=")</f>
        <v>#REF!</v>
      </c>
      <c r="CJ343" t="e">
        <f>AND(#REF!,"AAAAAH+5s1c=")</f>
        <v>#REF!</v>
      </c>
      <c r="CK343" t="e">
        <f>AND(#REF!,"AAAAAH+5s1g=")</f>
        <v>#REF!</v>
      </c>
      <c r="CL343" t="e">
        <f>AND(#REF!,"AAAAAH+5s1k=")</f>
        <v>#REF!</v>
      </c>
      <c r="CM343" t="e">
        <f>AND(#REF!,"AAAAAH+5s1o=")</f>
        <v>#REF!</v>
      </c>
      <c r="CN343" t="e">
        <f>AND(#REF!,"AAAAAH+5s1s=")</f>
        <v>#REF!</v>
      </c>
      <c r="CO343" t="e">
        <f>AND(#REF!,"AAAAAH+5s1w=")</f>
        <v>#REF!</v>
      </c>
      <c r="CP343" t="e">
        <f>AND(#REF!,"AAAAAH+5s10=")</f>
        <v>#REF!</v>
      </c>
      <c r="CQ343" t="e">
        <f>AND(#REF!,"AAAAAH+5s14=")</f>
        <v>#REF!</v>
      </c>
      <c r="CR343" t="e">
        <f>AND(#REF!,"AAAAAH+5s18=")</f>
        <v>#REF!</v>
      </c>
      <c r="CS343" t="e">
        <f>AND(#REF!,"AAAAAH+5s2A=")</f>
        <v>#REF!</v>
      </c>
      <c r="CT343" t="e">
        <f>AND(#REF!,"AAAAAH+5s2E=")</f>
        <v>#REF!</v>
      </c>
      <c r="CU343" t="e">
        <f>AND(#REF!,"AAAAAH+5s2I=")</f>
        <v>#REF!</v>
      </c>
      <c r="CV343" t="e">
        <f>AND(#REF!,"AAAAAH+5s2M=")</f>
        <v>#REF!</v>
      </c>
      <c r="CW343" t="e">
        <f>AND(#REF!,"AAAAAH+5s2Q=")</f>
        <v>#REF!</v>
      </c>
      <c r="CX343" t="e">
        <f>AND(#REF!,"AAAAAH+5s2U=")</f>
        <v>#REF!</v>
      </c>
      <c r="CY343" t="e">
        <f>AND(#REF!,"AAAAAH+5s2Y=")</f>
        <v>#REF!</v>
      </c>
      <c r="CZ343" t="e">
        <f>AND(#REF!,"AAAAAH+5s2c=")</f>
        <v>#REF!</v>
      </c>
      <c r="DA343" t="e">
        <f>AND(#REF!,"AAAAAH+5s2g=")</f>
        <v>#REF!</v>
      </c>
      <c r="DB343" t="e">
        <f>AND(#REF!,"AAAAAH+5s2k=")</f>
        <v>#REF!</v>
      </c>
      <c r="DC343" t="e">
        <f>AND(#REF!,"AAAAAH+5s2o=")</f>
        <v>#REF!</v>
      </c>
      <c r="DD343" t="e">
        <f>AND(#REF!,"AAAAAH+5s2s=")</f>
        <v>#REF!</v>
      </c>
      <c r="DE343" t="e">
        <f>IF(#REF!,"AAAAAH+5s2w=",0)</f>
        <v>#REF!</v>
      </c>
      <c r="DF343" t="e">
        <f>AND(#REF!,"AAAAAH+5s20=")</f>
        <v>#REF!</v>
      </c>
      <c r="DG343" t="e">
        <f>AND(#REF!,"AAAAAH+5s24=")</f>
        <v>#REF!</v>
      </c>
      <c r="DH343" t="e">
        <f>AND(#REF!,"AAAAAH+5s28=")</f>
        <v>#REF!</v>
      </c>
      <c r="DI343" t="e">
        <f>AND(#REF!,"AAAAAH+5s3A=")</f>
        <v>#REF!</v>
      </c>
      <c r="DJ343" t="e">
        <f>AND(#REF!,"AAAAAH+5s3E=")</f>
        <v>#REF!</v>
      </c>
      <c r="DK343" t="e">
        <f>AND(#REF!,"AAAAAH+5s3I=")</f>
        <v>#REF!</v>
      </c>
      <c r="DL343" t="e">
        <f>AND(#REF!,"AAAAAH+5s3M=")</f>
        <v>#REF!</v>
      </c>
      <c r="DM343" t="e">
        <f>AND(#REF!,"AAAAAH+5s3Q=")</f>
        <v>#REF!</v>
      </c>
      <c r="DN343" t="e">
        <f>AND(#REF!,"AAAAAH+5s3U=")</f>
        <v>#REF!</v>
      </c>
      <c r="DO343" t="e">
        <f>AND(#REF!,"AAAAAH+5s3Y=")</f>
        <v>#REF!</v>
      </c>
      <c r="DP343" t="e">
        <f>AND(#REF!,"AAAAAH+5s3c=")</f>
        <v>#REF!</v>
      </c>
      <c r="DQ343" t="e">
        <f>AND(#REF!,"AAAAAH+5s3g=")</f>
        <v>#REF!</v>
      </c>
      <c r="DR343" t="e">
        <f>AND(#REF!,"AAAAAH+5s3k=")</f>
        <v>#REF!</v>
      </c>
      <c r="DS343" t="e">
        <f>AND(#REF!,"AAAAAH+5s3o=")</f>
        <v>#REF!</v>
      </c>
      <c r="DT343" t="e">
        <f>AND(#REF!,"AAAAAH+5s3s=")</f>
        <v>#REF!</v>
      </c>
      <c r="DU343" t="e">
        <f>AND(#REF!,"AAAAAH+5s3w=")</f>
        <v>#REF!</v>
      </c>
      <c r="DV343" t="e">
        <f>AND(#REF!,"AAAAAH+5s30=")</f>
        <v>#REF!</v>
      </c>
      <c r="DW343" t="e">
        <f>AND(#REF!,"AAAAAH+5s34=")</f>
        <v>#REF!</v>
      </c>
      <c r="DX343" t="e">
        <f>AND(#REF!,"AAAAAH+5s38=")</f>
        <v>#REF!</v>
      </c>
      <c r="DY343" t="e">
        <f>AND(#REF!,"AAAAAH+5s4A=")</f>
        <v>#REF!</v>
      </c>
      <c r="DZ343" t="e">
        <f>AND(#REF!,"AAAAAH+5s4E=")</f>
        <v>#REF!</v>
      </c>
      <c r="EA343" t="e">
        <f>AND(#REF!,"AAAAAH+5s4I=")</f>
        <v>#REF!</v>
      </c>
      <c r="EB343" t="e">
        <f>AND(#REF!,"AAAAAH+5s4M=")</f>
        <v>#REF!</v>
      </c>
      <c r="EC343" t="e">
        <f>AND(#REF!,"AAAAAH+5s4Q=")</f>
        <v>#REF!</v>
      </c>
      <c r="ED343" t="e">
        <f>IF(#REF!,"AAAAAH+5s4U=",0)</f>
        <v>#REF!</v>
      </c>
      <c r="EE343" t="e">
        <f>AND(#REF!,"AAAAAH+5s4Y=")</f>
        <v>#REF!</v>
      </c>
      <c r="EF343" t="e">
        <f>AND(#REF!,"AAAAAH+5s4c=")</f>
        <v>#REF!</v>
      </c>
      <c r="EG343" t="e">
        <f>AND(#REF!,"AAAAAH+5s4g=")</f>
        <v>#REF!</v>
      </c>
      <c r="EH343" t="e">
        <f>AND(#REF!,"AAAAAH+5s4k=")</f>
        <v>#REF!</v>
      </c>
      <c r="EI343" t="e">
        <f>AND(#REF!,"AAAAAH+5s4o=")</f>
        <v>#REF!</v>
      </c>
      <c r="EJ343" t="e">
        <f>AND(#REF!,"AAAAAH+5s4s=")</f>
        <v>#REF!</v>
      </c>
      <c r="EK343" t="e">
        <f>AND(#REF!,"AAAAAH+5s4w=")</f>
        <v>#REF!</v>
      </c>
      <c r="EL343" t="e">
        <f>AND(#REF!,"AAAAAH+5s40=")</f>
        <v>#REF!</v>
      </c>
      <c r="EM343" t="e">
        <f>AND(#REF!,"AAAAAH+5s44=")</f>
        <v>#REF!</v>
      </c>
      <c r="EN343" t="e">
        <f>AND(#REF!,"AAAAAH+5s48=")</f>
        <v>#REF!</v>
      </c>
      <c r="EO343" t="e">
        <f>AND(#REF!,"AAAAAH+5s5A=")</f>
        <v>#REF!</v>
      </c>
      <c r="EP343" t="e">
        <f>AND(#REF!,"AAAAAH+5s5E=")</f>
        <v>#REF!</v>
      </c>
      <c r="EQ343" t="e">
        <f>AND(#REF!,"AAAAAH+5s5I=")</f>
        <v>#REF!</v>
      </c>
      <c r="ER343" t="e">
        <f>AND(#REF!,"AAAAAH+5s5M=")</f>
        <v>#REF!</v>
      </c>
      <c r="ES343" t="e">
        <f>AND(#REF!,"AAAAAH+5s5Q=")</f>
        <v>#REF!</v>
      </c>
      <c r="ET343" t="e">
        <f>AND(#REF!,"AAAAAH+5s5U=")</f>
        <v>#REF!</v>
      </c>
      <c r="EU343" t="e">
        <f>AND(#REF!,"AAAAAH+5s5Y=")</f>
        <v>#REF!</v>
      </c>
      <c r="EV343" t="e">
        <f>AND(#REF!,"AAAAAH+5s5c=")</f>
        <v>#REF!</v>
      </c>
      <c r="EW343" t="e">
        <f>AND(#REF!,"AAAAAH+5s5g=")</f>
        <v>#REF!</v>
      </c>
      <c r="EX343" t="e">
        <f>AND(#REF!,"AAAAAH+5s5k=")</f>
        <v>#REF!</v>
      </c>
      <c r="EY343" t="e">
        <f>AND(#REF!,"AAAAAH+5s5o=")</f>
        <v>#REF!</v>
      </c>
      <c r="EZ343" t="e">
        <f>AND(#REF!,"AAAAAH+5s5s=")</f>
        <v>#REF!</v>
      </c>
      <c r="FA343" t="e">
        <f>AND(#REF!,"AAAAAH+5s5w=")</f>
        <v>#REF!</v>
      </c>
      <c r="FB343" t="e">
        <f>AND(#REF!,"AAAAAH+5s50=")</f>
        <v>#REF!</v>
      </c>
      <c r="FC343" t="e">
        <f>IF(#REF!,"AAAAAH+5s54=",0)</f>
        <v>#REF!</v>
      </c>
      <c r="FD343" t="e">
        <f>AND(#REF!,"AAAAAH+5s58=")</f>
        <v>#REF!</v>
      </c>
      <c r="FE343" t="e">
        <f>AND(#REF!,"AAAAAH+5s6A=")</f>
        <v>#REF!</v>
      </c>
      <c r="FF343" t="e">
        <f>AND(#REF!,"AAAAAH+5s6E=")</f>
        <v>#REF!</v>
      </c>
      <c r="FG343" t="e">
        <f>AND(#REF!,"AAAAAH+5s6I=")</f>
        <v>#REF!</v>
      </c>
      <c r="FH343" t="e">
        <f>AND(#REF!,"AAAAAH+5s6M=")</f>
        <v>#REF!</v>
      </c>
      <c r="FI343" t="e">
        <f>AND(#REF!,"AAAAAH+5s6Q=")</f>
        <v>#REF!</v>
      </c>
      <c r="FJ343" t="e">
        <f>AND(#REF!,"AAAAAH+5s6U=")</f>
        <v>#REF!</v>
      </c>
      <c r="FK343" t="e">
        <f>AND(#REF!,"AAAAAH+5s6Y=")</f>
        <v>#REF!</v>
      </c>
      <c r="FL343" t="e">
        <f>AND(#REF!,"AAAAAH+5s6c=")</f>
        <v>#REF!</v>
      </c>
      <c r="FM343" t="e">
        <f>AND(#REF!,"AAAAAH+5s6g=")</f>
        <v>#REF!</v>
      </c>
      <c r="FN343" t="e">
        <f>AND(#REF!,"AAAAAH+5s6k=")</f>
        <v>#REF!</v>
      </c>
      <c r="FO343" t="e">
        <f>AND(#REF!,"AAAAAH+5s6o=")</f>
        <v>#REF!</v>
      </c>
      <c r="FP343" t="e">
        <f>AND(#REF!,"AAAAAH+5s6s=")</f>
        <v>#REF!</v>
      </c>
      <c r="FQ343" t="e">
        <f>AND(#REF!,"AAAAAH+5s6w=")</f>
        <v>#REF!</v>
      </c>
      <c r="FR343" t="e">
        <f>AND(#REF!,"AAAAAH+5s60=")</f>
        <v>#REF!</v>
      </c>
      <c r="FS343" t="e">
        <f>AND(#REF!,"AAAAAH+5s64=")</f>
        <v>#REF!</v>
      </c>
      <c r="FT343" t="e">
        <f>AND(#REF!,"AAAAAH+5s68=")</f>
        <v>#REF!</v>
      </c>
      <c r="FU343" t="e">
        <f>AND(#REF!,"AAAAAH+5s7A=")</f>
        <v>#REF!</v>
      </c>
      <c r="FV343" t="e">
        <f>AND(#REF!,"AAAAAH+5s7E=")</f>
        <v>#REF!</v>
      </c>
      <c r="FW343" t="e">
        <f>AND(#REF!,"AAAAAH+5s7I=")</f>
        <v>#REF!</v>
      </c>
      <c r="FX343" t="e">
        <f>AND(#REF!,"AAAAAH+5s7M=")</f>
        <v>#REF!</v>
      </c>
      <c r="FY343" t="e">
        <f>AND(#REF!,"AAAAAH+5s7Q=")</f>
        <v>#REF!</v>
      </c>
      <c r="FZ343" t="e">
        <f>AND(#REF!,"AAAAAH+5s7U=")</f>
        <v>#REF!</v>
      </c>
      <c r="GA343" t="e">
        <f>AND(#REF!,"AAAAAH+5s7Y=")</f>
        <v>#REF!</v>
      </c>
      <c r="GB343" t="e">
        <f>IF(#REF!,"AAAAAH+5s7c=",0)</f>
        <v>#REF!</v>
      </c>
      <c r="GC343" t="e">
        <f>AND(#REF!,"AAAAAH+5s7g=")</f>
        <v>#REF!</v>
      </c>
      <c r="GD343" t="e">
        <f>AND(#REF!,"AAAAAH+5s7k=")</f>
        <v>#REF!</v>
      </c>
      <c r="GE343" t="e">
        <f>AND(#REF!,"AAAAAH+5s7o=")</f>
        <v>#REF!</v>
      </c>
      <c r="GF343" t="e">
        <f>AND(#REF!,"AAAAAH+5s7s=")</f>
        <v>#REF!</v>
      </c>
      <c r="GG343" t="e">
        <f>AND(#REF!,"AAAAAH+5s7w=")</f>
        <v>#REF!</v>
      </c>
      <c r="GH343" t="e">
        <f>AND(#REF!,"AAAAAH+5s70=")</f>
        <v>#REF!</v>
      </c>
      <c r="GI343" t="e">
        <f>AND(#REF!,"AAAAAH+5s74=")</f>
        <v>#REF!</v>
      </c>
      <c r="GJ343" t="e">
        <f>AND(#REF!,"AAAAAH+5s78=")</f>
        <v>#REF!</v>
      </c>
      <c r="GK343" t="e">
        <f>AND(#REF!,"AAAAAH+5s8A=")</f>
        <v>#REF!</v>
      </c>
      <c r="GL343" t="e">
        <f>AND(#REF!,"AAAAAH+5s8E=")</f>
        <v>#REF!</v>
      </c>
      <c r="GM343" t="e">
        <f>AND(#REF!,"AAAAAH+5s8I=")</f>
        <v>#REF!</v>
      </c>
      <c r="GN343" t="e">
        <f>AND(#REF!,"AAAAAH+5s8M=")</f>
        <v>#REF!</v>
      </c>
      <c r="GO343" t="e">
        <f>AND(#REF!,"AAAAAH+5s8Q=")</f>
        <v>#REF!</v>
      </c>
      <c r="GP343" t="e">
        <f>AND(#REF!,"AAAAAH+5s8U=")</f>
        <v>#REF!</v>
      </c>
      <c r="GQ343" t="e">
        <f>AND(#REF!,"AAAAAH+5s8Y=")</f>
        <v>#REF!</v>
      </c>
      <c r="GR343" t="e">
        <f>AND(#REF!,"AAAAAH+5s8c=")</f>
        <v>#REF!</v>
      </c>
      <c r="GS343" t="e">
        <f>AND(#REF!,"AAAAAH+5s8g=")</f>
        <v>#REF!</v>
      </c>
      <c r="GT343" t="e">
        <f>AND(#REF!,"AAAAAH+5s8k=")</f>
        <v>#REF!</v>
      </c>
      <c r="GU343" t="e">
        <f>AND(#REF!,"AAAAAH+5s8o=")</f>
        <v>#REF!</v>
      </c>
      <c r="GV343" t="e">
        <f>AND(#REF!,"AAAAAH+5s8s=")</f>
        <v>#REF!</v>
      </c>
      <c r="GW343" t="e">
        <f>AND(#REF!,"AAAAAH+5s8w=")</f>
        <v>#REF!</v>
      </c>
      <c r="GX343" t="e">
        <f>AND(#REF!,"AAAAAH+5s80=")</f>
        <v>#REF!</v>
      </c>
      <c r="GY343" t="e">
        <f>AND(#REF!,"AAAAAH+5s84=")</f>
        <v>#REF!</v>
      </c>
      <c r="GZ343" t="e">
        <f>AND(#REF!,"AAAAAH+5s88=")</f>
        <v>#REF!</v>
      </c>
      <c r="HA343" t="e">
        <f>IF(#REF!,"AAAAAH+5s9A=",0)</f>
        <v>#REF!</v>
      </c>
      <c r="HB343" t="e">
        <f>AND(#REF!,"AAAAAH+5s9E=")</f>
        <v>#REF!</v>
      </c>
      <c r="HC343" t="e">
        <f>AND(#REF!,"AAAAAH+5s9I=")</f>
        <v>#REF!</v>
      </c>
      <c r="HD343" t="e">
        <f>AND(#REF!,"AAAAAH+5s9M=")</f>
        <v>#REF!</v>
      </c>
      <c r="HE343" t="e">
        <f>AND(#REF!,"AAAAAH+5s9Q=")</f>
        <v>#REF!</v>
      </c>
      <c r="HF343" t="e">
        <f>AND(#REF!,"AAAAAH+5s9U=")</f>
        <v>#REF!</v>
      </c>
      <c r="HG343" t="e">
        <f>AND(#REF!,"AAAAAH+5s9Y=")</f>
        <v>#REF!</v>
      </c>
      <c r="HH343" t="e">
        <f>AND(#REF!,"AAAAAH+5s9c=")</f>
        <v>#REF!</v>
      </c>
      <c r="HI343" t="e">
        <f>AND(#REF!,"AAAAAH+5s9g=")</f>
        <v>#REF!</v>
      </c>
      <c r="HJ343" t="e">
        <f>AND(#REF!,"AAAAAH+5s9k=")</f>
        <v>#REF!</v>
      </c>
      <c r="HK343" t="e">
        <f>AND(#REF!,"AAAAAH+5s9o=")</f>
        <v>#REF!</v>
      </c>
      <c r="HL343" t="e">
        <f>AND(#REF!,"AAAAAH+5s9s=")</f>
        <v>#REF!</v>
      </c>
      <c r="HM343" t="e">
        <f>AND(#REF!,"AAAAAH+5s9w=")</f>
        <v>#REF!</v>
      </c>
      <c r="HN343" t="e">
        <f>AND(#REF!,"AAAAAH+5s90=")</f>
        <v>#REF!</v>
      </c>
      <c r="HO343" t="e">
        <f>AND(#REF!,"AAAAAH+5s94=")</f>
        <v>#REF!</v>
      </c>
      <c r="HP343" t="e">
        <f>AND(#REF!,"AAAAAH+5s98=")</f>
        <v>#REF!</v>
      </c>
      <c r="HQ343" t="e">
        <f>AND(#REF!,"AAAAAH+5s+A=")</f>
        <v>#REF!</v>
      </c>
      <c r="HR343" t="e">
        <f>AND(#REF!,"AAAAAH+5s+E=")</f>
        <v>#REF!</v>
      </c>
      <c r="HS343" t="e">
        <f>AND(#REF!,"AAAAAH+5s+I=")</f>
        <v>#REF!</v>
      </c>
      <c r="HT343" t="e">
        <f>AND(#REF!,"AAAAAH+5s+M=")</f>
        <v>#REF!</v>
      </c>
      <c r="HU343" t="e">
        <f>AND(#REF!,"AAAAAH+5s+Q=")</f>
        <v>#REF!</v>
      </c>
      <c r="HV343" t="e">
        <f>AND(#REF!,"AAAAAH+5s+U=")</f>
        <v>#REF!</v>
      </c>
      <c r="HW343" t="e">
        <f>AND(#REF!,"AAAAAH+5s+Y=")</f>
        <v>#REF!</v>
      </c>
      <c r="HX343" t="e">
        <f>AND(#REF!,"AAAAAH+5s+c=")</f>
        <v>#REF!</v>
      </c>
      <c r="HY343" t="e">
        <f>AND(#REF!,"AAAAAH+5s+g=")</f>
        <v>#REF!</v>
      </c>
      <c r="HZ343" t="e">
        <f>IF(#REF!,"AAAAAH+5s+k=",0)</f>
        <v>#REF!</v>
      </c>
      <c r="IA343" t="e">
        <f>AND(#REF!,"AAAAAH+5s+o=")</f>
        <v>#REF!</v>
      </c>
      <c r="IB343" t="e">
        <f>AND(#REF!,"AAAAAH+5s+s=")</f>
        <v>#REF!</v>
      </c>
      <c r="IC343" t="e">
        <f>AND(#REF!,"AAAAAH+5s+w=")</f>
        <v>#REF!</v>
      </c>
      <c r="ID343" t="e">
        <f>AND(#REF!,"AAAAAH+5s+0=")</f>
        <v>#REF!</v>
      </c>
      <c r="IE343" t="e">
        <f>AND(#REF!,"AAAAAH+5s+4=")</f>
        <v>#REF!</v>
      </c>
      <c r="IF343" t="e">
        <f>AND(#REF!,"AAAAAH+5s+8=")</f>
        <v>#REF!</v>
      </c>
      <c r="IG343" t="e">
        <f>AND(#REF!,"AAAAAH+5s/A=")</f>
        <v>#REF!</v>
      </c>
      <c r="IH343" t="e">
        <f>AND(#REF!,"AAAAAH+5s/E=")</f>
        <v>#REF!</v>
      </c>
      <c r="II343" t="e">
        <f>AND(#REF!,"AAAAAH+5s/I=")</f>
        <v>#REF!</v>
      </c>
      <c r="IJ343" t="e">
        <f>AND(#REF!,"AAAAAH+5s/M=")</f>
        <v>#REF!</v>
      </c>
      <c r="IK343" t="e">
        <f>AND(#REF!,"AAAAAH+5s/Q=")</f>
        <v>#REF!</v>
      </c>
      <c r="IL343" t="e">
        <f>AND(#REF!,"AAAAAH+5s/U=")</f>
        <v>#REF!</v>
      </c>
      <c r="IM343" t="e">
        <f>AND(#REF!,"AAAAAH+5s/Y=")</f>
        <v>#REF!</v>
      </c>
      <c r="IN343" t="e">
        <f>AND(#REF!,"AAAAAH+5s/c=")</f>
        <v>#REF!</v>
      </c>
      <c r="IO343" t="e">
        <f>AND(#REF!,"AAAAAH+5s/g=")</f>
        <v>#REF!</v>
      </c>
      <c r="IP343" t="e">
        <f>AND(#REF!,"AAAAAH+5s/k=")</f>
        <v>#REF!</v>
      </c>
      <c r="IQ343" t="e">
        <f>AND(#REF!,"AAAAAH+5s/o=")</f>
        <v>#REF!</v>
      </c>
      <c r="IR343" t="e">
        <f>AND(#REF!,"AAAAAH+5s/s=")</f>
        <v>#REF!</v>
      </c>
      <c r="IS343" t="e">
        <f>AND(#REF!,"AAAAAH+5s/w=")</f>
        <v>#REF!</v>
      </c>
      <c r="IT343" t="e">
        <f>AND(#REF!,"AAAAAH+5s/0=")</f>
        <v>#REF!</v>
      </c>
      <c r="IU343" t="e">
        <f>AND(#REF!,"AAAAAH+5s/4=")</f>
        <v>#REF!</v>
      </c>
      <c r="IV343" t="e">
        <f>AND(#REF!,"AAAAAH+5s/8=")</f>
        <v>#REF!</v>
      </c>
    </row>
    <row r="344" spans="1:256">
      <c r="A344" t="e">
        <f>AND(#REF!,"AAAAAH5//QA=")</f>
        <v>#REF!</v>
      </c>
      <c r="B344" t="e">
        <f>AND(#REF!,"AAAAAH5//QE=")</f>
        <v>#REF!</v>
      </c>
      <c r="C344" t="e">
        <f>IF(#REF!,"AAAAAH5//QI=",0)</f>
        <v>#REF!</v>
      </c>
      <c r="D344" t="e">
        <f>AND(#REF!,"AAAAAH5//QM=")</f>
        <v>#REF!</v>
      </c>
      <c r="E344" t="e">
        <f>AND(#REF!,"AAAAAH5//QQ=")</f>
        <v>#REF!</v>
      </c>
      <c r="F344" t="e">
        <f>AND(#REF!,"AAAAAH5//QU=")</f>
        <v>#REF!</v>
      </c>
      <c r="G344" t="e">
        <f>AND(#REF!,"AAAAAH5//QY=")</f>
        <v>#REF!</v>
      </c>
      <c r="H344" t="e">
        <f>AND(#REF!,"AAAAAH5//Qc=")</f>
        <v>#REF!</v>
      </c>
      <c r="I344" t="e">
        <f>AND(#REF!,"AAAAAH5//Qg=")</f>
        <v>#REF!</v>
      </c>
      <c r="J344" t="e">
        <f>AND(#REF!,"AAAAAH5//Qk=")</f>
        <v>#REF!</v>
      </c>
      <c r="K344" t="e">
        <f>AND(#REF!,"AAAAAH5//Qo=")</f>
        <v>#REF!</v>
      </c>
      <c r="L344" t="e">
        <f>AND(#REF!,"AAAAAH5//Qs=")</f>
        <v>#REF!</v>
      </c>
      <c r="M344" t="e">
        <f>AND(#REF!,"AAAAAH5//Qw=")</f>
        <v>#REF!</v>
      </c>
      <c r="N344" t="e">
        <f>AND(#REF!,"AAAAAH5//Q0=")</f>
        <v>#REF!</v>
      </c>
      <c r="O344" t="e">
        <f>AND(#REF!,"AAAAAH5//Q4=")</f>
        <v>#REF!</v>
      </c>
      <c r="P344" t="e">
        <f>AND(#REF!,"AAAAAH5//Q8=")</f>
        <v>#REF!</v>
      </c>
      <c r="Q344" t="e">
        <f>AND(#REF!,"AAAAAH5//RA=")</f>
        <v>#REF!</v>
      </c>
      <c r="R344" t="e">
        <f>AND(#REF!,"AAAAAH5//RE=")</f>
        <v>#REF!</v>
      </c>
      <c r="S344" t="e">
        <f>AND(#REF!,"AAAAAH5//RI=")</f>
        <v>#REF!</v>
      </c>
      <c r="T344" t="e">
        <f>AND(#REF!,"AAAAAH5//RM=")</f>
        <v>#REF!</v>
      </c>
      <c r="U344" t="e">
        <f>AND(#REF!,"AAAAAH5//RQ=")</f>
        <v>#REF!</v>
      </c>
      <c r="V344" t="e">
        <f>AND(#REF!,"AAAAAH5//RU=")</f>
        <v>#REF!</v>
      </c>
      <c r="W344" t="e">
        <f>AND(#REF!,"AAAAAH5//RY=")</f>
        <v>#REF!</v>
      </c>
      <c r="X344" t="e">
        <f>AND(#REF!,"AAAAAH5//Rc=")</f>
        <v>#REF!</v>
      </c>
      <c r="Y344" t="e">
        <f>AND(#REF!,"AAAAAH5//Rg=")</f>
        <v>#REF!</v>
      </c>
      <c r="Z344" t="e">
        <f>AND(#REF!,"AAAAAH5//Rk=")</f>
        <v>#REF!</v>
      </c>
      <c r="AA344" t="e">
        <f>AND(#REF!,"AAAAAH5//Ro=")</f>
        <v>#REF!</v>
      </c>
      <c r="AB344" t="e">
        <f>IF(#REF!,"AAAAAH5//Rs=",0)</f>
        <v>#REF!</v>
      </c>
      <c r="AC344" t="e">
        <f>AND(#REF!,"AAAAAH5//Rw=")</f>
        <v>#REF!</v>
      </c>
      <c r="AD344" t="e">
        <f>AND(#REF!,"AAAAAH5//R0=")</f>
        <v>#REF!</v>
      </c>
      <c r="AE344" t="e">
        <f>AND(#REF!,"AAAAAH5//R4=")</f>
        <v>#REF!</v>
      </c>
      <c r="AF344" t="e">
        <f>AND(#REF!,"AAAAAH5//R8=")</f>
        <v>#REF!</v>
      </c>
      <c r="AG344" t="e">
        <f>AND(#REF!,"AAAAAH5//SA=")</f>
        <v>#REF!</v>
      </c>
      <c r="AH344" t="e">
        <f>AND(#REF!,"AAAAAH5//SE=")</f>
        <v>#REF!</v>
      </c>
      <c r="AI344" t="e">
        <f>AND(#REF!,"AAAAAH5//SI=")</f>
        <v>#REF!</v>
      </c>
      <c r="AJ344" t="e">
        <f>AND(#REF!,"AAAAAH5//SM=")</f>
        <v>#REF!</v>
      </c>
      <c r="AK344" t="e">
        <f>AND(#REF!,"AAAAAH5//SQ=")</f>
        <v>#REF!</v>
      </c>
      <c r="AL344" t="e">
        <f>AND(#REF!,"AAAAAH5//SU=")</f>
        <v>#REF!</v>
      </c>
      <c r="AM344" t="e">
        <f>AND(#REF!,"AAAAAH5//SY=")</f>
        <v>#REF!</v>
      </c>
      <c r="AN344" t="e">
        <f>AND(#REF!,"AAAAAH5//Sc=")</f>
        <v>#REF!</v>
      </c>
      <c r="AO344" t="e">
        <f>AND(#REF!,"AAAAAH5//Sg=")</f>
        <v>#REF!</v>
      </c>
      <c r="AP344" t="e">
        <f>AND(#REF!,"AAAAAH5//Sk=")</f>
        <v>#REF!</v>
      </c>
      <c r="AQ344" t="e">
        <f>AND(#REF!,"AAAAAH5//So=")</f>
        <v>#REF!</v>
      </c>
      <c r="AR344" t="e">
        <f>AND(#REF!,"AAAAAH5//Ss=")</f>
        <v>#REF!</v>
      </c>
      <c r="AS344" t="e">
        <f>AND(#REF!,"AAAAAH5//Sw=")</f>
        <v>#REF!</v>
      </c>
      <c r="AT344" t="e">
        <f>AND(#REF!,"AAAAAH5//S0=")</f>
        <v>#REF!</v>
      </c>
      <c r="AU344" t="e">
        <f>AND(#REF!,"AAAAAH5//S4=")</f>
        <v>#REF!</v>
      </c>
      <c r="AV344" t="e">
        <f>AND(#REF!,"AAAAAH5//S8=")</f>
        <v>#REF!</v>
      </c>
      <c r="AW344" t="e">
        <f>AND(#REF!,"AAAAAH5//TA=")</f>
        <v>#REF!</v>
      </c>
      <c r="AX344" t="e">
        <f>AND(#REF!,"AAAAAH5//TE=")</f>
        <v>#REF!</v>
      </c>
      <c r="AY344" t="e">
        <f>AND(#REF!,"AAAAAH5//TI=")</f>
        <v>#REF!</v>
      </c>
      <c r="AZ344" t="e">
        <f>AND(#REF!,"AAAAAH5//TM=")</f>
        <v>#REF!</v>
      </c>
      <c r="BA344" t="e">
        <f>IF(#REF!,"AAAAAH5//TQ=",0)</f>
        <v>#REF!</v>
      </c>
      <c r="BB344" t="e">
        <f>AND(#REF!,"AAAAAH5//TU=")</f>
        <v>#REF!</v>
      </c>
      <c r="BC344" t="e">
        <f>AND(#REF!,"AAAAAH5//TY=")</f>
        <v>#REF!</v>
      </c>
      <c r="BD344" t="e">
        <f>AND(#REF!,"AAAAAH5//Tc=")</f>
        <v>#REF!</v>
      </c>
      <c r="BE344" t="e">
        <f>AND(#REF!,"AAAAAH5//Tg=")</f>
        <v>#REF!</v>
      </c>
      <c r="BF344" t="e">
        <f>AND(#REF!,"AAAAAH5//Tk=")</f>
        <v>#REF!</v>
      </c>
      <c r="BG344" t="e">
        <f>AND(#REF!,"AAAAAH5//To=")</f>
        <v>#REF!</v>
      </c>
      <c r="BH344" t="e">
        <f>AND(#REF!,"AAAAAH5//Ts=")</f>
        <v>#REF!</v>
      </c>
      <c r="BI344" t="e">
        <f>AND(#REF!,"AAAAAH5//Tw=")</f>
        <v>#REF!</v>
      </c>
      <c r="BJ344" t="e">
        <f>AND(#REF!,"AAAAAH5//T0=")</f>
        <v>#REF!</v>
      </c>
      <c r="BK344" t="e">
        <f>AND(#REF!,"AAAAAH5//T4=")</f>
        <v>#REF!</v>
      </c>
      <c r="BL344" t="e">
        <f>AND(#REF!,"AAAAAH5//T8=")</f>
        <v>#REF!</v>
      </c>
      <c r="BM344" t="e">
        <f>AND(#REF!,"AAAAAH5//UA=")</f>
        <v>#REF!</v>
      </c>
      <c r="BN344" t="e">
        <f>AND(#REF!,"AAAAAH5//UE=")</f>
        <v>#REF!</v>
      </c>
      <c r="BO344" t="e">
        <f>AND(#REF!,"AAAAAH5//UI=")</f>
        <v>#REF!</v>
      </c>
      <c r="BP344" t="e">
        <f>AND(#REF!,"AAAAAH5//UM=")</f>
        <v>#REF!</v>
      </c>
      <c r="BQ344" t="e">
        <f>AND(#REF!,"AAAAAH5//UQ=")</f>
        <v>#REF!</v>
      </c>
      <c r="BR344" t="e">
        <f>AND(#REF!,"AAAAAH5//UU=")</f>
        <v>#REF!</v>
      </c>
      <c r="BS344" t="e">
        <f>AND(#REF!,"AAAAAH5//UY=")</f>
        <v>#REF!</v>
      </c>
      <c r="BT344" t="e">
        <f>AND(#REF!,"AAAAAH5//Uc=")</f>
        <v>#REF!</v>
      </c>
      <c r="BU344" t="e">
        <f>AND(#REF!,"AAAAAH5//Ug=")</f>
        <v>#REF!</v>
      </c>
      <c r="BV344" t="e">
        <f>AND(#REF!,"AAAAAH5//Uk=")</f>
        <v>#REF!</v>
      </c>
      <c r="BW344" t="e">
        <f>AND(#REF!,"AAAAAH5//Uo=")</f>
        <v>#REF!</v>
      </c>
      <c r="BX344" t="e">
        <f>AND(#REF!,"AAAAAH5//Us=")</f>
        <v>#REF!</v>
      </c>
      <c r="BY344" t="e">
        <f>AND(#REF!,"AAAAAH5//Uw=")</f>
        <v>#REF!</v>
      </c>
      <c r="BZ344" t="e">
        <f>IF(#REF!,"AAAAAH5//U0=",0)</f>
        <v>#REF!</v>
      </c>
      <c r="CA344" t="e">
        <f>AND(#REF!,"AAAAAH5//U4=")</f>
        <v>#REF!</v>
      </c>
      <c r="CB344" t="e">
        <f>AND(#REF!,"AAAAAH5//U8=")</f>
        <v>#REF!</v>
      </c>
      <c r="CC344" t="e">
        <f>AND(#REF!,"AAAAAH5//VA=")</f>
        <v>#REF!</v>
      </c>
      <c r="CD344" t="e">
        <f>AND(#REF!,"AAAAAH5//VE=")</f>
        <v>#REF!</v>
      </c>
      <c r="CE344" t="e">
        <f>AND(#REF!,"AAAAAH5//VI=")</f>
        <v>#REF!</v>
      </c>
      <c r="CF344" t="e">
        <f>AND(#REF!,"AAAAAH5//VM=")</f>
        <v>#REF!</v>
      </c>
      <c r="CG344" t="e">
        <f>AND(#REF!,"AAAAAH5//VQ=")</f>
        <v>#REF!</v>
      </c>
      <c r="CH344" t="e">
        <f>AND(#REF!,"AAAAAH5//VU=")</f>
        <v>#REF!</v>
      </c>
      <c r="CI344" t="e">
        <f>AND(#REF!,"AAAAAH5//VY=")</f>
        <v>#REF!</v>
      </c>
      <c r="CJ344" t="e">
        <f>AND(#REF!,"AAAAAH5//Vc=")</f>
        <v>#REF!</v>
      </c>
      <c r="CK344" t="e">
        <f>AND(#REF!,"AAAAAH5//Vg=")</f>
        <v>#REF!</v>
      </c>
      <c r="CL344" t="e">
        <f>AND(#REF!,"AAAAAH5//Vk=")</f>
        <v>#REF!</v>
      </c>
      <c r="CM344" t="e">
        <f>AND(#REF!,"AAAAAH5//Vo=")</f>
        <v>#REF!</v>
      </c>
      <c r="CN344" t="e">
        <f>AND(#REF!,"AAAAAH5//Vs=")</f>
        <v>#REF!</v>
      </c>
      <c r="CO344" t="e">
        <f>AND(#REF!,"AAAAAH5//Vw=")</f>
        <v>#REF!</v>
      </c>
      <c r="CP344" t="e">
        <f>AND(#REF!,"AAAAAH5//V0=")</f>
        <v>#REF!</v>
      </c>
      <c r="CQ344" t="e">
        <f>AND(#REF!,"AAAAAH5//V4=")</f>
        <v>#REF!</v>
      </c>
      <c r="CR344" t="e">
        <f>AND(#REF!,"AAAAAH5//V8=")</f>
        <v>#REF!</v>
      </c>
      <c r="CS344" t="e">
        <f>AND(#REF!,"AAAAAH5//WA=")</f>
        <v>#REF!</v>
      </c>
      <c r="CT344" t="e">
        <f>AND(#REF!,"AAAAAH5//WE=")</f>
        <v>#REF!</v>
      </c>
      <c r="CU344" t="e">
        <f>AND(#REF!,"AAAAAH5//WI=")</f>
        <v>#REF!</v>
      </c>
      <c r="CV344" t="e">
        <f>AND(#REF!,"AAAAAH5//WM=")</f>
        <v>#REF!</v>
      </c>
      <c r="CW344" t="e">
        <f>AND(#REF!,"AAAAAH5//WQ=")</f>
        <v>#REF!</v>
      </c>
      <c r="CX344" t="e">
        <f>AND(#REF!,"AAAAAH5//WU=")</f>
        <v>#REF!</v>
      </c>
      <c r="CY344" t="e">
        <f>IF(#REF!,"AAAAAH5//WY=",0)</f>
        <v>#REF!</v>
      </c>
      <c r="CZ344" t="e">
        <f>AND(#REF!,"AAAAAH5//Wc=")</f>
        <v>#REF!</v>
      </c>
      <c r="DA344" t="e">
        <f>AND(#REF!,"AAAAAH5//Wg=")</f>
        <v>#REF!</v>
      </c>
      <c r="DB344" t="e">
        <f>AND(#REF!,"AAAAAH5//Wk=")</f>
        <v>#REF!</v>
      </c>
      <c r="DC344" t="e">
        <f>AND(#REF!,"AAAAAH5//Wo=")</f>
        <v>#REF!</v>
      </c>
      <c r="DD344" t="e">
        <f>AND(#REF!,"AAAAAH5//Ws=")</f>
        <v>#REF!</v>
      </c>
      <c r="DE344" t="e">
        <f>AND(#REF!,"AAAAAH5//Ww=")</f>
        <v>#REF!</v>
      </c>
      <c r="DF344" t="e">
        <f>AND(#REF!,"AAAAAH5//W0=")</f>
        <v>#REF!</v>
      </c>
      <c r="DG344" t="e">
        <f>AND(#REF!,"AAAAAH5//W4=")</f>
        <v>#REF!</v>
      </c>
      <c r="DH344" t="e">
        <f>AND(#REF!,"AAAAAH5//W8=")</f>
        <v>#REF!</v>
      </c>
      <c r="DI344" t="e">
        <f>AND(#REF!,"AAAAAH5//XA=")</f>
        <v>#REF!</v>
      </c>
      <c r="DJ344" t="e">
        <f>AND(#REF!,"AAAAAH5//XE=")</f>
        <v>#REF!</v>
      </c>
      <c r="DK344" t="e">
        <f>AND(#REF!,"AAAAAH5//XI=")</f>
        <v>#REF!</v>
      </c>
      <c r="DL344" t="e">
        <f>AND(#REF!,"AAAAAH5//XM=")</f>
        <v>#REF!</v>
      </c>
      <c r="DM344" t="e">
        <f>AND(#REF!,"AAAAAH5//XQ=")</f>
        <v>#REF!</v>
      </c>
      <c r="DN344" t="e">
        <f>AND(#REF!,"AAAAAH5//XU=")</f>
        <v>#REF!</v>
      </c>
      <c r="DO344" t="e">
        <f>AND(#REF!,"AAAAAH5//XY=")</f>
        <v>#REF!</v>
      </c>
      <c r="DP344" t="e">
        <f>AND(#REF!,"AAAAAH5//Xc=")</f>
        <v>#REF!</v>
      </c>
      <c r="DQ344" t="e">
        <f>AND(#REF!,"AAAAAH5//Xg=")</f>
        <v>#REF!</v>
      </c>
      <c r="DR344" t="e">
        <f>AND(#REF!,"AAAAAH5//Xk=")</f>
        <v>#REF!</v>
      </c>
      <c r="DS344" t="e">
        <f>AND(#REF!,"AAAAAH5//Xo=")</f>
        <v>#REF!</v>
      </c>
      <c r="DT344" t="e">
        <f>AND(#REF!,"AAAAAH5//Xs=")</f>
        <v>#REF!</v>
      </c>
      <c r="DU344" t="e">
        <f>AND(#REF!,"AAAAAH5//Xw=")</f>
        <v>#REF!</v>
      </c>
      <c r="DV344" t="e">
        <f>AND(#REF!,"AAAAAH5//X0=")</f>
        <v>#REF!</v>
      </c>
      <c r="DW344" t="e">
        <f>AND(#REF!,"AAAAAH5//X4=")</f>
        <v>#REF!</v>
      </c>
      <c r="DX344" t="e">
        <f>IF(#REF!,"AAAAAH5//X8=",0)</f>
        <v>#REF!</v>
      </c>
      <c r="DY344" t="e">
        <f>AND(#REF!,"AAAAAH5//YA=")</f>
        <v>#REF!</v>
      </c>
      <c r="DZ344" t="e">
        <f>AND(#REF!,"AAAAAH5//YE=")</f>
        <v>#REF!</v>
      </c>
      <c r="EA344" t="e">
        <f>AND(#REF!,"AAAAAH5//YI=")</f>
        <v>#REF!</v>
      </c>
      <c r="EB344" t="e">
        <f>AND(#REF!,"AAAAAH5//YM=")</f>
        <v>#REF!</v>
      </c>
      <c r="EC344" t="e">
        <f>AND(#REF!,"AAAAAH5//YQ=")</f>
        <v>#REF!</v>
      </c>
      <c r="ED344" t="e">
        <f>AND(#REF!,"AAAAAH5//YU=")</f>
        <v>#REF!</v>
      </c>
      <c r="EE344" t="e">
        <f>AND(#REF!,"AAAAAH5//YY=")</f>
        <v>#REF!</v>
      </c>
      <c r="EF344" t="e">
        <f>AND(#REF!,"AAAAAH5//Yc=")</f>
        <v>#REF!</v>
      </c>
      <c r="EG344" t="e">
        <f>AND(#REF!,"AAAAAH5//Yg=")</f>
        <v>#REF!</v>
      </c>
      <c r="EH344" t="e">
        <f>AND(#REF!,"AAAAAH5//Yk=")</f>
        <v>#REF!</v>
      </c>
      <c r="EI344" t="e">
        <f>AND(#REF!,"AAAAAH5//Yo=")</f>
        <v>#REF!</v>
      </c>
      <c r="EJ344" t="e">
        <f>AND(#REF!,"AAAAAH5//Ys=")</f>
        <v>#REF!</v>
      </c>
      <c r="EK344" t="e">
        <f>AND(#REF!,"AAAAAH5//Yw=")</f>
        <v>#REF!</v>
      </c>
      <c r="EL344" t="e">
        <f>AND(#REF!,"AAAAAH5//Y0=")</f>
        <v>#REF!</v>
      </c>
      <c r="EM344" t="e">
        <f>AND(#REF!,"AAAAAH5//Y4=")</f>
        <v>#REF!</v>
      </c>
      <c r="EN344" t="e">
        <f>AND(#REF!,"AAAAAH5//Y8=")</f>
        <v>#REF!</v>
      </c>
      <c r="EO344" t="e">
        <f>AND(#REF!,"AAAAAH5//ZA=")</f>
        <v>#REF!</v>
      </c>
      <c r="EP344" t="e">
        <f>AND(#REF!,"AAAAAH5//ZE=")</f>
        <v>#REF!</v>
      </c>
      <c r="EQ344" t="e">
        <f>AND(#REF!,"AAAAAH5//ZI=")</f>
        <v>#REF!</v>
      </c>
      <c r="ER344" t="e">
        <f>AND(#REF!,"AAAAAH5//ZM=")</f>
        <v>#REF!</v>
      </c>
      <c r="ES344" t="e">
        <f>AND(#REF!,"AAAAAH5//ZQ=")</f>
        <v>#REF!</v>
      </c>
      <c r="ET344" t="e">
        <f>AND(#REF!,"AAAAAH5//ZU=")</f>
        <v>#REF!</v>
      </c>
      <c r="EU344" t="e">
        <f>AND(#REF!,"AAAAAH5//ZY=")</f>
        <v>#REF!</v>
      </c>
      <c r="EV344" t="e">
        <f>AND(#REF!,"AAAAAH5//Zc=")</f>
        <v>#REF!</v>
      </c>
      <c r="EW344" t="e">
        <f>IF(#REF!,"AAAAAH5//Zg=",0)</f>
        <v>#REF!</v>
      </c>
      <c r="EX344" t="e">
        <f>AND(#REF!,"AAAAAH5//Zk=")</f>
        <v>#REF!</v>
      </c>
      <c r="EY344" t="e">
        <f>AND(#REF!,"AAAAAH5//Zo=")</f>
        <v>#REF!</v>
      </c>
      <c r="EZ344" t="e">
        <f>AND(#REF!,"AAAAAH5//Zs=")</f>
        <v>#REF!</v>
      </c>
      <c r="FA344" t="e">
        <f>AND(#REF!,"AAAAAH5//Zw=")</f>
        <v>#REF!</v>
      </c>
      <c r="FB344" t="e">
        <f>AND(#REF!,"AAAAAH5//Z0=")</f>
        <v>#REF!</v>
      </c>
      <c r="FC344" t="e">
        <f>AND(#REF!,"AAAAAH5//Z4=")</f>
        <v>#REF!</v>
      </c>
      <c r="FD344" t="e">
        <f>AND(#REF!,"AAAAAH5//Z8=")</f>
        <v>#REF!</v>
      </c>
      <c r="FE344" t="e">
        <f>AND(#REF!,"AAAAAH5//aA=")</f>
        <v>#REF!</v>
      </c>
      <c r="FF344" t="e">
        <f>AND(#REF!,"AAAAAH5//aE=")</f>
        <v>#REF!</v>
      </c>
      <c r="FG344" t="e">
        <f>AND(#REF!,"AAAAAH5//aI=")</f>
        <v>#REF!</v>
      </c>
      <c r="FH344" t="e">
        <f>AND(#REF!,"AAAAAH5//aM=")</f>
        <v>#REF!</v>
      </c>
      <c r="FI344" t="e">
        <f>AND(#REF!,"AAAAAH5//aQ=")</f>
        <v>#REF!</v>
      </c>
      <c r="FJ344" t="e">
        <f>AND(#REF!,"AAAAAH5//aU=")</f>
        <v>#REF!</v>
      </c>
      <c r="FK344" t="e">
        <f>AND(#REF!,"AAAAAH5//aY=")</f>
        <v>#REF!</v>
      </c>
      <c r="FL344" t="e">
        <f>AND(#REF!,"AAAAAH5//ac=")</f>
        <v>#REF!</v>
      </c>
      <c r="FM344" t="e">
        <f>AND(#REF!,"AAAAAH5//ag=")</f>
        <v>#REF!</v>
      </c>
      <c r="FN344" t="e">
        <f>AND(#REF!,"AAAAAH5//ak=")</f>
        <v>#REF!</v>
      </c>
      <c r="FO344" t="e">
        <f>AND(#REF!,"AAAAAH5//ao=")</f>
        <v>#REF!</v>
      </c>
      <c r="FP344" t="e">
        <f>AND(#REF!,"AAAAAH5//as=")</f>
        <v>#REF!</v>
      </c>
      <c r="FQ344" t="e">
        <f>AND(#REF!,"AAAAAH5//aw=")</f>
        <v>#REF!</v>
      </c>
      <c r="FR344" t="e">
        <f>AND(#REF!,"AAAAAH5//a0=")</f>
        <v>#REF!</v>
      </c>
      <c r="FS344" t="e">
        <f>AND(#REF!,"AAAAAH5//a4=")</f>
        <v>#REF!</v>
      </c>
      <c r="FT344" t="e">
        <f>AND(#REF!,"AAAAAH5//a8=")</f>
        <v>#REF!</v>
      </c>
      <c r="FU344" t="e">
        <f>AND(#REF!,"AAAAAH5//bA=")</f>
        <v>#REF!</v>
      </c>
      <c r="FV344" t="e">
        <f>IF(#REF!,"AAAAAH5//bE=",0)</f>
        <v>#REF!</v>
      </c>
      <c r="FW344" t="e">
        <f>AND(#REF!,"AAAAAH5//bI=")</f>
        <v>#REF!</v>
      </c>
      <c r="FX344" t="e">
        <f>AND(#REF!,"AAAAAH5//bM=")</f>
        <v>#REF!</v>
      </c>
      <c r="FY344" t="e">
        <f>AND(#REF!,"AAAAAH5//bQ=")</f>
        <v>#REF!</v>
      </c>
      <c r="FZ344" t="e">
        <f>AND(#REF!,"AAAAAH5//bU=")</f>
        <v>#REF!</v>
      </c>
      <c r="GA344" t="e">
        <f>AND(#REF!,"AAAAAH5//bY=")</f>
        <v>#REF!</v>
      </c>
      <c r="GB344" t="e">
        <f>AND(#REF!,"AAAAAH5//bc=")</f>
        <v>#REF!</v>
      </c>
      <c r="GC344" t="e">
        <f>AND(#REF!,"AAAAAH5//bg=")</f>
        <v>#REF!</v>
      </c>
      <c r="GD344" t="e">
        <f>AND(#REF!,"AAAAAH5//bk=")</f>
        <v>#REF!</v>
      </c>
      <c r="GE344" t="e">
        <f>AND(#REF!,"AAAAAH5//bo=")</f>
        <v>#REF!</v>
      </c>
      <c r="GF344" t="e">
        <f>AND(#REF!,"AAAAAH5//bs=")</f>
        <v>#REF!</v>
      </c>
      <c r="GG344" t="e">
        <f>AND(#REF!,"AAAAAH5//bw=")</f>
        <v>#REF!</v>
      </c>
      <c r="GH344" t="e">
        <f>AND(#REF!,"AAAAAH5//b0=")</f>
        <v>#REF!</v>
      </c>
      <c r="GI344" t="e">
        <f>AND(#REF!,"AAAAAH5//b4=")</f>
        <v>#REF!</v>
      </c>
      <c r="GJ344" t="e">
        <f>AND(#REF!,"AAAAAH5//b8=")</f>
        <v>#REF!</v>
      </c>
      <c r="GK344" t="e">
        <f>AND(#REF!,"AAAAAH5//cA=")</f>
        <v>#REF!</v>
      </c>
      <c r="GL344" t="e">
        <f>AND(#REF!,"AAAAAH5//cE=")</f>
        <v>#REF!</v>
      </c>
      <c r="GM344" t="e">
        <f>AND(#REF!,"AAAAAH5//cI=")</f>
        <v>#REF!</v>
      </c>
      <c r="GN344" t="e">
        <f>AND(#REF!,"AAAAAH5//cM=")</f>
        <v>#REF!</v>
      </c>
      <c r="GO344" t="e">
        <f>AND(#REF!,"AAAAAH5//cQ=")</f>
        <v>#REF!</v>
      </c>
      <c r="GP344" t="e">
        <f>AND(#REF!,"AAAAAH5//cU=")</f>
        <v>#REF!</v>
      </c>
      <c r="GQ344" t="e">
        <f>AND(#REF!,"AAAAAH5//cY=")</f>
        <v>#REF!</v>
      </c>
      <c r="GR344" t="e">
        <f>AND(#REF!,"AAAAAH5//cc=")</f>
        <v>#REF!</v>
      </c>
      <c r="GS344" t="e">
        <f>AND(#REF!,"AAAAAH5//cg=")</f>
        <v>#REF!</v>
      </c>
      <c r="GT344" t="e">
        <f>AND(#REF!,"AAAAAH5//ck=")</f>
        <v>#REF!</v>
      </c>
      <c r="GU344" t="e">
        <f>IF(#REF!,"AAAAAH5//co=",0)</f>
        <v>#REF!</v>
      </c>
      <c r="GV344" t="e">
        <f>AND(#REF!,"AAAAAH5//cs=")</f>
        <v>#REF!</v>
      </c>
      <c r="GW344" t="e">
        <f>AND(#REF!,"AAAAAH5//cw=")</f>
        <v>#REF!</v>
      </c>
      <c r="GX344" t="e">
        <f>AND(#REF!,"AAAAAH5//c0=")</f>
        <v>#REF!</v>
      </c>
      <c r="GY344" t="e">
        <f>AND(#REF!,"AAAAAH5//c4=")</f>
        <v>#REF!</v>
      </c>
      <c r="GZ344" t="e">
        <f>AND(#REF!,"AAAAAH5//c8=")</f>
        <v>#REF!</v>
      </c>
      <c r="HA344" t="e">
        <f>AND(#REF!,"AAAAAH5//dA=")</f>
        <v>#REF!</v>
      </c>
      <c r="HB344" t="e">
        <f>AND(#REF!,"AAAAAH5//dE=")</f>
        <v>#REF!</v>
      </c>
      <c r="HC344" t="e">
        <f>AND(#REF!,"AAAAAH5//dI=")</f>
        <v>#REF!</v>
      </c>
      <c r="HD344" t="e">
        <f>AND(#REF!,"AAAAAH5//dM=")</f>
        <v>#REF!</v>
      </c>
      <c r="HE344" t="e">
        <f>AND(#REF!,"AAAAAH5//dQ=")</f>
        <v>#REF!</v>
      </c>
      <c r="HF344" t="e">
        <f>AND(#REF!,"AAAAAH5//dU=")</f>
        <v>#REF!</v>
      </c>
      <c r="HG344" t="e">
        <f>AND(#REF!,"AAAAAH5//dY=")</f>
        <v>#REF!</v>
      </c>
      <c r="HH344" t="e">
        <f>AND(#REF!,"AAAAAH5//dc=")</f>
        <v>#REF!</v>
      </c>
      <c r="HI344" t="e">
        <f>AND(#REF!,"AAAAAH5//dg=")</f>
        <v>#REF!</v>
      </c>
      <c r="HJ344" t="e">
        <f>AND(#REF!,"AAAAAH5//dk=")</f>
        <v>#REF!</v>
      </c>
      <c r="HK344" t="e">
        <f>AND(#REF!,"AAAAAH5//do=")</f>
        <v>#REF!</v>
      </c>
      <c r="HL344" t="e">
        <f>AND(#REF!,"AAAAAH5//ds=")</f>
        <v>#REF!</v>
      </c>
      <c r="HM344" t="e">
        <f>AND(#REF!,"AAAAAH5//dw=")</f>
        <v>#REF!</v>
      </c>
      <c r="HN344" t="e">
        <f>AND(#REF!,"AAAAAH5//d0=")</f>
        <v>#REF!</v>
      </c>
      <c r="HO344" t="e">
        <f>AND(#REF!,"AAAAAH5//d4=")</f>
        <v>#REF!</v>
      </c>
      <c r="HP344" t="e">
        <f>AND(#REF!,"AAAAAH5//d8=")</f>
        <v>#REF!</v>
      </c>
      <c r="HQ344" t="e">
        <f>AND(#REF!,"AAAAAH5//eA=")</f>
        <v>#REF!</v>
      </c>
      <c r="HR344" t="e">
        <f>AND(#REF!,"AAAAAH5//eE=")</f>
        <v>#REF!</v>
      </c>
      <c r="HS344" t="e">
        <f>AND(#REF!,"AAAAAH5//eI=")</f>
        <v>#REF!</v>
      </c>
      <c r="HT344" t="e">
        <f>IF(#REF!,"AAAAAH5//eM=",0)</f>
        <v>#REF!</v>
      </c>
      <c r="HU344" t="e">
        <f>AND(#REF!,"AAAAAH5//eQ=")</f>
        <v>#REF!</v>
      </c>
      <c r="HV344" t="e">
        <f>AND(#REF!,"AAAAAH5//eU=")</f>
        <v>#REF!</v>
      </c>
      <c r="HW344" t="e">
        <f>AND(#REF!,"AAAAAH5//eY=")</f>
        <v>#REF!</v>
      </c>
      <c r="HX344" t="e">
        <f>AND(#REF!,"AAAAAH5//ec=")</f>
        <v>#REF!</v>
      </c>
      <c r="HY344" t="e">
        <f>AND(#REF!,"AAAAAH5//eg=")</f>
        <v>#REF!</v>
      </c>
      <c r="HZ344" t="e">
        <f>AND(#REF!,"AAAAAH5//ek=")</f>
        <v>#REF!</v>
      </c>
      <c r="IA344" t="e">
        <f>AND(#REF!,"AAAAAH5//eo=")</f>
        <v>#REF!</v>
      </c>
      <c r="IB344" t="e">
        <f>AND(#REF!,"AAAAAH5//es=")</f>
        <v>#REF!</v>
      </c>
      <c r="IC344" t="e">
        <f>AND(#REF!,"AAAAAH5//ew=")</f>
        <v>#REF!</v>
      </c>
      <c r="ID344" t="e">
        <f>AND(#REF!,"AAAAAH5//e0=")</f>
        <v>#REF!</v>
      </c>
      <c r="IE344" t="e">
        <f>AND(#REF!,"AAAAAH5//e4=")</f>
        <v>#REF!</v>
      </c>
      <c r="IF344" t="e">
        <f>AND(#REF!,"AAAAAH5//e8=")</f>
        <v>#REF!</v>
      </c>
      <c r="IG344" t="e">
        <f>AND(#REF!,"AAAAAH5//fA=")</f>
        <v>#REF!</v>
      </c>
      <c r="IH344" t="e">
        <f>AND(#REF!,"AAAAAH5//fE=")</f>
        <v>#REF!</v>
      </c>
      <c r="II344" t="e">
        <f>AND(#REF!,"AAAAAH5//fI=")</f>
        <v>#REF!</v>
      </c>
      <c r="IJ344" t="e">
        <f>AND(#REF!,"AAAAAH5//fM=")</f>
        <v>#REF!</v>
      </c>
      <c r="IK344" t="e">
        <f>AND(#REF!,"AAAAAH5//fQ=")</f>
        <v>#REF!</v>
      </c>
      <c r="IL344" t="e">
        <f>AND(#REF!,"AAAAAH5//fU=")</f>
        <v>#REF!</v>
      </c>
      <c r="IM344" t="e">
        <f>AND(#REF!,"AAAAAH5//fY=")</f>
        <v>#REF!</v>
      </c>
      <c r="IN344" t="e">
        <f>AND(#REF!,"AAAAAH5//fc=")</f>
        <v>#REF!</v>
      </c>
      <c r="IO344" t="e">
        <f>AND(#REF!,"AAAAAH5//fg=")</f>
        <v>#REF!</v>
      </c>
      <c r="IP344" t="e">
        <f>AND(#REF!,"AAAAAH5//fk=")</f>
        <v>#REF!</v>
      </c>
      <c r="IQ344" t="e">
        <f>AND(#REF!,"AAAAAH5//fo=")</f>
        <v>#REF!</v>
      </c>
      <c r="IR344" t="e">
        <f>AND(#REF!,"AAAAAH5//fs=")</f>
        <v>#REF!</v>
      </c>
      <c r="IS344" t="e">
        <f>IF(#REF!,"AAAAAH5//fw=",0)</f>
        <v>#REF!</v>
      </c>
      <c r="IT344" t="e">
        <f>AND(#REF!,"AAAAAH5//f0=")</f>
        <v>#REF!</v>
      </c>
      <c r="IU344" t="e">
        <f>AND(#REF!,"AAAAAH5//f4=")</f>
        <v>#REF!</v>
      </c>
      <c r="IV344" t="e">
        <f>AND(#REF!,"AAAAAH5//f8=")</f>
        <v>#REF!</v>
      </c>
    </row>
    <row r="345" spans="1:256">
      <c r="A345" t="e">
        <f>AND(#REF!,"AAAAADr/dwA=")</f>
        <v>#REF!</v>
      </c>
      <c r="B345" t="e">
        <f>AND(#REF!,"AAAAADr/dwE=")</f>
        <v>#REF!</v>
      </c>
      <c r="C345" t="e">
        <f>AND(#REF!,"AAAAADr/dwI=")</f>
        <v>#REF!</v>
      </c>
      <c r="D345" t="e">
        <f>AND(#REF!,"AAAAADr/dwM=")</f>
        <v>#REF!</v>
      </c>
      <c r="E345" t="e">
        <f>AND(#REF!,"AAAAADr/dwQ=")</f>
        <v>#REF!</v>
      </c>
      <c r="F345" t="e">
        <f>AND(#REF!,"AAAAADr/dwU=")</f>
        <v>#REF!</v>
      </c>
      <c r="G345" t="e">
        <f>AND(#REF!,"AAAAADr/dwY=")</f>
        <v>#REF!</v>
      </c>
      <c r="H345" t="e">
        <f>AND(#REF!,"AAAAADr/dwc=")</f>
        <v>#REF!</v>
      </c>
      <c r="I345" t="e">
        <f>AND(#REF!,"AAAAADr/dwg=")</f>
        <v>#REF!</v>
      </c>
      <c r="J345" t="e">
        <f>AND(#REF!,"AAAAADr/dwk=")</f>
        <v>#REF!</v>
      </c>
      <c r="K345" t="e">
        <f>AND(#REF!,"AAAAADr/dwo=")</f>
        <v>#REF!</v>
      </c>
      <c r="L345" t="e">
        <f>AND(#REF!,"AAAAADr/dws=")</f>
        <v>#REF!</v>
      </c>
      <c r="M345" t="e">
        <f>AND(#REF!,"AAAAADr/dww=")</f>
        <v>#REF!</v>
      </c>
      <c r="N345" t="e">
        <f>AND(#REF!,"AAAAADr/dw0=")</f>
        <v>#REF!</v>
      </c>
      <c r="O345" t="e">
        <f>AND(#REF!,"AAAAADr/dw4=")</f>
        <v>#REF!</v>
      </c>
      <c r="P345" t="e">
        <f>AND(#REF!,"AAAAADr/dw8=")</f>
        <v>#REF!</v>
      </c>
      <c r="Q345" t="e">
        <f>AND(#REF!,"AAAAADr/dxA=")</f>
        <v>#REF!</v>
      </c>
      <c r="R345" t="e">
        <f>AND(#REF!,"AAAAADr/dxE=")</f>
        <v>#REF!</v>
      </c>
      <c r="S345" t="e">
        <f>AND(#REF!,"AAAAADr/dxI=")</f>
        <v>#REF!</v>
      </c>
      <c r="T345" t="e">
        <f>AND(#REF!,"AAAAADr/dxM=")</f>
        <v>#REF!</v>
      </c>
      <c r="U345" t="e">
        <f>AND(#REF!,"AAAAADr/dxQ=")</f>
        <v>#REF!</v>
      </c>
      <c r="V345" t="e">
        <f>IF(#REF!,"AAAAADr/dxU=",0)</f>
        <v>#REF!</v>
      </c>
      <c r="W345" t="e">
        <f>AND(#REF!,"AAAAADr/dxY=")</f>
        <v>#REF!</v>
      </c>
      <c r="X345" t="e">
        <f>AND(#REF!,"AAAAADr/dxc=")</f>
        <v>#REF!</v>
      </c>
      <c r="Y345" t="e">
        <f>AND(#REF!,"AAAAADr/dxg=")</f>
        <v>#REF!</v>
      </c>
      <c r="Z345" t="e">
        <f>AND(#REF!,"AAAAADr/dxk=")</f>
        <v>#REF!</v>
      </c>
      <c r="AA345" t="e">
        <f>AND(#REF!,"AAAAADr/dxo=")</f>
        <v>#REF!</v>
      </c>
      <c r="AB345" t="e">
        <f>AND(#REF!,"AAAAADr/dxs=")</f>
        <v>#REF!</v>
      </c>
      <c r="AC345" t="e">
        <f>AND(#REF!,"AAAAADr/dxw=")</f>
        <v>#REF!</v>
      </c>
      <c r="AD345" t="e">
        <f>AND(#REF!,"AAAAADr/dx0=")</f>
        <v>#REF!</v>
      </c>
      <c r="AE345" t="e">
        <f>AND(#REF!,"AAAAADr/dx4=")</f>
        <v>#REF!</v>
      </c>
      <c r="AF345" t="e">
        <f>AND(#REF!,"AAAAADr/dx8=")</f>
        <v>#REF!</v>
      </c>
      <c r="AG345" t="e">
        <f>AND(#REF!,"AAAAADr/dyA=")</f>
        <v>#REF!</v>
      </c>
      <c r="AH345" t="e">
        <f>AND(#REF!,"AAAAADr/dyE=")</f>
        <v>#REF!</v>
      </c>
      <c r="AI345" t="e">
        <f>AND(#REF!,"AAAAADr/dyI=")</f>
        <v>#REF!</v>
      </c>
      <c r="AJ345" t="e">
        <f>AND(#REF!,"AAAAADr/dyM=")</f>
        <v>#REF!</v>
      </c>
      <c r="AK345" t="e">
        <f>AND(#REF!,"AAAAADr/dyQ=")</f>
        <v>#REF!</v>
      </c>
      <c r="AL345" t="e">
        <f>AND(#REF!,"AAAAADr/dyU=")</f>
        <v>#REF!</v>
      </c>
      <c r="AM345" t="e">
        <f>AND(#REF!,"AAAAADr/dyY=")</f>
        <v>#REF!</v>
      </c>
      <c r="AN345" t="e">
        <f>AND(#REF!,"AAAAADr/dyc=")</f>
        <v>#REF!</v>
      </c>
      <c r="AO345" t="e">
        <f>AND(#REF!,"AAAAADr/dyg=")</f>
        <v>#REF!</v>
      </c>
      <c r="AP345" t="e">
        <f>AND(#REF!,"AAAAADr/dyk=")</f>
        <v>#REF!</v>
      </c>
      <c r="AQ345" t="e">
        <f>AND(#REF!,"AAAAADr/dyo=")</f>
        <v>#REF!</v>
      </c>
      <c r="AR345" t="e">
        <f>AND(#REF!,"AAAAADr/dys=")</f>
        <v>#REF!</v>
      </c>
      <c r="AS345" t="e">
        <f>AND(#REF!,"AAAAADr/dyw=")</f>
        <v>#REF!</v>
      </c>
      <c r="AT345" t="e">
        <f>AND(#REF!,"AAAAADr/dy0=")</f>
        <v>#REF!</v>
      </c>
      <c r="AU345" t="e">
        <f>IF(#REF!,"AAAAADr/dy4=",0)</f>
        <v>#REF!</v>
      </c>
      <c r="AV345" t="e">
        <f>AND(#REF!,"AAAAADr/dy8=")</f>
        <v>#REF!</v>
      </c>
      <c r="AW345" t="e">
        <f>AND(#REF!,"AAAAADr/dzA=")</f>
        <v>#REF!</v>
      </c>
      <c r="AX345" t="e">
        <f>AND(#REF!,"AAAAADr/dzE=")</f>
        <v>#REF!</v>
      </c>
      <c r="AY345" t="e">
        <f>AND(#REF!,"AAAAADr/dzI=")</f>
        <v>#REF!</v>
      </c>
      <c r="AZ345" t="e">
        <f>AND(#REF!,"AAAAADr/dzM=")</f>
        <v>#REF!</v>
      </c>
      <c r="BA345" t="e">
        <f>AND(#REF!,"AAAAADr/dzQ=")</f>
        <v>#REF!</v>
      </c>
      <c r="BB345" t="e">
        <f>AND(#REF!,"AAAAADr/dzU=")</f>
        <v>#REF!</v>
      </c>
      <c r="BC345" t="e">
        <f>AND(#REF!,"AAAAADr/dzY=")</f>
        <v>#REF!</v>
      </c>
      <c r="BD345" t="e">
        <f>AND(#REF!,"AAAAADr/dzc=")</f>
        <v>#REF!</v>
      </c>
      <c r="BE345" t="e">
        <f>AND(#REF!,"AAAAADr/dzg=")</f>
        <v>#REF!</v>
      </c>
      <c r="BF345" t="e">
        <f>AND(#REF!,"AAAAADr/dzk=")</f>
        <v>#REF!</v>
      </c>
      <c r="BG345" t="e">
        <f>AND(#REF!,"AAAAADr/dzo=")</f>
        <v>#REF!</v>
      </c>
      <c r="BH345" t="e">
        <f>AND(#REF!,"AAAAADr/dzs=")</f>
        <v>#REF!</v>
      </c>
      <c r="BI345" t="e">
        <f>AND(#REF!,"AAAAADr/dzw=")</f>
        <v>#REF!</v>
      </c>
      <c r="BJ345" t="e">
        <f>AND(#REF!,"AAAAADr/dz0=")</f>
        <v>#REF!</v>
      </c>
      <c r="BK345" t="e">
        <f>AND(#REF!,"AAAAADr/dz4=")</f>
        <v>#REF!</v>
      </c>
      <c r="BL345" t="e">
        <f>AND(#REF!,"AAAAADr/dz8=")</f>
        <v>#REF!</v>
      </c>
      <c r="BM345" t="e">
        <f>AND(#REF!,"AAAAADr/d0A=")</f>
        <v>#REF!</v>
      </c>
      <c r="BN345" t="e">
        <f>AND(#REF!,"AAAAADr/d0E=")</f>
        <v>#REF!</v>
      </c>
      <c r="BO345" t="e">
        <f>AND(#REF!,"AAAAADr/d0I=")</f>
        <v>#REF!</v>
      </c>
      <c r="BP345" t="e">
        <f>AND(#REF!,"AAAAADr/d0M=")</f>
        <v>#REF!</v>
      </c>
      <c r="BQ345" t="e">
        <f>AND(#REF!,"AAAAADr/d0Q=")</f>
        <v>#REF!</v>
      </c>
      <c r="BR345" t="e">
        <f>AND(#REF!,"AAAAADr/d0U=")</f>
        <v>#REF!</v>
      </c>
      <c r="BS345" t="e">
        <f>AND(#REF!,"AAAAADr/d0Y=")</f>
        <v>#REF!</v>
      </c>
      <c r="BT345" t="e">
        <f>IF(#REF!,"AAAAADr/d0c=",0)</f>
        <v>#REF!</v>
      </c>
      <c r="BU345" t="e">
        <f>AND(#REF!,"AAAAADr/d0g=")</f>
        <v>#REF!</v>
      </c>
      <c r="BV345" t="e">
        <f>AND(#REF!,"AAAAADr/d0k=")</f>
        <v>#REF!</v>
      </c>
      <c r="BW345" t="e">
        <f>AND(#REF!,"AAAAADr/d0o=")</f>
        <v>#REF!</v>
      </c>
      <c r="BX345" t="e">
        <f>AND(#REF!,"AAAAADr/d0s=")</f>
        <v>#REF!</v>
      </c>
      <c r="BY345" t="e">
        <f>AND(#REF!,"AAAAADr/d0w=")</f>
        <v>#REF!</v>
      </c>
      <c r="BZ345" t="e">
        <f>AND(#REF!,"AAAAADr/d00=")</f>
        <v>#REF!</v>
      </c>
      <c r="CA345" t="e">
        <f>AND(#REF!,"AAAAADr/d04=")</f>
        <v>#REF!</v>
      </c>
      <c r="CB345" t="e">
        <f>AND(#REF!,"AAAAADr/d08=")</f>
        <v>#REF!</v>
      </c>
      <c r="CC345" t="e">
        <f>AND(#REF!,"AAAAADr/d1A=")</f>
        <v>#REF!</v>
      </c>
      <c r="CD345" t="e">
        <f>AND(#REF!,"AAAAADr/d1E=")</f>
        <v>#REF!</v>
      </c>
      <c r="CE345" t="e">
        <f>AND(#REF!,"AAAAADr/d1I=")</f>
        <v>#REF!</v>
      </c>
      <c r="CF345" t="e">
        <f>AND(#REF!,"AAAAADr/d1M=")</f>
        <v>#REF!</v>
      </c>
      <c r="CG345" t="e">
        <f>AND(#REF!,"AAAAADr/d1Q=")</f>
        <v>#REF!</v>
      </c>
      <c r="CH345" t="e">
        <f>AND(#REF!,"AAAAADr/d1U=")</f>
        <v>#REF!</v>
      </c>
      <c r="CI345" t="e">
        <f>AND(#REF!,"AAAAADr/d1Y=")</f>
        <v>#REF!</v>
      </c>
      <c r="CJ345" t="e">
        <f>AND(#REF!,"AAAAADr/d1c=")</f>
        <v>#REF!</v>
      </c>
      <c r="CK345" t="e">
        <f>AND(#REF!,"AAAAADr/d1g=")</f>
        <v>#REF!</v>
      </c>
      <c r="CL345" t="e">
        <f>AND(#REF!,"AAAAADr/d1k=")</f>
        <v>#REF!</v>
      </c>
      <c r="CM345" t="e">
        <f>AND(#REF!,"AAAAADr/d1o=")</f>
        <v>#REF!</v>
      </c>
      <c r="CN345" t="e">
        <f>AND(#REF!,"AAAAADr/d1s=")</f>
        <v>#REF!</v>
      </c>
      <c r="CO345" t="e">
        <f>AND(#REF!,"AAAAADr/d1w=")</f>
        <v>#REF!</v>
      </c>
      <c r="CP345" t="e">
        <f>AND(#REF!,"AAAAADr/d10=")</f>
        <v>#REF!</v>
      </c>
      <c r="CQ345" t="e">
        <f>AND(#REF!,"AAAAADr/d14=")</f>
        <v>#REF!</v>
      </c>
      <c r="CR345" t="e">
        <f>AND(#REF!,"AAAAADr/d18=")</f>
        <v>#REF!</v>
      </c>
      <c r="CS345" t="e">
        <f>IF(#REF!,"AAAAADr/d2A=",0)</f>
        <v>#REF!</v>
      </c>
      <c r="CT345" t="e">
        <f>AND(#REF!,"AAAAADr/d2E=")</f>
        <v>#REF!</v>
      </c>
      <c r="CU345" t="e">
        <f>AND(#REF!,"AAAAADr/d2I=")</f>
        <v>#REF!</v>
      </c>
      <c r="CV345" t="e">
        <f>AND(#REF!,"AAAAADr/d2M=")</f>
        <v>#REF!</v>
      </c>
      <c r="CW345" t="e">
        <f>AND(#REF!,"AAAAADr/d2Q=")</f>
        <v>#REF!</v>
      </c>
      <c r="CX345" t="e">
        <f>AND(#REF!,"AAAAADr/d2U=")</f>
        <v>#REF!</v>
      </c>
      <c r="CY345" t="e">
        <f>AND(#REF!,"AAAAADr/d2Y=")</f>
        <v>#REF!</v>
      </c>
      <c r="CZ345" t="e">
        <f>AND(#REF!,"AAAAADr/d2c=")</f>
        <v>#REF!</v>
      </c>
      <c r="DA345" t="e">
        <f>AND(#REF!,"AAAAADr/d2g=")</f>
        <v>#REF!</v>
      </c>
      <c r="DB345" t="e">
        <f>AND(#REF!,"AAAAADr/d2k=")</f>
        <v>#REF!</v>
      </c>
      <c r="DC345" t="e">
        <f>AND(#REF!,"AAAAADr/d2o=")</f>
        <v>#REF!</v>
      </c>
      <c r="DD345" t="e">
        <f>AND(#REF!,"AAAAADr/d2s=")</f>
        <v>#REF!</v>
      </c>
      <c r="DE345" t="e">
        <f>AND(#REF!,"AAAAADr/d2w=")</f>
        <v>#REF!</v>
      </c>
      <c r="DF345" t="e">
        <f>AND(#REF!,"AAAAADr/d20=")</f>
        <v>#REF!</v>
      </c>
      <c r="DG345" t="e">
        <f>AND(#REF!,"AAAAADr/d24=")</f>
        <v>#REF!</v>
      </c>
      <c r="DH345" t="e">
        <f>AND(#REF!,"AAAAADr/d28=")</f>
        <v>#REF!</v>
      </c>
      <c r="DI345" t="e">
        <f>AND(#REF!,"AAAAADr/d3A=")</f>
        <v>#REF!</v>
      </c>
      <c r="DJ345" t="e">
        <f>AND(#REF!,"AAAAADr/d3E=")</f>
        <v>#REF!</v>
      </c>
      <c r="DK345" t="e">
        <f>AND(#REF!,"AAAAADr/d3I=")</f>
        <v>#REF!</v>
      </c>
      <c r="DL345" t="e">
        <f>AND(#REF!,"AAAAADr/d3M=")</f>
        <v>#REF!</v>
      </c>
      <c r="DM345" t="e">
        <f>AND(#REF!,"AAAAADr/d3Q=")</f>
        <v>#REF!</v>
      </c>
      <c r="DN345" t="e">
        <f>AND(#REF!,"AAAAADr/d3U=")</f>
        <v>#REF!</v>
      </c>
      <c r="DO345" t="e">
        <f>AND(#REF!,"AAAAADr/d3Y=")</f>
        <v>#REF!</v>
      </c>
      <c r="DP345" t="e">
        <f>AND(#REF!,"AAAAADr/d3c=")</f>
        <v>#REF!</v>
      </c>
      <c r="DQ345" t="e">
        <f>AND(#REF!,"AAAAADr/d3g=")</f>
        <v>#REF!</v>
      </c>
      <c r="DR345" t="e">
        <f>IF(#REF!,"AAAAADr/d3k=",0)</f>
        <v>#REF!</v>
      </c>
      <c r="DS345" t="e">
        <f>AND(#REF!,"AAAAADr/d3o=")</f>
        <v>#REF!</v>
      </c>
      <c r="DT345" t="e">
        <f>AND(#REF!,"AAAAADr/d3s=")</f>
        <v>#REF!</v>
      </c>
      <c r="DU345" t="e">
        <f>AND(#REF!,"AAAAADr/d3w=")</f>
        <v>#REF!</v>
      </c>
      <c r="DV345" t="e">
        <f>AND(#REF!,"AAAAADr/d30=")</f>
        <v>#REF!</v>
      </c>
      <c r="DW345" t="e">
        <f>AND(#REF!,"AAAAADr/d34=")</f>
        <v>#REF!</v>
      </c>
      <c r="DX345" t="e">
        <f>AND(#REF!,"AAAAADr/d38=")</f>
        <v>#REF!</v>
      </c>
      <c r="DY345" t="e">
        <f>AND(#REF!,"AAAAADr/d4A=")</f>
        <v>#REF!</v>
      </c>
      <c r="DZ345" t="e">
        <f>AND(#REF!,"AAAAADr/d4E=")</f>
        <v>#REF!</v>
      </c>
      <c r="EA345" t="e">
        <f>AND(#REF!,"AAAAADr/d4I=")</f>
        <v>#REF!</v>
      </c>
      <c r="EB345" t="e">
        <f>AND(#REF!,"AAAAADr/d4M=")</f>
        <v>#REF!</v>
      </c>
      <c r="EC345" t="e">
        <f>AND(#REF!,"AAAAADr/d4Q=")</f>
        <v>#REF!</v>
      </c>
      <c r="ED345" t="e">
        <f>AND(#REF!,"AAAAADr/d4U=")</f>
        <v>#REF!</v>
      </c>
      <c r="EE345" t="e">
        <f>AND(#REF!,"AAAAADr/d4Y=")</f>
        <v>#REF!</v>
      </c>
      <c r="EF345" t="e">
        <f>AND(#REF!,"AAAAADr/d4c=")</f>
        <v>#REF!</v>
      </c>
      <c r="EG345" t="e">
        <f>AND(#REF!,"AAAAADr/d4g=")</f>
        <v>#REF!</v>
      </c>
      <c r="EH345" t="e">
        <f>AND(#REF!,"AAAAADr/d4k=")</f>
        <v>#REF!</v>
      </c>
      <c r="EI345" t="e">
        <f>AND(#REF!,"AAAAADr/d4o=")</f>
        <v>#REF!</v>
      </c>
      <c r="EJ345" t="e">
        <f>AND(#REF!,"AAAAADr/d4s=")</f>
        <v>#REF!</v>
      </c>
      <c r="EK345" t="e">
        <f>AND(#REF!,"AAAAADr/d4w=")</f>
        <v>#REF!</v>
      </c>
      <c r="EL345" t="e">
        <f>AND(#REF!,"AAAAADr/d40=")</f>
        <v>#REF!</v>
      </c>
      <c r="EM345" t="e">
        <f>AND(#REF!,"AAAAADr/d44=")</f>
        <v>#REF!</v>
      </c>
      <c r="EN345" t="e">
        <f>AND(#REF!,"AAAAADr/d48=")</f>
        <v>#REF!</v>
      </c>
      <c r="EO345" t="e">
        <f>AND(#REF!,"AAAAADr/d5A=")</f>
        <v>#REF!</v>
      </c>
      <c r="EP345" t="e">
        <f>AND(#REF!,"AAAAADr/d5E=")</f>
        <v>#REF!</v>
      </c>
      <c r="EQ345" t="e">
        <f>IF(#REF!,"AAAAADr/d5I=",0)</f>
        <v>#REF!</v>
      </c>
      <c r="ER345" t="e">
        <f>AND(#REF!,"AAAAADr/d5M=")</f>
        <v>#REF!</v>
      </c>
      <c r="ES345" t="e">
        <f>AND(#REF!,"AAAAADr/d5Q=")</f>
        <v>#REF!</v>
      </c>
      <c r="ET345" t="e">
        <f>AND(#REF!,"AAAAADr/d5U=")</f>
        <v>#REF!</v>
      </c>
      <c r="EU345" t="e">
        <f>AND(#REF!,"AAAAADr/d5Y=")</f>
        <v>#REF!</v>
      </c>
      <c r="EV345" t="e">
        <f>AND(#REF!,"AAAAADr/d5c=")</f>
        <v>#REF!</v>
      </c>
      <c r="EW345" t="e">
        <f>AND(#REF!,"AAAAADr/d5g=")</f>
        <v>#REF!</v>
      </c>
      <c r="EX345" t="e">
        <f>AND(#REF!,"AAAAADr/d5k=")</f>
        <v>#REF!</v>
      </c>
      <c r="EY345" t="e">
        <f>AND(#REF!,"AAAAADr/d5o=")</f>
        <v>#REF!</v>
      </c>
      <c r="EZ345" t="e">
        <f>AND(#REF!,"AAAAADr/d5s=")</f>
        <v>#REF!</v>
      </c>
      <c r="FA345" t="e">
        <f>AND(#REF!,"AAAAADr/d5w=")</f>
        <v>#REF!</v>
      </c>
      <c r="FB345" t="e">
        <f>AND(#REF!,"AAAAADr/d50=")</f>
        <v>#REF!</v>
      </c>
      <c r="FC345" t="e">
        <f>AND(#REF!,"AAAAADr/d54=")</f>
        <v>#REF!</v>
      </c>
      <c r="FD345" t="e">
        <f>AND(#REF!,"AAAAADr/d58=")</f>
        <v>#REF!</v>
      </c>
      <c r="FE345" t="e">
        <f>AND(#REF!,"AAAAADr/d6A=")</f>
        <v>#REF!</v>
      </c>
      <c r="FF345" t="e">
        <f>AND(#REF!,"AAAAADr/d6E=")</f>
        <v>#REF!</v>
      </c>
      <c r="FG345" t="e">
        <f>AND(#REF!,"AAAAADr/d6I=")</f>
        <v>#REF!</v>
      </c>
      <c r="FH345" t="e">
        <f>AND(#REF!,"AAAAADr/d6M=")</f>
        <v>#REF!</v>
      </c>
      <c r="FI345" t="e">
        <f>AND(#REF!,"AAAAADr/d6Q=")</f>
        <v>#REF!</v>
      </c>
      <c r="FJ345" t="e">
        <f>AND(#REF!,"AAAAADr/d6U=")</f>
        <v>#REF!</v>
      </c>
      <c r="FK345" t="e">
        <f>AND(#REF!,"AAAAADr/d6Y=")</f>
        <v>#REF!</v>
      </c>
      <c r="FL345" t="e">
        <f>AND(#REF!,"AAAAADr/d6c=")</f>
        <v>#REF!</v>
      </c>
      <c r="FM345" t="e">
        <f>AND(#REF!,"AAAAADr/d6g=")</f>
        <v>#REF!</v>
      </c>
      <c r="FN345" t="e">
        <f>AND(#REF!,"AAAAADr/d6k=")</f>
        <v>#REF!</v>
      </c>
      <c r="FO345" t="e">
        <f>AND(#REF!,"AAAAADr/d6o=")</f>
        <v>#REF!</v>
      </c>
      <c r="FP345" t="e">
        <f>IF(#REF!,"AAAAADr/d6s=",0)</f>
        <v>#REF!</v>
      </c>
      <c r="FQ345" t="e">
        <f>AND(#REF!,"AAAAADr/d6w=")</f>
        <v>#REF!</v>
      </c>
      <c r="FR345" t="e">
        <f>AND(#REF!,"AAAAADr/d60=")</f>
        <v>#REF!</v>
      </c>
      <c r="FS345" t="e">
        <f>AND(#REF!,"AAAAADr/d64=")</f>
        <v>#REF!</v>
      </c>
      <c r="FT345" t="e">
        <f>AND(#REF!,"AAAAADr/d68=")</f>
        <v>#REF!</v>
      </c>
      <c r="FU345" t="e">
        <f>AND(#REF!,"AAAAADr/d7A=")</f>
        <v>#REF!</v>
      </c>
      <c r="FV345" t="e">
        <f>AND(#REF!,"AAAAADr/d7E=")</f>
        <v>#REF!</v>
      </c>
      <c r="FW345" t="e">
        <f>AND(#REF!,"AAAAADr/d7I=")</f>
        <v>#REF!</v>
      </c>
      <c r="FX345" t="e">
        <f>AND(#REF!,"AAAAADr/d7M=")</f>
        <v>#REF!</v>
      </c>
      <c r="FY345" t="e">
        <f>AND(#REF!,"AAAAADr/d7Q=")</f>
        <v>#REF!</v>
      </c>
      <c r="FZ345" t="e">
        <f>AND(#REF!,"AAAAADr/d7U=")</f>
        <v>#REF!</v>
      </c>
      <c r="GA345" t="e">
        <f>AND(#REF!,"AAAAADr/d7Y=")</f>
        <v>#REF!</v>
      </c>
      <c r="GB345" t="e">
        <f>AND(#REF!,"AAAAADr/d7c=")</f>
        <v>#REF!</v>
      </c>
      <c r="GC345" t="e">
        <f>AND(#REF!,"AAAAADr/d7g=")</f>
        <v>#REF!</v>
      </c>
      <c r="GD345" t="e">
        <f>AND(#REF!,"AAAAADr/d7k=")</f>
        <v>#REF!</v>
      </c>
      <c r="GE345" t="e">
        <f>AND(#REF!,"AAAAADr/d7o=")</f>
        <v>#REF!</v>
      </c>
      <c r="GF345" t="e">
        <f>AND(#REF!,"AAAAADr/d7s=")</f>
        <v>#REF!</v>
      </c>
      <c r="GG345" t="e">
        <f>AND(#REF!,"AAAAADr/d7w=")</f>
        <v>#REF!</v>
      </c>
      <c r="GH345" t="e">
        <f>AND(#REF!,"AAAAADr/d70=")</f>
        <v>#REF!</v>
      </c>
      <c r="GI345" t="e">
        <f>AND(#REF!,"AAAAADr/d74=")</f>
        <v>#REF!</v>
      </c>
      <c r="GJ345" t="e">
        <f>AND(#REF!,"AAAAADr/d78=")</f>
        <v>#REF!</v>
      </c>
      <c r="GK345" t="e">
        <f>AND(#REF!,"AAAAADr/d8A=")</f>
        <v>#REF!</v>
      </c>
      <c r="GL345" t="e">
        <f>AND(#REF!,"AAAAADr/d8E=")</f>
        <v>#REF!</v>
      </c>
      <c r="GM345" t="e">
        <f>AND(#REF!,"AAAAADr/d8I=")</f>
        <v>#REF!</v>
      </c>
      <c r="GN345" t="e">
        <f>AND(#REF!,"AAAAADr/d8M=")</f>
        <v>#REF!</v>
      </c>
      <c r="GO345" t="e">
        <f>IF(#REF!,"AAAAADr/d8Q=",0)</f>
        <v>#REF!</v>
      </c>
      <c r="GP345" t="e">
        <f>AND(#REF!,"AAAAADr/d8U=")</f>
        <v>#REF!</v>
      </c>
      <c r="GQ345" t="e">
        <f>AND(#REF!,"AAAAADr/d8Y=")</f>
        <v>#REF!</v>
      </c>
      <c r="GR345" t="e">
        <f>AND(#REF!,"AAAAADr/d8c=")</f>
        <v>#REF!</v>
      </c>
      <c r="GS345" t="e">
        <f>AND(#REF!,"AAAAADr/d8g=")</f>
        <v>#REF!</v>
      </c>
      <c r="GT345" t="e">
        <f>AND(#REF!,"AAAAADr/d8k=")</f>
        <v>#REF!</v>
      </c>
      <c r="GU345" t="e">
        <f>AND(#REF!,"AAAAADr/d8o=")</f>
        <v>#REF!</v>
      </c>
      <c r="GV345" t="e">
        <f>AND(#REF!,"AAAAADr/d8s=")</f>
        <v>#REF!</v>
      </c>
      <c r="GW345" t="e">
        <f>AND(#REF!,"AAAAADr/d8w=")</f>
        <v>#REF!</v>
      </c>
      <c r="GX345" t="e">
        <f>AND(#REF!,"AAAAADr/d80=")</f>
        <v>#REF!</v>
      </c>
      <c r="GY345" t="e">
        <f>AND(#REF!,"AAAAADr/d84=")</f>
        <v>#REF!</v>
      </c>
      <c r="GZ345" t="e">
        <f>AND(#REF!,"AAAAADr/d88=")</f>
        <v>#REF!</v>
      </c>
      <c r="HA345" t="e">
        <f>AND(#REF!,"AAAAADr/d9A=")</f>
        <v>#REF!</v>
      </c>
      <c r="HB345" t="e">
        <f>AND(#REF!,"AAAAADr/d9E=")</f>
        <v>#REF!</v>
      </c>
      <c r="HC345" t="e">
        <f>AND(#REF!,"AAAAADr/d9I=")</f>
        <v>#REF!</v>
      </c>
      <c r="HD345" t="e">
        <f>AND(#REF!,"AAAAADr/d9M=")</f>
        <v>#REF!</v>
      </c>
      <c r="HE345" t="e">
        <f>AND(#REF!,"AAAAADr/d9Q=")</f>
        <v>#REF!</v>
      </c>
      <c r="HF345" t="e">
        <f>AND(#REF!,"AAAAADr/d9U=")</f>
        <v>#REF!</v>
      </c>
      <c r="HG345" t="e">
        <f>AND(#REF!,"AAAAADr/d9Y=")</f>
        <v>#REF!</v>
      </c>
      <c r="HH345" t="e">
        <f>AND(#REF!,"AAAAADr/d9c=")</f>
        <v>#REF!</v>
      </c>
      <c r="HI345" t="e">
        <f>AND(#REF!,"AAAAADr/d9g=")</f>
        <v>#REF!</v>
      </c>
      <c r="HJ345" t="e">
        <f>AND(#REF!,"AAAAADr/d9k=")</f>
        <v>#REF!</v>
      </c>
      <c r="HK345" t="e">
        <f>AND(#REF!,"AAAAADr/d9o=")</f>
        <v>#REF!</v>
      </c>
      <c r="HL345" t="e">
        <f>AND(#REF!,"AAAAADr/d9s=")</f>
        <v>#REF!</v>
      </c>
      <c r="HM345" t="e">
        <f>AND(#REF!,"AAAAADr/d9w=")</f>
        <v>#REF!</v>
      </c>
      <c r="HN345" t="e">
        <f>IF(#REF!,"AAAAADr/d90=",0)</f>
        <v>#REF!</v>
      </c>
      <c r="HO345" t="e">
        <f>AND(#REF!,"AAAAADr/d94=")</f>
        <v>#REF!</v>
      </c>
      <c r="HP345" t="e">
        <f>AND(#REF!,"AAAAADr/d98=")</f>
        <v>#REF!</v>
      </c>
      <c r="HQ345" t="e">
        <f>AND(#REF!,"AAAAADr/d+A=")</f>
        <v>#REF!</v>
      </c>
      <c r="HR345" t="e">
        <f>AND(#REF!,"AAAAADr/d+E=")</f>
        <v>#REF!</v>
      </c>
      <c r="HS345" t="e">
        <f>AND(#REF!,"AAAAADr/d+I=")</f>
        <v>#REF!</v>
      </c>
      <c r="HT345" t="e">
        <f>AND(#REF!,"AAAAADr/d+M=")</f>
        <v>#REF!</v>
      </c>
      <c r="HU345" t="e">
        <f>AND(#REF!,"AAAAADr/d+Q=")</f>
        <v>#REF!</v>
      </c>
      <c r="HV345" t="e">
        <f>AND(#REF!,"AAAAADr/d+U=")</f>
        <v>#REF!</v>
      </c>
      <c r="HW345" t="e">
        <f>AND(#REF!,"AAAAADr/d+Y=")</f>
        <v>#REF!</v>
      </c>
      <c r="HX345" t="e">
        <f>AND(#REF!,"AAAAADr/d+c=")</f>
        <v>#REF!</v>
      </c>
      <c r="HY345" t="e">
        <f>AND(#REF!,"AAAAADr/d+g=")</f>
        <v>#REF!</v>
      </c>
      <c r="HZ345" t="e">
        <f>AND(#REF!,"AAAAADr/d+k=")</f>
        <v>#REF!</v>
      </c>
      <c r="IA345" t="e">
        <f>AND(#REF!,"AAAAADr/d+o=")</f>
        <v>#REF!</v>
      </c>
      <c r="IB345" t="e">
        <f>AND(#REF!,"AAAAADr/d+s=")</f>
        <v>#REF!</v>
      </c>
      <c r="IC345" t="e">
        <f>AND(#REF!,"AAAAADr/d+w=")</f>
        <v>#REF!</v>
      </c>
      <c r="ID345" t="e">
        <f>AND(#REF!,"AAAAADr/d+0=")</f>
        <v>#REF!</v>
      </c>
      <c r="IE345" t="e">
        <f>AND(#REF!,"AAAAADr/d+4=")</f>
        <v>#REF!</v>
      </c>
      <c r="IF345" t="e">
        <f>AND(#REF!,"AAAAADr/d+8=")</f>
        <v>#REF!</v>
      </c>
      <c r="IG345" t="e">
        <f>AND(#REF!,"AAAAADr/d/A=")</f>
        <v>#REF!</v>
      </c>
      <c r="IH345" t="e">
        <f>AND(#REF!,"AAAAADr/d/E=")</f>
        <v>#REF!</v>
      </c>
      <c r="II345" t="e">
        <f>AND(#REF!,"AAAAADr/d/I=")</f>
        <v>#REF!</v>
      </c>
      <c r="IJ345" t="e">
        <f>AND(#REF!,"AAAAADr/d/M=")</f>
        <v>#REF!</v>
      </c>
      <c r="IK345" t="e">
        <f>AND(#REF!,"AAAAADr/d/Q=")</f>
        <v>#REF!</v>
      </c>
      <c r="IL345" t="e">
        <f>AND(#REF!,"AAAAADr/d/U=")</f>
        <v>#REF!</v>
      </c>
      <c r="IM345" t="e">
        <f>IF(#REF!,"AAAAADr/d/Y=",0)</f>
        <v>#REF!</v>
      </c>
      <c r="IN345" t="e">
        <f>AND(#REF!,"AAAAADr/d/c=")</f>
        <v>#REF!</v>
      </c>
      <c r="IO345" t="e">
        <f>AND(#REF!,"AAAAADr/d/g=")</f>
        <v>#REF!</v>
      </c>
      <c r="IP345" t="e">
        <f>AND(#REF!,"AAAAADr/d/k=")</f>
        <v>#REF!</v>
      </c>
      <c r="IQ345" t="e">
        <f>AND(#REF!,"AAAAADr/d/o=")</f>
        <v>#REF!</v>
      </c>
      <c r="IR345" t="e">
        <f>AND(#REF!,"AAAAADr/d/s=")</f>
        <v>#REF!</v>
      </c>
      <c r="IS345" t="e">
        <f>AND(#REF!,"AAAAADr/d/w=")</f>
        <v>#REF!</v>
      </c>
      <c r="IT345" t="e">
        <f>AND(#REF!,"AAAAADr/d/0=")</f>
        <v>#REF!</v>
      </c>
      <c r="IU345" t="e">
        <f>AND(#REF!,"AAAAADr/d/4=")</f>
        <v>#REF!</v>
      </c>
      <c r="IV345" t="e">
        <f>AND(#REF!,"AAAAADr/d/8=")</f>
        <v>#REF!</v>
      </c>
    </row>
    <row r="346" spans="1:256">
      <c r="A346" t="e">
        <f>AND(#REF!,"AAAAAHz3fAA=")</f>
        <v>#REF!</v>
      </c>
      <c r="B346" t="e">
        <f>AND(#REF!,"AAAAAHz3fAE=")</f>
        <v>#REF!</v>
      </c>
      <c r="C346" t="e">
        <f>AND(#REF!,"AAAAAHz3fAI=")</f>
        <v>#REF!</v>
      </c>
      <c r="D346" t="e">
        <f>AND(#REF!,"AAAAAHz3fAM=")</f>
        <v>#REF!</v>
      </c>
      <c r="E346" t="e">
        <f>AND(#REF!,"AAAAAHz3fAQ=")</f>
        <v>#REF!</v>
      </c>
      <c r="F346" t="e">
        <f>AND(#REF!,"AAAAAHz3fAU=")</f>
        <v>#REF!</v>
      </c>
      <c r="G346" t="e">
        <f>AND(#REF!,"AAAAAHz3fAY=")</f>
        <v>#REF!</v>
      </c>
      <c r="H346" t="e">
        <f>AND(#REF!,"AAAAAHz3fAc=")</f>
        <v>#REF!</v>
      </c>
      <c r="I346" t="e">
        <f>AND(#REF!,"AAAAAHz3fAg=")</f>
        <v>#REF!</v>
      </c>
      <c r="J346" t="e">
        <f>AND(#REF!,"AAAAAHz3fAk=")</f>
        <v>#REF!</v>
      </c>
      <c r="K346" t="e">
        <f>AND(#REF!,"AAAAAHz3fAo=")</f>
        <v>#REF!</v>
      </c>
      <c r="L346" t="e">
        <f>AND(#REF!,"AAAAAHz3fAs=")</f>
        <v>#REF!</v>
      </c>
      <c r="M346" t="e">
        <f>AND(#REF!,"AAAAAHz3fAw=")</f>
        <v>#REF!</v>
      </c>
      <c r="N346" t="e">
        <f>AND(#REF!,"AAAAAHz3fA0=")</f>
        <v>#REF!</v>
      </c>
      <c r="O346" t="e">
        <f>AND(#REF!,"AAAAAHz3fA4=")</f>
        <v>#REF!</v>
      </c>
      <c r="P346" t="e">
        <f>IF(#REF!,"AAAAAHz3fA8=",0)</f>
        <v>#REF!</v>
      </c>
      <c r="Q346" t="e">
        <f>AND(#REF!,"AAAAAHz3fBA=")</f>
        <v>#REF!</v>
      </c>
      <c r="R346" t="e">
        <f>AND(#REF!,"AAAAAHz3fBE=")</f>
        <v>#REF!</v>
      </c>
      <c r="S346" t="e">
        <f>AND(#REF!,"AAAAAHz3fBI=")</f>
        <v>#REF!</v>
      </c>
      <c r="T346" t="e">
        <f>AND(#REF!,"AAAAAHz3fBM=")</f>
        <v>#REF!</v>
      </c>
      <c r="U346" t="e">
        <f>AND(#REF!,"AAAAAHz3fBQ=")</f>
        <v>#REF!</v>
      </c>
      <c r="V346" t="e">
        <f>AND(#REF!,"AAAAAHz3fBU=")</f>
        <v>#REF!</v>
      </c>
      <c r="W346" t="e">
        <f>AND(#REF!,"AAAAAHz3fBY=")</f>
        <v>#REF!</v>
      </c>
      <c r="X346" t="e">
        <f>AND(#REF!,"AAAAAHz3fBc=")</f>
        <v>#REF!</v>
      </c>
      <c r="Y346" t="e">
        <f>AND(#REF!,"AAAAAHz3fBg=")</f>
        <v>#REF!</v>
      </c>
      <c r="Z346" t="e">
        <f>AND(#REF!,"AAAAAHz3fBk=")</f>
        <v>#REF!</v>
      </c>
      <c r="AA346" t="e">
        <f>AND(#REF!,"AAAAAHz3fBo=")</f>
        <v>#REF!</v>
      </c>
      <c r="AB346" t="e">
        <f>AND(#REF!,"AAAAAHz3fBs=")</f>
        <v>#REF!</v>
      </c>
      <c r="AC346" t="e">
        <f>AND(#REF!,"AAAAAHz3fBw=")</f>
        <v>#REF!</v>
      </c>
      <c r="AD346" t="e">
        <f>AND(#REF!,"AAAAAHz3fB0=")</f>
        <v>#REF!</v>
      </c>
      <c r="AE346" t="e">
        <f>AND(#REF!,"AAAAAHz3fB4=")</f>
        <v>#REF!</v>
      </c>
      <c r="AF346" t="e">
        <f>AND(#REF!,"AAAAAHz3fB8=")</f>
        <v>#REF!</v>
      </c>
      <c r="AG346" t="e">
        <f>AND(#REF!,"AAAAAHz3fCA=")</f>
        <v>#REF!</v>
      </c>
      <c r="AH346" t="e">
        <f>AND(#REF!,"AAAAAHz3fCE=")</f>
        <v>#REF!</v>
      </c>
      <c r="AI346" t="e">
        <f>AND(#REF!,"AAAAAHz3fCI=")</f>
        <v>#REF!</v>
      </c>
      <c r="AJ346" t="e">
        <f>AND(#REF!,"AAAAAHz3fCM=")</f>
        <v>#REF!</v>
      </c>
      <c r="AK346" t="e">
        <f>AND(#REF!,"AAAAAHz3fCQ=")</f>
        <v>#REF!</v>
      </c>
      <c r="AL346" t="e">
        <f>AND(#REF!,"AAAAAHz3fCU=")</f>
        <v>#REF!</v>
      </c>
      <c r="AM346" t="e">
        <f>AND(#REF!,"AAAAAHz3fCY=")</f>
        <v>#REF!</v>
      </c>
      <c r="AN346" t="e">
        <f>AND(#REF!,"AAAAAHz3fCc=")</f>
        <v>#REF!</v>
      </c>
      <c r="AO346" t="e">
        <f>IF(#REF!,"AAAAAHz3fCg=",0)</f>
        <v>#REF!</v>
      </c>
      <c r="AP346" t="e">
        <f>AND(#REF!,"AAAAAHz3fCk=")</f>
        <v>#REF!</v>
      </c>
      <c r="AQ346" t="e">
        <f>AND(#REF!,"AAAAAHz3fCo=")</f>
        <v>#REF!</v>
      </c>
      <c r="AR346" t="e">
        <f>AND(#REF!,"AAAAAHz3fCs=")</f>
        <v>#REF!</v>
      </c>
      <c r="AS346" t="e">
        <f>AND(#REF!,"AAAAAHz3fCw=")</f>
        <v>#REF!</v>
      </c>
      <c r="AT346" t="e">
        <f>AND(#REF!,"AAAAAHz3fC0=")</f>
        <v>#REF!</v>
      </c>
      <c r="AU346" t="e">
        <f>AND(#REF!,"AAAAAHz3fC4=")</f>
        <v>#REF!</v>
      </c>
      <c r="AV346" t="e">
        <f>AND(#REF!,"AAAAAHz3fC8=")</f>
        <v>#REF!</v>
      </c>
      <c r="AW346" t="e">
        <f>AND(#REF!,"AAAAAHz3fDA=")</f>
        <v>#REF!</v>
      </c>
      <c r="AX346" t="e">
        <f>AND(#REF!,"AAAAAHz3fDE=")</f>
        <v>#REF!</v>
      </c>
      <c r="AY346" t="e">
        <f>AND(#REF!,"AAAAAHz3fDI=")</f>
        <v>#REF!</v>
      </c>
      <c r="AZ346" t="e">
        <f>AND(#REF!,"AAAAAHz3fDM=")</f>
        <v>#REF!</v>
      </c>
      <c r="BA346" t="e">
        <f>AND(#REF!,"AAAAAHz3fDQ=")</f>
        <v>#REF!</v>
      </c>
      <c r="BB346" t="e">
        <f>AND(#REF!,"AAAAAHz3fDU=")</f>
        <v>#REF!</v>
      </c>
      <c r="BC346" t="e">
        <f>AND(#REF!,"AAAAAHz3fDY=")</f>
        <v>#REF!</v>
      </c>
      <c r="BD346" t="e">
        <f>AND(#REF!,"AAAAAHz3fDc=")</f>
        <v>#REF!</v>
      </c>
      <c r="BE346" t="e">
        <f>AND(#REF!,"AAAAAHz3fDg=")</f>
        <v>#REF!</v>
      </c>
      <c r="BF346" t="e">
        <f>AND(#REF!,"AAAAAHz3fDk=")</f>
        <v>#REF!</v>
      </c>
      <c r="BG346" t="e">
        <f>AND(#REF!,"AAAAAHz3fDo=")</f>
        <v>#REF!</v>
      </c>
      <c r="BH346" t="e">
        <f>AND(#REF!,"AAAAAHz3fDs=")</f>
        <v>#REF!</v>
      </c>
      <c r="BI346" t="e">
        <f>AND(#REF!,"AAAAAHz3fDw=")</f>
        <v>#REF!</v>
      </c>
      <c r="BJ346" t="e">
        <f>AND(#REF!,"AAAAAHz3fD0=")</f>
        <v>#REF!</v>
      </c>
      <c r="BK346" t="e">
        <f>AND(#REF!,"AAAAAHz3fD4=")</f>
        <v>#REF!</v>
      </c>
      <c r="BL346" t="e">
        <f>AND(#REF!,"AAAAAHz3fD8=")</f>
        <v>#REF!</v>
      </c>
      <c r="BM346" t="e">
        <f>AND(#REF!,"AAAAAHz3fEA=")</f>
        <v>#REF!</v>
      </c>
      <c r="BN346" t="e">
        <f>IF(#REF!,"AAAAAHz3fEE=",0)</f>
        <v>#REF!</v>
      </c>
      <c r="BO346" t="e">
        <f>AND(#REF!,"AAAAAHz3fEI=")</f>
        <v>#REF!</v>
      </c>
      <c r="BP346" t="e">
        <f>AND(#REF!,"AAAAAHz3fEM=")</f>
        <v>#REF!</v>
      </c>
      <c r="BQ346" t="e">
        <f>AND(#REF!,"AAAAAHz3fEQ=")</f>
        <v>#REF!</v>
      </c>
      <c r="BR346" t="e">
        <f>AND(#REF!,"AAAAAHz3fEU=")</f>
        <v>#REF!</v>
      </c>
      <c r="BS346" t="e">
        <f>AND(#REF!,"AAAAAHz3fEY=")</f>
        <v>#REF!</v>
      </c>
      <c r="BT346" t="e">
        <f>AND(#REF!,"AAAAAHz3fEc=")</f>
        <v>#REF!</v>
      </c>
      <c r="BU346" t="e">
        <f>AND(#REF!,"AAAAAHz3fEg=")</f>
        <v>#REF!</v>
      </c>
      <c r="BV346" t="e">
        <f>AND(#REF!,"AAAAAHz3fEk=")</f>
        <v>#REF!</v>
      </c>
      <c r="BW346" t="e">
        <f>AND(#REF!,"AAAAAHz3fEo=")</f>
        <v>#REF!</v>
      </c>
      <c r="BX346" t="e">
        <f>AND(#REF!,"AAAAAHz3fEs=")</f>
        <v>#REF!</v>
      </c>
      <c r="BY346" t="e">
        <f>AND(#REF!,"AAAAAHz3fEw=")</f>
        <v>#REF!</v>
      </c>
      <c r="BZ346" t="e">
        <f>AND(#REF!,"AAAAAHz3fE0=")</f>
        <v>#REF!</v>
      </c>
      <c r="CA346" t="e">
        <f>AND(#REF!,"AAAAAHz3fE4=")</f>
        <v>#REF!</v>
      </c>
      <c r="CB346" t="e">
        <f>AND(#REF!,"AAAAAHz3fE8=")</f>
        <v>#REF!</v>
      </c>
      <c r="CC346" t="e">
        <f>AND(#REF!,"AAAAAHz3fFA=")</f>
        <v>#REF!</v>
      </c>
      <c r="CD346" t="e">
        <f>AND(#REF!,"AAAAAHz3fFE=")</f>
        <v>#REF!</v>
      </c>
      <c r="CE346" t="e">
        <f>AND(#REF!,"AAAAAHz3fFI=")</f>
        <v>#REF!</v>
      </c>
      <c r="CF346" t="e">
        <f>AND(#REF!,"AAAAAHz3fFM=")</f>
        <v>#REF!</v>
      </c>
      <c r="CG346" t="e">
        <f>AND(#REF!,"AAAAAHz3fFQ=")</f>
        <v>#REF!</v>
      </c>
      <c r="CH346" t="e">
        <f>AND(#REF!,"AAAAAHz3fFU=")</f>
        <v>#REF!</v>
      </c>
      <c r="CI346" t="e">
        <f>AND(#REF!,"AAAAAHz3fFY=")</f>
        <v>#REF!</v>
      </c>
      <c r="CJ346" t="e">
        <f>AND(#REF!,"AAAAAHz3fFc=")</f>
        <v>#REF!</v>
      </c>
      <c r="CK346" t="e">
        <f>AND(#REF!,"AAAAAHz3fFg=")</f>
        <v>#REF!</v>
      </c>
      <c r="CL346" t="e">
        <f>AND(#REF!,"AAAAAHz3fFk=")</f>
        <v>#REF!</v>
      </c>
      <c r="CM346" t="e">
        <f>IF(#REF!,"AAAAAHz3fFo=",0)</f>
        <v>#REF!</v>
      </c>
      <c r="CN346" t="e">
        <f>AND(#REF!,"AAAAAHz3fFs=")</f>
        <v>#REF!</v>
      </c>
      <c r="CO346" t="e">
        <f>AND(#REF!,"AAAAAHz3fFw=")</f>
        <v>#REF!</v>
      </c>
      <c r="CP346" t="e">
        <f>AND(#REF!,"AAAAAHz3fF0=")</f>
        <v>#REF!</v>
      </c>
      <c r="CQ346" t="e">
        <f>AND(#REF!,"AAAAAHz3fF4=")</f>
        <v>#REF!</v>
      </c>
      <c r="CR346" t="e">
        <f>AND(#REF!,"AAAAAHz3fF8=")</f>
        <v>#REF!</v>
      </c>
      <c r="CS346" t="e">
        <f>AND(#REF!,"AAAAAHz3fGA=")</f>
        <v>#REF!</v>
      </c>
      <c r="CT346" t="e">
        <f>AND(#REF!,"AAAAAHz3fGE=")</f>
        <v>#REF!</v>
      </c>
      <c r="CU346" t="e">
        <f>AND(#REF!,"AAAAAHz3fGI=")</f>
        <v>#REF!</v>
      </c>
      <c r="CV346" t="e">
        <f>AND(#REF!,"AAAAAHz3fGM=")</f>
        <v>#REF!</v>
      </c>
      <c r="CW346" t="e">
        <f>AND(#REF!,"AAAAAHz3fGQ=")</f>
        <v>#REF!</v>
      </c>
      <c r="CX346" t="e">
        <f>AND(#REF!,"AAAAAHz3fGU=")</f>
        <v>#REF!</v>
      </c>
      <c r="CY346" t="e">
        <f>AND(#REF!,"AAAAAHz3fGY=")</f>
        <v>#REF!</v>
      </c>
      <c r="CZ346" t="e">
        <f>AND(#REF!,"AAAAAHz3fGc=")</f>
        <v>#REF!</v>
      </c>
      <c r="DA346" t="e">
        <f>AND(#REF!,"AAAAAHz3fGg=")</f>
        <v>#REF!</v>
      </c>
      <c r="DB346" t="e">
        <f>AND(#REF!,"AAAAAHz3fGk=")</f>
        <v>#REF!</v>
      </c>
      <c r="DC346" t="e">
        <f>AND(#REF!,"AAAAAHz3fGo=")</f>
        <v>#REF!</v>
      </c>
      <c r="DD346" t="e">
        <f>AND(#REF!,"AAAAAHz3fGs=")</f>
        <v>#REF!</v>
      </c>
      <c r="DE346" t="e">
        <f>AND(#REF!,"AAAAAHz3fGw=")</f>
        <v>#REF!</v>
      </c>
      <c r="DF346" t="e">
        <f>AND(#REF!,"AAAAAHz3fG0=")</f>
        <v>#REF!</v>
      </c>
      <c r="DG346" t="e">
        <f>AND(#REF!,"AAAAAHz3fG4=")</f>
        <v>#REF!</v>
      </c>
      <c r="DH346" t="e">
        <f>AND(#REF!,"AAAAAHz3fG8=")</f>
        <v>#REF!</v>
      </c>
      <c r="DI346" t="e">
        <f>AND(#REF!,"AAAAAHz3fHA=")</f>
        <v>#REF!</v>
      </c>
      <c r="DJ346" t="e">
        <f>AND(#REF!,"AAAAAHz3fHE=")</f>
        <v>#REF!</v>
      </c>
      <c r="DK346" t="e">
        <f>AND(#REF!,"AAAAAHz3fHI=")</f>
        <v>#REF!</v>
      </c>
      <c r="DL346" t="e">
        <f>IF(#REF!,"AAAAAHz3fHM=",0)</f>
        <v>#REF!</v>
      </c>
      <c r="DM346" t="e">
        <f>AND(#REF!,"AAAAAHz3fHQ=")</f>
        <v>#REF!</v>
      </c>
      <c r="DN346" t="e">
        <f>AND(#REF!,"AAAAAHz3fHU=")</f>
        <v>#REF!</v>
      </c>
      <c r="DO346" t="e">
        <f>AND(#REF!,"AAAAAHz3fHY=")</f>
        <v>#REF!</v>
      </c>
      <c r="DP346" t="e">
        <f>AND(#REF!,"AAAAAHz3fHc=")</f>
        <v>#REF!</v>
      </c>
      <c r="DQ346" t="e">
        <f>AND(#REF!,"AAAAAHz3fHg=")</f>
        <v>#REF!</v>
      </c>
      <c r="DR346" t="e">
        <f>AND(#REF!,"AAAAAHz3fHk=")</f>
        <v>#REF!</v>
      </c>
      <c r="DS346" t="e">
        <f>AND(#REF!,"AAAAAHz3fHo=")</f>
        <v>#REF!</v>
      </c>
      <c r="DT346" t="e">
        <f>AND(#REF!,"AAAAAHz3fHs=")</f>
        <v>#REF!</v>
      </c>
      <c r="DU346" t="e">
        <f>AND(#REF!,"AAAAAHz3fHw=")</f>
        <v>#REF!</v>
      </c>
      <c r="DV346" t="e">
        <f>AND(#REF!,"AAAAAHz3fH0=")</f>
        <v>#REF!</v>
      </c>
      <c r="DW346" t="e">
        <f>AND(#REF!,"AAAAAHz3fH4=")</f>
        <v>#REF!</v>
      </c>
      <c r="DX346" t="e">
        <f>AND(#REF!,"AAAAAHz3fH8=")</f>
        <v>#REF!</v>
      </c>
      <c r="DY346" t="e">
        <f>AND(#REF!,"AAAAAHz3fIA=")</f>
        <v>#REF!</v>
      </c>
      <c r="DZ346" t="e">
        <f>AND(#REF!,"AAAAAHz3fIE=")</f>
        <v>#REF!</v>
      </c>
      <c r="EA346" t="e">
        <f>AND(#REF!,"AAAAAHz3fII=")</f>
        <v>#REF!</v>
      </c>
      <c r="EB346" t="e">
        <f>AND(#REF!,"AAAAAHz3fIM=")</f>
        <v>#REF!</v>
      </c>
      <c r="EC346" t="e">
        <f>AND(#REF!,"AAAAAHz3fIQ=")</f>
        <v>#REF!</v>
      </c>
      <c r="ED346" t="e">
        <f>AND(#REF!,"AAAAAHz3fIU=")</f>
        <v>#REF!</v>
      </c>
      <c r="EE346" t="e">
        <f>AND(#REF!,"AAAAAHz3fIY=")</f>
        <v>#REF!</v>
      </c>
      <c r="EF346" t="e">
        <f>AND(#REF!,"AAAAAHz3fIc=")</f>
        <v>#REF!</v>
      </c>
      <c r="EG346" t="e">
        <f>AND(#REF!,"AAAAAHz3fIg=")</f>
        <v>#REF!</v>
      </c>
      <c r="EH346" t="e">
        <f>AND(#REF!,"AAAAAHz3fIk=")</f>
        <v>#REF!</v>
      </c>
      <c r="EI346" t="e">
        <f>AND(#REF!,"AAAAAHz3fIo=")</f>
        <v>#REF!</v>
      </c>
      <c r="EJ346" t="e">
        <f>AND(#REF!,"AAAAAHz3fIs=")</f>
        <v>#REF!</v>
      </c>
      <c r="EK346" t="e">
        <f>IF(#REF!,"AAAAAHz3fIw=",0)</f>
        <v>#REF!</v>
      </c>
      <c r="EL346" t="e">
        <f>AND(#REF!,"AAAAAHz3fI0=")</f>
        <v>#REF!</v>
      </c>
      <c r="EM346" t="e">
        <f>AND(#REF!,"AAAAAHz3fI4=")</f>
        <v>#REF!</v>
      </c>
      <c r="EN346" t="e">
        <f>AND(#REF!,"AAAAAHz3fI8=")</f>
        <v>#REF!</v>
      </c>
      <c r="EO346" t="e">
        <f>AND(#REF!,"AAAAAHz3fJA=")</f>
        <v>#REF!</v>
      </c>
      <c r="EP346" t="e">
        <f>AND(#REF!,"AAAAAHz3fJE=")</f>
        <v>#REF!</v>
      </c>
      <c r="EQ346" t="e">
        <f>AND(#REF!,"AAAAAHz3fJI=")</f>
        <v>#REF!</v>
      </c>
      <c r="ER346" t="e">
        <f>AND(#REF!,"AAAAAHz3fJM=")</f>
        <v>#REF!</v>
      </c>
      <c r="ES346" t="e">
        <f>AND(#REF!,"AAAAAHz3fJQ=")</f>
        <v>#REF!</v>
      </c>
      <c r="ET346" t="e">
        <f>AND(#REF!,"AAAAAHz3fJU=")</f>
        <v>#REF!</v>
      </c>
      <c r="EU346" t="e">
        <f>AND(#REF!,"AAAAAHz3fJY=")</f>
        <v>#REF!</v>
      </c>
      <c r="EV346" t="e">
        <f>AND(#REF!,"AAAAAHz3fJc=")</f>
        <v>#REF!</v>
      </c>
      <c r="EW346" t="e">
        <f>AND(#REF!,"AAAAAHz3fJg=")</f>
        <v>#REF!</v>
      </c>
      <c r="EX346" t="e">
        <f>AND(#REF!,"AAAAAHz3fJk=")</f>
        <v>#REF!</v>
      </c>
      <c r="EY346" t="e">
        <f>AND(#REF!,"AAAAAHz3fJo=")</f>
        <v>#REF!</v>
      </c>
      <c r="EZ346" t="e">
        <f>AND(#REF!,"AAAAAHz3fJs=")</f>
        <v>#REF!</v>
      </c>
      <c r="FA346" t="e">
        <f>AND(#REF!,"AAAAAHz3fJw=")</f>
        <v>#REF!</v>
      </c>
      <c r="FB346" t="e">
        <f>AND(#REF!,"AAAAAHz3fJ0=")</f>
        <v>#REF!</v>
      </c>
      <c r="FC346" t="e">
        <f>AND(#REF!,"AAAAAHz3fJ4=")</f>
        <v>#REF!</v>
      </c>
      <c r="FD346" t="e">
        <f>AND(#REF!,"AAAAAHz3fJ8=")</f>
        <v>#REF!</v>
      </c>
      <c r="FE346" t="e">
        <f>AND(#REF!,"AAAAAHz3fKA=")</f>
        <v>#REF!</v>
      </c>
      <c r="FF346" t="e">
        <f>AND(#REF!,"AAAAAHz3fKE=")</f>
        <v>#REF!</v>
      </c>
      <c r="FG346" t="e">
        <f>AND(#REF!,"AAAAAHz3fKI=")</f>
        <v>#REF!</v>
      </c>
      <c r="FH346" t="e">
        <f>AND(#REF!,"AAAAAHz3fKM=")</f>
        <v>#REF!</v>
      </c>
      <c r="FI346" t="e">
        <f>AND(#REF!,"AAAAAHz3fKQ=")</f>
        <v>#REF!</v>
      </c>
      <c r="FJ346" t="e">
        <f>IF(#REF!,"AAAAAHz3fKU=",0)</f>
        <v>#REF!</v>
      </c>
      <c r="FK346" t="e">
        <f>AND(#REF!,"AAAAAHz3fKY=")</f>
        <v>#REF!</v>
      </c>
      <c r="FL346" t="e">
        <f>AND(#REF!,"AAAAAHz3fKc=")</f>
        <v>#REF!</v>
      </c>
      <c r="FM346" t="e">
        <f>AND(#REF!,"AAAAAHz3fKg=")</f>
        <v>#REF!</v>
      </c>
      <c r="FN346" t="e">
        <f>AND(#REF!,"AAAAAHz3fKk=")</f>
        <v>#REF!</v>
      </c>
      <c r="FO346" t="e">
        <f>AND(#REF!,"AAAAAHz3fKo=")</f>
        <v>#REF!</v>
      </c>
      <c r="FP346" t="e">
        <f>AND(#REF!,"AAAAAHz3fKs=")</f>
        <v>#REF!</v>
      </c>
      <c r="FQ346" t="e">
        <f>AND(#REF!,"AAAAAHz3fKw=")</f>
        <v>#REF!</v>
      </c>
      <c r="FR346" t="e">
        <f>AND(#REF!,"AAAAAHz3fK0=")</f>
        <v>#REF!</v>
      </c>
      <c r="FS346" t="e">
        <f>AND(#REF!,"AAAAAHz3fK4=")</f>
        <v>#REF!</v>
      </c>
      <c r="FT346" t="e">
        <f>AND(#REF!,"AAAAAHz3fK8=")</f>
        <v>#REF!</v>
      </c>
      <c r="FU346" t="e">
        <f>AND(#REF!,"AAAAAHz3fLA=")</f>
        <v>#REF!</v>
      </c>
      <c r="FV346" t="e">
        <f>AND(#REF!,"AAAAAHz3fLE=")</f>
        <v>#REF!</v>
      </c>
      <c r="FW346" t="e">
        <f>AND(#REF!,"AAAAAHz3fLI=")</f>
        <v>#REF!</v>
      </c>
      <c r="FX346" t="e">
        <f>AND(#REF!,"AAAAAHz3fLM=")</f>
        <v>#REF!</v>
      </c>
      <c r="FY346" t="e">
        <f>AND(#REF!,"AAAAAHz3fLQ=")</f>
        <v>#REF!</v>
      </c>
      <c r="FZ346" t="e">
        <f>AND(#REF!,"AAAAAHz3fLU=")</f>
        <v>#REF!</v>
      </c>
      <c r="GA346" t="e">
        <f>AND(#REF!,"AAAAAHz3fLY=")</f>
        <v>#REF!</v>
      </c>
      <c r="GB346" t="e">
        <f>AND(#REF!,"AAAAAHz3fLc=")</f>
        <v>#REF!</v>
      </c>
      <c r="GC346" t="e">
        <f>AND(#REF!,"AAAAAHz3fLg=")</f>
        <v>#REF!</v>
      </c>
      <c r="GD346" t="e">
        <f>AND(#REF!,"AAAAAHz3fLk=")</f>
        <v>#REF!</v>
      </c>
      <c r="GE346" t="e">
        <f>AND(#REF!,"AAAAAHz3fLo=")</f>
        <v>#REF!</v>
      </c>
      <c r="GF346" t="e">
        <f>AND(#REF!,"AAAAAHz3fLs=")</f>
        <v>#REF!</v>
      </c>
      <c r="GG346" t="e">
        <f>AND(#REF!,"AAAAAHz3fLw=")</f>
        <v>#REF!</v>
      </c>
      <c r="GH346" t="e">
        <f>AND(#REF!,"AAAAAHz3fL0=")</f>
        <v>#REF!</v>
      </c>
      <c r="GI346" t="e">
        <f>IF(#REF!,"AAAAAHz3fL4=",0)</f>
        <v>#REF!</v>
      </c>
      <c r="GJ346" t="e">
        <f>AND(#REF!,"AAAAAHz3fL8=")</f>
        <v>#REF!</v>
      </c>
      <c r="GK346" t="e">
        <f>AND(#REF!,"AAAAAHz3fMA=")</f>
        <v>#REF!</v>
      </c>
      <c r="GL346" t="e">
        <f>AND(#REF!,"AAAAAHz3fME=")</f>
        <v>#REF!</v>
      </c>
      <c r="GM346" t="e">
        <f>AND(#REF!,"AAAAAHz3fMI=")</f>
        <v>#REF!</v>
      </c>
      <c r="GN346" t="e">
        <f>AND(#REF!,"AAAAAHz3fMM=")</f>
        <v>#REF!</v>
      </c>
      <c r="GO346" t="e">
        <f>AND(#REF!,"AAAAAHz3fMQ=")</f>
        <v>#REF!</v>
      </c>
      <c r="GP346" t="e">
        <f>AND(#REF!,"AAAAAHz3fMU=")</f>
        <v>#REF!</v>
      </c>
      <c r="GQ346" t="e">
        <f>AND(#REF!,"AAAAAHz3fMY=")</f>
        <v>#REF!</v>
      </c>
      <c r="GR346" t="e">
        <f>AND(#REF!,"AAAAAHz3fMc=")</f>
        <v>#REF!</v>
      </c>
      <c r="GS346" t="e">
        <f>AND(#REF!,"AAAAAHz3fMg=")</f>
        <v>#REF!</v>
      </c>
      <c r="GT346" t="e">
        <f>AND(#REF!,"AAAAAHz3fMk=")</f>
        <v>#REF!</v>
      </c>
      <c r="GU346" t="e">
        <f>AND(#REF!,"AAAAAHz3fMo=")</f>
        <v>#REF!</v>
      </c>
      <c r="GV346" t="e">
        <f>AND(#REF!,"AAAAAHz3fMs=")</f>
        <v>#REF!</v>
      </c>
      <c r="GW346" t="e">
        <f>AND(#REF!,"AAAAAHz3fMw=")</f>
        <v>#REF!</v>
      </c>
      <c r="GX346" t="e">
        <f>AND(#REF!,"AAAAAHz3fM0=")</f>
        <v>#REF!</v>
      </c>
      <c r="GY346" t="e">
        <f>AND(#REF!,"AAAAAHz3fM4=")</f>
        <v>#REF!</v>
      </c>
      <c r="GZ346" t="e">
        <f>AND(#REF!,"AAAAAHz3fM8=")</f>
        <v>#REF!</v>
      </c>
      <c r="HA346" t="e">
        <f>AND(#REF!,"AAAAAHz3fNA=")</f>
        <v>#REF!</v>
      </c>
      <c r="HB346" t="e">
        <f>AND(#REF!,"AAAAAHz3fNE=")</f>
        <v>#REF!</v>
      </c>
      <c r="HC346" t="e">
        <f>AND(#REF!,"AAAAAHz3fNI=")</f>
        <v>#REF!</v>
      </c>
      <c r="HD346" t="e">
        <f>AND(#REF!,"AAAAAHz3fNM=")</f>
        <v>#REF!</v>
      </c>
      <c r="HE346" t="e">
        <f>AND(#REF!,"AAAAAHz3fNQ=")</f>
        <v>#REF!</v>
      </c>
      <c r="HF346" t="e">
        <f>AND(#REF!,"AAAAAHz3fNU=")</f>
        <v>#REF!</v>
      </c>
      <c r="HG346" t="e">
        <f>AND(#REF!,"AAAAAHz3fNY=")</f>
        <v>#REF!</v>
      </c>
      <c r="HH346" t="e">
        <f>IF(#REF!,"AAAAAHz3fNc=",0)</f>
        <v>#REF!</v>
      </c>
      <c r="HI346" t="e">
        <f>AND(#REF!,"AAAAAHz3fNg=")</f>
        <v>#REF!</v>
      </c>
      <c r="HJ346" t="e">
        <f>AND(#REF!,"AAAAAHz3fNk=")</f>
        <v>#REF!</v>
      </c>
      <c r="HK346" t="e">
        <f>AND(#REF!,"AAAAAHz3fNo=")</f>
        <v>#REF!</v>
      </c>
      <c r="HL346" t="e">
        <f>AND(#REF!,"AAAAAHz3fNs=")</f>
        <v>#REF!</v>
      </c>
      <c r="HM346" t="e">
        <f>AND(#REF!,"AAAAAHz3fNw=")</f>
        <v>#REF!</v>
      </c>
      <c r="HN346" t="e">
        <f>AND(#REF!,"AAAAAHz3fN0=")</f>
        <v>#REF!</v>
      </c>
      <c r="HO346" t="e">
        <f>AND(#REF!,"AAAAAHz3fN4=")</f>
        <v>#REF!</v>
      </c>
      <c r="HP346" t="e">
        <f>AND(#REF!,"AAAAAHz3fN8=")</f>
        <v>#REF!</v>
      </c>
      <c r="HQ346" t="e">
        <f>AND(#REF!,"AAAAAHz3fOA=")</f>
        <v>#REF!</v>
      </c>
      <c r="HR346" t="e">
        <f>AND(#REF!,"AAAAAHz3fOE=")</f>
        <v>#REF!</v>
      </c>
      <c r="HS346" t="e">
        <f>AND(#REF!,"AAAAAHz3fOI=")</f>
        <v>#REF!</v>
      </c>
      <c r="HT346" t="e">
        <f>AND(#REF!,"AAAAAHz3fOM=")</f>
        <v>#REF!</v>
      </c>
      <c r="HU346" t="e">
        <f>AND(#REF!,"AAAAAHz3fOQ=")</f>
        <v>#REF!</v>
      </c>
      <c r="HV346" t="e">
        <f>AND(#REF!,"AAAAAHz3fOU=")</f>
        <v>#REF!</v>
      </c>
      <c r="HW346" t="e">
        <f>AND(#REF!,"AAAAAHz3fOY=")</f>
        <v>#REF!</v>
      </c>
      <c r="HX346" t="e">
        <f>AND(#REF!,"AAAAAHz3fOc=")</f>
        <v>#REF!</v>
      </c>
      <c r="HY346" t="e">
        <f>AND(#REF!,"AAAAAHz3fOg=")</f>
        <v>#REF!</v>
      </c>
      <c r="HZ346" t="e">
        <f>AND(#REF!,"AAAAAHz3fOk=")</f>
        <v>#REF!</v>
      </c>
      <c r="IA346" t="e">
        <f>AND(#REF!,"AAAAAHz3fOo=")</f>
        <v>#REF!</v>
      </c>
      <c r="IB346" t="e">
        <f>AND(#REF!,"AAAAAHz3fOs=")</f>
        <v>#REF!</v>
      </c>
      <c r="IC346" t="e">
        <f>AND(#REF!,"AAAAAHz3fOw=")</f>
        <v>#REF!</v>
      </c>
      <c r="ID346" t="e">
        <f>AND(#REF!,"AAAAAHz3fO0=")</f>
        <v>#REF!</v>
      </c>
      <c r="IE346" t="e">
        <f>AND(#REF!,"AAAAAHz3fO4=")</f>
        <v>#REF!</v>
      </c>
      <c r="IF346" t="e">
        <f>AND(#REF!,"AAAAAHz3fO8=")</f>
        <v>#REF!</v>
      </c>
      <c r="IG346" t="e">
        <f>IF(#REF!,"AAAAAHz3fPA=",0)</f>
        <v>#REF!</v>
      </c>
      <c r="IH346" t="e">
        <f>AND(#REF!,"AAAAAHz3fPE=")</f>
        <v>#REF!</v>
      </c>
      <c r="II346" t="e">
        <f>AND(#REF!,"AAAAAHz3fPI=")</f>
        <v>#REF!</v>
      </c>
      <c r="IJ346" t="e">
        <f>AND(#REF!,"AAAAAHz3fPM=")</f>
        <v>#REF!</v>
      </c>
      <c r="IK346" t="e">
        <f>AND(#REF!,"AAAAAHz3fPQ=")</f>
        <v>#REF!</v>
      </c>
      <c r="IL346" t="e">
        <f>AND(#REF!,"AAAAAHz3fPU=")</f>
        <v>#REF!</v>
      </c>
      <c r="IM346" t="e">
        <f>AND(#REF!,"AAAAAHz3fPY=")</f>
        <v>#REF!</v>
      </c>
      <c r="IN346" t="e">
        <f>AND(#REF!,"AAAAAHz3fPc=")</f>
        <v>#REF!</v>
      </c>
      <c r="IO346" t="e">
        <f>AND(#REF!,"AAAAAHz3fPg=")</f>
        <v>#REF!</v>
      </c>
      <c r="IP346" t="e">
        <f>AND(#REF!,"AAAAAHz3fPk=")</f>
        <v>#REF!</v>
      </c>
      <c r="IQ346" t="e">
        <f>AND(#REF!,"AAAAAHz3fPo=")</f>
        <v>#REF!</v>
      </c>
      <c r="IR346" t="e">
        <f>AND(#REF!,"AAAAAHz3fPs=")</f>
        <v>#REF!</v>
      </c>
      <c r="IS346" t="e">
        <f>AND(#REF!,"AAAAAHz3fPw=")</f>
        <v>#REF!</v>
      </c>
      <c r="IT346" t="e">
        <f>AND(#REF!,"AAAAAHz3fP0=")</f>
        <v>#REF!</v>
      </c>
      <c r="IU346" t="e">
        <f>AND(#REF!,"AAAAAHz3fP4=")</f>
        <v>#REF!</v>
      </c>
      <c r="IV346" t="e">
        <f>AND(#REF!,"AAAAAHz3fP8=")</f>
        <v>#REF!</v>
      </c>
    </row>
    <row r="347" spans="1:256">
      <c r="A347" t="e">
        <f>AND(#REF!,"AAAAAG/3dwA=")</f>
        <v>#REF!</v>
      </c>
      <c r="B347" t="e">
        <f>AND(#REF!,"AAAAAG/3dwE=")</f>
        <v>#REF!</v>
      </c>
      <c r="C347" t="e">
        <f>AND(#REF!,"AAAAAG/3dwI=")</f>
        <v>#REF!</v>
      </c>
      <c r="D347" t="e">
        <f>AND(#REF!,"AAAAAG/3dwM=")</f>
        <v>#REF!</v>
      </c>
      <c r="E347" t="e">
        <f>AND(#REF!,"AAAAAG/3dwQ=")</f>
        <v>#REF!</v>
      </c>
      <c r="F347" t="e">
        <f>AND(#REF!,"AAAAAG/3dwU=")</f>
        <v>#REF!</v>
      </c>
      <c r="G347" t="e">
        <f>AND(#REF!,"AAAAAG/3dwY=")</f>
        <v>#REF!</v>
      </c>
      <c r="H347" t="e">
        <f>AND(#REF!,"AAAAAG/3dwc=")</f>
        <v>#REF!</v>
      </c>
      <c r="I347" t="e">
        <f>AND(#REF!,"AAAAAG/3dwg=")</f>
        <v>#REF!</v>
      </c>
      <c r="J347" t="e">
        <f>IF(#REF!,"AAAAAG/3dwk=",0)</f>
        <v>#REF!</v>
      </c>
      <c r="K347" t="e">
        <f>AND(#REF!,"AAAAAG/3dwo=")</f>
        <v>#REF!</v>
      </c>
      <c r="L347" t="e">
        <f>AND(#REF!,"AAAAAG/3dws=")</f>
        <v>#REF!</v>
      </c>
      <c r="M347" t="e">
        <f>AND(#REF!,"AAAAAG/3dww=")</f>
        <v>#REF!</v>
      </c>
      <c r="N347" t="e">
        <f>AND(#REF!,"AAAAAG/3dw0=")</f>
        <v>#REF!</v>
      </c>
      <c r="O347" t="e">
        <f>AND(#REF!,"AAAAAG/3dw4=")</f>
        <v>#REF!</v>
      </c>
      <c r="P347" t="e">
        <f>AND(#REF!,"AAAAAG/3dw8=")</f>
        <v>#REF!</v>
      </c>
      <c r="Q347" t="e">
        <f>AND(#REF!,"AAAAAG/3dxA=")</f>
        <v>#REF!</v>
      </c>
      <c r="R347" t="e">
        <f>AND(#REF!,"AAAAAG/3dxE=")</f>
        <v>#REF!</v>
      </c>
      <c r="S347" t="e">
        <f>AND(#REF!,"AAAAAG/3dxI=")</f>
        <v>#REF!</v>
      </c>
      <c r="T347" t="e">
        <f>AND(#REF!,"AAAAAG/3dxM=")</f>
        <v>#REF!</v>
      </c>
      <c r="U347" t="e">
        <f>AND(#REF!,"AAAAAG/3dxQ=")</f>
        <v>#REF!</v>
      </c>
      <c r="V347" t="e">
        <f>AND(#REF!,"AAAAAG/3dxU=")</f>
        <v>#REF!</v>
      </c>
      <c r="W347" t="e">
        <f>AND(#REF!,"AAAAAG/3dxY=")</f>
        <v>#REF!</v>
      </c>
      <c r="X347" t="e">
        <f>AND(#REF!,"AAAAAG/3dxc=")</f>
        <v>#REF!</v>
      </c>
      <c r="Y347" t="e">
        <f>AND(#REF!,"AAAAAG/3dxg=")</f>
        <v>#REF!</v>
      </c>
      <c r="Z347" t="e">
        <f>AND(#REF!,"AAAAAG/3dxk=")</f>
        <v>#REF!</v>
      </c>
      <c r="AA347" t="e">
        <f>AND(#REF!,"AAAAAG/3dxo=")</f>
        <v>#REF!</v>
      </c>
      <c r="AB347" t="e">
        <f>AND(#REF!,"AAAAAG/3dxs=")</f>
        <v>#REF!</v>
      </c>
      <c r="AC347" t="e">
        <f>AND(#REF!,"AAAAAG/3dxw=")</f>
        <v>#REF!</v>
      </c>
      <c r="AD347" t="e">
        <f>AND(#REF!,"AAAAAG/3dx0=")</f>
        <v>#REF!</v>
      </c>
      <c r="AE347" t="e">
        <f>AND(#REF!,"AAAAAG/3dx4=")</f>
        <v>#REF!</v>
      </c>
      <c r="AF347" t="e">
        <f>AND(#REF!,"AAAAAG/3dx8=")</f>
        <v>#REF!</v>
      </c>
      <c r="AG347" t="e">
        <f>AND(#REF!,"AAAAAG/3dyA=")</f>
        <v>#REF!</v>
      </c>
      <c r="AH347" t="e">
        <f>AND(#REF!,"AAAAAG/3dyE=")</f>
        <v>#REF!</v>
      </c>
      <c r="AI347" t="e">
        <f>IF(#REF!,"AAAAAG/3dyI=",0)</f>
        <v>#REF!</v>
      </c>
      <c r="AJ347" t="e">
        <f>AND(#REF!,"AAAAAG/3dyM=")</f>
        <v>#REF!</v>
      </c>
      <c r="AK347" t="e">
        <f>AND(#REF!,"AAAAAG/3dyQ=")</f>
        <v>#REF!</v>
      </c>
      <c r="AL347" t="e">
        <f>AND(#REF!,"AAAAAG/3dyU=")</f>
        <v>#REF!</v>
      </c>
      <c r="AM347" t="e">
        <f>AND(#REF!,"AAAAAG/3dyY=")</f>
        <v>#REF!</v>
      </c>
      <c r="AN347" t="e">
        <f>AND(#REF!,"AAAAAG/3dyc=")</f>
        <v>#REF!</v>
      </c>
      <c r="AO347" t="e">
        <f>AND(#REF!,"AAAAAG/3dyg=")</f>
        <v>#REF!</v>
      </c>
      <c r="AP347" t="e">
        <f>AND(#REF!,"AAAAAG/3dyk=")</f>
        <v>#REF!</v>
      </c>
      <c r="AQ347" t="e">
        <f>AND(#REF!,"AAAAAG/3dyo=")</f>
        <v>#REF!</v>
      </c>
      <c r="AR347" t="e">
        <f>AND(#REF!,"AAAAAG/3dys=")</f>
        <v>#REF!</v>
      </c>
      <c r="AS347" t="e">
        <f>AND(#REF!,"AAAAAG/3dyw=")</f>
        <v>#REF!</v>
      </c>
      <c r="AT347" t="e">
        <f>AND(#REF!,"AAAAAG/3dy0=")</f>
        <v>#REF!</v>
      </c>
      <c r="AU347" t="e">
        <f>AND(#REF!,"AAAAAG/3dy4=")</f>
        <v>#REF!</v>
      </c>
      <c r="AV347" t="e">
        <f>AND(#REF!,"AAAAAG/3dy8=")</f>
        <v>#REF!</v>
      </c>
      <c r="AW347" t="e">
        <f>AND(#REF!,"AAAAAG/3dzA=")</f>
        <v>#REF!</v>
      </c>
      <c r="AX347" t="e">
        <f>AND(#REF!,"AAAAAG/3dzE=")</f>
        <v>#REF!</v>
      </c>
      <c r="AY347" t="e">
        <f>AND(#REF!,"AAAAAG/3dzI=")</f>
        <v>#REF!</v>
      </c>
      <c r="AZ347" t="e">
        <f>AND(#REF!,"AAAAAG/3dzM=")</f>
        <v>#REF!</v>
      </c>
      <c r="BA347" t="e">
        <f>AND(#REF!,"AAAAAG/3dzQ=")</f>
        <v>#REF!</v>
      </c>
      <c r="BB347" t="e">
        <f>AND(#REF!,"AAAAAG/3dzU=")</f>
        <v>#REF!</v>
      </c>
      <c r="BC347" t="e">
        <f>AND(#REF!,"AAAAAG/3dzY=")</f>
        <v>#REF!</v>
      </c>
      <c r="BD347" t="e">
        <f>AND(#REF!,"AAAAAG/3dzc=")</f>
        <v>#REF!</v>
      </c>
      <c r="BE347" t="e">
        <f>AND(#REF!,"AAAAAG/3dzg=")</f>
        <v>#REF!</v>
      </c>
      <c r="BF347" t="e">
        <f>AND(#REF!,"AAAAAG/3dzk=")</f>
        <v>#REF!</v>
      </c>
      <c r="BG347" t="e">
        <f>AND(#REF!,"AAAAAG/3dzo=")</f>
        <v>#REF!</v>
      </c>
      <c r="BH347" t="e">
        <f>IF(#REF!,"AAAAAG/3dzs=",0)</f>
        <v>#REF!</v>
      </c>
      <c r="BI347" t="e">
        <f>AND(#REF!,"AAAAAG/3dzw=")</f>
        <v>#REF!</v>
      </c>
      <c r="BJ347" t="e">
        <f>AND(#REF!,"AAAAAG/3dz0=")</f>
        <v>#REF!</v>
      </c>
      <c r="BK347" t="e">
        <f>AND(#REF!,"AAAAAG/3dz4=")</f>
        <v>#REF!</v>
      </c>
      <c r="BL347" t="e">
        <f>AND(#REF!,"AAAAAG/3dz8=")</f>
        <v>#REF!</v>
      </c>
      <c r="BM347" t="e">
        <f>AND(#REF!,"AAAAAG/3d0A=")</f>
        <v>#REF!</v>
      </c>
      <c r="BN347" t="e">
        <f>AND(#REF!,"AAAAAG/3d0E=")</f>
        <v>#REF!</v>
      </c>
      <c r="BO347" t="e">
        <f>AND(#REF!,"AAAAAG/3d0I=")</f>
        <v>#REF!</v>
      </c>
      <c r="BP347" t="e">
        <f>AND(#REF!,"AAAAAG/3d0M=")</f>
        <v>#REF!</v>
      </c>
      <c r="BQ347" t="e">
        <f>AND(#REF!,"AAAAAG/3d0Q=")</f>
        <v>#REF!</v>
      </c>
      <c r="BR347" t="e">
        <f>AND(#REF!,"AAAAAG/3d0U=")</f>
        <v>#REF!</v>
      </c>
      <c r="BS347" t="e">
        <f>AND(#REF!,"AAAAAG/3d0Y=")</f>
        <v>#REF!</v>
      </c>
      <c r="BT347" t="e">
        <f>AND(#REF!,"AAAAAG/3d0c=")</f>
        <v>#REF!</v>
      </c>
      <c r="BU347" t="e">
        <f>AND(#REF!,"AAAAAG/3d0g=")</f>
        <v>#REF!</v>
      </c>
      <c r="BV347" t="e">
        <f>AND(#REF!,"AAAAAG/3d0k=")</f>
        <v>#REF!</v>
      </c>
      <c r="BW347" t="e">
        <f>AND(#REF!,"AAAAAG/3d0o=")</f>
        <v>#REF!</v>
      </c>
      <c r="BX347" t="e">
        <f>AND(#REF!,"AAAAAG/3d0s=")</f>
        <v>#REF!</v>
      </c>
      <c r="BY347" t="e">
        <f>AND(#REF!,"AAAAAG/3d0w=")</f>
        <v>#REF!</v>
      </c>
      <c r="BZ347" t="e">
        <f>AND(#REF!,"AAAAAG/3d00=")</f>
        <v>#REF!</v>
      </c>
      <c r="CA347" t="e">
        <f>AND(#REF!,"AAAAAG/3d04=")</f>
        <v>#REF!</v>
      </c>
      <c r="CB347" t="e">
        <f>AND(#REF!,"AAAAAG/3d08=")</f>
        <v>#REF!</v>
      </c>
      <c r="CC347" t="e">
        <f>AND(#REF!,"AAAAAG/3d1A=")</f>
        <v>#REF!</v>
      </c>
      <c r="CD347" t="e">
        <f>AND(#REF!,"AAAAAG/3d1E=")</f>
        <v>#REF!</v>
      </c>
      <c r="CE347" t="e">
        <f>AND(#REF!,"AAAAAG/3d1I=")</f>
        <v>#REF!</v>
      </c>
      <c r="CF347" t="e">
        <f>AND(#REF!,"AAAAAG/3d1M=")</f>
        <v>#REF!</v>
      </c>
      <c r="CG347" t="e">
        <f>IF(#REF!,"AAAAAG/3d1Q=",0)</f>
        <v>#REF!</v>
      </c>
      <c r="CH347" t="e">
        <f>AND(#REF!,"AAAAAG/3d1U=")</f>
        <v>#REF!</v>
      </c>
      <c r="CI347" t="e">
        <f>AND(#REF!,"AAAAAG/3d1Y=")</f>
        <v>#REF!</v>
      </c>
      <c r="CJ347" t="e">
        <f>AND(#REF!,"AAAAAG/3d1c=")</f>
        <v>#REF!</v>
      </c>
      <c r="CK347" t="e">
        <f>AND(#REF!,"AAAAAG/3d1g=")</f>
        <v>#REF!</v>
      </c>
      <c r="CL347" t="e">
        <f>AND(#REF!,"AAAAAG/3d1k=")</f>
        <v>#REF!</v>
      </c>
      <c r="CM347" t="e">
        <f>AND(#REF!,"AAAAAG/3d1o=")</f>
        <v>#REF!</v>
      </c>
      <c r="CN347" t="e">
        <f>AND(#REF!,"AAAAAG/3d1s=")</f>
        <v>#REF!</v>
      </c>
      <c r="CO347" t="e">
        <f>AND(#REF!,"AAAAAG/3d1w=")</f>
        <v>#REF!</v>
      </c>
      <c r="CP347" t="e">
        <f>AND(#REF!,"AAAAAG/3d10=")</f>
        <v>#REF!</v>
      </c>
      <c r="CQ347" t="e">
        <f>AND(#REF!,"AAAAAG/3d14=")</f>
        <v>#REF!</v>
      </c>
      <c r="CR347" t="e">
        <f>AND(#REF!,"AAAAAG/3d18=")</f>
        <v>#REF!</v>
      </c>
      <c r="CS347" t="e">
        <f>AND(#REF!,"AAAAAG/3d2A=")</f>
        <v>#REF!</v>
      </c>
      <c r="CT347" t="e">
        <f>AND(#REF!,"AAAAAG/3d2E=")</f>
        <v>#REF!</v>
      </c>
      <c r="CU347" t="e">
        <f>AND(#REF!,"AAAAAG/3d2I=")</f>
        <v>#REF!</v>
      </c>
      <c r="CV347" t="e">
        <f>AND(#REF!,"AAAAAG/3d2M=")</f>
        <v>#REF!</v>
      </c>
      <c r="CW347" t="e">
        <f>AND(#REF!,"AAAAAG/3d2Q=")</f>
        <v>#REF!</v>
      </c>
      <c r="CX347" t="e">
        <f>AND(#REF!,"AAAAAG/3d2U=")</f>
        <v>#REF!</v>
      </c>
      <c r="CY347" t="e">
        <f>AND(#REF!,"AAAAAG/3d2Y=")</f>
        <v>#REF!</v>
      </c>
      <c r="CZ347" t="e">
        <f>AND(#REF!,"AAAAAG/3d2c=")</f>
        <v>#REF!</v>
      </c>
      <c r="DA347" t="e">
        <f>AND(#REF!,"AAAAAG/3d2g=")</f>
        <v>#REF!</v>
      </c>
      <c r="DB347" t="e">
        <f>AND(#REF!,"AAAAAG/3d2k=")</f>
        <v>#REF!</v>
      </c>
      <c r="DC347" t="e">
        <f>AND(#REF!,"AAAAAG/3d2o=")</f>
        <v>#REF!</v>
      </c>
      <c r="DD347" t="e">
        <f>AND(#REF!,"AAAAAG/3d2s=")</f>
        <v>#REF!</v>
      </c>
      <c r="DE347" t="e">
        <f>AND(#REF!,"AAAAAG/3d2w=")</f>
        <v>#REF!</v>
      </c>
      <c r="DF347" t="e">
        <f>IF(#REF!,"AAAAAG/3d20=",0)</f>
        <v>#REF!</v>
      </c>
      <c r="DG347" t="e">
        <f>AND(#REF!,"AAAAAG/3d24=")</f>
        <v>#REF!</v>
      </c>
      <c r="DH347" t="e">
        <f>AND(#REF!,"AAAAAG/3d28=")</f>
        <v>#REF!</v>
      </c>
      <c r="DI347" t="e">
        <f>AND(#REF!,"AAAAAG/3d3A=")</f>
        <v>#REF!</v>
      </c>
      <c r="DJ347" t="e">
        <f>AND(#REF!,"AAAAAG/3d3E=")</f>
        <v>#REF!</v>
      </c>
      <c r="DK347" t="e">
        <f>AND(#REF!,"AAAAAG/3d3I=")</f>
        <v>#REF!</v>
      </c>
      <c r="DL347" t="e">
        <f>AND(#REF!,"AAAAAG/3d3M=")</f>
        <v>#REF!</v>
      </c>
      <c r="DM347" t="e">
        <f>AND(#REF!,"AAAAAG/3d3Q=")</f>
        <v>#REF!</v>
      </c>
      <c r="DN347" t="e">
        <f>AND(#REF!,"AAAAAG/3d3U=")</f>
        <v>#REF!</v>
      </c>
      <c r="DO347" t="e">
        <f>AND(#REF!,"AAAAAG/3d3Y=")</f>
        <v>#REF!</v>
      </c>
      <c r="DP347" t="e">
        <f>AND(#REF!,"AAAAAG/3d3c=")</f>
        <v>#REF!</v>
      </c>
      <c r="DQ347" t="e">
        <f>AND(#REF!,"AAAAAG/3d3g=")</f>
        <v>#REF!</v>
      </c>
      <c r="DR347" t="e">
        <f>AND(#REF!,"AAAAAG/3d3k=")</f>
        <v>#REF!</v>
      </c>
      <c r="DS347" t="e">
        <f>AND(#REF!,"AAAAAG/3d3o=")</f>
        <v>#REF!</v>
      </c>
      <c r="DT347" t="e">
        <f>AND(#REF!,"AAAAAG/3d3s=")</f>
        <v>#REF!</v>
      </c>
      <c r="DU347" t="e">
        <f>AND(#REF!,"AAAAAG/3d3w=")</f>
        <v>#REF!</v>
      </c>
      <c r="DV347" t="e">
        <f>AND(#REF!,"AAAAAG/3d30=")</f>
        <v>#REF!</v>
      </c>
      <c r="DW347" t="e">
        <f>AND(#REF!,"AAAAAG/3d34=")</f>
        <v>#REF!</v>
      </c>
      <c r="DX347" t="e">
        <f>AND(#REF!,"AAAAAG/3d38=")</f>
        <v>#REF!</v>
      </c>
      <c r="DY347" t="e">
        <f>AND(#REF!,"AAAAAG/3d4A=")</f>
        <v>#REF!</v>
      </c>
      <c r="DZ347" t="e">
        <f>AND(#REF!,"AAAAAG/3d4E=")</f>
        <v>#REF!</v>
      </c>
      <c r="EA347" t="e">
        <f>AND(#REF!,"AAAAAG/3d4I=")</f>
        <v>#REF!</v>
      </c>
      <c r="EB347" t="e">
        <f>AND(#REF!,"AAAAAG/3d4M=")</f>
        <v>#REF!</v>
      </c>
      <c r="EC347" t="e">
        <f>AND(#REF!,"AAAAAG/3d4Q=")</f>
        <v>#REF!</v>
      </c>
      <c r="ED347" t="e">
        <f>AND(#REF!,"AAAAAG/3d4U=")</f>
        <v>#REF!</v>
      </c>
      <c r="EE347" t="e">
        <f>IF(#REF!,"AAAAAG/3d4Y=",0)</f>
        <v>#REF!</v>
      </c>
      <c r="EF347" t="e">
        <f>AND(#REF!,"AAAAAG/3d4c=")</f>
        <v>#REF!</v>
      </c>
      <c r="EG347" t="e">
        <f>AND(#REF!,"AAAAAG/3d4g=")</f>
        <v>#REF!</v>
      </c>
      <c r="EH347" t="e">
        <f>AND(#REF!,"AAAAAG/3d4k=")</f>
        <v>#REF!</v>
      </c>
      <c r="EI347" t="e">
        <f>AND(#REF!,"AAAAAG/3d4o=")</f>
        <v>#REF!</v>
      </c>
      <c r="EJ347" t="e">
        <f>AND(#REF!,"AAAAAG/3d4s=")</f>
        <v>#REF!</v>
      </c>
      <c r="EK347" t="e">
        <f>AND(#REF!,"AAAAAG/3d4w=")</f>
        <v>#REF!</v>
      </c>
      <c r="EL347" t="e">
        <f>AND(#REF!,"AAAAAG/3d40=")</f>
        <v>#REF!</v>
      </c>
      <c r="EM347" t="e">
        <f>AND(#REF!,"AAAAAG/3d44=")</f>
        <v>#REF!</v>
      </c>
      <c r="EN347" t="e">
        <f>AND(#REF!,"AAAAAG/3d48=")</f>
        <v>#REF!</v>
      </c>
      <c r="EO347" t="e">
        <f>AND(#REF!,"AAAAAG/3d5A=")</f>
        <v>#REF!</v>
      </c>
      <c r="EP347" t="e">
        <f>AND(#REF!,"AAAAAG/3d5E=")</f>
        <v>#REF!</v>
      </c>
      <c r="EQ347" t="e">
        <f>AND(#REF!,"AAAAAG/3d5I=")</f>
        <v>#REF!</v>
      </c>
      <c r="ER347" t="e">
        <f>AND(#REF!,"AAAAAG/3d5M=")</f>
        <v>#REF!</v>
      </c>
      <c r="ES347" t="e">
        <f>AND(#REF!,"AAAAAG/3d5Q=")</f>
        <v>#REF!</v>
      </c>
      <c r="ET347" t="e">
        <f>AND(#REF!,"AAAAAG/3d5U=")</f>
        <v>#REF!</v>
      </c>
      <c r="EU347" t="e">
        <f>AND(#REF!,"AAAAAG/3d5Y=")</f>
        <v>#REF!</v>
      </c>
      <c r="EV347" t="e">
        <f>AND(#REF!,"AAAAAG/3d5c=")</f>
        <v>#REF!</v>
      </c>
      <c r="EW347" t="e">
        <f>AND(#REF!,"AAAAAG/3d5g=")</f>
        <v>#REF!</v>
      </c>
      <c r="EX347" t="e">
        <f>AND(#REF!,"AAAAAG/3d5k=")</f>
        <v>#REF!</v>
      </c>
      <c r="EY347" t="e">
        <f>AND(#REF!,"AAAAAG/3d5o=")</f>
        <v>#REF!</v>
      </c>
      <c r="EZ347" t="e">
        <f>AND(#REF!,"AAAAAG/3d5s=")</f>
        <v>#REF!</v>
      </c>
      <c r="FA347" t="e">
        <f>AND(#REF!,"AAAAAG/3d5w=")</f>
        <v>#REF!</v>
      </c>
      <c r="FB347" t="e">
        <f>AND(#REF!,"AAAAAG/3d50=")</f>
        <v>#REF!</v>
      </c>
      <c r="FC347" t="e">
        <f>AND(#REF!,"AAAAAG/3d54=")</f>
        <v>#REF!</v>
      </c>
      <c r="FD347" t="e">
        <f>IF(#REF!,"AAAAAG/3d58=",0)</f>
        <v>#REF!</v>
      </c>
      <c r="FE347" t="e">
        <f>AND(#REF!,"AAAAAG/3d6A=")</f>
        <v>#REF!</v>
      </c>
      <c r="FF347" t="e">
        <f>AND(#REF!,"AAAAAG/3d6E=")</f>
        <v>#REF!</v>
      </c>
      <c r="FG347" t="e">
        <f>AND(#REF!,"AAAAAG/3d6I=")</f>
        <v>#REF!</v>
      </c>
      <c r="FH347" t="e">
        <f>AND(#REF!,"AAAAAG/3d6M=")</f>
        <v>#REF!</v>
      </c>
      <c r="FI347" t="e">
        <f>AND(#REF!,"AAAAAG/3d6Q=")</f>
        <v>#REF!</v>
      </c>
      <c r="FJ347" t="e">
        <f>AND(#REF!,"AAAAAG/3d6U=")</f>
        <v>#REF!</v>
      </c>
      <c r="FK347" t="e">
        <f>AND(#REF!,"AAAAAG/3d6Y=")</f>
        <v>#REF!</v>
      </c>
      <c r="FL347" t="e">
        <f>AND(#REF!,"AAAAAG/3d6c=")</f>
        <v>#REF!</v>
      </c>
      <c r="FM347" t="e">
        <f>AND(#REF!,"AAAAAG/3d6g=")</f>
        <v>#REF!</v>
      </c>
      <c r="FN347" t="e">
        <f>AND(#REF!,"AAAAAG/3d6k=")</f>
        <v>#REF!</v>
      </c>
      <c r="FO347" t="e">
        <f>AND(#REF!,"AAAAAG/3d6o=")</f>
        <v>#REF!</v>
      </c>
      <c r="FP347" t="e">
        <f>AND(#REF!,"AAAAAG/3d6s=")</f>
        <v>#REF!</v>
      </c>
      <c r="FQ347" t="e">
        <f>AND(#REF!,"AAAAAG/3d6w=")</f>
        <v>#REF!</v>
      </c>
      <c r="FR347" t="e">
        <f>AND(#REF!,"AAAAAG/3d60=")</f>
        <v>#REF!</v>
      </c>
      <c r="FS347" t="e">
        <f>AND(#REF!,"AAAAAG/3d64=")</f>
        <v>#REF!</v>
      </c>
      <c r="FT347" t="e">
        <f>AND(#REF!,"AAAAAG/3d68=")</f>
        <v>#REF!</v>
      </c>
      <c r="FU347" t="e">
        <f>AND(#REF!,"AAAAAG/3d7A=")</f>
        <v>#REF!</v>
      </c>
      <c r="FV347" t="e">
        <f>AND(#REF!,"AAAAAG/3d7E=")</f>
        <v>#REF!</v>
      </c>
      <c r="FW347" t="e">
        <f>AND(#REF!,"AAAAAG/3d7I=")</f>
        <v>#REF!</v>
      </c>
      <c r="FX347" t="e">
        <f>AND(#REF!,"AAAAAG/3d7M=")</f>
        <v>#REF!</v>
      </c>
      <c r="FY347" t="e">
        <f>AND(#REF!,"AAAAAG/3d7Q=")</f>
        <v>#REF!</v>
      </c>
      <c r="FZ347" t="e">
        <f>AND(#REF!,"AAAAAG/3d7U=")</f>
        <v>#REF!</v>
      </c>
      <c r="GA347" t="e">
        <f>AND(#REF!,"AAAAAG/3d7Y=")</f>
        <v>#REF!</v>
      </c>
      <c r="GB347" t="e">
        <f>AND(#REF!,"AAAAAG/3d7c=")</f>
        <v>#REF!</v>
      </c>
      <c r="GC347" t="e">
        <f>IF(#REF!,"AAAAAG/3d7g=",0)</f>
        <v>#REF!</v>
      </c>
      <c r="GD347" t="e">
        <f>AND(#REF!,"AAAAAG/3d7k=")</f>
        <v>#REF!</v>
      </c>
      <c r="GE347" t="e">
        <f>AND(#REF!,"AAAAAG/3d7o=")</f>
        <v>#REF!</v>
      </c>
      <c r="GF347" t="e">
        <f>AND(#REF!,"AAAAAG/3d7s=")</f>
        <v>#REF!</v>
      </c>
      <c r="GG347" t="e">
        <f>AND(#REF!,"AAAAAG/3d7w=")</f>
        <v>#REF!</v>
      </c>
      <c r="GH347" t="e">
        <f>AND(#REF!,"AAAAAG/3d70=")</f>
        <v>#REF!</v>
      </c>
      <c r="GI347" t="e">
        <f>AND(#REF!,"AAAAAG/3d74=")</f>
        <v>#REF!</v>
      </c>
      <c r="GJ347" t="e">
        <f>AND(#REF!,"AAAAAG/3d78=")</f>
        <v>#REF!</v>
      </c>
      <c r="GK347" t="e">
        <f>AND(#REF!,"AAAAAG/3d8A=")</f>
        <v>#REF!</v>
      </c>
      <c r="GL347" t="e">
        <f>AND(#REF!,"AAAAAG/3d8E=")</f>
        <v>#REF!</v>
      </c>
      <c r="GM347" t="e">
        <f>AND(#REF!,"AAAAAG/3d8I=")</f>
        <v>#REF!</v>
      </c>
      <c r="GN347" t="e">
        <f>AND(#REF!,"AAAAAG/3d8M=")</f>
        <v>#REF!</v>
      </c>
      <c r="GO347" t="e">
        <f>AND(#REF!,"AAAAAG/3d8Q=")</f>
        <v>#REF!</v>
      </c>
      <c r="GP347" t="e">
        <f>AND(#REF!,"AAAAAG/3d8U=")</f>
        <v>#REF!</v>
      </c>
      <c r="GQ347" t="e">
        <f>AND(#REF!,"AAAAAG/3d8Y=")</f>
        <v>#REF!</v>
      </c>
      <c r="GR347" t="e">
        <f>AND(#REF!,"AAAAAG/3d8c=")</f>
        <v>#REF!</v>
      </c>
      <c r="GS347" t="e">
        <f>AND(#REF!,"AAAAAG/3d8g=")</f>
        <v>#REF!</v>
      </c>
      <c r="GT347" t="e">
        <f>AND(#REF!,"AAAAAG/3d8k=")</f>
        <v>#REF!</v>
      </c>
      <c r="GU347" t="e">
        <f>AND(#REF!,"AAAAAG/3d8o=")</f>
        <v>#REF!</v>
      </c>
      <c r="GV347" t="e">
        <f>AND(#REF!,"AAAAAG/3d8s=")</f>
        <v>#REF!</v>
      </c>
      <c r="GW347" t="e">
        <f>AND(#REF!,"AAAAAG/3d8w=")</f>
        <v>#REF!</v>
      </c>
      <c r="GX347" t="e">
        <f>AND(#REF!,"AAAAAG/3d80=")</f>
        <v>#REF!</v>
      </c>
      <c r="GY347" t="e">
        <f>AND(#REF!,"AAAAAG/3d84=")</f>
        <v>#REF!</v>
      </c>
      <c r="GZ347" t="e">
        <f>AND(#REF!,"AAAAAG/3d88=")</f>
        <v>#REF!</v>
      </c>
      <c r="HA347" t="e">
        <f>AND(#REF!,"AAAAAG/3d9A=")</f>
        <v>#REF!</v>
      </c>
      <c r="HB347" t="e">
        <f>IF(#REF!,"AAAAAG/3d9E=",0)</f>
        <v>#REF!</v>
      </c>
      <c r="HC347" t="e">
        <f>AND(#REF!,"AAAAAG/3d9I=")</f>
        <v>#REF!</v>
      </c>
      <c r="HD347" t="e">
        <f>AND(#REF!,"AAAAAG/3d9M=")</f>
        <v>#REF!</v>
      </c>
      <c r="HE347" t="e">
        <f>AND(#REF!,"AAAAAG/3d9Q=")</f>
        <v>#REF!</v>
      </c>
      <c r="HF347" t="e">
        <f>AND(#REF!,"AAAAAG/3d9U=")</f>
        <v>#REF!</v>
      </c>
      <c r="HG347" t="e">
        <f>AND(#REF!,"AAAAAG/3d9Y=")</f>
        <v>#REF!</v>
      </c>
      <c r="HH347" t="e">
        <f>AND(#REF!,"AAAAAG/3d9c=")</f>
        <v>#REF!</v>
      </c>
      <c r="HI347" t="e">
        <f>AND(#REF!,"AAAAAG/3d9g=")</f>
        <v>#REF!</v>
      </c>
      <c r="HJ347" t="e">
        <f>AND(#REF!,"AAAAAG/3d9k=")</f>
        <v>#REF!</v>
      </c>
      <c r="HK347" t="e">
        <f>AND(#REF!,"AAAAAG/3d9o=")</f>
        <v>#REF!</v>
      </c>
      <c r="HL347" t="e">
        <f>AND(#REF!,"AAAAAG/3d9s=")</f>
        <v>#REF!</v>
      </c>
      <c r="HM347" t="e">
        <f>AND(#REF!,"AAAAAG/3d9w=")</f>
        <v>#REF!</v>
      </c>
      <c r="HN347" t="e">
        <f>AND(#REF!,"AAAAAG/3d90=")</f>
        <v>#REF!</v>
      </c>
      <c r="HO347" t="e">
        <f>AND(#REF!,"AAAAAG/3d94=")</f>
        <v>#REF!</v>
      </c>
      <c r="HP347" t="e">
        <f>AND(#REF!,"AAAAAG/3d98=")</f>
        <v>#REF!</v>
      </c>
      <c r="HQ347" t="e">
        <f>AND(#REF!,"AAAAAG/3d+A=")</f>
        <v>#REF!</v>
      </c>
      <c r="HR347" t="e">
        <f>AND(#REF!,"AAAAAG/3d+E=")</f>
        <v>#REF!</v>
      </c>
      <c r="HS347" t="e">
        <f>AND(#REF!,"AAAAAG/3d+I=")</f>
        <v>#REF!</v>
      </c>
      <c r="HT347" t="e">
        <f>AND(#REF!,"AAAAAG/3d+M=")</f>
        <v>#REF!</v>
      </c>
      <c r="HU347" t="e">
        <f>AND(#REF!,"AAAAAG/3d+Q=")</f>
        <v>#REF!</v>
      </c>
      <c r="HV347" t="e">
        <f>AND(#REF!,"AAAAAG/3d+U=")</f>
        <v>#REF!</v>
      </c>
      <c r="HW347" t="e">
        <f>AND(#REF!,"AAAAAG/3d+Y=")</f>
        <v>#REF!</v>
      </c>
      <c r="HX347" t="e">
        <f>AND(#REF!,"AAAAAG/3d+c=")</f>
        <v>#REF!</v>
      </c>
      <c r="HY347" t="e">
        <f>AND(#REF!,"AAAAAG/3d+g=")</f>
        <v>#REF!</v>
      </c>
      <c r="HZ347" t="e">
        <f>AND(#REF!,"AAAAAG/3d+k=")</f>
        <v>#REF!</v>
      </c>
      <c r="IA347" t="e">
        <f>IF(#REF!,"AAAAAG/3d+o=",0)</f>
        <v>#REF!</v>
      </c>
      <c r="IB347" t="e">
        <f>AND(#REF!,"AAAAAG/3d+s=")</f>
        <v>#REF!</v>
      </c>
      <c r="IC347" t="e">
        <f>AND(#REF!,"AAAAAG/3d+w=")</f>
        <v>#REF!</v>
      </c>
      <c r="ID347" t="e">
        <f>AND(#REF!,"AAAAAG/3d+0=")</f>
        <v>#REF!</v>
      </c>
      <c r="IE347" t="e">
        <f>AND(#REF!,"AAAAAG/3d+4=")</f>
        <v>#REF!</v>
      </c>
      <c r="IF347" t="e">
        <f>AND(#REF!,"AAAAAG/3d+8=")</f>
        <v>#REF!</v>
      </c>
      <c r="IG347" t="e">
        <f>AND(#REF!,"AAAAAG/3d/A=")</f>
        <v>#REF!</v>
      </c>
      <c r="IH347" t="e">
        <f>AND(#REF!,"AAAAAG/3d/E=")</f>
        <v>#REF!</v>
      </c>
      <c r="II347" t="e">
        <f>AND(#REF!,"AAAAAG/3d/I=")</f>
        <v>#REF!</v>
      </c>
      <c r="IJ347" t="e">
        <f>AND(#REF!,"AAAAAG/3d/M=")</f>
        <v>#REF!</v>
      </c>
      <c r="IK347" t="e">
        <f>AND(#REF!,"AAAAAG/3d/Q=")</f>
        <v>#REF!</v>
      </c>
      <c r="IL347" t="e">
        <f>AND(#REF!,"AAAAAG/3d/U=")</f>
        <v>#REF!</v>
      </c>
      <c r="IM347" t="e">
        <f>AND(#REF!,"AAAAAG/3d/Y=")</f>
        <v>#REF!</v>
      </c>
      <c r="IN347" t="e">
        <f>AND(#REF!,"AAAAAG/3d/c=")</f>
        <v>#REF!</v>
      </c>
      <c r="IO347" t="e">
        <f>AND(#REF!,"AAAAAG/3d/g=")</f>
        <v>#REF!</v>
      </c>
      <c r="IP347" t="e">
        <f>AND(#REF!,"AAAAAG/3d/k=")</f>
        <v>#REF!</v>
      </c>
      <c r="IQ347" t="e">
        <f>AND(#REF!,"AAAAAG/3d/o=")</f>
        <v>#REF!</v>
      </c>
      <c r="IR347" t="e">
        <f>AND(#REF!,"AAAAAG/3d/s=")</f>
        <v>#REF!</v>
      </c>
      <c r="IS347" t="e">
        <f>AND(#REF!,"AAAAAG/3d/w=")</f>
        <v>#REF!</v>
      </c>
      <c r="IT347" t="e">
        <f>AND(#REF!,"AAAAAG/3d/0=")</f>
        <v>#REF!</v>
      </c>
      <c r="IU347" t="e">
        <f>AND(#REF!,"AAAAAG/3d/4=")</f>
        <v>#REF!</v>
      </c>
      <c r="IV347" t="e">
        <f>AND(#REF!,"AAAAAG/3d/8=")</f>
        <v>#REF!</v>
      </c>
    </row>
    <row r="348" spans="1:256">
      <c r="A348" t="e">
        <f>AND(#REF!,"AAAAAH//2wA=")</f>
        <v>#REF!</v>
      </c>
      <c r="B348" t="e">
        <f>AND(#REF!,"AAAAAH//2wE=")</f>
        <v>#REF!</v>
      </c>
      <c r="C348" t="e">
        <f>AND(#REF!,"AAAAAH//2wI=")</f>
        <v>#REF!</v>
      </c>
      <c r="D348" t="e">
        <f>IF(#REF!,"AAAAAH//2wM=",0)</f>
        <v>#REF!</v>
      </c>
      <c r="E348" t="e">
        <f>AND(#REF!,"AAAAAH//2wQ=")</f>
        <v>#REF!</v>
      </c>
      <c r="F348" t="e">
        <f>AND(#REF!,"AAAAAH//2wU=")</f>
        <v>#REF!</v>
      </c>
      <c r="G348" t="e">
        <f>AND(#REF!,"AAAAAH//2wY=")</f>
        <v>#REF!</v>
      </c>
      <c r="H348" t="e">
        <f>AND(#REF!,"AAAAAH//2wc=")</f>
        <v>#REF!</v>
      </c>
      <c r="I348" t="e">
        <f>AND(#REF!,"AAAAAH//2wg=")</f>
        <v>#REF!</v>
      </c>
      <c r="J348" t="e">
        <f>AND(#REF!,"AAAAAH//2wk=")</f>
        <v>#REF!</v>
      </c>
      <c r="K348" t="e">
        <f>AND(#REF!,"AAAAAH//2wo=")</f>
        <v>#REF!</v>
      </c>
      <c r="L348" t="e">
        <f>AND(#REF!,"AAAAAH//2ws=")</f>
        <v>#REF!</v>
      </c>
      <c r="M348" t="e">
        <f>AND(#REF!,"AAAAAH//2ww=")</f>
        <v>#REF!</v>
      </c>
      <c r="N348" t="e">
        <f>AND(#REF!,"AAAAAH//2w0=")</f>
        <v>#REF!</v>
      </c>
      <c r="O348" t="e">
        <f>AND(#REF!,"AAAAAH//2w4=")</f>
        <v>#REF!</v>
      </c>
      <c r="P348" t="e">
        <f>AND(#REF!,"AAAAAH//2w8=")</f>
        <v>#REF!</v>
      </c>
      <c r="Q348" t="e">
        <f>AND(#REF!,"AAAAAH//2xA=")</f>
        <v>#REF!</v>
      </c>
      <c r="R348" t="e">
        <f>AND(#REF!,"AAAAAH//2xE=")</f>
        <v>#REF!</v>
      </c>
      <c r="S348" t="e">
        <f>AND(#REF!,"AAAAAH//2xI=")</f>
        <v>#REF!</v>
      </c>
      <c r="T348" t="e">
        <f>AND(#REF!,"AAAAAH//2xM=")</f>
        <v>#REF!</v>
      </c>
      <c r="U348" t="e">
        <f>AND(#REF!,"AAAAAH//2xQ=")</f>
        <v>#REF!</v>
      </c>
      <c r="V348" t="e">
        <f>AND(#REF!,"AAAAAH//2xU=")</f>
        <v>#REF!</v>
      </c>
      <c r="W348" t="e">
        <f>AND(#REF!,"AAAAAH//2xY=")</f>
        <v>#REF!</v>
      </c>
      <c r="X348" t="e">
        <f>AND(#REF!,"AAAAAH//2xc=")</f>
        <v>#REF!</v>
      </c>
      <c r="Y348" t="e">
        <f>AND(#REF!,"AAAAAH//2xg=")</f>
        <v>#REF!</v>
      </c>
      <c r="Z348" t="e">
        <f>AND(#REF!,"AAAAAH//2xk=")</f>
        <v>#REF!</v>
      </c>
      <c r="AA348" t="e">
        <f>AND(#REF!,"AAAAAH//2xo=")</f>
        <v>#REF!</v>
      </c>
      <c r="AB348" t="e">
        <f>AND(#REF!,"AAAAAH//2xs=")</f>
        <v>#REF!</v>
      </c>
      <c r="AC348" t="e">
        <f>IF(#REF!,"AAAAAH//2xw=",0)</f>
        <v>#REF!</v>
      </c>
      <c r="AD348" t="e">
        <f>AND(#REF!,"AAAAAH//2x0=")</f>
        <v>#REF!</v>
      </c>
      <c r="AE348" t="e">
        <f>AND(#REF!,"AAAAAH//2x4=")</f>
        <v>#REF!</v>
      </c>
      <c r="AF348" t="e">
        <f>AND(#REF!,"AAAAAH//2x8=")</f>
        <v>#REF!</v>
      </c>
      <c r="AG348" t="e">
        <f>AND(#REF!,"AAAAAH//2yA=")</f>
        <v>#REF!</v>
      </c>
      <c r="AH348" t="e">
        <f>AND(#REF!,"AAAAAH//2yE=")</f>
        <v>#REF!</v>
      </c>
      <c r="AI348" t="e">
        <f>AND(#REF!,"AAAAAH//2yI=")</f>
        <v>#REF!</v>
      </c>
      <c r="AJ348" t="e">
        <f>AND(#REF!,"AAAAAH//2yM=")</f>
        <v>#REF!</v>
      </c>
      <c r="AK348" t="e">
        <f>AND(#REF!,"AAAAAH//2yQ=")</f>
        <v>#REF!</v>
      </c>
      <c r="AL348" t="e">
        <f>AND(#REF!,"AAAAAH//2yU=")</f>
        <v>#REF!</v>
      </c>
      <c r="AM348" t="e">
        <f>AND(#REF!,"AAAAAH//2yY=")</f>
        <v>#REF!</v>
      </c>
      <c r="AN348" t="e">
        <f>AND(#REF!,"AAAAAH//2yc=")</f>
        <v>#REF!</v>
      </c>
      <c r="AO348" t="e">
        <f>AND(#REF!,"AAAAAH//2yg=")</f>
        <v>#REF!</v>
      </c>
      <c r="AP348" t="e">
        <f>AND(#REF!,"AAAAAH//2yk=")</f>
        <v>#REF!</v>
      </c>
      <c r="AQ348" t="e">
        <f>AND(#REF!,"AAAAAH//2yo=")</f>
        <v>#REF!</v>
      </c>
      <c r="AR348" t="e">
        <f>AND(#REF!,"AAAAAH//2ys=")</f>
        <v>#REF!</v>
      </c>
      <c r="AS348" t="e">
        <f>AND(#REF!,"AAAAAH//2yw=")</f>
        <v>#REF!</v>
      </c>
      <c r="AT348" t="e">
        <f>AND(#REF!,"AAAAAH//2y0=")</f>
        <v>#REF!</v>
      </c>
      <c r="AU348" t="e">
        <f>AND(#REF!,"AAAAAH//2y4=")</f>
        <v>#REF!</v>
      </c>
      <c r="AV348" t="e">
        <f>AND(#REF!,"AAAAAH//2y8=")</f>
        <v>#REF!</v>
      </c>
      <c r="AW348" t="e">
        <f>AND(#REF!,"AAAAAH//2zA=")</f>
        <v>#REF!</v>
      </c>
      <c r="AX348" t="e">
        <f>AND(#REF!,"AAAAAH//2zE=")</f>
        <v>#REF!</v>
      </c>
      <c r="AY348" t="e">
        <f>AND(#REF!,"AAAAAH//2zI=")</f>
        <v>#REF!</v>
      </c>
      <c r="AZ348" t="e">
        <f>AND(#REF!,"AAAAAH//2zM=")</f>
        <v>#REF!</v>
      </c>
      <c r="BA348" t="e">
        <f>AND(#REF!,"AAAAAH//2zQ=")</f>
        <v>#REF!</v>
      </c>
      <c r="BB348" t="e">
        <f>IF(#REF!,"AAAAAH//2zU=",0)</f>
        <v>#REF!</v>
      </c>
      <c r="BC348" t="e">
        <f>AND(#REF!,"AAAAAH//2zY=")</f>
        <v>#REF!</v>
      </c>
      <c r="BD348" t="e">
        <f>AND(#REF!,"AAAAAH//2zc=")</f>
        <v>#REF!</v>
      </c>
      <c r="BE348" t="e">
        <f>AND(#REF!,"AAAAAH//2zg=")</f>
        <v>#REF!</v>
      </c>
      <c r="BF348" t="e">
        <f>AND(#REF!,"AAAAAH//2zk=")</f>
        <v>#REF!</v>
      </c>
      <c r="BG348" t="e">
        <f>AND(#REF!,"AAAAAH//2zo=")</f>
        <v>#REF!</v>
      </c>
      <c r="BH348" t="e">
        <f>AND(#REF!,"AAAAAH//2zs=")</f>
        <v>#REF!</v>
      </c>
      <c r="BI348" t="e">
        <f>AND(#REF!,"AAAAAH//2zw=")</f>
        <v>#REF!</v>
      </c>
      <c r="BJ348" t="e">
        <f>AND(#REF!,"AAAAAH//2z0=")</f>
        <v>#REF!</v>
      </c>
      <c r="BK348" t="e">
        <f>AND(#REF!,"AAAAAH//2z4=")</f>
        <v>#REF!</v>
      </c>
      <c r="BL348" t="e">
        <f>AND(#REF!,"AAAAAH//2z8=")</f>
        <v>#REF!</v>
      </c>
      <c r="BM348" t="e">
        <f>AND(#REF!,"AAAAAH//20A=")</f>
        <v>#REF!</v>
      </c>
      <c r="BN348" t="e">
        <f>AND(#REF!,"AAAAAH//20E=")</f>
        <v>#REF!</v>
      </c>
      <c r="BO348" t="e">
        <f>AND(#REF!,"AAAAAH//20I=")</f>
        <v>#REF!</v>
      </c>
      <c r="BP348" t="e">
        <f>AND(#REF!,"AAAAAH//20M=")</f>
        <v>#REF!</v>
      </c>
      <c r="BQ348" t="e">
        <f>AND(#REF!,"AAAAAH//20Q=")</f>
        <v>#REF!</v>
      </c>
      <c r="BR348" t="e">
        <f>AND(#REF!,"AAAAAH//20U=")</f>
        <v>#REF!</v>
      </c>
      <c r="BS348" t="e">
        <f>AND(#REF!,"AAAAAH//20Y=")</f>
        <v>#REF!</v>
      </c>
      <c r="BT348" t="e">
        <f>AND(#REF!,"AAAAAH//20c=")</f>
        <v>#REF!</v>
      </c>
      <c r="BU348" t="e">
        <f>AND(#REF!,"AAAAAH//20g=")</f>
        <v>#REF!</v>
      </c>
      <c r="BV348" t="e">
        <f>AND(#REF!,"AAAAAH//20k=")</f>
        <v>#REF!</v>
      </c>
      <c r="BW348" t="e">
        <f>AND(#REF!,"AAAAAH//20o=")</f>
        <v>#REF!</v>
      </c>
      <c r="BX348" t="e">
        <f>AND(#REF!,"AAAAAH//20s=")</f>
        <v>#REF!</v>
      </c>
      <c r="BY348" t="e">
        <f>AND(#REF!,"AAAAAH//20w=")</f>
        <v>#REF!</v>
      </c>
      <c r="BZ348" t="e">
        <f>AND(#REF!,"AAAAAH//200=")</f>
        <v>#REF!</v>
      </c>
      <c r="CA348" t="e">
        <f>IF(#REF!,"AAAAAH//204=",0)</f>
        <v>#REF!</v>
      </c>
      <c r="CB348" t="e">
        <f>AND(#REF!,"AAAAAH//208=")</f>
        <v>#REF!</v>
      </c>
      <c r="CC348" t="e">
        <f>AND(#REF!,"AAAAAH//21A=")</f>
        <v>#REF!</v>
      </c>
      <c r="CD348" t="e">
        <f>AND(#REF!,"AAAAAH//21E=")</f>
        <v>#REF!</v>
      </c>
      <c r="CE348" t="e">
        <f>AND(#REF!,"AAAAAH//21I=")</f>
        <v>#REF!</v>
      </c>
      <c r="CF348" t="e">
        <f>AND(#REF!,"AAAAAH//21M=")</f>
        <v>#REF!</v>
      </c>
      <c r="CG348" t="e">
        <f>AND(#REF!,"AAAAAH//21Q=")</f>
        <v>#REF!</v>
      </c>
      <c r="CH348" t="e">
        <f>AND(#REF!,"AAAAAH//21U=")</f>
        <v>#REF!</v>
      </c>
      <c r="CI348" t="e">
        <f>AND(#REF!,"AAAAAH//21Y=")</f>
        <v>#REF!</v>
      </c>
      <c r="CJ348" t="e">
        <f>AND(#REF!,"AAAAAH//21c=")</f>
        <v>#REF!</v>
      </c>
      <c r="CK348" t="e">
        <f>AND(#REF!,"AAAAAH//21g=")</f>
        <v>#REF!</v>
      </c>
      <c r="CL348" t="e">
        <f>AND(#REF!,"AAAAAH//21k=")</f>
        <v>#REF!</v>
      </c>
      <c r="CM348" t="e">
        <f>AND(#REF!,"AAAAAH//21o=")</f>
        <v>#REF!</v>
      </c>
      <c r="CN348" t="e">
        <f>AND(#REF!,"AAAAAH//21s=")</f>
        <v>#REF!</v>
      </c>
      <c r="CO348" t="e">
        <f>AND(#REF!,"AAAAAH//21w=")</f>
        <v>#REF!</v>
      </c>
      <c r="CP348" t="e">
        <f>AND(#REF!,"AAAAAH//210=")</f>
        <v>#REF!</v>
      </c>
      <c r="CQ348" t="e">
        <f>AND(#REF!,"AAAAAH//214=")</f>
        <v>#REF!</v>
      </c>
      <c r="CR348" t="e">
        <f>AND(#REF!,"AAAAAH//218=")</f>
        <v>#REF!</v>
      </c>
      <c r="CS348" t="e">
        <f>AND(#REF!,"AAAAAH//22A=")</f>
        <v>#REF!</v>
      </c>
      <c r="CT348" t="e">
        <f>AND(#REF!,"AAAAAH//22E=")</f>
        <v>#REF!</v>
      </c>
      <c r="CU348" t="e">
        <f>AND(#REF!,"AAAAAH//22I=")</f>
        <v>#REF!</v>
      </c>
      <c r="CV348" t="e">
        <f>AND(#REF!,"AAAAAH//22M=")</f>
        <v>#REF!</v>
      </c>
      <c r="CW348" t="e">
        <f>AND(#REF!,"AAAAAH//22Q=")</f>
        <v>#REF!</v>
      </c>
      <c r="CX348" t="e">
        <f>AND(#REF!,"AAAAAH//22U=")</f>
        <v>#REF!</v>
      </c>
      <c r="CY348" t="e">
        <f>AND(#REF!,"AAAAAH//22Y=")</f>
        <v>#REF!</v>
      </c>
      <c r="CZ348" t="e">
        <f>IF(#REF!,"AAAAAH//22c=",0)</f>
        <v>#REF!</v>
      </c>
      <c r="DA348" t="e">
        <f>AND(#REF!,"AAAAAH//22g=")</f>
        <v>#REF!</v>
      </c>
      <c r="DB348" t="e">
        <f>AND(#REF!,"AAAAAH//22k=")</f>
        <v>#REF!</v>
      </c>
      <c r="DC348" t="e">
        <f>AND(#REF!,"AAAAAH//22o=")</f>
        <v>#REF!</v>
      </c>
      <c r="DD348" t="e">
        <f>AND(#REF!,"AAAAAH//22s=")</f>
        <v>#REF!</v>
      </c>
      <c r="DE348" t="e">
        <f>AND(#REF!,"AAAAAH//22w=")</f>
        <v>#REF!</v>
      </c>
      <c r="DF348" t="e">
        <f>AND(#REF!,"AAAAAH//220=")</f>
        <v>#REF!</v>
      </c>
      <c r="DG348" t="e">
        <f>AND(#REF!,"AAAAAH//224=")</f>
        <v>#REF!</v>
      </c>
      <c r="DH348" t="e">
        <f>AND(#REF!,"AAAAAH//228=")</f>
        <v>#REF!</v>
      </c>
      <c r="DI348" t="e">
        <f>AND(#REF!,"AAAAAH//23A=")</f>
        <v>#REF!</v>
      </c>
      <c r="DJ348" t="e">
        <f>AND(#REF!,"AAAAAH//23E=")</f>
        <v>#REF!</v>
      </c>
      <c r="DK348" t="e">
        <f>AND(#REF!,"AAAAAH//23I=")</f>
        <v>#REF!</v>
      </c>
      <c r="DL348" t="e">
        <f>AND(#REF!,"AAAAAH//23M=")</f>
        <v>#REF!</v>
      </c>
      <c r="DM348" t="e">
        <f>AND(#REF!,"AAAAAH//23Q=")</f>
        <v>#REF!</v>
      </c>
      <c r="DN348" t="e">
        <f>AND(#REF!,"AAAAAH//23U=")</f>
        <v>#REF!</v>
      </c>
      <c r="DO348" t="e">
        <f>AND(#REF!,"AAAAAH//23Y=")</f>
        <v>#REF!</v>
      </c>
      <c r="DP348" t="e">
        <f>AND(#REF!,"AAAAAH//23c=")</f>
        <v>#REF!</v>
      </c>
      <c r="DQ348" t="e">
        <f>AND(#REF!,"AAAAAH//23g=")</f>
        <v>#REF!</v>
      </c>
      <c r="DR348" t="e">
        <f>AND(#REF!,"AAAAAH//23k=")</f>
        <v>#REF!</v>
      </c>
      <c r="DS348" t="e">
        <f>AND(#REF!,"AAAAAH//23o=")</f>
        <v>#REF!</v>
      </c>
      <c r="DT348" t="e">
        <f>AND(#REF!,"AAAAAH//23s=")</f>
        <v>#REF!</v>
      </c>
      <c r="DU348" t="e">
        <f>AND(#REF!,"AAAAAH//23w=")</f>
        <v>#REF!</v>
      </c>
      <c r="DV348" t="e">
        <f>AND(#REF!,"AAAAAH//230=")</f>
        <v>#REF!</v>
      </c>
      <c r="DW348" t="e">
        <f>AND(#REF!,"AAAAAH//234=")</f>
        <v>#REF!</v>
      </c>
      <c r="DX348" t="e">
        <f>AND(#REF!,"AAAAAH//238=")</f>
        <v>#REF!</v>
      </c>
      <c r="DY348" t="e">
        <f>IF(#REF!,"AAAAAH//24A=",0)</f>
        <v>#REF!</v>
      </c>
      <c r="DZ348" t="e">
        <f>AND(#REF!,"AAAAAH//24E=")</f>
        <v>#REF!</v>
      </c>
      <c r="EA348" t="e">
        <f>AND(#REF!,"AAAAAH//24I=")</f>
        <v>#REF!</v>
      </c>
      <c r="EB348" t="e">
        <f>AND(#REF!,"AAAAAH//24M=")</f>
        <v>#REF!</v>
      </c>
      <c r="EC348" t="e">
        <f>AND(#REF!,"AAAAAH//24Q=")</f>
        <v>#REF!</v>
      </c>
      <c r="ED348" t="e">
        <f>AND(#REF!,"AAAAAH//24U=")</f>
        <v>#REF!</v>
      </c>
      <c r="EE348" t="e">
        <f>AND(#REF!,"AAAAAH//24Y=")</f>
        <v>#REF!</v>
      </c>
      <c r="EF348" t="e">
        <f>AND(#REF!,"AAAAAH//24c=")</f>
        <v>#REF!</v>
      </c>
      <c r="EG348" t="e">
        <f>AND(#REF!,"AAAAAH//24g=")</f>
        <v>#REF!</v>
      </c>
      <c r="EH348" t="e">
        <f>AND(#REF!,"AAAAAH//24k=")</f>
        <v>#REF!</v>
      </c>
      <c r="EI348" t="e">
        <f>AND(#REF!,"AAAAAH//24o=")</f>
        <v>#REF!</v>
      </c>
      <c r="EJ348" t="e">
        <f>AND(#REF!,"AAAAAH//24s=")</f>
        <v>#REF!</v>
      </c>
      <c r="EK348" t="e">
        <f>AND(#REF!,"AAAAAH//24w=")</f>
        <v>#REF!</v>
      </c>
      <c r="EL348" t="e">
        <f>AND(#REF!,"AAAAAH//240=")</f>
        <v>#REF!</v>
      </c>
      <c r="EM348" t="e">
        <f>AND(#REF!,"AAAAAH//244=")</f>
        <v>#REF!</v>
      </c>
      <c r="EN348" t="e">
        <f>AND(#REF!,"AAAAAH//248=")</f>
        <v>#REF!</v>
      </c>
      <c r="EO348" t="e">
        <f>AND(#REF!,"AAAAAH//25A=")</f>
        <v>#REF!</v>
      </c>
      <c r="EP348" t="e">
        <f>AND(#REF!,"AAAAAH//25E=")</f>
        <v>#REF!</v>
      </c>
      <c r="EQ348" t="e">
        <f>AND(#REF!,"AAAAAH//25I=")</f>
        <v>#REF!</v>
      </c>
      <c r="ER348" t="e">
        <f>AND(#REF!,"AAAAAH//25M=")</f>
        <v>#REF!</v>
      </c>
      <c r="ES348" t="e">
        <f>AND(#REF!,"AAAAAH//25Q=")</f>
        <v>#REF!</v>
      </c>
      <c r="ET348" t="e">
        <f>AND(#REF!,"AAAAAH//25U=")</f>
        <v>#REF!</v>
      </c>
      <c r="EU348" t="e">
        <f>AND(#REF!,"AAAAAH//25Y=")</f>
        <v>#REF!</v>
      </c>
      <c r="EV348" t="e">
        <f>AND(#REF!,"AAAAAH//25c=")</f>
        <v>#REF!</v>
      </c>
      <c r="EW348" t="e">
        <f>AND(#REF!,"AAAAAH//25g=")</f>
        <v>#REF!</v>
      </c>
      <c r="EX348" t="e">
        <f>IF(#REF!,"AAAAAH//25k=",0)</f>
        <v>#REF!</v>
      </c>
      <c r="EY348" t="e">
        <f>AND(#REF!,"AAAAAH//25o=")</f>
        <v>#REF!</v>
      </c>
      <c r="EZ348" t="e">
        <f>AND(#REF!,"AAAAAH//25s=")</f>
        <v>#REF!</v>
      </c>
      <c r="FA348" t="e">
        <f>AND(#REF!,"AAAAAH//25w=")</f>
        <v>#REF!</v>
      </c>
      <c r="FB348" t="e">
        <f>AND(#REF!,"AAAAAH//250=")</f>
        <v>#REF!</v>
      </c>
      <c r="FC348" t="e">
        <f>AND(#REF!,"AAAAAH//254=")</f>
        <v>#REF!</v>
      </c>
      <c r="FD348" t="e">
        <f>AND(#REF!,"AAAAAH//258=")</f>
        <v>#REF!</v>
      </c>
      <c r="FE348" t="e">
        <f>AND(#REF!,"AAAAAH//26A=")</f>
        <v>#REF!</v>
      </c>
      <c r="FF348" t="e">
        <f>AND(#REF!,"AAAAAH//26E=")</f>
        <v>#REF!</v>
      </c>
      <c r="FG348" t="e">
        <f>AND(#REF!,"AAAAAH//26I=")</f>
        <v>#REF!</v>
      </c>
      <c r="FH348" t="e">
        <f>AND(#REF!,"AAAAAH//26M=")</f>
        <v>#REF!</v>
      </c>
      <c r="FI348" t="e">
        <f>AND(#REF!,"AAAAAH//26Q=")</f>
        <v>#REF!</v>
      </c>
      <c r="FJ348" t="e">
        <f>AND(#REF!,"AAAAAH//26U=")</f>
        <v>#REF!</v>
      </c>
      <c r="FK348" t="e">
        <f>AND(#REF!,"AAAAAH//26Y=")</f>
        <v>#REF!</v>
      </c>
      <c r="FL348" t="e">
        <f>AND(#REF!,"AAAAAH//26c=")</f>
        <v>#REF!</v>
      </c>
      <c r="FM348" t="e">
        <f>AND(#REF!,"AAAAAH//26g=")</f>
        <v>#REF!</v>
      </c>
      <c r="FN348" t="e">
        <f>AND(#REF!,"AAAAAH//26k=")</f>
        <v>#REF!</v>
      </c>
      <c r="FO348" t="e">
        <f>AND(#REF!,"AAAAAH//26o=")</f>
        <v>#REF!</v>
      </c>
      <c r="FP348" t="e">
        <f>AND(#REF!,"AAAAAH//26s=")</f>
        <v>#REF!</v>
      </c>
      <c r="FQ348" t="e">
        <f>AND(#REF!,"AAAAAH//26w=")</f>
        <v>#REF!</v>
      </c>
      <c r="FR348" t="e">
        <f>AND(#REF!,"AAAAAH//260=")</f>
        <v>#REF!</v>
      </c>
      <c r="FS348" t="e">
        <f>AND(#REF!,"AAAAAH//264=")</f>
        <v>#REF!</v>
      </c>
      <c r="FT348" t="e">
        <f>AND(#REF!,"AAAAAH//268=")</f>
        <v>#REF!</v>
      </c>
      <c r="FU348" t="e">
        <f>AND(#REF!,"AAAAAH//27A=")</f>
        <v>#REF!</v>
      </c>
      <c r="FV348" t="e">
        <f>AND(#REF!,"AAAAAH//27E=")</f>
        <v>#REF!</v>
      </c>
      <c r="FW348" t="e">
        <f>IF(#REF!,"AAAAAH//27I=",0)</f>
        <v>#REF!</v>
      </c>
      <c r="FX348" t="e">
        <f>AND(#REF!,"AAAAAH//27M=")</f>
        <v>#REF!</v>
      </c>
      <c r="FY348" t="e">
        <f>AND(#REF!,"AAAAAH//27Q=")</f>
        <v>#REF!</v>
      </c>
      <c r="FZ348" t="e">
        <f>AND(#REF!,"AAAAAH//27U=")</f>
        <v>#REF!</v>
      </c>
      <c r="GA348" t="e">
        <f>AND(#REF!,"AAAAAH//27Y=")</f>
        <v>#REF!</v>
      </c>
      <c r="GB348" t="e">
        <f>AND(#REF!,"AAAAAH//27c=")</f>
        <v>#REF!</v>
      </c>
      <c r="GC348" t="e">
        <f>AND(#REF!,"AAAAAH//27g=")</f>
        <v>#REF!</v>
      </c>
      <c r="GD348" t="e">
        <f>AND(#REF!,"AAAAAH//27k=")</f>
        <v>#REF!</v>
      </c>
      <c r="GE348" t="e">
        <f>AND(#REF!,"AAAAAH//27o=")</f>
        <v>#REF!</v>
      </c>
      <c r="GF348" t="e">
        <f>AND(#REF!,"AAAAAH//27s=")</f>
        <v>#REF!</v>
      </c>
      <c r="GG348" t="e">
        <f>AND(#REF!,"AAAAAH//27w=")</f>
        <v>#REF!</v>
      </c>
      <c r="GH348" t="e">
        <f>AND(#REF!,"AAAAAH//270=")</f>
        <v>#REF!</v>
      </c>
      <c r="GI348" t="e">
        <f>AND(#REF!,"AAAAAH//274=")</f>
        <v>#REF!</v>
      </c>
      <c r="GJ348" t="e">
        <f>AND(#REF!,"AAAAAH//278=")</f>
        <v>#REF!</v>
      </c>
      <c r="GK348" t="e">
        <f>AND(#REF!,"AAAAAH//28A=")</f>
        <v>#REF!</v>
      </c>
      <c r="GL348" t="e">
        <f>AND(#REF!,"AAAAAH//28E=")</f>
        <v>#REF!</v>
      </c>
      <c r="GM348" t="e">
        <f>AND(#REF!,"AAAAAH//28I=")</f>
        <v>#REF!</v>
      </c>
      <c r="GN348" t="e">
        <f>AND(#REF!,"AAAAAH//28M=")</f>
        <v>#REF!</v>
      </c>
      <c r="GO348" t="e">
        <f>AND(#REF!,"AAAAAH//28Q=")</f>
        <v>#REF!</v>
      </c>
      <c r="GP348" t="e">
        <f>AND(#REF!,"AAAAAH//28U=")</f>
        <v>#REF!</v>
      </c>
      <c r="GQ348" t="e">
        <f>AND(#REF!,"AAAAAH//28Y=")</f>
        <v>#REF!</v>
      </c>
      <c r="GR348" t="e">
        <f>AND(#REF!,"AAAAAH//28c=")</f>
        <v>#REF!</v>
      </c>
      <c r="GS348" t="e">
        <f>AND(#REF!,"AAAAAH//28g=")</f>
        <v>#REF!</v>
      </c>
      <c r="GT348" t="e">
        <f>AND(#REF!,"AAAAAH//28k=")</f>
        <v>#REF!</v>
      </c>
      <c r="GU348" t="e">
        <f>AND(#REF!,"AAAAAH//28o=")</f>
        <v>#REF!</v>
      </c>
      <c r="GV348" t="e">
        <f>IF(#REF!,"AAAAAH//28s=",0)</f>
        <v>#REF!</v>
      </c>
      <c r="GW348" t="e">
        <f>AND(#REF!,"AAAAAH//28w=")</f>
        <v>#REF!</v>
      </c>
      <c r="GX348" t="e">
        <f>AND(#REF!,"AAAAAH//280=")</f>
        <v>#REF!</v>
      </c>
      <c r="GY348" t="e">
        <f>AND(#REF!,"AAAAAH//284=")</f>
        <v>#REF!</v>
      </c>
      <c r="GZ348" t="e">
        <f>AND(#REF!,"AAAAAH//288=")</f>
        <v>#REF!</v>
      </c>
      <c r="HA348" t="e">
        <f>AND(#REF!,"AAAAAH//29A=")</f>
        <v>#REF!</v>
      </c>
      <c r="HB348" t="e">
        <f>AND(#REF!,"AAAAAH//29E=")</f>
        <v>#REF!</v>
      </c>
      <c r="HC348" t="e">
        <f>AND(#REF!,"AAAAAH//29I=")</f>
        <v>#REF!</v>
      </c>
      <c r="HD348" t="e">
        <f>AND(#REF!,"AAAAAH//29M=")</f>
        <v>#REF!</v>
      </c>
      <c r="HE348" t="e">
        <f>AND(#REF!,"AAAAAH//29Q=")</f>
        <v>#REF!</v>
      </c>
      <c r="HF348" t="e">
        <f>AND(#REF!,"AAAAAH//29U=")</f>
        <v>#REF!</v>
      </c>
      <c r="HG348" t="e">
        <f>AND(#REF!,"AAAAAH//29Y=")</f>
        <v>#REF!</v>
      </c>
      <c r="HH348" t="e">
        <f>AND(#REF!,"AAAAAH//29c=")</f>
        <v>#REF!</v>
      </c>
      <c r="HI348" t="e">
        <f>AND(#REF!,"AAAAAH//29g=")</f>
        <v>#REF!</v>
      </c>
      <c r="HJ348" t="e">
        <f>AND(#REF!,"AAAAAH//29k=")</f>
        <v>#REF!</v>
      </c>
      <c r="HK348" t="e">
        <f>AND(#REF!,"AAAAAH//29o=")</f>
        <v>#REF!</v>
      </c>
      <c r="HL348" t="e">
        <f>AND(#REF!,"AAAAAH//29s=")</f>
        <v>#REF!</v>
      </c>
      <c r="HM348" t="e">
        <f>AND(#REF!,"AAAAAH//29w=")</f>
        <v>#REF!</v>
      </c>
      <c r="HN348" t="e">
        <f>AND(#REF!,"AAAAAH//290=")</f>
        <v>#REF!</v>
      </c>
      <c r="HO348" t="e">
        <f>AND(#REF!,"AAAAAH//294=")</f>
        <v>#REF!</v>
      </c>
      <c r="HP348" t="e">
        <f>AND(#REF!,"AAAAAH//298=")</f>
        <v>#REF!</v>
      </c>
      <c r="HQ348" t="e">
        <f>AND(#REF!,"AAAAAH//2+A=")</f>
        <v>#REF!</v>
      </c>
      <c r="HR348" t="e">
        <f>AND(#REF!,"AAAAAH//2+E=")</f>
        <v>#REF!</v>
      </c>
      <c r="HS348" t="e">
        <f>AND(#REF!,"AAAAAH//2+I=")</f>
        <v>#REF!</v>
      </c>
      <c r="HT348" t="e">
        <f>AND(#REF!,"AAAAAH//2+M=")</f>
        <v>#REF!</v>
      </c>
      <c r="HU348" t="e">
        <f>IF(#REF!,"AAAAAH//2+Q=",0)</f>
        <v>#REF!</v>
      </c>
      <c r="HV348" t="e">
        <f>AND(#REF!,"AAAAAH//2+U=")</f>
        <v>#REF!</v>
      </c>
      <c r="HW348" t="e">
        <f>AND(#REF!,"AAAAAH//2+Y=")</f>
        <v>#REF!</v>
      </c>
      <c r="HX348" t="e">
        <f>AND(#REF!,"AAAAAH//2+c=")</f>
        <v>#REF!</v>
      </c>
      <c r="HY348" t="e">
        <f>AND(#REF!,"AAAAAH//2+g=")</f>
        <v>#REF!</v>
      </c>
      <c r="HZ348" t="e">
        <f>AND(#REF!,"AAAAAH//2+k=")</f>
        <v>#REF!</v>
      </c>
      <c r="IA348" t="e">
        <f>AND(#REF!,"AAAAAH//2+o=")</f>
        <v>#REF!</v>
      </c>
      <c r="IB348" t="e">
        <f>AND(#REF!,"AAAAAH//2+s=")</f>
        <v>#REF!</v>
      </c>
      <c r="IC348" t="e">
        <f>AND(#REF!,"AAAAAH//2+w=")</f>
        <v>#REF!</v>
      </c>
      <c r="ID348" t="e">
        <f>AND(#REF!,"AAAAAH//2+0=")</f>
        <v>#REF!</v>
      </c>
      <c r="IE348" t="e">
        <f>AND(#REF!,"AAAAAH//2+4=")</f>
        <v>#REF!</v>
      </c>
      <c r="IF348" t="e">
        <f>AND(#REF!,"AAAAAH//2+8=")</f>
        <v>#REF!</v>
      </c>
      <c r="IG348" t="e">
        <f>AND(#REF!,"AAAAAH//2/A=")</f>
        <v>#REF!</v>
      </c>
      <c r="IH348" t="e">
        <f>AND(#REF!,"AAAAAH//2/E=")</f>
        <v>#REF!</v>
      </c>
      <c r="II348" t="e">
        <f>AND(#REF!,"AAAAAH//2/I=")</f>
        <v>#REF!</v>
      </c>
      <c r="IJ348" t="e">
        <f>AND(#REF!,"AAAAAH//2/M=")</f>
        <v>#REF!</v>
      </c>
      <c r="IK348" t="e">
        <f>AND(#REF!,"AAAAAH//2/Q=")</f>
        <v>#REF!</v>
      </c>
      <c r="IL348" t="e">
        <f>AND(#REF!,"AAAAAH//2/U=")</f>
        <v>#REF!</v>
      </c>
      <c r="IM348" t="e">
        <f>AND(#REF!,"AAAAAH//2/Y=")</f>
        <v>#REF!</v>
      </c>
      <c r="IN348" t="e">
        <f>AND(#REF!,"AAAAAH//2/c=")</f>
        <v>#REF!</v>
      </c>
      <c r="IO348" t="e">
        <f>AND(#REF!,"AAAAAH//2/g=")</f>
        <v>#REF!</v>
      </c>
      <c r="IP348" t="e">
        <f>AND(#REF!,"AAAAAH//2/k=")</f>
        <v>#REF!</v>
      </c>
      <c r="IQ348" t="e">
        <f>AND(#REF!,"AAAAAH//2/o=")</f>
        <v>#REF!</v>
      </c>
      <c r="IR348" t="e">
        <f>AND(#REF!,"AAAAAH//2/s=")</f>
        <v>#REF!</v>
      </c>
      <c r="IS348" t="e">
        <f>AND(#REF!,"AAAAAH//2/w=")</f>
        <v>#REF!</v>
      </c>
      <c r="IT348" t="e">
        <f>IF(#REF!,"AAAAAH//2/0=",0)</f>
        <v>#REF!</v>
      </c>
      <c r="IU348" t="e">
        <f>AND(#REF!,"AAAAAH//2/4=")</f>
        <v>#REF!</v>
      </c>
      <c r="IV348" t="e">
        <f>AND(#REF!,"AAAAAH//2/8=")</f>
        <v>#REF!</v>
      </c>
    </row>
    <row r="349" spans="1:256">
      <c r="A349" t="e">
        <f>AND(#REF!,"AAAAAG/l9QA=")</f>
        <v>#REF!</v>
      </c>
      <c r="B349" t="e">
        <f>AND(#REF!,"AAAAAG/l9QE=")</f>
        <v>#REF!</v>
      </c>
      <c r="C349" t="e">
        <f>AND(#REF!,"AAAAAG/l9QI=")</f>
        <v>#REF!</v>
      </c>
      <c r="D349" t="e">
        <f>AND(#REF!,"AAAAAG/l9QM=")</f>
        <v>#REF!</v>
      </c>
      <c r="E349" t="e">
        <f>AND(#REF!,"AAAAAG/l9QQ=")</f>
        <v>#REF!</v>
      </c>
      <c r="F349" t="e">
        <f>AND(#REF!,"AAAAAG/l9QU=")</f>
        <v>#REF!</v>
      </c>
      <c r="G349" t="e">
        <f>AND(#REF!,"AAAAAG/l9QY=")</f>
        <v>#REF!</v>
      </c>
      <c r="H349" t="e">
        <f>AND(#REF!,"AAAAAG/l9Qc=")</f>
        <v>#REF!</v>
      </c>
      <c r="I349" t="e">
        <f>AND(#REF!,"AAAAAG/l9Qg=")</f>
        <v>#REF!</v>
      </c>
      <c r="J349" t="e">
        <f>AND(#REF!,"AAAAAG/l9Qk=")</f>
        <v>#REF!</v>
      </c>
      <c r="K349" t="e">
        <f>AND(#REF!,"AAAAAG/l9Qo=")</f>
        <v>#REF!</v>
      </c>
      <c r="L349" t="e">
        <f>AND(#REF!,"AAAAAG/l9Qs=")</f>
        <v>#REF!</v>
      </c>
      <c r="M349" t="e">
        <f>AND(#REF!,"AAAAAG/l9Qw=")</f>
        <v>#REF!</v>
      </c>
      <c r="N349" t="e">
        <f>AND(#REF!,"AAAAAG/l9Q0=")</f>
        <v>#REF!</v>
      </c>
      <c r="O349" t="e">
        <f>AND(#REF!,"AAAAAG/l9Q4=")</f>
        <v>#REF!</v>
      </c>
      <c r="P349" t="e">
        <f>AND(#REF!,"AAAAAG/l9Q8=")</f>
        <v>#REF!</v>
      </c>
      <c r="Q349" t="e">
        <f>AND(#REF!,"AAAAAG/l9RA=")</f>
        <v>#REF!</v>
      </c>
      <c r="R349" t="e">
        <f>AND(#REF!,"AAAAAG/l9RE=")</f>
        <v>#REF!</v>
      </c>
      <c r="S349" t="e">
        <f>AND(#REF!,"AAAAAG/l9RI=")</f>
        <v>#REF!</v>
      </c>
      <c r="T349" t="e">
        <f>AND(#REF!,"AAAAAG/l9RM=")</f>
        <v>#REF!</v>
      </c>
      <c r="U349" t="e">
        <f>AND(#REF!,"AAAAAG/l9RQ=")</f>
        <v>#REF!</v>
      </c>
      <c r="V349" t="e">
        <f>AND(#REF!,"AAAAAG/l9RU=")</f>
        <v>#REF!</v>
      </c>
      <c r="W349" t="e">
        <f>IF(#REF!,"AAAAAG/l9RY=",0)</f>
        <v>#REF!</v>
      </c>
      <c r="X349" t="e">
        <f>AND(#REF!,"AAAAAG/l9Rc=")</f>
        <v>#REF!</v>
      </c>
      <c r="Y349" t="e">
        <f>AND(#REF!,"AAAAAG/l9Rg=")</f>
        <v>#REF!</v>
      </c>
      <c r="Z349" t="e">
        <f>AND(#REF!,"AAAAAG/l9Rk=")</f>
        <v>#REF!</v>
      </c>
      <c r="AA349" t="e">
        <f>AND(#REF!,"AAAAAG/l9Ro=")</f>
        <v>#REF!</v>
      </c>
      <c r="AB349" t="e">
        <f>AND(#REF!,"AAAAAG/l9Rs=")</f>
        <v>#REF!</v>
      </c>
      <c r="AC349" t="e">
        <f>AND(#REF!,"AAAAAG/l9Rw=")</f>
        <v>#REF!</v>
      </c>
      <c r="AD349" t="e">
        <f>AND(#REF!,"AAAAAG/l9R0=")</f>
        <v>#REF!</v>
      </c>
      <c r="AE349" t="e">
        <f>AND(#REF!,"AAAAAG/l9R4=")</f>
        <v>#REF!</v>
      </c>
      <c r="AF349" t="e">
        <f>AND(#REF!,"AAAAAG/l9R8=")</f>
        <v>#REF!</v>
      </c>
      <c r="AG349" t="e">
        <f>AND(#REF!,"AAAAAG/l9SA=")</f>
        <v>#REF!</v>
      </c>
      <c r="AH349" t="e">
        <f>AND(#REF!,"AAAAAG/l9SE=")</f>
        <v>#REF!</v>
      </c>
      <c r="AI349" t="e">
        <f>AND(#REF!,"AAAAAG/l9SI=")</f>
        <v>#REF!</v>
      </c>
      <c r="AJ349" t="e">
        <f>AND(#REF!,"AAAAAG/l9SM=")</f>
        <v>#REF!</v>
      </c>
      <c r="AK349" t="e">
        <f>AND(#REF!,"AAAAAG/l9SQ=")</f>
        <v>#REF!</v>
      </c>
      <c r="AL349" t="e">
        <f>AND(#REF!,"AAAAAG/l9SU=")</f>
        <v>#REF!</v>
      </c>
      <c r="AM349" t="e">
        <f>AND(#REF!,"AAAAAG/l9SY=")</f>
        <v>#REF!</v>
      </c>
      <c r="AN349" t="e">
        <f>AND(#REF!,"AAAAAG/l9Sc=")</f>
        <v>#REF!</v>
      </c>
      <c r="AO349" t="e">
        <f>AND(#REF!,"AAAAAG/l9Sg=")</f>
        <v>#REF!</v>
      </c>
      <c r="AP349" t="e">
        <f>AND(#REF!,"AAAAAG/l9Sk=")</f>
        <v>#REF!</v>
      </c>
      <c r="AQ349" t="e">
        <f>AND(#REF!,"AAAAAG/l9So=")</f>
        <v>#REF!</v>
      </c>
      <c r="AR349" t="e">
        <f>AND(#REF!,"AAAAAG/l9Ss=")</f>
        <v>#REF!</v>
      </c>
      <c r="AS349" t="e">
        <f>AND(#REF!,"AAAAAG/l9Sw=")</f>
        <v>#REF!</v>
      </c>
      <c r="AT349" t="e">
        <f>AND(#REF!,"AAAAAG/l9S0=")</f>
        <v>#REF!</v>
      </c>
      <c r="AU349" t="e">
        <f>AND(#REF!,"AAAAAG/l9S4=")</f>
        <v>#REF!</v>
      </c>
      <c r="AV349" t="e">
        <f>IF(#REF!,"AAAAAG/l9S8=",0)</f>
        <v>#REF!</v>
      </c>
      <c r="AW349" t="e">
        <f>AND(#REF!,"AAAAAG/l9TA=")</f>
        <v>#REF!</v>
      </c>
      <c r="AX349" t="e">
        <f>AND(#REF!,"AAAAAG/l9TE=")</f>
        <v>#REF!</v>
      </c>
      <c r="AY349" t="e">
        <f>AND(#REF!,"AAAAAG/l9TI=")</f>
        <v>#REF!</v>
      </c>
      <c r="AZ349" t="e">
        <f>AND(#REF!,"AAAAAG/l9TM=")</f>
        <v>#REF!</v>
      </c>
      <c r="BA349" t="e">
        <f>AND(#REF!,"AAAAAG/l9TQ=")</f>
        <v>#REF!</v>
      </c>
      <c r="BB349" t="e">
        <f>AND(#REF!,"AAAAAG/l9TU=")</f>
        <v>#REF!</v>
      </c>
      <c r="BC349" t="e">
        <f>AND(#REF!,"AAAAAG/l9TY=")</f>
        <v>#REF!</v>
      </c>
      <c r="BD349" t="e">
        <f>AND(#REF!,"AAAAAG/l9Tc=")</f>
        <v>#REF!</v>
      </c>
      <c r="BE349" t="e">
        <f>AND(#REF!,"AAAAAG/l9Tg=")</f>
        <v>#REF!</v>
      </c>
      <c r="BF349" t="e">
        <f>AND(#REF!,"AAAAAG/l9Tk=")</f>
        <v>#REF!</v>
      </c>
      <c r="BG349" t="e">
        <f>AND(#REF!,"AAAAAG/l9To=")</f>
        <v>#REF!</v>
      </c>
      <c r="BH349" t="e">
        <f>AND(#REF!,"AAAAAG/l9Ts=")</f>
        <v>#REF!</v>
      </c>
      <c r="BI349" t="e">
        <f>AND(#REF!,"AAAAAG/l9Tw=")</f>
        <v>#REF!</v>
      </c>
      <c r="BJ349" t="e">
        <f>AND(#REF!,"AAAAAG/l9T0=")</f>
        <v>#REF!</v>
      </c>
      <c r="BK349" t="e">
        <f>AND(#REF!,"AAAAAG/l9T4=")</f>
        <v>#REF!</v>
      </c>
      <c r="BL349" t="e">
        <f>AND(#REF!,"AAAAAG/l9T8=")</f>
        <v>#REF!</v>
      </c>
      <c r="BM349" t="e">
        <f>AND(#REF!,"AAAAAG/l9UA=")</f>
        <v>#REF!</v>
      </c>
      <c r="BN349" t="e">
        <f>AND(#REF!,"AAAAAG/l9UE=")</f>
        <v>#REF!</v>
      </c>
      <c r="BO349" t="e">
        <f>AND(#REF!,"AAAAAG/l9UI=")</f>
        <v>#REF!</v>
      </c>
      <c r="BP349" t="e">
        <f>AND(#REF!,"AAAAAG/l9UM=")</f>
        <v>#REF!</v>
      </c>
      <c r="BQ349" t="e">
        <f>AND(#REF!,"AAAAAG/l9UQ=")</f>
        <v>#REF!</v>
      </c>
      <c r="BR349" t="e">
        <f>AND(#REF!,"AAAAAG/l9UU=")</f>
        <v>#REF!</v>
      </c>
      <c r="BS349" t="e">
        <f>AND(#REF!,"AAAAAG/l9UY=")</f>
        <v>#REF!</v>
      </c>
      <c r="BT349" t="e">
        <f>AND(#REF!,"AAAAAG/l9Uc=")</f>
        <v>#REF!</v>
      </c>
      <c r="BU349" t="e">
        <f>IF(#REF!,"AAAAAG/l9Ug=",0)</f>
        <v>#REF!</v>
      </c>
      <c r="BV349" t="e">
        <f>AND(#REF!,"AAAAAG/l9Uk=")</f>
        <v>#REF!</v>
      </c>
      <c r="BW349" t="e">
        <f>AND(#REF!,"AAAAAG/l9Uo=")</f>
        <v>#REF!</v>
      </c>
      <c r="BX349" t="e">
        <f>AND(#REF!,"AAAAAG/l9Us=")</f>
        <v>#REF!</v>
      </c>
      <c r="BY349" t="e">
        <f>AND(#REF!,"AAAAAG/l9Uw=")</f>
        <v>#REF!</v>
      </c>
      <c r="BZ349" t="e">
        <f>AND(#REF!,"AAAAAG/l9U0=")</f>
        <v>#REF!</v>
      </c>
      <c r="CA349" t="e">
        <f>AND(#REF!,"AAAAAG/l9U4=")</f>
        <v>#REF!</v>
      </c>
      <c r="CB349" t="e">
        <f>AND(#REF!,"AAAAAG/l9U8=")</f>
        <v>#REF!</v>
      </c>
      <c r="CC349" t="e">
        <f>AND(#REF!,"AAAAAG/l9VA=")</f>
        <v>#REF!</v>
      </c>
      <c r="CD349" t="e">
        <f>AND(#REF!,"AAAAAG/l9VE=")</f>
        <v>#REF!</v>
      </c>
      <c r="CE349" t="e">
        <f>AND(#REF!,"AAAAAG/l9VI=")</f>
        <v>#REF!</v>
      </c>
      <c r="CF349" t="e">
        <f>AND(#REF!,"AAAAAG/l9VM=")</f>
        <v>#REF!</v>
      </c>
      <c r="CG349" t="e">
        <f>AND(#REF!,"AAAAAG/l9VQ=")</f>
        <v>#REF!</v>
      </c>
      <c r="CH349" t="e">
        <f>AND(#REF!,"AAAAAG/l9VU=")</f>
        <v>#REF!</v>
      </c>
      <c r="CI349" t="e">
        <f>AND(#REF!,"AAAAAG/l9VY=")</f>
        <v>#REF!</v>
      </c>
      <c r="CJ349" t="e">
        <f>AND(#REF!,"AAAAAG/l9Vc=")</f>
        <v>#REF!</v>
      </c>
      <c r="CK349" t="e">
        <f>AND(#REF!,"AAAAAG/l9Vg=")</f>
        <v>#REF!</v>
      </c>
      <c r="CL349" t="e">
        <f>AND(#REF!,"AAAAAG/l9Vk=")</f>
        <v>#REF!</v>
      </c>
      <c r="CM349" t="e">
        <f>AND(#REF!,"AAAAAG/l9Vo=")</f>
        <v>#REF!</v>
      </c>
      <c r="CN349" t="e">
        <f>AND(#REF!,"AAAAAG/l9Vs=")</f>
        <v>#REF!</v>
      </c>
      <c r="CO349" t="e">
        <f>AND(#REF!,"AAAAAG/l9Vw=")</f>
        <v>#REF!</v>
      </c>
      <c r="CP349" t="e">
        <f>AND(#REF!,"AAAAAG/l9V0=")</f>
        <v>#REF!</v>
      </c>
      <c r="CQ349" t="e">
        <f>AND(#REF!,"AAAAAG/l9V4=")</f>
        <v>#REF!</v>
      </c>
      <c r="CR349" t="e">
        <f>AND(#REF!,"AAAAAG/l9V8=")</f>
        <v>#REF!</v>
      </c>
      <c r="CS349" t="e">
        <f>AND(#REF!,"AAAAAG/l9WA=")</f>
        <v>#REF!</v>
      </c>
      <c r="CT349" t="e">
        <f>IF(#REF!,"AAAAAG/l9WE=",0)</f>
        <v>#REF!</v>
      </c>
      <c r="CU349" t="e">
        <f>AND(#REF!,"AAAAAG/l9WI=")</f>
        <v>#REF!</v>
      </c>
      <c r="CV349" t="e">
        <f>AND(#REF!,"AAAAAG/l9WM=")</f>
        <v>#REF!</v>
      </c>
      <c r="CW349" t="e">
        <f>AND(#REF!,"AAAAAG/l9WQ=")</f>
        <v>#REF!</v>
      </c>
      <c r="CX349" t="e">
        <f>AND(#REF!,"AAAAAG/l9WU=")</f>
        <v>#REF!</v>
      </c>
      <c r="CY349" t="e">
        <f>AND(#REF!,"AAAAAG/l9WY=")</f>
        <v>#REF!</v>
      </c>
      <c r="CZ349" t="e">
        <f>AND(#REF!,"AAAAAG/l9Wc=")</f>
        <v>#REF!</v>
      </c>
      <c r="DA349" t="e">
        <f>AND(#REF!,"AAAAAG/l9Wg=")</f>
        <v>#REF!</v>
      </c>
      <c r="DB349" t="e">
        <f>AND(#REF!,"AAAAAG/l9Wk=")</f>
        <v>#REF!</v>
      </c>
      <c r="DC349" t="e">
        <f>AND(#REF!,"AAAAAG/l9Wo=")</f>
        <v>#REF!</v>
      </c>
      <c r="DD349" t="e">
        <f>AND(#REF!,"AAAAAG/l9Ws=")</f>
        <v>#REF!</v>
      </c>
      <c r="DE349" t="e">
        <f>AND(#REF!,"AAAAAG/l9Ww=")</f>
        <v>#REF!</v>
      </c>
      <c r="DF349" t="e">
        <f>AND(#REF!,"AAAAAG/l9W0=")</f>
        <v>#REF!</v>
      </c>
      <c r="DG349" t="e">
        <f>AND(#REF!,"AAAAAG/l9W4=")</f>
        <v>#REF!</v>
      </c>
      <c r="DH349" t="e">
        <f>AND(#REF!,"AAAAAG/l9W8=")</f>
        <v>#REF!</v>
      </c>
      <c r="DI349" t="e">
        <f>AND(#REF!,"AAAAAG/l9XA=")</f>
        <v>#REF!</v>
      </c>
      <c r="DJ349" t="e">
        <f>AND(#REF!,"AAAAAG/l9XE=")</f>
        <v>#REF!</v>
      </c>
      <c r="DK349" t="e">
        <f>AND(#REF!,"AAAAAG/l9XI=")</f>
        <v>#REF!</v>
      </c>
      <c r="DL349" t="e">
        <f>AND(#REF!,"AAAAAG/l9XM=")</f>
        <v>#REF!</v>
      </c>
      <c r="DM349" t="e">
        <f>AND(#REF!,"AAAAAG/l9XQ=")</f>
        <v>#REF!</v>
      </c>
      <c r="DN349" t="e">
        <f>AND(#REF!,"AAAAAG/l9XU=")</f>
        <v>#REF!</v>
      </c>
      <c r="DO349" t="e">
        <f>AND(#REF!,"AAAAAG/l9XY=")</f>
        <v>#REF!</v>
      </c>
      <c r="DP349" t="e">
        <f>AND(#REF!,"AAAAAG/l9Xc=")</f>
        <v>#REF!</v>
      </c>
      <c r="DQ349" t="e">
        <f>AND(#REF!,"AAAAAG/l9Xg=")</f>
        <v>#REF!</v>
      </c>
      <c r="DR349" t="e">
        <f>AND(#REF!,"AAAAAG/l9Xk=")</f>
        <v>#REF!</v>
      </c>
      <c r="DS349" t="e">
        <f>IF(#REF!,"AAAAAG/l9Xo=",0)</f>
        <v>#REF!</v>
      </c>
      <c r="DT349" t="e">
        <f>AND(#REF!,"AAAAAG/l9Xs=")</f>
        <v>#REF!</v>
      </c>
      <c r="DU349" t="e">
        <f>AND(#REF!,"AAAAAG/l9Xw=")</f>
        <v>#REF!</v>
      </c>
      <c r="DV349" t="e">
        <f>AND(#REF!,"AAAAAG/l9X0=")</f>
        <v>#REF!</v>
      </c>
      <c r="DW349" t="e">
        <f>AND(#REF!,"AAAAAG/l9X4=")</f>
        <v>#REF!</v>
      </c>
      <c r="DX349" t="e">
        <f>AND(#REF!,"AAAAAG/l9X8=")</f>
        <v>#REF!</v>
      </c>
      <c r="DY349" t="e">
        <f>AND(#REF!,"AAAAAG/l9YA=")</f>
        <v>#REF!</v>
      </c>
      <c r="DZ349" t="e">
        <f>AND(#REF!,"AAAAAG/l9YE=")</f>
        <v>#REF!</v>
      </c>
      <c r="EA349" t="e">
        <f>AND(#REF!,"AAAAAG/l9YI=")</f>
        <v>#REF!</v>
      </c>
      <c r="EB349" t="e">
        <f>AND(#REF!,"AAAAAG/l9YM=")</f>
        <v>#REF!</v>
      </c>
      <c r="EC349" t="e">
        <f>AND(#REF!,"AAAAAG/l9YQ=")</f>
        <v>#REF!</v>
      </c>
      <c r="ED349" t="e">
        <f>AND(#REF!,"AAAAAG/l9YU=")</f>
        <v>#REF!</v>
      </c>
      <c r="EE349" t="e">
        <f>AND(#REF!,"AAAAAG/l9YY=")</f>
        <v>#REF!</v>
      </c>
      <c r="EF349" t="e">
        <f>AND(#REF!,"AAAAAG/l9Yc=")</f>
        <v>#REF!</v>
      </c>
      <c r="EG349" t="e">
        <f>AND(#REF!,"AAAAAG/l9Yg=")</f>
        <v>#REF!</v>
      </c>
      <c r="EH349" t="e">
        <f>AND(#REF!,"AAAAAG/l9Yk=")</f>
        <v>#REF!</v>
      </c>
      <c r="EI349" t="e">
        <f>AND(#REF!,"AAAAAG/l9Yo=")</f>
        <v>#REF!</v>
      </c>
      <c r="EJ349" t="e">
        <f>AND(#REF!,"AAAAAG/l9Ys=")</f>
        <v>#REF!</v>
      </c>
      <c r="EK349" t="e">
        <f>AND(#REF!,"AAAAAG/l9Yw=")</f>
        <v>#REF!</v>
      </c>
      <c r="EL349" t="e">
        <f>AND(#REF!,"AAAAAG/l9Y0=")</f>
        <v>#REF!</v>
      </c>
      <c r="EM349" t="e">
        <f>AND(#REF!,"AAAAAG/l9Y4=")</f>
        <v>#REF!</v>
      </c>
      <c r="EN349" t="e">
        <f>AND(#REF!,"AAAAAG/l9Y8=")</f>
        <v>#REF!</v>
      </c>
      <c r="EO349" t="e">
        <f>AND(#REF!,"AAAAAG/l9ZA=")</f>
        <v>#REF!</v>
      </c>
      <c r="EP349" t="e">
        <f>AND(#REF!,"AAAAAG/l9ZE=")</f>
        <v>#REF!</v>
      </c>
      <c r="EQ349" t="e">
        <f>AND(#REF!,"AAAAAG/l9ZI=")</f>
        <v>#REF!</v>
      </c>
      <c r="ER349" t="e">
        <f>IF(#REF!,"AAAAAG/l9ZM=",0)</f>
        <v>#REF!</v>
      </c>
      <c r="ES349" t="e">
        <f>AND(#REF!,"AAAAAG/l9ZQ=")</f>
        <v>#REF!</v>
      </c>
      <c r="ET349" t="e">
        <f>AND(#REF!,"AAAAAG/l9ZU=")</f>
        <v>#REF!</v>
      </c>
      <c r="EU349" t="e">
        <f>AND(#REF!,"AAAAAG/l9ZY=")</f>
        <v>#REF!</v>
      </c>
      <c r="EV349" t="e">
        <f>AND(#REF!,"AAAAAG/l9Zc=")</f>
        <v>#REF!</v>
      </c>
      <c r="EW349" t="e">
        <f>AND(#REF!,"AAAAAG/l9Zg=")</f>
        <v>#REF!</v>
      </c>
      <c r="EX349" t="e">
        <f>AND(#REF!,"AAAAAG/l9Zk=")</f>
        <v>#REF!</v>
      </c>
      <c r="EY349" t="e">
        <f>AND(#REF!,"AAAAAG/l9Zo=")</f>
        <v>#REF!</v>
      </c>
      <c r="EZ349" t="e">
        <f>AND(#REF!,"AAAAAG/l9Zs=")</f>
        <v>#REF!</v>
      </c>
      <c r="FA349" t="e">
        <f>AND(#REF!,"AAAAAG/l9Zw=")</f>
        <v>#REF!</v>
      </c>
      <c r="FB349" t="e">
        <f>AND(#REF!,"AAAAAG/l9Z0=")</f>
        <v>#REF!</v>
      </c>
      <c r="FC349" t="e">
        <f>AND(#REF!,"AAAAAG/l9Z4=")</f>
        <v>#REF!</v>
      </c>
      <c r="FD349" t="e">
        <f>AND(#REF!,"AAAAAG/l9Z8=")</f>
        <v>#REF!</v>
      </c>
      <c r="FE349" t="e">
        <f>AND(#REF!,"AAAAAG/l9aA=")</f>
        <v>#REF!</v>
      </c>
      <c r="FF349" t="e">
        <f>AND(#REF!,"AAAAAG/l9aE=")</f>
        <v>#REF!</v>
      </c>
      <c r="FG349" t="e">
        <f>AND(#REF!,"AAAAAG/l9aI=")</f>
        <v>#REF!</v>
      </c>
      <c r="FH349" t="e">
        <f>AND(#REF!,"AAAAAG/l9aM=")</f>
        <v>#REF!</v>
      </c>
      <c r="FI349" t="e">
        <f>AND(#REF!,"AAAAAG/l9aQ=")</f>
        <v>#REF!</v>
      </c>
      <c r="FJ349" t="e">
        <f>AND(#REF!,"AAAAAG/l9aU=")</f>
        <v>#REF!</v>
      </c>
      <c r="FK349" t="e">
        <f>AND(#REF!,"AAAAAG/l9aY=")</f>
        <v>#REF!</v>
      </c>
      <c r="FL349" t="e">
        <f>AND(#REF!,"AAAAAG/l9ac=")</f>
        <v>#REF!</v>
      </c>
      <c r="FM349" t="e">
        <f>AND(#REF!,"AAAAAG/l9ag=")</f>
        <v>#REF!</v>
      </c>
      <c r="FN349" t="e">
        <f>AND(#REF!,"AAAAAG/l9ak=")</f>
        <v>#REF!</v>
      </c>
      <c r="FO349" t="e">
        <f>AND(#REF!,"AAAAAG/l9ao=")</f>
        <v>#REF!</v>
      </c>
      <c r="FP349" t="e">
        <f>AND(#REF!,"AAAAAG/l9as=")</f>
        <v>#REF!</v>
      </c>
      <c r="FQ349" t="e">
        <f>IF(#REF!,"AAAAAG/l9aw=",0)</f>
        <v>#REF!</v>
      </c>
      <c r="FR349" t="e">
        <f>AND(#REF!,"AAAAAG/l9a0=")</f>
        <v>#REF!</v>
      </c>
      <c r="FS349" t="e">
        <f>AND(#REF!,"AAAAAG/l9a4=")</f>
        <v>#REF!</v>
      </c>
      <c r="FT349" t="e">
        <f>AND(#REF!,"AAAAAG/l9a8=")</f>
        <v>#REF!</v>
      </c>
      <c r="FU349" t="e">
        <f>AND(#REF!,"AAAAAG/l9bA=")</f>
        <v>#REF!</v>
      </c>
      <c r="FV349" t="e">
        <f>AND(#REF!,"AAAAAG/l9bE=")</f>
        <v>#REF!</v>
      </c>
      <c r="FW349" t="e">
        <f>AND(#REF!,"AAAAAG/l9bI=")</f>
        <v>#REF!</v>
      </c>
      <c r="FX349" t="e">
        <f>AND(#REF!,"AAAAAG/l9bM=")</f>
        <v>#REF!</v>
      </c>
      <c r="FY349" t="e">
        <f>AND(#REF!,"AAAAAG/l9bQ=")</f>
        <v>#REF!</v>
      </c>
      <c r="FZ349" t="e">
        <f>AND(#REF!,"AAAAAG/l9bU=")</f>
        <v>#REF!</v>
      </c>
      <c r="GA349" t="e">
        <f>AND(#REF!,"AAAAAG/l9bY=")</f>
        <v>#REF!</v>
      </c>
      <c r="GB349" t="e">
        <f>AND(#REF!,"AAAAAG/l9bc=")</f>
        <v>#REF!</v>
      </c>
      <c r="GC349" t="e">
        <f>AND(#REF!,"AAAAAG/l9bg=")</f>
        <v>#REF!</v>
      </c>
      <c r="GD349" t="e">
        <f>AND(#REF!,"AAAAAG/l9bk=")</f>
        <v>#REF!</v>
      </c>
      <c r="GE349" t="e">
        <f>AND(#REF!,"AAAAAG/l9bo=")</f>
        <v>#REF!</v>
      </c>
      <c r="GF349" t="e">
        <f>AND(#REF!,"AAAAAG/l9bs=")</f>
        <v>#REF!</v>
      </c>
      <c r="GG349" t="e">
        <f>AND(#REF!,"AAAAAG/l9bw=")</f>
        <v>#REF!</v>
      </c>
      <c r="GH349" t="e">
        <f>AND(#REF!,"AAAAAG/l9b0=")</f>
        <v>#REF!</v>
      </c>
      <c r="GI349" t="e">
        <f>AND(#REF!,"AAAAAG/l9b4=")</f>
        <v>#REF!</v>
      </c>
      <c r="GJ349" t="e">
        <f>AND(#REF!,"AAAAAG/l9b8=")</f>
        <v>#REF!</v>
      </c>
      <c r="GK349" t="e">
        <f>AND(#REF!,"AAAAAG/l9cA=")</f>
        <v>#REF!</v>
      </c>
      <c r="GL349" t="e">
        <f>AND(#REF!,"AAAAAG/l9cE=")</f>
        <v>#REF!</v>
      </c>
      <c r="GM349" t="e">
        <f>AND(#REF!,"AAAAAG/l9cI=")</f>
        <v>#REF!</v>
      </c>
      <c r="GN349" t="e">
        <f>AND(#REF!,"AAAAAG/l9cM=")</f>
        <v>#REF!</v>
      </c>
      <c r="GO349" t="e">
        <f>AND(#REF!,"AAAAAG/l9cQ=")</f>
        <v>#REF!</v>
      </c>
      <c r="GP349" t="e">
        <f>IF(#REF!,"AAAAAG/l9cU=",0)</f>
        <v>#REF!</v>
      </c>
      <c r="GQ349" t="e">
        <f>AND(#REF!,"AAAAAG/l9cY=")</f>
        <v>#REF!</v>
      </c>
      <c r="GR349" t="e">
        <f>AND(#REF!,"AAAAAG/l9cc=")</f>
        <v>#REF!</v>
      </c>
      <c r="GS349" t="e">
        <f>AND(#REF!,"AAAAAG/l9cg=")</f>
        <v>#REF!</v>
      </c>
      <c r="GT349" t="e">
        <f>AND(#REF!,"AAAAAG/l9ck=")</f>
        <v>#REF!</v>
      </c>
      <c r="GU349" t="e">
        <f>AND(#REF!,"AAAAAG/l9co=")</f>
        <v>#REF!</v>
      </c>
      <c r="GV349" t="e">
        <f>AND(#REF!,"AAAAAG/l9cs=")</f>
        <v>#REF!</v>
      </c>
      <c r="GW349" t="e">
        <f>AND(#REF!,"AAAAAG/l9cw=")</f>
        <v>#REF!</v>
      </c>
      <c r="GX349" t="e">
        <f>AND(#REF!,"AAAAAG/l9c0=")</f>
        <v>#REF!</v>
      </c>
      <c r="GY349" t="e">
        <f>AND(#REF!,"AAAAAG/l9c4=")</f>
        <v>#REF!</v>
      </c>
      <c r="GZ349" t="e">
        <f>AND(#REF!,"AAAAAG/l9c8=")</f>
        <v>#REF!</v>
      </c>
      <c r="HA349" t="e">
        <f>AND(#REF!,"AAAAAG/l9dA=")</f>
        <v>#REF!</v>
      </c>
      <c r="HB349" t="e">
        <f>AND(#REF!,"AAAAAG/l9dE=")</f>
        <v>#REF!</v>
      </c>
      <c r="HC349" t="e">
        <f>AND(#REF!,"AAAAAG/l9dI=")</f>
        <v>#REF!</v>
      </c>
      <c r="HD349" t="e">
        <f>AND(#REF!,"AAAAAG/l9dM=")</f>
        <v>#REF!</v>
      </c>
      <c r="HE349" t="e">
        <f>AND(#REF!,"AAAAAG/l9dQ=")</f>
        <v>#REF!</v>
      </c>
      <c r="HF349" t="e">
        <f>AND(#REF!,"AAAAAG/l9dU=")</f>
        <v>#REF!</v>
      </c>
      <c r="HG349" t="e">
        <f>AND(#REF!,"AAAAAG/l9dY=")</f>
        <v>#REF!</v>
      </c>
      <c r="HH349" t="e">
        <f>AND(#REF!,"AAAAAG/l9dc=")</f>
        <v>#REF!</v>
      </c>
      <c r="HI349" t="e">
        <f>AND(#REF!,"AAAAAG/l9dg=")</f>
        <v>#REF!</v>
      </c>
      <c r="HJ349" t="e">
        <f>AND(#REF!,"AAAAAG/l9dk=")</f>
        <v>#REF!</v>
      </c>
      <c r="HK349" t="e">
        <f>AND(#REF!,"AAAAAG/l9do=")</f>
        <v>#REF!</v>
      </c>
      <c r="HL349" t="e">
        <f>AND(#REF!,"AAAAAG/l9ds=")</f>
        <v>#REF!</v>
      </c>
      <c r="HM349" t="e">
        <f>AND(#REF!,"AAAAAG/l9dw=")</f>
        <v>#REF!</v>
      </c>
      <c r="HN349" t="e">
        <f>AND(#REF!,"AAAAAG/l9d0=")</f>
        <v>#REF!</v>
      </c>
      <c r="HO349" t="e">
        <f>IF(#REF!,"AAAAAG/l9d4=",0)</f>
        <v>#REF!</v>
      </c>
      <c r="HP349" t="e">
        <f>AND(#REF!,"AAAAAG/l9d8=")</f>
        <v>#REF!</v>
      </c>
      <c r="HQ349" t="e">
        <f>AND(#REF!,"AAAAAG/l9eA=")</f>
        <v>#REF!</v>
      </c>
      <c r="HR349" t="e">
        <f>AND(#REF!,"AAAAAG/l9eE=")</f>
        <v>#REF!</v>
      </c>
      <c r="HS349" t="e">
        <f>AND(#REF!,"AAAAAG/l9eI=")</f>
        <v>#REF!</v>
      </c>
      <c r="HT349" t="e">
        <f>AND(#REF!,"AAAAAG/l9eM=")</f>
        <v>#REF!</v>
      </c>
      <c r="HU349" t="e">
        <f>AND(#REF!,"AAAAAG/l9eQ=")</f>
        <v>#REF!</v>
      </c>
      <c r="HV349" t="e">
        <f>AND(#REF!,"AAAAAG/l9eU=")</f>
        <v>#REF!</v>
      </c>
      <c r="HW349" t="e">
        <f>AND(#REF!,"AAAAAG/l9eY=")</f>
        <v>#REF!</v>
      </c>
      <c r="HX349" t="e">
        <f>AND(#REF!,"AAAAAG/l9ec=")</f>
        <v>#REF!</v>
      </c>
      <c r="HY349" t="e">
        <f>AND(#REF!,"AAAAAG/l9eg=")</f>
        <v>#REF!</v>
      </c>
      <c r="HZ349" t="e">
        <f>AND(#REF!,"AAAAAG/l9ek=")</f>
        <v>#REF!</v>
      </c>
      <c r="IA349" t="e">
        <f>AND(#REF!,"AAAAAG/l9eo=")</f>
        <v>#REF!</v>
      </c>
      <c r="IB349" t="e">
        <f>AND(#REF!,"AAAAAG/l9es=")</f>
        <v>#REF!</v>
      </c>
      <c r="IC349" t="e">
        <f>AND(#REF!,"AAAAAG/l9ew=")</f>
        <v>#REF!</v>
      </c>
      <c r="ID349" t="e">
        <f>AND(#REF!,"AAAAAG/l9e0=")</f>
        <v>#REF!</v>
      </c>
      <c r="IE349" t="e">
        <f>AND(#REF!,"AAAAAG/l9e4=")</f>
        <v>#REF!</v>
      </c>
      <c r="IF349" t="e">
        <f>AND(#REF!,"AAAAAG/l9e8=")</f>
        <v>#REF!</v>
      </c>
      <c r="IG349" t="e">
        <f>AND(#REF!,"AAAAAG/l9fA=")</f>
        <v>#REF!</v>
      </c>
      <c r="IH349" t="e">
        <f>AND(#REF!,"AAAAAG/l9fE=")</f>
        <v>#REF!</v>
      </c>
      <c r="II349" t="e">
        <f>AND(#REF!,"AAAAAG/l9fI=")</f>
        <v>#REF!</v>
      </c>
      <c r="IJ349" t="e">
        <f>AND(#REF!,"AAAAAG/l9fM=")</f>
        <v>#REF!</v>
      </c>
      <c r="IK349" t="e">
        <f>AND(#REF!,"AAAAAG/l9fQ=")</f>
        <v>#REF!</v>
      </c>
      <c r="IL349" t="e">
        <f>AND(#REF!,"AAAAAG/l9fU=")</f>
        <v>#REF!</v>
      </c>
      <c r="IM349" t="e">
        <f>AND(#REF!,"AAAAAG/l9fY=")</f>
        <v>#REF!</v>
      </c>
      <c r="IN349" t="e">
        <f>IF(#REF!,"AAAAAG/l9fc=",0)</f>
        <v>#REF!</v>
      </c>
      <c r="IO349" t="e">
        <f>AND(#REF!,"AAAAAG/l9fg=")</f>
        <v>#REF!</v>
      </c>
      <c r="IP349" t="e">
        <f>AND(#REF!,"AAAAAG/l9fk=")</f>
        <v>#REF!</v>
      </c>
      <c r="IQ349" t="e">
        <f>AND(#REF!,"AAAAAG/l9fo=")</f>
        <v>#REF!</v>
      </c>
      <c r="IR349" t="e">
        <f>AND(#REF!,"AAAAAG/l9fs=")</f>
        <v>#REF!</v>
      </c>
      <c r="IS349" t="e">
        <f>AND(#REF!,"AAAAAG/l9fw=")</f>
        <v>#REF!</v>
      </c>
      <c r="IT349" t="e">
        <f>AND(#REF!,"AAAAAG/l9f0=")</f>
        <v>#REF!</v>
      </c>
      <c r="IU349" t="e">
        <f>AND(#REF!,"AAAAAG/l9f4=")</f>
        <v>#REF!</v>
      </c>
      <c r="IV349" t="e">
        <f>AND(#REF!,"AAAAAG/l9f8=")</f>
        <v>#REF!</v>
      </c>
    </row>
    <row r="350" spans="1:256">
      <c r="A350" t="e">
        <f>AND(#REF!,"AAAAAGWfdAA=")</f>
        <v>#REF!</v>
      </c>
      <c r="B350" t="e">
        <f>AND(#REF!,"AAAAAGWfdAE=")</f>
        <v>#REF!</v>
      </c>
      <c r="C350" t="e">
        <f>AND(#REF!,"AAAAAGWfdAI=")</f>
        <v>#REF!</v>
      </c>
      <c r="D350" t="e">
        <f>AND(#REF!,"AAAAAGWfdAM=")</f>
        <v>#REF!</v>
      </c>
      <c r="E350" t="e">
        <f>AND(#REF!,"AAAAAGWfdAQ=")</f>
        <v>#REF!</v>
      </c>
      <c r="F350" t="e">
        <f>AND(#REF!,"AAAAAGWfdAU=")</f>
        <v>#REF!</v>
      </c>
      <c r="G350" t="e">
        <f>AND(#REF!,"AAAAAGWfdAY=")</f>
        <v>#REF!</v>
      </c>
      <c r="H350" t="e">
        <f>AND(#REF!,"AAAAAGWfdAc=")</f>
        <v>#REF!</v>
      </c>
      <c r="I350" t="e">
        <f>AND(#REF!,"AAAAAGWfdAg=")</f>
        <v>#REF!</v>
      </c>
      <c r="J350" t="e">
        <f>AND(#REF!,"AAAAAGWfdAk=")</f>
        <v>#REF!</v>
      </c>
      <c r="K350" t="e">
        <f>AND(#REF!,"AAAAAGWfdAo=")</f>
        <v>#REF!</v>
      </c>
      <c r="L350" t="e">
        <f>AND(#REF!,"AAAAAGWfdAs=")</f>
        <v>#REF!</v>
      </c>
      <c r="M350" t="e">
        <f>AND(#REF!,"AAAAAGWfdAw=")</f>
        <v>#REF!</v>
      </c>
      <c r="N350" t="e">
        <f>AND(#REF!,"AAAAAGWfdA0=")</f>
        <v>#REF!</v>
      </c>
      <c r="O350" t="e">
        <f>AND(#REF!,"AAAAAGWfdA4=")</f>
        <v>#REF!</v>
      </c>
      <c r="P350" t="e">
        <f>AND(#REF!,"AAAAAGWfdA8=")</f>
        <v>#REF!</v>
      </c>
      <c r="Q350" t="e">
        <f>IF(#REF!,"AAAAAGWfdBA=",0)</f>
        <v>#REF!</v>
      </c>
      <c r="R350" t="e">
        <f>AND(#REF!,"AAAAAGWfdBE=")</f>
        <v>#REF!</v>
      </c>
      <c r="S350" t="e">
        <f>AND(#REF!,"AAAAAGWfdBI=")</f>
        <v>#REF!</v>
      </c>
      <c r="T350" t="e">
        <f>AND(#REF!,"AAAAAGWfdBM=")</f>
        <v>#REF!</v>
      </c>
      <c r="U350" t="e">
        <f>AND(#REF!,"AAAAAGWfdBQ=")</f>
        <v>#REF!</v>
      </c>
      <c r="V350" t="e">
        <f>AND(#REF!,"AAAAAGWfdBU=")</f>
        <v>#REF!</v>
      </c>
      <c r="W350" t="e">
        <f>AND(#REF!,"AAAAAGWfdBY=")</f>
        <v>#REF!</v>
      </c>
      <c r="X350" t="e">
        <f>AND(#REF!,"AAAAAGWfdBc=")</f>
        <v>#REF!</v>
      </c>
      <c r="Y350" t="e">
        <f>AND(#REF!,"AAAAAGWfdBg=")</f>
        <v>#REF!</v>
      </c>
      <c r="Z350" t="e">
        <f>AND(#REF!,"AAAAAGWfdBk=")</f>
        <v>#REF!</v>
      </c>
      <c r="AA350" t="e">
        <f>AND(#REF!,"AAAAAGWfdBo=")</f>
        <v>#REF!</v>
      </c>
      <c r="AB350" t="e">
        <f>AND(#REF!,"AAAAAGWfdBs=")</f>
        <v>#REF!</v>
      </c>
      <c r="AC350" t="e">
        <f>AND(#REF!,"AAAAAGWfdBw=")</f>
        <v>#REF!</v>
      </c>
      <c r="AD350" t="e">
        <f>AND(#REF!,"AAAAAGWfdB0=")</f>
        <v>#REF!</v>
      </c>
      <c r="AE350" t="e">
        <f>AND(#REF!,"AAAAAGWfdB4=")</f>
        <v>#REF!</v>
      </c>
      <c r="AF350" t="e">
        <f>AND(#REF!,"AAAAAGWfdB8=")</f>
        <v>#REF!</v>
      </c>
      <c r="AG350" t="e">
        <f>AND(#REF!,"AAAAAGWfdCA=")</f>
        <v>#REF!</v>
      </c>
      <c r="AH350" t="e">
        <f>AND(#REF!,"AAAAAGWfdCE=")</f>
        <v>#REF!</v>
      </c>
      <c r="AI350" t="e">
        <f>AND(#REF!,"AAAAAGWfdCI=")</f>
        <v>#REF!</v>
      </c>
      <c r="AJ350" t="e">
        <f>AND(#REF!,"AAAAAGWfdCM=")</f>
        <v>#REF!</v>
      </c>
      <c r="AK350" t="e">
        <f>AND(#REF!,"AAAAAGWfdCQ=")</f>
        <v>#REF!</v>
      </c>
      <c r="AL350" t="e">
        <f>AND(#REF!,"AAAAAGWfdCU=")</f>
        <v>#REF!</v>
      </c>
      <c r="AM350" t="e">
        <f>AND(#REF!,"AAAAAGWfdCY=")</f>
        <v>#REF!</v>
      </c>
      <c r="AN350" t="e">
        <f>AND(#REF!,"AAAAAGWfdCc=")</f>
        <v>#REF!</v>
      </c>
      <c r="AO350" t="e">
        <f>AND(#REF!,"AAAAAGWfdCg=")</f>
        <v>#REF!</v>
      </c>
      <c r="AP350" t="e">
        <f>IF(#REF!,"AAAAAGWfdCk=",0)</f>
        <v>#REF!</v>
      </c>
      <c r="AQ350" t="e">
        <f>AND(#REF!,"AAAAAGWfdCo=")</f>
        <v>#REF!</v>
      </c>
      <c r="AR350" t="e">
        <f>AND(#REF!,"AAAAAGWfdCs=")</f>
        <v>#REF!</v>
      </c>
      <c r="AS350" t="e">
        <f>AND(#REF!,"AAAAAGWfdCw=")</f>
        <v>#REF!</v>
      </c>
      <c r="AT350" t="e">
        <f>AND(#REF!,"AAAAAGWfdC0=")</f>
        <v>#REF!</v>
      </c>
      <c r="AU350" t="e">
        <f>AND(#REF!,"AAAAAGWfdC4=")</f>
        <v>#REF!</v>
      </c>
      <c r="AV350" t="e">
        <f>AND(#REF!,"AAAAAGWfdC8=")</f>
        <v>#REF!</v>
      </c>
      <c r="AW350" t="e">
        <f>AND(#REF!,"AAAAAGWfdDA=")</f>
        <v>#REF!</v>
      </c>
      <c r="AX350" t="e">
        <f>AND(#REF!,"AAAAAGWfdDE=")</f>
        <v>#REF!</v>
      </c>
      <c r="AY350" t="e">
        <f>AND(#REF!,"AAAAAGWfdDI=")</f>
        <v>#REF!</v>
      </c>
      <c r="AZ350" t="e">
        <f>AND(#REF!,"AAAAAGWfdDM=")</f>
        <v>#REF!</v>
      </c>
      <c r="BA350" t="e">
        <f>AND(#REF!,"AAAAAGWfdDQ=")</f>
        <v>#REF!</v>
      </c>
      <c r="BB350" t="e">
        <f>AND(#REF!,"AAAAAGWfdDU=")</f>
        <v>#REF!</v>
      </c>
      <c r="BC350" t="e">
        <f>AND(#REF!,"AAAAAGWfdDY=")</f>
        <v>#REF!</v>
      </c>
      <c r="BD350" t="e">
        <f>AND(#REF!,"AAAAAGWfdDc=")</f>
        <v>#REF!</v>
      </c>
      <c r="BE350" t="e">
        <f>AND(#REF!,"AAAAAGWfdDg=")</f>
        <v>#REF!</v>
      </c>
      <c r="BF350" t="e">
        <f>AND(#REF!,"AAAAAGWfdDk=")</f>
        <v>#REF!</v>
      </c>
      <c r="BG350" t="e">
        <f>AND(#REF!,"AAAAAGWfdDo=")</f>
        <v>#REF!</v>
      </c>
      <c r="BH350" t="e">
        <f>AND(#REF!,"AAAAAGWfdDs=")</f>
        <v>#REF!</v>
      </c>
      <c r="BI350" t="e">
        <f>AND(#REF!,"AAAAAGWfdDw=")</f>
        <v>#REF!</v>
      </c>
      <c r="BJ350" t="e">
        <f>AND(#REF!,"AAAAAGWfdD0=")</f>
        <v>#REF!</v>
      </c>
      <c r="BK350" t="e">
        <f>AND(#REF!,"AAAAAGWfdD4=")</f>
        <v>#REF!</v>
      </c>
      <c r="BL350" t="e">
        <f>AND(#REF!,"AAAAAGWfdD8=")</f>
        <v>#REF!</v>
      </c>
      <c r="BM350" t="e">
        <f>AND(#REF!,"AAAAAGWfdEA=")</f>
        <v>#REF!</v>
      </c>
      <c r="BN350" t="e">
        <f>AND(#REF!,"AAAAAGWfdEE=")</f>
        <v>#REF!</v>
      </c>
      <c r="BO350" t="e">
        <f>IF(#REF!,"AAAAAGWfdEI=",0)</f>
        <v>#REF!</v>
      </c>
      <c r="BP350" t="e">
        <f>AND(#REF!,"AAAAAGWfdEM=")</f>
        <v>#REF!</v>
      </c>
      <c r="BQ350" t="e">
        <f>AND(#REF!,"AAAAAGWfdEQ=")</f>
        <v>#REF!</v>
      </c>
      <c r="BR350" t="e">
        <f>AND(#REF!,"AAAAAGWfdEU=")</f>
        <v>#REF!</v>
      </c>
      <c r="BS350" t="e">
        <f>AND(#REF!,"AAAAAGWfdEY=")</f>
        <v>#REF!</v>
      </c>
      <c r="BT350" t="e">
        <f>AND(#REF!,"AAAAAGWfdEc=")</f>
        <v>#REF!</v>
      </c>
      <c r="BU350" t="e">
        <f>AND(#REF!,"AAAAAGWfdEg=")</f>
        <v>#REF!</v>
      </c>
      <c r="BV350" t="e">
        <f>AND(#REF!,"AAAAAGWfdEk=")</f>
        <v>#REF!</v>
      </c>
      <c r="BW350" t="e">
        <f>AND(#REF!,"AAAAAGWfdEo=")</f>
        <v>#REF!</v>
      </c>
      <c r="BX350" t="e">
        <f>AND(#REF!,"AAAAAGWfdEs=")</f>
        <v>#REF!</v>
      </c>
      <c r="BY350" t="e">
        <f>AND(#REF!,"AAAAAGWfdEw=")</f>
        <v>#REF!</v>
      </c>
      <c r="BZ350" t="e">
        <f>AND(#REF!,"AAAAAGWfdE0=")</f>
        <v>#REF!</v>
      </c>
      <c r="CA350" t="e">
        <f>AND(#REF!,"AAAAAGWfdE4=")</f>
        <v>#REF!</v>
      </c>
      <c r="CB350" t="e">
        <f>AND(#REF!,"AAAAAGWfdE8=")</f>
        <v>#REF!</v>
      </c>
      <c r="CC350" t="e">
        <f>AND(#REF!,"AAAAAGWfdFA=")</f>
        <v>#REF!</v>
      </c>
      <c r="CD350" t="e">
        <f>AND(#REF!,"AAAAAGWfdFE=")</f>
        <v>#REF!</v>
      </c>
      <c r="CE350" t="e">
        <f>AND(#REF!,"AAAAAGWfdFI=")</f>
        <v>#REF!</v>
      </c>
      <c r="CF350" t="e">
        <f>AND(#REF!,"AAAAAGWfdFM=")</f>
        <v>#REF!</v>
      </c>
      <c r="CG350" t="e">
        <f>AND(#REF!,"AAAAAGWfdFQ=")</f>
        <v>#REF!</v>
      </c>
      <c r="CH350" t="e">
        <f>AND(#REF!,"AAAAAGWfdFU=")</f>
        <v>#REF!</v>
      </c>
      <c r="CI350" t="e">
        <f>AND(#REF!,"AAAAAGWfdFY=")</f>
        <v>#REF!</v>
      </c>
      <c r="CJ350" t="e">
        <f>AND(#REF!,"AAAAAGWfdFc=")</f>
        <v>#REF!</v>
      </c>
      <c r="CK350" t="e">
        <f>AND(#REF!,"AAAAAGWfdFg=")</f>
        <v>#REF!</v>
      </c>
      <c r="CL350" t="e">
        <f>AND(#REF!,"AAAAAGWfdFk=")</f>
        <v>#REF!</v>
      </c>
      <c r="CM350" t="e">
        <f>AND(#REF!,"AAAAAGWfdFo=")</f>
        <v>#REF!</v>
      </c>
      <c r="CN350" t="e">
        <f>IF(#REF!,"AAAAAGWfdFs=",0)</f>
        <v>#REF!</v>
      </c>
      <c r="CO350" t="e">
        <f>AND(#REF!,"AAAAAGWfdFw=")</f>
        <v>#REF!</v>
      </c>
      <c r="CP350" t="e">
        <f>AND(#REF!,"AAAAAGWfdF0=")</f>
        <v>#REF!</v>
      </c>
      <c r="CQ350" t="e">
        <f>AND(#REF!,"AAAAAGWfdF4=")</f>
        <v>#REF!</v>
      </c>
      <c r="CR350" t="e">
        <f>AND(#REF!,"AAAAAGWfdF8=")</f>
        <v>#REF!</v>
      </c>
      <c r="CS350" t="e">
        <f>AND(#REF!,"AAAAAGWfdGA=")</f>
        <v>#REF!</v>
      </c>
      <c r="CT350" t="e">
        <f>AND(#REF!,"AAAAAGWfdGE=")</f>
        <v>#REF!</v>
      </c>
      <c r="CU350" t="e">
        <f>AND(#REF!,"AAAAAGWfdGI=")</f>
        <v>#REF!</v>
      </c>
      <c r="CV350" t="e">
        <f>AND(#REF!,"AAAAAGWfdGM=")</f>
        <v>#REF!</v>
      </c>
      <c r="CW350" t="e">
        <f>AND(#REF!,"AAAAAGWfdGQ=")</f>
        <v>#REF!</v>
      </c>
      <c r="CX350" t="e">
        <f>AND(#REF!,"AAAAAGWfdGU=")</f>
        <v>#REF!</v>
      </c>
      <c r="CY350" t="e">
        <f>AND(#REF!,"AAAAAGWfdGY=")</f>
        <v>#REF!</v>
      </c>
      <c r="CZ350" t="e">
        <f>AND(#REF!,"AAAAAGWfdGc=")</f>
        <v>#REF!</v>
      </c>
      <c r="DA350" t="e">
        <f>AND(#REF!,"AAAAAGWfdGg=")</f>
        <v>#REF!</v>
      </c>
      <c r="DB350" t="e">
        <f>AND(#REF!,"AAAAAGWfdGk=")</f>
        <v>#REF!</v>
      </c>
      <c r="DC350" t="e">
        <f>AND(#REF!,"AAAAAGWfdGo=")</f>
        <v>#REF!</v>
      </c>
      <c r="DD350" t="e">
        <f>AND(#REF!,"AAAAAGWfdGs=")</f>
        <v>#REF!</v>
      </c>
      <c r="DE350" t="e">
        <f>AND(#REF!,"AAAAAGWfdGw=")</f>
        <v>#REF!</v>
      </c>
      <c r="DF350" t="e">
        <f>AND(#REF!,"AAAAAGWfdG0=")</f>
        <v>#REF!</v>
      </c>
      <c r="DG350" t="e">
        <f>AND(#REF!,"AAAAAGWfdG4=")</f>
        <v>#REF!</v>
      </c>
      <c r="DH350" t="e">
        <f>AND(#REF!,"AAAAAGWfdG8=")</f>
        <v>#REF!</v>
      </c>
      <c r="DI350" t="e">
        <f>AND(#REF!,"AAAAAGWfdHA=")</f>
        <v>#REF!</v>
      </c>
      <c r="DJ350" t="e">
        <f>AND(#REF!,"AAAAAGWfdHE=")</f>
        <v>#REF!</v>
      </c>
      <c r="DK350" t="e">
        <f>AND(#REF!,"AAAAAGWfdHI=")</f>
        <v>#REF!</v>
      </c>
      <c r="DL350" t="e">
        <f>AND(#REF!,"AAAAAGWfdHM=")</f>
        <v>#REF!</v>
      </c>
      <c r="DM350" t="e">
        <f>IF(#REF!,"AAAAAGWfdHQ=",0)</f>
        <v>#REF!</v>
      </c>
      <c r="DN350" t="e">
        <f>AND(#REF!,"AAAAAGWfdHU=")</f>
        <v>#REF!</v>
      </c>
      <c r="DO350" t="e">
        <f>AND(#REF!,"AAAAAGWfdHY=")</f>
        <v>#REF!</v>
      </c>
      <c r="DP350" t="e">
        <f>AND(#REF!,"AAAAAGWfdHc=")</f>
        <v>#REF!</v>
      </c>
      <c r="DQ350" t="e">
        <f>AND(#REF!,"AAAAAGWfdHg=")</f>
        <v>#REF!</v>
      </c>
      <c r="DR350" t="e">
        <f>AND(#REF!,"AAAAAGWfdHk=")</f>
        <v>#REF!</v>
      </c>
      <c r="DS350" t="e">
        <f>AND(#REF!,"AAAAAGWfdHo=")</f>
        <v>#REF!</v>
      </c>
      <c r="DT350" t="e">
        <f>AND(#REF!,"AAAAAGWfdHs=")</f>
        <v>#REF!</v>
      </c>
      <c r="DU350" t="e">
        <f>AND(#REF!,"AAAAAGWfdHw=")</f>
        <v>#REF!</v>
      </c>
      <c r="DV350" t="e">
        <f>AND(#REF!,"AAAAAGWfdH0=")</f>
        <v>#REF!</v>
      </c>
      <c r="DW350" t="e">
        <f>AND(#REF!,"AAAAAGWfdH4=")</f>
        <v>#REF!</v>
      </c>
      <c r="DX350" t="e">
        <f>AND(#REF!,"AAAAAGWfdH8=")</f>
        <v>#REF!</v>
      </c>
      <c r="DY350" t="e">
        <f>AND(#REF!,"AAAAAGWfdIA=")</f>
        <v>#REF!</v>
      </c>
      <c r="DZ350" t="e">
        <f>AND(#REF!,"AAAAAGWfdIE=")</f>
        <v>#REF!</v>
      </c>
      <c r="EA350" t="e">
        <f>AND(#REF!,"AAAAAGWfdII=")</f>
        <v>#REF!</v>
      </c>
      <c r="EB350" t="e">
        <f>AND(#REF!,"AAAAAGWfdIM=")</f>
        <v>#REF!</v>
      </c>
      <c r="EC350" t="e">
        <f>AND(#REF!,"AAAAAGWfdIQ=")</f>
        <v>#REF!</v>
      </c>
      <c r="ED350" t="e">
        <f>AND(#REF!,"AAAAAGWfdIU=")</f>
        <v>#REF!</v>
      </c>
      <c r="EE350" t="e">
        <f>AND(#REF!,"AAAAAGWfdIY=")</f>
        <v>#REF!</v>
      </c>
      <c r="EF350" t="e">
        <f>AND(#REF!,"AAAAAGWfdIc=")</f>
        <v>#REF!</v>
      </c>
      <c r="EG350" t="e">
        <f>AND(#REF!,"AAAAAGWfdIg=")</f>
        <v>#REF!</v>
      </c>
      <c r="EH350" t="e">
        <f>AND(#REF!,"AAAAAGWfdIk=")</f>
        <v>#REF!</v>
      </c>
      <c r="EI350" t="e">
        <f>AND(#REF!,"AAAAAGWfdIo=")</f>
        <v>#REF!</v>
      </c>
      <c r="EJ350" t="e">
        <f>AND(#REF!,"AAAAAGWfdIs=")</f>
        <v>#REF!</v>
      </c>
      <c r="EK350" t="e">
        <f>AND(#REF!,"AAAAAGWfdIw=")</f>
        <v>#REF!</v>
      </c>
      <c r="EL350" t="e">
        <f>IF(#REF!,"AAAAAGWfdI0=",0)</f>
        <v>#REF!</v>
      </c>
      <c r="EM350" t="e">
        <f>AND(#REF!,"AAAAAGWfdI4=")</f>
        <v>#REF!</v>
      </c>
      <c r="EN350" t="e">
        <f>AND(#REF!,"AAAAAGWfdI8=")</f>
        <v>#REF!</v>
      </c>
      <c r="EO350" t="e">
        <f>AND(#REF!,"AAAAAGWfdJA=")</f>
        <v>#REF!</v>
      </c>
      <c r="EP350" t="e">
        <f>AND(#REF!,"AAAAAGWfdJE=")</f>
        <v>#REF!</v>
      </c>
      <c r="EQ350" t="e">
        <f>AND(#REF!,"AAAAAGWfdJI=")</f>
        <v>#REF!</v>
      </c>
      <c r="ER350" t="e">
        <f>AND(#REF!,"AAAAAGWfdJM=")</f>
        <v>#REF!</v>
      </c>
      <c r="ES350" t="e">
        <f>AND(#REF!,"AAAAAGWfdJQ=")</f>
        <v>#REF!</v>
      </c>
      <c r="ET350" t="e">
        <f>AND(#REF!,"AAAAAGWfdJU=")</f>
        <v>#REF!</v>
      </c>
      <c r="EU350" t="e">
        <f>AND(#REF!,"AAAAAGWfdJY=")</f>
        <v>#REF!</v>
      </c>
      <c r="EV350" t="e">
        <f>AND(#REF!,"AAAAAGWfdJc=")</f>
        <v>#REF!</v>
      </c>
      <c r="EW350" t="e">
        <f>AND(#REF!,"AAAAAGWfdJg=")</f>
        <v>#REF!</v>
      </c>
      <c r="EX350" t="e">
        <f>AND(#REF!,"AAAAAGWfdJk=")</f>
        <v>#REF!</v>
      </c>
      <c r="EY350" t="e">
        <f>AND(#REF!,"AAAAAGWfdJo=")</f>
        <v>#REF!</v>
      </c>
      <c r="EZ350" t="e">
        <f>AND(#REF!,"AAAAAGWfdJs=")</f>
        <v>#REF!</v>
      </c>
      <c r="FA350" t="e">
        <f>AND(#REF!,"AAAAAGWfdJw=")</f>
        <v>#REF!</v>
      </c>
      <c r="FB350" t="e">
        <f>AND(#REF!,"AAAAAGWfdJ0=")</f>
        <v>#REF!</v>
      </c>
      <c r="FC350" t="e">
        <f>AND(#REF!,"AAAAAGWfdJ4=")</f>
        <v>#REF!</v>
      </c>
      <c r="FD350" t="e">
        <f>AND(#REF!,"AAAAAGWfdJ8=")</f>
        <v>#REF!</v>
      </c>
      <c r="FE350" t="e">
        <f>AND(#REF!,"AAAAAGWfdKA=")</f>
        <v>#REF!</v>
      </c>
      <c r="FF350" t="e">
        <f>AND(#REF!,"AAAAAGWfdKE=")</f>
        <v>#REF!</v>
      </c>
      <c r="FG350" t="e">
        <f>AND(#REF!,"AAAAAGWfdKI=")</f>
        <v>#REF!</v>
      </c>
      <c r="FH350" t="e">
        <f>AND(#REF!,"AAAAAGWfdKM=")</f>
        <v>#REF!</v>
      </c>
      <c r="FI350" t="e">
        <f>AND(#REF!,"AAAAAGWfdKQ=")</f>
        <v>#REF!</v>
      </c>
      <c r="FJ350" t="e">
        <f>AND(#REF!,"AAAAAGWfdKU=")</f>
        <v>#REF!</v>
      </c>
      <c r="FK350" t="e">
        <f>IF(#REF!,"AAAAAGWfdKY=",0)</f>
        <v>#REF!</v>
      </c>
      <c r="FL350" t="e">
        <f>AND(#REF!,"AAAAAGWfdKc=")</f>
        <v>#REF!</v>
      </c>
      <c r="FM350" t="e">
        <f>AND(#REF!,"AAAAAGWfdKg=")</f>
        <v>#REF!</v>
      </c>
      <c r="FN350" t="e">
        <f>AND(#REF!,"AAAAAGWfdKk=")</f>
        <v>#REF!</v>
      </c>
      <c r="FO350" t="e">
        <f>AND(#REF!,"AAAAAGWfdKo=")</f>
        <v>#REF!</v>
      </c>
      <c r="FP350" t="e">
        <f>AND(#REF!,"AAAAAGWfdKs=")</f>
        <v>#REF!</v>
      </c>
      <c r="FQ350" t="e">
        <f>AND(#REF!,"AAAAAGWfdKw=")</f>
        <v>#REF!</v>
      </c>
      <c r="FR350" t="e">
        <f>AND(#REF!,"AAAAAGWfdK0=")</f>
        <v>#REF!</v>
      </c>
      <c r="FS350" t="e">
        <f>AND(#REF!,"AAAAAGWfdK4=")</f>
        <v>#REF!</v>
      </c>
      <c r="FT350" t="e">
        <f>AND(#REF!,"AAAAAGWfdK8=")</f>
        <v>#REF!</v>
      </c>
      <c r="FU350" t="e">
        <f>AND(#REF!,"AAAAAGWfdLA=")</f>
        <v>#REF!</v>
      </c>
      <c r="FV350" t="e">
        <f>AND(#REF!,"AAAAAGWfdLE=")</f>
        <v>#REF!</v>
      </c>
      <c r="FW350" t="e">
        <f>AND(#REF!,"AAAAAGWfdLI=")</f>
        <v>#REF!</v>
      </c>
      <c r="FX350" t="e">
        <f>AND(#REF!,"AAAAAGWfdLM=")</f>
        <v>#REF!</v>
      </c>
      <c r="FY350" t="e">
        <f>AND(#REF!,"AAAAAGWfdLQ=")</f>
        <v>#REF!</v>
      </c>
      <c r="FZ350" t="e">
        <f>AND(#REF!,"AAAAAGWfdLU=")</f>
        <v>#REF!</v>
      </c>
      <c r="GA350" t="e">
        <f>AND(#REF!,"AAAAAGWfdLY=")</f>
        <v>#REF!</v>
      </c>
      <c r="GB350" t="e">
        <f>AND(#REF!,"AAAAAGWfdLc=")</f>
        <v>#REF!</v>
      </c>
      <c r="GC350" t="e">
        <f>AND(#REF!,"AAAAAGWfdLg=")</f>
        <v>#REF!</v>
      </c>
      <c r="GD350" t="e">
        <f>AND(#REF!,"AAAAAGWfdLk=")</f>
        <v>#REF!</v>
      </c>
      <c r="GE350" t="e">
        <f>AND(#REF!,"AAAAAGWfdLo=")</f>
        <v>#REF!</v>
      </c>
      <c r="GF350" t="e">
        <f>AND(#REF!,"AAAAAGWfdLs=")</f>
        <v>#REF!</v>
      </c>
      <c r="GG350" t="e">
        <f>AND(#REF!,"AAAAAGWfdLw=")</f>
        <v>#REF!</v>
      </c>
      <c r="GH350" t="e">
        <f>AND(#REF!,"AAAAAGWfdL0=")</f>
        <v>#REF!</v>
      </c>
      <c r="GI350" t="e">
        <f>AND(#REF!,"AAAAAGWfdL4=")</f>
        <v>#REF!</v>
      </c>
      <c r="GJ350" t="e">
        <f>IF(#REF!,"AAAAAGWfdL8=",0)</f>
        <v>#REF!</v>
      </c>
      <c r="GK350" t="e">
        <f>AND(#REF!,"AAAAAGWfdMA=")</f>
        <v>#REF!</v>
      </c>
      <c r="GL350" t="e">
        <f>AND(#REF!,"AAAAAGWfdME=")</f>
        <v>#REF!</v>
      </c>
      <c r="GM350" t="e">
        <f>AND(#REF!,"AAAAAGWfdMI=")</f>
        <v>#REF!</v>
      </c>
      <c r="GN350" t="e">
        <f>AND(#REF!,"AAAAAGWfdMM=")</f>
        <v>#REF!</v>
      </c>
      <c r="GO350" t="e">
        <f>AND(#REF!,"AAAAAGWfdMQ=")</f>
        <v>#REF!</v>
      </c>
      <c r="GP350" t="e">
        <f>AND(#REF!,"AAAAAGWfdMU=")</f>
        <v>#REF!</v>
      </c>
      <c r="GQ350" t="e">
        <f>AND(#REF!,"AAAAAGWfdMY=")</f>
        <v>#REF!</v>
      </c>
      <c r="GR350" t="e">
        <f>AND(#REF!,"AAAAAGWfdMc=")</f>
        <v>#REF!</v>
      </c>
      <c r="GS350" t="e">
        <f>AND(#REF!,"AAAAAGWfdMg=")</f>
        <v>#REF!</v>
      </c>
      <c r="GT350" t="e">
        <f>AND(#REF!,"AAAAAGWfdMk=")</f>
        <v>#REF!</v>
      </c>
      <c r="GU350" t="e">
        <f>AND(#REF!,"AAAAAGWfdMo=")</f>
        <v>#REF!</v>
      </c>
      <c r="GV350" t="e">
        <f>AND(#REF!,"AAAAAGWfdMs=")</f>
        <v>#REF!</v>
      </c>
      <c r="GW350" t="e">
        <f>AND(#REF!,"AAAAAGWfdMw=")</f>
        <v>#REF!</v>
      </c>
      <c r="GX350" t="e">
        <f>AND(#REF!,"AAAAAGWfdM0=")</f>
        <v>#REF!</v>
      </c>
      <c r="GY350" t="e">
        <f>AND(#REF!,"AAAAAGWfdM4=")</f>
        <v>#REF!</v>
      </c>
      <c r="GZ350" t="e">
        <f>AND(#REF!,"AAAAAGWfdM8=")</f>
        <v>#REF!</v>
      </c>
      <c r="HA350" t="e">
        <f>AND(#REF!,"AAAAAGWfdNA=")</f>
        <v>#REF!</v>
      </c>
      <c r="HB350" t="e">
        <f>AND(#REF!,"AAAAAGWfdNE=")</f>
        <v>#REF!</v>
      </c>
      <c r="HC350" t="e">
        <f>AND(#REF!,"AAAAAGWfdNI=")</f>
        <v>#REF!</v>
      </c>
      <c r="HD350" t="e">
        <f>AND(#REF!,"AAAAAGWfdNM=")</f>
        <v>#REF!</v>
      </c>
      <c r="HE350" t="e">
        <f>AND(#REF!,"AAAAAGWfdNQ=")</f>
        <v>#REF!</v>
      </c>
      <c r="HF350" t="e">
        <f>AND(#REF!,"AAAAAGWfdNU=")</f>
        <v>#REF!</v>
      </c>
      <c r="HG350" t="e">
        <f>AND(#REF!,"AAAAAGWfdNY=")</f>
        <v>#REF!</v>
      </c>
      <c r="HH350" t="e">
        <f>AND(#REF!,"AAAAAGWfdNc=")</f>
        <v>#REF!</v>
      </c>
      <c r="HI350" t="e">
        <f>IF(#REF!,"AAAAAGWfdNg=",0)</f>
        <v>#REF!</v>
      </c>
      <c r="HJ350" t="e">
        <f>AND(#REF!,"AAAAAGWfdNk=")</f>
        <v>#REF!</v>
      </c>
      <c r="HK350" t="e">
        <f>AND(#REF!,"AAAAAGWfdNo=")</f>
        <v>#REF!</v>
      </c>
      <c r="HL350" t="e">
        <f>AND(#REF!,"AAAAAGWfdNs=")</f>
        <v>#REF!</v>
      </c>
      <c r="HM350" t="e">
        <f>AND(#REF!,"AAAAAGWfdNw=")</f>
        <v>#REF!</v>
      </c>
      <c r="HN350" t="e">
        <f>AND(#REF!,"AAAAAGWfdN0=")</f>
        <v>#REF!</v>
      </c>
      <c r="HO350" t="e">
        <f>AND(#REF!,"AAAAAGWfdN4=")</f>
        <v>#REF!</v>
      </c>
      <c r="HP350" t="e">
        <f>AND(#REF!,"AAAAAGWfdN8=")</f>
        <v>#REF!</v>
      </c>
      <c r="HQ350" t="e">
        <f>AND(#REF!,"AAAAAGWfdOA=")</f>
        <v>#REF!</v>
      </c>
      <c r="HR350" t="e">
        <f>AND(#REF!,"AAAAAGWfdOE=")</f>
        <v>#REF!</v>
      </c>
      <c r="HS350" t="e">
        <f>AND(#REF!,"AAAAAGWfdOI=")</f>
        <v>#REF!</v>
      </c>
      <c r="HT350" t="e">
        <f>AND(#REF!,"AAAAAGWfdOM=")</f>
        <v>#REF!</v>
      </c>
      <c r="HU350" t="e">
        <f>AND(#REF!,"AAAAAGWfdOQ=")</f>
        <v>#REF!</v>
      </c>
      <c r="HV350" t="e">
        <f>AND(#REF!,"AAAAAGWfdOU=")</f>
        <v>#REF!</v>
      </c>
      <c r="HW350" t="e">
        <f>AND(#REF!,"AAAAAGWfdOY=")</f>
        <v>#REF!</v>
      </c>
      <c r="HX350" t="e">
        <f>AND(#REF!,"AAAAAGWfdOc=")</f>
        <v>#REF!</v>
      </c>
      <c r="HY350" t="e">
        <f>AND(#REF!,"AAAAAGWfdOg=")</f>
        <v>#REF!</v>
      </c>
      <c r="HZ350" t="e">
        <f>AND(#REF!,"AAAAAGWfdOk=")</f>
        <v>#REF!</v>
      </c>
      <c r="IA350" t="e">
        <f>AND(#REF!,"AAAAAGWfdOo=")</f>
        <v>#REF!</v>
      </c>
      <c r="IB350" t="e">
        <f>AND(#REF!,"AAAAAGWfdOs=")</f>
        <v>#REF!</v>
      </c>
      <c r="IC350" t="e">
        <f>AND(#REF!,"AAAAAGWfdOw=")</f>
        <v>#REF!</v>
      </c>
      <c r="ID350" t="e">
        <f>AND(#REF!,"AAAAAGWfdO0=")</f>
        <v>#REF!</v>
      </c>
      <c r="IE350" t="e">
        <f>AND(#REF!,"AAAAAGWfdO4=")</f>
        <v>#REF!</v>
      </c>
      <c r="IF350" t="e">
        <f>AND(#REF!,"AAAAAGWfdO8=")</f>
        <v>#REF!</v>
      </c>
      <c r="IG350" t="e">
        <f>AND(#REF!,"AAAAAGWfdPA=")</f>
        <v>#REF!</v>
      </c>
      <c r="IH350" t="e">
        <f>IF(#REF!,"AAAAAGWfdPE=",0)</f>
        <v>#REF!</v>
      </c>
      <c r="II350" t="e">
        <f>AND(#REF!,"AAAAAGWfdPI=")</f>
        <v>#REF!</v>
      </c>
      <c r="IJ350" t="e">
        <f>AND(#REF!,"AAAAAGWfdPM=")</f>
        <v>#REF!</v>
      </c>
      <c r="IK350" t="e">
        <f>AND(#REF!,"AAAAAGWfdPQ=")</f>
        <v>#REF!</v>
      </c>
      <c r="IL350" t="e">
        <f>AND(#REF!,"AAAAAGWfdPU=")</f>
        <v>#REF!</v>
      </c>
      <c r="IM350" t="e">
        <f>AND(#REF!,"AAAAAGWfdPY=")</f>
        <v>#REF!</v>
      </c>
      <c r="IN350" t="e">
        <f>AND(#REF!,"AAAAAGWfdPc=")</f>
        <v>#REF!</v>
      </c>
      <c r="IO350" t="e">
        <f>AND(#REF!,"AAAAAGWfdPg=")</f>
        <v>#REF!</v>
      </c>
      <c r="IP350" t="e">
        <f>AND(#REF!,"AAAAAGWfdPk=")</f>
        <v>#REF!</v>
      </c>
      <c r="IQ350" t="e">
        <f>AND(#REF!,"AAAAAGWfdPo=")</f>
        <v>#REF!</v>
      </c>
      <c r="IR350" t="e">
        <f>AND(#REF!,"AAAAAGWfdPs=")</f>
        <v>#REF!</v>
      </c>
      <c r="IS350" t="e">
        <f>AND(#REF!,"AAAAAGWfdPw=")</f>
        <v>#REF!</v>
      </c>
      <c r="IT350" t="e">
        <f>AND(#REF!,"AAAAAGWfdP0=")</f>
        <v>#REF!</v>
      </c>
      <c r="IU350" t="e">
        <f>AND(#REF!,"AAAAAGWfdP4=")</f>
        <v>#REF!</v>
      </c>
      <c r="IV350" t="e">
        <f>AND(#REF!,"AAAAAGWfdP8=")</f>
        <v>#REF!</v>
      </c>
    </row>
    <row r="351" spans="1:256">
      <c r="A351" t="e">
        <f>AND(#REF!,"AAAAAHH/PwA=")</f>
        <v>#REF!</v>
      </c>
      <c r="B351" t="e">
        <f>AND(#REF!,"AAAAAHH/PwE=")</f>
        <v>#REF!</v>
      </c>
      <c r="C351" t="e">
        <f>AND(#REF!,"AAAAAHH/PwI=")</f>
        <v>#REF!</v>
      </c>
      <c r="D351" t="e">
        <f>AND(#REF!,"AAAAAHH/PwM=")</f>
        <v>#REF!</v>
      </c>
      <c r="E351" t="e">
        <f>AND(#REF!,"AAAAAHH/PwQ=")</f>
        <v>#REF!</v>
      </c>
      <c r="F351" t="e">
        <f>AND(#REF!,"AAAAAHH/PwU=")</f>
        <v>#REF!</v>
      </c>
      <c r="G351" t="e">
        <f>AND(#REF!,"AAAAAHH/PwY=")</f>
        <v>#REF!</v>
      </c>
      <c r="H351" t="e">
        <f>AND(#REF!,"AAAAAHH/Pwc=")</f>
        <v>#REF!</v>
      </c>
      <c r="I351" t="e">
        <f>AND(#REF!,"AAAAAHH/Pwg=")</f>
        <v>#REF!</v>
      </c>
      <c r="J351" t="e">
        <f>AND(#REF!,"AAAAAHH/Pwk=")</f>
        <v>#REF!</v>
      </c>
      <c r="K351" t="e">
        <f>IF(#REF!,"AAAAAHH/Pwo=",0)</f>
        <v>#REF!</v>
      </c>
      <c r="L351" t="e">
        <f>AND(#REF!,"AAAAAHH/Pws=")</f>
        <v>#REF!</v>
      </c>
      <c r="M351" t="e">
        <f>AND(#REF!,"AAAAAHH/Pww=")</f>
        <v>#REF!</v>
      </c>
      <c r="N351" t="e">
        <f>AND(#REF!,"AAAAAHH/Pw0=")</f>
        <v>#REF!</v>
      </c>
      <c r="O351" t="e">
        <f>AND(#REF!,"AAAAAHH/Pw4=")</f>
        <v>#REF!</v>
      </c>
      <c r="P351" t="e">
        <f>AND(#REF!,"AAAAAHH/Pw8=")</f>
        <v>#REF!</v>
      </c>
      <c r="Q351" t="e">
        <f>AND(#REF!,"AAAAAHH/PxA=")</f>
        <v>#REF!</v>
      </c>
      <c r="R351" t="e">
        <f>AND(#REF!,"AAAAAHH/PxE=")</f>
        <v>#REF!</v>
      </c>
      <c r="S351" t="e">
        <f>AND(#REF!,"AAAAAHH/PxI=")</f>
        <v>#REF!</v>
      </c>
      <c r="T351" t="e">
        <f>AND(#REF!,"AAAAAHH/PxM=")</f>
        <v>#REF!</v>
      </c>
      <c r="U351" t="e">
        <f>AND(#REF!,"AAAAAHH/PxQ=")</f>
        <v>#REF!</v>
      </c>
      <c r="V351" t="e">
        <f>AND(#REF!,"AAAAAHH/PxU=")</f>
        <v>#REF!</v>
      </c>
      <c r="W351" t="e">
        <f>AND(#REF!,"AAAAAHH/PxY=")</f>
        <v>#REF!</v>
      </c>
      <c r="X351" t="e">
        <f>AND(#REF!,"AAAAAHH/Pxc=")</f>
        <v>#REF!</v>
      </c>
      <c r="Y351" t="e">
        <f>AND(#REF!,"AAAAAHH/Pxg=")</f>
        <v>#REF!</v>
      </c>
      <c r="Z351" t="e">
        <f>AND(#REF!,"AAAAAHH/Pxk=")</f>
        <v>#REF!</v>
      </c>
      <c r="AA351" t="e">
        <f>AND(#REF!,"AAAAAHH/Pxo=")</f>
        <v>#REF!</v>
      </c>
      <c r="AB351" t="e">
        <f>AND(#REF!,"AAAAAHH/Pxs=")</f>
        <v>#REF!</v>
      </c>
      <c r="AC351" t="e">
        <f>AND(#REF!,"AAAAAHH/Pxw=")</f>
        <v>#REF!</v>
      </c>
      <c r="AD351" t="e">
        <f>AND(#REF!,"AAAAAHH/Px0=")</f>
        <v>#REF!</v>
      </c>
      <c r="AE351" t="e">
        <f>AND(#REF!,"AAAAAHH/Px4=")</f>
        <v>#REF!</v>
      </c>
      <c r="AF351" t="e">
        <f>AND(#REF!,"AAAAAHH/Px8=")</f>
        <v>#REF!</v>
      </c>
      <c r="AG351" t="e">
        <f>AND(#REF!,"AAAAAHH/PyA=")</f>
        <v>#REF!</v>
      </c>
      <c r="AH351" t="e">
        <f>AND(#REF!,"AAAAAHH/PyE=")</f>
        <v>#REF!</v>
      </c>
      <c r="AI351" t="e">
        <f>AND(#REF!,"AAAAAHH/PyI=")</f>
        <v>#REF!</v>
      </c>
      <c r="AJ351" t="e">
        <f>IF(#REF!,"AAAAAHH/PyM=",0)</f>
        <v>#REF!</v>
      </c>
      <c r="AK351" t="e">
        <f>AND(#REF!,"AAAAAHH/PyQ=")</f>
        <v>#REF!</v>
      </c>
      <c r="AL351" t="e">
        <f>AND(#REF!,"AAAAAHH/PyU=")</f>
        <v>#REF!</v>
      </c>
      <c r="AM351" t="e">
        <f>AND(#REF!,"AAAAAHH/PyY=")</f>
        <v>#REF!</v>
      </c>
      <c r="AN351" t="e">
        <f>AND(#REF!,"AAAAAHH/Pyc=")</f>
        <v>#REF!</v>
      </c>
      <c r="AO351" t="e">
        <f>AND(#REF!,"AAAAAHH/Pyg=")</f>
        <v>#REF!</v>
      </c>
      <c r="AP351" t="e">
        <f>AND(#REF!,"AAAAAHH/Pyk=")</f>
        <v>#REF!</v>
      </c>
      <c r="AQ351" t="e">
        <f>AND(#REF!,"AAAAAHH/Pyo=")</f>
        <v>#REF!</v>
      </c>
      <c r="AR351" t="e">
        <f>AND(#REF!,"AAAAAHH/Pys=")</f>
        <v>#REF!</v>
      </c>
      <c r="AS351" t="e">
        <f>AND(#REF!,"AAAAAHH/Pyw=")</f>
        <v>#REF!</v>
      </c>
      <c r="AT351" t="e">
        <f>AND(#REF!,"AAAAAHH/Py0=")</f>
        <v>#REF!</v>
      </c>
      <c r="AU351" t="e">
        <f>AND(#REF!,"AAAAAHH/Py4=")</f>
        <v>#REF!</v>
      </c>
      <c r="AV351" t="e">
        <f>AND(#REF!,"AAAAAHH/Py8=")</f>
        <v>#REF!</v>
      </c>
      <c r="AW351" t="e">
        <f>AND(#REF!,"AAAAAHH/PzA=")</f>
        <v>#REF!</v>
      </c>
      <c r="AX351" t="e">
        <f>AND(#REF!,"AAAAAHH/PzE=")</f>
        <v>#REF!</v>
      </c>
      <c r="AY351" t="e">
        <f>AND(#REF!,"AAAAAHH/PzI=")</f>
        <v>#REF!</v>
      </c>
      <c r="AZ351" t="e">
        <f>AND(#REF!,"AAAAAHH/PzM=")</f>
        <v>#REF!</v>
      </c>
      <c r="BA351" t="e">
        <f>AND(#REF!,"AAAAAHH/PzQ=")</f>
        <v>#REF!</v>
      </c>
      <c r="BB351" t="e">
        <f>AND(#REF!,"AAAAAHH/PzU=")</f>
        <v>#REF!</v>
      </c>
      <c r="BC351" t="e">
        <f>AND(#REF!,"AAAAAHH/PzY=")</f>
        <v>#REF!</v>
      </c>
      <c r="BD351" t="e">
        <f>AND(#REF!,"AAAAAHH/Pzc=")</f>
        <v>#REF!</v>
      </c>
      <c r="BE351" t="e">
        <f>AND(#REF!,"AAAAAHH/Pzg=")</f>
        <v>#REF!</v>
      </c>
      <c r="BF351" t="e">
        <f>AND(#REF!,"AAAAAHH/Pzk=")</f>
        <v>#REF!</v>
      </c>
      <c r="BG351" t="e">
        <f>AND(#REF!,"AAAAAHH/Pzo=")</f>
        <v>#REF!</v>
      </c>
      <c r="BH351" t="e">
        <f>AND(#REF!,"AAAAAHH/Pzs=")</f>
        <v>#REF!</v>
      </c>
      <c r="BI351" t="e">
        <f>IF(#REF!,"AAAAAHH/Pzw=",0)</f>
        <v>#REF!</v>
      </c>
      <c r="BJ351" t="e">
        <f>AND(#REF!,"AAAAAHH/Pz0=")</f>
        <v>#REF!</v>
      </c>
      <c r="BK351" t="e">
        <f>AND(#REF!,"AAAAAHH/Pz4=")</f>
        <v>#REF!</v>
      </c>
      <c r="BL351" t="e">
        <f>AND(#REF!,"AAAAAHH/Pz8=")</f>
        <v>#REF!</v>
      </c>
      <c r="BM351" t="e">
        <f>AND(#REF!,"AAAAAHH/P0A=")</f>
        <v>#REF!</v>
      </c>
      <c r="BN351" t="e">
        <f>AND(#REF!,"AAAAAHH/P0E=")</f>
        <v>#REF!</v>
      </c>
      <c r="BO351" t="e">
        <f>AND(#REF!,"AAAAAHH/P0I=")</f>
        <v>#REF!</v>
      </c>
      <c r="BP351" t="e">
        <f>AND(#REF!,"AAAAAHH/P0M=")</f>
        <v>#REF!</v>
      </c>
      <c r="BQ351" t="e">
        <f>AND(#REF!,"AAAAAHH/P0Q=")</f>
        <v>#REF!</v>
      </c>
      <c r="BR351" t="e">
        <f>AND(#REF!,"AAAAAHH/P0U=")</f>
        <v>#REF!</v>
      </c>
      <c r="BS351" t="e">
        <f>AND(#REF!,"AAAAAHH/P0Y=")</f>
        <v>#REF!</v>
      </c>
      <c r="BT351" t="e">
        <f>AND(#REF!,"AAAAAHH/P0c=")</f>
        <v>#REF!</v>
      </c>
      <c r="BU351" t="e">
        <f>AND(#REF!,"AAAAAHH/P0g=")</f>
        <v>#REF!</v>
      </c>
      <c r="BV351" t="e">
        <f>AND(#REF!,"AAAAAHH/P0k=")</f>
        <v>#REF!</v>
      </c>
      <c r="BW351" t="e">
        <f>AND(#REF!,"AAAAAHH/P0o=")</f>
        <v>#REF!</v>
      </c>
      <c r="BX351" t="e">
        <f>AND(#REF!,"AAAAAHH/P0s=")</f>
        <v>#REF!</v>
      </c>
      <c r="BY351" t="e">
        <f>AND(#REF!,"AAAAAHH/P0w=")</f>
        <v>#REF!</v>
      </c>
      <c r="BZ351" t="e">
        <f>AND(#REF!,"AAAAAHH/P00=")</f>
        <v>#REF!</v>
      </c>
      <c r="CA351" t="e">
        <f>AND(#REF!,"AAAAAHH/P04=")</f>
        <v>#REF!</v>
      </c>
      <c r="CB351" t="e">
        <f>AND(#REF!,"AAAAAHH/P08=")</f>
        <v>#REF!</v>
      </c>
      <c r="CC351" t="e">
        <f>AND(#REF!,"AAAAAHH/P1A=")</f>
        <v>#REF!</v>
      </c>
      <c r="CD351" t="e">
        <f>AND(#REF!,"AAAAAHH/P1E=")</f>
        <v>#REF!</v>
      </c>
      <c r="CE351" t="e">
        <f>AND(#REF!,"AAAAAHH/P1I=")</f>
        <v>#REF!</v>
      </c>
      <c r="CF351" t="e">
        <f>AND(#REF!,"AAAAAHH/P1M=")</f>
        <v>#REF!</v>
      </c>
      <c r="CG351" t="e">
        <f>AND(#REF!,"AAAAAHH/P1Q=")</f>
        <v>#REF!</v>
      </c>
      <c r="CH351" t="e">
        <f>IF(#REF!,"AAAAAHH/P1U=",0)</f>
        <v>#REF!</v>
      </c>
      <c r="CI351" t="e">
        <f>AND(#REF!,"AAAAAHH/P1Y=")</f>
        <v>#REF!</v>
      </c>
      <c r="CJ351" t="e">
        <f>AND(#REF!,"AAAAAHH/P1c=")</f>
        <v>#REF!</v>
      </c>
      <c r="CK351" t="e">
        <f>AND(#REF!,"AAAAAHH/P1g=")</f>
        <v>#REF!</v>
      </c>
      <c r="CL351" t="e">
        <f>AND(#REF!,"AAAAAHH/P1k=")</f>
        <v>#REF!</v>
      </c>
      <c r="CM351" t="e">
        <f>AND(#REF!,"AAAAAHH/P1o=")</f>
        <v>#REF!</v>
      </c>
      <c r="CN351" t="e">
        <f>AND(#REF!,"AAAAAHH/P1s=")</f>
        <v>#REF!</v>
      </c>
      <c r="CO351" t="e">
        <f>AND(#REF!,"AAAAAHH/P1w=")</f>
        <v>#REF!</v>
      </c>
      <c r="CP351" t="e">
        <f>AND(#REF!,"AAAAAHH/P10=")</f>
        <v>#REF!</v>
      </c>
      <c r="CQ351" t="e">
        <f>AND(#REF!,"AAAAAHH/P14=")</f>
        <v>#REF!</v>
      </c>
      <c r="CR351" t="e">
        <f>AND(#REF!,"AAAAAHH/P18=")</f>
        <v>#REF!</v>
      </c>
      <c r="CS351" t="e">
        <f>AND(#REF!,"AAAAAHH/P2A=")</f>
        <v>#REF!</v>
      </c>
      <c r="CT351" t="e">
        <f>AND(#REF!,"AAAAAHH/P2E=")</f>
        <v>#REF!</v>
      </c>
      <c r="CU351" t="e">
        <f>AND(#REF!,"AAAAAHH/P2I=")</f>
        <v>#REF!</v>
      </c>
      <c r="CV351" t="e">
        <f>AND(#REF!,"AAAAAHH/P2M=")</f>
        <v>#REF!</v>
      </c>
      <c r="CW351" t="e">
        <f>AND(#REF!,"AAAAAHH/P2Q=")</f>
        <v>#REF!</v>
      </c>
      <c r="CX351" t="e">
        <f>AND(#REF!,"AAAAAHH/P2U=")</f>
        <v>#REF!</v>
      </c>
      <c r="CY351" t="e">
        <f>AND(#REF!,"AAAAAHH/P2Y=")</f>
        <v>#REF!</v>
      </c>
      <c r="CZ351" t="e">
        <f>AND(#REF!,"AAAAAHH/P2c=")</f>
        <v>#REF!</v>
      </c>
      <c r="DA351" t="e">
        <f>AND(#REF!,"AAAAAHH/P2g=")</f>
        <v>#REF!</v>
      </c>
      <c r="DB351" t="e">
        <f>AND(#REF!,"AAAAAHH/P2k=")</f>
        <v>#REF!</v>
      </c>
      <c r="DC351" t="e">
        <f>AND(#REF!,"AAAAAHH/P2o=")</f>
        <v>#REF!</v>
      </c>
      <c r="DD351" t="e">
        <f>AND(#REF!,"AAAAAHH/P2s=")</f>
        <v>#REF!</v>
      </c>
      <c r="DE351" t="e">
        <f>AND(#REF!,"AAAAAHH/P2w=")</f>
        <v>#REF!</v>
      </c>
      <c r="DF351" t="e">
        <f>AND(#REF!,"AAAAAHH/P20=")</f>
        <v>#REF!</v>
      </c>
      <c r="DG351" t="e">
        <f>IF(#REF!,"AAAAAHH/P24=",0)</f>
        <v>#REF!</v>
      </c>
      <c r="DH351" t="e">
        <f>AND(#REF!,"AAAAAHH/P28=")</f>
        <v>#REF!</v>
      </c>
      <c r="DI351" t="e">
        <f>AND(#REF!,"AAAAAHH/P3A=")</f>
        <v>#REF!</v>
      </c>
      <c r="DJ351" t="e">
        <f>AND(#REF!,"AAAAAHH/P3E=")</f>
        <v>#REF!</v>
      </c>
      <c r="DK351" t="e">
        <f>AND(#REF!,"AAAAAHH/P3I=")</f>
        <v>#REF!</v>
      </c>
      <c r="DL351" t="e">
        <f>AND(#REF!,"AAAAAHH/P3M=")</f>
        <v>#REF!</v>
      </c>
      <c r="DM351" t="e">
        <f>AND(#REF!,"AAAAAHH/P3Q=")</f>
        <v>#REF!</v>
      </c>
      <c r="DN351" t="e">
        <f>AND(#REF!,"AAAAAHH/P3U=")</f>
        <v>#REF!</v>
      </c>
      <c r="DO351" t="e">
        <f>AND(#REF!,"AAAAAHH/P3Y=")</f>
        <v>#REF!</v>
      </c>
      <c r="DP351" t="e">
        <f>AND(#REF!,"AAAAAHH/P3c=")</f>
        <v>#REF!</v>
      </c>
      <c r="DQ351" t="e">
        <f>AND(#REF!,"AAAAAHH/P3g=")</f>
        <v>#REF!</v>
      </c>
      <c r="DR351" t="e">
        <f>AND(#REF!,"AAAAAHH/P3k=")</f>
        <v>#REF!</v>
      </c>
      <c r="DS351" t="e">
        <f>AND(#REF!,"AAAAAHH/P3o=")</f>
        <v>#REF!</v>
      </c>
      <c r="DT351" t="e">
        <f>AND(#REF!,"AAAAAHH/P3s=")</f>
        <v>#REF!</v>
      </c>
      <c r="DU351" t="e">
        <f>AND(#REF!,"AAAAAHH/P3w=")</f>
        <v>#REF!</v>
      </c>
      <c r="DV351" t="e">
        <f>AND(#REF!,"AAAAAHH/P30=")</f>
        <v>#REF!</v>
      </c>
      <c r="DW351" t="e">
        <f>AND(#REF!,"AAAAAHH/P34=")</f>
        <v>#REF!</v>
      </c>
      <c r="DX351" t="e">
        <f>AND(#REF!,"AAAAAHH/P38=")</f>
        <v>#REF!</v>
      </c>
      <c r="DY351" t="e">
        <f>AND(#REF!,"AAAAAHH/P4A=")</f>
        <v>#REF!</v>
      </c>
      <c r="DZ351" t="e">
        <f>AND(#REF!,"AAAAAHH/P4E=")</f>
        <v>#REF!</v>
      </c>
      <c r="EA351" t="e">
        <f>AND(#REF!,"AAAAAHH/P4I=")</f>
        <v>#REF!</v>
      </c>
      <c r="EB351" t="e">
        <f>AND(#REF!,"AAAAAHH/P4M=")</f>
        <v>#REF!</v>
      </c>
      <c r="EC351" t="e">
        <f>AND(#REF!,"AAAAAHH/P4Q=")</f>
        <v>#REF!</v>
      </c>
      <c r="ED351" t="e">
        <f>AND(#REF!,"AAAAAHH/P4U=")</f>
        <v>#REF!</v>
      </c>
      <c r="EE351" t="e">
        <f>AND(#REF!,"AAAAAHH/P4Y=")</f>
        <v>#REF!</v>
      </c>
      <c r="EF351" t="e">
        <f>IF(#REF!,"AAAAAHH/P4c=",0)</f>
        <v>#REF!</v>
      </c>
      <c r="EG351" t="e">
        <f>AND(#REF!,"AAAAAHH/P4g=")</f>
        <v>#REF!</v>
      </c>
      <c r="EH351" t="e">
        <f>AND(#REF!,"AAAAAHH/P4k=")</f>
        <v>#REF!</v>
      </c>
      <c r="EI351" t="e">
        <f>AND(#REF!,"AAAAAHH/P4o=")</f>
        <v>#REF!</v>
      </c>
      <c r="EJ351" t="e">
        <f>AND(#REF!,"AAAAAHH/P4s=")</f>
        <v>#REF!</v>
      </c>
      <c r="EK351" t="e">
        <f>AND(#REF!,"AAAAAHH/P4w=")</f>
        <v>#REF!</v>
      </c>
      <c r="EL351" t="e">
        <f>AND(#REF!,"AAAAAHH/P40=")</f>
        <v>#REF!</v>
      </c>
      <c r="EM351" t="e">
        <f>AND(#REF!,"AAAAAHH/P44=")</f>
        <v>#REF!</v>
      </c>
      <c r="EN351" t="e">
        <f>AND(#REF!,"AAAAAHH/P48=")</f>
        <v>#REF!</v>
      </c>
      <c r="EO351" t="e">
        <f>AND(#REF!,"AAAAAHH/P5A=")</f>
        <v>#REF!</v>
      </c>
      <c r="EP351" t="e">
        <f>AND(#REF!,"AAAAAHH/P5E=")</f>
        <v>#REF!</v>
      </c>
      <c r="EQ351" t="e">
        <f>AND(#REF!,"AAAAAHH/P5I=")</f>
        <v>#REF!</v>
      </c>
      <c r="ER351" t="e">
        <f>AND(#REF!,"AAAAAHH/P5M=")</f>
        <v>#REF!</v>
      </c>
      <c r="ES351" t="e">
        <f>AND(#REF!,"AAAAAHH/P5Q=")</f>
        <v>#REF!</v>
      </c>
      <c r="ET351" t="e">
        <f>AND(#REF!,"AAAAAHH/P5U=")</f>
        <v>#REF!</v>
      </c>
      <c r="EU351" t="e">
        <f>AND(#REF!,"AAAAAHH/P5Y=")</f>
        <v>#REF!</v>
      </c>
      <c r="EV351" t="e">
        <f>AND(#REF!,"AAAAAHH/P5c=")</f>
        <v>#REF!</v>
      </c>
      <c r="EW351" t="e">
        <f>AND(#REF!,"AAAAAHH/P5g=")</f>
        <v>#REF!</v>
      </c>
      <c r="EX351" t="e">
        <f>AND(#REF!,"AAAAAHH/P5k=")</f>
        <v>#REF!</v>
      </c>
      <c r="EY351" t="e">
        <f>AND(#REF!,"AAAAAHH/P5o=")</f>
        <v>#REF!</v>
      </c>
      <c r="EZ351" t="e">
        <f>AND(#REF!,"AAAAAHH/P5s=")</f>
        <v>#REF!</v>
      </c>
      <c r="FA351" t="e">
        <f>AND(#REF!,"AAAAAHH/P5w=")</f>
        <v>#REF!</v>
      </c>
      <c r="FB351" t="e">
        <f>AND(#REF!,"AAAAAHH/P50=")</f>
        <v>#REF!</v>
      </c>
      <c r="FC351" t="e">
        <f>AND(#REF!,"AAAAAHH/P54=")</f>
        <v>#REF!</v>
      </c>
      <c r="FD351" t="e">
        <f>AND(#REF!,"AAAAAHH/P58=")</f>
        <v>#REF!</v>
      </c>
      <c r="FE351" t="e">
        <f>IF(#REF!,"AAAAAHH/P6A=",0)</f>
        <v>#REF!</v>
      </c>
      <c r="FF351" t="e">
        <f>AND(#REF!,"AAAAAHH/P6E=")</f>
        <v>#REF!</v>
      </c>
      <c r="FG351" t="e">
        <f>AND(#REF!,"AAAAAHH/P6I=")</f>
        <v>#REF!</v>
      </c>
      <c r="FH351" t="e">
        <f>AND(#REF!,"AAAAAHH/P6M=")</f>
        <v>#REF!</v>
      </c>
      <c r="FI351" t="e">
        <f>AND(#REF!,"AAAAAHH/P6Q=")</f>
        <v>#REF!</v>
      </c>
      <c r="FJ351" t="e">
        <f>AND(#REF!,"AAAAAHH/P6U=")</f>
        <v>#REF!</v>
      </c>
      <c r="FK351" t="e">
        <f>AND(#REF!,"AAAAAHH/P6Y=")</f>
        <v>#REF!</v>
      </c>
      <c r="FL351" t="e">
        <f>AND(#REF!,"AAAAAHH/P6c=")</f>
        <v>#REF!</v>
      </c>
      <c r="FM351" t="e">
        <f>AND(#REF!,"AAAAAHH/P6g=")</f>
        <v>#REF!</v>
      </c>
      <c r="FN351" t="e">
        <f>AND(#REF!,"AAAAAHH/P6k=")</f>
        <v>#REF!</v>
      </c>
      <c r="FO351" t="e">
        <f>AND(#REF!,"AAAAAHH/P6o=")</f>
        <v>#REF!</v>
      </c>
      <c r="FP351" t="e">
        <f>AND(#REF!,"AAAAAHH/P6s=")</f>
        <v>#REF!</v>
      </c>
      <c r="FQ351" t="e">
        <f>AND(#REF!,"AAAAAHH/P6w=")</f>
        <v>#REF!</v>
      </c>
      <c r="FR351" t="e">
        <f>AND(#REF!,"AAAAAHH/P60=")</f>
        <v>#REF!</v>
      </c>
      <c r="FS351" t="e">
        <f>AND(#REF!,"AAAAAHH/P64=")</f>
        <v>#REF!</v>
      </c>
      <c r="FT351" t="e">
        <f>AND(#REF!,"AAAAAHH/P68=")</f>
        <v>#REF!</v>
      </c>
      <c r="FU351" t="e">
        <f>AND(#REF!,"AAAAAHH/P7A=")</f>
        <v>#REF!</v>
      </c>
      <c r="FV351" t="e">
        <f>AND(#REF!,"AAAAAHH/P7E=")</f>
        <v>#REF!</v>
      </c>
      <c r="FW351" t="e">
        <f>AND(#REF!,"AAAAAHH/P7I=")</f>
        <v>#REF!</v>
      </c>
      <c r="FX351" t="e">
        <f>AND(#REF!,"AAAAAHH/P7M=")</f>
        <v>#REF!</v>
      </c>
      <c r="FY351" t="e">
        <f>AND(#REF!,"AAAAAHH/P7Q=")</f>
        <v>#REF!</v>
      </c>
      <c r="FZ351" t="e">
        <f>AND(#REF!,"AAAAAHH/P7U=")</f>
        <v>#REF!</v>
      </c>
      <c r="GA351" t="e">
        <f>AND(#REF!,"AAAAAHH/P7Y=")</f>
        <v>#REF!</v>
      </c>
      <c r="GB351" t="e">
        <f>AND(#REF!,"AAAAAHH/P7c=")</f>
        <v>#REF!</v>
      </c>
      <c r="GC351" t="e">
        <f>AND(#REF!,"AAAAAHH/P7g=")</f>
        <v>#REF!</v>
      </c>
      <c r="GD351" t="e">
        <f>IF(#REF!,"AAAAAHH/P7k=",0)</f>
        <v>#REF!</v>
      </c>
      <c r="GE351" t="e">
        <f>AND(#REF!,"AAAAAHH/P7o=")</f>
        <v>#REF!</v>
      </c>
      <c r="GF351" t="e">
        <f>AND(#REF!,"AAAAAHH/P7s=")</f>
        <v>#REF!</v>
      </c>
      <c r="GG351" t="e">
        <f>AND(#REF!,"AAAAAHH/P7w=")</f>
        <v>#REF!</v>
      </c>
      <c r="GH351" t="e">
        <f>AND(#REF!,"AAAAAHH/P70=")</f>
        <v>#REF!</v>
      </c>
      <c r="GI351" t="e">
        <f>AND(#REF!,"AAAAAHH/P74=")</f>
        <v>#REF!</v>
      </c>
      <c r="GJ351" t="e">
        <f>AND(#REF!,"AAAAAHH/P78=")</f>
        <v>#REF!</v>
      </c>
      <c r="GK351" t="e">
        <f>AND(#REF!,"AAAAAHH/P8A=")</f>
        <v>#REF!</v>
      </c>
      <c r="GL351" t="e">
        <f>AND(#REF!,"AAAAAHH/P8E=")</f>
        <v>#REF!</v>
      </c>
      <c r="GM351" t="e">
        <f>AND(#REF!,"AAAAAHH/P8I=")</f>
        <v>#REF!</v>
      </c>
      <c r="GN351" t="e">
        <f>AND(#REF!,"AAAAAHH/P8M=")</f>
        <v>#REF!</v>
      </c>
      <c r="GO351" t="e">
        <f>AND(#REF!,"AAAAAHH/P8Q=")</f>
        <v>#REF!</v>
      </c>
      <c r="GP351" t="e">
        <f>AND(#REF!,"AAAAAHH/P8U=")</f>
        <v>#REF!</v>
      </c>
      <c r="GQ351" t="e">
        <f>AND(#REF!,"AAAAAHH/P8Y=")</f>
        <v>#REF!</v>
      </c>
      <c r="GR351" t="e">
        <f>AND(#REF!,"AAAAAHH/P8c=")</f>
        <v>#REF!</v>
      </c>
      <c r="GS351" t="e">
        <f>AND(#REF!,"AAAAAHH/P8g=")</f>
        <v>#REF!</v>
      </c>
      <c r="GT351" t="e">
        <f>AND(#REF!,"AAAAAHH/P8k=")</f>
        <v>#REF!</v>
      </c>
      <c r="GU351" t="e">
        <f>AND(#REF!,"AAAAAHH/P8o=")</f>
        <v>#REF!</v>
      </c>
      <c r="GV351" t="e">
        <f>AND(#REF!,"AAAAAHH/P8s=")</f>
        <v>#REF!</v>
      </c>
      <c r="GW351" t="e">
        <f>AND(#REF!,"AAAAAHH/P8w=")</f>
        <v>#REF!</v>
      </c>
      <c r="GX351" t="e">
        <f>AND(#REF!,"AAAAAHH/P80=")</f>
        <v>#REF!</v>
      </c>
      <c r="GY351" t="e">
        <f>AND(#REF!,"AAAAAHH/P84=")</f>
        <v>#REF!</v>
      </c>
      <c r="GZ351" t="e">
        <f>AND(#REF!,"AAAAAHH/P88=")</f>
        <v>#REF!</v>
      </c>
      <c r="HA351" t="e">
        <f>AND(#REF!,"AAAAAHH/P9A=")</f>
        <v>#REF!</v>
      </c>
      <c r="HB351" t="e">
        <f>AND(#REF!,"AAAAAHH/P9E=")</f>
        <v>#REF!</v>
      </c>
      <c r="HC351" t="e">
        <f>IF(#REF!,"AAAAAHH/P9I=",0)</f>
        <v>#REF!</v>
      </c>
      <c r="HD351" t="e">
        <f>AND(#REF!,"AAAAAHH/P9M=")</f>
        <v>#REF!</v>
      </c>
      <c r="HE351" t="e">
        <f>AND(#REF!,"AAAAAHH/P9Q=")</f>
        <v>#REF!</v>
      </c>
      <c r="HF351" t="e">
        <f>AND(#REF!,"AAAAAHH/P9U=")</f>
        <v>#REF!</v>
      </c>
      <c r="HG351" t="e">
        <f>AND(#REF!,"AAAAAHH/P9Y=")</f>
        <v>#REF!</v>
      </c>
      <c r="HH351" t="e">
        <f>AND(#REF!,"AAAAAHH/P9c=")</f>
        <v>#REF!</v>
      </c>
      <c r="HI351" t="e">
        <f>AND(#REF!,"AAAAAHH/P9g=")</f>
        <v>#REF!</v>
      </c>
      <c r="HJ351" t="e">
        <f>AND(#REF!,"AAAAAHH/P9k=")</f>
        <v>#REF!</v>
      </c>
      <c r="HK351" t="e">
        <f>AND(#REF!,"AAAAAHH/P9o=")</f>
        <v>#REF!</v>
      </c>
      <c r="HL351" t="e">
        <f>AND(#REF!,"AAAAAHH/P9s=")</f>
        <v>#REF!</v>
      </c>
      <c r="HM351" t="e">
        <f>AND(#REF!,"AAAAAHH/P9w=")</f>
        <v>#REF!</v>
      </c>
      <c r="HN351" t="e">
        <f>AND(#REF!,"AAAAAHH/P90=")</f>
        <v>#REF!</v>
      </c>
      <c r="HO351" t="e">
        <f>AND(#REF!,"AAAAAHH/P94=")</f>
        <v>#REF!</v>
      </c>
      <c r="HP351" t="e">
        <f>AND(#REF!,"AAAAAHH/P98=")</f>
        <v>#REF!</v>
      </c>
      <c r="HQ351" t="e">
        <f>AND(#REF!,"AAAAAHH/P+A=")</f>
        <v>#REF!</v>
      </c>
      <c r="HR351" t="e">
        <f>AND(#REF!,"AAAAAHH/P+E=")</f>
        <v>#REF!</v>
      </c>
      <c r="HS351" t="e">
        <f>AND(#REF!,"AAAAAHH/P+I=")</f>
        <v>#REF!</v>
      </c>
      <c r="HT351" t="e">
        <f>AND(#REF!,"AAAAAHH/P+M=")</f>
        <v>#REF!</v>
      </c>
      <c r="HU351" t="e">
        <f>AND(#REF!,"AAAAAHH/P+Q=")</f>
        <v>#REF!</v>
      </c>
      <c r="HV351" t="e">
        <f>AND(#REF!,"AAAAAHH/P+U=")</f>
        <v>#REF!</v>
      </c>
      <c r="HW351" t="e">
        <f>AND(#REF!,"AAAAAHH/P+Y=")</f>
        <v>#REF!</v>
      </c>
      <c r="HX351" t="e">
        <f>AND(#REF!,"AAAAAHH/P+c=")</f>
        <v>#REF!</v>
      </c>
      <c r="HY351" t="e">
        <f>AND(#REF!,"AAAAAHH/P+g=")</f>
        <v>#REF!</v>
      </c>
      <c r="HZ351" t="e">
        <f>AND(#REF!,"AAAAAHH/P+k=")</f>
        <v>#REF!</v>
      </c>
      <c r="IA351" t="e">
        <f>AND(#REF!,"AAAAAHH/P+o=")</f>
        <v>#REF!</v>
      </c>
      <c r="IB351" t="e">
        <f>IF(#REF!,"AAAAAHH/P+s=",0)</f>
        <v>#REF!</v>
      </c>
      <c r="IC351" t="e">
        <f>AND(#REF!,"AAAAAHH/P+w=")</f>
        <v>#REF!</v>
      </c>
      <c r="ID351" t="e">
        <f>AND(#REF!,"AAAAAHH/P+0=")</f>
        <v>#REF!</v>
      </c>
      <c r="IE351" t="e">
        <f>AND(#REF!,"AAAAAHH/P+4=")</f>
        <v>#REF!</v>
      </c>
      <c r="IF351" t="e">
        <f>AND(#REF!,"AAAAAHH/P+8=")</f>
        <v>#REF!</v>
      </c>
      <c r="IG351" t="e">
        <f>AND(#REF!,"AAAAAHH/P/A=")</f>
        <v>#REF!</v>
      </c>
      <c r="IH351" t="e">
        <f>AND(#REF!,"AAAAAHH/P/E=")</f>
        <v>#REF!</v>
      </c>
      <c r="II351" t="e">
        <f>AND(#REF!,"AAAAAHH/P/I=")</f>
        <v>#REF!</v>
      </c>
      <c r="IJ351" t="e">
        <f>AND(#REF!,"AAAAAHH/P/M=")</f>
        <v>#REF!</v>
      </c>
      <c r="IK351" t="e">
        <f>AND(#REF!,"AAAAAHH/P/Q=")</f>
        <v>#REF!</v>
      </c>
      <c r="IL351" t="e">
        <f>AND(#REF!,"AAAAAHH/P/U=")</f>
        <v>#REF!</v>
      </c>
      <c r="IM351" t="e">
        <f>AND(#REF!,"AAAAAHH/P/Y=")</f>
        <v>#REF!</v>
      </c>
      <c r="IN351" t="e">
        <f>AND(#REF!,"AAAAAHH/P/c=")</f>
        <v>#REF!</v>
      </c>
      <c r="IO351" t="e">
        <f>AND(#REF!,"AAAAAHH/P/g=")</f>
        <v>#REF!</v>
      </c>
      <c r="IP351" t="e">
        <f>AND(#REF!,"AAAAAHH/P/k=")</f>
        <v>#REF!</v>
      </c>
      <c r="IQ351" t="e">
        <f>AND(#REF!,"AAAAAHH/P/o=")</f>
        <v>#REF!</v>
      </c>
      <c r="IR351" t="e">
        <f>AND(#REF!,"AAAAAHH/P/s=")</f>
        <v>#REF!</v>
      </c>
      <c r="IS351" t="e">
        <f>AND(#REF!,"AAAAAHH/P/w=")</f>
        <v>#REF!</v>
      </c>
      <c r="IT351" t="e">
        <f>AND(#REF!,"AAAAAHH/P/0=")</f>
        <v>#REF!</v>
      </c>
      <c r="IU351" t="e">
        <f>AND(#REF!,"AAAAAHH/P/4=")</f>
        <v>#REF!</v>
      </c>
      <c r="IV351" t="e">
        <f>AND(#REF!,"AAAAAHH/P/8=")</f>
        <v>#REF!</v>
      </c>
    </row>
    <row r="352" spans="1:256">
      <c r="A352" t="e">
        <f>AND(#REF!,"AAAAAD8ifAA=")</f>
        <v>#REF!</v>
      </c>
      <c r="B352" t="e">
        <f>AND(#REF!,"AAAAAD8ifAE=")</f>
        <v>#REF!</v>
      </c>
      <c r="C352" t="e">
        <f>AND(#REF!,"AAAAAD8ifAI=")</f>
        <v>#REF!</v>
      </c>
      <c r="D352" t="e">
        <f>AND(#REF!,"AAAAAD8ifAM=")</f>
        <v>#REF!</v>
      </c>
      <c r="E352" t="e">
        <f>IF(#REF!,"AAAAAD8ifAQ=",0)</f>
        <v>#REF!</v>
      </c>
      <c r="F352" t="e">
        <f>AND(#REF!,"AAAAAD8ifAU=")</f>
        <v>#REF!</v>
      </c>
      <c r="G352" t="e">
        <f>AND(#REF!,"AAAAAD8ifAY=")</f>
        <v>#REF!</v>
      </c>
      <c r="H352" t="e">
        <f>AND(#REF!,"AAAAAD8ifAc=")</f>
        <v>#REF!</v>
      </c>
      <c r="I352" t="e">
        <f>AND(#REF!,"AAAAAD8ifAg=")</f>
        <v>#REF!</v>
      </c>
      <c r="J352" t="e">
        <f>AND(#REF!,"AAAAAD8ifAk=")</f>
        <v>#REF!</v>
      </c>
      <c r="K352" t="e">
        <f>AND(#REF!,"AAAAAD8ifAo=")</f>
        <v>#REF!</v>
      </c>
      <c r="L352" t="e">
        <f>AND(#REF!,"AAAAAD8ifAs=")</f>
        <v>#REF!</v>
      </c>
      <c r="M352" t="e">
        <f>AND(#REF!,"AAAAAD8ifAw=")</f>
        <v>#REF!</v>
      </c>
      <c r="N352" t="e">
        <f>AND(#REF!,"AAAAAD8ifA0=")</f>
        <v>#REF!</v>
      </c>
      <c r="O352" t="e">
        <f>AND(#REF!,"AAAAAD8ifA4=")</f>
        <v>#REF!</v>
      </c>
      <c r="P352" t="e">
        <f>AND(#REF!,"AAAAAD8ifA8=")</f>
        <v>#REF!</v>
      </c>
      <c r="Q352" t="e">
        <f>AND(#REF!,"AAAAAD8ifBA=")</f>
        <v>#REF!</v>
      </c>
      <c r="R352" t="e">
        <f>AND(#REF!,"AAAAAD8ifBE=")</f>
        <v>#REF!</v>
      </c>
      <c r="S352" t="e">
        <f>AND(#REF!,"AAAAAD8ifBI=")</f>
        <v>#REF!</v>
      </c>
      <c r="T352" t="e">
        <f>AND(#REF!,"AAAAAD8ifBM=")</f>
        <v>#REF!</v>
      </c>
      <c r="U352" t="e">
        <f>AND(#REF!,"AAAAAD8ifBQ=")</f>
        <v>#REF!</v>
      </c>
      <c r="V352" t="e">
        <f>AND(#REF!,"AAAAAD8ifBU=")</f>
        <v>#REF!</v>
      </c>
      <c r="W352" t="e">
        <f>AND(#REF!,"AAAAAD8ifBY=")</f>
        <v>#REF!</v>
      </c>
      <c r="X352" t="e">
        <f>AND(#REF!,"AAAAAD8ifBc=")</f>
        <v>#REF!</v>
      </c>
      <c r="Y352" t="e">
        <f>AND(#REF!,"AAAAAD8ifBg=")</f>
        <v>#REF!</v>
      </c>
      <c r="Z352" t="e">
        <f>AND(#REF!,"AAAAAD8ifBk=")</f>
        <v>#REF!</v>
      </c>
      <c r="AA352" t="e">
        <f>AND(#REF!,"AAAAAD8ifBo=")</f>
        <v>#REF!</v>
      </c>
      <c r="AB352" t="e">
        <f>AND(#REF!,"AAAAAD8ifBs=")</f>
        <v>#REF!</v>
      </c>
      <c r="AC352" t="e">
        <f>AND(#REF!,"AAAAAD8ifBw=")</f>
        <v>#REF!</v>
      </c>
      <c r="AD352" t="e">
        <f>IF(#REF!,"AAAAAD8ifB0=",0)</f>
        <v>#REF!</v>
      </c>
      <c r="AE352" t="e">
        <f>AND(#REF!,"AAAAAD8ifB4=")</f>
        <v>#REF!</v>
      </c>
      <c r="AF352" t="e">
        <f>AND(#REF!,"AAAAAD8ifB8=")</f>
        <v>#REF!</v>
      </c>
      <c r="AG352" t="e">
        <f>AND(#REF!,"AAAAAD8ifCA=")</f>
        <v>#REF!</v>
      </c>
      <c r="AH352" t="e">
        <f>AND(#REF!,"AAAAAD8ifCE=")</f>
        <v>#REF!</v>
      </c>
      <c r="AI352" t="e">
        <f>AND(#REF!,"AAAAAD8ifCI=")</f>
        <v>#REF!</v>
      </c>
      <c r="AJ352" t="e">
        <f>AND(#REF!,"AAAAAD8ifCM=")</f>
        <v>#REF!</v>
      </c>
      <c r="AK352" t="e">
        <f>AND(#REF!,"AAAAAD8ifCQ=")</f>
        <v>#REF!</v>
      </c>
      <c r="AL352" t="e">
        <f>AND(#REF!,"AAAAAD8ifCU=")</f>
        <v>#REF!</v>
      </c>
      <c r="AM352" t="e">
        <f>AND(#REF!,"AAAAAD8ifCY=")</f>
        <v>#REF!</v>
      </c>
      <c r="AN352" t="e">
        <f>AND(#REF!,"AAAAAD8ifCc=")</f>
        <v>#REF!</v>
      </c>
      <c r="AO352" t="e">
        <f>AND(#REF!,"AAAAAD8ifCg=")</f>
        <v>#REF!</v>
      </c>
      <c r="AP352" t="e">
        <f>AND(#REF!,"AAAAAD8ifCk=")</f>
        <v>#REF!</v>
      </c>
      <c r="AQ352" t="e">
        <f>AND(#REF!,"AAAAAD8ifCo=")</f>
        <v>#REF!</v>
      </c>
      <c r="AR352" t="e">
        <f>AND(#REF!,"AAAAAD8ifCs=")</f>
        <v>#REF!</v>
      </c>
      <c r="AS352" t="e">
        <f>AND(#REF!,"AAAAAD8ifCw=")</f>
        <v>#REF!</v>
      </c>
      <c r="AT352" t="e">
        <f>AND(#REF!,"AAAAAD8ifC0=")</f>
        <v>#REF!</v>
      </c>
      <c r="AU352" t="e">
        <f>AND(#REF!,"AAAAAD8ifC4=")</f>
        <v>#REF!</v>
      </c>
      <c r="AV352" t="e">
        <f>AND(#REF!,"AAAAAD8ifC8=")</f>
        <v>#REF!</v>
      </c>
      <c r="AW352" t="e">
        <f>AND(#REF!,"AAAAAD8ifDA=")</f>
        <v>#REF!</v>
      </c>
      <c r="AX352" t="e">
        <f>AND(#REF!,"AAAAAD8ifDE=")</f>
        <v>#REF!</v>
      </c>
      <c r="AY352" t="e">
        <f>AND(#REF!,"AAAAAD8ifDI=")</f>
        <v>#REF!</v>
      </c>
      <c r="AZ352" t="e">
        <f>AND(#REF!,"AAAAAD8ifDM=")</f>
        <v>#REF!</v>
      </c>
      <c r="BA352" t="e">
        <f>AND(#REF!,"AAAAAD8ifDQ=")</f>
        <v>#REF!</v>
      </c>
      <c r="BB352" t="e">
        <f>AND(#REF!,"AAAAAD8ifDU=")</f>
        <v>#REF!</v>
      </c>
      <c r="BC352" t="e">
        <f>IF(#REF!,"AAAAAD8ifDY=",0)</f>
        <v>#REF!</v>
      </c>
      <c r="BD352" t="e">
        <f>AND(#REF!,"AAAAAD8ifDc=")</f>
        <v>#REF!</v>
      </c>
      <c r="BE352" t="e">
        <f>AND(#REF!,"AAAAAD8ifDg=")</f>
        <v>#REF!</v>
      </c>
      <c r="BF352" t="e">
        <f>AND(#REF!,"AAAAAD8ifDk=")</f>
        <v>#REF!</v>
      </c>
      <c r="BG352" t="e">
        <f>AND(#REF!,"AAAAAD8ifDo=")</f>
        <v>#REF!</v>
      </c>
      <c r="BH352" t="e">
        <f>AND(#REF!,"AAAAAD8ifDs=")</f>
        <v>#REF!</v>
      </c>
      <c r="BI352" t="e">
        <f>AND(#REF!,"AAAAAD8ifDw=")</f>
        <v>#REF!</v>
      </c>
      <c r="BJ352" t="e">
        <f>AND(#REF!,"AAAAAD8ifD0=")</f>
        <v>#REF!</v>
      </c>
      <c r="BK352" t="e">
        <f>AND(#REF!,"AAAAAD8ifD4=")</f>
        <v>#REF!</v>
      </c>
      <c r="BL352" t="e">
        <f>AND(#REF!,"AAAAAD8ifD8=")</f>
        <v>#REF!</v>
      </c>
      <c r="BM352" t="e">
        <f>AND(#REF!,"AAAAAD8ifEA=")</f>
        <v>#REF!</v>
      </c>
      <c r="BN352" t="e">
        <f>AND(#REF!,"AAAAAD8ifEE=")</f>
        <v>#REF!</v>
      </c>
      <c r="BO352" t="e">
        <f>AND(#REF!,"AAAAAD8ifEI=")</f>
        <v>#REF!</v>
      </c>
      <c r="BP352" t="e">
        <f>AND(#REF!,"AAAAAD8ifEM=")</f>
        <v>#REF!</v>
      </c>
      <c r="BQ352" t="e">
        <f>AND(#REF!,"AAAAAD8ifEQ=")</f>
        <v>#REF!</v>
      </c>
      <c r="BR352" t="e">
        <f>AND(#REF!,"AAAAAD8ifEU=")</f>
        <v>#REF!</v>
      </c>
      <c r="BS352" t="e">
        <f>AND(#REF!,"AAAAAD8ifEY=")</f>
        <v>#REF!</v>
      </c>
      <c r="BT352" t="e">
        <f>AND(#REF!,"AAAAAD8ifEc=")</f>
        <v>#REF!</v>
      </c>
      <c r="BU352" t="e">
        <f>AND(#REF!,"AAAAAD8ifEg=")</f>
        <v>#REF!</v>
      </c>
      <c r="BV352" t="e">
        <f>AND(#REF!,"AAAAAD8ifEk=")</f>
        <v>#REF!</v>
      </c>
      <c r="BW352" t="e">
        <f>AND(#REF!,"AAAAAD8ifEo=")</f>
        <v>#REF!</v>
      </c>
      <c r="BX352" t="e">
        <f>AND(#REF!,"AAAAAD8ifEs=")</f>
        <v>#REF!</v>
      </c>
      <c r="BY352" t="e">
        <f>AND(#REF!,"AAAAAD8ifEw=")</f>
        <v>#REF!</v>
      </c>
      <c r="BZ352" t="e">
        <f>AND(#REF!,"AAAAAD8ifE0=")</f>
        <v>#REF!</v>
      </c>
      <c r="CA352" t="e">
        <f>AND(#REF!,"AAAAAD8ifE4=")</f>
        <v>#REF!</v>
      </c>
      <c r="CB352" t="e">
        <f>IF(#REF!,"AAAAAD8ifE8=",0)</f>
        <v>#REF!</v>
      </c>
      <c r="CC352" t="e">
        <f>AND(#REF!,"AAAAAD8ifFA=")</f>
        <v>#REF!</v>
      </c>
      <c r="CD352" t="e">
        <f>AND(#REF!,"AAAAAD8ifFE=")</f>
        <v>#REF!</v>
      </c>
      <c r="CE352" t="e">
        <f>AND(#REF!,"AAAAAD8ifFI=")</f>
        <v>#REF!</v>
      </c>
      <c r="CF352" t="e">
        <f>AND(#REF!,"AAAAAD8ifFM=")</f>
        <v>#REF!</v>
      </c>
      <c r="CG352" t="e">
        <f>AND(#REF!,"AAAAAD8ifFQ=")</f>
        <v>#REF!</v>
      </c>
      <c r="CH352" t="e">
        <f>AND(#REF!,"AAAAAD8ifFU=")</f>
        <v>#REF!</v>
      </c>
      <c r="CI352" t="e">
        <f>AND(#REF!,"AAAAAD8ifFY=")</f>
        <v>#REF!</v>
      </c>
      <c r="CJ352" t="e">
        <f>AND(#REF!,"AAAAAD8ifFc=")</f>
        <v>#REF!</v>
      </c>
      <c r="CK352" t="e">
        <f>AND(#REF!,"AAAAAD8ifFg=")</f>
        <v>#REF!</v>
      </c>
      <c r="CL352" t="e">
        <f>AND(#REF!,"AAAAAD8ifFk=")</f>
        <v>#REF!</v>
      </c>
      <c r="CM352" t="e">
        <f>AND(#REF!,"AAAAAD8ifFo=")</f>
        <v>#REF!</v>
      </c>
      <c r="CN352" t="e">
        <f>AND(#REF!,"AAAAAD8ifFs=")</f>
        <v>#REF!</v>
      </c>
      <c r="CO352" t="e">
        <f>AND(#REF!,"AAAAAD8ifFw=")</f>
        <v>#REF!</v>
      </c>
      <c r="CP352" t="e">
        <f>AND(#REF!,"AAAAAD8ifF0=")</f>
        <v>#REF!</v>
      </c>
      <c r="CQ352" t="e">
        <f>AND(#REF!,"AAAAAD8ifF4=")</f>
        <v>#REF!</v>
      </c>
      <c r="CR352" t="e">
        <f>AND(#REF!,"AAAAAD8ifF8=")</f>
        <v>#REF!</v>
      </c>
      <c r="CS352" t="e">
        <f>AND(#REF!,"AAAAAD8ifGA=")</f>
        <v>#REF!</v>
      </c>
      <c r="CT352" t="e">
        <f>AND(#REF!,"AAAAAD8ifGE=")</f>
        <v>#REF!</v>
      </c>
      <c r="CU352" t="e">
        <f>AND(#REF!,"AAAAAD8ifGI=")</f>
        <v>#REF!</v>
      </c>
      <c r="CV352" t="e">
        <f>AND(#REF!,"AAAAAD8ifGM=")</f>
        <v>#REF!</v>
      </c>
      <c r="CW352" t="e">
        <f>AND(#REF!,"AAAAAD8ifGQ=")</f>
        <v>#REF!</v>
      </c>
      <c r="CX352" t="e">
        <f>AND(#REF!,"AAAAAD8ifGU=")</f>
        <v>#REF!</v>
      </c>
      <c r="CY352" t="e">
        <f>AND(#REF!,"AAAAAD8ifGY=")</f>
        <v>#REF!</v>
      </c>
      <c r="CZ352" t="e">
        <f>AND(#REF!,"AAAAAD8ifGc=")</f>
        <v>#REF!</v>
      </c>
      <c r="DA352" t="e">
        <f>IF(#REF!,"AAAAAD8ifGg=",0)</f>
        <v>#REF!</v>
      </c>
      <c r="DB352" t="e">
        <f>AND(#REF!,"AAAAAD8ifGk=")</f>
        <v>#REF!</v>
      </c>
      <c r="DC352" t="e">
        <f>AND(#REF!,"AAAAAD8ifGo=")</f>
        <v>#REF!</v>
      </c>
      <c r="DD352" t="e">
        <f>AND(#REF!,"AAAAAD8ifGs=")</f>
        <v>#REF!</v>
      </c>
      <c r="DE352" t="e">
        <f>AND(#REF!,"AAAAAD8ifGw=")</f>
        <v>#REF!</v>
      </c>
      <c r="DF352" t="e">
        <f>AND(#REF!,"AAAAAD8ifG0=")</f>
        <v>#REF!</v>
      </c>
      <c r="DG352" t="e">
        <f>AND(#REF!,"AAAAAD8ifG4=")</f>
        <v>#REF!</v>
      </c>
      <c r="DH352" t="e">
        <f>AND(#REF!,"AAAAAD8ifG8=")</f>
        <v>#REF!</v>
      </c>
      <c r="DI352" t="e">
        <f>AND(#REF!,"AAAAAD8ifHA=")</f>
        <v>#REF!</v>
      </c>
      <c r="DJ352" t="e">
        <f>AND(#REF!,"AAAAAD8ifHE=")</f>
        <v>#REF!</v>
      </c>
      <c r="DK352" t="e">
        <f>AND(#REF!,"AAAAAD8ifHI=")</f>
        <v>#REF!</v>
      </c>
      <c r="DL352" t="e">
        <f>AND(#REF!,"AAAAAD8ifHM=")</f>
        <v>#REF!</v>
      </c>
      <c r="DM352" t="e">
        <f>AND(#REF!,"AAAAAD8ifHQ=")</f>
        <v>#REF!</v>
      </c>
      <c r="DN352" t="e">
        <f>AND(#REF!,"AAAAAD8ifHU=")</f>
        <v>#REF!</v>
      </c>
      <c r="DO352" t="e">
        <f>AND(#REF!,"AAAAAD8ifHY=")</f>
        <v>#REF!</v>
      </c>
      <c r="DP352" t="e">
        <f>AND(#REF!,"AAAAAD8ifHc=")</f>
        <v>#REF!</v>
      </c>
      <c r="DQ352" t="e">
        <f>AND(#REF!,"AAAAAD8ifHg=")</f>
        <v>#REF!</v>
      </c>
      <c r="DR352" t="e">
        <f>AND(#REF!,"AAAAAD8ifHk=")</f>
        <v>#REF!</v>
      </c>
      <c r="DS352" t="e">
        <f>AND(#REF!,"AAAAAD8ifHo=")</f>
        <v>#REF!</v>
      </c>
      <c r="DT352" t="e">
        <f>AND(#REF!,"AAAAAD8ifHs=")</f>
        <v>#REF!</v>
      </c>
      <c r="DU352" t="e">
        <f>AND(#REF!,"AAAAAD8ifHw=")</f>
        <v>#REF!</v>
      </c>
      <c r="DV352" t="e">
        <f>AND(#REF!,"AAAAAD8ifH0=")</f>
        <v>#REF!</v>
      </c>
      <c r="DW352" t="e">
        <f>AND(#REF!,"AAAAAD8ifH4=")</f>
        <v>#REF!</v>
      </c>
      <c r="DX352" t="e">
        <f>AND(#REF!,"AAAAAD8ifH8=")</f>
        <v>#REF!</v>
      </c>
      <c r="DY352" t="e">
        <f>AND(#REF!,"AAAAAD8ifIA=")</f>
        <v>#REF!</v>
      </c>
      <c r="DZ352" t="e">
        <f>IF(#REF!,"AAAAAD8ifIE=",0)</f>
        <v>#REF!</v>
      </c>
      <c r="EA352" t="e">
        <f>AND(#REF!,"AAAAAD8ifII=")</f>
        <v>#REF!</v>
      </c>
      <c r="EB352" t="e">
        <f>AND(#REF!,"AAAAAD8ifIM=")</f>
        <v>#REF!</v>
      </c>
      <c r="EC352" t="e">
        <f>AND(#REF!,"AAAAAD8ifIQ=")</f>
        <v>#REF!</v>
      </c>
      <c r="ED352" t="e">
        <f>AND(#REF!,"AAAAAD8ifIU=")</f>
        <v>#REF!</v>
      </c>
      <c r="EE352" t="e">
        <f>AND(#REF!,"AAAAAD8ifIY=")</f>
        <v>#REF!</v>
      </c>
      <c r="EF352" t="e">
        <f>AND(#REF!,"AAAAAD8ifIc=")</f>
        <v>#REF!</v>
      </c>
      <c r="EG352" t="e">
        <f>AND(#REF!,"AAAAAD8ifIg=")</f>
        <v>#REF!</v>
      </c>
      <c r="EH352" t="e">
        <f>AND(#REF!,"AAAAAD8ifIk=")</f>
        <v>#REF!</v>
      </c>
      <c r="EI352" t="e">
        <f>AND(#REF!,"AAAAAD8ifIo=")</f>
        <v>#REF!</v>
      </c>
      <c r="EJ352" t="e">
        <f>AND(#REF!,"AAAAAD8ifIs=")</f>
        <v>#REF!</v>
      </c>
      <c r="EK352" t="e">
        <f>AND(#REF!,"AAAAAD8ifIw=")</f>
        <v>#REF!</v>
      </c>
      <c r="EL352" t="e">
        <f>AND(#REF!,"AAAAAD8ifI0=")</f>
        <v>#REF!</v>
      </c>
      <c r="EM352" t="e">
        <f>AND(#REF!,"AAAAAD8ifI4=")</f>
        <v>#REF!</v>
      </c>
      <c r="EN352" t="e">
        <f>AND(#REF!,"AAAAAD8ifI8=")</f>
        <v>#REF!</v>
      </c>
      <c r="EO352" t="e">
        <f>AND(#REF!,"AAAAAD8ifJA=")</f>
        <v>#REF!</v>
      </c>
      <c r="EP352" t="e">
        <f>AND(#REF!,"AAAAAD8ifJE=")</f>
        <v>#REF!</v>
      </c>
      <c r="EQ352" t="e">
        <f>AND(#REF!,"AAAAAD8ifJI=")</f>
        <v>#REF!</v>
      </c>
      <c r="ER352" t="e">
        <f>AND(#REF!,"AAAAAD8ifJM=")</f>
        <v>#REF!</v>
      </c>
      <c r="ES352" t="e">
        <f>AND(#REF!,"AAAAAD8ifJQ=")</f>
        <v>#REF!</v>
      </c>
      <c r="ET352" t="e">
        <f>AND(#REF!,"AAAAAD8ifJU=")</f>
        <v>#REF!</v>
      </c>
      <c r="EU352" t="e">
        <f>AND(#REF!,"AAAAAD8ifJY=")</f>
        <v>#REF!</v>
      </c>
      <c r="EV352" t="e">
        <f>AND(#REF!,"AAAAAD8ifJc=")</f>
        <v>#REF!</v>
      </c>
      <c r="EW352" t="e">
        <f>AND(#REF!,"AAAAAD8ifJg=")</f>
        <v>#REF!</v>
      </c>
      <c r="EX352" t="e">
        <f>AND(#REF!,"AAAAAD8ifJk=")</f>
        <v>#REF!</v>
      </c>
      <c r="EY352" t="e">
        <f>IF(#REF!,"AAAAAD8ifJo=",0)</f>
        <v>#REF!</v>
      </c>
      <c r="EZ352" t="e">
        <f>AND(#REF!,"AAAAAD8ifJs=")</f>
        <v>#REF!</v>
      </c>
      <c r="FA352" t="e">
        <f>AND(#REF!,"AAAAAD8ifJw=")</f>
        <v>#REF!</v>
      </c>
      <c r="FB352" t="e">
        <f>AND(#REF!,"AAAAAD8ifJ0=")</f>
        <v>#REF!</v>
      </c>
      <c r="FC352" t="e">
        <f>AND(#REF!,"AAAAAD8ifJ4=")</f>
        <v>#REF!</v>
      </c>
      <c r="FD352" t="e">
        <f>AND(#REF!,"AAAAAD8ifJ8=")</f>
        <v>#REF!</v>
      </c>
      <c r="FE352" t="e">
        <f>AND(#REF!,"AAAAAD8ifKA=")</f>
        <v>#REF!</v>
      </c>
      <c r="FF352" t="e">
        <f>AND(#REF!,"AAAAAD8ifKE=")</f>
        <v>#REF!</v>
      </c>
      <c r="FG352" t="e">
        <f>AND(#REF!,"AAAAAD8ifKI=")</f>
        <v>#REF!</v>
      </c>
      <c r="FH352" t="e">
        <f>AND(#REF!,"AAAAAD8ifKM=")</f>
        <v>#REF!</v>
      </c>
      <c r="FI352" t="e">
        <f>AND(#REF!,"AAAAAD8ifKQ=")</f>
        <v>#REF!</v>
      </c>
      <c r="FJ352" t="e">
        <f>AND(#REF!,"AAAAAD8ifKU=")</f>
        <v>#REF!</v>
      </c>
      <c r="FK352" t="e">
        <f>AND(#REF!,"AAAAAD8ifKY=")</f>
        <v>#REF!</v>
      </c>
      <c r="FL352" t="e">
        <f>AND(#REF!,"AAAAAD8ifKc=")</f>
        <v>#REF!</v>
      </c>
      <c r="FM352" t="e">
        <f>AND(#REF!,"AAAAAD8ifKg=")</f>
        <v>#REF!</v>
      </c>
      <c r="FN352" t="e">
        <f>AND(#REF!,"AAAAAD8ifKk=")</f>
        <v>#REF!</v>
      </c>
      <c r="FO352" t="e">
        <f>AND(#REF!,"AAAAAD8ifKo=")</f>
        <v>#REF!</v>
      </c>
      <c r="FP352" t="e">
        <f>AND(#REF!,"AAAAAD8ifKs=")</f>
        <v>#REF!</v>
      </c>
      <c r="FQ352" t="e">
        <f>AND(#REF!,"AAAAAD8ifKw=")</f>
        <v>#REF!</v>
      </c>
      <c r="FR352" t="e">
        <f>AND(#REF!,"AAAAAD8ifK0=")</f>
        <v>#REF!</v>
      </c>
      <c r="FS352" t="e">
        <f>AND(#REF!,"AAAAAD8ifK4=")</f>
        <v>#REF!</v>
      </c>
      <c r="FT352" t="e">
        <f>AND(#REF!,"AAAAAD8ifK8=")</f>
        <v>#REF!</v>
      </c>
      <c r="FU352" t="e">
        <f>AND(#REF!,"AAAAAD8ifLA=")</f>
        <v>#REF!</v>
      </c>
      <c r="FV352" t="e">
        <f>AND(#REF!,"AAAAAD8ifLE=")</f>
        <v>#REF!</v>
      </c>
      <c r="FW352" t="e">
        <f>AND(#REF!,"AAAAAD8ifLI=")</f>
        <v>#REF!</v>
      </c>
      <c r="FX352" t="e">
        <f>IF(#REF!,"AAAAAD8ifLM=",0)</f>
        <v>#REF!</v>
      </c>
      <c r="FY352" t="e">
        <f>AND(#REF!,"AAAAAD8ifLQ=")</f>
        <v>#REF!</v>
      </c>
      <c r="FZ352" t="e">
        <f>AND(#REF!,"AAAAAD8ifLU=")</f>
        <v>#REF!</v>
      </c>
      <c r="GA352" t="e">
        <f>AND(#REF!,"AAAAAD8ifLY=")</f>
        <v>#REF!</v>
      </c>
      <c r="GB352" t="e">
        <f>AND(#REF!,"AAAAAD8ifLc=")</f>
        <v>#REF!</v>
      </c>
      <c r="GC352" t="e">
        <f>AND(#REF!,"AAAAAD8ifLg=")</f>
        <v>#REF!</v>
      </c>
      <c r="GD352" t="e">
        <f>AND(#REF!,"AAAAAD8ifLk=")</f>
        <v>#REF!</v>
      </c>
      <c r="GE352" t="e">
        <f>AND(#REF!,"AAAAAD8ifLo=")</f>
        <v>#REF!</v>
      </c>
      <c r="GF352" t="e">
        <f>AND(#REF!,"AAAAAD8ifLs=")</f>
        <v>#REF!</v>
      </c>
      <c r="GG352" t="e">
        <f>AND(#REF!,"AAAAAD8ifLw=")</f>
        <v>#REF!</v>
      </c>
      <c r="GH352" t="e">
        <f>AND(#REF!,"AAAAAD8ifL0=")</f>
        <v>#REF!</v>
      </c>
      <c r="GI352" t="e">
        <f>AND(#REF!,"AAAAAD8ifL4=")</f>
        <v>#REF!</v>
      </c>
      <c r="GJ352" t="e">
        <f>AND(#REF!,"AAAAAD8ifL8=")</f>
        <v>#REF!</v>
      </c>
      <c r="GK352" t="e">
        <f>AND(#REF!,"AAAAAD8ifMA=")</f>
        <v>#REF!</v>
      </c>
      <c r="GL352" t="e">
        <f>AND(#REF!,"AAAAAD8ifME=")</f>
        <v>#REF!</v>
      </c>
      <c r="GM352" t="e">
        <f>AND(#REF!,"AAAAAD8ifMI=")</f>
        <v>#REF!</v>
      </c>
      <c r="GN352" t="e">
        <f>AND(#REF!,"AAAAAD8ifMM=")</f>
        <v>#REF!</v>
      </c>
      <c r="GO352" t="e">
        <f>AND(#REF!,"AAAAAD8ifMQ=")</f>
        <v>#REF!</v>
      </c>
      <c r="GP352" t="e">
        <f>AND(#REF!,"AAAAAD8ifMU=")</f>
        <v>#REF!</v>
      </c>
      <c r="GQ352" t="e">
        <f>AND(#REF!,"AAAAAD8ifMY=")</f>
        <v>#REF!</v>
      </c>
      <c r="GR352" t="e">
        <f>AND(#REF!,"AAAAAD8ifMc=")</f>
        <v>#REF!</v>
      </c>
      <c r="GS352" t="e">
        <f>AND(#REF!,"AAAAAD8ifMg=")</f>
        <v>#REF!</v>
      </c>
      <c r="GT352" t="e">
        <f>AND(#REF!,"AAAAAD8ifMk=")</f>
        <v>#REF!</v>
      </c>
      <c r="GU352" t="e">
        <f>AND(#REF!,"AAAAAD8ifMo=")</f>
        <v>#REF!</v>
      </c>
      <c r="GV352" t="e">
        <f>AND(#REF!,"AAAAAD8ifMs=")</f>
        <v>#REF!</v>
      </c>
      <c r="GW352" t="e">
        <f>IF(#REF!,"AAAAAD8ifMw=",0)</f>
        <v>#REF!</v>
      </c>
      <c r="GX352" t="e">
        <f>AND(#REF!,"AAAAAD8ifM0=")</f>
        <v>#REF!</v>
      </c>
      <c r="GY352" t="e">
        <f>AND(#REF!,"AAAAAD8ifM4=")</f>
        <v>#REF!</v>
      </c>
      <c r="GZ352" t="e">
        <f>AND(#REF!,"AAAAAD8ifM8=")</f>
        <v>#REF!</v>
      </c>
      <c r="HA352" t="e">
        <f>AND(#REF!,"AAAAAD8ifNA=")</f>
        <v>#REF!</v>
      </c>
      <c r="HB352" t="e">
        <f>AND(#REF!,"AAAAAD8ifNE=")</f>
        <v>#REF!</v>
      </c>
      <c r="HC352" t="e">
        <f>AND(#REF!,"AAAAAD8ifNI=")</f>
        <v>#REF!</v>
      </c>
      <c r="HD352" t="e">
        <f>AND(#REF!,"AAAAAD8ifNM=")</f>
        <v>#REF!</v>
      </c>
      <c r="HE352" t="e">
        <f>AND(#REF!,"AAAAAD8ifNQ=")</f>
        <v>#REF!</v>
      </c>
      <c r="HF352" t="e">
        <f>AND(#REF!,"AAAAAD8ifNU=")</f>
        <v>#REF!</v>
      </c>
      <c r="HG352" t="e">
        <f>AND(#REF!,"AAAAAD8ifNY=")</f>
        <v>#REF!</v>
      </c>
      <c r="HH352" t="e">
        <f>AND(#REF!,"AAAAAD8ifNc=")</f>
        <v>#REF!</v>
      </c>
      <c r="HI352" t="e">
        <f>AND(#REF!,"AAAAAD8ifNg=")</f>
        <v>#REF!</v>
      </c>
      <c r="HJ352" t="e">
        <f>AND(#REF!,"AAAAAD8ifNk=")</f>
        <v>#REF!</v>
      </c>
      <c r="HK352" t="e">
        <f>AND(#REF!,"AAAAAD8ifNo=")</f>
        <v>#REF!</v>
      </c>
      <c r="HL352" t="e">
        <f>AND(#REF!,"AAAAAD8ifNs=")</f>
        <v>#REF!</v>
      </c>
      <c r="HM352" t="e">
        <f>AND(#REF!,"AAAAAD8ifNw=")</f>
        <v>#REF!</v>
      </c>
      <c r="HN352" t="e">
        <f>AND(#REF!,"AAAAAD8ifN0=")</f>
        <v>#REF!</v>
      </c>
      <c r="HO352" t="e">
        <f>AND(#REF!,"AAAAAD8ifN4=")</f>
        <v>#REF!</v>
      </c>
      <c r="HP352" t="e">
        <f>AND(#REF!,"AAAAAD8ifN8=")</f>
        <v>#REF!</v>
      </c>
      <c r="HQ352" t="e">
        <f>AND(#REF!,"AAAAAD8ifOA=")</f>
        <v>#REF!</v>
      </c>
      <c r="HR352" t="e">
        <f>AND(#REF!,"AAAAAD8ifOE=")</f>
        <v>#REF!</v>
      </c>
      <c r="HS352" t="e">
        <f>AND(#REF!,"AAAAAD8ifOI=")</f>
        <v>#REF!</v>
      </c>
      <c r="HT352" t="e">
        <f>AND(#REF!,"AAAAAD8ifOM=")</f>
        <v>#REF!</v>
      </c>
      <c r="HU352" t="e">
        <f>AND(#REF!,"AAAAAD8ifOQ=")</f>
        <v>#REF!</v>
      </c>
      <c r="HV352" t="e">
        <f>IF(#REF!,"AAAAAD8ifOU=",0)</f>
        <v>#REF!</v>
      </c>
      <c r="HW352" t="e">
        <f>AND(#REF!,"AAAAAD8ifOY=")</f>
        <v>#REF!</v>
      </c>
      <c r="HX352" t="e">
        <f>AND(#REF!,"AAAAAD8ifOc=")</f>
        <v>#REF!</v>
      </c>
      <c r="HY352" t="e">
        <f>AND(#REF!,"AAAAAD8ifOg=")</f>
        <v>#REF!</v>
      </c>
      <c r="HZ352" t="e">
        <f>AND(#REF!,"AAAAAD8ifOk=")</f>
        <v>#REF!</v>
      </c>
      <c r="IA352" t="e">
        <f>AND(#REF!,"AAAAAD8ifOo=")</f>
        <v>#REF!</v>
      </c>
      <c r="IB352" t="e">
        <f>AND(#REF!,"AAAAAD8ifOs=")</f>
        <v>#REF!</v>
      </c>
      <c r="IC352" t="e">
        <f>AND(#REF!,"AAAAAD8ifOw=")</f>
        <v>#REF!</v>
      </c>
      <c r="ID352" t="e">
        <f>AND(#REF!,"AAAAAD8ifO0=")</f>
        <v>#REF!</v>
      </c>
      <c r="IE352" t="e">
        <f>AND(#REF!,"AAAAAD8ifO4=")</f>
        <v>#REF!</v>
      </c>
      <c r="IF352" t="e">
        <f>AND(#REF!,"AAAAAD8ifO8=")</f>
        <v>#REF!</v>
      </c>
      <c r="IG352" t="e">
        <f>AND(#REF!,"AAAAAD8ifPA=")</f>
        <v>#REF!</v>
      </c>
      <c r="IH352" t="e">
        <f>AND(#REF!,"AAAAAD8ifPE=")</f>
        <v>#REF!</v>
      </c>
      <c r="II352" t="e">
        <f>AND(#REF!,"AAAAAD8ifPI=")</f>
        <v>#REF!</v>
      </c>
      <c r="IJ352" t="e">
        <f>AND(#REF!,"AAAAAD8ifPM=")</f>
        <v>#REF!</v>
      </c>
      <c r="IK352" t="e">
        <f>AND(#REF!,"AAAAAD8ifPQ=")</f>
        <v>#REF!</v>
      </c>
      <c r="IL352" t="e">
        <f>AND(#REF!,"AAAAAD8ifPU=")</f>
        <v>#REF!</v>
      </c>
      <c r="IM352" t="e">
        <f>AND(#REF!,"AAAAAD8ifPY=")</f>
        <v>#REF!</v>
      </c>
      <c r="IN352" t="e">
        <f>AND(#REF!,"AAAAAD8ifPc=")</f>
        <v>#REF!</v>
      </c>
      <c r="IO352" t="e">
        <f>AND(#REF!,"AAAAAD8ifPg=")</f>
        <v>#REF!</v>
      </c>
      <c r="IP352" t="e">
        <f>AND(#REF!,"AAAAAD8ifPk=")</f>
        <v>#REF!</v>
      </c>
      <c r="IQ352" t="e">
        <f>AND(#REF!,"AAAAAD8ifPo=")</f>
        <v>#REF!</v>
      </c>
      <c r="IR352" t="e">
        <f>AND(#REF!,"AAAAAD8ifPs=")</f>
        <v>#REF!</v>
      </c>
      <c r="IS352" t="e">
        <f>AND(#REF!,"AAAAAD8ifPw=")</f>
        <v>#REF!</v>
      </c>
      <c r="IT352" t="e">
        <f>AND(#REF!,"AAAAAD8ifP0=")</f>
        <v>#REF!</v>
      </c>
      <c r="IU352" t="e">
        <f>IF(#REF!,"AAAAAD8ifP4=",0)</f>
        <v>#REF!</v>
      </c>
      <c r="IV352" t="e">
        <f>AND(#REF!,"AAAAAD8ifP8=")</f>
        <v>#REF!</v>
      </c>
    </row>
    <row r="353" spans="1:256">
      <c r="A353" t="e">
        <f>AND(#REF!,"AAAAAH5c6QA=")</f>
        <v>#REF!</v>
      </c>
      <c r="B353" t="e">
        <f>AND(#REF!,"AAAAAH5c6QE=")</f>
        <v>#REF!</v>
      </c>
      <c r="C353" t="e">
        <f>AND(#REF!,"AAAAAH5c6QI=")</f>
        <v>#REF!</v>
      </c>
      <c r="D353" t="e">
        <f>AND(#REF!,"AAAAAH5c6QM=")</f>
        <v>#REF!</v>
      </c>
      <c r="E353" t="e">
        <f>AND(#REF!,"AAAAAH5c6QQ=")</f>
        <v>#REF!</v>
      </c>
      <c r="F353" t="e">
        <f>AND(#REF!,"AAAAAH5c6QU=")</f>
        <v>#REF!</v>
      </c>
      <c r="G353" t="e">
        <f>AND(#REF!,"AAAAAH5c6QY=")</f>
        <v>#REF!</v>
      </c>
      <c r="H353" t="e">
        <f>AND(#REF!,"AAAAAH5c6Qc=")</f>
        <v>#REF!</v>
      </c>
      <c r="I353" t="e">
        <f>AND(#REF!,"AAAAAH5c6Qg=")</f>
        <v>#REF!</v>
      </c>
      <c r="J353" t="e">
        <f>AND(#REF!,"AAAAAH5c6Qk=")</f>
        <v>#REF!</v>
      </c>
      <c r="K353" t="e">
        <f>AND(#REF!,"AAAAAH5c6Qo=")</f>
        <v>#REF!</v>
      </c>
      <c r="L353" t="e">
        <f>AND(#REF!,"AAAAAH5c6Qs=")</f>
        <v>#REF!</v>
      </c>
      <c r="M353" t="e">
        <f>AND(#REF!,"AAAAAH5c6Qw=")</f>
        <v>#REF!</v>
      </c>
      <c r="N353" t="e">
        <f>AND(#REF!,"AAAAAH5c6Q0=")</f>
        <v>#REF!</v>
      </c>
      <c r="O353" t="e">
        <f>AND(#REF!,"AAAAAH5c6Q4=")</f>
        <v>#REF!</v>
      </c>
      <c r="P353" t="e">
        <f>AND(#REF!,"AAAAAH5c6Q8=")</f>
        <v>#REF!</v>
      </c>
      <c r="Q353" t="e">
        <f>AND(#REF!,"AAAAAH5c6RA=")</f>
        <v>#REF!</v>
      </c>
      <c r="R353" t="e">
        <f>AND(#REF!,"AAAAAH5c6RE=")</f>
        <v>#REF!</v>
      </c>
      <c r="S353" t="e">
        <f>AND(#REF!,"AAAAAH5c6RI=")</f>
        <v>#REF!</v>
      </c>
      <c r="T353" t="e">
        <f>AND(#REF!,"AAAAAH5c6RM=")</f>
        <v>#REF!</v>
      </c>
      <c r="U353" t="e">
        <f>AND(#REF!,"AAAAAH5c6RQ=")</f>
        <v>#REF!</v>
      </c>
      <c r="V353" t="e">
        <f>AND(#REF!,"AAAAAH5c6RU=")</f>
        <v>#REF!</v>
      </c>
      <c r="W353" t="e">
        <f>AND(#REF!,"AAAAAH5c6RY=")</f>
        <v>#REF!</v>
      </c>
      <c r="X353" t="e">
        <f>IF(#REF!,"AAAAAH5c6Rc=",0)</f>
        <v>#REF!</v>
      </c>
      <c r="Y353" t="e">
        <f>AND(#REF!,"AAAAAH5c6Rg=")</f>
        <v>#REF!</v>
      </c>
      <c r="Z353" t="e">
        <f>AND(#REF!,"AAAAAH5c6Rk=")</f>
        <v>#REF!</v>
      </c>
      <c r="AA353" t="e">
        <f>AND(#REF!,"AAAAAH5c6Ro=")</f>
        <v>#REF!</v>
      </c>
      <c r="AB353" t="e">
        <f>AND(#REF!,"AAAAAH5c6Rs=")</f>
        <v>#REF!</v>
      </c>
      <c r="AC353" t="e">
        <f>AND(#REF!,"AAAAAH5c6Rw=")</f>
        <v>#REF!</v>
      </c>
      <c r="AD353" t="e">
        <f>AND(#REF!,"AAAAAH5c6R0=")</f>
        <v>#REF!</v>
      </c>
      <c r="AE353" t="e">
        <f>AND(#REF!,"AAAAAH5c6R4=")</f>
        <v>#REF!</v>
      </c>
      <c r="AF353" t="e">
        <f>AND(#REF!,"AAAAAH5c6R8=")</f>
        <v>#REF!</v>
      </c>
      <c r="AG353" t="e">
        <f>AND(#REF!,"AAAAAH5c6SA=")</f>
        <v>#REF!</v>
      </c>
      <c r="AH353" t="e">
        <f>AND(#REF!,"AAAAAH5c6SE=")</f>
        <v>#REF!</v>
      </c>
      <c r="AI353" t="e">
        <f>AND(#REF!,"AAAAAH5c6SI=")</f>
        <v>#REF!</v>
      </c>
      <c r="AJ353" t="e">
        <f>AND(#REF!,"AAAAAH5c6SM=")</f>
        <v>#REF!</v>
      </c>
      <c r="AK353" t="e">
        <f>AND(#REF!,"AAAAAH5c6SQ=")</f>
        <v>#REF!</v>
      </c>
      <c r="AL353" t="e">
        <f>AND(#REF!,"AAAAAH5c6SU=")</f>
        <v>#REF!</v>
      </c>
      <c r="AM353" t="e">
        <f>AND(#REF!,"AAAAAH5c6SY=")</f>
        <v>#REF!</v>
      </c>
      <c r="AN353" t="e">
        <f>AND(#REF!,"AAAAAH5c6Sc=")</f>
        <v>#REF!</v>
      </c>
      <c r="AO353" t="e">
        <f>AND(#REF!,"AAAAAH5c6Sg=")</f>
        <v>#REF!</v>
      </c>
      <c r="AP353" t="e">
        <f>AND(#REF!,"AAAAAH5c6Sk=")</f>
        <v>#REF!</v>
      </c>
      <c r="AQ353" t="e">
        <f>AND(#REF!,"AAAAAH5c6So=")</f>
        <v>#REF!</v>
      </c>
      <c r="AR353" t="e">
        <f>AND(#REF!,"AAAAAH5c6Ss=")</f>
        <v>#REF!</v>
      </c>
      <c r="AS353" t="e">
        <f>AND(#REF!,"AAAAAH5c6Sw=")</f>
        <v>#REF!</v>
      </c>
      <c r="AT353" t="e">
        <f>AND(#REF!,"AAAAAH5c6S0=")</f>
        <v>#REF!</v>
      </c>
      <c r="AU353" t="e">
        <f>AND(#REF!,"AAAAAH5c6S4=")</f>
        <v>#REF!</v>
      </c>
      <c r="AV353" t="e">
        <f>AND(#REF!,"AAAAAH5c6S8=")</f>
        <v>#REF!</v>
      </c>
      <c r="AW353" t="e">
        <f>IF(#REF!,"AAAAAH5c6TA=",0)</f>
        <v>#REF!</v>
      </c>
      <c r="AX353" t="e">
        <f>AND(#REF!,"AAAAAH5c6TE=")</f>
        <v>#REF!</v>
      </c>
      <c r="AY353" t="e">
        <f>AND(#REF!,"AAAAAH5c6TI=")</f>
        <v>#REF!</v>
      </c>
      <c r="AZ353" t="e">
        <f>AND(#REF!,"AAAAAH5c6TM=")</f>
        <v>#REF!</v>
      </c>
      <c r="BA353" t="e">
        <f>AND(#REF!,"AAAAAH5c6TQ=")</f>
        <v>#REF!</v>
      </c>
      <c r="BB353" t="e">
        <f>AND(#REF!,"AAAAAH5c6TU=")</f>
        <v>#REF!</v>
      </c>
      <c r="BC353" t="e">
        <f>AND(#REF!,"AAAAAH5c6TY=")</f>
        <v>#REF!</v>
      </c>
      <c r="BD353" t="e">
        <f>AND(#REF!,"AAAAAH5c6Tc=")</f>
        <v>#REF!</v>
      </c>
      <c r="BE353" t="e">
        <f>AND(#REF!,"AAAAAH5c6Tg=")</f>
        <v>#REF!</v>
      </c>
      <c r="BF353" t="e">
        <f>AND(#REF!,"AAAAAH5c6Tk=")</f>
        <v>#REF!</v>
      </c>
      <c r="BG353" t="e">
        <f>AND(#REF!,"AAAAAH5c6To=")</f>
        <v>#REF!</v>
      </c>
      <c r="BH353" t="e">
        <f>AND(#REF!,"AAAAAH5c6Ts=")</f>
        <v>#REF!</v>
      </c>
      <c r="BI353" t="e">
        <f>AND(#REF!,"AAAAAH5c6Tw=")</f>
        <v>#REF!</v>
      </c>
      <c r="BJ353" t="e">
        <f>AND(#REF!,"AAAAAH5c6T0=")</f>
        <v>#REF!</v>
      </c>
      <c r="BK353" t="e">
        <f>AND(#REF!,"AAAAAH5c6T4=")</f>
        <v>#REF!</v>
      </c>
      <c r="BL353" t="e">
        <f>AND(#REF!,"AAAAAH5c6T8=")</f>
        <v>#REF!</v>
      </c>
      <c r="BM353" t="e">
        <f>AND(#REF!,"AAAAAH5c6UA=")</f>
        <v>#REF!</v>
      </c>
      <c r="BN353" t="e">
        <f>AND(#REF!,"AAAAAH5c6UE=")</f>
        <v>#REF!</v>
      </c>
      <c r="BO353" t="e">
        <f>AND(#REF!,"AAAAAH5c6UI=")</f>
        <v>#REF!</v>
      </c>
      <c r="BP353" t="e">
        <f>AND(#REF!,"AAAAAH5c6UM=")</f>
        <v>#REF!</v>
      </c>
      <c r="BQ353" t="e">
        <f>AND(#REF!,"AAAAAH5c6UQ=")</f>
        <v>#REF!</v>
      </c>
      <c r="BR353" t="e">
        <f>AND(#REF!,"AAAAAH5c6UU=")</f>
        <v>#REF!</v>
      </c>
      <c r="BS353" t="e">
        <f>AND(#REF!,"AAAAAH5c6UY=")</f>
        <v>#REF!</v>
      </c>
      <c r="BT353" t="e">
        <f>AND(#REF!,"AAAAAH5c6Uc=")</f>
        <v>#REF!</v>
      </c>
      <c r="BU353" t="e">
        <f>AND(#REF!,"AAAAAH5c6Ug=")</f>
        <v>#REF!</v>
      </c>
      <c r="BV353" t="e">
        <f>IF(#REF!,"AAAAAH5c6Uk=",0)</f>
        <v>#REF!</v>
      </c>
      <c r="BW353" t="e">
        <f>AND(#REF!,"AAAAAH5c6Uo=")</f>
        <v>#REF!</v>
      </c>
      <c r="BX353" t="e">
        <f>AND(#REF!,"AAAAAH5c6Us=")</f>
        <v>#REF!</v>
      </c>
      <c r="BY353" t="e">
        <f>AND(#REF!,"AAAAAH5c6Uw=")</f>
        <v>#REF!</v>
      </c>
      <c r="BZ353" t="e">
        <f>AND(#REF!,"AAAAAH5c6U0=")</f>
        <v>#REF!</v>
      </c>
      <c r="CA353" t="e">
        <f>AND(#REF!,"AAAAAH5c6U4=")</f>
        <v>#REF!</v>
      </c>
      <c r="CB353" t="e">
        <f>AND(#REF!,"AAAAAH5c6U8=")</f>
        <v>#REF!</v>
      </c>
      <c r="CC353" t="e">
        <f>AND(#REF!,"AAAAAH5c6VA=")</f>
        <v>#REF!</v>
      </c>
      <c r="CD353" t="e">
        <f>AND(#REF!,"AAAAAH5c6VE=")</f>
        <v>#REF!</v>
      </c>
      <c r="CE353" t="e">
        <f>AND(#REF!,"AAAAAH5c6VI=")</f>
        <v>#REF!</v>
      </c>
      <c r="CF353" t="e">
        <f>AND(#REF!,"AAAAAH5c6VM=")</f>
        <v>#REF!</v>
      </c>
      <c r="CG353" t="e">
        <f>AND(#REF!,"AAAAAH5c6VQ=")</f>
        <v>#REF!</v>
      </c>
      <c r="CH353" t="e">
        <f>AND(#REF!,"AAAAAH5c6VU=")</f>
        <v>#REF!</v>
      </c>
      <c r="CI353" t="e">
        <f>AND(#REF!,"AAAAAH5c6VY=")</f>
        <v>#REF!</v>
      </c>
      <c r="CJ353" t="e">
        <f>AND(#REF!,"AAAAAH5c6Vc=")</f>
        <v>#REF!</v>
      </c>
      <c r="CK353" t="e">
        <f>AND(#REF!,"AAAAAH5c6Vg=")</f>
        <v>#REF!</v>
      </c>
      <c r="CL353" t="e">
        <f>AND(#REF!,"AAAAAH5c6Vk=")</f>
        <v>#REF!</v>
      </c>
      <c r="CM353" t="e">
        <f>AND(#REF!,"AAAAAH5c6Vo=")</f>
        <v>#REF!</v>
      </c>
      <c r="CN353" t="e">
        <f>AND(#REF!,"AAAAAH5c6Vs=")</f>
        <v>#REF!</v>
      </c>
      <c r="CO353" t="e">
        <f>AND(#REF!,"AAAAAH5c6Vw=")</f>
        <v>#REF!</v>
      </c>
      <c r="CP353" t="e">
        <f>AND(#REF!,"AAAAAH5c6V0=")</f>
        <v>#REF!</v>
      </c>
      <c r="CQ353" t="e">
        <f>AND(#REF!,"AAAAAH5c6V4=")</f>
        <v>#REF!</v>
      </c>
      <c r="CR353" t="e">
        <f>AND(#REF!,"AAAAAH5c6V8=")</f>
        <v>#REF!</v>
      </c>
      <c r="CS353" t="e">
        <f>AND(#REF!,"AAAAAH5c6WA=")</f>
        <v>#REF!</v>
      </c>
      <c r="CT353" t="e">
        <f>AND(#REF!,"AAAAAH5c6WE=")</f>
        <v>#REF!</v>
      </c>
      <c r="CU353" t="e">
        <f>IF(#REF!,"AAAAAH5c6WI=",0)</f>
        <v>#REF!</v>
      </c>
      <c r="CV353" t="e">
        <f>AND(#REF!,"AAAAAH5c6WM=")</f>
        <v>#REF!</v>
      </c>
      <c r="CW353" t="e">
        <f>AND(#REF!,"AAAAAH5c6WQ=")</f>
        <v>#REF!</v>
      </c>
      <c r="CX353" t="e">
        <f>AND(#REF!,"AAAAAH5c6WU=")</f>
        <v>#REF!</v>
      </c>
      <c r="CY353" t="e">
        <f>AND(#REF!,"AAAAAH5c6WY=")</f>
        <v>#REF!</v>
      </c>
      <c r="CZ353" t="e">
        <f>AND(#REF!,"AAAAAH5c6Wc=")</f>
        <v>#REF!</v>
      </c>
      <c r="DA353" t="e">
        <f>AND(#REF!,"AAAAAH5c6Wg=")</f>
        <v>#REF!</v>
      </c>
      <c r="DB353" t="e">
        <f>AND(#REF!,"AAAAAH5c6Wk=")</f>
        <v>#REF!</v>
      </c>
      <c r="DC353" t="e">
        <f>AND(#REF!,"AAAAAH5c6Wo=")</f>
        <v>#REF!</v>
      </c>
      <c r="DD353" t="e">
        <f>AND(#REF!,"AAAAAH5c6Ws=")</f>
        <v>#REF!</v>
      </c>
      <c r="DE353" t="e">
        <f>AND(#REF!,"AAAAAH5c6Ww=")</f>
        <v>#REF!</v>
      </c>
      <c r="DF353" t="e">
        <f>AND(#REF!,"AAAAAH5c6W0=")</f>
        <v>#REF!</v>
      </c>
      <c r="DG353" t="e">
        <f>AND(#REF!,"AAAAAH5c6W4=")</f>
        <v>#REF!</v>
      </c>
      <c r="DH353" t="e">
        <f>AND(#REF!,"AAAAAH5c6W8=")</f>
        <v>#REF!</v>
      </c>
      <c r="DI353" t="e">
        <f>AND(#REF!,"AAAAAH5c6XA=")</f>
        <v>#REF!</v>
      </c>
      <c r="DJ353" t="e">
        <f>AND(#REF!,"AAAAAH5c6XE=")</f>
        <v>#REF!</v>
      </c>
      <c r="DK353" t="e">
        <f>AND(#REF!,"AAAAAH5c6XI=")</f>
        <v>#REF!</v>
      </c>
      <c r="DL353" t="e">
        <f>AND(#REF!,"AAAAAH5c6XM=")</f>
        <v>#REF!</v>
      </c>
      <c r="DM353" t="e">
        <f>AND(#REF!,"AAAAAH5c6XQ=")</f>
        <v>#REF!</v>
      </c>
      <c r="DN353" t="e">
        <f>AND(#REF!,"AAAAAH5c6XU=")</f>
        <v>#REF!</v>
      </c>
      <c r="DO353" t="e">
        <f>AND(#REF!,"AAAAAH5c6XY=")</f>
        <v>#REF!</v>
      </c>
      <c r="DP353" t="e">
        <f>AND(#REF!,"AAAAAH5c6Xc=")</f>
        <v>#REF!</v>
      </c>
      <c r="DQ353" t="e">
        <f>AND(#REF!,"AAAAAH5c6Xg=")</f>
        <v>#REF!</v>
      </c>
      <c r="DR353" t="e">
        <f>AND(#REF!,"AAAAAH5c6Xk=")</f>
        <v>#REF!</v>
      </c>
      <c r="DS353" t="e">
        <f>AND(#REF!,"AAAAAH5c6Xo=")</f>
        <v>#REF!</v>
      </c>
      <c r="DT353" t="e">
        <f>IF(#REF!,"AAAAAH5c6Xs=",0)</f>
        <v>#REF!</v>
      </c>
      <c r="DU353" t="e">
        <f>AND(#REF!,"AAAAAH5c6Xw=")</f>
        <v>#REF!</v>
      </c>
      <c r="DV353" t="e">
        <f>AND(#REF!,"AAAAAH5c6X0=")</f>
        <v>#REF!</v>
      </c>
      <c r="DW353" t="e">
        <f>AND(#REF!,"AAAAAH5c6X4=")</f>
        <v>#REF!</v>
      </c>
      <c r="DX353" t="e">
        <f>AND(#REF!,"AAAAAH5c6X8=")</f>
        <v>#REF!</v>
      </c>
      <c r="DY353" t="e">
        <f>AND(#REF!,"AAAAAH5c6YA=")</f>
        <v>#REF!</v>
      </c>
      <c r="DZ353" t="e">
        <f>AND(#REF!,"AAAAAH5c6YE=")</f>
        <v>#REF!</v>
      </c>
      <c r="EA353" t="e">
        <f>AND(#REF!,"AAAAAH5c6YI=")</f>
        <v>#REF!</v>
      </c>
      <c r="EB353" t="e">
        <f>AND(#REF!,"AAAAAH5c6YM=")</f>
        <v>#REF!</v>
      </c>
      <c r="EC353" t="e">
        <f>AND(#REF!,"AAAAAH5c6YQ=")</f>
        <v>#REF!</v>
      </c>
      <c r="ED353" t="e">
        <f>AND(#REF!,"AAAAAH5c6YU=")</f>
        <v>#REF!</v>
      </c>
      <c r="EE353" t="e">
        <f>AND(#REF!,"AAAAAH5c6YY=")</f>
        <v>#REF!</v>
      </c>
      <c r="EF353" t="e">
        <f>AND(#REF!,"AAAAAH5c6Yc=")</f>
        <v>#REF!</v>
      </c>
      <c r="EG353" t="e">
        <f>AND(#REF!,"AAAAAH5c6Yg=")</f>
        <v>#REF!</v>
      </c>
      <c r="EH353" t="e">
        <f>AND(#REF!,"AAAAAH5c6Yk=")</f>
        <v>#REF!</v>
      </c>
      <c r="EI353" t="e">
        <f>AND(#REF!,"AAAAAH5c6Yo=")</f>
        <v>#REF!</v>
      </c>
      <c r="EJ353" t="e">
        <f>AND(#REF!,"AAAAAH5c6Ys=")</f>
        <v>#REF!</v>
      </c>
      <c r="EK353" t="e">
        <f>AND(#REF!,"AAAAAH5c6Yw=")</f>
        <v>#REF!</v>
      </c>
      <c r="EL353" t="e">
        <f>AND(#REF!,"AAAAAH5c6Y0=")</f>
        <v>#REF!</v>
      </c>
      <c r="EM353" t="e">
        <f>AND(#REF!,"AAAAAH5c6Y4=")</f>
        <v>#REF!</v>
      </c>
      <c r="EN353" t="e">
        <f>AND(#REF!,"AAAAAH5c6Y8=")</f>
        <v>#REF!</v>
      </c>
      <c r="EO353" t="e">
        <f>AND(#REF!,"AAAAAH5c6ZA=")</f>
        <v>#REF!</v>
      </c>
      <c r="EP353" t="e">
        <f>AND(#REF!,"AAAAAH5c6ZE=")</f>
        <v>#REF!</v>
      </c>
      <c r="EQ353" t="e">
        <f>AND(#REF!,"AAAAAH5c6ZI=")</f>
        <v>#REF!</v>
      </c>
      <c r="ER353" t="e">
        <f>AND(#REF!,"AAAAAH5c6ZM=")</f>
        <v>#REF!</v>
      </c>
      <c r="ES353" t="e">
        <f>IF(#REF!,"AAAAAH5c6ZQ=",0)</f>
        <v>#REF!</v>
      </c>
      <c r="ET353" t="e">
        <f>AND(#REF!,"AAAAAH5c6ZU=")</f>
        <v>#REF!</v>
      </c>
      <c r="EU353" t="e">
        <f>AND(#REF!,"AAAAAH5c6ZY=")</f>
        <v>#REF!</v>
      </c>
      <c r="EV353" t="e">
        <f>AND(#REF!,"AAAAAH5c6Zc=")</f>
        <v>#REF!</v>
      </c>
      <c r="EW353" t="e">
        <f>AND(#REF!,"AAAAAH5c6Zg=")</f>
        <v>#REF!</v>
      </c>
      <c r="EX353" t="e">
        <f>AND(#REF!,"AAAAAH5c6Zk=")</f>
        <v>#REF!</v>
      </c>
      <c r="EY353" t="e">
        <f>AND(#REF!,"AAAAAH5c6Zo=")</f>
        <v>#REF!</v>
      </c>
      <c r="EZ353" t="e">
        <f>AND(#REF!,"AAAAAH5c6Zs=")</f>
        <v>#REF!</v>
      </c>
      <c r="FA353" t="e">
        <f>AND(#REF!,"AAAAAH5c6Zw=")</f>
        <v>#REF!</v>
      </c>
      <c r="FB353" t="e">
        <f>AND(#REF!,"AAAAAH5c6Z0=")</f>
        <v>#REF!</v>
      </c>
      <c r="FC353" t="e">
        <f>AND(#REF!,"AAAAAH5c6Z4=")</f>
        <v>#REF!</v>
      </c>
      <c r="FD353" t="e">
        <f>AND(#REF!,"AAAAAH5c6Z8=")</f>
        <v>#REF!</v>
      </c>
      <c r="FE353" t="e">
        <f>AND(#REF!,"AAAAAH5c6aA=")</f>
        <v>#REF!</v>
      </c>
      <c r="FF353" t="e">
        <f>AND(#REF!,"AAAAAH5c6aE=")</f>
        <v>#REF!</v>
      </c>
      <c r="FG353" t="e">
        <f>AND(#REF!,"AAAAAH5c6aI=")</f>
        <v>#REF!</v>
      </c>
      <c r="FH353" t="e">
        <f>AND(#REF!,"AAAAAH5c6aM=")</f>
        <v>#REF!</v>
      </c>
      <c r="FI353" t="e">
        <f>AND(#REF!,"AAAAAH5c6aQ=")</f>
        <v>#REF!</v>
      </c>
      <c r="FJ353" t="e">
        <f>AND(#REF!,"AAAAAH5c6aU=")</f>
        <v>#REF!</v>
      </c>
      <c r="FK353" t="e">
        <f>AND(#REF!,"AAAAAH5c6aY=")</f>
        <v>#REF!</v>
      </c>
      <c r="FL353" t="e">
        <f>AND(#REF!,"AAAAAH5c6ac=")</f>
        <v>#REF!</v>
      </c>
      <c r="FM353" t="e">
        <f>AND(#REF!,"AAAAAH5c6ag=")</f>
        <v>#REF!</v>
      </c>
      <c r="FN353" t="e">
        <f>AND(#REF!,"AAAAAH5c6ak=")</f>
        <v>#REF!</v>
      </c>
      <c r="FO353" t="e">
        <f>AND(#REF!,"AAAAAH5c6ao=")</f>
        <v>#REF!</v>
      </c>
      <c r="FP353" t="e">
        <f>AND(#REF!,"AAAAAH5c6as=")</f>
        <v>#REF!</v>
      </c>
      <c r="FQ353" t="e">
        <f>AND(#REF!,"AAAAAH5c6aw=")</f>
        <v>#REF!</v>
      </c>
      <c r="FR353" t="e">
        <f>IF(#REF!,"AAAAAH5c6a0=",0)</f>
        <v>#REF!</v>
      </c>
      <c r="FS353" t="e">
        <f>AND(#REF!,"AAAAAH5c6a4=")</f>
        <v>#REF!</v>
      </c>
      <c r="FT353" t="e">
        <f>AND(#REF!,"AAAAAH5c6a8=")</f>
        <v>#REF!</v>
      </c>
      <c r="FU353" t="e">
        <f>AND(#REF!,"AAAAAH5c6bA=")</f>
        <v>#REF!</v>
      </c>
      <c r="FV353" t="e">
        <f>AND(#REF!,"AAAAAH5c6bE=")</f>
        <v>#REF!</v>
      </c>
      <c r="FW353" t="e">
        <f>AND(#REF!,"AAAAAH5c6bI=")</f>
        <v>#REF!</v>
      </c>
      <c r="FX353" t="e">
        <f>AND(#REF!,"AAAAAH5c6bM=")</f>
        <v>#REF!</v>
      </c>
      <c r="FY353" t="e">
        <f>AND(#REF!,"AAAAAH5c6bQ=")</f>
        <v>#REF!</v>
      </c>
      <c r="FZ353" t="e">
        <f>AND(#REF!,"AAAAAH5c6bU=")</f>
        <v>#REF!</v>
      </c>
      <c r="GA353" t="e">
        <f>AND(#REF!,"AAAAAH5c6bY=")</f>
        <v>#REF!</v>
      </c>
      <c r="GB353" t="e">
        <f>AND(#REF!,"AAAAAH5c6bc=")</f>
        <v>#REF!</v>
      </c>
      <c r="GC353" t="e">
        <f>AND(#REF!,"AAAAAH5c6bg=")</f>
        <v>#REF!</v>
      </c>
      <c r="GD353" t="e">
        <f>AND(#REF!,"AAAAAH5c6bk=")</f>
        <v>#REF!</v>
      </c>
      <c r="GE353" t="e">
        <f>AND(#REF!,"AAAAAH5c6bo=")</f>
        <v>#REF!</v>
      </c>
      <c r="GF353" t="e">
        <f>AND(#REF!,"AAAAAH5c6bs=")</f>
        <v>#REF!</v>
      </c>
      <c r="GG353" t="e">
        <f>AND(#REF!,"AAAAAH5c6bw=")</f>
        <v>#REF!</v>
      </c>
      <c r="GH353" t="e">
        <f>AND(#REF!,"AAAAAH5c6b0=")</f>
        <v>#REF!</v>
      </c>
      <c r="GI353" t="e">
        <f>AND(#REF!,"AAAAAH5c6b4=")</f>
        <v>#REF!</v>
      </c>
      <c r="GJ353" t="e">
        <f>AND(#REF!,"AAAAAH5c6b8=")</f>
        <v>#REF!</v>
      </c>
      <c r="GK353" t="e">
        <f>AND(#REF!,"AAAAAH5c6cA=")</f>
        <v>#REF!</v>
      </c>
      <c r="GL353" t="e">
        <f>AND(#REF!,"AAAAAH5c6cE=")</f>
        <v>#REF!</v>
      </c>
      <c r="GM353" t="e">
        <f>AND(#REF!,"AAAAAH5c6cI=")</f>
        <v>#REF!</v>
      </c>
      <c r="GN353" t="e">
        <f>AND(#REF!,"AAAAAH5c6cM=")</f>
        <v>#REF!</v>
      </c>
      <c r="GO353" t="e">
        <f>AND(#REF!,"AAAAAH5c6cQ=")</f>
        <v>#REF!</v>
      </c>
      <c r="GP353" t="e">
        <f>AND(#REF!,"AAAAAH5c6cU=")</f>
        <v>#REF!</v>
      </c>
      <c r="GQ353" t="e">
        <f>IF(#REF!,"AAAAAH5c6cY=",0)</f>
        <v>#REF!</v>
      </c>
      <c r="GR353" t="e">
        <f>AND(#REF!,"AAAAAH5c6cc=")</f>
        <v>#REF!</v>
      </c>
      <c r="GS353" t="e">
        <f>AND(#REF!,"AAAAAH5c6cg=")</f>
        <v>#REF!</v>
      </c>
      <c r="GT353" t="e">
        <f>AND(#REF!,"AAAAAH5c6ck=")</f>
        <v>#REF!</v>
      </c>
      <c r="GU353" t="e">
        <f>AND(#REF!,"AAAAAH5c6co=")</f>
        <v>#REF!</v>
      </c>
      <c r="GV353" t="e">
        <f>AND(#REF!,"AAAAAH5c6cs=")</f>
        <v>#REF!</v>
      </c>
      <c r="GW353" t="e">
        <f>AND(#REF!,"AAAAAH5c6cw=")</f>
        <v>#REF!</v>
      </c>
      <c r="GX353" t="e">
        <f>AND(#REF!,"AAAAAH5c6c0=")</f>
        <v>#REF!</v>
      </c>
      <c r="GY353" t="e">
        <f>AND(#REF!,"AAAAAH5c6c4=")</f>
        <v>#REF!</v>
      </c>
      <c r="GZ353" t="e">
        <f>AND(#REF!,"AAAAAH5c6c8=")</f>
        <v>#REF!</v>
      </c>
      <c r="HA353" t="e">
        <f>AND(#REF!,"AAAAAH5c6dA=")</f>
        <v>#REF!</v>
      </c>
      <c r="HB353" t="e">
        <f>AND(#REF!,"AAAAAH5c6dE=")</f>
        <v>#REF!</v>
      </c>
      <c r="HC353" t="e">
        <f>AND(#REF!,"AAAAAH5c6dI=")</f>
        <v>#REF!</v>
      </c>
      <c r="HD353" t="e">
        <f>AND(#REF!,"AAAAAH5c6dM=")</f>
        <v>#REF!</v>
      </c>
      <c r="HE353" t="e">
        <f>AND(#REF!,"AAAAAH5c6dQ=")</f>
        <v>#REF!</v>
      </c>
      <c r="HF353" t="e">
        <f>AND(#REF!,"AAAAAH5c6dU=")</f>
        <v>#REF!</v>
      </c>
      <c r="HG353" t="e">
        <f>AND(#REF!,"AAAAAH5c6dY=")</f>
        <v>#REF!</v>
      </c>
      <c r="HH353" t="e">
        <f>AND(#REF!,"AAAAAH5c6dc=")</f>
        <v>#REF!</v>
      </c>
      <c r="HI353" t="e">
        <f>AND(#REF!,"AAAAAH5c6dg=")</f>
        <v>#REF!</v>
      </c>
      <c r="HJ353" t="e">
        <f>AND(#REF!,"AAAAAH5c6dk=")</f>
        <v>#REF!</v>
      </c>
      <c r="HK353" t="e">
        <f>AND(#REF!,"AAAAAH5c6do=")</f>
        <v>#REF!</v>
      </c>
      <c r="HL353" t="e">
        <f>AND(#REF!,"AAAAAH5c6ds=")</f>
        <v>#REF!</v>
      </c>
      <c r="HM353" t="e">
        <f>AND(#REF!,"AAAAAH5c6dw=")</f>
        <v>#REF!</v>
      </c>
      <c r="HN353" t="e">
        <f>AND(#REF!,"AAAAAH5c6d0=")</f>
        <v>#REF!</v>
      </c>
      <c r="HO353" t="e">
        <f>AND(#REF!,"AAAAAH5c6d4=")</f>
        <v>#REF!</v>
      </c>
      <c r="HP353" t="e">
        <f>IF(#REF!,"AAAAAH5c6d8=",0)</f>
        <v>#REF!</v>
      </c>
      <c r="HQ353" t="e">
        <f>AND(#REF!,"AAAAAH5c6eA=")</f>
        <v>#REF!</v>
      </c>
      <c r="HR353" t="e">
        <f>AND(#REF!,"AAAAAH5c6eE=")</f>
        <v>#REF!</v>
      </c>
      <c r="HS353" t="e">
        <f>AND(#REF!,"AAAAAH5c6eI=")</f>
        <v>#REF!</v>
      </c>
      <c r="HT353" t="e">
        <f>AND(#REF!,"AAAAAH5c6eM=")</f>
        <v>#REF!</v>
      </c>
      <c r="HU353" t="e">
        <f>AND(#REF!,"AAAAAH5c6eQ=")</f>
        <v>#REF!</v>
      </c>
      <c r="HV353" t="e">
        <f>AND(#REF!,"AAAAAH5c6eU=")</f>
        <v>#REF!</v>
      </c>
      <c r="HW353" t="e">
        <f>AND(#REF!,"AAAAAH5c6eY=")</f>
        <v>#REF!</v>
      </c>
      <c r="HX353" t="e">
        <f>AND(#REF!,"AAAAAH5c6ec=")</f>
        <v>#REF!</v>
      </c>
      <c r="HY353" t="e">
        <f>AND(#REF!,"AAAAAH5c6eg=")</f>
        <v>#REF!</v>
      </c>
      <c r="HZ353" t="e">
        <f>AND(#REF!,"AAAAAH5c6ek=")</f>
        <v>#REF!</v>
      </c>
      <c r="IA353" t="e">
        <f>AND(#REF!,"AAAAAH5c6eo=")</f>
        <v>#REF!</v>
      </c>
      <c r="IB353" t="e">
        <f>AND(#REF!,"AAAAAH5c6es=")</f>
        <v>#REF!</v>
      </c>
      <c r="IC353" t="e">
        <f>AND(#REF!,"AAAAAH5c6ew=")</f>
        <v>#REF!</v>
      </c>
      <c r="ID353" t="e">
        <f>AND(#REF!,"AAAAAH5c6e0=")</f>
        <v>#REF!</v>
      </c>
      <c r="IE353" t="e">
        <f>AND(#REF!,"AAAAAH5c6e4=")</f>
        <v>#REF!</v>
      </c>
      <c r="IF353" t="e">
        <f>AND(#REF!,"AAAAAH5c6e8=")</f>
        <v>#REF!</v>
      </c>
      <c r="IG353" t="e">
        <f>AND(#REF!,"AAAAAH5c6fA=")</f>
        <v>#REF!</v>
      </c>
      <c r="IH353" t="e">
        <f>AND(#REF!,"AAAAAH5c6fE=")</f>
        <v>#REF!</v>
      </c>
      <c r="II353" t="e">
        <f>AND(#REF!,"AAAAAH5c6fI=")</f>
        <v>#REF!</v>
      </c>
      <c r="IJ353" t="e">
        <f>AND(#REF!,"AAAAAH5c6fM=")</f>
        <v>#REF!</v>
      </c>
      <c r="IK353" t="e">
        <f>AND(#REF!,"AAAAAH5c6fQ=")</f>
        <v>#REF!</v>
      </c>
      <c r="IL353" t="e">
        <f>AND(#REF!,"AAAAAH5c6fU=")</f>
        <v>#REF!</v>
      </c>
      <c r="IM353" t="e">
        <f>AND(#REF!,"AAAAAH5c6fY=")</f>
        <v>#REF!</v>
      </c>
      <c r="IN353" t="e">
        <f>AND(#REF!,"AAAAAH5c6fc=")</f>
        <v>#REF!</v>
      </c>
      <c r="IO353" t="e">
        <f>IF(#REF!,"AAAAAH5c6fg=",0)</f>
        <v>#REF!</v>
      </c>
      <c r="IP353" t="e">
        <f>AND(#REF!,"AAAAAH5c6fk=")</f>
        <v>#REF!</v>
      </c>
      <c r="IQ353" t="e">
        <f>AND(#REF!,"AAAAAH5c6fo=")</f>
        <v>#REF!</v>
      </c>
      <c r="IR353" t="e">
        <f>AND(#REF!,"AAAAAH5c6fs=")</f>
        <v>#REF!</v>
      </c>
      <c r="IS353" t="e">
        <f>AND(#REF!,"AAAAAH5c6fw=")</f>
        <v>#REF!</v>
      </c>
      <c r="IT353" t="e">
        <f>AND(#REF!,"AAAAAH5c6f0=")</f>
        <v>#REF!</v>
      </c>
      <c r="IU353" t="e">
        <f>AND(#REF!,"AAAAAH5c6f4=")</f>
        <v>#REF!</v>
      </c>
      <c r="IV353" t="e">
        <f>AND(#REF!,"AAAAAH5c6f8=")</f>
        <v>#REF!</v>
      </c>
    </row>
    <row r="354" spans="1:256">
      <c r="A354" t="e">
        <f>AND(#REF!,"AAAAAH/X7wA=")</f>
        <v>#REF!</v>
      </c>
      <c r="B354" t="e">
        <f>AND(#REF!,"AAAAAH/X7wE=")</f>
        <v>#REF!</v>
      </c>
      <c r="C354" t="e">
        <f>AND(#REF!,"AAAAAH/X7wI=")</f>
        <v>#REF!</v>
      </c>
      <c r="D354" t="e">
        <f>AND(#REF!,"AAAAAH/X7wM=")</f>
        <v>#REF!</v>
      </c>
      <c r="E354" t="e">
        <f>AND(#REF!,"AAAAAH/X7wQ=")</f>
        <v>#REF!</v>
      </c>
      <c r="F354" t="e">
        <f>AND(#REF!,"AAAAAH/X7wU=")</f>
        <v>#REF!</v>
      </c>
      <c r="G354" t="e">
        <f>AND(#REF!,"AAAAAH/X7wY=")</f>
        <v>#REF!</v>
      </c>
      <c r="H354" t="e">
        <f>AND(#REF!,"AAAAAH/X7wc=")</f>
        <v>#REF!</v>
      </c>
      <c r="I354" t="e">
        <f>AND(#REF!,"AAAAAH/X7wg=")</f>
        <v>#REF!</v>
      </c>
      <c r="J354" t="e">
        <f>AND(#REF!,"AAAAAH/X7wk=")</f>
        <v>#REF!</v>
      </c>
      <c r="K354" t="e">
        <f>AND(#REF!,"AAAAAH/X7wo=")</f>
        <v>#REF!</v>
      </c>
      <c r="L354" t="e">
        <f>AND(#REF!,"AAAAAH/X7ws=")</f>
        <v>#REF!</v>
      </c>
      <c r="M354" t="e">
        <f>AND(#REF!,"AAAAAH/X7ww=")</f>
        <v>#REF!</v>
      </c>
      <c r="N354" t="e">
        <f>AND(#REF!,"AAAAAH/X7w0=")</f>
        <v>#REF!</v>
      </c>
      <c r="O354" t="e">
        <f>AND(#REF!,"AAAAAH/X7w4=")</f>
        <v>#REF!</v>
      </c>
      <c r="P354" t="e">
        <f>AND(#REF!,"AAAAAH/X7w8=")</f>
        <v>#REF!</v>
      </c>
      <c r="Q354" t="e">
        <f>AND(#REF!,"AAAAAH/X7xA=")</f>
        <v>#REF!</v>
      </c>
      <c r="R354" t="e">
        <f>IF(#REF!,"AAAAAH/X7xE=",0)</f>
        <v>#REF!</v>
      </c>
      <c r="S354" t="e">
        <f>AND(#REF!,"AAAAAH/X7xI=")</f>
        <v>#REF!</v>
      </c>
      <c r="T354" t="e">
        <f>AND(#REF!,"AAAAAH/X7xM=")</f>
        <v>#REF!</v>
      </c>
      <c r="U354" t="e">
        <f>AND(#REF!,"AAAAAH/X7xQ=")</f>
        <v>#REF!</v>
      </c>
      <c r="V354" t="e">
        <f>AND(#REF!,"AAAAAH/X7xU=")</f>
        <v>#REF!</v>
      </c>
      <c r="W354" t="e">
        <f>AND(#REF!,"AAAAAH/X7xY=")</f>
        <v>#REF!</v>
      </c>
      <c r="X354" t="e">
        <f>AND(#REF!,"AAAAAH/X7xc=")</f>
        <v>#REF!</v>
      </c>
      <c r="Y354" t="e">
        <f>AND(#REF!,"AAAAAH/X7xg=")</f>
        <v>#REF!</v>
      </c>
      <c r="Z354" t="e">
        <f>AND(#REF!,"AAAAAH/X7xk=")</f>
        <v>#REF!</v>
      </c>
      <c r="AA354" t="e">
        <f>AND(#REF!,"AAAAAH/X7xo=")</f>
        <v>#REF!</v>
      </c>
      <c r="AB354" t="e">
        <f>AND(#REF!,"AAAAAH/X7xs=")</f>
        <v>#REF!</v>
      </c>
      <c r="AC354" t="e">
        <f>AND(#REF!,"AAAAAH/X7xw=")</f>
        <v>#REF!</v>
      </c>
      <c r="AD354" t="e">
        <f>AND(#REF!,"AAAAAH/X7x0=")</f>
        <v>#REF!</v>
      </c>
      <c r="AE354" t="e">
        <f>AND(#REF!,"AAAAAH/X7x4=")</f>
        <v>#REF!</v>
      </c>
      <c r="AF354" t="e">
        <f>AND(#REF!,"AAAAAH/X7x8=")</f>
        <v>#REF!</v>
      </c>
      <c r="AG354" t="e">
        <f>AND(#REF!,"AAAAAH/X7yA=")</f>
        <v>#REF!</v>
      </c>
      <c r="AH354" t="e">
        <f>AND(#REF!,"AAAAAH/X7yE=")</f>
        <v>#REF!</v>
      </c>
      <c r="AI354" t="e">
        <f>AND(#REF!,"AAAAAH/X7yI=")</f>
        <v>#REF!</v>
      </c>
      <c r="AJ354" t="e">
        <f>AND(#REF!,"AAAAAH/X7yM=")</f>
        <v>#REF!</v>
      </c>
      <c r="AK354" t="e">
        <f>AND(#REF!,"AAAAAH/X7yQ=")</f>
        <v>#REF!</v>
      </c>
      <c r="AL354" t="e">
        <f>AND(#REF!,"AAAAAH/X7yU=")</f>
        <v>#REF!</v>
      </c>
      <c r="AM354" t="e">
        <f>AND(#REF!,"AAAAAH/X7yY=")</f>
        <v>#REF!</v>
      </c>
      <c r="AN354" t="e">
        <f>AND(#REF!,"AAAAAH/X7yc=")</f>
        <v>#REF!</v>
      </c>
      <c r="AO354" t="e">
        <f>AND(#REF!,"AAAAAH/X7yg=")</f>
        <v>#REF!</v>
      </c>
      <c r="AP354" t="e">
        <f>AND(#REF!,"AAAAAH/X7yk=")</f>
        <v>#REF!</v>
      </c>
      <c r="AQ354" t="e">
        <f>IF(#REF!,"AAAAAH/X7yo=",0)</f>
        <v>#REF!</v>
      </c>
      <c r="AR354" t="e">
        <f>AND(#REF!,"AAAAAH/X7ys=")</f>
        <v>#REF!</v>
      </c>
      <c r="AS354" t="e">
        <f>AND(#REF!,"AAAAAH/X7yw=")</f>
        <v>#REF!</v>
      </c>
      <c r="AT354" t="e">
        <f>AND(#REF!,"AAAAAH/X7y0=")</f>
        <v>#REF!</v>
      </c>
      <c r="AU354" t="e">
        <f>AND(#REF!,"AAAAAH/X7y4=")</f>
        <v>#REF!</v>
      </c>
      <c r="AV354" t="e">
        <f>AND(#REF!,"AAAAAH/X7y8=")</f>
        <v>#REF!</v>
      </c>
      <c r="AW354" t="e">
        <f>AND(#REF!,"AAAAAH/X7zA=")</f>
        <v>#REF!</v>
      </c>
      <c r="AX354" t="e">
        <f>AND(#REF!,"AAAAAH/X7zE=")</f>
        <v>#REF!</v>
      </c>
      <c r="AY354" t="e">
        <f>AND(#REF!,"AAAAAH/X7zI=")</f>
        <v>#REF!</v>
      </c>
      <c r="AZ354" t="e">
        <f>AND(#REF!,"AAAAAH/X7zM=")</f>
        <v>#REF!</v>
      </c>
      <c r="BA354" t="e">
        <f>AND(#REF!,"AAAAAH/X7zQ=")</f>
        <v>#REF!</v>
      </c>
      <c r="BB354" t="e">
        <f>AND(#REF!,"AAAAAH/X7zU=")</f>
        <v>#REF!</v>
      </c>
      <c r="BC354" t="e">
        <f>AND(#REF!,"AAAAAH/X7zY=")</f>
        <v>#REF!</v>
      </c>
      <c r="BD354" t="e">
        <f>AND(#REF!,"AAAAAH/X7zc=")</f>
        <v>#REF!</v>
      </c>
      <c r="BE354" t="e">
        <f>AND(#REF!,"AAAAAH/X7zg=")</f>
        <v>#REF!</v>
      </c>
      <c r="BF354" t="e">
        <f>AND(#REF!,"AAAAAH/X7zk=")</f>
        <v>#REF!</v>
      </c>
      <c r="BG354" t="e">
        <f>AND(#REF!,"AAAAAH/X7zo=")</f>
        <v>#REF!</v>
      </c>
      <c r="BH354" t="e">
        <f>AND(#REF!,"AAAAAH/X7zs=")</f>
        <v>#REF!</v>
      </c>
      <c r="BI354" t="e">
        <f>AND(#REF!,"AAAAAH/X7zw=")</f>
        <v>#REF!</v>
      </c>
      <c r="BJ354" t="e">
        <f>AND(#REF!,"AAAAAH/X7z0=")</f>
        <v>#REF!</v>
      </c>
      <c r="BK354" t="e">
        <f>AND(#REF!,"AAAAAH/X7z4=")</f>
        <v>#REF!</v>
      </c>
      <c r="BL354" t="e">
        <f>AND(#REF!,"AAAAAH/X7z8=")</f>
        <v>#REF!</v>
      </c>
      <c r="BM354" t="e">
        <f>AND(#REF!,"AAAAAH/X70A=")</f>
        <v>#REF!</v>
      </c>
      <c r="BN354" t="e">
        <f>AND(#REF!,"AAAAAH/X70E=")</f>
        <v>#REF!</v>
      </c>
      <c r="BO354" t="e">
        <f>AND(#REF!,"AAAAAH/X70I=")</f>
        <v>#REF!</v>
      </c>
      <c r="BP354" t="e">
        <f>IF(#REF!,"AAAAAH/X70M=",0)</f>
        <v>#REF!</v>
      </c>
      <c r="BQ354" t="e">
        <f>AND(#REF!,"AAAAAH/X70Q=")</f>
        <v>#REF!</v>
      </c>
      <c r="BR354" t="e">
        <f>AND(#REF!,"AAAAAH/X70U=")</f>
        <v>#REF!</v>
      </c>
      <c r="BS354" t="e">
        <f>AND(#REF!,"AAAAAH/X70Y=")</f>
        <v>#REF!</v>
      </c>
      <c r="BT354" t="e">
        <f>AND(#REF!,"AAAAAH/X70c=")</f>
        <v>#REF!</v>
      </c>
      <c r="BU354" t="e">
        <f>AND(#REF!,"AAAAAH/X70g=")</f>
        <v>#REF!</v>
      </c>
      <c r="BV354" t="e">
        <f>AND(#REF!,"AAAAAH/X70k=")</f>
        <v>#REF!</v>
      </c>
      <c r="BW354" t="e">
        <f>AND(#REF!,"AAAAAH/X70o=")</f>
        <v>#REF!</v>
      </c>
      <c r="BX354" t="e">
        <f>AND(#REF!,"AAAAAH/X70s=")</f>
        <v>#REF!</v>
      </c>
      <c r="BY354" t="e">
        <f>AND(#REF!,"AAAAAH/X70w=")</f>
        <v>#REF!</v>
      </c>
      <c r="BZ354" t="e">
        <f>AND(#REF!,"AAAAAH/X700=")</f>
        <v>#REF!</v>
      </c>
      <c r="CA354" t="e">
        <f>AND(#REF!,"AAAAAH/X704=")</f>
        <v>#REF!</v>
      </c>
      <c r="CB354" t="e">
        <f>AND(#REF!,"AAAAAH/X708=")</f>
        <v>#REF!</v>
      </c>
      <c r="CC354" t="e">
        <f>AND(#REF!,"AAAAAH/X71A=")</f>
        <v>#REF!</v>
      </c>
      <c r="CD354" t="e">
        <f>AND(#REF!,"AAAAAH/X71E=")</f>
        <v>#REF!</v>
      </c>
      <c r="CE354" t="e">
        <f>AND(#REF!,"AAAAAH/X71I=")</f>
        <v>#REF!</v>
      </c>
      <c r="CF354" t="e">
        <f>AND(#REF!,"AAAAAH/X71M=")</f>
        <v>#REF!</v>
      </c>
      <c r="CG354" t="e">
        <f>AND(#REF!,"AAAAAH/X71Q=")</f>
        <v>#REF!</v>
      </c>
      <c r="CH354" t="e">
        <f>AND(#REF!,"AAAAAH/X71U=")</f>
        <v>#REF!</v>
      </c>
      <c r="CI354" t="e">
        <f>AND(#REF!,"AAAAAH/X71Y=")</f>
        <v>#REF!</v>
      </c>
      <c r="CJ354" t="e">
        <f>AND(#REF!,"AAAAAH/X71c=")</f>
        <v>#REF!</v>
      </c>
      <c r="CK354" t="e">
        <f>AND(#REF!,"AAAAAH/X71g=")</f>
        <v>#REF!</v>
      </c>
      <c r="CL354" t="e">
        <f>AND(#REF!,"AAAAAH/X71k=")</f>
        <v>#REF!</v>
      </c>
      <c r="CM354" t="e">
        <f>AND(#REF!,"AAAAAH/X71o=")</f>
        <v>#REF!</v>
      </c>
      <c r="CN354" t="e">
        <f>AND(#REF!,"AAAAAH/X71s=")</f>
        <v>#REF!</v>
      </c>
      <c r="CO354" t="e">
        <f>IF(#REF!,"AAAAAH/X71w=",0)</f>
        <v>#REF!</v>
      </c>
      <c r="CP354" t="e">
        <f>AND(#REF!,"AAAAAH/X710=")</f>
        <v>#REF!</v>
      </c>
      <c r="CQ354" t="e">
        <f>AND(#REF!,"AAAAAH/X714=")</f>
        <v>#REF!</v>
      </c>
      <c r="CR354" t="e">
        <f>AND(#REF!,"AAAAAH/X718=")</f>
        <v>#REF!</v>
      </c>
      <c r="CS354" t="e">
        <f>AND(#REF!,"AAAAAH/X72A=")</f>
        <v>#REF!</v>
      </c>
      <c r="CT354" t="e">
        <f>AND(#REF!,"AAAAAH/X72E=")</f>
        <v>#REF!</v>
      </c>
      <c r="CU354" t="e">
        <f>AND(#REF!,"AAAAAH/X72I=")</f>
        <v>#REF!</v>
      </c>
      <c r="CV354" t="e">
        <f>AND(#REF!,"AAAAAH/X72M=")</f>
        <v>#REF!</v>
      </c>
      <c r="CW354" t="e">
        <f>AND(#REF!,"AAAAAH/X72Q=")</f>
        <v>#REF!</v>
      </c>
      <c r="CX354" t="e">
        <f>AND(#REF!,"AAAAAH/X72U=")</f>
        <v>#REF!</v>
      </c>
      <c r="CY354" t="e">
        <f>AND(#REF!,"AAAAAH/X72Y=")</f>
        <v>#REF!</v>
      </c>
      <c r="CZ354" t="e">
        <f>AND(#REF!,"AAAAAH/X72c=")</f>
        <v>#REF!</v>
      </c>
      <c r="DA354" t="e">
        <f>AND(#REF!,"AAAAAH/X72g=")</f>
        <v>#REF!</v>
      </c>
      <c r="DB354" t="e">
        <f>AND(#REF!,"AAAAAH/X72k=")</f>
        <v>#REF!</v>
      </c>
      <c r="DC354" t="e">
        <f>AND(#REF!,"AAAAAH/X72o=")</f>
        <v>#REF!</v>
      </c>
      <c r="DD354" t="e">
        <f>AND(#REF!,"AAAAAH/X72s=")</f>
        <v>#REF!</v>
      </c>
      <c r="DE354" t="e">
        <f>AND(#REF!,"AAAAAH/X72w=")</f>
        <v>#REF!</v>
      </c>
      <c r="DF354" t="e">
        <f>AND(#REF!,"AAAAAH/X720=")</f>
        <v>#REF!</v>
      </c>
      <c r="DG354" t="e">
        <f>AND(#REF!,"AAAAAH/X724=")</f>
        <v>#REF!</v>
      </c>
      <c r="DH354" t="e">
        <f>AND(#REF!,"AAAAAH/X728=")</f>
        <v>#REF!</v>
      </c>
      <c r="DI354" t="e">
        <f>AND(#REF!,"AAAAAH/X73A=")</f>
        <v>#REF!</v>
      </c>
      <c r="DJ354" t="e">
        <f>AND(#REF!,"AAAAAH/X73E=")</f>
        <v>#REF!</v>
      </c>
      <c r="DK354" t="e">
        <f>AND(#REF!,"AAAAAH/X73I=")</f>
        <v>#REF!</v>
      </c>
      <c r="DL354" t="e">
        <f>AND(#REF!,"AAAAAH/X73M=")</f>
        <v>#REF!</v>
      </c>
      <c r="DM354" t="e">
        <f>AND(#REF!,"AAAAAH/X73Q=")</f>
        <v>#REF!</v>
      </c>
      <c r="DN354" t="e">
        <f>IF(#REF!,"AAAAAH/X73U=",0)</f>
        <v>#REF!</v>
      </c>
      <c r="DO354" t="e">
        <f>AND(#REF!,"AAAAAH/X73Y=")</f>
        <v>#REF!</v>
      </c>
      <c r="DP354" t="e">
        <f>AND(#REF!,"AAAAAH/X73c=")</f>
        <v>#REF!</v>
      </c>
      <c r="DQ354" t="e">
        <f>AND(#REF!,"AAAAAH/X73g=")</f>
        <v>#REF!</v>
      </c>
      <c r="DR354" t="e">
        <f>AND(#REF!,"AAAAAH/X73k=")</f>
        <v>#REF!</v>
      </c>
      <c r="DS354" t="e">
        <f>AND(#REF!,"AAAAAH/X73o=")</f>
        <v>#REF!</v>
      </c>
      <c r="DT354" t="e">
        <f>AND(#REF!,"AAAAAH/X73s=")</f>
        <v>#REF!</v>
      </c>
      <c r="DU354" t="e">
        <f>AND(#REF!,"AAAAAH/X73w=")</f>
        <v>#REF!</v>
      </c>
      <c r="DV354" t="e">
        <f>AND(#REF!,"AAAAAH/X730=")</f>
        <v>#REF!</v>
      </c>
      <c r="DW354" t="e">
        <f>AND(#REF!,"AAAAAH/X734=")</f>
        <v>#REF!</v>
      </c>
      <c r="DX354" t="e">
        <f>AND(#REF!,"AAAAAH/X738=")</f>
        <v>#REF!</v>
      </c>
      <c r="DY354" t="e">
        <f>AND(#REF!,"AAAAAH/X74A=")</f>
        <v>#REF!</v>
      </c>
      <c r="DZ354" t="e">
        <f>AND(#REF!,"AAAAAH/X74E=")</f>
        <v>#REF!</v>
      </c>
      <c r="EA354" t="e">
        <f>AND(#REF!,"AAAAAH/X74I=")</f>
        <v>#REF!</v>
      </c>
      <c r="EB354" t="e">
        <f>AND(#REF!,"AAAAAH/X74M=")</f>
        <v>#REF!</v>
      </c>
      <c r="EC354" t="e">
        <f>AND(#REF!,"AAAAAH/X74Q=")</f>
        <v>#REF!</v>
      </c>
      <c r="ED354" t="e">
        <f>AND(#REF!,"AAAAAH/X74U=")</f>
        <v>#REF!</v>
      </c>
      <c r="EE354" t="e">
        <f>AND(#REF!,"AAAAAH/X74Y=")</f>
        <v>#REF!</v>
      </c>
      <c r="EF354" t="e">
        <f>AND(#REF!,"AAAAAH/X74c=")</f>
        <v>#REF!</v>
      </c>
      <c r="EG354" t="e">
        <f>AND(#REF!,"AAAAAH/X74g=")</f>
        <v>#REF!</v>
      </c>
      <c r="EH354" t="e">
        <f>AND(#REF!,"AAAAAH/X74k=")</f>
        <v>#REF!</v>
      </c>
      <c r="EI354" t="e">
        <f>AND(#REF!,"AAAAAH/X74o=")</f>
        <v>#REF!</v>
      </c>
      <c r="EJ354" t="e">
        <f>AND(#REF!,"AAAAAH/X74s=")</f>
        <v>#REF!</v>
      </c>
      <c r="EK354" t="e">
        <f>AND(#REF!,"AAAAAH/X74w=")</f>
        <v>#REF!</v>
      </c>
      <c r="EL354" t="e">
        <f>AND(#REF!,"AAAAAH/X740=")</f>
        <v>#REF!</v>
      </c>
      <c r="EM354" t="e">
        <f>IF(#REF!,"AAAAAH/X744=",0)</f>
        <v>#REF!</v>
      </c>
      <c r="EN354" t="e">
        <f>AND(#REF!,"AAAAAH/X748=")</f>
        <v>#REF!</v>
      </c>
      <c r="EO354" t="e">
        <f>AND(#REF!,"AAAAAH/X75A=")</f>
        <v>#REF!</v>
      </c>
      <c r="EP354" t="e">
        <f>AND(#REF!,"AAAAAH/X75E=")</f>
        <v>#REF!</v>
      </c>
      <c r="EQ354" t="e">
        <f>AND(#REF!,"AAAAAH/X75I=")</f>
        <v>#REF!</v>
      </c>
      <c r="ER354" t="e">
        <f>AND(#REF!,"AAAAAH/X75M=")</f>
        <v>#REF!</v>
      </c>
      <c r="ES354" t="e">
        <f>AND(#REF!,"AAAAAH/X75Q=")</f>
        <v>#REF!</v>
      </c>
      <c r="ET354" t="e">
        <f>AND(#REF!,"AAAAAH/X75U=")</f>
        <v>#REF!</v>
      </c>
      <c r="EU354" t="e">
        <f>AND(#REF!,"AAAAAH/X75Y=")</f>
        <v>#REF!</v>
      </c>
      <c r="EV354" t="e">
        <f>AND(#REF!,"AAAAAH/X75c=")</f>
        <v>#REF!</v>
      </c>
      <c r="EW354" t="e">
        <f>AND(#REF!,"AAAAAH/X75g=")</f>
        <v>#REF!</v>
      </c>
      <c r="EX354" t="e">
        <f>AND(#REF!,"AAAAAH/X75k=")</f>
        <v>#REF!</v>
      </c>
      <c r="EY354" t="e">
        <f>AND(#REF!,"AAAAAH/X75o=")</f>
        <v>#REF!</v>
      </c>
      <c r="EZ354" t="e">
        <f>AND(#REF!,"AAAAAH/X75s=")</f>
        <v>#REF!</v>
      </c>
      <c r="FA354" t="e">
        <f>AND(#REF!,"AAAAAH/X75w=")</f>
        <v>#REF!</v>
      </c>
      <c r="FB354" t="e">
        <f>AND(#REF!,"AAAAAH/X750=")</f>
        <v>#REF!</v>
      </c>
      <c r="FC354" t="e">
        <f>AND(#REF!,"AAAAAH/X754=")</f>
        <v>#REF!</v>
      </c>
      <c r="FD354" t="e">
        <f>AND(#REF!,"AAAAAH/X758=")</f>
        <v>#REF!</v>
      </c>
      <c r="FE354" t="e">
        <f>AND(#REF!,"AAAAAH/X76A=")</f>
        <v>#REF!</v>
      </c>
      <c r="FF354" t="e">
        <f>AND(#REF!,"AAAAAH/X76E=")</f>
        <v>#REF!</v>
      </c>
      <c r="FG354" t="e">
        <f>AND(#REF!,"AAAAAH/X76I=")</f>
        <v>#REF!</v>
      </c>
      <c r="FH354" t="e">
        <f>AND(#REF!,"AAAAAH/X76M=")</f>
        <v>#REF!</v>
      </c>
      <c r="FI354" t="e">
        <f>AND(#REF!,"AAAAAH/X76Q=")</f>
        <v>#REF!</v>
      </c>
      <c r="FJ354" t="e">
        <f>AND(#REF!,"AAAAAH/X76U=")</f>
        <v>#REF!</v>
      </c>
      <c r="FK354" t="e">
        <f>AND(#REF!,"AAAAAH/X76Y=")</f>
        <v>#REF!</v>
      </c>
      <c r="FL354" t="e">
        <f>IF(#REF!,"AAAAAH/X76c=",0)</f>
        <v>#REF!</v>
      </c>
      <c r="FM354" t="e">
        <f>AND(#REF!,"AAAAAH/X76g=")</f>
        <v>#REF!</v>
      </c>
      <c r="FN354" t="e">
        <f>AND(#REF!,"AAAAAH/X76k=")</f>
        <v>#REF!</v>
      </c>
      <c r="FO354" t="e">
        <f>AND(#REF!,"AAAAAH/X76o=")</f>
        <v>#REF!</v>
      </c>
      <c r="FP354" t="e">
        <f>AND(#REF!,"AAAAAH/X76s=")</f>
        <v>#REF!</v>
      </c>
      <c r="FQ354" t="e">
        <f>AND(#REF!,"AAAAAH/X76w=")</f>
        <v>#REF!</v>
      </c>
      <c r="FR354" t="e">
        <f>AND(#REF!,"AAAAAH/X760=")</f>
        <v>#REF!</v>
      </c>
      <c r="FS354" t="e">
        <f>AND(#REF!,"AAAAAH/X764=")</f>
        <v>#REF!</v>
      </c>
      <c r="FT354" t="e">
        <f>AND(#REF!,"AAAAAH/X768=")</f>
        <v>#REF!</v>
      </c>
      <c r="FU354" t="e">
        <f>AND(#REF!,"AAAAAH/X77A=")</f>
        <v>#REF!</v>
      </c>
      <c r="FV354" t="e">
        <f>AND(#REF!,"AAAAAH/X77E=")</f>
        <v>#REF!</v>
      </c>
      <c r="FW354" t="e">
        <f>AND(#REF!,"AAAAAH/X77I=")</f>
        <v>#REF!</v>
      </c>
      <c r="FX354" t="e">
        <f>AND(#REF!,"AAAAAH/X77M=")</f>
        <v>#REF!</v>
      </c>
      <c r="FY354" t="e">
        <f>AND(#REF!,"AAAAAH/X77Q=")</f>
        <v>#REF!</v>
      </c>
      <c r="FZ354" t="e">
        <f>AND(#REF!,"AAAAAH/X77U=")</f>
        <v>#REF!</v>
      </c>
      <c r="GA354" t="e">
        <f>AND(#REF!,"AAAAAH/X77Y=")</f>
        <v>#REF!</v>
      </c>
      <c r="GB354" t="e">
        <f>AND(#REF!,"AAAAAH/X77c=")</f>
        <v>#REF!</v>
      </c>
      <c r="GC354" t="e">
        <f>AND(#REF!,"AAAAAH/X77g=")</f>
        <v>#REF!</v>
      </c>
      <c r="GD354" t="e">
        <f>AND(#REF!,"AAAAAH/X77k=")</f>
        <v>#REF!</v>
      </c>
      <c r="GE354" t="e">
        <f>AND(#REF!,"AAAAAH/X77o=")</f>
        <v>#REF!</v>
      </c>
      <c r="GF354" t="e">
        <f>AND(#REF!,"AAAAAH/X77s=")</f>
        <v>#REF!</v>
      </c>
      <c r="GG354" t="e">
        <f>AND(#REF!,"AAAAAH/X77w=")</f>
        <v>#REF!</v>
      </c>
      <c r="GH354" t="e">
        <f>AND(#REF!,"AAAAAH/X770=")</f>
        <v>#REF!</v>
      </c>
      <c r="GI354" t="e">
        <f>AND(#REF!,"AAAAAH/X774=")</f>
        <v>#REF!</v>
      </c>
      <c r="GJ354" t="e">
        <f>AND(#REF!,"AAAAAH/X778=")</f>
        <v>#REF!</v>
      </c>
      <c r="GK354" t="e">
        <f>IF(#REF!,"AAAAAH/X78A=",0)</f>
        <v>#REF!</v>
      </c>
      <c r="GL354" t="e">
        <f>AND(#REF!,"AAAAAH/X78E=")</f>
        <v>#REF!</v>
      </c>
      <c r="GM354" t="e">
        <f>AND(#REF!,"AAAAAH/X78I=")</f>
        <v>#REF!</v>
      </c>
      <c r="GN354" t="e">
        <f>AND(#REF!,"AAAAAH/X78M=")</f>
        <v>#REF!</v>
      </c>
      <c r="GO354" t="e">
        <f>AND(#REF!,"AAAAAH/X78Q=")</f>
        <v>#REF!</v>
      </c>
      <c r="GP354" t="e">
        <f>AND(#REF!,"AAAAAH/X78U=")</f>
        <v>#REF!</v>
      </c>
      <c r="GQ354" t="e">
        <f>AND(#REF!,"AAAAAH/X78Y=")</f>
        <v>#REF!</v>
      </c>
      <c r="GR354" t="e">
        <f>AND(#REF!,"AAAAAH/X78c=")</f>
        <v>#REF!</v>
      </c>
      <c r="GS354" t="e">
        <f>AND(#REF!,"AAAAAH/X78g=")</f>
        <v>#REF!</v>
      </c>
      <c r="GT354" t="e">
        <f>AND(#REF!,"AAAAAH/X78k=")</f>
        <v>#REF!</v>
      </c>
      <c r="GU354" t="e">
        <f>AND(#REF!,"AAAAAH/X78o=")</f>
        <v>#REF!</v>
      </c>
      <c r="GV354" t="e">
        <f>AND(#REF!,"AAAAAH/X78s=")</f>
        <v>#REF!</v>
      </c>
      <c r="GW354" t="e">
        <f>AND(#REF!,"AAAAAH/X78w=")</f>
        <v>#REF!</v>
      </c>
      <c r="GX354" t="e">
        <f>AND(#REF!,"AAAAAH/X780=")</f>
        <v>#REF!</v>
      </c>
      <c r="GY354" t="e">
        <f>AND(#REF!,"AAAAAH/X784=")</f>
        <v>#REF!</v>
      </c>
      <c r="GZ354" t="e">
        <f>AND(#REF!,"AAAAAH/X788=")</f>
        <v>#REF!</v>
      </c>
      <c r="HA354" t="e">
        <f>AND(#REF!,"AAAAAH/X79A=")</f>
        <v>#REF!</v>
      </c>
      <c r="HB354" t="e">
        <f>AND(#REF!,"AAAAAH/X79E=")</f>
        <v>#REF!</v>
      </c>
      <c r="HC354" t="e">
        <f>AND(#REF!,"AAAAAH/X79I=")</f>
        <v>#REF!</v>
      </c>
      <c r="HD354" t="e">
        <f>AND(#REF!,"AAAAAH/X79M=")</f>
        <v>#REF!</v>
      </c>
      <c r="HE354" t="e">
        <f>AND(#REF!,"AAAAAH/X79Q=")</f>
        <v>#REF!</v>
      </c>
      <c r="HF354" t="e">
        <f>AND(#REF!,"AAAAAH/X79U=")</f>
        <v>#REF!</v>
      </c>
      <c r="HG354" t="e">
        <f>AND(#REF!,"AAAAAH/X79Y=")</f>
        <v>#REF!</v>
      </c>
      <c r="HH354" t="e">
        <f>AND(#REF!,"AAAAAH/X79c=")</f>
        <v>#REF!</v>
      </c>
      <c r="HI354" t="e">
        <f>AND(#REF!,"AAAAAH/X79g=")</f>
        <v>#REF!</v>
      </c>
      <c r="HJ354" t="e">
        <f>IF(#REF!,"AAAAAH/X79k=",0)</f>
        <v>#REF!</v>
      </c>
      <c r="HK354" t="e">
        <f>AND(#REF!,"AAAAAH/X79o=")</f>
        <v>#REF!</v>
      </c>
      <c r="HL354" t="e">
        <f>AND(#REF!,"AAAAAH/X79s=")</f>
        <v>#REF!</v>
      </c>
      <c r="HM354" t="e">
        <f>AND(#REF!,"AAAAAH/X79w=")</f>
        <v>#REF!</v>
      </c>
      <c r="HN354" t="e">
        <f>AND(#REF!,"AAAAAH/X790=")</f>
        <v>#REF!</v>
      </c>
      <c r="HO354" t="e">
        <f>AND(#REF!,"AAAAAH/X794=")</f>
        <v>#REF!</v>
      </c>
      <c r="HP354" t="e">
        <f>AND(#REF!,"AAAAAH/X798=")</f>
        <v>#REF!</v>
      </c>
      <c r="HQ354" t="e">
        <f>AND(#REF!,"AAAAAH/X7+A=")</f>
        <v>#REF!</v>
      </c>
      <c r="HR354" t="e">
        <f>AND(#REF!,"AAAAAH/X7+E=")</f>
        <v>#REF!</v>
      </c>
      <c r="HS354" t="e">
        <f>AND(#REF!,"AAAAAH/X7+I=")</f>
        <v>#REF!</v>
      </c>
      <c r="HT354" t="e">
        <f>AND(#REF!,"AAAAAH/X7+M=")</f>
        <v>#REF!</v>
      </c>
      <c r="HU354" t="e">
        <f>AND(#REF!,"AAAAAH/X7+Q=")</f>
        <v>#REF!</v>
      </c>
      <c r="HV354" t="e">
        <f>AND(#REF!,"AAAAAH/X7+U=")</f>
        <v>#REF!</v>
      </c>
      <c r="HW354" t="e">
        <f>AND(#REF!,"AAAAAH/X7+Y=")</f>
        <v>#REF!</v>
      </c>
      <c r="HX354" t="e">
        <f>AND(#REF!,"AAAAAH/X7+c=")</f>
        <v>#REF!</v>
      </c>
      <c r="HY354" t="e">
        <f>AND(#REF!,"AAAAAH/X7+g=")</f>
        <v>#REF!</v>
      </c>
      <c r="HZ354" t="e">
        <f>AND(#REF!,"AAAAAH/X7+k=")</f>
        <v>#REF!</v>
      </c>
      <c r="IA354" t="e">
        <f>AND(#REF!,"AAAAAH/X7+o=")</f>
        <v>#REF!</v>
      </c>
      <c r="IB354" t="e">
        <f>AND(#REF!,"AAAAAH/X7+s=")</f>
        <v>#REF!</v>
      </c>
      <c r="IC354" t="e">
        <f>AND(#REF!,"AAAAAH/X7+w=")</f>
        <v>#REF!</v>
      </c>
      <c r="ID354" t="e">
        <f>AND(#REF!,"AAAAAH/X7+0=")</f>
        <v>#REF!</v>
      </c>
      <c r="IE354" t="e">
        <f>AND(#REF!,"AAAAAH/X7+4=")</f>
        <v>#REF!</v>
      </c>
      <c r="IF354" t="e">
        <f>AND(#REF!,"AAAAAH/X7+8=")</f>
        <v>#REF!</v>
      </c>
      <c r="IG354" t="e">
        <f>AND(#REF!,"AAAAAH/X7/A=")</f>
        <v>#REF!</v>
      </c>
      <c r="IH354" t="e">
        <f>AND(#REF!,"AAAAAH/X7/E=")</f>
        <v>#REF!</v>
      </c>
      <c r="II354" t="e">
        <f>IF(#REF!,"AAAAAH/X7/I=",0)</f>
        <v>#REF!</v>
      </c>
      <c r="IJ354" t="e">
        <f>AND(#REF!,"AAAAAH/X7/M=")</f>
        <v>#REF!</v>
      </c>
      <c r="IK354" t="e">
        <f>AND(#REF!,"AAAAAH/X7/Q=")</f>
        <v>#REF!</v>
      </c>
      <c r="IL354" t="e">
        <f>AND(#REF!,"AAAAAH/X7/U=")</f>
        <v>#REF!</v>
      </c>
      <c r="IM354" t="e">
        <f>AND(#REF!,"AAAAAH/X7/Y=")</f>
        <v>#REF!</v>
      </c>
      <c r="IN354" t="e">
        <f>AND(#REF!,"AAAAAH/X7/c=")</f>
        <v>#REF!</v>
      </c>
      <c r="IO354" t="e">
        <f>AND(#REF!,"AAAAAH/X7/g=")</f>
        <v>#REF!</v>
      </c>
      <c r="IP354" t="e">
        <f>AND(#REF!,"AAAAAH/X7/k=")</f>
        <v>#REF!</v>
      </c>
      <c r="IQ354" t="e">
        <f>AND(#REF!,"AAAAAH/X7/o=")</f>
        <v>#REF!</v>
      </c>
      <c r="IR354" t="e">
        <f>AND(#REF!,"AAAAAH/X7/s=")</f>
        <v>#REF!</v>
      </c>
      <c r="IS354" t="e">
        <f>AND(#REF!,"AAAAAH/X7/w=")</f>
        <v>#REF!</v>
      </c>
      <c r="IT354" t="e">
        <f>AND(#REF!,"AAAAAH/X7/0=")</f>
        <v>#REF!</v>
      </c>
      <c r="IU354" t="e">
        <f>AND(#REF!,"AAAAAH/X7/4=")</f>
        <v>#REF!</v>
      </c>
      <c r="IV354" t="e">
        <f>AND(#REF!,"AAAAAH/X7/8=")</f>
        <v>#REF!</v>
      </c>
    </row>
    <row r="355" spans="1:256">
      <c r="A355" t="e">
        <f>AND(#REF!,"AAAAAEnb9gA=")</f>
        <v>#REF!</v>
      </c>
      <c r="B355" t="e">
        <f>AND(#REF!,"AAAAAEnb9gE=")</f>
        <v>#REF!</v>
      </c>
      <c r="C355" t="e">
        <f>AND(#REF!,"AAAAAEnb9gI=")</f>
        <v>#REF!</v>
      </c>
      <c r="D355" t="e">
        <f>AND(#REF!,"AAAAAEnb9gM=")</f>
        <v>#REF!</v>
      </c>
      <c r="E355" t="e">
        <f>AND(#REF!,"AAAAAEnb9gQ=")</f>
        <v>#REF!</v>
      </c>
      <c r="F355" t="e">
        <f>AND(#REF!,"AAAAAEnb9gU=")</f>
        <v>#REF!</v>
      </c>
      <c r="G355" t="e">
        <f>AND(#REF!,"AAAAAEnb9gY=")</f>
        <v>#REF!</v>
      </c>
      <c r="H355" t="e">
        <f>AND(#REF!,"AAAAAEnb9gc=")</f>
        <v>#REF!</v>
      </c>
      <c r="I355" t="e">
        <f>AND(#REF!,"AAAAAEnb9gg=")</f>
        <v>#REF!</v>
      </c>
      <c r="J355" t="e">
        <f>AND(#REF!,"AAAAAEnb9gk=")</f>
        <v>#REF!</v>
      </c>
      <c r="K355" t="e">
        <f>AND(#REF!,"AAAAAEnb9go=")</f>
        <v>#REF!</v>
      </c>
      <c r="L355" t="e">
        <f>IF(#REF!,"AAAAAEnb9gs=",0)</f>
        <v>#REF!</v>
      </c>
      <c r="M355" t="e">
        <f>AND(#REF!,"AAAAAEnb9gw=")</f>
        <v>#REF!</v>
      </c>
      <c r="N355" t="e">
        <f>AND(#REF!,"AAAAAEnb9g0=")</f>
        <v>#REF!</v>
      </c>
      <c r="O355" t="e">
        <f>AND(#REF!,"AAAAAEnb9g4=")</f>
        <v>#REF!</v>
      </c>
      <c r="P355" t="e">
        <f>AND(#REF!,"AAAAAEnb9g8=")</f>
        <v>#REF!</v>
      </c>
      <c r="Q355" t="e">
        <f>AND(#REF!,"AAAAAEnb9hA=")</f>
        <v>#REF!</v>
      </c>
      <c r="R355" t="e">
        <f>AND(#REF!,"AAAAAEnb9hE=")</f>
        <v>#REF!</v>
      </c>
      <c r="S355" t="e">
        <f>AND(#REF!,"AAAAAEnb9hI=")</f>
        <v>#REF!</v>
      </c>
      <c r="T355" t="e">
        <f>AND(#REF!,"AAAAAEnb9hM=")</f>
        <v>#REF!</v>
      </c>
      <c r="U355" t="e">
        <f>AND(#REF!,"AAAAAEnb9hQ=")</f>
        <v>#REF!</v>
      </c>
      <c r="V355" t="e">
        <f>AND(#REF!,"AAAAAEnb9hU=")</f>
        <v>#REF!</v>
      </c>
      <c r="W355" t="e">
        <f>AND(#REF!,"AAAAAEnb9hY=")</f>
        <v>#REF!</v>
      </c>
      <c r="X355" t="e">
        <f>AND(#REF!,"AAAAAEnb9hc=")</f>
        <v>#REF!</v>
      </c>
      <c r="Y355" t="e">
        <f>AND(#REF!,"AAAAAEnb9hg=")</f>
        <v>#REF!</v>
      </c>
      <c r="Z355" t="e">
        <f>AND(#REF!,"AAAAAEnb9hk=")</f>
        <v>#REF!</v>
      </c>
      <c r="AA355" t="e">
        <f>AND(#REF!,"AAAAAEnb9ho=")</f>
        <v>#REF!</v>
      </c>
      <c r="AB355" t="e">
        <f>AND(#REF!,"AAAAAEnb9hs=")</f>
        <v>#REF!</v>
      </c>
      <c r="AC355" t="e">
        <f>AND(#REF!,"AAAAAEnb9hw=")</f>
        <v>#REF!</v>
      </c>
      <c r="AD355" t="e">
        <f>AND(#REF!,"AAAAAEnb9h0=")</f>
        <v>#REF!</v>
      </c>
      <c r="AE355" t="e">
        <f>AND(#REF!,"AAAAAEnb9h4=")</f>
        <v>#REF!</v>
      </c>
      <c r="AF355" t="e">
        <f>AND(#REF!,"AAAAAEnb9h8=")</f>
        <v>#REF!</v>
      </c>
      <c r="AG355" t="e">
        <f>AND(#REF!,"AAAAAEnb9iA=")</f>
        <v>#REF!</v>
      </c>
      <c r="AH355" t="e">
        <f>AND(#REF!,"AAAAAEnb9iE=")</f>
        <v>#REF!</v>
      </c>
      <c r="AI355" t="e">
        <f>AND(#REF!,"AAAAAEnb9iI=")</f>
        <v>#REF!</v>
      </c>
      <c r="AJ355" t="e">
        <f>AND(#REF!,"AAAAAEnb9iM=")</f>
        <v>#REF!</v>
      </c>
      <c r="AK355" t="e">
        <f>IF(#REF!,"AAAAAEnb9iQ=",0)</f>
        <v>#REF!</v>
      </c>
      <c r="AL355" t="e">
        <f>AND(#REF!,"AAAAAEnb9iU=")</f>
        <v>#REF!</v>
      </c>
      <c r="AM355" t="e">
        <f>AND(#REF!,"AAAAAEnb9iY=")</f>
        <v>#REF!</v>
      </c>
      <c r="AN355" t="e">
        <f>AND(#REF!,"AAAAAEnb9ic=")</f>
        <v>#REF!</v>
      </c>
      <c r="AO355" t="e">
        <f>AND(#REF!,"AAAAAEnb9ig=")</f>
        <v>#REF!</v>
      </c>
      <c r="AP355" t="e">
        <f>AND(#REF!,"AAAAAEnb9ik=")</f>
        <v>#REF!</v>
      </c>
      <c r="AQ355" t="e">
        <f>AND(#REF!,"AAAAAEnb9io=")</f>
        <v>#REF!</v>
      </c>
      <c r="AR355" t="e">
        <f>AND(#REF!,"AAAAAEnb9is=")</f>
        <v>#REF!</v>
      </c>
      <c r="AS355" t="e">
        <f>AND(#REF!,"AAAAAEnb9iw=")</f>
        <v>#REF!</v>
      </c>
      <c r="AT355" t="e">
        <f>AND(#REF!,"AAAAAEnb9i0=")</f>
        <v>#REF!</v>
      </c>
      <c r="AU355" t="e">
        <f>AND(#REF!,"AAAAAEnb9i4=")</f>
        <v>#REF!</v>
      </c>
      <c r="AV355" t="e">
        <f>AND(#REF!,"AAAAAEnb9i8=")</f>
        <v>#REF!</v>
      </c>
      <c r="AW355" t="e">
        <f>AND(#REF!,"AAAAAEnb9jA=")</f>
        <v>#REF!</v>
      </c>
      <c r="AX355" t="e">
        <f>AND(#REF!,"AAAAAEnb9jE=")</f>
        <v>#REF!</v>
      </c>
      <c r="AY355" t="e">
        <f>AND(#REF!,"AAAAAEnb9jI=")</f>
        <v>#REF!</v>
      </c>
      <c r="AZ355" t="e">
        <f>AND(#REF!,"AAAAAEnb9jM=")</f>
        <v>#REF!</v>
      </c>
      <c r="BA355" t="e">
        <f>AND(#REF!,"AAAAAEnb9jQ=")</f>
        <v>#REF!</v>
      </c>
      <c r="BB355" t="e">
        <f>AND(#REF!,"AAAAAEnb9jU=")</f>
        <v>#REF!</v>
      </c>
      <c r="BC355" t="e">
        <f>AND(#REF!,"AAAAAEnb9jY=")</f>
        <v>#REF!</v>
      </c>
      <c r="BD355" t="e">
        <f>AND(#REF!,"AAAAAEnb9jc=")</f>
        <v>#REF!</v>
      </c>
      <c r="BE355" t="e">
        <f>AND(#REF!,"AAAAAEnb9jg=")</f>
        <v>#REF!</v>
      </c>
      <c r="BF355" t="e">
        <f>AND(#REF!,"AAAAAEnb9jk=")</f>
        <v>#REF!</v>
      </c>
      <c r="BG355" t="e">
        <f>AND(#REF!,"AAAAAEnb9jo=")</f>
        <v>#REF!</v>
      </c>
      <c r="BH355" t="e">
        <f>AND(#REF!,"AAAAAEnb9js=")</f>
        <v>#REF!</v>
      </c>
      <c r="BI355" t="e">
        <f>AND(#REF!,"AAAAAEnb9jw=")</f>
        <v>#REF!</v>
      </c>
      <c r="BJ355" t="e">
        <f>IF(#REF!,"AAAAAEnb9j0=",0)</f>
        <v>#REF!</v>
      </c>
      <c r="BK355" t="e">
        <f>AND(#REF!,"AAAAAEnb9j4=")</f>
        <v>#REF!</v>
      </c>
      <c r="BL355" t="e">
        <f>AND(#REF!,"AAAAAEnb9j8=")</f>
        <v>#REF!</v>
      </c>
      <c r="BM355" t="e">
        <f>AND(#REF!,"AAAAAEnb9kA=")</f>
        <v>#REF!</v>
      </c>
      <c r="BN355" t="e">
        <f>AND(#REF!,"AAAAAEnb9kE=")</f>
        <v>#REF!</v>
      </c>
      <c r="BO355" t="e">
        <f>AND(#REF!,"AAAAAEnb9kI=")</f>
        <v>#REF!</v>
      </c>
      <c r="BP355" t="e">
        <f>AND(#REF!,"AAAAAEnb9kM=")</f>
        <v>#REF!</v>
      </c>
      <c r="BQ355" t="e">
        <f>AND(#REF!,"AAAAAEnb9kQ=")</f>
        <v>#REF!</v>
      </c>
      <c r="BR355" t="e">
        <f>AND(#REF!,"AAAAAEnb9kU=")</f>
        <v>#REF!</v>
      </c>
      <c r="BS355" t="e">
        <f>AND(#REF!,"AAAAAEnb9kY=")</f>
        <v>#REF!</v>
      </c>
      <c r="BT355" t="e">
        <f>AND(#REF!,"AAAAAEnb9kc=")</f>
        <v>#REF!</v>
      </c>
      <c r="BU355" t="e">
        <f>AND(#REF!,"AAAAAEnb9kg=")</f>
        <v>#REF!</v>
      </c>
      <c r="BV355" t="e">
        <f>AND(#REF!,"AAAAAEnb9kk=")</f>
        <v>#REF!</v>
      </c>
      <c r="BW355" t="e">
        <f>AND(#REF!,"AAAAAEnb9ko=")</f>
        <v>#REF!</v>
      </c>
      <c r="BX355" t="e">
        <f>AND(#REF!,"AAAAAEnb9ks=")</f>
        <v>#REF!</v>
      </c>
      <c r="BY355" t="e">
        <f>AND(#REF!,"AAAAAEnb9kw=")</f>
        <v>#REF!</v>
      </c>
      <c r="BZ355" t="e">
        <f>AND(#REF!,"AAAAAEnb9k0=")</f>
        <v>#REF!</v>
      </c>
      <c r="CA355" t="e">
        <f>AND(#REF!,"AAAAAEnb9k4=")</f>
        <v>#REF!</v>
      </c>
      <c r="CB355" t="e">
        <f>AND(#REF!,"AAAAAEnb9k8=")</f>
        <v>#REF!</v>
      </c>
      <c r="CC355" t="e">
        <f>AND(#REF!,"AAAAAEnb9lA=")</f>
        <v>#REF!</v>
      </c>
      <c r="CD355" t="e">
        <f>AND(#REF!,"AAAAAEnb9lE=")</f>
        <v>#REF!</v>
      </c>
      <c r="CE355" t="e">
        <f>AND(#REF!,"AAAAAEnb9lI=")</f>
        <v>#REF!</v>
      </c>
      <c r="CF355" t="e">
        <f>AND(#REF!,"AAAAAEnb9lM=")</f>
        <v>#REF!</v>
      </c>
      <c r="CG355" t="e">
        <f>AND(#REF!,"AAAAAEnb9lQ=")</f>
        <v>#REF!</v>
      </c>
      <c r="CH355" t="e">
        <f>AND(#REF!,"AAAAAEnb9lU=")</f>
        <v>#REF!</v>
      </c>
      <c r="CI355" t="e">
        <f>IF(#REF!,"AAAAAEnb9lY=",0)</f>
        <v>#REF!</v>
      </c>
      <c r="CJ355" t="e">
        <f>AND(#REF!,"AAAAAEnb9lc=")</f>
        <v>#REF!</v>
      </c>
      <c r="CK355" t="e">
        <f>AND(#REF!,"AAAAAEnb9lg=")</f>
        <v>#REF!</v>
      </c>
      <c r="CL355" t="e">
        <f>AND(#REF!,"AAAAAEnb9lk=")</f>
        <v>#REF!</v>
      </c>
      <c r="CM355" t="e">
        <f>AND(#REF!,"AAAAAEnb9lo=")</f>
        <v>#REF!</v>
      </c>
      <c r="CN355" t="e">
        <f>AND(#REF!,"AAAAAEnb9ls=")</f>
        <v>#REF!</v>
      </c>
      <c r="CO355" t="e">
        <f>AND(#REF!,"AAAAAEnb9lw=")</f>
        <v>#REF!</v>
      </c>
      <c r="CP355" t="e">
        <f>AND(#REF!,"AAAAAEnb9l0=")</f>
        <v>#REF!</v>
      </c>
      <c r="CQ355" t="e">
        <f>AND(#REF!,"AAAAAEnb9l4=")</f>
        <v>#REF!</v>
      </c>
      <c r="CR355" t="e">
        <f>AND(#REF!,"AAAAAEnb9l8=")</f>
        <v>#REF!</v>
      </c>
      <c r="CS355" t="e">
        <f>AND(#REF!,"AAAAAEnb9mA=")</f>
        <v>#REF!</v>
      </c>
      <c r="CT355" t="e">
        <f>AND(#REF!,"AAAAAEnb9mE=")</f>
        <v>#REF!</v>
      </c>
      <c r="CU355" t="e">
        <f>AND(#REF!,"AAAAAEnb9mI=")</f>
        <v>#REF!</v>
      </c>
      <c r="CV355" t="e">
        <f>AND(#REF!,"AAAAAEnb9mM=")</f>
        <v>#REF!</v>
      </c>
      <c r="CW355" t="e">
        <f>AND(#REF!,"AAAAAEnb9mQ=")</f>
        <v>#REF!</v>
      </c>
      <c r="CX355" t="e">
        <f>AND(#REF!,"AAAAAEnb9mU=")</f>
        <v>#REF!</v>
      </c>
      <c r="CY355" t="e">
        <f>AND(#REF!,"AAAAAEnb9mY=")</f>
        <v>#REF!</v>
      </c>
      <c r="CZ355" t="e">
        <f>AND(#REF!,"AAAAAEnb9mc=")</f>
        <v>#REF!</v>
      </c>
      <c r="DA355" t="e">
        <f>AND(#REF!,"AAAAAEnb9mg=")</f>
        <v>#REF!</v>
      </c>
      <c r="DB355" t="e">
        <f>AND(#REF!,"AAAAAEnb9mk=")</f>
        <v>#REF!</v>
      </c>
      <c r="DC355" t="e">
        <f>AND(#REF!,"AAAAAEnb9mo=")</f>
        <v>#REF!</v>
      </c>
      <c r="DD355" t="e">
        <f>AND(#REF!,"AAAAAEnb9ms=")</f>
        <v>#REF!</v>
      </c>
      <c r="DE355" t="e">
        <f>AND(#REF!,"AAAAAEnb9mw=")</f>
        <v>#REF!</v>
      </c>
      <c r="DF355" t="e">
        <f>AND(#REF!,"AAAAAEnb9m0=")</f>
        <v>#REF!</v>
      </c>
      <c r="DG355" t="e">
        <f>AND(#REF!,"AAAAAEnb9m4=")</f>
        <v>#REF!</v>
      </c>
      <c r="DH355" t="e">
        <f>IF(#REF!,"AAAAAEnb9m8=",0)</f>
        <v>#REF!</v>
      </c>
      <c r="DI355" t="e">
        <f>AND(#REF!,"AAAAAEnb9nA=")</f>
        <v>#REF!</v>
      </c>
      <c r="DJ355" t="e">
        <f>AND(#REF!,"AAAAAEnb9nE=")</f>
        <v>#REF!</v>
      </c>
      <c r="DK355" t="e">
        <f>AND(#REF!,"AAAAAEnb9nI=")</f>
        <v>#REF!</v>
      </c>
      <c r="DL355" t="e">
        <f>AND(#REF!,"AAAAAEnb9nM=")</f>
        <v>#REF!</v>
      </c>
      <c r="DM355" t="e">
        <f>AND(#REF!,"AAAAAEnb9nQ=")</f>
        <v>#REF!</v>
      </c>
      <c r="DN355" t="e">
        <f>AND(#REF!,"AAAAAEnb9nU=")</f>
        <v>#REF!</v>
      </c>
      <c r="DO355" t="e">
        <f>AND(#REF!,"AAAAAEnb9nY=")</f>
        <v>#REF!</v>
      </c>
      <c r="DP355" t="e">
        <f>AND(#REF!,"AAAAAEnb9nc=")</f>
        <v>#REF!</v>
      </c>
      <c r="DQ355" t="e">
        <f>AND(#REF!,"AAAAAEnb9ng=")</f>
        <v>#REF!</v>
      </c>
      <c r="DR355" t="e">
        <f>AND(#REF!,"AAAAAEnb9nk=")</f>
        <v>#REF!</v>
      </c>
      <c r="DS355" t="e">
        <f>AND(#REF!,"AAAAAEnb9no=")</f>
        <v>#REF!</v>
      </c>
      <c r="DT355" t="e">
        <f>AND(#REF!,"AAAAAEnb9ns=")</f>
        <v>#REF!</v>
      </c>
      <c r="DU355" t="e">
        <f>AND(#REF!,"AAAAAEnb9nw=")</f>
        <v>#REF!</v>
      </c>
      <c r="DV355" t="e">
        <f>AND(#REF!,"AAAAAEnb9n0=")</f>
        <v>#REF!</v>
      </c>
      <c r="DW355" t="e">
        <f>AND(#REF!,"AAAAAEnb9n4=")</f>
        <v>#REF!</v>
      </c>
      <c r="DX355" t="e">
        <f>AND(#REF!,"AAAAAEnb9n8=")</f>
        <v>#REF!</v>
      </c>
      <c r="DY355" t="e">
        <f>AND(#REF!,"AAAAAEnb9oA=")</f>
        <v>#REF!</v>
      </c>
      <c r="DZ355" t="e">
        <f>AND(#REF!,"AAAAAEnb9oE=")</f>
        <v>#REF!</v>
      </c>
      <c r="EA355" t="e">
        <f>AND(#REF!,"AAAAAEnb9oI=")</f>
        <v>#REF!</v>
      </c>
      <c r="EB355" t="e">
        <f>AND(#REF!,"AAAAAEnb9oM=")</f>
        <v>#REF!</v>
      </c>
      <c r="EC355" t="e">
        <f>AND(#REF!,"AAAAAEnb9oQ=")</f>
        <v>#REF!</v>
      </c>
      <c r="ED355" t="e">
        <f>AND(#REF!,"AAAAAEnb9oU=")</f>
        <v>#REF!</v>
      </c>
      <c r="EE355" t="e">
        <f>AND(#REF!,"AAAAAEnb9oY=")</f>
        <v>#REF!</v>
      </c>
      <c r="EF355" t="e">
        <f>AND(#REF!,"AAAAAEnb9oc=")</f>
        <v>#REF!</v>
      </c>
      <c r="EG355" t="e">
        <f>IF(#REF!,"AAAAAEnb9og=",0)</f>
        <v>#REF!</v>
      </c>
      <c r="EH355" t="e">
        <f>AND(#REF!,"AAAAAEnb9ok=")</f>
        <v>#REF!</v>
      </c>
      <c r="EI355" t="e">
        <f>AND(#REF!,"AAAAAEnb9oo=")</f>
        <v>#REF!</v>
      </c>
      <c r="EJ355" t="e">
        <f>AND(#REF!,"AAAAAEnb9os=")</f>
        <v>#REF!</v>
      </c>
      <c r="EK355" t="e">
        <f>AND(#REF!,"AAAAAEnb9ow=")</f>
        <v>#REF!</v>
      </c>
      <c r="EL355" t="e">
        <f>AND(#REF!,"AAAAAEnb9o0=")</f>
        <v>#REF!</v>
      </c>
      <c r="EM355" t="e">
        <f>AND(#REF!,"AAAAAEnb9o4=")</f>
        <v>#REF!</v>
      </c>
      <c r="EN355" t="e">
        <f>AND(#REF!,"AAAAAEnb9o8=")</f>
        <v>#REF!</v>
      </c>
      <c r="EO355" t="e">
        <f>AND(#REF!,"AAAAAEnb9pA=")</f>
        <v>#REF!</v>
      </c>
      <c r="EP355" t="e">
        <f>AND(#REF!,"AAAAAEnb9pE=")</f>
        <v>#REF!</v>
      </c>
      <c r="EQ355" t="e">
        <f>AND(#REF!,"AAAAAEnb9pI=")</f>
        <v>#REF!</v>
      </c>
      <c r="ER355" t="e">
        <f>AND(#REF!,"AAAAAEnb9pM=")</f>
        <v>#REF!</v>
      </c>
      <c r="ES355" t="e">
        <f>AND(#REF!,"AAAAAEnb9pQ=")</f>
        <v>#REF!</v>
      </c>
      <c r="ET355" t="e">
        <f>AND(#REF!,"AAAAAEnb9pU=")</f>
        <v>#REF!</v>
      </c>
      <c r="EU355" t="e">
        <f>AND(#REF!,"AAAAAEnb9pY=")</f>
        <v>#REF!</v>
      </c>
      <c r="EV355" t="e">
        <f>AND(#REF!,"AAAAAEnb9pc=")</f>
        <v>#REF!</v>
      </c>
      <c r="EW355" t="e">
        <f>AND(#REF!,"AAAAAEnb9pg=")</f>
        <v>#REF!</v>
      </c>
      <c r="EX355" t="e">
        <f>AND(#REF!,"AAAAAEnb9pk=")</f>
        <v>#REF!</v>
      </c>
      <c r="EY355" t="e">
        <f>AND(#REF!,"AAAAAEnb9po=")</f>
        <v>#REF!</v>
      </c>
      <c r="EZ355" t="e">
        <f>AND(#REF!,"AAAAAEnb9ps=")</f>
        <v>#REF!</v>
      </c>
      <c r="FA355" t="e">
        <f>AND(#REF!,"AAAAAEnb9pw=")</f>
        <v>#REF!</v>
      </c>
      <c r="FB355" t="e">
        <f>AND(#REF!,"AAAAAEnb9p0=")</f>
        <v>#REF!</v>
      </c>
      <c r="FC355" t="e">
        <f>AND(#REF!,"AAAAAEnb9p4=")</f>
        <v>#REF!</v>
      </c>
      <c r="FD355" t="e">
        <f>AND(#REF!,"AAAAAEnb9p8=")</f>
        <v>#REF!</v>
      </c>
      <c r="FE355" t="e">
        <f>AND(#REF!,"AAAAAEnb9qA=")</f>
        <v>#REF!</v>
      </c>
      <c r="FF355" t="e">
        <f>IF(#REF!,"AAAAAEnb9qE=",0)</f>
        <v>#REF!</v>
      </c>
      <c r="FG355" t="e">
        <f>AND(#REF!,"AAAAAEnb9qI=")</f>
        <v>#REF!</v>
      </c>
      <c r="FH355" t="e">
        <f>AND(#REF!,"AAAAAEnb9qM=")</f>
        <v>#REF!</v>
      </c>
      <c r="FI355" t="e">
        <f>AND(#REF!,"AAAAAEnb9qQ=")</f>
        <v>#REF!</v>
      </c>
      <c r="FJ355" t="e">
        <f>AND(#REF!,"AAAAAEnb9qU=")</f>
        <v>#REF!</v>
      </c>
      <c r="FK355" t="e">
        <f>AND(#REF!,"AAAAAEnb9qY=")</f>
        <v>#REF!</v>
      </c>
      <c r="FL355" t="e">
        <f>AND(#REF!,"AAAAAEnb9qc=")</f>
        <v>#REF!</v>
      </c>
      <c r="FM355" t="e">
        <f>AND(#REF!,"AAAAAEnb9qg=")</f>
        <v>#REF!</v>
      </c>
      <c r="FN355" t="e">
        <f>AND(#REF!,"AAAAAEnb9qk=")</f>
        <v>#REF!</v>
      </c>
      <c r="FO355" t="e">
        <f>AND(#REF!,"AAAAAEnb9qo=")</f>
        <v>#REF!</v>
      </c>
      <c r="FP355" t="e">
        <f>AND(#REF!,"AAAAAEnb9qs=")</f>
        <v>#REF!</v>
      </c>
      <c r="FQ355" t="e">
        <f>AND(#REF!,"AAAAAEnb9qw=")</f>
        <v>#REF!</v>
      </c>
      <c r="FR355" t="e">
        <f>AND(#REF!,"AAAAAEnb9q0=")</f>
        <v>#REF!</v>
      </c>
      <c r="FS355" t="e">
        <f>AND(#REF!,"AAAAAEnb9q4=")</f>
        <v>#REF!</v>
      </c>
      <c r="FT355" t="e">
        <f>AND(#REF!,"AAAAAEnb9q8=")</f>
        <v>#REF!</v>
      </c>
      <c r="FU355" t="e">
        <f>AND(#REF!,"AAAAAEnb9rA=")</f>
        <v>#REF!</v>
      </c>
      <c r="FV355" t="e">
        <f>AND(#REF!,"AAAAAEnb9rE=")</f>
        <v>#REF!</v>
      </c>
      <c r="FW355" t="e">
        <f>AND(#REF!,"AAAAAEnb9rI=")</f>
        <v>#REF!</v>
      </c>
      <c r="FX355" t="e">
        <f>AND(#REF!,"AAAAAEnb9rM=")</f>
        <v>#REF!</v>
      </c>
      <c r="FY355" t="e">
        <f>AND(#REF!,"AAAAAEnb9rQ=")</f>
        <v>#REF!</v>
      </c>
      <c r="FZ355" t="e">
        <f>AND(#REF!,"AAAAAEnb9rU=")</f>
        <v>#REF!</v>
      </c>
      <c r="GA355" t="e">
        <f>AND(#REF!,"AAAAAEnb9rY=")</f>
        <v>#REF!</v>
      </c>
      <c r="GB355" t="e">
        <f>AND(#REF!,"AAAAAEnb9rc=")</f>
        <v>#REF!</v>
      </c>
      <c r="GC355" t="e">
        <f>AND(#REF!,"AAAAAEnb9rg=")</f>
        <v>#REF!</v>
      </c>
      <c r="GD355" t="e">
        <f>AND(#REF!,"AAAAAEnb9rk=")</f>
        <v>#REF!</v>
      </c>
      <c r="GE355" t="e">
        <f>IF(#REF!,"AAAAAEnb9ro=",0)</f>
        <v>#REF!</v>
      </c>
      <c r="GF355" t="e">
        <f>AND(#REF!,"AAAAAEnb9rs=")</f>
        <v>#REF!</v>
      </c>
      <c r="GG355" t="e">
        <f>AND(#REF!,"AAAAAEnb9rw=")</f>
        <v>#REF!</v>
      </c>
      <c r="GH355" t="e">
        <f>AND(#REF!,"AAAAAEnb9r0=")</f>
        <v>#REF!</v>
      </c>
      <c r="GI355" t="e">
        <f>AND(#REF!,"AAAAAEnb9r4=")</f>
        <v>#REF!</v>
      </c>
      <c r="GJ355" t="e">
        <f>AND(#REF!,"AAAAAEnb9r8=")</f>
        <v>#REF!</v>
      </c>
      <c r="GK355" t="e">
        <f>AND(#REF!,"AAAAAEnb9sA=")</f>
        <v>#REF!</v>
      </c>
      <c r="GL355" t="e">
        <f>AND(#REF!,"AAAAAEnb9sE=")</f>
        <v>#REF!</v>
      </c>
      <c r="GM355" t="e">
        <f>AND(#REF!,"AAAAAEnb9sI=")</f>
        <v>#REF!</v>
      </c>
      <c r="GN355" t="e">
        <f>AND(#REF!,"AAAAAEnb9sM=")</f>
        <v>#REF!</v>
      </c>
      <c r="GO355" t="e">
        <f>AND(#REF!,"AAAAAEnb9sQ=")</f>
        <v>#REF!</v>
      </c>
      <c r="GP355" t="e">
        <f>AND(#REF!,"AAAAAEnb9sU=")</f>
        <v>#REF!</v>
      </c>
      <c r="GQ355" t="e">
        <f>AND(#REF!,"AAAAAEnb9sY=")</f>
        <v>#REF!</v>
      </c>
      <c r="GR355" t="e">
        <f>AND(#REF!,"AAAAAEnb9sc=")</f>
        <v>#REF!</v>
      </c>
      <c r="GS355" t="e">
        <f>AND(#REF!,"AAAAAEnb9sg=")</f>
        <v>#REF!</v>
      </c>
      <c r="GT355" t="e">
        <f>AND(#REF!,"AAAAAEnb9sk=")</f>
        <v>#REF!</v>
      </c>
      <c r="GU355" t="e">
        <f>AND(#REF!,"AAAAAEnb9so=")</f>
        <v>#REF!</v>
      </c>
      <c r="GV355" t="e">
        <f>AND(#REF!,"AAAAAEnb9ss=")</f>
        <v>#REF!</v>
      </c>
      <c r="GW355" t="e">
        <f>AND(#REF!,"AAAAAEnb9sw=")</f>
        <v>#REF!</v>
      </c>
      <c r="GX355" t="e">
        <f>AND(#REF!,"AAAAAEnb9s0=")</f>
        <v>#REF!</v>
      </c>
      <c r="GY355" t="e">
        <f>AND(#REF!,"AAAAAEnb9s4=")</f>
        <v>#REF!</v>
      </c>
      <c r="GZ355" t="e">
        <f>AND(#REF!,"AAAAAEnb9s8=")</f>
        <v>#REF!</v>
      </c>
      <c r="HA355" t="e">
        <f>AND(#REF!,"AAAAAEnb9tA=")</f>
        <v>#REF!</v>
      </c>
      <c r="HB355" t="e">
        <f>AND(#REF!,"AAAAAEnb9tE=")</f>
        <v>#REF!</v>
      </c>
      <c r="HC355" t="e">
        <f>AND(#REF!,"AAAAAEnb9tI=")</f>
        <v>#REF!</v>
      </c>
      <c r="HD355" t="e">
        <f>IF(#REF!,"AAAAAEnb9tM=",0)</f>
        <v>#REF!</v>
      </c>
      <c r="HE355" t="e">
        <f>AND(#REF!,"AAAAAEnb9tQ=")</f>
        <v>#REF!</v>
      </c>
      <c r="HF355" t="e">
        <f>AND(#REF!,"AAAAAEnb9tU=")</f>
        <v>#REF!</v>
      </c>
      <c r="HG355" t="e">
        <f>AND(#REF!,"AAAAAEnb9tY=")</f>
        <v>#REF!</v>
      </c>
      <c r="HH355" t="e">
        <f>AND(#REF!,"AAAAAEnb9tc=")</f>
        <v>#REF!</v>
      </c>
      <c r="HI355" t="e">
        <f>AND(#REF!,"AAAAAEnb9tg=")</f>
        <v>#REF!</v>
      </c>
      <c r="HJ355" t="e">
        <f>AND(#REF!,"AAAAAEnb9tk=")</f>
        <v>#REF!</v>
      </c>
      <c r="HK355" t="e">
        <f>AND(#REF!,"AAAAAEnb9to=")</f>
        <v>#REF!</v>
      </c>
      <c r="HL355" t="e">
        <f>AND(#REF!,"AAAAAEnb9ts=")</f>
        <v>#REF!</v>
      </c>
      <c r="HM355" t="e">
        <f>AND(#REF!,"AAAAAEnb9tw=")</f>
        <v>#REF!</v>
      </c>
      <c r="HN355" t="e">
        <f>AND(#REF!,"AAAAAEnb9t0=")</f>
        <v>#REF!</v>
      </c>
      <c r="HO355" t="e">
        <f>AND(#REF!,"AAAAAEnb9t4=")</f>
        <v>#REF!</v>
      </c>
      <c r="HP355" t="e">
        <f>AND(#REF!,"AAAAAEnb9t8=")</f>
        <v>#REF!</v>
      </c>
      <c r="HQ355" t="e">
        <f>AND(#REF!,"AAAAAEnb9uA=")</f>
        <v>#REF!</v>
      </c>
      <c r="HR355" t="e">
        <f>AND(#REF!,"AAAAAEnb9uE=")</f>
        <v>#REF!</v>
      </c>
      <c r="HS355" t="e">
        <f>AND(#REF!,"AAAAAEnb9uI=")</f>
        <v>#REF!</v>
      </c>
      <c r="HT355" t="e">
        <f>AND(#REF!,"AAAAAEnb9uM=")</f>
        <v>#REF!</v>
      </c>
      <c r="HU355" t="e">
        <f>AND(#REF!,"AAAAAEnb9uQ=")</f>
        <v>#REF!</v>
      </c>
      <c r="HV355" t="e">
        <f>AND(#REF!,"AAAAAEnb9uU=")</f>
        <v>#REF!</v>
      </c>
      <c r="HW355" t="e">
        <f>AND(#REF!,"AAAAAEnb9uY=")</f>
        <v>#REF!</v>
      </c>
      <c r="HX355" t="e">
        <f>AND(#REF!,"AAAAAEnb9uc=")</f>
        <v>#REF!</v>
      </c>
      <c r="HY355" t="e">
        <f>AND(#REF!,"AAAAAEnb9ug=")</f>
        <v>#REF!</v>
      </c>
      <c r="HZ355" t="e">
        <f>AND(#REF!,"AAAAAEnb9uk=")</f>
        <v>#REF!</v>
      </c>
      <c r="IA355" t="e">
        <f>AND(#REF!,"AAAAAEnb9uo=")</f>
        <v>#REF!</v>
      </c>
      <c r="IB355" t="e">
        <f>AND(#REF!,"AAAAAEnb9us=")</f>
        <v>#REF!</v>
      </c>
      <c r="IC355" t="e">
        <f>IF(#REF!,"AAAAAEnb9uw=",0)</f>
        <v>#REF!</v>
      </c>
      <c r="ID355" t="e">
        <f>AND(#REF!,"AAAAAEnb9u0=")</f>
        <v>#REF!</v>
      </c>
      <c r="IE355" t="e">
        <f>AND(#REF!,"AAAAAEnb9u4=")</f>
        <v>#REF!</v>
      </c>
      <c r="IF355" t="e">
        <f>AND(#REF!,"AAAAAEnb9u8=")</f>
        <v>#REF!</v>
      </c>
      <c r="IG355" t="e">
        <f>AND(#REF!,"AAAAAEnb9vA=")</f>
        <v>#REF!</v>
      </c>
      <c r="IH355" t="e">
        <f>AND(#REF!,"AAAAAEnb9vE=")</f>
        <v>#REF!</v>
      </c>
      <c r="II355" t="e">
        <f>AND(#REF!,"AAAAAEnb9vI=")</f>
        <v>#REF!</v>
      </c>
      <c r="IJ355" t="e">
        <f>AND(#REF!,"AAAAAEnb9vM=")</f>
        <v>#REF!</v>
      </c>
      <c r="IK355" t="e">
        <f>AND(#REF!,"AAAAAEnb9vQ=")</f>
        <v>#REF!</v>
      </c>
      <c r="IL355" t="e">
        <f>AND(#REF!,"AAAAAEnb9vU=")</f>
        <v>#REF!</v>
      </c>
      <c r="IM355" t="e">
        <f>AND(#REF!,"AAAAAEnb9vY=")</f>
        <v>#REF!</v>
      </c>
      <c r="IN355" t="e">
        <f>AND(#REF!,"AAAAAEnb9vc=")</f>
        <v>#REF!</v>
      </c>
      <c r="IO355" t="e">
        <f>AND(#REF!,"AAAAAEnb9vg=")</f>
        <v>#REF!</v>
      </c>
      <c r="IP355" t="e">
        <f>AND(#REF!,"AAAAAEnb9vk=")</f>
        <v>#REF!</v>
      </c>
      <c r="IQ355" t="e">
        <f>AND(#REF!,"AAAAAEnb9vo=")</f>
        <v>#REF!</v>
      </c>
      <c r="IR355" t="e">
        <f>AND(#REF!,"AAAAAEnb9vs=")</f>
        <v>#REF!</v>
      </c>
      <c r="IS355" t="e">
        <f>AND(#REF!,"AAAAAEnb9vw=")</f>
        <v>#REF!</v>
      </c>
      <c r="IT355" t="e">
        <f>AND(#REF!,"AAAAAEnb9v0=")</f>
        <v>#REF!</v>
      </c>
      <c r="IU355" t="e">
        <f>AND(#REF!,"AAAAAEnb9v4=")</f>
        <v>#REF!</v>
      </c>
      <c r="IV355" t="e">
        <f>AND(#REF!,"AAAAAEnb9v8=")</f>
        <v>#REF!</v>
      </c>
    </row>
    <row r="356" spans="1:256">
      <c r="A356" t="e">
        <f>AND(#REF!,"AAAAAFZv0wA=")</f>
        <v>#REF!</v>
      </c>
      <c r="B356" t="e">
        <f>AND(#REF!,"AAAAAFZv0wE=")</f>
        <v>#REF!</v>
      </c>
      <c r="C356" t="e">
        <f>AND(#REF!,"AAAAAFZv0wI=")</f>
        <v>#REF!</v>
      </c>
      <c r="D356" t="e">
        <f>AND(#REF!,"AAAAAFZv0wM=")</f>
        <v>#REF!</v>
      </c>
      <c r="E356" t="e">
        <f>AND(#REF!,"AAAAAFZv0wQ=")</f>
        <v>#REF!</v>
      </c>
      <c r="F356" t="e">
        <f>IF(#REF!,"AAAAAFZv0wU=",0)</f>
        <v>#REF!</v>
      </c>
      <c r="G356" t="e">
        <f>AND(#REF!,"AAAAAFZv0wY=")</f>
        <v>#REF!</v>
      </c>
      <c r="H356" t="e">
        <f>AND(#REF!,"AAAAAFZv0wc=")</f>
        <v>#REF!</v>
      </c>
      <c r="I356" t="e">
        <f>AND(#REF!,"AAAAAFZv0wg=")</f>
        <v>#REF!</v>
      </c>
      <c r="J356" t="e">
        <f>AND(#REF!,"AAAAAFZv0wk=")</f>
        <v>#REF!</v>
      </c>
      <c r="K356" t="e">
        <f>AND(#REF!,"AAAAAFZv0wo=")</f>
        <v>#REF!</v>
      </c>
      <c r="L356" t="e">
        <f>AND(#REF!,"AAAAAFZv0ws=")</f>
        <v>#REF!</v>
      </c>
      <c r="M356" t="e">
        <f>AND(#REF!,"AAAAAFZv0ww=")</f>
        <v>#REF!</v>
      </c>
      <c r="N356" t="e">
        <f>AND(#REF!,"AAAAAFZv0w0=")</f>
        <v>#REF!</v>
      </c>
      <c r="O356" t="e">
        <f>AND(#REF!,"AAAAAFZv0w4=")</f>
        <v>#REF!</v>
      </c>
      <c r="P356" t="e">
        <f>AND(#REF!,"AAAAAFZv0w8=")</f>
        <v>#REF!</v>
      </c>
      <c r="Q356" t="e">
        <f>AND(#REF!,"AAAAAFZv0xA=")</f>
        <v>#REF!</v>
      </c>
      <c r="R356" t="e">
        <f>AND(#REF!,"AAAAAFZv0xE=")</f>
        <v>#REF!</v>
      </c>
      <c r="S356" t="e">
        <f>AND(#REF!,"AAAAAFZv0xI=")</f>
        <v>#REF!</v>
      </c>
      <c r="T356" t="e">
        <f>AND(#REF!,"AAAAAFZv0xM=")</f>
        <v>#REF!</v>
      </c>
      <c r="U356" t="e">
        <f>AND(#REF!,"AAAAAFZv0xQ=")</f>
        <v>#REF!</v>
      </c>
      <c r="V356" t="e">
        <f>AND(#REF!,"AAAAAFZv0xU=")</f>
        <v>#REF!</v>
      </c>
      <c r="W356" t="e">
        <f>AND(#REF!,"AAAAAFZv0xY=")</f>
        <v>#REF!</v>
      </c>
      <c r="X356" t="e">
        <f>AND(#REF!,"AAAAAFZv0xc=")</f>
        <v>#REF!</v>
      </c>
      <c r="Y356" t="e">
        <f>AND(#REF!,"AAAAAFZv0xg=")</f>
        <v>#REF!</v>
      </c>
      <c r="Z356" t="e">
        <f>AND(#REF!,"AAAAAFZv0xk=")</f>
        <v>#REF!</v>
      </c>
      <c r="AA356" t="e">
        <f>AND(#REF!,"AAAAAFZv0xo=")</f>
        <v>#REF!</v>
      </c>
      <c r="AB356" t="e">
        <f>AND(#REF!,"AAAAAFZv0xs=")</f>
        <v>#REF!</v>
      </c>
      <c r="AC356" t="e">
        <f>AND(#REF!,"AAAAAFZv0xw=")</f>
        <v>#REF!</v>
      </c>
      <c r="AD356" t="e">
        <f>AND(#REF!,"AAAAAFZv0x0=")</f>
        <v>#REF!</v>
      </c>
      <c r="AE356" t="e">
        <f>IF(#REF!,"AAAAAFZv0x4=",0)</f>
        <v>#REF!</v>
      </c>
      <c r="AF356" t="e">
        <f>AND(#REF!,"AAAAAFZv0x8=")</f>
        <v>#REF!</v>
      </c>
      <c r="AG356" t="e">
        <f>AND(#REF!,"AAAAAFZv0yA=")</f>
        <v>#REF!</v>
      </c>
      <c r="AH356" t="e">
        <f>AND(#REF!,"AAAAAFZv0yE=")</f>
        <v>#REF!</v>
      </c>
      <c r="AI356" t="e">
        <f>AND(#REF!,"AAAAAFZv0yI=")</f>
        <v>#REF!</v>
      </c>
      <c r="AJ356" t="e">
        <f>AND(#REF!,"AAAAAFZv0yM=")</f>
        <v>#REF!</v>
      </c>
      <c r="AK356" t="e">
        <f>AND(#REF!,"AAAAAFZv0yQ=")</f>
        <v>#REF!</v>
      </c>
      <c r="AL356" t="e">
        <f>AND(#REF!,"AAAAAFZv0yU=")</f>
        <v>#REF!</v>
      </c>
      <c r="AM356" t="e">
        <f>AND(#REF!,"AAAAAFZv0yY=")</f>
        <v>#REF!</v>
      </c>
      <c r="AN356" t="e">
        <f>AND(#REF!,"AAAAAFZv0yc=")</f>
        <v>#REF!</v>
      </c>
      <c r="AO356" t="e">
        <f>AND(#REF!,"AAAAAFZv0yg=")</f>
        <v>#REF!</v>
      </c>
      <c r="AP356" t="e">
        <f>AND(#REF!,"AAAAAFZv0yk=")</f>
        <v>#REF!</v>
      </c>
      <c r="AQ356" t="e">
        <f>AND(#REF!,"AAAAAFZv0yo=")</f>
        <v>#REF!</v>
      </c>
      <c r="AR356" t="e">
        <f>AND(#REF!,"AAAAAFZv0ys=")</f>
        <v>#REF!</v>
      </c>
      <c r="AS356" t="e">
        <f>AND(#REF!,"AAAAAFZv0yw=")</f>
        <v>#REF!</v>
      </c>
      <c r="AT356" t="e">
        <f>AND(#REF!,"AAAAAFZv0y0=")</f>
        <v>#REF!</v>
      </c>
      <c r="AU356" t="e">
        <f>AND(#REF!,"AAAAAFZv0y4=")</f>
        <v>#REF!</v>
      </c>
      <c r="AV356" t="e">
        <f>AND(#REF!,"AAAAAFZv0y8=")</f>
        <v>#REF!</v>
      </c>
      <c r="AW356" t="e">
        <f>AND(#REF!,"AAAAAFZv0zA=")</f>
        <v>#REF!</v>
      </c>
      <c r="AX356" t="e">
        <f>AND(#REF!,"AAAAAFZv0zE=")</f>
        <v>#REF!</v>
      </c>
      <c r="AY356" t="e">
        <f>AND(#REF!,"AAAAAFZv0zI=")</f>
        <v>#REF!</v>
      </c>
      <c r="AZ356" t="e">
        <f>AND(#REF!,"AAAAAFZv0zM=")</f>
        <v>#REF!</v>
      </c>
      <c r="BA356" t="e">
        <f>AND(#REF!,"AAAAAFZv0zQ=")</f>
        <v>#REF!</v>
      </c>
      <c r="BB356" t="e">
        <f>AND(#REF!,"AAAAAFZv0zU=")</f>
        <v>#REF!</v>
      </c>
      <c r="BC356" t="e">
        <f>AND(#REF!,"AAAAAFZv0zY=")</f>
        <v>#REF!</v>
      </c>
      <c r="BD356" t="e">
        <f>IF(#REF!,"AAAAAFZv0zc=",0)</f>
        <v>#REF!</v>
      </c>
      <c r="BE356" t="e">
        <f>AND(#REF!,"AAAAAFZv0zg=")</f>
        <v>#REF!</v>
      </c>
      <c r="BF356" t="e">
        <f>AND(#REF!,"AAAAAFZv0zk=")</f>
        <v>#REF!</v>
      </c>
      <c r="BG356" t="e">
        <f>AND(#REF!,"AAAAAFZv0zo=")</f>
        <v>#REF!</v>
      </c>
      <c r="BH356" t="e">
        <f>AND(#REF!,"AAAAAFZv0zs=")</f>
        <v>#REF!</v>
      </c>
      <c r="BI356" t="e">
        <f>AND(#REF!,"AAAAAFZv0zw=")</f>
        <v>#REF!</v>
      </c>
      <c r="BJ356" t="e">
        <f>AND(#REF!,"AAAAAFZv0z0=")</f>
        <v>#REF!</v>
      </c>
      <c r="BK356" t="e">
        <f>AND(#REF!,"AAAAAFZv0z4=")</f>
        <v>#REF!</v>
      </c>
      <c r="BL356" t="e">
        <f>AND(#REF!,"AAAAAFZv0z8=")</f>
        <v>#REF!</v>
      </c>
      <c r="BM356" t="e">
        <f>AND(#REF!,"AAAAAFZv00A=")</f>
        <v>#REF!</v>
      </c>
      <c r="BN356" t="e">
        <f>AND(#REF!,"AAAAAFZv00E=")</f>
        <v>#REF!</v>
      </c>
      <c r="BO356" t="e">
        <f>AND(#REF!,"AAAAAFZv00I=")</f>
        <v>#REF!</v>
      </c>
      <c r="BP356" t="e">
        <f>AND(#REF!,"AAAAAFZv00M=")</f>
        <v>#REF!</v>
      </c>
      <c r="BQ356" t="e">
        <f>AND(#REF!,"AAAAAFZv00Q=")</f>
        <v>#REF!</v>
      </c>
      <c r="BR356" t="e">
        <f>AND(#REF!,"AAAAAFZv00U=")</f>
        <v>#REF!</v>
      </c>
      <c r="BS356" t="e">
        <f>AND(#REF!,"AAAAAFZv00Y=")</f>
        <v>#REF!</v>
      </c>
      <c r="BT356" t="e">
        <f>AND(#REF!,"AAAAAFZv00c=")</f>
        <v>#REF!</v>
      </c>
      <c r="BU356" t="e">
        <f>AND(#REF!,"AAAAAFZv00g=")</f>
        <v>#REF!</v>
      </c>
      <c r="BV356" t="e">
        <f>AND(#REF!,"AAAAAFZv00k=")</f>
        <v>#REF!</v>
      </c>
      <c r="BW356" t="e">
        <f>AND(#REF!,"AAAAAFZv00o=")</f>
        <v>#REF!</v>
      </c>
      <c r="BX356" t="e">
        <f>AND(#REF!,"AAAAAFZv00s=")</f>
        <v>#REF!</v>
      </c>
      <c r="BY356" t="e">
        <f>AND(#REF!,"AAAAAFZv00w=")</f>
        <v>#REF!</v>
      </c>
      <c r="BZ356" t="e">
        <f>AND(#REF!,"AAAAAFZv000=")</f>
        <v>#REF!</v>
      </c>
      <c r="CA356" t="e">
        <f>AND(#REF!,"AAAAAFZv004=")</f>
        <v>#REF!</v>
      </c>
      <c r="CB356" t="e">
        <f>AND(#REF!,"AAAAAFZv008=")</f>
        <v>#REF!</v>
      </c>
      <c r="CC356" t="e">
        <f>IF(#REF!,"AAAAAFZv01A=",0)</f>
        <v>#REF!</v>
      </c>
      <c r="CD356" t="e">
        <f>AND(#REF!,"AAAAAFZv01E=")</f>
        <v>#REF!</v>
      </c>
      <c r="CE356" t="e">
        <f>AND(#REF!,"AAAAAFZv01I=")</f>
        <v>#REF!</v>
      </c>
      <c r="CF356" t="e">
        <f>AND(#REF!,"AAAAAFZv01M=")</f>
        <v>#REF!</v>
      </c>
      <c r="CG356" t="e">
        <f>AND(#REF!,"AAAAAFZv01Q=")</f>
        <v>#REF!</v>
      </c>
      <c r="CH356" t="e">
        <f>AND(#REF!,"AAAAAFZv01U=")</f>
        <v>#REF!</v>
      </c>
      <c r="CI356" t="e">
        <f>AND(#REF!,"AAAAAFZv01Y=")</f>
        <v>#REF!</v>
      </c>
      <c r="CJ356" t="e">
        <f>AND(#REF!,"AAAAAFZv01c=")</f>
        <v>#REF!</v>
      </c>
      <c r="CK356" t="e">
        <f>AND(#REF!,"AAAAAFZv01g=")</f>
        <v>#REF!</v>
      </c>
      <c r="CL356" t="e">
        <f>AND(#REF!,"AAAAAFZv01k=")</f>
        <v>#REF!</v>
      </c>
      <c r="CM356" t="e">
        <f>AND(#REF!,"AAAAAFZv01o=")</f>
        <v>#REF!</v>
      </c>
      <c r="CN356" t="e">
        <f>AND(#REF!,"AAAAAFZv01s=")</f>
        <v>#REF!</v>
      </c>
      <c r="CO356" t="e">
        <f>AND(#REF!,"AAAAAFZv01w=")</f>
        <v>#REF!</v>
      </c>
      <c r="CP356" t="e">
        <f>AND(#REF!,"AAAAAFZv010=")</f>
        <v>#REF!</v>
      </c>
      <c r="CQ356" t="e">
        <f>AND(#REF!,"AAAAAFZv014=")</f>
        <v>#REF!</v>
      </c>
      <c r="CR356" t="e">
        <f>AND(#REF!,"AAAAAFZv018=")</f>
        <v>#REF!</v>
      </c>
      <c r="CS356" t="e">
        <f>AND(#REF!,"AAAAAFZv02A=")</f>
        <v>#REF!</v>
      </c>
      <c r="CT356" t="e">
        <f>AND(#REF!,"AAAAAFZv02E=")</f>
        <v>#REF!</v>
      </c>
      <c r="CU356" t="e">
        <f>AND(#REF!,"AAAAAFZv02I=")</f>
        <v>#REF!</v>
      </c>
      <c r="CV356" t="e">
        <f>AND(#REF!,"AAAAAFZv02M=")</f>
        <v>#REF!</v>
      </c>
      <c r="CW356" t="e">
        <f>AND(#REF!,"AAAAAFZv02Q=")</f>
        <v>#REF!</v>
      </c>
      <c r="CX356" t="e">
        <f>AND(#REF!,"AAAAAFZv02U=")</f>
        <v>#REF!</v>
      </c>
      <c r="CY356" t="e">
        <f>AND(#REF!,"AAAAAFZv02Y=")</f>
        <v>#REF!</v>
      </c>
      <c r="CZ356" t="e">
        <f>AND(#REF!,"AAAAAFZv02c=")</f>
        <v>#REF!</v>
      </c>
      <c r="DA356" t="e">
        <f>AND(#REF!,"AAAAAFZv02g=")</f>
        <v>#REF!</v>
      </c>
      <c r="DB356" t="e">
        <f>IF(#REF!,"AAAAAFZv02k=",0)</f>
        <v>#REF!</v>
      </c>
      <c r="DC356" t="e">
        <f>AND(#REF!,"AAAAAFZv02o=")</f>
        <v>#REF!</v>
      </c>
      <c r="DD356" t="e">
        <f>AND(#REF!,"AAAAAFZv02s=")</f>
        <v>#REF!</v>
      </c>
      <c r="DE356" t="e">
        <f>AND(#REF!,"AAAAAFZv02w=")</f>
        <v>#REF!</v>
      </c>
      <c r="DF356" t="e">
        <f>AND(#REF!,"AAAAAFZv020=")</f>
        <v>#REF!</v>
      </c>
      <c r="DG356" t="e">
        <f>AND(#REF!,"AAAAAFZv024=")</f>
        <v>#REF!</v>
      </c>
      <c r="DH356" t="e">
        <f>AND(#REF!,"AAAAAFZv028=")</f>
        <v>#REF!</v>
      </c>
      <c r="DI356" t="e">
        <f>AND(#REF!,"AAAAAFZv03A=")</f>
        <v>#REF!</v>
      </c>
      <c r="DJ356" t="e">
        <f>AND(#REF!,"AAAAAFZv03E=")</f>
        <v>#REF!</v>
      </c>
      <c r="DK356" t="e">
        <f>AND(#REF!,"AAAAAFZv03I=")</f>
        <v>#REF!</v>
      </c>
      <c r="DL356" t="e">
        <f>AND(#REF!,"AAAAAFZv03M=")</f>
        <v>#REF!</v>
      </c>
      <c r="DM356" t="e">
        <f>AND(#REF!,"AAAAAFZv03Q=")</f>
        <v>#REF!</v>
      </c>
      <c r="DN356" t="e">
        <f>AND(#REF!,"AAAAAFZv03U=")</f>
        <v>#REF!</v>
      </c>
      <c r="DO356" t="e">
        <f>AND(#REF!,"AAAAAFZv03Y=")</f>
        <v>#REF!</v>
      </c>
      <c r="DP356" t="e">
        <f>AND(#REF!,"AAAAAFZv03c=")</f>
        <v>#REF!</v>
      </c>
      <c r="DQ356" t="e">
        <f>AND(#REF!,"AAAAAFZv03g=")</f>
        <v>#REF!</v>
      </c>
      <c r="DR356" t="e">
        <f>AND(#REF!,"AAAAAFZv03k=")</f>
        <v>#REF!</v>
      </c>
      <c r="DS356" t="e">
        <f>AND(#REF!,"AAAAAFZv03o=")</f>
        <v>#REF!</v>
      </c>
      <c r="DT356" t="e">
        <f>AND(#REF!,"AAAAAFZv03s=")</f>
        <v>#REF!</v>
      </c>
      <c r="DU356" t="e">
        <f>AND(#REF!,"AAAAAFZv03w=")</f>
        <v>#REF!</v>
      </c>
      <c r="DV356" t="e">
        <f>AND(#REF!,"AAAAAFZv030=")</f>
        <v>#REF!</v>
      </c>
      <c r="DW356" t="e">
        <f>AND(#REF!,"AAAAAFZv034=")</f>
        <v>#REF!</v>
      </c>
      <c r="DX356" t="e">
        <f>AND(#REF!,"AAAAAFZv038=")</f>
        <v>#REF!</v>
      </c>
      <c r="DY356" t="e">
        <f>AND(#REF!,"AAAAAFZv04A=")</f>
        <v>#REF!</v>
      </c>
      <c r="DZ356" t="e">
        <f>AND(#REF!,"AAAAAFZv04E=")</f>
        <v>#REF!</v>
      </c>
      <c r="EA356" t="e">
        <f>IF(#REF!,"AAAAAFZv04I=",0)</f>
        <v>#REF!</v>
      </c>
      <c r="EB356" t="e">
        <f>AND(#REF!,"AAAAAFZv04M=")</f>
        <v>#REF!</v>
      </c>
      <c r="EC356" t="e">
        <f>AND(#REF!,"AAAAAFZv04Q=")</f>
        <v>#REF!</v>
      </c>
      <c r="ED356" t="e">
        <f>AND(#REF!,"AAAAAFZv04U=")</f>
        <v>#REF!</v>
      </c>
      <c r="EE356" t="e">
        <f>AND(#REF!,"AAAAAFZv04Y=")</f>
        <v>#REF!</v>
      </c>
      <c r="EF356" t="e">
        <f>AND(#REF!,"AAAAAFZv04c=")</f>
        <v>#REF!</v>
      </c>
      <c r="EG356" t="e">
        <f>AND(#REF!,"AAAAAFZv04g=")</f>
        <v>#REF!</v>
      </c>
      <c r="EH356" t="e">
        <f>AND(#REF!,"AAAAAFZv04k=")</f>
        <v>#REF!</v>
      </c>
      <c r="EI356" t="e">
        <f>AND(#REF!,"AAAAAFZv04o=")</f>
        <v>#REF!</v>
      </c>
      <c r="EJ356" t="e">
        <f>AND(#REF!,"AAAAAFZv04s=")</f>
        <v>#REF!</v>
      </c>
      <c r="EK356" t="e">
        <f>AND(#REF!,"AAAAAFZv04w=")</f>
        <v>#REF!</v>
      </c>
      <c r="EL356" t="e">
        <f>AND(#REF!,"AAAAAFZv040=")</f>
        <v>#REF!</v>
      </c>
      <c r="EM356" t="e">
        <f>AND(#REF!,"AAAAAFZv044=")</f>
        <v>#REF!</v>
      </c>
      <c r="EN356" t="e">
        <f>AND(#REF!,"AAAAAFZv048=")</f>
        <v>#REF!</v>
      </c>
      <c r="EO356" t="e">
        <f>AND(#REF!,"AAAAAFZv05A=")</f>
        <v>#REF!</v>
      </c>
      <c r="EP356" t="e">
        <f>AND(#REF!,"AAAAAFZv05E=")</f>
        <v>#REF!</v>
      </c>
      <c r="EQ356" t="e">
        <f>AND(#REF!,"AAAAAFZv05I=")</f>
        <v>#REF!</v>
      </c>
      <c r="ER356" t="e">
        <f>AND(#REF!,"AAAAAFZv05M=")</f>
        <v>#REF!</v>
      </c>
      <c r="ES356" t="e">
        <f>AND(#REF!,"AAAAAFZv05Q=")</f>
        <v>#REF!</v>
      </c>
      <c r="ET356" t="e">
        <f>AND(#REF!,"AAAAAFZv05U=")</f>
        <v>#REF!</v>
      </c>
      <c r="EU356" t="e">
        <f>AND(#REF!,"AAAAAFZv05Y=")</f>
        <v>#REF!</v>
      </c>
      <c r="EV356" t="e">
        <f>AND(#REF!,"AAAAAFZv05c=")</f>
        <v>#REF!</v>
      </c>
      <c r="EW356" t="e">
        <f>AND(#REF!,"AAAAAFZv05g=")</f>
        <v>#REF!</v>
      </c>
      <c r="EX356" t="e">
        <f>AND(#REF!,"AAAAAFZv05k=")</f>
        <v>#REF!</v>
      </c>
      <c r="EY356" t="e">
        <f>AND(#REF!,"AAAAAFZv05o=")</f>
        <v>#REF!</v>
      </c>
      <c r="EZ356" t="e">
        <f>IF(#REF!,"AAAAAFZv05s=",0)</f>
        <v>#REF!</v>
      </c>
      <c r="FA356" t="e">
        <f>AND(#REF!,"AAAAAFZv05w=")</f>
        <v>#REF!</v>
      </c>
      <c r="FB356" t="e">
        <f>AND(#REF!,"AAAAAFZv050=")</f>
        <v>#REF!</v>
      </c>
      <c r="FC356" t="e">
        <f>AND(#REF!,"AAAAAFZv054=")</f>
        <v>#REF!</v>
      </c>
      <c r="FD356" t="e">
        <f>AND(#REF!,"AAAAAFZv058=")</f>
        <v>#REF!</v>
      </c>
      <c r="FE356" t="e">
        <f>AND(#REF!,"AAAAAFZv06A=")</f>
        <v>#REF!</v>
      </c>
      <c r="FF356" t="e">
        <f>AND(#REF!,"AAAAAFZv06E=")</f>
        <v>#REF!</v>
      </c>
      <c r="FG356" t="e">
        <f>AND(#REF!,"AAAAAFZv06I=")</f>
        <v>#REF!</v>
      </c>
      <c r="FH356" t="e">
        <f>AND(#REF!,"AAAAAFZv06M=")</f>
        <v>#REF!</v>
      </c>
      <c r="FI356" t="e">
        <f>AND(#REF!,"AAAAAFZv06Q=")</f>
        <v>#REF!</v>
      </c>
      <c r="FJ356" t="e">
        <f>AND(#REF!,"AAAAAFZv06U=")</f>
        <v>#REF!</v>
      </c>
      <c r="FK356" t="e">
        <f>AND(#REF!,"AAAAAFZv06Y=")</f>
        <v>#REF!</v>
      </c>
      <c r="FL356" t="e">
        <f>AND(#REF!,"AAAAAFZv06c=")</f>
        <v>#REF!</v>
      </c>
      <c r="FM356" t="e">
        <f>AND(#REF!,"AAAAAFZv06g=")</f>
        <v>#REF!</v>
      </c>
      <c r="FN356" t="e">
        <f>AND(#REF!,"AAAAAFZv06k=")</f>
        <v>#REF!</v>
      </c>
      <c r="FO356" t="e">
        <f>AND(#REF!,"AAAAAFZv06o=")</f>
        <v>#REF!</v>
      </c>
      <c r="FP356" t="e">
        <f>AND(#REF!,"AAAAAFZv06s=")</f>
        <v>#REF!</v>
      </c>
      <c r="FQ356" t="e">
        <f>AND(#REF!,"AAAAAFZv06w=")</f>
        <v>#REF!</v>
      </c>
      <c r="FR356" t="e">
        <f>AND(#REF!,"AAAAAFZv060=")</f>
        <v>#REF!</v>
      </c>
      <c r="FS356" t="e">
        <f>AND(#REF!,"AAAAAFZv064=")</f>
        <v>#REF!</v>
      </c>
      <c r="FT356" t="e">
        <f>AND(#REF!,"AAAAAFZv068=")</f>
        <v>#REF!</v>
      </c>
      <c r="FU356" t="e">
        <f>AND(#REF!,"AAAAAFZv07A=")</f>
        <v>#REF!</v>
      </c>
      <c r="FV356" t="e">
        <f>AND(#REF!,"AAAAAFZv07E=")</f>
        <v>#REF!</v>
      </c>
      <c r="FW356" t="e">
        <f>AND(#REF!,"AAAAAFZv07I=")</f>
        <v>#REF!</v>
      </c>
      <c r="FX356" t="e">
        <f>AND(#REF!,"AAAAAFZv07M=")</f>
        <v>#REF!</v>
      </c>
      <c r="FY356" t="e">
        <f>IF(#REF!,"AAAAAFZv07Q=",0)</f>
        <v>#REF!</v>
      </c>
      <c r="FZ356" t="e">
        <f>AND(#REF!,"AAAAAFZv07U=")</f>
        <v>#REF!</v>
      </c>
      <c r="GA356" t="e">
        <f>AND(#REF!,"AAAAAFZv07Y=")</f>
        <v>#REF!</v>
      </c>
      <c r="GB356" t="e">
        <f>AND(#REF!,"AAAAAFZv07c=")</f>
        <v>#REF!</v>
      </c>
      <c r="GC356" t="e">
        <f>AND(#REF!,"AAAAAFZv07g=")</f>
        <v>#REF!</v>
      </c>
      <c r="GD356" t="e">
        <f>AND(#REF!,"AAAAAFZv07k=")</f>
        <v>#REF!</v>
      </c>
      <c r="GE356" t="e">
        <f>AND(#REF!,"AAAAAFZv07o=")</f>
        <v>#REF!</v>
      </c>
      <c r="GF356" t="e">
        <f>AND(#REF!,"AAAAAFZv07s=")</f>
        <v>#REF!</v>
      </c>
      <c r="GG356" t="e">
        <f>AND(#REF!,"AAAAAFZv07w=")</f>
        <v>#REF!</v>
      </c>
      <c r="GH356" t="e">
        <f>AND(#REF!,"AAAAAFZv070=")</f>
        <v>#REF!</v>
      </c>
      <c r="GI356" t="e">
        <f>AND(#REF!,"AAAAAFZv074=")</f>
        <v>#REF!</v>
      </c>
      <c r="GJ356" t="e">
        <f>AND(#REF!,"AAAAAFZv078=")</f>
        <v>#REF!</v>
      </c>
      <c r="GK356" t="e">
        <f>AND(#REF!,"AAAAAFZv08A=")</f>
        <v>#REF!</v>
      </c>
      <c r="GL356" t="e">
        <f>AND(#REF!,"AAAAAFZv08E=")</f>
        <v>#REF!</v>
      </c>
      <c r="GM356" t="e">
        <f>AND(#REF!,"AAAAAFZv08I=")</f>
        <v>#REF!</v>
      </c>
      <c r="GN356" t="e">
        <f>AND(#REF!,"AAAAAFZv08M=")</f>
        <v>#REF!</v>
      </c>
      <c r="GO356" t="e">
        <f>AND(#REF!,"AAAAAFZv08Q=")</f>
        <v>#REF!</v>
      </c>
      <c r="GP356" t="e">
        <f>AND(#REF!,"AAAAAFZv08U=")</f>
        <v>#REF!</v>
      </c>
      <c r="GQ356" t="e">
        <f>AND(#REF!,"AAAAAFZv08Y=")</f>
        <v>#REF!</v>
      </c>
      <c r="GR356" t="e">
        <f>AND(#REF!,"AAAAAFZv08c=")</f>
        <v>#REF!</v>
      </c>
      <c r="GS356" t="e">
        <f>AND(#REF!,"AAAAAFZv08g=")</f>
        <v>#REF!</v>
      </c>
      <c r="GT356" t="e">
        <f>AND(#REF!,"AAAAAFZv08k=")</f>
        <v>#REF!</v>
      </c>
      <c r="GU356" t="e">
        <f>AND(#REF!,"AAAAAFZv08o=")</f>
        <v>#REF!</v>
      </c>
      <c r="GV356" t="e">
        <f>AND(#REF!,"AAAAAFZv08s=")</f>
        <v>#REF!</v>
      </c>
      <c r="GW356" t="e">
        <f>AND(#REF!,"AAAAAFZv08w=")</f>
        <v>#REF!</v>
      </c>
      <c r="GX356" t="e">
        <f>IF(#REF!,"AAAAAFZv080=",0)</f>
        <v>#REF!</v>
      </c>
      <c r="GY356" t="e">
        <f>AND(#REF!,"AAAAAFZv084=")</f>
        <v>#REF!</v>
      </c>
      <c r="GZ356" t="e">
        <f>AND(#REF!,"AAAAAFZv088=")</f>
        <v>#REF!</v>
      </c>
      <c r="HA356" t="e">
        <f>AND(#REF!,"AAAAAFZv09A=")</f>
        <v>#REF!</v>
      </c>
      <c r="HB356" t="e">
        <f>AND(#REF!,"AAAAAFZv09E=")</f>
        <v>#REF!</v>
      </c>
      <c r="HC356" t="e">
        <f>AND(#REF!,"AAAAAFZv09I=")</f>
        <v>#REF!</v>
      </c>
      <c r="HD356" t="e">
        <f>AND(#REF!,"AAAAAFZv09M=")</f>
        <v>#REF!</v>
      </c>
      <c r="HE356" t="e">
        <f>AND(#REF!,"AAAAAFZv09Q=")</f>
        <v>#REF!</v>
      </c>
      <c r="HF356" t="e">
        <f>AND(#REF!,"AAAAAFZv09U=")</f>
        <v>#REF!</v>
      </c>
      <c r="HG356" t="e">
        <f>AND(#REF!,"AAAAAFZv09Y=")</f>
        <v>#REF!</v>
      </c>
      <c r="HH356" t="e">
        <f>AND(#REF!,"AAAAAFZv09c=")</f>
        <v>#REF!</v>
      </c>
      <c r="HI356" t="e">
        <f>AND(#REF!,"AAAAAFZv09g=")</f>
        <v>#REF!</v>
      </c>
      <c r="HJ356" t="e">
        <f>AND(#REF!,"AAAAAFZv09k=")</f>
        <v>#REF!</v>
      </c>
      <c r="HK356" t="e">
        <f>AND(#REF!,"AAAAAFZv09o=")</f>
        <v>#REF!</v>
      </c>
      <c r="HL356" t="e">
        <f>AND(#REF!,"AAAAAFZv09s=")</f>
        <v>#REF!</v>
      </c>
      <c r="HM356" t="e">
        <f>AND(#REF!,"AAAAAFZv09w=")</f>
        <v>#REF!</v>
      </c>
      <c r="HN356" t="e">
        <f>AND(#REF!,"AAAAAFZv090=")</f>
        <v>#REF!</v>
      </c>
      <c r="HO356" t="e">
        <f>AND(#REF!,"AAAAAFZv094=")</f>
        <v>#REF!</v>
      </c>
      <c r="HP356" t="e">
        <f>AND(#REF!,"AAAAAFZv098=")</f>
        <v>#REF!</v>
      </c>
      <c r="HQ356" t="e">
        <f>AND(#REF!,"AAAAAFZv0+A=")</f>
        <v>#REF!</v>
      </c>
      <c r="HR356" t="e">
        <f>AND(#REF!,"AAAAAFZv0+E=")</f>
        <v>#REF!</v>
      </c>
      <c r="HS356" t="e">
        <f>AND(#REF!,"AAAAAFZv0+I=")</f>
        <v>#REF!</v>
      </c>
      <c r="HT356" t="e">
        <f>AND(#REF!,"AAAAAFZv0+M=")</f>
        <v>#REF!</v>
      </c>
      <c r="HU356" t="e">
        <f>AND(#REF!,"AAAAAFZv0+Q=")</f>
        <v>#REF!</v>
      </c>
      <c r="HV356" t="e">
        <f>AND(#REF!,"AAAAAFZv0+U=")</f>
        <v>#REF!</v>
      </c>
      <c r="HW356" t="e">
        <f>IF(#REF!,"AAAAAFZv0+Y=",0)</f>
        <v>#REF!</v>
      </c>
      <c r="HX356" t="e">
        <f>AND(#REF!,"AAAAAFZv0+c=")</f>
        <v>#REF!</v>
      </c>
      <c r="HY356" t="e">
        <f>AND(#REF!,"AAAAAFZv0+g=")</f>
        <v>#REF!</v>
      </c>
      <c r="HZ356" t="e">
        <f>AND(#REF!,"AAAAAFZv0+k=")</f>
        <v>#REF!</v>
      </c>
      <c r="IA356" t="e">
        <f>AND(#REF!,"AAAAAFZv0+o=")</f>
        <v>#REF!</v>
      </c>
      <c r="IB356" t="e">
        <f>AND(#REF!,"AAAAAFZv0+s=")</f>
        <v>#REF!</v>
      </c>
      <c r="IC356" t="e">
        <f>AND(#REF!,"AAAAAFZv0+w=")</f>
        <v>#REF!</v>
      </c>
      <c r="ID356" t="e">
        <f>AND(#REF!,"AAAAAFZv0+0=")</f>
        <v>#REF!</v>
      </c>
      <c r="IE356" t="e">
        <f>AND(#REF!,"AAAAAFZv0+4=")</f>
        <v>#REF!</v>
      </c>
      <c r="IF356" t="e">
        <f>AND(#REF!,"AAAAAFZv0+8=")</f>
        <v>#REF!</v>
      </c>
      <c r="IG356" t="e">
        <f>AND(#REF!,"AAAAAFZv0/A=")</f>
        <v>#REF!</v>
      </c>
      <c r="IH356" t="e">
        <f>AND(#REF!,"AAAAAFZv0/E=")</f>
        <v>#REF!</v>
      </c>
      <c r="II356" t="e">
        <f>AND(#REF!,"AAAAAFZv0/I=")</f>
        <v>#REF!</v>
      </c>
      <c r="IJ356" t="e">
        <f>AND(#REF!,"AAAAAFZv0/M=")</f>
        <v>#REF!</v>
      </c>
      <c r="IK356" t="e">
        <f>AND(#REF!,"AAAAAFZv0/Q=")</f>
        <v>#REF!</v>
      </c>
      <c r="IL356" t="e">
        <f>AND(#REF!,"AAAAAFZv0/U=")</f>
        <v>#REF!</v>
      </c>
      <c r="IM356" t="e">
        <f>AND(#REF!,"AAAAAFZv0/Y=")</f>
        <v>#REF!</v>
      </c>
      <c r="IN356" t="e">
        <f>AND(#REF!,"AAAAAFZv0/c=")</f>
        <v>#REF!</v>
      </c>
      <c r="IO356" t="e">
        <f>AND(#REF!,"AAAAAFZv0/g=")</f>
        <v>#REF!</v>
      </c>
      <c r="IP356" t="e">
        <f>AND(#REF!,"AAAAAFZv0/k=")</f>
        <v>#REF!</v>
      </c>
      <c r="IQ356" t="e">
        <f>AND(#REF!,"AAAAAFZv0/o=")</f>
        <v>#REF!</v>
      </c>
      <c r="IR356" t="e">
        <f>AND(#REF!,"AAAAAFZv0/s=")</f>
        <v>#REF!</v>
      </c>
      <c r="IS356" t="e">
        <f>AND(#REF!,"AAAAAFZv0/w=")</f>
        <v>#REF!</v>
      </c>
      <c r="IT356" t="e">
        <f>AND(#REF!,"AAAAAFZv0/0=")</f>
        <v>#REF!</v>
      </c>
      <c r="IU356" t="e">
        <f>AND(#REF!,"AAAAAFZv0/4=")</f>
        <v>#REF!</v>
      </c>
      <c r="IV356" t="e">
        <f>IF(#REF!,"AAAAAFZv0/8=",0)</f>
        <v>#REF!</v>
      </c>
    </row>
    <row r="357" spans="1:256">
      <c r="A357" t="e">
        <f>AND(#REF!,"AAAAAFn4fwA=")</f>
        <v>#REF!</v>
      </c>
      <c r="B357" t="e">
        <f>AND(#REF!,"AAAAAFn4fwE=")</f>
        <v>#REF!</v>
      </c>
      <c r="C357" t="e">
        <f>AND(#REF!,"AAAAAFn4fwI=")</f>
        <v>#REF!</v>
      </c>
      <c r="D357" t="e">
        <f>AND(#REF!,"AAAAAFn4fwM=")</f>
        <v>#REF!</v>
      </c>
      <c r="E357" t="e">
        <f>AND(#REF!,"AAAAAFn4fwQ=")</f>
        <v>#REF!</v>
      </c>
      <c r="F357" t="e">
        <f>AND(#REF!,"AAAAAFn4fwU=")</f>
        <v>#REF!</v>
      </c>
      <c r="G357" t="e">
        <f>AND(#REF!,"AAAAAFn4fwY=")</f>
        <v>#REF!</v>
      </c>
      <c r="H357" t="e">
        <f>AND(#REF!,"AAAAAFn4fwc=")</f>
        <v>#REF!</v>
      </c>
      <c r="I357" t="e">
        <f>AND(#REF!,"AAAAAFn4fwg=")</f>
        <v>#REF!</v>
      </c>
      <c r="J357" t="e">
        <f>AND(#REF!,"AAAAAFn4fwk=")</f>
        <v>#REF!</v>
      </c>
      <c r="K357" t="e">
        <f>AND(#REF!,"AAAAAFn4fwo=")</f>
        <v>#REF!</v>
      </c>
      <c r="L357" t="e">
        <f>AND(#REF!,"AAAAAFn4fws=")</f>
        <v>#REF!</v>
      </c>
      <c r="M357" t="e">
        <f>AND(#REF!,"AAAAAFn4fww=")</f>
        <v>#REF!</v>
      </c>
      <c r="N357" t="e">
        <f>AND(#REF!,"AAAAAFn4fw0=")</f>
        <v>#REF!</v>
      </c>
      <c r="O357" t="e">
        <f>AND(#REF!,"AAAAAFn4fw4=")</f>
        <v>#REF!</v>
      </c>
      <c r="P357" t="e">
        <f>AND(#REF!,"AAAAAFn4fw8=")</f>
        <v>#REF!</v>
      </c>
      <c r="Q357" t="e">
        <f>AND(#REF!,"AAAAAFn4fxA=")</f>
        <v>#REF!</v>
      </c>
      <c r="R357" t="e">
        <f>AND(#REF!,"AAAAAFn4fxE=")</f>
        <v>#REF!</v>
      </c>
      <c r="S357" t="e">
        <f>AND(#REF!,"AAAAAFn4fxI=")</f>
        <v>#REF!</v>
      </c>
      <c r="T357" t="e">
        <f>AND(#REF!,"AAAAAFn4fxM=")</f>
        <v>#REF!</v>
      </c>
      <c r="U357" t="e">
        <f>AND(#REF!,"AAAAAFn4fxQ=")</f>
        <v>#REF!</v>
      </c>
      <c r="V357" t="e">
        <f>AND(#REF!,"AAAAAFn4fxU=")</f>
        <v>#REF!</v>
      </c>
      <c r="W357" t="e">
        <f>AND(#REF!,"AAAAAFn4fxY=")</f>
        <v>#REF!</v>
      </c>
      <c r="X357" t="e">
        <f>AND(#REF!,"AAAAAFn4fxc=")</f>
        <v>#REF!</v>
      </c>
      <c r="Y357" t="e">
        <f>IF(#REF!,"AAAAAFn4fxg=",0)</f>
        <v>#REF!</v>
      </c>
      <c r="Z357" t="e">
        <f>AND(#REF!,"AAAAAFn4fxk=")</f>
        <v>#REF!</v>
      </c>
      <c r="AA357" t="e">
        <f>AND(#REF!,"AAAAAFn4fxo=")</f>
        <v>#REF!</v>
      </c>
      <c r="AB357" t="e">
        <f>AND(#REF!,"AAAAAFn4fxs=")</f>
        <v>#REF!</v>
      </c>
      <c r="AC357" t="e">
        <f>AND(#REF!,"AAAAAFn4fxw=")</f>
        <v>#REF!</v>
      </c>
      <c r="AD357" t="e">
        <f>AND(#REF!,"AAAAAFn4fx0=")</f>
        <v>#REF!</v>
      </c>
      <c r="AE357" t="e">
        <f>AND(#REF!,"AAAAAFn4fx4=")</f>
        <v>#REF!</v>
      </c>
      <c r="AF357" t="e">
        <f>AND(#REF!,"AAAAAFn4fx8=")</f>
        <v>#REF!</v>
      </c>
      <c r="AG357" t="e">
        <f>AND(#REF!,"AAAAAFn4fyA=")</f>
        <v>#REF!</v>
      </c>
      <c r="AH357" t="e">
        <f>AND(#REF!,"AAAAAFn4fyE=")</f>
        <v>#REF!</v>
      </c>
      <c r="AI357" t="e">
        <f>AND(#REF!,"AAAAAFn4fyI=")</f>
        <v>#REF!</v>
      </c>
      <c r="AJ357" t="e">
        <f>AND(#REF!,"AAAAAFn4fyM=")</f>
        <v>#REF!</v>
      </c>
      <c r="AK357" t="e">
        <f>AND(#REF!,"AAAAAFn4fyQ=")</f>
        <v>#REF!</v>
      </c>
      <c r="AL357" t="e">
        <f>AND(#REF!,"AAAAAFn4fyU=")</f>
        <v>#REF!</v>
      </c>
      <c r="AM357" t="e">
        <f>AND(#REF!,"AAAAAFn4fyY=")</f>
        <v>#REF!</v>
      </c>
      <c r="AN357" t="e">
        <f>AND(#REF!,"AAAAAFn4fyc=")</f>
        <v>#REF!</v>
      </c>
      <c r="AO357" t="e">
        <f>AND(#REF!,"AAAAAFn4fyg=")</f>
        <v>#REF!</v>
      </c>
      <c r="AP357" t="e">
        <f>AND(#REF!,"AAAAAFn4fyk=")</f>
        <v>#REF!</v>
      </c>
      <c r="AQ357" t="e">
        <f>AND(#REF!,"AAAAAFn4fyo=")</f>
        <v>#REF!</v>
      </c>
      <c r="AR357" t="e">
        <f>AND(#REF!,"AAAAAFn4fys=")</f>
        <v>#REF!</v>
      </c>
      <c r="AS357" t="e">
        <f>AND(#REF!,"AAAAAFn4fyw=")</f>
        <v>#REF!</v>
      </c>
      <c r="AT357" t="e">
        <f>AND(#REF!,"AAAAAFn4fy0=")</f>
        <v>#REF!</v>
      </c>
      <c r="AU357" t="e">
        <f>AND(#REF!,"AAAAAFn4fy4=")</f>
        <v>#REF!</v>
      </c>
      <c r="AV357" t="e">
        <f>AND(#REF!,"AAAAAFn4fy8=")</f>
        <v>#REF!</v>
      </c>
      <c r="AW357" t="e">
        <f>AND(#REF!,"AAAAAFn4fzA=")</f>
        <v>#REF!</v>
      </c>
      <c r="AX357" t="e">
        <f>IF(#REF!,"AAAAAFn4fzE=",0)</f>
        <v>#REF!</v>
      </c>
      <c r="AY357" t="e">
        <f>AND(#REF!,"AAAAAFn4fzI=")</f>
        <v>#REF!</v>
      </c>
      <c r="AZ357" t="e">
        <f>AND(#REF!,"AAAAAFn4fzM=")</f>
        <v>#REF!</v>
      </c>
      <c r="BA357" t="e">
        <f>AND(#REF!,"AAAAAFn4fzQ=")</f>
        <v>#REF!</v>
      </c>
      <c r="BB357" t="e">
        <f>AND(#REF!,"AAAAAFn4fzU=")</f>
        <v>#REF!</v>
      </c>
      <c r="BC357" t="e">
        <f>AND(#REF!,"AAAAAFn4fzY=")</f>
        <v>#REF!</v>
      </c>
      <c r="BD357" t="e">
        <f>AND(#REF!,"AAAAAFn4fzc=")</f>
        <v>#REF!</v>
      </c>
      <c r="BE357" t="e">
        <f>AND(#REF!,"AAAAAFn4fzg=")</f>
        <v>#REF!</v>
      </c>
      <c r="BF357" t="e">
        <f>AND(#REF!,"AAAAAFn4fzk=")</f>
        <v>#REF!</v>
      </c>
      <c r="BG357" t="e">
        <f>AND(#REF!,"AAAAAFn4fzo=")</f>
        <v>#REF!</v>
      </c>
      <c r="BH357" t="e">
        <f>AND(#REF!,"AAAAAFn4fzs=")</f>
        <v>#REF!</v>
      </c>
      <c r="BI357" t="e">
        <f>AND(#REF!,"AAAAAFn4fzw=")</f>
        <v>#REF!</v>
      </c>
      <c r="BJ357" t="e">
        <f>AND(#REF!,"AAAAAFn4fz0=")</f>
        <v>#REF!</v>
      </c>
      <c r="BK357" t="e">
        <f>AND(#REF!,"AAAAAFn4fz4=")</f>
        <v>#REF!</v>
      </c>
      <c r="BL357" t="e">
        <f>AND(#REF!,"AAAAAFn4fz8=")</f>
        <v>#REF!</v>
      </c>
      <c r="BM357" t="e">
        <f>AND(#REF!,"AAAAAFn4f0A=")</f>
        <v>#REF!</v>
      </c>
      <c r="BN357" t="e">
        <f>AND(#REF!,"AAAAAFn4f0E=")</f>
        <v>#REF!</v>
      </c>
      <c r="BO357" t="e">
        <f>AND(#REF!,"AAAAAFn4f0I=")</f>
        <v>#REF!</v>
      </c>
      <c r="BP357" t="e">
        <f>AND(#REF!,"AAAAAFn4f0M=")</f>
        <v>#REF!</v>
      </c>
      <c r="BQ357" t="e">
        <f>AND(#REF!,"AAAAAFn4f0Q=")</f>
        <v>#REF!</v>
      </c>
      <c r="BR357" t="e">
        <f>AND(#REF!,"AAAAAFn4f0U=")</f>
        <v>#REF!</v>
      </c>
      <c r="BS357" t="e">
        <f>AND(#REF!,"AAAAAFn4f0Y=")</f>
        <v>#REF!</v>
      </c>
      <c r="BT357" t="e">
        <f>AND(#REF!,"AAAAAFn4f0c=")</f>
        <v>#REF!</v>
      </c>
      <c r="BU357" t="e">
        <f>AND(#REF!,"AAAAAFn4f0g=")</f>
        <v>#REF!</v>
      </c>
      <c r="BV357" t="e">
        <f>AND(#REF!,"AAAAAFn4f0k=")</f>
        <v>#REF!</v>
      </c>
      <c r="BW357" t="e">
        <f>IF(#REF!,"AAAAAFn4f0o=",0)</f>
        <v>#REF!</v>
      </c>
      <c r="BX357" t="e">
        <f>AND(#REF!,"AAAAAFn4f0s=")</f>
        <v>#REF!</v>
      </c>
      <c r="BY357" t="e">
        <f>AND(#REF!,"AAAAAFn4f0w=")</f>
        <v>#REF!</v>
      </c>
      <c r="BZ357" t="e">
        <f>AND(#REF!,"AAAAAFn4f00=")</f>
        <v>#REF!</v>
      </c>
      <c r="CA357" t="e">
        <f>AND(#REF!,"AAAAAFn4f04=")</f>
        <v>#REF!</v>
      </c>
      <c r="CB357" t="e">
        <f>AND(#REF!,"AAAAAFn4f08=")</f>
        <v>#REF!</v>
      </c>
      <c r="CC357" t="e">
        <f>AND(#REF!,"AAAAAFn4f1A=")</f>
        <v>#REF!</v>
      </c>
      <c r="CD357" t="e">
        <f>AND(#REF!,"AAAAAFn4f1E=")</f>
        <v>#REF!</v>
      </c>
      <c r="CE357" t="e">
        <f>AND(#REF!,"AAAAAFn4f1I=")</f>
        <v>#REF!</v>
      </c>
      <c r="CF357" t="e">
        <f>AND(#REF!,"AAAAAFn4f1M=")</f>
        <v>#REF!</v>
      </c>
      <c r="CG357" t="e">
        <f>AND(#REF!,"AAAAAFn4f1Q=")</f>
        <v>#REF!</v>
      </c>
      <c r="CH357" t="e">
        <f>AND(#REF!,"AAAAAFn4f1U=")</f>
        <v>#REF!</v>
      </c>
      <c r="CI357" t="e">
        <f>AND(#REF!,"AAAAAFn4f1Y=")</f>
        <v>#REF!</v>
      </c>
      <c r="CJ357" t="e">
        <f>AND(#REF!,"AAAAAFn4f1c=")</f>
        <v>#REF!</v>
      </c>
      <c r="CK357" t="e">
        <f>AND(#REF!,"AAAAAFn4f1g=")</f>
        <v>#REF!</v>
      </c>
      <c r="CL357" t="e">
        <f>AND(#REF!,"AAAAAFn4f1k=")</f>
        <v>#REF!</v>
      </c>
      <c r="CM357" t="e">
        <f>AND(#REF!,"AAAAAFn4f1o=")</f>
        <v>#REF!</v>
      </c>
      <c r="CN357" t="e">
        <f>AND(#REF!,"AAAAAFn4f1s=")</f>
        <v>#REF!</v>
      </c>
      <c r="CO357" t="e">
        <f>AND(#REF!,"AAAAAFn4f1w=")</f>
        <v>#REF!</v>
      </c>
      <c r="CP357" t="e">
        <f>AND(#REF!,"AAAAAFn4f10=")</f>
        <v>#REF!</v>
      </c>
      <c r="CQ357" t="e">
        <f>AND(#REF!,"AAAAAFn4f14=")</f>
        <v>#REF!</v>
      </c>
      <c r="CR357" t="e">
        <f>AND(#REF!,"AAAAAFn4f18=")</f>
        <v>#REF!</v>
      </c>
      <c r="CS357" t="e">
        <f>AND(#REF!,"AAAAAFn4f2A=")</f>
        <v>#REF!</v>
      </c>
      <c r="CT357" t="e">
        <f>AND(#REF!,"AAAAAFn4f2E=")</f>
        <v>#REF!</v>
      </c>
      <c r="CU357" t="e">
        <f>AND(#REF!,"AAAAAFn4f2I=")</f>
        <v>#REF!</v>
      </c>
      <c r="CV357" t="e">
        <f>IF(#REF!,"AAAAAFn4f2M=",0)</f>
        <v>#REF!</v>
      </c>
      <c r="CW357" t="e">
        <f>AND(#REF!,"AAAAAFn4f2Q=")</f>
        <v>#REF!</v>
      </c>
      <c r="CX357" t="e">
        <f>AND(#REF!,"AAAAAFn4f2U=")</f>
        <v>#REF!</v>
      </c>
      <c r="CY357" t="e">
        <f>AND(#REF!,"AAAAAFn4f2Y=")</f>
        <v>#REF!</v>
      </c>
      <c r="CZ357" t="e">
        <f>AND(#REF!,"AAAAAFn4f2c=")</f>
        <v>#REF!</v>
      </c>
      <c r="DA357" t="e">
        <f>AND(#REF!,"AAAAAFn4f2g=")</f>
        <v>#REF!</v>
      </c>
      <c r="DB357" t="e">
        <f>AND(#REF!,"AAAAAFn4f2k=")</f>
        <v>#REF!</v>
      </c>
      <c r="DC357" t="e">
        <f>AND(#REF!,"AAAAAFn4f2o=")</f>
        <v>#REF!</v>
      </c>
      <c r="DD357" t="e">
        <f>AND(#REF!,"AAAAAFn4f2s=")</f>
        <v>#REF!</v>
      </c>
      <c r="DE357" t="e">
        <f>AND(#REF!,"AAAAAFn4f2w=")</f>
        <v>#REF!</v>
      </c>
      <c r="DF357" t="e">
        <f>AND(#REF!,"AAAAAFn4f20=")</f>
        <v>#REF!</v>
      </c>
      <c r="DG357" t="e">
        <f>AND(#REF!,"AAAAAFn4f24=")</f>
        <v>#REF!</v>
      </c>
      <c r="DH357" t="e">
        <f>AND(#REF!,"AAAAAFn4f28=")</f>
        <v>#REF!</v>
      </c>
      <c r="DI357" t="e">
        <f>AND(#REF!,"AAAAAFn4f3A=")</f>
        <v>#REF!</v>
      </c>
      <c r="DJ357" t="e">
        <f>AND(#REF!,"AAAAAFn4f3E=")</f>
        <v>#REF!</v>
      </c>
      <c r="DK357" t="e">
        <f>AND(#REF!,"AAAAAFn4f3I=")</f>
        <v>#REF!</v>
      </c>
      <c r="DL357" t="e">
        <f>AND(#REF!,"AAAAAFn4f3M=")</f>
        <v>#REF!</v>
      </c>
      <c r="DM357" t="e">
        <f>AND(#REF!,"AAAAAFn4f3Q=")</f>
        <v>#REF!</v>
      </c>
      <c r="DN357" t="e">
        <f>AND(#REF!,"AAAAAFn4f3U=")</f>
        <v>#REF!</v>
      </c>
      <c r="DO357" t="e">
        <f>AND(#REF!,"AAAAAFn4f3Y=")</f>
        <v>#REF!</v>
      </c>
      <c r="DP357" t="e">
        <f>AND(#REF!,"AAAAAFn4f3c=")</f>
        <v>#REF!</v>
      </c>
      <c r="DQ357" t="e">
        <f>AND(#REF!,"AAAAAFn4f3g=")</f>
        <v>#REF!</v>
      </c>
      <c r="DR357" t="e">
        <f>AND(#REF!,"AAAAAFn4f3k=")</f>
        <v>#REF!</v>
      </c>
      <c r="DS357" t="e">
        <f>AND(#REF!,"AAAAAFn4f3o=")</f>
        <v>#REF!</v>
      </c>
      <c r="DT357" t="e">
        <f>AND(#REF!,"AAAAAFn4f3s=")</f>
        <v>#REF!</v>
      </c>
      <c r="DU357" t="e">
        <f>IF(#REF!,"AAAAAFn4f3w=",0)</f>
        <v>#REF!</v>
      </c>
      <c r="DV357" t="e">
        <f>AND(#REF!,"AAAAAFn4f30=")</f>
        <v>#REF!</v>
      </c>
      <c r="DW357" t="e">
        <f>AND(#REF!,"AAAAAFn4f34=")</f>
        <v>#REF!</v>
      </c>
      <c r="DX357" t="e">
        <f>AND(#REF!,"AAAAAFn4f38=")</f>
        <v>#REF!</v>
      </c>
      <c r="DY357" t="e">
        <f>AND(#REF!,"AAAAAFn4f4A=")</f>
        <v>#REF!</v>
      </c>
      <c r="DZ357" t="e">
        <f>AND(#REF!,"AAAAAFn4f4E=")</f>
        <v>#REF!</v>
      </c>
      <c r="EA357" t="e">
        <f>AND(#REF!,"AAAAAFn4f4I=")</f>
        <v>#REF!</v>
      </c>
      <c r="EB357" t="e">
        <f>AND(#REF!,"AAAAAFn4f4M=")</f>
        <v>#REF!</v>
      </c>
      <c r="EC357" t="e">
        <f>AND(#REF!,"AAAAAFn4f4Q=")</f>
        <v>#REF!</v>
      </c>
      <c r="ED357" t="e">
        <f>AND(#REF!,"AAAAAFn4f4U=")</f>
        <v>#REF!</v>
      </c>
      <c r="EE357" t="e">
        <f>AND(#REF!,"AAAAAFn4f4Y=")</f>
        <v>#REF!</v>
      </c>
      <c r="EF357" t="e">
        <f>AND(#REF!,"AAAAAFn4f4c=")</f>
        <v>#REF!</v>
      </c>
      <c r="EG357" t="e">
        <f>AND(#REF!,"AAAAAFn4f4g=")</f>
        <v>#REF!</v>
      </c>
      <c r="EH357" t="e">
        <f>AND(#REF!,"AAAAAFn4f4k=")</f>
        <v>#REF!</v>
      </c>
      <c r="EI357" t="e">
        <f>AND(#REF!,"AAAAAFn4f4o=")</f>
        <v>#REF!</v>
      </c>
      <c r="EJ357" t="e">
        <f>AND(#REF!,"AAAAAFn4f4s=")</f>
        <v>#REF!</v>
      </c>
      <c r="EK357" t="e">
        <f>AND(#REF!,"AAAAAFn4f4w=")</f>
        <v>#REF!</v>
      </c>
      <c r="EL357" t="e">
        <f>AND(#REF!,"AAAAAFn4f40=")</f>
        <v>#REF!</v>
      </c>
      <c r="EM357" t="e">
        <f>AND(#REF!,"AAAAAFn4f44=")</f>
        <v>#REF!</v>
      </c>
      <c r="EN357" t="e">
        <f>AND(#REF!,"AAAAAFn4f48=")</f>
        <v>#REF!</v>
      </c>
      <c r="EO357" t="e">
        <f>AND(#REF!,"AAAAAFn4f5A=")</f>
        <v>#REF!</v>
      </c>
      <c r="EP357" t="e">
        <f>AND(#REF!,"AAAAAFn4f5E=")</f>
        <v>#REF!</v>
      </c>
      <c r="EQ357" t="e">
        <f>AND(#REF!,"AAAAAFn4f5I=")</f>
        <v>#REF!</v>
      </c>
      <c r="ER357" t="e">
        <f>AND(#REF!,"AAAAAFn4f5M=")</f>
        <v>#REF!</v>
      </c>
      <c r="ES357" t="e">
        <f>AND(#REF!,"AAAAAFn4f5Q=")</f>
        <v>#REF!</v>
      </c>
      <c r="ET357" t="e">
        <f>IF(#REF!,"AAAAAFn4f5U=",0)</f>
        <v>#REF!</v>
      </c>
      <c r="EU357" t="e">
        <f>AND(#REF!,"AAAAAFn4f5Y=")</f>
        <v>#REF!</v>
      </c>
      <c r="EV357" t="e">
        <f>AND(#REF!,"AAAAAFn4f5c=")</f>
        <v>#REF!</v>
      </c>
      <c r="EW357" t="e">
        <f>AND(#REF!,"AAAAAFn4f5g=")</f>
        <v>#REF!</v>
      </c>
      <c r="EX357" t="e">
        <f>AND(#REF!,"AAAAAFn4f5k=")</f>
        <v>#REF!</v>
      </c>
      <c r="EY357" t="e">
        <f>AND(#REF!,"AAAAAFn4f5o=")</f>
        <v>#REF!</v>
      </c>
      <c r="EZ357" t="e">
        <f>AND(#REF!,"AAAAAFn4f5s=")</f>
        <v>#REF!</v>
      </c>
      <c r="FA357" t="e">
        <f>AND(#REF!,"AAAAAFn4f5w=")</f>
        <v>#REF!</v>
      </c>
      <c r="FB357" t="e">
        <f>AND(#REF!,"AAAAAFn4f50=")</f>
        <v>#REF!</v>
      </c>
      <c r="FC357" t="e">
        <f>AND(#REF!,"AAAAAFn4f54=")</f>
        <v>#REF!</v>
      </c>
      <c r="FD357" t="e">
        <f>AND(#REF!,"AAAAAFn4f58=")</f>
        <v>#REF!</v>
      </c>
      <c r="FE357" t="e">
        <f>AND(#REF!,"AAAAAFn4f6A=")</f>
        <v>#REF!</v>
      </c>
      <c r="FF357" t="e">
        <f>AND(#REF!,"AAAAAFn4f6E=")</f>
        <v>#REF!</v>
      </c>
      <c r="FG357" t="e">
        <f>AND(#REF!,"AAAAAFn4f6I=")</f>
        <v>#REF!</v>
      </c>
      <c r="FH357" t="e">
        <f>AND(#REF!,"AAAAAFn4f6M=")</f>
        <v>#REF!</v>
      </c>
      <c r="FI357" t="e">
        <f>AND(#REF!,"AAAAAFn4f6Q=")</f>
        <v>#REF!</v>
      </c>
      <c r="FJ357" t="e">
        <f>AND(#REF!,"AAAAAFn4f6U=")</f>
        <v>#REF!</v>
      </c>
      <c r="FK357" t="e">
        <f>AND(#REF!,"AAAAAFn4f6Y=")</f>
        <v>#REF!</v>
      </c>
      <c r="FL357" t="e">
        <f>AND(#REF!,"AAAAAFn4f6c=")</f>
        <v>#REF!</v>
      </c>
      <c r="FM357" t="e">
        <f>AND(#REF!,"AAAAAFn4f6g=")</f>
        <v>#REF!</v>
      </c>
      <c r="FN357" t="e">
        <f>AND(#REF!,"AAAAAFn4f6k=")</f>
        <v>#REF!</v>
      </c>
      <c r="FO357" t="e">
        <f>AND(#REF!,"AAAAAFn4f6o=")</f>
        <v>#REF!</v>
      </c>
      <c r="FP357" t="e">
        <f>AND(#REF!,"AAAAAFn4f6s=")</f>
        <v>#REF!</v>
      </c>
      <c r="FQ357" t="e">
        <f>AND(#REF!,"AAAAAFn4f6w=")</f>
        <v>#REF!</v>
      </c>
      <c r="FR357" t="e">
        <f>AND(#REF!,"AAAAAFn4f60=")</f>
        <v>#REF!</v>
      </c>
      <c r="FS357" t="e">
        <f>IF(#REF!,"AAAAAFn4f64=",0)</f>
        <v>#REF!</v>
      </c>
      <c r="FT357" t="e">
        <f>AND(#REF!,"AAAAAFn4f68=")</f>
        <v>#REF!</v>
      </c>
      <c r="FU357" t="e">
        <f>AND(#REF!,"AAAAAFn4f7A=")</f>
        <v>#REF!</v>
      </c>
      <c r="FV357" t="e">
        <f>AND(#REF!,"AAAAAFn4f7E=")</f>
        <v>#REF!</v>
      </c>
      <c r="FW357" t="e">
        <f>AND(#REF!,"AAAAAFn4f7I=")</f>
        <v>#REF!</v>
      </c>
      <c r="FX357" t="e">
        <f>AND(#REF!,"AAAAAFn4f7M=")</f>
        <v>#REF!</v>
      </c>
      <c r="FY357" t="e">
        <f>AND(#REF!,"AAAAAFn4f7Q=")</f>
        <v>#REF!</v>
      </c>
      <c r="FZ357" t="e">
        <f>AND(#REF!,"AAAAAFn4f7U=")</f>
        <v>#REF!</v>
      </c>
      <c r="GA357" t="e">
        <f>AND(#REF!,"AAAAAFn4f7Y=")</f>
        <v>#REF!</v>
      </c>
      <c r="GB357" t="e">
        <f>AND(#REF!,"AAAAAFn4f7c=")</f>
        <v>#REF!</v>
      </c>
      <c r="GC357" t="e">
        <f>AND(#REF!,"AAAAAFn4f7g=")</f>
        <v>#REF!</v>
      </c>
      <c r="GD357" t="e">
        <f>AND(#REF!,"AAAAAFn4f7k=")</f>
        <v>#REF!</v>
      </c>
      <c r="GE357" t="e">
        <f>AND(#REF!,"AAAAAFn4f7o=")</f>
        <v>#REF!</v>
      </c>
      <c r="GF357" t="e">
        <f>AND(#REF!,"AAAAAFn4f7s=")</f>
        <v>#REF!</v>
      </c>
      <c r="GG357" t="e">
        <f>AND(#REF!,"AAAAAFn4f7w=")</f>
        <v>#REF!</v>
      </c>
      <c r="GH357" t="e">
        <f>AND(#REF!,"AAAAAFn4f70=")</f>
        <v>#REF!</v>
      </c>
      <c r="GI357" t="e">
        <f>AND(#REF!,"AAAAAFn4f74=")</f>
        <v>#REF!</v>
      </c>
      <c r="GJ357" t="e">
        <f>AND(#REF!,"AAAAAFn4f78=")</f>
        <v>#REF!</v>
      </c>
      <c r="GK357" t="e">
        <f>AND(#REF!,"AAAAAFn4f8A=")</f>
        <v>#REF!</v>
      </c>
      <c r="GL357" t="e">
        <f>AND(#REF!,"AAAAAFn4f8E=")</f>
        <v>#REF!</v>
      </c>
      <c r="GM357" t="e">
        <f>AND(#REF!,"AAAAAFn4f8I=")</f>
        <v>#REF!</v>
      </c>
      <c r="GN357" t="e">
        <f>AND(#REF!,"AAAAAFn4f8M=")</f>
        <v>#REF!</v>
      </c>
      <c r="GO357" t="e">
        <f>AND(#REF!,"AAAAAFn4f8Q=")</f>
        <v>#REF!</v>
      </c>
      <c r="GP357" t="e">
        <f>AND(#REF!,"AAAAAFn4f8U=")</f>
        <v>#REF!</v>
      </c>
      <c r="GQ357" t="e">
        <f>AND(#REF!,"AAAAAFn4f8Y=")</f>
        <v>#REF!</v>
      </c>
      <c r="GR357" t="e">
        <f>IF(#REF!,"AAAAAFn4f8c=",0)</f>
        <v>#REF!</v>
      </c>
      <c r="GS357" t="e">
        <f>AND(#REF!,"AAAAAFn4f8g=")</f>
        <v>#REF!</v>
      </c>
      <c r="GT357" t="e">
        <f>AND(#REF!,"AAAAAFn4f8k=")</f>
        <v>#REF!</v>
      </c>
      <c r="GU357" t="e">
        <f>AND(#REF!,"AAAAAFn4f8o=")</f>
        <v>#REF!</v>
      </c>
      <c r="GV357" t="e">
        <f>AND(#REF!,"AAAAAFn4f8s=")</f>
        <v>#REF!</v>
      </c>
      <c r="GW357" t="e">
        <f>AND(#REF!,"AAAAAFn4f8w=")</f>
        <v>#REF!</v>
      </c>
      <c r="GX357" t="e">
        <f>AND(#REF!,"AAAAAFn4f80=")</f>
        <v>#REF!</v>
      </c>
      <c r="GY357" t="e">
        <f>AND(#REF!,"AAAAAFn4f84=")</f>
        <v>#REF!</v>
      </c>
      <c r="GZ357" t="e">
        <f>AND(#REF!,"AAAAAFn4f88=")</f>
        <v>#REF!</v>
      </c>
      <c r="HA357" t="e">
        <f>AND(#REF!,"AAAAAFn4f9A=")</f>
        <v>#REF!</v>
      </c>
      <c r="HB357" t="e">
        <f>AND(#REF!,"AAAAAFn4f9E=")</f>
        <v>#REF!</v>
      </c>
      <c r="HC357" t="e">
        <f>AND(#REF!,"AAAAAFn4f9I=")</f>
        <v>#REF!</v>
      </c>
      <c r="HD357" t="e">
        <f>AND(#REF!,"AAAAAFn4f9M=")</f>
        <v>#REF!</v>
      </c>
      <c r="HE357" t="e">
        <f>AND(#REF!,"AAAAAFn4f9Q=")</f>
        <v>#REF!</v>
      </c>
      <c r="HF357" t="e">
        <f>AND(#REF!,"AAAAAFn4f9U=")</f>
        <v>#REF!</v>
      </c>
      <c r="HG357" t="e">
        <f>AND(#REF!,"AAAAAFn4f9Y=")</f>
        <v>#REF!</v>
      </c>
      <c r="HH357" t="e">
        <f>AND(#REF!,"AAAAAFn4f9c=")</f>
        <v>#REF!</v>
      </c>
      <c r="HI357" t="e">
        <f>AND(#REF!,"AAAAAFn4f9g=")</f>
        <v>#REF!</v>
      </c>
      <c r="HJ357" t="e">
        <f>AND(#REF!,"AAAAAFn4f9k=")</f>
        <v>#REF!</v>
      </c>
      <c r="HK357" t="e">
        <f>AND(#REF!,"AAAAAFn4f9o=")</f>
        <v>#REF!</v>
      </c>
      <c r="HL357" t="e">
        <f>AND(#REF!,"AAAAAFn4f9s=")</f>
        <v>#REF!</v>
      </c>
      <c r="HM357" t="e">
        <f>AND(#REF!,"AAAAAFn4f9w=")</f>
        <v>#REF!</v>
      </c>
      <c r="HN357" t="e">
        <f>AND(#REF!,"AAAAAFn4f90=")</f>
        <v>#REF!</v>
      </c>
      <c r="HO357" t="e">
        <f>AND(#REF!,"AAAAAFn4f94=")</f>
        <v>#REF!</v>
      </c>
      <c r="HP357" t="e">
        <f>AND(#REF!,"AAAAAFn4f98=")</f>
        <v>#REF!</v>
      </c>
      <c r="HQ357" t="e">
        <f>IF(#REF!,"AAAAAFn4f+A=",0)</f>
        <v>#REF!</v>
      </c>
      <c r="HR357" t="e">
        <f>AND(#REF!,"AAAAAFn4f+E=")</f>
        <v>#REF!</v>
      </c>
      <c r="HS357" t="e">
        <f>AND(#REF!,"AAAAAFn4f+I=")</f>
        <v>#REF!</v>
      </c>
      <c r="HT357" t="e">
        <f>AND(#REF!,"AAAAAFn4f+M=")</f>
        <v>#REF!</v>
      </c>
      <c r="HU357" t="e">
        <f>AND(#REF!,"AAAAAFn4f+Q=")</f>
        <v>#REF!</v>
      </c>
      <c r="HV357" t="e">
        <f>AND(#REF!,"AAAAAFn4f+U=")</f>
        <v>#REF!</v>
      </c>
      <c r="HW357" t="e">
        <f>AND(#REF!,"AAAAAFn4f+Y=")</f>
        <v>#REF!</v>
      </c>
      <c r="HX357" t="e">
        <f>AND(#REF!,"AAAAAFn4f+c=")</f>
        <v>#REF!</v>
      </c>
      <c r="HY357" t="e">
        <f>AND(#REF!,"AAAAAFn4f+g=")</f>
        <v>#REF!</v>
      </c>
      <c r="HZ357" t="e">
        <f>AND(#REF!,"AAAAAFn4f+k=")</f>
        <v>#REF!</v>
      </c>
      <c r="IA357" t="e">
        <f>AND(#REF!,"AAAAAFn4f+o=")</f>
        <v>#REF!</v>
      </c>
      <c r="IB357" t="e">
        <f>AND(#REF!,"AAAAAFn4f+s=")</f>
        <v>#REF!</v>
      </c>
      <c r="IC357" t="e">
        <f>AND(#REF!,"AAAAAFn4f+w=")</f>
        <v>#REF!</v>
      </c>
      <c r="ID357" t="e">
        <f>AND(#REF!,"AAAAAFn4f+0=")</f>
        <v>#REF!</v>
      </c>
      <c r="IE357" t="e">
        <f>AND(#REF!,"AAAAAFn4f+4=")</f>
        <v>#REF!</v>
      </c>
      <c r="IF357" t="e">
        <f>AND(#REF!,"AAAAAFn4f+8=")</f>
        <v>#REF!</v>
      </c>
      <c r="IG357" t="e">
        <f>AND(#REF!,"AAAAAFn4f/A=")</f>
        <v>#REF!</v>
      </c>
      <c r="IH357" t="e">
        <f>AND(#REF!,"AAAAAFn4f/E=")</f>
        <v>#REF!</v>
      </c>
      <c r="II357" t="e">
        <f>AND(#REF!,"AAAAAFn4f/I=")</f>
        <v>#REF!</v>
      </c>
      <c r="IJ357" t="e">
        <f>AND(#REF!,"AAAAAFn4f/M=")</f>
        <v>#REF!</v>
      </c>
      <c r="IK357" t="e">
        <f>AND(#REF!,"AAAAAFn4f/Q=")</f>
        <v>#REF!</v>
      </c>
      <c r="IL357" t="e">
        <f>AND(#REF!,"AAAAAFn4f/U=")</f>
        <v>#REF!</v>
      </c>
      <c r="IM357" t="e">
        <f>AND(#REF!,"AAAAAFn4f/Y=")</f>
        <v>#REF!</v>
      </c>
      <c r="IN357" t="e">
        <f>AND(#REF!,"AAAAAFn4f/c=")</f>
        <v>#REF!</v>
      </c>
      <c r="IO357" t="e">
        <f>AND(#REF!,"AAAAAFn4f/g=")</f>
        <v>#REF!</v>
      </c>
      <c r="IP357" t="e">
        <f>IF(#REF!,"AAAAAFn4f/k=",0)</f>
        <v>#REF!</v>
      </c>
      <c r="IQ357" t="e">
        <f>AND(#REF!,"AAAAAFn4f/o=")</f>
        <v>#REF!</v>
      </c>
      <c r="IR357" t="e">
        <f>AND(#REF!,"AAAAAFn4f/s=")</f>
        <v>#REF!</v>
      </c>
      <c r="IS357" t="e">
        <f>AND(#REF!,"AAAAAFn4f/w=")</f>
        <v>#REF!</v>
      </c>
      <c r="IT357" t="e">
        <f>AND(#REF!,"AAAAAFn4f/0=")</f>
        <v>#REF!</v>
      </c>
      <c r="IU357" t="e">
        <f>AND(#REF!,"AAAAAFn4f/4=")</f>
        <v>#REF!</v>
      </c>
      <c r="IV357" t="e">
        <f>AND(#REF!,"AAAAAFn4f/8=")</f>
        <v>#REF!</v>
      </c>
    </row>
    <row r="358" spans="1:256">
      <c r="A358" t="e">
        <f>AND(#REF!,"AAAAAHf/4QA=")</f>
        <v>#REF!</v>
      </c>
      <c r="B358" t="e">
        <f>AND(#REF!,"AAAAAHf/4QE=")</f>
        <v>#REF!</v>
      </c>
      <c r="C358" t="e">
        <f>AND(#REF!,"AAAAAHf/4QI=")</f>
        <v>#REF!</v>
      </c>
      <c r="D358" t="e">
        <f>AND(#REF!,"AAAAAHf/4QM=")</f>
        <v>#REF!</v>
      </c>
      <c r="E358" t="e">
        <f>AND(#REF!,"AAAAAHf/4QQ=")</f>
        <v>#REF!</v>
      </c>
      <c r="F358" t="e">
        <f>AND(#REF!,"AAAAAHf/4QU=")</f>
        <v>#REF!</v>
      </c>
      <c r="G358" t="e">
        <f>AND(#REF!,"AAAAAHf/4QY=")</f>
        <v>#REF!</v>
      </c>
      <c r="H358" t="e">
        <f>AND(#REF!,"AAAAAHf/4Qc=")</f>
        <v>#REF!</v>
      </c>
      <c r="I358" t="e">
        <f>AND(#REF!,"AAAAAHf/4Qg=")</f>
        <v>#REF!</v>
      </c>
      <c r="J358" t="e">
        <f>AND(#REF!,"AAAAAHf/4Qk=")</f>
        <v>#REF!</v>
      </c>
      <c r="K358" t="e">
        <f>AND(#REF!,"AAAAAHf/4Qo=")</f>
        <v>#REF!</v>
      </c>
      <c r="L358" t="e">
        <f>AND(#REF!,"AAAAAHf/4Qs=")</f>
        <v>#REF!</v>
      </c>
      <c r="M358" t="e">
        <f>AND(#REF!,"AAAAAHf/4Qw=")</f>
        <v>#REF!</v>
      </c>
      <c r="N358" t="e">
        <f>AND(#REF!,"AAAAAHf/4Q0=")</f>
        <v>#REF!</v>
      </c>
      <c r="O358" t="e">
        <f>AND(#REF!,"AAAAAHf/4Q4=")</f>
        <v>#REF!</v>
      </c>
      <c r="P358" t="e">
        <f>AND(#REF!,"AAAAAHf/4Q8=")</f>
        <v>#REF!</v>
      </c>
      <c r="Q358" t="e">
        <f>AND(#REF!,"AAAAAHf/4RA=")</f>
        <v>#REF!</v>
      </c>
      <c r="R358" t="e">
        <f>AND(#REF!,"AAAAAHf/4RE=")</f>
        <v>#REF!</v>
      </c>
      <c r="S358" t="e">
        <f>IF(#REF!,"AAAAAHf/4RI=",0)</f>
        <v>#REF!</v>
      </c>
      <c r="T358" t="e">
        <f>AND(#REF!,"AAAAAHf/4RM=")</f>
        <v>#REF!</v>
      </c>
      <c r="U358" t="e">
        <f>AND(#REF!,"AAAAAHf/4RQ=")</f>
        <v>#REF!</v>
      </c>
      <c r="V358" t="e">
        <f>AND(#REF!,"AAAAAHf/4RU=")</f>
        <v>#REF!</v>
      </c>
      <c r="W358" t="e">
        <f>AND(#REF!,"AAAAAHf/4RY=")</f>
        <v>#REF!</v>
      </c>
      <c r="X358" t="e">
        <f>AND(#REF!,"AAAAAHf/4Rc=")</f>
        <v>#REF!</v>
      </c>
      <c r="Y358" t="e">
        <f>AND(#REF!,"AAAAAHf/4Rg=")</f>
        <v>#REF!</v>
      </c>
      <c r="Z358" t="e">
        <f>AND(#REF!,"AAAAAHf/4Rk=")</f>
        <v>#REF!</v>
      </c>
      <c r="AA358" t="e">
        <f>AND(#REF!,"AAAAAHf/4Ro=")</f>
        <v>#REF!</v>
      </c>
      <c r="AB358" t="e">
        <f>AND(#REF!,"AAAAAHf/4Rs=")</f>
        <v>#REF!</v>
      </c>
      <c r="AC358" t="e">
        <f>AND(#REF!,"AAAAAHf/4Rw=")</f>
        <v>#REF!</v>
      </c>
      <c r="AD358" t="e">
        <f>AND(#REF!,"AAAAAHf/4R0=")</f>
        <v>#REF!</v>
      </c>
      <c r="AE358" t="e">
        <f>AND(#REF!,"AAAAAHf/4R4=")</f>
        <v>#REF!</v>
      </c>
      <c r="AF358" t="e">
        <f>AND(#REF!,"AAAAAHf/4R8=")</f>
        <v>#REF!</v>
      </c>
      <c r="AG358" t="e">
        <f>AND(#REF!,"AAAAAHf/4SA=")</f>
        <v>#REF!</v>
      </c>
      <c r="AH358" t="e">
        <f>AND(#REF!,"AAAAAHf/4SE=")</f>
        <v>#REF!</v>
      </c>
      <c r="AI358" t="e">
        <f>AND(#REF!,"AAAAAHf/4SI=")</f>
        <v>#REF!</v>
      </c>
      <c r="AJ358" t="e">
        <f>AND(#REF!,"AAAAAHf/4SM=")</f>
        <v>#REF!</v>
      </c>
      <c r="AK358" t="e">
        <f>AND(#REF!,"AAAAAHf/4SQ=")</f>
        <v>#REF!</v>
      </c>
      <c r="AL358" t="e">
        <f>AND(#REF!,"AAAAAHf/4SU=")</f>
        <v>#REF!</v>
      </c>
      <c r="AM358" t="e">
        <f>AND(#REF!,"AAAAAHf/4SY=")</f>
        <v>#REF!</v>
      </c>
      <c r="AN358" t="e">
        <f>AND(#REF!,"AAAAAHf/4Sc=")</f>
        <v>#REF!</v>
      </c>
      <c r="AO358" t="e">
        <f>AND(#REF!,"AAAAAHf/4Sg=")</f>
        <v>#REF!</v>
      </c>
      <c r="AP358" t="e">
        <f>AND(#REF!,"AAAAAHf/4Sk=")</f>
        <v>#REF!</v>
      </c>
      <c r="AQ358" t="e">
        <f>AND(#REF!,"AAAAAHf/4So=")</f>
        <v>#REF!</v>
      </c>
      <c r="AR358" t="e">
        <f>IF(#REF!,"AAAAAHf/4Ss=",0)</f>
        <v>#REF!</v>
      </c>
      <c r="AS358" t="e">
        <f>AND(#REF!,"AAAAAHf/4Sw=")</f>
        <v>#REF!</v>
      </c>
      <c r="AT358" t="e">
        <f>AND(#REF!,"AAAAAHf/4S0=")</f>
        <v>#REF!</v>
      </c>
      <c r="AU358" t="e">
        <f>AND(#REF!,"AAAAAHf/4S4=")</f>
        <v>#REF!</v>
      </c>
      <c r="AV358" t="e">
        <f>AND(#REF!,"AAAAAHf/4S8=")</f>
        <v>#REF!</v>
      </c>
      <c r="AW358" t="e">
        <f>AND(#REF!,"AAAAAHf/4TA=")</f>
        <v>#REF!</v>
      </c>
      <c r="AX358" t="e">
        <f>AND(#REF!,"AAAAAHf/4TE=")</f>
        <v>#REF!</v>
      </c>
      <c r="AY358" t="e">
        <f>AND(#REF!,"AAAAAHf/4TI=")</f>
        <v>#REF!</v>
      </c>
      <c r="AZ358" t="e">
        <f>AND(#REF!,"AAAAAHf/4TM=")</f>
        <v>#REF!</v>
      </c>
      <c r="BA358" t="e">
        <f>AND(#REF!,"AAAAAHf/4TQ=")</f>
        <v>#REF!</v>
      </c>
      <c r="BB358" t="e">
        <f>AND(#REF!,"AAAAAHf/4TU=")</f>
        <v>#REF!</v>
      </c>
      <c r="BC358" t="e">
        <f>AND(#REF!,"AAAAAHf/4TY=")</f>
        <v>#REF!</v>
      </c>
      <c r="BD358" t="e">
        <f>AND(#REF!,"AAAAAHf/4Tc=")</f>
        <v>#REF!</v>
      </c>
      <c r="BE358" t="e">
        <f>AND(#REF!,"AAAAAHf/4Tg=")</f>
        <v>#REF!</v>
      </c>
      <c r="BF358" t="e">
        <f>AND(#REF!,"AAAAAHf/4Tk=")</f>
        <v>#REF!</v>
      </c>
      <c r="BG358" t="e">
        <f>AND(#REF!,"AAAAAHf/4To=")</f>
        <v>#REF!</v>
      </c>
      <c r="BH358" t="e">
        <f>AND(#REF!,"AAAAAHf/4Ts=")</f>
        <v>#REF!</v>
      </c>
      <c r="BI358" t="e">
        <f>AND(#REF!,"AAAAAHf/4Tw=")</f>
        <v>#REF!</v>
      </c>
      <c r="BJ358" t="e">
        <f>AND(#REF!,"AAAAAHf/4T0=")</f>
        <v>#REF!</v>
      </c>
      <c r="BK358" t="e">
        <f>AND(#REF!,"AAAAAHf/4T4=")</f>
        <v>#REF!</v>
      </c>
      <c r="BL358" t="e">
        <f>AND(#REF!,"AAAAAHf/4T8=")</f>
        <v>#REF!</v>
      </c>
      <c r="BM358" t="e">
        <f>AND(#REF!,"AAAAAHf/4UA=")</f>
        <v>#REF!</v>
      </c>
      <c r="BN358" t="e">
        <f>AND(#REF!,"AAAAAHf/4UE=")</f>
        <v>#REF!</v>
      </c>
      <c r="BO358" t="e">
        <f>AND(#REF!,"AAAAAHf/4UI=")</f>
        <v>#REF!</v>
      </c>
      <c r="BP358" t="e">
        <f>AND(#REF!,"AAAAAHf/4UM=")</f>
        <v>#REF!</v>
      </c>
      <c r="BQ358" t="e">
        <f>IF(#REF!,"AAAAAHf/4UQ=",0)</f>
        <v>#REF!</v>
      </c>
      <c r="BR358" t="e">
        <f>AND(#REF!,"AAAAAHf/4UU=")</f>
        <v>#REF!</v>
      </c>
      <c r="BS358" t="e">
        <f>AND(#REF!,"AAAAAHf/4UY=")</f>
        <v>#REF!</v>
      </c>
      <c r="BT358" t="e">
        <f>AND(#REF!,"AAAAAHf/4Uc=")</f>
        <v>#REF!</v>
      </c>
      <c r="BU358" t="e">
        <f>AND(#REF!,"AAAAAHf/4Ug=")</f>
        <v>#REF!</v>
      </c>
      <c r="BV358" t="e">
        <f>AND(#REF!,"AAAAAHf/4Uk=")</f>
        <v>#REF!</v>
      </c>
      <c r="BW358" t="e">
        <f>AND(#REF!,"AAAAAHf/4Uo=")</f>
        <v>#REF!</v>
      </c>
      <c r="BX358" t="e">
        <f>AND(#REF!,"AAAAAHf/4Us=")</f>
        <v>#REF!</v>
      </c>
      <c r="BY358" t="e">
        <f>AND(#REF!,"AAAAAHf/4Uw=")</f>
        <v>#REF!</v>
      </c>
      <c r="BZ358" t="e">
        <f>AND(#REF!,"AAAAAHf/4U0=")</f>
        <v>#REF!</v>
      </c>
      <c r="CA358" t="e">
        <f>AND(#REF!,"AAAAAHf/4U4=")</f>
        <v>#REF!</v>
      </c>
      <c r="CB358" t="e">
        <f>AND(#REF!,"AAAAAHf/4U8=")</f>
        <v>#REF!</v>
      </c>
      <c r="CC358" t="e">
        <f>AND(#REF!,"AAAAAHf/4VA=")</f>
        <v>#REF!</v>
      </c>
      <c r="CD358" t="e">
        <f>AND(#REF!,"AAAAAHf/4VE=")</f>
        <v>#REF!</v>
      </c>
      <c r="CE358" t="e">
        <f>AND(#REF!,"AAAAAHf/4VI=")</f>
        <v>#REF!</v>
      </c>
      <c r="CF358" t="e">
        <f>AND(#REF!,"AAAAAHf/4VM=")</f>
        <v>#REF!</v>
      </c>
      <c r="CG358" t="e">
        <f>AND(#REF!,"AAAAAHf/4VQ=")</f>
        <v>#REF!</v>
      </c>
      <c r="CH358" t="e">
        <f>AND(#REF!,"AAAAAHf/4VU=")</f>
        <v>#REF!</v>
      </c>
      <c r="CI358" t="e">
        <f>AND(#REF!,"AAAAAHf/4VY=")</f>
        <v>#REF!</v>
      </c>
      <c r="CJ358" t="e">
        <f>AND(#REF!,"AAAAAHf/4Vc=")</f>
        <v>#REF!</v>
      </c>
      <c r="CK358" t="e">
        <f>AND(#REF!,"AAAAAHf/4Vg=")</f>
        <v>#REF!</v>
      </c>
      <c r="CL358" t="e">
        <f>AND(#REF!,"AAAAAHf/4Vk=")</f>
        <v>#REF!</v>
      </c>
      <c r="CM358" t="e">
        <f>AND(#REF!,"AAAAAHf/4Vo=")</f>
        <v>#REF!</v>
      </c>
      <c r="CN358" t="e">
        <f>AND(#REF!,"AAAAAHf/4Vs=")</f>
        <v>#REF!</v>
      </c>
      <c r="CO358" t="e">
        <f>AND(#REF!,"AAAAAHf/4Vw=")</f>
        <v>#REF!</v>
      </c>
      <c r="CP358" t="e">
        <f>IF(#REF!,"AAAAAHf/4V0=",0)</f>
        <v>#REF!</v>
      </c>
      <c r="CQ358" t="e">
        <f>AND(#REF!,"AAAAAHf/4V4=")</f>
        <v>#REF!</v>
      </c>
      <c r="CR358" t="e">
        <f>AND(#REF!,"AAAAAHf/4V8=")</f>
        <v>#REF!</v>
      </c>
      <c r="CS358" t="e">
        <f>AND(#REF!,"AAAAAHf/4WA=")</f>
        <v>#REF!</v>
      </c>
      <c r="CT358" t="e">
        <f>AND(#REF!,"AAAAAHf/4WE=")</f>
        <v>#REF!</v>
      </c>
      <c r="CU358" t="e">
        <f>AND(#REF!,"AAAAAHf/4WI=")</f>
        <v>#REF!</v>
      </c>
      <c r="CV358" t="e">
        <f>AND(#REF!,"AAAAAHf/4WM=")</f>
        <v>#REF!</v>
      </c>
      <c r="CW358" t="e">
        <f>AND(#REF!,"AAAAAHf/4WQ=")</f>
        <v>#REF!</v>
      </c>
      <c r="CX358" t="e">
        <f>AND(#REF!,"AAAAAHf/4WU=")</f>
        <v>#REF!</v>
      </c>
      <c r="CY358" t="e">
        <f>AND(#REF!,"AAAAAHf/4WY=")</f>
        <v>#REF!</v>
      </c>
      <c r="CZ358" t="e">
        <f>AND(#REF!,"AAAAAHf/4Wc=")</f>
        <v>#REF!</v>
      </c>
      <c r="DA358" t="e">
        <f>AND(#REF!,"AAAAAHf/4Wg=")</f>
        <v>#REF!</v>
      </c>
      <c r="DB358" t="e">
        <f>AND(#REF!,"AAAAAHf/4Wk=")</f>
        <v>#REF!</v>
      </c>
      <c r="DC358" t="e">
        <f>AND(#REF!,"AAAAAHf/4Wo=")</f>
        <v>#REF!</v>
      </c>
      <c r="DD358" t="e">
        <f>AND(#REF!,"AAAAAHf/4Ws=")</f>
        <v>#REF!</v>
      </c>
      <c r="DE358" t="e">
        <f>AND(#REF!,"AAAAAHf/4Ww=")</f>
        <v>#REF!</v>
      </c>
      <c r="DF358" t="e">
        <f>AND(#REF!,"AAAAAHf/4W0=")</f>
        <v>#REF!</v>
      </c>
      <c r="DG358" t="e">
        <f>AND(#REF!,"AAAAAHf/4W4=")</f>
        <v>#REF!</v>
      </c>
      <c r="DH358" t="e">
        <f>AND(#REF!,"AAAAAHf/4W8=")</f>
        <v>#REF!</v>
      </c>
      <c r="DI358" t="e">
        <f>AND(#REF!,"AAAAAHf/4XA=")</f>
        <v>#REF!</v>
      </c>
      <c r="DJ358" t="e">
        <f>AND(#REF!,"AAAAAHf/4XE=")</f>
        <v>#REF!</v>
      </c>
      <c r="DK358" t="e">
        <f>AND(#REF!,"AAAAAHf/4XI=")</f>
        <v>#REF!</v>
      </c>
      <c r="DL358" t="e">
        <f>AND(#REF!,"AAAAAHf/4XM=")</f>
        <v>#REF!</v>
      </c>
      <c r="DM358" t="e">
        <f>AND(#REF!,"AAAAAHf/4XQ=")</f>
        <v>#REF!</v>
      </c>
      <c r="DN358" t="e">
        <f>AND(#REF!,"AAAAAHf/4XU=")</f>
        <v>#REF!</v>
      </c>
      <c r="DO358" t="e">
        <f>IF(#REF!,"AAAAAHf/4XY=",0)</f>
        <v>#REF!</v>
      </c>
      <c r="DP358" t="e">
        <f>AND(#REF!,"AAAAAHf/4Xc=")</f>
        <v>#REF!</v>
      </c>
      <c r="DQ358" t="e">
        <f>AND(#REF!,"AAAAAHf/4Xg=")</f>
        <v>#REF!</v>
      </c>
      <c r="DR358" t="e">
        <f>AND(#REF!,"AAAAAHf/4Xk=")</f>
        <v>#REF!</v>
      </c>
      <c r="DS358" t="e">
        <f>AND(#REF!,"AAAAAHf/4Xo=")</f>
        <v>#REF!</v>
      </c>
      <c r="DT358" t="e">
        <f>AND(#REF!,"AAAAAHf/4Xs=")</f>
        <v>#REF!</v>
      </c>
      <c r="DU358" t="e">
        <f>AND(#REF!,"AAAAAHf/4Xw=")</f>
        <v>#REF!</v>
      </c>
      <c r="DV358" t="e">
        <f>AND(#REF!,"AAAAAHf/4X0=")</f>
        <v>#REF!</v>
      </c>
      <c r="DW358" t="e">
        <f>AND(#REF!,"AAAAAHf/4X4=")</f>
        <v>#REF!</v>
      </c>
      <c r="DX358" t="e">
        <f>AND(#REF!,"AAAAAHf/4X8=")</f>
        <v>#REF!</v>
      </c>
      <c r="DY358" t="e">
        <f>AND(#REF!,"AAAAAHf/4YA=")</f>
        <v>#REF!</v>
      </c>
      <c r="DZ358" t="e">
        <f>AND(#REF!,"AAAAAHf/4YE=")</f>
        <v>#REF!</v>
      </c>
      <c r="EA358" t="e">
        <f>AND(#REF!,"AAAAAHf/4YI=")</f>
        <v>#REF!</v>
      </c>
      <c r="EB358" t="e">
        <f>AND(#REF!,"AAAAAHf/4YM=")</f>
        <v>#REF!</v>
      </c>
      <c r="EC358" t="e">
        <f>AND(#REF!,"AAAAAHf/4YQ=")</f>
        <v>#REF!</v>
      </c>
      <c r="ED358" t="e">
        <f>AND(#REF!,"AAAAAHf/4YU=")</f>
        <v>#REF!</v>
      </c>
      <c r="EE358" t="e">
        <f>AND(#REF!,"AAAAAHf/4YY=")</f>
        <v>#REF!</v>
      </c>
      <c r="EF358" t="e">
        <f>AND(#REF!,"AAAAAHf/4Yc=")</f>
        <v>#REF!</v>
      </c>
      <c r="EG358" t="e">
        <f>AND(#REF!,"AAAAAHf/4Yg=")</f>
        <v>#REF!</v>
      </c>
      <c r="EH358" t="e">
        <f>AND(#REF!,"AAAAAHf/4Yk=")</f>
        <v>#REF!</v>
      </c>
      <c r="EI358" t="e">
        <f>AND(#REF!,"AAAAAHf/4Yo=")</f>
        <v>#REF!</v>
      </c>
      <c r="EJ358" t="e">
        <f>AND(#REF!,"AAAAAHf/4Ys=")</f>
        <v>#REF!</v>
      </c>
      <c r="EK358" t="e">
        <f>AND(#REF!,"AAAAAHf/4Yw=")</f>
        <v>#REF!</v>
      </c>
      <c r="EL358" t="e">
        <f>AND(#REF!,"AAAAAHf/4Y0=")</f>
        <v>#REF!</v>
      </c>
      <c r="EM358" t="e">
        <f>AND(#REF!,"AAAAAHf/4Y4=")</f>
        <v>#REF!</v>
      </c>
      <c r="EN358" t="e">
        <f>IF(#REF!,"AAAAAHf/4Y8=",0)</f>
        <v>#REF!</v>
      </c>
      <c r="EO358" t="e">
        <f>AND(#REF!,"AAAAAHf/4ZA=")</f>
        <v>#REF!</v>
      </c>
      <c r="EP358" t="e">
        <f>AND(#REF!,"AAAAAHf/4ZE=")</f>
        <v>#REF!</v>
      </c>
      <c r="EQ358" t="e">
        <f>AND(#REF!,"AAAAAHf/4ZI=")</f>
        <v>#REF!</v>
      </c>
      <c r="ER358" t="e">
        <f>AND(#REF!,"AAAAAHf/4ZM=")</f>
        <v>#REF!</v>
      </c>
      <c r="ES358" t="e">
        <f>AND(#REF!,"AAAAAHf/4ZQ=")</f>
        <v>#REF!</v>
      </c>
      <c r="ET358" t="e">
        <f>AND(#REF!,"AAAAAHf/4ZU=")</f>
        <v>#REF!</v>
      </c>
      <c r="EU358" t="e">
        <f>AND(#REF!,"AAAAAHf/4ZY=")</f>
        <v>#REF!</v>
      </c>
      <c r="EV358" t="e">
        <f>AND(#REF!,"AAAAAHf/4Zc=")</f>
        <v>#REF!</v>
      </c>
      <c r="EW358" t="e">
        <f>AND(#REF!,"AAAAAHf/4Zg=")</f>
        <v>#REF!</v>
      </c>
      <c r="EX358" t="e">
        <f>AND(#REF!,"AAAAAHf/4Zk=")</f>
        <v>#REF!</v>
      </c>
      <c r="EY358" t="e">
        <f>AND(#REF!,"AAAAAHf/4Zo=")</f>
        <v>#REF!</v>
      </c>
      <c r="EZ358" t="e">
        <f>AND(#REF!,"AAAAAHf/4Zs=")</f>
        <v>#REF!</v>
      </c>
      <c r="FA358" t="e">
        <f>AND(#REF!,"AAAAAHf/4Zw=")</f>
        <v>#REF!</v>
      </c>
      <c r="FB358" t="e">
        <f>AND(#REF!,"AAAAAHf/4Z0=")</f>
        <v>#REF!</v>
      </c>
      <c r="FC358" t="e">
        <f>AND(#REF!,"AAAAAHf/4Z4=")</f>
        <v>#REF!</v>
      </c>
      <c r="FD358" t="e">
        <f>AND(#REF!,"AAAAAHf/4Z8=")</f>
        <v>#REF!</v>
      </c>
      <c r="FE358" t="e">
        <f>AND(#REF!,"AAAAAHf/4aA=")</f>
        <v>#REF!</v>
      </c>
      <c r="FF358" t="e">
        <f>AND(#REF!,"AAAAAHf/4aE=")</f>
        <v>#REF!</v>
      </c>
      <c r="FG358" t="e">
        <f>AND(#REF!,"AAAAAHf/4aI=")</f>
        <v>#REF!</v>
      </c>
      <c r="FH358" t="e">
        <f>AND(#REF!,"AAAAAHf/4aM=")</f>
        <v>#REF!</v>
      </c>
      <c r="FI358" t="e">
        <f>AND(#REF!,"AAAAAHf/4aQ=")</f>
        <v>#REF!</v>
      </c>
      <c r="FJ358" t="e">
        <f>AND(#REF!,"AAAAAHf/4aU=")</f>
        <v>#REF!</v>
      </c>
      <c r="FK358" t="e">
        <f>AND(#REF!,"AAAAAHf/4aY=")</f>
        <v>#REF!</v>
      </c>
      <c r="FL358" t="e">
        <f>AND(#REF!,"AAAAAHf/4ac=")</f>
        <v>#REF!</v>
      </c>
      <c r="FM358" t="e">
        <f>IF(#REF!,"AAAAAHf/4ag=",0)</f>
        <v>#REF!</v>
      </c>
      <c r="FN358" t="e">
        <f>AND(#REF!,"AAAAAHf/4ak=")</f>
        <v>#REF!</v>
      </c>
      <c r="FO358" t="e">
        <f>AND(#REF!,"AAAAAHf/4ao=")</f>
        <v>#REF!</v>
      </c>
      <c r="FP358" t="e">
        <f>AND(#REF!,"AAAAAHf/4as=")</f>
        <v>#REF!</v>
      </c>
      <c r="FQ358" t="e">
        <f>AND(#REF!,"AAAAAHf/4aw=")</f>
        <v>#REF!</v>
      </c>
      <c r="FR358" t="e">
        <f>AND(#REF!,"AAAAAHf/4a0=")</f>
        <v>#REF!</v>
      </c>
      <c r="FS358" t="e">
        <f>AND(#REF!,"AAAAAHf/4a4=")</f>
        <v>#REF!</v>
      </c>
      <c r="FT358" t="e">
        <f>AND(#REF!,"AAAAAHf/4a8=")</f>
        <v>#REF!</v>
      </c>
      <c r="FU358" t="e">
        <f>AND(#REF!,"AAAAAHf/4bA=")</f>
        <v>#REF!</v>
      </c>
      <c r="FV358" t="e">
        <f>AND(#REF!,"AAAAAHf/4bE=")</f>
        <v>#REF!</v>
      </c>
      <c r="FW358" t="e">
        <f>AND(#REF!,"AAAAAHf/4bI=")</f>
        <v>#REF!</v>
      </c>
      <c r="FX358" t="e">
        <f>AND(#REF!,"AAAAAHf/4bM=")</f>
        <v>#REF!</v>
      </c>
      <c r="FY358" t="e">
        <f>AND(#REF!,"AAAAAHf/4bQ=")</f>
        <v>#REF!</v>
      </c>
      <c r="FZ358" t="e">
        <f>AND(#REF!,"AAAAAHf/4bU=")</f>
        <v>#REF!</v>
      </c>
      <c r="GA358" t="e">
        <f>AND(#REF!,"AAAAAHf/4bY=")</f>
        <v>#REF!</v>
      </c>
      <c r="GB358" t="e">
        <f>AND(#REF!,"AAAAAHf/4bc=")</f>
        <v>#REF!</v>
      </c>
      <c r="GC358" t="e">
        <f>AND(#REF!,"AAAAAHf/4bg=")</f>
        <v>#REF!</v>
      </c>
      <c r="GD358" t="e">
        <f>AND(#REF!,"AAAAAHf/4bk=")</f>
        <v>#REF!</v>
      </c>
      <c r="GE358" t="e">
        <f>AND(#REF!,"AAAAAHf/4bo=")</f>
        <v>#REF!</v>
      </c>
      <c r="GF358" t="e">
        <f>AND(#REF!,"AAAAAHf/4bs=")</f>
        <v>#REF!</v>
      </c>
      <c r="GG358" t="e">
        <f>AND(#REF!,"AAAAAHf/4bw=")</f>
        <v>#REF!</v>
      </c>
      <c r="GH358" t="e">
        <f>AND(#REF!,"AAAAAHf/4b0=")</f>
        <v>#REF!</v>
      </c>
      <c r="GI358" t="e">
        <f>AND(#REF!,"AAAAAHf/4b4=")</f>
        <v>#REF!</v>
      </c>
      <c r="GJ358" t="e">
        <f>AND(#REF!,"AAAAAHf/4b8=")</f>
        <v>#REF!</v>
      </c>
      <c r="GK358" t="e">
        <f>AND(#REF!,"AAAAAHf/4cA=")</f>
        <v>#REF!</v>
      </c>
      <c r="GL358" t="e">
        <f>IF(#REF!,"AAAAAHf/4cE=",0)</f>
        <v>#REF!</v>
      </c>
      <c r="GM358" t="e">
        <f>AND(#REF!,"AAAAAHf/4cI=")</f>
        <v>#REF!</v>
      </c>
      <c r="GN358" t="e">
        <f>AND(#REF!,"AAAAAHf/4cM=")</f>
        <v>#REF!</v>
      </c>
      <c r="GO358" t="e">
        <f>AND(#REF!,"AAAAAHf/4cQ=")</f>
        <v>#REF!</v>
      </c>
      <c r="GP358" t="e">
        <f>AND(#REF!,"AAAAAHf/4cU=")</f>
        <v>#REF!</v>
      </c>
      <c r="GQ358" t="e">
        <f>AND(#REF!,"AAAAAHf/4cY=")</f>
        <v>#REF!</v>
      </c>
      <c r="GR358" t="e">
        <f>AND(#REF!,"AAAAAHf/4cc=")</f>
        <v>#REF!</v>
      </c>
      <c r="GS358" t="e">
        <f>AND(#REF!,"AAAAAHf/4cg=")</f>
        <v>#REF!</v>
      </c>
      <c r="GT358" t="e">
        <f>AND(#REF!,"AAAAAHf/4ck=")</f>
        <v>#REF!</v>
      </c>
      <c r="GU358" t="e">
        <f>AND(#REF!,"AAAAAHf/4co=")</f>
        <v>#REF!</v>
      </c>
      <c r="GV358" t="e">
        <f>AND(#REF!,"AAAAAHf/4cs=")</f>
        <v>#REF!</v>
      </c>
      <c r="GW358" t="e">
        <f>AND(#REF!,"AAAAAHf/4cw=")</f>
        <v>#REF!</v>
      </c>
      <c r="GX358" t="e">
        <f>AND(#REF!,"AAAAAHf/4c0=")</f>
        <v>#REF!</v>
      </c>
      <c r="GY358" t="e">
        <f>AND(#REF!,"AAAAAHf/4c4=")</f>
        <v>#REF!</v>
      </c>
      <c r="GZ358" t="e">
        <f>AND(#REF!,"AAAAAHf/4c8=")</f>
        <v>#REF!</v>
      </c>
      <c r="HA358" t="e">
        <f>AND(#REF!,"AAAAAHf/4dA=")</f>
        <v>#REF!</v>
      </c>
      <c r="HB358" t="e">
        <f>AND(#REF!,"AAAAAHf/4dE=")</f>
        <v>#REF!</v>
      </c>
      <c r="HC358" t="e">
        <f>AND(#REF!,"AAAAAHf/4dI=")</f>
        <v>#REF!</v>
      </c>
      <c r="HD358" t="e">
        <f>AND(#REF!,"AAAAAHf/4dM=")</f>
        <v>#REF!</v>
      </c>
      <c r="HE358" t="e">
        <f>AND(#REF!,"AAAAAHf/4dQ=")</f>
        <v>#REF!</v>
      </c>
      <c r="HF358" t="e">
        <f>AND(#REF!,"AAAAAHf/4dU=")</f>
        <v>#REF!</v>
      </c>
      <c r="HG358" t="e">
        <f>AND(#REF!,"AAAAAHf/4dY=")</f>
        <v>#REF!</v>
      </c>
      <c r="HH358" t="e">
        <f>AND(#REF!,"AAAAAHf/4dc=")</f>
        <v>#REF!</v>
      </c>
      <c r="HI358" t="e">
        <f>AND(#REF!,"AAAAAHf/4dg=")</f>
        <v>#REF!</v>
      </c>
      <c r="HJ358" t="e">
        <f>AND(#REF!,"AAAAAHf/4dk=")</f>
        <v>#REF!</v>
      </c>
      <c r="HK358" t="e">
        <f>IF(#REF!,"AAAAAHf/4do=",0)</f>
        <v>#REF!</v>
      </c>
      <c r="HL358" t="e">
        <f>AND(#REF!,"AAAAAHf/4ds=")</f>
        <v>#REF!</v>
      </c>
      <c r="HM358" t="e">
        <f>AND(#REF!,"AAAAAHf/4dw=")</f>
        <v>#REF!</v>
      </c>
      <c r="HN358" t="e">
        <f>AND(#REF!,"AAAAAHf/4d0=")</f>
        <v>#REF!</v>
      </c>
      <c r="HO358" t="e">
        <f>AND(#REF!,"AAAAAHf/4d4=")</f>
        <v>#REF!</v>
      </c>
      <c r="HP358" t="e">
        <f>AND(#REF!,"AAAAAHf/4d8=")</f>
        <v>#REF!</v>
      </c>
      <c r="HQ358" t="e">
        <f>AND(#REF!,"AAAAAHf/4eA=")</f>
        <v>#REF!</v>
      </c>
      <c r="HR358" t="e">
        <f>AND(#REF!,"AAAAAHf/4eE=")</f>
        <v>#REF!</v>
      </c>
      <c r="HS358" t="e">
        <f>AND(#REF!,"AAAAAHf/4eI=")</f>
        <v>#REF!</v>
      </c>
      <c r="HT358" t="e">
        <f>AND(#REF!,"AAAAAHf/4eM=")</f>
        <v>#REF!</v>
      </c>
      <c r="HU358" t="e">
        <f>AND(#REF!,"AAAAAHf/4eQ=")</f>
        <v>#REF!</v>
      </c>
      <c r="HV358" t="e">
        <f>AND(#REF!,"AAAAAHf/4eU=")</f>
        <v>#REF!</v>
      </c>
      <c r="HW358" t="e">
        <f>AND(#REF!,"AAAAAHf/4eY=")</f>
        <v>#REF!</v>
      </c>
      <c r="HX358" t="e">
        <f>AND(#REF!,"AAAAAHf/4ec=")</f>
        <v>#REF!</v>
      </c>
      <c r="HY358" t="e">
        <f>AND(#REF!,"AAAAAHf/4eg=")</f>
        <v>#REF!</v>
      </c>
      <c r="HZ358" t="e">
        <f>AND(#REF!,"AAAAAHf/4ek=")</f>
        <v>#REF!</v>
      </c>
      <c r="IA358" t="e">
        <f>AND(#REF!,"AAAAAHf/4eo=")</f>
        <v>#REF!</v>
      </c>
      <c r="IB358" t="e">
        <f>AND(#REF!,"AAAAAHf/4es=")</f>
        <v>#REF!</v>
      </c>
      <c r="IC358" t="e">
        <f>AND(#REF!,"AAAAAHf/4ew=")</f>
        <v>#REF!</v>
      </c>
      <c r="ID358" t="e">
        <f>AND(#REF!,"AAAAAHf/4e0=")</f>
        <v>#REF!</v>
      </c>
      <c r="IE358" t="e">
        <f>AND(#REF!,"AAAAAHf/4e4=")</f>
        <v>#REF!</v>
      </c>
      <c r="IF358" t="e">
        <f>AND(#REF!,"AAAAAHf/4e8=")</f>
        <v>#REF!</v>
      </c>
      <c r="IG358" t="e">
        <f>AND(#REF!,"AAAAAHf/4fA=")</f>
        <v>#REF!</v>
      </c>
      <c r="IH358" t="e">
        <f>AND(#REF!,"AAAAAHf/4fE=")</f>
        <v>#REF!</v>
      </c>
      <c r="II358" t="e">
        <f>AND(#REF!,"AAAAAHf/4fI=")</f>
        <v>#REF!</v>
      </c>
      <c r="IJ358" t="e">
        <f>IF(#REF!,"AAAAAHf/4fM=",0)</f>
        <v>#REF!</v>
      </c>
      <c r="IK358" t="e">
        <f>AND(#REF!,"AAAAAHf/4fQ=")</f>
        <v>#REF!</v>
      </c>
      <c r="IL358" t="e">
        <f>AND(#REF!,"AAAAAHf/4fU=")</f>
        <v>#REF!</v>
      </c>
      <c r="IM358" t="e">
        <f>AND(#REF!,"AAAAAHf/4fY=")</f>
        <v>#REF!</v>
      </c>
      <c r="IN358" t="e">
        <f>AND(#REF!,"AAAAAHf/4fc=")</f>
        <v>#REF!</v>
      </c>
      <c r="IO358" t="e">
        <f>AND(#REF!,"AAAAAHf/4fg=")</f>
        <v>#REF!</v>
      </c>
      <c r="IP358" t="e">
        <f>AND(#REF!,"AAAAAHf/4fk=")</f>
        <v>#REF!</v>
      </c>
      <c r="IQ358" t="e">
        <f>AND(#REF!,"AAAAAHf/4fo=")</f>
        <v>#REF!</v>
      </c>
      <c r="IR358" t="e">
        <f>AND(#REF!,"AAAAAHf/4fs=")</f>
        <v>#REF!</v>
      </c>
      <c r="IS358" t="e">
        <f>AND(#REF!,"AAAAAHf/4fw=")</f>
        <v>#REF!</v>
      </c>
      <c r="IT358" t="e">
        <f>AND(#REF!,"AAAAAHf/4f0=")</f>
        <v>#REF!</v>
      </c>
      <c r="IU358" t="e">
        <f>AND(#REF!,"AAAAAHf/4f4=")</f>
        <v>#REF!</v>
      </c>
      <c r="IV358" t="e">
        <f>AND(#REF!,"AAAAAHf/4f8=")</f>
        <v>#REF!</v>
      </c>
    </row>
    <row r="359" spans="1:256">
      <c r="A359" t="e">
        <f>AND(#REF!,"AAAAAF11zgA=")</f>
        <v>#REF!</v>
      </c>
      <c r="B359" t="e">
        <f>AND(#REF!,"AAAAAF11zgE=")</f>
        <v>#REF!</v>
      </c>
      <c r="C359" t="e">
        <f>AND(#REF!,"AAAAAF11zgI=")</f>
        <v>#REF!</v>
      </c>
      <c r="D359" t="e">
        <f>AND(#REF!,"AAAAAF11zgM=")</f>
        <v>#REF!</v>
      </c>
      <c r="E359" t="e">
        <f>AND(#REF!,"AAAAAF11zgQ=")</f>
        <v>#REF!</v>
      </c>
      <c r="F359" t="e">
        <f>AND(#REF!,"AAAAAF11zgU=")</f>
        <v>#REF!</v>
      </c>
      <c r="G359" t="e">
        <f>AND(#REF!,"AAAAAF11zgY=")</f>
        <v>#REF!</v>
      </c>
      <c r="H359" t="e">
        <f>AND(#REF!,"AAAAAF11zgc=")</f>
        <v>#REF!</v>
      </c>
      <c r="I359" t="e">
        <f>AND(#REF!,"AAAAAF11zgg=")</f>
        <v>#REF!</v>
      </c>
      <c r="J359" t="e">
        <f>AND(#REF!,"AAAAAF11zgk=")</f>
        <v>#REF!</v>
      </c>
      <c r="K359" t="e">
        <f>AND(#REF!,"AAAAAF11zgo=")</f>
        <v>#REF!</v>
      </c>
      <c r="L359" t="e">
        <f>AND(#REF!,"AAAAAF11zgs=")</f>
        <v>#REF!</v>
      </c>
      <c r="M359" t="e">
        <f>IF(#REF!,"AAAAAF11zgw=",0)</f>
        <v>#REF!</v>
      </c>
      <c r="N359" t="e">
        <f>AND(#REF!,"AAAAAF11zg0=")</f>
        <v>#REF!</v>
      </c>
      <c r="O359" t="e">
        <f>AND(#REF!,"AAAAAF11zg4=")</f>
        <v>#REF!</v>
      </c>
      <c r="P359" t="e">
        <f>AND(#REF!,"AAAAAF11zg8=")</f>
        <v>#REF!</v>
      </c>
      <c r="Q359" t="e">
        <f>AND(#REF!,"AAAAAF11zhA=")</f>
        <v>#REF!</v>
      </c>
      <c r="R359" t="e">
        <f>AND(#REF!,"AAAAAF11zhE=")</f>
        <v>#REF!</v>
      </c>
      <c r="S359" t="e">
        <f>AND(#REF!,"AAAAAF11zhI=")</f>
        <v>#REF!</v>
      </c>
      <c r="T359" t="e">
        <f>AND(#REF!,"AAAAAF11zhM=")</f>
        <v>#REF!</v>
      </c>
      <c r="U359" t="e">
        <f>AND(#REF!,"AAAAAF11zhQ=")</f>
        <v>#REF!</v>
      </c>
      <c r="V359" t="e">
        <f>AND(#REF!,"AAAAAF11zhU=")</f>
        <v>#REF!</v>
      </c>
      <c r="W359" t="e">
        <f>AND(#REF!,"AAAAAF11zhY=")</f>
        <v>#REF!</v>
      </c>
      <c r="X359" t="e">
        <f>AND(#REF!,"AAAAAF11zhc=")</f>
        <v>#REF!</v>
      </c>
      <c r="Y359" t="e">
        <f>AND(#REF!,"AAAAAF11zhg=")</f>
        <v>#REF!</v>
      </c>
      <c r="Z359" t="e">
        <f>AND(#REF!,"AAAAAF11zhk=")</f>
        <v>#REF!</v>
      </c>
      <c r="AA359" t="e">
        <f>AND(#REF!,"AAAAAF11zho=")</f>
        <v>#REF!</v>
      </c>
      <c r="AB359" t="e">
        <f>AND(#REF!,"AAAAAF11zhs=")</f>
        <v>#REF!</v>
      </c>
      <c r="AC359" t="e">
        <f>AND(#REF!,"AAAAAF11zhw=")</f>
        <v>#REF!</v>
      </c>
      <c r="AD359" t="e">
        <f>AND(#REF!,"AAAAAF11zh0=")</f>
        <v>#REF!</v>
      </c>
      <c r="AE359" t="e">
        <f>AND(#REF!,"AAAAAF11zh4=")</f>
        <v>#REF!</v>
      </c>
      <c r="AF359" t="e">
        <f>AND(#REF!,"AAAAAF11zh8=")</f>
        <v>#REF!</v>
      </c>
      <c r="AG359" t="e">
        <f>AND(#REF!,"AAAAAF11ziA=")</f>
        <v>#REF!</v>
      </c>
      <c r="AH359" t="e">
        <f>AND(#REF!,"AAAAAF11ziE=")</f>
        <v>#REF!</v>
      </c>
      <c r="AI359" t="e">
        <f>AND(#REF!,"AAAAAF11ziI=")</f>
        <v>#REF!</v>
      </c>
      <c r="AJ359" t="e">
        <f>AND(#REF!,"AAAAAF11ziM=")</f>
        <v>#REF!</v>
      </c>
      <c r="AK359" t="e">
        <f>AND(#REF!,"AAAAAF11ziQ=")</f>
        <v>#REF!</v>
      </c>
      <c r="AL359" t="e">
        <f>IF(#REF!,"AAAAAF11ziU=",0)</f>
        <v>#REF!</v>
      </c>
      <c r="AM359" t="e">
        <f>AND(#REF!,"AAAAAF11ziY=")</f>
        <v>#REF!</v>
      </c>
      <c r="AN359" t="e">
        <f>AND(#REF!,"AAAAAF11zic=")</f>
        <v>#REF!</v>
      </c>
      <c r="AO359" t="e">
        <f>AND(#REF!,"AAAAAF11zig=")</f>
        <v>#REF!</v>
      </c>
      <c r="AP359" t="e">
        <f>AND(#REF!,"AAAAAF11zik=")</f>
        <v>#REF!</v>
      </c>
      <c r="AQ359" t="e">
        <f>AND(#REF!,"AAAAAF11zio=")</f>
        <v>#REF!</v>
      </c>
      <c r="AR359" t="e">
        <f>AND(#REF!,"AAAAAF11zis=")</f>
        <v>#REF!</v>
      </c>
      <c r="AS359" t="e">
        <f>AND(#REF!,"AAAAAF11ziw=")</f>
        <v>#REF!</v>
      </c>
      <c r="AT359" t="e">
        <f>AND(#REF!,"AAAAAF11zi0=")</f>
        <v>#REF!</v>
      </c>
      <c r="AU359" t="e">
        <f>AND(#REF!,"AAAAAF11zi4=")</f>
        <v>#REF!</v>
      </c>
      <c r="AV359" t="e">
        <f>AND(#REF!,"AAAAAF11zi8=")</f>
        <v>#REF!</v>
      </c>
      <c r="AW359" t="e">
        <f>AND(#REF!,"AAAAAF11zjA=")</f>
        <v>#REF!</v>
      </c>
      <c r="AX359" t="e">
        <f>AND(#REF!,"AAAAAF11zjE=")</f>
        <v>#REF!</v>
      </c>
      <c r="AY359" t="e">
        <f>AND(#REF!,"AAAAAF11zjI=")</f>
        <v>#REF!</v>
      </c>
      <c r="AZ359" t="e">
        <f>AND(#REF!,"AAAAAF11zjM=")</f>
        <v>#REF!</v>
      </c>
      <c r="BA359" t="e">
        <f>AND(#REF!,"AAAAAF11zjQ=")</f>
        <v>#REF!</v>
      </c>
      <c r="BB359" t="e">
        <f>AND(#REF!,"AAAAAF11zjU=")</f>
        <v>#REF!</v>
      </c>
      <c r="BC359" t="e">
        <f>AND(#REF!,"AAAAAF11zjY=")</f>
        <v>#REF!</v>
      </c>
      <c r="BD359" t="e">
        <f>AND(#REF!,"AAAAAF11zjc=")</f>
        <v>#REF!</v>
      </c>
      <c r="BE359" t="e">
        <f>AND(#REF!,"AAAAAF11zjg=")</f>
        <v>#REF!</v>
      </c>
      <c r="BF359" t="e">
        <f>AND(#REF!,"AAAAAF11zjk=")</f>
        <v>#REF!</v>
      </c>
      <c r="BG359" t="e">
        <f>AND(#REF!,"AAAAAF11zjo=")</f>
        <v>#REF!</v>
      </c>
      <c r="BH359" t="e">
        <f>AND(#REF!,"AAAAAF11zjs=")</f>
        <v>#REF!</v>
      </c>
      <c r="BI359" t="e">
        <f>AND(#REF!,"AAAAAF11zjw=")</f>
        <v>#REF!</v>
      </c>
      <c r="BJ359" t="e">
        <f>AND(#REF!,"AAAAAF11zj0=")</f>
        <v>#REF!</v>
      </c>
      <c r="BK359" t="e">
        <f>IF(#REF!,"AAAAAF11zj4=",0)</f>
        <v>#REF!</v>
      </c>
      <c r="BL359" t="e">
        <f>AND(#REF!,"AAAAAF11zj8=")</f>
        <v>#REF!</v>
      </c>
      <c r="BM359" t="e">
        <f>AND(#REF!,"AAAAAF11zkA=")</f>
        <v>#REF!</v>
      </c>
      <c r="BN359" t="e">
        <f>AND(#REF!,"AAAAAF11zkE=")</f>
        <v>#REF!</v>
      </c>
      <c r="BO359" t="e">
        <f>AND(#REF!,"AAAAAF11zkI=")</f>
        <v>#REF!</v>
      </c>
      <c r="BP359" t="e">
        <f>AND(#REF!,"AAAAAF11zkM=")</f>
        <v>#REF!</v>
      </c>
      <c r="BQ359" t="e">
        <f>AND(#REF!,"AAAAAF11zkQ=")</f>
        <v>#REF!</v>
      </c>
      <c r="BR359" t="e">
        <f>AND(#REF!,"AAAAAF11zkU=")</f>
        <v>#REF!</v>
      </c>
      <c r="BS359" t="e">
        <f>AND(#REF!,"AAAAAF11zkY=")</f>
        <v>#REF!</v>
      </c>
      <c r="BT359" t="e">
        <f>AND(#REF!,"AAAAAF11zkc=")</f>
        <v>#REF!</v>
      </c>
      <c r="BU359" t="e">
        <f>AND(#REF!,"AAAAAF11zkg=")</f>
        <v>#REF!</v>
      </c>
      <c r="BV359" t="e">
        <f>AND(#REF!,"AAAAAF11zkk=")</f>
        <v>#REF!</v>
      </c>
      <c r="BW359" t="e">
        <f>AND(#REF!,"AAAAAF11zko=")</f>
        <v>#REF!</v>
      </c>
      <c r="BX359" t="e">
        <f>AND(#REF!,"AAAAAF11zks=")</f>
        <v>#REF!</v>
      </c>
      <c r="BY359" t="e">
        <f>AND(#REF!,"AAAAAF11zkw=")</f>
        <v>#REF!</v>
      </c>
      <c r="BZ359" t="e">
        <f>AND(#REF!,"AAAAAF11zk0=")</f>
        <v>#REF!</v>
      </c>
      <c r="CA359" t="e">
        <f>AND(#REF!,"AAAAAF11zk4=")</f>
        <v>#REF!</v>
      </c>
      <c r="CB359" t="e">
        <f>AND(#REF!,"AAAAAF11zk8=")</f>
        <v>#REF!</v>
      </c>
      <c r="CC359" t="e">
        <f>AND(#REF!,"AAAAAF11zlA=")</f>
        <v>#REF!</v>
      </c>
      <c r="CD359" t="e">
        <f>AND(#REF!,"AAAAAF11zlE=")</f>
        <v>#REF!</v>
      </c>
      <c r="CE359" t="e">
        <f>AND(#REF!,"AAAAAF11zlI=")</f>
        <v>#REF!</v>
      </c>
      <c r="CF359" t="e">
        <f>AND(#REF!,"AAAAAF11zlM=")</f>
        <v>#REF!</v>
      </c>
      <c r="CG359" t="e">
        <f>AND(#REF!,"AAAAAF11zlQ=")</f>
        <v>#REF!</v>
      </c>
      <c r="CH359" t="e">
        <f>AND(#REF!,"AAAAAF11zlU=")</f>
        <v>#REF!</v>
      </c>
      <c r="CI359" t="e">
        <f>AND(#REF!,"AAAAAF11zlY=")</f>
        <v>#REF!</v>
      </c>
      <c r="CJ359" t="e">
        <f>IF(#REF!,"AAAAAF11zlc=",0)</f>
        <v>#REF!</v>
      </c>
      <c r="CK359" t="e">
        <f>AND(#REF!,"AAAAAF11zlg=")</f>
        <v>#REF!</v>
      </c>
      <c r="CL359" t="e">
        <f>AND(#REF!,"AAAAAF11zlk=")</f>
        <v>#REF!</v>
      </c>
      <c r="CM359" t="e">
        <f>AND(#REF!,"AAAAAF11zlo=")</f>
        <v>#REF!</v>
      </c>
      <c r="CN359" t="e">
        <f>AND(#REF!,"AAAAAF11zls=")</f>
        <v>#REF!</v>
      </c>
      <c r="CO359" t="e">
        <f>AND(#REF!,"AAAAAF11zlw=")</f>
        <v>#REF!</v>
      </c>
      <c r="CP359" t="e">
        <f>AND(#REF!,"AAAAAF11zl0=")</f>
        <v>#REF!</v>
      </c>
      <c r="CQ359" t="e">
        <f>AND(#REF!,"AAAAAF11zl4=")</f>
        <v>#REF!</v>
      </c>
      <c r="CR359" t="e">
        <f>AND(#REF!,"AAAAAF11zl8=")</f>
        <v>#REF!</v>
      </c>
      <c r="CS359" t="e">
        <f>AND(#REF!,"AAAAAF11zmA=")</f>
        <v>#REF!</v>
      </c>
      <c r="CT359" t="e">
        <f>AND(#REF!,"AAAAAF11zmE=")</f>
        <v>#REF!</v>
      </c>
      <c r="CU359" t="e">
        <f>AND(#REF!,"AAAAAF11zmI=")</f>
        <v>#REF!</v>
      </c>
      <c r="CV359" t="e">
        <f>AND(#REF!,"AAAAAF11zmM=")</f>
        <v>#REF!</v>
      </c>
      <c r="CW359" t="e">
        <f>AND(#REF!,"AAAAAF11zmQ=")</f>
        <v>#REF!</v>
      </c>
      <c r="CX359" t="e">
        <f>AND(#REF!,"AAAAAF11zmU=")</f>
        <v>#REF!</v>
      </c>
      <c r="CY359" t="e">
        <f>AND(#REF!,"AAAAAF11zmY=")</f>
        <v>#REF!</v>
      </c>
      <c r="CZ359" t="e">
        <f>AND(#REF!,"AAAAAF11zmc=")</f>
        <v>#REF!</v>
      </c>
      <c r="DA359" t="e">
        <f>AND(#REF!,"AAAAAF11zmg=")</f>
        <v>#REF!</v>
      </c>
      <c r="DB359" t="e">
        <f>AND(#REF!,"AAAAAF11zmk=")</f>
        <v>#REF!</v>
      </c>
      <c r="DC359" t="e">
        <f>AND(#REF!,"AAAAAF11zmo=")</f>
        <v>#REF!</v>
      </c>
      <c r="DD359" t="e">
        <f>AND(#REF!,"AAAAAF11zms=")</f>
        <v>#REF!</v>
      </c>
      <c r="DE359" t="e">
        <f>AND(#REF!,"AAAAAF11zmw=")</f>
        <v>#REF!</v>
      </c>
      <c r="DF359" t="e">
        <f>AND(#REF!,"AAAAAF11zm0=")</f>
        <v>#REF!</v>
      </c>
      <c r="DG359" t="e">
        <f>AND(#REF!,"AAAAAF11zm4=")</f>
        <v>#REF!</v>
      </c>
      <c r="DH359" t="e">
        <f>AND(#REF!,"AAAAAF11zm8=")</f>
        <v>#REF!</v>
      </c>
      <c r="DI359" t="e">
        <f>IF(#REF!,"AAAAAF11znA=",0)</f>
        <v>#REF!</v>
      </c>
      <c r="DJ359" t="e">
        <f>AND(#REF!,"AAAAAF11znE=")</f>
        <v>#REF!</v>
      </c>
      <c r="DK359" t="e">
        <f>AND(#REF!,"AAAAAF11znI=")</f>
        <v>#REF!</v>
      </c>
      <c r="DL359" t="e">
        <f>AND(#REF!,"AAAAAF11znM=")</f>
        <v>#REF!</v>
      </c>
      <c r="DM359" t="e">
        <f>AND(#REF!,"AAAAAF11znQ=")</f>
        <v>#REF!</v>
      </c>
      <c r="DN359" t="e">
        <f>AND(#REF!,"AAAAAF11znU=")</f>
        <v>#REF!</v>
      </c>
      <c r="DO359" t="e">
        <f>AND(#REF!,"AAAAAF11znY=")</f>
        <v>#REF!</v>
      </c>
      <c r="DP359" t="e">
        <f>AND(#REF!,"AAAAAF11znc=")</f>
        <v>#REF!</v>
      </c>
      <c r="DQ359" t="e">
        <f>AND(#REF!,"AAAAAF11zng=")</f>
        <v>#REF!</v>
      </c>
      <c r="DR359" t="e">
        <f>AND(#REF!,"AAAAAF11znk=")</f>
        <v>#REF!</v>
      </c>
      <c r="DS359" t="e">
        <f>AND(#REF!,"AAAAAF11zno=")</f>
        <v>#REF!</v>
      </c>
      <c r="DT359" t="e">
        <f>AND(#REF!,"AAAAAF11zns=")</f>
        <v>#REF!</v>
      </c>
      <c r="DU359" t="e">
        <f>AND(#REF!,"AAAAAF11znw=")</f>
        <v>#REF!</v>
      </c>
      <c r="DV359" t="e">
        <f>AND(#REF!,"AAAAAF11zn0=")</f>
        <v>#REF!</v>
      </c>
      <c r="DW359" t="e">
        <f>AND(#REF!,"AAAAAF11zn4=")</f>
        <v>#REF!</v>
      </c>
      <c r="DX359" t="e">
        <f>AND(#REF!,"AAAAAF11zn8=")</f>
        <v>#REF!</v>
      </c>
      <c r="DY359" t="e">
        <f>AND(#REF!,"AAAAAF11zoA=")</f>
        <v>#REF!</v>
      </c>
      <c r="DZ359" t="e">
        <f>AND(#REF!,"AAAAAF11zoE=")</f>
        <v>#REF!</v>
      </c>
      <c r="EA359" t="e">
        <f>AND(#REF!,"AAAAAF11zoI=")</f>
        <v>#REF!</v>
      </c>
      <c r="EB359" t="e">
        <f>AND(#REF!,"AAAAAF11zoM=")</f>
        <v>#REF!</v>
      </c>
      <c r="EC359" t="e">
        <f>AND(#REF!,"AAAAAF11zoQ=")</f>
        <v>#REF!</v>
      </c>
      <c r="ED359" t="e">
        <f>AND(#REF!,"AAAAAF11zoU=")</f>
        <v>#REF!</v>
      </c>
      <c r="EE359" t="e">
        <f>AND(#REF!,"AAAAAF11zoY=")</f>
        <v>#REF!</v>
      </c>
      <c r="EF359" t="e">
        <f>AND(#REF!,"AAAAAF11zoc=")</f>
        <v>#REF!</v>
      </c>
      <c r="EG359" t="e">
        <f>AND(#REF!,"AAAAAF11zog=")</f>
        <v>#REF!</v>
      </c>
      <c r="EH359" t="e">
        <f>IF(#REF!,"AAAAAF11zok=",0)</f>
        <v>#REF!</v>
      </c>
      <c r="EI359" t="e">
        <f>AND(#REF!,"AAAAAF11zoo=")</f>
        <v>#REF!</v>
      </c>
      <c r="EJ359" t="e">
        <f>AND(#REF!,"AAAAAF11zos=")</f>
        <v>#REF!</v>
      </c>
      <c r="EK359" t="e">
        <f>AND(#REF!,"AAAAAF11zow=")</f>
        <v>#REF!</v>
      </c>
      <c r="EL359" t="e">
        <f>AND(#REF!,"AAAAAF11zo0=")</f>
        <v>#REF!</v>
      </c>
      <c r="EM359" t="e">
        <f>AND(#REF!,"AAAAAF11zo4=")</f>
        <v>#REF!</v>
      </c>
      <c r="EN359" t="e">
        <f>AND(#REF!,"AAAAAF11zo8=")</f>
        <v>#REF!</v>
      </c>
      <c r="EO359" t="e">
        <f>AND(#REF!,"AAAAAF11zpA=")</f>
        <v>#REF!</v>
      </c>
      <c r="EP359" t="e">
        <f>AND(#REF!,"AAAAAF11zpE=")</f>
        <v>#REF!</v>
      </c>
      <c r="EQ359" t="e">
        <f>AND(#REF!,"AAAAAF11zpI=")</f>
        <v>#REF!</v>
      </c>
      <c r="ER359" t="e">
        <f>AND(#REF!,"AAAAAF11zpM=")</f>
        <v>#REF!</v>
      </c>
      <c r="ES359" t="e">
        <f>AND(#REF!,"AAAAAF11zpQ=")</f>
        <v>#REF!</v>
      </c>
      <c r="ET359" t="e">
        <f>AND(#REF!,"AAAAAF11zpU=")</f>
        <v>#REF!</v>
      </c>
      <c r="EU359" t="e">
        <f>AND(#REF!,"AAAAAF11zpY=")</f>
        <v>#REF!</v>
      </c>
      <c r="EV359" t="e">
        <f>AND(#REF!,"AAAAAF11zpc=")</f>
        <v>#REF!</v>
      </c>
      <c r="EW359" t="e">
        <f>AND(#REF!,"AAAAAF11zpg=")</f>
        <v>#REF!</v>
      </c>
      <c r="EX359" t="e">
        <f>AND(#REF!,"AAAAAF11zpk=")</f>
        <v>#REF!</v>
      </c>
      <c r="EY359" t="e">
        <f>AND(#REF!,"AAAAAF11zpo=")</f>
        <v>#REF!</v>
      </c>
      <c r="EZ359" t="e">
        <f>AND(#REF!,"AAAAAF11zps=")</f>
        <v>#REF!</v>
      </c>
      <c r="FA359" t="e">
        <f>AND(#REF!,"AAAAAF11zpw=")</f>
        <v>#REF!</v>
      </c>
      <c r="FB359" t="e">
        <f>AND(#REF!,"AAAAAF11zp0=")</f>
        <v>#REF!</v>
      </c>
      <c r="FC359" t="e">
        <f>AND(#REF!,"AAAAAF11zp4=")</f>
        <v>#REF!</v>
      </c>
      <c r="FD359" t="e">
        <f>AND(#REF!,"AAAAAF11zp8=")</f>
        <v>#REF!</v>
      </c>
      <c r="FE359" t="e">
        <f>AND(#REF!,"AAAAAF11zqA=")</f>
        <v>#REF!</v>
      </c>
      <c r="FF359" t="e">
        <f>AND(#REF!,"AAAAAF11zqE=")</f>
        <v>#REF!</v>
      </c>
      <c r="FG359" t="e">
        <f>IF(#REF!,"AAAAAF11zqI=",0)</f>
        <v>#REF!</v>
      </c>
      <c r="FH359" t="e">
        <f>AND(#REF!,"AAAAAF11zqM=")</f>
        <v>#REF!</v>
      </c>
      <c r="FI359" t="e">
        <f>AND(#REF!,"AAAAAF11zqQ=")</f>
        <v>#REF!</v>
      </c>
      <c r="FJ359" t="e">
        <f>AND(#REF!,"AAAAAF11zqU=")</f>
        <v>#REF!</v>
      </c>
      <c r="FK359" t="e">
        <f>AND(#REF!,"AAAAAF11zqY=")</f>
        <v>#REF!</v>
      </c>
      <c r="FL359" t="e">
        <f>AND(#REF!,"AAAAAF11zqc=")</f>
        <v>#REF!</v>
      </c>
      <c r="FM359" t="e">
        <f>AND(#REF!,"AAAAAF11zqg=")</f>
        <v>#REF!</v>
      </c>
      <c r="FN359" t="e">
        <f>AND(#REF!,"AAAAAF11zqk=")</f>
        <v>#REF!</v>
      </c>
      <c r="FO359" t="e">
        <f>AND(#REF!,"AAAAAF11zqo=")</f>
        <v>#REF!</v>
      </c>
      <c r="FP359" t="e">
        <f>AND(#REF!,"AAAAAF11zqs=")</f>
        <v>#REF!</v>
      </c>
      <c r="FQ359" t="e">
        <f>AND(#REF!,"AAAAAF11zqw=")</f>
        <v>#REF!</v>
      </c>
      <c r="FR359" t="e">
        <f>AND(#REF!,"AAAAAF11zq0=")</f>
        <v>#REF!</v>
      </c>
      <c r="FS359" t="e">
        <f>AND(#REF!,"AAAAAF11zq4=")</f>
        <v>#REF!</v>
      </c>
      <c r="FT359" t="e">
        <f>AND(#REF!,"AAAAAF11zq8=")</f>
        <v>#REF!</v>
      </c>
      <c r="FU359" t="e">
        <f>AND(#REF!,"AAAAAF11zrA=")</f>
        <v>#REF!</v>
      </c>
      <c r="FV359" t="e">
        <f>AND(#REF!,"AAAAAF11zrE=")</f>
        <v>#REF!</v>
      </c>
      <c r="FW359" t="e">
        <f>AND(#REF!,"AAAAAF11zrI=")</f>
        <v>#REF!</v>
      </c>
      <c r="FX359" t="e">
        <f>AND(#REF!,"AAAAAF11zrM=")</f>
        <v>#REF!</v>
      </c>
      <c r="FY359" t="e">
        <f>AND(#REF!,"AAAAAF11zrQ=")</f>
        <v>#REF!</v>
      </c>
      <c r="FZ359" t="e">
        <f>AND(#REF!,"AAAAAF11zrU=")</f>
        <v>#REF!</v>
      </c>
      <c r="GA359" t="e">
        <f>AND(#REF!,"AAAAAF11zrY=")</f>
        <v>#REF!</v>
      </c>
      <c r="GB359" t="e">
        <f>AND(#REF!,"AAAAAF11zrc=")</f>
        <v>#REF!</v>
      </c>
      <c r="GC359" t="e">
        <f>AND(#REF!,"AAAAAF11zrg=")</f>
        <v>#REF!</v>
      </c>
      <c r="GD359" t="e">
        <f>AND(#REF!,"AAAAAF11zrk=")</f>
        <v>#REF!</v>
      </c>
      <c r="GE359" t="e">
        <f>AND(#REF!,"AAAAAF11zro=")</f>
        <v>#REF!</v>
      </c>
      <c r="GF359" t="e">
        <f>IF(#REF!,"AAAAAF11zrs=",0)</f>
        <v>#REF!</v>
      </c>
      <c r="GG359" t="e">
        <f>AND(#REF!,"AAAAAF11zrw=")</f>
        <v>#REF!</v>
      </c>
      <c r="GH359" t="e">
        <f>AND(#REF!,"AAAAAF11zr0=")</f>
        <v>#REF!</v>
      </c>
      <c r="GI359" t="e">
        <f>AND(#REF!,"AAAAAF11zr4=")</f>
        <v>#REF!</v>
      </c>
      <c r="GJ359" t="e">
        <f>AND(#REF!,"AAAAAF11zr8=")</f>
        <v>#REF!</v>
      </c>
      <c r="GK359" t="e">
        <f>AND(#REF!,"AAAAAF11zsA=")</f>
        <v>#REF!</v>
      </c>
      <c r="GL359" t="e">
        <f>AND(#REF!,"AAAAAF11zsE=")</f>
        <v>#REF!</v>
      </c>
      <c r="GM359" t="e">
        <f>AND(#REF!,"AAAAAF11zsI=")</f>
        <v>#REF!</v>
      </c>
      <c r="GN359" t="e">
        <f>AND(#REF!,"AAAAAF11zsM=")</f>
        <v>#REF!</v>
      </c>
      <c r="GO359" t="e">
        <f>AND(#REF!,"AAAAAF11zsQ=")</f>
        <v>#REF!</v>
      </c>
      <c r="GP359" t="e">
        <f>AND(#REF!,"AAAAAF11zsU=")</f>
        <v>#REF!</v>
      </c>
      <c r="GQ359" t="e">
        <f>AND(#REF!,"AAAAAF11zsY=")</f>
        <v>#REF!</v>
      </c>
      <c r="GR359" t="e">
        <f>AND(#REF!,"AAAAAF11zsc=")</f>
        <v>#REF!</v>
      </c>
      <c r="GS359" t="e">
        <f>AND(#REF!,"AAAAAF11zsg=")</f>
        <v>#REF!</v>
      </c>
      <c r="GT359" t="e">
        <f>AND(#REF!,"AAAAAF11zsk=")</f>
        <v>#REF!</v>
      </c>
      <c r="GU359" t="e">
        <f>AND(#REF!,"AAAAAF11zso=")</f>
        <v>#REF!</v>
      </c>
      <c r="GV359" t="e">
        <f>AND(#REF!,"AAAAAF11zss=")</f>
        <v>#REF!</v>
      </c>
      <c r="GW359" t="e">
        <f>AND(#REF!,"AAAAAF11zsw=")</f>
        <v>#REF!</v>
      </c>
      <c r="GX359" t="e">
        <f>AND(#REF!,"AAAAAF11zs0=")</f>
        <v>#REF!</v>
      </c>
      <c r="GY359" t="e">
        <f>AND(#REF!,"AAAAAF11zs4=")</f>
        <v>#REF!</v>
      </c>
      <c r="GZ359" t="e">
        <f>AND(#REF!,"AAAAAF11zs8=")</f>
        <v>#REF!</v>
      </c>
      <c r="HA359" t="e">
        <f>AND(#REF!,"AAAAAF11ztA=")</f>
        <v>#REF!</v>
      </c>
      <c r="HB359" t="e">
        <f>AND(#REF!,"AAAAAF11ztE=")</f>
        <v>#REF!</v>
      </c>
      <c r="HC359" t="e">
        <f>AND(#REF!,"AAAAAF11ztI=")</f>
        <v>#REF!</v>
      </c>
      <c r="HD359" t="e">
        <f>AND(#REF!,"AAAAAF11ztM=")</f>
        <v>#REF!</v>
      </c>
      <c r="HE359" t="e">
        <f>IF(#REF!,"AAAAAF11ztQ=",0)</f>
        <v>#REF!</v>
      </c>
      <c r="HF359" t="e">
        <f>AND(#REF!,"AAAAAF11ztU=")</f>
        <v>#REF!</v>
      </c>
      <c r="HG359" t="e">
        <f>AND(#REF!,"AAAAAF11ztY=")</f>
        <v>#REF!</v>
      </c>
      <c r="HH359" t="e">
        <f>AND(#REF!,"AAAAAF11ztc=")</f>
        <v>#REF!</v>
      </c>
      <c r="HI359" t="e">
        <f>AND(#REF!,"AAAAAF11ztg=")</f>
        <v>#REF!</v>
      </c>
      <c r="HJ359" t="e">
        <f>AND(#REF!,"AAAAAF11ztk=")</f>
        <v>#REF!</v>
      </c>
      <c r="HK359" t="e">
        <f>AND(#REF!,"AAAAAF11zto=")</f>
        <v>#REF!</v>
      </c>
      <c r="HL359" t="e">
        <f>AND(#REF!,"AAAAAF11zts=")</f>
        <v>#REF!</v>
      </c>
      <c r="HM359" t="e">
        <f>AND(#REF!,"AAAAAF11ztw=")</f>
        <v>#REF!</v>
      </c>
      <c r="HN359" t="e">
        <f>AND(#REF!,"AAAAAF11zt0=")</f>
        <v>#REF!</v>
      </c>
      <c r="HO359" t="e">
        <f>AND(#REF!,"AAAAAF11zt4=")</f>
        <v>#REF!</v>
      </c>
      <c r="HP359" t="e">
        <f>AND(#REF!,"AAAAAF11zt8=")</f>
        <v>#REF!</v>
      </c>
      <c r="HQ359" t="e">
        <f>AND(#REF!,"AAAAAF11zuA=")</f>
        <v>#REF!</v>
      </c>
      <c r="HR359" t="e">
        <f>AND(#REF!,"AAAAAF11zuE=")</f>
        <v>#REF!</v>
      </c>
      <c r="HS359" t="e">
        <f>AND(#REF!,"AAAAAF11zuI=")</f>
        <v>#REF!</v>
      </c>
      <c r="HT359" t="e">
        <f>AND(#REF!,"AAAAAF11zuM=")</f>
        <v>#REF!</v>
      </c>
      <c r="HU359" t="e">
        <f>AND(#REF!,"AAAAAF11zuQ=")</f>
        <v>#REF!</v>
      </c>
      <c r="HV359" t="e">
        <f>AND(#REF!,"AAAAAF11zuU=")</f>
        <v>#REF!</v>
      </c>
      <c r="HW359" t="e">
        <f>AND(#REF!,"AAAAAF11zuY=")</f>
        <v>#REF!</v>
      </c>
      <c r="HX359" t="e">
        <f>AND(#REF!,"AAAAAF11zuc=")</f>
        <v>#REF!</v>
      </c>
      <c r="HY359" t="e">
        <f>AND(#REF!,"AAAAAF11zug=")</f>
        <v>#REF!</v>
      </c>
      <c r="HZ359" t="e">
        <f>AND(#REF!,"AAAAAF11zuk=")</f>
        <v>#REF!</v>
      </c>
      <c r="IA359" t="e">
        <f>AND(#REF!,"AAAAAF11zuo=")</f>
        <v>#REF!</v>
      </c>
      <c r="IB359" t="e">
        <f>AND(#REF!,"AAAAAF11zus=")</f>
        <v>#REF!</v>
      </c>
      <c r="IC359" t="e">
        <f>AND(#REF!,"AAAAAF11zuw=")</f>
        <v>#REF!</v>
      </c>
      <c r="ID359" t="e">
        <f>IF(#REF!,"AAAAAF11zu0=",0)</f>
        <v>#REF!</v>
      </c>
      <c r="IE359" t="e">
        <f>AND(#REF!,"AAAAAF11zu4=")</f>
        <v>#REF!</v>
      </c>
      <c r="IF359" t="e">
        <f>AND(#REF!,"AAAAAF11zu8=")</f>
        <v>#REF!</v>
      </c>
      <c r="IG359" t="e">
        <f>AND(#REF!,"AAAAAF11zvA=")</f>
        <v>#REF!</v>
      </c>
      <c r="IH359" t="e">
        <f>AND(#REF!,"AAAAAF11zvE=")</f>
        <v>#REF!</v>
      </c>
      <c r="II359" t="e">
        <f>AND(#REF!,"AAAAAF11zvI=")</f>
        <v>#REF!</v>
      </c>
      <c r="IJ359" t="e">
        <f>AND(#REF!,"AAAAAF11zvM=")</f>
        <v>#REF!</v>
      </c>
      <c r="IK359" t="e">
        <f>AND(#REF!,"AAAAAF11zvQ=")</f>
        <v>#REF!</v>
      </c>
      <c r="IL359" t="e">
        <f>AND(#REF!,"AAAAAF11zvU=")</f>
        <v>#REF!</v>
      </c>
      <c r="IM359" t="e">
        <f>AND(#REF!,"AAAAAF11zvY=")</f>
        <v>#REF!</v>
      </c>
      <c r="IN359" t="e">
        <f>AND(#REF!,"AAAAAF11zvc=")</f>
        <v>#REF!</v>
      </c>
      <c r="IO359" t="e">
        <f>AND(#REF!,"AAAAAF11zvg=")</f>
        <v>#REF!</v>
      </c>
      <c r="IP359" t="e">
        <f>AND(#REF!,"AAAAAF11zvk=")</f>
        <v>#REF!</v>
      </c>
      <c r="IQ359" t="e">
        <f>AND(#REF!,"AAAAAF11zvo=")</f>
        <v>#REF!</v>
      </c>
      <c r="IR359" t="e">
        <f>AND(#REF!,"AAAAAF11zvs=")</f>
        <v>#REF!</v>
      </c>
      <c r="IS359" t="e">
        <f>AND(#REF!,"AAAAAF11zvw=")</f>
        <v>#REF!</v>
      </c>
      <c r="IT359" t="e">
        <f>AND(#REF!,"AAAAAF11zv0=")</f>
        <v>#REF!</v>
      </c>
      <c r="IU359" t="e">
        <f>AND(#REF!,"AAAAAF11zv4=")</f>
        <v>#REF!</v>
      </c>
      <c r="IV359" t="e">
        <f>AND(#REF!,"AAAAAF11zv8=")</f>
        <v>#REF!</v>
      </c>
    </row>
    <row r="360" spans="1:256">
      <c r="A360" t="e">
        <f>AND(#REF!,"AAAAAC3PqQA=")</f>
        <v>#REF!</v>
      </c>
      <c r="B360" t="e">
        <f>AND(#REF!,"AAAAAC3PqQE=")</f>
        <v>#REF!</v>
      </c>
      <c r="C360" t="e">
        <f>AND(#REF!,"AAAAAC3PqQI=")</f>
        <v>#REF!</v>
      </c>
      <c r="D360" t="e">
        <f>AND(#REF!,"AAAAAC3PqQM=")</f>
        <v>#REF!</v>
      </c>
      <c r="E360" t="e">
        <f>AND(#REF!,"AAAAAC3PqQQ=")</f>
        <v>#REF!</v>
      </c>
      <c r="F360" t="e">
        <f>AND(#REF!,"AAAAAC3PqQU=")</f>
        <v>#REF!</v>
      </c>
      <c r="G360" t="e">
        <f>IF(#REF!,"AAAAAC3PqQY=",0)</f>
        <v>#REF!</v>
      </c>
      <c r="H360" t="e">
        <f>AND(#REF!,"AAAAAC3PqQc=")</f>
        <v>#REF!</v>
      </c>
      <c r="I360" t="e">
        <f>AND(#REF!,"AAAAAC3PqQg=")</f>
        <v>#REF!</v>
      </c>
      <c r="J360" t="e">
        <f>AND(#REF!,"AAAAAC3PqQk=")</f>
        <v>#REF!</v>
      </c>
      <c r="K360" t="e">
        <f>AND(#REF!,"AAAAAC3PqQo=")</f>
        <v>#REF!</v>
      </c>
      <c r="L360" t="e">
        <f>AND(#REF!,"AAAAAC3PqQs=")</f>
        <v>#REF!</v>
      </c>
      <c r="M360" t="e">
        <f>AND(#REF!,"AAAAAC3PqQw=")</f>
        <v>#REF!</v>
      </c>
      <c r="N360" t="e">
        <f>AND(#REF!,"AAAAAC3PqQ0=")</f>
        <v>#REF!</v>
      </c>
      <c r="O360" t="e">
        <f>AND(#REF!,"AAAAAC3PqQ4=")</f>
        <v>#REF!</v>
      </c>
      <c r="P360" t="e">
        <f>AND(#REF!,"AAAAAC3PqQ8=")</f>
        <v>#REF!</v>
      </c>
      <c r="Q360" t="e">
        <f>AND(#REF!,"AAAAAC3PqRA=")</f>
        <v>#REF!</v>
      </c>
      <c r="R360" t="e">
        <f>AND(#REF!,"AAAAAC3PqRE=")</f>
        <v>#REF!</v>
      </c>
      <c r="S360" t="e">
        <f>AND(#REF!,"AAAAAC3PqRI=")</f>
        <v>#REF!</v>
      </c>
      <c r="T360" t="e">
        <f>AND(#REF!,"AAAAAC3PqRM=")</f>
        <v>#REF!</v>
      </c>
      <c r="U360" t="e">
        <f>AND(#REF!,"AAAAAC3PqRQ=")</f>
        <v>#REF!</v>
      </c>
      <c r="V360" t="e">
        <f>AND(#REF!,"AAAAAC3PqRU=")</f>
        <v>#REF!</v>
      </c>
      <c r="W360" t="e">
        <f>AND(#REF!,"AAAAAC3PqRY=")</f>
        <v>#REF!</v>
      </c>
      <c r="X360" t="e">
        <f>AND(#REF!,"AAAAAC3PqRc=")</f>
        <v>#REF!</v>
      </c>
      <c r="Y360" t="e">
        <f>AND(#REF!,"AAAAAC3PqRg=")</f>
        <v>#REF!</v>
      </c>
      <c r="Z360" t="e">
        <f>AND(#REF!,"AAAAAC3PqRk=")</f>
        <v>#REF!</v>
      </c>
      <c r="AA360" t="e">
        <f>AND(#REF!,"AAAAAC3PqRo=")</f>
        <v>#REF!</v>
      </c>
      <c r="AB360" t="e">
        <f>AND(#REF!,"AAAAAC3PqRs=")</f>
        <v>#REF!</v>
      </c>
      <c r="AC360" t="e">
        <f>AND(#REF!,"AAAAAC3PqRw=")</f>
        <v>#REF!</v>
      </c>
      <c r="AD360" t="e">
        <f>AND(#REF!,"AAAAAC3PqR0=")</f>
        <v>#REF!</v>
      </c>
      <c r="AE360" t="e">
        <f>AND(#REF!,"AAAAAC3PqR4=")</f>
        <v>#REF!</v>
      </c>
      <c r="AF360" t="e">
        <f>IF(#REF!,"AAAAAC3PqR8=",0)</f>
        <v>#REF!</v>
      </c>
      <c r="AG360" t="e">
        <f>AND(#REF!,"AAAAAC3PqSA=")</f>
        <v>#REF!</v>
      </c>
      <c r="AH360" t="e">
        <f>AND(#REF!,"AAAAAC3PqSE=")</f>
        <v>#REF!</v>
      </c>
      <c r="AI360" t="e">
        <f>AND(#REF!,"AAAAAC3PqSI=")</f>
        <v>#REF!</v>
      </c>
      <c r="AJ360" t="e">
        <f>AND(#REF!,"AAAAAC3PqSM=")</f>
        <v>#REF!</v>
      </c>
      <c r="AK360" t="e">
        <f>AND(#REF!,"AAAAAC3PqSQ=")</f>
        <v>#REF!</v>
      </c>
      <c r="AL360" t="e">
        <f>AND(#REF!,"AAAAAC3PqSU=")</f>
        <v>#REF!</v>
      </c>
      <c r="AM360" t="e">
        <f>AND(#REF!,"AAAAAC3PqSY=")</f>
        <v>#REF!</v>
      </c>
      <c r="AN360" t="e">
        <f>AND(#REF!,"AAAAAC3PqSc=")</f>
        <v>#REF!</v>
      </c>
      <c r="AO360" t="e">
        <f>AND(#REF!,"AAAAAC3PqSg=")</f>
        <v>#REF!</v>
      </c>
      <c r="AP360" t="e">
        <f>AND(#REF!,"AAAAAC3PqSk=")</f>
        <v>#REF!</v>
      </c>
      <c r="AQ360" t="e">
        <f>AND(#REF!,"AAAAAC3PqSo=")</f>
        <v>#REF!</v>
      </c>
      <c r="AR360" t="e">
        <f>AND(#REF!,"AAAAAC3PqSs=")</f>
        <v>#REF!</v>
      </c>
      <c r="AS360" t="e">
        <f>AND(#REF!,"AAAAAC3PqSw=")</f>
        <v>#REF!</v>
      </c>
      <c r="AT360" t="e">
        <f>AND(#REF!,"AAAAAC3PqS0=")</f>
        <v>#REF!</v>
      </c>
      <c r="AU360" t="e">
        <f>AND(#REF!,"AAAAAC3PqS4=")</f>
        <v>#REF!</v>
      </c>
      <c r="AV360" t="e">
        <f>AND(#REF!,"AAAAAC3PqS8=")</f>
        <v>#REF!</v>
      </c>
      <c r="AW360" t="e">
        <f>AND(#REF!,"AAAAAC3PqTA=")</f>
        <v>#REF!</v>
      </c>
      <c r="AX360" t="e">
        <f>AND(#REF!,"AAAAAC3PqTE=")</f>
        <v>#REF!</v>
      </c>
      <c r="AY360" t="e">
        <f>AND(#REF!,"AAAAAC3PqTI=")</f>
        <v>#REF!</v>
      </c>
      <c r="AZ360" t="e">
        <f>AND(#REF!,"AAAAAC3PqTM=")</f>
        <v>#REF!</v>
      </c>
      <c r="BA360" t="e">
        <f>AND(#REF!,"AAAAAC3PqTQ=")</f>
        <v>#REF!</v>
      </c>
      <c r="BB360" t="e">
        <f>AND(#REF!,"AAAAAC3PqTU=")</f>
        <v>#REF!</v>
      </c>
      <c r="BC360" t="e">
        <f>AND(#REF!,"AAAAAC3PqTY=")</f>
        <v>#REF!</v>
      </c>
      <c r="BD360" t="e">
        <f>AND(#REF!,"AAAAAC3PqTc=")</f>
        <v>#REF!</v>
      </c>
      <c r="BE360" t="e">
        <f>IF(#REF!,"AAAAAC3PqTg=",0)</f>
        <v>#REF!</v>
      </c>
      <c r="BF360" t="e">
        <f>AND(#REF!,"AAAAAC3PqTk=")</f>
        <v>#REF!</v>
      </c>
      <c r="BG360" t="e">
        <f>AND(#REF!,"AAAAAC3PqTo=")</f>
        <v>#REF!</v>
      </c>
      <c r="BH360" t="e">
        <f>AND(#REF!,"AAAAAC3PqTs=")</f>
        <v>#REF!</v>
      </c>
      <c r="BI360" t="e">
        <f>AND(#REF!,"AAAAAC3PqTw=")</f>
        <v>#REF!</v>
      </c>
      <c r="BJ360" t="e">
        <f>AND(#REF!,"AAAAAC3PqT0=")</f>
        <v>#REF!</v>
      </c>
      <c r="BK360" t="e">
        <f>AND(#REF!,"AAAAAC3PqT4=")</f>
        <v>#REF!</v>
      </c>
      <c r="BL360" t="e">
        <f>AND(#REF!,"AAAAAC3PqT8=")</f>
        <v>#REF!</v>
      </c>
      <c r="BM360" t="e">
        <f>AND(#REF!,"AAAAAC3PqUA=")</f>
        <v>#REF!</v>
      </c>
      <c r="BN360" t="e">
        <f>AND(#REF!,"AAAAAC3PqUE=")</f>
        <v>#REF!</v>
      </c>
      <c r="BO360" t="e">
        <f>AND(#REF!,"AAAAAC3PqUI=")</f>
        <v>#REF!</v>
      </c>
      <c r="BP360" t="e">
        <f>AND(#REF!,"AAAAAC3PqUM=")</f>
        <v>#REF!</v>
      </c>
      <c r="BQ360" t="e">
        <f>AND(#REF!,"AAAAAC3PqUQ=")</f>
        <v>#REF!</v>
      </c>
      <c r="BR360" t="e">
        <f>AND(#REF!,"AAAAAC3PqUU=")</f>
        <v>#REF!</v>
      </c>
      <c r="BS360" t="e">
        <f>AND(#REF!,"AAAAAC3PqUY=")</f>
        <v>#REF!</v>
      </c>
      <c r="BT360" t="e">
        <f>AND(#REF!,"AAAAAC3PqUc=")</f>
        <v>#REF!</v>
      </c>
      <c r="BU360" t="e">
        <f>AND(#REF!,"AAAAAC3PqUg=")</f>
        <v>#REF!</v>
      </c>
      <c r="BV360" t="e">
        <f>AND(#REF!,"AAAAAC3PqUk=")</f>
        <v>#REF!</v>
      </c>
      <c r="BW360" t="e">
        <f>AND(#REF!,"AAAAAC3PqUo=")</f>
        <v>#REF!</v>
      </c>
      <c r="BX360" t="e">
        <f>AND(#REF!,"AAAAAC3PqUs=")</f>
        <v>#REF!</v>
      </c>
      <c r="BY360" t="e">
        <f>AND(#REF!,"AAAAAC3PqUw=")</f>
        <v>#REF!</v>
      </c>
      <c r="BZ360" t="e">
        <f>AND(#REF!,"AAAAAC3PqU0=")</f>
        <v>#REF!</v>
      </c>
      <c r="CA360" t="e">
        <f>AND(#REF!,"AAAAAC3PqU4=")</f>
        <v>#REF!</v>
      </c>
      <c r="CB360" t="e">
        <f>AND(#REF!,"AAAAAC3PqU8=")</f>
        <v>#REF!</v>
      </c>
      <c r="CC360" t="e">
        <f>AND(#REF!,"AAAAAC3PqVA=")</f>
        <v>#REF!</v>
      </c>
      <c r="CD360" t="e">
        <f>IF(#REF!,"AAAAAC3PqVE=",0)</f>
        <v>#REF!</v>
      </c>
      <c r="CE360" t="e">
        <f>AND(#REF!,"AAAAAC3PqVI=")</f>
        <v>#REF!</v>
      </c>
      <c r="CF360" t="e">
        <f>AND(#REF!,"AAAAAC3PqVM=")</f>
        <v>#REF!</v>
      </c>
      <c r="CG360" t="e">
        <f>AND(#REF!,"AAAAAC3PqVQ=")</f>
        <v>#REF!</v>
      </c>
      <c r="CH360" t="e">
        <f>AND(#REF!,"AAAAAC3PqVU=")</f>
        <v>#REF!</v>
      </c>
      <c r="CI360" t="e">
        <f>AND(#REF!,"AAAAAC3PqVY=")</f>
        <v>#REF!</v>
      </c>
      <c r="CJ360" t="e">
        <f>AND(#REF!,"AAAAAC3PqVc=")</f>
        <v>#REF!</v>
      </c>
      <c r="CK360" t="e">
        <f>AND(#REF!,"AAAAAC3PqVg=")</f>
        <v>#REF!</v>
      </c>
      <c r="CL360" t="e">
        <f>AND(#REF!,"AAAAAC3PqVk=")</f>
        <v>#REF!</v>
      </c>
      <c r="CM360" t="e">
        <f>AND(#REF!,"AAAAAC3PqVo=")</f>
        <v>#REF!</v>
      </c>
      <c r="CN360" t="e">
        <f>AND(#REF!,"AAAAAC3PqVs=")</f>
        <v>#REF!</v>
      </c>
      <c r="CO360" t="e">
        <f>AND(#REF!,"AAAAAC3PqVw=")</f>
        <v>#REF!</v>
      </c>
      <c r="CP360" t="e">
        <f>AND(#REF!,"AAAAAC3PqV0=")</f>
        <v>#REF!</v>
      </c>
      <c r="CQ360" t="e">
        <f>AND(#REF!,"AAAAAC3PqV4=")</f>
        <v>#REF!</v>
      </c>
      <c r="CR360" t="e">
        <f>AND(#REF!,"AAAAAC3PqV8=")</f>
        <v>#REF!</v>
      </c>
      <c r="CS360" t="e">
        <f>AND(#REF!,"AAAAAC3PqWA=")</f>
        <v>#REF!</v>
      </c>
      <c r="CT360" t="e">
        <f>AND(#REF!,"AAAAAC3PqWE=")</f>
        <v>#REF!</v>
      </c>
      <c r="CU360" t="e">
        <f>AND(#REF!,"AAAAAC3PqWI=")</f>
        <v>#REF!</v>
      </c>
      <c r="CV360" t="e">
        <f>AND(#REF!,"AAAAAC3PqWM=")</f>
        <v>#REF!</v>
      </c>
      <c r="CW360" t="e">
        <f>AND(#REF!,"AAAAAC3PqWQ=")</f>
        <v>#REF!</v>
      </c>
      <c r="CX360" t="e">
        <f>AND(#REF!,"AAAAAC3PqWU=")</f>
        <v>#REF!</v>
      </c>
      <c r="CY360" t="e">
        <f>AND(#REF!,"AAAAAC3PqWY=")</f>
        <v>#REF!</v>
      </c>
      <c r="CZ360" t="e">
        <f>AND(#REF!,"AAAAAC3PqWc=")</f>
        <v>#REF!</v>
      </c>
      <c r="DA360" t="e">
        <f>AND(#REF!,"AAAAAC3PqWg=")</f>
        <v>#REF!</v>
      </c>
      <c r="DB360" t="e">
        <f>AND(#REF!,"AAAAAC3PqWk=")</f>
        <v>#REF!</v>
      </c>
      <c r="DC360" t="e">
        <f>IF(#REF!,"AAAAAC3PqWo=",0)</f>
        <v>#REF!</v>
      </c>
      <c r="DD360" t="e">
        <f>AND(#REF!,"AAAAAC3PqWs=")</f>
        <v>#REF!</v>
      </c>
      <c r="DE360" t="e">
        <f>AND(#REF!,"AAAAAC3PqWw=")</f>
        <v>#REF!</v>
      </c>
      <c r="DF360" t="e">
        <f>AND(#REF!,"AAAAAC3PqW0=")</f>
        <v>#REF!</v>
      </c>
      <c r="DG360" t="e">
        <f>AND(#REF!,"AAAAAC3PqW4=")</f>
        <v>#REF!</v>
      </c>
      <c r="DH360" t="e">
        <f>AND(#REF!,"AAAAAC3PqW8=")</f>
        <v>#REF!</v>
      </c>
      <c r="DI360" t="e">
        <f>AND(#REF!,"AAAAAC3PqXA=")</f>
        <v>#REF!</v>
      </c>
      <c r="DJ360" t="e">
        <f>AND(#REF!,"AAAAAC3PqXE=")</f>
        <v>#REF!</v>
      </c>
      <c r="DK360" t="e">
        <f>AND(#REF!,"AAAAAC3PqXI=")</f>
        <v>#REF!</v>
      </c>
      <c r="DL360" t="e">
        <f>AND(#REF!,"AAAAAC3PqXM=")</f>
        <v>#REF!</v>
      </c>
      <c r="DM360" t="e">
        <f>AND(#REF!,"AAAAAC3PqXQ=")</f>
        <v>#REF!</v>
      </c>
      <c r="DN360" t="e">
        <f>AND(#REF!,"AAAAAC3PqXU=")</f>
        <v>#REF!</v>
      </c>
      <c r="DO360" t="e">
        <f>AND(#REF!,"AAAAAC3PqXY=")</f>
        <v>#REF!</v>
      </c>
      <c r="DP360" t="e">
        <f>AND(#REF!,"AAAAAC3PqXc=")</f>
        <v>#REF!</v>
      </c>
      <c r="DQ360" t="e">
        <f>AND(#REF!,"AAAAAC3PqXg=")</f>
        <v>#REF!</v>
      </c>
      <c r="DR360" t="e">
        <f>AND(#REF!,"AAAAAC3PqXk=")</f>
        <v>#REF!</v>
      </c>
      <c r="DS360" t="e">
        <f>AND(#REF!,"AAAAAC3PqXo=")</f>
        <v>#REF!</v>
      </c>
      <c r="DT360" t="e">
        <f>AND(#REF!,"AAAAAC3PqXs=")</f>
        <v>#REF!</v>
      </c>
      <c r="DU360" t="e">
        <f>AND(#REF!,"AAAAAC3PqXw=")</f>
        <v>#REF!</v>
      </c>
      <c r="DV360" t="e">
        <f>AND(#REF!,"AAAAAC3PqX0=")</f>
        <v>#REF!</v>
      </c>
      <c r="DW360" t="e">
        <f>AND(#REF!,"AAAAAC3PqX4=")</f>
        <v>#REF!</v>
      </c>
      <c r="DX360" t="e">
        <f>AND(#REF!,"AAAAAC3PqX8=")</f>
        <v>#REF!</v>
      </c>
      <c r="DY360" t="e">
        <f>AND(#REF!,"AAAAAC3PqYA=")</f>
        <v>#REF!</v>
      </c>
      <c r="DZ360" t="e">
        <f>AND(#REF!,"AAAAAC3PqYE=")</f>
        <v>#REF!</v>
      </c>
      <c r="EA360" t="e">
        <f>AND(#REF!,"AAAAAC3PqYI=")</f>
        <v>#REF!</v>
      </c>
      <c r="EB360" t="e">
        <f>IF(#REF!,"AAAAAC3PqYM=",0)</f>
        <v>#REF!</v>
      </c>
      <c r="EC360" t="e">
        <f>AND(#REF!,"AAAAAC3PqYQ=")</f>
        <v>#REF!</v>
      </c>
      <c r="ED360" t="e">
        <f>AND(#REF!,"AAAAAC3PqYU=")</f>
        <v>#REF!</v>
      </c>
      <c r="EE360" t="e">
        <f>AND(#REF!,"AAAAAC3PqYY=")</f>
        <v>#REF!</v>
      </c>
      <c r="EF360" t="e">
        <f>AND(#REF!,"AAAAAC3PqYc=")</f>
        <v>#REF!</v>
      </c>
      <c r="EG360" t="e">
        <f>AND(#REF!,"AAAAAC3PqYg=")</f>
        <v>#REF!</v>
      </c>
      <c r="EH360" t="e">
        <f>AND(#REF!,"AAAAAC3PqYk=")</f>
        <v>#REF!</v>
      </c>
      <c r="EI360" t="e">
        <f>AND(#REF!,"AAAAAC3PqYo=")</f>
        <v>#REF!</v>
      </c>
      <c r="EJ360" t="e">
        <f>AND(#REF!,"AAAAAC3PqYs=")</f>
        <v>#REF!</v>
      </c>
      <c r="EK360" t="e">
        <f>AND(#REF!,"AAAAAC3PqYw=")</f>
        <v>#REF!</v>
      </c>
      <c r="EL360" t="e">
        <f>AND(#REF!,"AAAAAC3PqY0=")</f>
        <v>#REF!</v>
      </c>
      <c r="EM360" t="e">
        <f>AND(#REF!,"AAAAAC3PqY4=")</f>
        <v>#REF!</v>
      </c>
      <c r="EN360" t="e">
        <f>AND(#REF!,"AAAAAC3PqY8=")</f>
        <v>#REF!</v>
      </c>
      <c r="EO360" t="e">
        <f>AND(#REF!,"AAAAAC3PqZA=")</f>
        <v>#REF!</v>
      </c>
      <c r="EP360" t="e">
        <f>AND(#REF!,"AAAAAC3PqZE=")</f>
        <v>#REF!</v>
      </c>
      <c r="EQ360" t="e">
        <f>AND(#REF!,"AAAAAC3PqZI=")</f>
        <v>#REF!</v>
      </c>
      <c r="ER360" t="e">
        <f>AND(#REF!,"AAAAAC3PqZM=")</f>
        <v>#REF!</v>
      </c>
      <c r="ES360" t="e">
        <f>AND(#REF!,"AAAAAC3PqZQ=")</f>
        <v>#REF!</v>
      </c>
      <c r="ET360" t="e">
        <f>AND(#REF!,"AAAAAC3PqZU=")</f>
        <v>#REF!</v>
      </c>
      <c r="EU360" t="e">
        <f>AND(#REF!,"AAAAAC3PqZY=")</f>
        <v>#REF!</v>
      </c>
      <c r="EV360" t="e">
        <f>AND(#REF!,"AAAAAC3PqZc=")</f>
        <v>#REF!</v>
      </c>
      <c r="EW360" t="e">
        <f>AND(#REF!,"AAAAAC3PqZg=")</f>
        <v>#REF!</v>
      </c>
      <c r="EX360" t="e">
        <f>AND(#REF!,"AAAAAC3PqZk=")</f>
        <v>#REF!</v>
      </c>
      <c r="EY360" t="e">
        <f>AND(#REF!,"AAAAAC3PqZo=")</f>
        <v>#REF!</v>
      </c>
      <c r="EZ360" t="e">
        <f>AND(#REF!,"AAAAAC3PqZs=")</f>
        <v>#REF!</v>
      </c>
      <c r="FA360" t="e">
        <f>IF(#REF!,"AAAAAC3PqZw=",0)</f>
        <v>#REF!</v>
      </c>
      <c r="FB360" t="e">
        <f>AND(#REF!,"AAAAAC3PqZ0=")</f>
        <v>#REF!</v>
      </c>
      <c r="FC360" t="e">
        <f>AND(#REF!,"AAAAAC3PqZ4=")</f>
        <v>#REF!</v>
      </c>
      <c r="FD360" t="e">
        <f>AND(#REF!,"AAAAAC3PqZ8=")</f>
        <v>#REF!</v>
      </c>
      <c r="FE360" t="e">
        <f>AND(#REF!,"AAAAAC3PqaA=")</f>
        <v>#REF!</v>
      </c>
      <c r="FF360" t="e">
        <f>AND(#REF!,"AAAAAC3PqaE=")</f>
        <v>#REF!</v>
      </c>
      <c r="FG360" t="e">
        <f>AND(#REF!,"AAAAAC3PqaI=")</f>
        <v>#REF!</v>
      </c>
      <c r="FH360" t="e">
        <f>AND(#REF!,"AAAAAC3PqaM=")</f>
        <v>#REF!</v>
      </c>
      <c r="FI360" t="e">
        <f>AND(#REF!,"AAAAAC3PqaQ=")</f>
        <v>#REF!</v>
      </c>
      <c r="FJ360" t="e">
        <f>AND(#REF!,"AAAAAC3PqaU=")</f>
        <v>#REF!</v>
      </c>
      <c r="FK360" t="e">
        <f>AND(#REF!,"AAAAAC3PqaY=")</f>
        <v>#REF!</v>
      </c>
      <c r="FL360" t="e">
        <f>AND(#REF!,"AAAAAC3Pqac=")</f>
        <v>#REF!</v>
      </c>
      <c r="FM360" t="e">
        <f>AND(#REF!,"AAAAAC3Pqag=")</f>
        <v>#REF!</v>
      </c>
      <c r="FN360" t="e">
        <f>AND(#REF!,"AAAAAC3Pqak=")</f>
        <v>#REF!</v>
      </c>
      <c r="FO360" t="e">
        <f>AND(#REF!,"AAAAAC3Pqao=")</f>
        <v>#REF!</v>
      </c>
      <c r="FP360" t="e">
        <f>AND(#REF!,"AAAAAC3Pqas=")</f>
        <v>#REF!</v>
      </c>
      <c r="FQ360" t="e">
        <f>AND(#REF!,"AAAAAC3Pqaw=")</f>
        <v>#REF!</v>
      </c>
      <c r="FR360" t="e">
        <f>AND(#REF!,"AAAAAC3Pqa0=")</f>
        <v>#REF!</v>
      </c>
      <c r="FS360" t="e">
        <f>AND(#REF!,"AAAAAC3Pqa4=")</f>
        <v>#REF!</v>
      </c>
      <c r="FT360" t="e">
        <f>AND(#REF!,"AAAAAC3Pqa8=")</f>
        <v>#REF!</v>
      </c>
      <c r="FU360" t="e">
        <f>AND(#REF!,"AAAAAC3PqbA=")</f>
        <v>#REF!</v>
      </c>
      <c r="FV360" t="e">
        <f>AND(#REF!,"AAAAAC3PqbE=")</f>
        <v>#REF!</v>
      </c>
      <c r="FW360" t="e">
        <f>AND(#REF!,"AAAAAC3PqbI=")</f>
        <v>#REF!</v>
      </c>
      <c r="FX360" t="e">
        <f>AND(#REF!,"AAAAAC3PqbM=")</f>
        <v>#REF!</v>
      </c>
      <c r="FY360" t="e">
        <f>AND(#REF!,"AAAAAC3PqbQ=")</f>
        <v>#REF!</v>
      </c>
      <c r="FZ360" t="e">
        <f>IF(#REF!,"AAAAAC3PqbU=",0)</f>
        <v>#REF!</v>
      </c>
      <c r="GA360" t="e">
        <f>AND(#REF!,"AAAAAC3PqbY=")</f>
        <v>#REF!</v>
      </c>
      <c r="GB360" t="e">
        <f>AND(#REF!,"AAAAAC3Pqbc=")</f>
        <v>#REF!</v>
      </c>
      <c r="GC360" t="e">
        <f>AND(#REF!,"AAAAAC3Pqbg=")</f>
        <v>#REF!</v>
      </c>
      <c r="GD360" t="e">
        <f>AND(#REF!,"AAAAAC3Pqbk=")</f>
        <v>#REF!</v>
      </c>
      <c r="GE360" t="e">
        <f>AND(#REF!,"AAAAAC3Pqbo=")</f>
        <v>#REF!</v>
      </c>
      <c r="GF360" t="e">
        <f>AND(#REF!,"AAAAAC3Pqbs=")</f>
        <v>#REF!</v>
      </c>
      <c r="GG360" t="e">
        <f>AND(#REF!,"AAAAAC3Pqbw=")</f>
        <v>#REF!</v>
      </c>
      <c r="GH360" t="e">
        <f>AND(#REF!,"AAAAAC3Pqb0=")</f>
        <v>#REF!</v>
      </c>
      <c r="GI360" t="e">
        <f>AND(#REF!,"AAAAAC3Pqb4=")</f>
        <v>#REF!</v>
      </c>
      <c r="GJ360" t="e">
        <f>AND(#REF!,"AAAAAC3Pqb8=")</f>
        <v>#REF!</v>
      </c>
      <c r="GK360" t="e">
        <f>AND(#REF!,"AAAAAC3PqcA=")</f>
        <v>#REF!</v>
      </c>
      <c r="GL360" t="e">
        <f>AND(#REF!,"AAAAAC3PqcE=")</f>
        <v>#REF!</v>
      </c>
      <c r="GM360" t="e">
        <f>AND(#REF!,"AAAAAC3PqcI=")</f>
        <v>#REF!</v>
      </c>
      <c r="GN360" t="e">
        <f>AND(#REF!,"AAAAAC3PqcM=")</f>
        <v>#REF!</v>
      </c>
      <c r="GO360" t="e">
        <f>AND(#REF!,"AAAAAC3PqcQ=")</f>
        <v>#REF!</v>
      </c>
      <c r="GP360" t="e">
        <f>AND(#REF!,"AAAAAC3PqcU=")</f>
        <v>#REF!</v>
      </c>
      <c r="GQ360" t="e">
        <f>AND(#REF!,"AAAAAC3PqcY=")</f>
        <v>#REF!</v>
      </c>
      <c r="GR360" t="e">
        <f>AND(#REF!,"AAAAAC3Pqcc=")</f>
        <v>#REF!</v>
      </c>
      <c r="GS360" t="e">
        <f>AND(#REF!,"AAAAAC3Pqcg=")</f>
        <v>#REF!</v>
      </c>
      <c r="GT360" t="e">
        <f>AND(#REF!,"AAAAAC3Pqck=")</f>
        <v>#REF!</v>
      </c>
      <c r="GU360" t="e">
        <f>AND(#REF!,"AAAAAC3Pqco=")</f>
        <v>#REF!</v>
      </c>
      <c r="GV360" t="e">
        <f>AND(#REF!,"AAAAAC3Pqcs=")</f>
        <v>#REF!</v>
      </c>
      <c r="GW360" t="e">
        <f>AND(#REF!,"AAAAAC3Pqcw=")</f>
        <v>#REF!</v>
      </c>
      <c r="GX360" t="e">
        <f>AND(#REF!,"AAAAAC3Pqc0=")</f>
        <v>#REF!</v>
      </c>
      <c r="GY360" t="e">
        <f>IF(#REF!,"AAAAAC3Pqc4=",0)</f>
        <v>#REF!</v>
      </c>
      <c r="GZ360" t="e">
        <f>AND(#REF!,"AAAAAC3Pqc8=")</f>
        <v>#REF!</v>
      </c>
      <c r="HA360" t="e">
        <f>AND(#REF!,"AAAAAC3PqdA=")</f>
        <v>#REF!</v>
      </c>
      <c r="HB360" t="e">
        <f>AND(#REF!,"AAAAAC3PqdE=")</f>
        <v>#REF!</v>
      </c>
      <c r="HC360" t="e">
        <f>AND(#REF!,"AAAAAC3PqdI=")</f>
        <v>#REF!</v>
      </c>
      <c r="HD360" t="e">
        <f>AND(#REF!,"AAAAAC3PqdM=")</f>
        <v>#REF!</v>
      </c>
      <c r="HE360" t="e">
        <f>AND(#REF!,"AAAAAC3PqdQ=")</f>
        <v>#REF!</v>
      </c>
      <c r="HF360" t="e">
        <f>AND(#REF!,"AAAAAC3PqdU=")</f>
        <v>#REF!</v>
      </c>
      <c r="HG360" t="e">
        <f>AND(#REF!,"AAAAAC3PqdY=")</f>
        <v>#REF!</v>
      </c>
      <c r="HH360" t="e">
        <f>AND(#REF!,"AAAAAC3Pqdc=")</f>
        <v>#REF!</v>
      </c>
      <c r="HI360" t="e">
        <f>AND(#REF!,"AAAAAC3Pqdg=")</f>
        <v>#REF!</v>
      </c>
      <c r="HJ360" t="e">
        <f>AND(#REF!,"AAAAAC3Pqdk=")</f>
        <v>#REF!</v>
      </c>
      <c r="HK360" t="e">
        <f>AND(#REF!,"AAAAAC3Pqdo=")</f>
        <v>#REF!</v>
      </c>
      <c r="HL360" t="e">
        <f>AND(#REF!,"AAAAAC3Pqds=")</f>
        <v>#REF!</v>
      </c>
      <c r="HM360" t="e">
        <f>AND(#REF!,"AAAAAC3Pqdw=")</f>
        <v>#REF!</v>
      </c>
      <c r="HN360" t="e">
        <f>AND(#REF!,"AAAAAC3Pqd0=")</f>
        <v>#REF!</v>
      </c>
      <c r="HO360" t="e">
        <f>AND(#REF!,"AAAAAC3Pqd4=")</f>
        <v>#REF!</v>
      </c>
      <c r="HP360" t="e">
        <f>AND(#REF!,"AAAAAC3Pqd8=")</f>
        <v>#REF!</v>
      </c>
      <c r="HQ360" t="e">
        <f>AND(#REF!,"AAAAAC3PqeA=")</f>
        <v>#REF!</v>
      </c>
      <c r="HR360" t="e">
        <f>AND(#REF!,"AAAAAC3PqeE=")</f>
        <v>#REF!</v>
      </c>
      <c r="HS360" t="e">
        <f>AND(#REF!,"AAAAAC3PqeI=")</f>
        <v>#REF!</v>
      </c>
      <c r="HT360" t="e">
        <f>AND(#REF!,"AAAAAC3PqeM=")</f>
        <v>#REF!</v>
      </c>
      <c r="HU360" t="e">
        <f>AND(#REF!,"AAAAAC3PqeQ=")</f>
        <v>#REF!</v>
      </c>
      <c r="HV360" t="e">
        <f>AND(#REF!,"AAAAAC3PqeU=")</f>
        <v>#REF!</v>
      </c>
      <c r="HW360" t="e">
        <f>AND(#REF!,"AAAAAC3PqeY=")</f>
        <v>#REF!</v>
      </c>
      <c r="HX360" t="e">
        <f>IF(#REF!,"AAAAAC3Pqec=",0)</f>
        <v>#REF!</v>
      </c>
      <c r="HY360" t="e">
        <f>AND(#REF!,"AAAAAC3Pqeg=")</f>
        <v>#REF!</v>
      </c>
      <c r="HZ360" t="e">
        <f>AND(#REF!,"AAAAAC3Pqek=")</f>
        <v>#REF!</v>
      </c>
      <c r="IA360" t="e">
        <f>AND(#REF!,"AAAAAC3Pqeo=")</f>
        <v>#REF!</v>
      </c>
      <c r="IB360" t="e">
        <f>AND(#REF!,"AAAAAC3Pqes=")</f>
        <v>#REF!</v>
      </c>
      <c r="IC360" t="e">
        <f>AND(#REF!,"AAAAAC3Pqew=")</f>
        <v>#REF!</v>
      </c>
      <c r="ID360" t="e">
        <f>AND(#REF!,"AAAAAC3Pqe0=")</f>
        <v>#REF!</v>
      </c>
      <c r="IE360" t="e">
        <f>AND(#REF!,"AAAAAC3Pqe4=")</f>
        <v>#REF!</v>
      </c>
      <c r="IF360" t="e">
        <f>AND(#REF!,"AAAAAC3Pqe8=")</f>
        <v>#REF!</v>
      </c>
      <c r="IG360" t="e">
        <f>AND(#REF!,"AAAAAC3PqfA=")</f>
        <v>#REF!</v>
      </c>
      <c r="IH360" t="e">
        <f>AND(#REF!,"AAAAAC3PqfE=")</f>
        <v>#REF!</v>
      </c>
      <c r="II360" t="e">
        <f>AND(#REF!,"AAAAAC3PqfI=")</f>
        <v>#REF!</v>
      </c>
      <c r="IJ360" t="e">
        <f>AND(#REF!,"AAAAAC3PqfM=")</f>
        <v>#REF!</v>
      </c>
      <c r="IK360" t="e">
        <f>AND(#REF!,"AAAAAC3PqfQ=")</f>
        <v>#REF!</v>
      </c>
      <c r="IL360" t="e">
        <f>AND(#REF!,"AAAAAC3PqfU=")</f>
        <v>#REF!</v>
      </c>
      <c r="IM360" t="e">
        <f>AND(#REF!,"AAAAAC3PqfY=")</f>
        <v>#REF!</v>
      </c>
      <c r="IN360" t="e">
        <f>AND(#REF!,"AAAAAC3Pqfc=")</f>
        <v>#REF!</v>
      </c>
      <c r="IO360" t="e">
        <f>AND(#REF!,"AAAAAC3Pqfg=")</f>
        <v>#REF!</v>
      </c>
      <c r="IP360" t="e">
        <f>AND(#REF!,"AAAAAC3Pqfk=")</f>
        <v>#REF!</v>
      </c>
      <c r="IQ360" t="e">
        <f>AND(#REF!,"AAAAAC3Pqfo=")</f>
        <v>#REF!</v>
      </c>
      <c r="IR360" t="e">
        <f>AND(#REF!,"AAAAAC3Pqfs=")</f>
        <v>#REF!</v>
      </c>
      <c r="IS360" t="e">
        <f>AND(#REF!,"AAAAAC3Pqfw=")</f>
        <v>#REF!</v>
      </c>
      <c r="IT360" t="e">
        <f>AND(#REF!,"AAAAAC3Pqf0=")</f>
        <v>#REF!</v>
      </c>
      <c r="IU360" t="e">
        <f>AND(#REF!,"AAAAAC3Pqf4=")</f>
        <v>#REF!</v>
      </c>
      <c r="IV360" t="e">
        <f>AND(#REF!,"AAAAAC3Pqf8=")</f>
        <v>#REF!</v>
      </c>
    </row>
    <row r="361" spans="1:256">
      <c r="A361" t="e">
        <f>IF(#REF!,"AAAAAEv7+wA=",0)</f>
        <v>#REF!</v>
      </c>
      <c r="B361" t="e">
        <f>AND(#REF!,"AAAAAEv7+wE=")</f>
        <v>#REF!</v>
      </c>
      <c r="C361" t="e">
        <f>AND(#REF!,"AAAAAEv7+wI=")</f>
        <v>#REF!</v>
      </c>
      <c r="D361" t="e">
        <f>AND(#REF!,"AAAAAEv7+wM=")</f>
        <v>#REF!</v>
      </c>
      <c r="E361" t="e">
        <f>AND(#REF!,"AAAAAEv7+wQ=")</f>
        <v>#REF!</v>
      </c>
      <c r="F361" t="e">
        <f>AND(#REF!,"AAAAAEv7+wU=")</f>
        <v>#REF!</v>
      </c>
      <c r="G361" t="e">
        <f>AND(#REF!,"AAAAAEv7+wY=")</f>
        <v>#REF!</v>
      </c>
      <c r="H361" t="e">
        <f>AND(#REF!,"AAAAAEv7+wc=")</f>
        <v>#REF!</v>
      </c>
      <c r="I361" t="e">
        <f>AND(#REF!,"AAAAAEv7+wg=")</f>
        <v>#REF!</v>
      </c>
      <c r="J361" t="e">
        <f>AND(#REF!,"AAAAAEv7+wk=")</f>
        <v>#REF!</v>
      </c>
      <c r="K361" t="e">
        <f>AND(#REF!,"AAAAAEv7+wo=")</f>
        <v>#REF!</v>
      </c>
      <c r="L361" t="e">
        <f>AND(#REF!,"AAAAAEv7+ws=")</f>
        <v>#REF!</v>
      </c>
      <c r="M361" t="e">
        <f>AND(#REF!,"AAAAAEv7+ww=")</f>
        <v>#REF!</v>
      </c>
      <c r="N361" t="e">
        <f>AND(#REF!,"AAAAAEv7+w0=")</f>
        <v>#REF!</v>
      </c>
      <c r="O361" t="e">
        <f>AND(#REF!,"AAAAAEv7+w4=")</f>
        <v>#REF!</v>
      </c>
      <c r="P361" t="e">
        <f>AND(#REF!,"AAAAAEv7+w8=")</f>
        <v>#REF!</v>
      </c>
      <c r="Q361" t="e">
        <f>AND(#REF!,"AAAAAEv7+xA=")</f>
        <v>#REF!</v>
      </c>
      <c r="R361" t="e">
        <f>AND(#REF!,"AAAAAEv7+xE=")</f>
        <v>#REF!</v>
      </c>
      <c r="S361" t="e">
        <f>AND(#REF!,"AAAAAEv7+xI=")</f>
        <v>#REF!</v>
      </c>
      <c r="T361" t="e">
        <f>AND(#REF!,"AAAAAEv7+xM=")</f>
        <v>#REF!</v>
      </c>
      <c r="U361" t="e">
        <f>AND(#REF!,"AAAAAEv7+xQ=")</f>
        <v>#REF!</v>
      </c>
      <c r="V361" t="e">
        <f>AND(#REF!,"AAAAAEv7+xU=")</f>
        <v>#REF!</v>
      </c>
      <c r="W361" t="e">
        <f>AND(#REF!,"AAAAAEv7+xY=")</f>
        <v>#REF!</v>
      </c>
      <c r="X361" t="e">
        <f>AND(#REF!,"AAAAAEv7+xc=")</f>
        <v>#REF!</v>
      </c>
      <c r="Y361" t="e">
        <f>AND(#REF!,"AAAAAEv7+xg=")</f>
        <v>#REF!</v>
      </c>
      <c r="Z361" t="e">
        <f>IF(#REF!,"AAAAAEv7+xk=",0)</f>
        <v>#REF!</v>
      </c>
      <c r="AA361" t="e">
        <f>AND(#REF!,"AAAAAEv7+xo=")</f>
        <v>#REF!</v>
      </c>
      <c r="AB361" t="e">
        <f>AND(#REF!,"AAAAAEv7+xs=")</f>
        <v>#REF!</v>
      </c>
      <c r="AC361" t="e">
        <f>AND(#REF!,"AAAAAEv7+xw=")</f>
        <v>#REF!</v>
      </c>
      <c r="AD361" t="e">
        <f>AND(#REF!,"AAAAAEv7+x0=")</f>
        <v>#REF!</v>
      </c>
      <c r="AE361" t="e">
        <f>AND(#REF!,"AAAAAEv7+x4=")</f>
        <v>#REF!</v>
      </c>
      <c r="AF361" t="e">
        <f>AND(#REF!,"AAAAAEv7+x8=")</f>
        <v>#REF!</v>
      </c>
      <c r="AG361" t="e">
        <f>AND(#REF!,"AAAAAEv7+yA=")</f>
        <v>#REF!</v>
      </c>
      <c r="AH361" t="e">
        <f>AND(#REF!,"AAAAAEv7+yE=")</f>
        <v>#REF!</v>
      </c>
      <c r="AI361" t="e">
        <f>AND(#REF!,"AAAAAEv7+yI=")</f>
        <v>#REF!</v>
      </c>
      <c r="AJ361" t="e">
        <f>AND(#REF!,"AAAAAEv7+yM=")</f>
        <v>#REF!</v>
      </c>
      <c r="AK361" t="e">
        <f>AND(#REF!,"AAAAAEv7+yQ=")</f>
        <v>#REF!</v>
      </c>
      <c r="AL361" t="e">
        <f>AND(#REF!,"AAAAAEv7+yU=")</f>
        <v>#REF!</v>
      </c>
      <c r="AM361" t="e">
        <f>AND(#REF!,"AAAAAEv7+yY=")</f>
        <v>#REF!</v>
      </c>
      <c r="AN361" t="e">
        <f>AND(#REF!,"AAAAAEv7+yc=")</f>
        <v>#REF!</v>
      </c>
      <c r="AO361" t="e">
        <f>AND(#REF!,"AAAAAEv7+yg=")</f>
        <v>#REF!</v>
      </c>
      <c r="AP361" t="e">
        <f>AND(#REF!,"AAAAAEv7+yk=")</f>
        <v>#REF!</v>
      </c>
      <c r="AQ361" t="e">
        <f>AND(#REF!,"AAAAAEv7+yo=")</f>
        <v>#REF!</v>
      </c>
      <c r="AR361" t="e">
        <f>AND(#REF!,"AAAAAEv7+ys=")</f>
        <v>#REF!</v>
      </c>
      <c r="AS361" t="e">
        <f>AND(#REF!,"AAAAAEv7+yw=")</f>
        <v>#REF!</v>
      </c>
      <c r="AT361" t="e">
        <f>AND(#REF!,"AAAAAEv7+y0=")</f>
        <v>#REF!</v>
      </c>
      <c r="AU361" t="e">
        <f>AND(#REF!,"AAAAAEv7+y4=")</f>
        <v>#REF!</v>
      </c>
      <c r="AV361" t="e">
        <f>AND(#REF!,"AAAAAEv7+y8=")</f>
        <v>#REF!</v>
      </c>
      <c r="AW361" t="e">
        <f>AND(#REF!,"AAAAAEv7+zA=")</f>
        <v>#REF!</v>
      </c>
      <c r="AX361" t="e">
        <f>AND(#REF!,"AAAAAEv7+zE=")</f>
        <v>#REF!</v>
      </c>
      <c r="AY361" t="e">
        <f>IF(#REF!,"AAAAAEv7+zI=",0)</f>
        <v>#REF!</v>
      </c>
      <c r="AZ361" t="e">
        <f>AND(#REF!,"AAAAAEv7+zM=")</f>
        <v>#REF!</v>
      </c>
      <c r="BA361" t="e">
        <f>AND(#REF!,"AAAAAEv7+zQ=")</f>
        <v>#REF!</v>
      </c>
      <c r="BB361" t="e">
        <f>AND(#REF!,"AAAAAEv7+zU=")</f>
        <v>#REF!</v>
      </c>
      <c r="BC361" t="e">
        <f>AND(#REF!,"AAAAAEv7+zY=")</f>
        <v>#REF!</v>
      </c>
      <c r="BD361" t="e">
        <f>AND(#REF!,"AAAAAEv7+zc=")</f>
        <v>#REF!</v>
      </c>
      <c r="BE361" t="e">
        <f>AND(#REF!,"AAAAAEv7+zg=")</f>
        <v>#REF!</v>
      </c>
      <c r="BF361" t="e">
        <f>AND(#REF!,"AAAAAEv7+zk=")</f>
        <v>#REF!</v>
      </c>
      <c r="BG361" t="e">
        <f>AND(#REF!,"AAAAAEv7+zo=")</f>
        <v>#REF!</v>
      </c>
      <c r="BH361" t="e">
        <f>AND(#REF!,"AAAAAEv7+zs=")</f>
        <v>#REF!</v>
      </c>
      <c r="BI361" t="e">
        <f>AND(#REF!,"AAAAAEv7+zw=")</f>
        <v>#REF!</v>
      </c>
      <c r="BJ361" t="e">
        <f>AND(#REF!,"AAAAAEv7+z0=")</f>
        <v>#REF!</v>
      </c>
      <c r="BK361" t="e">
        <f>AND(#REF!,"AAAAAEv7+z4=")</f>
        <v>#REF!</v>
      </c>
      <c r="BL361" t="e">
        <f>AND(#REF!,"AAAAAEv7+z8=")</f>
        <v>#REF!</v>
      </c>
      <c r="BM361" t="e">
        <f>AND(#REF!,"AAAAAEv7+0A=")</f>
        <v>#REF!</v>
      </c>
      <c r="BN361" t="e">
        <f>AND(#REF!,"AAAAAEv7+0E=")</f>
        <v>#REF!</v>
      </c>
      <c r="BO361" t="e">
        <f>AND(#REF!,"AAAAAEv7+0I=")</f>
        <v>#REF!</v>
      </c>
      <c r="BP361" t="e">
        <f>AND(#REF!,"AAAAAEv7+0M=")</f>
        <v>#REF!</v>
      </c>
      <c r="BQ361" t="e">
        <f>AND(#REF!,"AAAAAEv7+0Q=")</f>
        <v>#REF!</v>
      </c>
      <c r="BR361" t="e">
        <f>AND(#REF!,"AAAAAEv7+0U=")</f>
        <v>#REF!</v>
      </c>
      <c r="BS361" t="e">
        <f>AND(#REF!,"AAAAAEv7+0Y=")</f>
        <v>#REF!</v>
      </c>
      <c r="BT361" t="e">
        <f>AND(#REF!,"AAAAAEv7+0c=")</f>
        <v>#REF!</v>
      </c>
      <c r="BU361" t="e">
        <f>AND(#REF!,"AAAAAEv7+0g=")</f>
        <v>#REF!</v>
      </c>
      <c r="BV361" t="e">
        <f>AND(#REF!,"AAAAAEv7+0k=")</f>
        <v>#REF!</v>
      </c>
      <c r="BW361" t="e">
        <f>AND(#REF!,"AAAAAEv7+0o=")</f>
        <v>#REF!</v>
      </c>
      <c r="BX361" t="e">
        <f>IF(#REF!,"AAAAAEv7+0s=",0)</f>
        <v>#REF!</v>
      </c>
      <c r="BY361" t="e">
        <f>AND(#REF!,"AAAAAEv7+0w=")</f>
        <v>#REF!</v>
      </c>
      <c r="BZ361" t="e">
        <f>AND(#REF!,"AAAAAEv7+00=")</f>
        <v>#REF!</v>
      </c>
      <c r="CA361" t="e">
        <f>AND(#REF!,"AAAAAEv7+04=")</f>
        <v>#REF!</v>
      </c>
      <c r="CB361" t="e">
        <f>AND(#REF!,"AAAAAEv7+08=")</f>
        <v>#REF!</v>
      </c>
      <c r="CC361" t="e">
        <f>AND(#REF!,"AAAAAEv7+1A=")</f>
        <v>#REF!</v>
      </c>
      <c r="CD361" t="e">
        <f>AND(#REF!,"AAAAAEv7+1E=")</f>
        <v>#REF!</v>
      </c>
      <c r="CE361" t="e">
        <f>AND(#REF!,"AAAAAEv7+1I=")</f>
        <v>#REF!</v>
      </c>
      <c r="CF361" t="e">
        <f>AND(#REF!,"AAAAAEv7+1M=")</f>
        <v>#REF!</v>
      </c>
      <c r="CG361" t="e">
        <f>AND(#REF!,"AAAAAEv7+1Q=")</f>
        <v>#REF!</v>
      </c>
      <c r="CH361" t="e">
        <f>AND(#REF!,"AAAAAEv7+1U=")</f>
        <v>#REF!</v>
      </c>
      <c r="CI361" t="e">
        <f>AND(#REF!,"AAAAAEv7+1Y=")</f>
        <v>#REF!</v>
      </c>
      <c r="CJ361" t="e">
        <f>AND(#REF!,"AAAAAEv7+1c=")</f>
        <v>#REF!</v>
      </c>
      <c r="CK361" t="e">
        <f>AND(#REF!,"AAAAAEv7+1g=")</f>
        <v>#REF!</v>
      </c>
      <c r="CL361" t="e">
        <f>AND(#REF!,"AAAAAEv7+1k=")</f>
        <v>#REF!</v>
      </c>
      <c r="CM361" t="e">
        <f>AND(#REF!,"AAAAAEv7+1o=")</f>
        <v>#REF!</v>
      </c>
      <c r="CN361" t="e">
        <f>AND(#REF!,"AAAAAEv7+1s=")</f>
        <v>#REF!</v>
      </c>
      <c r="CO361" t="e">
        <f>AND(#REF!,"AAAAAEv7+1w=")</f>
        <v>#REF!</v>
      </c>
      <c r="CP361" t="e">
        <f>AND(#REF!,"AAAAAEv7+10=")</f>
        <v>#REF!</v>
      </c>
      <c r="CQ361" t="e">
        <f>AND(#REF!,"AAAAAEv7+14=")</f>
        <v>#REF!</v>
      </c>
      <c r="CR361" t="e">
        <f>AND(#REF!,"AAAAAEv7+18=")</f>
        <v>#REF!</v>
      </c>
      <c r="CS361" t="e">
        <f>AND(#REF!,"AAAAAEv7+2A=")</f>
        <v>#REF!</v>
      </c>
      <c r="CT361" t="e">
        <f>AND(#REF!,"AAAAAEv7+2E=")</f>
        <v>#REF!</v>
      </c>
      <c r="CU361" t="e">
        <f>AND(#REF!,"AAAAAEv7+2I=")</f>
        <v>#REF!</v>
      </c>
      <c r="CV361" t="e">
        <f>AND(#REF!,"AAAAAEv7+2M=")</f>
        <v>#REF!</v>
      </c>
      <c r="CW361" t="e">
        <f>IF(#REF!,"AAAAAEv7+2Q=",0)</f>
        <v>#REF!</v>
      </c>
      <c r="CX361" t="e">
        <f>AND(#REF!,"AAAAAEv7+2U=")</f>
        <v>#REF!</v>
      </c>
      <c r="CY361" t="e">
        <f>AND(#REF!,"AAAAAEv7+2Y=")</f>
        <v>#REF!</v>
      </c>
      <c r="CZ361" t="e">
        <f>AND(#REF!,"AAAAAEv7+2c=")</f>
        <v>#REF!</v>
      </c>
      <c r="DA361" t="e">
        <f>AND(#REF!,"AAAAAEv7+2g=")</f>
        <v>#REF!</v>
      </c>
      <c r="DB361" t="e">
        <f>AND(#REF!,"AAAAAEv7+2k=")</f>
        <v>#REF!</v>
      </c>
      <c r="DC361" t="e">
        <f>AND(#REF!,"AAAAAEv7+2o=")</f>
        <v>#REF!</v>
      </c>
      <c r="DD361" t="e">
        <f>AND(#REF!,"AAAAAEv7+2s=")</f>
        <v>#REF!</v>
      </c>
      <c r="DE361" t="e">
        <f>AND(#REF!,"AAAAAEv7+2w=")</f>
        <v>#REF!</v>
      </c>
      <c r="DF361" t="e">
        <f>AND(#REF!,"AAAAAEv7+20=")</f>
        <v>#REF!</v>
      </c>
      <c r="DG361" t="e">
        <f>AND(#REF!,"AAAAAEv7+24=")</f>
        <v>#REF!</v>
      </c>
      <c r="DH361" t="e">
        <f>AND(#REF!,"AAAAAEv7+28=")</f>
        <v>#REF!</v>
      </c>
      <c r="DI361" t="e">
        <f>AND(#REF!,"AAAAAEv7+3A=")</f>
        <v>#REF!</v>
      </c>
      <c r="DJ361" t="e">
        <f>AND(#REF!,"AAAAAEv7+3E=")</f>
        <v>#REF!</v>
      </c>
      <c r="DK361" t="e">
        <f>AND(#REF!,"AAAAAEv7+3I=")</f>
        <v>#REF!</v>
      </c>
      <c r="DL361" t="e">
        <f>AND(#REF!,"AAAAAEv7+3M=")</f>
        <v>#REF!</v>
      </c>
      <c r="DM361" t="e">
        <f>AND(#REF!,"AAAAAEv7+3Q=")</f>
        <v>#REF!</v>
      </c>
      <c r="DN361" t="e">
        <f>AND(#REF!,"AAAAAEv7+3U=")</f>
        <v>#REF!</v>
      </c>
      <c r="DO361" t="e">
        <f>AND(#REF!,"AAAAAEv7+3Y=")</f>
        <v>#REF!</v>
      </c>
      <c r="DP361" t="e">
        <f>AND(#REF!,"AAAAAEv7+3c=")</f>
        <v>#REF!</v>
      </c>
      <c r="DQ361" t="e">
        <f>AND(#REF!,"AAAAAEv7+3g=")</f>
        <v>#REF!</v>
      </c>
      <c r="DR361" t="e">
        <f>AND(#REF!,"AAAAAEv7+3k=")</f>
        <v>#REF!</v>
      </c>
      <c r="DS361" t="e">
        <f>AND(#REF!,"AAAAAEv7+3o=")</f>
        <v>#REF!</v>
      </c>
      <c r="DT361" t="e">
        <f>AND(#REF!,"AAAAAEv7+3s=")</f>
        <v>#REF!</v>
      </c>
      <c r="DU361" t="e">
        <f>AND(#REF!,"AAAAAEv7+3w=")</f>
        <v>#REF!</v>
      </c>
      <c r="DV361" t="e">
        <f>IF(#REF!,"AAAAAEv7+30=",0)</f>
        <v>#REF!</v>
      </c>
      <c r="DW361" t="e">
        <f>AND(#REF!,"AAAAAEv7+34=")</f>
        <v>#REF!</v>
      </c>
      <c r="DX361" t="e">
        <f>AND(#REF!,"AAAAAEv7+38=")</f>
        <v>#REF!</v>
      </c>
      <c r="DY361" t="e">
        <f>AND(#REF!,"AAAAAEv7+4A=")</f>
        <v>#REF!</v>
      </c>
      <c r="DZ361" t="e">
        <f>AND(#REF!,"AAAAAEv7+4E=")</f>
        <v>#REF!</v>
      </c>
      <c r="EA361" t="e">
        <f>AND(#REF!,"AAAAAEv7+4I=")</f>
        <v>#REF!</v>
      </c>
      <c r="EB361" t="e">
        <f>AND(#REF!,"AAAAAEv7+4M=")</f>
        <v>#REF!</v>
      </c>
      <c r="EC361" t="e">
        <f>AND(#REF!,"AAAAAEv7+4Q=")</f>
        <v>#REF!</v>
      </c>
      <c r="ED361" t="e">
        <f>AND(#REF!,"AAAAAEv7+4U=")</f>
        <v>#REF!</v>
      </c>
      <c r="EE361" t="e">
        <f>AND(#REF!,"AAAAAEv7+4Y=")</f>
        <v>#REF!</v>
      </c>
      <c r="EF361" t="e">
        <f>AND(#REF!,"AAAAAEv7+4c=")</f>
        <v>#REF!</v>
      </c>
      <c r="EG361" t="e">
        <f>AND(#REF!,"AAAAAEv7+4g=")</f>
        <v>#REF!</v>
      </c>
      <c r="EH361" t="e">
        <f>AND(#REF!,"AAAAAEv7+4k=")</f>
        <v>#REF!</v>
      </c>
      <c r="EI361" t="e">
        <f>AND(#REF!,"AAAAAEv7+4o=")</f>
        <v>#REF!</v>
      </c>
      <c r="EJ361" t="e">
        <f>AND(#REF!,"AAAAAEv7+4s=")</f>
        <v>#REF!</v>
      </c>
      <c r="EK361" t="e">
        <f>AND(#REF!,"AAAAAEv7+4w=")</f>
        <v>#REF!</v>
      </c>
      <c r="EL361" t="e">
        <f>AND(#REF!,"AAAAAEv7+40=")</f>
        <v>#REF!</v>
      </c>
      <c r="EM361" t="e">
        <f>AND(#REF!,"AAAAAEv7+44=")</f>
        <v>#REF!</v>
      </c>
      <c r="EN361" t="e">
        <f>AND(#REF!,"AAAAAEv7+48=")</f>
        <v>#REF!</v>
      </c>
      <c r="EO361" t="e">
        <f>AND(#REF!,"AAAAAEv7+5A=")</f>
        <v>#REF!</v>
      </c>
      <c r="EP361" t="e">
        <f>AND(#REF!,"AAAAAEv7+5E=")</f>
        <v>#REF!</v>
      </c>
      <c r="EQ361" t="e">
        <f>AND(#REF!,"AAAAAEv7+5I=")</f>
        <v>#REF!</v>
      </c>
      <c r="ER361" t="e">
        <f>AND(#REF!,"AAAAAEv7+5M=")</f>
        <v>#REF!</v>
      </c>
      <c r="ES361" t="e">
        <f>AND(#REF!,"AAAAAEv7+5Q=")</f>
        <v>#REF!</v>
      </c>
      <c r="ET361" t="e">
        <f>AND(#REF!,"AAAAAEv7+5U=")</f>
        <v>#REF!</v>
      </c>
      <c r="EU361" t="e">
        <f>IF(#REF!,"AAAAAEv7+5Y=",0)</f>
        <v>#REF!</v>
      </c>
      <c r="EV361" t="e">
        <f>AND(#REF!,"AAAAAEv7+5c=")</f>
        <v>#REF!</v>
      </c>
      <c r="EW361" t="e">
        <f>AND(#REF!,"AAAAAEv7+5g=")</f>
        <v>#REF!</v>
      </c>
      <c r="EX361" t="e">
        <f>AND(#REF!,"AAAAAEv7+5k=")</f>
        <v>#REF!</v>
      </c>
      <c r="EY361" t="e">
        <f>AND(#REF!,"AAAAAEv7+5o=")</f>
        <v>#REF!</v>
      </c>
      <c r="EZ361" t="e">
        <f>AND(#REF!,"AAAAAEv7+5s=")</f>
        <v>#REF!</v>
      </c>
      <c r="FA361" t="e">
        <f>AND(#REF!,"AAAAAEv7+5w=")</f>
        <v>#REF!</v>
      </c>
      <c r="FB361" t="e">
        <f>AND(#REF!,"AAAAAEv7+50=")</f>
        <v>#REF!</v>
      </c>
      <c r="FC361" t="e">
        <f>AND(#REF!,"AAAAAEv7+54=")</f>
        <v>#REF!</v>
      </c>
      <c r="FD361" t="e">
        <f>AND(#REF!,"AAAAAEv7+58=")</f>
        <v>#REF!</v>
      </c>
      <c r="FE361" t="e">
        <f>AND(#REF!,"AAAAAEv7+6A=")</f>
        <v>#REF!</v>
      </c>
      <c r="FF361" t="e">
        <f>AND(#REF!,"AAAAAEv7+6E=")</f>
        <v>#REF!</v>
      </c>
      <c r="FG361" t="e">
        <f>AND(#REF!,"AAAAAEv7+6I=")</f>
        <v>#REF!</v>
      </c>
      <c r="FH361" t="e">
        <f>AND(#REF!,"AAAAAEv7+6M=")</f>
        <v>#REF!</v>
      </c>
      <c r="FI361" t="e">
        <f>AND(#REF!,"AAAAAEv7+6Q=")</f>
        <v>#REF!</v>
      </c>
      <c r="FJ361" t="e">
        <f>AND(#REF!,"AAAAAEv7+6U=")</f>
        <v>#REF!</v>
      </c>
      <c r="FK361" t="e">
        <f>AND(#REF!,"AAAAAEv7+6Y=")</f>
        <v>#REF!</v>
      </c>
      <c r="FL361" t="e">
        <f>AND(#REF!,"AAAAAEv7+6c=")</f>
        <v>#REF!</v>
      </c>
      <c r="FM361" t="e">
        <f>AND(#REF!,"AAAAAEv7+6g=")</f>
        <v>#REF!</v>
      </c>
      <c r="FN361" t="e">
        <f>AND(#REF!,"AAAAAEv7+6k=")</f>
        <v>#REF!</v>
      </c>
      <c r="FO361" t="e">
        <f>AND(#REF!,"AAAAAEv7+6o=")</f>
        <v>#REF!</v>
      </c>
      <c r="FP361" t="e">
        <f>AND(#REF!,"AAAAAEv7+6s=")</f>
        <v>#REF!</v>
      </c>
      <c r="FQ361" t="e">
        <f>AND(#REF!,"AAAAAEv7+6w=")</f>
        <v>#REF!</v>
      </c>
      <c r="FR361" t="e">
        <f>AND(#REF!,"AAAAAEv7+60=")</f>
        <v>#REF!</v>
      </c>
      <c r="FS361" t="e">
        <f>AND(#REF!,"AAAAAEv7+64=")</f>
        <v>#REF!</v>
      </c>
      <c r="FT361" t="e">
        <f>IF(#REF!,"AAAAAEv7+68=",0)</f>
        <v>#REF!</v>
      </c>
      <c r="FU361" t="e">
        <f>AND(#REF!,"AAAAAEv7+7A=")</f>
        <v>#REF!</v>
      </c>
      <c r="FV361" t="e">
        <f>AND(#REF!,"AAAAAEv7+7E=")</f>
        <v>#REF!</v>
      </c>
      <c r="FW361" t="e">
        <f>AND(#REF!,"AAAAAEv7+7I=")</f>
        <v>#REF!</v>
      </c>
      <c r="FX361" t="e">
        <f>AND(#REF!,"AAAAAEv7+7M=")</f>
        <v>#REF!</v>
      </c>
      <c r="FY361" t="e">
        <f>AND(#REF!,"AAAAAEv7+7Q=")</f>
        <v>#REF!</v>
      </c>
      <c r="FZ361" t="e">
        <f>AND(#REF!,"AAAAAEv7+7U=")</f>
        <v>#REF!</v>
      </c>
      <c r="GA361" t="e">
        <f>AND(#REF!,"AAAAAEv7+7Y=")</f>
        <v>#REF!</v>
      </c>
      <c r="GB361" t="e">
        <f>AND(#REF!,"AAAAAEv7+7c=")</f>
        <v>#REF!</v>
      </c>
      <c r="GC361" t="e">
        <f>AND(#REF!,"AAAAAEv7+7g=")</f>
        <v>#REF!</v>
      </c>
      <c r="GD361" t="e">
        <f>AND(#REF!,"AAAAAEv7+7k=")</f>
        <v>#REF!</v>
      </c>
      <c r="GE361" t="e">
        <f>AND(#REF!,"AAAAAEv7+7o=")</f>
        <v>#REF!</v>
      </c>
      <c r="GF361" t="e">
        <f>AND(#REF!,"AAAAAEv7+7s=")</f>
        <v>#REF!</v>
      </c>
      <c r="GG361" t="e">
        <f>AND(#REF!,"AAAAAEv7+7w=")</f>
        <v>#REF!</v>
      </c>
      <c r="GH361" t="e">
        <f>AND(#REF!,"AAAAAEv7+70=")</f>
        <v>#REF!</v>
      </c>
      <c r="GI361" t="e">
        <f>AND(#REF!,"AAAAAEv7+74=")</f>
        <v>#REF!</v>
      </c>
      <c r="GJ361" t="e">
        <f>AND(#REF!,"AAAAAEv7+78=")</f>
        <v>#REF!</v>
      </c>
      <c r="GK361" t="e">
        <f>AND(#REF!,"AAAAAEv7+8A=")</f>
        <v>#REF!</v>
      </c>
      <c r="GL361" t="e">
        <f>AND(#REF!,"AAAAAEv7+8E=")</f>
        <v>#REF!</v>
      </c>
      <c r="GM361" t="e">
        <f>AND(#REF!,"AAAAAEv7+8I=")</f>
        <v>#REF!</v>
      </c>
      <c r="GN361" t="e">
        <f>AND(#REF!,"AAAAAEv7+8M=")</f>
        <v>#REF!</v>
      </c>
      <c r="GO361" t="e">
        <f>AND(#REF!,"AAAAAEv7+8Q=")</f>
        <v>#REF!</v>
      </c>
      <c r="GP361" t="e">
        <f>AND(#REF!,"AAAAAEv7+8U=")</f>
        <v>#REF!</v>
      </c>
      <c r="GQ361" t="e">
        <f>AND(#REF!,"AAAAAEv7+8Y=")</f>
        <v>#REF!</v>
      </c>
      <c r="GR361" t="e">
        <f>AND(#REF!,"AAAAAEv7+8c=")</f>
        <v>#REF!</v>
      </c>
      <c r="GS361" t="e">
        <f>IF(#REF!,"AAAAAEv7+8g=",0)</f>
        <v>#REF!</v>
      </c>
      <c r="GT361" t="e">
        <f>AND(#REF!,"AAAAAEv7+8k=")</f>
        <v>#REF!</v>
      </c>
      <c r="GU361" t="e">
        <f>AND(#REF!,"AAAAAEv7+8o=")</f>
        <v>#REF!</v>
      </c>
      <c r="GV361" t="e">
        <f>AND(#REF!,"AAAAAEv7+8s=")</f>
        <v>#REF!</v>
      </c>
      <c r="GW361" t="e">
        <f>AND(#REF!,"AAAAAEv7+8w=")</f>
        <v>#REF!</v>
      </c>
      <c r="GX361" t="e">
        <f>AND(#REF!,"AAAAAEv7+80=")</f>
        <v>#REF!</v>
      </c>
      <c r="GY361" t="e">
        <f>AND(#REF!,"AAAAAEv7+84=")</f>
        <v>#REF!</v>
      </c>
      <c r="GZ361" t="e">
        <f>AND(#REF!,"AAAAAEv7+88=")</f>
        <v>#REF!</v>
      </c>
      <c r="HA361" t="e">
        <f>AND(#REF!,"AAAAAEv7+9A=")</f>
        <v>#REF!</v>
      </c>
      <c r="HB361" t="e">
        <f>AND(#REF!,"AAAAAEv7+9E=")</f>
        <v>#REF!</v>
      </c>
      <c r="HC361" t="e">
        <f>AND(#REF!,"AAAAAEv7+9I=")</f>
        <v>#REF!</v>
      </c>
      <c r="HD361" t="e">
        <f>AND(#REF!,"AAAAAEv7+9M=")</f>
        <v>#REF!</v>
      </c>
      <c r="HE361" t="e">
        <f>AND(#REF!,"AAAAAEv7+9Q=")</f>
        <v>#REF!</v>
      </c>
      <c r="HF361" t="e">
        <f>AND(#REF!,"AAAAAEv7+9U=")</f>
        <v>#REF!</v>
      </c>
      <c r="HG361" t="e">
        <f>AND(#REF!,"AAAAAEv7+9Y=")</f>
        <v>#REF!</v>
      </c>
      <c r="HH361" t="e">
        <f>AND(#REF!,"AAAAAEv7+9c=")</f>
        <v>#REF!</v>
      </c>
      <c r="HI361" t="e">
        <f>AND(#REF!,"AAAAAEv7+9g=")</f>
        <v>#REF!</v>
      </c>
      <c r="HJ361" t="e">
        <f>AND(#REF!,"AAAAAEv7+9k=")</f>
        <v>#REF!</v>
      </c>
      <c r="HK361" t="e">
        <f>AND(#REF!,"AAAAAEv7+9o=")</f>
        <v>#REF!</v>
      </c>
      <c r="HL361" t="e">
        <f>AND(#REF!,"AAAAAEv7+9s=")</f>
        <v>#REF!</v>
      </c>
      <c r="HM361" t="e">
        <f>AND(#REF!,"AAAAAEv7+9w=")</f>
        <v>#REF!</v>
      </c>
      <c r="HN361" t="e">
        <f>AND(#REF!,"AAAAAEv7+90=")</f>
        <v>#REF!</v>
      </c>
      <c r="HO361" t="e">
        <f>AND(#REF!,"AAAAAEv7+94=")</f>
        <v>#REF!</v>
      </c>
      <c r="HP361" t="e">
        <f>AND(#REF!,"AAAAAEv7+98=")</f>
        <v>#REF!</v>
      </c>
      <c r="HQ361" t="e">
        <f>AND(#REF!,"AAAAAEv7++A=")</f>
        <v>#REF!</v>
      </c>
      <c r="HR361" t="e">
        <f>IF(#REF!,"AAAAAEv7++E=",0)</f>
        <v>#REF!</v>
      </c>
      <c r="HS361" t="e">
        <f>AND(#REF!,"AAAAAEv7++I=")</f>
        <v>#REF!</v>
      </c>
      <c r="HT361" t="e">
        <f>AND(#REF!,"AAAAAEv7++M=")</f>
        <v>#REF!</v>
      </c>
      <c r="HU361" t="e">
        <f>AND(#REF!,"AAAAAEv7++Q=")</f>
        <v>#REF!</v>
      </c>
      <c r="HV361" t="e">
        <f>AND(#REF!,"AAAAAEv7++U=")</f>
        <v>#REF!</v>
      </c>
      <c r="HW361" t="e">
        <f>AND(#REF!,"AAAAAEv7++Y=")</f>
        <v>#REF!</v>
      </c>
      <c r="HX361" t="e">
        <f>AND(#REF!,"AAAAAEv7++c=")</f>
        <v>#REF!</v>
      </c>
      <c r="HY361" t="e">
        <f>AND(#REF!,"AAAAAEv7++g=")</f>
        <v>#REF!</v>
      </c>
      <c r="HZ361" t="e">
        <f>AND(#REF!,"AAAAAEv7++k=")</f>
        <v>#REF!</v>
      </c>
      <c r="IA361" t="e">
        <f>AND(#REF!,"AAAAAEv7++o=")</f>
        <v>#REF!</v>
      </c>
      <c r="IB361" t="e">
        <f>AND(#REF!,"AAAAAEv7++s=")</f>
        <v>#REF!</v>
      </c>
      <c r="IC361" t="e">
        <f>AND(#REF!,"AAAAAEv7++w=")</f>
        <v>#REF!</v>
      </c>
      <c r="ID361" t="e">
        <f>AND(#REF!,"AAAAAEv7++0=")</f>
        <v>#REF!</v>
      </c>
      <c r="IE361" t="e">
        <f>AND(#REF!,"AAAAAEv7++4=")</f>
        <v>#REF!</v>
      </c>
      <c r="IF361" t="e">
        <f>AND(#REF!,"AAAAAEv7++8=")</f>
        <v>#REF!</v>
      </c>
      <c r="IG361" t="e">
        <f>AND(#REF!,"AAAAAEv7+/A=")</f>
        <v>#REF!</v>
      </c>
      <c r="IH361" t="e">
        <f>AND(#REF!,"AAAAAEv7+/E=")</f>
        <v>#REF!</v>
      </c>
      <c r="II361" t="e">
        <f>AND(#REF!,"AAAAAEv7+/I=")</f>
        <v>#REF!</v>
      </c>
      <c r="IJ361" t="e">
        <f>AND(#REF!,"AAAAAEv7+/M=")</f>
        <v>#REF!</v>
      </c>
      <c r="IK361" t="e">
        <f>AND(#REF!,"AAAAAEv7+/Q=")</f>
        <v>#REF!</v>
      </c>
      <c r="IL361" t="e">
        <f>AND(#REF!,"AAAAAEv7+/U=")</f>
        <v>#REF!</v>
      </c>
      <c r="IM361" t="e">
        <f>AND(#REF!,"AAAAAEv7+/Y=")</f>
        <v>#REF!</v>
      </c>
      <c r="IN361" t="e">
        <f>AND(#REF!,"AAAAAEv7+/c=")</f>
        <v>#REF!</v>
      </c>
      <c r="IO361" t="e">
        <f>AND(#REF!,"AAAAAEv7+/g=")</f>
        <v>#REF!</v>
      </c>
      <c r="IP361" t="e">
        <f>AND(#REF!,"AAAAAEv7+/k=")</f>
        <v>#REF!</v>
      </c>
      <c r="IQ361" t="e">
        <f>IF(#REF!,"AAAAAEv7+/o=",0)</f>
        <v>#REF!</v>
      </c>
      <c r="IR361" t="e">
        <f>AND(#REF!,"AAAAAEv7+/s=")</f>
        <v>#REF!</v>
      </c>
      <c r="IS361" t="e">
        <f>AND(#REF!,"AAAAAEv7+/w=")</f>
        <v>#REF!</v>
      </c>
      <c r="IT361" t="e">
        <f>AND(#REF!,"AAAAAEv7+/0=")</f>
        <v>#REF!</v>
      </c>
      <c r="IU361" t="e">
        <f>AND(#REF!,"AAAAAEv7+/4=")</f>
        <v>#REF!</v>
      </c>
      <c r="IV361" t="e">
        <f>AND(#REF!,"AAAAAEv7+/8=")</f>
        <v>#REF!</v>
      </c>
    </row>
    <row r="362" spans="1:256">
      <c r="A362" t="e">
        <f>AND(#REF!,"AAAAAHLvrgA=")</f>
        <v>#REF!</v>
      </c>
      <c r="B362" t="e">
        <f>AND(#REF!,"AAAAAHLvrgE=")</f>
        <v>#REF!</v>
      </c>
      <c r="C362" t="e">
        <f>AND(#REF!,"AAAAAHLvrgI=")</f>
        <v>#REF!</v>
      </c>
      <c r="D362" t="e">
        <f>AND(#REF!,"AAAAAHLvrgM=")</f>
        <v>#REF!</v>
      </c>
      <c r="E362" t="e">
        <f>AND(#REF!,"AAAAAHLvrgQ=")</f>
        <v>#REF!</v>
      </c>
      <c r="F362" t="e">
        <f>AND(#REF!,"AAAAAHLvrgU=")</f>
        <v>#REF!</v>
      </c>
      <c r="G362" t="e">
        <f>AND(#REF!,"AAAAAHLvrgY=")</f>
        <v>#REF!</v>
      </c>
      <c r="H362" t="e">
        <f>AND(#REF!,"AAAAAHLvrgc=")</f>
        <v>#REF!</v>
      </c>
      <c r="I362" t="e">
        <f>AND(#REF!,"AAAAAHLvrgg=")</f>
        <v>#REF!</v>
      </c>
      <c r="J362" t="e">
        <f>AND(#REF!,"AAAAAHLvrgk=")</f>
        <v>#REF!</v>
      </c>
      <c r="K362" t="e">
        <f>AND(#REF!,"AAAAAHLvrgo=")</f>
        <v>#REF!</v>
      </c>
      <c r="L362" t="e">
        <f>AND(#REF!,"AAAAAHLvrgs=")</f>
        <v>#REF!</v>
      </c>
      <c r="M362" t="e">
        <f>AND(#REF!,"AAAAAHLvrgw=")</f>
        <v>#REF!</v>
      </c>
      <c r="N362" t="e">
        <f>AND(#REF!,"AAAAAHLvrg0=")</f>
        <v>#REF!</v>
      </c>
      <c r="O362" t="e">
        <f>AND(#REF!,"AAAAAHLvrg4=")</f>
        <v>#REF!</v>
      </c>
      <c r="P362" t="e">
        <f>AND(#REF!,"AAAAAHLvrg8=")</f>
        <v>#REF!</v>
      </c>
      <c r="Q362" t="e">
        <f>AND(#REF!,"AAAAAHLvrhA=")</f>
        <v>#REF!</v>
      </c>
      <c r="R362" t="e">
        <f>AND(#REF!,"AAAAAHLvrhE=")</f>
        <v>#REF!</v>
      </c>
      <c r="S362" t="e">
        <f>AND(#REF!,"AAAAAHLvrhI=")</f>
        <v>#REF!</v>
      </c>
      <c r="T362" t="e">
        <f>IF(#REF!,"AAAAAHLvrhM=",0)</f>
        <v>#REF!</v>
      </c>
      <c r="U362" t="e">
        <f>AND(#REF!,"AAAAAHLvrhQ=")</f>
        <v>#REF!</v>
      </c>
      <c r="V362" t="e">
        <f>AND(#REF!,"AAAAAHLvrhU=")</f>
        <v>#REF!</v>
      </c>
      <c r="W362" t="e">
        <f>AND(#REF!,"AAAAAHLvrhY=")</f>
        <v>#REF!</v>
      </c>
      <c r="X362" t="e">
        <f>AND(#REF!,"AAAAAHLvrhc=")</f>
        <v>#REF!</v>
      </c>
      <c r="Y362" t="e">
        <f>AND(#REF!,"AAAAAHLvrhg=")</f>
        <v>#REF!</v>
      </c>
      <c r="Z362" t="e">
        <f>AND(#REF!,"AAAAAHLvrhk=")</f>
        <v>#REF!</v>
      </c>
      <c r="AA362" t="e">
        <f>AND(#REF!,"AAAAAHLvrho=")</f>
        <v>#REF!</v>
      </c>
      <c r="AB362" t="e">
        <f>AND(#REF!,"AAAAAHLvrhs=")</f>
        <v>#REF!</v>
      </c>
      <c r="AC362" t="e">
        <f>AND(#REF!,"AAAAAHLvrhw=")</f>
        <v>#REF!</v>
      </c>
      <c r="AD362" t="e">
        <f>AND(#REF!,"AAAAAHLvrh0=")</f>
        <v>#REF!</v>
      </c>
      <c r="AE362" t="e">
        <f>AND(#REF!,"AAAAAHLvrh4=")</f>
        <v>#REF!</v>
      </c>
      <c r="AF362" t="e">
        <f>AND(#REF!,"AAAAAHLvrh8=")</f>
        <v>#REF!</v>
      </c>
      <c r="AG362" t="e">
        <f>AND(#REF!,"AAAAAHLvriA=")</f>
        <v>#REF!</v>
      </c>
      <c r="AH362" t="e">
        <f>AND(#REF!,"AAAAAHLvriE=")</f>
        <v>#REF!</v>
      </c>
      <c r="AI362" t="e">
        <f>AND(#REF!,"AAAAAHLvriI=")</f>
        <v>#REF!</v>
      </c>
      <c r="AJ362" t="e">
        <f>AND(#REF!,"AAAAAHLvriM=")</f>
        <v>#REF!</v>
      </c>
      <c r="AK362" t="e">
        <f>AND(#REF!,"AAAAAHLvriQ=")</f>
        <v>#REF!</v>
      </c>
      <c r="AL362" t="e">
        <f>AND(#REF!,"AAAAAHLvriU=")</f>
        <v>#REF!</v>
      </c>
      <c r="AM362" t="e">
        <f>AND(#REF!,"AAAAAHLvriY=")</f>
        <v>#REF!</v>
      </c>
      <c r="AN362" t="e">
        <f>AND(#REF!,"AAAAAHLvric=")</f>
        <v>#REF!</v>
      </c>
      <c r="AO362" t="e">
        <f>AND(#REF!,"AAAAAHLvrig=")</f>
        <v>#REF!</v>
      </c>
      <c r="AP362" t="e">
        <f>AND(#REF!,"AAAAAHLvrik=")</f>
        <v>#REF!</v>
      </c>
      <c r="AQ362" t="e">
        <f>AND(#REF!,"AAAAAHLvrio=")</f>
        <v>#REF!</v>
      </c>
      <c r="AR362" t="e">
        <f>AND(#REF!,"AAAAAHLvris=")</f>
        <v>#REF!</v>
      </c>
      <c r="AS362" t="e">
        <f>IF(#REF!,"AAAAAHLvriw=",0)</f>
        <v>#REF!</v>
      </c>
      <c r="AT362" t="e">
        <f>AND(#REF!,"AAAAAHLvri0=")</f>
        <v>#REF!</v>
      </c>
      <c r="AU362" t="e">
        <f>AND(#REF!,"AAAAAHLvri4=")</f>
        <v>#REF!</v>
      </c>
      <c r="AV362" t="e">
        <f>AND(#REF!,"AAAAAHLvri8=")</f>
        <v>#REF!</v>
      </c>
      <c r="AW362" t="e">
        <f>AND(#REF!,"AAAAAHLvrjA=")</f>
        <v>#REF!</v>
      </c>
      <c r="AX362" t="e">
        <f>AND(#REF!,"AAAAAHLvrjE=")</f>
        <v>#REF!</v>
      </c>
      <c r="AY362" t="e">
        <f>AND(#REF!,"AAAAAHLvrjI=")</f>
        <v>#REF!</v>
      </c>
      <c r="AZ362" t="e">
        <f>AND(#REF!,"AAAAAHLvrjM=")</f>
        <v>#REF!</v>
      </c>
      <c r="BA362" t="e">
        <f>AND(#REF!,"AAAAAHLvrjQ=")</f>
        <v>#REF!</v>
      </c>
      <c r="BB362" t="e">
        <f>AND(#REF!,"AAAAAHLvrjU=")</f>
        <v>#REF!</v>
      </c>
      <c r="BC362" t="e">
        <f>AND(#REF!,"AAAAAHLvrjY=")</f>
        <v>#REF!</v>
      </c>
      <c r="BD362" t="e">
        <f>AND(#REF!,"AAAAAHLvrjc=")</f>
        <v>#REF!</v>
      </c>
      <c r="BE362" t="e">
        <f>AND(#REF!,"AAAAAHLvrjg=")</f>
        <v>#REF!</v>
      </c>
      <c r="BF362" t="e">
        <f>AND(#REF!,"AAAAAHLvrjk=")</f>
        <v>#REF!</v>
      </c>
      <c r="BG362" t="e">
        <f>AND(#REF!,"AAAAAHLvrjo=")</f>
        <v>#REF!</v>
      </c>
      <c r="BH362" t="e">
        <f>AND(#REF!,"AAAAAHLvrjs=")</f>
        <v>#REF!</v>
      </c>
      <c r="BI362" t="e">
        <f>AND(#REF!,"AAAAAHLvrjw=")</f>
        <v>#REF!</v>
      </c>
      <c r="BJ362" t="e">
        <f>AND(#REF!,"AAAAAHLvrj0=")</f>
        <v>#REF!</v>
      </c>
      <c r="BK362" t="e">
        <f>AND(#REF!,"AAAAAHLvrj4=")</f>
        <v>#REF!</v>
      </c>
      <c r="BL362" t="e">
        <f>AND(#REF!,"AAAAAHLvrj8=")</f>
        <v>#REF!</v>
      </c>
      <c r="BM362" t="e">
        <f>AND(#REF!,"AAAAAHLvrkA=")</f>
        <v>#REF!</v>
      </c>
      <c r="BN362" t="e">
        <f>AND(#REF!,"AAAAAHLvrkE=")</f>
        <v>#REF!</v>
      </c>
      <c r="BO362" t="e">
        <f>AND(#REF!,"AAAAAHLvrkI=")</f>
        <v>#REF!</v>
      </c>
      <c r="BP362" t="e">
        <f>AND(#REF!,"AAAAAHLvrkM=")</f>
        <v>#REF!</v>
      </c>
      <c r="BQ362" t="e">
        <f>AND(#REF!,"AAAAAHLvrkQ=")</f>
        <v>#REF!</v>
      </c>
      <c r="BR362" t="e">
        <f>IF(#REF!,"AAAAAHLvrkU=",0)</f>
        <v>#REF!</v>
      </c>
      <c r="BS362" t="e">
        <f>AND(#REF!,"AAAAAHLvrkY=")</f>
        <v>#REF!</v>
      </c>
      <c r="BT362" t="e">
        <f>AND(#REF!,"AAAAAHLvrkc=")</f>
        <v>#REF!</v>
      </c>
      <c r="BU362" t="e">
        <f>AND(#REF!,"AAAAAHLvrkg=")</f>
        <v>#REF!</v>
      </c>
      <c r="BV362" t="e">
        <f>AND(#REF!,"AAAAAHLvrkk=")</f>
        <v>#REF!</v>
      </c>
      <c r="BW362" t="e">
        <f>AND(#REF!,"AAAAAHLvrko=")</f>
        <v>#REF!</v>
      </c>
      <c r="BX362" t="e">
        <f>AND(#REF!,"AAAAAHLvrks=")</f>
        <v>#REF!</v>
      </c>
      <c r="BY362" t="e">
        <f>AND(#REF!,"AAAAAHLvrkw=")</f>
        <v>#REF!</v>
      </c>
      <c r="BZ362" t="e">
        <f>AND(#REF!,"AAAAAHLvrk0=")</f>
        <v>#REF!</v>
      </c>
      <c r="CA362" t="e">
        <f>AND(#REF!,"AAAAAHLvrk4=")</f>
        <v>#REF!</v>
      </c>
      <c r="CB362" t="e">
        <f>AND(#REF!,"AAAAAHLvrk8=")</f>
        <v>#REF!</v>
      </c>
      <c r="CC362" t="e">
        <f>AND(#REF!,"AAAAAHLvrlA=")</f>
        <v>#REF!</v>
      </c>
      <c r="CD362" t="e">
        <f>AND(#REF!,"AAAAAHLvrlE=")</f>
        <v>#REF!</v>
      </c>
      <c r="CE362" t="e">
        <f>AND(#REF!,"AAAAAHLvrlI=")</f>
        <v>#REF!</v>
      </c>
      <c r="CF362" t="e">
        <f>AND(#REF!,"AAAAAHLvrlM=")</f>
        <v>#REF!</v>
      </c>
      <c r="CG362" t="e">
        <f>AND(#REF!,"AAAAAHLvrlQ=")</f>
        <v>#REF!</v>
      </c>
      <c r="CH362" t="e">
        <f>AND(#REF!,"AAAAAHLvrlU=")</f>
        <v>#REF!</v>
      </c>
      <c r="CI362" t="e">
        <f>AND(#REF!,"AAAAAHLvrlY=")</f>
        <v>#REF!</v>
      </c>
      <c r="CJ362" t="e">
        <f>AND(#REF!,"AAAAAHLvrlc=")</f>
        <v>#REF!</v>
      </c>
      <c r="CK362" t="e">
        <f>AND(#REF!,"AAAAAHLvrlg=")</f>
        <v>#REF!</v>
      </c>
      <c r="CL362" t="e">
        <f>AND(#REF!,"AAAAAHLvrlk=")</f>
        <v>#REF!</v>
      </c>
      <c r="CM362" t="e">
        <f>AND(#REF!,"AAAAAHLvrlo=")</f>
        <v>#REF!</v>
      </c>
      <c r="CN362" t="e">
        <f>AND(#REF!,"AAAAAHLvrls=")</f>
        <v>#REF!</v>
      </c>
      <c r="CO362" t="e">
        <f>AND(#REF!,"AAAAAHLvrlw=")</f>
        <v>#REF!</v>
      </c>
      <c r="CP362" t="e">
        <f>AND(#REF!,"AAAAAHLvrl0=")</f>
        <v>#REF!</v>
      </c>
      <c r="CQ362" t="e">
        <f>IF(#REF!,"AAAAAHLvrl4=",0)</f>
        <v>#REF!</v>
      </c>
      <c r="CR362" t="e">
        <f>AND(#REF!,"AAAAAHLvrl8=")</f>
        <v>#REF!</v>
      </c>
      <c r="CS362" t="e">
        <f>AND(#REF!,"AAAAAHLvrmA=")</f>
        <v>#REF!</v>
      </c>
      <c r="CT362" t="e">
        <f>AND(#REF!,"AAAAAHLvrmE=")</f>
        <v>#REF!</v>
      </c>
      <c r="CU362" t="e">
        <f>AND(#REF!,"AAAAAHLvrmI=")</f>
        <v>#REF!</v>
      </c>
      <c r="CV362" t="e">
        <f>AND(#REF!,"AAAAAHLvrmM=")</f>
        <v>#REF!</v>
      </c>
      <c r="CW362" t="e">
        <f>AND(#REF!,"AAAAAHLvrmQ=")</f>
        <v>#REF!</v>
      </c>
      <c r="CX362" t="e">
        <f>AND(#REF!,"AAAAAHLvrmU=")</f>
        <v>#REF!</v>
      </c>
      <c r="CY362" t="e">
        <f>AND(#REF!,"AAAAAHLvrmY=")</f>
        <v>#REF!</v>
      </c>
      <c r="CZ362" t="e">
        <f>AND(#REF!,"AAAAAHLvrmc=")</f>
        <v>#REF!</v>
      </c>
      <c r="DA362" t="e">
        <f>AND(#REF!,"AAAAAHLvrmg=")</f>
        <v>#REF!</v>
      </c>
      <c r="DB362" t="e">
        <f>AND(#REF!,"AAAAAHLvrmk=")</f>
        <v>#REF!</v>
      </c>
      <c r="DC362" t="e">
        <f>AND(#REF!,"AAAAAHLvrmo=")</f>
        <v>#REF!</v>
      </c>
      <c r="DD362" t="e">
        <f>AND(#REF!,"AAAAAHLvrms=")</f>
        <v>#REF!</v>
      </c>
      <c r="DE362" t="e">
        <f>AND(#REF!,"AAAAAHLvrmw=")</f>
        <v>#REF!</v>
      </c>
      <c r="DF362" t="e">
        <f>AND(#REF!,"AAAAAHLvrm0=")</f>
        <v>#REF!</v>
      </c>
      <c r="DG362" t="e">
        <f>AND(#REF!,"AAAAAHLvrm4=")</f>
        <v>#REF!</v>
      </c>
      <c r="DH362" t="e">
        <f>AND(#REF!,"AAAAAHLvrm8=")</f>
        <v>#REF!</v>
      </c>
      <c r="DI362" t="e">
        <f>AND(#REF!,"AAAAAHLvrnA=")</f>
        <v>#REF!</v>
      </c>
      <c r="DJ362" t="e">
        <f>AND(#REF!,"AAAAAHLvrnE=")</f>
        <v>#REF!</v>
      </c>
      <c r="DK362" t="e">
        <f>AND(#REF!,"AAAAAHLvrnI=")</f>
        <v>#REF!</v>
      </c>
      <c r="DL362" t="e">
        <f>AND(#REF!,"AAAAAHLvrnM=")</f>
        <v>#REF!</v>
      </c>
      <c r="DM362" t="e">
        <f>AND(#REF!,"AAAAAHLvrnQ=")</f>
        <v>#REF!</v>
      </c>
      <c r="DN362" t="e">
        <f>AND(#REF!,"AAAAAHLvrnU=")</f>
        <v>#REF!</v>
      </c>
      <c r="DO362" t="e">
        <f>AND(#REF!,"AAAAAHLvrnY=")</f>
        <v>#REF!</v>
      </c>
      <c r="DP362" t="e">
        <f>IF(#REF!,"AAAAAHLvrnc=",0)</f>
        <v>#REF!</v>
      </c>
      <c r="DQ362" t="e">
        <f>AND(#REF!,"AAAAAHLvrng=")</f>
        <v>#REF!</v>
      </c>
      <c r="DR362" t="e">
        <f>AND(#REF!,"AAAAAHLvrnk=")</f>
        <v>#REF!</v>
      </c>
      <c r="DS362" t="e">
        <f>AND(#REF!,"AAAAAHLvrno=")</f>
        <v>#REF!</v>
      </c>
      <c r="DT362" t="e">
        <f>AND(#REF!,"AAAAAHLvrns=")</f>
        <v>#REF!</v>
      </c>
      <c r="DU362" t="e">
        <f>AND(#REF!,"AAAAAHLvrnw=")</f>
        <v>#REF!</v>
      </c>
      <c r="DV362" t="e">
        <f>AND(#REF!,"AAAAAHLvrn0=")</f>
        <v>#REF!</v>
      </c>
      <c r="DW362" t="e">
        <f>AND(#REF!,"AAAAAHLvrn4=")</f>
        <v>#REF!</v>
      </c>
      <c r="DX362" t="e">
        <f>AND(#REF!,"AAAAAHLvrn8=")</f>
        <v>#REF!</v>
      </c>
      <c r="DY362" t="e">
        <f>AND(#REF!,"AAAAAHLvroA=")</f>
        <v>#REF!</v>
      </c>
      <c r="DZ362" t="e">
        <f>AND(#REF!,"AAAAAHLvroE=")</f>
        <v>#REF!</v>
      </c>
      <c r="EA362" t="e">
        <f>AND(#REF!,"AAAAAHLvroI=")</f>
        <v>#REF!</v>
      </c>
      <c r="EB362" t="e">
        <f>AND(#REF!,"AAAAAHLvroM=")</f>
        <v>#REF!</v>
      </c>
      <c r="EC362" t="e">
        <f>AND(#REF!,"AAAAAHLvroQ=")</f>
        <v>#REF!</v>
      </c>
      <c r="ED362" t="e">
        <f>AND(#REF!,"AAAAAHLvroU=")</f>
        <v>#REF!</v>
      </c>
      <c r="EE362" t="e">
        <f>AND(#REF!,"AAAAAHLvroY=")</f>
        <v>#REF!</v>
      </c>
      <c r="EF362" t="e">
        <f>AND(#REF!,"AAAAAHLvroc=")</f>
        <v>#REF!</v>
      </c>
      <c r="EG362" t="e">
        <f>AND(#REF!,"AAAAAHLvrog=")</f>
        <v>#REF!</v>
      </c>
      <c r="EH362" t="e">
        <f>AND(#REF!,"AAAAAHLvrok=")</f>
        <v>#REF!</v>
      </c>
      <c r="EI362" t="e">
        <f>AND(#REF!,"AAAAAHLvroo=")</f>
        <v>#REF!</v>
      </c>
      <c r="EJ362" t="e">
        <f>AND(#REF!,"AAAAAHLvros=")</f>
        <v>#REF!</v>
      </c>
      <c r="EK362" t="e">
        <f>AND(#REF!,"AAAAAHLvrow=")</f>
        <v>#REF!</v>
      </c>
      <c r="EL362" t="e">
        <f>AND(#REF!,"AAAAAHLvro0=")</f>
        <v>#REF!</v>
      </c>
      <c r="EM362" t="e">
        <f>AND(#REF!,"AAAAAHLvro4=")</f>
        <v>#REF!</v>
      </c>
      <c r="EN362" t="e">
        <f>AND(#REF!,"AAAAAHLvro8=")</f>
        <v>#REF!</v>
      </c>
      <c r="EO362" t="e">
        <f>IF(#REF!,"AAAAAHLvrpA=",0)</f>
        <v>#REF!</v>
      </c>
      <c r="EP362" t="e">
        <f>AND(#REF!,"AAAAAHLvrpE=")</f>
        <v>#REF!</v>
      </c>
      <c r="EQ362" t="e">
        <f>AND(#REF!,"AAAAAHLvrpI=")</f>
        <v>#REF!</v>
      </c>
      <c r="ER362" t="e">
        <f>AND(#REF!,"AAAAAHLvrpM=")</f>
        <v>#REF!</v>
      </c>
      <c r="ES362" t="e">
        <f>AND(#REF!,"AAAAAHLvrpQ=")</f>
        <v>#REF!</v>
      </c>
      <c r="ET362" t="e">
        <f>AND(#REF!,"AAAAAHLvrpU=")</f>
        <v>#REF!</v>
      </c>
      <c r="EU362" t="e">
        <f>AND(#REF!,"AAAAAHLvrpY=")</f>
        <v>#REF!</v>
      </c>
      <c r="EV362" t="e">
        <f>AND(#REF!,"AAAAAHLvrpc=")</f>
        <v>#REF!</v>
      </c>
      <c r="EW362" t="e">
        <f>AND(#REF!,"AAAAAHLvrpg=")</f>
        <v>#REF!</v>
      </c>
      <c r="EX362" t="e">
        <f>AND(#REF!,"AAAAAHLvrpk=")</f>
        <v>#REF!</v>
      </c>
      <c r="EY362" t="e">
        <f>AND(#REF!,"AAAAAHLvrpo=")</f>
        <v>#REF!</v>
      </c>
      <c r="EZ362" t="e">
        <f>AND(#REF!,"AAAAAHLvrps=")</f>
        <v>#REF!</v>
      </c>
      <c r="FA362" t="e">
        <f>AND(#REF!,"AAAAAHLvrpw=")</f>
        <v>#REF!</v>
      </c>
      <c r="FB362" t="e">
        <f>AND(#REF!,"AAAAAHLvrp0=")</f>
        <v>#REF!</v>
      </c>
      <c r="FC362" t="e">
        <f>AND(#REF!,"AAAAAHLvrp4=")</f>
        <v>#REF!</v>
      </c>
      <c r="FD362" t="e">
        <f>AND(#REF!,"AAAAAHLvrp8=")</f>
        <v>#REF!</v>
      </c>
      <c r="FE362" t="e">
        <f>AND(#REF!,"AAAAAHLvrqA=")</f>
        <v>#REF!</v>
      </c>
      <c r="FF362" t="e">
        <f>AND(#REF!,"AAAAAHLvrqE=")</f>
        <v>#REF!</v>
      </c>
      <c r="FG362" t="e">
        <f>AND(#REF!,"AAAAAHLvrqI=")</f>
        <v>#REF!</v>
      </c>
      <c r="FH362" t="e">
        <f>AND(#REF!,"AAAAAHLvrqM=")</f>
        <v>#REF!</v>
      </c>
      <c r="FI362" t="e">
        <f>AND(#REF!,"AAAAAHLvrqQ=")</f>
        <v>#REF!</v>
      </c>
      <c r="FJ362" t="e">
        <f>AND(#REF!,"AAAAAHLvrqU=")</f>
        <v>#REF!</v>
      </c>
      <c r="FK362" t="e">
        <f>AND(#REF!,"AAAAAHLvrqY=")</f>
        <v>#REF!</v>
      </c>
      <c r="FL362" t="e">
        <f>AND(#REF!,"AAAAAHLvrqc=")</f>
        <v>#REF!</v>
      </c>
      <c r="FM362" t="e">
        <f>AND(#REF!,"AAAAAHLvrqg=")</f>
        <v>#REF!</v>
      </c>
      <c r="FN362" t="e">
        <f>IF(#REF!,"AAAAAHLvrqk=",0)</f>
        <v>#REF!</v>
      </c>
      <c r="FO362" t="e">
        <f>AND(#REF!,"AAAAAHLvrqo=")</f>
        <v>#REF!</v>
      </c>
      <c r="FP362" t="e">
        <f>AND(#REF!,"AAAAAHLvrqs=")</f>
        <v>#REF!</v>
      </c>
      <c r="FQ362" t="e">
        <f>AND(#REF!,"AAAAAHLvrqw=")</f>
        <v>#REF!</v>
      </c>
      <c r="FR362" t="e">
        <f>AND(#REF!,"AAAAAHLvrq0=")</f>
        <v>#REF!</v>
      </c>
      <c r="FS362" t="e">
        <f>AND(#REF!,"AAAAAHLvrq4=")</f>
        <v>#REF!</v>
      </c>
      <c r="FT362" t="e">
        <f>AND(#REF!,"AAAAAHLvrq8=")</f>
        <v>#REF!</v>
      </c>
      <c r="FU362" t="e">
        <f>AND(#REF!,"AAAAAHLvrrA=")</f>
        <v>#REF!</v>
      </c>
      <c r="FV362" t="e">
        <f>AND(#REF!,"AAAAAHLvrrE=")</f>
        <v>#REF!</v>
      </c>
      <c r="FW362" t="e">
        <f>AND(#REF!,"AAAAAHLvrrI=")</f>
        <v>#REF!</v>
      </c>
      <c r="FX362" t="e">
        <f>AND(#REF!,"AAAAAHLvrrM=")</f>
        <v>#REF!</v>
      </c>
      <c r="FY362" t="e">
        <f>AND(#REF!,"AAAAAHLvrrQ=")</f>
        <v>#REF!</v>
      </c>
      <c r="FZ362" t="e">
        <f>AND(#REF!,"AAAAAHLvrrU=")</f>
        <v>#REF!</v>
      </c>
      <c r="GA362" t="e">
        <f>AND(#REF!,"AAAAAHLvrrY=")</f>
        <v>#REF!</v>
      </c>
      <c r="GB362" t="e">
        <f>AND(#REF!,"AAAAAHLvrrc=")</f>
        <v>#REF!</v>
      </c>
      <c r="GC362" t="e">
        <f>AND(#REF!,"AAAAAHLvrrg=")</f>
        <v>#REF!</v>
      </c>
      <c r="GD362" t="e">
        <f>AND(#REF!,"AAAAAHLvrrk=")</f>
        <v>#REF!</v>
      </c>
      <c r="GE362" t="e">
        <f>AND(#REF!,"AAAAAHLvrro=")</f>
        <v>#REF!</v>
      </c>
      <c r="GF362" t="e">
        <f>AND(#REF!,"AAAAAHLvrrs=")</f>
        <v>#REF!</v>
      </c>
      <c r="GG362" t="e">
        <f>AND(#REF!,"AAAAAHLvrrw=")</f>
        <v>#REF!</v>
      </c>
      <c r="GH362" t="e">
        <f>AND(#REF!,"AAAAAHLvrr0=")</f>
        <v>#REF!</v>
      </c>
      <c r="GI362" t="e">
        <f>AND(#REF!,"AAAAAHLvrr4=")</f>
        <v>#REF!</v>
      </c>
      <c r="GJ362" t="e">
        <f>AND(#REF!,"AAAAAHLvrr8=")</f>
        <v>#REF!</v>
      </c>
      <c r="GK362" t="e">
        <f>AND(#REF!,"AAAAAHLvrsA=")</f>
        <v>#REF!</v>
      </c>
      <c r="GL362" t="e">
        <f>AND(#REF!,"AAAAAHLvrsE=")</f>
        <v>#REF!</v>
      </c>
      <c r="GM362" t="e">
        <f>IF(#REF!,"AAAAAHLvrsI=",0)</f>
        <v>#REF!</v>
      </c>
      <c r="GN362" t="e">
        <f>AND(#REF!,"AAAAAHLvrsM=")</f>
        <v>#REF!</v>
      </c>
      <c r="GO362" t="e">
        <f>AND(#REF!,"AAAAAHLvrsQ=")</f>
        <v>#REF!</v>
      </c>
      <c r="GP362" t="e">
        <f>AND(#REF!,"AAAAAHLvrsU=")</f>
        <v>#REF!</v>
      </c>
      <c r="GQ362" t="e">
        <f>AND(#REF!,"AAAAAHLvrsY=")</f>
        <v>#REF!</v>
      </c>
      <c r="GR362" t="e">
        <f>AND(#REF!,"AAAAAHLvrsc=")</f>
        <v>#REF!</v>
      </c>
      <c r="GS362" t="e">
        <f>AND(#REF!,"AAAAAHLvrsg=")</f>
        <v>#REF!</v>
      </c>
      <c r="GT362" t="e">
        <f>AND(#REF!,"AAAAAHLvrsk=")</f>
        <v>#REF!</v>
      </c>
      <c r="GU362" t="e">
        <f>AND(#REF!,"AAAAAHLvrso=")</f>
        <v>#REF!</v>
      </c>
      <c r="GV362" t="e">
        <f>AND(#REF!,"AAAAAHLvrss=")</f>
        <v>#REF!</v>
      </c>
      <c r="GW362" t="e">
        <f>AND(#REF!,"AAAAAHLvrsw=")</f>
        <v>#REF!</v>
      </c>
      <c r="GX362" t="e">
        <f>AND(#REF!,"AAAAAHLvrs0=")</f>
        <v>#REF!</v>
      </c>
      <c r="GY362" t="e">
        <f>AND(#REF!,"AAAAAHLvrs4=")</f>
        <v>#REF!</v>
      </c>
      <c r="GZ362" t="e">
        <f>AND(#REF!,"AAAAAHLvrs8=")</f>
        <v>#REF!</v>
      </c>
      <c r="HA362" t="e">
        <f>AND(#REF!,"AAAAAHLvrtA=")</f>
        <v>#REF!</v>
      </c>
      <c r="HB362" t="e">
        <f>AND(#REF!,"AAAAAHLvrtE=")</f>
        <v>#REF!</v>
      </c>
      <c r="HC362" t="e">
        <f>AND(#REF!,"AAAAAHLvrtI=")</f>
        <v>#REF!</v>
      </c>
      <c r="HD362" t="e">
        <f>AND(#REF!,"AAAAAHLvrtM=")</f>
        <v>#REF!</v>
      </c>
      <c r="HE362" t="e">
        <f>AND(#REF!,"AAAAAHLvrtQ=")</f>
        <v>#REF!</v>
      </c>
      <c r="HF362" t="e">
        <f>AND(#REF!,"AAAAAHLvrtU=")</f>
        <v>#REF!</v>
      </c>
      <c r="HG362" t="e">
        <f>AND(#REF!,"AAAAAHLvrtY=")</f>
        <v>#REF!</v>
      </c>
      <c r="HH362" t="e">
        <f>AND(#REF!,"AAAAAHLvrtc=")</f>
        <v>#REF!</v>
      </c>
      <c r="HI362" t="e">
        <f>AND(#REF!,"AAAAAHLvrtg=")</f>
        <v>#REF!</v>
      </c>
      <c r="HJ362" t="e">
        <f>AND(#REF!,"AAAAAHLvrtk=")</f>
        <v>#REF!</v>
      </c>
      <c r="HK362" t="e">
        <f>AND(#REF!,"AAAAAHLvrto=")</f>
        <v>#REF!</v>
      </c>
      <c r="HL362" t="e">
        <f>IF(#REF!,"AAAAAHLvrts=",0)</f>
        <v>#REF!</v>
      </c>
      <c r="HM362" t="e">
        <f>AND(#REF!,"AAAAAHLvrtw=")</f>
        <v>#REF!</v>
      </c>
      <c r="HN362" t="e">
        <f>AND(#REF!,"AAAAAHLvrt0=")</f>
        <v>#REF!</v>
      </c>
      <c r="HO362" t="e">
        <f>AND(#REF!,"AAAAAHLvrt4=")</f>
        <v>#REF!</v>
      </c>
      <c r="HP362" t="e">
        <f>AND(#REF!,"AAAAAHLvrt8=")</f>
        <v>#REF!</v>
      </c>
      <c r="HQ362" t="e">
        <f>AND(#REF!,"AAAAAHLvruA=")</f>
        <v>#REF!</v>
      </c>
      <c r="HR362" t="e">
        <f>AND(#REF!,"AAAAAHLvruE=")</f>
        <v>#REF!</v>
      </c>
      <c r="HS362" t="e">
        <f>AND(#REF!,"AAAAAHLvruI=")</f>
        <v>#REF!</v>
      </c>
      <c r="HT362" t="e">
        <f>AND(#REF!,"AAAAAHLvruM=")</f>
        <v>#REF!</v>
      </c>
      <c r="HU362" t="e">
        <f>AND(#REF!,"AAAAAHLvruQ=")</f>
        <v>#REF!</v>
      </c>
      <c r="HV362" t="e">
        <f>AND(#REF!,"AAAAAHLvruU=")</f>
        <v>#REF!</v>
      </c>
      <c r="HW362" t="e">
        <f>AND(#REF!,"AAAAAHLvruY=")</f>
        <v>#REF!</v>
      </c>
      <c r="HX362" t="e">
        <f>AND(#REF!,"AAAAAHLvruc=")</f>
        <v>#REF!</v>
      </c>
      <c r="HY362" t="e">
        <f>AND(#REF!,"AAAAAHLvrug=")</f>
        <v>#REF!</v>
      </c>
      <c r="HZ362" t="e">
        <f>AND(#REF!,"AAAAAHLvruk=")</f>
        <v>#REF!</v>
      </c>
      <c r="IA362" t="e">
        <f>AND(#REF!,"AAAAAHLvruo=")</f>
        <v>#REF!</v>
      </c>
      <c r="IB362" t="e">
        <f>AND(#REF!,"AAAAAHLvrus=")</f>
        <v>#REF!</v>
      </c>
      <c r="IC362" t="e">
        <f>AND(#REF!,"AAAAAHLvruw=")</f>
        <v>#REF!</v>
      </c>
      <c r="ID362" t="e">
        <f>AND(#REF!,"AAAAAHLvru0=")</f>
        <v>#REF!</v>
      </c>
      <c r="IE362" t="e">
        <f>AND(#REF!,"AAAAAHLvru4=")</f>
        <v>#REF!</v>
      </c>
      <c r="IF362" t="e">
        <f>AND(#REF!,"AAAAAHLvru8=")</f>
        <v>#REF!</v>
      </c>
      <c r="IG362" t="e">
        <f>AND(#REF!,"AAAAAHLvrvA=")</f>
        <v>#REF!</v>
      </c>
      <c r="IH362" t="e">
        <f>AND(#REF!,"AAAAAHLvrvE=")</f>
        <v>#REF!</v>
      </c>
      <c r="II362" t="e">
        <f>AND(#REF!,"AAAAAHLvrvI=")</f>
        <v>#REF!</v>
      </c>
      <c r="IJ362" t="e">
        <f>AND(#REF!,"AAAAAHLvrvM=")</f>
        <v>#REF!</v>
      </c>
      <c r="IK362" t="e">
        <f>IF(#REF!,"AAAAAHLvrvQ=",0)</f>
        <v>#REF!</v>
      </c>
      <c r="IL362" t="e">
        <f>AND(#REF!,"AAAAAHLvrvU=")</f>
        <v>#REF!</v>
      </c>
      <c r="IM362" t="e">
        <f>AND(#REF!,"AAAAAHLvrvY=")</f>
        <v>#REF!</v>
      </c>
      <c r="IN362" t="e">
        <f>AND(#REF!,"AAAAAHLvrvc=")</f>
        <v>#REF!</v>
      </c>
      <c r="IO362" t="e">
        <f>AND(#REF!,"AAAAAHLvrvg=")</f>
        <v>#REF!</v>
      </c>
      <c r="IP362" t="e">
        <f>AND(#REF!,"AAAAAHLvrvk=")</f>
        <v>#REF!</v>
      </c>
      <c r="IQ362" t="e">
        <f>AND(#REF!,"AAAAAHLvrvo=")</f>
        <v>#REF!</v>
      </c>
      <c r="IR362" t="e">
        <f>AND(#REF!,"AAAAAHLvrvs=")</f>
        <v>#REF!</v>
      </c>
      <c r="IS362" t="e">
        <f>AND(#REF!,"AAAAAHLvrvw=")</f>
        <v>#REF!</v>
      </c>
      <c r="IT362" t="e">
        <f>AND(#REF!,"AAAAAHLvrv0=")</f>
        <v>#REF!</v>
      </c>
      <c r="IU362" t="e">
        <f>AND(#REF!,"AAAAAHLvrv4=")</f>
        <v>#REF!</v>
      </c>
      <c r="IV362" t="e">
        <f>AND(#REF!,"AAAAAHLvrv8=")</f>
        <v>#REF!</v>
      </c>
    </row>
    <row r="363" spans="1:256">
      <c r="A363" t="e">
        <f>AND(#REF!,"AAAAACb58wA=")</f>
        <v>#REF!</v>
      </c>
      <c r="B363" t="e">
        <f>AND(#REF!,"AAAAACb58wE=")</f>
        <v>#REF!</v>
      </c>
      <c r="C363" t="e">
        <f>AND(#REF!,"AAAAACb58wI=")</f>
        <v>#REF!</v>
      </c>
      <c r="D363" t="e">
        <f>AND(#REF!,"AAAAACb58wM=")</f>
        <v>#REF!</v>
      </c>
      <c r="E363" t="e">
        <f>AND(#REF!,"AAAAACb58wQ=")</f>
        <v>#REF!</v>
      </c>
      <c r="F363" t="e">
        <f>AND(#REF!,"AAAAACb58wU=")</f>
        <v>#REF!</v>
      </c>
      <c r="G363" t="e">
        <f>AND(#REF!,"AAAAACb58wY=")</f>
        <v>#REF!</v>
      </c>
      <c r="H363" t="e">
        <f>AND(#REF!,"AAAAACb58wc=")</f>
        <v>#REF!</v>
      </c>
      <c r="I363" t="e">
        <f>AND(#REF!,"AAAAACb58wg=")</f>
        <v>#REF!</v>
      </c>
      <c r="J363" t="e">
        <f>AND(#REF!,"AAAAACb58wk=")</f>
        <v>#REF!</v>
      </c>
      <c r="K363" t="e">
        <f>AND(#REF!,"AAAAACb58wo=")</f>
        <v>#REF!</v>
      </c>
      <c r="L363" t="e">
        <f>AND(#REF!,"AAAAACb58ws=")</f>
        <v>#REF!</v>
      </c>
      <c r="M363" t="e">
        <f>AND(#REF!,"AAAAACb58ww=")</f>
        <v>#REF!</v>
      </c>
      <c r="N363" t="e">
        <f>IF(#REF!,"AAAAACb58w0=",0)</f>
        <v>#REF!</v>
      </c>
      <c r="O363" t="e">
        <f>AND(#REF!,"AAAAACb58w4=")</f>
        <v>#REF!</v>
      </c>
      <c r="P363" t="e">
        <f>AND(#REF!,"AAAAACb58w8=")</f>
        <v>#REF!</v>
      </c>
      <c r="Q363" t="e">
        <f>AND(#REF!,"AAAAACb58xA=")</f>
        <v>#REF!</v>
      </c>
      <c r="R363" t="e">
        <f>AND(#REF!,"AAAAACb58xE=")</f>
        <v>#REF!</v>
      </c>
      <c r="S363" t="e">
        <f>AND(#REF!,"AAAAACb58xI=")</f>
        <v>#REF!</v>
      </c>
      <c r="T363" t="e">
        <f>AND(#REF!,"AAAAACb58xM=")</f>
        <v>#REF!</v>
      </c>
      <c r="U363" t="e">
        <f>AND(#REF!,"AAAAACb58xQ=")</f>
        <v>#REF!</v>
      </c>
      <c r="V363" t="e">
        <f>AND(#REF!,"AAAAACb58xU=")</f>
        <v>#REF!</v>
      </c>
      <c r="W363" t="e">
        <f>AND(#REF!,"AAAAACb58xY=")</f>
        <v>#REF!</v>
      </c>
      <c r="X363" t="e">
        <f>AND(#REF!,"AAAAACb58xc=")</f>
        <v>#REF!</v>
      </c>
      <c r="Y363" t="e">
        <f>AND(#REF!,"AAAAACb58xg=")</f>
        <v>#REF!</v>
      </c>
      <c r="Z363" t="e">
        <f>AND(#REF!,"AAAAACb58xk=")</f>
        <v>#REF!</v>
      </c>
      <c r="AA363" t="e">
        <f>AND(#REF!,"AAAAACb58xo=")</f>
        <v>#REF!</v>
      </c>
      <c r="AB363" t="e">
        <f>AND(#REF!,"AAAAACb58xs=")</f>
        <v>#REF!</v>
      </c>
      <c r="AC363" t="e">
        <f>AND(#REF!,"AAAAACb58xw=")</f>
        <v>#REF!</v>
      </c>
      <c r="AD363" t="e">
        <f>AND(#REF!,"AAAAACb58x0=")</f>
        <v>#REF!</v>
      </c>
      <c r="AE363" t="e">
        <f>AND(#REF!,"AAAAACb58x4=")</f>
        <v>#REF!</v>
      </c>
      <c r="AF363" t="e">
        <f>AND(#REF!,"AAAAACb58x8=")</f>
        <v>#REF!</v>
      </c>
      <c r="AG363" t="e">
        <f>AND(#REF!,"AAAAACb58yA=")</f>
        <v>#REF!</v>
      </c>
      <c r="AH363" t="e">
        <f>AND(#REF!,"AAAAACb58yE=")</f>
        <v>#REF!</v>
      </c>
      <c r="AI363" t="e">
        <f>AND(#REF!,"AAAAACb58yI=")</f>
        <v>#REF!</v>
      </c>
      <c r="AJ363" t="e">
        <f>AND(#REF!,"AAAAACb58yM=")</f>
        <v>#REF!</v>
      </c>
      <c r="AK363" t="e">
        <f>AND(#REF!,"AAAAACb58yQ=")</f>
        <v>#REF!</v>
      </c>
      <c r="AL363" t="e">
        <f>AND(#REF!,"AAAAACb58yU=")</f>
        <v>#REF!</v>
      </c>
      <c r="AM363" t="e">
        <f>IF(#REF!,"AAAAACb58yY=",0)</f>
        <v>#REF!</v>
      </c>
      <c r="AN363" t="e">
        <f>AND(#REF!,"AAAAACb58yc=")</f>
        <v>#REF!</v>
      </c>
      <c r="AO363" t="e">
        <f>AND(#REF!,"AAAAACb58yg=")</f>
        <v>#REF!</v>
      </c>
      <c r="AP363" t="e">
        <f>AND(#REF!,"AAAAACb58yk=")</f>
        <v>#REF!</v>
      </c>
      <c r="AQ363" t="e">
        <f>AND(#REF!,"AAAAACb58yo=")</f>
        <v>#REF!</v>
      </c>
      <c r="AR363" t="e">
        <f>AND(#REF!,"AAAAACb58ys=")</f>
        <v>#REF!</v>
      </c>
      <c r="AS363" t="e">
        <f>AND(#REF!,"AAAAACb58yw=")</f>
        <v>#REF!</v>
      </c>
      <c r="AT363" t="e">
        <f>AND(#REF!,"AAAAACb58y0=")</f>
        <v>#REF!</v>
      </c>
      <c r="AU363" t="e">
        <f>AND(#REF!,"AAAAACb58y4=")</f>
        <v>#REF!</v>
      </c>
      <c r="AV363" t="e">
        <f>AND(#REF!,"AAAAACb58y8=")</f>
        <v>#REF!</v>
      </c>
      <c r="AW363" t="e">
        <f>AND(#REF!,"AAAAACb58zA=")</f>
        <v>#REF!</v>
      </c>
      <c r="AX363" t="e">
        <f>AND(#REF!,"AAAAACb58zE=")</f>
        <v>#REF!</v>
      </c>
      <c r="AY363" t="e">
        <f>AND(#REF!,"AAAAACb58zI=")</f>
        <v>#REF!</v>
      </c>
      <c r="AZ363" t="e">
        <f>AND(#REF!,"AAAAACb58zM=")</f>
        <v>#REF!</v>
      </c>
      <c r="BA363" t="e">
        <f>AND(#REF!,"AAAAACb58zQ=")</f>
        <v>#REF!</v>
      </c>
      <c r="BB363" t="e">
        <f>AND(#REF!,"AAAAACb58zU=")</f>
        <v>#REF!</v>
      </c>
      <c r="BC363" t="e">
        <f>AND(#REF!,"AAAAACb58zY=")</f>
        <v>#REF!</v>
      </c>
      <c r="BD363" t="e">
        <f>AND(#REF!,"AAAAACb58zc=")</f>
        <v>#REF!</v>
      </c>
      <c r="BE363" t="e">
        <f>AND(#REF!,"AAAAACb58zg=")</f>
        <v>#REF!</v>
      </c>
      <c r="BF363" t="e">
        <f>AND(#REF!,"AAAAACb58zk=")</f>
        <v>#REF!</v>
      </c>
      <c r="BG363" t="e">
        <f>AND(#REF!,"AAAAACb58zo=")</f>
        <v>#REF!</v>
      </c>
      <c r="BH363" t="e">
        <f>AND(#REF!,"AAAAACb58zs=")</f>
        <v>#REF!</v>
      </c>
      <c r="BI363" t="e">
        <f>AND(#REF!,"AAAAACb58zw=")</f>
        <v>#REF!</v>
      </c>
      <c r="BJ363" t="e">
        <f>AND(#REF!,"AAAAACb58z0=")</f>
        <v>#REF!</v>
      </c>
      <c r="BK363" t="e">
        <f>AND(#REF!,"AAAAACb58z4=")</f>
        <v>#REF!</v>
      </c>
      <c r="BL363" t="e">
        <f>IF(#REF!,"AAAAACb58z8=",0)</f>
        <v>#REF!</v>
      </c>
      <c r="BM363" t="e">
        <f>AND(#REF!,"AAAAACb580A=")</f>
        <v>#REF!</v>
      </c>
      <c r="BN363" t="e">
        <f>AND(#REF!,"AAAAACb580E=")</f>
        <v>#REF!</v>
      </c>
      <c r="BO363" t="e">
        <f>AND(#REF!,"AAAAACb580I=")</f>
        <v>#REF!</v>
      </c>
      <c r="BP363" t="e">
        <f>AND(#REF!,"AAAAACb580M=")</f>
        <v>#REF!</v>
      </c>
      <c r="BQ363" t="e">
        <f>AND(#REF!,"AAAAACb580Q=")</f>
        <v>#REF!</v>
      </c>
      <c r="BR363" t="e">
        <f>AND(#REF!,"AAAAACb580U=")</f>
        <v>#REF!</v>
      </c>
      <c r="BS363" t="e">
        <f>AND(#REF!,"AAAAACb580Y=")</f>
        <v>#REF!</v>
      </c>
      <c r="BT363" t="e">
        <f>AND(#REF!,"AAAAACb580c=")</f>
        <v>#REF!</v>
      </c>
      <c r="BU363" t="e">
        <f>AND(#REF!,"AAAAACb580g=")</f>
        <v>#REF!</v>
      </c>
      <c r="BV363" t="e">
        <f>AND(#REF!,"AAAAACb580k=")</f>
        <v>#REF!</v>
      </c>
      <c r="BW363" t="e">
        <f>AND(#REF!,"AAAAACb580o=")</f>
        <v>#REF!</v>
      </c>
      <c r="BX363" t="e">
        <f>AND(#REF!,"AAAAACb580s=")</f>
        <v>#REF!</v>
      </c>
      <c r="BY363" t="e">
        <f>AND(#REF!,"AAAAACb580w=")</f>
        <v>#REF!</v>
      </c>
      <c r="BZ363" t="e">
        <f>AND(#REF!,"AAAAACb5800=")</f>
        <v>#REF!</v>
      </c>
      <c r="CA363" t="e">
        <f>AND(#REF!,"AAAAACb5804=")</f>
        <v>#REF!</v>
      </c>
      <c r="CB363" t="e">
        <f>AND(#REF!,"AAAAACb5808=")</f>
        <v>#REF!</v>
      </c>
      <c r="CC363" t="e">
        <f>AND(#REF!,"AAAAACb581A=")</f>
        <v>#REF!</v>
      </c>
      <c r="CD363" t="e">
        <f>AND(#REF!,"AAAAACb581E=")</f>
        <v>#REF!</v>
      </c>
      <c r="CE363" t="e">
        <f>AND(#REF!,"AAAAACb581I=")</f>
        <v>#REF!</v>
      </c>
      <c r="CF363" t="e">
        <f>AND(#REF!,"AAAAACb581M=")</f>
        <v>#REF!</v>
      </c>
      <c r="CG363" t="e">
        <f>AND(#REF!,"AAAAACb581Q=")</f>
        <v>#REF!</v>
      </c>
      <c r="CH363" t="e">
        <f>AND(#REF!,"AAAAACb581U=")</f>
        <v>#REF!</v>
      </c>
      <c r="CI363" t="e">
        <f>AND(#REF!,"AAAAACb581Y=")</f>
        <v>#REF!</v>
      </c>
      <c r="CJ363" t="e">
        <f>AND(#REF!,"AAAAACb581c=")</f>
        <v>#REF!</v>
      </c>
      <c r="CK363" t="e">
        <f>IF(#REF!,"AAAAACb581g=",0)</f>
        <v>#REF!</v>
      </c>
      <c r="CL363" t="e">
        <f>AND(#REF!,"AAAAACb581k=")</f>
        <v>#REF!</v>
      </c>
      <c r="CM363" t="e">
        <f>AND(#REF!,"AAAAACb581o=")</f>
        <v>#REF!</v>
      </c>
      <c r="CN363" t="e">
        <f>AND(#REF!,"AAAAACb581s=")</f>
        <v>#REF!</v>
      </c>
      <c r="CO363" t="e">
        <f>AND(#REF!,"AAAAACb581w=")</f>
        <v>#REF!</v>
      </c>
      <c r="CP363" t="e">
        <f>AND(#REF!,"AAAAACb5810=")</f>
        <v>#REF!</v>
      </c>
      <c r="CQ363" t="e">
        <f>AND(#REF!,"AAAAACb5814=")</f>
        <v>#REF!</v>
      </c>
      <c r="CR363" t="e">
        <f>AND(#REF!,"AAAAACb5818=")</f>
        <v>#REF!</v>
      </c>
      <c r="CS363" t="e">
        <f>AND(#REF!,"AAAAACb582A=")</f>
        <v>#REF!</v>
      </c>
      <c r="CT363" t="e">
        <f>AND(#REF!,"AAAAACb582E=")</f>
        <v>#REF!</v>
      </c>
      <c r="CU363" t="e">
        <f>AND(#REF!,"AAAAACb582I=")</f>
        <v>#REF!</v>
      </c>
      <c r="CV363" t="e">
        <f>AND(#REF!,"AAAAACb582M=")</f>
        <v>#REF!</v>
      </c>
      <c r="CW363" t="e">
        <f>AND(#REF!,"AAAAACb582Q=")</f>
        <v>#REF!</v>
      </c>
      <c r="CX363" t="e">
        <f>AND(#REF!,"AAAAACb582U=")</f>
        <v>#REF!</v>
      </c>
      <c r="CY363" t="e">
        <f>AND(#REF!,"AAAAACb582Y=")</f>
        <v>#REF!</v>
      </c>
      <c r="CZ363" t="e">
        <f>AND(#REF!,"AAAAACb582c=")</f>
        <v>#REF!</v>
      </c>
      <c r="DA363" t="e">
        <f>AND(#REF!,"AAAAACb582g=")</f>
        <v>#REF!</v>
      </c>
      <c r="DB363" t="e">
        <f>AND(#REF!,"AAAAACb582k=")</f>
        <v>#REF!</v>
      </c>
      <c r="DC363" t="e">
        <f>AND(#REF!,"AAAAACb582o=")</f>
        <v>#REF!</v>
      </c>
      <c r="DD363" t="e">
        <f>AND(#REF!,"AAAAACb582s=")</f>
        <v>#REF!</v>
      </c>
      <c r="DE363" t="e">
        <f>AND(#REF!,"AAAAACb582w=")</f>
        <v>#REF!</v>
      </c>
      <c r="DF363" t="e">
        <f>AND(#REF!,"AAAAACb5820=")</f>
        <v>#REF!</v>
      </c>
      <c r="DG363" t="e">
        <f>AND(#REF!,"AAAAACb5824=")</f>
        <v>#REF!</v>
      </c>
      <c r="DH363" t="e">
        <f>AND(#REF!,"AAAAACb5828=")</f>
        <v>#REF!</v>
      </c>
      <c r="DI363" t="e">
        <f>AND(#REF!,"AAAAACb583A=")</f>
        <v>#REF!</v>
      </c>
      <c r="DJ363" t="e">
        <f>IF(#REF!,"AAAAACb583E=",0)</f>
        <v>#REF!</v>
      </c>
      <c r="DK363" t="e">
        <f>AND(#REF!,"AAAAACb583I=")</f>
        <v>#REF!</v>
      </c>
      <c r="DL363" t="e">
        <f>AND(#REF!,"AAAAACb583M=")</f>
        <v>#REF!</v>
      </c>
      <c r="DM363" t="e">
        <f>AND(#REF!,"AAAAACb583Q=")</f>
        <v>#REF!</v>
      </c>
      <c r="DN363" t="e">
        <f>AND(#REF!,"AAAAACb583U=")</f>
        <v>#REF!</v>
      </c>
      <c r="DO363" t="e">
        <f>AND(#REF!,"AAAAACb583Y=")</f>
        <v>#REF!</v>
      </c>
      <c r="DP363" t="e">
        <f>AND(#REF!,"AAAAACb583c=")</f>
        <v>#REF!</v>
      </c>
      <c r="DQ363" t="e">
        <f>AND(#REF!,"AAAAACb583g=")</f>
        <v>#REF!</v>
      </c>
      <c r="DR363" t="e">
        <f>AND(#REF!,"AAAAACb583k=")</f>
        <v>#REF!</v>
      </c>
      <c r="DS363" t="e">
        <f>AND(#REF!,"AAAAACb583o=")</f>
        <v>#REF!</v>
      </c>
      <c r="DT363" t="e">
        <f>AND(#REF!,"AAAAACb583s=")</f>
        <v>#REF!</v>
      </c>
      <c r="DU363" t="e">
        <f>AND(#REF!,"AAAAACb583w=")</f>
        <v>#REF!</v>
      </c>
      <c r="DV363" t="e">
        <f>AND(#REF!,"AAAAACb5830=")</f>
        <v>#REF!</v>
      </c>
      <c r="DW363" t="e">
        <f>AND(#REF!,"AAAAACb5834=")</f>
        <v>#REF!</v>
      </c>
      <c r="DX363" t="e">
        <f>AND(#REF!,"AAAAACb5838=")</f>
        <v>#REF!</v>
      </c>
      <c r="DY363" t="e">
        <f>AND(#REF!,"AAAAACb584A=")</f>
        <v>#REF!</v>
      </c>
      <c r="DZ363" t="e">
        <f>AND(#REF!,"AAAAACb584E=")</f>
        <v>#REF!</v>
      </c>
      <c r="EA363" t="e">
        <f>AND(#REF!,"AAAAACb584I=")</f>
        <v>#REF!</v>
      </c>
      <c r="EB363" t="e">
        <f>AND(#REF!,"AAAAACb584M=")</f>
        <v>#REF!</v>
      </c>
      <c r="EC363" t="e">
        <f>AND(#REF!,"AAAAACb584Q=")</f>
        <v>#REF!</v>
      </c>
      <c r="ED363" t="e">
        <f>AND(#REF!,"AAAAACb584U=")</f>
        <v>#REF!</v>
      </c>
      <c r="EE363" t="e">
        <f>AND(#REF!,"AAAAACb584Y=")</f>
        <v>#REF!</v>
      </c>
      <c r="EF363" t="e">
        <f>AND(#REF!,"AAAAACb584c=")</f>
        <v>#REF!</v>
      </c>
      <c r="EG363" t="e">
        <f>AND(#REF!,"AAAAACb584g=")</f>
        <v>#REF!</v>
      </c>
      <c r="EH363" t="e">
        <f>AND(#REF!,"AAAAACb584k=")</f>
        <v>#REF!</v>
      </c>
      <c r="EI363" t="e">
        <f>IF(#REF!,"AAAAACb584o=",0)</f>
        <v>#REF!</v>
      </c>
      <c r="EJ363" t="e">
        <f>AND(#REF!,"AAAAACb584s=")</f>
        <v>#REF!</v>
      </c>
      <c r="EK363" t="e">
        <f>AND(#REF!,"AAAAACb584w=")</f>
        <v>#REF!</v>
      </c>
      <c r="EL363" t="e">
        <f>AND(#REF!,"AAAAACb5840=")</f>
        <v>#REF!</v>
      </c>
      <c r="EM363" t="e">
        <f>AND(#REF!,"AAAAACb5844=")</f>
        <v>#REF!</v>
      </c>
      <c r="EN363" t="e">
        <f>AND(#REF!,"AAAAACb5848=")</f>
        <v>#REF!</v>
      </c>
      <c r="EO363" t="e">
        <f>AND(#REF!,"AAAAACb585A=")</f>
        <v>#REF!</v>
      </c>
      <c r="EP363" t="e">
        <f>AND(#REF!,"AAAAACb585E=")</f>
        <v>#REF!</v>
      </c>
      <c r="EQ363" t="e">
        <f>AND(#REF!,"AAAAACb585I=")</f>
        <v>#REF!</v>
      </c>
      <c r="ER363" t="e">
        <f>AND(#REF!,"AAAAACb585M=")</f>
        <v>#REF!</v>
      </c>
      <c r="ES363" t="e">
        <f>AND(#REF!,"AAAAACb585Q=")</f>
        <v>#REF!</v>
      </c>
      <c r="ET363" t="e">
        <f>AND(#REF!,"AAAAACb585U=")</f>
        <v>#REF!</v>
      </c>
      <c r="EU363" t="e">
        <f>AND(#REF!,"AAAAACb585Y=")</f>
        <v>#REF!</v>
      </c>
      <c r="EV363" t="e">
        <f>AND(#REF!,"AAAAACb585c=")</f>
        <v>#REF!</v>
      </c>
      <c r="EW363" t="e">
        <f>AND(#REF!,"AAAAACb585g=")</f>
        <v>#REF!</v>
      </c>
      <c r="EX363" t="e">
        <f>AND(#REF!,"AAAAACb585k=")</f>
        <v>#REF!</v>
      </c>
      <c r="EY363" t="e">
        <f>AND(#REF!,"AAAAACb585o=")</f>
        <v>#REF!</v>
      </c>
      <c r="EZ363" t="e">
        <f>AND(#REF!,"AAAAACb585s=")</f>
        <v>#REF!</v>
      </c>
      <c r="FA363" t="e">
        <f>AND(#REF!,"AAAAACb585w=")</f>
        <v>#REF!</v>
      </c>
      <c r="FB363" t="e">
        <f>AND(#REF!,"AAAAACb5850=")</f>
        <v>#REF!</v>
      </c>
      <c r="FC363" t="e">
        <f>AND(#REF!,"AAAAACb5854=")</f>
        <v>#REF!</v>
      </c>
      <c r="FD363" t="e">
        <f>AND(#REF!,"AAAAACb5858=")</f>
        <v>#REF!</v>
      </c>
      <c r="FE363" t="e">
        <f>AND(#REF!,"AAAAACb586A=")</f>
        <v>#REF!</v>
      </c>
      <c r="FF363" t="e">
        <f>AND(#REF!,"AAAAACb586E=")</f>
        <v>#REF!</v>
      </c>
      <c r="FG363" t="e">
        <f>AND(#REF!,"AAAAACb586I=")</f>
        <v>#REF!</v>
      </c>
      <c r="FH363" t="e">
        <f>IF(#REF!,"AAAAACb586M=",0)</f>
        <v>#REF!</v>
      </c>
      <c r="FI363" t="e">
        <f>AND(#REF!,"AAAAACb586Q=")</f>
        <v>#REF!</v>
      </c>
      <c r="FJ363" t="e">
        <f>AND(#REF!,"AAAAACb586U=")</f>
        <v>#REF!</v>
      </c>
      <c r="FK363" t="e">
        <f>AND(#REF!,"AAAAACb586Y=")</f>
        <v>#REF!</v>
      </c>
      <c r="FL363" t="e">
        <f>AND(#REF!,"AAAAACb586c=")</f>
        <v>#REF!</v>
      </c>
      <c r="FM363" t="e">
        <f>AND(#REF!,"AAAAACb586g=")</f>
        <v>#REF!</v>
      </c>
      <c r="FN363" t="e">
        <f>AND(#REF!,"AAAAACb586k=")</f>
        <v>#REF!</v>
      </c>
      <c r="FO363" t="e">
        <f>AND(#REF!,"AAAAACb586o=")</f>
        <v>#REF!</v>
      </c>
      <c r="FP363" t="e">
        <f>AND(#REF!,"AAAAACb586s=")</f>
        <v>#REF!</v>
      </c>
      <c r="FQ363" t="e">
        <f>AND(#REF!,"AAAAACb586w=")</f>
        <v>#REF!</v>
      </c>
      <c r="FR363" t="e">
        <f>AND(#REF!,"AAAAACb5860=")</f>
        <v>#REF!</v>
      </c>
      <c r="FS363" t="e">
        <f>AND(#REF!,"AAAAACb5864=")</f>
        <v>#REF!</v>
      </c>
      <c r="FT363" t="e">
        <f>AND(#REF!,"AAAAACb5868=")</f>
        <v>#REF!</v>
      </c>
      <c r="FU363" t="e">
        <f>AND(#REF!,"AAAAACb587A=")</f>
        <v>#REF!</v>
      </c>
      <c r="FV363" t="e">
        <f>AND(#REF!,"AAAAACb587E=")</f>
        <v>#REF!</v>
      </c>
      <c r="FW363" t="e">
        <f>AND(#REF!,"AAAAACb587I=")</f>
        <v>#REF!</v>
      </c>
      <c r="FX363" t="e">
        <f>AND(#REF!,"AAAAACb587M=")</f>
        <v>#REF!</v>
      </c>
      <c r="FY363" t="e">
        <f>AND(#REF!,"AAAAACb587Q=")</f>
        <v>#REF!</v>
      </c>
      <c r="FZ363" t="e">
        <f>AND(#REF!,"AAAAACb587U=")</f>
        <v>#REF!</v>
      </c>
      <c r="GA363" t="e">
        <f>AND(#REF!,"AAAAACb587Y=")</f>
        <v>#REF!</v>
      </c>
      <c r="GB363" t="e">
        <f>AND(#REF!,"AAAAACb587c=")</f>
        <v>#REF!</v>
      </c>
      <c r="GC363" t="e">
        <f>AND(#REF!,"AAAAACb587g=")</f>
        <v>#REF!</v>
      </c>
      <c r="GD363" t="e">
        <f>AND(#REF!,"AAAAACb587k=")</f>
        <v>#REF!</v>
      </c>
      <c r="GE363" t="e">
        <f>AND(#REF!,"AAAAACb587o=")</f>
        <v>#REF!</v>
      </c>
      <c r="GF363" t="e">
        <f>AND(#REF!,"AAAAACb587s=")</f>
        <v>#REF!</v>
      </c>
      <c r="GG363" t="e">
        <f>IF(#REF!,"AAAAACb587w=",0)</f>
        <v>#REF!</v>
      </c>
      <c r="GH363" t="e">
        <f>AND(#REF!,"AAAAACb5870=")</f>
        <v>#REF!</v>
      </c>
      <c r="GI363" t="e">
        <f>AND(#REF!,"AAAAACb5874=")</f>
        <v>#REF!</v>
      </c>
      <c r="GJ363" t="e">
        <f>AND(#REF!,"AAAAACb5878=")</f>
        <v>#REF!</v>
      </c>
      <c r="GK363" t="e">
        <f>AND(#REF!,"AAAAACb588A=")</f>
        <v>#REF!</v>
      </c>
      <c r="GL363" t="e">
        <f>AND(#REF!,"AAAAACb588E=")</f>
        <v>#REF!</v>
      </c>
      <c r="GM363" t="e">
        <f>AND(#REF!,"AAAAACb588I=")</f>
        <v>#REF!</v>
      </c>
      <c r="GN363" t="e">
        <f>AND(#REF!,"AAAAACb588M=")</f>
        <v>#REF!</v>
      </c>
      <c r="GO363" t="e">
        <f>AND(#REF!,"AAAAACb588Q=")</f>
        <v>#REF!</v>
      </c>
      <c r="GP363" t="e">
        <f>AND(#REF!,"AAAAACb588U=")</f>
        <v>#REF!</v>
      </c>
      <c r="GQ363" t="e">
        <f>AND(#REF!,"AAAAACb588Y=")</f>
        <v>#REF!</v>
      </c>
      <c r="GR363" t="e">
        <f>AND(#REF!,"AAAAACb588c=")</f>
        <v>#REF!</v>
      </c>
      <c r="GS363" t="e">
        <f>AND(#REF!,"AAAAACb588g=")</f>
        <v>#REF!</v>
      </c>
      <c r="GT363" t="e">
        <f>AND(#REF!,"AAAAACb588k=")</f>
        <v>#REF!</v>
      </c>
      <c r="GU363" t="e">
        <f>AND(#REF!,"AAAAACb588o=")</f>
        <v>#REF!</v>
      </c>
      <c r="GV363" t="e">
        <f>AND(#REF!,"AAAAACb588s=")</f>
        <v>#REF!</v>
      </c>
      <c r="GW363" t="e">
        <f>AND(#REF!,"AAAAACb588w=")</f>
        <v>#REF!</v>
      </c>
      <c r="GX363" t="e">
        <f>AND(#REF!,"AAAAACb5880=")</f>
        <v>#REF!</v>
      </c>
      <c r="GY363" t="e">
        <f>AND(#REF!,"AAAAACb5884=")</f>
        <v>#REF!</v>
      </c>
      <c r="GZ363" t="e">
        <f>AND(#REF!,"AAAAACb5888=")</f>
        <v>#REF!</v>
      </c>
      <c r="HA363" t="e">
        <f>AND(#REF!,"AAAAACb589A=")</f>
        <v>#REF!</v>
      </c>
      <c r="HB363" t="e">
        <f>AND(#REF!,"AAAAACb589E=")</f>
        <v>#REF!</v>
      </c>
      <c r="HC363" t="e">
        <f>AND(#REF!,"AAAAACb589I=")</f>
        <v>#REF!</v>
      </c>
      <c r="HD363" t="e">
        <f>AND(#REF!,"AAAAACb589M=")</f>
        <v>#REF!</v>
      </c>
      <c r="HE363" t="e">
        <f>AND(#REF!,"AAAAACb589Q=")</f>
        <v>#REF!</v>
      </c>
      <c r="HF363" t="e">
        <f>IF(#REF!,"AAAAACb589U=",0)</f>
        <v>#REF!</v>
      </c>
      <c r="HG363" t="e">
        <f>AND(#REF!,"AAAAACb589Y=")</f>
        <v>#REF!</v>
      </c>
      <c r="HH363" t="e">
        <f>AND(#REF!,"AAAAACb589c=")</f>
        <v>#REF!</v>
      </c>
      <c r="HI363" t="e">
        <f>AND(#REF!,"AAAAACb589g=")</f>
        <v>#REF!</v>
      </c>
      <c r="HJ363" t="e">
        <f>AND(#REF!,"AAAAACb589k=")</f>
        <v>#REF!</v>
      </c>
      <c r="HK363" t="e">
        <f>AND(#REF!,"AAAAACb589o=")</f>
        <v>#REF!</v>
      </c>
      <c r="HL363" t="e">
        <f>AND(#REF!,"AAAAACb589s=")</f>
        <v>#REF!</v>
      </c>
      <c r="HM363" t="e">
        <f>AND(#REF!,"AAAAACb589w=")</f>
        <v>#REF!</v>
      </c>
      <c r="HN363" t="e">
        <f>AND(#REF!,"AAAAACb5890=")</f>
        <v>#REF!</v>
      </c>
      <c r="HO363" t="e">
        <f>AND(#REF!,"AAAAACb5894=")</f>
        <v>#REF!</v>
      </c>
      <c r="HP363" t="e">
        <f>AND(#REF!,"AAAAACb5898=")</f>
        <v>#REF!</v>
      </c>
      <c r="HQ363" t="e">
        <f>AND(#REF!,"AAAAACb58+A=")</f>
        <v>#REF!</v>
      </c>
      <c r="HR363" t="e">
        <f>AND(#REF!,"AAAAACb58+E=")</f>
        <v>#REF!</v>
      </c>
      <c r="HS363" t="e">
        <f>AND(#REF!,"AAAAACb58+I=")</f>
        <v>#REF!</v>
      </c>
      <c r="HT363" t="e">
        <f>AND(#REF!,"AAAAACb58+M=")</f>
        <v>#REF!</v>
      </c>
      <c r="HU363" t="e">
        <f>AND(#REF!,"AAAAACb58+Q=")</f>
        <v>#REF!</v>
      </c>
      <c r="HV363" t="e">
        <f>AND(#REF!,"AAAAACb58+U=")</f>
        <v>#REF!</v>
      </c>
      <c r="HW363" t="e">
        <f>AND(#REF!,"AAAAACb58+Y=")</f>
        <v>#REF!</v>
      </c>
      <c r="HX363" t="e">
        <f>AND(#REF!,"AAAAACb58+c=")</f>
        <v>#REF!</v>
      </c>
      <c r="HY363" t="e">
        <f>AND(#REF!,"AAAAACb58+g=")</f>
        <v>#REF!</v>
      </c>
      <c r="HZ363" t="e">
        <f>AND(#REF!,"AAAAACb58+k=")</f>
        <v>#REF!</v>
      </c>
      <c r="IA363" t="e">
        <f>AND(#REF!,"AAAAACb58+o=")</f>
        <v>#REF!</v>
      </c>
      <c r="IB363" t="e">
        <f>AND(#REF!,"AAAAACb58+s=")</f>
        <v>#REF!</v>
      </c>
      <c r="IC363" t="e">
        <f>AND(#REF!,"AAAAACb58+w=")</f>
        <v>#REF!</v>
      </c>
      <c r="ID363" t="e">
        <f>AND(#REF!,"AAAAACb58+0=")</f>
        <v>#REF!</v>
      </c>
      <c r="IE363" t="e">
        <f>IF(#REF!,"AAAAACb58+4=",0)</f>
        <v>#REF!</v>
      </c>
      <c r="IF363" t="e">
        <f>AND(#REF!,"AAAAACb58+8=")</f>
        <v>#REF!</v>
      </c>
      <c r="IG363" t="e">
        <f>AND(#REF!,"AAAAACb58/A=")</f>
        <v>#REF!</v>
      </c>
      <c r="IH363" t="e">
        <f>AND(#REF!,"AAAAACb58/E=")</f>
        <v>#REF!</v>
      </c>
      <c r="II363" t="e">
        <f>AND(#REF!,"AAAAACb58/I=")</f>
        <v>#REF!</v>
      </c>
      <c r="IJ363" t="e">
        <f>AND(#REF!,"AAAAACb58/M=")</f>
        <v>#REF!</v>
      </c>
      <c r="IK363" t="e">
        <f>AND(#REF!,"AAAAACb58/Q=")</f>
        <v>#REF!</v>
      </c>
      <c r="IL363" t="e">
        <f>AND(#REF!,"AAAAACb58/U=")</f>
        <v>#REF!</v>
      </c>
      <c r="IM363" t="e">
        <f>AND(#REF!,"AAAAACb58/Y=")</f>
        <v>#REF!</v>
      </c>
      <c r="IN363" t="e">
        <f>AND(#REF!,"AAAAACb58/c=")</f>
        <v>#REF!</v>
      </c>
      <c r="IO363" t="e">
        <f>AND(#REF!,"AAAAACb58/g=")</f>
        <v>#REF!</v>
      </c>
      <c r="IP363" t="e">
        <f>AND(#REF!,"AAAAACb58/k=")</f>
        <v>#REF!</v>
      </c>
      <c r="IQ363" t="e">
        <f>AND(#REF!,"AAAAACb58/o=")</f>
        <v>#REF!</v>
      </c>
      <c r="IR363" t="e">
        <f>AND(#REF!,"AAAAACb58/s=")</f>
        <v>#REF!</v>
      </c>
      <c r="IS363" t="e">
        <f>AND(#REF!,"AAAAACb58/w=")</f>
        <v>#REF!</v>
      </c>
      <c r="IT363" t="e">
        <f>AND(#REF!,"AAAAACb58/0=")</f>
        <v>#REF!</v>
      </c>
      <c r="IU363" t="e">
        <f>AND(#REF!,"AAAAACb58/4=")</f>
        <v>#REF!</v>
      </c>
      <c r="IV363" t="e">
        <f>AND(#REF!,"AAAAACb58/8=")</f>
        <v>#REF!</v>
      </c>
    </row>
    <row r="364" spans="1:256">
      <c r="A364" t="e">
        <f>AND(#REF!,"AAAAADL91gA=")</f>
        <v>#REF!</v>
      </c>
      <c r="B364" t="e">
        <f>AND(#REF!,"AAAAADL91gE=")</f>
        <v>#REF!</v>
      </c>
      <c r="C364" t="e">
        <f>AND(#REF!,"AAAAADL91gI=")</f>
        <v>#REF!</v>
      </c>
      <c r="D364" t="e">
        <f>AND(#REF!,"AAAAADL91gM=")</f>
        <v>#REF!</v>
      </c>
      <c r="E364" t="e">
        <f>AND(#REF!,"AAAAADL91gQ=")</f>
        <v>#REF!</v>
      </c>
      <c r="F364" t="e">
        <f>AND(#REF!,"AAAAADL91gU=")</f>
        <v>#REF!</v>
      </c>
      <c r="G364" t="e">
        <f>AND(#REF!,"AAAAADL91gY=")</f>
        <v>#REF!</v>
      </c>
      <c r="H364" t="e">
        <f>IF(#REF!,"AAAAADL91gc=",0)</f>
        <v>#REF!</v>
      </c>
      <c r="I364" t="e">
        <f>AND(#REF!,"AAAAADL91gg=")</f>
        <v>#REF!</v>
      </c>
      <c r="J364" t="e">
        <f>AND(#REF!,"AAAAADL91gk=")</f>
        <v>#REF!</v>
      </c>
      <c r="K364" t="e">
        <f>AND(#REF!,"AAAAADL91go=")</f>
        <v>#REF!</v>
      </c>
      <c r="L364" t="e">
        <f>AND(#REF!,"AAAAADL91gs=")</f>
        <v>#REF!</v>
      </c>
      <c r="M364" t="e">
        <f>AND(#REF!,"AAAAADL91gw=")</f>
        <v>#REF!</v>
      </c>
      <c r="N364" t="e">
        <f>AND(#REF!,"AAAAADL91g0=")</f>
        <v>#REF!</v>
      </c>
      <c r="O364" t="e">
        <f>AND(#REF!,"AAAAADL91g4=")</f>
        <v>#REF!</v>
      </c>
      <c r="P364" t="e">
        <f>AND(#REF!,"AAAAADL91g8=")</f>
        <v>#REF!</v>
      </c>
      <c r="Q364" t="e">
        <f>AND(#REF!,"AAAAADL91hA=")</f>
        <v>#REF!</v>
      </c>
      <c r="R364" t="e">
        <f>AND(#REF!,"AAAAADL91hE=")</f>
        <v>#REF!</v>
      </c>
      <c r="S364" t="e">
        <f>AND(#REF!,"AAAAADL91hI=")</f>
        <v>#REF!</v>
      </c>
      <c r="T364" t="e">
        <f>AND(#REF!,"AAAAADL91hM=")</f>
        <v>#REF!</v>
      </c>
      <c r="U364" t="e">
        <f>AND(#REF!,"AAAAADL91hQ=")</f>
        <v>#REF!</v>
      </c>
      <c r="V364" t="e">
        <f>AND(#REF!,"AAAAADL91hU=")</f>
        <v>#REF!</v>
      </c>
      <c r="W364" t="e">
        <f>AND(#REF!,"AAAAADL91hY=")</f>
        <v>#REF!</v>
      </c>
      <c r="X364" t="e">
        <f>AND(#REF!,"AAAAADL91hc=")</f>
        <v>#REF!</v>
      </c>
      <c r="Y364" t="e">
        <f>AND(#REF!,"AAAAADL91hg=")</f>
        <v>#REF!</v>
      </c>
      <c r="Z364" t="e">
        <f>AND(#REF!,"AAAAADL91hk=")</f>
        <v>#REF!</v>
      </c>
      <c r="AA364" t="e">
        <f>AND(#REF!,"AAAAADL91ho=")</f>
        <v>#REF!</v>
      </c>
      <c r="AB364" t="e">
        <f>AND(#REF!,"AAAAADL91hs=")</f>
        <v>#REF!</v>
      </c>
      <c r="AC364" t="e">
        <f>AND(#REF!,"AAAAADL91hw=")</f>
        <v>#REF!</v>
      </c>
      <c r="AD364" t="e">
        <f>AND(#REF!,"AAAAADL91h0=")</f>
        <v>#REF!</v>
      </c>
      <c r="AE364" t="e">
        <f>AND(#REF!,"AAAAADL91h4=")</f>
        <v>#REF!</v>
      </c>
      <c r="AF364" t="e">
        <f>AND(#REF!,"AAAAADL91h8=")</f>
        <v>#REF!</v>
      </c>
      <c r="AG364" t="e">
        <f>IF(#REF!,"AAAAADL91iA=",0)</f>
        <v>#REF!</v>
      </c>
      <c r="AH364" t="e">
        <f>AND(#REF!,"AAAAADL91iE=")</f>
        <v>#REF!</v>
      </c>
      <c r="AI364" t="e">
        <f>AND(#REF!,"AAAAADL91iI=")</f>
        <v>#REF!</v>
      </c>
      <c r="AJ364" t="e">
        <f>AND(#REF!,"AAAAADL91iM=")</f>
        <v>#REF!</v>
      </c>
      <c r="AK364" t="e">
        <f>AND(#REF!,"AAAAADL91iQ=")</f>
        <v>#REF!</v>
      </c>
      <c r="AL364" t="e">
        <f>AND(#REF!,"AAAAADL91iU=")</f>
        <v>#REF!</v>
      </c>
      <c r="AM364" t="e">
        <f>AND(#REF!,"AAAAADL91iY=")</f>
        <v>#REF!</v>
      </c>
      <c r="AN364" t="e">
        <f>AND(#REF!,"AAAAADL91ic=")</f>
        <v>#REF!</v>
      </c>
      <c r="AO364" t="e">
        <f>AND(#REF!,"AAAAADL91ig=")</f>
        <v>#REF!</v>
      </c>
      <c r="AP364" t="e">
        <f>AND(#REF!,"AAAAADL91ik=")</f>
        <v>#REF!</v>
      </c>
      <c r="AQ364" t="e">
        <f>AND(#REF!,"AAAAADL91io=")</f>
        <v>#REF!</v>
      </c>
      <c r="AR364" t="e">
        <f>AND(#REF!,"AAAAADL91is=")</f>
        <v>#REF!</v>
      </c>
      <c r="AS364" t="e">
        <f>AND(#REF!,"AAAAADL91iw=")</f>
        <v>#REF!</v>
      </c>
      <c r="AT364" t="e">
        <f>AND(#REF!,"AAAAADL91i0=")</f>
        <v>#REF!</v>
      </c>
      <c r="AU364" t="e">
        <f>AND(#REF!,"AAAAADL91i4=")</f>
        <v>#REF!</v>
      </c>
      <c r="AV364" t="e">
        <f>AND(#REF!,"AAAAADL91i8=")</f>
        <v>#REF!</v>
      </c>
      <c r="AW364" t="e">
        <f>AND(#REF!,"AAAAADL91jA=")</f>
        <v>#REF!</v>
      </c>
      <c r="AX364" t="e">
        <f>AND(#REF!,"AAAAADL91jE=")</f>
        <v>#REF!</v>
      </c>
      <c r="AY364" t="e">
        <f>AND(#REF!,"AAAAADL91jI=")</f>
        <v>#REF!</v>
      </c>
      <c r="AZ364" t="e">
        <f>AND(#REF!,"AAAAADL91jM=")</f>
        <v>#REF!</v>
      </c>
      <c r="BA364" t="e">
        <f>AND(#REF!,"AAAAADL91jQ=")</f>
        <v>#REF!</v>
      </c>
      <c r="BB364" t="e">
        <f>AND(#REF!,"AAAAADL91jU=")</f>
        <v>#REF!</v>
      </c>
      <c r="BC364" t="e">
        <f>AND(#REF!,"AAAAADL91jY=")</f>
        <v>#REF!</v>
      </c>
      <c r="BD364" t="e">
        <f>AND(#REF!,"AAAAADL91jc=")</f>
        <v>#REF!</v>
      </c>
      <c r="BE364" t="e">
        <f>AND(#REF!,"AAAAADL91jg=")</f>
        <v>#REF!</v>
      </c>
      <c r="BF364" t="e">
        <f>IF(#REF!,"AAAAADL91jk=",0)</f>
        <v>#REF!</v>
      </c>
      <c r="BG364" t="e">
        <f>AND(#REF!,"AAAAADL91jo=")</f>
        <v>#REF!</v>
      </c>
      <c r="BH364" t="e">
        <f>AND(#REF!,"AAAAADL91js=")</f>
        <v>#REF!</v>
      </c>
      <c r="BI364" t="e">
        <f>AND(#REF!,"AAAAADL91jw=")</f>
        <v>#REF!</v>
      </c>
      <c r="BJ364" t="e">
        <f>AND(#REF!,"AAAAADL91j0=")</f>
        <v>#REF!</v>
      </c>
      <c r="BK364" t="e">
        <f>AND(#REF!,"AAAAADL91j4=")</f>
        <v>#REF!</v>
      </c>
      <c r="BL364" t="e">
        <f>AND(#REF!,"AAAAADL91j8=")</f>
        <v>#REF!</v>
      </c>
      <c r="BM364" t="e">
        <f>AND(#REF!,"AAAAADL91kA=")</f>
        <v>#REF!</v>
      </c>
      <c r="BN364" t="e">
        <f>AND(#REF!,"AAAAADL91kE=")</f>
        <v>#REF!</v>
      </c>
      <c r="BO364" t="e">
        <f>AND(#REF!,"AAAAADL91kI=")</f>
        <v>#REF!</v>
      </c>
      <c r="BP364" t="e">
        <f>AND(#REF!,"AAAAADL91kM=")</f>
        <v>#REF!</v>
      </c>
      <c r="BQ364" t="e">
        <f>AND(#REF!,"AAAAADL91kQ=")</f>
        <v>#REF!</v>
      </c>
      <c r="BR364" t="e">
        <f>AND(#REF!,"AAAAADL91kU=")</f>
        <v>#REF!</v>
      </c>
      <c r="BS364" t="e">
        <f>AND(#REF!,"AAAAADL91kY=")</f>
        <v>#REF!</v>
      </c>
      <c r="BT364" t="e">
        <f>AND(#REF!,"AAAAADL91kc=")</f>
        <v>#REF!</v>
      </c>
      <c r="BU364" t="e">
        <f>AND(#REF!,"AAAAADL91kg=")</f>
        <v>#REF!</v>
      </c>
      <c r="BV364" t="e">
        <f>AND(#REF!,"AAAAADL91kk=")</f>
        <v>#REF!</v>
      </c>
      <c r="BW364" t="e">
        <f>AND(#REF!,"AAAAADL91ko=")</f>
        <v>#REF!</v>
      </c>
      <c r="BX364" t="e">
        <f>AND(#REF!,"AAAAADL91ks=")</f>
        <v>#REF!</v>
      </c>
      <c r="BY364" t="e">
        <f>AND(#REF!,"AAAAADL91kw=")</f>
        <v>#REF!</v>
      </c>
      <c r="BZ364" t="e">
        <f>AND(#REF!,"AAAAADL91k0=")</f>
        <v>#REF!</v>
      </c>
      <c r="CA364" t="e">
        <f>AND(#REF!,"AAAAADL91k4=")</f>
        <v>#REF!</v>
      </c>
      <c r="CB364" t="e">
        <f>AND(#REF!,"AAAAADL91k8=")</f>
        <v>#REF!</v>
      </c>
      <c r="CC364" t="e">
        <f>AND(#REF!,"AAAAADL91lA=")</f>
        <v>#REF!</v>
      </c>
      <c r="CD364" t="e">
        <f>AND(#REF!,"AAAAADL91lE=")</f>
        <v>#REF!</v>
      </c>
      <c r="CE364" t="e">
        <f>IF(#REF!,"AAAAADL91lI=",0)</f>
        <v>#REF!</v>
      </c>
      <c r="CF364" t="e">
        <f>AND(#REF!,"AAAAADL91lM=")</f>
        <v>#REF!</v>
      </c>
      <c r="CG364" t="e">
        <f>AND(#REF!,"AAAAADL91lQ=")</f>
        <v>#REF!</v>
      </c>
      <c r="CH364" t="e">
        <f>AND(#REF!,"AAAAADL91lU=")</f>
        <v>#REF!</v>
      </c>
      <c r="CI364" t="e">
        <f>AND(#REF!,"AAAAADL91lY=")</f>
        <v>#REF!</v>
      </c>
      <c r="CJ364" t="e">
        <f>AND(#REF!,"AAAAADL91lc=")</f>
        <v>#REF!</v>
      </c>
      <c r="CK364" t="e">
        <f>AND(#REF!,"AAAAADL91lg=")</f>
        <v>#REF!</v>
      </c>
      <c r="CL364" t="e">
        <f>AND(#REF!,"AAAAADL91lk=")</f>
        <v>#REF!</v>
      </c>
      <c r="CM364" t="e">
        <f>AND(#REF!,"AAAAADL91lo=")</f>
        <v>#REF!</v>
      </c>
      <c r="CN364" t="e">
        <f>AND(#REF!,"AAAAADL91ls=")</f>
        <v>#REF!</v>
      </c>
      <c r="CO364" t="e">
        <f>AND(#REF!,"AAAAADL91lw=")</f>
        <v>#REF!</v>
      </c>
      <c r="CP364" t="e">
        <f>AND(#REF!,"AAAAADL91l0=")</f>
        <v>#REF!</v>
      </c>
      <c r="CQ364" t="e">
        <f>AND(#REF!,"AAAAADL91l4=")</f>
        <v>#REF!</v>
      </c>
      <c r="CR364" t="e">
        <f>AND(#REF!,"AAAAADL91l8=")</f>
        <v>#REF!</v>
      </c>
      <c r="CS364" t="e">
        <f>AND(#REF!,"AAAAADL91mA=")</f>
        <v>#REF!</v>
      </c>
      <c r="CT364" t="e">
        <f>AND(#REF!,"AAAAADL91mE=")</f>
        <v>#REF!</v>
      </c>
      <c r="CU364" t="e">
        <f>AND(#REF!,"AAAAADL91mI=")</f>
        <v>#REF!</v>
      </c>
      <c r="CV364" t="e">
        <f>AND(#REF!,"AAAAADL91mM=")</f>
        <v>#REF!</v>
      </c>
      <c r="CW364" t="e">
        <f>AND(#REF!,"AAAAADL91mQ=")</f>
        <v>#REF!</v>
      </c>
      <c r="CX364" t="e">
        <f>AND(#REF!,"AAAAADL91mU=")</f>
        <v>#REF!</v>
      </c>
      <c r="CY364" t="e">
        <f>AND(#REF!,"AAAAADL91mY=")</f>
        <v>#REF!</v>
      </c>
      <c r="CZ364" t="e">
        <f>AND(#REF!,"AAAAADL91mc=")</f>
        <v>#REF!</v>
      </c>
      <c r="DA364" t="e">
        <f>AND(#REF!,"AAAAADL91mg=")</f>
        <v>#REF!</v>
      </c>
      <c r="DB364" t="e">
        <f>AND(#REF!,"AAAAADL91mk=")</f>
        <v>#REF!</v>
      </c>
      <c r="DC364" t="e">
        <f>AND(#REF!,"AAAAADL91mo=")</f>
        <v>#REF!</v>
      </c>
      <c r="DD364" t="e">
        <f>IF(#REF!,"AAAAADL91ms=",0)</f>
        <v>#REF!</v>
      </c>
      <c r="DE364" t="e">
        <f>AND(#REF!,"AAAAADL91mw=")</f>
        <v>#REF!</v>
      </c>
      <c r="DF364" t="e">
        <f>AND(#REF!,"AAAAADL91m0=")</f>
        <v>#REF!</v>
      </c>
      <c r="DG364" t="e">
        <f>AND(#REF!,"AAAAADL91m4=")</f>
        <v>#REF!</v>
      </c>
      <c r="DH364" t="e">
        <f>AND(#REF!,"AAAAADL91m8=")</f>
        <v>#REF!</v>
      </c>
      <c r="DI364" t="e">
        <f>AND(#REF!,"AAAAADL91nA=")</f>
        <v>#REF!</v>
      </c>
      <c r="DJ364" t="e">
        <f>AND(#REF!,"AAAAADL91nE=")</f>
        <v>#REF!</v>
      </c>
      <c r="DK364" t="e">
        <f>AND(#REF!,"AAAAADL91nI=")</f>
        <v>#REF!</v>
      </c>
      <c r="DL364" t="e">
        <f>AND(#REF!,"AAAAADL91nM=")</f>
        <v>#REF!</v>
      </c>
      <c r="DM364" t="e">
        <f>AND(#REF!,"AAAAADL91nQ=")</f>
        <v>#REF!</v>
      </c>
      <c r="DN364" t="e">
        <f>AND(#REF!,"AAAAADL91nU=")</f>
        <v>#REF!</v>
      </c>
      <c r="DO364" t="e">
        <f>AND(#REF!,"AAAAADL91nY=")</f>
        <v>#REF!</v>
      </c>
      <c r="DP364" t="e">
        <f>AND(#REF!,"AAAAADL91nc=")</f>
        <v>#REF!</v>
      </c>
      <c r="DQ364" t="e">
        <f>AND(#REF!,"AAAAADL91ng=")</f>
        <v>#REF!</v>
      </c>
      <c r="DR364" t="e">
        <f>AND(#REF!,"AAAAADL91nk=")</f>
        <v>#REF!</v>
      </c>
      <c r="DS364" t="e">
        <f>AND(#REF!,"AAAAADL91no=")</f>
        <v>#REF!</v>
      </c>
      <c r="DT364" t="e">
        <f>AND(#REF!,"AAAAADL91ns=")</f>
        <v>#REF!</v>
      </c>
      <c r="DU364" t="e">
        <f>AND(#REF!,"AAAAADL91nw=")</f>
        <v>#REF!</v>
      </c>
      <c r="DV364" t="e">
        <f>AND(#REF!,"AAAAADL91n0=")</f>
        <v>#REF!</v>
      </c>
      <c r="DW364" t="e">
        <f>AND(#REF!,"AAAAADL91n4=")</f>
        <v>#REF!</v>
      </c>
      <c r="DX364" t="e">
        <f>AND(#REF!,"AAAAADL91n8=")</f>
        <v>#REF!</v>
      </c>
      <c r="DY364" t="e">
        <f>AND(#REF!,"AAAAADL91oA=")</f>
        <v>#REF!</v>
      </c>
      <c r="DZ364" t="e">
        <f>AND(#REF!,"AAAAADL91oE=")</f>
        <v>#REF!</v>
      </c>
      <c r="EA364" t="e">
        <f>AND(#REF!,"AAAAADL91oI=")</f>
        <v>#REF!</v>
      </c>
      <c r="EB364" t="e">
        <f>AND(#REF!,"AAAAADL91oM=")</f>
        <v>#REF!</v>
      </c>
      <c r="EC364" t="e">
        <f>IF(#REF!,"AAAAADL91oQ=",0)</f>
        <v>#REF!</v>
      </c>
      <c r="ED364" t="e">
        <f>AND(#REF!,"AAAAADL91oU=")</f>
        <v>#REF!</v>
      </c>
      <c r="EE364" t="e">
        <f>AND(#REF!,"AAAAADL91oY=")</f>
        <v>#REF!</v>
      </c>
      <c r="EF364" t="e">
        <f>AND(#REF!,"AAAAADL91oc=")</f>
        <v>#REF!</v>
      </c>
      <c r="EG364" t="e">
        <f>AND(#REF!,"AAAAADL91og=")</f>
        <v>#REF!</v>
      </c>
      <c r="EH364" t="e">
        <f>AND(#REF!,"AAAAADL91ok=")</f>
        <v>#REF!</v>
      </c>
      <c r="EI364" t="e">
        <f>AND(#REF!,"AAAAADL91oo=")</f>
        <v>#REF!</v>
      </c>
      <c r="EJ364" t="e">
        <f>AND(#REF!,"AAAAADL91os=")</f>
        <v>#REF!</v>
      </c>
      <c r="EK364" t="e">
        <f>AND(#REF!,"AAAAADL91ow=")</f>
        <v>#REF!</v>
      </c>
      <c r="EL364" t="e">
        <f>AND(#REF!,"AAAAADL91o0=")</f>
        <v>#REF!</v>
      </c>
      <c r="EM364" t="e">
        <f>AND(#REF!,"AAAAADL91o4=")</f>
        <v>#REF!</v>
      </c>
      <c r="EN364" t="e">
        <f>AND(#REF!,"AAAAADL91o8=")</f>
        <v>#REF!</v>
      </c>
      <c r="EO364" t="e">
        <f>AND(#REF!,"AAAAADL91pA=")</f>
        <v>#REF!</v>
      </c>
      <c r="EP364" t="e">
        <f>AND(#REF!,"AAAAADL91pE=")</f>
        <v>#REF!</v>
      </c>
      <c r="EQ364" t="e">
        <f>AND(#REF!,"AAAAADL91pI=")</f>
        <v>#REF!</v>
      </c>
      <c r="ER364" t="e">
        <f>AND(#REF!,"AAAAADL91pM=")</f>
        <v>#REF!</v>
      </c>
      <c r="ES364" t="e">
        <f>AND(#REF!,"AAAAADL91pQ=")</f>
        <v>#REF!</v>
      </c>
      <c r="ET364" t="e">
        <f>AND(#REF!,"AAAAADL91pU=")</f>
        <v>#REF!</v>
      </c>
      <c r="EU364" t="e">
        <f>AND(#REF!,"AAAAADL91pY=")</f>
        <v>#REF!</v>
      </c>
      <c r="EV364" t="e">
        <f>AND(#REF!,"AAAAADL91pc=")</f>
        <v>#REF!</v>
      </c>
      <c r="EW364" t="e">
        <f>AND(#REF!,"AAAAADL91pg=")</f>
        <v>#REF!</v>
      </c>
      <c r="EX364" t="e">
        <f>AND(#REF!,"AAAAADL91pk=")</f>
        <v>#REF!</v>
      </c>
      <c r="EY364" t="e">
        <f>AND(#REF!,"AAAAADL91po=")</f>
        <v>#REF!</v>
      </c>
      <c r="EZ364" t="e">
        <f>AND(#REF!,"AAAAADL91ps=")</f>
        <v>#REF!</v>
      </c>
      <c r="FA364" t="e">
        <f>AND(#REF!,"AAAAADL91pw=")</f>
        <v>#REF!</v>
      </c>
      <c r="FB364" t="e">
        <f>IF(#REF!,"AAAAADL91p0=",0)</f>
        <v>#REF!</v>
      </c>
      <c r="FC364" t="e">
        <f>AND(#REF!,"AAAAADL91p4=")</f>
        <v>#REF!</v>
      </c>
      <c r="FD364" t="e">
        <f>AND(#REF!,"AAAAADL91p8=")</f>
        <v>#REF!</v>
      </c>
      <c r="FE364" t="e">
        <f>AND(#REF!,"AAAAADL91qA=")</f>
        <v>#REF!</v>
      </c>
      <c r="FF364" t="e">
        <f>AND(#REF!,"AAAAADL91qE=")</f>
        <v>#REF!</v>
      </c>
      <c r="FG364" t="e">
        <f>AND(#REF!,"AAAAADL91qI=")</f>
        <v>#REF!</v>
      </c>
      <c r="FH364" t="e">
        <f>AND(#REF!,"AAAAADL91qM=")</f>
        <v>#REF!</v>
      </c>
      <c r="FI364" t="e">
        <f>AND(#REF!,"AAAAADL91qQ=")</f>
        <v>#REF!</v>
      </c>
      <c r="FJ364" t="e">
        <f>AND(#REF!,"AAAAADL91qU=")</f>
        <v>#REF!</v>
      </c>
      <c r="FK364" t="e">
        <f>AND(#REF!,"AAAAADL91qY=")</f>
        <v>#REF!</v>
      </c>
      <c r="FL364" t="e">
        <f>AND(#REF!,"AAAAADL91qc=")</f>
        <v>#REF!</v>
      </c>
      <c r="FM364" t="e">
        <f>AND(#REF!,"AAAAADL91qg=")</f>
        <v>#REF!</v>
      </c>
      <c r="FN364" t="e">
        <f>AND(#REF!,"AAAAADL91qk=")</f>
        <v>#REF!</v>
      </c>
      <c r="FO364" t="e">
        <f>AND(#REF!,"AAAAADL91qo=")</f>
        <v>#REF!</v>
      </c>
      <c r="FP364" t="e">
        <f>AND(#REF!,"AAAAADL91qs=")</f>
        <v>#REF!</v>
      </c>
      <c r="FQ364" t="e">
        <f>AND(#REF!,"AAAAADL91qw=")</f>
        <v>#REF!</v>
      </c>
      <c r="FR364" t="e">
        <f>AND(#REF!,"AAAAADL91q0=")</f>
        <v>#REF!</v>
      </c>
      <c r="FS364" t="e">
        <f>AND(#REF!,"AAAAADL91q4=")</f>
        <v>#REF!</v>
      </c>
      <c r="FT364" t="e">
        <f>AND(#REF!,"AAAAADL91q8=")</f>
        <v>#REF!</v>
      </c>
      <c r="FU364" t="e">
        <f>AND(#REF!,"AAAAADL91rA=")</f>
        <v>#REF!</v>
      </c>
      <c r="FV364" t="e">
        <f>AND(#REF!,"AAAAADL91rE=")</f>
        <v>#REF!</v>
      </c>
      <c r="FW364" t="e">
        <f>AND(#REF!,"AAAAADL91rI=")</f>
        <v>#REF!</v>
      </c>
      <c r="FX364" t="e">
        <f>AND(#REF!,"AAAAADL91rM=")</f>
        <v>#REF!</v>
      </c>
      <c r="FY364" t="e">
        <f>AND(#REF!,"AAAAADL91rQ=")</f>
        <v>#REF!</v>
      </c>
      <c r="FZ364" t="e">
        <f>AND(#REF!,"AAAAADL91rU=")</f>
        <v>#REF!</v>
      </c>
      <c r="GA364" t="e">
        <f>IF(#REF!,"AAAAADL91rY=",0)</f>
        <v>#REF!</v>
      </c>
      <c r="GB364" t="e">
        <f>AND(#REF!,"AAAAADL91rc=")</f>
        <v>#REF!</v>
      </c>
      <c r="GC364" t="e">
        <f>AND(#REF!,"AAAAADL91rg=")</f>
        <v>#REF!</v>
      </c>
      <c r="GD364" t="e">
        <f>AND(#REF!,"AAAAADL91rk=")</f>
        <v>#REF!</v>
      </c>
      <c r="GE364" t="e">
        <f>AND(#REF!,"AAAAADL91ro=")</f>
        <v>#REF!</v>
      </c>
      <c r="GF364" t="e">
        <f>AND(#REF!,"AAAAADL91rs=")</f>
        <v>#REF!</v>
      </c>
      <c r="GG364" t="e">
        <f>AND(#REF!,"AAAAADL91rw=")</f>
        <v>#REF!</v>
      </c>
      <c r="GH364" t="e">
        <f>AND(#REF!,"AAAAADL91r0=")</f>
        <v>#REF!</v>
      </c>
      <c r="GI364" t="e">
        <f>AND(#REF!,"AAAAADL91r4=")</f>
        <v>#REF!</v>
      </c>
      <c r="GJ364" t="e">
        <f>AND(#REF!,"AAAAADL91r8=")</f>
        <v>#REF!</v>
      </c>
      <c r="GK364" t="e">
        <f>AND(#REF!,"AAAAADL91sA=")</f>
        <v>#REF!</v>
      </c>
      <c r="GL364" t="e">
        <f>AND(#REF!,"AAAAADL91sE=")</f>
        <v>#REF!</v>
      </c>
      <c r="GM364" t="e">
        <f>AND(#REF!,"AAAAADL91sI=")</f>
        <v>#REF!</v>
      </c>
      <c r="GN364" t="e">
        <f>AND(#REF!,"AAAAADL91sM=")</f>
        <v>#REF!</v>
      </c>
      <c r="GO364" t="e">
        <f>AND(#REF!,"AAAAADL91sQ=")</f>
        <v>#REF!</v>
      </c>
      <c r="GP364" t="e">
        <f>AND(#REF!,"AAAAADL91sU=")</f>
        <v>#REF!</v>
      </c>
      <c r="GQ364" t="e">
        <f>AND(#REF!,"AAAAADL91sY=")</f>
        <v>#REF!</v>
      </c>
      <c r="GR364" t="e">
        <f>AND(#REF!,"AAAAADL91sc=")</f>
        <v>#REF!</v>
      </c>
      <c r="GS364" t="e">
        <f>AND(#REF!,"AAAAADL91sg=")</f>
        <v>#REF!</v>
      </c>
      <c r="GT364" t="e">
        <f>AND(#REF!,"AAAAADL91sk=")</f>
        <v>#REF!</v>
      </c>
      <c r="GU364" t="e">
        <f>AND(#REF!,"AAAAADL91so=")</f>
        <v>#REF!</v>
      </c>
      <c r="GV364" t="e">
        <f>AND(#REF!,"AAAAADL91ss=")</f>
        <v>#REF!</v>
      </c>
      <c r="GW364" t="e">
        <f>AND(#REF!,"AAAAADL91sw=")</f>
        <v>#REF!</v>
      </c>
      <c r="GX364" t="e">
        <f>AND(#REF!,"AAAAADL91s0=")</f>
        <v>#REF!</v>
      </c>
      <c r="GY364" t="e">
        <f>AND(#REF!,"AAAAADL91s4=")</f>
        <v>#REF!</v>
      </c>
      <c r="GZ364" t="e">
        <f>IF(#REF!,"AAAAADL91s8=",0)</f>
        <v>#REF!</v>
      </c>
      <c r="HA364" t="e">
        <f>AND(#REF!,"AAAAADL91tA=")</f>
        <v>#REF!</v>
      </c>
      <c r="HB364" t="e">
        <f>AND(#REF!,"AAAAADL91tE=")</f>
        <v>#REF!</v>
      </c>
      <c r="HC364" t="e">
        <f>AND(#REF!,"AAAAADL91tI=")</f>
        <v>#REF!</v>
      </c>
      <c r="HD364" t="e">
        <f>AND(#REF!,"AAAAADL91tM=")</f>
        <v>#REF!</v>
      </c>
      <c r="HE364" t="e">
        <f>AND(#REF!,"AAAAADL91tQ=")</f>
        <v>#REF!</v>
      </c>
      <c r="HF364" t="e">
        <f>AND(#REF!,"AAAAADL91tU=")</f>
        <v>#REF!</v>
      </c>
      <c r="HG364" t="e">
        <f>AND(#REF!,"AAAAADL91tY=")</f>
        <v>#REF!</v>
      </c>
      <c r="HH364" t="e">
        <f>AND(#REF!,"AAAAADL91tc=")</f>
        <v>#REF!</v>
      </c>
      <c r="HI364" t="e">
        <f>AND(#REF!,"AAAAADL91tg=")</f>
        <v>#REF!</v>
      </c>
      <c r="HJ364" t="e">
        <f>AND(#REF!,"AAAAADL91tk=")</f>
        <v>#REF!</v>
      </c>
      <c r="HK364" t="e">
        <f>AND(#REF!,"AAAAADL91to=")</f>
        <v>#REF!</v>
      </c>
      <c r="HL364" t="e">
        <f>AND(#REF!,"AAAAADL91ts=")</f>
        <v>#REF!</v>
      </c>
      <c r="HM364" t="e">
        <f>AND(#REF!,"AAAAADL91tw=")</f>
        <v>#REF!</v>
      </c>
      <c r="HN364" t="e">
        <f>AND(#REF!,"AAAAADL91t0=")</f>
        <v>#REF!</v>
      </c>
      <c r="HO364" t="e">
        <f>AND(#REF!,"AAAAADL91t4=")</f>
        <v>#REF!</v>
      </c>
      <c r="HP364" t="e">
        <f>AND(#REF!,"AAAAADL91t8=")</f>
        <v>#REF!</v>
      </c>
      <c r="HQ364" t="e">
        <f>AND(#REF!,"AAAAADL91uA=")</f>
        <v>#REF!</v>
      </c>
      <c r="HR364" t="e">
        <f>AND(#REF!,"AAAAADL91uE=")</f>
        <v>#REF!</v>
      </c>
      <c r="HS364" t="e">
        <f>AND(#REF!,"AAAAADL91uI=")</f>
        <v>#REF!</v>
      </c>
      <c r="HT364" t="e">
        <f>AND(#REF!,"AAAAADL91uM=")</f>
        <v>#REF!</v>
      </c>
      <c r="HU364" t="e">
        <f>AND(#REF!,"AAAAADL91uQ=")</f>
        <v>#REF!</v>
      </c>
      <c r="HV364" t="e">
        <f>AND(#REF!,"AAAAADL91uU=")</f>
        <v>#REF!</v>
      </c>
      <c r="HW364" t="e">
        <f>AND(#REF!,"AAAAADL91uY=")</f>
        <v>#REF!</v>
      </c>
      <c r="HX364" t="e">
        <f>AND(#REF!,"AAAAADL91uc=")</f>
        <v>#REF!</v>
      </c>
      <c r="HY364" t="e">
        <f>IF(#REF!,"AAAAADL91ug=",0)</f>
        <v>#REF!</v>
      </c>
      <c r="HZ364" t="e">
        <f>AND(#REF!,"AAAAADL91uk=")</f>
        <v>#REF!</v>
      </c>
      <c r="IA364" t="e">
        <f>AND(#REF!,"AAAAADL91uo=")</f>
        <v>#REF!</v>
      </c>
      <c r="IB364" t="e">
        <f>AND(#REF!,"AAAAADL91us=")</f>
        <v>#REF!</v>
      </c>
      <c r="IC364" t="e">
        <f>AND(#REF!,"AAAAADL91uw=")</f>
        <v>#REF!</v>
      </c>
      <c r="ID364" t="e">
        <f>AND(#REF!,"AAAAADL91u0=")</f>
        <v>#REF!</v>
      </c>
      <c r="IE364" t="e">
        <f>AND(#REF!,"AAAAADL91u4=")</f>
        <v>#REF!</v>
      </c>
      <c r="IF364" t="e">
        <f>AND(#REF!,"AAAAADL91u8=")</f>
        <v>#REF!</v>
      </c>
      <c r="IG364" t="e">
        <f>AND(#REF!,"AAAAADL91vA=")</f>
        <v>#REF!</v>
      </c>
      <c r="IH364" t="e">
        <f>AND(#REF!,"AAAAADL91vE=")</f>
        <v>#REF!</v>
      </c>
      <c r="II364" t="e">
        <f>AND(#REF!,"AAAAADL91vI=")</f>
        <v>#REF!</v>
      </c>
      <c r="IJ364" t="e">
        <f>AND(#REF!,"AAAAADL91vM=")</f>
        <v>#REF!</v>
      </c>
      <c r="IK364" t="e">
        <f>AND(#REF!,"AAAAADL91vQ=")</f>
        <v>#REF!</v>
      </c>
      <c r="IL364" t="e">
        <f>AND(#REF!,"AAAAADL91vU=")</f>
        <v>#REF!</v>
      </c>
      <c r="IM364" t="e">
        <f>AND(#REF!,"AAAAADL91vY=")</f>
        <v>#REF!</v>
      </c>
      <c r="IN364" t="e">
        <f>AND(#REF!,"AAAAADL91vc=")</f>
        <v>#REF!</v>
      </c>
      <c r="IO364" t="e">
        <f>AND(#REF!,"AAAAADL91vg=")</f>
        <v>#REF!</v>
      </c>
      <c r="IP364" t="e">
        <f>AND(#REF!,"AAAAADL91vk=")</f>
        <v>#REF!</v>
      </c>
      <c r="IQ364" t="e">
        <f>AND(#REF!,"AAAAADL91vo=")</f>
        <v>#REF!</v>
      </c>
      <c r="IR364" t="e">
        <f>AND(#REF!,"AAAAADL91vs=")</f>
        <v>#REF!</v>
      </c>
      <c r="IS364" t="e">
        <f>AND(#REF!,"AAAAADL91vw=")</f>
        <v>#REF!</v>
      </c>
      <c r="IT364" t="e">
        <f>AND(#REF!,"AAAAADL91v0=")</f>
        <v>#REF!</v>
      </c>
      <c r="IU364" t="e">
        <f>AND(#REF!,"AAAAADL91v4=")</f>
        <v>#REF!</v>
      </c>
      <c r="IV364" t="e">
        <f>AND(#REF!,"AAAAADL91v8=")</f>
        <v>#REF!</v>
      </c>
    </row>
    <row r="365" spans="1:256">
      <c r="A365" t="e">
        <f>AND(#REF!,"AAAAAHfrvgA=")</f>
        <v>#REF!</v>
      </c>
      <c r="B365" t="e">
        <f>IF(#REF!,"AAAAAHfrvgE=",0)</f>
        <v>#REF!</v>
      </c>
      <c r="C365" t="e">
        <f>AND(#REF!,"AAAAAHfrvgI=")</f>
        <v>#REF!</v>
      </c>
      <c r="D365" t="e">
        <f>AND(#REF!,"AAAAAHfrvgM=")</f>
        <v>#REF!</v>
      </c>
      <c r="E365" t="e">
        <f>AND(#REF!,"AAAAAHfrvgQ=")</f>
        <v>#REF!</v>
      </c>
      <c r="F365" t="e">
        <f>AND(#REF!,"AAAAAHfrvgU=")</f>
        <v>#REF!</v>
      </c>
      <c r="G365" t="e">
        <f>AND(#REF!,"AAAAAHfrvgY=")</f>
        <v>#REF!</v>
      </c>
      <c r="H365" t="e">
        <f>AND(#REF!,"AAAAAHfrvgc=")</f>
        <v>#REF!</v>
      </c>
      <c r="I365" t="e">
        <f>AND(#REF!,"AAAAAHfrvgg=")</f>
        <v>#REF!</v>
      </c>
      <c r="J365" t="e">
        <f>AND(#REF!,"AAAAAHfrvgk=")</f>
        <v>#REF!</v>
      </c>
      <c r="K365" t="e">
        <f>AND(#REF!,"AAAAAHfrvgo=")</f>
        <v>#REF!</v>
      </c>
      <c r="L365" t="e">
        <f>AND(#REF!,"AAAAAHfrvgs=")</f>
        <v>#REF!</v>
      </c>
      <c r="M365" t="e">
        <f>AND(#REF!,"AAAAAHfrvgw=")</f>
        <v>#REF!</v>
      </c>
      <c r="N365" t="e">
        <f>AND(#REF!,"AAAAAHfrvg0=")</f>
        <v>#REF!</v>
      </c>
      <c r="O365" t="e">
        <f>AND(#REF!,"AAAAAHfrvg4=")</f>
        <v>#REF!</v>
      </c>
      <c r="P365" t="e">
        <f>AND(#REF!,"AAAAAHfrvg8=")</f>
        <v>#REF!</v>
      </c>
      <c r="Q365" t="e">
        <f>AND(#REF!,"AAAAAHfrvhA=")</f>
        <v>#REF!</v>
      </c>
      <c r="R365" t="e">
        <f>AND(#REF!,"AAAAAHfrvhE=")</f>
        <v>#REF!</v>
      </c>
      <c r="S365" t="e">
        <f>AND(#REF!,"AAAAAHfrvhI=")</f>
        <v>#REF!</v>
      </c>
      <c r="T365" t="e">
        <f>AND(#REF!,"AAAAAHfrvhM=")</f>
        <v>#REF!</v>
      </c>
      <c r="U365" t="e">
        <f>AND(#REF!,"AAAAAHfrvhQ=")</f>
        <v>#REF!</v>
      </c>
      <c r="V365" t="e">
        <f>AND(#REF!,"AAAAAHfrvhU=")</f>
        <v>#REF!</v>
      </c>
      <c r="W365" t="e">
        <f>AND(#REF!,"AAAAAHfrvhY=")</f>
        <v>#REF!</v>
      </c>
      <c r="X365" t="e">
        <f>AND(#REF!,"AAAAAHfrvhc=")</f>
        <v>#REF!</v>
      </c>
      <c r="Y365" t="e">
        <f>AND(#REF!,"AAAAAHfrvhg=")</f>
        <v>#REF!</v>
      </c>
      <c r="Z365" t="e">
        <f>AND(#REF!,"AAAAAHfrvhk=")</f>
        <v>#REF!</v>
      </c>
      <c r="AA365" t="e">
        <f>IF(#REF!,"AAAAAHfrvho=",0)</f>
        <v>#REF!</v>
      </c>
      <c r="AB365" t="e">
        <f>AND(#REF!,"AAAAAHfrvhs=")</f>
        <v>#REF!</v>
      </c>
      <c r="AC365" t="e">
        <f>AND(#REF!,"AAAAAHfrvhw=")</f>
        <v>#REF!</v>
      </c>
      <c r="AD365" t="e">
        <f>AND(#REF!,"AAAAAHfrvh0=")</f>
        <v>#REF!</v>
      </c>
      <c r="AE365" t="e">
        <f>AND(#REF!,"AAAAAHfrvh4=")</f>
        <v>#REF!</v>
      </c>
      <c r="AF365" t="e">
        <f>AND(#REF!,"AAAAAHfrvh8=")</f>
        <v>#REF!</v>
      </c>
      <c r="AG365" t="e">
        <f>AND(#REF!,"AAAAAHfrviA=")</f>
        <v>#REF!</v>
      </c>
      <c r="AH365" t="e">
        <f>AND(#REF!,"AAAAAHfrviE=")</f>
        <v>#REF!</v>
      </c>
      <c r="AI365" t="e">
        <f>AND(#REF!,"AAAAAHfrviI=")</f>
        <v>#REF!</v>
      </c>
      <c r="AJ365" t="e">
        <f>AND(#REF!,"AAAAAHfrviM=")</f>
        <v>#REF!</v>
      </c>
      <c r="AK365" t="e">
        <f>AND(#REF!,"AAAAAHfrviQ=")</f>
        <v>#REF!</v>
      </c>
      <c r="AL365" t="e">
        <f>AND(#REF!,"AAAAAHfrviU=")</f>
        <v>#REF!</v>
      </c>
      <c r="AM365" t="e">
        <f>AND(#REF!,"AAAAAHfrviY=")</f>
        <v>#REF!</v>
      </c>
      <c r="AN365" t="e">
        <f>AND(#REF!,"AAAAAHfrvic=")</f>
        <v>#REF!</v>
      </c>
      <c r="AO365" t="e">
        <f>AND(#REF!,"AAAAAHfrvig=")</f>
        <v>#REF!</v>
      </c>
      <c r="AP365" t="e">
        <f>AND(#REF!,"AAAAAHfrvik=")</f>
        <v>#REF!</v>
      </c>
      <c r="AQ365" t="e">
        <f>AND(#REF!,"AAAAAHfrvio=")</f>
        <v>#REF!</v>
      </c>
      <c r="AR365" t="e">
        <f>AND(#REF!,"AAAAAHfrvis=")</f>
        <v>#REF!</v>
      </c>
      <c r="AS365" t="e">
        <f>AND(#REF!,"AAAAAHfrviw=")</f>
        <v>#REF!</v>
      </c>
      <c r="AT365" t="e">
        <f>AND(#REF!,"AAAAAHfrvi0=")</f>
        <v>#REF!</v>
      </c>
      <c r="AU365" t="e">
        <f>AND(#REF!,"AAAAAHfrvi4=")</f>
        <v>#REF!</v>
      </c>
      <c r="AV365" t="e">
        <f>AND(#REF!,"AAAAAHfrvi8=")</f>
        <v>#REF!</v>
      </c>
      <c r="AW365" t="e">
        <f>AND(#REF!,"AAAAAHfrvjA=")</f>
        <v>#REF!</v>
      </c>
      <c r="AX365" t="e">
        <f>AND(#REF!,"AAAAAHfrvjE=")</f>
        <v>#REF!</v>
      </c>
      <c r="AY365" t="e">
        <f>AND(#REF!,"AAAAAHfrvjI=")</f>
        <v>#REF!</v>
      </c>
      <c r="AZ365" t="e">
        <f>IF(#REF!,"AAAAAHfrvjM=",0)</f>
        <v>#REF!</v>
      </c>
      <c r="BA365" t="e">
        <f>AND(#REF!,"AAAAAHfrvjQ=")</f>
        <v>#REF!</v>
      </c>
      <c r="BB365" t="e">
        <f>AND(#REF!,"AAAAAHfrvjU=")</f>
        <v>#REF!</v>
      </c>
      <c r="BC365" t="e">
        <f>AND(#REF!,"AAAAAHfrvjY=")</f>
        <v>#REF!</v>
      </c>
      <c r="BD365" t="e">
        <f>AND(#REF!,"AAAAAHfrvjc=")</f>
        <v>#REF!</v>
      </c>
      <c r="BE365" t="e">
        <f>AND(#REF!,"AAAAAHfrvjg=")</f>
        <v>#REF!</v>
      </c>
      <c r="BF365" t="e">
        <f>AND(#REF!,"AAAAAHfrvjk=")</f>
        <v>#REF!</v>
      </c>
      <c r="BG365" t="e">
        <f>AND(#REF!,"AAAAAHfrvjo=")</f>
        <v>#REF!</v>
      </c>
      <c r="BH365" t="e">
        <f>AND(#REF!,"AAAAAHfrvjs=")</f>
        <v>#REF!</v>
      </c>
      <c r="BI365" t="e">
        <f>AND(#REF!,"AAAAAHfrvjw=")</f>
        <v>#REF!</v>
      </c>
      <c r="BJ365" t="e">
        <f>AND(#REF!,"AAAAAHfrvj0=")</f>
        <v>#REF!</v>
      </c>
      <c r="BK365" t="e">
        <f>AND(#REF!,"AAAAAHfrvj4=")</f>
        <v>#REF!</v>
      </c>
      <c r="BL365" t="e">
        <f>AND(#REF!,"AAAAAHfrvj8=")</f>
        <v>#REF!</v>
      </c>
      <c r="BM365" t="e">
        <f>AND(#REF!,"AAAAAHfrvkA=")</f>
        <v>#REF!</v>
      </c>
      <c r="BN365" t="e">
        <f>AND(#REF!,"AAAAAHfrvkE=")</f>
        <v>#REF!</v>
      </c>
      <c r="BO365" t="e">
        <f>AND(#REF!,"AAAAAHfrvkI=")</f>
        <v>#REF!</v>
      </c>
      <c r="BP365" t="e">
        <f>AND(#REF!,"AAAAAHfrvkM=")</f>
        <v>#REF!</v>
      </c>
      <c r="BQ365" t="e">
        <f>AND(#REF!,"AAAAAHfrvkQ=")</f>
        <v>#REF!</v>
      </c>
      <c r="BR365" t="e">
        <f>AND(#REF!,"AAAAAHfrvkU=")</f>
        <v>#REF!</v>
      </c>
      <c r="BS365" t="e">
        <f>AND(#REF!,"AAAAAHfrvkY=")</f>
        <v>#REF!</v>
      </c>
      <c r="BT365" t="e">
        <f>AND(#REF!,"AAAAAHfrvkc=")</f>
        <v>#REF!</v>
      </c>
      <c r="BU365" t="e">
        <f>AND(#REF!,"AAAAAHfrvkg=")</f>
        <v>#REF!</v>
      </c>
      <c r="BV365" t="e">
        <f>AND(#REF!,"AAAAAHfrvkk=")</f>
        <v>#REF!</v>
      </c>
      <c r="BW365" t="e">
        <f>AND(#REF!,"AAAAAHfrvko=")</f>
        <v>#REF!</v>
      </c>
      <c r="BX365" t="e">
        <f>AND(#REF!,"AAAAAHfrvks=")</f>
        <v>#REF!</v>
      </c>
      <c r="BY365" t="e">
        <f>IF(#REF!,"AAAAAHfrvkw=",0)</f>
        <v>#REF!</v>
      </c>
      <c r="BZ365" t="e">
        <f>AND(#REF!,"AAAAAHfrvk0=")</f>
        <v>#REF!</v>
      </c>
      <c r="CA365" t="e">
        <f>AND(#REF!,"AAAAAHfrvk4=")</f>
        <v>#REF!</v>
      </c>
      <c r="CB365" t="e">
        <f>AND(#REF!,"AAAAAHfrvk8=")</f>
        <v>#REF!</v>
      </c>
      <c r="CC365" t="e">
        <f>AND(#REF!,"AAAAAHfrvlA=")</f>
        <v>#REF!</v>
      </c>
      <c r="CD365" t="e">
        <f>AND(#REF!,"AAAAAHfrvlE=")</f>
        <v>#REF!</v>
      </c>
      <c r="CE365" t="e">
        <f>AND(#REF!,"AAAAAHfrvlI=")</f>
        <v>#REF!</v>
      </c>
      <c r="CF365" t="e">
        <f>AND(#REF!,"AAAAAHfrvlM=")</f>
        <v>#REF!</v>
      </c>
      <c r="CG365" t="e">
        <f>AND(#REF!,"AAAAAHfrvlQ=")</f>
        <v>#REF!</v>
      </c>
      <c r="CH365" t="e">
        <f>AND(#REF!,"AAAAAHfrvlU=")</f>
        <v>#REF!</v>
      </c>
      <c r="CI365" t="e">
        <f>AND(#REF!,"AAAAAHfrvlY=")</f>
        <v>#REF!</v>
      </c>
      <c r="CJ365" t="e">
        <f>AND(#REF!,"AAAAAHfrvlc=")</f>
        <v>#REF!</v>
      </c>
      <c r="CK365" t="e">
        <f>AND(#REF!,"AAAAAHfrvlg=")</f>
        <v>#REF!</v>
      </c>
      <c r="CL365" t="e">
        <f>AND(#REF!,"AAAAAHfrvlk=")</f>
        <v>#REF!</v>
      </c>
      <c r="CM365" t="e">
        <f>AND(#REF!,"AAAAAHfrvlo=")</f>
        <v>#REF!</v>
      </c>
      <c r="CN365" t="e">
        <f>AND(#REF!,"AAAAAHfrvls=")</f>
        <v>#REF!</v>
      </c>
      <c r="CO365" t="e">
        <f>AND(#REF!,"AAAAAHfrvlw=")</f>
        <v>#REF!</v>
      </c>
      <c r="CP365" t="e">
        <f>AND(#REF!,"AAAAAHfrvl0=")</f>
        <v>#REF!</v>
      </c>
      <c r="CQ365" t="e">
        <f>AND(#REF!,"AAAAAHfrvl4=")</f>
        <v>#REF!</v>
      </c>
      <c r="CR365" t="e">
        <f>AND(#REF!,"AAAAAHfrvl8=")</f>
        <v>#REF!</v>
      </c>
      <c r="CS365" t="e">
        <f>AND(#REF!,"AAAAAHfrvmA=")</f>
        <v>#REF!</v>
      </c>
      <c r="CT365" t="e">
        <f>AND(#REF!,"AAAAAHfrvmE=")</f>
        <v>#REF!</v>
      </c>
      <c r="CU365" t="e">
        <f>AND(#REF!,"AAAAAHfrvmI=")</f>
        <v>#REF!</v>
      </c>
      <c r="CV365" t="e">
        <f>AND(#REF!,"AAAAAHfrvmM=")</f>
        <v>#REF!</v>
      </c>
      <c r="CW365" t="e">
        <f>AND(#REF!,"AAAAAHfrvmQ=")</f>
        <v>#REF!</v>
      </c>
      <c r="CX365" t="e">
        <f>IF(#REF!,"AAAAAHfrvmU=",0)</f>
        <v>#REF!</v>
      </c>
      <c r="CY365" t="e">
        <f>AND(#REF!,"AAAAAHfrvmY=")</f>
        <v>#REF!</v>
      </c>
      <c r="CZ365" t="e">
        <f>AND(#REF!,"AAAAAHfrvmc=")</f>
        <v>#REF!</v>
      </c>
      <c r="DA365" t="e">
        <f>AND(#REF!,"AAAAAHfrvmg=")</f>
        <v>#REF!</v>
      </c>
      <c r="DB365" t="e">
        <f>AND(#REF!,"AAAAAHfrvmk=")</f>
        <v>#REF!</v>
      </c>
      <c r="DC365" t="e">
        <f>AND(#REF!,"AAAAAHfrvmo=")</f>
        <v>#REF!</v>
      </c>
      <c r="DD365" t="e">
        <f>AND(#REF!,"AAAAAHfrvms=")</f>
        <v>#REF!</v>
      </c>
      <c r="DE365" t="e">
        <f>AND(#REF!,"AAAAAHfrvmw=")</f>
        <v>#REF!</v>
      </c>
      <c r="DF365" t="e">
        <f>AND(#REF!,"AAAAAHfrvm0=")</f>
        <v>#REF!</v>
      </c>
      <c r="DG365" t="e">
        <f>AND(#REF!,"AAAAAHfrvm4=")</f>
        <v>#REF!</v>
      </c>
      <c r="DH365" t="e">
        <f>AND(#REF!,"AAAAAHfrvm8=")</f>
        <v>#REF!</v>
      </c>
      <c r="DI365" t="e">
        <f>AND(#REF!,"AAAAAHfrvnA=")</f>
        <v>#REF!</v>
      </c>
      <c r="DJ365" t="e">
        <f>AND(#REF!,"AAAAAHfrvnE=")</f>
        <v>#REF!</v>
      </c>
      <c r="DK365" t="e">
        <f>AND(#REF!,"AAAAAHfrvnI=")</f>
        <v>#REF!</v>
      </c>
      <c r="DL365" t="e">
        <f>AND(#REF!,"AAAAAHfrvnM=")</f>
        <v>#REF!</v>
      </c>
      <c r="DM365" t="e">
        <f>AND(#REF!,"AAAAAHfrvnQ=")</f>
        <v>#REF!</v>
      </c>
      <c r="DN365" t="e">
        <f>AND(#REF!,"AAAAAHfrvnU=")</f>
        <v>#REF!</v>
      </c>
      <c r="DO365" t="e">
        <f>AND(#REF!,"AAAAAHfrvnY=")</f>
        <v>#REF!</v>
      </c>
      <c r="DP365" t="e">
        <f>AND(#REF!,"AAAAAHfrvnc=")</f>
        <v>#REF!</v>
      </c>
      <c r="DQ365" t="e">
        <f>AND(#REF!,"AAAAAHfrvng=")</f>
        <v>#REF!</v>
      </c>
      <c r="DR365" t="e">
        <f>AND(#REF!,"AAAAAHfrvnk=")</f>
        <v>#REF!</v>
      </c>
      <c r="DS365" t="e">
        <f>AND(#REF!,"AAAAAHfrvno=")</f>
        <v>#REF!</v>
      </c>
      <c r="DT365" t="e">
        <f>AND(#REF!,"AAAAAHfrvns=")</f>
        <v>#REF!</v>
      </c>
      <c r="DU365" t="e">
        <f>AND(#REF!,"AAAAAHfrvnw=")</f>
        <v>#REF!</v>
      </c>
      <c r="DV365" t="e">
        <f>AND(#REF!,"AAAAAHfrvn0=")</f>
        <v>#REF!</v>
      </c>
      <c r="DW365" t="e">
        <f>IF(#REF!,"AAAAAHfrvn4=",0)</f>
        <v>#REF!</v>
      </c>
      <c r="DX365" t="e">
        <f>AND(#REF!,"AAAAAHfrvn8=")</f>
        <v>#REF!</v>
      </c>
      <c r="DY365" t="e">
        <f>AND(#REF!,"AAAAAHfrvoA=")</f>
        <v>#REF!</v>
      </c>
      <c r="DZ365" t="e">
        <f>AND(#REF!,"AAAAAHfrvoE=")</f>
        <v>#REF!</v>
      </c>
      <c r="EA365" t="e">
        <f>AND(#REF!,"AAAAAHfrvoI=")</f>
        <v>#REF!</v>
      </c>
      <c r="EB365" t="e">
        <f>AND(#REF!,"AAAAAHfrvoM=")</f>
        <v>#REF!</v>
      </c>
      <c r="EC365" t="e">
        <f>AND(#REF!,"AAAAAHfrvoQ=")</f>
        <v>#REF!</v>
      </c>
      <c r="ED365" t="e">
        <f>AND(#REF!,"AAAAAHfrvoU=")</f>
        <v>#REF!</v>
      </c>
      <c r="EE365" t="e">
        <f>AND(#REF!,"AAAAAHfrvoY=")</f>
        <v>#REF!</v>
      </c>
      <c r="EF365" t="e">
        <f>AND(#REF!,"AAAAAHfrvoc=")</f>
        <v>#REF!</v>
      </c>
      <c r="EG365" t="e">
        <f>AND(#REF!,"AAAAAHfrvog=")</f>
        <v>#REF!</v>
      </c>
      <c r="EH365" t="e">
        <f>AND(#REF!,"AAAAAHfrvok=")</f>
        <v>#REF!</v>
      </c>
      <c r="EI365" t="e">
        <f>AND(#REF!,"AAAAAHfrvoo=")</f>
        <v>#REF!</v>
      </c>
      <c r="EJ365" t="e">
        <f>AND(#REF!,"AAAAAHfrvos=")</f>
        <v>#REF!</v>
      </c>
      <c r="EK365" t="e">
        <f>AND(#REF!,"AAAAAHfrvow=")</f>
        <v>#REF!</v>
      </c>
      <c r="EL365" t="e">
        <f>AND(#REF!,"AAAAAHfrvo0=")</f>
        <v>#REF!</v>
      </c>
      <c r="EM365" t="e">
        <f>AND(#REF!,"AAAAAHfrvo4=")</f>
        <v>#REF!</v>
      </c>
      <c r="EN365" t="e">
        <f>AND(#REF!,"AAAAAHfrvo8=")</f>
        <v>#REF!</v>
      </c>
      <c r="EO365" t="e">
        <f>AND(#REF!,"AAAAAHfrvpA=")</f>
        <v>#REF!</v>
      </c>
      <c r="EP365" t="e">
        <f>AND(#REF!,"AAAAAHfrvpE=")</f>
        <v>#REF!</v>
      </c>
      <c r="EQ365" t="e">
        <f>AND(#REF!,"AAAAAHfrvpI=")</f>
        <v>#REF!</v>
      </c>
      <c r="ER365" t="e">
        <f>AND(#REF!,"AAAAAHfrvpM=")</f>
        <v>#REF!</v>
      </c>
      <c r="ES365" t="e">
        <f>AND(#REF!,"AAAAAHfrvpQ=")</f>
        <v>#REF!</v>
      </c>
      <c r="ET365" t="e">
        <f>AND(#REF!,"AAAAAHfrvpU=")</f>
        <v>#REF!</v>
      </c>
      <c r="EU365" t="e">
        <f>AND(#REF!,"AAAAAHfrvpY=")</f>
        <v>#REF!</v>
      </c>
      <c r="EV365" t="e">
        <f>IF(#REF!,"AAAAAHfrvpc=",0)</f>
        <v>#REF!</v>
      </c>
      <c r="EW365" t="e">
        <f>AND(#REF!,"AAAAAHfrvpg=")</f>
        <v>#REF!</v>
      </c>
      <c r="EX365" t="e">
        <f>AND(#REF!,"AAAAAHfrvpk=")</f>
        <v>#REF!</v>
      </c>
      <c r="EY365" t="e">
        <f>AND(#REF!,"AAAAAHfrvpo=")</f>
        <v>#REF!</v>
      </c>
      <c r="EZ365" t="e">
        <f>AND(#REF!,"AAAAAHfrvps=")</f>
        <v>#REF!</v>
      </c>
      <c r="FA365" t="e">
        <f>AND(#REF!,"AAAAAHfrvpw=")</f>
        <v>#REF!</v>
      </c>
      <c r="FB365" t="e">
        <f>AND(#REF!,"AAAAAHfrvp0=")</f>
        <v>#REF!</v>
      </c>
      <c r="FC365" t="e">
        <f>AND(#REF!,"AAAAAHfrvp4=")</f>
        <v>#REF!</v>
      </c>
      <c r="FD365" t="e">
        <f>AND(#REF!,"AAAAAHfrvp8=")</f>
        <v>#REF!</v>
      </c>
      <c r="FE365" t="e">
        <f>AND(#REF!,"AAAAAHfrvqA=")</f>
        <v>#REF!</v>
      </c>
      <c r="FF365" t="e">
        <f>AND(#REF!,"AAAAAHfrvqE=")</f>
        <v>#REF!</v>
      </c>
      <c r="FG365" t="e">
        <f>AND(#REF!,"AAAAAHfrvqI=")</f>
        <v>#REF!</v>
      </c>
      <c r="FH365" t="e">
        <f>AND(#REF!,"AAAAAHfrvqM=")</f>
        <v>#REF!</v>
      </c>
      <c r="FI365" t="e">
        <f>AND(#REF!,"AAAAAHfrvqQ=")</f>
        <v>#REF!</v>
      </c>
      <c r="FJ365" t="e">
        <f>AND(#REF!,"AAAAAHfrvqU=")</f>
        <v>#REF!</v>
      </c>
      <c r="FK365" t="e">
        <f>AND(#REF!,"AAAAAHfrvqY=")</f>
        <v>#REF!</v>
      </c>
      <c r="FL365" t="e">
        <f>AND(#REF!,"AAAAAHfrvqc=")</f>
        <v>#REF!</v>
      </c>
      <c r="FM365" t="e">
        <f>AND(#REF!,"AAAAAHfrvqg=")</f>
        <v>#REF!</v>
      </c>
      <c r="FN365" t="e">
        <f>AND(#REF!,"AAAAAHfrvqk=")</f>
        <v>#REF!</v>
      </c>
      <c r="FO365" t="e">
        <f>AND(#REF!,"AAAAAHfrvqo=")</f>
        <v>#REF!</v>
      </c>
      <c r="FP365" t="e">
        <f>AND(#REF!,"AAAAAHfrvqs=")</f>
        <v>#REF!</v>
      </c>
      <c r="FQ365" t="e">
        <f>AND(#REF!,"AAAAAHfrvqw=")</f>
        <v>#REF!</v>
      </c>
      <c r="FR365" t="e">
        <f>AND(#REF!,"AAAAAHfrvq0=")</f>
        <v>#REF!</v>
      </c>
      <c r="FS365" t="e">
        <f>AND(#REF!,"AAAAAHfrvq4=")</f>
        <v>#REF!</v>
      </c>
      <c r="FT365" t="e">
        <f>AND(#REF!,"AAAAAHfrvq8=")</f>
        <v>#REF!</v>
      </c>
      <c r="FU365" t="e">
        <f>IF(#REF!,"AAAAAHfrvrA=",0)</f>
        <v>#REF!</v>
      </c>
      <c r="FV365" t="e">
        <f>AND(#REF!,"AAAAAHfrvrE=")</f>
        <v>#REF!</v>
      </c>
      <c r="FW365" t="e">
        <f>AND(#REF!,"AAAAAHfrvrI=")</f>
        <v>#REF!</v>
      </c>
      <c r="FX365" t="e">
        <f>AND(#REF!,"AAAAAHfrvrM=")</f>
        <v>#REF!</v>
      </c>
      <c r="FY365" t="e">
        <f>AND(#REF!,"AAAAAHfrvrQ=")</f>
        <v>#REF!</v>
      </c>
      <c r="FZ365" t="e">
        <f>AND(#REF!,"AAAAAHfrvrU=")</f>
        <v>#REF!</v>
      </c>
      <c r="GA365" t="e">
        <f>AND(#REF!,"AAAAAHfrvrY=")</f>
        <v>#REF!</v>
      </c>
      <c r="GB365" t="e">
        <f>AND(#REF!,"AAAAAHfrvrc=")</f>
        <v>#REF!</v>
      </c>
      <c r="GC365" t="e">
        <f>AND(#REF!,"AAAAAHfrvrg=")</f>
        <v>#REF!</v>
      </c>
      <c r="GD365" t="e">
        <f>AND(#REF!,"AAAAAHfrvrk=")</f>
        <v>#REF!</v>
      </c>
      <c r="GE365" t="e">
        <f>AND(#REF!,"AAAAAHfrvro=")</f>
        <v>#REF!</v>
      </c>
      <c r="GF365" t="e">
        <f>AND(#REF!,"AAAAAHfrvrs=")</f>
        <v>#REF!</v>
      </c>
      <c r="GG365" t="e">
        <f>AND(#REF!,"AAAAAHfrvrw=")</f>
        <v>#REF!</v>
      </c>
      <c r="GH365" t="e">
        <f>AND(#REF!,"AAAAAHfrvr0=")</f>
        <v>#REF!</v>
      </c>
      <c r="GI365" t="e">
        <f>AND(#REF!,"AAAAAHfrvr4=")</f>
        <v>#REF!</v>
      </c>
      <c r="GJ365" t="e">
        <f>AND(#REF!,"AAAAAHfrvr8=")</f>
        <v>#REF!</v>
      </c>
      <c r="GK365" t="e">
        <f>AND(#REF!,"AAAAAHfrvsA=")</f>
        <v>#REF!</v>
      </c>
      <c r="GL365" t="e">
        <f>AND(#REF!,"AAAAAHfrvsE=")</f>
        <v>#REF!</v>
      </c>
      <c r="GM365" t="e">
        <f>AND(#REF!,"AAAAAHfrvsI=")</f>
        <v>#REF!</v>
      </c>
      <c r="GN365" t="e">
        <f>AND(#REF!,"AAAAAHfrvsM=")</f>
        <v>#REF!</v>
      </c>
      <c r="GO365" t="e">
        <f>AND(#REF!,"AAAAAHfrvsQ=")</f>
        <v>#REF!</v>
      </c>
      <c r="GP365" t="e">
        <f>AND(#REF!,"AAAAAHfrvsU=")</f>
        <v>#REF!</v>
      </c>
      <c r="GQ365" t="e">
        <f>AND(#REF!,"AAAAAHfrvsY=")</f>
        <v>#REF!</v>
      </c>
      <c r="GR365" t="e">
        <f>AND(#REF!,"AAAAAHfrvsc=")</f>
        <v>#REF!</v>
      </c>
      <c r="GS365" t="e">
        <f>AND(#REF!,"AAAAAHfrvsg=")</f>
        <v>#REF!</v>
      </c>
      <c r="GT365" t="e">
        <f>IF(#REF!,"AAAAAHfrvsk=",0)</f>
        <v>#REF!</v>
      </c>
      <c r="GU365" t="e">
        <f>AND(#REF!,"AAAAAHfrvso=")</f>
        <v>#REF!</v>
      </c>
      <c r="GV365" t="e">
        <f>AND(#REF!,"AAAAAHfrvss=")</f>
        <v>#REF!</v>
      </c>
      <c r="GW365" t="e">
        <f>AND(#REF!,"AAAAAHfrvsw=")</f>
        <v>#REF!</v>
      </c>
      <c r="GX365" t="e">
        <f>AND(#REF!,"AAAAAHfrvs0=")</f>
        <v>#REF!</v>
      </c>
      <c r="GY365" t="e">
        <f>AND(#REF!,"AAAAAHfrvs4=")</f>
        <v>#REF!</v>
      </c>
      <c r="GZ365" t="e">
        <f>AND(#REF!,"AAAAAHfrvs8=")</f>
        <v>#REF!</v>
      </c>
      <c r="HA365" t="e">
        <f>AND(#REF!,"AAAAAHfrvtA=")</f>
        <v>#REF!</v>
      </c>
      <c r="HB365" t="e">
        <f>AND(#REF!,"AAAAAHfrvtE=")</f>
        <v>#REF!</v>
      </c>
      <c r="HC365" t="e">
        <f>AND(#REF!,"AAAAAHfrvtI=")</f>
        <v>#REF!</v>
      </c>
      <c r="HD365" t="e">
        <f>AND(#REF!,"AAAAAHfrvtM=")</f>
        <v>#REF!</v>
      </c>
      <c r="HE365" t="e">
        <f>AND(#REF!,"AAAAAHfrvtQ=")</f>
        <v>#REF!</v>
      </c>
      <c r="HF365" t="e">
        <f>AND(#REF!,"AAAAAHfrvtU=")</f>
        <v>#REF!</v>
      </c>
      <c r="HG365" t="e">
        <f>AND(#REF!,"AAAAAHfrvtY=")</f>
        <v>#REF!</v>
      </c>
      <c r="HH365" t="e">
        <f>AND(#REF!,"AAAAAHfrvtc=")</f>
        <v>#REF!</v>
      </c>
      <c r="HI365" t="e">
        <f>AND(#REF!,"AAAAAHfrvtg=")</f>
        <v>#REF!</v>
      </c>
      <c r="HJ365" t="e">
        <f>AND(#REF!,"AAAAAHfrvtk=")</f>
        <v>#REF!</v>
      </c>
      <c r="HK365" t="e">
        <f>AND(#REF!,"AAAAAHfrvto=")</f>
        <v>#REF!</v>
      </c>
      <c r="HL365" t="e">
        <f>AND(#REF!,"AAAAAHfrvts=")</f>
        <v>#REF!</v>
      </c>
      <c r="HM365" t="e">
        <f>AND(#REF!,"AAAAAHfrvtw=")</f>
        <v>#REF!</v>
      </c>
      <c r="HN365" t="e">
        <f>AND(#REF!,"AAAAAHfrvt0=")</f>
        <v>#REF!</v>
      </c>
      <c r="HO365" t="e">
        <f>AND(#REF!,"AAAAAHfrvt4=")</f>
        <v>#REF!</v>
      </c>
      <c r="HP365" t="e">
        <f>AND(#REF!,"AAAAAHfrvt8=")</f>
        <v>#REF!</v>
      </c>
      <c r="HQ365" t="e">
        <f>AND(#REF!,"AAAAAHfrvuA=")</f>
        <v>#REF!</v>
      </c>
      <c r="HR365" t="e">
        <f>AND(#REF!,"AAAAAHfrvuE=")</f>
        <v>#REF!</v>
      </c>
      <c r="HS365" t="e">
        <f>IF(#REF!,"AAAAAHfrvuI=",0)</f>
        <v>#REF!</v>
      </c>
      <c r="HT365" t="e">
        <f>AND(#REF!,"AAAAAHfrvuM=")</f>
        <v>#REF!</v>
      </c>
      <c r="HU365" t="e">
        <f>AND(#REF!,"AAAAAHfrvuQ=")</f>
        <v>#REF!</v>
      </c>
      <c r="HV365" t="e">
        <f>AND(#REF!,"AAAAAHfrvuU=")</f>
        <v>#REF!</v>
      </c>
      <c r="HW365" t="e">
        <f>AND(#REF!,"AAAAAHfrvuY=")</f>
        <v>#REF!</v>
      </c>
      <c r="HX365" t="e">
        <f>AND(#REF!,"AAAAAHfrvuc=")</f>
        <v>#REF!</v>
      </c>
      <c r="HY365" t="e">
        <f>AND(#REF!,"AAAAAHfrvug=")</f>
        <v>#REF!</v>
      </c>
      <c r="HZ365" t="e">
        <f>AND(#REF!,"AAAAAHfrvuk=")</f>
        <v>#REF!</v>
      </c>
      <c r="IA365" t="e">
        <f>AND(#REF!,"AAAAAHfrvuo=")</f>
        <v>#REF!</v>
      </c>
      <c r="IB365" t="e">
        <f>AND(#REF!,"AAAAAHfrvus=")</f>
        <v>#REF!</v>
      </c>
      <c r="IC365" t="e">
        <f>AND(#REF!,"AAAAAHfrvuw=")</f>
        <v>#REF!</v>
      </c>
      <c r="ID365" t="e">
        <f>AND(#REF!,"AAAAAHfrvu0=")</f>
        <v>#REF!</v>
      </c>
      <c r="IE365" t="e">
        <f>AND(#REF!,"AAAAAHfrvu4=")</f>
        <v>#REF!</v>
      </c>
      <c r="IF365" t="e">
        <f>AND(#REF!,"AAAAAHfrvu8=")</f>
        <v>#REF!</v>
      </c>
      <c r="IG365" t="e">
        <f>AND(#REF!,"AAAAAHfrvvA=")</f>
        <v>#REF!</v>
      </c>
      <c r="IH365" t="e">
        <f>AND(#REF!,"AAAAAHfrvvE=")</f>
        <v>#REF!</v>
      </c>
      <c r="II365" t="e">
        <f>AND(#REF!,"AAAAAHfrvvI=")</f>
        <v>#REF!</v>
      </c>
      <c r="IJ365" t="e">
        <f>AND(#REF!,"AAAAAHfrvvM=")</f>
        <v>#REF!</v>
      </c>
      <c r="IK365" t="e">
        <f>AND(#REF!,"AAAAAHfrvvQ=")</f>
        <v>#REF!</v>
      </c>
      <c r="IL365" t="e">
        <f>AND(#REF!,"AAAAAHfrvvU=")</f>
        <v>#REF!</v>
      </c>
      <c r="IM365" t="e">
        <f>AND(#REF!,"AAAAAHfrvvY=")</f>
        <v>#REF!</v>
      </c>
      <c r="IN365" t="e">
        <f>AND(#REF!,"AAAAAHfrvvc=")</f>
        <v>#REF!</v>
      </c>
      <c r="IO365" t="e">
        <f>AND(#REF!,"AAAAAHfrvvg=")</f>
        <v>#REF!</v>
      </c>
      <c r="IP365" t="e">
        <f>AND(#REF!,"AAAAAHfrvvk=")</f>
        <v>#REF!</v>
      </c>
      <c r="IQ365" t="e">
        <f>AND(#REF!,"AAAAAHfrvvo=")</f>
        <v>#REF!</v>
      </c>
      <c r="IR365" t="e">
        <f>IF(#REF!,"AAAAAHfrvvs=",0)</f>
        <v>#REF!</v>
      </c>
      <c r="IS365" t="e">
        <f>AND(#REF!,"AAAAAHfrvvw=")</f>
        <v>#REF!</v>
      </c>
      <c r="IT365" t="e">
        <f>AND(#REF!,"AAAAAHfrvv0=")</f>
        <v>#REF!</v>
      </c>
      <c r="IU365" t="e">
        <f>AND(#REF!,"AAAAAHfrvv4=")</f>
        <v>#REF!</v>
      </c>
      <c r="IV365" t="e">
        <f>AND(#REF!,"AAAAAHfrvv8=")</f>
        <v>#REF!</v>
      </c>
    </row>
    <row r="366" spans="1:256">
      <c r="A366" t="e">
        <f>AND(#REF!,"AAAAAF00HwA=")</f>
        <v>#REF!</v>
      </c>
      <c r="B366" t="e">
        <f>AND(#REF!,"AAAAAF00HwE=")</f>
        <v>#REF!</v>
      </c>
      <c r="C366" t="e">
        <f>AND(#REF!,"AAAAAF00HwI=")</f>
        <v>#REF!</v>
      </c>
      <c r="D366" t="e">
        <f>AND(#REF!,"AAAAAF00HwM=")</f>
        <v>#REF!</v>
      </c>
      <c r="E366" t="e">
        <f>AND(#REF!,"AAAAAF00HwQ=")</f>
        <v>#REF!</v>
      </c>
      <c r="F366" t="e">
        <f>AND(#REF!,"AAAAAF00HwU=")</f>
        <v>#REF!</v>
      </c>
      <c r="G366" t="e">
        <f>AND(#REF!,"AAAAAF00HwY=")</f>
        <v>#REF!</v>
      </c>
      <c r="H366" t="e">
        <f>AND(#REF!,"AAAAAF00Hwc=")</f>
        <v>#REF!</v>
      </c>
      <c r="I366" t="e">
        <f>AND(#REF!,"AAAAAF00Hwg=")</f>
        <v>#REF!</v>
      </c>
      <c r="J366" t="e">
        <f>AND(#REF!,"AAAAAF00Hwk=")</f>
        <v>#REF!</v>
      </c>
      <c r="K366" t="e">
        <f>AND(#REF!,"AAAAAF00Hwo=")</f>
        <v>#REF!</v>
      </c>
      <c r="L366" t="e">
        <f>AND(#REF!,"AAAAAF00Hws=")</f>
        <v>#REF!</v>
      </c>
      <c r="M366" t="e">
        <f>AND(#REF!,"AAAAAF00Hww=")</f>
        <v>#REF!</v>
      </c>
      <c r="N366" t="e">
        <f>AND(#REF!,"AAAAAF00Hw0=")</f>
        <v>#REF!</v>
      </c>
      <c r="O366" t="e">
        <f>AND(#REF!,"AAAAAF00Hw4=")</f>
        <v>#REF!</v>
      </c>
      <c r="P366" t="e">
        <f>AND(#REF!,"AAAAAF00Hw8=")</f>
        <v>#REF!</v>
      </c>
      <c r="Q366" t="e">
        <f>AND(#REF!,"AAAAAF00HxA=")</f>
        <v>#REF!</v>
      </c>
      <c r="R366" t="e">
        <f>AND(#REF!,"AAAAAF00HxE=")</f>
        <v>#REF!</v>
      </c>
      <c r="S366" t="e">
        <f>AND(#REF!,"AAAAAF00HxI=")</f>
        <v>#REF!</v>
      </c>
      <c r="T366" t="e">
        <f>AND(#REF!,"AAAAAF00HxM=")</f>
        <v>#REF!</v>
      </c>
      <c r="U366" t="e">
        <f>IF(#REF!,"AAAAAF00HxQ=",0)</f>
        <v>#REF!</v>
      </c>
      <c r="V366" t="e">
        <f>AND(#REF!,"AAAAAF00HxU=")</f>
        <v>#REF!</v>
      </c>
      <c r="W366" t="e">
        <f>AND(#REF!,"AAAAAF00HxY=")</f>
        <v>#REF!</v>
      </c>
      <c r="X366" t="e">
        <f>AND(#REF!,"AAAAAF00Hxc=")</f>
        <v>#REF!</v>
      </c>
      <c r="Y366" t="e">
        <f>AND(#REF!,"AAAAAF00Hxg=")</f>
        <v>#REF!</v>
      </c>
      <c r="Z366" t="e">
        <f>AND(#REF!,"AAAAAF00Hxk=")</f>
        <v>#REF!</v>
      </c>
      <c r="AA366" t="e">
        <f>AND(#REF!,"AAAAAF00Hxo=")</f>
        <v>#REF!</v>
      </c>
      <c r="AB366" t="e">
        <f>AND(#REF!,"AAAAAF00Hxs=")</f>
        <v>#REF!</v>
      </c>
      <c r="AC366" t="e">
        <f>AND(#REF!,"AAAAAF00Hxw=")</f>
        <v>#REF!</v>
      </c>
      <c r="AD366" t="e">
        <f>AND(#REF!,"AAAAAF00Hx0=")</f>
        <v>#REF!</v>
      </c>
      <c r="AE366" t="e">
        <f>AND(#REF!,"AAAAAF00Hx4=")</f>
        <v>#REF!</v>
      </c>
      <c r="AF366" t="e">
        <f>AND(#REF!,"AAAAAF00Hx8=")</f>
        <v>#REF!</v>
      </c>
      <c r="AG366" t="e">
        <f>AND(#REF!,"AAAAAF00HyA=")</f>
        <v>#REF!</v>
      </c>
      <c r="AH366" t="e">
        <f>AND(#REF!,"AAAAAF00HyE=")</f>
        <v>#REF!</v>
      </c>
      <c r="AI366" t="e">
        <f>AND(#REF!,"AAAAAF00HyI=")</f>
        <v>#REF!</v>
      </c>
      <c r="AJ366" t="e">
        <f>AND(#REF!,"AAAAAF00HyM=")</f>
        <v>#REF!</v>
      </c>
      <c r="AK366" t="e">
        <f>AND(#REF!,"AAAAAF00HyQ=")</f>
        <v>#REF!</v>
      </c>
      <c r="AL366" t="e">
        <f>AND(#REF!,"AAAAAF00HyU=")</f>
        <v>#REF!</v>
      </c>
      <c r="AM366" t="e">
        <f>AND(#REF!,"AAAAAF00HyY=")</f>
        <v>#REF!</v>
      </c>
      <c r="AN366" t="e">
        <f>AND(#REF!,"AAAAAF00Hyc=")</f>
        <v>#REF!</v>
      </c>
      <c r="AO366" t="e">
        <f>AND(#REF!,"AAAAAF00Hyg=")</f>
        <v>#REF!</v>
      </c>
      <c r="AP366" t="e">
        <f>AND(#REF!,"AAAAAF00Hyk=")</f>
        <v>#REF!</v>
      </c>
      <c r="AQ366" t="e">
        <f>AND(#REF!,"AAAAAF00Hyo=")</f>
        <v>#REF!</v>
      </c>
      <c r="AR366" t="e">
        <f>AND(#REF!,"AAAAAF00Hys=")</f>
        <v>#REF!</v>
      </c>
      <c r="AS366" t="e">
        <f>AND(#REF!,"AAAAAF00Hyw=")</f>
        <v>#REF!</v>
      </c>
      <c r="AT366" t="e">
        <f>IF(#REF!,"AAAAAF00Hy0=",0)</f>
        <v>#REF!</v>
      </c>
      <c r="AU366" t="e">
        <f>AND(#REF!,"AAAAAF00Hy4=")</f>
        <v>#REF!</v>
      </c>
      <c r="AV366" t="e">
        <f>AND(#REF!,"AAAAAF00Hy8=")</f>
        <v>#REF!</v>
      </c>
      <c r="AW366" t="e">
        <f>AND(#REF!,"AAAAAF00HzA=")</f>
        <v>#REF!</v>
      </c>
      <c r="AX366" t="e">
        <f>AND(#REF!,"AAAAAF00HzE=")</f>
        <v>#REF!</v>
      </c>
      <c r="AY366" t="e">
        <f>AND(#REF!,"AAAAAF00HzI=")</f>
        <v>#REF!</v>
      </c>
      <c r="AZ366" t="e">
        <f>AND(#REF!,"AAAAAF00HzM=")</f>
        <v>#REF!</v>
      </c>
      <c r="BA366" t="e">
        <f>AND(#REF!,"AAAAAF00HzQ=")</f>
        <v>#REF!</v>
      </c>
      <c r="BB366" t="e">
        <f>AND(#REF!,"AAAAAF00HzU=")</f>
        <v>#REF!</v>
      </c>
      <c r="BC366" t="e">
        <f>AND(#REF!,"AAAAAF00HzY=")</f>
        <v>#REF!</v>
      </c>
      <c r="BD366" t="e">
        <f>AND(#REF!,"AAAAAF00Hzc=")</f>
        <v>#REF!</v>
      </c>
      <c r="BE366" t="e">
        <f>AND(#REF!,"AAAAAF00Hzg=")</f>
        <v>#REF!</v>
      </c>
      <c r="BF366" t="e">
        <f>AND(#REF!,"AAAAAF00Hzk=")</f>
        <v>#REF!</v>
      </c>
      <c r="BG366" t="e">
        <f>AND(#REF!,"AAAAAF00Hzo=")</f>
        <v>#REF!</v>
      </c>
      <c r="BH366" t="e">
        <f>AND(#REF!,"AAAAAF00Hzs=")</f>
        <v>#REF!</v>
      </c>
      <c r="BI366" t="e">
        <f>AND(#REF!,"AAAAAF00Hzw=")</f>
        <v>#REF!</v>
      </c>
      <c r="BJ366" t="e">
        <f>AND(#REF!,"AAAAAF00Hz0=")</f>
        <v>#REF!</v>
      </c>
      <c r="BK366" t="e">
        <f>AND(#REF!,"AAAAAF00Hz4=")</f>
        <v>#REF!</v>
      </c>
      <c r="BL366" t="e">
        <f>AND(#REF!,"AAAAAF00Hz8=")</f>
        <v>#REF!</v>
      </c>
      <c r="BM366" t="e">
        <f>AND(#REF!,"AAAAAF00H0A=")</f>
        <v>#REF!</v>
      </c>
      <c r="BN366" t="e">
        <f>AND(#REF!,"AAAAAF00H0E=")</f>
        <v>#REF!</v>
      </c>
      <c r="BO366" t="e">
        <f>AND(#REF!,"AAAAAF00H0I=")</f>
        <v>#REF!</v>
      </c>
      <c r="BP366" t="e">
        <f>AND(#REF!,"AAAAAF00H0M=")</f>
        <v>#REF!</v>
      </c>
      <c r="BQ366" t="e">
        <f>AND(#REF!,"AAAAAF00H0Q=")</f>
        <v>#REF!</v>
      </c>
      <c r="BR366" t="e">
        <f>AND(#REF!,"AAAAAF00H0U=")</f>
        <v>#REF!</v>
      </c>
      <c r="BS366" t="e">
        <f>IF(#REF!,"AAAAAF00H0Y=",0)</f>
        <v>#REF!</v>
      </c>
      <c r="BT366" t="e">
        <f>AND(#REF!,"AAAAAF00H0c=")</f>
        <v>#REF!</v>
      </c>
      <c r="BU366" t="e">
        <f>AND(#REF!,"AAAAAF00H0g=")</f>
        <v>#REF!</v>
      </c>
      <c r="BV366" t="e">
        <f>AND(#REF!,"AAAAAF00H0k=")</f>
        <v>#REF!</v>
      </c>
      <c r="BW366" t="e">
        <f>AND(#REF!,"AAAAAF00H0o=")</f>
        <v>#REF!</v>
      </c>
      <c r="BX366" t="e">
        <f>AND(#REF!,"AAAAAF00H0s=")</f>
        <v>#REF!</v>
      </c>
      <c r="BY366" t="e">
        <f>AND(#REF!,"AAAAAF00H0w=")</f>
        <v>#REF!</v>
      </c>
      <c r="BZ366" t="e">
        <f>AND(#REF!,"AAAAAF00H00=")</f>
        <v>#REF!</v>
      </c>
      <c r="CA366" t="e">
        <f>AND(#REF!,"AAAAAF00H04=")</f>
        <v>#REF!</v>
      </c>
      <c r="CB366" t="e">
        <f>AND(#REF!,"AAAAAF00H08=")</f>
        <v>#REF!</v>
      </c>
      <c r="CC366" t="e">
        <f>AND(#REF!,"AAAAAF00H1A=")</f>
        <v>#REF!</v>
      </c>
      <c r="CD366" t="e">
        <f>AND(#REF!,"AAAAAF00H1E=")</f>
        <v>#REF!</v>
      </c>
      <c r="CE366" t="e">
        <f>AND(#REF!,"AAAAAF00H1I=")</f>
        <v>#REF!</v>
      </c>
      <c r="CF366" t="e">
        <f>AND(#REF!,"AAAAAF00H1M=")</f>
        <v>#REF!</v>
      </c>
      <c r="CG366" t="e">
        <f>AND(#REF!,"AAAAAF00H1Q=")</f>
        <v>#REF!</v>
      </c>
      <c r="CH366" t="e">
        <f>AND(#REF!,"AAAAAF00H1U=")</f>
        <v>#REF!</v>
      </c>
      <c r="CI366" t="e">
        <f>AND(#REF!,"AAAAAF00H1Y=")</f>
        <v>#REF!</v>
      </c>
      <c r="CJ366" t="e">
        <f>AND(#REF!,"AAAAAF00H1c=")</f>
        <v>#REF!</v>
      </c>
      <c r="CK366" t="e">
        <f>AND(#REF!,"AAAAAF00H1g=")</f>
        <v>#REF!</v>
      </c>
      <c r="CL366" t="e">
        <f>AND(#REF!,"AAAAAF00H1k=")</f>
        <v>#REF!</v>
      </c>
      <c r="CM366" t="e">
        <f>AND(#REF!,"AAAAAF00H1o=")</f>
        <v>#REF!</v>
      </c>
      <c r="CN366" t="e">
        <f>AND(#REF!,"AAAAAF00H1s=")</f>
        <v>#REF!</v>
      </c>
      <c r="CO366" t="e">
        <f>AND(#REF!,"AAAAAF00H1w=")</f>
        <v>#REF!</v>
      </c>
      <c r="CP366" t="e">
        <f>AND(#REF!,"AAAAAF00H10=")</f>
        <v>#REF!</v>
      </c>
      <c r="CQ366" t="e">
        <f>AND(#REF!,"AAAAAF00H14=")</f>
        <v>#REF!</v>
      </c>
      <c r="CR366" t="e">
        <f>IF(#REF!,"AAAAAF00H18=",0)</f>
        <v>#REF!</v>
      </c>
      <c r="CS366" t="e">
        <f>AND(#REF!,"AAAAAF00H2A=")</f>
        <v>#REF!</v>
      </c>
      <c r="CT366" t="e">
        <f>AND(#REF!,"AAAAAF00H2E=")</f>
        <v>#REF!</v>
      </c>
      <c r="CU366" t="e">
        <f>AND(#REF!,"AAAAAF00H2I=")</f>
        <v>#REF!</v>
      </c>
      <c r="CV366" t="e">
        <f>AND(#REF!,"AAAAAF00H2M=")</f>
        <v>#REF!</v>
      </c>
      <c r="CW366" t="e">
        <f>AND(#REF!,"AAAAAF00H2Q=")</f>
        <v>#REF!</v>
      </c>
      <c r="CX366" t="e">
        <f>AND(#REF!,"AAAAAF00H2U=")</f>
        <v>#REF!</v>
      </c>
      <c r="CY366" t="e">
        <f>AND(#REF!,"AAAAAF00H2Y=")</f>
        <v>#REF!</v>
      </c>
      <c r="CZ366" t="e">
        <f>AND(#REF!,"AAAAAF00H2c=")</f>
        <v>#REF!</v>
      </c>
      <c r="DA366" t="e">
        <f>AND(#REF!,"AAAAAF00H2g=")</f>
        <v>#REF!</v>
      </c>
      <c r="DB366" t="e">
        <f>AND(#REF!,"AAAAAF00H2k=")</f>
        <v>#REF!</v>
      </c>
      <c r="DC366" t="e">
        <f>AND(#REF!,"AAAAAF00H2o=")</f>
        <v>#REF!</v>
      </c>
      <c r="DD366" t="e">
        <f>AND(#REF!,"AAAAAF00H2s=")</f>
        <v>#REF!</v>
      </c>
      <c r="DE366" t="e">
        <f>AND(#REF!,"AAAAAF00H2w=")</f>
        <v>#REF!</v>
      </c>
      <c r="DF366" t="e">
        <f>AND(#REF!,"AAAAAF00H20=")</f>
        <v>#REF!</v>
      </c>
      <c r="DG366" t="e">
        <f>AND(#REF!,"AAAAAF00H24=")</f>
        <v>#REF!</v>
      </c>
      <c r="DH366" t="e">
        <f>AND(#REF!,"AAAAAF00H28=")</f>
        <v>#REF!</v>
      </c>
      <c r="DI366" t="e">
        <f>AND(#REF!,"AAAAAF00H3A=")</f>
        <v>#REF!</v>
      </c>
      <c r="DJ366" t="e">
        <f>AND(#REF!,"AAAAAF00H3E=")</f>
        <v>#REF!</v>
      </c>
      <c r="DK366" t="e">
        <f>AND(#REF!,"AAAAAF00H3I=")</f>
        <v>#REF!</v>
      </c>
      <c r="DL366" t="e">
        <f>AND(#REF!,"AAAAAF00H3M=")</f>
        <v>#REF!</v>
      </c>
      <c r="DM366" t="e">
        <f>AND(#REF!,"AAAAAF00H3Q=")</f>
        <v>#REF!</v>
      </c>
      <c r="DN366" t="e">
        <f>AND(#REF!,"AAAAAF00H3U=")</f>
        <v>#REF!</v>
      </c>
      <c r="DO366" t="e">
        <f>AND(#REF!,"AAAAAF00H3Y=")</f>
        <v>#REF!</v>
      </c>
      <c r="DP366" t="e">
        <f>AND(#REF!,"AAAAAF00H3c=")</f>
        <v>#REF!</v>
      </c>
      <c r="DQ366" t="e">
        <f>IF(#REF!,"AAAAAF00H3g=",0)</f>
        <v>#REF!</v>
      </c>
      <c r="DR366" t="e">
        <f>AND(#REF!,"AAAAAF00H3k=")</f>
        <v>#REF!</v>
      </c>
      <c r="DS366" t="e">
        <f>AND(#REF!,"AAAAAF00H3o=")</f>
        <v>#REF!</v>
      </c>
      <c r="DT366" t="e">
        <f>AND(#REF!,"AAAAAF00H3s=")</f>
        <v>#REF!</v>
      </c>
      <c r="DU366" t="e">
        <f>AND(#REF!,"AAAAAF00H3w=")</f>
        <v>#REF!</v>
      </c>
      <c r="DV366" t="e">
        <f>AND(#REF!,"AAAAAF00H30=")</f>
        <v>#REF!</v>
      </c>
      <c r="DW366" t="e">
        <f>AND(#REF!,"AAAAAF00H34=")</f>
        <v>#REF!</v>
      </c>
      <c r="DX366" t="e">
        <f>AND(#REF!,"AAAAAF00H38=")</f>
        <v>#REF!</v>
      </c>
      <c r="DY366" t="e">
        <f>AND(#REF!,"AAAAAF00H4A=")</f>
        <v>#REF!</v>
      </c>
      <c r="DZ366" t="e">
        <f>AND(#REF!,"AAAAAF00H4E=")</f>
        <v>#REF!</v>
      </c>
      <c r="EA366" t="e">
        <f>AND(#REF!,"AAAAAF00H4I=")</f>
        <v>#REF!</v>
      </c>
      <c r="EB366" t="e">
        <f>AND(#REF!,"AAAAAF00H4M=")</f>
        <v>#REF!</v>
      </c>
      <c r="EC366" t="e">
        <f>AND(#REF!,"AAAAAF00H4Q=")</f>
        <v>#REF!</v>
      </c>
      <c r="ED366" t="e">
        <f>AND(#REF!,"AAAAAF00H4U=")</f>
        <v>#REF!</v>
      </c>
      <c r="EE366" t="e">
        <f>AND(#REF!,"AAAAAF00H4Y=")</f>
        <v>#REF!</v>
      </c>
      <c r="EF366" t="e">
        <f>AND(#REF!,"AAAAAF00H4c=")</f>
        <v>#REF!</v>
      </c>
      <c r="EG366" t="e">
        <f>AND(#REF!,"AAAAAF00H4g=")</f>
        <v>#REF!</v>
      </c>
      <c r="EH366" t="e">
        <f>AND(#REF!,"AAAAAF00H4k=")</f>
        <v>#REF!</v>
      </c>
      <c r="EI366" t="e">
        <f>AND(#REF!,"AAAAAF00H4o=")</f>
        <v>#REF!</v>
      </c>
      <c r="EJ366" t="e">
        <f>AND(#REF!,"AAAAAF00H4s=")</f>
        <v>#REF!</v>
      </c>
      <c r="EK366" t="e">
        <f>AND(#REF!,"AAAAAF00H4w=")</f>
        <v>#REF!</v>
      </c>
      <c r="EL366" t="e">
        <f>AND(#REF!,"AAAAAF00H40=")</f>
        <v>#REF!</v>
      </c>
      <c r="EM366" t="e">
        <f>AND(#REF!,"AAAAAF00H44=")</f>
        <v>#REF!</v>
      </c>
      <c r="EN366" t="e">
        <f>AND(#REF!,"AAAAAF00H48=")</f>
        <v>#REF!</v>
      </c>
      <c r="EO366" t="e">
        <f>AND(#REF!,"AAAAAF00H5A=")</f>
        <v>#REF!</v>
      </c>
      <c r="EP366" t="e">
        <f>IF(#REF!,"AAAAAF00H5E=",0)</f>
        <v>#REF!</v>
      </c>
      <c r="EQ366" t="e">
        <f>AND(#REF!,"AAAAAF00H5I=")</f>
        <v>#REF!</v>
      </c>
      <c r="ER366" t="e">
        <f>AND(#REF!,"AAAAAF00H5M=")</f>
        <v>#REF!</v>
      </c>
      <c r="ES366" t="e">
        <f>AND(#REF!,"AAAAAF00H5Q=")</f>
        <v>#REF!</v>
      </c>
      <c r="ET366" t="e">
        <f>AND(#REF!,"AAAAAF00H5U=")</f>
        <v>#REF!</v>
      </c>
      <c r="EU366" t="e">
        <f>AND(#REF!,"AAAAAF00H5Y=")</f>
        <v>#REF!</v>
      </c>
      <c r="EV366" t="e">
        <f>AND(#REF!,"AAAAAF00H5c=")</f>
        <v>#REF!</v>
      </c>
      <c r="EW366" t="e">
        <f>AND(#REF!,"AAAAAF00H5g=")</f>
        <v>#REF!</v>
      </c>
      <c r="EX366" t="e">
        <f>AND(#REF!,"AAAAAF00H5k=")</f>
        <v>#REF!</v>
      </c>
      <c r="EY366" t="e">
        <f>AND(#REF!,"AAAAAF00H5o=")</f>
        <v>#REF!</v>
      </c>
      <c r="EZ366" t="e">
        <f>AND(#REF!,"AAAAAF00H5s=")</f>
        <v>#REF!</v>
      </c>
      <c r="FA366" t="e">
        <f>AND(#REF!,"AAAAAF00H5w=")</f>
        <v>#REF!</v>
      </c>
      <c r="FB366" t="e">
        <f>AND(#REF!,"AAAAAF00H50=")</f>
        <v>#REF!</v>
      </c>
      <c r="FC366" t="e">
        <f>AND(#REF!,"AAAAAF00H54=")</f>
        <v>#REF!</v>
      </c>
      <c r="FD366" t="e">
        <f>AND(#REF!,"AAAAAF00H58=")</f>
        <v>#REF!</v>
      </c>
      <c r="FE366" t="e">
        <f>AND(#REF!,"AAAAAF00H6A=")</f>
        <v>#REF!</v>
      </c>
      <c r="FF366" t="e">
        <f>AND(#REF!,"AAAAAF00H6E=")</f>
        <v>#REF!</v>
      </c>
      <c r="FG366" t="e">
        <f>AND(#REF!,"AAAAAF00H6I=")</f>
        <v>#REF!</v>
      </c>
      <c r="FH366" t="e">
        <f>AND(#REF!,"AAAAAF00H6M=")</f>
        <v>#REF!</v>
      </c>
      <c r="FI366" t="e">
        <f>AND(#REF!,"AAAAAF00H6Q=")</f>
        <v>#REF!</v>
      </c>
      <c r="FJ366" t="e">
        <f>AND(#REF!,"AAAAAF00H6U=")</f>
        <v>#REF!</v>
      </c>
      <c r="FK366" t="e">
        <f>AND(#REF!,"AAAAAF00H6Y=")</f>
        <v>#REF!</v>
      </c>
      <c r="FL366" t="e">
        <f>AND(#REF!,"AAAAAF00H6c=")</f>
        <v>#REF!</v>
      </c>
      <c r="FM366" t="e">
        <f>AND(#REF!,"AAAAAF00H6g=")</f>
        <v>#REF!</v>
      </c>
      <c r="FN366" t="e">
        <f>AND(#REF!,"AAAAAF00H6k=")</f>
        <v>#REF!</v>
      </c>
      <c r="FO366" t="e">
        <f>IF(#REF!,"AAAAAF00H6o=",0)</f>
        <v>#REF!</v>
      </c>
      <c r="FP366" t="e">
        <f>AND(#REF!,"AAAAAF00H6s=")</f>
        <v>#REF!</v>
      </c>
      <c r="FQ366" t="e">
        <f>AND(#REF!,"AAAAAF00H6w=")</f>
        <v>#REF!</v>
      </c>
      <c r="FR366" t="e">
        <f>AND(#REF!,"AAAAAF00H60=")</f>
        <v>#REF!</v>
      </c>
      <c r="FS366" t="e">
        <f>AND(#REF!,"AAAAAF00H64=")</f>
        <v>#REF!</v>
      </c>
      <c r="FT366" t="e">
        <f>AND(#REF!,"AAAAAF00H68=")</f>
        <v>#REF!</v>
      </c>
      <c r="FU366" t="e">
        <f>AND(#REF!,"AAAAAF00H7A=")</f>
        <v>#REF!</v>
      </c>
      <c r="FV366" t="e">
        <f>AND(#REF!,"AAAAAF00H7E=")</f>
        <v>#REF!</v>
      </c>
      <c r="FW366" t="e">
        <f>AND(#REF!,"AAAAAF00H7I=")</f>
        <v>#REF!</v>
      </c>
      <c r="FX366" t="e">
        <f>AND(#REF!,"AAAAAF00H7M=")</f>
        <v>#REF!</v>
      </c>
      <c r="FY366" t="e">
        <f>AND(#REF!,"AAAAAF00H7Q=")</f>
        <v>#REF!</v>
      </c>
      <c r="FZ366" t="e">
        <f>AND(#REF!,"AAAAAF00H7U=")</f>
        <v>#REF!</v>
      </c>
      <c r="GA366" t="e">
        <f>AND(#REF!,"AAAAAF00H7Y=")</f>
        <v>#REF!</v>
      </c>
      <c r="GB366" t="e">
        <f>AND(#REF!,"AAAAAF00H7c=")</f>
        <v>#REF!</v>
      </c>
      <c r="GC366" t="e">
        <f>AND(#REF!,"AAAAAF00H7g=")</f>
        <v>#REF!</v>
      </c>
      <c r="GD366" t="e">
        <f>AND(#REF!,"AAAAAF00H7k=")</f>
        <v>#REF!</v>
      </c>
      <c r="GE366" t="e">
        <f>AND(#REF!,"AAAAAF00H7o=")</f>
        <v>#REF!</v>
      </c>
      <c r="GF366" t="e">
        <f>AND(#REF!,"AAAAAF00H7s=")</f>
        <v>#REF!</v>
      </c>
      <c r="GG366" t="e">
        <f>AND(#REF!,"AAAAAF00H7w=")</f>
        <v>#REF!</v>
      </c>
      <c r="GH366" t="e">
        <f>AND(#REF!,"AAAAAF00H70=")</f>
        <v>#REF!</v>
      </c>
      <c r="GI366" t="e">
        <f>AND(#REF!,"AAAAAF00H74=")</f>
        <v>#REF!</v>
      </c>
      <c r="GJ366" t="e">
        <f>AND(#REF!,"AAAAAF00H78=")</f>
        <v>#REF!</v>
      </c>
      <c r="GK366" t="e">
        <f>AND(#REF!,"AAAAAF00H8A=")</f>
        <v>#REF!</v>
      </c>
      <c r="GL366" t="e">
        <f>AND(#REF!,"AAAAAF00H8E=")</f>
        <v>#REF!</v>
      </c>
      <c r="GM366" t="e">
        <f>AND(#REF!,"AAAAAF00H8I=")</f>
        <v>#REF!</v>
      </c>
      <c r="GN366" t="e">
        <f>IF(#REF!,"AAAAAF00H8M=",0)</f>
        <v>#REF!</v>
      </c>
      <c r="GO366" t="e">
        <f>AND(#REF!,"AAAAAF00H8Q=")</f>
        <v>#REF!</v>
      </c>
      <c r="GP366" t="e">
        <f>AND(#REF!,"AAAAAF00H8U=")</f>
        <v>#REF!</v>
      </c>
      <c r="GQ366" t="e">
        <f>AND(#REF!,"AAAAAF00H8Y=")</f>
        <v>#REF!</v>
      </c>
      <c r="GR366" t="e">
        <f>AND(#REF!,"AAAAAF00H8c=")</f>
        <v>#REF!</v>
      </c>
      <c r="GS366" t="e">
        <f>AND(#REF!,"AAAAAF00H8g=")</f>
        <v>#REF!</v>
      </c>
      <c r="GT366" t="e">
        <f>AND(#REF!,"AAAAAF00H8k=")</f>
        <v>#REF!</v>
      </c>
      <c r="GU366" t="e">
        <f>AND(#REF!,"AAAAAF00H8o=")</f>
        <v>#REF!</v>
      </c>
      <c r="GV366" t="e">
        <f>AND(#REF!,"AAAAAF00H8s=")</f>
        <v>#REF!</v>
      </c>
      <c r="GW366" t="e">
        <f>AND(#REF!,"AAAAAF00H8w=")</f>
        <v>#REF!</v>
      </c>
      <c r="GX366" t="e">
        <f>AND(#REF!,"AAAAAF00H80=")</f>
        <v>#REF!</v>
      </c>
      <c r="GY366" t="e">
        <f>AND(#REF!,"AAAAAF00H84=")</f>
        <v>#REF!</v>
      </c>
      <c r="GZ366" t="e">
        <f>AND(#REF!,"AAAAAF00H88=")</f>
        <v>#REF!</v>
      </c>
      <c r="HA366" t="e">
        <f>AND(#REF!,"AAAAAF00H9A=")</f>
        <v>#REF!</v>
      </c>
      <c r="HB366" t="e">
        <f>AND(#REF!,"AAAAAF00H9E=")</f>
        <v>#REF!</v>
      </c>
      <c r="HC366" t="e">
        <f>AND(#REF!,"AAAAAF00H9I=")</f>
        <v>#REF!</v>
      </c>
      <c r="HD366" t="e">
        <f>AND(#REF!,"AAAAAF00H9M=")</f>
        <v>#REF!</v>
      </c>
      <c r="HE366" t="e">
        <f>AND(#REF!,"AAAAAF00H9Q=")</f>
        <v>#REF!</v>
      </c>
      <c r="HF366" t="e">
        <f>AND(#REF!,"AAAAAF00H9U=")</f>
        <v>#REF!</v>
      </c>
      <c r="HG366" t="e">
        <f>AND(#REF!,"AAAAAF00H9Y=")</f>
        <v>#REF!</v>
      </c>
      <c r="HH366" t="e">
        <f>AND(#REF!,"AAAAAF00H9c=")</f>
        <v>#REF!</v>
      </c>
      <c r="HI366" t="e">
        <f>AND(#REF!,"AAAAAF00H9g=")</f>
        <v>#REF!</v>
      </c>
      <c r="HJ366" t="e">
        <f>AND(#REF!,"AAAAAF00H9k=")</f>
        <v>#REF!</v>
      </c>
      <c r="HK366" t="e">
        <f>AND(#REF!,"AAAAAF00H9o=")</f>
        <v>#REF!</v>
      </c>
      <c r="HL366" t="e">
        <f>AND(#REF!,"AAAAAF00H9s=")</f>
        <v>#REF!</v>
      </c>
      <c r="HM366" t="e">
        <f>IF(#REF!,"AAAAAF00H9w=",0)</f>
        <v>#REF!</v>
      </c>
      <c r="HN366" t="e">
        <f>AND(#REF!,"AAAAAF00H90=")</f>
        <v>#REF!</v>
      </c>
      <c r="HO366" t="e">
        <f>AND(#REF!,"AAAAAF00H94=")</f>
        <v>#REF!</v>
      </c>
      <c r="HP366" t="e">
        <f>AND(#REF!,"AAAAAF00H98=")</f>
        <v>#REF!</v>
      </c>
      <c r="HQ366" t="e">
        <f>AND(#REF!,"AAAAAF00H+A=")</f>
        <v>#REF!</v>
      </c>
      <c r="HR366" t="e">
        <f>AND(#REF!,"AAAAAF00H+E=")</f>
        <v>#REF!</v>
      </c>
      <c r="HS366" t="e">
        <f>AND(#REF!,"AAAAAF00H+I=")</f>
        <v>#REF!</v>
      </c>
      <c r="HT366" t="e">
        <f>AND(#REF!,"AAAAAF00H+M=")</f>
        <v>#REF!</v>
      </c>
      <c r="HU366" t="e">
        <f>AND(#REF!,"AAAAAF00H+Q=")</f>
        <v>#REF!</v>
      </c>
      <c r="HV366" t="e">
        <f>AND(#REF!,"AAAAAF00H+U=")</f>
        <v>#REF!</v>
      </c>
      <c r="HW366" t="e">
        <f>AND(#REF!,"AAAAAF00H+Y=")</f>
        <v>#REF!</v>
      </c>
      <c r="HX366" t="e">
        <f>AND(#REF!,"AAAAAF00H+c=")</f>
        <v>#REF!</v>
      </c>
      <c r="HY366" t="e">
        <f>AND(#REF!,"AAAAAF00H+g=")</f>
        <v>#REF!</v>
      </c>
      <c r="HZ366" t="e">
        <f>AND(#REF!,"AAAAAF00H+k=")</f>
        <v>#REF!</v>
      </c>
      <c r="IA366" t="e">
        <f>AND(#REF!,"AAAAAF00H+o=")</f>
        <v>#REF!</v>
      </c>
      <c r="IB366" t="e">
        <f>AND(#REF!,"AAAAAF00H+s=")</f>
        <v>#REF!</v>
      </c>
      <c r="IC366" t="e">
        <f>AND(#REF!,"AAAAAF00H+w=")</f>
        <v>#REF!</v>
      </c>
      <c r="ID366" t="e">
        <f>AND(#REF!,"AAAAAF00H+0=")</f>
        <v>#REF!</v>
      </c>
      <c r="IE366" t="e">
        <f>AND(#REF!,"AAAAAF00H+4=")</f>
        <v>#REF!</v>
      </c>
      <c r="IF366" t="e">
        <f>AND(#REF!,"AAAAAF00H+8=")</f>
        <v>#REF!</v>
      </c>
      <c r="IG366" t="e">
        <f>AND(#REF!,"AAAAAF00H/A=")</f>
        <v>#REF!</v>
      </c>
      <c r="IH366" t="e">
        <f>AND(#REF!,"AAAAAF00H/E=")</f>
        <v>#REF!</v>
      </c>
      <c r="II366" t="e">
        <f>AND(#REF!,"AAAAAF00H/I=")</f>
        <v>#REF!</v>
      </c>
      <c r="IJ366" t="e">
        <f>AND(#REF!,"AAAAAF00H/M=")</f>
        <v>#REF!</v>
      </c>
      <c r="IK366" t="e">
        <f>AND(#REF!,"AAAAAF00H/Q=")</f>
        <v>#REF!</v>
      </c>
      <c r="IL366" t="e">
        <f>IF(#REF!,"AAAAAF00H/U=",0)</f>
        <v>#REF!</v>
      </c>
      <c r="IM366" t="e">
        <f>AND(#REF!,"AAAAAF00H/Y=")</f>
        <v>#REF!</v>
      </c>
      <c r="IN366" t="e">
        <f>AND(#REF!,"AAAAAF00H/c=")</f>
        <v>#REF!</v>
      </c>
      <c r="IO366" t="e">
        <f>AND(#REF!,"AAAAAF00H/g=")</f>
        <v>#REF!</v>
      </c>
      <c r="IP366" t="e">
        <f>AND(#REF!,"AAAAAF00H/k=")</f>
        <v>#REF!</v>
      </c>
      <c r="IQ366" t="e">
        <f>AND(#REF!,"AAAAAF00H/o=")</f>
        <v>#REF!</v>
      </c>
      <c r="IR366" t="e">
        <f>AND(#REF!,"AAAAAF00H/s=")</f>
        <v>#REF!</v>
      </c>
      <c r="IS366" t="e">
        <f>AND(#REF!,"AAAAAF00H/w=")</f>
        <v>#REF!</v>
      </c>
      <c r="IT366" t="e">
        <f>AND(#REF!,"AAAAAF00H/0=")</f>
        <v>#REF!</v>
      </c>
      <c r="IU366" t="e">
        <f>AND(#REF!,"AAAAAF00H/4=")</f>
        <v>#REF!</v>
      </c>
      <c r="IV366" t="e">
        <f>AND(#REF!,"AAAAAF00H/8=")</f>
        <v>#REF!</v>
      </c>
    </row>
    <row r="367" spans="1:256">
      <c r="A367" t="e">
        <f>AND(#REF!,"AAAAAE+9XQA=")</f>
        <v>#REF!</v>
      </c>
      <c r="B367" t="e">
        <f>AND(#REF!,"AAAAAE+9XQE=")</f>
        <v>#REF!</v>
      </c>
      <c r="C367" t="e">
        <f>AND(#REF!,"AAAAAE+9XQI=")</f>
        <v>#REF!</v>
      </c>
      <c r="D367" t="e">
        <f>AND(#REF!,"AAAAAE+9XQM=")</f>
        <v>#REF!</v>
      </c>
      <c r="E367" t="e">
        <f>AND(#REF!,"AAAAAE+9XQQ=")</f>
        <v>#REF!</v>
      </c>
      <c r="F367" t="e">
        <f>AND(#REF!,"AAAAAE+9XQU=")</f>
        <v>#REF!</v>
      </c>
      <c r="G367" t="e">
        <f>AND(#REF!,"AAAAAE+9XQY=")</f>
        <v>#REF!</v>
      </c>
      <c r="H367" t="e">
        <f>AND(#REF!,"AAAAAE+9XQc=")</f>
        <v>#REF!</v>
      </c>
      <c r="I367" t="e">
        <f>AND(#REF!,"AAAAAE+9XQg=")</f>
        <v>#REF!</v>
      </c>
      <c r="J367" t="e">
        <f>AND(#REF!,"AAAAAE+9XQk=")</f>
        <v>#REF!</v>
      </c>
      <c r="K367" t="e">
        <f>AND(#REF!,"AAAAAE+9XQo=")</f>
        <v>#REF!</v>
      </c>
      <c r="L367" t="e">
        <f>AND(#REF!,"AAAAAE+9XQs=")</f>
        <v>#REF!</v>
      </c>
      <c r="M367" t="e">
        <f>AND(#REF!,"AAAAAE+9XQw=")</f>
        <v>#REF!</v>
      </c>
      <c r="N367" t="e">
        <f>AND(#REF!,"AAAAAE+9XQ0=")</f>
        <v>#REF!</v>
      </c>
      <c r="O367" t="e">
        <f>IF(#REF!,"AAAAAE+9XQ4=",0)</f>
        <v>#REF!</v>
      </c>
      <c r="P367" t="e">
        <f>AND(#REF!,"AAAAAE+9XQ8=")</f>
        <v>#REF!</v>
      </c>
      <c r="Q367" t="e">
        <f>AND(#REF!,"AAAAAE+9XRA=")</f>
        <v>#REF!</v>
      </c>
      <c r="R367" t="e">
        <f>AND(#REF!,"AAAAAE+9XRE=")</f>
        <v>#REF!</v>
      </c>
      <c r="S367" t="e">
        <f>AND(#REF!,"AAAAAE+9XRI=")</f>
        <v>#REF!</v>
      </c>
      <c r="T367" t="e">
        <f>AND(#REF!,"AAAAAE+9XRM=")</f>
        <v>#REF!</v>
      </c>
      <c r="U367" t="e">
        <f>AND(#REF!,"AAAAAE+9XRQ=")</f>
        <v>#REF!</v>
      </c>
      <c r="V367" t="e">
        <f>AND(#REF!,"AAAAAE+9XRU=")</f>
        <v>#REF!</v>
      </c>
      <c r="W367" t="e">
        <f>AND(#REF!,"AAAAAE+9XRY=")</f>
        <v>#REF!</v>
      </c>
      <c r="X367" t="e">
        <f>AND(#REF!,"AAAAAE+9XRc=")</f>
        <v>#REF!</v>
      </c>
      <c r="Y367" t="e">
        <f>AND(#REF!,"AAAAAE+9XRg=")</f>
        <v>#REF!</v>
      </c>
      <c r="Z367" t="e">
        <f>AND(#REF!,"AAAAAE+9XRk=")</f>
        <v>#REF!</v>
      </c>
      <c r="AA367" t="e">
        <f>AND(#REF!,"AAAAAE+9XRo=")</f>
        <v>#REF!</v>
      </c>
      <c r="AB367" t="e">
        <f>AND(#REF!,"AAAAAE+9XRs=")</f>
        <v>#REF!</v>
      </c>
      <c r="AC367" t="e">
        <f>AND(#REF!,"AAAAAE+9XRw=")</f>
        <v>#REF!</v>
      </c>
      <c r="AD367" t="e">
        <f>AND(#REF!,"AAAAAE+9XR0=")</f>
        <v>#REF!</v>
      </c>
      <c r="AE367" t="e">
        <f>AND(#REF!,"AAAAAE+9XR4=")</f>
        <v>#REF!</v>
      </c>
      <c r="AF367" t="e">
        <f>AND(#REF!,"AAAAAE+9XR8=")</f>
        <v>#REF!</v>
      </c>
      <c r="AG367" t="e">
        <f>AND(#REF!,"AAAAAE+9XSA=")</f>
        <v>#REF!</v>
      </c>
      <c r="AH367" t="e">
        <f>AND(#REF!,"AAAAAE+9XSE=")</f>
        <v>#REF!</v>
      </c>
      <c r="AI367" t="e">
        <f>AND(#REF!,"AAAAAE+9XSI=")</f>
        <v>#REF!</v>
      </c>
      <c r="AJ367" t="e">
        <f>AND(#REF!,"AAAAAE+9XSM=")</f>
        <v>#REF!</v>
      </c>
      <c r="AK367" t="e">
        <f>AND(#REF!,"AAAAAE+9XSQ=")</f>
        <v>#REF!</v>
      </c>
      <c r="AL367" t="e">
        <f>AND(#REF!,"AAAAAE+9XSU=")</f>
        <v>#REF!</v>
      </c>
      <c r="AM367" t="e">
        <f>AND(#REF!,"AAAAAE+9XSY=")</f>
        <v>#REF!</v>
      </c>
      <c r="AN367" t="e">
        <f>IF(#REF!,"AAAAAE+9XSc=",0)</f>
        <v>#REF!</v>
      </c>
      <c r="AO367" t="e">
        <f>AND(#REF!,"AAAAAE+9XSg=")</f>
        <v>#REF!</v>
      </c>
      <c r="AP367" t="e">
        <f>AND(#REF!,"AAAAAE+9XSk=")</f>
        <v>#REF!</v>
      </c>
      <c r="AQ367" t="e">
        <f>AND(#REF!,"AAAAAE+9XSo=")</f>
        <v>#REF!</v>
      </c>
      <c r="AR367" t="e">
        <f>AND(#REF!,"AAAAAE+9XSs=")</f>
        <v>#REF!</v>
      </c>
      <c r="AS367" t="e">
        <f>AND(#REF!,"AAAAAE+9XSw=")</f>
        <v>#REF!</v>
      </c>
      <c r="AT367" t="e">
        <f>AND(#REF!,"AAAAAE+9XS0=")</f>
        <v>#REF!</v>
      </c>
      <c r="AU367" t="e">
        <f>AND(#REF!,"AAAAAE+9XS4=")</f>
        <v>#REF!</v>
      </c>
      <c r="AV367" t="e">
        <f>AND(#REF!,"AAAAAE+9XS8=")</f>
        <v>#REF!</v>
      </c>
      <c r="AW367" t="e">
        <f>AND(#REF!,"AAAAAE+9XTA=")</f>
        <v>#REF!</v>
      </c>
      <c r="AX367" t="e">
        <f>AND(#REF!,"AAAAAE+9XTE=")</f>
        <v>#REF!</v>
      </c>
      <c r="AY367" t="e">
        <f>AND(#REF!,"AAAAAE+9XTI=")</f>
        <v>#REF!</v>
      </c>
      <c r="AZ367" t="e">
        <f>AND(#REF!,"AAAAAE+9XTM=")</f>
        <v>#REF!</v>
      </c>
      <c r="BA367" t="e">
        <f>AND(#REF!,"AAAAAE+9XTQ=")</f>
        <v>#REF!</v>
      </c>
      <c r="BB367" t="e">
        <f>AND(#REF!,"AAAAAE+9XTU=")</f>
        <v>#REF!</v>
      </c>
      <c r="BC367" t="e">
        <f>AND(#REF!,"AAAAAE+9XTY=")</f>
        <v>#REF!</v>
      </c>
      <c r="BD367" t="e">
        <f>AND(#REF!,"AAAAAE+9XTc=")</f>
        <v>#REF!</v>
      </c>
      <c r="BE367" t="e">
        <f>AND(#REF!,"AAAAAE+9XTg=")</f>
        <v>#REF!</v>
      </c>
      <c r="BF367" t="e">
        <f>AND(#REF!,"AAAAAE+9XTk=")</f>
        <v>#REF!</v>
      </c>
      <c r="BG367" t="e">
        <f>AND(#REF!,"AAAAAE+9XTo=")</f>
        <v>#REF!</v>
      </c>
      <c r="BH367" t="e">
        <f>AND(#REF!,"AAAAAE+9XTs=")</f>
        <v>#REF!</v>
      </c>
      <c r="BI367" t="e">
        <f>AND(#REF!,"AAAAAE+9XTw=")</f>
        <v>#REF!</v>
      </c>
      <c r="BJ367" t="e">
        <f>AND(#REF!,"AAAAAE+9XT0=")</f>
        <v>#REF!</v>
      </c>
      <c r="BK367" t="e">
        <f>AND(#REF!,"AAAAAE+9XT4=")</f>
        <v>#REF!</v>
      </c>
      <c r="BL367" t="e">
        <f>AND(#REF!,"AAAAAE+9XT8=")</f>
        <v>#REF!</v>
      </c>
      <c r="BM367" t="e">
        <f>IF(#REF!,"AAAAAE+9XUA=",0)</f>
        <v>#REF!</v>
      </c>
      <c r="BN367" t="e">
        <f>AND(#REF!,"AAAAAE+9XUE=")</f>
        <v>#REF!</v>
      </c>
      <c r="BO367" t="e">
        <f>AND(#REF!,"AAAAAE+9XUI=")</f>
        <v>#REF!</v>
      </c>
      <c r="BP367" t="e">
        <f>AND(#REF!,"AAAAAE+9XUM=")</f>
        <v>#REF!</v>
      </c>
      <c r="BQ367" t="e">
        <f>AND(#REF!,"AAAAAE+9XUQ=")</f>
        <v>#REF!</v>
      </c>
      <c r="BR367" t="e">
        <f>AND(#REF!,"AAAAAE+9XUU=")</f>
        <v>#REF!</v>
      </c>
      <c r="BS367" t="e">
        <f>AND(#REF!,"AAAAAE+9XUY=")</f>
        <v>#REF!</v>
      </c>
      <c r="BT367" t="e">
        <f>AND(#REF!,"AAAAAE+9XUc=")</f>
        <v>#REF!</v>
      </c>
      <c r="BU367" t="e">
        <f>AND(#REF!,"AAAAAE+9XUg=")</f>
        <v>#REF!</v>
      </c>
      <c r="BV367" t="e">
        <f>AND(#REF!,"AAAAAE+9XUk=")</f>
        <v>#REF!</v>
      </c>
      <c r="BW367" t="e">
        <f>AND(#REF!,"AAAAAE+9XUo=")</f>
        <v>#REF!</v>
      </c>
      <c r="BX367" t="e">
        <f>AND(#REF!,"AAAAAE+9XUs=")</f>
        <v>#REF!</v>
      </c>
      <c r="BY367" t="e">
        <f>AND(#REF!,"AAAAAE+9XUw=")</f>
        <v>#REF!</v>
      </c>
      <c r="BZ367" t="e">
        <f>AND(#REF!,"AAAAAE+9XU0=")</f>
        <v>#REF!</v>
      </c>
      <c r="CA367" t="e">
        <f>AND(#REF!,"AAAAAE+9XU4=")</f>
        <v>#REF!</v>
      </c>
      <c r="CB367" t="e">
        <f>AND(#REF!,"AAAAAE+9XU8=")</f>
        <v>#REF!</v>
      </c>
      <c r="CC367" t="e">
        <f>AND(#REF!,"AAAAAE+9XVA=")</f>
        <v>#REF!</v>
      </c>
      <c r="CD367" t="e">
        <f>AND(#REF!,"AAAAAE+9XVE=")</f>
        <v>#REF!</v>
      </c>
      <c r="CE367" t="e">
        <f>AND(#REF!,"AAAAAE+9XVI=")</f>
        <v>#REF!</v>
      </c>
      <c r="CF367" t="e">
        <f>AND(#REF!,"AAAAAE+9XVM=")</f>
        <v>#REF!</v>
      </c>
      <c r="CG367" t="e">
        <f>AND(#REF!,"AAAAAE+9XVQ=")</f>
        <v>#REF!</v>
      </c>
      <c r="CH367" t="e">
        <f>AND(#REF!,"AAAAAE+9XVU=")</f>
        <v>#REF!</v>
      </c>
      <c r="CI367" t="e">
        <f>AND(#REF!,"AAAAAE+9XVY=")</f>
        <v>#REF!</v>
      </c>
      <c r="CJ367" t="e">
        <f>AND(#REF!,"AAAAAE+9XVc=")</f>
        <v>#REF!</v>
      </c>
      <c r="CK367" t="e">
        <f>AND(#REF!,"AAAAAE+9XVg=")</f>
        <v>#REF!</v>
      </c>
      <c r="CL367" t="e">
        <f>IF(#REF!,"AAAAAE+9XVk=",0)</f>
        <v>#REF!</v>
      </c>
      <c r="CM367" t="e">
        <f>AND(#REF!,"AAAAAE+9XVo=")</f>
        <v>#REF!</v>
      </c>
      <c r="CN367" t="e">
        <f>AND(#REF!,"AAAAAE+9XVs=")</f>
        <v>#REF!</v>
      </c>
      <c r="CO367" t="e">
        <f>AND(#REF!,"AAAAAE+9XVw=")</f>
        <v>#REF!</v>
      </c>
      <c r="CP367" t="e">
        <f>AND(#REF!,"AAAAAE+9XV0=")</f>
        <v>#REF!</v>
      </c>
      <c r="CQ367" t="e">
        <f>AND(#REF!,"AAAAAE+9XV4=")</f>
        <v>#REF!</v>
      </c>
      <c r="CR367" t="e">
        <f>AND(#REF!,"AAAAAE+9XV8=")</f>
        <v>#REF!</v>
      </c>
      <c r="CS367" t="e">
        <f>AND(#REF!,"AAAAAE+9XWA=")</f>
        <v>#REF!</v>
      </c>
      <c r="CT367" t="e">
        <f>AND(#REF!,"AAAAAE+9XWE=")</f>
        <v>#REF!</v>
      </c>
      <c r="CU367" t="e">
        <f>AND(#REF!,"AAAAAE+9XWI=")</f>
        <v>#REF!</v>
      </c>
      <c r="CV367" t="e">
        <f>AND(#REF!,"AAAAAE+9XWM=")</f>
        <v>#REF!</v>
      </c>
      <c r="CW367" t="e">
        <f>AND(#REF!,"AAAAAE+9XWQ=")</f>
        <v>#REF!</v>
      </c>
      <c r="CX367" t="e">
        <f>AND(#REF!,"AAAAAE+9XWU=")</f>
        <v>#REF!</v>
      </c>
      <c r="CY367" t="e">
        <f>AND(#REF!,"AAAAAE+9XWY=")</f>
        <v>#REF!</v>
      </c>
      <c r="CZ367" t="e">
        <f>AND(#REF!,"AAAAAE+9XWc=")</f>
        <v>#REF!</v>
      </c>
      <c r="DA367" t="e">
        <f>AND(#REF!,"AAAAAE+9XWg=")</f>
        <v>#REF!</v>
      </c>
      <c r="DB367" t="e">
        <f>AND(#REF!,"AAAAAE+9XWk=")</f>
        <v>#REF!</v>
      </c>
      <c r="DC367" t="e">
        <f>AND(#REF!,"AAAAAE+9XWo=")</f>
        <v>#REF!</v>
      </c>
      <c r="DD367" t="e">
        <f>AND(#REF!,"AAAAAE+9XWs=")</f>
        <v>#REF!</v>
      </c>
      <c r="DE367" t="e">
        <f>AND(#REF!,"AAAAAE+9XWw=")</f>
        <v>#REF!</v>
      </c>
      <c r="DF367" t="e">
        <f>AND(#REF!,"AAAAAE+9XW0=")</f>
        <v>#REF!</v>
      </c>
      <c r="DG367" t="e">
        <f>AND(#REF!,"AAAAAE+9XW4=")</f>
        <v>#REF!</v>
      </c>
      <c r="DH367" t="e">
        <f>AND(#REF!,"AAAAAE+9XW8=")</f>
        <v>#REF!</v>
      </c>
      <c r="DI367" t="e">
        <f>AND(#REF!,"AAAAAE+9XXA=")</f>
        <v>#REF!</v>
      </c>
      <c r="DJ367" t="e">
        <f>AND(#REF!,"AAAAAE+9XXE=")</f>
        <v>#REF!</v>
      </c>
      <c r="DK367" t="e">
        <f>IF(#REF!,"AAAAAE+9XXI=",0)</f>
        <v>#REF!</v>
      </c>
      <c r="DL367" t="e">
        <f>AND(#REF!,"AAAAAE+9XXM=")</f>
        <v>#REF!</v>
      </c>
      <c r="DM367" t="e">
        <f>AND(#REF!,"AAAAAE+9XXQ=")</f>
        <v>#REF!</v>
      </c>
      <c r="DN367" t="e">
        <f>AND(#REF!,"AAAAAE+9XXU=")</f>
        <v>#REF!</v>
      </c>
      <c r="DO367" t="e">
        <f>AND(#REF!,"AAAAAE+9XXY=")</f>
        <v>#REF!</v>
      </c>
      <c r="DP367" t="e">
        <f>AND(#REF!,"AAAAAE+9XXc=")</f>
        <v>#REF!</v>
      </c>
      <c r="DQ367" t="e">
        <f>AND(#REF!,"AAAAAE+9XXg=")</f>
        <v>#REF!</v>
      </c>
      <c r="DR367" t="e">
        <f>AND(#REF!,"AAAAAE+9XXk=")</f>
        <v>#REF!</v>
      </c>
      <c r="DS367" t="e">
        <f>AND(#REF!,"AAAAAE+9XXo=")</f>
        <v>#REF!</v>
      </c>
      <c r="DT367" t="e">
        <f>AND(#REF!,"AAAAAE+9XXs=")</f>
        <v>#REF!</v>
      </c>
      <c r="DU367" t="e">
        <f>AND(#REF!,"AAAAAE+9XXw=")</f>
        <v>#REF!</v>
      </c>
      <c r="DV367" t="e">
        <f>AND(#REF!,"AAAAAE+9XX0=")</f>
        <v>#REF!</v>
      </c>
      <c r="DW367" t="e">
        <f>AND(#REF!,"AAAAAE+9XX4=")</f>
        <v>#REF!</v>
      </c>
      <c r="DX367" t="e">
        <f>AND(#REF!,"AAAAAE+9XX8=")</f>
        <v>#REF!</v>
      </c>
      <c r="DY367" t="e">
        <f>AND(#REF!,"AAAAAE+9XYA=")</f>
        <v>#REF!</v>
      </c>
      <c r="DZ367" t="e">
        <f>AND(#REF!,"AAAAAE+9XYE=")</f>
        <v>#REF!</v>
      </c>
      <c r="EA367" t="e">
        <f>AND(#REF!,"AAAAAE+9XYI=")</f>
        <v>#REF!</v>
      </c>
      <c r="EB367" t="e">
        <f>AND(#REF!,"AAAAAE+9XYM=")</f>
        <v>#REF!</v>
      </c>
      <c r="EC367" t="e">
        <f>AND(#REF!,"AAAAAE+9XYQ=")</f>
        <v>#REF!</v>
      </c>
      <c r="ED367" t="e">
        <f>AND(#REF!,"AAAAAE+9XYU=")</f>
        <v>#REF!</v>
      </c>
      <c r="EE367" t="e">
        <f>AND(#REF!,"AAAAAE+9XYY=")</f>
        <v>#REF!</v>
      </c>
      <c r="EF367" t="e">
        <f>AND(#REF!,"AAAAAE+9XYc=")</f>
        <v>#REF!</v>
      </c>
      <c r="EG367" t="e">
        <f>AND(#REF!,"AAAAAE+9XYg=")</f>
        <v>#REF!</v>
      </c>
      <c r="EH367" t="e">
        <f>AND(#REF!,"AAAAAE+9XYk=")</f>
        <v>#REF!</v>
      </c>
      <c r="EI367" t="e">
        <f>AND(#REF!,"AAAAAE+9XYo=")</f>
        <v>#REF!</v>
      </c>
      <c r="EJ367" t="e">
        <f>IF(#REF!,"AAAAAE+9XYs=",0)</f>
        <v>#REF!</v>
      </c>
      <c r="EK367" t="e">
        <f>AND(#REF!,"AAAAAE+9XYw=")</f>
        <v>#REF!</v>
      </c>
      <c r="EL367" t="e">
        <f>AND(#REF!,"AAAAAE+9XY0=")</f>
        <v>#REF!</v>
      </c>
      <c r="EM367" t="e">
        <f>AND(#REF!,"AAAAAE+9XY4=")</f>
        <v>#REF!</v>
      </c>
      <c r="EN367" t="e">
        <f>AND(#REF!,"AAAAAE+9XY8=")</f>
        <v>#REF!</v>
      </c>
      <c r="EO367" t="e">
        <f>AND(#REF!,"AAAAAE+9XZA=")</f>
        <v>#REF!</v>
      </c>
      <c r="EP367" t="e">
        <f>AND(#REF!,"AAAAAE+9XZE=")</f>
        <v>#REF!</v>
      </c>
      <c r="EQ367" t="e">
        <f>AND(#REF!,"AAAAAE+9XZI=")</f>
        <v>#REF!</v>
      </c>
      <c r="ER367" t="e">
        <f>AND(#REF!,"AAAAAE+9XZM=")</f>
        <v>#REF!</v>
      </c>
      <c r="ES367" t="e">
        <f>AND(#REF!,"AAAAAE+9XZQ=")</f>
        <v>#REF!</v>
      </c>
      <c r="ET367" t="e">
        <f>AND(#REF!,"AAAAAE+9XZU=")</f>
        <v>#REF!</v>
      </c>
      <c r="EU367" t="e">
        <f>AND(#REF!,"AAAAAE+9XZY=")</f>
        <v>#REF!</v>
      </c>
      <c r="EV367" t="e">
        <f>AND(#REF!,"AAAAAE+9XZc=")</f>
        <v>#REF!</v>
      </c>
      <c r="EW367" t="e">
        <f>AND(#REF!,"AAAAAE+9XZg=")</f>
        <v>#REF!</v>
      </c>
      <c r="EX367" t="e">
        <f>AND(#REF!,"AAAAAE+9XZk=")</f>
        <v>#REF!</v>
      </c>
      <c r="EY367" t="e">
        <f>AND(#REF!,"AAAAAE+9XZo=")</f>
        <v>#REF!</v>
      </c>
      <c r="EZ367" t="e">
        <f>AND(#REF!,"AAAAAE+9XZs=")</f>
        <v>#REF!</v>
      </c>
      <c r="FA367" t="e">
        <f>AND(#REF!,"AAAAAE+9XZw=")</f>
        <v>#REF!</v>
      </c>
      <c r="FB367" t="e">
        <f>AND(#REF!,"AAAAAE+9XZ0=")</f>
        <v>#REF!</v>
      </c>
      <c r="FC367" t="e">
        <f>AND(#REF!,"AAAAAE+9XZ4=")</f>
        <v>#REF!</v>
      </c>
      <c r="FD367" t="e">
        <f>AND(#REF!,"AAAAAE+9XZ8=")</f>
        <v>#REF!</v>
      </c>
      <c r="FE367" t="e">
        <f>AND(#REF!,"AAAAAE+9XaA=")</f>
        <v>#REF!</v>
      </c>
      <c r="FF367" t="e">
        <f>AND(#REF!,"AAAAAE+9XaE=")</f>
        <v>#REF!</v>
      </c>
      <c r="FG367" t="e">
        <f>AND(#REF!,"AAAAAE+9XaI=")</f>
        <v>#REF!</v>
      </c>
      <c r="FH367" t="e">
        <f>AND(#REF!,"AAAAAE+9XaM=")</f>
        <v>#REF!</v>
      </c>
      <c r="FI367" t="e">
        <f>IF(#REF!,"AAAAAE+9XaQ=",0)</f>
        <v>#REF!</v>
      </c>
      <c r="FJ367" t="e">
        <f>AND(#REF!,"AAAAAE+9XaU=")</f>
        <v>#REF!</v>
      </c>
      <c r="FK367" t="e">
        <f>AND(#REF!,"AAAAAE+9XaY=")</f>
        <v>#REF!</v>
      </c>
      <c r="FL367" t="e">
        <f>AND(#REF!,"AAAAAE+9Xac=")</f>
        <v>#REF!</v>
      </c>
      <c r="FM367" t="e">
        <f>AND(#REF!,"AAAAAE+9Xag=")</f>
        <v>#REF!</v>
      </c>
      <c r="FN367" t="e">
        <f>AND(#REF!,"AAAAAE+9Xak=")</f>
        <v>#REF!</v>
      </c>
      <c r="FO367" t="e">
        <f>AND(#REF!,"AAAAAE+9Xao=")</f>
        <v>#REF!</v>
      </c>
      <c r="FP367" t="e">
        <f>AND(#REF!,"AAAAAE+9Xas=")</f>
        <v>#REF!</v>
      </c>
      <c r="FQ367" t="e">
        <f>AND(#REF!,"AAAAAE+9Xaw=")</f>
        <v>#REF!</v>
      </c>
      <c r="FR367" t="e">
        <f>AND(#REF!,"AAAAAE+9Xa0=")</f>
        <v>#REF!</v>
      </c>
      <c r="FS367" t="e">
        <f>AND(#REF!,"AAAAAE+9Xa4=")</f>
        <v>#REF!</v>
      </c>
      <c r="FT367" t="e">
        <f>AND(#REF!,"AAAAAE+9Xa8=")</f>
        <v>#REF!</v>
      </c>
      <c r="FU367" t="e">
        <f>AND(#REF!,"AAAAAE+9XbA=")</f>
        <v>#REF!</v>
      </c>
      <c r="FV367" t="e">
        <f>AND(#REF!,"AAAAAE+9XbE=")</f>
        <v>#REF!</v>
      </c>
      <c r="FW367" t="e">
        <f>AND(#REF!,"AAAAAE+9XbI=")</f>
        <v>#REF!</v>
      </c>
      <c r="FX367" t="e">
        <f>AND(#REF!,"AAAAAE+9XbM=")</f>
        <v>#REF!</v>
      </c>
      <c r="FY367" t="e">
        <f>AND(#REF!,"AAAAAE+9XbQ=")</f>
        <v>#REF!</v>
      </c>
      <c r="FZ367" t="e">
        <f>AND(#REF!,"AAAAAE+9XbU=")</f>
        <v>#REF!</v>
      </c>
      <c r="GA367" t="e">
        <f>AND(#REF!,"AAAAAE+9XbY=")</f>
        <v>#REF!</v>
      </c>
      <c r="GB367" t="e">
        <f>AND(#REF!,"AAAAAE+9Xbc=")</f>
        <v>#REF!</v>
      </c>
      <c r="GC367" t="e">
        <f>AND(#REF!,"AAAAAE+9Xbg=")</f>
        <v>#REF!</v>
      </c>
      <c r="GD367" t="e">
        <f>AND(#REF!,"AAAAAE+9Xbk=")</f>
        <v>#REF!</v>
      </c>
      <c r="GE367" t="e">
        <f>AND(#REF!,"AAAAAE+9Xbo=")</f>
        <v>#REF!</v>
      </c>
      <c r="GF367" t="e">
        <f>AND(#REF!,"AAAAAE+9Xbs=")</f>
        <v>#REF!</v>
      </c>
      <c r="GG367" t="e">
        <f>AND(#REF!,"AAAAAE+9Xbw=")</f>
        <v>#REF!</v>
      </c>
      <c r="GH367" t="e">
        <f>IF(#REF!,"AAAAAE+9Xb0=",0)</f>
        <v>#REF!</v>
      </c>
      <c r="GI367" t="e">
        <f>AND(#REF!,"AAAAAE+9Xb4=")</f>
        <v>#REF!</v>
      </c>
      <c r="GJ367" t="e">
        <f>AND(#REF!,"AAAAAE+9Xb8=")</f>
        <v>#REF!</v>
      </c>
      <c r="GK367" t="e">
        <f>AND(#REF!,"AAAAAE+9XcA=")</f>
        <v>#REF!</v>
      </c>
      <c r="GL367" t="e">
        <f>AND(#REF!,"AAAAAE+9XcE=")</f>
        <v>#REF!</v>
      </c>
      <c r="GM367" t="e">
        <f>AND(#REF!,"AAAAAE+9XcI=")</f>
        <v>#REF!</v>
      </c>
      <c r="GN367" t="e">
        <f>AND(#REF!,"AAAAAE+9XcM=")</f>
        <v>#REF!</v>
      </c>
      <c r="GO367" t="e">
        <f>AND(#REF!,"AAAAAE+9XcQ=")</f>
        <v>#REF!</v>
      </c>
      <c r="GP367" t="e">
        <f>AND(#REF!,"AAAAAE+9XcU=")</f>
        <v>#REF!</v>
      </c>
      <c r="GQ367" t="e">
        <f>AND(#REF!,"AAAAAE+9XcY=")</f>
        <v>#REF!</v>
      </c>
      <c r="GR367" t="e">
        <f>AND(#REF!,"AAAAAE+9Xcc=")</f>
        <v>#REF!</v>
      </c>
      <c r="GS367" t="e">
        <f>AND(#REF!,"AAAAAE+9Xcg=")</f>
        <v>#REF!</v>
      </c>
      <c r="GT367" t="e">
        <f>AND(#REF!,"AAAAAE+9Xck=")</f>
        <v>#REF!</v>
      </c>
      <c r="GU367" t="e">
        <f>AND(#REF!,"AAAAAE+9Xco=")</f>
        <v>#REF!</v>
      </c>
      <c r="GV367" t="e">
        <f>AND(#REF!,"AAAAAE+9Xcs=")</f>
        <v>#REF!</v>
      </c>
      <c r="GW367" t="e">
        <f>AND(#REF!,"AAAAAE+9Xcw=")</f>
        <v>#REF!</v>
      </c>
      <c r="GX367" t="e">
        <f>AND(#REF!,"AAAAAE+9Xc0=")</f>
        <v>#REF!</v>
      </c>
      <c r="GY367" t="e">
        <f>AND(#REF!,"AAAAAE+9Xc4=")</f>
        <v>#REF!</v>
      </c>
      <c r="GZ367" t="e">
        <f>AND(#REF!,"AAAAAE+9Xc8=")</f>
        <v>#REF!</v>
      </c>
      <c r="HA367" t="e">
        <f>AND(#REF!,"AAAAAE+9XdA=")</f>
        <v>#REF!</v>
      </c>
      <c r="HB367" t="e">
        <f>AND(#REF!,"AAAAAE+9XdE=")</f>
        <v>#REF!</v>
      </c>
      <c r="HC367" t="e">
        <f>AND(#REF!,"AAAAAE+9XdI=")</f>
        <v>#REF!</v>
      </c>
      <c r="HD367" t="e">
        <f>AND(#REF!,"AAAAAE+9XdM=")</f>
        <v>#REF!</v>
      </c>
      <c r="HE367" t="e">
        <f>AND(#REF!,"AAAAAE+9XdQ=")</f>
        <v>#REF!</v>
      </c>
      <c r="HF367" t="e">
        <f>AND(#REF!,"AAAAAE+9XdU=")</f>
        <v>#REF!</v>
      </c>
      <c r="HG367" t="e">
        <f>IF(#REF!,"AAAAAE+9XdY=",0)</f>
        <v>#REF!</v>
      </c>
      <c r="HH367" t="e">
        <f>AND(#REF!,"AAAAAE+9Xdc=")</f>
        <v>#REF!</v>
      </c>
      <c r="HI367" t="e">
        <f>AND(#REF!,"AAAAAE+9Xdg=")</f>
        <v>#REF!</v>
      </c>
      <c r="HJ367" t="e">
        <f>AND(#REF!,"AAAAAE+9Xdk=")</f>
        <v>#REF!</v>
      </c>
      <c r="HK367" t="e">
        <f>AND(#REF!,"AAAAAE+9Xdo=")</f>
        <v>#REF!</v>
      </c>
      <c r="HL367" t="e">
        <f>AND(#REF!,"AAAAAE+9Xds=")</f>
        <v>#REF!</v>
      </c>
      <c r="HM367" t="e">
        <f>AND(#REF!,"AAAAAE+9Xdw=")</f>
        <v>#REF!</v>
      </c>
      <c r="HN367" t="e">
        <f>AND(#REF!,"AAAAAE+9Xd0=")</f>
        <v>#REF!</v>
      </c>
      <c r="HO367" t="e">
        <f>AND(#REF!,"AAAAAE+9Xd4=")</f>
        <v>#REF!</v>
      </c>
      <c r="HP367" t="e">
        <f>AND(#REF!,"AAAAAE+9Xd8=")</f>
        <v>#REF!</v>
      </c>
      <c r="HQ367" t="e">
        <f>AND(#REF!,"AAAAAE+9XeA=")</f>
        <v>#REF!</v>
      </c>
      <c r="HR367" t="e">
        <f>AND(#REF!,"AAAAAE+9XeE=")</f>
        <v>#REF!</v>
      </c>
      <c r="HS367" t="e">
        <f>AND(#REF!,"AAAAAE+9XeI=")</f>
        <v>#REF!</v>
      </c>
      <c r="HT367" t="e">
        <f>AND(#REF!,"AAAAAE+9XeM=")</f>
        <v>#REF!</v>
      </c>
      <c r="HU367" t="e">
        <f>AND(#REF!,"AAAAAE+9XeQ=")</f>
        <v>#REF!</v>
      </c>
      <c r="HV367" t="e">
        <f>AND(#REF!,"AAAAAE+9XeU=")</f>
        <v>#REF!</v>
      </c>
      <c r="HW367" t="e">
        <f>AND(#REF!,"AAAAAE+9XeY=")</f>
        <v>#REF!</v>
      </c>
      <c r="HX367" t="e">
        <f>AND(#REF!,"AAAAAE+9Xec=")</f>
        <v>#REF!</v>
      </c>
      <c r="HY367" t="e">
        <f>AND(#REF!,"AAAAAE+9Xeg=")</f>
        <v>#REF!</v>
      </c>
      <c r="HZ367" t="e">
        <f>AND(#REF!,"AAAAAE+9Xek=")</f>
        <v>#REF!</v>
      </c>
      <c r="IA367" t="e">
        <f>AND(#REF!,"AAAAAE+9Xeo=")</f>
        <v>#REF!</v>
      </c>
      <c r="IB367" t="e">
        <f>AND(#REF!,"AAAAAE+9Xes=")</f>
        <v>#REF!</v>
      </c>
      <c r="IC367" t="e">
        <f>AND(#REF!,"AAAAAE+9Xew=")</f>
        <v>#REF!</v>
      </c>
      <c r="ID367" t="e">
        <f>AND(#REF!,"AAAAAE+9Xe0=")</f>
        <v>#REF!</v>
      </c>
      <c r="IE367" t="e">
        <f>AND(#REF!,"AAAAAE+9Xe4=")</f>
        <v>#REF!</v>
      </c>
      <c r="IF367" t="e">
        <f>IF(#REF!,"AAAAAE+9Xe8=",0)</f>
        <v>#REF!</v>
      </c>
      <c r="IG367" t="e">
        <f>AND(#REF!,"AAAAAE+9XfA=")</f>
        <v>#REF!</v>
      </c>
      <c r="IH367" t="e">
        <f>AND(#REF!,"AAAAAE+9XfE=")</f>
        <v>#REF!</v>
      </c>
      <c r="II367" t="e">
        <f>AND(#REF!,"AAAAAE+9XfI=")</f>
        <v>#REF!</v>
      </c>
      <c r="IJ367" t="e">
        <f>AND(#REF!,"AAAAAE+9XfM=")</f>
        <v>#REF!</v>
      </c>
      <c r="IK367" t="e">
        <f>AND(#REF!,"AAAAAE+9XfQ=")</f>
        <v>#REF!</v>
      </c>
      <c r="IL367" t="e">
        <f>AND(#REF!,"AAAAAE+9XfU=")</f>
        <v>#REF!</v>
      </c>
      <c r="IM367" t="e">
        <f>AND(#REF!,"AAAAAE+9XfY=")</f>
        <v>#REF!</v>
      </c>
      <c r="IN367" t="e">
        <f>AND(#REF!,"AAAAAE+9Xfc=")</f>
        <v>#REF!</v>
      </c>
      <c r="IO367" t="e">
        <f>AND(#REF!,"AAAAAE+9Xfg=")</f>
        <v>#REF!</v>
      </c>
      <c r="IP367" t="e">
        <f>AND(#REF!,"AAAAAE+9Xfk=")</f>
        <v>#REF!</v>
      </c>
      <c r="IQ367" t="e">
        <f>AND(#REF!,"AAAAAE+9Xfo=")</f>
        <v>#REF!</v>
      </c>
      <c r="IR367" t="e">
        <f>AND(#REF!,"AAAAAE+9Xfs=")</f>
        <v>#REF!</v>
      </c>
      <c r="IS367" t="e">
        <f>AND(#REF!,"AAAAAE+9Xfw=")</f>
        <v>#REF!</v>
      </c>
      <c r="IT367" t="e">
        <f>AND(#REF!,"AAAAAE+9Xf0=")</f>
        <v>#REF!</v>
      </c>
      <c r="IU367" t="e">
        <f>AND(#REF!,"AAAAAE+9Xf4=")</f>
        <v>#REF!</v>
      </c>
      <c r="IV367" t="e">
        <f>AND(#REF!,"AAAAAE+9Xf8=")</f>
        <v>#REF!</v>
      </c>
    </row>
    <row r="368" spans="1:256">
      <c r="A368" t="e">
        <f>AND(#REF!,"AAAAAH9T9gA=")</f>
        <v>#REF!</v>
      </c>
      <c r="B368" t="e">
        <f>AND(#REF!,"AAAAAH9T9gE=")</f>
        <v>#REF!</v>
      </c>
      <c r="C368" t="e">
        <f>AND(#REF!,"AAAAAH9T9gI=")</f>
        <v>#REF!</v>
      </c>
      <c r="D368" t="e">
        <f>AND(#REF!,"AAAAAH9T9gM=")</f>
        <v>#REF!</v>
      </c>
      <c r="E368" t="e">
        <f>AND(#REF!,"AAAAAH9T9gQ=")</f>
        <v>#REF!</v>
      </c>
      <c r="F368" t="e">
        <f>AND(#REF!,"AAAAAH9T9gU=")</f>
        <v>#REF!</v>
      </c>
      <c r="G368" t="e">
        <f>AND(#REF!,"AAAAAH9T9gY=")</f>
        <v>#REF!</v>
      </c>
      <c r="H368" t="e">
        <f>AND(#REF!,"AAAAAH9T9gc=")</f>
        <v>#REF!</v>
      </c>
      <c r="I368" t="e">
        <f>IF(#REF!,"AAAAAH9T9gg=",0)</f>
        <v>#REF!</v>
      </c>
      <c r="J368" t="e">
        <f>AND(#REF!,"AAAAAH9T9gk=")</f>
        <v>#REF!</v>
      </c>
      <c r="K368" t="e">
        <f>AND(#REF!,"AAAAAH9T9go=")</f>
        <v>#REF!</v>
      </c>
      <c r="L368" t="e">
        <f>AND(#REF!,"AAAAAH9T9gs=")</f>
        <v>#REF!</v>
      </c>
      <c r="M368" t="e">
        <f>AND(#REF!,"AAAAAH9T9gw=")</f>
        <v>#REF!</v>
      </c>
      <c r="N368" t="e">
        <f>AND(#REF!,"AAAAAH9T9g0=")</f>
        <v>#REF!</v>
      </c>
      <c r="O368" t="e">
        <f>AND(#REF!,"AAAAAH9T9g4=")</f>
        <v>#REF!</v>
      </c>
      <c r="P368" t="e">
        <f>AND(#REF!,"AAAAAH9T9g8=")</f>
        <v>#REF!</v>
      </c>
      <c r="Q368" t="e">
        <f>AND(#REF!,"AAAAAH9T9hA=")</f>
        <v>#REF!</v>
      </c>
      <c r="R368" t="e">
        <f>AND(#REF!,"AAAAAH9T9hE=")</f>
        <v>#REF!</v>
      </c>
      <c r="S368" t="e">
        <f>AND(#REF!,"AAAAAH9T9hI=")</f>
        <v>#REF!</v>
      </c>
      <c r="T368" t="e">
        <f>AND(#REF!,"AAAAAH9T9hM=")</f>
        <v>#REF!</v>
      </c>
      <c r="U368" t="e">
        <f>AND(#REF!,"AAAAAH9T9hQ=")</f>
        <v>#REF!</v>
      </c>
      <c r="V368" t="e">
        <f>AND(#REF!,"AAAAAH9T9hU=")</f>
        <v>#REF!</v>
      </c>
      <c r="W368" t="e">
        <f>AND(#REF!,"AAAAAH9T9hY=")</f>
        <v>#REF!</v>
      </c>
      <c r="X368" t="e">
        <f>AND(#REF!,"AAAAAH9T9hc=")</f>
        <v>#REF!</v>
      </c>
      <c r="Y368" t="e">
        <f>AND(#REF!,"AAAAAH9T9hg=")</f>
        <v>#REF!</v>
      </c>
      <c r="Z368" t="e">
        <f>AND(#REF!,"AAAAAH9T9hk=")</f>
        <v>#REF!</v>
      </c>
      <c r="AA368" t="e">
        <f>AND(#REF!,"AAAAAH9T9ho=")</f>
        <v>#REF!</v>
      </c>
      <c r="AB368" t="e">
        <f>AND(#REF!,"AAAAAH9T9hs=")</f>
        <v>#REF!</v>
      </c>
      <c r="AC368" t="e">
        <f>AND(#REF!,"AAAAAH9T9hw=")</f>
        <v>#REF!</v>
      </c>
      <c r="AD368" t="e">
        <f>AND(#REF!,"AAAAAH9T9h0=")</f>
        <v>#REF!</v>
      </c>
      <c r="AE368" t="e">
        <f>AND(#REF!,"AAAAAH9T9h4=")</f>
        <v>#REF!</v>
      </c>
      <c r="AF368" t="e">
        <f>AND(#REF!,"AAAAAH9T9h8=")</f>
        <v>#REF!</v>
      </c>
      <c r="AG368" t="e">
        <f>AND(#REF!,"AAAAAH9T9iA=")</f>
        <v>#REF!</v>
      </c>
      <c r="AH368" t="e">
        <f>IF(#REF!,"AAAAAH9T9iE=",0)</f>
        <v>#REF!</v>
      </c>
      <c r="AI368" t="e">
        <f>AND(#REF!,"AAAAAH9T9iI=")</f>
        <v>#REF!</v>
      </c>
      <c r="AJ368" t="e">
        <f>AND(#REF!,"AAAAAH9T9iM=")</f>
        <v>#REF!</v>
      </c>
      <c r="AK368" t="e">
        <f>AND(#REF!,"AAAAAH9T9iQ=")</f>
        <v>#REF!</v>
      </c>
      <c r="AL368" t="e">
        <f>AND(#REF!,"AAAAAH9T9iU=")</f>
        <v>#REF!</v>
      </c>
      <c r="AM368" t="e">
        <f>AND(#REF!,"AAAAAH9T9iY=")</f>
        <v>#REF!</v>
      </c>
      <c r="AN368" t="e">
        <f>AND(#REF!,"AAAAAH9T9ic=")</f>
        <v>#REF!</v>
      </c>
      <c r="AO368" t="e">
        <f>AND(#REF!,"AAAAAH9T9ig=")</f>
        <v>#REF!</v>
      </c>
      <c r="AP368" t="e">
        <f>AND(#REF!,"AAAAAH9T9ik=")</f>
        <v>#REF!</v>
      </c>
      <c r="AQ368" t="e">
        <f>AND(#REF!,"AAAAAH9T9io=")</f>
        <v>#REF!</v>
      </c>
      <c r="AR368" t="e">
        <f>AND(#REF!,"AAAAAH9T9is=")</f>
        <v>#REF!</v>
      </c>
      <c r="AS368" t="e">
        <f>AND(#REF!,"AAAAAH9T9iw=")</f>
        <v>#REF!</v>
      </c>
      <c r="AT368" t="e">
        <f>AND(#REF!,"AAAAAH9T9i0=")</f>
        <v>#REF!</v>
      </c>
      <c r="AU368" t="e">
        <f>AND(#REF!,"AAAAAH9T9i4=")</f>
        <v>#REF!</v>
      </c>
      <c r="AV368" t="e">
        <f>AND(#REF!,"AAAAAH9T9i8=")</f>
        <v>#REF!</v>
      </c>
      <c r="AW368" t="e">
        <f>AND(#REF!,"AAAAAH9T9jA=")</f>
        <v>#REF!</v>
      </c>
      <c r="AX368" t="e">
        <f>AND(#REF!,"AAAAAH9T9jE=")</f>
        <v>#REF!</v>
      </c>
      <c r="AY368" t="e">
        <f>AND(#REF!,"AAAAAH9T9jI=")</f>
        <v>#REF!</v>
      </c>
      <c r="AZ368" t="e">
        <f>AND(#REF!,"AAAAAH9T9jM=")</f>
        <v>#REF!</v>
      </c>
      <c r="BA368" t="e">
        <f>AND(#REF!,"AAAAAH9T9jQ=")</f>
        <v>#REF!</v>
      </c>
      <c r="BB368" t="e">
        <f>AND(#REF!,"AAAAAH9T9jU=")</f>
        <v>#REF!</v>
      </c>
      <c r="BC368" t="e">
        <f>AND(#REF!,"AAAAAH9T9jY=")</f>
        <v>#REF!</v>
      </c>
      <c r="BD368" t="e">
        <f>AND(#REF!,"AAAAAH9T9jc=")</f>
        <v>#REF!</v>
      </c>
      <c r="BE368" t="e">
        <f>AND(#REF!,"AAAAAH9T9jg=")</f>
        <v>#REF!</v>
      </c>
      <c r="BF368" t="e">
        <f>AND(#REF!,"AAAAAH9T9jk=")</f>
        <v>#REF!</v>
      </c>
      <c r="BG368" t="e">
        <f>IF(#REF!,"AAAAAH9T9jo=",0)</f>
        <v>#REF!</v>
      </c>
      <c r="BH368" t="e">
        <f>AND(#REF!,"AAAAAH9T9js=")</f>
        <v>#REF!</v>
      </c>
      <c r="BI368" t="e">
        <f>AND(#REF!,"AAAAAH9T9jw=")</f>
        <v>#REF!</v>
      </c>
      <c r="BJ368" t="e">
        <f>AND(#REF!,"AAAAAH9T9j0=")</f>
        <v>#REF!</v>
      </c>
      <c r="BK368" t="e">
        <f>AND(#REF!,"AAAAAH9T9j4=")</f>
        <v>#REF!</v>
      </c>
      <c r="BL368" t="e">
        <f>AND(#REF!,"AAAAAH9T9j8=")</f>
        <v>#REF!</v>
      </c>
      <c r="BM368" t="e">
        <f>AND(#REF!,"AAAAAH9T9kA=")</f>
        <v>#REF!</v>
      </c>
      <c r="BN368" t="e">
        <f>AND(#REF!,"AAAAAH9T9kE=")</f>
        <v>#REF!</v>
      </c>
      <c r="BO368" t="e">
        <f>AND(#REF!,"AAAAAH9T9kI=")</f>
        <v>#REF!</v>
      </c>
      <c r="BP368" t="e">
        <f>AND(#REF!,"AAAAAH9T9kM=")</f>
        <v>#REF!</v>
      </c>
      <c r="BQ368" t="e">
        <f>AND(#REF!,"AAAAAH9T9kQ=")</f>
        <v>#REF!</v>
      </c>
      <c r="BR368" t="e">
        <f>AND(#REF!,"AAAAAH9T9kU=")</f>
        <v>#REF!</v>
      </c>
      <c r="BS368" t="e">
        <f>AND(#REF!,"AAAAAH9T9kY=")</f>
        <v>#REF!</v>
      </c>
      <c r="BT368" t="e">
        <f>AND(#REF!,"AAAAAH9T9kc=")</f>
        <v>#REF!</v>
      </c>
      <c r="BU368" t="e">
        <f>AND(#REF!,"AAAAAH9T9kg=")</f>
        <v>#REF!</v>
      </c>
      <c r="BV368" t="e">
        <f>AND(#REF!,"AAAAAH9T9kk=")</f>
        <v>#REF!</v>
      </c>
      <c r="BW368" t="e">
        <f>AND(#REF!,"AAAAAH9T9ko=")</f>
        <v>#REF!</v>
      </c>
      <c r="BX368" t="e">
        <f>AND(#REF!,"AAAAAH9T9ks=")</f>
        <v>#REF!</v>
      </c>
      <c r="BY368" t="e">
        <f>AND(#REF!,"AAAAAH9T9kw=")</f>
        <v>#REF!</v>
      </c>
      <c r="BZ368" t="e">
        <f>AND(#REF!,"AAAAAH9T9k0=")</f>
        <v>#REF!</v>
      </c>
      <c r="CA368" t="e">
        <f>AND(#REF!,"AAAAAH9T9k4=")</f>
        <v>#REF!</v>
      </c>
      <c r="CB368" t="e">
        <f>AND(#REF!,"AAAAAH9T9k8=")</f>
        <v>#REF!</v>
      </c>
      <c r="CC368" t="e">
        <f>AND(#REF!,"AAAAAH9T9lA=")</f>
        <v>#REF!</v>
      </c>
      <c r="CD368" t="e">
        <f>AND(#REF!,"AAAAAH9T9lE=")</f>
        <v>#REF!</v>
      </c>
      <c r="CE368" t="e">
        <f>AND(#REF!,"AAAAAH9T9lI=")</f>
        <v>#REF!</v>
      </c>
      <c r="CF368" t="e">
        <f>IF(#REF!,"AAAAAH9T9lM=",0)</f>
        <v>#REF!</v>
      </c>
      <c r="CG368" t="e">
        <f>AND(#REF!,"AAAAAH9T9lQ=")</f>
        <v>#REF!</v>
      </c>
      <c r="CH368" t="e">
        <f>AND(#REF!,"AAAAAH9T9lU=")</f>
        <v>#REF!</v>
      </c>
      <c r="CI368" t="e">
        <f>AND(#REF!,"AAAAAH9T9lY=")</f>
        <v>#REF!</v>
      </c>
      <c r="CJ368" t="e">
        <f>AND(#REF!,"AAAAAH9T9lc=")</f>
        <v>#REF!</v>
      </c>
      <c r="CK368" t="e">
        <f>AND(#REF!,"AAAAAH9T9lg=")</f>
        <v>#REF!</v>
      </c>
      <c r="CL368" t="e">
        <f>AND(#REF!,"AAAAAH9T9lk=")</f>
        <v>#REF!</v>
      </c>
      <c r="CM368" t="e">
        <f>AND(#REF!,"AAAAAH9T9lo=")</f>
        <v>#REF!</v>
      </c>
      <c r="CN368" t="e">
        <f>AND(#REF!,"AAAAAH9T9ls=")</f>
        <v>#REF!</v>
      </c>
      <c r="CO368" t="e">
        <f>AND(#REF!,"AAAAAH9T9lw=")</f>
        <v>#REF!</v>
      </c>
      <c r="CP368" t="e">
        <f>AND(#REF!,"AAAAAH9T9l0=")</f>
        <v>#REF!</v>
      </c>
      <c r="CQ368" t="e">
        <f>AND(#REF!,"AAAAAH9T9l4=")</f>
        <v>#REF!</v>
      </c>
      <c r="CR368" t="e">
        <f>AND(#REF!,"AAAAAH9T9l8=")</f>
        <v>#REF!</v>
      </c>
      <c r="CS368" t="e">
        <f>AND(#REF!,"AAAAAH9T9mA=")</f>
        <v>#REF!</v>
      </c>
      <c r="CT368" t="e">
        <f>AND(#REF!,"AAAAAH9T9mE=")</f>
        <v>#REF!</v>
      </c>
      <c r="CU368" t="e">
        <f>AND(#REF!,"AAAAAH9T9mI=")</f>
        <v>#REF!</v>
      </c>
      <c r="CV368" t="e">
        <f>AND(#REF!,"AAAAAH9T9mM=")</f>
        <v>#REF!</v>
      </c>
      <c r="CW368" t="e">
        <f>AND(#REF!,"AAAAAH9T9mQ=")</f>
        <v>#REF!</v>
      </c>
      <c r="CX368" t="e">
        <f>AND(#REF!,"AAAAAH9T9mU=")</f>
        <v>#REF!</v>
      </c>
      <c r="CY368" t="e">
        <f>AND(#REF!,"AAAAAH9T9mY=")</f>
        <v>#REF!</v>
      </c>
      <c r="CZ368" t="e">
        <f>AND(#REF!,"AAAAAH9T9mc=")</f>
        <v>#REF!</v>
      </c>
      <c r="DA368" t="e">
        <f>AND(#REF!,"AAAAAH9T9mg=")</f>
        <v>#REF!</v>
      </c>
      <c r="DB368" t="e">
        <f>AND(#REF!,"AAAAAH9T9mk=")</f>
        <v>#REF!</v>
      </c>
      <c r="DC368" t="e">
        <f>AND(#REF!,"AAAAAH9T9mo=")</f>
        <v>#REF!</v>
      </c>
      <c r="DD368" t="e">
        <f>AND(#REF!,"AAAAAH9T9ms=")</f>
        <v>#REF!</v>
      </c>
      <c r="DE368" t="e">
        <f>IF(#REF!,"AAAAAH9T9mw=",0)</f>
        <v>#REF!</v>
      </c>
      <c r="DF368" t="e">
        <f>AND(#REF!,"AAAAAH9T9m0=")</f>
        <v>#REF!</v>
      </c>
      <c r="DG368" t="e">
        <f>AND(#REF!,"AAAAAH9T9m4=")</f>
        <v>#REF!</v>
      </c>
      <c r="DH368" t="e">
        <f>AND(#REF!,"AAAAAH9T9m8=")</f>
        <v>#REF!</v>
      </c>
      <c r="DI368" t="e">
        <f>AND(#REF!,"AAAAAH9T9nA=")</f>
        <v>#REF!</v>
      </c>
      <c r="DJ368" t="e">
        <f>AND(#REF!,"AAAAAH9T9nE=")</f>
        <v>#REF!</v>
      </c>
      <c r="DK368" t="e">
        <f>AND(#REF!,"AAAAAH9T9nI=")</f>
        <v>#REF!</v>
      </c>
      <c r="DL368" t="e">
        <f>AND(#REF!,"AAAAAH9T9nM=")</f>
        <v>#REF!</v>
      </c>
      <c r="DM368" t="e">
        <f>AND(#REF!,"AAAAAH9T9nQ=")</f>
        <v>#REF!</v>
      </c>
      <c r="DN368" t="e">
        <f>AND(#REF!,"AAAAAH9T9nU=")</f>
        <v>#REF!</v>
      </c>
      <c r="DO368" t="e">
        <f>AND(#REF!,"AAAAAH9T9nY=")</f>
        <v>#REF!</v>
      </c>
      <c r="DP368" t="e">
        <f>AND(#REF!,"AAAAAH9T9nc=")</f>
        <v>#REF!</v>
      </c>
      <c r="DQ368" t="e">
        <f>AND(#REF!,"AAAAAH9T9ng=")</f>
        <v>#REF!</v>
      </c>
      <c r="DR368" t="e">
        <f>AND(#REF!,"AAAAAH9T9nk=")</f>
        <v>#REF!</v>
      </c>
      <c r="DS368" t="e">
        <f>AND(#REF!,"AAAAAH9T9no=")</f>
        <v>#REF!</v>
      </c>
      <c r="DT368" t="e">
        <f>AND(#REF!,"AAAAAH9T9ns=")</f>
        <v>#REF!</v>
      </c>
      <c r="DU368" t="e">
        <f>AND(#REF!,"AAAAAH9T9nw=")</f>
        <v>#REF!</v>
      </c>
      <c r="DV368" t="e">
        <f>AND(#REF!,"AAAAAH9T9n0=")</f>
        <v>#REF!</v>
      </c>
      <c r="DW368" t="e">
        <f>AND(#REF!,"AAAAAH9T9n4=")</f>
        <v>#REF!</v>
      </c>
      <c r="DX368" t="e">
        <f>AND(#REF!,"AAAAAH9T9n8=")</f>
        <v>#REF!</v>
      </c>
      <c r="DY368" t="e">
        <f>AND(#REF!,"AAAAAH9T9oA=")</f>
        <v>#REF!</v>
      </c>
      <c r="DZ368" t="e">
        <f>AND(#REF!,"AAAAAH9T9oE=")</f>
        <v>#REF!</v>
      </c>
      <c r="EA368" t="e">
        <f>AND(#REF!,"AAAAAH9T9oI=")</f>
        <v>#REF!</v>
      </c>
      <c r="EB368" t="e">
        <f>AND(#REF!,"AAAAAH9T9oM=")</f>
        <v>#REF!</v>
      </c>
      <c r="EC368" t="e">
        <f>AND(#REF!,"AAAAAH9T9oQ=")</f>
        <v>#REF!</v>
      </c>
      <c r="ED368" t="e">
        <f>IF(#REF!,"AAAAAH9T9oU=",0)</f>
        <v>#REF!</v>
      </c>
      <c r="EE368" t="e">
        <f>AND(#REF!,"AAAAAH9T9oY=")</f>
        <v>#REF!</v>
      </c>
      <c r="EF368" t="e">
        <f>AND(#REF!,"AAAAAH9T9oc=")</f>
        <v>#REF!</v>
      </c>
      <c r="EG368" t="e">
        <f>AND(#REF!,"AAAAAH9T9og=")</f>
        <v>#REF!</v>
      </c>
      <c r="EH368" t="e">
        <f>AND(#REF!,"AAAAAH9T9ok=")</f>
        <v>#REF!</v>
      </c>
      <c r="EI368" t="e">
        <f>AND(#REF!,"AAAAAH9T9oo=")</f>
        <v>#REF!</v>
      </c>
      <c r="EJ368" t="e">
        <f>AND(#REF!,"AAAAAH9T9os=")</f>
        <v>#REF!</v>
      </c>
      <c r="EK368" t="e">
        <f>AND(#REF!,"AAAAAH9T9ow=")</f>
        <v>#REF!</v>
      </c>
      <c r="EL368" t="e">
        <f>AND(#REF!,"AAAAAH9T9o0=")</f>
        <v>#REF!</v>
      </c>
      <c r="EM368" t="e">
        <f>AND(#REF!,"AAAAAH9T9o4=")</f>
        <v>#REF!</v>
      </c>
      <c r="EN368" t="e">
        <f>AND(#REF!,"AAAAAH9T9o8=")</f>
        <v>#REF!</v>
      </c>
      <c r="EO368" t="e">
        <f>AND(#REF!,"AAAAAH9T9pA=")</f>
        <v>#REF!</v>
      </c>
      <c r="EP368" t="e">
        <f>AND(#REF!,"AAAAAH9T9pE=")</f>
        <v>#REF!</v>
      </c>
      <c r="EQ368" t="e">
        <f>AND(#REF!,"AAAAAH9T9pI=")</f>
        <v>#REF!</v>
      </c>
      <c r="ER368" t="e">
        <f>AND(#REF!,"AAAAAH9T9pM=")</f>
        <v>#REF!</v>
      </c>
      <c r="ES368" t="e">
        <f>AND(#REF!,"AAAAAH9T9pQ=")</f>
        <v>#REF!</v>
      </c>
      <c r="ET368" t="e">
        <f>AND(#REF!,"AAAAAH9T9pU=")</f>
        <v>#REF!</v>
      </c>
      <c r="EU368" t="e">
        <f>AND(#REF!,"AAAAAH9T9pY=")</f>
        <v>#REF!</v>
      </c>
      <c r="EV368" t="e">
        <f>AND(#REF!,"AAAAAH9T9pc=")</f>
        <v>#REF!</v>
      </c>
      <c r="EW368" t="e">
        <f>AND(#REF!,"AAAAAH9T9pg=")</f>
        <v>#REF!</v>
      </c>
      <c r="EX368" t="e">
        <f>AND(#REF!,"AAAAAH9T9pk=")</f>
        <v>#REF!</v>
      </c>
      <c r="EY368" t="e">
        <f>AND(#REF!,"AAAAAH9T9po=")</f>
        <v>#REF!</v>
      </c>
      <c r="EZ368" t="e">
        <f>AND(#REF!,"AAAAAH9T9ps=")</f>
        <v>#REF!</v>
      </c>
      <c r="FA368" t="e">
        <f>AND(#REF!,"AAAAAH9T9pw=")</f>
        <v>#REF!</v>
      </c>
      <c r="FB368" t="e">
        <f>AND(#REF!,"AAAAAH9T9p0=")</f>
        <v>#REF!</v>
      </c>
      <c r="FC368" t="e">
        <f>IF(#REF!,"AAAAAH9T9p4=",0)</f>
        <v>#REF!</v>
      </c>
      <c r="FD368" t="e">
        <f>AND(#REF!,"AAAAAH9T9p8=")</f>
        <v>#REF!</v>
      </c>
      <c r="FE368" t="e">
        <f>AND(#REF!,"AAAAAH9T9qA=")</f>
        <v>#REF!</v>
      </c>
      <c r="FF368" t="e">
        <f>AND(#REF!,"AAAAAH9T9qE=")</f>
        <v>#REF!</v>
      </c>
      <c r="FG368" t="e">
        <f>AND(#REF!,"AAAAAH9T9qI=")</f>
        <v>#REF!</v>
      </c>
      <c r="FH368" t="e">
        <f>AND(#REF!,"AAAAAH9T9qM=")</f>
        <v>#REF!</v>
      </c>
      <c r="FI368" t="e">
        <f>AND(#REF!,"AAAAAH9T9qQ=")</f>
        <v>#REF!</v>
      </c>
      <c r="FJ368" t="e">
        <f>AND(#REF!,"AAAAAH9T9qU=")</f>
        <v>#REF!</v>
      </c>
      <c r="FK368" t="e">
        <f>AND(#REF!,"AAAAAH9T9qY=")</f>
        <v>#REF!</v>
      </c>
      <c r="FL368" t="e">
        <f>AND(#REF!,"AAAAAH9T9qc=")</f>
        <v>#REF!</v>
      </c>
      <c r="FM368" t="e">
        <f>AND(#REF!,"AAAAAH9T9qg=")</f>
        <v>#REF!</v>
      </c>
      <c r="FN368" t="e">
        <f>AND(#REF!,"AAAAAH9T9qk=")</f>
        <v>#REF!</v>
      </c>
      <c r="FO368" t="e">
        <f>AND(#REF!,"AAAAAH9T9qo=")</f>
        <v>#REF!</v>
      </c>
      <c r="FP368" t="e">
        <f>AND(#REF!,"AAAAAH9T9qs=")</f>
        <v>#REF!</v>
      </c>
      <c r="FQ368" t="e">
        <f>AND(#REF!,"AAAAAH9T9qw=")</f>
        <v>#REF!</v>
      </c>
      <c r="FR368" t="e">
        <f>AND(#REF!,"AAAAAH9T9q0=")</f>
        <v>#REF!</v>
      </c>
      <c r="FS368" t="e">
        <f>AND(#REF!,"AAAAAH9T9q4=")</f>
        <v>#REF!</v>
      </c>
      <c r="FT368" t="e">
        <f>AND(#REF!,"AAAAAH9T9q8=")</f>
        <v>#REF!</v>
      </c>
      <c r="FU368" t="e">
        <f>AND(#REF!,"AAAAAH9T9rA=")</f>
        <v>#REF!</v>
      </c>
      <c r="FV368" t="e">
        <f>AND(#REF!,"AAAAAH9T9rE=")</f>
        <v>#REF!</v>
      </c>
      <c r="FW368" t="e">
        <f>AND(#REF!,"AAAAAH9T9rI=")</f>
        <v>#REF!</v>
      </c>
      <c r="FX368" t="e">
        <f>AND(#REF!,"AAAAAH9T9rM=")</f>
        <v>#REF!</v>
      </c>
      <c r="FY368" t="e">
        <f>AND(#REF!,"AAAAAH9T9rQ=")</f>
        <v>#REF!</v>
      </c>
      <c r="FZ368" t="e">
        <f>AND(#REF!,"AAAAAH9T9rU=")</f>
        <v>#REF!</v>
      </c>
      <c r="GA368" t="e">
        <f>AND(#REF!,"AAAAAH9T9rY=")</f>
        <v>#REF!</v>
      </c>
      <c r="GB368" t="e">
        <f>IF(#REF!,"AAAAAH9T9rc=",0)</f>
        <v>#REF!</v>
      </c>
      <c r="GC368" t="e">
        <f>AND(#REF!,"AAAAAH9T9rg=")</f>
        <v>#REF!</v>
      </c>
      <c r="GD368" t="e">
        <f>AND(#REF!,"AAAAAH9T9rk=")</f>
        <v>#REF!</v>
      </c>
      <c r="GE368" t="e">
        <f>AND(#REF!,"AAAAAH9T9ro=")</f>
        <v>#REF!</v>
      </c>
      <c r="GF368" t="e">
        <f>AND(#REF!,"AAAAAH9T9rs=")</f>
        <v>#REF!</v>
      </c>
      <c r="GG368" t="e">
        <f>AND(#REF!,"AAAAAH9T9rw=")</f>
        <v>#REF!</v>
      </c>
      <c r="GH368" t="e">
        <f>AND(#REF!,"AAAAAH9T9r0=")</f>
        <v>#REF!</v>
      </c>
      <c r="GI368" t="e">
        <f>AND(#REF!,"AAAAAH9T9r4=")</f>
        <v>#REF!</v>
      </c>
      <c r="GJ368" t="e">
        <f>AND(#REF!,"AAAAAH9T9r8=")</f>
        <v>#REF!</v>
      </c>
      <c r="GK368" t="e">
        <f>AND(#REF!,"AAAAAH9T9sA=")</f>
        <v>#REF!</v>
      </c>
      <c r="GL368" t="e">
        <f>AND(#REF!,"AAAAAH9T9sE=")</f>
        <v>#REF!</v>
      </c>
      <c r="GM368" t="e">
        <f>AND(#REF!,"AAAAAH9T9sI=")</f>
        <v>#REF!</v>
      </c>
      <c r="GN368" t="e">
        <f>AND(#REF!,"AAAAAH9T9sM=")</f>
        <v>#REF!</v>
      </c>
      <c r="GO368" t="e">
        <f>AND(#REF!,"AAAAAH9T9sQ=")</f>
        <v>#REF!</v>
      </c>
      <c r="GP368" t="e">
        <f>AND(#REF!,"AAAAAH9T9sU=")</f>
        <v>#REF!</v>
      </c>
      <c r="GQ368" t="e">
        <f>AND(#REF!,"AAAAAH9T9sY=")</f>
        <v>#REF!</v>
      </c>
      <c r="GR368" t="e">
        <f>AND(#REF!,"AAAAAH9T9sc=")</f>
        <v>#REF!</v>
      </c>
      <c r="GS368" t="e">
        <f>AND(#REF!,"AAAAAH9T9sg=")</f>
        <v>#REF!</v>
      </c>
      <c r="GT368" t="e">
        <f>AND(#REF!,"AAAAAH9T9sk=")</f>
        <v>#REF!</v>
      </c>
      <c r="GU368" t="e">
        <f>AND(#REF!,"AAAAAH9T9so=")</f>
        <v>#REF!</v>
      </c>
      <c r="GV368" t="e">
        <f>AND(#REF!,"AAAAAH9T9ss=")</f>
        <v>#REF!</v>
      </c>
      <c r="GW368" t="e">
        <f>AND(#REF!,"AAAAAH9T9sw=")</f>
        <v>#REF!</v>
      </c>
      <c r="GX368" t="e">
        <f>AND(#REF!,"AAAAAH9T9s0=")</f>
        <v>#REF!</v>
      </c>
      <c r="GY368" t="e">
        <f>AND(#REF!,"AAAAAH9T9s4=")</f>
        <v>#REF!</v>
      </c>
      <c r="GZ368" t="e">
        <f>AND(#REF!,"AAAAAH9T9s8=")</f>
        <v>#REF!</v>
      </c>
      <c r="HA368" t="e">
        <f>IF(#REF!,"AAAAAH9T9tA=",0)</f>
        <v>#REF!</v>
      </c>
      <c r="HB368" t="e">
        <f>AND(#REF!,"AAAAAH9T9tE=")</f>
        <v>#REF!</v>
      </c>
      <c r="HC368" t="e">
        <f>AND(#REF!,"AAAAAH9T9tI=")</f>
        <v>#REF!</v>
      </c>
      <c r="HD368" t="e">
        <f>AND(#REF!,"AAAAAH9T9tM=")</f>
        <v>#REF!</v>
      </c>
      <c r="HE368" t="e">
        <f>AND(#REF!,"AAAAAH9T9tQ=")</f>
        <v>#REF!</v>
      </c>
      <c r="HF368" t="e">
        <f>AND(#REF!,"AAAAAH9T9tU=")</f>
        <v>#REF!</v>
      </c>
      <c r="HG368" t="e">
        <f>AND(#REF!,"AAAAAH9T9tY=")</f>
        <v>#REF!</v>
      </c>
      <c r="HH368" t="e">
        <f>AND(#REF!,"AAAAAH9T9tc=")</f>
        <v>#REF!</v>
      </c>
      <c r="HI368" t="e">
        <f>AND(#REF!,"AAAAAH9T9tg=")</f>
        <v>#REF!</v>
      </c>
      <c r="HJ368" t="e">
        <f>AND(#REF!,"AAAAAH9T9tk=")</f>
        <v>#REF!</v>
      </c>
      <c r="HK368" t="e">
        <f>AND(#REF!,"AAAAAH9T9to=")</f>
        <v>#REF!</v>
      </c>
      <c r="HL368" t="e">
        <f>AND(#REF!,"AAAAAH9T9ts=")</f>
        <v>#REF!</v>
      </c>
      <c r="HM368" t="e">
        <f>AND(#REF!,"AAAAAH9T9tw=")</f>
        <v>#REF!</v>
      </c>
      <c r="HN368" t="e">
        <f>AND(#REF!,"AAAAAH9T9t0=")</f>
        <v>#REF!</v>
      </c>
      <c r="HO368" t="e">
        <f>AND(#REF!,"AAAAAH9T9t4=")</f>
        <v>#REF!</v>
      </c>
      <c r="HP368" t="e">
        <f>AND(#REF!,"AAAAAH9T9t8=")</f>
        <v>#REF!</v>
      </c>
      <c r="HQ368" t="e">
        <f>AND(#REF!,"AAAAAH9T9uA=")</f>
        <v>#REF!</v>
      </c>
      <c r="HR368" t="e">
        <f>AND(#REF!,"AAAAAH9T9uE=")</f>
        <v>#REF!</v>
      </c>
      <c r="HS368" t="e">
        <f>AND(#REF!,"AAAAAH9T9uI=")</f>
        <v>#REF!</v>
      </c>
      <c r="HT368" t="e">
        <f>AND(#REF!,"AAAAAH9T9uM=")</f>
        <v>#REF!</v>
      </c>
      <c r="HU368" t="e">
        <f>AND(#REF!,"AAAAAH9T9uQ=")</f>
        <v>#REF!</v>
      </c>
      <c r="HV368" t="e">
        <f>AND(#REF!,"AAAAAH9T9uU=")</f>
        <v>#REF!</v>
      </c>
      <c r="HW368" t="e">
        <f>AND(#REF!,"AAAAAH9T9uY=")</f>
        <v>#REF!</v>
      </c>
      <c r="HX368" t="e">
        <f>AND(#REF!,"AAAAAH9T9uc=")</f>
        <v>#REF!</v>
      </c>
      <c r="HY368" t="e">
        <f>AND(#REF!,"AAAAAH9T9ug=")</f>
        <v>#REF!</v>
      </c>
      <c r="HZ368" t="e">
        <f>IF(#REF!,"AAAAAH9T9uk=",0)</f>
        <v>#REF!</v>
      </c>
      <c r="IA368" t="e">
        <f>AND(#REF!,"AAAAAH9T9uo=")</f>
        <v>#REF!</v>
      </c>
      <c r="IB368" t="e">
        <f>AND(#REF!,"AAAAAH9T9us=")</f>
        <v>#REF!</v>
      </c>
      <c r="IC368" t="e">
        <f>AND(#REF!,"AAAAAH9T9uw=")</f>
        <v>#REF!</v>
      </c>
      <c r="ID368" t="e">
        <f>AND(#REF!,"AAAAAH9T9u0=")</f>
        <v>#REF!</v>
      </c>
      <c r="IE368" t="e">
        <f>AND(#REF!,"AAAAAH9T9u4=")</f>
        <v>#REF!</v>
      </c>
      <c r="IF368" t="e">
        <f>AND(#REF!,"AAAAAH9T9u8=")</f>
        <v>#REF!</v>
      </c>
      <c r="IG368" t="e">
        <f>AND(#REF!,"AAAAAH9T9vA=")</f>
        <v>#REF!</v>
      </c>
      <c r="IH368" t="e">
        <f>AND(#REF!,"AAAAAH9T9vE=")</f>
        <v>#REF!</v>
      </c>
      <c r="II368" t="e">
        <f>AND(#REF!,"AAAAAH9T9vI=")</f>
        <v>#REF!</v>
      </c>
      <c r="IJ368" t="e">
        <f>AND(#REF!,"AAAAAH9T9vM=")</f>
        <v>#REF!</v>
      </c>
      <c r="IK368" t="e">
        <f>AND(#REF!,"AAAAAH9T9vQ=")</f>
        <v>#REF!</v>
      </c>
      <c r="IL368" t="e">
        <f>AND(#REF!,"AAAAAH9T9vU=")</f>
        <v>#REF!</v>
      </c>
      <c r="IM368" t="e">
        <f>AND(#REF!,"AAAAAH9T9vY=")</f>
        <v>#REF!</v>
      </c>
      <c r="IN368" t="e">
        <f>AND(#REF!,"AAAAAH9T9vc=")</f>
        <v>#REF!</v>
      </c>
      <c r="IO368" t="e">
        <f>AND(#REF!,"AAAAAH9T9vg=")</f>
        <v>#REF!</v>
      </c>
      <c r="IP368" t="e">
        <f>AND(#REF!,"AAAAAH9T9vk=")</f>
        <v>#REF!</v>
      </c>
      <c r="IQ368" t="e">
        <f>AND(#REF!,"AAAAAH9T9vo=")</f>
        <v>#REF!</v>
      </c>
      <c r="IR368" t="e">
        <f>AND(#REF!,"AAAAAH9T9vs=")</f>
        <v>#REF!</v>
      </c>
      <c r="IS368" t="e">
        <f>AND(#REF!,"AAAAAH9T9vw=")</f>
        <v>#REF!</v>
      </c>
      <c r="IT368" t="e">
        <f>AND(#REF!,"AAAAAH9T9v0=")</f>
        <v>#REF!</v>
      </c>
      <c r="IU368" t="e">
        <f>AND(#REF!,"AAAAAH9T9v4=")</f>
        <v>#REF!</v>
      </c>
      <c r="IV368" t="e">
        <f>AND(#REF!,"AAAAAH9T9v8=")</f>
        <v>#REF!</v>
      </c>
    </row>
    <row r="369" spans="1:256">
      <c r="A369" t="e">
        <f>AND(#REF!,"AAAAACr9+gA=")</f>
        <v>#REF!</v>
      </c>
      <c r="B369" t="e">
        <f>AND(#REF!,"AAAAACr9+gE=")</f>
        <v>#REF!</v>
      </c>
      <c r="C369" t="e">
        <f>IF(#REF!,"AAAAACr9+gI=",0)</f>
        <v>#REF!</v>
      </c>
      <c r="D369" t="e">
        <f>AND(#REF!,"AAAAACr9+gM=")</f>
        <v>#REF!</v>
      </c>
      <c r="E369" t="e">
        <f>AND(#REF!,"AAAAACr9+gQ=")</f>
        <v>#REF!</v>
      </c>
      <c r="F369" t="e">
        <f>AND(#REF!,"AAAAACr9+gU=")</f>
        <v>#REF!</v>
      </c>
      <c r="G369" t="e">
        <f>AND(#REF!,"AAAAACr9+gY=")</f>
        <v>#REF!</v>
      </c>
      <c r="H369" t="e">
        <f>AND(#REF!,"AAAAACr9+gc=")</f>
        <v>#REF!</v>
      </c>
      <c r="I369" t="e">
        <f>AND(#REF!,"AAAAACr9+gg=")</f>
        <v>#REF!</v>
      </c>
      <c r="J369" t="e">
        <f>AND(#REF!,"AAAAACr9+gk=")</f>
        <v>#REF!</v>
      </c>
      <c r="K369" t="e">
        <f>AND(#REF!,"AAAAACr9+go=")</f>
        <v>#REF!</v>
      </c>
      <c r="L369" t="e">
        <f>AND(#REF!,"AAAAACr9+gs=")</f>
        <v>#REF!</v>
      </c>
      <c r="M369" t="e">
        <f>AND(#REF!,"AAAAACr9+gw=")</f>
        <v>#REF!</v>
      </c>
      <c r="N369" t="e">
        <f>AND(#REF!,"AAAAACr9+g0=")</f>
        <v>#REF!</v>
      </c>
      <c r="O369" t="e">
        <f>AND(#REF!,"AAAAACr9+g4=")</f>
        <v>#REF!</v>
      </c>
      <c r="P369" t="e">
        <f>AND(#REF!,"AAAAACr9+g8=")</f>
        <v>#REF!</v>
      </c>
      <c r="Q369" t="e">
        <f>AND(#REF!,"AAAAACr9+hA=")</f>
        <v>#REF!</v>
      </c>
      <c r="R369" t="e">
        <f>AND(#REF!,"AAAAACr9+hE=")</f>
        <v>#REF!</v>
      </c>
      <c r="S369" t="e">
        <f>AND(#REF!,"AAAAACr9+hI=")</f>
        <v>#REF!</v>
      </c>
      <c r="T369" t="e">
        <f>AND(#REF!,"AAAAACr9+hM=")</f>
        <v>#REF!</v>
      </c>
      <c r="U369" t="e">
        <f>AND(#REF!,"AAAAACr9+hQ=")</f>
        <v>#REF!</v>
      </c>
      <c r="V369" t="e">
        <f>AND(#REF!,"AAAAACr9+hU=")</f>
        <v>#REF!</v>
      </c>
      <c r="W369" t="e">
        <f>AND(#REF!,"AAAAACr9+hY=")</f>
        <v>#REF!</v>
      </c>
      <c r="X369" t="e">
        <f>AND(#REF!,"AAAAACr9+hc=")</f>
        <v>#REF!</v>
      </c>
      <c r="Y369" t="e">
        <f>AND(#REF!,"AAAAACr9+hg=")</f>
        <v>#REF!</v>
      </c>
      <c r="Z369" t="e">
        <f>AND(#REF!,"AAAAACr9+hk=")</f>
        <v>#REF!</v>
      </c>
      <c r="AA369" t="e">
        <f>AND(#REF!,"AAAAACr9+ho=")</f>
        <v>#REF!</v>
      </c>
      <c r="AB369" t="e">
        <f>IF(#REF!,"AAAAACr9+hs=",0)</f>
        <v>#REF!</v>
      </c>
      <c r="AC369" t="e">
        <f>AND(#REF!,"AAAAACr9+hw=")</f>
        <v>#REF!</v>
      </c>
      <c r="AD369" t="e">
        <f>AND(#REF!,"AAAAACr9+h0=")</f>
        <v>#REF!</v>
      </c>
      <c r="AE369" t="e">
        <f>AND(#REF!,"AAAAACr9+h4=")</f>
        <v>#REF!</v>
      </c>
      <c r="AF369" t="e">
        <f>AND(#REF!,"AAAAACr9+h8=")</f>
        <v>#REF!</v>
      </c>
      <c r="AG369" t="e">
        <f>AND(#REF!,"AAAAACr9+iA=")</f>
        <v>#REF!</v>
      </c>
      <c r="AH369" t="e">
        <f>AND(#REF!,"AAAAACr9+iE=")</f>
        <v>#REF!</v>
      </c>
      <c r="AI369" t="e">
        <f>AND(#REF!,"AAAAACr9+iI=")</f>
        <v>#REF!</v>
      </c>
      <c r="AJ369" t="e">
        <f>AND(#REF!,"AAAAACr9+iM=")</f>
        <v>#REF!</v>
      </c>
      <c r="AK369" t="e">
        <f>AND(#REF!,"AAAAACr9+iQ=")</f>
        <v>#REF!</v>
      </c>
      <c r="AL369" t="e">
        <f>AND(#REF!,"AAAAACr9+iU=")</f>
        <v>#REF!</v>
      </c>
      <c r="AM369" t="e">
        <f>AND(#REF!,"AAAAACr9+iY=")</f>
        <v>#REF!</v>
      </c>
      <c r="AN369" t="e">
        <f>AND(#REF!,"AAAAACr9+ic=")</f>
        <v>#REF!</v>
      </c>
      <c r="AO369" t="e">
        <f>AND(#REF!,"AAAAACr9+ig=")</f>
        <v>#REF!</v>
      </c>
      <c r="AP369" t="e">
        <f>AND(#REF!,"AAAAACr9+ik=")</f>
        <v>#REF!</v>
      </c>
      <c r="AQ369" t="e">
        <f>AND(#REF!,"AAAAACr9+io=")</f>
        <v>#REF!</v>
      </c>
      <c r="AR369" t="e">
        <f>AND(#REF!,"AAAAACr9+is=")</f>
        <v>#REF!</v>
      </c>
      <c r="AS369" t="e">
        <f>AND(#REF!,"AAAAACr9+iw=")</f>
        <v>#REF!</v>
      </c>
      <c r="AT369" t="e">
        <f>AND(#REF!,"AAAAACr9+i0=")</f>
        <v>#REF!</v>
      </c>
      <c r="AU369" t="e">
        <f>AND(#REF!,"AAAAACr9+i4=")</f>
        <v>#REF!</v>
      </c>
      <c r="AV369" t="e">
        <f>AND(#REF!,"AAAAACr9+i8=")</f>
        <v>#REF!</v>
      </c>
      <c r="AW369" t="e">
        <f>AND(#REF!,"AAAAACr9+jA=")</f>
        <v>#REF!</v>
      </c>
      <c r="AX369" t="e">
        <f>AND(#REF!,"AAAAACr9+jE=")</f>
        <v>#REF!</v>
      </c>
      <c r="AY369" t="e">
        <f>AND(#REF!,"AAAAACr9+jI=")</f>
        <v>#REF!</v>
      </c>
      <c r="AZ369" t="e">
        <f>AND(#REF!,"AAAAACr9+jM=")</f>
        <v>#REF!</v>
      </c>
      <c r="BA369" t="e">
        <f>IF(#REF!,"AAAAACr9+jQ=",0)</f>
        <v>#REF!</v>
      </c>
      <c r="BB369" t="e">
        <f>AND(#REF!,"AAAAACr9+jU=")</f>
        <v>#REF!</v>
      </c>
      <c r="BC369" t="e">
        <f>AND(#REF!,"AAAAACr9+jY=")</f>
        <v>#REF!</v>
      </c>
      <c r="BD369" t="e">
        <f>AND(#REF!,"AAAAACr9+jc=")</f>
        <v>#REF!</v>
      </c>
      <c r="BE369" t="e">
        <f>AND(#REF!,"AAAAACr9+jg=")</f>
        <v>#REF!</v>
      </c>
      <c r="BF369" t="e">
        <f>AND(#REF!,"AAAAACr9+jk=")</f>
        <v>#REF!</v>
      </c>
      <c r="BG369" t="e">
        <f>AND(#REF!,"AAAAACr9+jo=")</f>
        <v>#REF!</v>
      </c>
      <c r="BH369" t="e">
        <f>AND(#REF!,"AAAAACr9+js=")</f>
        <v>#REF!</v>
      </c>
      <c r="BI369" t="e">
        <f>AND(#REF!,"AAAAACr9+jw=")</f>
        <v>#REF!</v>
      </c>
      <c r="BJ369" t="e">
        <f>AND(#REF!,"AAAAACr9+j0=")</f>
        <v>#REF!</v>
      </c>
      <c r="BK369" t="e">
        <f>AND(#REF!,"AAAAACr9+j4=")</f>
        <v>#REF!</v>
      </c>
      <c r="BL369" t="e">
        <f>AND(#REF!,"AAAAACr9+j8=")</f>
        <v>#REF!</v>
      </c>
      <c r="BM369" t="e">
        <f>AND(#REF!,"AAAAACr9+kA=")</f>
        <v>#REF!</v>
      </c>
      <c r="BN369" t="e">
        <f>AND(#REF!,"AAAAACr9+kE=")</f>
        <v>#REF!</v>
      </c>
      <c r="BO369" t="e">
        <f>AND(#REF!,"AAAAACr9+kI=")</f>
        <v>#REF!</v>
      </c>
      <c r="BP369" t="e">
        <f>AND(#REF!,"AAAAACr9+kM=")</f>
        <v>#REF!</v>
      </c>
      <c r="BQ369" t="e">
        <f>AND(#REF!,"AAAAACr9+kQ=")</f>
        <v>#REF!</v>
      </c>
      <c r="BR369" t="e">
        <f>AND(#REF!,"AAAAACr9+kU=")</f>
        <v>#REF!</v>
      </c>
      <c r="BS369" t="e">
        <f>AND(#REF!,"AAAAACr9+kY=")</f>
        <v>#REF!</v>
      </c>
      <c r="BT369" t="e">
        <f>AND(#REF!,"AAAAACr9+kc=")</f>
        <v>#REF!</v>
      </c>
      <c r="BU369" t="e">
        <f>AND(#REF!,"AAAAACr9+kg=")</f>
        <v>#REF!</v>
      </c>
      <c r="BV369" t="e">
        <f>AND(#REF!,"AAAAACr9+kk=")</f>
        <v>#REF!</v>
      </c>
      <c r="BW369" t="e">
        <f>AND(#REF!,"AAAAACr9+ko=")</f>
        <v>#REF!</v>
      </c>
      <c r="BX369" t="e">
        <f>AND(#REF!,"AAAAACr9+ks=")</f>
        <v>#REF!</v>
      </c>
      <c r="BY369" t="e">
        <f>AND(#REF!,"AAAAACr9+kw=")</f>
        <v>#REF!</v>
      </c>
      <c r="BZ369" t="e">
        <f>IF(#REF!,"AAAAACr9+k0=",0)</f>
        <v>#REF!</v>
      </c>
      <c r="CA369" t="e">
        <f>AND(#REF!,"AAAAACr9+k4=")</f>
        <v>#REF!</v>
      </c>
      <c r="CB369" t="e">
        <f>AND(#REF!,"AAAAACr9+k8=")</f>
        <v>#REF!</v>
      </c>
      <c r="CC369" t="e">
        <f>AND(#REF!,"AAAAACr9+lA=")</f>
        <v>#REF!</v>
      </c>
      <c r="CD369" t="e">
        <f>AND(#REF!,"AAAAACr9+lE=")</f>
        <v>#REF!</v>
      </c>
      <c r="CE369" t="e">
        <f>AND(#REF!,"AAAAACr9+lI=")</f>
        <v>#REF!</v>
      </c>
      <c r="CF369" t="e">
        <f>AND(#REF!,"AAAAACr9+lM=")</f>
        <v>#REF!</v>
      </c>
      <c r="CG369" t="e">
        <f>AND(#REF!,"AAAAACr9+lQ=")</f>
        <v>#REF!</v>
      </c>
      <c r="CH369" t="e">
        <f>AND(#REF!,"AAAAACr9+lU=")</f>
        <v>#REF!</v>
      </c>
      <c r="CI369" t="e">
        <f>AND(#REF!,"AAAAACr9+lY=")</f>
        <v>#REF!</v>
      </c>
      <c r="CJ369" t="e">
        <f>AND(#REF!,"AAAAACr9+lc=")</f>
        <v>#REF!</v>
      </c>
      <c r="CK369" t="e">
        <f>AND(#REF!,"AAAAACr9+lg=")</f>
        <v>#REF!</v>
      </c>
      <c r="CL369" t="e">
        <f>AND(#REF!,"AAAAACr9+lk=")</f>
        <v>#REF!</v>
      </c>
      <c r="CM369" t="e">
        <f>AND(#REF!,"AAAAACr9+lo=")</f>
        <v>#REF!</v>
      </c>
      <c r="CN369" t="e">
        <f>AND(#REF!,"AAAAACr9+ls=")</f>
        <v>#REF!</v>
      </c>
      <c r="CO369" t="e">
        <f>AND(#REF!,"AAAAACr9+lw=")</f>
        <v>#REF!</v>
      </c>
      <c r="CP369" t="e">
        <f>AND(#REF!,"AAAAACr9+l0=")</f>
        <v>#REF!</v>
      </c>
      <c r="CQ369" t="e">
        <f>AND(#REF!,"AAAAACr9+l4=")</f>
        <v>#REF!</v>
      </c>
      <c r="CR369" t="e">
        <f>AND(#REF!,"AAAAACr9+l8=")</f>
        <v>#REF!</v>
      </c>
      <c r="CS369" t="e">
        <f>AND(#REF!,"AAAAACr9+mA=")</f>
        <v>#REF!</v>
      </c>
      <c r="CT369" t="e">
        <f>AND(#REF!,"AAAAACr9+mE=")</f>
        <v>#REF!</v>
      </c>
      <c r="CU369" t="e">
        <f>AND(#REF!,"AAAAACr9+mI=")</f>
        <v>#REF!</v>
      </c>
      <c r="CV369" t="e">
        <f>AND(#REF!,"AAAAACr9+mM=")</f>
        <v>#REF!</v>
      </c>
      <c r="CW369" t="e">
        <f>AND(#REF!,"AAAAACr9+mQ=")</f>
        <v>#REF!</v>
      </c>
      <c r="CX369" t="e">
        <f>AND(#REF!,"AAAAACr9+mU=")</f>
        <v>#REF!</v>
      </c>
      <c r="CY369" t="e">
        <f>IF(#REF!,"AAAAACr9+mY=",0)</f>
        <v>#REF!</v>
      </c>
      <c r="CZ369" t="e">
        <f>AND(#REF!,"AAAAACr9+mc=")</f>
        <v>#REF!</v>
      </c>
      <c r="DA369" t="e">
        <f>AND(#REF!,"AAAAACr9+mg=")</f>
        <v>#REF!</v>
      </c>
      <c r="DB369" t="e">
        <f>AND(#REF!,"AAAAACr9+mk=")</f>
        <v>#REF!</v>
      </c>
      <c r="DC369" t="e">
        <f>AND(#REF!,"AAAAACr9+mo=")</f>
        <v>#REF!</v>
      </c>
      <c r="DD369" t="e">
        <f>AND(#REF!,"AAAAACr9+ms=")</f>
        <v>#REF!</v>
      </c>
      <c r="DE369" t="e">
        <f>AND(#REF!,"AAAAACr9+mw=")</f>
        <v>#REF!</v>
      </c>
      <c r="DF369" t="e">
        <f>AND(#REF!,"AAAAACr9+m0=")</f>
        <v>#REF!</v>
      </c>
      <c r="DG369" t="e">
        <f>AND(#REF!,"AAAAACr9+m4=")</f>
        <v>#REF!</v>
      </c>
      <c r="DH369" t="e">
        <f>AND(#REF!,"AAAAACr9+m8=")</f>
        <v>#REF!</v>
      </c>
      <c r="DI369" t="e">
        <f>AND(#REF!,"AAAAACr9+nA=")</f>
        <v>#REF!</v>
      </c>
      <c r="DJ369" t="e">
        <f>AND(#REF!,"AAAAACr9+nE=")</f>
        <v>#REF!</v>
      </c>
      <c r="DK369" t="e">
        <f>AND(#REF!,"AAAAACr9+nI=")</f>
        <v>#REF!</v>
      </c>
      <c r="DL369" t="e">
        <f>AND(#REF!,"AAAAACr9+nM=")</f>
        <v>#REF!</v>
      </c>
      <c r="DM369" t="e">
        <f>AND(#REF!,"AAAAACr9+nQ=")</f>
        <v>#REF!</v>
      </c>
      <c r="DN369" t="e">
        <f>AND(#REF!,"AAAAACr9+nU=")</f>
        <v>#REF!</v>
      </c>
      <c r="DO369" t="e">
        <f>AND(#REF!,"AAAAACr9+nY=")</f>
        <v>#REF!</v>
      </c>
      <c r="DP369" t="e">
        <f>AND(#REF!,"AAAAACr9+nc=")</f>
        <v>#REF!</v>
      </c>
      <c r="DQ369" t="e">
        <f>AND(#REF!,"AAAAACr9+ng=")</f>
        <v>#REF!</v>
      </c>
      <c r="DR369" t="e">
        <f>AND(#REF!,"AAAAACr9+nk=")</f>
        <v>#REF!</v>
      </c>
      <c r="DS369" t="e">
        <f>AND(#REF!,"AAAAACr9+no=")</f>
        <v>#REF!</v>
      </c>
      <c r="DT369" t="e">
        <f>AND(#REF!,"AAAAACr9+ns=")</f>
        <v>#REF!</v>
      </c>
      <c r="DU369" t="e">
        <f>AND(#REF!,"AAAAACr9+nw=")</f>
        <v>#REF!</v>
      </c>
      <c r="DV369" t="e">
        <f>AND(#REF!,"AAAAACr9+n0=")</f>
        <v>#REF!</v>
      </c>
      <c r="DW369" t="e">
        <f>AND(#REF!,"AAAAACr9+n4=")</f>
        <v>#REF!</v>
      </c>
      <c r="DX369" t="e">
        <f>IF(#REF!,"AAAAACr9+n8=",0)</f>
        <v>#REF!</v>
      </c>
      <c r="DY369" t="e">
        <f>AND(#REF!,"AAAAACr9+oA=")</f>
        <v>#REF!</v>
      </c>
      <c r="DZ369" t="e">
        <f>AND(#REF!,"AAAAACr9+oE=")</f>
        <v>#REF!</v>
      </c>
      <c r="EA369" t="e">
        <f>AND(#REF!,"AAAAACr9+oI=")</f>
        <v>#REF!</v>
      </c>
      <c r="EB369" t="e">
        <f>AND(#REF!,"AAAAACr9+oM=")</f>
        <v>#REF!</v>
      </c>
      <c r="EC369" t="e">
        <f>AND(#REF!,"AAAAACr9+oQ=")</f>
        <v>#REF!</v>
      </c>
      <c r="ED369" t="e">
        <f>AND(#REF!,"AAAAACr9+oU=")</f>
        <v>#REF!</v>
      </c>
      <c r="EE369" t="e">
        <f>AND(#REF!,"AAAAACr9+oY=")</f>
        <v>#REF!</v>
      </c>
      <c r="EF369" t="e">
        <f>AND(#REF!,"AAAAACr9+oc=")</f>
        <v>#REF!</v>
      </c>
      <c r="EG369" t="e">
        <f>AND(#REF!,"AAAAACr9+og=")</f>
        <v>#REF!</v>
      </c>
      <c r="EH369" t="e">
        <f>AND(#REF!,"AAAAACr9+ok=")</f>
        <v>#REF!</v>
      </c>
      <c r="EI369" t="e">
        <f>AND(#REF!,"AAAAACr9+oo=")</f>
        <v>#REF!</v>
      </c>
      <c r="EJ369" t="e">
        <f>AND(#REF!,"AAAAACr9+os=")</f>
        <v>#REF!</v>
      </c>
      <c r="EK369" t="e">
        <f>AND(#REF!,"AAAAACr9+ow=")</f>
        <v>#REF!</v>
      </c>
      <c r="EL369" t="e">
        <f>AND(#REF!,"AAAAACr9+o0=")</f>
        <v>#REF!</v>
      </c>
      <c r="EM369" t="e">
        <f>AND(#REF!,"AAAAACr9+o4=")</f>
        <v>#REF!</v>
      </c>
      <c r="EN369" t="e">
        <f>AND(#REF!,"AAAAACr9+o8=")</f>
        <v>#REF!</v>
      </c>
      <c r="EO369" t="e">
        <f>AND(#REF!,"AAAAACr9+pA=")</f>
        <v>#REF!</v>
      </c>
      <c r="EP369" t="e">
        <f>AND(#REF!,"AAAAACr9+pE=")</f>
        <v>#REF!</v>
      </c>
      <c r="EQ369" t="e">
        <f>AND(#REF!,"AAAAACr9+pI=")</f>
        <v>#REF!</v>
      </c>
      <c r="ER369" t="e">
        <f>AND(#REF!,"AAAAACr9+pM=")</f>
        <v>#REF!</v>
      </c>
      <c r="ES369" t="e">
        <f>AND(#REF!,"AAAAACr9+pQ=")</f>
        <v>#REF!</v>
      </c>
      <c r="ET369" t="e">
        <f>AND(#REF!,"AAAAACr9+pU=")</f>
        <v>#REF!</v>
      </c>
      <c r="EU369" t="e">
        <f>AND(#REF!,"AAAAACr9+pY=")</f>
        <v>#REF!</v>
      </c>
      <c r="EV369" t="e">
        <f>AND(#REF!,"AAAAACr9+pc=")</f>
        <v>#REF!</v>
      </c>
      <c r="EW369" t="e">
        <f>IF(#REF!,"AAAAACr9+pg=",0)</f>
        <v>#REF!</v>
      </c>
      <c r="EX369" t="e">
        <f>AND(#REF!,"AAAAACr9+pk=")</f>
        <v>#REF!</v>
      </c>
      <c r="EY369" t="e">
        <f>AND(#REF!,"AAAAACr9+po=")</f>
        <v>#REF!</v>
      </c>
      <c r="EZ369" t="e">
        <f>AND(#REF!,"AAAAACr9+ps=")</f>
        <v>#REF!</v>
      </c>
      <c r="FA369" t="e">
        <f>AND(#REF!,"AAAAACr9+pw=")</f>
        <v>#REF!</v>
      </c>
      <c r="FB369" t="e">
        <f>AND(#REF!,"AAAAACr9+p0=")</f>
        <v>#REF!</v>
      </c>
      <c r="FC369" t="e">
        <f>AND(#REF!,"AAAAACr9+p4=")</f>
        <v>#REF!</v>
      </c>
      <c r="FD369" t="e">
        <f>AND(#REF!,"AAAAACr9+p8=")</f>
        <v>#REF!</v>
      </c>
      <c r="FE369" t="e">
        <f>AND(#REF!,"AAAAACr9+qA=")</f>
        <v>#REF!</v>
      </c>
      <c r="FF369" t="e">
        <f>AND(#REF!,"AAAAACr9+qE=")</f>
        <v>#REF!</v>
      </c>
      <c r="FG369" t="e">
        <f>AND(#REF!,"AAAAACr9+qI=")</f>
        <v>#REF!</v>
      </c>
      <c r="FH369" t="e">
        <f>AND(#REF!,"AAAAACr9+qM=")</f>
        <v>#REF!</v>
      </c>
      <c r="FI369" t="e">
        <f>AND(#REF!,"AAAAACr9+qQ=")</f>
        <v>#REF!</v>
      </c>
      <c r="FJ369" t="e">
        <f>AND(#REF!,"AAAAACr9+qU=")</f>
        <v>#REF!</v>
      </c>
      <c r="FK369" t="e">
        <f>AND(#REF!,"AAAAACr9+qY=")</f>
        <v>#REF!</v>
      </c>
      <c r="FL369" t="e">
        <f>AND(#REF!,"AAAAACr9+qc=")</f>
        <v>#REF!</v>
      </c>
      <c r="FM369" t="e">
        <f>AND(#REF!,"AAAAACr9+qg=")</f>
        <v>#REF!</v>
      </c>
      <c r="FN369" t="e">
        <f>AND(#REF!,"AAAAACr9+qk=")</f>
        <v>#REF!</v>
      </c>
      <c r="FO369" t="e">
        <f>AND(#REF!,"AAAAACr9+qo=")</f>
        <v>#REF!</v>
      </c>
      <c r="FP369" t="e">
        <f>AND(#REF!,"AAAAACr9+qs=")</f>
        <v>#REF!</v>
      </c>
      <c r="FQ369" t="e">
        <f>AND(#REF!,"AAAAACr9+qw=")</f>
        <v>#REF!</v>
      </c>
      <c r="FR369" t="e">
        <f>AND(#REF!,"AAAAACr9+q0=")</f>
        <v>#REF!</v>
      </c>
      <c r="FS369" t="e">
        <f>AND(#REF!,"AAAAACr9+q4=")</f>
        <v>#REF!</v>
      </c>
      <c r="FT369" t="e">
        <f>AND(#REF!,"AAAAACr9+q8=")</f>
        <v>#REF!</v>
      </c>
      <c r="FU369" t="e">
        <f>AND(#REF!,"AAAAACr9+rA=")</f>
        <v>#REF!</v>
      </c>
      <c r="FV369" t="e">
        <f>IF(#REF!,"AAAAACr9+rE=",0)</f>
        <v>#REF!</v>
      </c>
      <c r="FW369" t="e">
        <f>AND(#REF!,"AAAAACr9+rI=")</f>
        <v>#REF!</v>
      </c>
      <c r="FX369" t="e">
        <f>AND(#REF!,"AAAAACr9+rM=")</f>
        <v>#REF!</v>
      </c>
      <c r="FY369" t="e">
        <f>AND(#REF!,"AAAAACr9+rQ=")</f>
        <v>#REF!</v>
      </c>
      <c r="FZ369" t="e">
        <f>AND(#REF!,"AAAAACr9+rU=")</f>
        <v>#REF!</v>
      </c>
      <c r="GA369" t="e">
        <f>AND(#REF!,"AAAAACr9+rY=")</f>
        <v>#REF!</v>
      </c>
      <c r="GB369" t="e">
        <f>AND(#REF!,"AAAAACr9+rc=")</f>
        <v>#REF!</v>
      </c>
      <c r="GC369" t="e">
        <f>AND(#REF!,"AAAAACr9+rg=")</f>
        <v>#REF!</v>
      </c>
      <c r="GD369" t="e">
        <f>AND(#REF!,"AAAAACr9+rk=")</f>
        <v>#REF!</v>
      </c>
      <c r="GE369" t="e">
        <f>AND(#REF!,"AAAAACr9+ro=")</f>
        <v>#REF!</v>
      </c>
      <c r="GF369" t="e">
        <f>AND(#REF!,"AAAAACr9+rs=")</f>
        <v>#REF!</v>
      </c>
      <c r="GG369" t="e">
        <f>AND(#REF!,"AAAAACr9+rw=")</f>
        <v>#REF!</v>
      </c>
      <c r="GH369" t="e">
        <f>AND(#REF!,"AAAAACr9+r0=")</f>
        <v>#REF!</v>
      </c>
      <c r="GI369" t="e">
        <f>AND(#REF!,"AAAAACr9+r4=")</f>
        <v>#REF!</v>
      </c>
      <c r="GJ369" t="e">
        <f>AND(#REF!,"AAAAACr9+r8=")</f>
        <v>#REF!</v>
      </c>
      <c r="GK369" t="e">
        <f>AND(#REF!,"AAAAACr9+sA=")</f>
        <v>#REF!</v>
      </c>
      <c r="GL369" t="e">
        <f>AND(#REF!,"AAAAACr9+sE=")</f>
        <v>#REF!</v>
      </c>
      <c r="GM369" t="e">
        <f>AND(#REF!,"AAAAACr9+sI=")</f>
        <v>#REF!</v>
      </c>
      <c r="GN369" t="e">
        <f>AND(#REF!,"AAAAACr9+sM=")</f>
        <v>#REF!</v>
      </c>
      <c r="GO369" t="e">
        <f>AND(#REF!,"AAAAACr9+sQ=")</f>
        <v>#REF!</v>
      </c>
      <c r="GP369" t="e">
        <f>AND(#REF!,"AAAAACr9+sU=")</f>
        <v>#REF!</v>
      </c>
      <c r="GQ369" t="e">
        <f>AND(#REF!,"AAAAACr9+sY=")</f>
        <v>#REF!</v>
      </c>
      <c r="GR369" t="e">
        <f>AND(#REF!,"AAAAACr9+sc=")</f>
        <v>#REF!</v>
      </c>
      <c r="GS369" t="e">
        <f>AND(#REF!,"AAAAACr9+sg=")</f>
        <v>#REF!</v>
      </c>
      <c r="GT369" t="e">
        <f>AND(#REF!,"AAAAACr9+sk=")</f>
        <v>#REF!</v>
      </c>
      <c r="GU369" t="e">
        <f>IF(#REF!,"AAAAACr9+so=",0)</f>
        <v>#REF!</v>
      </c>
      <c r="GV369" t="e">
        <f>AND(#REF!,"AAAAACr9+ss=")</f>
        <v>#REF!</v>
      </c>
      <c r="GW369" t="e">
        <f>AND(#REF!,"AAAAACr9+sw=")</f>
        <v>#REF!</v>
      </c>
      <c r="GX369" t="e">
        <f>AND(#REF!,"AAAAACr9+s0=")</f>
        <v>#REF!</v>
      </c>
      <c r="GY369" t="e">
        <f>AND(#REF!,"AAAAACr9+s4=")</f>
        <v>#REF!</v>
      </c>
      <c r="GZ369" t="e">
        <f>AND(#REF!,"AAAAACr9+s8=")</f>
        <v>#REF!</v>
      </c>
      <c r="HA369" t="e">
        <f>AND(#REF!,"AAAAACr9+tA=")</f>
        <v>#REF!</v>
      </c>
      <c r="HB369" t="e">
        <f>AND(#REF!,"AAAAACr9+tE=")</f>
        <v>#REF!</v>
      </c>
      <c r="HC369" t="e">
        <f>AND(#REF!,"AAAAACr9+tI=")</f>
        <v>#REF!</v>
      </c>
      <c r="HD369" t="e">
        <f>AND(#REF!,"AAAAACr9+tM=")</f>
        <v>#REF!</v>
      </c>
      <c r="HE369" t="e">
        <f>AND(#REF!,"AAAAACr9+tQ=")</f>
        <v>#REF!</v>
      </c>
      <c r="HF369" t="e">
        <f>AND(#REF!,"AAAAACr9+tU=")</f>
        <v>#REF!</v>
      </c>
      <c r="HG369" t="e">
        <f>AND(#REF!,"AAAAACr9+tY=")</f>
        <v>#REF!</v>
      </c>
      <c r="HH369" t="e">
        <f>AND(#REF!,"AAAAACr9+tc=")</f>
        <v>#REF!</v>
      </c>
      <c r="HI369" t="e">
        <f>AND(#REF!,"AAAAACr9+tg=")</f>
        <v>#REF!</v>
      </c>
      <c r="HJ369" t="e">
        <f>AND(#REF!,"AAAAACr9+tk=")</f>
        <v>#REF!</v>
      </c>
      <c r="HK369" t="e">
        <f>AND(#REF!,"AAAAACr9+to=")</f>
        <v>#REF!</v>
      </c>
      <c r="HL369" t="e">
        <f>AND(#REF!,"AAAAACr9+ts=")</f>
        <v>#REF!</v>
      </c>
      <c r="HM369" t="e">
        <f>AND(#REF!,"AAAAACr9+tw=")</f>
        <v>#REF!</v>
      </c>
      <c r="HN369" t="e">
        <f>AND(#REF!,"AAAAACr9+t0=")</f>
        <v>#REF!</v>
      </c>
      <c r="HO369" t="e">
        <f>AND(#REF!,"AAAAACr9+t4=")</f>
        <v>#REF!</v>
      </c>
      <c r="HP369" t="e">
        <f>AND(#REF!,"AAAAACr9+t8=")</f>
        <v>#REF!</v>
      </c>
      <c r="HQ369" t="e">
        <f>AND(#REF!,"AAAAACr9+uA=")</f>
        <v>#REF!</v>
      </c>
      <c r="HR369" t="e">
        <f>AND(#REF!,"AAAAACr9+uE=")</f>
        <v>#REF!</v>
      </c>
      <c r="HS369" t="e">
        <f>AND(#REF!,"AAAAACr9+uI=")</f>
        <v>#REF!</v>
      </c>
      <c r="HT369" t="e">
        <f>IF(#REF!,"AAAAACr9+uM=",0)</f>
        <v>#REF!</v>
      </c>
      <c r="HU369" t="e">
        <f>AND(#REF!,"AAAAACr9+uQ=")</f>
        <v>#REF!</v>
      </c>
      <c r="HV369" t="e">
        <f>AND(#REF!,"AAAAACr9+uU=")</f>
        <v>#REF!</v>
      </c>
      <c r="HW369" t="e">
        <f>AND(#REF!,"AAAAACr9+uY=")</f>
        <v>#REF!</v>
      </c>
      <c r="HX369" t="e">
        <f>AND(#REF!,"AAAAACr9+uc=")</f>
        <v>#REF!</v>
      </c>
      <c r="HY369" t="e">
        <f>AND(#REF!,"AAAAACr9+ug=")</f>
        <v>#REF!</v>
      </c>
      <c r="HZ369" t="e">
        <f>AND(#REF!,"AAAAACr9+uk=")</f>
        <v>#REF!</v>
      </c>
      <c r="IA369" t="e">
        <f>AND(#REF!,"AAAAACr9+uo=")</f>
        <v>#REF!</v>
      </c>
      <c r="IB369" t="e">
        <f>AND(#REF!,"AAAAACr9+us=")</f>
        <v>#REF!</v>
      </c>
      <c r="IC369" t="e">
        <f>AND(#REF!,"AAAAACr9+uw=")</f>
        <v>#REF!</v>
      </c>
      <c r="ID369" t="e">
        <f>AND(#REF!,"AAAAACr9+u0=")</f>
        <v>#REF!</v>
      </c>
      <c r="IE369" t="e">
        <f>AND(#REF!,"AAAAACr9+u4=")</f>
        <v>#REF!</v>
      </c>
      <c r="IF369" t="e">
        <f>AND(#REF!,"AAAAACr9+u8=")</f>
        <v>#REF!</v>
      </c>
      <c r="IG369" t="e">
        <f>AND(#REF!,"AAAAACr9+vA=")</f>
        <v>#REF!</v>
      </c>
      <c r="IH369" t="e">
        <f>AND(#REF!,"AAAAACr9+vE=")</f>
        <v>#REF!</v>
      </c>
      <c r="II369" t="e">
        <f>AND(#REF!,"AAAAACr9+vI=")</f>
        <v>#REF!</v>
      </c>
      <c r="IJ369" t="e">
        <f>AND(#REF!,"AAAAACr9+vM=")</f>
        <v>#REF!</v>
      </c>
      <c r="IK369" t="e">
        <f>AND(#REF!,"AAAAACr9+vQ=")</f>
        <v>#REF!</v>
      </c>
      <c r="IL369" t="e">
        <f>AND(#REF!,"AAAAACr9+vU=")</f>
        <v>#REF!</v>
      </c>
      <c r="IM369" t="e">
        <f>AND(#REF!,"AAAAACr9+vY=")</f>
        <v>#REF!</v>
      </c>
      <c r="IN369" t="e">
        <f>AND(#REF!,"AAAAACr9+vc=")</f>
        <v>#REF!</v>
      </c>
      <c r="IO369" t="e">
        <f>AND(#REF!,"AAAAACr9+vg=")</f>
        <v>#REF!</v>
      </c>
      <c r="IP369" t="e">
        <f>AND(#REF!,"AAAAACr9+vk=")</f>
        <v>#REF!</v>
      </c>
      <c r="IQ369" t="e">
        <f>AND(#REF!,"AAAAACr9+vo=")</f>
        <v>#REF!</v>
      </c>
      <c r="IR369" t="e">
        <f>AND(#REF!,"AAAAACr9+vs=")</f>
        <v>#REF!</v>
      </c>
      <c r="IS369" t="e">
        <f>IF(#REF!,"AAAAACr9+vw=",0)</f>
        <v>#REF!</v>
      </c>
      <c r="IT369" t="e">
        <f>AND(#REF!,"AAAAACr9+v0=")</f>
        <v>#REF!</v>
      </c>
      <c r="IU369" t="e">
        <f>AND(#REF!,"AAAAACr9+v4=")</f>
        <v>#REF!</v>
      </c>
      <c r="IV369" t="e">
        <f>AND(#REF!,"AAAAACr9+v8=")</f>
        <v>#REF!</v>
      </c>
    </row>
    <row r="370" spans="1:256">
      <c r="A370" t="e">
        <f>AND(#REF!,"AAAAAH3cvwA=")</f>
        <v>#REF!</v>
      </c>
      <c r="B370" t="e">
        <f>AND(#REF!,"AAAAAH3cvwE=")</f>
        <v>#REF!</v>
      </c>
      <c r="C370" t="e">
        <f>AND(#REF!,"AAAAAH3cvwI=")</f>
        <v>#REF!</v>
      </c>
      <c r="D370" t="e">
        <f>AND(#REF!,"AAAAAH3cvwM=")</f>
        <v>#REF!</v>
      </c>
      <c r="E370" t="e">
        <f>AND(#REF!,"AAAAAH3cvwQ=")</f>
        <v>#REF!</v>
      </c>
      <c r="F370" t="e">
        <f>AND(#REF!,"AAAAAH3cvwU=")</f>
        <v>#REF!</v>
      </c>
      <c r="G370" t="e">
        <f>AND(#REF!,"AAAAAH3cvwY=")</f>
        <v>#REF!</v>
      </c>
      <c r="H370" t="e">
        <f>AND(#REF!,"AAAAAH3cvwc=")</f>
        <v>#REF!</v>
      </c>
      <c r="I370" t="e">
        <f>AND(#REF!,"AAAAAH3cvwg=")</f>
        <v>#REF!</v>
      </c>
      <c r="J370" t="e">
        <f>AND(#REF!,"AAAAAH3cvwk=")</f>
        <v>#REF!</v>
      </c>
      <c r="K370" t="e">
        <f>AND(#REF!,"AAAAAH3cvwo=")</f>
        <v>#REF!</v>
      </c>
      <c r="L370" t="e">
        <f>AND(#REF!,"AAAAAH3cvws=")</f>
        <v>#REF!</v>
      </c>
      <c r="M370" t="e">
        <f>AND(#REF!,"AAAAAH3cvww=")</f>
        <v>#REF!</v>
      </c>
      <c r="N370" t="e">
        <f>AND(#REF!,"AAAAAH3cvw0=")</f>
        <v>#REF!</v>
      </c>
      <c r="O370" t="e">
        <f>AND(#REF!,"AAAAAH3cvw4=")</f>
        <v>#REF!</v>
      </c>
      <c r="P370" t="e">
        <f>AND(#REF!,"AAAAAH3cvw8=")</f>
        <v>#REF!</v>
      </c>
      <c r="Q370" t="e">
        <f>AND(#REF!,"AAAAAH3cvxA=")</f>
        <v>#REF!</v>
      </c>
      <c r="R370" t="e">
        <f>AND(#REF!,"AAAAAH3cvxE=")</f>
        <v>#REF!</v>
      </c>
      <c r="S370" t="e">
        <f>AND(#REF!,"AAAAAH3cvxI=")</f>
        <v>#REF!</v>
      </c>
      <c r="T370" t="e">
        <f>AND(#REF!,"AAAAAH3cvxM=")</f>
        <v>#REF!</v>
      </c>
      <c r="U370" t="e">
        <f>AND(#REF!,"AAAAAH3cvxQ=")</f>
        <v>#REF!</v>
      </c>
      <c r="V370" t="e">
        <f>IF(#REF!,"AAAAAH3cvxU=",0)</f>
        <v>#REF!</v>
      </c>
      <c r="W370" t="e">
        <f>AND(#REF!,"AAAAAH3cvxY=")</f>
        <v>#REF!</v>
      </c>
      <c r="X370" t="e">
        <f>AND(#REF!,"AAAAAH3cvxc=")</f>
        <v>#REF!</v>
      </c>
      <c r="Y370" t="e">
        <f>AND(#REF!,"AAAAAH3cvxg=")</f>
        <v>#REF!</v>
      </c>
      <c r="Z370" t="e">
        <f>AND(#REF!,"AAAAAH3cvxk=")</f>
        <v>#REF!</v>
      </c>
      <c r="AA370" t="e">
        <f>AND(#REF!,"AAAAAH3cvxo=")</f>
        <v>#REF!</v>
      </c>
      <c r="AB370" t="e">
        <f>AND(#REF!,"AAAAAH3cvxs=")</f>
        <v>#REF!</v>
      </c>
      <c r="AC370" t="e">
        <f>AND(#REF!,"AAAAAH3cvxw=")</f>
        <v>#REF!</v>
      </c>
      <c r="AD370" t="e">
        <f>AND(#REF!,"AAAAAH3cvx0=")</f>
        <v>#REF!</v>
      </c>
      <c r="AE370" t="e">
        <f>AND(#REF!,"AAAAAH3cvx4=")</f>
        <v>#REF!</v>
      </c>
      <c r="AF370" t="e">
        <f>AND(#REF!,"AAAAAH3cvx8=")</f>
        <v>#REF!</v>
      </c>
      <c r="AG370" t="e">
        <f>AND(#REF!,"AAAAAH3cvyA=")</f>
        <v>#REF!</v>
      </c>
      <c r="AH370" t="e">
        <f>AND(#REF!,"AAAAAH3cvyE=")</f>
        <v>#REF!</v>
      </c>
      <c r="AI370" t="e">
        <f>AND(#REF!,"AAAAAH3cvyI=")</f>
        <v>#REF!</v>
      </c>
      <c r="AJ370" t="e">
        <f>AND(#REF!,"AAAAAH3cvyM=")</f>
        <v>#REF!</v>
      </c>
      <c r="AK370" t="e">
        <f>AND(#REF!,"AAAAAH3cvyQ=")</f>
        <v>#REF!</v>
      </c>
      <c r="AL370" t="e">
        <f>AND(#REF!,"AAAAAH3cvyU=")</f>
        <v>#REF!</v>
      </c>
      <c r="AM370" t="e">
        <f>AND(#REF!,"AAAAAH3cvyY=")</f>
        <v>#REF!</v>
      </c>
      <c r="AN370" t="e">
        <f>AND(#REF!,"AAAAAH3cvyc=")</f>
        <v>#REF!</v>
      </c>
      <c r="AO370" t="e">
        <f>AND(#REF!,"AAAAAH3cvyg=")</f>
        <v>#REF!</v>
      </c>
      <c r="AP370" t="e">
        <f>AND(#REF!,"AAAAAH3cvyk=")</f>
        <v>#REF!</v>
      </c>
      <c r="AQ370" t="e">
        <f>AND(#REF!,"AAAAAH3cvyo=")</f>
        <v>#REF!</v>
      </c>
      <c r="AR370" t="e">
        <f>AND(#REF!,"AAAAAH3cvys=")</f>
        <v>#REF!</v>
      </c>
      <c r="AS370" t="e">
        <f>AND(#REF!,"AAAAAH3cvyw=")</f>
        <v>#REF!</v>
      </c>
      <c r="AT370" t="e">
        <f>AND(#REF!,"AAAAAH3cvy0=")</f>
        <v>#REF!</v>
      </c>
      <c r="AU370" t="e">
        <f>IF(#REF!,"AAAAAH3cvy4=",0)</f>
        <v>#REF!</v>
      </c>
      <c r="AV370" t="e">
        <f>AND(#REF!,"AAAAAH3cvy8=")</f>
        <v>#REF!</v>
      </c>
      <c r="AW370" t="e">
        <f>AND(#REF!,"AAAAAH3cvzA=")</f>
        <v>#REF!</v>
      </c>
      <c r="AX370" t="e">
        <f>AND(#REF!,"AAAAAH3cvzE=")</f>
        <v>#REF!</v>
      </c>
      <c r="AY370" t="e">
        <f>AND(#REF!,"AAAAAH3cvzI=")</f>
        <v>#REF!</v>
      </c>
      <c r="AZ370" t="e">
        <f>AND(#REF!,"AAAAAH3cvzM=")</f>
        <v>#REF!</v>
      </c>
      <c r="BA370" t="e">
        <f>AND(#REF!,"AAAAAH3cvzQ=")</f>
        <v>#REF!</v>
      </c>
      <c r="BB370" t="e">
        <f>AND(#REF!,"AAAAAH3cvzU=")</f>
        <v>#REF!</v>
      </c>
      <c r="BC370" t="e">
        <f>AND(#REF!,"AAAAAH3cvzY=")</f>
        <v>#REF!</v>
      </c>
      <c r="BD370" t="e">
        <f>AND(#REF!,"AAAAAH3cvzc=")</f>
        <v>#REF!</v>
      </c>
      <c r="BE370" t="e">
        <f>AND(#REF!,"AAAAAH3cvzg=")</f>
        <v>#REF!</v>
      </c>
      <c r="BF370" t="e">
        <f>AND(#REF!,"AAAAAH3cvzk=")</f>
        <v>#REF!</v>
      </c>
      <c r="BG370" t="e">
        <f>AND(#REF!,"AAAAAH3cvzo=")</f>
        <v>#REF!</v>
      </c>
      <c r="BH370" t="e">
        <f>AND(#REF!,"AAAAAH3cvzs=")</f>
        <v>#REF!</v>
      </c>
      <c r="BI370" t="e">
        <f>AND(#REF!,"AAAAAH3cvzw=")</f>
        <v>#REF!</v>
      </c>
      <c r="BJ370" t="e">
        <f>AND(#REF!,"AAAAAH3cvz0=")</f>
        <v>#REF!</v>
      </c>
      <c r="BK370" t="e">
        <f>AND(#REF!,"AAAAAH3cvz4=")</f>
        <v>#REF!</v>
      </c>
      <c r="BL370" t="e">
        <f>AND(#REF!,"AAAAAH3cvz8=")</f>
        <v>#REF!</v>
      </c>
      <c r="BM370" t="e">
        <f>AND(#REF!,"AAAAAH3cv0A=")</f>
        <v>#REF!</v>
      </c>
      <c r="BN370" t="e">
        <f>AND(#REF!,"AAAAAH3cv0E=")</f>
        <v>#REF!</v>
      </c>
      <c r="BO370" t="e">
        <f>AND(#REF!,"AAAAAH3cv0I=")</f>
        <v>#REF!</v>
      </c>
      <c r="BP370" t="e">
        <f>AND(#REF!,"AAAAAH3cv0M=")</f>
        <v>#REF!</v>
      </c>
      <c r="BQ370" t="e">
        <f>AND(#REF!,"AAAAAH3cv0Q=")</f>
        <v>#REF!</v>
      </c>
      <c r="BR370" t="e">
        <f>AND(#REF!,"AAAAAH3cv0U=")</f>
        <v>#REF!</v>
      </c>
      <c r="BS370" t="e">
        <f>AND(#REF!,"AAAAAH3cv0Y=")</f>
        <v>#REF!</v>
      </c>
      <c r="BT370" t="e">
        <f>IF(#REF!,"AAAAAH3cv0c=",0)</f>
        <v>#REF!</v>
      </c>
      <c r="BU370" t="e">
        <f>AND(#REF!,"AAAAAH3cv0g=")</f>
        <v>#REF!</v>
      </c>
      <c r="BV370" t="e">
        <f>AND(#REF!,"AAAAAH3cv0k=")</f>
        <v>#REF!</v>
      </c>
      <c r="BW370" t="e">
        <f>AND(#REF!,"AAAAAH3cv0o=")</f>
        <v>#REF!</v>
      </c>
      <c r="BX370" t="e">
        <f>AND(#REF!,"AAAAAH3cv0s=")</f>
        <v>#REF!</v>
      </c>
      <c r="BY370" t="e">
        <f>AND(#REF!,"AAAAAH3cv0w=")</f>
        <v>#REF!</v>
      </c>
      <c r="BZ370" t="e">
        <f>AND(#REF!,"AAAAAH3cv00=")</f>
        <v>#REF!</v>
      </c>
      <c r="CA370" t="e">
        <f>AND(#REF!,"AAAAAH3cv04=")</f>
        <v>#REF!</v>
      </c>
      <c r="CB370" t="e">
        <f>AND(#REF!,"AAAAAH3cv08=")</f>
        <v>#REF!</v>
      </c>
      <c r="CC370" t="e">
        <f>AND(#REF!,"AAAAAH3cv1A=")</f>
        <v>#REF!</v>
      </c>
      <c r="CD370" t="e">
        <f>AND(#REF!,"AAAAAH3cv1E=")</f>
        <v>#REF!</v>
      </c>
      <c r="CE370" t="e">
        <f>AND(#REF!,"AAAAAH3cv1I=")</f>
        <v>#REF!</v>
      </c>
      <c r="CF370" t="e">
        <f>AND(#REF!,"AAAAAH3cv1M=")</f>
        <v>#REF!</v>
      </c>
      <c r="CG370" t="e">
        <f>AND(#REF!,"AAAAAH3cv1Q=")</f>
        <v>#REF!</v>
      </c>
      <c r="CH370" t="e">
        <f>AND(#REF!,"AAAAAH3cv1U=")</f>
        <v>#REF!</v>
      </c>
      <c r="CI370" t="e">
        <f>AND(#REF!,"AAAAAH3cv1Y=")</f>
        <v>#REF!</v>
      </c>
      <c r="CJ370" t="e">
        <f>AND(#REF!,"AAAAAH3cv1c=")</f>
        <v>#REF!</v>
      </c>
      <c r="CK370" t="e">
        <f>AND(#REF!,"AAAAAH3cv1g=")</f>
        <v>#REF!</v>
      </c>
      <c r="CL370" t="e">
        <f>AND(#REF!,"AAAAAH3cv1k=")</f>
        <v>#REF!</v>
      </c>
      <c r="CM370" t="e">
        <f>AND(#REF!,"AAAAAH3cv1o=")</f>
        <v>#REF!</v>
      </c>
      <c r="CN370" t="e">
        <f>AND(#REF!,"AAAAAH3cv1s=")</f>
        <v>#REF!</v>
      </c>
      <c r="CO370" t="e">
        <f>AND(#REF!,"AAAAAH3cv1w=")</f>
        <v>#REF!</v>
      </c>
      <c r="CP370" t="e">
        <f>AND(#REF!,"AAAAAH3cv10=")</f>
        <v>#REF!</v>
      </c>
      <c r="CQ370" t="e">
        <f>AND(#REF!,"AAAAAH3cv14=")</f>
        <v>#REF!</v>
      </c>
      <c r="CR370" t="e">
        <f>AND(#REF!,"AAAAAH3cv18=")</f>
        <v>#REF!</v>
      </c>
      <c r="CS370" t="e">
        <f>IF(#REF!,"AAAAAH3cv2A=",0)</f>
        <v>#REF!</v>
      </c>
      <c r="CT370" t="e">
        <f>AND(#REF!,"AAAAAH3cv2E=")</f>
        <v>#REF!</v>
      </c>
      <c r="CU370" t="e">
        <f>AND(#REF!,"AAAAAH3cv2I=")</f>
        <v>#REF!</v>
      </c>
      <c r="CV370" t="e">
        <f>AND(#REF!,"AAAAAH3cv2M=")</f>
        <v>#REF!</v>
      </c>
      <c r="CW370" t="e">
        <f>AND(#REF!,"AAAAAH3cv2Q=")</f>
        <v>#REF!</v>
      </c>
      <c r="CX370" t="e">
        <f>AND(#REF!,"AAAAAH3cv2U=")</f>
        <v>#REF!</v>
      </c>
      <c r="CY370" t="e">
        <f>AND(#REF!,"AAAAAH3cv2Y=")</f>
        <v>#REF!</v>
      </c>
      <c r="CZ370" t="e">
        <f>AND(#REF!,"AAAAAH3cv2c=")</f>
        <v>#REF!</v>
      </c>
      <c r="DA370" t="e">
        <f>AND(#REF!,"AAAAAH3cv2g=")</f>
        <v>#REF!</v>
      </c>
      <c r="DB370" t="e">
        <f>AND(#REF!,"AAAAAH3cv2k=")</f>
        <v>#REF!</v>
      </c>
      <c r="DC370" t="e">
        <f>AND(#REF!,"AAAAAH3cv2o=")</f>
        <v>#REF!</v>
      </c>
      <c r="DD370" t="e">
        <f>AND(#REF!,"AAAAAH3cv2s=")</f>
        <v>#REF!</v>
      </c>
      <c r="DE370" t="e">
        <f>AND(#REF!,"AAAAAH3cv2w=")</f>
        <v>#REF!</v>
      </c>
      <c r="DF370" t="e">
        <f>AND(#REF!,"AAAAAH3cv20=")</f>
        <v>#REF!</v>
      </c>
      <c r="DG370" t="e">
        <f>AND(#REF!,"AAAAAH3cv24=")</f>
        <v>#REF!</v>
      </c>
      <c r="DH370" t="e">
        <f>AND(#REF!,"AAAAAH3cv28=")</f>
        <v>#REF!</v>
      </c>
      <c r="DI370" t="e">
        <f>AND(#REF!,"AAAAAH3cv3A=")</f>
        <v>#REF!</v>
      </c>
      <c r="DJ370" t="e">
        <f>AND(#REF!,"AAAAAH3cv3E=")</f>
        <v>#REF!</v>
      </c>
      <c r="DK370" t="e">
        <f>AND(#REF!,"AAAAAH3cv3I=")</f>
        <v>#REF!</v>
      </c>
      <c r="DL370" t="e">
        <f>AND(#REF!,"AAAAAH3cv3M=")</f>
        <v>#REF!</v>
      </c>
      <c r="DM370" t="e">
        <f>AND(#REF!,"AAAAAH3cv3Q=")</f>
        <v>#REF!</v>
      </c>
      <c r="DN370" t="e">
        <f>AND(#REF!,"AAAAAH3cv3U=")</f>
        <v>#REF!</v>
      </c>
      <c r="DO370" t="e">
        <f>AND(#REF!,"AAAAAH3cv3Y=")</f>
        <v>#REF!</v>
      </c>
      <c r="DP370" t="e">
        <f>AND(#REF!,"AAAAAH3cv3c=")</f>
        <v>#REF!</v>
      </c>
      <c r="DQ370" t="e">
        <f>AND(#REF!,"AAAAAH3cv3g=")</f>
        <v>#REF!</v>
      </c>
      <c r="DR370" t="e">
        <f>IF(#REF!,"AAAAAH3cv3k=",0)</f>
        <v>#REF!</v>
      </c>
      <c r="DS370" t="e">
        <f>AND(#REF!,"AAAAAH3cv3o=")</f>
        <v>#REF!</v>
      </c>
      <c r="DT370" t="e">
        <f>AND(#REF!,"AAAAAH3cv3s=")</f>
        <v>#REF!</v>
      </c>
      <c r="DU370" t="e">
        <f>AND(#REF!,"AAAAAH3cv3w=")</f>
        <v>#REF!</v>
      </c>
      <c r="DV370" t="e">
        <f>AND(#REF!,"AAAAAH3cv30=")</f>
        <v>#REF!</v>
      </c>
      <c r="DW370" t="e">
        <f>AND(#REF!,"AAAAAH3cv34=")</f>
        <v>#REF!</v>
      </c>
      <c r="DX370" t="e">
        <f>AND(#REF!,"AAAAAH3cv38=")</f>
        <v>#REF!</v>
      </c>
      <c r="DY370" t="e">
        <f>AND(#REF!,"AAAAAH3cv4A=")</f>
        <v>#REF!</v>
      </c>
      <c r="DZ370" t="e">
        <f>AND(#REF!,"AAAAAH3cv4E=")</f>
        <v>#REF!</v>
      </c>
      <c r="EA370" t="e">
        <f>AND(#REF!,"AAAAAH3cv4I=")</f>
        <v>#REF!</v>
      </c>
      <c r="EB370" t="e">
        <f>AND(#REF!,"AAAAAH3cv4M=")</f>
        <v>#REF!</v>
      </c>
      <c r="EC370" t="e">
        <f>AND(#REF!,"AAAAAH3cv4Q=")</f>
        <v>#REF!</v>
      </c>
      <c r="ED370" t="e">
        <f>AND(#REF!,"AAAAAH3cv4U=")</f>
        <v>#REF!</v>
      </c>
      <c r="EE370" t="e">
        <f>AND(#REF!,"AAAAAH3cv4Y=")</f>
        <v>#REF!</v>
      </c>
      <c r="EF370" t="e">
        <f>AND(#REF!,"AAAAAH3cv4c=")</f>
        <v>#REF!</v>
      </c>
      <c r="EG370" t="e">
        <f>AND(#REF!,"AAAAAH3cv4g=")</f>
        <v>#REF!</v>
      </c>
      <c r="EH370" t="e">
        <f>AND(#REF!,"AAAAAH3cv4k=")</f>
        <v>#REF!</v>
      </c>
      <c r="EI370" t="e">
        <f>AND(#REF!,"AAAAAH3cv4o=")</f>
        <v>#REF!</v>
      </c>
      <c r="EJ370" t="e">
        <f>AND(#REF!,"AAAAAH3cv4s=")</f>
        <v>#REF!</v>
      </c>
      <c r="EK370" t="e">
        <f>AND(#REF!,"AAAAAH3cv4w=")</f>
        <v>#REF!</v>
      </c>
      <c r="EL370" t="e">
        <f>AND(#REF!,"AAAAAH3cv40=")</f>
        <v>#REF!</v>
      </c>
      <c r="EM370" t="e">
        <f>AND(#REF!,"AAAAAH3cv44=")</f>
        <v>#REF!</v>
      </c>
      <c r="EN370" t="e">
        <f>AND(#REF!,"AAAAAH3cv48=")</f>
        <v>#REF!</v>
      </c>
      <c r="EO370" t="e">
        <f>AND(#REF!,"AAAAAH3cv5A=")</f>
        <v>#REF!</v>
      </c>
      <c r="EP370" t="e">
        <f>AND(#REF!,"AAAAAH3cv5E=")</f>
        <v>#REF!</v>
      </c>
      <c r="EQ370" t="e">
        <f>IF(#REF!,"AAAAAH3cv5I=",0)</f>
        <v>#REF!</v>
      </c>
      <c r="ER370" t="e">
        <f>AND(#REF!,"AAAAAH3cv5M=")</f>
        <v>#REF!</v>
      </c>
      <c r="ES370" t="e">
        <f>AND(#REF!,"AAAAAH3cv5Q=")</f>
        <v>#REF!</v>
      </c>
      <c r="ET370" t="e">
        <f>AND(#REF!,"AAAAAH3cv5U=")</f>
        <v>#REF!</v>
      </c>
      <c r="EU370" t="e">
        <f>AND(#REF!,"AAAAAH3cv5Y=")</f>
        <v>#REF!</v>
      </c>
      <c r="EV370" t="e">
        <f>AND(#REF!,"AAAAAH3cv5c=")</f>
        <v>#REF!</v>
      </c>
      <c r="EW370" t="e">
        <f>AND(#REF!,"AAAAAH3cv5g=")</f>
        <v>#REF!</v>
      </c>
      <c r="EX370" t="e">
        <f>AND(#REF!,"AAAAAH3cv5k=")</f>
        <v>#REF!</v>
      </c>
      <c r="EY370" t="e">
        <f>AND(#REF!,"AAAAAH3cv5o=")</f>
        <v>#REF!</v>
      </c>
      <c r="EZ370" t="e">
        <f>AND(#REF!,"AAAAAH3cv5s=")</f>
        <v>#REF!</v>
      </c>
      <c r="FA370" t="e">
        <f>AND(#REF!,"AAAAAH3cv5w=")</f>
        <v>#REF!</v>
      </c>
      <c r="FB370" t="e">
        <f>AND(#REF!,"AAAAAH3cv50=")</f>
        <v>#REF!</v>
      </c>
      <c r="FC370" t="e">
        <f>AND(#REF!,"AAAAAH3cv54=")</f>
        <v>#REF!</v>
      </c>
      <c r="FD370" t="e">
        <f>AND(#REF!,"AAAAAH3cv58=")</f>
        <v>#REF!</v>
      </c>
      <c r="FE370" t="e">
        <f>AND(#REF!,"AAAAAH3cv6A=")</f>
        <v>#REF!</v>
      </c>
      <c r="FF370" t="e">
        <f>AND(#REF!,"AAAAAH3cv6E=")</f>
        <v>#REF!</v>
      </c>
      <c r="FG370" t="e">
        <f>AND(#REF!,"AAAAAH3cv6I=")</f>
        <v>#REF!</v>
      </c>
      <c r="FH370" t="e">
        <f>AND(#REF!,"AAAAAH3cv6M=")</f>
        <v>#REF!</v>
      </c>
      <c r="FI370" t="e">
        <f>AND(#REF!,"AAAAAH3cv6Q=")</f>
        <v>#REF!</v>
      </c>
      <c r="FJ370" t="e">
        <f>AND(#REF!,"AAAAAH3cv6U=")</f>
        <v>#REF!</v>
      </c>
      <c r="FK370" t="e">
        <f>AND(#REF!,"AAAAAH3cv6Y=")</f>
        <v>#REF!</v>
      </c>
      <c r="FL370" t="e">
        <f>AND(#REF!,"AAAAAH3cv6c=")</f>
        <v>#REF!</v>
      </c>
      <c r="FM370" t="e">
        <f>AND(#REF!,"AAAAAH3cv6g=")</f>
        <v>#REF!</v>
      </c>
      <c r="FN370" t="e">
        <f>AND(#REF!,"AAAAAH3cv6k=")</f>
        <v>#REF!</v>
      </c>
      <c r="FO370" t="e">
        <f>AND(#REF!,"AAAAAH3cv6o=")</f>
        <v>#REF!</v>
      </c>
      <c r="FP370" t="e">
        <f>IF(#REF!,"AAAAAH3cv6s=",0)</f>
        <v>#REF!</v>
      </c>
      <c r="FQ370" t="e">
        <f>AND(#REF!,"AAAAAH3cv6w=")</f>
        <v>#REF!</v>
      </c>
      <c r="FR370" t="e">
        <f>AND(#REF!,"AAAAAH3cv60=")</f>
        <v>#REF!</v>
      </c>
      <c r="FS370" t="e">
        <f>AND(#REF!,"AAAAAH3cv64=")</f>
        <v>#REF!</v>
      </c>
      <c r="FT370" t="e">
        <f>AND(#REF!,"AAAAAH3cv68=")</f>
        <v>#REF!</v>
      </c>
      <c r="FU370" t="e">
        <f>AND(#REF!,"AAAAAH3cv7A=")</f>
        <v>#REF!</v>
      </c>
      <c r="FV370" t="e">
        <f>AND(#REF!,"AAAAAH3cv7E=")</f>
        <v>#REF!</v>
      </c>
      <c r="FW370" t="e">
        <f>AND(#REF!,"AAAAAH3cv7I=")</f>
        <v>#REF!</v>
      </c>
      <c r="FX370" t="e">
        <f>AND(#REF!,"AAAAAH3cv7M=")</f>
        <v>#REF!</v>
      </c>
      <c r="FY370" t="e">
        <f>AND(#REF!,"AAAAAH3cv7Q=")</f>
        <v>#REF!</v>
      </c>
      <c r="FZ370" t="e">
        <f>AND(#REF!,"AAAAAH3cv7U=")</f>
        <v>#REF!</v>
      </c>
      <c r="GA370" t="e">
        <f>AND(#REF!,"AAAAAH3cv7Y=")</f>
        <v>#REF!</v>
      </c>
      <c r="GB370" t="e">
        <f>AND(#REF!,"AAAAAH3cv7c=")</f>
        <v>#REF!</v>
      </c>
      <c r="GC370" t="e">
        <f>AND(#REF!,"AAAAAH3cv7g=")</f>
        <v>#REF!</v>
      </c>
      <c r="GD370" t="e">
        <f>AND(#REF!,"AAAAAH3cv7k=")</f>
        <v>#REF!</v>
      </c>
      <c r="GE370" t="e">
        <f>AND(#REF!,"AAAAAH3cv7o=")</f>
        <v>#REF!</v>
      </c>
      <c r="GF370" t="e">
        <f>AND(#REF!,"AAAAAH3cv7s=")</f>
        <v>#REF!</v>
      </c>
      <c r="GG370" t="e">
        <f>AND(#REF!,"AAAAAH3cv7w=")</f>
        <v>#REF!</v>
      </c>
      <c r="GH370" t="e">
        <f>AND(#REF!,"AAAAAH3cv70=")</f>
        <v>#REF!</v>
      </c>
      <c r="GI370" t="e">
        <f>AND(#REF!,"AAAAAH3cv74=")</f>
        <v>#REF!</v>
      </c>
      <c r="GJ370" t="e">
        <f>AND(#REF!,"AAAAAH3cv78=")</f>
        <v>#REF!</v>
      </c>
      <c r="GK370" t="e">
        <f>AND(#REF!,"AAAAAH3cv8A=")</f>
        <v>#REF!</v>
      </c>
      <c r="GL370" t="e">
        <f>AND(#REF!,"AAAAAH3cv8E=")</f>
        <v>#REF!</v>
      </c>
      <c r="GM370" t="e">
        <f>AND(#REF!,"AAAAAH3cv8I=")</f>
        <v>#REF!</v>
      </c>
      <c r="GN370" t="e">
        <f>AND(#REF!,"AAAAAH3cv8M=")</f>
        <v>#REF!</v>
      </c>
      <c r="GO370" t="e">
        <f>IF(#REF!,"AAAAAH3cv8Q=",0)</f>
        <v>#REF!</v>
      </c>
      <c r="GP370" t="e">
        <f>AND(#REF!,"AAAAAH3cv8U=")</f>
        <v>#REF!</v>
      </c>
      <c r="GQ370" t="e">
        <f>AND(#REF!,"AAAAAH3cv8Y=")</f>
        <v>#REF!</v>
      </c>
      <c r="GR370" t="e">
        <f>AND(#REF!,"AAAAAH3cv8c=")</f>
        <v>#REF!</v>
      </c>
      <c r="GS370" t="e">
        <f>AND(#REF!,"AAAAAH3cv8g=")</f>
        <v>#REF!</v>
      </c>
      <c r="GT370" t="e">
        <f>AND(#REF!,"AAAAAH3cv8k=")</f>
        <v>#REF!</v>
      </c>
      <c r="GU370" t="e">
        <f>AND(#REF!,"AAAAAH3cv8o=")</f>
        <v>#REF!</v>
      </c>
      <c r="GV370" t="e">
        <f>AND(#REF!,"AAAAAH3cv8s=")</f>
        <v>#REF!</v>
      </c>
      <c r="GW370" t="e">
        <f>AND(#REF!,"AAAAAH3cv8w=")</f>
        <v>#REF!</v>
      </c>
      <c r="GX370" t="e">
        <f>AND(#REF!,"AAAAAH3cv80=")</f>
        <v>#REF!</v>
      </c>
      <c r="GY370" t="e">
        <f>AND(#REF!,"AAAAAH3cv84=")</f>
        <v>#REF!</v>
      </c>
      <c r="GZ370" t="e">
        <f>AND(#REF!,"AAAAAH3cv88=")</f>
        <v>#REF!</v>
      </c>
      <c r="HA370" t="e">
        <f>AND(#REF!,"AAAAAH3cv9A=")</f>
        <v>#REF!</v>
      </c>
      <c r="HB370" t="e">
        <f>AND(#REF!,"AAAAAH3cv9E=")</f>
        <v>#REF!</v>
      </c>
      <c r="HC370" t="e">
        <f>AND(#REF!,"AAAAAH3cv9I=")</f>
        <v>#REF!</v>
      </c>
      <c r="HD370" t="e">
        <f>AND(#REF!,"AAAAAH3cv9M=")</f>
        <v>#REF!</v>
      </c>
      <c r="HE370" t="e">
        <f>AND(#REF!,"AAAAAH3cv9Q=")</f>
        <v>#REF!</v>
      </c>
      <c r="HF370" t="e">
        <f>AND(#REF!,"AAAAAH3cv9U=")</f>
        <v>#REF!</v>
      </c>
      <c r="HG370" t="e">
        <f>AND(#REF!,"AAAAAH3cv9Y=")</f>
        <v>#REF!</v>
      </c>
      <c r="HH370" t="e">
        <f>AND(#REF!,"AAAAAH3cv9c=")</f>
        <v>#REF!</v>
      </c>
      <c r="HI370" t="e">
        <f>AND(#REF!,"AAAAAH3cv9g=")</f>
        <v>#REF!</v>
      </c>
      <c r="HJ370" t="e">
        <f>AND(#REF!,"AAAAAH3cv9k=")</f>
        <v>#REF!</v>
      </c>
      <c r="HK370" t="e">
        <f>AND(#REF!,"AAAAAH3cv9o=")</f>
        <v>#REF!</v>
      </c>
      <c r="HL370" t="e">
        <f>AND(#REF!,"AAAAAH3cv9s=")</f>
        <v>#REF!</v>
      </c>
      <c r="HM370" t="e">
        <f>AND(#REF!,"AAAAAH3cv9w=")</f>
        <v>#REF!</v>
      </c>
      <c r="HN370" t="e">
        <f>IF(#REF!,"AAAAAH3cv90=",0)</f>
        <v>#REF!</v>
      </c>
      <c r="HO370" t="e">
        <f>AND(#REF!,"AAAAAH3cv94=")</f>
        <v>#REF!</v>
      </c>
      <c r="HP370" t="e">
        <f>AND(#REF!,"AAAAAH3cv98=")</f>
        <v>#REF!</v>
      </c>
      <c r="HQ370" t="e">
        <f>AND(#REF!,"AAAAAH3cv+A=")</f>
        <v>#REF!</v>
      </c>
      <c r="HR370" t="e">
        <f>AND(#REF!,"AAAAAH3cv+E=")</f>
        <v>#REF!</v>
      </c>
      <c r="HS370" t="e">
        <f>AND(#REF!,"AAAAAH3cv+I=")</f>
        <v>#REF!</v>
      </c>
      <c r="HT370" t="e">
        <f>AND(#REF!,"AAAAAH3cv+M=")</f>
        <v>#REF!</v>
      </c>
      <c r="HU370" t="e">
        <f>AND(#REF!,"AAAAAH3cv+Q=")</f>
        <v>#REF!</v>
      </c>
      <c r="HV370" t="e">
        <f>AND(#REF!,"AAAAAH3cv+U=")</f>
        <v>#REF!</v>
      </c>
      <c r="HW370" t="e">
        <f>AND(#REF!,"AAAAAH3cv+Y=")</f>
        <v>#REF!</v>
      </c>
      <c r="HX370" t="e">
        <f>AND(#REF!,"AAAAAH3cv+c=")</f>
        <v>#REF!</v>
      </c>
      <c r="HY370" t="e">
        <f>AND(#REF!,"AAAAAH3cv+g=")</f>
        <v>#REF!</v>
      </c>
      <c r="HZ370" t="e">
        <f>AND(#REF!,"AAAAAH3cv+k=")</f>
        <v>#REF!</v>
      </c>
      <c r="IA370" t="e">
        <f>AND(#REF!,"AAAAAH3cv+o=")</f>
        <v>#REF!</v>
      </c>
      <c r="IB370" t="e">
        <f>AND(#REF!,"AAAAAH3cv+s=")</f>
        <v>#REF!</v>
      </c>
      <c r="IC370" t="e">
        <f>AND(#REF!,"AAAAAH3cv+w=")</f>
        <v>#REF!</v>
      </c>
      <c r="ID370" t="e">
        <f>AND(#REF!,"AAAAAH3cv+0=")</f>
        <v>#REF!</v>
      </c>
      <c r="IE370" t="e">
        <f>AND(#REF!,"AAAAAH3cv+4=")</f>
        <v>#REF!</v>
      </c>
      <c r="IF370" t="e">
        <f>AND(#REF!,"AAAAAH3cv+8=")</f>
        <v>#REF!</v>
      </c>
      <c r="IG370" t="e">
        <f>AND(#REF!,"AAAAAH3cv/A=")</f>
        <v>#REF!</v>
      </c>
      <c r="IH370" t="e">
        <f>AND(#REF!,"AAAAAH3cv/E=")</f>
        <v>#REF!</v>
      </c>
      <c r="II370" t="e">
        <f>AND(#REF!,"AAAAAH3cv/I=")</f>
        <v>#REF!</v>
      </c>
      <c r="IJ370" t="e">
        <f>AND(#REF!,"AAAAAH3cv/M=")</f>
        <v>#REF!</v>
      </c>
      <c r="IK370" t="e">
        <f>AND(#REF!,"AAAAAH3cv/Q=")</f>
        <v>#REF!</v>
      </c>
      <c r="IL370" t="e">
        <f>AND(#REF!,"AAAAAH3cv/U=")</f>
        <v>#REF!</v>
      </c>
      <c r="IM370" t="e">
        <f>IF(#REF!,"AAAAAH3cv/Y=",0)</f>
        <v>#REF!</v>
      </c>
      <c r="IN370" t="e">
        <f>AND(#REF!,"AAAAAH3cv/c=")</f>
        <v>#REF!</v>
      </c>
      <c r="IO370" t="e">
        <f>AND(#REF!,"AAAAAH3cv/g=")</f>
        <v>#REF!</v>
      </c>
      <c r="IP370" t="e">
        <f>AND(#REF!,"AAAAAH3cv/k=")</f>
        <v>#REF!</v>
      </c>
      <c r="IQ370" t="e">
        <f>AND(#REF!,"AAAAAH3cv/o=")</f>
        <v>#REF!</v>
      </c>
      <c r="IR370" t="e">
        <f>AND(#REF!,"AAAAAH3cv/s=")</f>
        <v>#REF!</v>
      </c>
      <c r="IS370" t="e">
        <f>AND(#REF!,"AAAAAH3cv/w=")</f>
        <v>#REF!</v>
      </c>
      <c r="IT370" t="e">
        <f>AND(#REF!,"AAAAAH3cv/0=")</f>
        <v>#REF!</v>
      </c>
      <c r="IU370" t="e">
        <f>AND(#REF!,"AAAAAH3cv/4=")</f>
        <v>#REF!</v>
      </c>
      <c r="IV370" t="e">
        <f>AND(#REF!,"AAAAAH3cv/8=")</f>
        <v>#REF!</v>
      </c>
    </row>
    <row r="371" spans="1:256">
      <c r="A371" t="e">
        <f>AND(#REF!,"AAAAAE/3xQA=")</f>
        <v>#REF!</v>
      </c>
      <c r="B371" t="e">
        <f>AND(#REF!,"AAAAAE/3xQE=")</f>
        <v>#REF!</v>
      </c>
      <c r="C371" t="e">
        <f>AND(#REF!,"AAAAAE/3xQI=")</f>
        <v>#REF!</v>
      </c>
      <c r="D371" t="e">
        <f>AND(#REF!,"AAAAAE/3xQM=")</f>
        <v>#REF!</v>
      </c>
      <c r="E371" t="e">
        <f>AND(#REF!,"AAAAAE/3xQQ=")</f>
        <v>#REF!</v>
      </c>
      <c r="F371" t="e">
        <f>AND(#REF!,"AAAAAE/3xQU=")</f>
        <v>#REF!</v>
      </c>
      <c r="G371" t="e">
        <f>AND(#REF!,"AAAAAE/3xQY=")</f>
        <v>#REF!</v>
      </c>
      <c r="H371" t="e">
        <f>AND(#REF!,"AAAAAE/3xQc=")</f>
        <v>#REF!</v>
      </c>
      <c r="I371" t="e">
        <f>AND(#REF!,"AAAAAE/3xQg=")</f>
        <v>#REF!</v>
      </c>
      <c r="J371" t="e">
        <f>AND(#REF!,"AAAAAE/3xQk=")</f>
        <v>#REF!</v>
      </c>
      <c r="K371" t="e">
        <f>AND(#REF!,"AAAAAE/3xQo=")</f>
        <v>#REF!</v>
      </c>
      <c r="L371" t="e">
        <f>AND(#REF!,"AAAAAE/3xQs=")</f>
        <v>#REF!</v>
      </c>
      <c r="M371" t="e">
        <f>AND(#REF!,"AAAAAE/3xQw=")</f>
        <v>#REF!</v>
      </c>
      <c r="N371" t="e">
        <f>AND(#REF!,"AAAAAE/3xQ0=")</f>
        <v>#REF!</v>
      </c>
      <c r="O371" t="e">
        <f>AND(#REF!,"AAAAAE/3xQ4=")</f>
        <v>#REF!</v>
      </c>
      <c r="P371" t="e">
        <f>IF(#REF!,"AAAAAE/3xQ8=",0)</f>
        <v>#REF!</v>
      </c>
      <c r="Q371" t="e">
        <f>AND(#REF!,"AAAAAE/3xRA=")</f>
        <v>#REF!</v>
      </c>
      <c r="R371" t="e">
        <f>AND(#REF!,"AAAAAE/3xRE=")</f>
        <v>#REF!</v>
      </c>
      <c r="S371" t="e">
        <f>AND(#REF!,"AAAAAE/3xRI=")</f>
        <v>#REF!</v>
      </c>
      <c r="T371" t="e">
        <f>AND(#REF!,"AAAAAE/3xRM=")</f>
        <v>#REF!</v>
      </c>
      <c r="U371" t="e">
        <f>AND(#REF!,"AAAAAE/3xRQ=")</f>
        <v>#REF!</v>
      </c>
      <c r="V371" t="e">
        <f>AND(#REF!,"AAAAAE/3xRU=")</f>
        <v>#REF!</v>
      </c>
      <c r="W371" t="e">
        <f>AND(#REF!,"AAAAAE/3xRY=")</f>
        <v>#REF!</v>
      </c>
      <c r="X371" t="e">
        <f>AND(#REF!,"AAAAAE/3xRc=")</f>
        <v>#REF!</v>
      </c>
      <c r="Y371" t="e">
        <f>AND(#REF!,"AAAAAE/3xRg=")</f>
        <v>#REF!</v>
      </c>
      <c r="Z371" t="e">
        <f>AND(#REF!,"AAAAAE/3xRk=")</f>
        <v>#REF!</v>
      </c>
      <c r="AA371" t="e">
        <f>AND(#REF!,"AAAAAE/3xRo=")</f>
        <v>#REF!</v>
      </c>
      <c r="AB371" t="e">
        <f>AND(#REF!,"AAAAAE/3xRs=")</f>
        <v>#REF!</v>
      </c>
      <c r="AC371" t="e">
        <f>AND(#REF!,"AAAAAE/3xRw=")</f>
        <v>#REF!</v>
      </c>
      <c r="AD371" t="e">
        <f>AND(#REF!,"AAAAAE/3xR0=")</f>
        <v>#REF!</v>
      </c>
      <c r="AE371" t="e">
        <f>AND(#REF!,"AAAAAE/3xR4=")</f>
        <v>#REF!</v>
      </c>
      <c r="AF371" t="e">
        <f>AND(#REF!,"AAAAAE/3xR8=")</f>
        <v>#REF!</v>
      </c>
      <c r="AG371" t="e">
        <f>AND(#REF!,"AAAAAE/3xSA=")</f>
        <v>#REF!</v>
      </c>
      <c r="AH371" t="e">
        <f>AND(#REF!,"AAAAAE/3xSE=")</f>
        <v>#REF!</v>
      </c>
      <c r="AI371" t="e">
        <f>AND(#REF!,"AAAAAE/3xSI=")</f>
        <v>#REF!</v>
      </c>
      <c r="AJ371" t="e">
        <f>AND(#REF!,"AAAAAE/3xSM=")</f>
        <v>#REF!</v>
      </c>
      <c r="AK371" t="e">
        <f>AND(#REF!,"AAAAAE/3xSQ=")</f>
        <v>#REF!</v>
      </c>
      <c r="AL371" t="e">
        <f>AND(#REF!,"AAAAAE/3xSU=")</f>
        <v>#REF!</v>
      </c>
      <c r="AM371" t="e">
        <f>AND(#REF!,"AAAAAE/3xSY=")</f>
        <v>#REF!</v>
      </c>
      <c r="AN371" t="e">
        <f>AND(#REF!,"AAAAAE/3xSc=")</f>
        <v>#REF!</v>
      </c>
      <c r="AO371" t="e">
        <f>IF(#REF!,"AAAAAE/3xSg=",0)</f>
        <v>#REF!</v>
      </c>
      <c r="AP371" t="e">
        <f>AND(#REF!,"AAAAAE/3xSk=")</f>
        <v>#REF!</v>
      </c>
      <c r="AQ371" t="e">
        <f>AND(#REF!,"AAAAAE/3xSo=")</f>
        <v>#REF!</v>
      </c>
      <c r="AR371" t="e">
        <f>AND(#REF!,"AAAAAE/3xSs=")</f>
        <v>#REF!</v>
      </c>
      <c r="AS371" t="e">
        <f>AND(#REF!,"AAAAAE/3xSw=")</f>
        <v>#REF!</v>
      </c>
      <c r="AT371" t="e">
        <f>AND(#REF!,"AAAAAE/3xS0=")</f>
        <v>#REF!</v>
      </c>
      <c r="AU371" t="e">
        <f>AND(#REF!,"AAAAAE/3xS4=")</f>
        <v>#REF!</v>
      </c>
      <c r="AV371" t="e">
        <f>AND(#REF!,"AAAAAE/3xS8=")</f>
        <v>#REF!</v>
      </c>
      <c r="AW371" t="e">
        <f>AND(#REF!,"AAAAAE/3xTA=")</f>
        <v>#REF!</v>
      </c>
      <c r="AX371" t="e">
        <f>AND(#REF!,"AAAAAE/3xTE=")</f>
        <v>#REF!</v>
      </c>
      <c r="AY371" t="e">
        <f>AND(#REF!,"AAAAAE/3xTI=")</f>
        <v>#REF!</v>
      </c>
      <c r="AZ371" t="e">
        <f>AND(#REF!,"AAAAAE/3xTM=")</f>
        <v>#REF!</v>
      </c>
      <c r="BA371" t="e">
        <f>AND(#REF!,"AAAAAE/3xTQ=")</f>
        <v>#REF!</v>
      </c>
      <c r="BB371" t="e">
        <f>AND(#REF!,"AAAAAE/3xTU=")</f>
        <v>#REF!</v>
      </c>
      <c r="BC371" t="e">
        <f>AND(#REF!,"AAAAAE/3xTY=")</f>
        <v>#REF!</v>
      </c>
      <c r="BD371" t="e">
        <f>AND(#REF!,"AAAAAE/3xTc=")</f>
        <v>#REF!</v>
      </c>
      <c r="BE371" t="e">
        <f>AND(#REF!,"AAAAAE/3xTg=")</f>
        <v>#REF!</v>
      </c>
      <c r="BF371" t="e">
        <f>AND(#REF!,"AAAAAE/3xTk=")</f>
        <v>#REF!</v>
      </c>
      <c r="BG371" t="e">
        <f>AND(#REF!,"AAAAAE/3xTo=")</f>
        <v>#REF!</v>
      </c>
      <c r="BH371" t="e">
        <f>AND(#REF!,"AAAAAE/3xTs=")</f>
        <v>#REF!</v>
      </c>
      <c r="BI371" t="e">
        <f>AND(#REF!,"AAAAAE/3xTw=")</f>
        <v>#REF!</v>
      </c>
      <c r="BJ371" t="e">
        <f>AND(#REF!,"AAAAAE/3xT0=")</f>
        <v>#REF!</v>
      </c>
      <c r="BK371" t="e">
        <f>AND(#REF!,"AAAAAE/3xT4=")</f>
        <v>#REF!</v>
      </c>
      <c r="BL371" t="e">
        <f>AND(#REF!,"AAAAAE/3xT8=")</f>
        <v>#REF!</v>
      </c>
      <c r="BM371" t="e">
        <f>AND(#REF!,"AAAAAE/3xUA=")</f>
        <v>#REF!</v>
      </c>
      <c r="BN371" t="e">
        <f>IF(#REF!,"AAAAAE/3xUE=",0)</f>
        <v>#REF!</v>
      </c>
      <c r="BO371" t="e">
        <f>AND(#REF!,"AAAAAE/3xUI=")</f>
        <v>#REF!</v>
      </c>
      <c r="BP371" t="e">
        <f>AND(#REF!,"AAAAAE/3xUM=")</f>
        <v>#REF!</v>
      </c>
      <c r="BQ371" t="e">
        <f>AND(#REF!,"AAAAAE/3xUQ=")</f>
        <v>#REF!</v>
      </c>
      <c r="BR371" t="e">
        <f>AND(#REF!,"AAAAAE/3xUU=")</f>
        <v>#REF!</v>
      </c>
      <c r="BS371" t="e">
        <f>AND(#REF!,"AAAAAE/3xUY=")</f>
        <v>#REF!</v>
      </c>
      <c r="BT371" t="e">
        <f>AND(#REF!,"AAAAAE/3xUc=")</f>
        <v>#REF!</v>
      </c>
      <c r="BU371" t="e">
        <f>AND(#REF!,"AAAAAE/3xUg=")</f>
        <v>#REF!</v>
      </c>
      <c r="BV371" t="e">
        <f>AND(#REF!,"AAAAAE/3xUk=")</f>
        <v>#REF!</v>
      </c>
      <c r="BW371" t="e">
        <f>AND(#REF!,"AAAAAE/3xUo=")</f>
        <v>#REF!</v>
      </c>
      <c r="BX371" t="e">
        <f>AND(#REF!,"AAAAAE/3xUs=")</f>
        <v>#REF!</v>
      </c>
      <c r="BY371" t="e">
        <f>AND(#REF!,"AAAAAE/3xUw=")</f>
        <v>#REF!</v>
      </c>
      <c r="BZ371" t="e">
        <f>AND(#REF!,"AAAAAE/3xU0=")</f>
        <v>#REF!</v>
      </c>
      <c r="CA371" t="e">
        <f>AND(#REF!,"AAAAAE/3xU4=")</f>
        <v>#REF!</v>
      </c>
      <c r="CB371" t="e">
        <f>AND(#REF!,"AAAAAE/3xU8=")</f>
        <v>#REF!</v>
      </c>
      <c r="CC371" t="e">
        <f>AND(#REF!,"AAAAAE/3xVA=")</f>
        <v>#REF!</v>
      </c>
      <c r="CD371" t="e">
        <f>AND(#REF!,"AAAAAE/3xVE=")</f>
        <v>#REF!</v>
      </c>
      <c r="CE371" t="e">
        <f>AND(#REF!,"AAAAAE/3xVI=")</f>
        <v>#REF!</v>
      </c>
      <c r="CF371" t="e">
        <f>AND(#REF!,"AAAAAE/3xVM=")</f>
        <v>#REF!</v>
      </c>
      <c r="CG371" t="e">
        <f>AND(#REF!,"AAAAAE/3xVQ=")</f>
        <v>#REF!</v>
      </c>
      <c r="CH371" t="e">
        <f>AND(#REF!,"AAAAAE/3xVU=")</f>
        <v>#REF!</v>
      </c>
      <c r="CI371" t="e">
        <f>AND(#REF!,"AAAAAE/3xVY=")</f>
        <v>#REF!</v>
      </c>
      <c r="CJ371" t="e">
        <f>AND(#REF!,"AAAAAE/3xVc=")</f>
        <v>#REF!</v>
      </c>
      <c r="CK371" t="e">
        <f>AND(#REF!,"AAAAAE/3xVg=")</f>
        <v>#REF!</v>
      </c>
      <c r="CL371" t="e">
        <f>AND(#REF!,"AAAAAE/3xVk=")</f>
        <v>#REF!</v>
      </c>
      <c r="CM371" t="e">
        <f>IF(#REF!,"AAAAAE/3xVo=",0)</f>
        <v>#REF!</v>
      </c>
      <c r="CN371" t="e">
        <f>AND(#REF!,"AAAAAE/3xVs=")</f>
        <v>#REF!</v>
      </c>
      <c r="CO371" t="e">
        <f>AND(#REF!,"AAAAAE/3xVw=")</f>
        <v>#REF!</v>
      </c>
      <c r="CP371" t="e">
        <f>AND(#REF!,"AAAAAE/3xV0=")</f>
        <v>#REF!</v>
      </c>
      <c r="CQ371" t="e">
        <f>AND(#REF!,"AAAAAE/3xV4=")</f>
        <v>#REF!</v>
      </c>
      <c r="CR371" t="e">
        <f>AND(#REF!,"AAAAAE/3xV8=")</f>
        <v>#REF!</v>
      </c>
      <c r="CS371" t="e">
        <f>AND(#REF!,"AAAAAE/3xWA=")</f>
        <v>#REF!</v>
      </c>
      <c r="CT371" t="e">
        <f>AND(#REF!,"AAAAAE/3xWE=")</f>
        <v>#REF!</v>
      </c>
      <c r="CU371" t="e">
        <f>AND(#REF!,"AAAAAE/3xWI=")</f>
        <v>#REF!</v>
      </c>
      <c r="CV371" t="e">
        <f>AND(#REF!,"AAAAAE/3xWM=")</f>
        <v>#REF!</v>
      </c>
      <c r="CW371" t="e">
        <f>AND(#REF!,"AAAAAE/3xWQ=")</f>
        <v>#REF!</v>
      </c>
      <c r="CX371" t="e">
        <f>AND(#REF!,"AAAAAE/3xWU=")</f>
        <v>#REF!</v>
      </c>
      <c r="CY371" t="e">
        <f>AND(#REF!,"AAAAAE/3xWY=")</f>
        <v>#REF!</v>
      </c>
      <c r="CZ371" t="e">
        <f>AND(#REF!,"AAAAAE/3xWc=")</f>
        <v>#REF!</v>
      </c>
      <c r="DA371" t="e">
        <f>AND(#REF!,"AAAAAE/3xWg=")</f>
        <v>#REF!</v>
      </c>
      <c r="DB371" t="e">
        <f>AND(#REF!,"AAAAAE/3xWk=")</f>
        <v>#REF!</v>
      </c>
      <c r="DC371" t="e">
        <f>AND(#REF!,"AAAAAE/3xWo=")</f>
        <v>#REF!</v>
      </c>
      <c r="DD371" t="e">
        <f>AND(#REF!,"AAAAAE/3xWs=")</f>
        <v>#REF!</v>
      </c>
      <c r="DE371" t="e">
        <f>AND(#REF!,"AAAAAE/3xWw=")</f>
        <v>#REF!</v>
      </c>
      <c r="DF371" t="e">
        <f>AND(#REF!,"AAAAAE/3xW0=")</f>
        <v>#REF!</v>
      </c>
      <c r="DG371" t="e">
        <f>AND(#REF!,"AAAAAE/3xW4=")</f>
        <v>#REF!</v>
      </c>
      <c r="DH371" t="e">
        <f>AND(#REF!,"AAAAAE/3xW8=")</f>
        <v>#REF!</v>
      </c>
      <c r="DI371" t="e">
        <f>AND(#REF!,"AAAAAE/3xXA=")</f>
        <v>#REF!</v>
      </c>
      <c r="DJ371" t="e">
        <f>AND(#REF!,"AAAAAE/3xXE=")</f>
        <v>#REF!</v>
      </c>
      <c r="DK371" t="e">
        <f>AND(#REF!,"AAAAAE/3xXI=")</f>
        <v>#REF!</v>
      </c>
      <c r="DL371" t="e">
        <f>IF(#REF!,"AAAAAE/3xXM=",0)</f>
        <v>#REF!</v>
      </c>
      <c r="DM371" t="e">
        <f>AND(#REF!,"AAAAAE/3xXQ=")</f>
        <v>#REF!</v>
      </c>
      <c r="DN371" t="e">
        <f>AND(#REF!,"AAAAAE/3xXU=")</f>
        <v>#REF!</v>
      </c>
      <c r="DO371" t="e">
        <f>AND(#REF!,"AAAAAE/3xXY=")</f>
        <v>#REF!</v>
      </c>
      <c r="DP371" t="e">
        <f>AND(#REF!,"AAAAAE/3xXc=")</f>
        <v>#REF!</v>
      </c>
      <c r="DQ371" t="e">
        <f>AND(#REF!,"AAAAAE/3xXg=")</f>
        <v>#REF!</v>
      </c>
      <c r="DR371" t="e">
        <f>AND(#REF!,"AAAAAE/3xXk=")</f>
        <v>#REF!</v>
      </c>
      <c r="DS371" t="e">
        <f>AND(#REF!,"AAAAAE/3xXo=")</f>
        <v>#REF!</v>
      </c>
      <c r="DT371" t="e">
        <f>AND(#REF!,"AAAAAE/3xXs=")</f>
        <v>#REF!</v>
      </c>
      <c r="DU371" t="e">
        <f>AND(#REF!,"AAAAAE/3xXw=")</f>
        <v>#REF!</v>
      </c>
      <c r="DV371" t="e">
        <f>AND(#REF!,"AAAAAE/3xX0=")</f>
        <v>#REF!</v>
      </c>
      <c r="DW371" t="e">
        <f>AND(#REF!,"AAAAAE/3xX4=")</f>
        <v>#REF!</v>
      </c>
      <c r="DX371" t="e">
        <f>AND(#REF!,"AAAAAE/3xX8=")</f>
        <v>#REF!</v>
      </c>
      <c r="DY371" t="e">
        <f>AND(#REF!,"AAAAAE/3xYA=")</f>
        <v>#REF!</v>
      </c>
      <c r="DZ371" t="e">
        <f>AND(#REF!,"AAAAAE/3xYE=")</f>
        <v>#REF!</v>
      </c>
      <c r="EA371" t="e">
        <f>AND(#REF!,"AAAAAE/3xYI=")</f>
        <v>#REF!</v>
      </c>
      <c r="EB371" t="e">
        <f>AND(#REF!,"AAAAAE/3xYM=")</f>
        <v>#REF!</v>
      </c>
      <c r="EC371" t="e">
        <f>AND(#REF!,"AAAAAE/3xYQ=")</f>
        <v>#REF!</v>
      </c>
      <c r="ED371" t="e">
        <f>AND(#REF!,"AAAAAE/3xYU=")</f>
        <v>#REF!</v>
      </c>
      <c r="EE371" t="e">
        <f>AND(#REF!,"AAAAAE/3xYY=")</f>
        <v>#REF!</v>
      </c>
      <c r="EF371" t="e">
        <f>AND(#REF!,"AAAAAE/3xYc=")</f>
        <v>#REF!</v>
      </c>
      <c r="EG371" t="e">
        <f>AND(#REF!,"AAAAAE/3xYg=")</f>
        <v>#REF!</v>
      </c>
      <c r="EH371" t="e">
        <f>AND(#REF!,"AAAAAE/3xYk=")</f>
        <v>#REF!</v>
      </c>
      <c r="EI371" t="e">
        <f>AND(#REF!,"AAAAAE/3xYo=")</f>
        <v>#REF!</v>
      </c>
      <c r="EJ371" t="e">
        <f>AND(#REF!,"AAAAAE/3xYs=")</f>
        <v>#REF!</v>
      </c>
      <c r="EK371" t="e">
        <f>IF(#REF!,"AAAAAE/3xYw=",0)</f>
        <v>#REF!</v>
      </c>
      <c r="EL371" t="e">
        <f>AND(#REF!,"AAAAAE/3xY0=")</f>
        <v>#REF!</v>
      </c>
      <c r="EM371" t="e">
        <f>AND(#REF!,"AAAAAE/3xY4=")</f>
        <v>#REF!</v>
      </c>
      <c r="EN371" t="e">
        <f>AND(#REF!,"AAAAAE/3xY8=")</f>
        <v>#REF!</v>
      </c>
      <c r="EO371" t="e">
        <f>AND(#REF!,"AAAAAE/3xZA=")</f>
        <v>#REF!</v>
      </c>
      <c r="EP371" t="e">
        <f>AND(#REF!,"AAAAAE/3xZE=")</f>
        <v>#REF!</v>
      </c>
      <c r="EQ371" t="e">
        <f>AND(#REF!,"AAAAAE/3xZI=")</f>
        <v>#REF!</v>
      </c>
      <c r="ER371" t="e">
        <f>AND(#REF!,"AAAAAE/3xZM=")</f>
        <v>#REF!</v>
      </c>
      <c r="ES371" t="e">
        <f>AND(#REF!,"AAAAAE/3xZQ=")</f>
        <v>#REF!</v>
      </c>
      <c r="ET371" t="e">
        <f>AND(#REF!,"AAAAAE/3xZU=")</f>
        <v>#REF!</v>
      </c>
      <c r="EU371" t="e">
        <f>AND(#REF!,"AAAAAE/3xZY=")</f>
        <v>#REF!</v>
      </c>
      <c r="EV371" t="e">
        <f>AND(#REF!,"AAAAAE/3xZc=")</f>
        <v>#REF!</v>
      </c>
      <c r="EW371" t="e">
        <f>AND(#REF!,"AAAAAE/3xZg=")</f>
        <v>#REF!</v>
      </c>
      <c r="EX371" t="e">
        <f>AND(#REF!,"AAAAAE/3xZk=")</f>
        <v>#REF!</v>
      </c>
      <c r="EY371" t="e">
        <f>AND(#REF!,"AAAAAE/3xZo=")</f>
        <v>#REF!</v>
      </c>
      <c r="EZ371" t="e">
        <f>AND(#REF!,"AAAAAE/3xZs=")</f>
        <v>#REF!</v>
      </c>
      <c r="FA371" t="e">
        <f>AND(#REF!,"AAAAAE/3xZw=")</f>
        <v>#REF!</v>
      </c>
      <c r="FB371" t="e">
        <f>AND(#REF!,"AAAAAE/3xZ0=")</f>
        <v>#REF!</v>
      </c>
      <c r="FC371" t="e">
        <f>AND(#REF!,"AAAAAE/3xZ4=")</f>
        <v>#REF!</v>
      </c>
      <c r="FD371" t="e">
        <f>AND(#REF!,"AAAAAE/3xZ8=")</f>
        <v>#REF!</v>
      </c>
      <c r="FE371" t="e">
        <f>AND(#REF!,"AAAAAE/3xaA=")</f>
        <v>#REF!</v>
      </c>
      <c r="FF371" t="e">
        <f>AND(#REF!,"AAAAAE/3xaE=")</f>
        <v>#REF!</v>
      </c>
      <c r="FG371" t="e">
        <f>AND(#REF!,"AAAAAE/3xaI=")</f>
        <v>#REF!</v>
      </c>
      <c r="FH371" t="e">
        <f>AND(#REF!,"AAAAAE/3xaM=")</f>
        <v>#REF!</v>
      </c>
      <c r="FI371" t="e">
        <f>AND(#REF!,"AAAAAE/3xaQ=")</f>
        <v>#REF!</v>
      </c>
      <c r="FJ371" t="e">
        <f>IF(#REF!,"AAAAAE/3xaU=",0)</f>
        <v>#REF!</v>
      </c>
      <c r="FK371" t="e">
        <f>AND(#REF!,"AAAAAE/3xaY=")</f>
        <v>#REF!</v>
      </c>
      <c r="FL371" t="e">
        <f>AND(#REF!,"AAAAAE/3xac=")</f>
        <v>#REF!</v>
      </c>
      <c r="FM371" t="e">
        <f>AND(#REF!,"AAAAAE/3xag=")</f>
        <v>#REF!</v>
      </c>
      <c r="FN371" t="e">
        <f>AND(#REF!,"AAAAAE/3xak=")</f>
        <v>#REF!</v>
      </c>
      <c r="FO371" t="e">
        <f>AND(#REF!,"AAAAAE/3xao=")</f>
        <v>#REF!</v>
      </c>
      <c r="FP371" t="e">
        <f>AND(#REF!,"AAAAAE/3xas=")</f>
        <v>#REF!</v>
      </c>
      <c r="FQ371" t="e">
        <f>AND(#REF!,"AAAAAE/3xaw=")</f>
        <v>#REF!</v>
      </c>
      <c r="FR371" t="e">
        <f>AND(#REF!,"AAAAAE/3xa0=")</f>
        <v>#REF!</v>
      </c>
      <c r="FS371" t="e">
        <f>AND(#REF!,"AAAAAE/3xa4=")</f>
        <v>#REF!</v>
      </c>
      <c r="FT371" t="e">
        <f>AND(#REF!,"AAAAAE/3xa8=")</f>
        <v>#REF!</v>
      </c>
      <c r="FU371" t="e">
        <f>AND(#REF!,"AAAAAE/3xbA=")</f>
        <v>#REF!</v>
      </c>
      <c r="FV371" t="e">
        <f>AND(#REF!,"AAAAAE/3xbE=")</f>
        <v>#REF!</v>
      </c>
      <c r="FW371" t="e">
        <f>AND(#REF!,"AAAAAE/3xbI=")</f>
        <v>#REF!</v>
      </c>
      <c r="FX371" t="e">
        <f>AND(#REF!,"AAAAAE/3xbM=")</f>
        <v>#REF!</v>
      </c>
      <c r="FY371" t="e">
        <f>AND(#REF!,"AAAAAE/3xbQ=")</f>
        <v>#REF!</v>
      </c>
      <c r="FZ371" t="e">
        <f>AND(#REF!,"AAAAAE/3xbU=")</f>
        <v>#REF!</v>
      </c>
      <c r="GA371" t="e">
        <f>AND(#REF!,"AAAAAE/3xbY=")</f>
        <v>#REF!</v>
      </c>
      <c r="GB371" t="e">
        <f>AND(#REF!,"AAAAAE/3xbc=")</f>
        <v>#REF!</v>
      </c>
      <c r="GC371" t="e">
        <f>AND(#REF!,"AAAAAE/3xbg=")</f>
        <v>#REF!</v>
      </c>
      <c r="GD371" t="e">
        <f>AND(#REF!,"AAAAAE/3xbk=")</f>
        <v>#REF!</v>
      </c>
      <c r="GE371" t="e">
        <f>AND(#REF!,"AAAAAE/3xbo=")</f>
        <v>#REF!</v>
      </c>
      <c r="GF371" t="e">
        <f>AND(#REF!,"AAAAAE/3xbs=")</f>
        <v>#REF!</v>
      </c>
      <c r="GG371" t="e">
        <f>AND(#REF!,"AAAAAE/3xbw=")</f>
        <v>#REF!</v>
      </c>
      <c r="GH371" t="e">
        <f>AND(#REF!,"AAAAAE/3xb0=")</f>
        <v>#REF!</v>
      </c>
      <c r="GI371" t="e">
        <f>IF(#REF!,"AAAAAE/3xb4=",0)</f>
        <v>#REF!</v>
      </c>
      <c r="GJ371" t="e">
        <f>AND(#REF!,"AAAAAE/3xb8=")</f>
        <v>#REF!</v>
      </c>
      <c r="GK371" t="e">
        <f>AND(#REF!,"AAAAAE/3xcA=")</f>
        <v>#REF!</v>
      </c>
      <c r="GL371" t="e">
        <f>AND(#REF!,"AAAAAE/3xcE=")</f>
        <v>#REF!</v>
      </c>
      <c r="GM371" t="e">
        <f>AND(#REF!,"AAAAAE/3xcI=")</f>
        <v>#REF!</v>
      </c>
      <c r="GN371" t="e">
        <f>AND(#REF!,"AAAAAE/3xcM=")</f>
        <v>#REF!</v>
      </c>
      <c r="GO371" t="e">
        <f>AND(#REF!,"AAAAAE/3xcQ=")</f>
        <v>#REF!</v>
      </c>
      <c r="GP371" t="e">
        <f>AND(#REF!,"AAAAAE/3xcU=")</f>
        <v>#REF!</v>
      </c>
      <c r="GQ371" t="e">
        <f>AND(#REF!,"AAAAAE/3xcY=")</f>
        <v>#REF!</v>
      </c>
      <c r="GR371" t="e">
        <f>AND(#REF!,"AAAAAE/3xcc=")</f>
        <v>#REF!</v>
      </c>
      <c r="GS371" t="e">
        <f>AND(#REF!,"AAAAAE/3xcg=")</f>
        <v>#REF!</v>
      </c>
      <c r="GT371" t="e">
        <f>AND(#REF!,"AAAAAE/3xck=")</f>
        <v>#REF!</v>
      </c>
      <c r="GU371" t="e">
        <f>AND(#REF!,"AAAAAE/3xco=")</f>
        <v>#REF!</v>
      </c>
      <c r="GV371" t="e">
        <f>AND(#REF!,"AAAAAE/3xcs=")</f>
        <v>#REF!</v>
      </c>
      <c r="GW371" t="e">
        <f>AND(#REF!,"AAAAAE/3xcw=")</f>
        <v>#REF!</v>
      </c>
      <c r="GX371" t="e">
        <f>AND(#REF!,"AAAAAE/3xc0=")</f>
        <v>#REF!</v>
      </c>
      <c r="GY371" t="e">
        <f>AND(#REF!,"AAAAAE/3xc4=")</f>
        <v>#REF!</v>
      </c>
      <c r="GZ371" t="e">
        <f>AND(#REF!,"AAAAAE/3xc8=")</f>
        <v>#REF!</v>
      </c>
      <c r="HA371" t="e">
        <f>AND(#REF!,"AAAAAE/3xdA=")</f>
        <v>#REF!</v>
      </c>
      <c r="HB371" t="e">
        <f>AND(#REF!,"AAAAAE/3xdE=")</f>
        <v>#REF!</v>
      </c>
      <c r="HC371" t="e">
        <f>AND(#REF!,"AAAAAE/3xdI=")</f>
        <v>#REF!</v>
      </c>
      <c r="HD371" t="e">
        <f>AND(#REF!,"AAAAAE/3xdM=")</f>
        <v>#REF!</v>
      </c>
      <c r="HE371" t="e">
        <f>AND(#REF!,"AAAAAE/3xdQ=")</f>
        <v>#REF!</v>
      </c>
      <c r="HF371" t="e">
        <f>AND(#REF!,"AAAAAE/3xdU=")</f>
        <v>#REF!</v>
      </c>
      <c r="HG371" t="e">
        <f>AND(#REF!,"AAAAAE/3xdY=")</f>
        <v>#REF!</v>
      </c>
      <c r="HH371" t="e">
        <f>IF(#REF!,"AAAAAE/3xdc=",0)</f>
        <v>#REF!</v>
      </c>
      <c r="HI371" t="e">
        <f>AND(#REF!,"AAAAAE/3xdg=")</f>
        <v>#REF!</v>
      </c>
      <c r="HJ371" t="e">
        <f>AND(#REF!,"AAAAAE/3xdk=")</f>
        <v>#REF!</v>
      </c>
      <c r="HK371" t="e">
        <f>AND(#REF!,"AAAAAE/3xdo=")</f>
        <v>#REF!</v>
      </c>
      <c r="HL371" t="e">
        <f>AND(#REF!,"AAAAAE/3xds=")</f>
        <v>#REF!</v>
      </c>
      <c r="HM371" t="e">
        <f>AND(#REF!,"AAAAAE/3xdw=")</f>
        <v>#REF!</v>
      </c>
      <c r="HN371" t="e">
        <f>AND(#REF!,"AAAAAE/3xd0=")</f>
        <v>#REF!</v>
      </c>
      <c r="HO371" t="e">
        <f>AND(#REF!,"AAAAAE/3xd4=")</f>
        <v>#REF!</v>
      </c>
      <c r="HP371" t="e">
        <f>AND(#REF!,"AAAAAE/3xd8=")</f>
        <v>#REF!</v>
      </c>
      <c r="HQ371" t="e">
        <f>AND(#REF!,"AAAAAE/3xeA=")</f>
        <v>#REF!</v>
      </c>
      <c r="HR371" t="e">
        <f>AND(#REF!,"AAAAAE/3xeE=")</f>
        <v>#REF!</v>
      </c>
      <c r="HS371" t="e">
        <f>AND(#REF!,"AAAAAE/3xeI=")</f>
        <v>#REF!</v>
      </c>
      <c r="HT371" t="e">
        <f>AND(#REF!,"AAAAAE/3xeM=")</f>
        <v>#REF!</v>
      </c>
      <c r="HU371" t="e">
        <f>AND(#REF!,"AAAAAE/3xeQ=")</f>
        <v>#REF!</v>
      </c>
      <c r="HV371" t="e">
        <f>AND(#REF!,"AAAAAE/3xeU=")</f>
        <v>#REF!</v>
      </c>
      <c r="HW371" t="e">
        <f>AND(#REF!,"AAAAAE/3xeY=")</f>
        <v>#REF!</v>
      </c>
      <c r="HX371" t="e">
        <f>AND(#REF!,"AAAAAE/3xec=")</f>
        <v>#REF!</v>
      </c>
      <c r="HY371" t="e">
        <f>AND(#REF!,"AAAAAE/3xeg=")</f>
        <v>#REF!</v>
      </c>
      <c r="HZ371" t="e">
        <f>AND(#REF!,"AAAAAE/3xek=")</f>
        <v>#REF!</v>
      </c>
      <c r="IA371" t="e">
        <f>AND(#REF!,"AAAAAE/3xeo=")</f>
        <v>#REF!</v>
      </c>
      <c r="IB371" t="e">
        <f>AND(#REF!,"AAAAAE/3xes=")</f>
        <v>#REF!</v>
      </c>
      <c r="IC371" t="e">
        <f>AND(#REF!,"AAAAAE/3xew=")</f>
        <v>#REF!</v>
      </c>
      <c r="ID371" t="e">
        <f>AND(#REF!,"AAAAAE/3xe0=")</f>
        <v>#REF!</v>
      </c>
      <c r="IE371" t="e">
        <f>AND(#REF!,"AAAAAE/3xe4=")</f>
        <v>#REF!</v>
      </c>
      <c r="IF371" t="e">
        <f>AND(#REF!,"AAAAAE/3xe8=")</f>
        <v>#REF!</v>
      </c>
      <c r="IG371" t="e">
        <f>IF(#REF!,"AAAAAE/3xfA=",0)</f>
        <v>#REF!</v>
      </c>
      <c r="IH371" t="e">
        <f>AND(#REF!,"AAAAAE/3xfE=")</f>
        <v>#REF!</v>
      </c>
      <c r="II371" t="e">
        <f>AND(#REF!,"AAAAAE/3xfI=")</f>
        <v>#REF!</v>
      </c>
      <c r="IJ371" t="e">
        <f>AND(#REF!,"AAAAAE/3xfM=")</f>
        <v>#REF!</v>
      </c>
      <c r="IK371" t="e">
        <f>AND(#REF!,"AAAAAE/3xfQ=")</f>
        <v>#REF!</v>
      </c>
      <c r="IL371" t="e">
        <f>AND(#REF!,"AAAAAE/3xfU=")</f>
        <v>#REF!</v>
      </c>
      <c r="IM371" t="e">
        <f>AND(#REF!,"AAAAAE/3xfY=")</f>
        <v>#REF!</v>
      </c>
      <c r="IN371" t="e">
        <f>AND(#REF!,"AAAAAE/3xfc=")</f>
        <v>#REF!</v>
      </c>
      <c r="IO371" t="e">
        <f>AND(#REF!,"AAAAAE/3xfg=")</f>
        <v>#REF!</v>
      </c>
      <c r="IP371" t="e">
        <f>AND(#REF!,"AAAAAE/3xfk=")</f>
        <v>#REF!</v>
      </c>
      <c r="IQ371" t="e">
        <f>AND(#REF!,"AAAAAE/3xfo=")</f>
        <v>#REF!</v>
      </c>
      <c r="IR371" t="e">
        <f>AND(#REF!,"AAAAAE/3xfs=")</f>
        <v>#REF!</v>
      </c>
      <c r="IS371" t="e">
        <f>AND(#REF!,"AAAAAE/3xfw=")</f>
        <v>#REF!</v>
      </c>
      <c r="IT371" t="e">
        <f>AND(#REF!,"AAAAAE/3xf0=")</f>
        <v>#REF!</v>
      </c>
      <c r="IU371" t="e">
        <f>AND(#REF!,"AAAAAE/3xf4=")</f>
        <v>#REF!</v>
      </c>
      <c r="IV371" t="e">
        <f>AND(#REF!,"AAAAAE/3xf8=")</f>
        <v>#REF!</v>
      </c>
    </row>
    <row r="372" spans="1:256">
      <c r="A372" t="e">
        <f>AND(#REF!,"AAAAAEl7bgA=")</f>
        <v>#REF!</v>
      </c>
      <c r="B372" t="e">
        <f>AND(#REF!,"AAAAAEl7bgE=")</f>
        <v>#REF!</v>
      </c>
      <c r="C372" t="e">
        <f>AND(#REF!,"AAAAAEl7bgI=")</f>
        <v>#REF!</v>
      </c>
      <c r="D372" t="e">
        <f>AND(#REF!,"AAAAAEl7bgM=")</f>
        <v>#REF!</v>
      </c>
      <c r="E372" t="e">
        <f>AND(#REF!,"AAAAAEl7bgQ=")</f>
        <v>#REF!</v>
      </c>
      <c r="F372" t="e">
        <f>AND(#REF!,"AAAAAEl7bgU=")</f>
        <v>#REF!</v>
      </c>
      <c r="G372" t="e">
        <f>AND(#REF!,"AAAAAEl7bgY=")</f>
        <v>#REF!</v>
      </c>
      <c r="H372" t="e">
        <f>AND(#REF!,"AAAAAEl7bgc=")</f>
        <v>#REF!</v>
      </c>
      <c r="I372" t="e">
        <f>AND(#REF!,"AAAAAEl7bgg=")</f>
        <v>#REF!</v>
      </c>
      <c r="J372" t="e">
        <f>IF(#REF!,"AAAAAEl7bgk=",0)</f>
        <v>#REF!</v>
      </c>
      <c r="K372" t="e">
        <f>AND(#REF!,"AAAAAEl7bgo=")</f>
        <v>#REF!</v>
      </c>
      <c r="L372" t="e">
        <f>AND(#REF!,"AAAAAEl7bgs=")</f>
        <v>#REF!</v>
      </c>
      <c r="M372" t="e">
        <f>AND(#REF!,"AAAAAEl7bgw=")</f>
        <v>#REF!</v>
      </c>
      <c r="N372" t="e">
        <f>AND(#REF!,"AAAAAEl7bg0=")</f>
        <v>#REF!</v>
      </c>
      <c r="O372" t="e">
        <f>AND(#REF!,"AAAAAEl7bg4=")</f>
        <v>#REF!</v>
      </c>
      <c r="P372" t="e">
        <f>AND(#REF!,"AAAAAEl7bg8=")</f>
        <v>#REF!</v>
      </c>
      <c r="Q372" t="e">
        <f>AND(#REF!,"AAAAAEl7bhA=")</f>
        <v>#REF!</v>
      </c>
      <c r="R372" t="e">
        <f>AND(#REF!,"AAAAAEl7bhE=")</f>
        <v>#REF!</v>
      </c>
      <c r="S372" t="e">
        <f>AND(#REF!,"AAAAAEl7bhI=")</f>
        <v>#REF!</v>
      </c>
      <c r="T372" t="e">
        <f>AND(#REF!,"AAAAAEl7bhM=")</f>
        <v>#REF!</v>
      </c>
      <c r="U372" t="e">
        <f>AND(#REF!,"AAAAAEl7bhQ=")</f>
        <v>#REF!</v>
      </c>
      <c r="V372" t="e">
        <f>AND(#REF!,"AAAAAEl7bhU=")</f>
        <v>#REF!</v>
      </c>
      <c r="W372" t="e">
        <f>AND(#REF!,"AAAAAEl7bhY=")</f>
        <v>#REF!</v>
      </c>
      <c r="X372" t="e">
        <f>AND(#REF!,"AAAAAEl7bhc=")</f>
        <v>#REF!</v>
      </c>
      <c r="Y372" t="e">
        <f>AND(#REF!,"AAAAAEl7bhg=")</f>
        <v>#REF!</v>
      </c>
      <c r="Z372" t="e">
        <f>AND(#REF!,"AAAAAEl7bhk=")</f>
        <v>#REF!</v>
      </c>
      <c r="AA372" t="e">
        <f>AND(#REF!,"AAAAAEl7bho=")</f>
        <v>#REF!</v>
      </c>
      <c r="AB372" t="e">
        <f>AND(#REF!,"AAAAAEl7bhs=")</f>
        <v>#REF!</v>
      </c>
      <c r="AC372" t="e">
        <f>AND(#REF!,"AAAAAEl7bhw=")</f>
        <v>#REF!</v>
      </c>
      <c r="AD372" t="e">
        <f>AND(#REF!,"AAAAAEl7bh0=")</f>
        <v>#REF!</v>
      </c>
      <c r="AE372" t="e">
        <f>AND(#REF!,"AAAAAEl7bh4=")</f>
        <v>#REF!</v>
      </c>
      <c r="AF372" t="e">
        <f>AND(#REF!,"AAAAAEl7bh8=")</f>
        <v>#REF!</v>
      </c>
      <c r="AG372" t="e">
        <f>AND(#REF!,"AAAAAEl7biA=")</f>
        <v>#REF!</v>
      </c>
      <c r="AH372" t="e">
        <f>AND(#REF!,"AAAAAEl7biE=")</f>
        <v>#REF!</v>
      </c>
      <c r="AI372" t="e">
        <f>IF(#REF!,"AAAAAEl7biI=",0)</f>
        <v>#REF!</v>
      </c>
      <c r="AJ372" t="e">
        <f>AND(#REF!,"AAAAAEl7biM=")</f>
        <v>#REF!</v>
      </c>
      <c r="AK372" t="e">
        <f>AND(#REF!,"AAAAAEl7biQ=")</f>
        <v>#REF!</v>
      </c>
      <c r="AL372" t="e">
        <f>AND(#REF!,"AAAAAEl7biU=")</f>
        <v>#REF!</v>
      </c>
      <c r="AM372" t="e">
        <f>AND(#REF!,"AAAAAEl7biY=")</f>
        <v>#REF!</v>
      </c>
      <c r="AN372" t="e">
        <f>AND(#REF!,"AAAAAEl7bic=")</f>
        <v>#REF!</v>
      </c>
      <c r="AO372" t="e">
        <f>AND(#REF!,"AAAAAEl7big=")</f>
        <v>#REF!</v>
      </c>
      <c r="AP372" t="e">
        <f>AND(#REF!,"AAAAAEl7bik=")</f>
        <v>#REF!</v>
      </c>
      <c r="AQ372" t="e">
        <f>AND(#REF!,"AAAAAEl7bio=")</f>
        <v>#REF!</v>
      </c>
      <c r="AR372" t="e">
        <f>AND(#REF!,"AAAAAEl7bis=")</f>
        <v>#REF!</v>
      </c>
      <c r="AS372" t="e">
        <f>AND(#REF!,"AAAAAEl7biw=")</f>
        <v>#REF!</v>
      </c>
      <c r="AT372" t="e">
        <f>AND(#REF!,"AAAAAEl7bi0=")</f>
        <v>#REF!</v>
      </c>
      <c r="AU372" t="e">
        <f>AND(#REF!,"AAAAAEl7bi4=")</f>
        <v>#REF!</v>
      </c>
      <c r="AV372" t="e">
        <f>AND(#REF!,"AAAAAEl7bi8=")</f>
        <v>#REF!</v>
      </c>
      <c r="AW372" t="e">
        <f>AND(#REF!,"AAAAAEl7bjA=")</f>
        <v>#REF!</v>
      </c>
      <c r="AX372" t="e">
        <f>AND(#REF!,"AAAAAEl7bjE=")</f>
        <v>#REF!</v>
      </c>
      <c r="AY372" t="e">
        <f>AND(#REF!,"AAAAAEl7bjI=")</f>
        <v>#REF!</v>
      </c>
      <c r="AZ372" t="e">
        <f>AND(#REF!,"AAAAAEl7bjM=")</f>
        <v>#REF!</v>
      </c>
      <c r="BA372" t="e">
        <f>AND(#REF!,"AAAAAEl7bjQ=")</f>
        <v>#REF!</v>
      </c>
      <c r="BB372" t="e">
        <f>AND(#REF!,"AAAAAEl7bjU=")</f>
        <v>#REF!</v>
      </c>
      <c r="BC372" t="e">
        <f>AND(#REF!,"AAAAAEl7bjY=")</f>
        <v>#REF!</v>
      </c>
      <c r="BD372" t="e">
        <f>AND(#REF!,"AAAAAEl7bjc=")</f>
        <v>#REF!</v>
      </c>
      <c r="BE372" t="e">
        <f>AND(#REF!,"AAAAAEl7bjg=")</f>
        <v>#REF!</v>
      </c>
      <c r="BF372" t="e">
        <f>AND(#REF!,"AAAAAEl7bjk=")</f>
        <v>#REF!</v>
      </c>
      <c r="BG372" t="e">
        <f>AND(#REF!,"AAAAAEl7bjo=")</f>
        <v>#REF!</v>
      </c>
      <c r="BH372" t="e">
        <f>IF(#REF!,"AAAAAEl7bjs=",0)</f>
        <v>#REF!</v>
      </c>
      <c r="BI372" t="e">
        <f>AND(#REF!,"AAAAAEl7bjw=")</f>
        <v>#REF!</v>
      </c>
      <c r="BJ372" t="e">
        <f>AND(#REF!,"AAAAAEl7bj0=")</f>
        <v>#REF!</v>
      </c>
      <c r="BK372" t="e">
        <f>AND(#REF!,"AAAAAEl7bj4=")</f>
        <v>#REF!</v>
      </c>
      <c r="BL372" t="e">
        <f>AND(#REF!,"AAAAAEl7bj8=")</f>
        <v>#REF!</v>
      </c>
      <c r="BM372" t="e">
        <f>AND(#REF!,"AAAAAEl7bkA=")</f>
        <v>#REF!</v>
      </c>
      <c r="BN372" t="e">
        <f>AND(#REF!,"AAAAAEl7bkE=")</f>
        <v>#REF!</v>
      </c>
      <c r="BO372" t="e">
        <f>AND(#REF!,"AAAAAEl7bkI=")</f>
        <v>#REF!</v>
      </c>
      <c r="BP372" t="e">
        <f>AND(#REF!,"AAAAAEl7bkM=")</f>
        <v>#REF!</v>
      </c>
      <c r="BQ372" t="e">
        <f>AND(#REF!,"AAAAAEl7bkQ=")</f>
        <v>#REF!</v>
      </c>
      <c r="BR372" t="e">
        <f>AND(#REF!,"AAAAAEl7bkU=")</f>
        <v>#REF!</v>
      </c>
      <c r="BS372" t="e">
        <f>AND(#REF!,"AAAAAEl7bkY=")</f>
        <v>#REF!</v>
      </c>
      <c r="BT372" t="e">
        <f>AND(#REF!,"AAAAAEl7bkc=")</f>
        <v>#REF!</v>
      </c>
      <c r="BU372" t="e">
        <f>AND(#REF!,"AAAAAEl7bkg=")</f>
        <v>#REF!</v>
      </c>
      <c r="BV372" t="e">
        <f>AND(#REF!,"AAAAAEl7bkk=")</f>
        <v>#REF!</v>
      </c>
      <c r="BW372" t="e">
        <f>AND(#REF!,"AAAAAEl7bko=")</f>
        <v>#REF!</v>
      </c>
      <c r="BX372" t="e">
        <f>AND(#REF!,"AAAAAEl7bks=")</f>
        <v>#REF!</v>
      </c>
      <c r="BY372" t="e">
        <f>AND(#REF!,"AAAAAEl7bkw=")</f>
        <v>#REF!</v>
      </c>
      <c r="BZ372" t="e">
        <f>AND(#REF!,"AAAAAEl7bk0=")</f>
        <v>#REF!</v>
      </c>
      <c r="CA372" t="e">
        <f>AND(#REF!,"AAAAAEl7bk4=")</f>
        <v>#REF!</v>
      </c>
      <c r="CB372" t="e">
        <f>AND(#REF!,"AAAAAEl7bk8=")</f>
        <v>#REF!</v>
      </c>
      <c r="CC372" t="e">
        <f>AND(#REF!,"AAAAAEl7blA=")</f>
        <v>#REF!</v>
      </c>
      <c r="CD372" t="e">
        <f>AND(#REF!,"AAAAAEl7blE=")</f>
        <v>#REF!</v>
      </c>
      <c r="CE372" t="e">
        <f>AND(#REF!,"AAAAAEl7blI=")</f>
        <v>#REF!</v>
      </c>
      <c r="CF372" t="e">
        <f>AND(#REF!,"AAAAAEl7blM=")</f>
        <v>#REF!</v>
      </c>
      <c r="CG372" t="e">
        <f>IF(#REF!,"AAAAAEl7blQ=",0)</f>
        <v>#REF!</v>
      </c>
      <c r="CH372" t="e">
        <f>AND(#REF!,"AAAAAEl7blU=")</f>
        <v>#REF!</v>
      </c>
      <c r="CI372" t="e">
        <f>AND(#REF!,"AAAAAEl7blY=")</f>
        <v>#REF!</v>
      </c>
      <c r="CJ372" t="e">
        <f>AND(#REF!,"AAAAAEl7blc=")</f>
        <v>#REF!</v>
      </c>
      <c r="CK372" t="e">
        <f>AND(#REF!,"AAAAAEl7blg=")</f>
        <v>#REF!</v>
      </c>
      <c r="CL372" t="e">
        <f>AND(#REF!,"AAAAAEl7blk=")</f>
        <v>#REF!</v>
      </c>
      <c r="CM372" t="e">
        <f>AND(#REF!,"AAAAAEl7blo=")</f>
        <v>#REF!</v>
      </c>
      <c r="CN372" t="e">
        <f>AND(#REF!,"AAAAAEl7bls=")</f>
        <v>#REF!</v>
      </c>
      <c r="CO372" t="e">
        <f>AND(#REF!,"AAAAAEl7blw=")</f>
        <v>#REF!</v>
      </c>
      <c r="CP372" t="e">
        <f>AND(#REF!,"AAAAAEl7bl0=")</f>
        <v>#REF!</v>
      </c>
      <c r="CQ372" t="e">
        <f>AND(#REF!,"AAAAAEl7bl4=")</f>
        <v>#REF!</v>
      </c>
      <c r="CR372" t="e">
        <f>AND(#REF!,"AAAAAEl7bl8=")</f>
        <v>#REF!</v>
      </c>
      <c r="CS372" t="e">
        <f>AND(#REF!,"AAAAAEl7bmA=")</f>
        <v>#REF!</v>
      </c>
      <c r="CT372" t="e">
        <f>AND(#REF!,"AAAAAEl7bmE=")</f>
        <v>#REF!</v>
      </c>
      <c r="CU372" t="e">
        <f>AND(#REF!,"AAAAAEl7bmI=")</f>
        <v>#REF!</v>
      </c>
      <c r="CV372" t="e">
        <f>AND(#REF!,"AAAAAEl7bmM=")</f>
        <v>#REF!</v>
      </c>
      <c r="CW372" t="e">
        <f>AND(#REF!,"AAAAAEl7bmQ=")</f>
        <v>#REF!</v>
      </c>
      <c r="CX372" t="e">
        <f>AND(#REF!,"AAAAAEl7bmU=")</f>
        <v>#REF!</v>
      </c>
      <c r="CY372" t="e">
        <f>AND(#REF!,"AAAAAEl7bmY=")</f>
        <v>#REF!</v>
      </c>
      <c r="CZ372" t="e">
        <f>AND(#REF!,"AAAAAEl7bmc=")</f>
        <v>#REF!</v>
      </c>
      <c r="DA372" t="e">
        <f>AND(#REF!,"AAAAAEl7bmg=")</f>
        <v>#REF!</v>
      </c>
      <c r="DB372" t="e">
        <f>AND(#REF!,"AAAAAEl7bmk=")</f>
        <v>#REF!</v>
      </c>
      <c r="DC372" t="e">
        <f>AND(#REF!,"AAAAAEl7bmo=")</f>
        <v>#REF!</v>
      </c>
      <c r="DD372" t="e">
        <f>AND(#REF!,"AAAAAEl7bms=")</f>
        <v>#REF!</v>
      </c>
      <c r="DE372" t="e">
        <f>AND(#REF!,"AAAAAEl7bmw=")</f>
        <v>#REF!</v>
      </c>
      <c r="DF372" t="e">
        <f>IF(#REF!,"AAAAAEl7bm0=",0)</f>
        <v>#REF!</v>
      </c>
      <c r="DG372" t="e">
        <f>AND(#REF!,"AAAAAEl7bm4=")</f>
        <v>#REF!</v>
      </c>
      <c r="DH372" t="e">
        <f>AND(#REF!,"AAAAAEl7bm8=")</f>
        <v>#REF!</v>
      </c>
      <c r="DI372" t="e">
        <f>AND(#REF!,"AAAAAEl7bnA=")</f>
        <v>#REF!</v>
      </c>
      <c r="DJ372" t="e">
        <f>AND(#REF!,"AAAAAEl7bnE=")</f>
        <v>#REF!</v>
      </c>
      <c r="DK372" t="e">
        <f>AND(#REF!,"AAAAAEl7bnI=")</f>
        <v>#REF!</v>
      </c>
      <c r="DL372" t="e">
        <f>AND(#REF!,"AAAAAEl7bnM=")</f>
        <v>#REF!</v>
      </c>
      <c r="DM372" t="e">
        <f>AND(#REF!,"AAAAAEl7bnQ=")</f>
        <v>#REF!</v>
      </c>
      <c r="DN372" t="e">
        <f>AND(#REF!,"AAAAAEl7bnU=")</f>
        <v>#REF!</v>
      </c>
      <c r="DO372" t="e">
        <f>AND(#REF!,"AAAAAEl7bnY=")</f>
        <v>#REF!</v>
      </c>
      <c r="DP372" t="e">
        <f>AND(#REF!,"AAAAAEl7bnc=")</f>
        <v>#REF!</v>
      </c>
      <c r="DQ372" t="e">
        <f>AND(#REF!,"AAAAAEl7bng=")</f>
        <v>#REF!</v>
      </c>
      <c r="DR372" t="e">
        <f>AND(#REF!,"AAAAAEl7bnk=")</f>
        <v>#REF!</v>
      </c>
      <c r="DS372" t="e">
        <f>AND(#REF!,"AAAAAEl7bno=")</f>
        <v>#REF!</v>
      </c>
      <c r="DT372" t="e">
        <f>AND(#REF!,"AAAAAEl7bns=")</f>
        <v>#REF!</v>
      </c>
      <c r="DU372" t="e">
        <f>AND(#REF!,"AAAAAEl7bnw=")</f>
        <v>#REF!</v>
      </c>
      <c r="DV372" t="e">
        <f>AND(#REF!,"AAAAAEl7bn0=")</f>
        <v>#REF!</v>
      </c>
      <c r="DW372" t="e">
        <f>AND(#REF!,"AAAAAEl7bn4=")</f>
        <v>#REF!</v>
      </c>
      <c r="DX372" t="e">
        <f>AND(#REF!,"AAAAAEl7bn8=")</f>
        <v>#REF!</v>
      </c>
      <c r="DY372" t="e">
        <f>AND(#REF!,"AAAAAEl7boA=")</f>
        <v>#REF!</v>
      </c>
      <c r="DZ372" t="e">
        <f>AND(#REF!,"AAAAAEl7boE=")</f>
        <v>#REF!</v>
      </c>
      <c r="EA372" t="e">
        <f>AND(#REF!,"AAAAAEl7boI=")</f>
        <v>#REF!</v>
      </c>
      <c r="EB372" t="e">
        <f>AND(#REF!,"AAAAAEl7boM=")</f>
        <v>#REF!</v>
      </c>
      <c r="EC372" t="e">
        <f>AND(#REF!,"AAAAAEl7boQ=")</f>
        <v>#REF!</v>
      </c>
      <c r="ED372" t="e">
        <f>AND(#REF!,"AAAAAEl7boU=")</f>
        <v>#REF!</v>
      </c>
      <c r="EE372" t="e">
        <f>IF(#REF!,"AAAAAEl7boY=",0)</f>
        <v>#REF!</v>
      </c>
      <c r="EF372" t="e">
        <f>AND(#REF!,"AAAAAEl7boc=")</f>
        <v>#REF!</v>
      </c>
      <c r="EG372" t="e">
        <f>AND(#REF!,"AAAAAEl7bog=")</f>
        <v>#REF!</v>
      </c>
      <c r="EH372" t="e">
        <f>AND(#REF!,"AAAAAEl7bok=")</f>
        <v>#REF!</v>
      </c>
      <c r="EI372" t="e">
        <f>AND(#REF!,"AAAAAEl7boo=")</f>
        <v>#REF!</v>
      </c>
      <c r="EJ372" t="e">
        <f>AND(#REF!,"AAAAAEl7bos=")</f>
        <v>#REF!</v>
      </c>
      <c r="EK372" t="e">
        <f>AND(#REF!,"AAAAAEl7bow=")</f>
        <v>#REF!</v>
      </c>
      <c r="EL372" t="e">
        <f>AND(#REF!,"AAAAAEl7bo0=")</f>
        <v>#REF!</v>
      </c>
      <c r="EM372" t="e">
        <f>AND(#REF!,"AAAAAEl7bo4=")</f>
        <v>#REF!</v>
      </c>
      <c r="EN372" t="e">
        <f>AND(#REF!,"AAAAAEl7bo8=")</f>
        <v>#REF!</v>
      </c>
      <c r="EO372" t="e">
        <f>AND(#REF!,"AAAAAEl7bpA=")</f>
        <v>#REF!</v>
      </c>
      <c r="EP372" t="e">
        <f>AND(#REF!,"AAAAAEl7bpE=")</f>
        <v>#REF!</v>
      </c>
      <c r="EQ372" t="e">
        <f>AND(#REF!,"AAAAAEl7bpI=")</f>
        <v>#REF!</v>
      </c>
      <c r="ER372" t="e">
        <f>AND(#REF!,"AAAAAEl7bpM=")</f>
        <v>#REF!</v>
      </c>
      <c r="ES372" t="e">
        <f>AND(#REF!,"AAAAAEl7bpQ=")</f>
        <v>#REF!</v>
      </c>
      <c r="ET372" t="e">
        <f>AND(#REF!,"AAAAAEl7bpU=")</f>
        <v>#REF!</v>
      </c>
      <c r="EU372" t="e">
        <f>AND(#REF!,"AAAAAEl7bpY=")</f>
        <v>#REF!</v>
      </c>
      <c r="EV372" t="e">
        <f>AND(#REF!,"AAAAAEl7bpc=")</f>
        <v>#REF!</v>
      </c>
      <c r="EW372" t="e">
        <f>AND(#REF!,"AAAAAEl7bpg=")</f>
        <v>#REF!</v>
      </c>
      <c r="EX372" t="e">
        <f>AND(#REF!,"AAAAAEl7bpk=")</f>
        <v>#REF!</v>
      </c>
      <c r="EY372" t="e">
        <f>AND(#REF!,"AAAAAEl7bpo=")</f>
        <v>#REF!</v>
      </c>
      <c r="EZ372" t="e">
        <f>AND(#REF!,"AAAAAEl7bps=")</f>
        <v>#REF!</v>
      </c>
      <c r="FA372" t="e">
        <f>AND(#REF!,"AAAAAEl7bpw=")</f>
        <v>#REF!</v>
      </c>
      <c r="FB372" t="e">
        <f>AND(#REF!,"AAAAAEl7bp0=")</f>
        <v>#REF!</v>
      </c>
      <c r="FC372" t="e">
        <f>AND(#REF!,"AAAAAEl7bp4=")</f>
        <v>#REF!</v>
      </c>
      <c r="FD372" t="e">
        <f>IF(#REF!,"AAAAAEl7bp8=",0)</f>
        <v>#REF!</v>
      </c>
      <c r="FE372" t="e">
        <f>AND(#REF!,"AAAAAEl7bqA=")</f>
        <v>#REF!</v>
      </c>
      <c r="FF372" t="e">
        <f>AND(#REF!,"AAAAAEl7bqE=")</f>
        <v>#REF!</v>
      </c>
      <c r="FG372" t="e">
        <f>AND(#REF!,"AAAAAEl7bqI=")</f>
        <v>#REF!</v>
      </c>
      <c r="FH372" t="e">
        <f>AND(#REF!,"AAAAAEl7bqM=")</f>
        <v>#REF!</v>
      </c>
      <c r="FI372" t="e">
        <f>AND(#REF!,"AAAAAEl7bqQ=")</f>
        <v>#REF!</v>
      </c>
      <c r="FJ372" t="e">
        <f>AND(#REF!,"AAAAAEl7bqU=")</f>
        <v>#REF!</v>
      </c>
      <c r="FK372" t="e">
        <f>AND(#REF!,"AAAAAEl7bqY=")</f>
        <v>#REF!</v>
      </c>
      <c r="FL372" t="e">
        <f>AND(#REF!,"AAAAAEl7bqc=")</f>
        <v>#REF!</v>
      </c>
      <c r="FM372" t="e">
        <f>AND(#REF!,"AAAAAEl7bqg=")</f>
        <v>#REF!</v>
      </c>
      <c r="FN372" t="e">
        <f>AND(#REF!,"AAAAAEl7bqk=")</f>
        <v>#REF!</v>
      </c>
      <c r="FO372" t="e">
        <f>AND(#REF!,"AAAAAEl7bqo=")</f>
        <v>#REF!</v>
      </c>
      <c r="FP372" t="e">
        <f>AND(#REF!,"AAAAAEl7bqs=")</f>
        <v>#REF!</v>
      </c>
      <c r="FQ372" t="e">
        <f>AND(#REF!,"AAAAAEl7bqw=")</f>
        <v>#REF!</v>
      </c>
      <c r="FR372" t="e">
        <f>AND(#REF!,"AAAAAEl7bq0=")</f>
        <v>#REF!</v>
      </c>
      <c r="FS372" t="e">
        <f>AND(#REF!,"AAAAAEl7bq4=")</f>
        <v>#REF!</v>
      </c>
      <c r="FT372" t="e">
        <f>AND(#REF!,"AAAAAEl7bq8=")</f>
        <v>#REF!</v>
      </c>
      <c r="FU372" t="e">
        <f>AND(#REF!,"AAAAAEl7brA=")</f>
        <v>#REF!</v>
      </c>
      <c r="FV372" t="e">
        <f>AND(#REF!,"AAAAAEl7brE=")</f>
        <v>#REF!</v>
      </c>
      <c r="FW372" t="e">
        <f>AND(#REF!,"AAAAAEl7brI=")</f>
        <v>#REF!</v>
      </c>
      <c r="FX372" t="e">
        <f>AND(#REF!,"AAAAAEl7brM=")</f>
        <v>#REF!</v>
      </c>
      <c r="FY372" t="e">
        <f>AND(#REF!,"AAAAAEl7brQ=")</f>
        <v>#REF!</v>
      </c>
      <c r="FZ372" t="e">
        <f>AND(#REF!,"AAAAAEl7brU=")</f>
        <v>#REF!</v>
      </c>
      <c r="GA372" t="e">
        <f>AND(#REF!,"AAAAAEl7brY=")</f>
        <v>#REF!</v>
      </c>
      <c r="GB372" t="e">
        <f>AND(#REF!,"AAAAAEl7brc=")</f>
        <v>#REF!</v>
      </c>
      <c r="GC372" t="e">
        <f>IF(#REF!,"AAAAAEl7brg=",0)</f>
        <v>#REF!</v>
      </c>
      <c r="GD372" t="e">
        <f>AND(#REF!,"AAAAAEl7brk=")</f>
        <v>#REF!</v>
      </c>
      <c r="GE372" t="e">
        <f>AND(#REF!,"AAAAAEl7bro=")</f>
        <v>#REF!</v>
      </c>
      <c r="GF372" t="e">
        <f>AND(#REF!,"AAAAAEl7brs=")</f>
        <v>#REF!</v>
      </c>
      <c r="GG372" t="e">
        <f>AND(#REF!,"AAAAAEl7brw=")</f>
        <v>#REF!</v>
      </c>
      <c r="GH372" t="e">
        <f>AND(#REF!,"AAAAAEl7br0=")</f>
        <v>#REF!</v>
      </c>
      <c r="GI372" t="e">
        <f>AND(#REF!,"AAAAAEl7br4=")</f>
        <v>#REF!</v>
      </c>
      <c r="GJ372" t="e">
        <f>AND(#REF!,"AAAAAEl7br8=")</f>
        <v>#REF!</v>
      </c>
      <c r="GK372" t="e">
        <f>AND(#REF!,"AAAAAEl7bsA=")</f>
        <v>#REF!</v>
      </c>
      <c r="GL372" t="e">
        <f>AND(#REF!,"AAAAAEl7bsE=")</f>
        <v>#REF!</v>
      </c>
      <c r="GM372" t="e">
        <f>AND(#REF!,"AAAAAEl7bsI=")</f>
        <v>#REF!</v>
      </c>
      <c r="GN372" t="e">
        <f>AND(#REF!,"AAAAAEl7bsM=")</f>
        <v>#REF!</v>
      </c>
      <c r="GO372" t="e">
        <f>AND(#REF!,"AAAAAEl7bsQ=")</f>
        <v>#REF!</v>
      </c>
      <c r="GP372" t="e">
        <f>AND(#REF!,"AAAAAEl7bsU=")</f>
        <v>#REF!</v>
      </c>
      <c r="GQ372" t="e">
        <f>AND(#REF!,"AAAAAEl7bsY=")</f>
        <v>#REF!</v>
      </c>
      <c r="GR372" t="e">
        <f>AND(#REF!,"AAAAAEl7bsc=")</f>
        <v>#REF!</v>
      </c>
      <c r="GS372" t="e">
        <f>AND(#REF!,"AAAAAEl7bsg=")</f>
        <v>#REF!</v>
      </c>
      <c r="GT372" t="e">
        <f>AND(#REF!,"AAAAAEl7bsk=")</f>
        <v>#REF!</v>
      </c>
      <c r="GU372" t="e">
        <f>AND(#REF!,"AAAAAEl7bso=")</f>
        <v>#REF!</v>
      </c>
      <c r="GV372" t="e">
        <f>AND(#REF!,"AAAAAEl7bss=")</f>
        <v>#REF!</v>
      </c>
      <c r="GW372" t="e">
        <f>AND(#REF!,"AAAAAEl7bsw=")</f>
        <v>#REF!</v>
      </c>
      <c r="GX372" t="e">
        <f>AND(#REF!,"AAAAAEl7bs0=")</f>
        <v>#REF!</v>
      </c>
      <c r="GY372" t="e">
        <f>AND(#REF!,"AAAAAEl7bs4=")</f>
        <v>#REF!</v>
      </c>
      <c r="GZ372" t="e">
        <f>AND(#REF!,"AAAAAEl7bs8=")</f>
        <v>#REF!</v>
      </c>
      <c r="HA372" t="e">
        <f>AND(#REF!,"AAAAAEl7btA=")</f>
        <v>#REF!</v>
      </c>
      <c r="HB372" t="e">
        <f>IF(#REF!,"AAAAAEl7btE=",0)</f>
        <v>#REF!</v>
      </c>
      <c r="HC372" t="e">
        <f>AND(#REF!,"AAAAAEl7btI=")</f>
        <v>#REF!</v>
      </c>
      <c r="HD372" t="e">
        <f>AND(#REF!,"AAAAAEl7btM=")</f>
        <v>#REF!</v>
      </c>
      <c r="HE372" t="e">
        <f>AND(#REF!,"AAAAAEl7btQ=")</f>
        <v>#REF!</v>
      </c>
      <c r="HF372" t="e">
        <f>AND(#REF!,"AAAAAEl7btU=")</f>
        <v>#REF!</v>
      </c>
      <c r="HG372" t="e">
        <f>AND(#REF!,"AAAAAEl7btY=")</f>
        <v>#REF!</v>
      </c>
      <c r="HH372" t="e">
        <f>AND(#REF!,"AAAAAEl7btc=")</f>
        <v>#REF!</v>
      </c>
      <c r="HI372" t="e">
        <f>AND(#REF!,"AAAAAEl7btg=")</f>
        <v>#REF!</v>
      </c>
      <c r="HJ372" t="e">
        <f>AND(#REF!,"AAAAAEl7btk=")</f>
        <v>#REF!</v>
      </c>
      <c r="HK372" t="e">
        <f>AND(#REF!,"AAAAAEl7bto=")</f>
        <v>#REF!</v>
      </c>
      <c r="HL372" t="e">
        <f>AND(#REF!,"AAAAAEl7bts=")</f>
        <v>#REF!</v>
      </c>
      <c r="HM372" t="e">
        <f>AND(#REF!,"AAAAAEl7btw=")</f>
        <v>#REF!</v>
      </c>
      <c r="HN372" t="e">
        <f>AND(#REF!,"AAAAAEl7bt0=")</f>
        <v>#REF!</v>
      </c>
      <c r="HO372" t="e">
        <f>AND(#REF!,"AAAAAEl7bt4=")</f>
        <v>#REF!</v>
      </c>
      <c r="HP372" t="e">
        <f>AND(#REF!,"AAAAAEl7bt8=")</f>
        <v>#REF!</v>
      </c>
      <c r="HQ372" t="e">
        <f>AND(#REF!,"AAAAAEl7buA=")</f>
        <v>#REF!</v>
      </c>
      <c r="HR372" t="e">
        <f>AND(#REF!,"AAAAAEl7buE=")</f>
        <v>#REF!</v>
      </c>
      <c r="HS372" t="e">
        <f>AND(#REF!,"AAAAAEl7buI=")</f>
        <v>#REF!</v>
      </c>
      <c r="HT372" t="e">
        <f>AND(#REF!,"AAAAAEl7buM=")</f>
        <v>#REF!</v>
      </c>
      <c r="HU372" t="e">
        <f>AND(#REF!,"AAAAAEl7buQ=")</f>
        <v>#REF!</v>
      </c>
      <c r="HV372" t="e">
        <f>AND(#REF!,"AAAAAEl7buU=")</f>
        <v>#REF!</v>
      </c>
      <c r="HW372" t="e">
        <f>AND(#REF!,"AAAAAEl7buY=")</f>
        <v>#REF!</v>
      </c>
      <c r="HX372" t="e">
        <f>AND(#REF!,"AAAAAEl7buc=")</f>
        <v>#REF!</v>
      </c>
      <c r="HY372" t="e">
        <f>AND(#REF!,"AAAAAEl7bug=")</f>
        <v>#REF!</v>
      </c>
      <c r="HZ372" t="e">
        <f>AND(#REF!,"AAAAAEl7buk=")</f>
        <v>#REF!</v>
      </c>
      <c r="IA372" t="e">
        <f>IF(#REF!,"AAAAAEl7buo=",0)</f>
        <v>#REF!</v>
      </c>
      <c r="IB372" t="e">
        <f>AND(#REF!,"AAAAAEl7bus=")</f>
        <v>#REF!</v>
      </c>
      <c r="IC372" t="e">
        <f>AND(#REF!,"AAAAAEl7buw=")</f>
        <v>#REF!</v>
      </c>
      <c r="ID372" t="e">
        <f>AND(#REF!,"AAAAAEl7bu0=")</f>
        <v>#REF!</v>
      </c>
      <c r="IE372" t="e">
        <f>AND(#REF!,"AAAAAEl7bu4=")</f>
        <v>#REF!</v>
      </c>
      <c r="IF372" t="e">
        <f>AND(#REF!,"AAAAAEl7bu8=")</f>
        <v>#REF!</v>
      </c>
      <c r="IG372" t="e">
        <f>AND(#REF!,"AAAAAEl7bvA=")</f>
        <v>#REF!</v>
      </c>
      <c r="IH372" t="e">
        <f>AND(#REF!,"AAAAAEl7bvE=")</f>
        <v>#REF!</v>
      </c>
      <c r="II372" t="e">
        <f>AND(#REF!,"AAAAAEl7bvI=")</f>
        <v>#REF!</v>
      </c>
      <c r="IJ372" t="e">
        <f>AND(#REF!,"AAAAAEl7bvM=")</f>
        <v>#REF!</v>
      </c>
      <c r="IK372" t="e">
        <f>AND(#REF!,"AAAAAEl7bvQ=")</f>
        <v>#REF!</v>
      </c>
      <c r="IL372" t="e">
        <f>AND(#REF!,"AAAAAEl7bvU=")</f>
        <v>#REF!</v>
      </c>
      <c r="IM372" t="e">
        <f>AND(#REF!,"AAAAAEl7bvY=")</f>
        <v>#REF!</v>
      </c>
      <c r="IN372" t="e">
        <f>AND(#REF!,"AAAAAEl7bvc=")</f>
        <v>#REF!</v>
      </c>
      <c r="IO372" t="e">
        <f>AND(#REF!,"AAAAAEl7bvg=")</f>
        <v>#REF!</v>
      </c>
      <c r="IP372" t="e">
        <f>AND(#REF!,"AAAAAEl7bvk=")</f>
        <v>#REF!</v>
      </c>
      <c r="IQ372" t="e">
        <f>AND(#REF!,"AAAAAEl7bvo=")</f>
        <v>#REF!</v>
      </c>
      <c r="IR372" t="e">
        <f>AND(#REF!,"AAAAAEl7bvs=")</f>
        <v>#REF!</v>
      </c>
      <c r="IS372" t="e">
        <f>AND(#REF!,"AAAAAEl7bvw=")</f>
        <v>#REF!</v>
      </c>
      <c r="IT372" t="e">
        <f>AND(#REF!,"AAAAAEl7bv0=")</f>
        <v>#REF!</v>
      </c>
      <c r="IU372" t="e">
        <f>AND(#REF!,"AAAAAEl7bv4=")</f>
        <v>#REF!</v>
      </c>
      <c r="IV372" t="e">
        <f>AND(#REF!,"AAAAAEl7bv8=")</f>
        <v>#REF!</v>
      </c>
    </row>
    <row r="373" spans="1:256">
      <c r="A373" t="e">
        <f>AND(#REF!,"AAAAAH63vwA=")</f>
        <v>#REF!</v>
      </c>
      <c r="B373" t="e">
        <f>AND(#REF!,"AAAAAH63vwE=")</f>
        <v>#REF!</v>
      </c>
      <c r="C373" t="e">
        <f>AND(#REF!,"AAAAAH63vwI=")</f>
        <v>#REF!</v>
      </c>
      <c r="D373" t="e">
        <f>IF(#REF!,"AAAAAH63vwM=",0)</f>
        <v>#REF!</v>
      </c>
      <c r="E373" t="e">
        <f>AND(#REF!,"AAAAAH63vwQ=")</f>
        <v>#REF!</v>
      </c>
      <c r="F373" t="e">
        <f>AND(#REF!,"AAAAAH63vwU=")</f>
        <v>#REF!</v>
      </c>
      <c r="G373" t="e">
        <f>AND(#REF!,"AAAAAH63vwY=")</f>
        <v>#REF!</v>
      </c>
      <c r="H373" t="e">
        <f>AND(#REF!,"AAAAAH63vwc=")</f>
        <v>#REF!</v>
      </c>
      <c r="I373" t="e">
        <f>AND(#REF!,"AAAAAH63vwg=")</f>
        <v>#REF!</v>
      </c>
      <c r="J373" t="e">
        <f>AND(#REF!,"AAAAAH63vwk=")</f>
        <v>#REF!</v>
      </c>
      <c r="K373" t="e">
        <f>AND(#REF!,"AAAAAH63vwo=")</f>
        <v>#REF!</v>
      </c>
      <c r="L373" t="e">
        <f>AND(#REF!,"AAAAAH63vws=")</f>
        <v>#REF!</v>
      </c>
      <c r="M373" t="e">
        <f>AND(#REF!,"AAAAAH63vww=")</f>
        <v>#REF!</v>
      </c>
      <c r="N373" t="e">
        <f>AND(#REF!,"AAAAAH63vw0=")</f>
        <v>#REF!</v>
      </c>
      <c r="O373" t="e">
        <f>AND(#REF!,"AAAAAH63vw4=")</f>
        <v>#REF!</v>
      </c>
      <c r="P373" t="e">
        <f>AND(#REF!,"AAAAAH63vw8=")</f>
        <v>#REF!</v>
      </c>
      <c r="Q373" t="e">
        <f>AND(#REF!,"AAAAAH63vxA=")</f>
        <v>#REF!</v>
      </c>
      <c r="R373" t="e">
        <f>AND(#REF!,"AAAAAH63vxE=")</f>
        <v>#REF!</v>
      </c>
      <c r="S373" t="e">
        <f>AND(#REF!,"AAAAAH63vxI=")</f>
        <v>#REF!</v>
      </c>
      <c r="T373" t="e">
        <f>AND(#REF!,"AAAAAH63vxM=")</f>
        <v>#REF!</v>
      </c>
      <c r="U373" t="e">
        <f>AND(#REF!,"AAAAAH63vxQ=")</f>
        <v>#REF!</v>
      </c>
      <c r="V373" t="e">
        <f>AND(#REF!,"AAAAAH63vxU=")</f>
        <v>#REF!</v>
      </c>
      <c r="W373" t="e">
        <f>AND(#REF!,"AAAAAH63vxY=")</f>
        <v>#REF!</v>
      </c>
      <c r="X373" t="e">
        <f>AND(#REF!,"AAAAAH63vxc=")</f>
        <v>#REF!</v>
      </c>
      <c r="Y373" t="e">
        <f>AND(#REF!,"AAAAAH63vxg=")</f>
        <v>#REF!</v>
      </c>
      <c r="Z373" t="e">
        <f>AND(#REF!,"AAAAAH63vxk=")</f>
        <v>#REF!</v>
      </c>
      <c r="AA373" t="e">
        <f>AND(#REF!,"AAAAAH63vxo=")</f>
        <v>#REF!</v>
      </c>
      <c r="AB373" t="e">
        <f>AND(#REF!,"AAAAAH63vxs=")</f>
        <v>#REF!</v>
      </c>
      <c r="AC373" t="e">
        <f>IF(#REF!,"AAAAAH63vxw=",0)</f>
        <v>#REF!</v>
      </c>
      <c r="AD373" t="e">
        <f>AND(#REF!,"AAAAAH63vx0=")</f>
        <v>#REF!</v>
      </c>
      <c r="AE373" t="e">
        <f>AND(#REF!,"AAAAAH63vx4=")</f>
        <v>#REF!</v>
      </c>
      <c r="AF373" t="e">
        <f>AND(#REF!,"AAAAAH63vx8=")</f>
        <v>#REF!</v>
      </c>
      <c r="AG373" t="e">
        <f>AND(#REF!,"AAAAAH63vyA=")</f>
        <v>#REF!</v>
      </c>
      <c r="AH373" t="e">
        <f>AND(#REF!,"AAAAAH63vyE=")</f>
        <v>#REF!</v>
      </c>
      <c r="AI373" t="e">
        <f>AND(#REF!,"AAAAAH63vyI=")</f>
        <v>#REF!</v>
      </c>
      <c r="AJ373" t="e">
        <f>AND(#REF!,"AAAAAH63vyM=")</f>
        <v>#REF!</v>
      </c>
      <c r="AK373" t="e">
        <f>AND(#REF!,"AAAAAH63vyQ=")</f>
        <v>#REF!</v>
      </c>
      <c r="AL373" t="e">
        <f>AND(#REF!,"AAAAAH63vyU=")</f>
        <v>#REF!</v>
      </c>
      <c r="AM373" t="e">
        <f>AND(#REF!,"AAAAAH63vyY=")</f>
        <v>#REF!</v>
      </c>
      <c r="AN373" t="e">
        <f>AND(#REF!,"AAAAAH63vyc=")</f>
        <v>#REF!</v>
      </c>
      <c r="AO373" t="e">
        <f>AND(#REF!,"AAAAAH63vyg=")</f>
        <v>#REF!</v>
      </c>
      <c r="AP373" t="e">
        <f>AND(#REF!,"AAAAAH63vyk=")</f>
        <v>#REF!</v>
      </c>
      <c r="AQ373" t="e">
        <f>AND(#REF!,"AAAAAH63vyo=")</f>
        <v>#REF!</v>
      </c>
      <c r="AR373" t="e">
        <f>AND(#REF!,"AAAAAH63vys=")</f>
        <v>#REF!</v>
      </c>
      <c r="AS373" t="e">
        <f>AND(#REF!,"AAAAAH63vyw=")</f>
        <v>#REF!</v>
      </c>
      <c r="AT373" t="e">
        <f>AND(#REF!,"AAAAAH63vy0=")</f>
        <v>#REF!</v>
      </c>
      <c r="AU373" t="e">
        <f>AND(#REF!,"AAAAAH63vy4=")</f>
        <v>#REF!</v>
      </c>
      <c r="AV373" t="e">
        <f>AND(#REF!,"AAAAAH63vy8=")</f>
        <v>#REF!</v>
      </c>
      <c r="AW373" t="e">
        <f>AND(#REF!,"AAAAAH63vzA=")</f>
        <v>#REF!</v>
      </c>
      <c r="AX373" t="e">
        <f>AND(#REF!,"AAAAAH63vzE=")</f>
        <v>#REF!</v>
      </c>
      <c r="AY373" t="e">
        <f>AND(#REF!,"AAAAAH63vzI=")</f>
        <v>#REF!</v>
      </c>
      <c r="AZ373" t="e">
        <f>AND(#REF!,"AAAAAH63vzM=")</f>
        <v>#REF!</v>
      </c>
      <c r="BA373" t="e">
        <f>AND(#REF!,"AAAAAH63vzQ=")</f>
        <v>#REF!</v>
      </c>
      <c r="BB373" t="e">
        <f>IF(#REF!,"AAAAAH63vzU=",0)</f>
        <v>#REF!</v>
      </c>
      <c r="BC373" t="e">
        <f>AND(#REF!,"AAAAAH63vzY=")</f>
        <v>#REF!</v>
      </c>
      <c r="BD373" t="e">
        <f>AND(#REF!,"AAAAAH63vzc=")</f>
        <v>#REF!</v>
      </c>
      <c r="BE373" t="e">
        <f>AND(#REF!,"AAAAAH63vzg=")</f>
        <v>#REF!</v>
      </c>
      <c r="BF373" t="e">
        <f>AND(#REF!,"AAAAAH63vzk=")</f>
        <v>#REF!</v>
      </c>
      <c r="BG373" t="e">
        <f>AND(#REF!,"AAAAAH63vzo=")</f>
        <v>#REF!</v>
      </c>
      <c r="BH373" t="e">
        <f>AND(#REF!,"AAAAAH63vzs=")</f>
        <v>#REF!</v>
      </c>
      <c r="BI373" t="e">
        <f>AND(#REF!,"AAAAAH63vzw=")</f>
        <v>#REF!</v>
      </c>
      <c r="BJ373" t="e">
        <f>AND(#REF!,"AAAAAH63vz0=")</f>
        <v>#REF!</v>
      </c>
      <c r="BK373" t="e">
        <f>AND(#REF!,"AAAAAH63vz4=")</f>
        <v>#REF!</v>
      </c>
      <c r="BL373" t="e">
        <f>AND(#REF!,"AAAAAH63vz8=")</f>
        <v>#REF!</v>
      </c>
      <c r="BM373" t="e">
        <f>AND(#REF!,"AAAAAH63v0A=")</f>
        <v>#REF!</v>
      </c>
      <c r="BN373" t="e">
        <f>AND(#REF!,"AAAAAH63v0E=")</f>
        <v>#REF!</v>
      </c>
      <c r="BO373" t="e">
        <f>AND(#REF!,"AAAAAH63v0I=")</f>
        <v>#REF!</v>
      </c>
      <c r="BP373" t="e">
        <f>AND(#REF!,"AAAAAH63v0M=")</f>
        <v>#REF!</v>
      </c>
      <c r="BQ373" t="e">
        <f>AND(#REF!,"AAAAAH63v0Q=")</f>
        <v>#REF!</v>
      </c>
      <c r="BR373" t="e">
        <f>AND(#REF!,"AAAAAH63v0U=")</f>
        <v>#REF!</v>
      </c>
      <c r="BS373" t="e">
        <f>AND(#REF!,"AAAAAH63v0Y=")</f>
        <v>#REF!</v>
      </c>
      <c r="BT373" t="e">
        <f>AND(#REF!,"AAAAAH63v0c=")</f>
        <v>#REF!</v>
      </c>
      <c r="BU373" t="e">
        <f>AND(#REF!,"AAAAAH63v0g=")</f>
        <v>#REF!</v>
      </c>
      <c r="BV373" t="e">
        <f>AND(#REF!,"AAAAAH63v0k=")</f>
        <v>#REF!</v>
      </c>
      <c r="BW373" t="e">
        <f>AND(#REF!,"AAAAAH63v0o=")</f>
        <v>#REF!</v>
      </c>
      <c r="BX373" t="e">
        <f>AND(#REF!,"AAAAAH63v0s=")</f>
        <v>#REF!</v>
      </c>
      <c r="BY373" t="e">
        <f>AND(#REF!,"AAAAAH63v0w=")</f>
        <v>#REF!</v>
      </c>
      <c r="BZ373" t="e">
        <f>AND(#REF!,"AAAAAH63v00=")</f>
        <v>#REF!</v>
      </c>
      <c r="CA373" t="e">
        <f>IF(#REF!,"AAAAAH63v04=",0)</f>
        <v>#REF!</v>
      </c>
      <c r="CB373" t="e">
        <f>AND(#REF!,"AAAAAH63v08=")</f>
        <v>#REF!</v>
      </c>
      <c r="CC373" t="e">
        <f>AND(#REF!,"AAAAAH63v1A=")</f>
        <v>#REF!</v>
      </c>
      <c r="CD373" t="e">
        <f>AND(#REF!,"AAAAAH63v1E=")</f>
        <v>#REF!</v>
      </c>
      <c r="CE373" t="e">
        <f>AND(#REF!,"AAAAAH63v1I=")</f>
        <v>#REF!</v>
      </c>
      <c r="CF373" t="e">
        <f>AND(#REF!,"AAAAAH63v1M=")</f>
        <v>#REF!</v>
      </c>
      <c r="CG373" t="e">
        <f>AND(#REF!,"AAAAAH63v1Q=")</f>
        <v>#REF!</v>
      </c>
      <c r="CH373" t="e">
        <f>AND(#REF!,"AAAAAH63v1U=")</f>
        <v>#REF!</v>
      </c>
      <c r="CI373" t="e">
        <f>AND(#REF!,"AAAAAH63v1Y=")</f>
        <v>#REF!</v>
      </c>
      <c r="CJ373" t="e">
        <f>AND(#REF!,"AAAAAH63v1c=")</f>
        <v>#REF!</v>
      </c>
      <c r="CK373" t="e">
        <f>AND(#REF!,"AAAAAH63v1g=")</f>
        <v>#REF!</v>
      </c>
      <c r="CL373" t="e">
        <f>AND(#REF!,"AAAAAH63v1k=")</f>
        <v>#REF!</v>
      </c>
      <c r="CM373" t="e">
        <f>AND(#REF!,"AAAAAH63v1o=")</f>
        <v>#REF!</v>
      </c>
      <c r="CN373" t="e">
        <f>AND(#REF!,"AAAAAH63v1s=")</f>
        <v>#REF!</v>
      </c>
      <c r="CO373" t="e">
        <f>AND(#REF!,"AAAAAH63v1w=")</f>
        <v>#REF!</v>
      </c>
      <c r="CP373" t="e">
        <f>AND(#REF!,"AAAAAH63v10=")</f>
        <v>#REF!</v>
      </c>
      <c r="CQ373" t="e">
        <f>AND(#REF!,"AAAAAH63v14=")</f>
        <v>#REF!</v>
      </c>
      <c r="CR373" t="e">
        <f>AND(#REF!,"AAAAAH63v18=")</f>
        <v>#REF!</v>
      </c>
      <c r="CS373" t="e">
        <f>AND(#REF!,"AAAAAH63v2A=")</f>
        <v>#REF!</v>
      </c>
      <c r="CT373" t="e">
        <f>AND(#REF!,"AAAAAH63v2E=")</f>
        <v>#REF!</v>
      </c>
      <c r="CU373" t="e">
        <f>AND(#REF!,"AAAAAH63v2I=")</f>
        <v>#REF!</v>
      </c>
      <c r="CV373" t="e">
        <f>AND(#REF!,"AAAAAH63v2M=")</f>
        <v>#REF!</v>
      </c>
      <c r="CW373" t="e">
        <f>AND(#REF!,"AAAAAH63v2Q=")</f>
        <v>#REF!</v>
      </c>
      <c r="CX373" t="e">
        <f>AND(#REF!,"AAAAAH63v2U=")</f>
        <v>#REF!</v>
      </c>
      <c r="CY373" t="e">
        <f>AND(#REF!,"AAAAAH63v2Y=")</f>
        <v>#REF!</v>
      </c>
      <c r="CZ373" t="e">
        <f>IF(#REF!,"AAAAAH63v2c=",0)</f>
        <v>#REF!</v>
      </c>
      <c r="DA373" t="e">
        <f>AND(#REF!,"AAAAAH63v2g=")</f>
        <v>#REF!</v>
      </c>
      <c r="DB373" t="e">
        <f>AND(#REF!,"AAAAAH63v2k=")</f>
        <v>#REF!</v>
      </c>
      <c r="DC373" t="e">
        <f>AND(#REF!,"AAAAAH63v2o=")</f>
        <v>#REF!</v>
      </c>
      <c r="DD373" t="e">
        <f>AND(#REF!,"AAAAAH63v2s=")</f>
        <v>#REF!</v>
      </c>
      <c r="DE373" t="e">
        <f>AND(#REF!,"AAAAAH63v2w=")</f>
        <v>#REF!</v>
      </c>
      <c r="DF373" t="e">
        <f>AND(#REF!,"AAAAAH63v20=")</f>
        <v>#REF!</v>
      </c>
      <c r="DG373" t="e">
        <f>AND(#REF!,"AAAAAH63v24=")</f>
        <v>#REF!</v>
      </c>
      <c r="DH373" t="e">
        <f>AND(#REF!,"AAAAAH63v28=")</f>
        <v>#REF!</v>
      </c>
      <c r="DI373" t="e">
        <f>AND(#REF!,"AAAAAH63v3A=")</f>
        <v>#REF!</v>
      </c>
      <c r="DJ373" t="e">
        <f>AND(#REF!,"AAAAAH63v3E=")</f>
        <v>#REF!</v>
      </c>
      <c r="DK373" t="e">
        <f>AND(#REF!,"AAAAAH63v3I=")</f>
        <v>#REF!</v>
      </c>
      <c r="DL373" t="e">
        <f>AND(#REF!,"AAAAAH63v3M=")</f>
        <v>#REF!</v>
      </c>
      <c r="DM373" t="e">
        <f>AND(#REF!,"AAAAAH63v3Q=")</f>
        <v>#REF!</v>
      </c>
      <c r="DN373" t="e">
        <f>AND(#REF!,"AAAAAH63v3U=")</f>
        <v>#REF!</v>
      </c>
      <c r="DO373" t="e">
        <f>AND(#REF!,"AAAAAH63v3Y=")</f>
        <v>#REF!</v>
      </c>
      <c r="DP373" t="e">
        <f>AND(#REF!,"AAAAAH63v3c=")</f>
        <v>#REF!</v>
      </c>
      <c r="DQ373" t="e">
        <f>AND(#REF!,"AAAAAH63v3g=")</f>
        <v>#REF!</v>
      </c>
      <c r="DR373" t="e">
        <f>AND(#REF!,"AAAAAH63v3k=")</f>
        <v>#REF!</v>
      </c>
      <c r="DS373" t="e">
        <f>AND(#REF!,"AAAAAH63v3o=")</f>
        <v>#REF!</v>
      </c>
      <c r="DT373" t="e">
        <f>AND(#REF!,"AAAAAH63v3s=")</f>
        <v>#REF!</v>
      </c>
      <c r="DU373" t="e">
        <f>AND(#REF!,"AAAAAH63v3w=")</f>
        <v>#REF!</v>
      </c>
      <c r="DV373" t="e">
        <f>AND(#REF!,"AAAAAH63v30=")</f>
        <v>#REF!</v>
      </c>
      <c r="DW373" t="e">
        <f>AND(#REF!,"AAAAAH63v34=")</f>
        <v>#REF!</v>
      </c>
      <c r="DX373" t="e">
        <f>AND(#REF!,"AAAAAH63v38=")</f>
        <v>#REF!</v>
      </c>
      <c r="DY373" t="e">
        <f>IF(#REF!,"AAAAAH63v4A=",0)</f>
        <v>#REF!</v>
      </c>
      <c r="DZ373" t="e">
        <f>AND(#REF!,"AAAAAH63v4E=")</f>
        <v>#REF!</v>
      </c>
      <c r="EA373" t="e">
        <f>AND(#REF!,"AAAAAH63v4I=")</f>
        <v>#REF!</v>
      </c>
      <c r="EB373" t="e">
        <f>AND(#REF!,"AAAAAH63v4M=")</f>
        <v>#REF!</v>
      </c>
      <c r="EC373" t="e">
        <f>AND(#REF!,"AAAAAH63v4Q=")</f>
        <v>#REF!</v>
      </c>
      <c r="ED373" t="e">
        <f>AND(#REF!,"AAAAAH63v4U=")</f>
        <v>#REF!</v>
      </c>
      <c r="EE373" t="e">
        <f>AND(#REF!,"AAAAAH63v4Y=")</f>
        <v>#REF!</v>
      </c>
      <c r="EF373" t="e">
        <f>AND(#REF!,"AAAAAH63v4c=")</f>
        <v>#REF!</v>
      </c>
      <c r="EG373" t="e">
        <f>AND(#REF!,"AAAAAH63v4g=")</f>
        <v>#REF!</v>
      </c>
      <c r="EH373" t="e">
        <f>AND(#REF!,"AAAAAH63v4k=")</f>
        <v>#REF!</v>
      </c>
      <c r="EI373" t="e">
        <f>AND(#REF!,"AAAAAH63v4o=")</f>
        <v>#REF!</v>
      </c>
      <c r="EJ373" t="e">
        <f>AND(#REF!,"AAAAAH63v4s=")</f>
        <v>#REF!</v>
      </c>
      <c r="EK373" t="e">
        <f>AND(#REF!,"AAAAAH63v4w=")</f>
        <v>#REF!</v>
      </c>
      <c r="EL373" t="e">
        <f>AND(#REF!,"AAAAAH63v40=")</f>
        <v>#REF!</v>
      </c>
      <c r="EM373" t="e">
        <f>AND(#REF!,"AAAAAH63v44=")</f>
        <v>#REF!</v>
      </c>
      <c r="EN373" t="e">
        <f>AND(#REF!,"AAAAAH63v48=")</f>
        <v>#REF!</v>
      </c>
      <c r="EO373" t="e">
        <f>AND(#REF!,"AAAAAH63v5A=")</f>
        <v>#REF!</v>
      </c>
      <c r="EP373" t="e">
        <f>AND(#REF!,"AAAAAH63v5E=")</f>
        <v>#REF!</v>
      </c>
      <c r="EQ373" t="e">
        <f>AND(#REF!,"AAAAAH63v5I=")</f>
        <v>#REF!</v>
      </c>
      <c r="ER373" t="e">
        <f>AND(#REF!,"AAAAAH63v5M=")</f>
        <v>#REF!</v>
      </c>
      <c r="ES373" t="e">
        <f>AND(#REF!,"AAAAAH63v5Q=")</f>
        <v>#REF!</v>
      </c>
      <c r="ET373" t="e">
        <f>AND(#REF!,"AAAAAH63v5U=")</f>
        <v>#REF!</v>
      </c>
      <c r="EU373" t="e">
        <f>AND(#REF!,"AAAAAH63v5Y=")</f>
        <v>#REF!</v>
      </c>
      <c r="EV373" t="e">
        <f>AND(#REF!,"AAAAAH63v5c=")</f>
        <v>#REF!</v>
      </c>
      <c r="EW373" t="e">
        <f>AND(#REF!,"AAAAAH63v5g=")</f>
        <v>#REF!</v>
      </c>
      <c r="EX373" t="e">
        <f>IF(#REF!,"AAAAAH63v5k=",0)</f>
        <v>#REF!</v>
      </c>
      <c r="EY373" t="e">
        <f>AND(#REF!,"AAAAAH63v5o=")</f>
        <v>#REF!</v>
      </c>
      <c r="EZ373" t="e">
        <f>AND(#REF!,"AAAAAH63v5s=")</f>
        <v>#REF!</v>
      </c>
      <c r="FA373" t="e">
        <f>AND(#REF!,"AAAAAH63v5w=")</f>
        <v>#REF!</v>
      </c>
      <c r="FB373" t="e">
        <f>AND(#REF!,"AAAAAH63v50=")</f>
        <v>#REF!</v>
      </c>
      <c r="FC373" t="e">
        <f>AND(#REF!,"AAAAAH63v54=")</f>
        <v>#REF!</v>
      </c>
      <c r="FD373" t="e">
        <f>AND(#REF!,"AAAAAH63v58=")</f>
        <v>#REF!</v>
      </c>
      <c r="FE373" t="e">
        <f>AND(#REF!,"AAAAAH63v6A=")</f>
        <v>#REF!</v>
      </c>
      <c r="FF373" t="e">
        <f>AND(#REF!,"AAAAAH63v6E=")</f>
        <v>#REF!</v>
      </c>
      <c r="FG373" t="e">
        <f>AND(#REF!,"AAAAAH63v6I=")</f>
        <v>#REF!</v>
      </c>
      <c r="FH373" t="e">
        <f>AND(#REF!,"AAAAAH63v6M=")</f>
        <v>#REF!</v>
      </c>
      <c r="FI373" t="e">
        <f>AND(#REF!,"AAAAAH63v6Q=")</f>
        <v>#REF!</v>
      </c>
      <c r="FJ373" t="e">
        <f>AND(#REF!,"AAAAAH63v6U=")</f>
        <v>#REF!</v>
      </c>
      <c r="FK373" t="e">
        <f>AND(#REF!,"AAAAAH63v6Y=")</f>
        <v>#REF!</v>
      </c>
      <c r="FL373" t="e">
        <f>AND(#REF!,"AAAAAH63v6c=")</f>
        <v>#REF!</v>
      </c>
      <c r="FM373" t="e">
        <f>AND(#REF!,"AAAAAH63v6g=")</f>
        <v>#REF!</v>
      </c>
      <c r="FN373" t="e">
        <f>AND(#REF!,"AAAAAH63v6k=")</f>
        <v>#REF!</v>
      </c>
      <c r="FO373" t="e">
        <f>AND(#REF!,"AAAAAH63v6o=")</f>
        <v>#REF!</v>
      </c>
      <c r="FP373" t="e">
        <f>AND(#REF!,"AAAAAH63v6s=")</f>
        <v>#REF!</v>
      </c>
      <c r="FQ373" t="e">
        <f>AND(#REF!,"AAAAAH63v6w=")</f>
        <v>#REF!</v>
      </c>
      <c r="FR373" t="e">
        <f>AND(#REF!,"AAAAAH63v60=")</f>
        <v>#REF!</v>
      </c>
      <c r="FS373" t="e">
        <f>AND(#REF!,"AAAAAH63v64=")</f>
        <v>#REF!</v>
      </c>
      <c r="FT373" t="e">
        <f>AND(#REF!,"AAAAAH63v68=")</f>
        <v>#REF!</v>
      </c>
      <c r="FU373" t="e">
        <f>AND(#REF!,"AAAAAH63v7A=")</f>
        <v>#REF!</v>
      </c>
      <c r="FV373" t="e">
        <f>AND(#REF!,"AAAAAH63v7E=")</f>
        <v>#REF!</v>
      </c>
      <c r="FW373" t="e">
        <f>IF(#REF!,"AAAAAH63v7I=",0)</f>
        <v>#REF!</v>
      </c>
      <c r="FX373" t="e">
        <f>AND(#REF!,"AAAAAH63v7M=")</f>
        <v>#REF!</v>
      </c>
      <c r="FY373" t="e">
        <f>AND(#REF!,"AAAAAH63v7Q=")</f>
        <v>#REF!</v>
      </c>
      <c r="FZ373" t="e">
        <f>AND(#REF!,"AAAAAH63v7U=")</f>
        <v>#REF!</v>
      </c>
      <c r="GA373" t="e">
        <f>AND(#REF!,"AAAAAH63v7Y=")</f>
        <v>#REF!</v>
      </c>
      <c r="GB373" t="e">
        <f>AND(#REF!,"AAAAAH63v7c=")</f>
        <v>#REF!</v>
      </c>
      <c r="GC373" t="e">
        <f>AND(#REF!,"AAAAAH63v7g=")</f>
        <v>#REF!</v>
      </c>
      <c r="GD373" t="e">
        <f>AND(#REF!,"AAAAAH63v7k=")</f>
        <v>#REF!</v>
      </c>
      <c r="GE373" t="e">
        <f>AND(#REF!,"AAAAAH63v7o=")</f>
        <v>#REF!</v>
      </c>
      <c r="GF373" t="e">
        <f>AND(#REF!,"AAAAAH63v7s=")</f>
        <v>#REF!</v>
      </c>
      <c r="GG373" t="e">
        <f>AND(#REF!,"AAAAAH63v7w=")</f>
        <v>#REF!</v>
      </c>
      <c r="GH373" t="e">
        <f>AND(#REF!,"AAAAAH63v70=")</f>
        <v>#REF!</v>
      </c>
      <c r="GI373" t="e">
        <f>AND(#REF!,"AAAAAH63v74=")</f>
        <v>#REF!</v>
      </c>
      <c r="GJ373" t="e">
        <f>AND(#REF!,"AAAAAH63v78=")</f>
        <v>#REF!</v>
      </c>
      <c r="GK373" t="e">
        <f>AND(#REF!,"AAAAAH63v8A=")</f>
        <v>#REF!</v>
      </c>
      <c r="GL373" t="e">
        <f>AND(#REF!,"AAAAAH63v8E=")</f>
        <v>#REF!</v>
      </c>
      <c r="GM373" t="e">
        <f>AND(#REF!,"AAAAAH63v8I=")</f>
        <v>#REF!</v>
      </c>
      <c r="GN373" t="e">
        <f>AND(#REF!,"AAAAAH63v8M=")</f>
        <v>#REF!</v>
      </c>
      <c r="GO373" t="e">
        <f>AND(#REF!,"AAAAAH63v8Q=")</f>
        <v>#REF!</v>
      </c>
      <c r="GP373" t="e">
        <f>AND(#REF!,"AAAAAH63v8U=")</f>
        <v>#REF!</v>
      </c>
      <c r="GQ373" t="e">
        <f>AND(#REF!,"AAAAAH63v8Y=")</f>
        <v>#REF!</v>
      </c>
      <c r="GR373" t="e">
        <f>AND(#REF!,"AAAAAH63v8c=")</f>
        <v>#REF!</v>
      </c>
      <c r="GS373" t="e">
        <f>AND(#REF!,"AAAAAH63v8g=")</f>
        <v>#REF!</v>
      </c>
      <c r="GT373" t="e">
        <f>AND(#REF!,"AAAAAH63v8k=")</f>
        <v>#REF!</v>
      </c>
      <c r="GU373" t="e">
        <f>AND(#REF!,"AAAAAH63v8o=")</f>
        <v>#REF!</v>
      </c>
      <c r="GV373" t="e">
        <f>IF(#REF!,"AAAAAH63v8s=",0)</f>
        <v>#REF!</v>
      </c>
      <c r="GW373" t="e">
        <f>AND(#REF!,"AAAAAH63v8w=")</f>
        <v>#REF!</v>
      </c>
      <c r="GX373" t="e">
        <f>AND(#REF!,"AAAAAH63v80=")</f>
        <v>#REF!</v>
      </c>
      <c r="GY373" t="e">
        <f>AND(#REF!,"AAAAAH63v84=")</f>
        <v>#REF!</v>
      </c>
      <c r="GZ373" t="e">
        <f>AND(#REF!,"AAAAAH63v88=")</f>
        <v>#REF!</v>
      </c>
      <c r="HA373" t="e">
        <f>AND(#REF!,"AAAAAH63v9A=")</f>
        <v>#REF!</v>
      </c>
      <c r="HB373" t="e">
        <f>AND(#REF!,"AAAAAH63v9E=")</f>
        <v>#REF!</v>
      </c>
      <c r="HC373" t="e">
        <f>AND(#REF!,"AAAAAH63v9I=")</f>
        <v>#REF!</v>
      </c>
      <c r="HD373" t="e">
        <f>AND(#REF!,"AAAAAH63v9M=")</f>
        <v>#REF!</v>
      </c>
      <c r="HE373" t="e">
        <f>AND(#REF!,"AAAAAH63v9Q=")</f>
        <v>#REF!</v>
      </c>
      <c r="HF373" t="e">
        <f>AND(#REF!,"AAAAAH63v9U=")</f>
        <v>#REF!</v>
      </c>
      <c r="HG373" t="e">
        <f>AND(#REF!,"AAAAAH63v9Y=")</f>
        <v>#REF!</v>
      </c>
      <c r="HH373" t="e">
        <f>AND(#REF!,"AAAAAH63v9c=")</f>
        <v>#REF!</v>
      </c>
      <c r="HI373" t="e">
        <f>AND(#REF!,"AAAAAH63v9g=")</f>
        <v>#REF!</v>
      </c>
      <c r="HJ373" t="e">
        <f>AND(#REF!,"AAAAAH63v9k=")</f>
        <v>#REF!</v>
      </c>
      <c r="HK373" t="e">
        <f>AND(#REF!,"AAAAAH63v9o=")</f>
        <v>#REF!</v>
      </c>
      <c r="HL373" t="e">
        <f>AND(#REF!,"AAAAAH63v9s=")</f>
        <v>#REF!</v>
      </c>
      <c r="HM373" t="e">
        <f>AND(#REF!,"AAAAAH63v9w=")</f>
        <v>#REF!</v>
      </c>
      <c r="HN373" t="e">
        <f>AND(#REF!,"AAAAAH63v90=")</f>
        <v>#REF!</v>
      </c>
      <c r="HO373" t="e">
        <f>AND(#REF!,"AAAAAH63v94=")</f>
        <v>#REF!</v>
      </c>
      <c r="HP373" t="e">
        <f>AND(#REF!,"AAAAAH63v98=")</f>
        <v>#REF!</v>
      </c>
      <c r="HQ373" t="e">
        <f>AND(#REF!,"AAAAAH63v+A=")</f>
        <v>#REF!</v>
      </c>
      <c r="HR373" t="e">
        <f>AND(#REF!,"AAAAAH63v+E=")</f>
        <v>#REF!</v>
      </c>
      <c r="HS373" t="e">
        <f>AND(#REF!,"AAAAAH63v+I=")</f>
        <v>#REF!</v>
      </c>
      <c r="HT373" t="e">
        <f>AND(#REF!,"AAAAAH63v+M=")</f>
        <v>#REF!</v>
      </c>
      <c r="HU373" t="e">
        <f>IF(#REF!,"AAAAAH63v+Q=",0)</f>
        <v>#REF!</v>
      </c>
      <c r="HV373" t="e">
        <f>AND(#REF!,"AAAAAH63v+U=")</f>
        <v>#REF!</v>
      </c>
      <c r="HW373" t="e">
        <f>AND(#REF!,"AAAAAH63v+Y=")</f>
        <v>#REF!</v>
      </c>
      <c r="HX373" t="e">
        <f>AND(#REF!,"AAAAAH63v+c=")</f>
        <v>#REF!</v>
      </c>
      <c r="HY373" t="e">
        <f>AND(#REF!,"AAAAAH63v+g=")</f>
        <v>#REF!</v>
      </c>
      <c r="HZ373" t="e">
        <f>AND(#REF!,"AAAAAH63v+k=")</f>
        <v>#REF!</v>
      </c>
      <c r="IA373" t="e">
        <f>AND(#REF!,"AAAAAH63v+o=")</f>
        <v>#REF!</v>
      </c>
      <c r="IB373" t="e">
        <f>AND(#REF!,"AAAAAH63v+s=")</f>
        <v>#REF!</v>
      </c>
      <c r="IC373" t="e">
        <f>AND(#REF!,"AAAAAH63v+w=")</f>
        <v>#REF!</v>
      </c>
      <c r="ID373" t="e">
        <f>AND(#REF!,"AAAAAH63v+0=")</f>
        <v>#REF!</v>
      </c>
      <c r="IE373" t="e">
        <f>AND(#REF!,"AAAAAH63v+4=")</f>
        <v>#REF!</v>
      </c>
      <c r="IF373" t="e">
        <f>AND(#REF!,"AAAAAH63v+8=")</f>
        <v>#REF!</v>
      </c>
      <c r="IG373" t="e">
        <f>AND(#REF!,"AAAAAH63v/A=")</f>
        <v>#REF!</v>
      </c>
      <c r="IH373" t="e">
        <f>AND(#REF!,"AAAAAH63v/E=")</f>
        <v>#REF!</v>
      </c>
      <c r="II373" t="e">
        <f>AND(#REF!,"AAAAAH63v/I=")</f>
        <v>#REF!</v>
      </c>
      <c r="IJ373" t="e">
        <f>AND(#REF!,"AAAAAH63v/M=")</f>
        <v>#REF!</v>
      </c>
      <c r="IK373" t="e">
        <f>AND(#REF!,"AAAAAH63v/Q=")</f>
        <v>#REF!</v>
      </c>
      <c r="IL373" t="e">
        <f>AND(#REF!,"AAAAAH63v/U=")</f>
        <v>#REF!</v>
      </c>
      <c r="IM373" t="e">
        <f>AND(#REF!,"AAAAAH63v/Y=")</f>
        <v>#REF!</v>
      </c>
      <c r="IN373" t="e">
        <f>AND(#REF!,"AAAAAH63v/c=")</f>
        <v>#REF!</v>
      </c>
      <c r="IO373" t="e">
        <f>AND(#REF!,"AAAAAH63v/g=")</f>
        <v>#REF!</v>
      </c>
      <c r="IP373" t="e">
        <f>AND(#REF!,"AAAAAH63v/k=")</f>
        <v>#REF!</v>
      </c>
      <c r="IQ373" t="e">
        <f>AND(#REF!,"AAAAAH63v/o=")</f>
        <v>#REF!</v>
      </c>
      <c r="IR373" t="e">
        <f>AND(#REF!,"AAAAAH63v/s=")</f>
        <v>#REF!</v>
      </c>
      <c r="IS373" t="e">
        <f>AND(#REF!,"AAAAAH63v/w=")</f>
        <v>#REF!</v>
      </c>
      <c r="IT373" t="e">
        <f>IF(#REF!,"AAAAAH63v/0=",0)</f>
        <v>#REF!</v>
      </c>
      <c r="IU373" t="e">
        <f>AND(#REF!,"AAAAAH63v/4=")</f>
        <v>#REF!</v>
      </c>
      <c r="IV373" t="e">
        <f>AND(#REF!,"AAAAAH63v/8=")</f>
        <v>#REF!</v>
      </c>
    </row>
    <row r="374" spans="1:256">
      <c r="A374" t="e">
        <f>AND(#REF!,"AAAAAG9u/wA=")</f>
        <v>#REF!</v>
      </c>
      <c r="B374" t="e">
        <f>AND(#REF!,"AAAAAG9u/wE=")</f>
        <v>#REF!</v>
      </c>
      <c r="C374" t="e">
        <f>AND(#REF!,"AAAAAG9u/wI=")</f>
        <v>#REF!</v>
      </c>
      <c r="D374" t="e">
        <f>AND(#REF!,"AAAAAG9u/wM=")</f>
        <v>#REF!</v>
      </c>
      <c r="E374" t="e">
        <f>AND(#REF!,"AAAAAG9u/wQ=")</f>
        <v>#REF!</v>
      </c>
      <c r="F374" t="e">
        <f>AND(#REF!,"AAAAAG9u/wU=")</f>
        <v>#REF!</v>
      </c>
      <c r="G374" t="e">
        <f>AND(#REF!,"AAAAAG9u/wY=")</f>
        <v>#REF!</v>
      </c>
      <c r="H374" t="e">
        <f>AND(#REF!,"AAAAAG9u/wc=")</f>
        <v>#REF!</v>
      </c>
      <c r="I374" t="e">
        <f>AND(#REF!,"AAAAAG9u/wg=")</f>
        <v>#REF!</v>
      </c>
      <c r="J374" t="e">
        <f>AND(#REF!,"AAAAAG9u/wk=")</f>
        <v>#REF!</v>
      </c>
      <c r="K374" t="e">
        <f>AND(#REF!,"AAAAAG9u/wo=")</f>
        <v>#REF!</v>
      </c>
      <c r="L374" t="e">
        <f>AND(#REF!,"AAAAAG9u/ws=")</f>
        <v>#REF!</v>
      </c>
      <c r="M374" t="e">
        <f>AND(#REF!,"AAAAAG9u/ww=")</f>
        <v>#REF!</v>
      </c>
      <c r="N374" t="e">
        <f>AND(#REF!,"AAAAAG9u/w0=")</f>
        <v>#REF!</v>
      </c>
      <c r="O374" t="e">
        <f>AND(#REF!,"AAAAAG9u/w4=")</f>
        <v>#REF!</v>
      </c>
      <c r="P374" t="e">
        <f>AND(#REF!,"AAAAAG9u/w8=")</f>
        <v>#REF!</v>
      </c>
      <c r="Q374" t="e">
        <f>AND(#REF!,"AAAAAG9u/xA=")</f>
        <v>#REF!</v>
      </c>
      <c r="R374" t="e">
        <f>AND(#REF!,"AAAAAG9u/xE=")</f>
        <v>#REF!</v>
      </c>
      <c r="S374" t="e">
        <f>AND(#REF!,"AAAAAG9u/xI=")</f>
        <v>#REF!</v>
      </c>
      <c r="T374" t="e">
        <f>AND(#REF!,"AAAAAG9u/xM=")</f>
        <v>#REF!</v>
      </c>
      <c r="U374" t="e">
        <f>AND(#REF!,"AAAAAG9u/xQ=")</f>
        <v>#REF!</v>
      </c>
      <c r="V374" t="e">
        <f>AND(#REF!,"AAAAAG9u/xU=")</f>
        <v>#REF!</v>
      </c>
      <c r="W374" t="e">
        <f>IF(#REF!,"AAAAAG9u/xY=",0)</f>
        <v>#REF!</v>
      </c>
      <c r="X374" t="e">
        <f>AND(#REF!,"AAAAAG9u/xc=")</f>
        <v>#REF!</v>
      </c>
      <c r="Y374" t="e">
        <f>AND(#REF!,"AAAAAG9u/xg=")</f>
        <v>#REF!</v>
      </c>
      <c r="Z374" t="e">
        <f>AND(#REF!,"AAAAAG9u/xk=")</f>
        <v>#REF!</v>
      </c>
      <c r="AA374" t="e">
        <f>AND(#REF!,"AAAAAG9u/xo=")</f>
        <v>#REF!</v>
      </c>
      <c r="AB374" t="e">
        <f>AND(#REF!,"AAAAAG9u/xs=")</f>
        <v>#REF!</v>
      </c>
      <c r="AC374" t="e">
        <f>AND(#REF!,"AAAAAG9u/xw=")</f>
        <v>#REF!</v>
      </c>
      <c r="AD374" t="e">
        <f>AND(#REF!,"AAAAAG9u/x0=")</f>
        <v>#REF!</v>
      </c>
      <c r="AE374" t="e">
        <f>AND(#REF!,"AAAAAG9u/x4=")</f>
        <v>#REF!</v>
      </c>
      <c r="AF374" t="e">
        <f>AND(#REF!,"AAAAAG9u/x8=")</f>
        <v>#REF!</v>
      </c>
      <c r="AG374" t="e">
        <f>AND(#REF!,"AAAAAG9u/yA=")</f>
        <v>#REF!</v>
      </c>
      <c r="AH374" t="e">
        <f>AND(#REF!,"AAAAAG9u/yE=")</f>
        <v>#REF!</v>
      </c>
      <c r="AI374" t="e">
        <f>AND(#REF!,"AAAAAG9u/yI=")</f>
        <v>#REF!</v>
      </c>
      <c r="AJ374" t="e">
        <f>AND(#REF!,"AAAAAG9u/yM=")</f>
        <v>#REF!</v>
      </c>
      <c r="AK374" t="e">
        <f>AND(#REF!,"AAAAAG9u/yQ=")</f>
        <v>#REF!</v>
      </c>
      <c r="AL374" t="e">
        <f>AND(#REF!,"AAAAAG9u/yU=")</f>
        <v>#REF!</v>
      </c>
      <c r="AM374" t="e">
        <f>AND(#REF!,"AAAAAG9u/yY=")</f>
        <v>#REF!</v>
      </c>
      <c r="AN374" t="e">
        <f>AND(#REF!,"AAAAAG9u/yc=")</f>
        <v>#REF!</v>
      </c>
      <c r="AO374" t="e">
        <f>AND(#REF!,"AAAAAG9u/yg=")</f>
        <v>#REF!</v>
      </c>
      <c r="AP374" t="e">
        <f>AND(#REF!,"AAAAAG9u/yk=")</f>
        <v>#REF!</v>
      </c>
      <c r="AQ374" t="e">
        <f>AND(#REF!,"AAAAAG9u/yo=")</f>
        <v>#REF!</v>
      </c>
      <c r="AR374" t="e">
        <f>AND(#REF!,"AAAAAG9u/ys=")</f>
        <v>#REF!</v>
      </c>
      <c r="AS374" t="e">
        <f>AND(#REF!,"AAAAAG9u/yw=")</f>
        <v>#REF!</v>
      </c>
      <c r="AT374" t="e">
        <f>AND(#REF!,"AAAAAG9u/y0=")</f>
        <v>#REF!</v>
      </c>
      <c r="AU374" t="e">
        <f>AND(#REF!,"AAAAAG9u/y4=")</f>
        <v>#REF!</v>
      </c>
      <c r="AV374" t="e">
        <f>IF(#REF!,"AAAAAG9u/y8=",0)</f>
        <v>#REF!</v>
      </c>
      <c r="AW374" t="e">
        <f>AND(#REF!,"AAAAAG9u/zA=")</f>
        <v>#REF!</v>
      </c>
      <c r="AX374" t="e">
        <f>AND(#REF!,"AAAAAG9u/zE=")</f>
        <v>#REF!</v>
      </c>
      <c r="AY374" t="e">
        <f>AND(#REF!,"AAAAAG9u/zI=")</f>
        <v>#REF!</v>
      </c>
      <c r="AZ374" t="e">
        <f>AND(#REF!,"AAAAAG9u/zM=")</f>
        <v>#REF!</v>
      </c>
      <c r="BA374" t="e">
        <f>AND(#REF!,"AAAAAG9u/zQ=")</f>
        <v>#REF!</v>
      </c>
      <c r="BB374" t="e">
        <f>AND(#REF!,"AAAAAG9u/zU=")</f>
        <v>#REF!</v>
      </c>
      <c r="BC374" t="e">
        <f>AND(#REF!,"AAAAAG9u/zY=")</f>
        <v>#REF!</v>
      </c>
      <c r="BD374" t="e">
        <f>AND(#REF!,"AAAAAG9u/zc=")</f>
        <v>#REF!</v>
      </c>
      <c r="BE374" t="e">
        <f>AND(#REF!,"AAAAAG9u/zg=")</f>
        <v>#REF!</v>
      </c>
      <c r="BF374" t="e">
        <f>AND(#REF!,"AAAAAG9u/zk=")</f>
        <v>#REF!</v>
      </c>
      <c r="BG374" t="e">
        <f>AND(#REF!,"AAAAAG9u/zo=")</f>
        <v>#REF!</v>
      </c>
      <c r="BH374" t="e">
        <f>AND(#REF!,"AAAAAG9u/zs=")</f>
        <v>#REF!</v>
      </c>
      <c r="BI374" t="e">
        <f>AND(#REF!,"AAAAAG9u/zw=")</f>
        <v>#REF!</v>
      </c>
      <c r="BJ374" t="e">
        <f>AND(#REF!,"AAAAAG9u/z0=")</f>
        <v>#REF!</v>
      </c>
      <c r="BK374" t="e">
        <f>AND(#REF!,"AAAAAG9u/z4=")</f>
        <v>#REF!</v>
      </c>
      <c r="BL374" t="e">
        <f>AND(#REF!,"AAAAAG9u/z8=")</f>
        <v>#REF!</v>
      </c>
      <c r="BM374" t="e">
        <f>AND(#REF!,"AAAAAG9u/0A=")</f>
        <v>#REF!</v>
      </c>
      <c r="BN374" t="e">
        <f>AND(#REF!,"AAAAAG9u/0E=")</f>
        <v>#REF!</v>
      </c>
      <c r="BO374" t="e">
        <f>AND(#REF!,"AAAAAG9u/0I=")</f>
        <v>#REF!</v>
      </c>
      <c r="BP374" t="e">
        <f>AND(#REF!,"AAAAAG9u/0M=")</f>
        <v>#REF!</v>
      </c>
      <c r="BQ374" t="e">
        <f>AND(#REF!,"AAAAAG9u/0Q=")</f>
        <v>#REF!</v>
      </c>
      <c r="BR374" t="e">
        <f>AND(#REF!,"AAAAAG9u/0U=")</f>
        <v>#REF!</v>
      </c>
      <c r="BS374" t="e">
        <f>AND(#REF!,"AAAAAG9u/0Y=")</f>
        <v>#REF!</v>
      </c>
      <c r="BT374" t="e">
        <f>AND(#REF!,"AAAAAG9u/0c=")</f>
        <v>#REF!</v>
      </c>
      <c r="BU374" t="e">
        <f>IF(#REF!,"AAAAAG9u/0g=",0)</f>
        <v>#REF!</v>
      </c>
      <c r="BV374" t="e">
        <f>AND(#REF!,"AAAAAG9u/0k=")</f>
        <v>#REF!</v>
      </c>
      <c r="BW374" t="e">
        <f>AND(#REF!,"AAAAAG9u/0o=")</f>
        <v>#REF!</v>
      </c>
      <c r="BX374" t="e">
        <f>AND(#REF!,"AAAAAG9u/0s=")</f>
        <v>#REF!</v>
      </c>
      <c r="BY374" t="e">
        <f>AND(#REF!,"AAAAAG9u/0w=")</f>
        <v>#REF!</v>
      </c>
      <c r="BZ374" t="e">
        <f>AND(#REF!,"AAAAAG9u/00=")</f>
        <v>#REF!</v>
      </c>
      <c r="CA374" t="e">
        <f>AND(#REF!,"AAAAAG9u/04=")</f>
        <v>#REF!</v>
      </c>
      <c r="CB374" t="e">
        <f>AND(#REF!,"AAAAAG9u/08=")</f>
        <v>#REF!</v>
      </c>
      <c r="CC374" t="e">
        <f>AND(#REF!,"AAAAAG9u/1A=")</f>
        <v>#REF!</v>
      </c>
      <c r="CD374" t="e">
        <f>AND(#REF!,"AAAAAG9u/1E=")</f>
        <v>#REF!</v>
      </c>
      <c r="CE374" t="e">
        <f>AND(#REF!,"AAAAAG9u/1I=")</f>
        <v>#REF!</v>
      </c>
      <c r="CF374" t="e">
        <f>AND(#REF!,"AAAAAG9u/1M=")</f>
        <v>#REF!</v>
      </c>
      <c r="CG374" t="e">
        <f>AND(#REF!,"AAAAAG9u/1Q=")</f>
        <v>#REF!</v>
      </c>
      <c r="CH374" t="e">
        <f>AND(#REF!,"AAAAAG9u/1U=")</f>
        <v>#REF!</v>
      </c>
      <c r="CI374" t="e">
        <f>AND(#REF!,"AAAAAG9u/1Y=")</f>
        <v>#REF!</v>
      </c>
      <c r="CJ374" t="e">
        <f>AND(#REF!,"AAAAAG9u/1c=")</f>
        <v>#REF!</v>
      </c>
      <c r="CK374" t="e">
        <f>AND(#REF!,"AAAAAG9u/1g=")</f>
        <v>#REF!</v>
      </c>
      <c r="CL374" t="e">
        <f>AND(#REF!,"AAAAAG9u/1k=")</f>
        <v>#REF!</v>
      </c>
      <c r="CM374" t="e">
        <f>AND(#REF!,"AAAAAG9u/1o=")</f>
        <v>#REF!</v>
      </c>
      <c r="CN374" t="e">
        <f>AND(#REF!,"AAAAAG9u/1s=")</f>
        <v>#REF!</v>
      </c>
      <c r="CO374" t="e">
        <f>AND(#REF!,"AAAAAG9u/1w=")</f>
        <v>#REF!</v>
      </c>
      <c r="CP374" t="e">
        <f>AND(#REF!,"AAAAAG9u/10=")</f>
        <v>#REF!</v>
      </c>
      <c r="CQ374" t="e">
        <f>AND(#REF!,"AAAAAG9u/14=")</f>
        <v>#REF!</v>
      </c>
      <c r="CR374" t="e">
        <f>AND(#REF!,"AAAAAG9u/18=")</f>
        <v>#REF!</v>
      </c>
      <c r="CS374" t="e">
        <f>AND(#REF!,"AAAAAG9u/2A=")</f>
        <v>#REF!</v>
      </c>
      <c r="CT374" t="e">
        <f>IF(#REF!,"AAAAAG9u/2E=",0)</f>
        <v>#REF!</v>
      </c>
      <c r="CU374" t="e">
        <f>AND(#REF!,"AAAAAG9u/2I=")</f>
        <v>#REF!</v>
      </c>
      <c r="CV374" t="e">
        <f>AND(#REF!,"AAAAAG9u/2M=")</f>
        <v>#REF!</v>
      </c>
      <c r="CW374" t="e">
        <f>AND(#REF!,"AAAAAG9u/2Q=")</f>
        <v>#REF!</v>
      </c>
      <c r="CX374" t="e">
        <f>AND(#REF!,"AAAAAG9u/2U=")</f>
        <v>#REF!</v>
      </c>
      <c r="CY374" t="e">
        <f>AND(#REF!,"AAAAAG9u/2Y=")</f>
        <v>#REF!</v>
      </c>
      <c r="CZ374" t="e">
        <f>AND(#REF!,"AAAAAG9u/2c=")</f>
        <v>#REF!</v>
      </c>
      <c r="DA374" t="e">
        <f>AND(#REF!,"AAAAAG9u/2g=")</f>
        <v>#REF!</v>
      </c>
      <c r="DB374" t="e">
        <f>AND(#REF!,"AAAAAG9u/2k=")</f>
        <v>#REF!</v>
      </c>
      <c r="DC374" t="e">
        <f>AND(#REF!,"AAAAAG9u/2o=")</f>
        <v>#REF!</v>
      </c>
      <c r="DD374" t="e">
        <f>AND(#REF!,"AAAAAG9u/2s=")</f>
        <v>#REF!</v>
      </c>
      <c r="DE374" t="e">
        <f>AND(#REF!,"AAAAAG9u/2w=")</f>
        <v>#REF!</v>
      </c>
      <c r="DF374" t="e">
        <f>AND(#REF!,"AAAAAG9u/20=")</f>
        <v>#REF!</v>
      </c>
      <c r="DG374" t="e">
        <f>AND(#REF!,"AAAAAG9u/24=")</f>
        <v>#REF!</v>
      </c>
      <c r="DH374" t="e">
        <f>AND(#REF!,"AAAAAG9u/28=")</f>
        <v>#REF!</v>
      </c>
      <c r="DI374" t="e">
        <f>AND(#REF!,"AAAAAG9u/3A=")</f>
        <v>#REF!</v>
      </c>
      <c r="DJ374" t="e">
        <f>AND(#REF!,"AAAAAG9u/3E=")</f>
        <v>#REF!</v>
      </c>
      <c r="DK374" t="e">
        <f>AND(#REF!,"AAAAAG9u/3I=")</f>
        <v>#REF!</v>
      </c>
      <c r="DL374" t="e">
        <f>AND(#REF!,"AAAAAG9u/3M=")</f>
        <v>#REF!</v>
      </c>
      <c r="DM374" t="e">
        <f>AND(#REF!,"AAAAAG9u/3Q=")</f>
        <v>#REF!</v>
      </c>
      <c r="DN374" t="e">
        <f>AND(#REF!,"AAAAAG9u/3U=")</f>
        <v>#REF!</v>
      </c>
      <c r="DO374" t="e">
        <f>AND(#REF!,"AAAAAG9u/3Y=")</f>
        <v>#REF!</v>
      </c>
      <c r="DP374" t="e">
        <f>AND(#REF!,"AAAAAG9u/3c=")</f>
        <v>#REF!</v>
      </c>
      <c r="DQ374" t="e">
        <f>AND(#REF!,"AAAAAG9u/3g=")</f>
        <v>#REF!</v>
      </c>
      <c r="DR374" t="e">
        <f>AND(#REF!,"AAAAAG9u/3k=")</f>
        <v>#REF!</v>
      </c>
      <c r="DS374" t="e">
        <f>IF(#REF!,"AAAAAG9u/3o=",0)</f>
        <v>#REF!</v>
      </c>
      <c r="DT374" t="e">
        <f>AND(#REF!,"AAAAAG9u/3s=")</f>
        <v>#REF!</v>
      </c>
      <c r="DU374" t="e">
        <f>AND(#REF!,"AAAAAG9u/3w=")</f>
        <v>#REF!</v>
      </c>
      <c r="DV374" t="e">
        <f>AND(#REF!,"AAAAAG9u/30=")</f>
        <v>#REF!</v>
      </c>
      <c r="DW374" t="e">
        <f>AND(#REF!,"AAAAAG9u/34=")</f>
        <v>#REF!</v>
      </c>
      <c r="DX374" t="e">
        <f>AND(#REF!,"AAAAAG9u/38=")</f>
        <v>#REF!</v>
      </c>
      <c r="DY374" t="e">
        <f>AND(#REF!,"AAAAAG9u/4A=")</f>
        <v>#REF!</v>
      </c>
      <c r="DZ374" t="e">
        <f>AND(#REF!,"AAAAAG9u/4E=")</f>
        <v>#REF!</v>
      </c>
      <c r="EA374" t="e">
        <f>AND(#REF!,"AAAAAG9u/4I=")</f>
        <v>#REF!</v>
      </c>
      <c r="EB374" t="e">
        <f>AND(#REF!,"AAAAAG9u/4M=")</f>
        <v>#REF!</v>
      </c>
      <c r="EC374" t="e">
        <f>AND(#REF!,"AAAAAG9u/4Q=")</f>
        <v>#REF!</v>
      </c>
      <c r="ED374" t="e">
        <f>AND(#REF!,"AAAAAG9u/4U=")</f>
        <v>#REF!</v>
      </c>
      <c r="EE374" t="e">
        <f>AND(#REF!,"AAAAAG9u/4Y=")</f>
        <v>#REF!</v>
      </c>
      <c r="EF374" t="e">
        <f>AND(#REF!,"AAAAAG9u/4c=")</f>
        <v>#REF!</v>
      </c>
      <c r="EG374" t="e">
        <f>AND(#REF!,"AAAAAG9u/4g=")</f>
        <v>#REF!</v>
      </c>
      <c r="EH374" t="e">
        <f>AND(#REF!,"AAAAAG9u/4k=")</f>
        <v>#REF!</v>
      </c>
      <c r="EI374" t="e">
        <f>AND(#REF!,"AAAAAG9u/4o=")</f>
        <v>#REF!</v>
      </c>
      <c r="EJ374" t="e">
        <f>AND(#REF!,"AAAAAG9u/4s=")</f>
        <v>#REF!</v>
      </c>
      <c r="EK374" t="e">
        <f>AND(#REF!,"AAAAAG9u/4w=")</f>
        <v>#REF!</v>
      </c>
      <c r="EL374" t="e">
        <f>AND(#REF!,"AAAAAG9u/40=")</f>
        <v>#REF!</v>
      </c>
      <c r="EM374" t="e">
        <f>AND(#REF!,"AAAAAG9u/44=")</f>
        <v>#REF!</v>
      </c>
      <c r="EN374" t="e">
        <f>AND(#REF!,"AAAAAG9u/48=")</f>
        <v>#REF!</v>
      </c>
      <c r="EO374" t="e">
        <f>AND(#REF!,"AAAAAG9u/5A=")</f>
        <v>#REF!</v>
      </c>
      <c r="EP374" t="e">
        <f>AND(#REF!,"AAAAAG9u/5E=")</f>
        <v>#REF!</v>
      </c>
      <c r="EQ374" t="e">
        <f>AND(#REF!,"AAAAAG9u/5I=")</f>
        <v>#REF!</v>
      </c>
      <c r="ER374" t="e">
        <f>IF(#REF!,"AAAAAG9u/5M=",0)</f>
        <v>#REF!</v>
      </c>
      <c r="ES374" t="e">
        <f>AND(#REF!,"AAAAAG9u/5Q=")</f>
        <v>#REF!</v>
      </c>
      <c r="ET374" t="e">
        <f>AND(#REF!,"AAAAAG9u/5U=")</f>
        <v>#REF!</v>
      </c>
      <c r="EU374" t="e">
        <f>AND(#REF!,"AAAAAG9u/5Y=")</f>
        <v>#REF!</v>
      </c>
      <c r="EV374" t="e">
        <f>AND(#REF!,"AAAAAG9u/5c=")</f>
        <v>#REF!</v>
      </c>
      <c r="EW374" t="e">
        <f>AND(#REF!,"AAAAAG9u/5g=")</f>
        <v>#REF!</v>
      </c>
      <c r="EX374" t="e">
        <f>AND(#REF!,"AAAAAG9u/5k=")</f>
        <v>#REF!</v>
      </c>
      <c r="EY374" t="e">
        <f>AND(#REF!,"AAAAAG9u/5o=")</f>
        <v>#REF!</v>
      </c>
      <c r="EZ374" t="e">
        <f>AND(#REF!,"AAAAAG9u/5s=")</f>
        <v>#REF!</v>
      </c>
      <c r="FA374" t="e">
        <f>AND(#REF!,"AAAAAG9u/5w=")</f>
        <v>#REF!</v>
      </c>
      <c r="FB374" t="e">
        <f>AND(#REF!,"AAAAAG9u/50=")</f>
        <v>#REF!</v>
      </c>
      <c r="FC374" t="e">
        <f>AND(#REF!,"AAAAAG9u/54=")</f>
        <v>#REF!</v>
      </c>
      <c r="FD374" t="e">
        <f>AND(#REF!,"AAAAAG9u/58=")</f>
        <v>#REF!</v>
      </c>
      <c r="FE374" t="e">
        <f>AND(#REF!,"AAAAAG9u/6A=")</f>
        <v>#REF!</v>
      </c>
      <c r="FF374" t="e">
        <f>AND(#REF!,"AAAAAG9u/6E=")</f>
        <v>#REF!</v>
      </c>
      <c r="FG374" t="e">
        <f>AND(#REF!,"AAAAAG9u/6I=")</f>
        <v>#REF!</v>
      </c>
      <c r="FH374" t="e">
        <f>AND(#REF!,"AAAAAG9u/6M=")</f>
        <v>#REF!</v>
      </c>
      <c r="FI374" t="e">
        <f>AND(#REF!,"AAAAAG9u/6Q=")</f>
        <v>#REF!</v>
      </c>
      <c r="FJ374" t="e">
        <f>AND(#REF!,"AAAAAG9u/6U=")</f>
        <v>#REF!</v>
      </c>
      <c r="FK374" t="e">
        <f>AND(#REF!,"AAAAAG9u/6Y=")</f>
        <v>#REF!</v>
      </c>
      <c r="FL374" t="e">
        <f>AND(#REF!,"AAAAAG9u/6c=")</f>
        <v>#REF!</v>
      </c>
      <c r="FM374" t="e">
        <f>AND(#REF!,"AAAAAG9u/6g=")</f>
        <v>#REF!</v>
      </c>
      <c r="FN374" t="e">
        <f>AND(#REF!,"AAAAAG9u/6k=")</f>
        <v>#REF!</v>
      </c>
      <c r="FO374" t="e">
        <f>AND(#REF!,"AAAAAG9u/6o=")</f>
        <v>#REF!</v>
      </c>
      <c r="FP374" t="e">
        <f>AND(#REF!,"AAAAAG9u/6s=")</f>
        <v>#REF!</v>
      </c>
      <c r="FQ374" t="e">
        <f>IF(#REF!,"AAAAAG9u/6w=",0)</f>
        <v>#REF!</v>
      </c>
      <c r="FR374" t="e">
        <f>AND(#REF!,"AAAAAG9u/60=")</f>
        <v>#REF!</v>
      </c>
      <c r="FS374" t="e">
        <f>AND(#REF!,"AAAAAG9u/64=")</f>
        <v>#REF!</v>
      </c>
      <c r="FT374" t="e">
        <f>AND(#REF!,"AAAAAG9u/68=")</f>
        <v>#REF!</v>
      </c>
      <c r="FU374" t="e">
        <f>AND(#REF!,"AAAAAG9u/7A=")</f>
        <v>#REF!</v>
      </c>
      <c r="FV374" t="e">
        <f>AND(#REF!,"AAAAAG9u/7E=")</f>
        <v>#REF!</v>
      </c>
      <c r="FW374" t="e">
        <f>AND(#REF!,"AAAAAG9u/7I=")</f>
        <v>#REF!</v>
      </c>
      <c r="FX374" t="e">
        <f>AND(#REF!,"AAAAAG9u/7M=")</f>
        <v>#REF!</v>
      </c>
      <c r="FY374" t="e">
        <f>AND(#REF!,"AAAAAG9u/7Q=")</f>
        <v>#REF!</v>
      </c>
      <c r="FZ374" t="e">
        <f>AND(#REF!,"AAAAAG9u/7U=")</f>
        <v>#REF!</v>
      </c>
      <c r="GA374" t="e">
        <f>AND(#REF!,"AAAAAG9u/7Y=")</f>
        <v>#REF!</v>
      </c>
      <c r="GB374" t="e">
        <f>AND(#REF!,"AAAAAG9u/7c=")</f>
        <v>#REF!</v>
      </c>
      <c r="GC374" t="e">
        <f>AND(#REF!,"AAAAAG9u/7g=")</f>
        <v>#REF!</v>
      </c>
      <c r="GD374" t="e">
        <f>AND(#REF!,"AAAAAG9u/7k=")</f>
        <v>#REF!</v>
      </c>
      <c r="GE374" t="e">
        <f>AND(#REF!,"AAAAAG9u/7o=")</f>
        <v>#REF!</v>
      </c>
      <c r="GF374" t="e">
        <f>AND(#REF!,"AAAAAG9u/7s=")</f>
        <v>#REF!</v>
      </c>
      <c r="GG374" t="e">
        <f>AND(#REF!,"AAAAAG9u/7w=")</f>
        <v>#REF!</v>
      </c>
      <c r="GH374" t="e">
        <f>AND(#REF!,"AAAAAG9u/70=")</f>
        <v>#REF!</v>
      </c>
      <c r="GI374" t="e">
        <f>AND(#REF!,"AAAAAG9u/74=")</f>
        <v>#REF!</v>
      </c>
      <c r="GJ374" t="e">
        <f>AND(#REF!,"AAAAAG9u/78=")</f>
        <v>#REF!</v>
      </c>
      <c r="GK374" t="e">
        <f>AND(#REF!,"AAAAAG9u/8A=")</f>
        <v>#REF!</v>
      </c>
      <c r="GL374" t="e">
        <f>AND(#REF!,"AAAAAG9u/8E=")</f>
        <v>#REF!</v>
      </c>
      <c r="GM374" t="e">
        <f>AND(#REF!,"AAAAAG9u/8I=")</f>
        <v>#REF!</v>
      </c>
      <c r="GN374" t="e">
        <f>AND(#REF!,"AAAAAG9u/8M=")</f>
        <v>#REF!</v>
      </c>
      <c r="GO374" t="e">
        <f>AND(#REF!,"AAAAAG9u/8Q=")</f>
        <v>#REF!</v>
      </c>
      <c r="GP374" t="e">
        <f>IF(#REF!,"AAAAAG9u/8U=",0)</f>
        <v>#REF!</v>
      </c>
      <c r="GQ374" t="e">
        <f>AND(#REF!,"AAAAAG9u/8Y=")</f>
        <v>#REF!</v>
      </c>
      <c r="GR374" t="e">
        <f>AND(#REF!,"AAAAAG9u/8c=")</f>
        <v>#REF!</v>
      </c>
      <c r="GS374" t="e">
        <f>AND(#REF!,"AAAAAG9u/8g=")</f>
        <v>#REF!</v>
      </c>
      <c r="GT374" t="e">
        <f>AND(#REF!,"AAAAAG9u/8k=")</f>
        <v>#REF!</v>
      </c>
      <c r="GU374" t="e">
        <f>AND(#REF!,"AAAAAG9u/8o=")</f>
        <v>#REF!</v>
      </c>
      <c r="GV374" t="e">
        <f>AND(#REF!,"AAAAAG9u/8s=")</f>
        <v>#REF!</v>
      </c>
      <c r="GW374" t="e">
        <f>AND(#REF!,"AAAAAG9u/8w=")</f>
        <v>#REF!</v>
      </c>
      <c r="GX374" t="e">
        <f>AND(#REF!,"AAAAAG9u/80=")</f>
        <v>#REF!</v>
      </c>
      <c r="GY374" t="e">
        <f>AND(#REF!,"AAAAAG9u/84=")</f>
        <v>#REF!</v>
      </c>
      <c r="GZ374" t="e">
        <f>AND(#REF!,"AAAAAG9u/88=")</f>
        <v>#REF!</v>
      </c>
      <c r="HA374" t="e">
        <f>AND(#REF!,"AAAAAG9u/9A=")</f>
        <v>#REF!</v>
      </c>
      <c r="HB374" t="e">
        <f>AND(#REF!,"AAAAAG9u/9E=")</f>
        <v>#REF!</v>
      </c>
      <c r="HC374" t="e">
        <f>AND(#REF!,"AAAAAG9u/9I=")</f>
        <v>#REF!</v>
      </c>
      <c r="HD374" t="e">
        <f>AND(#REF!,"AAAAAG9u/9M=")</f>
        <v>#REF!</v>
      </c>
      <c r="HE374" t="e">
        <f>AND(#REF!,"AAAAAG9u/9Q=")</f>
        <v>#REF!</v>
      </c>
      <c r="HF374" t="e">
        <f>AND(#REF!,"AAAAAG9u/9U=")</f>
        <v>#REF!</v>
      </c>
      <c r="HG374" t="e">
        <f>AND(#REF!,"AAAAAG9u/9Y=")</f>
        <v>#REF!</v>
      </c>
      <c r="HH374" t="e">
        <f>AND(#REF!,"AAAAAG9u/9c=")</f>
        <v>#REF!</v>
      </c>
      <c r="HI374" t="e">
        <f>AND(#REF!,"AAAAAG9u/9g=")</f>
        <v>#REF!</v>
      </c>
      <c r="HJ374" t="e">
        <f>AND(#REF!,"AAAAAG9u/9k=")</f>
        <v>#REF!</v>
      </c>
      <c r="HK374" t="e">
        <f>AND(#REF!,"AAAAAG9u/9o=")</f>
        <v>#REF!</v>
      </c>
      <c r="HL374" t="e">
        <f>AND(#REF!,"AAAAAG9u/9s=")</f>
        <v>#REF!</v>
      </c>
      <c r="HM374" t="e">
        <f>AND(#REF!,"AAAAAG9u/9w=")</f>
        <v>#REF!</v>
      </c>
      <c r="HN374" t="e">
        <f>AND(#REF!,"AAAAAG9u/90=")</f>
        <v>#REF!</v>
      </c>
      <c r="HO374" t="e">
        <f>IF(#REF!,"AAAAAG9u/94=",0)</f>
        <v>#REF!</v>
      </c>
      <c r="HP374" t="e">
        <f>AND(#REF!,"AAAAAG9u/98=")</f>
        <v>#REF!</v>
      </c>
      <c r="HQ374" t="e">
        <f>AND(#REF!,"AAAAAG9u/+A=")</f>
        <v>#REF!</v>
      </c>
      <c r="HR374" t="e">
        <f>AND(#REF!,"AAAAAG9u/+E=")</f>
        <v>#REF!</v>
      </c>
      <c r="HS374" t="e">
        <f>AND(#REF!,"AAAAAG9u/+I=")</f>
        <v>#REF!</v>
      </c>
      <c r="HT374" t="e">
        <f>AND(#REF!,"AAAAAG9u/+M=")</f>
        <v>#REF!</v>
      </c>
      <c r="HU374" t="e">
        <f>AND(#REF!,"AAAAAG9u/+Q=")</f>
        <v>#REF!</v>
      </c>
      <c r="HV374" t="e">
        <f>AND(#REF!,"AAAAAG9u/+U=")</f>
        <v>#REF!</v>
      </c>
      <c r="HW374" t="e">
        <f>AND(#REF!,"AAAAAG9u/+Y=")</f>
        <v>#REF!</v>
      </c>
      <c r="HX374" t="e">
        <f>AND(#REF!,"AAAAAG9u/+c=")</f>
        <v>#REF!</v>
      </c>
      <c r="HY374" t="e">
        <f>AND(#REF!,"AAAAAG9u/+g=")</f>
        <v>#REF!</v>
      </c>
      <c r="HZ374" t="e">
        <f>AND(#REF!,"AAAAAG9u/+k=")</f>
        <v>#REF!</v>
      </c>
      <c r="IA374" t="e">
        <f>AND(#REF!,"AAAAAG9u/+o=")</f>
        <v>#REF!</v>
      </c>
      <c r="IB374" t="e">
        <f>AND(#REF!,"AAAAAG9u/+s=")</f>
        <v>#REF!</v>
      </c>
      <c r="IC374" t="e">
        <f>AND(#REF!,"AAAAAG9u/+w=")</f>
        <v>#REF!</v>
      </c>
      <c r="ID374" t="e">
        <f>AND(#REF!,"AAAAAG9u/+0=")</f>
        <v>#REF!</v>
      </c>
      <c r="IE374" t="e">
        <f>AND(#REF!,"AAAAAG9u/+4=")</f>
        <v>#REF!</v>
      </c>
      <c r="IF374" t="e">
        <f>AND(#REF!,"AAAAAG9u/+8=")</f>
        <v>#REF!</v>
      </c>
      <c r="IG374" t="e">
        <f>AND(#REF!,"AAAAAG9u//A=")</f>
        <v>#REF!</v>
      </c>
      <c r="IH374" t="e">
        <f>AND(#REF!,"AAAAAG9u//E=")</f>
        <v>#REF!</v>
      </c>
      <c r="II374" t="e">
        <f>AND(#REF!,"AAAAAG9u//I=")</f>
        <v>#REF!</v>
      </c>
      <c r="IJ374" t="e">
        <f>AND(#REF!,"AAAAAG9u//M=")</f>
        <v>#REF!</v>
      </c>
      <c r="IK374" t="e">
        <f>AND(#REF!,"AAAAAG9u//Q=")</f>
        <v>#REF!</v>
      </c>
      <c r="IL374" t="e">
        <f>AND(#REF!,"AAAAAG9u//U=")</f>
        <v>#REF!</v>
      </c>
      <c r="IM374" t="e">
        <f>AND(#REF!,"AAAAAG9u//Y=")</f>
        <v>#REF!</v>
      </c>
      <c r="IN374" t="e">
        <f>IF(#REF!,"AAAAAG9u//c=",0)</f>
        <v>#REF!</v>
      </c>
      <c r="IO374" t="e">
        <f>AND(#REF!,"AAAAAG9u//g=")</f>
        <v>#REF!</v>
      </c>
      <c r="IP374" t="e">
        <f>AND(#REF!,"AAAAAG9u//k=")</f>
        <v>#REF!</v>
      </c>
      <c r="IQ374" t="e">
        <f>AND(#REF!,"AAAAAG9u//o=")</f>
        <v>#REF!</v>
      </c>
      <c r="IR374" t="e">
        <f>AND(#REF!,"AAAAAG9u//s=")</f>
        <v>#REF!</v>
      </c>
      <c r="IS374" t="e">
        <f>AND(#REF!,"AAAAAG9u//w=")</f>
        <v>#REF!</v>
      </c>
      <c r="IT374" t="e">
        <f>AND(#REF!,"AAAAAG9u//0=")</f>
        <v>#REF!</v>
      </c>
      <c r="IU374" t="e">
        <f>AND(#REF!,"AAAAAG9u//4=")</f>
        <v>#REF!</v>
      </c>
      <c r="IV374" t="e">
        <f>AND(#REF!,"AAAAAG9u//8=")</f>
        <v>#REF!</v>
      </c>
    </row>
    <row r="375" spans="1:256">
      <c r="A375" t="e">
        <f>AND(#REF!,"AAAAAH+3/wA=")</f>
        <v>#REF!</v>
      </c>
      <c r="B375" t="e">
        <f>AND(#REF!,"AAAAAH+3/wE=")</f>
        <v>#REF!</v>
      </c>
      <c r="C375" t="e">
        <f>AND(#REF!,"AAAAAH+3/wI=")</f>
        <v>#REF!</v>
      </c>
      <c r="D375" t="e">
        <f>AND(#REF!,"AAAAAH+3/wM=")</f>
        <v>#REF!</v>
      </c>
      <c r="E375" t="e">
        <f>AND(#REF!,"AAAAAH+3/wQ=")</f>
        <v>#REF!</v>
      </c>
      <c r="F375" t="e">
        <f>AND(#REF!,"AAAAAH+3/wU=")</f>
        <v>#REF!</v>
      </c>
      <c r="G375" t="e">
        <f>AND(#REF!,"AAAAAH+3/wY=")</f>
        <v>#REF!</v>
      </c>
      <c r="H375" t="e">
        <f>AND(#REF!,"AAAAAH+3/wc=")</f>
        <v>#REF!</v>
      </c>
      <c r="I375" t="e">
        <f>AND(#REF!,"AAAAAH+3/wg=")</f>
        <v>#REF!</v>
      </c>
      <c r="J375" t="e">
        <f>AND(#REF!,"AAAAAH+3/wk=")</f>
        <v>#REF!</v>
      </c>
      <c r="K375" t="e">
        <f>AND(#REF!,"AAAAAH+3/wo=")</f>
        <v>#REF!</v>
      </c>
      <c r="L375" t="e">
        <f>AND(#REF!,"AAAAAH+3/ws=")</f>
        <v>#REF!</v>
      </c>
      <c r="M375" t="e">
        <f>AND(#REF!,"AAAAAH+3/ww=")</f>
        <v>#REF!</v>
      </c>
      <c r="N375" t="e">
        <f>AND(#REF!,"AAAAAH+3/w0=")</f>
        <v>#REF!</v>
      </c>
      <c r="O375" t="e">
        <f>AND(#REF!,"AAAAAH+3/w4=")</f>
        <v>#REF!</v>
      </c>
      <c r="P375" t="e">
        <f>AND(#REF!,"AAAAAH+3/w8=")</f>
        <v>#REF!</v>
      </c>
      <c r="Q375" t="e">
        <f>IF(#REF!,"AAAAAH+3/xA=",0)</f>
        <v>#REF!</v>
      </c>
      <c r="R375" t="e">
        <f>AND(#REF!,"AAAAAH+3/xE=")</f>
        <v>#REF!</v>
      </c>
      <c r="S375" t="e">
        <f>AND(#REF!,"AAAAAH+3/xI=")</f>
        <v>#REF!</v>
      </c>
      <c r="T375" t="e">
        <f>AND(#REF!,"AAAAAH+3/xM=")</f>
        <v>#REF!</v>
      </c>
      <c r="U375" t="e">
        <f>AND(#REF!,"AAAAAH+3/xQ=")</f>
        <v>#REF!</v>
      </c>
      <c r="V375" t="e">
        <f>AND(#REF!,"AAAAAH+3/xU=")</f>
        <v>#REF!</v>
      </c>
      <c r="W375" t="e">
        <f>AND(#REF!,"AAAAAH+3/xY=")</f>
        <v>#REF!</v>
      </c>
      <c r="X375" t="e">
        <f>AND(#REF!,"AAAAAH+3/xc=")</f>
        <v>#REF!</v>
      </c>
      <c r="Y375" t="e">
        <f>AND(#REF!,"AAAAAH+3/xg=")</f>
        <v>#REF!</v>
      </c>
      <c r="Z375" t="e">
        <f>AND(#REF!,"AAAAAH+3/xk=")</f>
        <v>#REF!</v>
      </c>
      <c r="AA375" t="e">
        <f>AND(#REF!,"AAAAAH+3/xo=")</f>
        <v>#REF!</v>
      </c>
      <c r="AB375" t="e">
        <f>AND(#REF!,"AAAAAH+3/xs=")</f>
        <v>#REF!</v>
      </c>
      <c r="AC375" t="e">
        <f>AND(#REF!,"AAAAAH+3/xw=")</f>
        <v>#REF!</v>
      </c>
      <c r="AD375" t="e">
        <f>AND(#REF!,"AAAAAH+3/x0=")</f>
        <v>#REF!</v>
      </c>
      <c r="AE375" t="e">
        <f>AND(#REF!,"AAAAAH+3/x4=")</f>
        <v>#REF!</v>
      </c>
      <c r="AF375" t="e">
        <f>AND(#REF!,"AAAAAH+3/x8=")</f>
        <v>#REF!</v>
      </c>
      <c r="AG375" t="e">
        <f>AND(#REF!,"AAAAAH+3/yA=")</f>
        <v>#REF!</v>
      </c>
      <c r="AH375" t="e">
        <f>AND(#REF!,"AAAAAH+3/yE=")</f>
        <v>#REF!</v>
      </c>
      <c r="AI375" t="e">
        <f>AND(#REF!,"AAAAAH+3/yI=")</f>
        <v>#REF!</v>
      </c>
      <c r="AJ375" t="e">
        <f>AND(#REF!,"AAAAAH+3/yM=")</f>
        <v>#REF!</v>
      </c>
      <c r="AK375" t="e">
        <f>AND(#REF!,"AAAAAH+3/yQ=")</f>
        <v>#REF!</v>
      </c>
      <c r="AL375" t="e">
        <f>AND(#REF!,"AAAAAH+3/yU=")</f>
        <v>#REF!</v>
      </c>
      <c r="AM375" t="e">
        <f>AND(#REF!,"AAAAAH+3/yY=")</f>
        <v>#REF!</v>
      </c>
      <c r="AN375" t="e">
        <f>AND(#REF!,"AAAAAH+3/yc=")</f>
        <v>#REF!</v>
      </c>
      <c r="AO375" t="e">
        <f>AND(#REF!,"AAAAAH+3/yg=")</f>
        <v>#REF!</v>
      </c>
      <c r="AP375" t="e">
        <f>IF(#REF!,"AAAAAH+3/yk=",0)</f>
        <v>#REF!</v>
      </c>
      <c r="AQ375" t="e">
        <f>AND(#REF!,"AAAAAH+3/yo=")</f>
        <v>#REF!</v>
      </c>
      <c r="AR375" t="e">
        <f>AND(#REF!,"AAAAAH+3/ys=")</f>
        <v>#REF!</v>
      </c>
      <c r="AS375" t="e">
        <f>AND(#REF!,"AAAAAH+3/yw=")</f>
        <v>#REF!</v>
      </c>
      <c r="AT375" t="e">
        <f>AND(#REF!,"AAAAAH+3/y0=")</f>
        <v>#REF!</v>
      </c>
      <c r="AU375" t="e">
        <f>AND(#REF!,"AAAAAH+3/y4=")</f>
        <v>#REF!</v>
      </c>
      <c r="AV375" t="e">
        <f>AND(#REF!,"AAAAAH+3/y8=")</f>
        <v>#REF!</v>
      </c>
      <c r="AW375" t="e">
        <f>AND(#REF!,"AAAAAH+3/zA=")</f>
        <v>#REF!</v>
      </c>
      <c r="AX375" t="e">
        <f>AND(#REF!,"AAAAAH+3/zE=")</f>
        <v>#REF!</v>
      </c>
      <c r="AY375" t="e">
        <f>AND(#REF!,"AAAAAH+3/zI=")</f>
        <v>#REF!</v>
      </c>
      <c r="AZ375" t="e">
        <f>AND(#REF!,"AAAAAH+3/zM=")</f>
        <v>#REF!</v>
      </c>
      <c r="BA375" t="e">
        <f>AND(#REF!,"AAAAAH+3/zQ=")</f>
        <v>#REF!</v>
      </c>
      <c r="BB375" t="e">
        <f>AND(#REF!,"AAAAAH+3/zU=")</f>
        <v>#REF!</v>
      </c>
      <c r="BC375" t="e">
        <f>AND(#REF!,"AAAAAH+3/zY=")</f>
        <v>#REF!</v>
      </c>
      <c r="BD375" t="e">
        <f>AND(#REF!,"AAAAAH+3/zc=")</f>
        <v>#REF!</v>
      </c>
      <c r="BE375" t="e">
        <f>AND(#REF!,"AAAAAH+3/zg=")</f>
        <v>#REF!</v>
      </c>
      <c r="BF375" t="e">
        <f>AND(#REF!,"AAAAAH+3/zk=")</f>
        <v>#REF!</v>
      </c>
      <c r="BG375" t="e">
        <f>AND(#REF!,"AAAAAH+3/zo=")</f>
        <v>#REF!</v>
      </c>
      <c r="BH375" t="e">
        <f>AND(#REF!,"AAAAAH+3/zs=")</f>
        <v>#REF!</v>
      </c>
      <c r="BI375" t="e">
        <f>AND(#REF!,"AAAAAH+3/zw=")</f>
        <v>#REF!</v>
      </c>
      <c r="BJ375" t="e">
        <f>AND(#REF!,"AAAAAH+3/z0=")</f>
        <v>#REF!</v>
      </c>
      <c r="BK375" t="e">
        <f>AND(#REF!,"AAAAAH+3/z4=")</f>
        <v>#REF!</v>
      </c>
      <c r="BL375" t="e">
        <f>AND(#REF!,"AAAAAH+3/z8=")</f>
        <v>#REF!</v>
      </c>
      <c r="BM375" t="e">
        <f>AND(#REF!,"AAAAAH+3/0A=")</f>
        <v>#REF!</v>
      </c>
      <c r="BN375" t="e">
        <f>AND(#REF!,"AAAAAH+3/0E=")</f>
        <v>#REF!</v>
      </c>
      <c r="BO375" t="e">
        <f>IF(#REF!,"AAAAAH+3/0I=",0)</f>
        <v>#REF!</v>
      </c>
      <c r="BP375" t="e">
        <f>AND(#REF!,"AAAAAH+3/0M=")</f>
        <v>#REF!</v>
      </c>
      <c r="BQ375" t="e">
        <f>AND(#REF!,"AAAAAH+3/0Q=")</f>
        <v>#REF!</v>
      </c>
      <c r="BR375" t="e">
        <f>AND(#REF!,"AAAAAH+3/0U=")</f>
        <v>#REF!</v>
      </c>
      <c r="BS375" t="e">
        <f>AND(#REF!,"AAAAAH+3/0Y=")</f>
        <v>#REF!</v>
      </c>
      <c r="BT375" t="e">
        <f>AND(#REF!,"AAAAAH+3/0c=")</f>
        <v>#REF!</v>
      </c>
      <c r="BU375" t="e">
        <f>AND(#REF!,"AAAAAH+3/0g=")</f>
        <v>#REF!</v>
      </c>
      <c r="BV375" t="e">
        <f>AND(#REF!,"AAAAAH+3/0k=")</f>
        <v>#REF!</v>
      </c>
      <c r="BW375" t="e">
        <f>AND(#REF!,"AAAAAH+3/0o=")</f>
        <v>#REF!</v>
      </c>
      <c r="BX375" t="e">
        <f>AND(#REF!,"AAAAAH+3/0s=")</f>
        <v>#REF!</v>
      </c>
      <c r="BY375" t="e">
        <f>AND(#REF!,"AAAAAH+3/0w=")</f>
        <v>#REF!</v>
      </c>
      <c r="BZ375" t="e">
        <f>AND(#REF!,"AAAAAH+3/00=")</f>
        <v>#REF!</v>
      </c>
      <c r="CA375" t="e">
        <f>AND(#REF!,"AAAAAH+3/04=")</f>
        <v>#REF!</v>
      </c>
      <c r="CB375" t="e">
        <f>AND(#REF!,"AAAAAH+3/08=")</f>
        <v>#REF!</v>
      </c>
      <c r="CC375" t="e">
        <f>AND(#REF!,"AAAAAH+3/1A=")</f>
        <v>#REF!</v>
      </c>
      <c r="CD375" t="e">
        <f>AND(#REF!,"AAAAAH+3/1E=")</f>
        <v>#REF!</v>
      </c>
      <c r="CE375" t="e">
        <f>AND(#REF!,"AAAAAH+3/1I=")</f>
        <v>#REF!</v>
      </c>
      <c r="CF375" t="e">
        <f>AND(#REF!,"AAAAAH+3/1M=")</f>
        <v>#REF!</v>
      </c>
      <c r="CG375" t="e">
        <f>AND(#REF!,"AAAAAH+3/1Q=")</f>
        <v>#REF!</v>
      </c>
      <c r="CH375" t="e">
        <f>AND(#REF!,"AAAAAH+3/1U=")</f>
        <v>#REF!</v>
      </c>
      <c r="CI375" t="e">
        <f>AND(#REF!,"AAAAAH+3/1Y=")</f>
        <v>#REF!</v>
      </c>
      <c r="CJ375" t="e">
        <f>AND(#REF!,"AAAAAH+3/1c=")</f>
        <v>#REF!</v>
      </c>
      <c r="CK375" t="e">
        <f>AND(#REF!,"AAAAAH+3/1g=")</f>
        <v>#REF!</v>
      </c>
      <c r="CL375" t="e">
        <f>AND(#REF!,"AAAAAH+3/1k=")</f>
        <v>#REF!</v>
      </c>
      <c r="CM375" t="e">
        <f>AND(#REF!,"AAAAAH+3/1o=")</f>
        <v>#REF!</v>
      </c>
      <c r="CN375" t="e">
        <f>IF(#REF!,"AAAAAH+3/1s=",0)</f>
        <v>#REF!</v>
      </c>
      <c r="CO375" t="e">
        <f>AND(#REF!,"AAAAAH+3/1w=")</f>
        <v>#REF!</v>
      </c>
      <c r="CP375" t="e">
        <f>AND(#REF!,"AAAAAH+3/10=")</f>
        <v>#REF!</v>
      </c>
      <c r="CQ375" t="e">
        <f>AND(#REF!,"AAAAAH+3/14=")</f>
        <v>#REF!</v>
      </c>
      <c r="CR375" t="e">
        <f>AND(#REF!,"AAAAAH+3/18=")</f>
        <v>#REF!</v>
      </c>
      <c r="CS375" t="e">
        <f>AND(#REF!,"AAAAAH+3/2A=")</f>
        <v>#REF!</v>
      </c>
      <c r="CT375" t="e">
        <f>AND(#REF!,"AAAAAH+3/2E=")</f>
        <v>#REF!</v>
      </c>
      <c r="CU375" t="e">
        <f>AND(#REF!,"AAAAAH+3/2I=")</f>
        <v>#REF!</v>
      </c>
      <c r="CV375" t="e">
        <f>AND(#REF!,"AAAAAH+3/2M=")</f>
        <v>#REF!</v>
      </c>
      <c r="CW375" t="e">
        <f>AND(#REF!,"AAAAAH+3/2Q=")</f>
        <v>#REF!</v>
      </c>
      <c r="CX375" t="e">
        <f>AND(#REF!,"AAAAAH+3/2U=")</f>
        <v>#REF!</v>
      </c>
      <c r="CY375" t="e">
        <f>AND(#REF!,"AAAAAH+3/2Y=")</f>
        <v>#REF!</v>
      </c>
      <c r="CZ375" t="e">
        <f>AND(#REF!,"AAAAAH+3/2c=")</f>
        <v>#REF!</v>
      </c>
      <c r="DA375" t="e">
        <f>AND(#REF!,"AAAAAH+3/2g=")</f>
        <v>#REF!</v>
      </c>
      <c r="DB375" t="e">
        <f>AND(#REF!,"AAAAAH+3/2k=")</f>
        <v>#REF!</v>
      </c>
      <c r="DC375" t="e">
        <f>AND(#REF!,"AAAAAH+3/2o=")</f>
        <v>#REF!</v>
      </c>
      <c r="DD375" t="e">
        <f>AND(#REF!,"AAAAAH+3/2s=")</f>
        <v>#REF!</v>
      </c>
      <c r="DE375" t="e">
        <f>AND(#REF!,"AAAAAH+3/2w=")</f>
        <v>#REF!</v>
      </c>
      <c r="DF375" t="e">
        <f>AND(#REF!,"AAAAAH+3/20=")</f>
        <v>#REF!</v>
      </c>
      <c r="DG375" t="e">
        <f>AND(#REF!,"AAAAAH+3/24=")</f>
        <v>#REF!</v>
      </c>
      <c r="DH375" t="e">
        <f>AND(#REF!,"AAAAAH+3/28=")</f>
        <v>#REF!</v>
      </c>
      <c r="DI375" t="e">
        <f>AND(#REF!,"AAAAAH+3/3A=")</f>
        <v>#REF!</v>
      </c>
      <c r="DJ375" t="e">
        <f>AND(#REF!,"AAAAAH+3/3E=")</f>
        <v>#REF!</v>
      </c>
      <c r="DK375" t="e">
        <f>AND(#REF!,"AAAAAH+3/3I=")</f>
        <v>#REF!</v>
      </c>
      <c r="DL375" t="e">
        <f>AND(#REF!,"AAAAAH+3/3M=")</f>
        <v>#REF!</v>
      </c>
      <c r="DM375" t="e">
        <f>IF(#REF!,"AAAAAH+3/3Q=",0)</f>
        <v>#REF!</v>
      </c>
      <c r="DN375" t="e">
        <f>AND(#REF!,"AAAAAH+3/3U=")</f>
        <v>#REF!</v>
      </c>
      <c r="DO375" t="e">
        <f>AND(#REF!,"AAAAAH+3/3Y=")</f>
        <v>#REF!</v>
      </c>
      <c r="DP375" t="e">
        <f>AND(#REF!,"AAAAAH+3/3c=")</f>
        <v>#REF!</v>
      </c>
      <c r="DQ375" t="e">
        <f>AND(#REF!,"AAAAAH+3/3g=")</f>
        <v>#REF!</v>
      </c>
      <c r="DR375" t="e">
        <f>AND(#REF!,"AAAAAH+3/3k=")</f>
        <v>#REF!</v>
      </c>
      <c r="DS375" t="e">
        <f>AND(#REF!,"AAAAAH+3/3o=")</f>
        <v>#REF!</v>
      </c>
      <c r="DT375" t="e">
        <f>AND(#REF!,"AAAAAH+3/3s=")</f>
        <v>#REF!</v>
      </c>
      <c r="DU375" t="e">
        <f>AND(#REF!,"AAAAAH+3/3w=")</f>
        <v>#REF!</v>
      </c>
      <c r="DV375" t="e">
        <f>AND(#REF!,"AAAAAH+3/30=")</f>
        <v>#REF!</v>
      </c>
      <c r="DW375" t="e">
        <f>AND(#REF!,"AAAAAH+3/34=")</f>
        <v>#REF!</v>
      </c>
      <c r="DX375" t="e">
        <f>AND(#REF!,"AAAAAH+3/38=")</f>
        <v>#REF!</v>
      </c>
      <c r="DY375" t="e">
        <f>AND(#REF!,"AAAAAH+3/4A=")</f>
        <v>#REF!</v>
      </c>
      <c r="DZ375" t="e">
        <f>AND(#REF!,"AAAAAH+3/4E=")</f>
        <v>#REF!</v>
      </c>
      <c r="EA375" t="e">
        <f>AND(#REF!,"AAAAAH+3/4I=")</f>
        <v>#REF!</v>
      </c>
      <c r="EB375" t="e">
        <f>AND(#REF!,"AAAAAH+3/4M=")</f>
        <v>#REF!</v>
      </c>
      <c r="EC375" t="e">
        <f>AND(#REF!,"AAAAAH+3/4Q=")</f>
        <v>#REF!</v>
      </c>
      <c r="ED375" t="e">
        <f>AND(#REF!,"AAAAAH+3/4U=")</f>
        <v>#REF!</v>
      </c>
      <c r="EE375" t="e">
        <f>AND(#REF!,"AAAAAH+3/4Y=")</f>
        <v>#REF!</v>
      </c>
      <c r="EF375" t="e">
        <f>AND(#REF!,"AAAAAH+3/4c=")</f>
        <v>#REF!</v>
      </c>
      <c r="EG375" t="e">
        <f>AND(#REF!,"AAAAAH+3/4g=")</f>
        <v>#REF!</v>
      </c>
      <c r="EH375" t="e">
        <f>AND(#REF!,"AAAAAH+3/4k=")</f>
        <v>#REF!</v>
      </c>
      <c r="EI375" t="e">
        <f>AND(#REF!,"AAAAAH+3/4o=")</f>
        <v>#REF!</v>
      </c>
      <c r="EJ375" t="e">
        <f>AND(#REF!,"AAAAAH+3/4s=")</f>
        <v>#REF!</v>
      </c>
      <c r="EK375" t="e">
        <f>AND(#REF!,"AAAAAH+3/4w=")</f>
        <v>#REF!</v>
      </c>
      <c r="EL375" t="e">
        <f>IF(#REF!,"AAAAAH+3/40=",0)</f>
        <v>#REF!</v>
      </c>
      <c r="EM375" t="e">
        <f>AND(#REF!,"AAAAAH+3/44=")</f>
        <v>#REF!</v>
      </c>
      <c r="EN375" t="e">
        <f>AND(#REF!,"AAAAAH+3/48=")</f>
        <v>#REF!</v>
      </c>
      <c r="EO375" t="e">
        <f>AND(#REF!,"AAAAAH+3/5A=")</f>
        <v>#REF!</v>
      </c>
      <c r="EP375" t="e">
        <f>AND(#REF!,"AAAAAH+3/5E=")</f>
        <v>#REF!</v>
      </c>
      <c r="EQ375" t="e">
        <f>AND(#REF!,"AAAAAH+3/5I=")</f>
        <v>#REF!</v>
      </c>
      <c r="ER375" t="e">
        <f>AND(#REF!,"AAAAAH+3/5M=")</f>
        <v>#REF!</v>
      </c>
      <c r="ES375" t="e">
        <f>AND(#REF!,"AAAAAH+3/5Q=")</f>
        <v>#REF!</v>
      </c>
      <c r="ET375" t="e">
        <f>AND(#REF!,"AAAAAH+3/5U=")</f>
        <v>#REF!</v>
      </c>
      <c r="EU375" t="e">
        <f>AND(#REF!,"AAAAAH+3/5Y=")</f>
        <v>#REF!</v>
      </c>
      <c r="EV375" t="e">
        <f>AND(#REF!,"AAAAAH+3/5c=")</f>
        <v>#REF!</v>
      </c>
      <c r="EW375" t="e">
        <f>AND(#REF!,"AAAAAH+3/5g=")</f>
        <v>#REF!</v>
      </c>
      <c r="EX375" t="e">
        <f>AND(#REF!,"AAAAAH+3/5k=")</f>
        <v>#REF!</v>
      </c>
      <c r="EY375" t="e">
        <f>AND(#REF!,"AAAAAH+3/5o=")</f>
        <v>#REF!</v>
      </c>
      <c r="EZ375" t="e">
        <f>AND(#REF!,"AAAAAH+3/5s=")</f>
        <v>#REF!</v>
      </c>
      <c r="FA375" t="e">
        <f>AND(#REF!,"AAAAAH+3/5w=")</f>
        <v>#REF!</v>
      </c>
      <c r="FB375" t="e">
        <f>AND(#REF!,"AAAAAH+3/50=")</f>
        <v>#REF!</v>
      </c>
      <c r="FC375" t="e">
        <f>AND(#REF!,"AAAAAH+3/54=")</f>
        <v>#REF!</v>
      </c>
      <c r="FD375" t="e">
        <f>AND(#REF!,"AAAAAH+3/58=")</f>
        <v>#REF!</v>
      </c>
      <c r="FE375" t="e">
        <f>AND(#REF!,"AAAAAH+3/6A=")</f>
        <v>#REF!</v>
      </c>
      <c r="FF375" t="e">
        <f>AND(#REF!,"AAAAAH+3/6E=")</f>
        <v>#REF!</v>
      </c>
      <c r="FG375" t="e">
        <f>AND(#REF!,"AAAAAH+3/6I=")</f>
        <v>#REF!</v>
      </c>
      <c r="FH375" t="e">
        <f>AND(#REF!,"AAAAAH+3/6M=")</f>
        <v>#REF!</v>
      </c>
      <c r="FI375" t="e">
        <f>AND(#REF!,"AAAAAH+3/6Q=")</f>
        <v>#REF!</v>
      </c>
      <c r="FJ375" t="e">
        <f>AND(#REF!,"AAAAAH+3/6U=")</f>
        <v>#REF!</v>
      </c>
      <c r="FK375" t="e">
        <f>IF(#REF!,"AAAAAH+3/6Y=",0)</f>
        <v>#REF!</v>
      </c>
      <c r="FL375" t="e">
        <f>AND(#REF!,"AAAAAH+3/6c=")</f>
        <v>#REF!</v>
      </c>
      <c r="FM375" t="e">
        <f>AND(#REF!,"AAAAAH+3/6g=")</f>
        <v>#REF!</v>
      </c>
      <c r="FN375" t="e">
        <f>AND(#REF!,"AAAAAH+3/6k=")</f>
        <v>#REF!</v>
      </c>
      <c r="FO375" t="e">
        <f>AND(#REF!,"AAAAAH+3/6o=")</f>
        <v>#REF!</v>
      </c>
      <c r="FP375" t="e">
        <f>AND(#REF!,"AAAAAH+3/6s=")</f>
        <v>#REF!</v>
      </c>
      <c r="FQ375" t="e">
        <f>AND(#REF!,"AAAAAH+3/6w=")</f>
        <v>#REF!</v>
      </c>
      <c r="FR375" t="e">
        <f>AND(#REF!,"AAAAAH+3/60=")</f>
        <v>#REF!</v>
      </c>
      <c r="FS375" t="e">
        <f>AND(#REF!,"AAAAAH+3/64=")</f>
        <v>#REF!</v>
      </c>
      <c r="FT375" t="e">
        <f>AND(#REF!,"AAAAAH+3/68=")</f>
        <v>#REF!</v>
      </c>
      <c r="FU375" t="e">
        <f>AND(#REF!,"AAAAAH+3/7A=")</f>
        <v>#REF!</v>
      </c>
      <c r="FV375" t="e">
        <f>AND(#REF!,"AAAAAH+3/7E=")</f>
        <v>#REF!</v>
      </c>
      <c r="FW375" t="e">
        <f>AND(#REF!,"AAAAAH+3/7I=")</f>
        <v>#REF!</v>
      </c>
      <c r="FX375" t="e">
        <f>AND(#REF!,"AAAAAH+3/7M=")</f>
        <v>#REF!</v>
      </c>
      <c r="FY375" t="e">
        <f>AND(#REF!,"AAAAAH+3/7Q=")</f>
        <v>#REF!</v>
      </c>
      <c r="FZ375" t="e">
        <f>AND(#REF!,"AAAAAH+3/7U=")</f>
        <v>#REF!</v>
      </c>
      <c r="GA375" t="e">
        <f>AND(#REF!,"AAAAAH+3/7Y=")</f>
        <v>#REF!</v>
      </c>
      <c r="GB375" t="e">
        <f>AND(#REF!,"AAAAAH+3/7c=")</f>
        <v>#REF!</v>
      </c>
      <c r="GC375" t="e">
        <f>AND(#REF!,"AAAAAH+3/7g=")</f>
        <v>#REF!</v>
      </c>
      <c r="GD375" t="e">
        <f>AND(#REF!,"AAAAAH+3/7k=")</f>
        <v>#REF!</v>
      </c>
      <c r="GE375" t="e">
        <f>AND(#REF!,"AAAAAH+3/7o=")</f>
        <v>#REF!</v>
      </c>
      <c r="GF375" t="e">
        <f>AND(#REF!,"AAAAAH+3/7s=")</f>
        <v>#REF!</v>
      </c>
      <c r="GG375" t="e">
        <f>AND(#REF!,"AAAAAH+3/7w=")</f>
        <v>#REF!</v>
      </c>
      <c r="GH375" t="e">
        <f>AND(#REF!,"AAAAAH+3/70=")</f>
        <v>#REF!</v>
      </c>
      <c r="GI375" t="e">
        <f>AND(#REF!,"AAAAAH+3/74=")</f>
        <v>#REF!</v>
      </c>
      <c r="GJ375" t="e">
        <f>IF(#REF!,"AAAAAH+3/78=",0)</f>
        <v>#REF!</v>
      </c>
      <c r="GK375" t="e">
        <f>AND(#REF!,"AAAAAH+3/8A=")</f>
        <v>#REF!</v>
      </c>
      <c r="GL375" t="e">
        <f>AND(#REF!,"AAAAAH+3/8E=")</f>
        <v>#REF!</v>
      </c>
      <c r="GM375" t="e">
        <f>AND(#REF!,"AAAAAH+3/8I=")</f>
        <v>#REF!</v>
      </c>
      <c r="GN375" t="e">
        <f>AND(#REF!,"AAAAAH+3/8M=")</f>
        <v>#REF!</v>
      </c>
      <c r="GO375" t="e">
        <f>AND(#REF!,"AAAAAH+3/8Q=")</f>
        <v>#REF!</v>
      </c>
      <c r="GP375" t="e">
        <f>AND(#REF!,"AAAAAH+3/8U=")</f>
        <v>#REF!</v>
      </c>
      <c r="GQ375" t="e">
        <f>AND(#REF!,"AAAAAH+3/8Y=")</f>
        <v>#REF!</v>
      </c>
      <c r="GR375" t="e">
        <f>AND(#REF!,"AAAAAH+3/8c=")</f>
        <v>#REF!</v>
      </c>
      <c r="GS375" t="e">
        <f>AND(#REF!,"AAAAAH+3/8g=")</f>
        <v>#REF!</v>
      </c>
      <c r="GT375" t="e">
        <f>AND(#REF!,"AAAAAH+3/8k=")</f>
        <v>#REF!</v>
      </c>
      <c r="GU375" t="e">
        <f>AND(#REF!,"AAAAAH+3/8o=")</f>
        <v>#REF!</v>
      </c>
      <c r="GV375" t="e">
        <f>AND(#REF!,"AAAAAH+3/8s=")</f>
        <v>#REF!</v>
      </c>
      <c r="GW375" t="e">
        <f>AND(#REF!,"AAAAAH+3/8w=")</f>
        <v>#REF!</v>
      </c>
      <c r="GX375" t="e">
        <f>AND(#REF!,"AAAAAH+3/80=")</f>
        <v>#REF!</v>
      </c>
      <c r="GY375" t="e">
        <f>AND(#REF!,"AAAAAH+3/84=")</f>
        <v>#REF!</v>
      </c>
      <c r="GZ375" t="e">
        <f>AND(#REF!,"AAAAAH+3/88=")</f>
        <v>#REF!</v>
      </c>
      <c r="HA375" t="e">
        <f>AND(#REF!,"AAAAAH+3/9A=")</f>
        <v>#REF!</v>
      </c>
      <c r="HB375" t="e">
        <f>AND(#REF!,"AAAAAH+3/9E=")</f>
        <v>#REF!</v>
      </c>
      <c r="HC375" t="e">
        <f>AND(#REF!,"AAAAAH+3/9I=")</f>
        <v>#REF!</v>
      </c>
      <c r="HD375" t="e">
        <f>AND(#REF!,"AAAAAH+3/9M=")</f>
        <v>#REF!</v>
      </c>
      <c r="HE375" t="e">
        <f>AND(#REF!,"AAAAAH+3/9Q=")</f>
        <v>#REF!</v>
      </c>
      <c r="HF375" t="e">
        <f>AND(#REF!,"AAAAAH+3/9U=")</f>
        <v>#REF!</v>
      </c>
      <c r="HG375" t="e">
        <f>AND(#REF!,"AAAAAH+3/9Y=")</f>
        <v>#REF!</v>
      </c>
      <c r="HH375" t="e">
        <f>AND(#REF!,"AAAAAH+3/9c=")</f>
        <v>#REF!</v>
      </c>
      <c r="HI375" t="e">
        <f>IF(#REF!,"AAAAAH+3/9g=",0)</f>
        <v>#REF!</v>
      </c>
      <c r="HJ375" t="e">
        <f>AND(#REF!,"AAAAAH+3/9k=")</f>
        <v>#REF!</v>
      </c>
      <c r="HK375" t="e">
        <f>AND(#REF!,"AAAAAH+3/9o=")</f>
        <v>#REF!</v>
      </c>
      <c r="HL375" t="e">
        <f>AND(#REF!,"AAAAAH+3/9s=")</f>
        <v>#REF!</v>
      </c>
      <c r="HM375" t="e">
        <f>AND(#REF!,"AAAAAH+3/9w=")</f>
        <v>#REF!</v>
      </c>
      <c r="HN375" t="e">
        <f>AND(#REF!,"AAAAAH+3/90=")</f>
        <v>#REF!</v>
      </c>
      <c r="HO375" t="e">
        <f>AND(#REF!,"AAAAAH+3/94=")</f>
        <v>#REF!</v>
      </c>
      <c r="HP375" t="e">
        <f>AND(#REF!,"AAAAAH+3/98=")</f>
        <v>#REF!</v>
      </c>
      <c r="HQ375" t="e">
        <f>AND(#REF!,"AAAAAH+3/+A=")</f>
        <v>#REF!</v>
      </c>
      <c r="HR375" t="e">
        <f>AND(#REF!,"AAAAAH+3/+E=")</f>
        <v>#REF!</v>
      </c>
      <c r="HS375" t="e">
        <f>AND(#REF!,"AAAAAH+3/+I=")</f>
        <v>#REF!</v>
      </c>
      <c r="HT375" t="e">
        <f>AND(#REF!,"AAAAAH+3/+M=")</f>
        <v>#REF!</v>
      </c>
      <c r="HU375" t="e">
        <f>AND(#REF!,"AAAAAH+3/+Q=")</f>
        <v>#REF!</v>
      </c>
      <c r="HV375" t="e">
        <f>AND(#REF!,"AAAAAH+3/+U=")</f>
        <v>#REF!</v>
      </c>
      <c r="HW375" t="e">
        <f>AND(#REF!,"AAAAAH+3/+Y=")</f>
        <v>#REF!</v>
      </c>
      <c r="HX375" t="e">
        <f>AND(#REF!,"AAAAAH+3/+c=")</f>
        <v>#REF!</v>
      </c>
      <c r="HY375" t="e">
        <f>AND(#REF!,"AAAAAH+3/+g=")</f>
        <v>#REF!</v>
      </c>
      <c r="HZ375" t="e">
        <f>AND(#REF!,"AAAAAH+3/+k=")</f>
        <v>#REF!</v>
      </c>
      <c r="IA375" t="e">
        <f>AND(#REF!,"AAAAAH+3/+o=")</f>
        <v>#REF!</v>
      </c>
      <c r="IB375" t="e">
        <f>AND(#REF!,"AAAAAH+3/+s=")</f>
        <v>#REF!</v>
      </c>
      <c r="IC375" t="e">
        <f>AND(#REF!,"AAAAAH+3/+w=")</f>
        <v>#REF!</v>
      </c>
      <c r="ID375" t="e">
        <f>AND(#REF!,"AAAAAH+3/+0=")</f>
        <v>#REF!</v>
      </c>
      <c r="IE375" t="e">
        <f>AND(#REF!,"AAAAAH+3/+4=")</f>
        <v>#REF!</v>
      </c>
      <c r="IF375" t="e">
        <f>AND(#REF!,"AAAAAH+3/+8=")</f>
        <v>#REF!</v>
      </c>
      <c r="IG375" t="e">
        <f>AND(#REF!,"AAAAAH+3//A=")</f>
        <v>#REF!</v>
      </c>
      <c r="IH375" t="e">
        <f>IF(#REF!,"AAAAAH+3//E=",0)</f>
        <v>#REF!</v>
      </c>
      <c r="II375" t="e">
        <f>AND(#REF!,"AAAAAH+3//I=")</f>
        <v>#REF!</v>
      </c>
      <c r="IJ375" t="e">
        <f>AND(#REF!,"AAAAAH+3//M=")</f>
        <v>#REF!</v>
      </c>
      <c r="IK375" t="e">
        <f>AND(#REF!,"AAAAAH+3//Q=")</f>
        <v>#REF!</v>
      </c>
      <c r="IL375" t="e">
        <f>AND(#REF!,"AAAAAH+3//U=")</f>
        <v>#REF!</v>
      </c>
      <c r="IM375" t="e">
        <f>AND(#REF!,"AAAAAH+3//Y=")</f>
        <v>#REF!</v>
      </c>
      <c r="IN375" t="e">
        <f>AND(#REF!,"AAAAAH+3//c=")</f>
        <v>#REF!</v>
      </c>
      <c r="IO375" t="e">
        <f>AND(#REF!,"AAAAAH+3//g=")</f>
        <v>#REF!</v>
      </c>
      <c r="IP375" t="e">
        <f>AND(#REF!,"AAAAAH+3//k=")</f>
        <v>#REF!</v>
      </c>
      <c r="IQ375" t="e">
        <f>AND(#REF!,"AAAAAH+3//o=")</f>
        <v>#REF!</v>
      </c>
      <c r="IR375" t="e">
        <f>AND(#REF!,"AAAAAH+3//s=")</f>
        <v>#REF!</v>
      </c>
      <c r="IS375" t="e">
        <f>AND(#REF!,"AAAAAH+3//w=")</f>
        <v>#REF!</v>
      </c>
      <c r="IT375" t="e">
        <f>AND(#REF!,"AAAAAH+3//0=")</f>
        <v>#REF!</v>
      </c>
      <c r="IU375" t="e">
        <f>AND(#REF!,"AAAAAH+3//4=")</f>
        <v>#REF!</v>
      </c>
      <c r="IV375" t="e">
        <f>AND(#REF!,"AAAAAH+3//8=")</f>
        <v>#REF!</v>
      </c>
    </row>
    <row r="376" spans="1:256">
      <c r="A376" t="e">
        <f>AND(#REF!,"AAAAAHdX1wA=")</f>
        <v>#REF!</v>
      </c>
      <c r="B376" t="e">
        <f>AND(#REF!,"AAAAAHdX1wE=")</f>
        <v>#REF!</v>
      </c>
      <c r="C376" t="e">
        <f>AND(#REF!,"AAAAAHdX1wI=")</f>
        <v>#REF!</v>
      </c>
      <c r="D376" t="e">
        <f>AND(#REF!,"AAAAAHdX1wM=")</f>
        <v>#REF!</v>
      </c>
      <c r="E376" t="e">
        <f>AND(#REF!,"AAAAAHdX1wQ=")</f>
        <v>#REF!</v>
      </c>
      <c r="F376" t="e">
        <f>AND(#REF!,"AAAAAHdX1wU=")</f>
        <v>#REF!</v>
      </c>
      <c r="G376" t="e">
        <f>AND(#REF!,"AAAAAHdX1wY=")</f>
        <v>#REF!</v>
      </c>
      <c r="H376" t="e">
        <f>AND(#REF!,"AAAAAHdX1wc=")</f>
        <v>#REF!</v>
      </c>
      <c r="I376" t="e">
        <f>AND(#REF!,"AAAAAHdX1wg=")</f>
        <v>#REF!</v>
      </c>
      <c r="J376" t="e">
        <f>AND(#REF!,"AAAAAHdX1wk=")</f>
        <v>#REF!</v>
      </c>
      <c r="K376" t="e">
        <f>IF(#REF!,"AAAAAHdX1wo=",0)</f>
        <v>#REF!</v>
      </c>
      <c r="L376" t="e">
        <f>AND(#REF!,"AAAAAHdX1ws=")</f>
        <v>#REF!</v>
      </c>
      <c r="M376" t="e">
        <f>AND(#REF!,"AAAAAHdX1ww=")</f>
        <v>#REF!</v>
      </c>
      <c r="N376" t="e">
        <f>AND(#REF!,"AAAAAHdX1w0=")</f>
        <v>#REF!</v>
      </c>
      <c r="O376" t="e">
        <f>AND(#REF!,"AAAAAHdX1w4=")</f>
        <v>#REF!</v>
      </c>
      <c r="P376" t="e">
        <f>AND(#REF!,"AAAAAHdX1w8=")</f>
        <v>#REF!</v>
      </c>
      <c r="Q376" t="e">
        <f>AND(#REF!,"AAAAAHdX1xA=")</f>
        <v>#REF!</v>
      </c>
      <c r="R376" t="e">
        <f>AND(#REF!,"AAAAAHdX1xE=")</f>
        <v>#REF!</v>
      </c>
      <c r="S376" t="e">
        <f>AND(#REF!,"AAAAAHdX1xI=")</f>
        <v>#REF!</v>
      </c>
      <c r="T376" t="e">
        <f>AND(#REF!,"AAAAAHdX1xM=")</f>
        <v>#REF!</v>
      </c>
      <c r="U376" t="e">
        <f>AND(#REF!,"AAAAAHdX1xQ=")</f>
        <v>#REF!</v>
      </c>
      <c r="V376" t="e">
        <f>AND(#REF!,"AAAAAHdX1xU=")</f>
        <v>#REF!</v>
      </c>
      <c r="W376" t="e">
        <f>AND(#REF!,"AAAAAHdX1xY=")</f>
        <v>#REF!</v>
      </c>
      <c r="X376" t="e">
        <f>AND(#REF!,"AAAAAHdX1xc=")</f>
        <v>#REF!</v>
      </c>
      <c r="Y376" t="e">
        <f>AND(#REF!,"AAAAAHdX1xg=")</f>
        <v>#REF!</v>
      </c>
      <c r="Z376" t="e">
        <f>AND(#REF!,"AAAAAHdX1xk=")</f>
        <v>#REF!</v>
      </c>
      <c r="AA376" t="e">
        <f>AND(#REF!,"AAAAAHdX1xo=")</f>
        <v>#REF!</v>
      </c>
      <c r="AB376" t="e">
        <f>AND(#REF!,"AAAAAHdX1xs=")</f>
        <v>#REF!</v>
      </c>
      <c r="AC376" t="e">
        <f>AND(#REF!,"AAAAAHdX1xw=")</f>
        <v>#REF!</v>
      </c>
      <c r="AD376" t="e">
        <f>AND(#REF!,"AAAAAHdX1x0=")</f>
        <v>#REF!</v>
      </c>
      <c r="AE376" t="e">
        <f>AND(#REF!,"AAAAAHdX1x4=")</f>
        <v>#REF!</v>
      </c>
      <c r="AF376" t="e">
        <f>AND(#REF!,"AAAAAHdX1x8=")</f>
        <v>#REF!</v>
      </c>
      <c r="AG376" t="e">
        <f>AND(#REF!,"AAAAAHdX1yA=")</f>
        <v>#REF!</v>
      </c>
      <c r="AH376" t="e">
        <f>AND(#REF!,"AAAAAHdX1yE=")</f>
        <v>#REF!</v>
      </c>
      <c r="AI376" t="e">
        <f>AND(#REF!,"AAAAAHdX1yI=")</f>
        <v>#REF!</v>
      </c>
      <c r="AJ376" t="e">
        <f>IF(#REF!,"AAAAAHdX1yM=",0)</f>
        <v>#REF!</v>
      </c>
      <c r="AK376" t="e">
        <f>AND(#REF!,"AAAAAHdX1yQ=")</f>
        <v>#REF!</v>
      </c>
      <c r="AL376" t="e">
        <f>AND(#REF!,"AAAAAHdX1yU=")</f>
        <v>#REF!</v>
      </c>
      <c r="AM376" t="e">
        <f>AND(#REF!,"AAAAAHdX1yY=")</f>
        <v>#REF!</v>
      </c>
      <c r="AN376" t="e">
        <f>AND(#REF!,"AAAAAHdX1yc=")</f>
        <v>#REF!</v>
      </c>
      <c r="AO376" t="e">
        <f>AND(#REF!,"AAAAAHdX1yg=")</f>
        <v>#REF!</v>
      </c>
      <c r="AP376" t="e">
        <f>AND(#REF!,"AAAAAHdX1yk=")</f>
        <v>#REF!</v>
      </c>
      <c r="AQ376" t="e">
        <f>AND(#REF!,"AAAAAHdX1yo=")</f>
        <v>#REF!</v>
      </c>
      <c r="AR376" t="e">
        <f>AND(#REF!,"AAAAAHdX1ys=")</f>
        <v>#REF!</v>
      </c>
      <c r="AS376" t="e">
        <f>AND(#REF!,"AAAAAHdX1yw=")</f>
        <v>#REF!</v>
      </c>
      <c r="AT376" t="e">
        <f>AND(#REF!,"AAAAAHdX1y0=")</f>
        <v>#REF!</v>
      </c>
      <c r="AU376" t="e">
        <f>AND(#REF!,"AAAAAHdX1y4=")</f>
        <v>#REF!</v>
      </c>
      <c r="AV376" t="e">
        <f>AND(#REF!,"AAAAAHdX1y8=")</f>
        <v>#REF!</v>
      </c>
      <c r="AW376" t="e">
        <f>AND(#REF!,"AAAAAHdX1zA=")</f>
        <v>#REF!</v>
      </c>
      <c r="AX376" t="e">
        <f>AND(#REF!,"AAAAAHdX1zE=")</f>
        <v>#REF!</v>
      </c>
      <c r="AY376" t="e">
        <f>AND(#REF!,"AAAAAHdX1zI=")</f>
        <v>#REF!</v>
      </c>
      <c r="AZ376" t="e">
        <f>AND(#REF!,"AAAAAHdX1zM=")</f>
        <v>#REF!</v>
      </c>
      <c r="BA376" t="e">
        <f>AND(#REF!,"AAAAAHdX1zQ=")</f>
        <v>#REF!</v>
      </c>
      <c r="BB376" t="e">
        <f>AND(#REF!,"AAAAAHdX1zU=")</f>
        <v>#REF!</v>
      </c>
      <c r="BC376" t="e">
        <f>AND(#REF!,"AAAAAHdX1zY=")</f>
        <v>#REF!</v>
      </c>
      <c r="BD376" t="e">
        <f>AND(#REF!,"AAAAAHdX1zc=")</f>
        <v>#REF!</v>
      </c>
      <c r="BE376" t="e">
        <f>AND(#REF!,"AAAAAHdX1zg=")</f>
        <v>#REF!</v>
      </c>
      <c r="BF376" t="e">
        <f>AND(#REF!,"AAAAAHdX1zk=")</f>
        <v>#REF!</v>
      </c>
      <c r="BG376" t="e">
        <f>AND(#REF!,"AAAAAHdX1zo=")</f>
        <v>#REF!</v>
      </c>
      <c r="BH376" t="e">
        <f>AND(#REF!,"AAAAAHdX1zs=")</f>
        <v>#REF!</v>
      </c>
      <c r="BI376" t="e">
        <f>IF(#REF!,"AAAAAHdX1zw=",0)</f>
        <v>#REF!</v>
      </c>
      <c r="BJ376" t="e">
        <f>AND(#REF!,"AAAAAHdX1z0=")</f>
        <v>#REF!</v>
      </c>
      <c r="BK376" t="e">
        <f>AND(#REF!,"AAAAAHdX1z4=")</f>
        <v>#REF!</v>
      </c>
      <c r="BL376" t="e">
        <f>AND(#REF!,"AAAAAHdX1z8=")</f>
        <v>#REF!</v>
      </c>
      <c r="BM376" t="e">
        <f>AND(#REF!,"AAAAAHdX10A=")</f>
        <v>#REF!</v>
      </c>
      <c r="BN376" t="e">
        <f>AND(#REF!,"AAAAAHdX10E=")</f>
        <v>#REF!</v>
      </c>
      <c r="BO376" t="e">
        <f>AND(#REF!,"AAAAAHdX10I=")</f>
        <v>#REF!</v>
      </c>
      <c r="BP376" t="e">
        <f>AND(#REF!,"AAAAAHdX10M=")</f>
        <v>#REF!</v>
      </c>
      <c r="BQ376" t="e">
        <f>AND(#REF!,"AAAAAHdX10Q=")</f>
        <v>#REF!</v>
      </c>
      <c r="BR376" t="e">
        <f>AND(#REF!,"AAAAAHdX10U=")</f>
        <v>#REF!</v>
      </c>
      <c r="BS376" t="e">
        <f>AND(#REF!,"AAAAAHdX10Y=")</f>
        <v>#REF!</v>
      </c>
      <c r="BT376" t="e">
        <f>AND(#REF!,"AAAAAHdX10c=")</f>
        <v>#REF!</v>
      </c>
      <c r="BU376" t="e">
        <f>AND(#REF!,"AAAAAHdX10g=")</f>
        <v>#REF!</v>
      </c>
      <c r="BV376" t="e">
        <f>AND(#REF!,"AAAAAHdX10k=")</f>
        <v>#REF!</v>
      </c>
      <c r="BW376" t="e">
        <f>AND(#REF!,"AAAAAHdX10o=")</f>
        <v>#REF!</v>
      </c>
      <c r="BX376" t="e">
        <f>AND(#REF!,"AAAAAHdX10s=")</f>
        <v>#REF!</v>
      </c>
      <c r="BY376" t="e">
        <f>AND(#REF!,"AAAAAHdX10w=")</f>
        <v>#REF!</v>
      </c>
      <c r="BZ376" t="e">
        <f>AND(#REF!,"AAAAAHdX100=")</f>
        <v>#REF!</v>
      </c>
      <c r="CA376" t="e">
        <f>AND(#REF!,"AAAAAHdX104=")</f>
        <v>#REF!</v>
      </c>
      <c r="CB376" t="e">
        <f>AND(#REF!,"AAAAAHdX108=")</f>
        <v>#REF!</v>
      </c>
      <c r="CC376" t="e">
        <f>AND(#REF!,"AAAAAHdX11A=")</f>
        <v>#REF!</v>
      </c>
      <c r="CD376" t="e">
        <f>AND(#REF!,"AAAAAHdX11E=")</f>
        <v>#REF!</v>
      </c>
      <c r="CE376" t="e">
        <f>AND(#REF!,"AAAAAHdX11I=")</f>
        <v>#REF!</v>
      </c>
      <c r="CF376" t="e">
        <f>AND(#REF!,"AAAAAHdX11M=")</f>
        <v>#REF!</v>
      </c>
      <c r="CG376" t="e">
        <f>AND(#REF!,"AAAAAHdX11Q=")</f>
        <v>#REF!</v>
      </c>
      <c r="CH376" t="e">
        <f>IF(#REF!,"AAAAAHdX11U=",0)</f>
        <v>#REF!</v>
      </c>
      <c r="CI376" t="e">
        <f>AND(#REF!,"AAAAAHdX11Y=")</f>
        <v>#REF!</v>
      </c>
      <c r="CJ376" t="e">
        <f>AND(#REF!,"AAAAAHdX11c=")</f>
        <v>#REF!</v>
      </c>
      <c r="CK376" t="e">
        <f>AND(#REF!,"AAAAAHdX11g=")</f>
        <v>#REF!</v>
      </c>
      <c r="CL376" t="e">
        <f>AND(#REF!,"AAAAAHdX11k=")</f>
        <v>#REF!</v>
      </c>
      <c r="CM376" t="e">
        <f>AND(#REF!,"AAAAAHdX11o=")</f>
        <v>#REF!</v>
      </c>
      <c r="CN376" t="e">
        <f>AND(#REF!,"AAAAAHdX11s=")</f>
        <v>#REF!</v>
      </c>
      <c r="CO376" t="e">
        <f>AND(#REF!,"AAAAAHdX11w=")</f>
        <v>#REF!</v>
      </c>
      <c r="CP376" t="e">
        <f>AND(#REF!,"AAAAAHdX110=")</f>
        <v>#REF!</v>
      </c>
      <c r="CQ376" t="e">
        <f>AND(#REF!,"AAAAAHdX114=")</f>
        <v>#REF!</v>
      </c>
      <c r="CR376" t="e">
        <f>AND(#REF!,"AAAAAHdX118=")</f>
        <v>#REF!</v>
      </c>
      <c r="CS376" t="e">
        <f>AND(#REF!,"AAAAAHdX12A=")</f>
        <v>#REF!</v>
      </c>
      <c r="CT376" t="e">
        <f>AND(#REF!,"AAAAAHdX12E=")</f>
        <v>#REF!</v>
      </c>
      <c r="CU376" t="e">
        <f>AND(#REF!,"AAAAAHdX12I=")</f>
        <v>#REF!</v>
      </c>
      <c r="CV376" t="e">
        <f>AND(#REF!,"AAAAAHdX12M=")</f>
        <v>#REF!</v>
      </c>
      <c r="CW376" t="e">
        <f>AND(#REF!,"AAAAAHdX12Q=")</f>
        <v>#REF!</v>
      </c>
      <c r="CX376" t="e">
        <f>AND(#REF!,"AAAAAHdX12U=")</f>
        <v>#REF!</v>
      </c>
      <c r="CY376" t="e">
        <f>AND(#REF!,"AAAAAHdX12Y=")</f>
        <v>#REF!</v>
      </c>
      <c r="CZ376" t="e">
        <f>AND(#REF!,"AAAAAHdX12c=")</f>
        <v>#REF!</v>
      </c>
      <c r="DA376" t="e">
        <f>AND(#REF!,"AAAAAHdX12g=")</f>
        <v>#REF!</v>
      </c>
      <c r="DB376" t="e">
        <f>AND(#REF!,"AAAAAHdX12k=")</f>
        <v>#REF!</v>
      </c>
      <c r="DC376" t="e">
        <f>AND(#REF!,"AAAAAHdX12o=")</f>
        <v>#REF!</v>
      </c>
      <c r="DD376" t="e">
        <f>AND(#REF!,"AAAAAHdX12s=")</f>
        <v>#REF!</v>
      </c>
      <c r="DE376" t="e">
        <f>AND(#REF!,"AAAAAHdX12w=")</f>
        <v>#REF!</v>
      </c>
      <c r="DF376" t="e">
        <f>AND(#REF!,"AAAAAHdX120=")</f>
        <v>#REF!</v>
      </c>
      <c r="DG376" t="e">
        <f>IF(#REF!,"AAAAAHdX124=",0)</f>
        <v>#REF!</v>
      </c>
      <c r="DH376" t="e">
        <f>AND(#REF!,"AAAAAHdX128=")</f>
        <v>#REF!</v>
      </c>
      <c r="DI376" t="e">
        <f>AND(#REF!,"AAAAAHdX13A=")</f>
        <v>#REF!</v>
      </c>
      <c r="DJ376" t="e">
        <f>AND(#REF!,"AAAAAHdX13E=")</f>
        <v>#REF!</v>
      </c>
      <c r="DK376" t="e">
        <f>AND(#REF!,"AAAAAHdX13I=")</f>
        <v>#REF!</v>
      </c>
      <c r="DL376" t="e">
        <f>AND(#REF!,"AAAAAHdX13M=")</f>
        <v>#REF!</v>
      </c>
      <c r="DM376" t="e">
        <f>AND(#REF!,"AAAAAHdX13Q=")</f>
        <v>#REF!</v>
      </c>
      <c r="DN376" t="e">
        <f>AND(#REF!,"AAAAAHdX13U=")</f>
        <v>#REF!</v>
      </c>
      <c r="DO376" t="e">
        <f>AND(#REF!,"AAAAAHdX13Y=")</f>
        <v>#REF!</v>
      </c>
      <c r="DP376" t="e">
        <f>AND(#REF!,"AAAAAHdX13c=")</f>
        <v>#REF!</v>
      </c>
      <c r="DQ376" t="e">
        <f>AND(#REF!,"AAAAAHdX13g=")</f>
        <v>#REF!</v>
      </c>
      <c r="DR376" t="e">
        <f>AND(#REF!,"AAAAAHdX13k=")</f>
        <v>#REF!</v>
      </c>
      <c r="DS376" t="e">
        <f>AND(#REF!,"AAAAAHdX13o=")</f>
        <v>#REF!</v>
      </c>
      <c r="DT376" t="e">
        <f>AND(#REF!,"AAAAAHdX13s=")</f>
        <v>#REF!</v>
      </c>
      <c r="DU376" t="e">
        <f>AND(#REF!,"AAAAAHdX13w=")</f>
        <v>#REF!</v>
      </c>
      <c r="DV376" t="e">
        <f>AND(#REF!,"AAAAAHdX130=")</f>
        <v>#REF!</v>
      </c>
      <c r="DW376" t="e">
        <f>AND(#REF!,"AAAAAHdX134=")</f>
        <v>#REF!</v>
      </c>
      <c r="DX376" t="e">
        <f>AND(#REF!,"AAAAAHdX138=")</f>
        <v>#REF!</v>
      </c>
      <c r="DY376" t="e">
        <f>AND(#REF!,"AAAAAHdX14A=")</f>
        <v>#REF!</v>
      </c>
      <c r="DZ376" t="e">
        <f>AND(#REF!,"AAAAAHdX14E=")</f>
        <v>#REF!</v>
      </c>
      <c r="EA376" t="e">
        <f>AND(#REF!,"AAAAAHdX14I=")</f>
        <v>#REF!</v>
      </c>
      <c r="EB376" t="e">
        <f>AND(#REF!,"AAAAAHdX14M=")</f>
        <v>#REF!</v>
      </c>
      <c r="EC376" t="e">
        <f>AND(#REF!,"AAAAAHdX14Q=")</f>
        <v>#REF!</v>
      </c>
      <c r="ED376" t="e">
        <f>AND(#REF!,"AAAAAHdX14U=")</f>
        <v>#REF!</v>
      </c>
      <c r="EE376" t="e">
        <f>AND(#REF!,"AAAAAHdX14Y=")</f>
        <v>#REF!</v>
      </c>
      <c r="EF376" t="e">
        <f>IF(#REF!,"AAAAAHdX14c=",0)</f>
        <v>#REF!</v>
      </c>
      <c r="EG376" t="e">
        <f>AND(#REF!,"AAAAAHdX14g=")</f>
        <v>#REF!</v>
      </c>
      <c r="EH376" t="e">
        <f>AND(#REF!,"AAAAAHdX14k=")</f>
        <v>#REF!</v>
      </c>
      <c r="EI376" t="e">
        <f>AND(#REF!,"AAAAAHdX14o=")</f>
        <v>#REF!</v>
      </c>
      <c r="EJ376" t="e">
        <f>AND(#REF!,"AAAAAHdX14s=")</f>
        <v>#REF!</v>
      </c>
      <c r="EK376" t="e">
        <f>AND(#REF!,"AAAAAHdX14w=")</f>
        <v>#REF!</v>
      </c>
      <c r="EL376" t="e">
        <f>AND(#REF!,"AAAAAHdX140=")</f>
        <v>#REF!</v>
      </c>
      <c r="EM376" t="e">
        <f>AND(#REF!,"AAAAAHdX144=")</f>
        <v>#REF!</v>
      </c>
      <c r="EN376" t="e">
        <f>AND(#REF!,"AAAAAHdX148=")</f>
        <v>#REF!</v>
      </c>
      <c r="EO376" t="e">
        <f>AND(#REF!,"AAAAAHdX15A=")</f>
        <v>#REF!</v>
      </c>
      <c r="EP376" t="e">
        <f>AND(#REF!,"AAAAAHdX15E=")</f>
        <v>#REF!</v>
      </c>
      <c r="EQ376" t="e">
        <f>AND(#REF!,"AAAAAHdX15I=")</f>
        <v>#REF!</v>
      </c>
      <c r="ER376" t="e">
        <f>AND(#REF!,"AAAAAHdX15M=")</f>
        <v>#REF!</v>
      </c>
      <c r="ES376" t="e">
        <f>AND(#REF!,"AAAAAHdX15Q=")</f>
        <v>#REF!</v>
      </c>
      <c r="ET376" t="e">
        <f>AND(#REF!,"AAAAAHdX15U=")</f>
        <v>#REF!</v>
      </c>
      <c r="EU376" t="e">
        <f>AND(#REF!,"AAAAAHdX15Y=")</f>
        <v>#REF!</v>
      </c>
      <c r="EV376" t="e">
        <f>AND(#REF!,"AAAAAHdX15c=")</f>
        <v>#REF!</v>
      </c>
      <c r="EW376" t="e">
        <f>AND(#REF!,"AAAAAHdX15g=")</f>
        <v>#REF!</v>
      </c>
      <c r="EX376" t="e">
        <f>AND(#REF!,"AAAAAHdX15k=")</f>
        <v>#REF!</v>
      </c>
      <c r="EY376" t="e">
        <f>AND(#REF!,"AAAAAHdX15o=")</f>
        <v>#REF!</v>
      </c>
      <c r="EZ376" t="e">
        <f>AND(#REF!,"AAAAAHdX15s=")</f>
        <v>#REF!</v>
      </c>
      <c r="FA376" t="e">
        <f>AND(#REF!,"AAAAAHdX15w=")</f>
        <v>#REF!</v>
      </c>
      <c r="FB376" t="e">
        <f>AND(#REF!,"AAAAAHdX150=")</f>
        <v>#REF!</v>
      </c>
      <c r="FC376" t="e">
        <f>AND(#REF!,"AAAAAHdX154=")</f>
        <v>#REF!</v>
      </c>
      <c r="FD376" t="e">
        <f>AND(#REF!,"AAAAAHdX158=")</f>
        <v>#REF!</v>
      </c>
      <c r="FE376" t="e">
        <f>IF(#REF!,"AAAAAHdX16A=",0)</f>
        <v>#REF!</v>
      </c>
      <c r="FF376" t="e">
        <f>AND(#REF!,"AAAAAHdX16E=")</f>
        <v>#REF!</v>
      </c>
      <c r="FG376" t="e">
        <f>AND(#REF!,"AAAAAHdX16I=")</f>
        <v>#REF!</v>
      </c>
      <c r="FH376" t="e">
        <f>AND(#REF!,"AAAAAHdX16M=")</f>
        <v>#REF!</v>
      </c>
      <c r="FI376" t="e">
        <f>AND(#REF!,"AAAAAHdX16Q=")</f>
        <v>#REF!</v>
      </c>
      <c r="FJ376" t="e">
        <f>AND(#REF!,"AAAAAHdX16U=")</f>
        <v>#REF!</v>
      </c>
      <c r="FK376" t="e">
        <f>AND(#REF!,"AAAAAHdX16Y=")</f>
        <v>#REF!</v>
      </c>
      <c r="FL376" t="e">
        <f>AND(#REF!,"AAAAAHdX16c=")</f>
        <v>#REF!</v>
      </c>
      <c r="FM376" t="e">
        <f>AND(#REF!,"AAAAAHdX16g=")</f>
        <v>#REF!</v>
      </c>
      <c r="FN376" t="e">
        <f>AND(#REF!,"AAAAAHdX16k=")</f>
        <v>#REF!</v>
      </c>
      <c r="FO376" t="e">
        <f>AND(#REF!,"AAAAAHdX16o=")</f>
        <v>#REF!</v>
      </c>
      <c r="FP376" t="e">
        <f>AND(#REF!,"AAAAAHdX16s=")</f>
        <v>#REF!</v>
      </c>
      <c r="FQ376" t="e">
        <f>AND(#REF!,"AAAAAHdX16w=")</f>
        <v>#REF!</v>
      </c>
      <c r="FR376" t="e">
        <f>AND(#REF!,"AAAAAHdX160=")</f>
        <v>#REF!</v>
      </c>
      <c r="FS376" t="e">
        <f>AND(#REF!,"AAAAAHdX164=")</f>
        <v>#REF!</v>
      </c>
      <c r="FT376" t="e">
        <f>AND(#REF!,"AAAAAHdX168=")</f>
        <v>#REF!</v>
      </c>
      <c r="FU376" t="e">
        <f>AND(#REF!,"AAAAAHdX17A=")</f>
        <v>#REF!</v>
      </c>
      <c r="FV376" t="e">
        <f>AND(#REF!,"AAAAAHdX17E=")</f>
        <v>#REF!</v>
      </c>
      <c r="FW376" t="e">
        <f>AND(#REF!,"AAAAAHdX17I=")</f>
        <v>#REF!</v>
      </c>
      <c r="FX376" t="e">
        <f>AND(#REF!,"AAAAAHdX17M=")</f>
        <v>#REF!</v>
      </c>
      <c r="FY376" t="e">
        <f>AND(#REF!,"AAAAAHdX17Q=")</f>
        <v>#REF!</v>
      </c>
      <c r="FZ376" t="e">
        <f>AND(#REF!,"AAAAAHdX17U=")</f>
        <v>#REF!</v>
      </c>
      <c r="GA376" t="e">
        <f>AND(#REF!,"AAAAAHdX17Y=")</f>
        <v>#REF!</v>
      </c>
      <c r="GB376" t="e">
        <f>AND(#REF!,"AAAAAHdX17c=")</f>
        <v>#REF!</v>
      </c>
      <c r="GC376" t="e">
        <f>AND(#REF!,"AAAAAHdX17g=")</f>
        <v>#REF!</v>
      </c>
      <c r="GD376" t="e">
        <f>IF(#REF!,"AAAAAHdX17k=",0)</f>
        <v>#REF!</v>
      </c>
      <c r="GE376" t="e">
        <f>AND(#REF!,"AAAAAHdX17o=")</f>
        <v>#REF!</v>
      </c>
      <c r="GF376" t="e">
        <f>AND(#REF!,"AAAAAHdX17s=")</f>
        <v>#REF!</v>
      </c>
      <c r="GG376" t="e">
        <f>AND(#REF!,"AAAAAHdX17w=")</f>
        <v>#REF!</v>
      </c>
      <c r="GH376" t="e">
        <f>AND(#REF!,"AAAAAHdX170=")</f>
        <v>#REF!</v>
      </c>
      <c r="GI376" t="e">
        <f>AND(#REF!,"AAAAAHdX174=")</f>
        <v>#REF!</v>
      </c>
      <c r="GJ376" t="e">
        <f>AND(#REF!,"AAAAAHdX178=")</f>
        <v>#REF!</v>
      </c>
      <c r="GK376" t="e">
        <f>AND(#REF!,"AAAAAHdX18A=")</f>
        <v>#REF!</v>
      </c>
      <c r="GL376" t="e">
        <f>AND(#REF!,"AAAAAHdX18E=")</f>
        <v>#REF!</v>
      </c>
      <c r="GM376" t="e">
        <f>AND(#REF!,"AAAAAHdX18I=")</f>
        <v>#REF!</v>
      </c>
      <c r="GN376" t="e">
        <f>AND(#REF!,"AAAAAHdX18M=")</f>
        <v>#REF!</v>
      </c>
      <c r="GO376" t="e">
        <f>AND(#REF!,"AAAAAHdX18Q=")</f>
        <v>#REF!</v>
      </c>
      <c r="GP376" t="e">
        <f>AND(#REF!,"AAAAAHdX18U=")</f>
        <v>#REF!</v>
      </c>
      <c r="GQ376" t="e">
        <f>AND(#REF!,"AAAAAHdX18Y=")</f>
        <v>#REF!</v>
      </c>
      <c r="GR376" t="e">
        <f>AND(#REF!,"AAAAAHdX18c=")</f>
        <v>#REF!</v>
      </c>
      <c r="GS376" t="e">
        <f>AND(#REF!,"AAAAAHdX18g=")</f>
        <v>#REF!</v>
      </c>
      <c r="GT376" t="e">
        <f>AND(#REF!,"AAAAAHdX18k=")</f>
        <v>#REF!</v>
      </c>
      <c r="GU376" t="e">
        <f>AND(#REF!,"AAAAAHdX18o=")</f>
        <v>#REF!</v>
      </c>
      <c r="GV376" t="e">
        <f>AND(#REF!,"AAAAAHdX18s=")</f>
        <v>#REF!</v>
      </c>
      <c r="GW376" t="e">
        <f>AND(#REF!,"AAAAAHdX18w=")</f>
        <v>#REF!</v>
      </c>
      <c r="GX376" t="e">
        <f>AND(#REF!,"AAAAAHdX180=")</f>
        <v>#REF!</v>
      </c>
      <c r="GY376" t="e">
        <f>AND(#REF!,"AAAAAHdX184=")</f>
        <v>#REF!</v>
      </c>
      <c r="GZ376" t="e">
        <f>AND(#REF!,"AAAAAHdX188=")</f>
        <v>#REF!</v>
      </c>
      <c r="HA376" t="e">
        <f>AND(#REF!,"AAAAAHdX19A=")</f>
        <v>#REF!</v>
      </c>
      <c r="HB376" t="e">
        <f>AND(#REF!,"AAAAAHdX19E=")</f>
        <v>#REF!</v>
      </c>
      <c r="HC376" t="e">
        <f>IF(#REF!,"AAAAAHdX19I=",0)</f>
        <v>#REF!</v>
      </c>
      <c r="HD376" t="e">
        <f>AND(#REF!,"AAAAAHdX19M=")</f>
        <v>#REF!</v>
      </c>
      <c r="HE376" t="e">
        <f>AND(#REF!,"AAAAAHdX19Q=")</f>
        <v>#REF!</v>
      </c>
      <c r="HF376" t="e">
        <f>AND(#REF!,"AAAAAHdX19U=")</f>
        <v>#REF!</v>
      </c>
      <c r="HG376" t="e">
        <f>AND(#REF!,"AAAAAHdX19Y=")</f>
        <v>#REF!</v>
      </c>
      <c r="HH376" t="e">
        <f>AND(#REF!,"AAAAAHdX19c=")</f>
        <v>#REF!</v>
      </c>
      <c r="HI376" t="e">
        <f>AND(#REF!,"AAAAAHdX19g=")</f>
        <v>#REF!</v>
      </c>
      <c r="HJ376" t="e">
        <f>AND(#REF!,"AAAAAHdX19k=")</f>
        <v>#REF!</v>
      </c>
      <c r="HK376" t="e">
        <f>AND(#REF!,"AAAAAHdX19o=")</f>
        <v>#REF!</v>
      </c>
      <c r="HL376" t="e">
        <f>AND(#REF!,"AAAAAHdX19s=")</f>
        <v>#REF!</v>
      </c>
      <c r="HM376" t="e">
        <f>AND(#REF!,"AAAAAHdX19w=")</f>
        <v>#REF!</v>
      </c>
      <c r="HN376" t="e">
        <f>AND(#REF!,"AAAAAHdX190=")</f>
        <v>#REF!</v>
      </c>
      <c r="HO376" t="e">
        <f>AND(#REF!,"AAAAAHdX194=")</f>
        <v>#REF!</v>
      </c>
      <c r="HP376" t="e">
        <f>AND(#REF!,"AAAAAHdX198=")</f>
        <v>#REF!</v>
      </c>
      <c r="HQ376" t="e">
        <f>AND(#REF!,"AAAAAHdX1+A=")</f>
        <v>#REF!</v>
      </c>
      <c r="HR376" t="e">
        <f>AND(#REF!,"AAAAAHdX1+E=")</f>
        <v>#REF!</v>
      </c>
      <c r="HS376" t="e">
        <f>AND(#REF!,"AAAAAHdX1+I=")</f>
        <v>#REF!</v>
      </c>
      <c r="HT376" t="e">
        <f>AND(#REF!,"AAAAAHdX1+M=")</f>
        <v>#REF!</v>
      </c>
      <c r="HU376" t="e">
        <f>AND(#REF!,"AAAAAHdX1+Q=")</f>
        <v>#REF!</v>
      </c>
      <c r="HV376" t="e">
        <f>AND(#REF!,"AAAAAHdX1+U=")</f>
        <v>#REF!</v>
      </c>
      <c r="HW376" t="e">
        <f>AND(#REF!,"AAAAAHdX1+Y=")</f>
        <v>#REF!</v>
      </c>
      <c r="HX376" t="e">
        <f>AND(#REF!,"AAAAAHdX1+c=")</f>
        <v>#REF!</v>
      </c>
      <c r="HY376" t="e">
        <f>AND(#REF!,"AAAAAHdX1+g=")</f>
        <v>#REF!</v>
      </c>
      <c r="HZ376" t="e">
        <f>AND(#REF!,"AAAAAHdX1+k=")</f>
        <v>#REF!</v>
      </c>
      <c r="IA376" t="e">
        <f>AND(#REF!,"AAAAAHdX1+o=")</f>
        <v>#REF!</v>
      </c>
      <c r="IB376" t="e">
        <f>IF(#REF!,"AAAAAHdX1+s=",0)</f>
        <v>#REF!</v>
      </c>
      <c r="IC376" t="e">
        <f>AND(#REF!,"AAAAAHdX1+w=")</f>
        <v>#REF!</v>
      </c>
      <c r="ID376" t="e">
        <f>AND(#REF!,"AAAAAHdX1+0=")</f>
        <v>#REF!</v>
      </c>
      <c r="IE376" t="e">
        <f>AND(#REF!,"AAAAAHdX1+4=")</f>
        <v>#REF!</v>
      </c>
      <c r="IF376" t="e">
        <f>AND(#REF!,"AAAAAHdX1+8=")</f>
        <v>#REF!</v>
      </c>
      <c r="IG376" t="e">
        <f>AND(#REF!,"AAAAAHdX1/A=")</f>
        <v>#REF!</v>
      </c>
      <c r="IH376" t="e">
        <f>AND(#REF!,"AAAAAHdX1/E=")</f>
        <v>#REF!</v>
      </c>
      <c r="II376" t="e">
        <f>AND(#REF!,"AAAAAHdX1/I=")</f>
        <v>#REF!</v>
      </c>
      <c r="IJ376" t="e">
        <f>AND(#REF!,"AAAAAHdX1/M=")</f>
        <v>#REF!</v>
      </c>
      <c r="IK376" t="e">
        <f>AND(#REF!,"AAAAAHdX1/Q=")</f>
        <v>#REF!</v>
      </c>
      <c r="IL376" t="e">
        <f>AND(#REF!,"AAAAAHdX1/U=")</f>
        <v>#REF!</v>
      </c>
      <c r="IM376" t="e">
        <f>AND(#REF!,"AAAAAHdX1/Y=")</f>
        <v>#REF!</v>
      </c>
      <c r="IN376" t="e">
        <f>AND(#REF!,"AAAAAHdX1/c=")</f>
        <v>#REF!</v>
      </c>
      <c r="IO376" t="e">
        <f>AND(#REF!,"AAAAAHdX1/g=")</f>
        <v>#REF!</v>
      </c>
      <c r="IP376" t="e">
        <f>AND(#REF!,"AAAAAHdX1/k=")</f>
        <v>#REF!</v>
      </c>
      <c r="IQ376" t="e">
        <f>AND(#REF!,"AAAAAHdX1/o=")</f>
        <v>#REF!</v>
      </c>
      <c r="IR376" t="e">
        <f>AND(#REF!,"AAAAAHdX1/s=")</f>
        <v>#REF!</v>
      </c>
      <c r="IS376" t="e">
        <f>AND(#REF!,"AAAAAHdX1/w=")</f>
        <v>#REF!</v>
      </c>
      <c r="IT376" t="e">
        <f>AND(#REF!,"AAAAAHdX1/0=")</f>
        <v>#REF!</v>
      </c>
      <c r="IU376" t="e">
        <f>AND(#REF!,"AAAAAHdX1/4=")</f>
        <v>#REF!</v>
      </c>
      <c r="IV376" t="e">
        <f>AND(#REF!,"AAAAAHdX1/8=")</f>
        <v>#REF!</v>
      </c>
    </row>
    <row r="377" spans="1:256">
      <c r="A377" t="e">
        <f>AND(#REF!,"AAAAAF9vywA=")</f>
        <v>#REF!</v>
      </c>
      <c r="B377" t="e">
        <f>AND(#REF!,"AAAAAF9vywE=")</f>
        <v>#REF!</v>
      </c>
      <c r="C377" t="e">
        <f>AND(#REF!,"AAAAAF9vywI=")</f>
        <v>#REF!</v>
      </c>
      <c r="D377" t="e">
        <f>AND(#REF!,"AAAAAF9vywM=")</f>
        <v>#REF!</v>
      </c>
      <c r="E377" t="e">
        <f>IF(#REF!,"AAAAAF9vywQ=",0)</f>
        <v>#REF!</v>
      </c>
      <c r="F377" t="e">
        <f>AND(#REF!,"AAAAAF9vywU=")</f>
        <v>#REF!</v>
      </c>
      <c r="G377" t="e">
        <f>AND(#REF!,"AAAAAF9vywY=")</f>
        <v>#REF!</v>
      </c>
      <c r="H377" t="e">
        <f>AND(#REF!,"AAAAAF9vywc=")</f>
        <v>#REF!</v>
      </c>
      <c r="I377" t="e">
        <f>AND(#REF!,"AAAAAF9vywg=")</f>
        <v>#REF!</v>
      </c>
      <c r="J377" t="e">
        <f>AND(#REF!,"AAAAAF9vywk=")</f>
        <v>#REF!</v>
      </c>
      <c r="K377" t="e">
        <f>AND(#REF!,"AAAAAF9vywo=")</f>
        <v>#REF!</v>
      </c>
      <c r="L377" t="e">
        <f>AND(#REF!,"AAAAAF9vyws=")</f>
        <v>#REF!</v>
      </c>
      <c r="M377" t="e">
        <f>AND(#REF!,"AAAAAF9vyww=")</f>
        <v>#REF!</v>
      </c>
      <c r="N377" t="e">
        <f>AND(#REF!,"AAAAAF9vyw0=")</f>
        <v>#REF!</v>
      </c>
      <c r="O377" t="e">
        <f>AND(#REF!,"AAAAAF9vyw4=")</f>
        <v>#REF!</v>
      </c>
      <c r="P377" t="e">
        <f>AND(#REF!,"AAAAAF9vyw8=")</f>
        <v>#REF!</v>
      </c>
      <c r="Q377" t="e">
        <f>AND(#REF!,"AAAAAF9vyxA=")</f>
        <v>#REF!</v>
      </c>
      <c r="R377" t="e">
        <f>AND(#REF!,"AAAAAF9vyxE=")</f>
        <v>#REF!</v>
      </c>
      <c r="S377" t="e">
        <f>AND(#REF!,"AAAAAF9vyxI=")</f>
        <v>#REF!</v>
      </c>
      <c r="T377" t="e">
        <f>AND(#REF!,"AAAAAF9vyxM=")</f>
        <v>#REF!</v>
      </c>
      <c r="U377" t="e">
        <f>AND(#REF!,"AAAAAF9vyxQ=")</f>
        <v>#REF!</v>
      </c>
      <c r="V377" t="e">
        <f>AND(#REF!,"AAAAAF9vyxU=")</f>
        <v>#REF!</v>
      </c>
      <c r="W377" t="e">
        <f>AND(#REF!,"AAAAAF9vyxY=")</f>
        <v>#REF!</v>
      </c>
      <c r="X377" t="e">
        <f>AND(#REF!,"AAAAAF9vyxc=")</f>
        <v>#REF!</v>
      </c>
      <c r="Y377" t="e">
        <f>AND(#REF!,"AAAAAF9vyxg=")</f>
        <v>#REF!</v>
      </c>
      <c r="Z377" t="e">
        <f>AND(#REF!,"AAAAAF9vyxk=")</f>
        <v>#REF!</v>
      </c>
      <c r="AA377" t="e">
        <f>AND(#REF!,"AAAAAF9vyxo=")</f>
        <v>#REF!</v>
      </c>
      <c r="AB377" t="e">
        <f>AND(#REF!,"AAAAAF9vyxs=")</f>
        <v>#REF!</v>
      </c>
      <c r="AC377" t="e">
        <f>AND(#REF!,"AAAAAF9vyxw=")</f>
        <v>#REF!</v>
      </c>
      <c r="AD377" t="e">
        <f>IF(#REF!,"AAAAAF9vyx0=",0)</f>
        <v>#REF!</v>
      </c>
      <c r="AE377" t="e">
        <f>AND(#REF!,"AAAAAF9vyx4=")</f>
        <v>#REF!</v>
      </c>
      <c r="AF377" t="e">
        <f>AND(#REF!,"AAAAAF9vyx8=")</f>
        <v>#REF!</v>
      </c>
      <c r="AG377" t="e">
        <f>AND(#REF!,"AAAAAF9vyyA=")</f>
        <v>#REF!</v>
      </c>
      <c r="AH377" t="e">
        <f>AND(#REF!,"AAAAAF9vyyE=")</f>
        <v>#REF!</v>
      </c>
      <c r="AI377" t="e">
        <f>AND(#REF!,"AAAAAF9vyyI=")</f>
        <v>#REF!</v>
      </c>
      <c r="AJ377" t="e">
        <f>AND(#REF!,"AAAAAF9vyyM=")</f>
        <v>#REF!</v>
      </c>
      <c r="AK377" t="e">
        <f>AND(#REF!,"AAAAAF9vyyQ=")</f>
        <v>#REF!</v>
      </c>
      <c r="AL377" t="e">
        <f>AND(#REF!,"AAAAAF9vyyU=")</f>
        <v>#REF!</v>
      </c>
      <c r="AM377" t="e">
        <f>AND(#REF!,"AAAAAF9vyyY=")</f>
        <v>#REF!</v>
      </c>
      <c r="AN377" t="e">
        <f>AND(#REF!,"AAAAAF9vyyc=")</f>
        <v>#REF!</v>
      </c>
      <c r="AO377" t="e">
        <f>AND(#REF!,"AAAAAF9vyyg=")</f>
        <v>#REF!</v>
      </c>
      <c r="AP377" t="e">
        <f>AND(#REF!,"AAAAAF9vyyk=")</f>
        <v>#REF!</v>
      </c>
      <c r="AQ377" t="e">
        <f>AND(#REF!,"AAAAAF9vyyo=")</f>
        <v>#REF!</v>
      </c>
      <c r="AR377" t="e">
        <f>AND(#REF!,"AAAAAF9vyys=")</f>
        <v>#REF!</v>
      </c>
      <c r="AS377" t="e">
        <f>AND(#REF!,"AAAAAF9vyyw=")</f>
        <v>#REF!</v>
      </c>
      <c r="AT377" t="e">
        <f>AND(#REF!,"AAAAAF9vyy0=")</f>
        <v>#REF!</v>
      </c>
      <c r="AU377" t="e">
        <f>AND(#REF!,"AAAAAF9vyy4=")</f>
        <v>#REF!</v>
      </c>
      <c r="AV377" t="e">
        <f>AND(#REF!,"AAAAAF9vyy8=")</f>
        <v>#REF!</v>
      </c>
      <c r="AW377" t="e">
        <f>AND(#REF!,"AAAAAF9vyzA=")</f>
        <v>#REF!</v>
      </c>
      <c r="AX377" t="e">
        <f>AND(#REF!,"AAAAAF9vyzE=")</f>
        <v>#REF!</v>
      </c>
      <c r="AY377" t="e">
        <f>AND(#REF!,"AAAAAF9vyzI=")</f>
        <v>#REF!</v>
      </c>
      <c r="AZ377" t="e">
        <f>AND(#REF!,"AAAAAF9vyzM=")</f>
        <v>#REF!</v>
      </c>
      <c r="BA377" t="e">
        <f>AND(#REF!,"AAAAAF9vyzQ=")</f>
        <v>#REF!</v>
      </c>
      <c r="BB377" t="e">
        <f>AND(#REF!,"AAAAAF9vyzU=")</f>
        <v>#REF!</v>
      </c>
      <c r="BC377" t="e">
        <f>IF(#REF!,"AAAAAF9vyzY=",0)</f>
        <v>#REF!</v>
      </c>
      <c r="BD377" t="e">
        <f>AND(#REF!,"AAAAAF9vyzc=")</f>
        <v>#REF!</v>
      </c>
      <c r="BE377" t="e">
        <f>AND(#REF!,"AAAAAF9vyzg=")</f>
        <v>#REF!</v>
      </c>
      <c r="BF377" t="e">
        <f>AND(#REF!,"AAAAAF9vyzk=")</f>
        <v>#REF!</v>
      </c>
      <c r="BG377" t="e">
        <f>AND(#REF!,"AAAAAF9vyzo=")</f>
        <v>#REF!</v>
      </c>
      <c r="BH377" t="e">
        <f>AND(#REF!,"AAAAAF9vyzs=")</f>
        <v>#REF!</v>
      </c>
      <c r="BI377" t="e">
        <f>AND(#REF!,"AAAAAF9vyzw=")</f>
        <v>#REF!</v>
      </c>
      <c r="BJ377" t="e">
        <f>AND(#REF!,"AAAAAF9vyz0=")</f>
        <v>#REF!</v>
      </c>
      <c r="BK377" t="e">
        <f>AND(#REF!,"AAAAAF9vyz4=")</f>
        <v>#REF!</v>
      </c>
      <c r="BL377" t="e">
        <f>AND(#REF!,"AAAAAF9vyz8=")</f>
        <v>#REF!</v>
      </c>
      <c r="BM377" t="e">
        <f>AND(#REF!,"AAAAAF9vy0A=")</f>
        <v>#REF!</v>
      </c>
      <c r="BN377" t="e">
        <f>AND(#REF!,"AAAAAF9vy0E=")</f>
        <v>#REF!</v>
      </c>
      <c r="BO377" t="e">
        <f>AND(#REF!,"AAAAAF9vy0I=")</f>
        <v>#REF!</v>
      </c>
      <c r="BP377" t="e">
        <f>AND(#REF!,"AAAAAF9vy0M=")</f>
        <v>#REF!</v>
      </c>
      <c r="BQ377" t="e">
        <f>AND(#REF!,"AAAAAF9vy0Q=")</f>
        <v>#REF!</v>
      </c>
      <c r="BR377" t="e">
        <f>AND(#REF!,"AAAAAF9vy0U=")</f>
        <v>#REF!</v>
      </c>
      <c r="BS377" t="e">
        <f>AND(#REF!,"AAAAAF9vy0Y=")</f>
        <v>#REF!</v>
      </c>
      <c r="BT377" t="e">
        <f>AND(#REF!,"AAAAAF9vy0c=")</f>
        <v>#REF!</v>
      </c>
      <c r="BU377" t="e">
        <f>AND(#REF!,"AAAAAF9vy0g=")</f>
        <v>#REF!</v>
      </c>
      <c r="BV377" t="e">
        <f>AND(#REF!,"AAAAAF9vy0k=")</f>
        <v>#REF!</v>
      </c>
      <c r="BW377" t="e">
        <f>AND(#REF!,"AAAAAF9vy0o=")</f>
        <v>#REF!</v>
      </c>
      <c r="BX377" t="e">
        <f>AND(#REF!,"AAAAAF9vy0s=")</f>
        <v>#REF!</v>
      </c>
      <c r="BY377" t="e">
        <f>AND(#REF!,"AAAAAF9vy0w=")</f>
        <v>#REF!</v>
      </c>
      <c r="BZ377" t="e">
        <f>AND(#REF!,"AAAAAF9vy00=")</f>
        <v>#REF!</v>
      </c>
      <c r="CA377" t="e">
        <f>AND(#REF!,"AAAAAF9vy04=")</f>
        <v>#REF!</v>
      </c>
      <c r="CB377" t="e">
        <f>IF(#REF!,"AAAAAF9vy08=",0)</f>
        <v>#REF!</v>
      </c>
      <c r="CC377" t="e">
        <f>AND(#REF!,"AAAAAF9vy1A=")</f>
        <v>#REF!</v>
      </c>
      <c r="CD377" t="e">
        <f>AND(#REF!,"AAAAAF9vy1E=")</f>
        <v>#REF!</v>
      </c>
      <c r="CE377" t="e">
        <f>AND(#REF!,"AAAAAF9vy1I=")</f>
        <v>#REF!</v>
      </c>
      <c r="CF377" t="e">
        <f>AND(#REF!,"AAAAAF9vy1M=")</f>
        <v>#REF!</v>
      </c>
      <c r="CG377" t="e">
        <f>AND(#REF!,"AAAAAF9vy1Q=")</f>
        <v>#REF!</v>
      </c>
      <c r="CH377" t="e">
        <f>AND(#REF!,"AAAAAF9vy1U=")</f>
        <v>#REF!</v>
      </c>
      <c r="CI377" t="e">
        <f>AND(#REF!,"AAAAAF9vy1Y=")</f>
        <v>#REF!</v>
      </c>
      <c r="CJ377" t="e">
        <f>AND(#REF!,"AAAAAF9vy1c=")</f>
        <v>#REF!</v>
      </c>
      <c r="CK377" t="e">
        <f>AND(#REF!,"AAAAAF9vy1g=")</f>
        <v>#REF!</v>
      </c>
      <c r="CL377" t="e">
        <f>AND(#REF!,"AAAAAF9vy1k=")</f>
        <v>#REF!</v>
      </c>
      <c r="CM377" t="e">
        <f>AND(#REF!,"AAAAAF9vy1o=")</f>
        <v>#REF!</v>
      </c>
      <c r="CN377" t="e">
        <f>AND(#REF!,"AAAAAF9vy1s=")</f>
        <v>#REF!</v>
      </c>
      <c r="CO377" t="e">
        <f>AND(#REF!,"AAAAAF9vy1w=")</f>
        <v>#REF!</v>
      </c>
      <c r="CP377" t="e">
        <f>AND(#REF!,"AAAAAF9vy10=")</f>
        <v>#REF!</v>
      </c>
      <c r="CQ377" t="e">
        <f>AND(#REF!,"AAAAAF9vy14=")</f>
        <v>#REF!</v>
      </c>
      <c r="CR377" t="e">
        <f>AND(#REF!,"AAAAAF9vy18=")</f>
        <v>#REF!</v>
      </c>
      <c r="CS377" t="e">
        <f>AND(#REF!,"AAAAAF9vy2A=")</f>
        <v>#REF!</v>
      </c>
      <c r="CT377" t="e">
        <f>AND(#REF!,"AAAAAF9vy2E=")</f>
        <v>#REF!</v>
      </c>
      <c r="CU377" t="e">
        <f>AND(#REF!,"AAAAAF9vy2I=")</f>
        <v>#REF!</v>
      </c>
      <c r="CV377" t="e">
        <f>AND(#REF!,"AAAAAF9vy2M=")</f>
        <v>#REF!</v>
      </c>
      <c r="CW377" t="e">
        <f>AND(#REF!,"AAAAAF9vy2Q=")</f>
        <v>#REF!</v>
      </c>
      <c r="CX377" t="e">
        <f>AND(#REF!,"AAAAAF9vy2U=")</f>
        <v>#REF!</v>
      </c>
      <c r="CY377" t="e">
        <f>AND(#REF!,"AAAAAF9vy2Y=")</f>
        <v>#REF!</v>
      </c>
      <c r="CZ377" t="e">
        <f>AND(#REF!,"AAAAAF9vy2c=")</f>
        <v>#REF!</v>
      </c>
      <c r="DA377" t="e">
        <f>IF(#REF!,"AAAAAF9vy2g=",0)</f>
        <v>#REF!</v>
      </c>
      <c r="DB377" t="e">
        <f>AND(#REF!,"AAAAAF9vy2k=")</f>
        <v>#REF!</v>
      </c>
      <c r="DC377" t="e">
        <f>AND(#REF!,"AAAAAF9vy2o=")</f>
        <v>#REF!</v>
      </c>
      <c r="DD377" t="e">
        <f>AND(#REF!,"AAAAAF9vy2s=")</f>
        <v>#REF!</v>
      </c>
      <c r="DE377" t="e">
        <f>AND(#REF!,"AAAAAF9vy2w=")</f>
        <v>#REF!</v>
      </c>
      <c r="DF377" t="e">
        <f>AND(#REF!,"AAAAAF9vy20=")</f>
        <v>#REF!</v>
      </c>
      <c r="DG377" t="e">
        <f>AND(#REF!,"AAAAAF9vy24=")</f>
        <v>#REF!</v>
      </c>
      <c r="DH377" t="e">
        <f>AND(#REF!,"AAAAAF9vy28=")</f>
        <v>#REF!</v>
      </c>
      <c r="DI377" t="e">
        <f>AND(#REF!,"AAAAAF9vy3A=")</f>
        <v>#REF!</v>
      </c>
      <c r="DJ377" t="e">
        <f>AND(#REF!,"AAAAAF9vy3E=")</f>
        <v>#REF!</v>
      </c>
      <c r="DK377" t="e">
        <f>AND(#REF!,"AAAAAF9vy3I=")</f>
        <v>#REF!</v>
      </c>
      <c r="DL377" t="e">
        <f>AND(#REF!,"AAAAAF9vy3M=")</f>
        <v>#REF!</v>
      </c>
      <c r="DM377" t="e">
        <f>AND(#REF!,"AAAAAF9vy3Q=")</f>
        <v>#REF!</v>
      </c>
      <c r="DN377" t="e">
        <f>AND(#REF!,"AAAAAF9vy3U=")</f>
        <v>#REF!</v>
      </c>
      <c r="DO377" t="e">
        <f>AND(#REF!,"AAAAAF9vy3Y=")</f>
        <v>#REF!</v>
      </c>
      <c r="DP377" t="e">
        <f>AND(#REF!,"AAAAAF9vy3c=")</f>
        <v>#REF!</v>
      </c>
      <c r="DQ377" t="e">
        <f>AND(#REF!,"AAAAAF9vy3g=")</f>
        <v>#REF!</v>
      </c>
      <c r="DR377" t="e">
        <f>AND(#REF!,"AAAAAF9vy3k=")</f>
        <v>#REF!</v>
      </c>
      <c r="DS377" t="e">
        <f>AND(#REF!,"AAAAAF9vy3o=")</f>
        <v>#REF!</v>
      </c>
      <c r="DT377" t="e">
        <f>AND(#REF!,"AAAAAF9vy3s=")</f>
        <v>#REF!</v>
      </c>
      <c r="DU377" t="e">
        <f>AND(#REF!,"AAAAAF9vy3w=")</f>
        <v>#REF!</v>
      </c>
      <c r="DV377" t="e">
        <f>AND(#REF!,"AAAAAF9vy30=")</f>
        <v>#REF!</v>
      </c>
      <c r="DW377" t="e">
        <f>AND(#REF!,"AAAAAF9vy34=")</f>
        <v>#REF!</v>
      </c>
      <c r="DX377" t="e">
        <f>AND(#REF!,"AAAAAF9vy38=")</f>
        <v>#REF!</v>
      </c>
      <c r="DY377" t="e">
        <f>AND(#REF!,"AAAAAF9vy4A=")</f>
        <v>#REF!</v>
      </c>
      <c r="DZ377" t="e">
        <f>IF(#REF!,"AAAAAF9vy4E=",0)</f>
        <v>#REF!</v>
      </c>
      <c r="EA377" t="e">
        <f>AND(#REF!,"AAAAAF9vy4I=")</f>
        <v>#REF!</v>
      </c>
      <c r="EB377" t="e">
        <f>AND(#REF!,"AAAAAF9vy4M=")</f>
        <v>#REF!</v>
      </c>
      <c r="EC377" t="e">
        <f>AND(#REF!,"AAAAAF9vy4Q=")</f>
        <v>#REF!</v>
      </c>
      <c r="ED377" t="e">
        <f>AND(#REF!,"AAAAAF9vy4U=")</f>
        <v>#REF!</v>
      </c>
      <c r="EE377" t="e">
        <f>AND(#REF!,"AAAAAF9vy4Y=")</f>
        <v>#REF!</v>
      </c>
      <c r="EF377" t="e">
        <f>AND(#REF!,"AAAAAF9vy4c=")</f>
        <v>#REF!</v>
      </c>
      <c r="EG377" t="e">
        <f>AND(#REF!,"AAAAAF9vy4g=")</f>
        <v>#REF!</v>
      </c>
      <c r="EH377" t="e">
        <f>AND(#REF!,"AAAAAF9vy4k=")</f>
        <v>#REF!</v>
      </c>
      <c r="EI377" t="e">
        <f>AND(#REF!,"AAAAAF9vy4o=")</f>
        <v>#REF!</v>
      </c>
      <c r="EJ377" t="e">
        <f>AND(#REF!,"AAAAAF9vy4s=")</f>
        <v>#REF!</v>
      </c>
      <c r="EK377" t="e">
        <f>AND(#REF!,"AAAAAF9vy4w=")</f>
        <v>#REF!</v>
      </c>
      <c r="EL377" t="e">
        <f>AND(#REF!,"AAAAAF9vy40=")</f>
        <v>#REF!</v>
      </c>
      <c r="EM377" t="e">
        <f>AND(#REF!,"AAAAAF9vy44=")</f>
        <v>#REF!</v>
      </c>
      <c r="EN377" t="e">
        <f>AND(#REF!,"AAAAAF9vy48=")</f>
        <v>#REF!</v>
      </c>
      <c r="EO377" t="e">
        <f>AND(#REF!,"AAAAAF9vy5A=")</f>
        <v>#REF!</v>
      </c>
      <c r="EP377" t="e">
        <f>AND(#REF!,"AAAAAF9vy5E=")</f>
        <v>#REF!</v>
      </c>
      <c r="EQ377" t="e">
        <f>AND(#REF!,"AAAAAF9vy5I=")</f>
        <v>#REF!</v>
      </c>
      <c r="ER377" t="e">
        <f>AND(#REF!,"AAAAAF9vy5M=")</f>
        <v>#REF!</v>
      </c>
      <c r="ES377" t="e">
        <f>AND(#REF!,"AAAAAF9vy5Q=")</f>
        <v>#REF!</v>
      </c>
      <c r="ET377" t="e">
        <f>AND(#REF!,"AAAAAF9vy5U=")</f>
        <v>#REF!</v>
      </c>
      <c r="EU377" t="e">
        <f>AND(#REF!,"AAAAAF9vy5Y=")</f>
        <v>#REF!</v>
      </c>
      <c r="EV377" t="e">
        <f>AND(#REF!,"AAAAAF9vy5c=")</f>
        <v>#REF!</v>
      </c>
      <c r="EW377" t="e">
        <f>AND(#REF!,"AAAAAF9vy5g=")</f>
        <v>#REF!</v>
      </c>
      <c r="EX377" t="e">
        <f>AND(#REF!,"AAAAAF9vy5k=")</f>
        <v>#REF!</v>
      </c>
      <c r="EY377" t="e">
        <f>IF(#REF!,"AAAAAF9vy5o=",0)</f>
        <v>#REF!</v>
      </c>
      <c r="EZ377" t="e">
        <f>AND(#REF!,"AAAAAF9vy5s=")</f>
        <v>#REF!</v>
      </c>
      <c r="FA377" t="e">
        <f>AND(#REF!,"AAAAAF9vy5w=")</f>
        <v>#REF!</v>
      </c>
      <c r="FB377" t="e">
        <f>AND(#REF!,"AAAAAF9vy50=")</f>
        <v>#REF!</v>
      </c>
      <c r="FC377" t="e">
        <f>AND(#REF!,"AAAAAF9vy54=")</f>
        <v>#REF!</v>
      </c>
      <c r="FD377" t="e">
        <f>AND(#REF!,"AAAAAF9vy58=")</f>
        <v>#REF!</v>
      </c>
      <c r="FE377" t="e">
        <f>AND(#REF!,"AAAAAF9vy6A=")</f>
        <v>#REF!</v>
      </c>
      <c r="FF377" t="e">
        <f>AND(#REF!,"AAAAAF9vy6E=")</f>
        <v>#REF!</v>
      </c>
      <c r="FG377" t="e">
        <f>AND(#REF!,"AAAAAF9vy6I=")</f>
        <v>#REF!</v>
      </c>
      <c r="FH377" t="e">
        <f>AND(#REF!,"AAAAAF9vy6M=")</f>
        <v>#REF!</v>
      </c>
      <c r="FI377" t="e">
        <f>AND(#REF!,"AAAAAF9vy6Q=")</f>
        <v>#REF!</v>
      </c>
      <c r="FJ377" t="e">
        <f>AND(#REF!,"AAAAAF9vy6U=")</f>
        <v>#REF!</v>
      </c>
      <c r="FK377" t="e">
        <f>AND(#REF!,"AAAAAF9vy6Y=")</f>
        <v>#REF!</v>
      </c>
      <c r="FL377" t="e">
        <f>AND(#REF!,"AAAAAF9vy6c=")</f>
        <v>#REF!</v>
      </c>
      <c r="FM377" t="e">
        <f>AND(#REF!,"AAAAAF9vy6g=")</f>
        <v>#REF!</v>
      </c>
      <c r="FN377" t="e">
        <f>AND(#REF!,"AAAAAF9vy6k=")</f>
        <v>#REF!</v>
      </c>
      <c r="FO377" t="e">
        <f>AND(#REF!,"AAAAAF9vy6o=")</f>
        <v>#REF!</v>
      </c>
      <c r="FP377" t="e">
        <f>AND(#REF!,"AAAAAF9vy6s=")</f>
        <v>#REF!</v>
      </c>
      <c r="FQ377" t="e">
        <f>AND(#REF!,"AAAAAF9vy6w=")</f>
        <v>#REF!</v>
      </c>
      <c r="FR377" t="e">
        <f>AND(#REF!,"AAAAAF9vy60=")</f>
        <v>#REF!</v>
      </c>
      <c r="FS377" t="e">
        <f>AND(#REF!,"AAAAAF9vy64=")</f>
        <v>#REF!</v>
      </c>
      <c r="FT377" t="e">
        <f>AND(#REF!,"AAAAAF9vy68=")</f>
        <v>#REF!</v>
      </c>
      <c r="FU377" t="e">
        <f>AND(#REF!,"AAAAAF9vy7A=")</f>
        <v>#REF!</v>
      </c>
      <c r="FV377" t="e">
        <f>AND(#REF!,"AAAAAF9vy7E=")</f>
        <v>#REF!</v>
      </c>
      <c r="FW377" t="e">
        <f>AND(#REF!,"AAAAAF9vy7I=")</f>
        <v>#REF!</v>
      </c>
      <c r="FX377" t="e">
        <f>IF(#REF!,"AAAAAF9vy7M=",0)</f>
        <v>#REF!</v>
      </c>
      <c r="FY377" t="e">
        <f>AND(#REF!,"AAAAAF9vy7Q=")</f>
        <v>#REF!</v>
      </c>
      <c r="FZ377" t="e">
        <f>AND(#REF!,"AAAAAF9vy7U=")</f>
        <v>#REF!</v>
      </c>
      <c r="GA377" t="e">
        <f>AND(#REF!,"AAAAAF9vy7Y=")</f>
        <v>#REF!</v>
      </c>
      <c r="GB377" t="e">
        <f>AND(#REF!,"AAAAAF9vy7c=")</f>
        <v>#REF!</v>
      </c>
      <c r="GC377" t="e">
        <f>AND(#REF!,"AAAAAF9vy7g=")</f>
        <v>#REF!</v>
      </c>
      <c r="GD377" t="e">
        <f>AND(#REF!,"AAAAAF9vy7k=")</f>
        <v>#REF!</v>
      </c>
      <c r="GE377" t="e">
        <f>AND(#REF!,"AAAAAF9vy7o=")</f>
        <v>#REF!</v>
      </c>
      <c r="GF377" t="e">
        <f>AND(#REF!,"AAAAAF9vy7s=")</f>
        <v>#REF!</v>
      </c>
      <c r="GG377" t="e">
        <f>AND(#REF!,"AAAAAF9vy7w=")</f>
        <v>#REF!</v>
      </c>
      <c r="GH377" t="e">
        <f>AND(#REF!,"AAAAAF9vy70=")</f>
        <v>#REF!</v>
      </c>
      <c r="GI377" t="e">
        <f>AND(#REF!,"AAAAAF9vy74=")</f>
        <v>#REF!</v>
      </c>
      <c r="GJ377" t="e">
        <f>AND(#REF!,"AAAAAF9vy78=")</f>
        <v>#REF!</v>
      </c>
      <c r="GK377" t="e">
        <f>AND(#REF!,"AAAAAF9vy8A=")</f>
        <v>#REF!</v>
      </c>
      <c r="GL377" t="e">
        <f>AND(#REF!,"AAAAAF9vy8E=")</f>
        <v>#REF!</v>
      </c>
      <c r="GM377" t="e">
        <f>AND(#REF!,"AAAAAF9vy8I=")</f>
        <v>#REF!</v>
      </c>
      <c r="GN377" t="e">
        <f>AND(#REF!,"AAAAAF9vy8M=")</f>
        <v>#REF!</v>
      </c>
      <c r="GO377" t="e">
        <f>AND(#REF!,"AAAAAF9vy8Q=")</f>
        <v>#REF!</v>
      </c>
      <c r="GP377" t="e">
        <f>AND(#REF!,"AAAAAF9vy8U=")</f>
        <v>#REF!</v>
      </c>
      <c r="GQ377" t="e">
        <f>AND(#REF!,"AAAAAF9vy8Y=")</f>
        <v>#REF!</v>
      </c>
      <c r="GR377" t="e">
        <f>AND(#REF!,"AAAAAF9vy8c=")</f>
        <v>#REF!</v>
      </c>
      <c r="GS377" t="e">
        <f>AND(#REF!,"AAAAAF9vy8g=")</f>
        <v>#REF!</v>
      </c>
      <c r="GT377" t="e">
        <f>AND(#REF!,"AAAAAF9vy8k=")</f>
        <v>#REF!</v>
      </c>
      <c r="GU377" t="e">
        <f>AND(#REF!,"AAAAAF9vy8o=")</f>
        <v>#REF!</v>
      </c>
      <c r="GV377" t="e">
        <f>AND(#REF!,"AAAAAF9vy8s=")</f>
        <v>#REF!</v>
      </c>
      <c r="GW377" t="e">
        <f>IF(#REF!,"AAAAAF9vy8w=",0)</f>
        <v>#REF!</v>
      </c>
      <c r="GX377" t="e">
        <f>AND(#REF!,"AAAAAF9vy80=")</f>
        <v>#REF!</v>
      </c>
      <c r="GY377" t="e">
        <f>AND(#REF!,"AAAAAF9vy84=")</f>
        <v>#REF!</v>
      </c>
      <c r="GZ377" t="e">
        <f>AND(#REF!,"AAAAAF9vy88=")</f>
        <v>#REF!</v>
      </c>
      <c r="HA377" t="e">
        <f>AND(#REF!,"AAAAAF9vy9A=")</f>
        <v>#REF!</v>
      </c>
      <c r="HB377" t="e">
        <f>AND(#REF!,"AAAAAF9vy9E=")</f>
        <v>#REF!</v>
      </c>
      <c r="HC377" t="e">
        <f>AND(#REF!,"AAAAAF9vy9I=")</f>
        <v>#REF!</v>
      </c>
      <c r="HD377" t="e">
        <f>AND(#REF!,"AAAAAF9vy9M=")</f>
        <v>#REF!</v>
      </c>
      <c r="HE377" t="e">
        <f>AND(#REF!,"AAAAAF9vy9Q=")</f>
        <v>#REF!</v>
      </c>
      <c r="HF377" t="e">
        <f>AND(#REF!,"AAAAAF9vy9U=")</f>
        <v>#REF!</v>
      </c>
      <c r="HG377" t="e">
        <f>AND(#REF!,"AAAAAF9vy9Y=")</f>
        <v>#REF!</v>
      </c>
      <c r="HH377" t="e">
        <f>AND(#REF!,"AAAAAF9vy9c=")</f>
        <v>#REF!</v>
      </c>
      <c r="HI377" t="e">
        <f>AND(#REF!,"AAAAAF9vy9g=")</f>
        <v>#REF!</v>
      </c>
      <c r="HJ377" t="e">
        <f>AND(#REF!,"AAAAAF9vy9k=")</f>
        <v>#REF!</v>
      </c>
      <c r="HK377" t="e">
        <f>AND(#REF!,"AAAAAF9vy9o=")</f>
        <v>#REF!</v>
      </c>
      <c r="HL377" t="e">
        <f>AND(#REF!,"AAAAAF9vy9s=")</f>
        <v>#REF!</v>
      </c>
      <c r="HM377" t="e">
        <f>AND(#REF!,"AAAAAF9vy9w=")</f>
        <v>#REF!</v>
      </c>
      <c r="HN377" t="e">
        <f>AND(#REF!,"AAAAAF9vy90=")</f>
        <v>#REF!</v>
      </c>
      <c r="HO377" t="e">
        <f>AND(#REF!,"AAAAAF9vy94=")</f>
        <v>#REF!</v>
      </c>
      <c r="HP377" t="e">
        <f>AND(#REF!,"AAAAAF9vy98=")</f>
        <v>#REF!</v>
      </c>
      <c r="HQ377" t="e">
        <f>AND(#REF!,"AAAAAF9vy+A=")</f>
        <v>#REF!</v>
      </c>
      <c r="HR377" t="e">
        <f>AND(#REF!,"AAAAAF9vy+E=")</f>
        <v>#REF!</v>
      </c>
      <c r="HS377" t="e">
        <f>AND(#REF!,"AAAAAF9vy+I=")</f>
        <v>#REF!</v>
      </c>
      <c r="HT377" t="e">
        <f>AND(#REF!,"AAAAAF9vy+M=")</f>
        <v>#REF!</v>
      </c>
      <c r="HU377" t="e">
        <f>AND(#REF!,"AAAAAF9vy+Q=")</f>
        <v>#REF!</v>
      </c>
      <c r="HV377" t="e">
        <f>IF(#REF!,"AAAAAF9vy+U=",0)</f>
        <v>#REF!</v>
      </c>
      <c r="HW377" t="e">
        <f>AND(#REF!,"AAAAAF9vy+Y=")</f>
        <v>#REF!</v>
      </c>
      <c r="HX377" t="e">
        <f>AND(#REF!,"AAAAAF9vy+c=")</f>
        <v>#REF!</v>
      </c>
      <c r="HY377" t="e">
        <f>AND(#REF!,"AAAAAF9vy+g=")</f>
        <v>#REF!</v>
      </c>
      <c r="HZ377" t="e">
        <f>AND(#REF!,"AAAAAF9vy+k=")</f>
        <v>#REF!</v>
      </c>
      <c r="IA377" t="e">
        <f>AND(#REF!,"AAAAAF9vy+o=")</f>
        <v>#REF!</v>
      </c>
      <c r="IB377" t="e">
        <f>AND(#REF!,"AAAAAF9vy+s=")</f>
        <v>#REF!</v>
      </c>
      <c r="IC377" t="e">
        <f>AND(#REF!,"AAAAAF9vy+w=")</f>
        <v>#REF!</v>
      </c>
      <c r="ID377" t="e">
        <f>AND(#REF!,"AAAAAF9vy+0=")</f>
        <v>#REF!</v>
      </c>
      <c r="IE377" t="e">
        <f>AND(#REF!,"AAAAAF9vy+4=")</f>
        <v>#REF!</v>
      </c>
      <c r="IF377" t="e">
        <f>AND(#REF!,"AAAAAF9vy+8=")</f>
        <v>#REF!</v>
      </c>
      <c r="IG377" t="e">
        <f>AND(#REF!,"AAAAAF9vy/A=")</f>
        <v>#REF!</v>
      </c>
      <c r="IH377" t="e">
        <f>AND(#REF!,"AAAAAF9vy/E=")</f>
        <v>#REF!</v>
      </c>
      <c r="II377" t="e">
        <f>AND(#REF!,"AAAAAF9vy/I=")</f>
        <v>#REF!</v>
      </c>
      <c r="IJ377" t="e">
        <f>AND(#REF!,"AAAAAF9vy/M=")</f>
        <v>#REF!</v>
      </c>
      <c r="IK377" t="e">
        <f>AND(#REF!,"AAAAAF9vy/Q=")</f>
        <v>#REF!</v>
      </c>
      <c r="IL377" t="e">
        <f>AND(#REF!,"AAAAAF9vy/U=")</f>
        <v>#REF!</v>
      </c>
      <c r="IM377" t="e">
        <f>AND(#REF!,"AAAAAF9vy/Y=")</f>
        <v>#REF!</v>
      </c>
      <c r="IN377" t="e">
        <f>AND(#REF!,"AAAAAF9vy/c=")</f>
        <v>#REF!</v>
      </c>
      <c r="IO377" t="e">
        <f>AND(#REF!,"AAAAAF9vy/g=")</f>
        <v>#REF!</v>
      </c>
      <c r="IP377" t="e">
        <f>AND(#REF!,"AAAAAF9vy/k=")</f>
        <v>#REF!</v>
      </c>
      <c r="IQ377" t="e">
        <f>AND(#REF!,"AAAAAF9vy/o=")</f>
        <v>#REF!</v>
      </c>
      <c r="IR377" t="e">
        <f>AND(#REF!,"AAAAAF9vy/s=")</f>
        <v>#REF!</v>
      </c>
      <c r="IS377" t="e">
        <f>AND(#REF!,"AAAAAF9vy/w=")</f>
        <v>#REF!</v>
      </c>
      <c r="IT377" t="e">
        <f>AND(#REF!,"AAAAAF9vy/0=")</f>
        <v>#REF!</v>
      </c>
      <c r="IU377" t="e">
        <f>IF(#REF!,"AAAAAF9vy/4=",0)</f>
        <v>#REF!</v>
      </c>
      <c r="IV377" t="e">
        <f>AND(#REF!,"AAAAAF9vy/8=")</f>
        <v>#REF!</v>
      </c>
    </row>
    <row r="378" spans="1:256">
      <c r="A378" t="e">
        <f>AND(#REF!,"AAAAAHn73QA=")</f>
        <v>#REF!</v>
      </c>
      <c r="B378" t="e">
        <f>AND(#REF!,"AAAAAHn73QE=")</f>
        <v>#REF!</v>
      </c>
      <c r="C378" t="e">
        <f>AND(#REF!,"AAAAAHn73QI=")</f>
        <v>#REF!</v>
      </c>
      <c r="D378" t="e">
        <f>AND(#REF!,"AAAAAHn73QM=")</f>
        <v>#REF!</v>
      </c>
      <c r="E378" t="e">
        <f>AND(#REF!,"AAAAAHn73QQ=")</f>
        <v>#REF!</v>
      </c>
      <c r="F378" t="e">
        <f>AND(#REF!,"AAAAAHn73QU=")</f>
        <v>#REF!</v>
      </c>
      <c r="G378" t="e">
        <f>AND(#REF!,"AAAAAHn73QY=")</f>
        <v>#REF!</v>
      </c>
      <c r="H378" t="e">
        <f>AND(#REF!,"AAAAAHn73Qc=")</f>
        <v>#REF!</v>
      </c>
      <c r="I378" t="e">
        <f>AND(#REF!,"AAAAAHn73Qg=")</f>
        <v>#REF!</v>
      </c>
      <c r="J378" t="e">
        <f>AND(#REF!,"AAAAAHn73Qk=")</f>
        <v>#REF!</v>
      </c>
      <c r="K378" t="e">
        <f>AND(#REF!,"AAAAAHn73Qo=")</f>
        <v>#REF!</v>
      </c>
      <c r="L378" t="e">
        <f>AND(#REF!,"AAAAAHn73Qs=")</f>
        <v>#REF!</v>
      </c>
      <c r="M378" t="e">
        <f>AND(#REF!,"AAAAAHn73Qw=")</f>
        <v>#REF!</v>
      </c>
      <c r="N378" t="e">
        <f>AND(#REF!,"AAAAAHn73Q0=")</f>
        <v>#REF!</v>
      </c>
      <c r="O378" t="e">
        <f>AND(#REF!,"AAAAAHn73Q4=")</f>
        <v>#REF!</v>
      </c>
      <c r="P378" t="e">
        <f>AND(#REF!,"AAAAAHn73Q8=")</f>
        <v>#REF!</v>
      </c>
      <c r="Q378" t="e">
        <f>AND(#REF!,"AAAAAHn73RA=")</f>
        <v>#REF!</v>
      </c>
      <c r="R378" t="e">
        <f>AND(#REF!,"AAAAAHn73RE=")</f>
        <v>#REF!</v>
      </c>
      <c r="S378" t="e">
        <f>AND(#REF!,"AAAAAHn73RI=")</f>
        <v>#REF!</v>
      </c>
      <c r="T378" t="e">
        <f>AND(#REF!,"AAAAAHn73RM=")</f>
        <v>#REF!</v>
      </c>
      <c r="U378" t="e">
        <f>AND(#REF!,"AAAAAHn73RQ=")</f>
        <v>#REF!</v>
      </c>
      <c r="V378" t="e">
        <f>AND(#REF!,"AAAAAHn73RU=")</f>
        <v>#REF!</v>
      </c>
      <c r="W378" t="e">
        <f>AND(#REF!,"AAAAAHn73RY=")</f>
        <v>#REF!</v>
      </c>
      <c r="X378" t="e">
        <f>IF(#REF!,"AAAAAHn73Rc=",0)</f>
        <v>#REF!</v>
      </c>
      <c r="Y378" t="e">
        <f>AND(#REF!,"AAAAAHn73Rg=")</f>
        <v>#REF!</v>
      </c>
      <c r="Z378" t="e">
        <f>AND(#REF!,"AAAAAHn73Rk=")</f>
        <v>#REF!</v>
      </c>
      <c r="AA378" t="e">
        <f>AND(#REF!,"AAAAAHn73Ro=")</f>
        <v>#REF!</v>
      </c>
      <c r="AB378" t="e">
        <f>AND(#REF!,"AAAAAHn73Rs=")</f>
        <v>#REF!</v>
      </c>
      <c r="AC378" t="e">
        <f>AND(#REF!,"AAAAAHn73Rw=")</f>
        <v>#REF!</v>
      </c>
      <c r="AD378" t="e">
        <f>AND(#REF!,"AAAAAHn73R0=")</f>
        <v>#REF!</v>
      </c>
      <c r="AE378" t="e">
        <f>AND(#REF!,"AAAAAHn73R4=")</f>
        <v>#REF!</v>
      </c>
      <c r="AF378" t="e">
        <f>AND(#REF!,"AAAAAHn73R8=")</f>
        <v>#REF!</v>
      </c>
      <c r="AG378" t="e">
        <f>AND(#REF!,"AAAAAHn73SA=")</f>
        <v>#REF!</v>
      </c>
      <c r="AH378" t="e">
        <f>AND(#REF!,"AAAAAHn73SE=")</f>
        <v>#REF!</v>
      </c>
      <c r="AI378" t="e">
        <f>AND(#REF!,"AAAAAHn73SI=")</f>
        <v>#REF!</v>
      </c>
      <c r="AJ378" t="e">
        <f>AND(#REF!,"AAAAAHn73SM=")</f>
        <v>#REF!</v>
      </c>
      <c r="AK378" t="e">
        <f>AND(#REF!,"AAAAAHn73SQ=")</f>
        <v>#REF!</v>
      </c>
      <c r="AL378" t="e">
        <f>AND(#REF!,"AAAAAHn73SU=")</f>
        <v>#REF!</v>
      </c>
      <c r="AM378" t="e">
        <f>AND(#REF!,"AAAAAHn73SY=")</f>
        <v>#REF!</v>
      </c>
      <c r="AN378" t="e">
        <f>AND(#REF!,"AAAAAHn73Sc=")</f>
        <v>#REF!</v>
      </c>
      <c r="AO378" t="e">
        <f>AND(#REF!,"AAAAAHn73Sg=")</f>
        <v>#REF!</v>
      </c>
      <c r="AP378" t="e">
        <f>AND(#REF!,"AAAAAHn73Sk=")</f>
        <v>#REF!</v>
      </c>
      <c r="AQ378" t="e">
        <f>AND(#REF!,"AAAAAHn73So=")</f>
        <v>#REF!</v>
      </c>
      <c r="AR378" t="e">
        <f>AND(#REF!,"AAAAAHn73Ss=")</f>
        <v>#REF!</v>
      </c>
      <c r="AS378" t="e">
        <f>AND(#REF!,"AAAAAHn73Sw=")</f>
        <v>#REF!</v>
      </c>
      <c r="AT378" t="e">
        <f>AND(#REF!,"AAAAAHn73S0=")</f>
        <v>#REF!</v>
      </c>
      <c r="AU378" t="e">
        <f>AND(#REF!,"AAAAAHn73S4=")</f>
        <v>#REF!</v>
      </c>
      <c r="AV378" t="e">
        <f>AND(#REF!,"AAAAAHn73S8=")</f>
        <v>#REF!</v>
      </c>
      <c r="AW378" t="e">
        <f>IF(#REF!,"AAAAAHn73TA=",0)</f>
        <v>#REF!</v>
      </c>
      <c r="AX378" t="e">
        <f>AND(#REF!,"AAAAAHn73TE=")</f>
        <v>#REF!</v>
      </c>
      <c r="AY378" t="e">
        <f>AND(#REF!,"AAAAAHn73TI=")</f>
        <v>#REF!</v>
      </c>
      <c r="AZ378" t="e">
        <f>AND(#REF!,"AAAAAHn73TM=")</f>
        <v>#REF!</v>
      </c>
      <c r="BA378" t="e">
        <f>AND(#REF!,"AAAAAHn73TQ=")</f>
        <v>#REF!</v>
      </c>
      <c r="BB378" t="e">
        <f>AND(#REF!,"AAAAAHn73TU=")</f>
        <v>#REF!</v>
      </c>
      <c r="BC378" t="e">
        <f>AND(#REF!,"AAAAAHn73TY=")</f>
        <v>#REF!</v>
      </c>
      <c r="BD378" t="e">
        <f>AND(#REF!,"AAAAAHn73Tc=")</f>
        <v>#REF!</v>
      </c>
      <c r="BE378" t="e">
        <f>AND(#REF!,"AAAAAHn73Tg=")</f>
        <v>#REF!</v>
      </c>
      <c r="BF378" t="e">
        <f>AND(#REF!,"AAAAAHn73Tk=")</f>
        <v>#REF!</v>
      </c>
      <c r="BG378" t="e">
        <f>AND(#REF!,"AAAAAHn73To=")</f>
        <v>#REF!</v>
      </c>
      <c r="BH378" t="e">
        <f>AND(#REF!,"AAAAAHn73Ts=")</f>
        <v>#REF!</v>
      </c>
      <c r="BI378" t="e">
        <f>AND(#REF!,"AAAAAHn73Tw=")</f>
        <v>#REF!</v>
      </c>
      <c r="BJ378" t="e">
        <f>AND(#REF!,"AAAAAHn73T0=")</f>
        <v>#REF!</v>
      </c>
      <c r="BK378" t="e">
        <f>AND(#REF!,"AAAAAHn73T4=")</f>
        <v>#REF!</v>
      </c>
      <c r="BL378" t="e">
        <f>AND(#REF!,"AAAAAHn73T8=")</f>
        <v>#REF!</v>
      </c>
      <c r="BM378" t="e">
        <f>AND(#REF!,"AAAAAHn73UA=")</f>
        <v>#REF!</v>
      </c>
      <c r="BN378" t="e">
        <f>AND(#REF!,"AAAAAHn73UE=")</f>
        <v>#REF!</v>
      </c>
      <c r="BO378" t="e">
        <f>AND(#REF!,"AAAAAHn73UI=")</f>
        <v>#REF!</v>
      </c>
      <c r="BP378" t="e">
        <f>AND(#REF!,"AAAAAHn73UM=")</f>
        <v>#REF!</v>
      </c>
      <c r="BQ378" t="e">
        <f>AND(#REF!,"AAAAAHn73UQ=")</f>
        <v>#REF!</v>
      </c>
      <c r="BR378" t="e">
        <f>AND(#REF!,"AAAAAHn73UU=")</f>
        <v>#REF!</v>
      </c>
      <c r="BS378" t="e">
        <f>AND(#REF!,"AAAAAHn73UY=")</f>
        <v>#REF!</v>
      </c>
      <c r="BT378" t="e">
        <f>AND(#REF!,"AAAAAHn73Uc=")</f>
        <v>#REF!</v>
      </c>
      <c r="BU378" t="e">
        <f>AND(#REF!,"AAAAAHn73Ug=")</f>
        <v>#REF!</v>
      </c>
      <c r="BV378" t="e">
        <f>IF(#REF!,"AAAAAHn73Uk=",0)</f>
        <v>#REF!</v>
      </c>
      <c r="BW378" t="e">
        <f>AND(#REF!,"AAAAAHn73Uo=")</f>
        <v>#REF!</v>
      </c>
      <c r="BX378" t="e">
        <f>AND(#REF!,"AAAAAHn73Us=")</f>
        <v>#REF!</v>
      </c>
      <c r="BY378" t="e">
        <f>AND(#REF!,"AAAAAHn73Uw=")</f>
        <v>#REF!</v>
      </c>
      <c r="BZ378" t="e">
        <f>AND(#REF!,"AAAAAHn73U0=")</f>
        <v>#REF!</v>
      </c>
      <c r="CA378" t="e">
        <f>AND(#REF!,"AAAAAHn73U4=")</f>
        <v>#REF!</v>
      </c>
      <c r="CB378" t="e">
        <f>AND(#REF!,"AAAAAHn73U8=")</f>
        <v>#REF!</v>
      </c>
      <c r="CC378" t="e">
        <f>AND(#REF!,"AAAAAHn73VA=")</f>
        <v>#REF!</v>
      </c>
      <c r="CD378" t="e">
        <f>AND(#REF!,"AAAAAHn73VE=")</f>
        <v>#REF!</v>
      </c>
      <c r="CE378" t="e">
        <f>AND(#REF!,"AAAAAHn73VI=")</f>
        <v>#REF!</v>
      </c>
      <c r="CF378" t="e">
        <f>AND(#REF!,"AAAAAHn73VM=")</f>
        <v>#REF!</v>
      </c>
      <c r="CG378" t="e">
        <f>AND(#REF!,"AAAAAHn73VQ=")</f>
        <v>#REF!</v>
      </c>
      <c r="CH378" t="e">
        <f>AND(#REF!,"AAAAAHn73VU=")</f>
        <v>#REF!</v>
      </c>
      <c r="CI378" t="e">
        <f>AND(#REF!,"AAAAAHn73VY=")</f>
        <v>#REF!</v>
      </c>
      <c r="CJ378" t="e">
        <f>AND(#REF!,"AAAAAHn73Vc=")</f>
        <v>#REF!</v>
      </c>
      <c r="CK378" t="e">
        <f>AND(#REF!,"AAAAAHn73Vg=")</f>
        <v>#REF!</v>
      </c>
      <c r="CL378" t="e">
        <f>AND(#REF!,"AAAAAHn73Vk=")</f>
        <v>#REF!</v>
      </c>
      <c r="CM378" t="e">
        <f>AND(#REF!,"AAAAAHn73Vo=")</f>
        <v>#REF!</v>
      </c>
      <c r="CN378" t="e">
        <f>AND(#REF!,"AAAAAHn73Vs=")</f>
        <v>#REF!</v>
      </c>
      <c r="CO378" t="e">
        <f>AND(#REF!,"AAAAAHn73Vw=")</f>
        <v>#REF!</v>
      </c>
      <c r="CP378" t="e">
        <f>AND(#REF!,"AAAAAHn73V0=")</f>
        <v>#REF!</v>
      </c>
      <c r="CQ378" t="e">
        <f>AND(#REF!,"AAAAAHn73V4=")</f>
        <v>#REF!</v>
      </c>
      <c r="CR378" t="e">
        <f>AND(#REF!,"AAAAAHn73V8=")</f>
        <v>#REF!</v>
      </c>
      <c r="CS378" t="e">
        <f>AND(#REF!,"AAAAAHn73WA=")</f>
        <v>#REF!</v>
      </c>
      <c r="CT378" t="e">
        <f>AND(#REF!,"AAAAAHn73WE=")</f>
        <v>#REF!</v>
      </c>
      <c r="CU378" t="e">
        <f>IF(#REF!,"AAAAAHn73WI=",0)</f>
        <v>#REF!</v>
      </c>
      <c r="CV378" t="e">
        <f>AND(#REF!,"AAAAAHn73WM=")</f>
        <v>#REF!</v>
      </c>
      <c r="CW378" t="e">
        <f>AND(#REF!,"AAAAAHn73WQ=")</f>
        <v>#REF!</v>
      </c>
      <c r="CX378" t="e">
        <f>AND(#REF!,"AAAAAHn73WU=")</f>
        <v>#REF!</v>
      </c>
      <c r="CY378" t="e">
        <f>AND(#REF!,"AAAAAHn73WY=")</f>
        <v>#REF!</v>
      </c>
      <c r="CZ378" t="e">
        <f>AND(#REF!,"AAAAAHn73Wc=")</f>
        <v>#REF!</v>
      </c>
      <c r="DA378" t="e">
        <f>AND(#REF!,"AAAAAHn73Wg=")</f>
        <v>#REF!</v>
      </c>
      <c r="DB378" t="e">
        <f>AND(#REF!,"AAAAAHn73Wk=")</f>
        <v>#REF!</v>
      </c>
      <c r="DC378" t="e">
        <f>AND(#REF!,"AAAAAHn73Wo=")</f>
        <v>#REF!</v>
      </c>
      <c r="DD378" t="e">
        <f>AND(#REF!,"AAAAAHn73Ws=")</f>
        <v>#REF!</v>
      </c>
      <c r="DE378" t="e">
        <f>AND(#REF!,"AAAAAHn73Ww=")</f>
        <v>#REF!</v>
      </c>
      <c r="DF378" t="e">
        <f>AND(#REF!,"AAAAAHn73W0=")</f>
        <v>#REF!</v>
      </c>
      <c r="DG378" t="e">
        <f>AND(#REF!,"AAAAAHn73W4=")</f>
        <v>#REF!</v>
      </c>
      <c r="DH378" t="e">
        <f>AND(#REF!,"AAAAAHn73W8=")</f>
        <v>#REF!</v>
      </c>
      <c r="DI378" t="e">
        <f>AND(#REF!,"AAAAAHn73XA=")</f>
        <v>#REF!</v>
      </c>
      <c r="DJ378" t="e">
        <f>AND(#REF!,"AAAAAHn73XE=")</f>
        <v>#REF!</v>
      </c>
      <c r="DK378" t="e">
        <f>AND(#REF!,"AAAAAHn73XI=")</f>
        <v>#REF!</v>
      </c>
      <c r="DL378" t="e">
        <f>AND(#REF!,"AAAAAHn73XM=")</f>
        <v>#REF!</v>
      </c>
      <c r="DM378" t="e">
        <f>AND(#REF!,"AAAAAHn73XQ=")</f>
        <v>#REF!</v>
      </c>
      <c r="DN378" t="e">
        <f>AND(#REF!,"AAAAAHn73XU=")</f>
        <v>#REF!</v>
      </c>
      <c r="DO378" t="e">
        <f>AND(#REF!,"AAAAAHn73XY=")</f>
        <v>#REF!</v>
      </c>
      <c r="DP378" t="e">
        <f>AND(#REF!,"AAAAAHn73Xc=")</f>
        <v>#REF!</v>
      </c>
      <c r="DQ378" t="e">
        <f>AND(#REF!,"AAAAAHn73Xg=")</f>
        <v>#REF!</v>
      </c>
      <c r="DR378" t="e">
        <f>AND(#REF!,"AAAAAHn73Xk=")</f>
        <v>#REF!</v>
      </c>
      <c r="DS378" t="e">
        <f>AND(#REF!,"AAAAAHn73Xo=")</f>
        <v>#REF!</v>
      </c>
      <c r="DT378" t="e">
        <f>IF(#REF!,"AAAAAHn73Xs=",0)</f>
        <v>#REF!</v>
      </c>
      <c r="DU378" t="e">
        <f>AND(#REF!,"AAAAAHn73Xw=")</f>
        <v>#REF!</v>
      </c>
      <c r="DV378" t="e">
        <f>AND(#REF!,"AAAAAHn73X0=")</f>
        <v>#REF!</v>
      </c>
      <c r="DW378" t="e">
        <f>AND(#REF!,"AAAAAHn73X4=")</f>
        <v>#REF!</v>
      </c>
      <c r="DX378" t="e">
        <f>AND(#REF!,"AAAAAHn73X8=")</f>
        <v>#REF!</v>
      </c>
      <c r="DY378" t="e">
        <f>AND(#REF!,"AAAAAHn73YA=")</f>
        <v>#REF!</v>
      </c>
      <c r="DZ378" t="e">
        <f>AND(#REF!,"AAAAAHn73YE=")</f>
        <v>#REF!</v>
      </c>
      <c r="EA378" t="e">
        <f>AND(#REF!,"AAAAAHn73YI=")</f>
        <v>#REF!</v>
      </c>
      <c r="EB378" t="e">
        <f>AND(#REF!,"AAAAAHn73YM=")</f>
        <v>#REF!</v>
      </c>
      <c r="EC378" t="e">
        <f>AND(#REF!,"AAAAAHn73YQ=")</f>
        <v>#REF!</v>
      </c>
      <c r="ED378" t="e">
        <f>AND(#REF!,"AAAAAHn73YU=")</f>
        <v>#REF!</v>
      </c>
      <c r="EE378" t="e">
        <f>AND(#REF!,"AAAAAHn73YY=")</f>
        <v>#REF!</v>
      </c>
      <c r="EF378" t="e">
        <f>AND(#REF!,"AAAAAHn73Yc=")</f>
        <v>#REF!</v>
      </c>
      <c r="EG378" t="e">
        <f>AND(#REF!,"AAAAAHn73Yg=")</f>
        <v>#REF!</v>
      </c>
      <c r="EH378" t="e">
        <f>AND(#REF!,"AAAAAHn73Yk=")</f>
        <v>#REF!</v>
      </c>
      <c r="EI378" t="e">
        <f>AND(#REF!,"AAAAAHn73Yo=")</f>
        <v>#REF!</v>
      </c>
      <c r="EJ378" t="e">
        <f>AND(#REF!,"AAAAAHn73Ys=")</f>
        <v>#REF!</v>
      </c>
      <c r="EK378" t="e">
        <f>AND(#REF!,"AAAAAHn73Yw=")</f>
        <v>#REF!</v>
      </c>
      <c r="EL378" t="e">
        <f>AND(#REF!,"AAAAAHn73Y0=")</f>
        <v>#REF!</v>
      </c>
      <c r="EM378" t="e">
        <f>AND(#REF!,"AAAAAHn73Y4=")</f>
        <v>#REF!</v>
      </c>
      <c r="EN378" t="e">
        <f>AND(#REF!,"AAAAAHn73Y8=")</f>
        <v>#REF!</v>
      </c>
      <c r="EO378" t="e">
        <f>AND(#REF!,"AAAAAHn73ZA=")</f>
        <v>#REF!</v>
      </c>
      <c r="EP378" t="e">
        <f>AND(#REF!,"AAAAAHn73ZE=")</f>
        <v>#REF!</v>
      </c>
      <c r="EQ378" t="e">
        <f>AND(#REF!,"AAAAAHn73ZI=")</f>
        <v>#REF!</v>
      </c>
      <c r="ER378" t="e">
        <f>AND(#REF!,"AAAAAHn73ZM=")</f>
        <v>#REF!</v>
      </c>
      <c r="ES378" t="e">
        <f>IF(#REF!,"AAAAAHn73ZQ=",0)</f>
        <v>#REF!</v>
      </c>
      <c r="ET378" t="e">
        <f>AND(#REF!,"AAAAAHn73ZU=")</f>
        <v>#REF!</v>
      </c>
      <c r="EU378" t="e">
        <f>AND(#REF!,"AAAAAHn73ZY=")</f>
        <v>#REF!</v>
      </c>
      <c r="EV378" t="e">
        <f>AND(#REF!,"AAAAAHn73Zc=")</f>
        <v>#REF!</v>
      </c>
      <c r="EW378" t="e">
        <f>AND(#REF!,"AAAAAHn73Zg=")</f>
        <v>#REF!</v>
      </c>
      <c r="EX378" t="e">
        <f>AND(#REF!,"AAAAAHn73Zk=")</f>
        <v>#REF!</v>
      </c>
      <c r="EY378" t="e">
        <f>AND(#REF!,"AAAAAHn73Zo=")</f>
        <v>#REF!</v>
      </c>
      <c r="EZ378" t="e">
        <f>AND(#REF!,"AAAAAHn73Zs=")</f>
        <v>#REF!</v>
      </c>
      <c r="FA378" t="e">
        <f>AND(#REF!,"AAAAAHn73Zw=")</f>
        <v>#REF!</v>
      </c>
      <c r="FB378" t="e">
        <f>AND(#REF!,"AAAAAHn73Z0=")</f>
        <v>#REF!</v>
      </c>
      <c r="FC378" t="e">
        <f>AND(#REF!,"AAAAAHn73Z4=")</f>
        <v>#REF!</v>
      </c>
      <c r="FD378" t="e">
        <f>AND(#REF!,"AAAAAHn73Z8=")</f>
        <v>#REF!</v>
      </c>
      <c r="FE378" t="e">
        <f>AND(#REF!,"AAAAAHn73aA=")</f>
        <v>#REF!</v>
      </c>
      <c r="FF378" t="e">
        <f>AND(#REF!,"AAAAAHn73aE=")</f>
        <v>#REF!</v>
      </c>
      <c r="FG378" t="e">
        <f>AND(#REF!,"AAAAAHn73aI=")</f>
        <v>#REF!</v>
      </c>
      <c r="FH378" t="e">
        <f>AND(#REF!,"AAAAAHn73aM=")</f>
        <v>#REF!</v>
      </c>
      <c r="FI378" t="e">
        <f>AND(#REF!,"AAAAAHn73aQ=")</f>
        <v>#REF!</v>
      </c>
      <c r="FJ378" t="e">
        <f>AND(#REF!,"AAAAAHn73aU=")</f>
        <v>#REF!</v>
      </c>
      <c r="FK378" t="e">
        <f>AND(#REF!,"AAAAAHn73aY=")</f>
        <v>#REF!</v>
      </c>
      <c r="FL378" t="e">
        <f>AND(#REF!,"AAAAAHn73ac=")</f>
        <v>#REF!</v>
      </c>
      <c r="FM378" t="e">
        <f>AND(#REF!,"AAAAAHn73ag=")</f>
        <v>#REF!</v>
      </c>
      <c r="FN378" t="e">
        <f>AND(#REF!,"AAAAAHn73ak=")</f>
        <v>#REF!</v>
      </c>
      <c r="FO378" t="e">
        <f>AND(#REF!,"AAAAAHn73ao=")</f>
        <v>#REF!</v>
      </c>
      <c r="FP378" t="e">
        <f>AND(#REF!,"AAAAAHn73as=")</f>
        <v>#REF!</v>
      </c>
      <c r="FQ378" t="e">
        <f>AND(#REF!,"AAAAAHn73aw=")</f>
        <v>#REF!</v>
      </c>
      <c r="FR378" t="e">
        <f>IF(#REF!,"AAAAAHn73a0=",0)</f>
        <v>#REF!</v>
      </c>
      <c r="FS378" t="e">
        <f>AND(#REF!,"AAAAAHn73a4=")</f>
        <v>#REF!</v>
      </c>
      <c r="FT378" t="e">
        <f>AND(#REF!,"AAAAAHn73a8=")</f>
        <v>#REF!</v>
      </c>
      <c r="FU378" t="e">
        <f>AND(#REF!,"AAAAAHn73bA=")</f>
        <v>#REF!</v>
      </c>
      <c r="FV378" t="e">
        <f>AND(#REF!,"AAAAAHn73bE=")</f>
        <v>#REF!</v>
      </c>
      <c r="FW378" t="e">
        <f>AND(#REF!,"AAAAAHn73bI=")</f>
        <v>#REF!</v>
      </c>
      <c r="FX378" t="e">
        <f>AND(#REF!,"AAAAAHn73bM=")</f>
        <v>#REF!</v>
      </c>
      <c r="FY378" t="e">
        <f>AND(#REF!,"AAAAAHn73bQ=")</f>
        <v>#REF!</v>
      </c>
      <c r="FZ378" t="e">
        <f>AND(#REF!,"AAAAAHn73bU=")</f>
        <v>#REF!</v>
      </c>
      <c r="GA378" t="e">
        <f>AND(#REF!,"AAAAAHn73bY=")</f>
        <v>#REF!</v>
      </c>
      <c r="GB378" t="e">
        <f>AND(#REF!,"AAAAAHn73bc=")</f>
        <v>#REF!</v>
      </c>
      <c r="GC378" t="e">
        <f>AND(#REF!,"AAAAAHn73bg=")</f>
        <v>#REF!</v>
      </c>
      <c r="GD378" t="e">
        <f>AND(#REF!,"AAAAAHn73bk=")</f>
        <v>#REF!</v>
      </c>
      <c r="GE378" t="e">
        <f>AND(#REF!,"AAAAAHn73bo=")</f>
        <v>#REF!</v>
      </c>
      <c r="GF378" t="e">
        <f>AND(#REF!,"AAAAAHn73bs=")</f>
        <v>#REF!</v>
      </c>
      <c r="GG378" t="e">
        <f>AND(#REF!,"AAAAAHn73bw=")</f>
        <v>#REF!</v>
      </c>
      <c r="GH378" t="e">
        <f>AND(#REF!,"AAAAAHn73b0=")</f>
        <v>#REF!</v>
      </c>
      <c r="GI378" t="e">
        <f>AND(#REF!,"AAAAAHn73b4=")</f>
        <v>#REF!</v>
      </c>
      <c r="GJ378" t="e">
        <f>AND(#REF!,"AAAAAHn73b8=")</f>
        <v>#REF!</v>
      </c>
      <c r="GK378" t="e">
        <f>AND(#REF!,"AAAAAHn73cA=")</f>
        <v>#REF!</v>
      </c>
      <c r="GL378" t="e">
        <f>AND(#REF!,"AAAAAHn73cE=")</f>
        <v>#REF!</v>
      </c>
      <c r="GM378" t="e">
        <f>AND(#REF!,"AAAAAHn73cI=")</f>
        <v>#REF!</v>
      </c>
      <c r="GN378" t="e">
        <f>AND(#REF!,"AAAAAHn73cM=")</f>
        <v>#REF!</v>
      </c>
      <c r="GO378" t="e">
        <f>AND(#REF!,"AAAAAHn73cQ=")</f>
        <v>#REF!</v>
      </c>
      <c r="GP378" t="e">
        <f>AND(#REF!,"AAAAAHn73cU=")</f>
        <v>#REF!</v>
      </c>
      <c r="GQ378" t="e">
        <f>IF(#REF!,"AAAAAHn73cY=",0)</f>
        <v>#REF!</v>
      </c>
      <c r="GR378" t="e">
        <f>AND(#REF!,"AAAAAHn73cc=")</f>
        <v>#REF!</v>
      </c>
      <c r="GS378" t="e">
        <f>AND(#REF!,"AAAAAHn73cg=")</f>
        <v>#REF!</v>
      </c>
      <c r="GT378" t="e">
        <f>AND(#REF!,"AAAAAHn73ck=")</f>
        <v>#REF!</v>
      </c>
      <c r="GU378" t="e">
        <f>AND(#REF!,"AAAAAHn73co=")</f>
        <v>#REF!</v>
      </c>
      <c r="GV378" t="e">
        <f>AND(#REF!,"AAAAAHn73cs=")</f>
        <v>#REF!</v>
      </c>
      <c r="GW378" t="e">
        <f>AND(#REF!,"AAAAAHn73cw=")</f>
        <v>#REF!</v>
      </c>
      <c r="GX378" t="e">
        <f>AND(#REF!,"AAAAAHn73c0=")</f>
        <v>#REF!</v>
      </c>
      <c r="GY378" t="e">
        <f>AND(#REF!,"AAAAAHn73c4=")</f>
        <v>#REF!</v>
      </c>
      <c r="GZ378" t="e">
        <f>AND(#REF!,"AAAAAHn73c8=")</f>
        <v>#REF!</v>
      </c>
      <c r="HA378" t="e">
        <f>AND(#REF!,"AAAAAHn73dA=")</f>
        <v>#REF!</v>
      </c>
      <c r="HB378" t="e">
        <f>AND(#REF!,"AAAAAHn73dE=")</f>
        <v>#REF!</v>
      </c>
      <c r="HC378" t="e">
        <f>AND(#REF!,"AAAAAHn73dI=")</f>
        <v>#REF!</v>
      </c>
      <c r="HD378" t="e">
        <f>AND(#REF!,"AAAAAHn73dM=")</f>
        <v>#REF!</v>
      </c>
      <c r="HE378" t="e">
        <f>AND(#REF!,"AAAAAHn73dQ=")</f>
        <v>#REF!</v>
      </c>
      <c r="HF378" t="e">
        <f>AND(#REF!,"AAAAAHn73dU=")</f>
        <v>#REF!</v>
      </c>
      <c r="HG378" t="e">
        <f>AND(#REF!,"AAAAAHn73dY=")</f>
        <v>#REF!</v>
      </c>
      <c r="HH378" t="e">
        <f>AND(#REF!,"AAAAAHn73dc=")</f>
        <v>#REF!</v>
      </c>
      <c r="HI378" t="e">
        <f>AND(#REF!,"AAAAAHn73dg=")</f>
        <v>#REF!</v>
      </c>
      <c r="HJ378" t="e">
        <f>AND(#REF!,"AAAAAHn73dk=")</f>
        <v>#REF!</v>
      </c>
      <c r="HK378" t="e">
        <f>AND(#REF!,"AAAAAHn73do=")</f>
        <v>#REF!</v>
      </c>
      <c r="HL378" t="e">
        <f>AND(#REF!,"AAAAAHn73ds=")</f>
        <v>#REF!</v>
      </c>
      <c r="HM378" t="e">
        <f>AND(#REF!,"AAAAAHn73dw=")</f>
        <v>#REF!</v>
      </c>
      <c r="HN378" t="e">
        <f>AND(#REF!,"AAAAAHn73d0=")</f>
        <v>#REF!</v>
      </c>
      <c r="HO378" t="e">
        <f>AND(#REF!,"AAAAAHn73d4=")</f>
        <v>#REF!</v>
      </c>
      <c r="HP378" t="e">
        <f>IF(#REF!,"AAAAAHn73d8=",0)</f>
        <v>#REF!</v>
      </c>
      <c r="HQ378" t="e">
        <f>AND(#REF!,"AAAAAHn73eA=")</f>
        <v>#REF!</v>
      </c>
      <c r="HR378" t="e">
        <f>AND(#REF!,"AAAAAHn73eE=")</f>
        <v>#REF!</v>
      </c>
      <c r="HS378" t="e">
        <f>AND(#REF!,"AAAAAHn73eI=")</f>
        <v>#REF!</v>
      </c>
      <c r="HT378" t="e">
        <f>AND(#REF!,"AAAAAHn73eM=")</f>
        <v>#REF!</v>
      </c>
      <c r="HU378" t="e">
        <f>AND(#REF!,"AAAAAHn73eQ=")</f>
        <v>#REF!</v>
      </c>
      <c r="HV378" t="e">
        <f>AND(#REF!,"AAAAAHn73eU=")</f>
        <v>#REF!</v>
      </c>
      <c r="HW378" t="e">
        <f>AND(#REF!,"AAAAAHn73eY=")</f>
        <v>#REF!</v>
      </c>
      <c r="HX378" t="e">
        <f>AND(#REF!,"AAAAAHn73ec=")</f>
        <v>#REF!</v>
      </c>
      <c r="HY378" t="e">
        <f>AND(#REF!,"AAAAAHn73eg=")</f>
        <v>#REF!</v>
      </c>
      <c r="HZ378" t="e">
        <f>AND(#REF!,"AAAAAHn73ek=")</f>
        <v>#REF!</v>
      </c>
      <c r="IA378" t="e">
        <f>AND(#REF!,"AAAAAHn73eo=")</f>
        <v>#REF!</v>
      </c>
      <c r="IB378" t="e">
        <f>AND(#REF!,"AAAAAHn73es=")</f>
        <v>#REF!</v>
      </c>
      <c r="IC378" t="e">
        <f>AND(#REF!,"AAAAAHn73ew=")</f>
        <v>#REF!</v>
      </c>
      <c r="ID378" t="e">
        <f>AND(#REF!,"AAAAAHn73e0=")</f>
        <v>#REF!</v>
      </c>
      <c r="IE378" t="e">
        <f>AND(#REF!,"AAAAAHn73e4=")</f>
        <v>#REF!</v>
      </c>
      <c r="IF378" t="e">
        <f>AND(#REF!,"AAAAAHn73e8=")</f>
        <v>#REF!</v>
      </c>
      <c r="IG378" t="e">
        <f>AND(#REF!,"AAAAAHn73fA=")</f>
        <v>#REF!</v>
      </c>
      <c r="IH378" t="e">
        <f>AND(#REF!,"AAAAAHn73fE=")</f>
        <v>#REF!</v>
      </c>
      <c r="II378" t="e">
        <f>AND(#REF!,"AAAAAHn73fI=")</f>
        <v>#REF!</v>
      </c>
      <c r="IJ378" t="e">
        <f>AND(#REF!,"AAAAAHn73fM=")</f>
        <v>#REF!</v>
      </c>
      <c r="IK378" t="e">
        <f>AND(#REF!,"AAAAAHn73fQ=")</f>
        <v>#REF!</v>
      </c>
      <c r="IL378" t="e">
        <f>AND(#REF!,"AAAAAHn73fU=")</f>
        <v>#REF!</v>
      </c>
      <c r="IM378" t="e">
        <f>AND(#REF!,"AAAAAHn73fY=")</f>
        <v>#REF!</v>
      </c>
      <c r="IN378" t="e">
        <f>AND(#REF!,"AAAAAHn73fc=")</f>
        <v>#REF!</v>
      </c>
      <c r="IO378" t="e">
        <f>IF(#REF!,"AAAAAHn73fg=",0)</f>
        <v>#REF!</v>
      </c>
      <c r="IP378" t="e">
        <f>AND(#REF!,"AAAAAHn73fk=")</f>
        <v>#REF!</v>
      </c>
      <c r="IQ378" t="e">
        <f>AND(#REF!,"AAAAAHn73fo=")</f>
        <v>#REF!</v>
      </c>
      <c r="IR378" t="e">
        <f>AND(#REF!,"AAAAAHn73fs=")</f>
        <v>#REF!</v>
      </c>
      <c r="IS378" t="e">
        <f>AND(#REF!,"AAAAAHn73fw=")</f>
        <v>#REF!</v>
      </c>
      <c r="IT378" t="e">
        <f>AND(#REF!,"AAAAAHn73f0=")</f>
        <v>#REF!</v>
      </c>
      <c r="IU378" t="e">
        <f>AND(#REF!,"AAAAAHn73f4=")</f>
        <v>#REF!</v>
      </c>
      <c r="IV378" t="e">
        <f>AND(#REF!,"AAAAAHn73f8=")</f>
        <v>#REF!</v>
      </c>
    </row>
    <row r="379" spans="1:256">
      <c r="A379" t="e">
        <f>AND(#REF!,"AAAAAHf63wA=")</f>
        <v>#REF!</v>
      </c>
      <c r="B379" t="e">
        <f>AND(#REF!,"AAAAAHf63wE=")</f>
        <v>#REF!</v>
      </c>
      <c r="C379" t="e">
        <f>AND(#REF!,"AAAAAHf63wI=")</f>
        <v>#REF!</v>
      </c>
      <c r="D379" t="e">
        <f>AND(#REF!,"AAAAAHf63wM=")</f>
        <v>#REF!</v>
      </c>
      <c r="E379" t="e">
        <f>AND(#REF!,"AAAAAHf63wQ=")</f>
        <v>#REF!</v>
      </c>
      <c r="F379" t="e">
        <f>AND(#REF!,"AAAAAHf63wU=")</f>
        <v>#REF!</v>
      </c>
      <c r="G379" t="e">
        <f>AND(#REF!,"AAAAAHf63wY=")</f>
        <v>#REF!</v>
      </c>
      <c r="H379" t="e">
        <f>AND(#REF!,"AAAAAHf63wc=")</f>
        <v>#REF!</v>
      </c>
      <c r="I379" t="e">
        <f>AND(#REF!,"AAAAAHf63wg=")</f>
        <v>#REF!</v>
      </c>
      <c r="J379" t="e">
        <f>AND(#REF!,"AAAAAHf63wk=")</f>
        <v>#REF!</v>
      </c>
      <c r="K379" t="e">
        <f>AND(#REF!,"AAAAAHf63wo=")</f>
        <v>#REF!</v>
      </c>
      <c r="L379" t="e">
        <f>AND(#REF!,"AAAAAHf63ws=")</f>
        <v>#REF!</v>
      </c>
      <c r="M379" t="e">
        <f>AND(#REF!,"AAAAAHf63ww=")</f>
        <v>#REF!</v>
      </c>
      <c r="N379" t="e">
        <f>AND(#REF!,"AAAAAHf63w0=")</f>
        <v>#REF!</v>
      </c>
      <c r="O379" t="e">
        <f>AND(#REF!,"AAAAAHf63w4=")</f>
        <v>#REF!</v>
      </c>
      <c r="P379" t="e">
        <f>AND(#REF!,"AAAAAHf63w8=")</f>
        <v>#REF!</v>
      </c>
      <c r="Q379" t="e">
        <f>AND(#REF!,"AAAAAHf63xA=")</f>
        <v>#REF!</v>
      </c>
      <c r="R379" t="e">
        <f>IF(#REF!,"AAAAAHf63xE=",0)</f>
        <v>#REF!</v>
      </c>
      <c r="S379" t="e">
        <f>AND(#REF!,"AAAAAHf63xI=")</f>
        <v>#REF!</v>
      </c>
      <c r="T379" t="e">
        <f>AND(#REF!,"AAAAAHf63xM=")</f>
        <v>#REF!</v>
      </c>
      <c r="U379" t="e">
        <f>AND(#REF!,"AAAAAHf63xQ=")</f>
        <v>#REF!</v>
      </c>
      <c r="V379" t="e">
        <f>AND(#REF!,"AAAAAHf63xU=")</f>
        <v>#REF!</v>
      </c>
      <c r="W379" t="e">
        <f>AND(#REF!,"AAAAAHf63xY=")</f>
        <v>#REF!</v>
      </c>
      <c r="X379" t="e">
        <f>AND(#REF!,"AAAAAHf63xc=")</f>
        <v>#REF!</v>
      </c>
      <c r="Y379" t="e">
        <f>AND(#REF!,"AAAAAHf63xg=")</f>
        <v>#REF!</v>
      </c>
      <c r="Z379" t="e">
        <f>AND(#REF!,"AAAAAHf63xk=")</f>
        <v>#REF!</v>
      </c>
      <c r="AA379" t="e">
        <f>AND(#REF!,"AAAAAHf63xo=")</f>
        <v>#REF!</v>
      </c>
      <c r="AB379" t="e">
        <f>AND(#REF!,"AAAAAHf63xs=")</f>
        <v>#REF!</v>
      </c>
      <c r="AC379" t="e">
        <f>AND(#REF!,"AAAAAHf63xw=")</f>
        <v>#REF!</v>
      </c>
      <c r="AD379" t="e">
        <f>AND(#REF!,"AAAAAHf63x0=")</f>
        <v>#REF!</v>
      </c>
      <c r="AE379" t="e">
        <f>AND(#REF!,"AAAAAHf63x4=")</f>
        <v>#REF!</v>
      </c>
      <c r="AF379" t="e">
        <f>AND(#REF!,"AAAAAHf63x8=")</f>
        <v>#REF!</v>
      </c>
      <c r="AG379" t="e">
        <f>AND(#REF!,"AAAAAHf63yA=")</f>
        <v>#REF!</v>
      </c>
      <c r="AH379" t="e">
        <f>AND(#REF!,"AAAAAHf63yE=")</f>
        <v>#REF!</v>
      </c>
      <c r="AI379" t="e">
        <f>AND(#REF!,"AAAAAHf63yI=")</f>
        <v>#REF!</v>
      </c>
      <c r="AJ379" t="e">
        <f>AND(#REF!,"AAAAAHf63yM=")</f>
        <v>#REF!</v>
      </c>
      <c r="AK379" t="e">
        <f>AND(#REF!,"AAAAAHf63yQ=")</f>
        <v>#REF!</v>
      </c>
      <c r="AL379" t="e">
        <f>AND(#REF!,"AAAAAHf63yU=")</f>
        <v>#REF!</v>
      </c>
      <c r="AM379" t="e">
        <f>AND(#REF!,"AAAAAHf63yY=")</f>
        <v>#REF!</v>
      </c>
      <c r="AN379" t="e">
        <f>AND(#REF!,"AAAAAHf63yc=")</f>
        <v>#REF!</v>
      </c>
      <c r="AO379" t="e">
        <f>AND(#REF!,"AAAAAHf63yg=")</f>
        <v>#REF!</v>
      </c>
      <c r="AP379" t="e">
        <f>AND(#REF!,"AAAAAHf63yk=")</f>
        <v>#REF!</v>
      </c>
      <c r="AQ379" t="e">
        <f>IF(#REF!,"AAAAAHf63yo=",0)</f>
        <v>#REF!</v>
      </c>
      <c r="AR379" t="e">
        <f>AND(#REF!,"AAAAAHf63ys=")</f>
        <v>#REF!</v>
      </c>
      <c r="AS379" t="e">
        <f>AND(#REF!,"AAAAAHf63yw=")</f>
        <v>#REF!</v>
      </c>
      <c r="AT379" t="e">
        <f>AND(#REF!,"AAAAAHf63y0=")</f>
        <v>#REF!</v>
      </c>
      <c r="AU379" t="e">
        <f>AND(#REF!,"AAAAAHf63y4=")</f>
        <v>#REF!</v>
      </c>
      <c r="AV379" t="e">
        <f>AND(#REF!,"AAAAAHf63y8=")</f>
        <v>#REF!</v>
      </c>
      <c r="AW379" t="e">
        <f>AND(#REF!,"AAAAAHf63zA=")</f>
        <v>#REF!</v>
      </c>
      <c r="AX379" t="e">
        <f>AND(#REF!,"AAAAAHf63zE=")</f>
        <v>#REF!</v>
      </c>
      <c r="AY379" t="e">
        <f>AND(#REF!,"AAAAAHf63zI=")</f>
        <v>#REF!</v>
      </c>
      <c r="AZ379" t="e">
        <f>AND(#REF!,"AAAAAHf63zM=")</f>
        <v>#REF!</v>
      </c>
      <c r="BA379" t="e">
        <f>AND(#REF!,"AAAAAHf63zQ=")</f>
        <v>#REF!</v>
      </c>
      <c r="BB379" t="e">
        <f>AND(#REF!,"AAAAAHf63zU=")</f>
        <v>#REF!</v>
      </c>
      <c r="BC379" t="e">
        <f>AND(#REF!,"AAAAAHf63zY=")</f>
        <v>#REF!</v>
      </c>
      <c r="BD379" t="e">
        <f>AND(#REF!,"AAAAAHf63zc=")</f>
        <v>#REF!</v>
      </c>
      <c r="BE379" t="e">
        <f>AND(#REF!,"AAAAAHf63zg=")</f>
        <v>#REF!</v>
      </c>
      <c r="BF379" t="e">
        <f>AND(#REF!,"AAAAAHf63zk=")</f>
        <v>#REF!</v>
      </c>
      <c r="BG379" t="e">
        <f>AND(#REF!,"AAAAAHf63zo=")</f>
        <v>#REF!</v>
      </c>
      <c r="BH379" t="e">
        <f>AND(#REF!,"AAAAAHf63zs=")</f>
        <v>#REF!</v>
      </c>
      <c r="BI379" t="e">
        <f>AND(#REF!,"AAAAAHf63zw=")</f>
        <v>#REF!</v>
      </c>
      <c r="BJ379" t="e">
        <f>AND(#REF!,"AAAAAHf63z0=")</f>
        <v>#REF!</v>
      </c>
      <c r="BK379" t="e">
        <f>AND(#REF!,"AAAAAHf63z4=")</f>
        <v>#REF!</v>
      </c>
      <c r="BL379" t="e">
        <f>AND(#REF!,"AAAAAHf63z8=")</f>
        <v>#REF!</v>
      </c>
      <c r="BM379" t="e">
        <f>AND(#REF!,"AAAAAHf630A=")</f>
        <v>#REF!</v>
      </c>
      <c r="BN379" t="e">
        <f>AND(#REF!,"AAAAAHf630E=")</f>
        <v>#REF!</v>
      </c>
      <c r="BO379" t="e">
        <f>AND(#REF!,"AAAAAHf630I=")</f>
        <v>#REF!</v>
      </c>
      <c r="BP379" t="e">
        <f>IF(#REF!,"AAAAAHf630M=",0)</f>
        <v>#REF!</v>
      </c>
      <c r="BQ379" t="e">
        <f>AND(#REF!,"AAAAAHf630Q=")</f>
        <v>#REF!</v>
      </c>
      <c r="BR379" t="e">
        <f>AND(#REF!,"AAAAAHf630U=")</f>
        <v>#REF!</v>
      </c>
      <c r="BS379" t="e">
        <f>AND(#REF!,"AAAAAHf630Y=")</f>
        <v>#REF!</v>
      </c>
      <c r="BT379" t="e">
        <f>AND(#REF!,"AAAAAHf630c=")</f>
        <v>#REF!</v>
      </c>
      <c r="BU379" t="e">
        <f>AND(#REF!,"AAAAAHf630g=")</f>
        <v>#REF!</v>
      </c>
      <c r="BV379" t="e">
        <f>AND(#REF!,"AAAAAHf630k=")</f>
        <v>#REF!</v>
      </c>
      <c r="BW379" t="e">
        <f>AND(#REF!,"AAAAAHf630o=")</f>
        <v>#REF!</v>
      </c>
      <c r="BX379" t="e">
        <f>AND(#REF!,"AAAAAHf630s=")</f>
        <v>#REF!</v>
      </c>
      <c r="BY379" t="e">
        <f>AND(#REF!,"AAAAAHf630w=")</f>
        <v>#REF!</v>
      </c>
      <c r="BZ379" t="e">
        <f>AND(#REF!,"AAAAAHf6300=")</f>
        <v>#REF!</v>
      </c>
      <c r="CA379" t="e">
        <f>AND(#REF!,"AAAAAHf6304=")</f>
        <v>#REF!</v>
      </c>
      <c r="CB379" t="e">
        <f>AND(#REF!,"AAAAAHf6308=")</f>
        <v>#REF!</v>
      </c>
      <c r="CC379" t="e">
        <f>AND(#REF!,"AAAAAHf631A=")</f>
        <v>#REF!</v>
      </c>
      <c r="CD379" t="e">
        <f>AND(#REF!,"AAAAAHf631E=")</f>
        <v>#REF!</v>
      </c>
      <c r="CE379" t="e">
        <f>AND(#REF!,"AAAAAHf631I=")</f>
        <v>#REF!</v>
      </c>
      <c r="CF379" t="e">
        <f>AND(#REF!,"AAAAAHf631M=")</f>
        <v>#REF!</v>
      </c>
      <c r="CG379" t="e">
        <f>AND(#REF!,"AAAAAHf631Q=")</f>
        <v>#REF!</v>
      </c>
      <c r="CH379" t="e">
        <f>AND(#REF!,"AAAAAHf631U=")</f>
        <v>#REF!</v>
      </c>
      <c r="CI379" t="e">
        <f>AND(#REF!,"AAAAAHf631Y=")</f>
        <v>#REF!</v>
      </c>
      <c r="CJ379" t="e">
        <f>AND(#REF!,"AAAAAHf631c=")</f>
        <v>#REF!</v>
      </c>
      <c r="CK379" t="e">
        <f>AND(#REF!,"AAAAAHf631g=")</f>
        <v>#REF!</v>
      </c>
      <c r="CL379" t="e">
        <f>AND(#REF!,"AAAAAHf631k=")</f>
        <v>#REF!</v>
      </c>
      <c r="CM379" t="e">
        <f>AND(#REF!,"AAAAAHf631o=")</f>
        <v>#REF!</v>
      </c>
      <c r="CN379" t="e">
        <f>AND(#REF!,"AAAAAHf631s=")</f>
        <v>#REF!</v>
      </c>
      <c r="CO379" t="e">
        <f>IF(#REF!,"AAAAAHf631w=",0)</f>
        <v>#REF!</v>
      </c>
      <c r="CP379" t="e">
        <f>AND(#REF!,"AAAAAHf6310=")</f>
        <v>#REF!</v>
      </c>
      <c r="CQ379" t="e">
        <f>AND(#REF!,"AAAAAHf6314=")</f>
        <v>#REF!</v>
      </c>
      <c r="CR379" t="e">
        <f>AND(#REF!,"AAAAAHf6318=")</f>
        <v>#REF!</v>
      </c>
      <c r="CS379" t="e">
        <f>AND(#REF!,"AAAAAHf632A=")</f>
        <v>#REF!</v>
      </c>
      <c r="CT379" t="e">
        <f>AND(#REF!,"AAAAAHf632E=")</f>
        <v>#REF!</v>
      </c>
      <c r="CU379" t="e">
        <f>AND(#REF!,"AAAAAHf632I=")</f>
        <v>#REF!</v>
      </c>
      <c r="CV379" t="e">
        <f>AND(#REF!,"AAAAAHf632M=")</f>
        <v>#REF!</v>
      </c>
      <c r="CW379" t="e">
        <f>AND(#REF!,"AAAAAHf632Q=")</f>
        <v>#REF!</v>
      </c>
      <c r="CX379" t="e">
        <f>AND(#REF!,"AAAAAHf632U=")</f>
        <v>#REF!</v>
      </c>
      <c r="CY379" t="e">
        <f>AND(#REF!,"AAAAAHf632Y=")</f>
        <v>#REF!</v>
      </c>
      <c r="CZ379" t="e">
        <f>AND(#REF!,"AAAAAHf632c=")</f>
        <v>#REF!</v>
      </c>
      <c r="DA379" t="e">
        <f>AND(#REF!,"AAAAAHf632g=")</f>
        <v>#REF!</v>
      </c>
      <c r="DB379" t="e">
        <f>AND(#REF!,"AAAAAHf632k=")</f>
        <v>#REF!</v>
      </c>
      <c r="DC379" t="e">
        <f>AND(#REF!,"AAAAAHf632o=")</f>
        <v>#REF!</v>
      </c>
      <c r="DD379" t="e">
        <f>AND(#REF!,"AAAAAHf632s=")</f>
        <v>#REF!</v>
      </c>
      <c r="DE379" t="e">
        <f>AND(#REF!,"AAAAAHf632w=")</f>
        <v>#REF!</v>
      </c>
      <c r="DF379" t="e">
        <f>AND(#REF!,"AAAAAHf6320=")</f>
        <v>#REF!</v>
      </c>
      <c r="DG379" t="e">
        <f>AND(#REF!,"AAAAAHf6324=")</f>
        <v>#REF!</v>
      </c>
      <c r="DH379" t="e">
        <f>AND(#REF!,"AAAAAHf6328=")</f>
        <v>#REF!</v>
      </c>
      <c r="DI379" t="e">
        <f>AND(#REF!,"AAAAAHf633A=")</f>
        <v>#REF!</v>
      </c>
      <c r="DJ379" t="e">
        <f>AND(#REF!,"AAAAAHf633E=")</f>
        <v>#REF!</v>
      </c>
      <c r="DK379" t="e">
        <f>AND(#REF!,"AAAAAHf633I=")</f>
        <v>#REF!</v>
      </c>
      <c r="DL379" t="e">
        <f>AND(#REF!,"AAAAAHf633M=")</f>
        <v>#REF!</v>
      </c>
      <c r="DM379" t="e">
        <f>AND(#REF!,"AAAAAHf633Q=")</f>
        <v>#REF!</v>
      </c>
      <c r="DN379" t="e">
        <f>IF(#REF!,"AAAAAHf633U=",0)</f>
        <v>#REF!</v>
      </c>
      <c r="DO379" t="e">
        <f>AND(#REF!,"AAAAAHf633Y=")</f>
        <v>#REF!</v>
      </c>
      <c r="DP379" t="e">
        <f>AND(#REF!,"AAAAAHf633c=")</f>
        <v>#REF!</v>
      </c>
      <c r="DQ379" t="e">
        <f>AND(#REF!,"AAAAAHf633g=")</f>
        <v>#REF!</v>
      </c>
      <c r="DR379" t="e">
        <f>AND(#REF!,"AAAAAHf633k=")</f>
        <v>#REF!</v>
      </c>
      <c r="DS379" t="e">
        <f>AND(#REF!,"AAAAAHf633o=")</f>
        <v>#REF!</v>
      </c>
      <c r="DT379" t="e">
        <f>AND(#REF!,"AAAAAHf633s=")</f>
        <v>#REF!</v>
      </c>
      <c r="DU379" t="e">
        <f>AND(#REF!,"AAAAAHf633w=")</f>
        <v>#REF!</v>
      </c>
      <c r="DV379" t="e">
        <f>AND(#REF!,"AAAAAHf6330=")</f>
        <v>#REF!</v>
      </c>
      <c r="DW379" t="e">
        <f>AND(#REF!,"AAAAAHf6334=")</f>
        <v>#REF!</v>
      </c>
      <c r="DX379" t="e">
        <f>AND(#REF!,"AAAAAHf6338=")</f>
        <v>#REF!</v>
      </c>
      <c r="DY379" t="e">
        <f>AND(#REF!,"AAAAAHf634A=")</f>
        <v>#REF!</v>
      </c>
      <c r="DZ379" t="e">
        <f>AND(#REF!,"AAAAAHf634E=")</f>
        <v>#REF!</v>
      </c>
      <c r="EA379" t="e">
        <f>AND(#REF!,"AAAAAHf634I=")</f>
        <v>#REF!</v>
      </c>
      <c r="EB379" t="e">
        <f>AND(#REF!,"AAAAAHf634M=")</f>
        <v>#REF!</v>
      </c>
      <c r="EC379" t="e">
        <f>AND(#REF!,"AAAAAHf634Q=")</f>
        <v>#REF!</v>
      </c>
      <c r="ED379" t="e">
        <f>AND(#REF!,"AAAAAHf634U=")</f>
        <v>#REF!</v>
      </c>
      <c r="EE379" t="e">
        <f>AND(#REF!,"AAAAAHf634Y=")</f>
        <v>#REF!</v>
      </c>
      <c r="EF379" t="e">
        <f>AND(#REF!,"AAAAAHf634c=")</f>
        <v>#REF!</v>
      </c>
      <c r="EG379" t="e">
        <f>AND(#REF!,"AAAAAHf634g=")</f>
        <v>#REF!</v>
      </c>
      <c r="EH379" t="e">
        <f>AND(#REF!,"AAAAAHf634k=")</f>
        <v>#REF!</v>
      </c>
      <c r="EI379" t="e">
        <f>AND(#REF!,"AAAAAHf634o=")</f>
        <v>#REF!</v>
      </c>
      <c r="EJ379" t="e">
        <f>AND(#REF!,"AAAAAHf634s=")</f>
        <v>#REF!</v>
      </c>
      <c r="EK379" t="e">
        <f>AND(#REF!,"AAAAAHf634w=")</f>
        <v>#REF!</v>
      </c>
      <c r="EL379" t="e">
        <f>AND(#REF!,"AAAAAHf6340=")</f>
        <v>#REF!</v>
      </c>
      <c r="EM379" t="e">
        <f>IF(#REF!,"AAAAAHf6344=",0)</f>
        <v>#REF!</v>
      </c>
      <c r="EN379" t="e">
        <f>AND(#REF!,"AAAAAHf6348=")</f>
        <v>#REF!</v>
      </c>
      <c r="EO379" t="e">
        <f>AND(#REF!,"AAAAAHf635A=")</f>
        <v>#REF!</v>
      </c>
      <c r="EP379" t="e">
        <f>AND(#REF!,"AAAAAHf635E=")</f>
        <v>#REF!</v>
      </c>
      <c r="EQ379" t="e">
        <f>AND(#REF!,"AAAAAHf635I=")</f>
        <v>#REF!</v>
      </c>
      <c r="ER379" t="e">
        <f>AND(#REF!,"AAAAAHf635M=")</f>
        <v>#REF!</v>
      </c>
      <c r="ES379" t="e">
        <f>AND(#REF!,"AAAAAHf635Q=")</f>
        <v>#REF!</v>
      </c>
      <c r="ET379" t="e">
        <f>AND(#REF!,"AAAAAHf635U=")</f>
        <v>#REF!</v>
      </c>
      <c r="EU379" t="e">
        <f>AND(#REF!,"AAAAAHf635Y=")</f>
        <v>#REF!</v>
      </c>
      <c r="EV379" t="e">
        <f>AND(#REF!,"AAAAAHf635c=")</f>
        <v>#REF!</v>
      </c>
      <c r="EW379" t="e">
        <f>AND(#REF!,"AAAAAHf635g=")</f>
        <v>#REF!</v>
      </c>
      <c r="EX379" t="e">
        <f>AND(#REF!,"AAAAAHf635k=")</f>
        <v>#REF!</v>
      </c>
      <c r="EY379" t="e">
        <f>AND(#REF!,"AAAAAHf635o=")</f>
        <v>#REF!</v>
      </c>
      <c r="EZ379" t="e">
        <f>AND(#REF!,"AAAAAHf635s=")</f>
        <v>#REF!</v>
      </c>
      <c r="FA379" t="e">
        <f>AND(#REF!,"AAAAAHf635w=")</f>
        <v>#REF!</v>
      </c>
      <c r="FB379" t="e">
        <f>AND(#REF!,"AAAAAHf6350=")</f>
        <v>#REF!</v>
      </c>
      <c r="FC379" t="e">
        <f>AND(#REF!,"AAAAAHf6354=")</f>
        <v>#REF!</v>
      </c>
      <c r="FD379" t="e">
        <f>AND(#REF!,"AAAAAHf6358=")</f>
        <v>#REF!</v>
      </c>
      <c r="FE379" t="e">
        <f>AND(#REF!,"AAAAAHf636A=")</f>
        <v>#REF!</v>
      </c>
      <c r="FF379" t="e">
        <f>AND(#REF!,"AAAAAHf636E=")</f>
        <v>#REF!</v>
      </c>
      <c r="FG379" t="e">
        <f>AND(#REF!,"AAAAAHf636I=")</f>
        <v>#REF!</v>
      </c>
      <c r="FH379" t="e">
        <f>AND(#REF!,"AAAAAHf636M=")</f>
        <v>#REF!</v>
      </c>
      <c r="FI379" t="e">
        <f>AND(#REF!,"AAAAAHf636Q=")</f>
        <v>#REF!</v>
      </c>
      <c r="FJ379" t="e">
        <f>AND(#REF!,"AAAAAHf636U=")</f>
        <v>#REF!</v>
      </c>
      <c r="FK379" t="e">
        <f>AND(#REF!,"AAAAAHf636Y=")</f>
        <v>#REF!</v>
      </c>
      <c r="FL379" t="e">
        <f>IF(#REF!,"AAAAAHf636c=",0)</f>
        <v>#REF!</v>
      </c>
      <c r="FM379" t="e">
        <f>AND(#REF!,"AAAAAHf636g=")</f>
        <v>#REF!</v>
      </c>
      <c r="FN379" t="e">
        <f>AND(#REF!,"AAAAAHf636k=")</f>
        <v>#REF!</v>
      </c>
      <c r="FO379" t="e">
        <f>AND(#REF!,"AAAAAHf636o=")</f>
        <v>#REF!</v>
      </c>
      <c r="FP379" t="e">
        <f>AND(#REF!,"AAAAAHf636s=")</f>
        <v>#REF!</v>
      </c>
      <c r="FQ379" t="e">
        <f>AND(#REF!,"AAAAAHf636w=")</f>
        <v>#REF!</v>
      </c>
      <c r="FR379" t="e">
        <f>AND(#REF!,"AAAAAHf6360=")</f>
        <v>#REF!</v>
      </c>
      <c r="FS379" t="e">
        <f>AND(#REF!,"AAAAAHf6364=")</f>
        <v>#REF!</v>
      </c>
      <c r="FT379" t="e">
        <f>AND(#REF!,"AAAAAHf6368=")</f>
        <v>#REF!</v>
      </c>
      <c r="FU379" t="e">
        <f>AND(#REF!,"AAAAAHf637A=")</f>
        <v>#REF!</v>
      </c>
      <c r="FV379" t="e">
        <f>AND(#REF!,"AAAAAHf637E=")</f>
        <v>#REF!</v>
      </c>
      <c r="FW379" t="e">
        <f>AND(#REF!,"AAAAAHf637I=")</f>
        <v>#REF!</v>
      </c>
      <c r="FX379" t="e">
        <f>AND(#REF!,"AAAAAHf637M=")</f>
        <v>#REF!</v>
      </c>
      <c r="FY379" t="e">
        <f>AND(#REF!,"AAAAAHf637Q=")</f>
        <v>#REF!</v>
      </c>
      <c r="FZ379" t="e">
        <f>AND(#REF!,"AAAAAHf637U=")</f>
        <v>#REF!</v>
      </c>
      <c r="GA379" t="e">
        <f>AND(#REF!,"AAAAAHf637Y=")</f>
        <v>#REF!</v>
      </c>
      <c r="GB379" t="e">
        <f>AND(#REF!,"AAAAAHf637c=")</f>
        <v>#REF!</v>
      </c>
      <c r="GC379" t="e">
        <f>AND(#REF!,"AAAAAHf637g=")</f>
        <v>#REF!</v>
      </c>
      <c r="GD379" t="e">
        <f>AND(#REF!,"AAAAAHf637k=")</f>
        <v>#REF!</v>
      </c>
      <c r="GE379" t="e">
        <f>AND(#REF!,"AAAAAHf637o=")</f>
        <v>#REF!</v>
      </c>
      <c r="GF379" t="e">
        <f>AND(#REF!,"AAAAAHf637s=")</f>
        <v>#REF!</v>
      </c>
      <c r="GG379" t="e">
        <f>AND(#REF!,"AAAAAHf637w=")</f>
        <v>#REF!</v>
      </c>
      <c r="GH379" t="e">
        <f>AND(#REF!,"AAAAAHf6370=")</f>
        <v>#REF!</v>
      </c>
      <c r="GI379" t="e">
        <f>AND(#REF!,"AAAAAHf6374=")</f>
        <v>#REF!</v>
      </c>
      <c r="GJ379" t="e">
        <f>AND(#REF!,"AAAAAHf6378=")</f>
        <v>#REF!</v>
      </c>
      <c r="GK379" t="e">
        <f>IF(#REF!,"AAAAAHf638A=",0)</f>
        <v>#REF!</v>
      </c>
      <c r="GL379" t="e">
        <f>AND(#REF!,"AAAAAHf638E=")</f>
        <v>#REF!</v>
      </c>
      <c r="GM379" t="e">
        <f>AND(#REF!,"AAAAAHf638I=")</f>
        <v>#REF!</v>
      </c>
      <c r="GN379" t="e">
        <f>AND(#REF!,"AAAAAHf638M=")</f>
        <v>#REF!</v>
      </c>
      <c r="GO379" t="e">
        <f>AND(#REF!,"AAAAAHf638Q=")</f>
        <v>#REF!</v>
      </c>
      <c r="GP379" t="e">
        <f>AND(#REF!,"AAAAAHf638U=")</f>
        <v>#REF!</v>
      </c>
      <c r="GQ379" t="e">
        <f>AND(#REF!,"AAAAAHf638Y=")</f>
        <v>#REF!</v>
      </c>
      <c r="GR379" t="e">
        <f>AND(#REF!,"AAAAAHf638c=")</f>
        <v>#REF!</v>
      </c>
      <c r="GS379" t="e">
        <f>AND(#REF!,"AAAAAHf638g=")</f>
        <v>#REF!</v>
      </c>
      <c r="GT379" t="e">
        <f>AND(#REF!,"AAAAAHf638k=")</f>
        <v>#REF!</v>
      </c>
      <c r="GU379" t="e">
        <f>AND(#REF!,"AAAAAHf638o=")</f>
        <v>#REF!</v>
      </c>
      <c r="GV379" t="e">
        <f>AND(#REF!,"AAAAAHf638s=")</f>
        <v>#REF!</v>
      </c>
      <c r="GW379" t="e">
        <f>AND(#REF!,"AAAAAHf638w=")</f>
        <v>#REF!</v>
      </c>
      <c r="GX379" t="e">
        <f>AND(#REF!,"AAAAAHf6380=")</f>
        <v>#REF!</v>
      </c>
      <c r="GY379" t="e">
        <f>AND(#REF!,"AAAAAHf6384=")</f>
        <v>#REF!</v>
      </c>
      <c r="GZ379" t="e">
        <f>AND(#REF!,"AAAAAHf6388=")</f>
        <v>#REF!</v>
      </c>
      <c r="HA379" t="e">
        <f>AND(#REF!,"AAAAAHf639A=")</f>
        <v>#REF!</v>
      </c>
      <c r="HB379" t="e">
        <f>AND(#REF!,"AAAAAHf639E=")</f>
        <v>#REF!</v>
      </c>
      <c r="HC379" t="e">
        <f>AND(#REF!,"AAAAAHf639I=")</f>
        <v>#REF!</v>
      </c>
      <c r="HD379" t="e">
        <f>AND(#REF!,"AAAAAHf639M=")</f>
        <v>#REF!</v>
      </c>
      <c r="HE379" t="e">
        <f>AND(#REF!,"AAAAAHf639Q=")</f>
        <v>#REF!</v>
      </c>
      <c r="HF379" t="e">
        <f>AND(#REF!,"AAAAAHf639U=")</f>
        <v>#REF!</v>
      </c>
      <c r="HG379" t="e">
        <f>AND(#REF!,"AAAAAHf639Y=")</f>
        <v>#REF!</v>
      </c>
      <c r="HH379" t="e">
        <f>AND(#REF!,"AAAAAHf639c=")</f>
        <v>#REF!</v>
      </c>
      <c r="HI379" t="e">
        <f>AND(#REF!,"AAAAAHf639g=")</f>
        <v>#REF!</v>
      </c>
      <c r="HJ379" t="e">
        <f>IF(#REF!,"AAAAAHf639k=",0)</f>
        <v>#REF!</v>
      </c>
      <c r="HK379" t="e">
        <f>AND(#REF!,"AAAAAHf639o=")</f>
        <v>#REF!</v>
      </c>
      <c r="HL379" t="e">
        <f>AND(#REF!,"AAAAAHf639s=")</f>
        <v>#REF!</v>
      </c>
      <c r="HM379" t="e">
        <f>AND(#REF!,"AAAAAHf639w=")</f>
        <v>#REF!</v>
      </c>
      <c r="HN379" t="e">
        <f>AND(#REF!,"AAAAAHf6390=")</f>
        <v>#REF!</v>
      </c>
      <c r="HO379" t="e">
        <f>AND(#REF!,"AAAAAHf6394=")</f>
        <v>#REF!</v>
      </c>
      <c r="HP379" t="e">
        <f>AND(#REF!,"AAAAAHf6398=")</f>
        <v>#REF!</v>
      </c>
      <c r="HQ379" t="e">
        <f>AND(#REF!,"AAAAAHf63+A=")</f>
        <v>#REF!</v>
      </c>
      <c r="HR379" t="e">
        <f>AND(#REF!,"AAAAAHf63+E=")</f>
        <v>#REF!</v>
      </c>
      <c r="HS379" t="e">
        <f>AND(#REF!,"AAAAAHf63+I=")</f>
        <v>#REF!</v>
      </c>
      <c r="HT379" t="e">
        <f>AND(#REF!,"AAAAAHf63+M=")</f>
        <v>#REF!</v>
      </c>
      <c r="HU379" t="e">
        <f>AND(#REF!,"AAAAAHf63+Q=")</f>
        <v>#REF!</v>
      </c>
      <c r="HV379" t="e">
        <f>AND(#REF!,"AAAAAHf63+U=")</f>
        <v>#REF!</v>
      </c>
      <c r="HW379" t="e">
        <f>AND(#REF!,"AAAAAHf63+Y=")</f>
        <v>#REF!</v>
      </c>
      <c r="HX379" t="e">
        <f>AND(#REF!,"AAAAAHf63+c=")</f>
        <v>#REF!</v>
      </c>
      <c r="HY379" t="e">
        <f>AND(#REF!,"AAAAAHf63+g=")</f>
        <v>#REF!</v>
      </c>
      <c r="HZ379" t="e">
        <f>AND(#REF!,"AAAAAHf63+k=")</f>
        <v>#REF!</v>
      </c>
      <c r="IA379" t="e">
        <f>AND(#REF!,"AAAAAHf63+o=")</f>
        <v>#REF!</v>
      </c>
      <c r="IB379" t="e">
        <f>AND(#REF!,"AAAAAHf63+s=")</f>
        <v>#REF!</v>
      </c>
      <c r="IC379" t="e">
        <f>AND(#REF!,"AAAAAHf63+w=")</f>
        <v>#REF!</v>
      </c>
      <c r="ID379" t="e">
        <f>AND(#REF!,"AAAAAHf63+0=")</f>
        <v>#REF!</v>
      </c>
      <c r="IE379" t="e">
        <f>AND(#REF!,"AAAAAHf63+4=")</f>
        <v>#REF!</v>
      </c>
      <c r="IF379" t="e">
        <f>AND(#REF!,"AAAAAHf63+8=")</f>
        <v>#REF!</v>
      </c>
      <c r="IG379" t="e">
        <f>AND(#REF!,"AAAAAHf63/A=")</f>
        <v>#REF!</v>
      </c>
      <c r="IH379" t="e">
        <f>AND(#REF!,"AAAAAHf63/E=")</f>
        <v>#REF!</v>
      </c>
      <c r="II379" t="e">
        <f>IF(#REF!,"AAAAAHf63/I=",0)</f>
        <v>#REF!</v>
      </c>
      <c r="IJ379" t="e">
        <f>AND(#REF!,"AAAAAHf63/M=")</f>
        <v>#REF!</v>
      </c>
      <c r="IK379" t="e">
        <f>AND(#REF!,"AAAAAHf63/Q=")</f>
        <v>#REF!</v>
      </c>
      <c r="IL379" t="e">
        <f>AND(#REF!,"AAAAAHf63/U=")</f>
        <v>#REF!</v>
      </c>
      <c r="IM379" t="e">
        <f>AND(#REF!,"AAAAAHf63/Y=")</f>
        <v>#REF!</v>
      </c>
      <c r="IN379" t="e">
        <f>AND(#REF!,"AAAAAHf63/c=")</f>
        <v>#REF!</v>
      </c>
      <c r="IO379" t="e">
        <f>AND(#REF!,"AAAAAHf63/g=")</f>
        <v>#REF!</v>
      </c>
      <c r="IP379" t="e">
        <f>AND(#REF!,"AAAAAHf63/k=")</f>
        <v>#REF!</v>
      </c>
      <c r="IQ379" t="e">
        <f>AND(#REF!,"AAAAAHf63/o=")</f>
        <v>#REF!</v>
      </c>
      <c r="IR379" t="e">
        <f>AND(#REF!,"AAAAAHf63/s=")</f>
        <v>#REF!</v>
      </c>
      <c r="IS379" t="e">
        <f>AND(#REF!,"AAAAAHf63/w=")</f>
        <v>#REF!</v>
      </c>
      <c r="IT379" t="e">
        <f>AND(#REF!,"AAAAAHf63/0=")</f>
        <v>#REF!</v>
      </c>
      <c r="IU379" t="e">
        <f>AND(#REF!,"AAAAAHf63/4=")</f>
        <v>#REF!</v>
      </c>
      <c r="IV379" t="e">
        <f>AND(#REF!,"AAAAAHf63/8=")</f>
        <v>#REF!</v>
      </c>
    </row>
    <row r="380" spans="1:256">
      <c r="A380" t="e">
        <f>AND(#REF!,"AAAAAE8ztgA=")</f>
        <v>#REF!</v>
      </c>
      <c r="B380" t="e">
        <f>AND(#REF!,"AAAAAE8ztgE=")</f>
        <v>#REF!</v>
      </c>
      <c r="C380" t="e">
        <f>AND(#REF!,"AAAAAE8ztgI=")</f>
        <v>#REF!</v>
      </c>
      <c r="D380" t="e">
        <f>AND(#REF!,"AAAAAE8ztgM=")</f>
        <v>#REF!</v>
      </c>
      <c r="E380" t="e">
        <f>AND(#REF!,"AAAAAE8ztgQ=")</f>
        <v>#REF!</v>
      </c>
      <c r="F380" t="e">
        <f>AND(#REF!,"AAAAAE8ztgU=")</f>
        <v>#REF!</v>
      </c>
      <c r="G380" t="e">
        <f>AND(#REF!,"AAAAAE8ztgY=")</f>
        <v>#REF!</v>
      </c>
      <c r="H380" t="e">
        <f>AND(#REF!,"AAAAAE8ztgc=")</f>
        <v>#REF!</v>
      </c>
      <c r="I380" t="e">
        <f>AND(#REF!,"AAAAAE8ztgg=")</f>
        <v>#REF!</v>
      </c>
      <c r="J380" t="e">
        <f>AND(#REF!,"AAAAAE8ztgk=")</f>
        <v>#REF!</v>
      </c>
      <c r="K380" t="e">
        <f>AND(#REF!,"AAAAAE8ztgo=")</f>
        <v>#REF!</v>
      </c>
      <c r="L380" t="e">
        <f>IF(#REF!,"AAAAAE8ztgs=",0)</f>
        <v>#REF!</v>
      </c>
      <c r="M380" t="e">
        <f>AND(#REF!,"AAAAAE8ztgw=")</f>
        <v>#REF!</v>
      </c>
      <c r="N380" t="e">
        <f>AND(#REF!,"AAAAAE8ztg0=")</f>
        <v>#REF!</v>
      </c>
      <c r="O380" t="e">
        <f>AND(#REF!,"AAAAAE8ztg4=")</f>
        <v>#REF!</v>
      </c>
      <c r="P380" t="e">
        <f>AND(#REF!,"AAAAAE8ztg8=")</f>
        <v>#REF!</v>
      </c>
      <c r="Q380" t="e">
        <f>AND(#REF!,"AAAAAE8zthA=")</f>
        <v>#REF!</v>
      </c>
      <c r="R380" t="e">
        <f>AND(#REF!,"AAAAAE8zthE=")</f>
        <v>#REF!</v>
      </c>
      <c r="S380" t="e">
        <f>AND(#REF!,"AAAAAE8zthI=")</f>
        <v>#REF!</v>
      </c>
      <c r="T380" t="e">
        <f>AND(#REF!,"AAAAAE8zthM=")</f>
        <v>#REF!</v>
      </c>
      <c r="U380" t="e">
        <f>AND(#REF!,"AAAAAE8zthQ=")</f>
        <v>#REF!</v>
      </c>
      <c r="V380" t="e">
        <f>AND(#REF!,"AAAAAE8zthU=")</f>
        <v>#REF!</v>
      </c>
      <c r="W380" t="e">
        <f>AND(#REF!,"AAAAAE8zthY=")</f>
        <v>#REF!</v>
      </c>
      <c r="X380" t="e">
        <f>AND(#REF!,"AAAAAE8zthc=")</f>
        <v>#REF!</v>
      </c>
      <c r="Y380" t="e">
        <f>AND(#REF!,"AAAAAE8zthg=")</f>
        <v>#REF!</v>
      </c>
      <c r="Z380" t="e">
        <f>AND(#REF!,"AAAAAE8zthk=")</f>
        <v>#REF!</v>
      </c>
      <c r="AA380" t="e">
        <f>AND(#REF!,"AAAAAE8ztho=")</f>
        <v>#REF!</v>
      </c>
      <c r="AB380" t="e">
        <f>AND(#REF!,"AAAAAE8zths=")</f>
        <v>#REF!</v>
      </c>
      <c r="AC380" t="e">
        <f>AND(#REF!,"AAAAAE8zthw=")</f>
        <v>#REF!</v>
      </c>
      <c r="AD380" t="e">
        <f>AND(#REF!,"AAAAAE8zth0=")</f>
        <v>#REF!</v>
      </c>
      <c r="AE380" t="e">
        <f>AND(#REF!,"AAAAAE8zth4=")</f>
        <v>#REF!</v>
      </c>
      <c r="AF380" t="e">
        <f>AND(#REF!,"AAAAAE8zth8=")</f>
        <v>#REF!</v>
      </c>
      <c r="AG380" t="e">
        <f>AND(#REF!,"AAAAAE8ztiA=")</f>
        <v>#REF!</v>
      </c>
      <c r="AH380" t="e">
        <f>AND(#REF!,"AAAAAE8ztiE=")</f>
        <v>#REF!</v>
      </c>
      <c r="AI380" t="e">
        <f>AND(#REF!,"AAAAAE8ztiI=")</f>
        <v>#REF!</v>
      </c>
      <c r="AJ380" t="e">
        <f>AND(#REF!,"AAAAAE8ztiM=")</f>
        <v>#REF!</v>
      </c>
      <c r="AK380" t="e">
        <f>IF(#REF!,"AAAAAE8ztiQ=",0)</f>
        <v>#REF!</v>
      </c>
      <c r="AL380" t="e">
        <f>AND(#REF!,"AAAAAE8ztiU=")</f>
        <v>#REF!</v>
      </c>
      <c r="AM380" t="e">
        <f>AND(#REF!,"AAAAAE8ztiY=")</f>
        <v>#REF!</v>
      </c>
      <c r="AN380" t="e">
        <f>AND(#REF!,"AAAAAE8ztic=")</f>
        <v>#REF!</v>
      </c>
      <c r="AO380" t="e">
        <f>AND(#REF!,"AAAAAE8ztig=")</f>
        <v>#REF!</v>
      </c>
      <c r="AP380" t="e">
        <f>AND(#REF!,"AAAAAE8ztik=")</f>
        <v>#REF!</v>
      </c>
      <c r="AQ380" t="e">
        <f>AND(#REF!,"AAAAAE8ztio=")</f>
        <v>#REF!</v>
      </c>
      <c r="AR380" t="e">
        <f>AND(#REF!,"AAAAAE8ztis=")</f>
        <v>#REF!</v>
      </c>
      <c r="AS380" t="e">
        <f>AND(#REF!,"AAAAAE8ztiw=")</f>
        <v>#REF!</v>
      </c>
      <c r="AT380" t="e">
        <f>AND(#REF!,"AAAAAE8zti0=")</f>
        <v>#REF!</v>
      </c>
      <c r="AU380" t="e">
        <f>AND(#REF!,"AAAAAE8zti4=")</f>
        <v>#REF!</v>
      </c>
      <c r="AV380" t="e">
        <f>AND(#REF!,"AAAAAE8zti8=")</f>
        <v>#REF!</v>
      </c>
      <c r="AW380" t="e">
        <f>AND(#REF!,"AAAAAE8ztjA=")</f>
        <v>#REF!</v>
      </c>
      <c r="AX380" t="e">
        <f>AND(#REF!,"AAAAAE8ztjE=")</f>
        <v>#REF!</v>
      </c>
      <c r="AY380" t="e">
        <f>AND(#REF!,"AAAAAE8ztjI=")</f>
        <v>#REF!</v>
      </c>
      <c r="AZ380" t="e">
        <f>AND(#REF!,"AAAAAE8ztjM=")</f>
        <v>#REF!</v>
      </c>
      <c r="BA380" t="e">
        <f>AND(#REF!,"AAAAAE8ztjQ=")</f>
        <v>#REF!</v>
      </c>
      <c r="BB380" t="e">
        <f>AND(#REF!,"AAAAAE8ztjU=")</f>
        <v>#REF!</v>
      </c>
      <c r="BC380" t="e">
        <f>AND(#REF!,"AAAAAE8ztjY=")</f>
        <v>#REF!</v>
      </c>
      <c r="BD380" t="e">
        <f>AND(#REF!,"AAAAAE8ztjc=")</f>
        <v>#REF!</v>
      </c>
      <c r="BE380" t="e">
        <f>AND(#REF!,"AAAAAE8ztjg=")</f>
        <v>#REF!</v>
      </c>
      <c r="BF380" t="e">
        <f>AND(#REF!,"AAAAAE8ztjk=")</f>
        <v>#REF!</v>
      </c>
      <c r="BG380" t="e">
        <f>AND(#REF!,"AAAAAE8ztjo=")</f>
        <v>#REF!</v>
      </c>
      <c r="BH380" t="e">
        <f>AND(#REF!,"AAAAAE8ztjs=")</f>
        <v>#REF!</v>
      </c>
      <c r="BI380" t="e">
        <f>AND(#REF!,"AAAAAE8ztjw=")</f>
        <v>#REF!</v>
      </c>
      <c r="BJ380" t="e">
        <f>IF(#REF!,"AAAAAE8ztj0=",0)</f>
        <v>#REF!</v>
      </c>
      <c r="BK380" t="e">
        <f>AND(#REF!,"AAAAAE8ztj4=")</f>
        <v>#REF!</v>
      </c>
      <c r="BL380" t="e">
        <f>AND(#REF!,"AAAAAE8ztj8=")</f>
        <v>#REF!</v>
      </c>
      <c r="BM380" t="e">
        <f>AND(#REF!,"AAAAAE8ztkA=")</f>
        <v>#REF!</v>
      </c>
      <c r="BN380" t="e">
        <f>AND(#REF!,"AAAAAE8ztkE=")</f>
        <v>#REF!</v>
      </c>
      <c r="BO380" t="e">
        <f>AND(#REF!,"AAAAAE8ztkI=")</f>
        <v>#REF!</v>
      </c>
      <c r="BP380" t="e">
        <f>AND(#REF!,"AAAAAE8ztkM=")</f>
        <v>#REF!</v>
      </c>
      <c r="BQ380" t="e">
        <f>AND(#REF!,"AAAAAE8ztkQ=")</f>
        <v>#REF!</v>
      </c>
      <c r="BR380" t="e">
        <f>AND(#REF!,"AAAAAE8ztkU=")</f>
        <v>#REF!</v>
      </c>
      <c r="BS380" t="e">
        <f>AND(#REF!,"AAAAAE8ztkY=")</f>
        <v>#REF!</v>
      </c>
      <c r="BT380" t="e">
        <f>AND(#REF!,"AAAAAE8ztkc=")</f>
        <v>#REF!</v>
      </c>
      <c r="BU380" t="e">
        <f>AND(#REF!,"AAAAAE8ztkg=")</f>
        <v>#REF!</v>
      </c>
      <c r="BV380" t="e">
        <f>AND(#REF!,"AAAAAE8ztkk=")</f>
        <v>#REF!</v>
      </c>
      <c r="BW380" t="e">
        <f>AND(#REF!,"AAAAAE8ztko=")</f>
        <v>#REF!</v>
      </c>
      <c r="BX380" t="e">
        <f>AND(#REF!,"AAAAAE8ztks=")</f>
        <v>#REF!</v>
      </c>
      <c r="BY380" t="e">
        <f>AND(#REF!,"AAAAAE8ztkw=")</f>
        <v>#REF!</v>
      </c>
      <c r="BZ380" t="e">
        <f>AND(#REF!,"AAAAAE8ztk0=")</f>
        <v>#REF!</v>
      </c>
      <c r="CA380" t="e">
        <f>AND(#REF!,"AAAAAE8ztk4=")</f>
        <v>#REF!</v>
      </c>
      <c r="CB380" t="e">
        <f>AND(#REF!,"AAAAAE8ztk8=")</f>
        <v>#REF!</v>
      </c>
      <c r="CC380" t="e">
        <f>AND(#REF!,"AAAAAE8ztlA=")</f>
        <v>#REF!</v>
      </c>
      <c r="CD380" t="e">
        <f>AND(#REF!,"AAAAAE8ztlE=")</f>
        <v>#REF!</v>
      </c>
      <c r="CE380" t="e">
        <f>AND(#REF!,"AAAAAE8ztlI=")</f>
        <v>#REF!</v>
      </c>
      <c r="CF380" t="e">
        <f>AND(#REF!,"AAAAAE8ztlM=")</f>
        <v>#REF!</v>
      </c>
      <c r="CG380" t="e">
        <f>AND(#REF!,"AAAAAE8ztlQ=")</f>
        <v>#REF!</v>
      </c>
      <c r="CH380" t="e">
        <f>AND(#REF!,"AAAAAE8ztlU=")</f>
        <v>#REF!</v>
      </c>
      <c r="CI380" t="e">
        <f>IF(#REF!,"AAAAAE8ztlY=",0)</f>
        <v>#REF!</v>
      </c>
      <c r="CJ380" t="e">
        <f>AND(#REF!,"AAAAAE8ztlc=")</f>
        <v>#REF!</v>
      </c>
      <c r="CK380" t="e">
        <f>AND(#REF!,"AAAAAE8ztlg=")</f>
        <v>#REF!</v>
      </c>
      <c r="CL380" t="e">
        <f>AND(#REF!,"AAAAAE8ztlk=")</f>
        <v>#REF!</v>
      </c>
      <c r="CM380" t="e">
        <f>AND(#REF!,"AAAAAE8ztlo=")</f>
        <v>#REF!</v>
      </c>
      <c r="CN380" t="e">
        <f>AND(#REF!,"AAAAAE8ztls=")</f>
        <v>#REF!</v>
      </c>
      <c r="CO380" t="e">
        <f>AND(#REF!,"AAAAAE8ztlw=")</f>
        <v>#REF!</v>
      </c>
      <c r="CP380" t="e">
        <f>AND(#REF!,"AAAAAE8ztl0=")</f>
        <v>#REF!</v>
      </c>
      <c r="CQ380" t="e">
        <f>AND(#REF!,"AAAAAE8ztl4=")</f>
        <v>#REF!</v>
      </c>
      <c r="CR380" t="e">
        <f>AND(#REF!,"AAAAAE8ztl8=")</f>
        <v>#REF!</v>
      </c>
      <c r="CS380" t="e">
        <f>AND(#REF!,"AAAAAE8ztmA=")</f>
        <v>#REF!</v>
      </c>
      <c r="CT380" t="e">
        <f>AND(#REF!,"AAAAAE8ztmE=")</f>
        <v>#REF!</v>
      </c>
      <c r="CU380" t="e">
        <f>AND(#REF!,"AAAAAE8ztmI=")</f>
        <v>#REF!</v>
      </c>
      <c r="CV380" t="e">
        <f>AND(#REF!,"AAAAAE8ztmM=")</f>
        <v>#REF!</v>
      </c>
      <c r="CW380" t="e">
        <f>AND(#REF!,"AAAAAE8ztmQ=")</f>
        <v>#REF!</v>
      </c>
      <c r="CX380" t="e">
        <f>AND(#REF!,"AAAAAE8ztmU=")</f>
        <v>#REF!</v>
      </c>
      <c r="CY380" t="e">
        <f>AND(#REF!,"AAAAAE8ztmY=")</f>
        <v>#REF!</v>
      </c>
      <c r="CZ380" t="e">
        <f>AND(#REF!,"AAAAAE8ztmc=")</f>
        <v>#REF!</v>
      </c>
      <c r="DA380" t="e">
        <f>AND(#REF!,"AAAAAE8ztmg=")</f>
        <v>#REF!</v>
      </c>
      <c r="DB380" t="e">
        <f>AND(#REF!,"AAAAAE8ztmk=")</f>
        <v>#REF!</v>
      </c>
      <c r="DC380" t="e">
        <f>AND(#REF!,"AAAAAE8ztmo=")</f>
        <v>#REF!</v>
      </c>
      <c r="DD380" t="e">
        <f>AND(#REF!,"AAAAAE8ztms=")</f>
        <v>#REF!</v>
      </c>
      <c r="DE380" t="e">
        <f>AND(#REF!,"AAAAAE8ztmw=")</f>
        <v>#REF!</v>
      </c>
      <c r="DF380" t="e">
        <f>AND(#REF!,"AAAAAE8ztm0=")</f>
        <v>#REF!</v>
      </c>
      <c r="DG380" t="e">
        <f>AND(#REF!,"AAAAAE8ztm4=")</f>
        <v>#REF!</v>
      </c>
      <c r="DH380" t="e">
        <f>IF(#REF!,"AAAAAE8ztm8=",0)</f>
        <v>#REF!</v>
      </c>
      <c r="DI380" t="e">
        <f>AND(#REF!,"AAAAAE8ztnA=")</f>
        <v>#REF!</v>
      </c>
      <c r="DJ380" t="e">
        <f>AND(#REF!,"AAAAAE8ztnE=")</f>
        <v>#REF!</v>
      </c>
      <c r="DK380" t="e">
        <f>AND(#REF!,"AAAAAE8ztnI=")</f>
        <v>#REF!</v>
      </c>
      <c r="DL380" t="e">
        <f>AND(#REF!,"AAAAAE8ztnM=")</f>
        <v>#REF!</v>
      </c>
      <c r="DM380" t="e">
        <f>AND(#REF!,"AAAAAE8ztnQ=")</f>
        <v>#REF!</v>
      </c>
      <c r="DN380" t="e">
        <f>AND(#REF!,"AAAAAE8ztnU=")</f>
        <v>#REF!</v>
      </c>
      <c r="DO380" t="e">
        <f>AND(#REF!,"AAAAAE8ztnY=")</f>
        <v>#REF!</v>
      </c>
      <c r="DP380" t="e">
        <f>AND(#REF!,"AAAAAE8ztnc=")</f>
        <v>#REF!</v>
      </c>
      <c r="DQ380" t="e">
        <f>AND(#REF!,"AAAAAE8ztng=")</f>
        <v>#REF!</v>
      </c>
      <c r="DR380" t="e">
        <f>AND(#REF!,"AAAAAE8ztnk=")</f>
        <v>#REF!</v>
      </c>
      <c r="DS380" t="e">
        <f>AND(#REF!,"AAAAAE8ztno=")</f>
        <v>#REF!</v>
      </c>
      <c r="DT380" t="e">
        <f>AND(#REF!,"AAAAAE8ztns=")</f>
        <v>#REF!</v>
      </c>
      <c r="DU380" t="e">
        <f>AND(#REF!,"AAAAAE8ztnw=")</f>
        <v>#REF!</v>
      </c>
      <c r="DV380" t="e">
        <f>AND(#REF!,"AAAAAE8ztn0=")</f>
        <v>#REF!</v>
      </c>
      <c r="DW380" t="e">
        <f>AND(#REF!,"AAAAAE8ztn4=")</f>
        <v>#REF!</v>
      </c>
      <c r="DX380" t="e">
        <f>AND(#REF!,"AAAAAE8ztn8=")</f>
        <v>#REF!</v>
      </c>
      <c r="DY380" t="e">
        <f>AND(#REF!,"AAAAAE8ztoA=")</f>
        <v>#REF!</v>
      </c>
      <c r="DZ380" t="e">
        <f>AND(#REF!,"AAAAAE8ztoE=")</f>
        <v>#REF!</v>
      </c>
      <c r="EA380" t="e">
        <f>AND(#REF!,"AAAAAE8ztoI=")</f>
        <v>#REF!</v>
      </c>
      <c r="EB380" t="e">
        <f>AND(#REF!,"AAAAAE8ztoM=")</f>
        <v>#REF!</v>
      </c>
      <c r="EC380" t="e">
        <f>AND(#REF!,"AAAAAE8ztoQ=")</f>
        <v>#REF!</v>
      </c>
      <c r="ED380" t="e">
        <f>AND(#REF!,"AAAAAE8ztoU=")</f>
        <v>#REF!</v>
      </c>
      <c r="EE380" t="e">
        <f>AND(#REF!,"AAAAAE8ztoY=")</f>
        <v>#REF!</v>
      </c>
      <c r="EF380" t="e">
        <f>AND(#REF!,"AAAAAE8ztoc=")</f>
        <v>#REF!</v>
      </c>
      <c r="EG380" t="e">
        <f>IF(#REF!,"AAAAAE8ztog=",0)</f>
        <v>#REF!</v>
      </c>
      <c r="EH380" t="e">
        <f>AND(#REF!,"AAAAAE8ztok=")</f>
        <v>#REF!</v>
      </c>
      <c r="EI380" t="e">
        <f>AND(#REF!,"AAAAAE8ztoo=")</f>
        <v>#REF!</v>
      </c>
      <c r="EJ380" t="e">
        <f>AND(#REF!,"AAAAAE8ztos=")</f>
        <v>#REF!</v>
      </c>
      <c r="EK380" t="e">
        <f>AND(#REF!,"AAAAAE8ztow=")</f>
        <v>#REF!</v>
      </c>
      <c r="EL380" t="e">
        <f>AND(#REF!,"AAAAAE8zto0=")</f>
        <v>#REF!</v>
      </c>
      <c r="EM380" t="e">
        <f>AND(#REF!,"AAAAAE8zto4=")</f>
        <v>#REF!</v>
      </c>
      <c r="EN380" t="e">
        <f>AND(#REF!,"AAAAAE8zto8=")</f>
        <v>#REF!</v>
      </c>
      <c r="EO380" t="e">
        <f>AND(#REF!,"AAAAAE8ztpA=")</f>
        <v>#REF!</v>
      </c>
      <c r="EP380" t="e">
        <f>AND(#REF!,"AAAAAE8ztpE=")</f>
        <v>#REF!</v>
      </c>
      <c r="EQ380" t="e">
        <f>AND(#REF!,"AAAAAE8ztpI=")</f>
        <v>#REF!</v>
      </c>
      <c r="ER380" t="e">
        <f>AND(#REF!,"AAAAAE8ztpM=")</f>
        <v>#REF!</v>
      </c>
      <c r="ES380" t="e">
        <f>AND(#REF!,"AAAAAE8ztpQ=")</f>
        <v>#REF!</v>
      </c>
      <c r="ET380" t="e">
        <f>AND(#REF!,"AAAAAE8ztpU=")</f>
        <v>#REF!</v>
      </c>
      <c r="EU380" t="e">
        <f>AND(#REF!,"AAAAAE8ztpY=")</f>
        <v>#REF!</v>
      </c>
      <c r="EV380" t="e">
        <f>AND(#REF!,"AAAAAE8ztpc=")</f>
        <v>#REF!</v>
      </c>
      <c r="EW380" t="e">
        <f>AND(#REF!,"AAAAAE8ztpg=")</f>
        <v>#REF!</v>
      </c>
      <c r="EX380" t="e">
        <f>AND(#REF!,"AAAAAE8ztpk=")</f>
        <v>#REF!</v>
      </c>
      <c r="EY380" t="e">
        <f>AND(#REF!,"AAAAAE8ztpo=")</f>
        <v>#REF!</v>
      </c>
      <c r="EZ380" t="e">
        <f>AND(#REF!,"AAAAAE8ztps=")</f>
        <v>#REF!</v>
      </c>
      <c r="FA380" t="e">
        <f>AND(#REF!,"AAAAAE8ztpw=")</f>
        <v>#REF!</v>
      </c>
      <c r="FB380" t="e">
        <f>AND(#REF!,"AAAAAE8ztp0=")</f>
        <v>#REF!</v>
      </c>
      <c r="FC380" t="e">
        <f>AND(#REF!,"AAAAAE8ztp4=")</f>
        <v>#REF!</v>
      </c>
      <c r="FD380" t="e">
        <f>AND(#REF!,"AAAAAE8ztp8=")</f>
        <v>#REF!</v>
      </c>
      <c r="FE380" t="e">
        <f>AND(#REF!,"AAAAAE8ztqA=")</f>
        <v>#REF!</v>
      </c>
      <c r="FF380" t="e">
        <f>IF(#REF!,"AAAAAE8ztqE=",0)</f>
        <v>#REF!</v>
      </c>
      <c r="FG380" t="e">
        <f>AND(#REF!,"AAAAAE8ztqI=")</f>
        <v>#REF!</v>
      </c>
      <c r="FH380" t="e">
        <f>AND(#REF!,"AAAAAE8ztqM=")</f>
        <v>#REF!</v>
      </c>
      <c r="FI380" t="e">
        <f>AND(#REF!,"AAAAAE8ztqQ=")</f>
        <v>#REF!</v>
      </c>
      <c r="FJ380" t="e">
        <f>AND(#REF!,"AAAAAE8ztqU=")</f>
        <v>#REF!</v>
      </c>
      <c r="FK380" t="e">
        <f>AND(#REF!,"AAAAAE8ztqY=")</f>
        <v>#REF!</v>
      </c>
      <c r="FL380" t="e">
        <f>AND(#REF!,"AAAAAE8ztqc=")</f>
        <v>#REF!</v>
      </c>
      <c r="FM380" t="e">
        <f>AND(#REF!,"AAAAAE8ztqg=")</f>
        <v>#REF!</v>
      </c>
      <c r="FN380" t="e">
        <f>AND(#REF!,"AAAAAE8ztqk=")</f>
        <v>#REF!</v>
      </c>
      <c r="FO380" t="e">
        <f>AND(#REF!,"AAAAAE8ztqo=")</f>
        <v>#REF!</v>
      </c>
      <c r="FP380" t="e">
        <f>AND(#REF!,"AAAAAE8ztqs=")</f>
        <v>#REF!</v>
      </c>
      <c r="FQ380" t="e">
        <f>AND(#REF!,"AAAAAE8ztqw=")</f>
        <v>#REF!</v>
      </c>
      <c r="FR380" t="e">
        <f>AND(#REF!,"AAAAAE8ztq0=")</f>
        <v>#REF!</v>
      </c>
      <c r="FS380" t="e">
        <f>AND(#REF!,"AAAAAE8ztq4=")</f>
        <v>#REF!</v>
      </c>
      <c r="FT380" t="e">
        <f>AND(#REF!,"AAAAAE8ztq8=")</f>
        <v>#REF!</v>
      </c>
      <c r="FU380" t="e">
        <f>AND(#REF!,"AAAAAE8ztrA=")</f>
        <v>#REF!</v>
      </c>
      <c r="FV380" t="e">
        <f>AND(#REF!,"AAAAAE8ztrE=")</f>
        <v>#REF!</v>
      </c>
      <c r="FW380" t="e">
        <f>AND(#REF!,"AAAAAE8ztrI=")</f>
        <v>#REF!</v>
      </c>
      <c r="FX380" t="e">
        <f>AND(#REF!,"AAAAAE8ztrM=")</f>
        <v>#REF!</v>
      </c>
      <c r="FY380" t="e">
        <f>AND(#REF!,"AAAAAE8ztrQ=")</f>
        <v>#REF!</v>
      </c>
      <c r="FZ380" t="e">
        <f>AND(#REF!,"AAAAAE8ztrU=")</f>
        <v>#REF!</v>
      </c>
      <c r="GA380" t="e">
        <f>AND(#REF!,"AAAAAE8ztrY=")</f>
        <v>#REF!</v>
      </c>
      <c r="GB380" t="e">
        <f>AND(#REF!,"AAAAAE8ztrc=")</f>
        <v>#REF!</v>
      </c>
      <c r="GC380" t="e">
        <f>AND(#REF!,"AAAAAE8ztrg=")</f>
        <v>#REF!</v>
      </c>
      <c r="GD380" t="e">
        <f>AND(#REF!,"AAAAAE8ztrk=")</f>
        <v>#REF!</v>
      </c>
      <c r="GE380" t="e">
        <f>IF(#REF!,"AAAAAE8ztro=",0)</f>
        <v>#REF!</v>
      </c>
      <c r="GF380" t="e">
        <f>AND(#REF!,"AAAAAE8ztrs=")</f>
        <v>#REF!</v>
      </c>
      <c r="GG380" t="e">
        <f>AND(#REF!,"AAAAAE8ztrw=")</f>
        <v>#REF!</v>
      </c>
      <c r="GH380" t="e">
        <f>AND(#REF!,"AAAAAE8ztr0=")</f>
        <v>#REF!</v>
      </c>
      <c r="GI380" t="e">
        <f>AND(#REF!,"AAAAAE8ztr4=")</f>
        <v>#REF!</v>
      </c>
      <c r="GJ380" t="e">
        <f>AND(#REF!,"AAAAAE8ztr8=")</f>
        <v>#REF!</v>
      </c>
      <c r="GK380" t="e">
        <f>AND(#REF!,"AAAAAE8ztsA=")</f>
        <v>#REF!</v>
      </c>
      <c r="GL380" t="e">
        <f>AND(#REF!,"AAAAAE8ztsE=")</f>
        <v>#REF!</v>
      </c>
      <c r="GM380" t="e">
        <f>AND(#REF!,"AAAAAE8ztsI=")</f>
        <v>#REF!</v>
      </c>
      <c r="GN380" t="e">
        <f>AND(#REF!,"AAAAAE8ztsM=")</f>
        <v>#REF!</v>
      </c>
      <c r="GO380" t="e">
        <f>AND(#REF!,"AAAAAE8ztsQ=")</f>
        <v>#REF!</v>
      </c>
      <c r="GP380" t="e">
        <f>AND(#REF!,"AAAAAE8ztsU=")</f>
        <v>#REF!</v>
      </c>
      <c r="GQ380" t="e">
        <f>AND(#REF!,"AAAAAE8ztsY=")</f>
        <v>#REF!</v>
      </c>
      <c r="GR380" t="e">
        <f>AND(#REF!,"AAAAAE8ztsc=")</f>
        <v>#REF!</v>
      </c>
      <c r="GS380" t="e">
        <f>AND(#REF!,"AAAAAE8ztsg=")</f>
        <v>#REF!</v>
      </c>
      <c r="GT380" t="e">
        <f>AND(#REF!,"AAAAAE8ztsk=")</f>
        <v>#REF!</v>
      </c>
      <c r="GU380" t="e">
        <f>AND(#REF!,"AAAAAE8ztso=")</f>
        <v>#REF!</v>
      </c>
      <c r="GV380" t="e">
        <f>AND(#REF!,"AAAAAE8ztss=")</f>
        <v>#REF!</v>
      </c>
      <c r="GW380" t="e">
        <f>AND(#REF!,"AAAAAE8ztsw=")</f>
        <v>#REF!</v>
      </c>
      <c r="GX380" t="e">
        <f>AND(#REF!,"AAAAAE8zts0=")</f>
        <v>#REF!</v>
      </c>
      <c r="GY380" t="e">
        <f>AND(#REF!,"AAAAAE8zts4=")</f>
        <v>#REF!</v>
      </c>
      <c r="GZ380" t="e">
        <f>AND(#REF!,"AAAAAE8zts8=")</f>
        <v>#REF!</v>
      </c>
      <c r="HA380" t="e">
        <f>AND(#REF!,"AAAAAE8zttA=")</f>
        <v>#REF!</v>
      </c>
      <c r="HB380" t="e">
        <f>AND(#REF!,"AAAAAE8zttE=")</f>
        <v>#REF!</v>
      </c>
      <c r="HC380" t="e">
        <f>AND(#REF!,"AAAAAE8zttI=")</f>
        <v>#REF!</v>
      </c>
      <c r="HD380" t="e">
        <f>IF(#REF!,"AAAAAE8zttM=",0)</f>
        <v>#REF!</v>
      </c>
      <c r="HE380" t="e">
        <f>AND(#REF!,"AAAAAE8zttQ=")</f>
        <v>#REF!</v>
      </c>
      <c r="HF380" t="e">
        <f>AND(#REF!,"AAAAAE8zttU=")</f>
        <v>#REF!</v>
      </c>
      <c r="HG380" t="e">
        <f>AND(#REF!,"AAAAAE8zttY=")</f>
        <v>#REF!</v>
      </c>
      <c r="HH380" t="e">
        <f>AND(#REF!,"AAAAAE8zttc=")</f>
        <v>#REF!</v>
      </c>
      <c r="HI380" t="e">
        <f>AND(#REF!,"AAAAAE8zttg=")</f>
        <v>#REF!</v>
      </c>
      <c r="HJ380" t="e">
        <f>AND(#REF!,"AAAAAE8zttk=")</f>
        <v>#REF!</v>
      </c>
      <c r="HK380" t="e">
        <f>AND(#REF!,"AAAAAE8ztto=")</f>
        <v>#REF!</v>
      </c>
      <c r="HL380" t="e">
        <f>AND(#REF!,"AAAAAE8ztts=")</f>
        <v>#REF!</v>
      </c>
      <c r="HM380" t="e">
        <f>AND(#REF!,"AAAAAE8zttw=")</f>
        <v>#REF!</v>
      </c>
      <c r="HN380" t="e">
        <f>AND(#REF!,"AAAAAE8ztt0=")</f>
        <v>#REF!</v>
      </c>
      <c r="HO380" t="e">
        <f>AND(#REF!,"AAAAAE8ztt4=")</f>
        <v>#REF!</v>
      </c>
      <c r="HP380" t="e">
        <f>AND(#REF!,"AAAAAE8ztt8=")</f>
        <v>#REF!</v>
      </c>
      <c r="HQ380" t="e">
        <f>AND(#REF!,"AAAAAE8ztuA=")</f>
        <v>#REF!</v>
      </c>
      <c r="HR380" t="e">
        <f>AND(#REF!,"AAAAAE8ztuE=")</f>
        <v>#REF!</v>
      </c>
      <c r="HS380" t="e">
        <f>AND(#REF!,"AAAAAE8ztuI=")</f>
        <v>#REF!</v>
      </c>
      <c r="HT380" t="e">
        <f>AND(#REF!,"AAAAAE8ztuM=")</f>
        <v>#REF!</v>
      </c>
      <c r="HU380" t="e">
        <f>AND(#REF!,"AAAAAE8ztuQ=")</f>
        <v>#REF!</v>
      </c>
      <c r="HV380" t="e">
        <f>AND(#REF!,"AAAAAE8ztuU=")</f>
        <v>#REF!</v>
      </c>
      <c r="HW380" t="e">
        <f>AND(#REF!,"AAAAAE8ztuY=")</f>
        <v>#REF!</v>
      </c>
      <c r="HX380" t="e">
        <f>AND(#REF!,"AAAAAE8ztuc=")</f>
        <v>#REF!</v>
      </c>
      <c r="HY380" t="e">
        <f>AND(#REF!,"AAAAAE8ztug=")</f>
        <v>#REF!</v>
      </c>
      <c r="HZ380" t="e">
        <f>AND(#REF!,"AAAAAE8ztuk=")</f>
        <v>#REF!</v>
      </c>
      <c r="IA380" t="e">
        <f>AND(#REF!,"AAAAAE8ztuo=")</f>
        <v>#REF!</v>
      </c>
      <c r="IB380" t="e">
        <f>AND(#REF!,"AAAAAE8ztus=")</f>
        <v>#REF!</v>
      </c>
      <c r="IC380" t="e">
        <f>IF(#REF!,"AAAAAE8ztuw=",0)</f>
        <v>#REF!</v>
      </c>
      <c r="ID380" t="e">
        <f>AND(#REF!,"AAAAAE8ztu0=")</f>
        <v>#REF!</v>
      </c>
      <c r="IE380" t="e">
        <f>AND(#REF!,"AAAAAE8ztu4=")</f>
        <v>#REF!</v>
      </c>
      <c r="IF380" t="e">
        <f>AND(#REF!,"AAAAAE8ztu8=")</f>
        <v>#REF!</v>
      </c>
      <c r="IG380" t="e">
        <f>AND(#REF!,"AAAAAE8ztvA=")</f>
        <v>#REF!</v>
      </c>
      <c r="IH380" t="e">
        <f>AND(#REF!,"AAAAAE8ztvE=")</f>
        <v>#REF!</v>
      </c>
      <c r="II380" t="e">
        <f>AND(#REF!,"AAAAAE8ztvI=")</f>
        <v>#REF!</v>
      </c>
      <c r="IJ380" t="e">
        <f>AND(#REF!,"AAAAAE8ztvM=")</f>
        <v>#REF!</v>
      </c>
      <c r="IK380" t="e">
        <f>AND(#REF!,"AAAAAE8ztvQ=")</f>
        <v>#REF!</v>
      </c>
      <c r="IL380" t="e">
        <f>AND(#REF!,"AAAAAE8ztvU=")</f>
        <v>#REF!</v>
      </c>
      <c r="IM380" t="e">
        <f>AND(#REF!,"AAAAAE8ztvY=")</f>
        <v>#REF!</v>
      </c>
      <c r="IN380" t="e">
        <f>AND(#REF!,"AAAAAE8ztvc=")</f>
        <v>#REF!</v>
      </c>
      <c r="IO380" t="e">
        <f>AND(#REF!,"AAAAAE8ztvg=")</f>
        <v>#REF!</v>
      </c>
      <c r="IP380" t="e">
        <f>AND(#REF!,"AAAAAE8ztvk=")</f>
        <v>#REF!</v>
      </c>
      <c r="IQ380" t="e">
        <f>AND(#REF!,"AAAAAE8ztvo=")</f>
        <v>#REF!</v>
      </c>
      <c r="IR380" t="e">
        <f>AND(#REF!,"AAAAAE8ztvs=")</f>
        <v>#REF!</v>
      </c>
      <c r="IS380" t="e">
        <f>AND(#REF!,"AAAAAE8ztvw=")</f>
        <v>#REF!</v>
      </c>
      <c r="IT380" t="e">
        <f>AND(#REF!,"AAAAAE8ztv0=")</f>
        <v>#REF!</v>
      </c>
      <c r="IU380" t="e">
        <f>AND(#REF!,"AAAAAE8ztv4=")</f>
        <v>#REF!</v>
      </c>
      <c r="IV380" t="e">
        <f>AND(#REF!,"AAAAAE8ztv8=")</f>
        <v>#REF!</v>
      </c>
    </row>
    <row r="381" spans="1:256">
      <c r="A381" t="e">
        <f>AND(#REF!,"AAAAAE3qtgA=")</f>
        <v>#REF!</v>
      </c>
      <c r="B381" t="e">
        <f>AND(#REF!,"AAAAAE3qtgE=")</f>
        <v>#REF!</v>
      </c>
      <c r="C381" t="e">
        <f>AND(#REF!,"AAAAAE3qtgI=")</f>
        <v>#REF!</v>
      </c>
      <c r="D381" t="e">
        <f>AND(#REF!,"AAAAAE3qtgM=")</f>
        <v>#REF!</v>
      </c>
      <c r="E381" t="e">
        <f>AND(#REF!,"AAAAAE3qtgQ=")</f>
        <v>#REF!</v>
      </c>
      <c r="F381" t="e">
        <f>IF(#REF!,"AAAAAE3qtgU=",0)</f>
        <v>#REF!</v>
      </c>
      <c r="G381" t="e">
        <f>AND(#REF!,"AAAAAE3qtgY=")</f>
        <v>#REF!</v>
      </c>
      <c r="H381" t="e">
        <f>AND(#REF!,"AAAAAE3qtgc=")</f>
        <v>#REF!</v>
      </c>
      <c r="I381" t="e">
        <f>AND(#REF!,"AAAAAE3qtgg=")</f>
        <v>#REF!</v>
      </c>
      <c r="J381" t="e">
        <f>AND(#REF!,"AAAAAE3qtgk=")</f>
        <v>#REF!</v>
      </c>
      <c r="K381" t="e">
        <f>AND(#REF!,"AAAAAE3qtgo=")</f>
        <v>#REF!</v>
      </c>
      <c r="L381" t="e">
        <f>AND(#REF!,"AAAAAE3qtgs=")</f>
        <v>#REF!</v>
      </c>
      <c r="M381" t="e">
        <f>AND(#REF!,"AAAAAE3qtgw=")</f>
        <v>#REF!</v>
      </c>
      <c r="N381" t="e">
        <f>AND(#REF!,"AAAAAE3qtg0=")</f>
        <v>#REF!</v>
      </c>
      <c r="O381" t="e">
        <f>AND(#REF!,"AAAAAE3qtg4=")</f>
        <v>#REF!</v>
      </c>
      <c r="P381" t="e">
        <f>AND(#REF!,"AAAAAE3qtg8=")</f>
        <v>#REF!</v>
      </c>
      <c r="Q381" t="e">
        <f>AND(#REF!,"AAAAAE3qthA=")</f>
        <v>#REF!</v>
      </c>
      <c r="R381" t="e">
        <f>AND(#REF!,"AAAAAE3qthE=")</f>
        <v>#REF!</v>
      </c>
      <c r="S381" t="e">
        <f>AND(#REF!,"AAAAAE3qthI=")</f>
        <v>#REF!</v>
      </c>
      <c r="T381" t="e">
        <f>AND(#REF!,"AAAAAE3qthM=")</f>
        <v>#REF!</v>
      </c>
      <c r="U381" t="e">
        <f>AND(#REF!,"AAAAAE3qthQ=")</f>
        <v>#REF!</v>
      </c>
      <c r="V381" t="e">
        <f>AND(#REF!,"AAAAAE3qthU=")</f>
        <v>#REF!</v>
      </c>
      <c r="W381" t="e">
        <f>AND(#REF!,"AAAAAE3qthY=")</f>
        <v>#REF!</v>
      </c>
      <c r="X381" t="e">
        <f>AND(#REF!,"AAAAAE3qthc=")</f>
        <v>#REF!</v>
      </c>
      <c r="Y381" t="e">
        <f>AND(#REF!,"AAAAAE3qthg=")</f>
        <v>#REF!</v>
      </c>
      <c r="Z381" t="e">
        <f>AND(#REF!,"AAAAAE3qthk=")</f>
        <v>#REF!</v>
      </c>
      <c r="AA381" t="e">
        <f>AND(#REF!,"AAAAAE3qtho=")</f>
        <v>#REF!</v>
      </c>
      <c r="AB381" t="e">
        <f>AND(#REF!,"AAAAAE3qths=")</f>
        <v>#REF!</v>
      </c>
      <c r="AC381" t="e">
        <f>AND(#REF!,"AAAAAE3qthw=")</f>
        <v>#REF!</v>
      </c>
      <c r="AD381" t="e">
        <f>AND(#REF!,"AAAAAE3qth0=")</f>
        <v>#REF!</v>
      </c>
      <c r="AE381" t="e">
        <f>IF(#REF!,"AAAAAE3qth4=",0)</f>
        <v>#REF!</v>
      </c>
      <c r="AF381" t="e">
        <f>AND(#REF!,"AAAAAE3qth8=")</f>
        <v>#REF!</v>
      </c>
      <c r="AG381" t="e">
        <f>AND(#REF!,"AAAAAE3qtiA=")</f>
        <v>#REF!</v>
      </c>
      <c r="AH381" t="e">
        <f>AND(#REF!,"AAAAAE3qtiE=")</f>
        <v>#REF!</v>
      </c>
      <c r="AI381" t="e">
        <f>AND(#REF!,"AAAAAE3qtiI=")</f>
        <v>#REF!</v>
      </c>
      <c r="AJ381" t="e">
        <f>AND(#REF!,"AAAAAE3qtiM=")</f>
        <v>#REF!</v>
      </c>
      <c r="AK381" t="e">
        <f>AND(#REF!,"AAAAAE3qtiQ=")</f>
        <v>#REF!</v>
      </c>
      <c r="AL381" t="e">
        <f>AND(#REF!,"AAAAAE3qtiU=")</f>
        <v>#REF!</v>
      </c>
      <c r="AM381" t="e">
        <f>AND(#REF!,"AAAAAE3qtiY=")</f>
        <v>#REF!</v>
      </c>
      <c r="AN381" t="e">
        <f>AND(#REF!,"AAAAAE3qtic=")</f>
        <v>#REF!</v>
      </c>
      <c r="AO381" t="e">
        <f>AND(#REF!,"AAAAAE3qtig=")</f>
        <v>#REF!</v>
      </c>
      <c r="AP381" t="e">
        <f>AND(#REF!,"AAAAAE3qtik=")</f>
        <v>#REF!</v>
      </c>
      <c r="AQ381" t="e">
        <f>AND(#REF!,"AAAAAE3qtio=")</f>
        <v>#REF!</v>
      </c>
      <c r="AR381" t="e">
        <f>AND(#REF!,"AAAAAE3qtis=")</f>
        <v>#REF!</v>
      </c>
      <c r="AS381" t="e">
        <f>AND(#REF!,"AAAAAE3qtiw=")</f>
        <v>#REF!</v>
      </c>
      <c r="AT381" t="e">
        <f>AND(#REF!,"AAAAAE3qti0=")</f>
        <v>#REF!</v>
      </c>
      <c r="AU381" t="e">
        <f>AND(#REF!,"AAAAAE3qti4=")</f>
        <v>#REF!</v>
      </c>
      <c r="AV381" t="e">
        <f>AND(#REF!,"AAAAAE3qti8=")</f>
        <v>#REF!</v>
      </c>
      <c r="AW381" t="e">
        <f>AND(#REF!,"AAAAAE3qtjA=")</f>
        <v>#REF!</v>
      </c>
      <c r="AX381" t="e">
        <f>AND(#REF!,"AAAAAE3qtjE=")</f>
        <v>#REF!</v>
      </c>
      <c r="AY381" t="e">
        <f>AND(#REF!,"AAAAAE3qtjI=")</f>
        <v>#REF!</v>
      </c>
      <c r="AZ381" t="e">
        <f>AND(#REF!,"AAAAAE3qtjM=")</f>
        <v>#REF!</v>
      </c>
      <c r="BA381" t="e">
        <f>AND(#REF!,"AAAAAE3qtjQ=")</f>
        <v>#REF!</v>
      </c>
      <c r="BB381" t="e">
        <f>AND(#REF!,"AAAAAE3qtjU=")</f>
        <v>#REF!</v>
      </c>
      <c r="BC381" t="e">
        <f>AND(#REF!,"AAAAAE3qtjY=")</f>
        <v>#REF!</v>
      </c>
      <c r="BD381" t="e">
        <f>IF(#REF!,"AAAAAE3qtjc=",0)</f>
        <v>#REF!</v>
      </c>
      <c r="BE381" t="e">
        <f>AND(#REF!,"AAAAAE3qtjg=")</f>
        <v>#REF!</v>
      </c>
      <c r="BF381" t="e">
        <f>AND(#REF!,"AAAAAE3qtjk=")</f>
        <v>#REF!</v>
      </c>
      <c r="BG381" t="e">
        <f>AND(#REF!,"AAAAAE3qtjo=")</f>
        <v>#REF!</v>
      </c>
      <c r="BH381" t="e">
        <f>AND(#REF!,"AAAAAE3qtjs=")</f>
        <v>#REF!</v>
      </c>
      <c r="BI381" t="e">
        <f>AND(#REF!,"AAAAAE3qtjw=")</f>
        <v>#REF!</v>
      </c>
      <c r="BJ381" t="e">
        <f>AND(#REF!,"AAAAAE3qtj0=")</f>
        <v>#REF!</v>
      </c>
      <c r="BK381" t="e">
        <f>AND(#REF!,"AAAAAE3qtj4=")</f>
        <v>#REF!</v>
      </c>
      <c r="BL381" t="e">
        <f>AND(#REF!,"AAAAAE3qtj8=")</f>
        <v>#REF!</v>
      </c>
      <c r="BM381" t="e">
        <f>AND(#REF!,"AAAAAE3qtkA=")</f>
        <v>#REF!</v>
      </c>
      <c r="BN381" t="e">
        <f>AND(#REF!,"AAAAAE3qtkE=")</f>
        <v>#REF!</v>
      </c>
      <c r="BO381" t="e">
        <f>AND(#REF!,"AAAAAE3qtkI=")</f>
        <v>#REF!</v>
      </c>
      <c r="BP381" t="e">
        <f>AND(#REF!,"AAAAAE3qtkM=")</f>
        <v>#REF!</v>
      </c>
      <c r="BQ381" t="e">
        <f>AND(#REF!,"AAAAAE3qtkQ=")</f>
        <v>#REF!</v>
      </c>
      <c r="BR381" t="e">
        <f>AND(#REF!,"AAAAAE3qtkU=")</f>
        <v>#REF!</v>
      </c>
      <c r="BS381" t="e">
        <f>AND(#REF!,"AAAAAE3qtkY=")</f>
        <v>#REF!</v>
      </c>
      <c r="BT381" t="e">
        <f>AND(#REF!,"AAAAAE3qtkc=")</f>
        <v>#REF!</v>
      </c>
      <c r="BU381" t="e">
        <f>AND(#REF!,"AAAAAE3qtkg=")</f>
        <v>#REF!</v>
      </c>
      <c r="BV381" t="e">
        <f>AND(#REF!,"AAAAAE3qtkk=")</f>
        <v>#REF!</v>
      </c>
      <c r="BW381" t="e">
        <f>AND(#REF!,"AAAAAE3qtko=")</f>
        <v>#REF!</v>
      </c>
      <c r="BX381" t="e">
        <f>AND(#REF!,"AAAAAE3qtks=")</f>
        <v>#REF!</v>
      </c>
      <c r="BY381" t="e">
        <f>AND(#REF!,"AAAAAE3qtkw=")</f>
        <v>#REF!</v>
      </c>
      <c r="BZ381" t="e">
        <f>AND(#REF!,"AAAAAE3qtk0=")</f>
        <v>#REF!</v>
      </c>
      <c r="CA381" t="e">
        <f>AND(#REF!,"AAAAAE3qtk4=")</f>
        <v>#REF!</v>
      </c>
      <c r="CB381" t="e">
        <f>AND(#REF!,"AAAAAE3qtk8=")</f>
        <v>#REF!</v>
      </c>
      <c r="CC381" t="e">
        <f>IF(#REF!,"AAAAAE3qtlA=",0)</f>
        <v>#REF!</v>
      </c>
      <c r="CD381" t="e">
        <f>AND(#REF!,"AAAAAE3qtlE=")</f>
        <v>#REF!</v>
      </c>
      <c r="CE381" t="e">
        <f>AND(#REF!,"AAAAAE3qtlI=")</f>
        <v>#REF!</v>
      </c>
      <c r="CF381" t="e">
        <f>AND(#REF!,"AAAAAE3qtlM=")</f>
        <v>#REF!</v>
      </c>
      <c r="CG381" t="e">
        <f>AND(#REF!,"AAAAAE3qtlQ=")</f>
        <v>#REF!</v>
      </c>
      <c r="CH381" t="e">
        <f>AND(#REF!,"AAAAAE3qtlU=")</f>
        <v>#REF!</v>
      </c>
      <c r="CI381" t="e">
        <f>AND(#REF!,"AAAAAE3qtlY=")</f>
        <v>#REF!</v>
      </c>
      <c r="CJ381" t="e">
        <f>AND(#REF!,"AAAAAE3qtlc=")</f>
        <v>#REF!</v>
      </c>
      <c r="CK381" t="e">
        <f>AND(#REF!,"AAAAAE3qtlg=")</f>
        <v>#REF!</v>
      </c>
      <c r="CL381" t="e">
        <f>AND(#REF!,"AAAAAE3qtlk=")</f>
        <v>#REF!</v>
      </c>
      <c r="CM381" t="e">
        <f>AND(#REF!,"AAAAAE3qtlo=")</f>
        <v>#REF!</v>
      </c>
      <c r="CN381" t="e">
        <f>AND(#REF!,"AAAAAE3qtls=")</f>
        <v>#REF!</v>
      </c>
      <c r="CO381" t="e">
        <f>AND(#REF!,"AAAAAE3qtlw=")</f>
        <v>#REF!</v>
      </c>
      <c r="CP381" t="e">
        <f>AND(#REF!,"AAAAAE3qtl0=")</f>
        <v>#REF!</v>
      </c>
      <c r="CQ381" t="e">
        <f>AND(#REF!,"AAAAAE3qtl4=")</f>
        <v>#REF!</v>
      </c>
      <c r="CR381" t="e">
        <f>AND(#REF!,"AAAAAE3qtl8=")</f>
        <v>#REF!</v>
      </c>
      <c r="CS381" t="e">
        <f>AND(#REF!,"AAAAAE3qtmA=")</f>
        <v>#REF!</v>
      </c>
      <c r="CT381" t="e">
        <f>AND(#REF!,"AAAAAE3qtmE=")</f>
        <v>#REF!</v>
      </c>
      <c r="CU381" t="e">
        <f>AND(#REF!,"AAAAAE3qtmI=")</f>
        <v>#REF!</v>
      </c>
      <c r="CV381" t="e">
        <f>AND(#REF!,"AAAAAE3qtmM=")</f>
        <v>#REF!</v>
      </c>
      <c r="CW381" t="e">
        <f>AND(#REF!,"AAAAAE3qtmQ=")</f>
        <v>#REF!</v>
      </c>
      <c r="CX381" t="e">
        <f>AND(#REF!,"AAAAAE3qtmU=")</f>
        <v>#REF!</v>
      </c>
      <c r="CY381" t="e">
        <f>AND(#REF!,"AAAAAE3qtmY=")</f>
        <v>#REF!</v>
      </c>
      <c r="CZ381" t="e">
        <f>AND(#REF!,"AAAAAE3qtmc=")</f>
        <v>#REF!</v>
      </c>
      <c r="DA381" t="e">
        <f>AND(#REF!,"AAAAAE3qtmg=")</f>
        <v>#REF!</v>
      </c>
      <c r="DB381" t="e">
        <f>IF(#REF!,"AAAAAE3qtmk=",0)</f>
        <v>#REF!</v>
      </c>
      <c r="DC381" t="e">
        <f>AND(#REF!,"AAAAAE3qtmo=")</f>
        <v>#REF!</v>
      </c>
      <c r="DD381" t="e">
        <f>AND(#REF!,"AAAAAE3qtms=")</f>
        <v>#REF!</v>
      </c>
      <c r="DE381" t="e">
        <f>AND(#REF!,"AAAAAE3qtmw=")</f>
        <v>#REF!</v>
      </c>
      <c r="DF381" t="e">
        <f>AND(#REF!,"AAAAAE3qtm0=")</f>
        <v>#REF!</v>
      </c>
      <c r="DG381" t="e">
        <f>AND(#REF!,"AAAAAE3qtm4=")</f>
        <v>#REF!</v>
      </c>
      <c r="DH381" t="e">
        <f>AND(#REF!,"AAAAAE3qtm8=")</f>
        <v>#REF!</v>
      </c>
      <c r="DI381" t="e">
        <f>AND(#REF!,"AAAAAE3qtnA=")</f>
        <v>#REF!</v>
      </c>
      <c r="DJ381" t="e">
        <f>AND(#REF!,"AAAAAE3qtnE=")</f>
        <v>#REF!</v>
      </c>
      <c r="DK381" t="e">
        <f>AND(#REF!,"AAAAAE3qtnI=")</f>
        <v>#REF!</v>
      </c>
      <c r="DL381" t="e">
        <f>AND(#REF!,"AAAAAE3qtnM=")</f>
        <v>#REF!</v>
      </c>
      <c r="DM381" t="e">
        <f>AND(#REF!,"AAAAAE3qtnQ=")</f>
        <v>#REF!</v>
      </c>
      <c r="DN381" t="e">
        <f>AND(#REF!,"AAAAAE3qtnU=")</f>
        <v>#REF!</v>
      </c>
      <c r="DO381" t="e">
        <f>AND(#REF!,"AAAAAE3qtnY=")</f>
        <v>#REF!</v>
      </c>
      <c r="DP381" t="e">
        <f>AND(#REF!,"AAAAAE3qtnc=")</f>
        <v>#REF!</v>
      </c>
      <c r="DQ381" t="e">
        <f>AND(#REF!,"AAAAAE3qtng=")</f>
        <v>#REF!</v>
      </c>
      <c r="DR381" t="e">
        <f>AND(#REF!,"AAAAAE3qtnk=")</f>
        <v>#REF!</v>
      </c>
      <c r="DS381" t="e">
        <f>AND(#REF!,"AAAAAE3qtno=")</f>
        <v>#REF!</v>
      </c>
      <c r="DT381" t="e">
        <f>AND(#REF!,"AAAAAE3qtns=")</f>
        <v>#REF!</v>
      </c>
      <c r="DU381" t="e">
        <f>AND(#REF!,"AAAAAE3qtnw=")</f>
        <v>#REF!</v>
      </c>
      <c r="DV381" t="e">
        <f>AND(#REF!,"AAAAAE3qtn0=")</f>
        <v>#REF!</v>
      </c>
      <c r="DW381" t="e">
        <f>AND(#REF!,"AAAAAE3qtn4=")</f>
        <v>#REF!</v>
      </c>
      <c r="DX381" t="e">
        <f>AND(#REF!,"AAAAAE3qtn8=")</f>
        <v>#REF!</v>
      </c>
      <c r="DY381" t="e">
        <f>AND(#REF!,"AAAAAE3qtoA=")</f>
        <v>#REF!</v>
      </c>
      <c r="DZ381" t="e">
        <f>AND(#REF!,"AAAAAE3qtoE=")</f>
        <v>#REF!</v>
      </c>
      <c r="EA381" t="e">
        <f>IF(#REF!,"AAAAAE3qtoI=",0)</f>
        <v>#REF!</v>
      </c>
      <c r="EB381" t="e">
        <f>AND(#REF!,"AAAAAE3qtoM=")</f>
        <v>#REF!</v>
      </c>
      <c r="EC381" t="e">
        <f>AND(#REF!,"AAAAAE3qtoQ=")</f>
        <v>#REF!</v>
      </c>
      <c r="ED381" t="e">
        <f>AND(#REF!,"AAAAAE3qtoU=")</f>
        <v>#REF!</v>
      </c>
      <c r="EE381" t="e">
        <f>AND(#REF!,"AAAAAE3qtoY=")</f>
        <v>#REF!</v>
      </c>
      <c r="EF381" t="e">
        <f>AND(#REF!,"AAAAAE3qtoc=")</f>
        <v>#REF!</v>
      </c>
      <c r="EG381" t="e">
        <f>AND(#REF!,"AAAAAE3qtog=")</f>
        <v>#REF!</v>
      </c>
      <c r="EH381" t="e">
        <f>AND(#REF!,"AAAAAE3qtok=")</f>
        <v>#REF!</v>
      </c>
      <c r="EI381" t="e">
        <f>AND(#REF!,"AAAAAE3qtoo=")</f>
        <v>#REF!</v>
      </c>
      <c r="EJ381" t="e">
        <f>AND(#REF!,"AAAAAE3qtos=")</f>
        <v>#REF!</v>
      </c>
      <c r="EK381" t="e">
        <f>AND(#REF!,"AAAAAE3qtow=")</f>
        <v>#REF!</v>
      </c>
      <c r="EL381" t="e">
        <f>AND(#REF!,"AAAAAE3qto0=")</f>
        <v>#REF!</v>
      </c>
      <c r="EM381" t="e">
        <f>AND(#REF!,"AAAAAE3qto4=")</f>
        <v>#REF!</v>
      </c>
      <c r="EN381" t="e">
        <f>AND(#REF!,"AAAAAE3qto8=")</f>
        <v>#REF!</v>
      </c>
      <c r="EO381" t="e">
        <f>AND(#REF!,"AAAAAE3qtpA=")</f>
        <v>#REF!</v>
      </c>
      <c r="EP381" t="e">
        <f>AND(#REF!,"AAAAAE3qtpE=")</f>
        <v>#REF!</v>
      </c>
      <c r="EQ381" t="e">
        <f>AND(#REF!,"AAAAAE3qtpI=")</f>
        <v>#REF!</v>
      </c>
      <c r="ER381" t="e">
        <f>AND(#REF!,"AAAAAE3qtpM=")</f>
        <v>#REF!</v>
      </c>
      <c r="ES381" t="e">
        <f>AND(#REF!,"AAAAAE3qtpQ=")</f>
        <v>#REF!</v>
      </c>
      <c r="ET381" t="e">
        <f>AND(#REF!,"AAAAAE3qtpU=")</f>
        <v>#REF!</v>
      </c>
      <c r="EU381" t="e">
        <f>AND(#REF!,"AAAAAE3qtpY=")</f>
        <v>#REF!</v>
      </c>
      <c r="EV381" t="e">
        <f>AND(#REF!,"AAAAAE3qtpc=")</f>
        <v>#REF!</v>
      </c>
      <c r="EW381" t="e">
        <f>AND(#REF!,"AAAAAE3qtpg=")</f>
        <v>#REF!</v>
      </c>
      <c r="EX381" t="e">
        <f>AND(#REF!,"AAAAAE3qtpk=")</f>
        <v>#REF!</v>
      </c>
      <c r="EY381" t="e">
        <f>AND(#REF!,"AAAAAE3qtpo=")</f>
        <v>#REF!</v>
      </c>
      <c r="EZ381" t="e">
        <f>IF(#REF!,"AAAAAE3qtps=",0)</f>
        <v>#REF!</v>
      </c>
      <c r="FA381" t="e">
        <f>AND(#REF!,"AAAAAE3qtpw=")</f>
        <v>#REF!</v>
      </c>
      <c r="FB381" t="e">
        <f>AND(#REF!,"AAAAAE3qtp0=")</f>
        <v>#REF!</v>
      </c>
      <c r="FC381" t="e">
        <f>AND(#REF!,"AAAAAE3qtp4=")</f>
        <v>#REF!</v>
      </c>
      <c r="FD381" t="e">
        <f>AND(#REF!,"AAAAAE3qtp8=")</f>
        <v>#REF!</v>
      </c>
      <c r="FE381" t="e">
        <f>AND(#REF!,"AAAAAE3qtqA=")</f>
        <v>#REF!</v>
      </c>
      <c r="FF381" t="e">
        <f>AND(#REF!,"AAAAAE3qtqE=")</f>
        <v>#REF!</v>
      </c>
      <c r="FG381" t="e">
        <f>AND(#REF!,"AAAAAE3qtqI=")</f>
        <v>#REF!</v>
      </c>
      <c r="FH381" t="e">
        <f>AND(#REF!,"AAAAAE3qtqM=")</f>
        <v>#REF!</v>
      </c>
      <c r="FI381" t="e">
        <f>AND(#REF!,"AAAAAE3qtqQ=")</f>
        <v>#REF!</v>
      </c>
      <c r="FJ381" t="e">
        <f>AND(#REF!,"AAAAAE3qtqU=")</f>
        <v>#REF!</v>
      </c>
      <c r="FK381" t="e">
        <f>AND(#REF!,"AAAAAE3qtqY=")</f>
        <v>#REF!</v>
      </c>
      <c r="FL381" t="e">
        <f>AND(#REF!,"AAAAAE3qtqc=")</f>
        <v>#REF!</v>
      </c>
      <c r="FM381" t="e">
        <f>AND(#REF!,"AAAAAE3qtqg=")</f>
        <v>#REF!</v>
      </c>
      <c r="FN381" t="e">
        <f>AND(#REF!,"AAAAAE3qtqk=")</f>
        <v>#REF!</v>
      </c>
      <c r="FO381" t="e">
        <f>AND(#REF!,"AAAAAE3qtqo=")</f>
        <v>#REF!</v>
      </c>
      <c r="FP381" t="e">
        <f>AND(#REF!,"AAAAAE3qtqs=")</f>
        <v>#REF!</v>
      </c>
      <c r="FQ381" t="e">
        <f>AND(#REF!,"AAAAAE3qtqw=")</f>
        <v>#REF!</v>
      </c>
      <c r="FR381" t="e">
        <f>AND(#REF!,"AAAAAE3qtq0=")</f>
        <v>#REF!</v>
      </c>
      <c r="FS381" t="e">
        <f>AND(#REF!,"AAAAAE3qtq4=")</f>
        <v>#REF!</v>
      </c>
      <c r="FT381" t="e">
        <f>AND(#REF!,"AAAAAE3qtq8=")</f>
        <v>#REF!</v>
      </c>
      <c r="FU381" t="e">
        <f>AND(#REF!,"AAAAAE3qtrA=")</f>
        <v>#REF!</v>
      </c>
      <c r="FV381" t="e">
        <f>AND(#REF!,"AAAAAE3qtrE=")</f>
        <v>#REF!</v>
      </c>
      <c r="FW381" t="e">
        <f>AND(#REF!,"AAAAAE3qtrI=")</f>
        <v>#REF!</v>
      </c>
      <c r="FX381" t="e">
        <f>AND(#REF!,"AAAAAE3qtrM=")</f>
        <v>#REF!</v>
      </c>
      <c r="FY381" t="e">
        <f>IF(#REF!,"AAAAAE3qtrQ=",0)</f>
        <v>#REF!</v>
      </c>
      <c r="FZ381" t="e">
        <f>AND(#REF!,"AAAAAE3qtrU=")</f>
        <v>#REF!</v>
      </c>
      <c r="GA381" t="e">
        <f>AND(#REF!,"AAAAAE3qtrY=")</f>
        <v>#REF!</v>
      </c>
      <c r="GB381" t="e">
        <f>AND(#REF!,"AAAAAE3qtrc=")</f>
        <v>#REF!</v>
      </c>
      <c r="GC381" t="e">
        <f>AND(#REF!,"AAAAAE3qtrg=")</f>
        <v>#REF!</v>
      </c>
      <c r="GD381" t="e">
        <f>AND(#REF!,"AAAAAE3qtrk=")</f>
        <v>#REF!</v>
      </c>
      <c r="GE381" t="e">
        <f>AND(#REF!,"AAAAAE3qtro=")</f>
        <v>#REF!</v>
      </c>
      <c r="GF381" t="e">
        <f>AND(#REF!,"AAAAAE3qtrs=")</f>
        <v>#REF!</v>
      </c>
      <c r="GG381" t="e">
        <f>AND(#REF!,"AAAAAE3qtrw=")</f>
        <v>#REF!</v>
      </c>
      <c r="GH381" t="e">
        <f>AND(#REF!,"AAAAAE3qtr0=")</f>
        <v>#REF!</v>
      </c>
      <c r="GI381" t="e">
        <f>AND(#REF!,"AAAAAE3qtr4=")</f>
        <v>#REF!</v>
      </c>
      <c r="GJ381" t="e">
        <f>AND(#REF!,"AAAAAE3qtr8=")</f>
        <v>#REF!</v>
      </c>
      <c r="GK381" t="e">
        <f>AND(#REF!,"AAAAAE3qtsA=")</f>
        <v>#REF!</v>
      </c>
      <c r="GL381" t="e">
        <f>AND(#REF!,"AAAAAE3qtsE=")</f>
        <v>#REF!</v>
      </c>
      <c r="GM381" t="e">
        <f>AND(#REF!,"AAAAAE3qtsI=")</f>
        <v>#REF!</v>
      </c>
      <c r="GN381" t="e">
        <f>AND(#REF!,"AAAAAE3qtsM=")</f>
        <v>#REF!</v>
      </c>
      <c r="GO381" t="e">
        <f>AND(#REF!,"AAAAAE3qtsQ=")</f>
        <v>#REF!</v>
      </c>
      <c r="GP381" t="e">
        <f>AND(#REF!,"AAAAAE3qtsU=")</f>
        <v>#REF!</v>
      </c>
      <c r="GQ381" t="e">
        <f>AND(#REF!,"AAAAAE3qtsY=")</f>
        <v>#REF!</v>
      </c>
      <c r="GR381" t="e">
        <f>AND(#REF!,"AAAAAE3qtsc=")</f>
        <v>#REF!</v>
      </c>
      <c r="GS381" t="e">
        <f>AND(#REF!,"AAAAAE3qtsg=")</f>
        <v>#REF!</v>
      </c>
      <c r="GT381" t="e">
        <f>AND(#REF!,"AAAAAE3qtsk=")</f>
        <v>#REF!</v>
      </c>
      <c r="GU381" t="e">
        <f>AND(#REF!,"AAAAAE3qtso=")</f>
        <v>#REF!</v>
      </c>
      <c r="GV381" t="e">
        <f>AND(#REF!,"AAAAAE3qtss=")</f>
        <v>#REF!</v>
      </c>
      <c r="GW381" t="e">
        <f>AND(#REF!,"AAAAAE3qtsw=")</f>
        <v>#REF!</v>
      </c>
      <c r="GX381" t="e">
        <f>IF(#REF!,"AAAAAE3qts0=",0)</f>
        <v>#REF!</v>
      </c>
      <c r="GY381" t="e">
        <f>AND(#REF!,"AAAAAE3qts4=")</f>
        <v>#REF!</v>
      </c>
      <c r="GZ381" t="e">
        <f>AND(#REF!,"AAAAAE3qts8=")</f>
        <v>#REF!</v>
      </c>
      <c r="HA381" t="e">
        <f>AND(#REF!,"AAAAAE3qttA=")</f>
        <v>#REF!</v>
      </c>
      <c r="HB381" t="e">
        <f>AND(#REF!,"AAAAAE3qttE=")</f>
        <v>#REF!</v>
      </c>
      <c r="HC381" t="e">
        <f>AND(#REF!,"AAAAAE3qttI=")</f>
        <v>#REF!</v>
      </c>
      <c r="HD381" t="e">
        <f>AND(#REF!,"AAAAAE3qttM=")</f>
        <v>#REF!</v>
      </c>
      <c r="HE381" t="e">
        <f>AND(#REF!,"AAAAAE3qttQ=")</f>
        <v>#REF!</v>
      </c>
      <c r="HF381" t="e">
        <f>AND(#REF!,"AAAAAE3qttU=")</f>
        <v>#REF!</v>
      </c>
      <c r="HG381" t="e">
        <f>AND(#REF!,"AAAAAE3qttY=")</f>
        <v>#REF!</v>
      </c>
      <c r="HH381" t="e">
        <f>AND(#REF!,"AAAAAE3qttc=")</f>
        <v>#REF!</v>
      </c>
      <c r="HI381" t="e">
        <f>AND(#REF!,"AAAAAE3qttg=")</f>
        <v>#REF!</v>
      </c>
      <c r="HJ381" t="e">
        <f>AND(#REF!,"AAAAAE3qttk=")</f>
        <v>#REF!</v>
      </c>
      <c r="HK381" t="e">
        <f>AND(#REF!,"AAAAAE3qtto=")</f>
        <v>#REF!</v>
      </c>
      <c r="HL381" t="e">
        <f>AND(#REF!,"AAAAAE3qtts=")</f>
        <v>#REF!</v>
      </c>
      <c r="HM381" t="e">
        <f>AND(#REF!,"AAAAAE3qttw=")</f>
        <v>#REF!</v>
      </c>
      <c r="HN381" t="e">
        <f>AND(#REF!,"AAAAAE3qtt0=")</f>
        <v>#REF!</v>
      </c>
      <c r="HO381" t="e">
        <f>AND(#REF!,"AAAAAE3qtt4=")</f>
        <v>#REF!</v>
      </c>
      <c r="HP381" t="e">
        <f>AND(#REF!,"AAAAAE3qtt8=")</f>
        <v>#REF!</v>
      </c>
      <c r="HQ381" t="e">
        <f>AND(#REF!,"AAAAAE3qtuA=")</f>
        <v>#REF!</v>
      </c>
      <c r="HR381" t="e">
        <f>AND(#REF!,"AAAAAE3qtuE=")</f>
        <v>#REF!</v>
      </c>
      <c r="HS381" t="e">
        <f>AND(#REF!,"AAAAAE3qtuI=")</f>
        <v>#REF!</v>
      </c>
      <c r="HT381" t="e">
        <f>AND(#REF!,"AAAAAE3qtuM=")</f>
        <v>#REF!</v>
      </c>
      <c r="HU381" t="e">
        <f>AND(#REF!,"AAAAAE3qtuQ=")</f>
        <v>#REF!</v>
      </c>
      <c r="HV381" t="e">
        <f>AND(#REF!,"AAAAAE3qtuU=")</f>
        <v>#REF!</v>
      </c>
      <c r="HW381" t="e">
        <f>IF(#REF!,"AAAAAE3qtuY=",0)</f>
        <v>#REF!</v>
      </c>
      <c r="HX381" t="e">
        <f>AND(#REF!,"AAAAAE3qtuc=")</f>
        <v>#REF!</v>
      </c>
      <c r="HY381" t="e">
        <f>AND(#REF!,"AAAAAE3qtug=")</f>
        <v>#REF!</v>
      </c>
      <c r="HZ381" t="e">
        <f>AND(#REF!,"AAAAAE3qtuk=")</f>
        <v>#REF!</v>
      </c>
      <c r="IA381" t="e">
        <f>AND(#REF!,"AAAAAE3qtuo=")</f>
        <v>#REF!</v>
      </c>
      <c r="IB381" t="e">
        <f>AND(#REF!,"AAAAAE3qtus=")</f>
        <v>#REF!</v>
      </c>
      <c r="IC381" t="e">
        <f>AND(#REF!,"AAAAAE3qtuw=")</f>
        <v>#REF!</v>
      </c>
      <c r="ID381" t="e">
        <f>AND(#REF!,"AAAAAE3qtu0=")</f>
        <v>#REF!</v>
      </c>
      <c r="IE381" t="e">
        <f>AND(#REF!,"AAAAAE3qtu4=")</f>
        <v>#REF!</v>
      </c>
      <c r="IF381" t="e">
        <f>AND(#REF!,"AAAAAE3qtu8=")</f>
        <v>#REF!</v>
      </c>
      <c r="IG381" t="e">
        <f>AND(#REF!,"AAAAAE3qtvA=")</f>
        <v>#REF!</v>
      </c>
      <c r="IH381" t="e">
        <f>AND(#REF!,"AAAAAE3qtvE=")</f>
        <v>#REF!</v>
      </c>
      <c r="II381" t="e">
        <f>AND(#REF!,"AAAAAE3qtvI=")</f>
        <v>#REF!</v>
      </c>
      <c r="IJ381" t="e">
        <f>AND(#REF!,"AAAAAE3qtvM=")</f>
        <v>#REF!</v>
      </c>
      <c r="IK381" t="e">
        <f>AND(#REF!,"AAAAAE3qtvQ=")</f>
        <v>#REF!</v>
      </c>
      <c r="IL381" t="e">
        <f>AND(#REF!,"AAAAAE3qtvU=")</f>
        <v>#REF!</v>
      </c>
      <c r="IM381" t="e">
        <f>AND(#REF!,"AAAAAE3qtvY=")</f>
        <v>#REF!</v>
      </c>
      <c r="IN381" t="e">
        <f>AND(#REF!,"AAAAAE3qtvc=")</f>
        <v>#REF!</v>
      </c>
      <c r="IO381" t="e">
        <f>AND(#REF!,"AAAAAE3qtvg=")</f>
        <v>#REF!</v>
      </c>
      <c r="IP381" t="e">
        <f>AND(#REF!,"AAAAAE3qtvk=")</f>
        <v>#REF!</v>
      </c>
      <c r="IQ381" t="e">
        <f>AND(#REF!,"AAAAAE3qtvo=")</f>
        <v>#REF!</v>
      </c>
      <c r="IR381" t="e">
        <f>AND(#REF!,"AAAAAE3qtvs=")</f>
        <v>#REF!</v>
      </c>
      <c r="IS381" t="e">
        <f>AND(#REF!,"AAAAAE3qtvw=")</f>
        <v>#REF!</v>
      </c>
      <c r="IT381" t="e">
        <f>AND(#REF!,"AAAAAE3qtv0=")</f>
        <v>#REF!</v>
      </c>
      <c r="IU381" t="e">
        <f>AND(#REF!,"AAAAAE3qtv4=")</f>
        <v>#REF!</v>
      </c>
      <c r="IV381" t="e">
        <f>IF(#REF!,"AAAAAE3qtv8=",0)</f>
        <v>#REF!</v>
      </c>
    </row>
    <row r="382" spans="1:256">
      <c r="A382" t="e">
        <f>AND(#REF!,"AAAAAGHy/wA=")</f>
        <v>#REF!</v>
      </c>
      <c r="B382" t="e">
        <f>AND(#REF!,"AAAAAGHy/wE=")</f>
        <v>#REF!</v>
      </c>
      <c r="C382" t="e">
        <f>AND(#REF!,"AAAAAGHy/wI=")</f>
        <v>#REF!</v>
      </c>
      <c r="D382" t="e">
        <f>AND(#REF!,"AAAAAGHy/wM=")</f>
        <v>#REF!</v>
      </c>
      <c r="E382" t="e">
        <f>AND(#REF!,"AAAAAGHy/wQ=")</f>
        <v>#REF!</v>
      </c>
      <c r="F382" t="e">
        <f>AND(#REF!,"AAAAAGHy/wU=")</f>
        <v>#REF!</v>
      </c>
      <c r="G382" t="e">
        <f>AND(#REF!,"AAAAAGHy/wY=")</f>
        <v>#REF!</v>
      </c>
      <c r="H382" t="e">
        <f>AND(#REF!,"AAAAAGHy/wc=")</f>
        <v>#REF!</v>
      </c>
      <c r="I382" t="e">
        <f>AND(#REF!,"AAAAAGHy/wg=")</f>
        <v>#REF!</v>
      </c>
      <c r="J382" t="e">
        <f>AND(#REF!,"AAAAAGHy/wk=")</f>
        <v>#REF!</v>
      </c>
      <c r="K382" t="e">
        <f>AND(#REF!,"AAAAAGHy/wo=")</f>
        <v>#REF!</v>
      </c>
      <c r="L382" t="e">
        <f>AND(#REF!,"AAAAAGHy/ws=")</f>
        <v>#REF!</v>
      </c>
      <c r="M382" t="e">
        <f>AND(#REF!,"AAAAAGHy/ww=")</f>
        <v>#REF!</v>
      </c>
      <c r="N382" t="e">
        <f>AND(#REF!,"AAAAAGHy/w0=")</f>
        <v>#REF!</v>
      </c>
      <c r="O382" t="e">
        <f>AND(#REF!,"AAAAAGHy/w4=")</f>
        <v>#REF!</v>
      </c>
      <c r="P382" t="e">
        <f>AND(#REF!,"AAAAAGHy/w8=")</f>
        <v>#REF!</v>
      </c>
      <c r="Q382" t="e">
        <f>AND(#REF!,"AAAAAGHy/xA=")</f>
        <v>#REF!</v>
      </c>
      <c r="R382" t="e">
        <f>AND(#REF!,"AAAAAGHy/xE=")</f>
        <v>#REF!</v>
      </c>
      <c r="S382" t="e">
        <f>AND(#REF!,"AAAAAGHy/xI=")</f>
        <v>#REF!</v>
      </c>
      <c r="T382" t="e">
        <f>AND(#REF!,"AAAAAGHy/xM=")</f>
        <v>#REF!</v>
      </c>
      <c r="U382" t="e">
        <f>AND(#REF!,"AAAAAGHy/xQ=")</f>
        <v>#REF!</v>
      </c>
      <c r="V382" t="e">
        <f>AND(#REF!,"AAAAAGHy/xU=")</f>
        <v>#REF!</v>
      </c>
      <c r="W382" t="e">
        <f>AND(#REF!,"AAAAAGHy/xY=")</f>
        <v>#REF!</v>
      </c>
      <c r="X382" t="e">
        <f>AND(#REF!,"AAAAAGHy/xc=")</f>
        <v>#REF!</v>
      </c>
      <c r="Y382" t="e">
        <f>IF(#REF!,"AAAAAGHy/xg=",0)</f>
        <v>#REF!</v>
      </c>
      <c r="Z382" t="e">
        <f>AND(#REF!,"AAAAAGHy/xk=")</f>
        <v>#REF!</v>
      </c>
      <c r="AA382" t="e">
        <f>AND(#REF!,"AAAAAGHy/xo=")</f>
        <v>#REF!</v>
      </c>
      <c r="AB382" t="e">
        <f>AND(#REF!,"AAAAAGHy/xs=")</f>
        <v>#REF!</v>
      </c>
      <c r="AC382" t="e">
        <f>AND(#REF!,"AAAAAGHy/xw=")</f>
        <v>#REF!</v>
      </c>
      <c r="AD382" t="e">
        <f>AND(#REF!,"AAAAAGHy/x0=")</f>
        <v>#REF!</v>
      </c>
      <c r="AE382" t="e">
        <f>AND(#REF!,"AAAAAGHy/x4=")</f>
        <v>#REF!</v>
      </c>
      <c r="AF382" t="e">
        <f>AND(#REF!,"AAAAAGHy/x8=")</f>
        <v>#REF!</v>
      </c>
      <c r="AG382" t="e">
        <f>AND(#REF!,"AAAAAGHy/yA=")</f>
        <v>#REF!</v>
      </c>
      <c r="AH382" t="e">
        <f>AND(#REF!,"AAAAAGHy/yE=")</f>
        <v>#REF!</v>
      </c>
      <c r="AI382" t="e">
        <f>AND(#REF!,"AAAAAGHy/yI=")</f>
        <v>#REF!</v>
      </c>
      <c r="AJ382" t="e">
        <f>AND(#REF!,"AAAAAGHy/yM=")</f>
        <v>#REF!</v>
      </c>
      <c r="AK382" t="e">
        <f>AND(#REF!,"AAAAAGHy/yQ=")</f>
        <v>#REF!</v>
      </c>
      <c r="AL382" t="e">
        <f>AND(#REF!,"AAAAAGHy/yU=")</f>
        <v>#REF!</v>
      </c>
      <c r="AM382" t="e">
        <f>AND(#REF!,"AAAAAGHy/yY=")</f>
        <v>#REF!</v>
      </c>
      <c r="AN382" t="e">
        <f>AND(#REF!,"AAAAAGHy/yc=")</f>
        <v>#REF!</v>
      </c>
      <c r="AO382" t="e">
        <f>AND(#REF!,"AAAAAGHy/yg=")</f>
        <v>#REF!</v>
      </c>
      <c r="AP382" t="e">
        <f>AND(#REF!,"AAAAAGHy/yk=")</f>
        <v>#REF!</v>
      </c>
      <c r="AQ382" t="e">
        <f>AND(#REF!,"AAAAAGHy/yo=")</f>
        <v>#REF!</v>
      </c>
      <c r="AR382" t="e">
        <f>AND(#REF!,"AAAAAGHy/ys=")</f>
        <v>#REF!</v>
      </c>
      <c r="AS382" t="e">
        <f>AND(#REF!,"AAAAAGHy/yw=")</f>
        <v>#REF!</v>
      </c>
      <c r="AT382" t="e">
        <f>AND(#REF!,"AAAAAGHy/y0=")</f>
        <v>#REF!</v>
      </c>
      <c r="AU382" t="e">
        <f>AND(#REF!,"AAAAAGHy/y4=")</f>
        <v>#REF!</v>
      </c>
      <c r="AV382" t="e">
        <f>AND(#REF!,"AAAAAGHy/y8=")</f>
        <v>#REF!</v>
      </c>
      <c r="AW382" t="e">
        <f>AND(#REF!,"AAAAAGHy/zA=")</f>
        <v>#REF!</v>
      </c>
      <c r="AX382" t="e">
        <f>IF(#REF!,"AAAAAGHy/zE=",0)</f>
        <v>#REF!</v>
      </c>
      <c r="AY382" t="e">
        <f>AND(#REF!,"AAAAAGHy/zI=")</f>
        <v>#REF!</v>
      </c>
      <c r="AZ382" t="e">
        <f>AND(#REF!,"AAAAAGHy/zM=")</f>
        <v>#REF!</v>
      </c>
      <c r="BA382" t="e">
        <f>AND(#REF!,"AAAAAGHy/zQ=")</f>
        <v>#REF!</v>
      </c>
      <c r="BB382" t="e">
        <f>AND(#REF!,"AAAAAGHy/zU=")</f>
        <v>#REF!</v>
      </c>
      <c r="BC382" t="e">
        <f>AND(#REF!,"AAAAAGHy/zY=")</f>
        <v>#REF!</v>
      </c>
      <c r="BD382" t="e">
        <f>AND(#REF!,"AAAAAGHy/zc=")</f>
        <v>#REF!</v>
      </c>
      <c r="BE382" t="e">
        <f>AND(#REF!,"AAAAAGHy/zg=")</f>
        <v>#REF!</v>
      </c>
      <c r="BF382" t="e">
        <f>AND(#REF!,"AAAAAGHy/zk=")</f>
        <v>#REF!</v>
      </c>
      <c r="BG382" t="e">
        <f>AND(#REF!,"AAAAAGHy/zo=")</f>
        <v>#REF!</v>
      </c>
      <c r="BH382" t="e">
        <f>AND(#REF!,"AAAAAGHy/zs=")</f>
        <v>#REF!</v>
      </c>
      <c r="BI382" t="e">
        <f>AND(#REF!,"AAAAAGHy/zw=")</f>
        <v>#REF!</v>
      </c>
      <c r="BJ382" t="e">
        <f>AND(#REF!,"AAAAAGHy/z0=")</f>
        <v>#REF!</v>
      </c>
      <c r="BK382" t="e">
        <f>AND(#REF!,"AAAAAGHy/z4=")</f>
        <v>#REF!</v>
      </c>
      <c r="BL382" t="e">
        <f>AND(#REF!,"AAAAAGHy/z8=")</f>
        <v>#REF!</v>
      </c>
      <c r="BM382" t="e">
        <f>AND(#REF!,"AAAAAGHy/0A=")</f>
        <v>#REF!</v>
      </c>
      <c r="BN382" t="e">
        <f>AND(#REF!,"AAAAAGHy/0E=")</f>
        <v>#REF!</v>
      </c>
      <c r="BO382" t="e">
        <f>AND(#REF!,"AAAAAGHy/0I=")</f>
        <v>#REF!</v>
      </c>
      <c r="BP382" t="e">
        <f>AND(#REF!,"AAAAAGHy/0M=")</f>
        <v>#REF!</v>
      </c>
      <c r="BQ382" t="e">
        <f>AND(#REF!,"AAAAAGHy/0Q=")</f>
        <v>#REF!</v>
      </c>
      <c r="BR382" t="e">
        <f>AND(#REF!,"AAAAAGHy/0U=")</f>
        <v>#REF!</v>
      </c>
      <c r="BS382" t="e">
        <f>AND(#REF!,"AAAAAGHy/0Y=")</f>
        <v>#REF!</v>
      </c>
      <c r="BT382" t="e">
        <f>AND(#REF!,"AAAAAGHy/0c=")</f>
        <v>#REF!</v>
      </c>
      <c r="BU382" t="e">
        <f>AND(#REF!,"AAAAAGHy/0g=")</f>
        <v>#REF!</v>
      </c>
      <c r="BV382" t="e">
        <f>AND(#REF!,"AAAAAGHy/0k=")</f>
        <v>#REF!</v>
      </c>
      <c r="BW382" t="e">
        <f>IF(#REF!,"AAAAAGHy/0o=",0)</f>
        <v>#REF!</v>
      </c>
      <c r="BX382" t="e">
        <f>AND(#REF!,"AAAAAGHy/0s=")</f>
        <v>#REF!</v>
      </c>
      <c r="BY382" t="e">
        <f>AND(#REF!,"AAAAAGHy/0w=")</f>
        <v>#REF!</v>
      </c>
      <c r="BZ382" t="e">
        <f>AND(#REF!,"AAAAAGHy/00=")</f>
        <v>#REF!</v>
      </c>
      <c r="CA382" t="e">
        <f>AND(#REF!,"AAAAAGHy/04=")</f>
        <v>#REF!</v>
      </c>
      <c r="CB382" t="e">
        <f>AND(#REF!,"AAAAAGHy/08=")</f>
        <v>#REF!</v>
      </c>
      <c r="CC382" t="e">
        <f>AND(#REF!,"AAAAAGHy/1A=")</f>
        <v>#REF!</v>
      </c>
      <c r="CD382" t="e">
        <f>AND(#REF!,"AAAAAGHy/1E=")</f>
        <v>#REF!</v>
      </c>
      <c r="CE382" t="e">
        <f>AND(#REF!,"AAAAAGHy/1I=")</f>
        <v>#REF!</v>
      </c>
      <c r="CF382" t="e">
        <f>AND(#REF!,"AAAAAGHy/1M=")</f>
        <v>#REF!</v>
      </c>
      <c r="CG382" t="e">
        <f>AND(#REF!,"AAAAAGHy/1Q=")</f>
        <v>#REF!</v>
      </c>
      <c r="CH382" t="e">
        <f>AND(#REF!,"AAAAAGHy/1U=")</f>
        <v>#REF!</v>
      </c>
      <c r="CI382" t="e">
        <f>AND(#REF!,"AAAAAGHy/1Y=")</f>
        <v>#REF!</v>
      </c>
      <c r="CJ382" t="e">
        <f>AND(#REF!,"AAAAAGHy/1c=")</f>
        <v>#REF!</v>
      </c>
      <c r="CK382" t="e">
        <f>AND(#REF!,"AAAAAGHy/1g=")</f>
        <v>#REF!</v>
      </c>
      <c r="CL382" t="e">
        <f>AND(#REF!,"AAAAAGHy/1k=")</f>
        <v>#REF!</v>
      </c>
      <c r="CM382" t="e">
        <f>AND(#REF!,"AAAAAGHy/1o=")</f>
        <v>#REF!</v>
      </c>
      <c r="CN382" t="e">
        <f>AND(#REF!,"AAAAAGHy/1s=")</f>
        <v>#REF!</v>
      </c>
      <c r="CO382" t="e">
        <f>AND(#REF!,"AAAAAGHy/1w=")</f>
        <v>#REF!</v>
      </c>
      <c r="CP382" t="e">
        <f>AND(#REF!,"AAAAAGHy/10=")</f>
        <v>#REF!</v>
      </c>
      <c r="CQ382" t="e">
        <f>AND(#REF!,"AAAAAGHy/14=")</f>
        <v>#REF!</v>
      </c>
      <c r="CR382" t="e">
        <f>AND(#REF!,"AAAAAGHy/18=")</f>
        <v>#REF!</v>
      </c>
      <c r="CS382" t="e">
        <f>AND(#REF!,"AAAAAGHy/2A=")</f>
        <v>#REF!</v>
      </c>
      <c r="CT382" t="e">
        <f>AND(#REF!,"AAAAAGHy/2E=")</f>
        <v>#REF!</v>
      </c>
      <c r="CU382" t="e">
        <f>AND(#REF!,"AAAAAGHy/2I=")</f>
        <v>#REF!</v>
      </c>
      <c r="CV382" t="e">
        <f>IF(#REF!,"AAAAAGHy/2M=",0)</f>
        <v>#REF!</v>
      </c>
      <c r="CW382" t="e">
        <f>AND(#REF!,"AAAAAGHy/2Q=")</f>
        <v>#REF!</v>
      </c>
      <c r="CX382" t="e">
        <f>AND(#REF!,"AAAAAGHy/2U=")</f>
        <v>#REF!</v>
      </c>
      <c r="CY382" t="e">
        <f>AND(#REF!,"AAAAAGHy/2Y=")</f>
        <v>#REF!</v>
      </c>
      <c r="CZ382" t="e">
        <f>AND(#REF!,"AAAAAGHy/2c=")</f>
        <v>#REF!</v>
      </c>
      <c r="DA382" t="e">
        <f>AND(#REF!,"AAAAAGHy/2g=")</f>
        <v>#REF!</v>
      </c>
      <c r="DB382" t="e">
        <f>AND(#REF!,"AAAAAGHy/2k=")</f>
        <v>#REF!</v>
      </c>
      <c r="DC382" t="e">
        <f>AND(#REF!,"AAAAAGHy/2o=")</f>
        <v>#REF!</v>
      </c>
      <c r="DD382" t="e">
        <f>AND(#REF!,"AAAAAGHy/2s=")</f>
        <v>#REF!</v>
      </c>
      <c r="DE382" t="e">
        <f>AND(#REF!,"AAAAAGHy/2w=")</f>
        <v>#REF!</v>
      </c>
      <c r="DF382" t="e">
        <f>AND(#REF!,"AAAAAGHy/20=")</f>
        <v>#REF!</v>
      </c>
      <c r="DG382" t="e">
        <f>AND(#REF!,"AAAAAGHy/24=")</f>
        <v>#REF!</v>
      </c>
      <c r="DH382" t="e">
        <f>AND(#REF!,"AAAAAGHy/28=")</f>
        <v>#REF!</v>
      </c>
      <c r="DI382" t="e">
        <f>AND(#REF!,"AAAAAGHy/3A=")</f>
        <v>#REF!</v>
      </c>
      <c r="DJ382" t="e">
        <f>AND(#REF!,"AAAAAGHy/3E=")</f>
        <v>#REF!</v>
      </c>
      <c r="DK382" t="e">
        <f>AND(#REF!,"AAAAAGHy/3I=")</f>
        <v>#REF!</v>
      </c>
      <c r="DL382" t="e">
        <f>AND(#REF!,"AAAAAGHy/3M=")</f>
        <v>#REF!</v>
      </c>
      <c r="DM382" t="e">
        <f>AND(#REF!,"AAAAAGHy/3Q=")</f>
        <v>#REF!</v>
      </c>
      <c r="DN382" t="e">
        <f>AND(#REF!,"AAAAAGHy/3U=")</f>
        <v>#REF!</v>
      </c>
      <c r="DO382" t="e">
        <f>AND(#REF!,"AAAAAGHy/3Y=")</f>
        <v>#REF!</v>
      </c>
      <c r="DP382" t="e">
        <f>AND(#REF!,"AAAAAGHy/3c=")</f>
        <v>#REF!</v>
      </c>
      <c r="DQ382" t="e">
        <f>AND(#REF!,"AAAAAGHy/3g=")</f>
        <v>#REF!</v>
      </c>
      <c r="DR382" t="e">
        <f>AND(#REF!,"AAAAAGHy/3k=")</f>
        <v>#REF!</v>
      </c>
      <c r="DS382" t="e">
        <f>AND(#REF!,"AAAAAGHy/3o=")</f>
        <v>#REF!</v>
      </c>
      <c r="DT382" t="e">
        <f>AND(#REF!,"AAAAAGHy/3s=")</f>
        <v>#REF!</v>
      </c>
      <c r="DU382" t="e">
        <f>IF(#REF!,"AAAAAGHy/3w=",0)</f>
        <v>#REF!</v>
      </c>
      <c r="DV382" t="e">
        <f>AND(#REF!,"AAAAAGHy/30=")</f>
        <v>#REF!</v>
      </c>
      <c r="DW382" t="e">
        <f>AND(#REF!,"AAAAAGHy/34=")</f>
        <v>#REF!</v>
      </c>
      <c r="DX382" t="e">
        <f>AND(#REF!,"AAAAAGHy/38=")</f>
        <v>#REF!</v>
      </c>
      <c r="DY382" t="e">
        <f>AND(#REF!,"AAAAAGHy/4A=")</f>
        <v>#REF!</v>
      </c>
      <c r="DZ382" t="e">
        <f>AND(#REF!,"AAAAAGHy/4E=")</f>
        <v>#REF!</v>
      </c>
      <c r="EA382" t="e">
        <f>AND(#REF!,"AAAAAGHy/4I=")</f>
        <v>#REF!</v>
      </c>
      <c r="EB382" t="e">
        <f>AND(#REF!,"AAAAAGHy/4M=")</f>
        <v>#REF!</v>
      </c>
      <c r="EC382" t="e">
        <f>AND(#REF!,"AAAAAGHy/4Q=")</f>
        <v>#REF!</v>
      </c>
      <c r="ED382" t="e">
        <f>AND(#REF!,"AAAAAGHy/4U=")</f>
        <v>#REF!</v>
      </c>
      <c r="EE382" t="e">
        <f>AND(#REF!,"AAAAAGHy/4Y=")</f>
        <v>#REF!</v>
      </c>
      <c r="EF382" t="e">
        <f>AND(#REF!,"AAAAAGHy/4c=")</f>
        <v>#REF!</v>
      </c>
      <c r="EG382" t="e">
        <f>AND(#REF!,"AAAAAGHy/4g=")</f>
        <v>#REF!</v>
      </c>
      <c r="EH382" t="e">
        <f>AND(#REF!,"AAAAAGHy/4k=")</f>
        <v>#REF!</v>
      </c>
      <c r="EI382" t="e">
        <f>AND(#REF!,"AAAAAGHy/4o=")</f>
        <v>#REF!</v>
      </c>
      <c r="EJ382" t="e">
        <f>AND(#REF!,"AAAAAGHy/4s=")</f>
        <v>#REF!</v>
      </c>
      <c r="EK382" t="e">
        <f>AND(#REF!,"AAAAAGHy/4w=")</f>
        <v>#REF!</v>
      </c>
      <c r="EL382" t="e">
        <f>AND(#REF!,"AAAAAGHy/40=")</f>
        <v>#REF!</v>
      </c>
      <c r="EM382" t="e">
        <f>AND(#REF!,"AAAAAGHy/44=")</f>
        <v>#REF!</v>
      </c>
      <c r="EN382" t="e">
        <f>AND(#REF!,"AAAAAGHy/48=")</f>
        <v>#REF!</v>
      </c>
      <c r="EO382" t="e">
        <f>AND(#REF!,"AAAAAGHy/5A=")</f>
        <v>#REF!</v>
      </c>
      <c r="EP382" t="e">
        <f>AND(#REF!,"AAAAAGHy/5E=")</f>
        <v>#REF!</v>
      </c>
      <c r="EQ382" t="e">
        <f>AND(#REF!,"AAAAAGHy/5I=")</f>
        <v>#REF!</v>
      </c>
      <c r="ER382" t="e">
        <f>AND(#REF!,"AAAAAGHy/5M=")</f>
        <v>#REF!</v>
      </c>
      <c r="ES382" t="e">
        <f>AND(#REF!,"AAAAAGHy/5Q=")</f>
        <v>#REF!</v>
      </c>
      <c r="ET382" t="e">
        <f>IF(#REF!,"AAAAAGHy/5U=",0)</f>
        <v>#REF!</v>
      </c>
      <c r="EU382" t="e">
        <f>AND(#REF!,"AAAAAGHy/5Y=")</f>
        <v>#REF!</v>
      </c>
      <c r="EV382" t="e">
        <f>AND(#REF!,"AAAAAGHy/5c=")</f>
        <v>#REF!</v>
      </c>
      <c r="EW382" t="e">
        <f>AND(#REF!,"AAAAAGHy/5g=")</f>
        <v>#REF!</v>
      </c>
      <c r="EX382" t="e">
        <f>AND(#REF!,"AAAAAGHy/5k=")</f>
        <v>#REF!</v>
      </c>
      <c r="EY382" t="e">
        <f>AND(#REF!,"AAAAAGHy/5o=")</f>
        <v>#REF!</v>
      </c>
      <c r="EZ382" t="e">
        <f>AND(#REF!,"AAAAAGHy/5s=")</f>
        <v>#REF!</v>
      </c>
      <c r="FA382" t="e">
        <f>AND(#REF!,"AAAAAGHy/5w=")</f>
        <v>#REF!</v>
      </c>
      <c r="FB382" t="e">
        <f>AND(#REF!,"AAAAAGHy/50=")</f>
        <v>#REF!</v>
      </c>
      <c r="FC382" t="e">
        <f>AND(#REF!,"AAAAAGHy/54=")</f>
        <v>#REF!</v>
      </c>
      <c r="FD382" t="e">
        <f>AND(#REF!,"AAAAAGHy/58=")</f>
        <v>#REF!</v>
      </c>
      <c r="FE382" t="e">
        <f>AND(#REF!,"AAAAAGHy/6A=")</f>
        <v>#REF!</v>
      </c>
      <c r="FF382" t="e">
        <f>AND(#REF!,"AAAAAGHy/6E=")</f>
        <v>#REF!</v>
      </c>
      <c r="FG382" t="e">
        <f>AND(#REF!,"AAAAAGHy/6I=")</f>
        <v>#REF!</v>
      </c>
      <c r="FH382" t="e">
        <f>AND(#REF!,"AAAAAGHy/6M=")</f>
        <v>#REF!</v>
      </c>
      <c r="FI382" t="e">
        <f>AND(#REF!,"AAAAAGHy/6Q=")</f>
        <v>#REF!</v>
      </c>
      <c r="FJ382" t="e">
        <f>AND(#REF!,"AAAAAGHy/6U=")</f>
        <v>#REF!</v>
      </c>
      <c r="FK382" t="e">
        <f>AND(#REF!,"AAAAAGHy/6Y=")</f>
        <v>#REF!</v>
      </c>
      <c r="FL382" t="e">
        <f>AND(#REF!,"AAAAAGHy/6c=")</f>
        <v>#REF!</v>
      </c>
      <c r="FM382" t="e">
        <f>AND(#REF!,"AAAAAGHy/6g=")</f>
        <v>#REF!</v>
      </c>
      <c r="FN382" t="e">
        <f>AND(#REF!,"AAAAAGHy/6k=")</f>
        <v>#REF!</v>
      </c>
      <c r="FO382" t="e">
        <f>AND(#REF!,"AAAAAGHy/6o=")</f>
        <v>#REF!</v>
      </c>
      <c r="FP382" t="e">
        <f>AND(#REF!,"AAAAAGHy/6s=")</f>
        <v>#REF!</v>
      </c>
      <c r="FQ382" t="e">
        <f>AND(#REF!,"AAAAAGHy/6w=")</f>
        <v>#REF!</v>
      </c>
      <c r="FR382" t="e">
        <f>AND(#REF!,"AAAAAGHy/60=")</f>
        <v>#REF!</v>
      </c>
      <c r="FS382" t="e">
        <f>IF(#REF!,"AAAAAGHy/64=",0)</f>
        <v>#REF!</v>
      </c>
      <c r="FT382" t="e">
        <f>AND(#REF!,"AAAAAGHy/68=")</f>
        <v>#REF!</v>
      </c>
      <c r="FU382" t="e">
        <f>AND(#REF!,"AAAAAGHy/7A=")</f>
        <v>#REF!</v>
      </c>
      <c r="FV382" t="e">
        <f>AND(#REF!,"AAAAAGHy/7E=")</f>
        <v>#REF!</v>
      </c>
      <c r="FW382" t="e">
        <f>AND(#REF!,"AAAAAGHy/7I=")</f>
        <v>#REF!</v>
      </c>
      <c r="FX382" t="e">
        <f>AND(#REF!,"AAAAAGHy/7M=")</f>
        <v>#REF!</v>
      </c>
      <c r="FY382" t="e">
        <f>AND(#REF!,"AAAAAGHy/7Q=")</f>
        <v>#REF!</v>
      </c>
      <c r="FZ382" t="e">
        <f>AND(#REF!,"AAAAAGHy/7U=")</f>
        <v>#REF!</v>
      </c>
      <c r="GA382" t="e">
        <f>AND(#REF!,"AAAAAGHy/7Y=")</f>
        <v>#REF!</v>
      </c>
      <c r="GB382" t="e">
        <f>AND(#REF!,"AAAAAGHy/7c=")</f>
        <v>#REF!</v>
      </c>
      <c r="GC382" t="e">
        <f>AND(#REF!,"AAAAAGHy/7g=")</f>
        <v>#REF!</v>
      </c>
      <c r="GD382" t="e">
        <f>AND(#REF!,"AAAAAGHy/7k=")</f>
        <v>#REF!</v>
      </c>
      <c r="GE382" t="e">
        <f>AND(#REF!,"AAAAAGHy/7o=")</f>
        <v>#REF!</v>
      </c>
      <c r="GF382" t="e">
        <f>AND(#REF!,"AAAAAGHy/7s=")</f>
        <v>#REF!</v>
      </c>
      <c r="GG382" t="e">
        <f>AND(#REF!,"AAAAAGHy/7w=")</f>
        <v>#REF!</v>
      </c>
      <c r="GH382" t="e">
        <f>AND(#REF!,"AAAAAGHy/70=")</f>
        <v>#REF!</v>
      </c>
      <c r="GI382" t="e">
        <f>AND(#REF!,"AAAAAGHy/74=")</f>
        <v>#REF!</v>
      </c>
      <c r="GJ382" t="e">
        <f>AND(#REF!,"AAAAAGHy/78=")</f>
        <v>#REF!</v>
      </c>
      <c r="GK382" t="e">
        <f>AND(#REF!,"AAAAAGHy/8A=")</f>
        <v>#REF!</v>
      </c>
      <c r="GL382" t="e">
        <f>AND(#REF!,"AAAAAGHy/8E=")</f>
        <v>#REF!</v>
      </c>
      <c r="GM382" t="e">
        <f>AND(#REF!,"AAAAAGHy/8I=")</f>
        <v>#REF!</v>
      </c>
      <c r="GN382" t="e">
        <f>AND(#REF!,"AAAAAGHy/8M=")</f>
        <v>#REF!</v>
      </c>
      <c r="GO382" t="e">
        <f>AND(#REF!,"AAAAAGHy/8Q=")</f>
        <v>#REF!</v>
      </c>
      <c r="GP382" t="e">
        <f>AND(#REF!,"AAAAAGHy/8U=")</f>
        <v>#REF!</v>
      </c>
      <c r="GQ382" t="e">
        <f>AND(#REF!,"AAAAAGHy/8Y=")</f>
        <v>#REF!</v>
      </c>
      <c r="GR382" t="e">
        <f>IF(#REF!,"AAAAAGHy/8c=",0)</f>
        <v>#REF!</v>
      </c>
      <c r="GS382" t="e">
        <f>AND(#REF!,"AAAAAGHy/8g=")</f>
        <v>#REF!</v>
      </c>
      <c r="GT382" t="e">
        <f>AND(#REF!,"AAAAAGHy/8k=")</f>
        <v>#REF!</v>
      </c>
      <c r="GU382" t="e">
        <f>AND(#REF!,"AAAAAGHy/8o=")</f>
        <v>#REF!</v>
      </c>
      <c r="GV382" t="e">
        <f>AND(#REF!,"AAAAAGHy/8s=")</f>
        <v>#REF!</v>
      </c>
      <c r="GW382" t="e">
        <f>AND(#REF!,"AAAAAGHy/8w=")</f>
        <v>#REF!</v>
      </c>
      <c r="GX382" t="e">
        <f>AND(#REF!,"AAAAAGHy/80=")</f>
        <v>#REF!</v>
      </c>
      <c r="GY382" t="e">
        <f>AND(#REF!,"AAAAAGHy/84=")</f>
        <v>#REF!</v>
      </c>
      <c r="GZ382" t="e">
        <f>AND(#REF!,"AAAAAGHy/88=")</f>
        <v>#REF!</v>
      </c>
      <c r="HA382" t="e">
        <f>AND(#REF!,"AAAAAGHy/9A=")</f>
        <v>#REF!</v>
      </c>
      <c r="HB382" t="e">
        <f>AND(#REF!,"AAAAAGHy/9E=")</f>
        <v>#REF!</v>
      </c>
      <c r="HC382" t="e">
        <f>AND(#REF!,"AAAAAGHy/9I=")</f>
        <v>#REF!</v>
      </c>
      <c r="HD382" t="e">
        <f>AND(#REF!,"AAAAAGHy/9M=")</f>
        <v>#REF!</v>
      </c>
      <c r="HE382" t="e">
        <f>AND(#REF!,"AAAAAGHy/9Q=")</f>
        <v>#REF!</v>
      </c>
      <c r="HF382" t="e">
        <f>AND(#REF!,"AAAAAGHy/9U=")</f>
        <v>#REF!</v>
      </c>
      <c r="HG382" t="e">
        <f>AND(#REF!,"AAAAAGHy/9Y=")</f>
        <v>#REF!</v>
      </c>
      <c r="HH382" t="e">
        <f>AND(#REF!,"AAAAAGHy/9c=")</f>
        <v>#REF!</v>
      </c>
      <c r="HI382" t="e">
        <f>AND(#REF!,"AAAAAGHy/9g=")</f>
        <v>#REF!</v>
      </c>
      <c r="HJ382" t="e">
        <f>AND(#REF!,"AAAAAGHy/9k=")</f>
        <v>#REF!</v>
      </c>
      <c r="HK382" t="e">
        <f>AND(#REF!,"AAAAAGHy/9o=")</f>
        <v>#REF!</v>
      </c>
      <c r="HL382" t="e">
        <f>AND(#REF!,"AAAAAGHy/9s=")</f>
        <v>#REF!</v>
      </c>
      <c r="HM382" t="e">
        <f>AND(#REF!,"AAAAAGHy/9w=")</f>
        <v>#REF!</v>
      </c>
      <c r="HN382" t="e">
        <f>AND(#REF!,"AAAAAGHy/90=")</f>
        <v>#REF!</v>
      </c>
      <c r="HO382" t="e">
        <f>AND(#REF!,"AAAAAGHy/94=")</f>
        <v>#REF!</v>
      </c>
      <c r="HP382" t="e">
        <f>AND(#REF!,"AAAAAGHy/98=")</f>
        <v>#REF!</v>
      </c>
      <c r="HQ382" t="e">
        <f>IF(#REF!,"AAAAAGHy/+A=",0)</f>
        <v>#REF!</v>
      </c>
      <c r="HR382" t="e">
        <f>AND(#REF!,"AAAAAGHy/+E=")</f>
        <v>#REF!</v>
      </c>
      <c r="HS382" t="e">
        <f>AND(#REF!,"AAAAAGHy/+I=")</f>
        <v>#REF!</v>
      </c>
      <c r="HT382" t="e">
        <f>AND(#REF!,"AAAAAGHy/+M=")</f>
        <v>#REF!</v>
      </c>
      <c r="HU382" t="e">
        <f>AND(#REF!,"AAAAAGHy/+Q=")</f>
        <v>#REF!</v>
      </c>
      <c r="HV382" t="e">
        <f>AND(#REF!,"AAAAAGHy/+U=")</f>
        <v>#REF!</v>
      </c>
      <c r="HW382" t="e">
        <f>AND(#REF!,"AAAAAGHy/+Y=")</f>
        <v>#REF!</v>
      </c>
      <c r="HX382" t="e">
        <f>AND(#REF!,"AAAAAGHy/+c=")</f>
        <v>#REF!</v>
      </c>
      <c r="HY382" t="e">
        <f>AND(#REF!,"AAAAAGHy/+g=")</f>
        <v>#REF!</v>
      </c>
      <c r="HZ382" t="e">
        <f>AND(#REF!,"AAAAAGHy/+k=")</f>
        <v>#REF!</v>
      </c>
      <c r="IA382" t="e">
        <f>AND(#REF!,"AAAAAGHy/+o=")</f>
        <v>#REF!</v>
      </c>
      <c r="IB382" t="e">
        <f>AND(#REF!,"AAAAAGHy/+s=")</f>
        <v>#REF!</v>
      </c>
      <c r="IC382" t="e">
        <f>AND(#REF!,"AAAAAGHy/+w=")</f>
        <v>#REF!</v>
      </c>
      <c r="ID382" t="e">
        <f>AND(#REF!,"AAAAAGHy/+0=")</f>
        <v>#REF!</v>
      </c>
      <c r="IE382" t="e">
        <f>AND(#REF!,"AAAAAGHy/+4=")</f>
        <v>#REF!</v>
      </c>
      <c r="IF382" t="e">
        <f>AND(#REF!,"AAAAAGHy/+8=")</f>
        <v>#REF!</v>
      </c>
      <c r="IG382" t="e">
        <f>AND(#REF!,"AAAAAGHy//A=")</f>
        <v>#REF!</v>
      </c>
      <c r="IH382" t="e">
        <f>AND(#REF!,"AAAAAGHy//E=")</f>
        <v>#REF!</v>
      </c>
      <c r="II382" t="e">
        <f>AND(#REF!,"AAAAAGHy//I=")</f>
        <v>#REF!</v>
      </c>
      <c r="IJ382" t="e">
        <f>AND(#REF!,"AAAAAGHy//M=")</f>
        <v>#REF!</v>
      </c>
      <c r="IK382" t="e">
        <f>AND(#REF!,"AAAAAGHy//Q=")</f>
        <v>#REF!</v>
      </c>
      <c r="IL382" t="e">
        <f>AND(#REF!,"AAAAAGHy//U=")</f>
        <v>#REF!</v>
      </c>
      <c r="IM382" t="e">
        <f>AND(#REF!,"AAAAAGHy//Y=")</f>
        <v>#REF!</v>
      </c>
      <c r="IN382" t="e">
        <f>AND(#REF!,"AAAAAGHy//c=")</f>
        <v>#REF!</v>
      </c>
      <c r="IO382" t="e">
        <f>AND(#REF!,"AAAAAGHy//g=")</f>
        <v>#REF!</v>
      </c>
      <c r="IP382" t="e">
        <f>IF(#REF!,"AAAAAGHy//k=",0)</f>
        <v>#REF!</v>
      </c>
      <c r="IQ382" t="e">
        <f>AND(#REF!,"AAAAAGHy//o=")</f>
        <v>#REF!</v>
      </c>
      <c r="IR382" t="e">
        <f>AND(#REF!,"AAAAAGHy//s=")</f>
        <v>#REF!</v>
      </c>
      <c r="IS382" t="e">
        <f>AND(#REF!,"AAAAAGHy//w=")</f>
        <v>#REF!</v>
      </c>
      <c r="IT382" t="e">
        <f>AND(#REF!,"AAAAAGHy//0=")</f>
        <v>#REF!</v>
      </c>
      <c r="IU382" t="e">
        <f>AND(#REF!,"AAAAAGHy//4=")</f>
        <v>#REF!</v>
      </c>
      <c r="IV382" t="e">
        <f>AND(#REF!,"AAAAAGHy//8=")</f>
        <v>#REF!</v>
      </c>
    </row>
    <row r="383" spans="1:256">
      <c r="A383" t="e">
        <f>AND(#REF!,"AAAAAAprfwA=")</f>
        <v>#REF!</v>
      </c>
      <c r="B383" t="e">
        <f>AND(#REF!,"AAAAAAprfwE=")</f>
        <v>#REF!</v>
      </c>
      <c r="C383" t="e">
        <f>AND(#REF!,"AAAAAAprfwI=")</f>
        <v>#REF!</v>
      </c>
      <c r="D383" t="e">
        <f>AND(#REF!,"AAAAAAprfwM=")</f>
        <v>#REF!</v>
      </c>
      <c r="E383" t="e">
        <f>AND(#REF!,"AAAAAAprfwQ=")</f>
        <v>#REF!</v>
      </c>
      <c r="F383" t="e">
        <f>AND(#REF!,"AAAAAAprfwU=")</f>
        <v>#REF!</v>
      </c>
      <c r="G383" t="e">
        <f>AND(#REF!,"AAAAAAprfwY=")</f>
        <v>#REF!</v>
      </c>
      <c r="H383" t="e">
        <f>AND(#REF!,"AAAAAAprfwc=")</f>
        <v>#REF!</v>
      </c>
      <c r="I383" t="e">
        <f>AND(#REF!,"AAAAAAprfwg=")</f>
        <v>#REF!</v>
      </c>
      <c r="J383" t="e">
        <f>AND(#REF!,"AAAAAAprfwk=")</f>
        <v>#REF!</v>
      </c>
      <c r="K383" t="e">
        <f>AND(#REF!,"AAAAAAprfwo=")</f>
        <v>#REF!</v>
      </c>
      <c r="L383" t="e">
        <f>AND(#REF!,"AAAAAAprfws=")</f>
        <v>#REF!</v>
      </c>
      <c r="M383" t="e">
        <f>AND(#REF!,"AAAAAAprfww=")</f>
        <v>#REF!</v>
      </c>
      <c r="N383" t="e">
        <f>AND(#REF!,"AAAAAAprfw0=")</f>
        <v>#REF!</v>
      </c>
      <c r="O383" t="e">
        <f>AND(#REF!,"AAAAAAprfw4=")</f>
        <v>#REF!</v>
      </c>
      <c r="P383" t="e">
        <f>AND(#REF!,"AAAAAAprfw8=")</f>
        <v>#REF!</v>
      </c>
      <c r="Q383" t="e">
        <f>AND(#REF!,"AAAAAAprfxA=")</f>
        <v>#REF!</v>
      </c>
      <c r="R383" t="e">
        <f>AND(#REF!,"AAAAAAprfxE=")</f>
        <v>#REF!</v>
      </c>
      <c r="S383" t="e">
        <f>IF(#REF!,"AAAAAAprfxI=",0)</f>
        <v>#REF!</v>
      </c>
      <c r="T383" t="e">
        <f>AND(#REF!,"AAAAAAprfxM=")</f>
        <v>#REF!</v>
      </c>
      <c r="U383" t="e">
        <f>AND(#REF!,"AAAAAAprfxQ=")</f>
        <v>#REF!</v>
      </c>
      <c r="V383" t="e">
        <f>AND(#REF!,"AAAAAAprfxU=")</f>
        <v>#REF!</v>
      </c>
      <c r="W383" t="e">
        <f>AND(#REF!,"AAAAAAprfxY=")</f>
        <v>#REF!</v>
      </c>
      <c r="X383" t="e">
        <f>AND(#REF!,"AAAAAAprfxc=")</f>
        <v>#REF!</v>
      </c>
      <c r="Y383" t="e">
        <f>AND(#REF!,"AAAAAAprfxg=")</f>
        <v>#REF!</v>
      </c>
      <c r="Z383" t="e">
        <f>AND(#REF!,"AAAAAAprfxk=")</f>
        <v>#REF!</v>
      </c>
      <c r="AA383" t="e">
        <f>AND(#REF!,"AAAAAAprfxo=")</f>
        <v>#REF!</v>
      </c>
      <c r="AB383" t="e">
        <f>AND(#REF!,"AAAAAAprfxs=")</f>
        <v>#REF!</v>
      </c>
      <c r="AC383" t="e">
        <f>AND(#REF!,"AAAAAAprfxw=")</f>
        <v>#REF!</v>
      </c>
      <c r="AD383" t="e">
        <f>AND(#REF!,"AAAAAAprfx0=")</f>
        <v>#REF!</v>
      </c>
      <c r="AE383" t="e">
        <f>AND(#REF!,"AAAAAAprfx4=")</f>
        <v>#REF!</v>
      </c>
      <c r="AF383" t="e">
        <f>AND(#REF!,"AAAAAAprfx8=")</f>
        <v>#REF!</v>
      </c>
      <c r="AG383" t="e">
        <f>AND(#REF!,"AAAAAAprfyA=")</f>
        <v>#REF!</v>
      </c>
      <c r="AH383" t="e">
        <f>AND(#REF!,"AAAAAAprfyE=")</f>
        <v>#REF!</v>
      </c>
      <c r="AI383" t="e">
        <f>AND(#REF!,"AAAAAAprfyI=")</f>
        <v>#REF!</v>
      </c>
      <c r="AJ383" t="e">
        <f>AND(#REF!,"AAAAAAprfyM=")</f>
        <v>#REF!</v>
      </c>
      <c r="AK383" t="e">
        <f>AND(#REF!,"AAAAAAprfyQ=")</f>
        <v>#REF!</v>
      </c>
      <c r="AL383" t="e">
        <f>AND(#REF!,"AAAAAAprfyU=")</f>
        <v>#REF!</v>
      </c>
      <c r="AM383" t="e">
        <f>AND(#REF!,"AAAAAAprfyY=")</f>
        <v>#REF!</v>
      </c>
      <c r="AN383" t="e">
        <f>AND(#REF!,"AAAAAAprfyc=")</f>
        <v>#REF!</v>
      </c>
      <c r="AO383" t="e">
        <f>AND(#REF!,"AAAAAAprfyg=")</f>
        <v>#REF!</v>
      </c>
      <c r="AP383" t="e">
        <f>AND(#REF!,"AAAAAAprfyk=")</f>
        <v>#REF!</v>
      </c>
      <c r="AQ383" t="e">
        <f>AND(#REF!,"AAAAAAprfyo=")</f>
        <v>#REF!</v>
      </c>
      <c r="AR383" t="e">
        <f>IF(#REF!,"AAAAAAprfys=",0)</f>
        <v>#REF!</v>
      </c>
      <c r="AS383" t="e">
        <f>AND(#REF!,"AAAAAAprfyw=")</f>
        <v>#REF!</v>
      </c>
      <c r="AT383" t="e">
        <f>AND(#REF!,"AAAAAAprfy0=")</f>
        <v>#REF!</v>
      </c>
      <c r="AU383" t="e">
        <f>AND(#REF!,"AAAAAAprfy4=")</f>
        <v>#REF!</v>
      </c>
      <c r="AV383" t="e">
        <f>AND(#REF!,"AAAAAAprfy8=")</f>
        <v>#REF!</v>
      </c>
      <c r="AW383" t="e">
        <f>AND(#REF!,"AAAAAAprfzA=")</f>
        <v>#REF!</v>
      </c>
      <c r="AX383" t="e">
        <f>AND(#REF!,"AAAAAAprfzE=")</f>
        <v>#REF!</v>
      </c>
      <c r="AY383" t="e">
        <f>AND(#REF!,"AAAAAAprfzI=")</f>
        <v>#REF!</v>
      </c>
      <c r="AZ383" t="e">
        <f>AND(#REF!,"AAAAAAprfzM=")</f>
        <v>#REF!</v>
      </c>
      <c r="BA383" t="e">
        <f>AND(#REF!,"AAAAAAprfzQ=")</f>
        <v>#REF!</v>
      </c>
      <c r="BB383" t="e">
        <f>AND(#REF!,"AAAAAAprfzU=")</f>
        <v>#REF!</v>
      </c>
      <c r="BC383" t="e">
        <f>AND(#REF!,"AAAAAAprfzY=")</f>
        <v>#REF!</v>
      </c>
      <c r="BD383" t="e">
        <f>AND(#REF!,"AAAAAAprfzc=")</f>
        <v>#REF!</v>
      </c>
      <c r="BE383" t="e">
        <f>AND(#REF!,"AAAAAAprfzg=")</f>
        <v>#REF!</v>
      </c>
      <c r="BF383" t="e">
        <f>AND(#REF!,"AAAAAAprfzk=")</f>
        <v>#REF!</v>
      </c>
      <c r="BG383" t="e">
        <f>AND(#REF!,"AAAAAAprfzo=")</f>
        <v>#REF!</v>
      </c>
      <c r="BH383" t="e">
        <f>AND(#REF!,"AAAAAAprfzs=")</f>
        <v>#REF!</v>
      </c>
      <c r="BI383" t="e">
        <f>AND(#REF!,"AAAAAAprfzw=")</f>
        <v>#REF!</v>
      </c>
      <c r="BJ383" t="e">
        <f>AND(#REF!,"AAAAAAprfz0=")</f>
        <v>#REF!</v>
      </c>
      <c r="BK383" t="e">
        <f>AND(#REF!,"AAAAAAprfz4=")</f>
        <v>#REF!</v>
      </c>
      <c r="BL383" t="e">
        <f>AND(#REF!,"AAAAAAprfz8=")</f>
        <v>#REF!</v>
      </c>
      <c r="BM383" t="e">
        <f>AND(#REF!,"AAAAAAprf0A=")</f>
        <v>#REF!</v>
      </c>
      <c r="BN383" t="e">
        <f>AND(#REF!,"AAAAAAprf0E=")</f>
        <v>#REF!</v>
      </c>
      <c r="BO383" t="e">
        <f>AND(#REF!,"AAAAAAprf0I=")</f>
        <v>#REF!</v>
      </c>
      <c r="BP383" t="e">
        <f>AND(#REF!,"AAAAAAprf0M=")</f>
        <v>#REF!</v>
      </c>
      <c r="BQ383" t="e">
        <f>IF(#REF!,"AAAAAAprf0Q=",0)</f>
        <v>#REF!</v>
      </c>
      <c r="BR383" t="e">
        <f>AND(#REF!,"AAAAAAprf0U=")</f>
        <v>#REF!</v>
      </c>
      <c r="BS383" t="e">
        <f>AND(#REF!,"AAAAAAprf0Y=")</f>
        <v>#REF!</v>
      </c>
      <c r="BT383" t="e">
        <f>AND(#REF!,"AAAAAAprf0c=")</f>
        <v>#REF!</v>
      </c>
      <c r="BU383" t="e">
        <f>AND(#REF!,"AAAAAAprf0g=")</f>
        <v>#REF!</v>
      </c>
      <c r="BV383" t="e">
        <f>AND(#REF!,"AAAAAAprf0k=")</f>
        <v>#REF!</v>
      </c>
      <c r="BW383" t="e">
        <f>AND(#REF!,"AAAAAAprf0o=")</f>
        <v>#REF!</v>
      </c>
      <c r="BX383" t="e">
        <f>AND(#REF!,"AAAAAAprf0s=")</f>
        <v>#REF!</v>
      </c>
      <c r="BY383" t="e">
        <f>AND(#REF!,"AAAAAAprf0w=")</f>
        <v>#REF!</v>
      </c>
      <c r="BZ383" t="e">
        <f>AND(#REF!,"AAAAAAprf00=")</f>
        <v>#REF!</v>
      </c>
      <c r="CA383" t="e">
        <f>AND(#REF!,"AAAAAAprf04=")</f>
        <v>#REF!</v>
      </c>
      <c r="CB383" t="e">
        <f>AND(#REF!,"AAAAAAprf08=")</f>
        <v>#REF!</v>
      </c>
      <c r="CC383" t="e">
        <f>AND(#REF!,"AAAAAAprf1A=")</f>
        <v>#REF!</v>
      </c>
      <c r="CD383" t="e">
        <f>AND(#REF!,"AAAAAAprf1E=")</f>
        <v>#REF!</v>
      </c>
      <c r="CE383" t="e">
        <f>AND(#REF!,"AAAAAAprf1I=")</f>
        <v>#REF!</v>
      </c>
      <c r="CF383" t="e">
        <f>AND(#REF!,"AAAAAAprf1M=")</f>
        <v>#REF!</v>
      </c>
      <c r="CG383" t="e">
        <f>AND(#REF!,"AAAAAAprf1Q=")</f>
        <v>#REF!</v>
      </c>
      <c r="CH383" t="e">
        <f>AND(#REF!,"AAAAAAprf1U=")</f>
        <v>#REF!</v>
      </c>
      <c r="CI383" t="e">
        <f>AND(#REF!,"AAAAAAprf1Y=")</f>
        <v>#REF!</v>
      </c>
      <c r="CJ383" t="e">
        <f>AND(#REF!,"AAAAAAprf1c=")</f>
        <v>#REF!</v>
      </c>
      <c r="CK383" t="e">
        <f>AND(#REF!,"AAAAAAprf1g=")</f>
        <v>#REF!</v>
      </c>
      <c r="CL383" t="e">
        <f>AND(#REF!,"AAAAAAprf1k=")</f>
        <v>#REF!</v>
      </c>
      <c r="CM383" t="e">
        <f>AND(#REF!,"AAAAAAprf1o=")</f>
        <v>#REF!</v>
      </c>
      <c r="CN383" t="e">
        <f>AND(#REF!,"AAAAAAprf1s=")</f>
        <v>#REF!</v>
      </c>
      <c r="CO383" t="e">
        <f>AND(#REF!,"AAAAAAprf1w=")</f>
        <v>#REF!</v>
      </c>
      <c r="CP383" t="e">
        <f>IF(#REF!,"AAAAAAprf10=",0)</f>
        <v>#REF!</v>
      </c>
      <c r="CQ383" t="e">
        <f>AND(#REF!,"AAAAAAprf14=")</f>
        <v>#REF!</v>
      </c>
      <c r="CR383" t="e">
        <f>AND(#REF!,"AAAAAAprf18=")</f>
        <v>#REF!</v>
      </c>
      <c r="CS383" t="e">
        <f>AND(#REF!,"AAAAAAprf2A=")</f>
        <v>#REF!</v>
      </c>
      <c r="CT383" t="e">
        <f>AND(#REF!,"AAAAAAprf2E=")</f>
        <v>#REF!</v>
      </c>
      <c r="CU383" t="e">
        <f>AND(#REF!,"AAAAAAprf2I=")</f>
        <v>#REF!</v>
      </c>
      <c r="CV383" t="e">
        <f>AND(#REF!,"AAAAAAprf2M=")</f>
        <v>#REF!</v>
      </c>
      <c r="CW383" t="e">
        <f>AND(#REF!,"AAAAAAprf2Q=")</f>
        <v>#REF!</v>
      </c>
      <c r="CX383" t="e">
        <f>AND(#REF!,"AAAAAAprf2U=")</f>
        <v>#REF!</v>
      </c>
      <c r="CY383" t="e">
        <f>AND(#REF!,"AAAAAAprf2Y=")</f>
        <v>#REF!</v>
      </c>
      <c r="CZ383" t="e">
        <f>AND(#REF!,"AAAAAAprf2c=")</f>
        <v>#REF!</v>
      </c>
      <c r="DA383" t="e">
        <f>AND(#REF!,"AAAAAAprf2g=")</f>
        <v>#REF!</v>
      </c>
      <c r="DB383" t="e">
        <f>AND(#REF!,"AAAAAAprf2k=")</f>
        <v>#REF!</v>
      </c>
      <c r="DC383" t="e">
        <f>AND(#REF!,"AAAAAAprf2o=")</f>
        <v>#REF!</v>
      </c>
      <c r="DD383" t="e">
        <f>AND(#REF!,"AAAAAAprf2s=")</f>
        <v>#REF!</v>
      </c>
      <c r="DE383" t="e">
        <f>AND(#REF!,"AAAAAAprf2w=")</f>
        <v>#REF!</v>
      </c>
      <c r="DF383" t="e">
        <f>AND(#REF!,"AAAAAAprf20=")</f>
        <v>#REF!</v>
      </c>
      <c r="DG383" t="e">
        <f>AND(#REF!,"AAAAAAprf24=")</f>
        <v>#REF!</v>
      </c>
      <c r="DH383" t="e">
        <f>AND(#REF!,"AAAAAAprf28=")</f>
        <v>#REF!</v>
      </c>
      <c r="DI383" t="e">
        <f>AND(#REF!,"AAAAAAprf3A=")</f>
        <v>#REF!</v>
      </c>
      <c r="DJ383" t="e">
        <f>AND(#REF!,"AAAAAAprf3E=")</f>
        <v>#REF!</v>
      </c>
      <c r="DK383" t="e">
        <f>AND(#REF!,"AAAAAAprf3I=")</f>
        <v>#REF!</v>
      </c>
      <c r="DL383" t="e">
        <f>AND(#REF!,"AAAAAAprf3M=")</f>
        <v>#REF!</v>
      </c>
      <c r="DM383" t="e">
        <f>AND(#REF!,"AAAAAAprf3Q=")</f>
        <v>#REF!</v>
      </c>
      <c r="DN383" t="e">
        <f>AND(#REF!,"AAAAAAprf3U=")</f>
        <v>#REF!</v>
      </c>
      <c r="DO383" t="e">
        <f>IF(#REF!,"AAAAAAprf3Y=",0)</f>
        <v>#REF!</v>
      </c>
      <c r="DP383" t="e">
        <f>AND(#REF!,"AAAAAAprf3c=")</f>
        <v>#REF!</v>
      </c>
      <c r="DQ383" t="e">
        <f>AND(#REF!,"AAAAAAprf3g=")</f>
        <v>#REF!</v>
      </c>
      <c r="DR383" t="e">
        <f>AND(#REF!,"AAAAAAprf3k=")</f>
        <v>#REF!</v>
      </c>
      <c r="DS383" t="e">
        <f>AND(#REF!,"AAAAAAprf3o=")</f>
        <v>#REF!</v>
      </c>
      <c r="DT383" t="e">
        <f>AND(#REF!,"AAAAAAprf3s=")</f>
        <v>#REF!</v>
      </c>
      <c r="DU383" t="e">
        <f>AND(#REF!,"AAAAAAprf3w=")</f>
        <v>#REF!</v>
      </c>
      <c r="DV383" t="e">
        <f>AND(#REF!,"AAAAAAprf30=")</f>
        <v>#REF!</v>
      </c>
      <c r="DW383" t="e">
        <f>AND(#REF!,"AAAAAAprf34=")</f>
        <v>#REF!</v>
      </c>
      <c r="DX383" t="e">
        <f>AND(#REF!,"AAAAAAprf38=")</f>
        <v>#REF!</v>
      </c>
      <c r="DY383" t="e">
        <f>AND(#REF!,"AAAAAAprf4A=")</f>
        <v>#REF!</v>
      </c>
      <c r="DZ383" t="e">
        <f>AND(#REF!,"AAAAAAprf4E=")</f>
        <v>#REF!</v>
      </c>
      <c r="EA383" t="e">
        <f>AND(#REF!,"AAAAAAprf4I=")</f>
        <v>#REF!</v>
      </c>
      <c r="EB383" t="e">
        <f>AND(#REF!,"AAAAAAprf4M=")</f>
        <v>#REF!</v>
      </c>
      <c r="EC383" t="e">
        <f>AND(#REF!,"AAAAAAprf4Q=")</f>
        <v>#REF!</v>
      </c>
      <c r="ED383" t="e">
        <f>AND(#REF!,"AAAAAAprf4U=")</f>
        <v>#REF!</v>
      </c>
      <c r="EE383" t="e">
        <f>AND(#REF!,"AAAAAAprf4Y=")</f>
        <v>#REF!</v>
      </c>
      <c r="EF383" t="e">
        <f>AND(#REF!,"AAAAAAprf4c=")</f>
        <v>#REF!</v>
      </c>
      <c r="EG383" t="e">
        <f>AND(#REF!,"AAAAAAprf4g=")</f>
        <v>#REF!</v>
      </c>
      <c r="EH383" t="e">
        <f>AND(#REF!,"AAAAAAprf4k=")</f>
        <v>#REF!</v>
      </c>
      <c r="EI383" t="e">
        <f>AND(#REF!,"AAAAAAprf4o=")</f>
        <v>#REF!</v>
      </c>
      <c r="EJ383" t="e">
        <f>AND(#REF!,"AAAAAAprf4s=")</f>
        <v>#REF!</v>
      </c>
      <c r="EK383" t="e">
        <f>AND(#REF!,"AAAAAAprf4w=")</f>
        <v>#REF!</v>
      </c>
      <c r="EL383" t="e">
        <f>AND(#REF!,"AAAAAAprf40=")</f>
        <v>#REF!</v>
      </c>
      <c r="EM383" t="e">
        <f>AND(#REF!,"AAAAAAprf44=")</f>
        <v>#REF!</v>
      </c>
      <c r="EN383" t="e">
        <f>IF(#REF!,"AAAAAAprf48=",0)</f>
        <v>#REF!</v>
      </c>
      <c r="EO383" t="e">
        <f>AND(#REF!,"AAAAAAprf5A=")</f>
        <v>#REF!</v>
      </c>
      <c r="EP383" t="e">
        <f>AND(#REF!,"AAAAAAprf5E=")</f>
        <v>#REF!</v>
      </c>
      <c r="EQ383" t="e">
        <f>AND(#REF!,"AAAAAAprf5I=")</f>
        <v>#REF!</v>
      </c>
      <c r="ER383" t="e">
        <f>AND(#REF!,"AAAAAAprf5M=")</f>
        <v>#REF!</v>
      </c>
      <c r="ES383" t="e">
        <f>AND(#REF!,"AAAAAAprf5Q=")</f>
        <v>#REF!</v>
      </c>
      <c r="ET383" t="e">
        <f>AND(#REF!,"AAAAAAprf5U=")</f>
        <v>#REF!</v>
      </c>
      <c r="EU383" t="e">
        <f>AND(#REF!,"AAAAAAprf5Y=")</f>
        <v>#REF!</v>
      </c>
      <c r="EV383" t="e">
        <f>AND(#REF!,"AAAAAAprf5c=")</f>
        <v>#REF!</v>
      </c>
      <c r="EW383" t="e">
        <f>AND(#REF!,"AAAAAAprf5g=")</f>
        <v>#REF!</v>
      </c>
      <c r="EX383" t="e">
        <f>AND(#REF!,"AAAAAAprf5k=")</f>
        <v>#REF!</v>
      </c>
      <c r="EY383" t="e">
        <f>AND(#REF!,"AAAAAAprf5o=")</f>
        <v>#REF!</v>
      </c>
      <c r="EZ383" t="e">
        <f>AND(#REF!,"AAAAAAprf5s=")</f>
        <v>#REF!</v>
      </c>
      <c r="FA383" t="e">
        <f>AND(#REF!,"AAAAAAprf5w=")</f>
        <v>#REF!</v>
      </c>
      <c r="FB383" t="e">
        <f>AND(#REF!,"AAAAAAprf50=")</f>
        <v>#REF!</v>
      </c>
      <c r="FC383" t="e">
        <f>AND(#REF!,"AAAAAAprf54=")</f>
        <v>#REF!</v>
      </c>
      <c r="FD383" t="e">
        <f>AND(#REF!,"AAAAAAprf58=")</f>
        <v>#REF!</v>
      </c>
      <c r="FE383" t="e">
        <f>AND(#REF!,"AAAAAAprf6A=")</f>
        <v>#REF!</v>
      </c>
      <c r="FF383" t="e">
        <f>AND(#REF!,"AAAAAAprf6E=")</f>
        <v>#REF!</v>
      </c>
      <c r="FG383" t="e">
        <f>AND(#REF!,"AAAAAAprf6I=")</f>
        <v>#REF!</v>
      </c>
      <c r="FH383" t="e">
        <f>AND(#REF!,"AAAAAAprf6M=")</f>
        <v>#REF!</v>
      </c>
      <c r="FI383" t="e">
        <f>AND(#REF!,"AAAAAAprf6Q=")</f>
        <v>#REF!</v>
      </c>
      <c r="FJ383" t="e">
        <f>AND(#REF!,"AAAAAAprf6U=")</f>
        <v>#REF!</v>
      </c>
      <c r="FK383" t="e">
        <f>AND(#REF!,"AAAAAAprf6Y=")</f>
        <v>#REF!</v>
      </c>
      <c r="FL383" t="e">
        <f>AND(#REF!,"AAAAAAprf6c=")</f>
        <v>#REF!</v>
      </c>
      <c r="FM383" t="e">
        <f>IF(#REF!,"AAAAAAprf6g=",0)</f>
        <v>#REF!</v>
      </c>
      <c r="FN383" t="e">
        <f>AND(#REF!,"AAAAAAprf6k=")</f>
        <v>#REF!</v>
      </c>
      <c r="FO383" t="e">
        <f>AND(#REF!,"AAAAAAprf6o=")</f>
        <v>#REF!</v>
      </c>
      <c r="FP383" t="e">
        <f>AND(#REF!,"AAAAAAprf6s=")</f>
        <v>#REF!</v>
      </c>
      <c r="FQ383" t="e">
        <f>AND(#REF!,"AAAAAAprf6w=")</f>
        <v>#REF!</v>
      </c>
      <c r="FR383" t="e">
        <f>AND(#REF!,"AAAAAAprf60=")</f>
        <v>#REF!</v>
      </c>
      <c r="FS383" t="e">
        <f>AND(#REF!,"AAAAAAprf64=")</f>
        <v>#REF!</v>
      </c>
      <c r="FT383" t="e">
        <f>AND(#REF!,"AAAAAAprf68=")</f>
        <v>#REF!</v>
      </c>
      <c r="FU383" t="e">
        <f>AND(#REF!,"AAAAAAprf7A=")</f>
        <v>#REF!</v>
      </c>
      <c r="FV383" t="e">
        <f>AND(#REF!,"AAAAAAprf7E=")</f>
        <v>#REF!</v>
      </c>
      <c r="FW383" t="e">
        <f>AND(#REF!,"AAAAAAprf7I=")</f>
        <v>#REF!</v>
      </c>
      <c r="FX383" t="e">
        <f>AND(#REF!,"AAAAAAprf7M=")</f>
        <v>#REF!</v>
      </c>
      <c r="FY383" t="e">
        <f>AND(#REF!,"AAAAAAprf7Q=")</f>
        <v>#REF!</v>
      </c>
      <c r="FZ383" t="e">
        <f>AND(#REF!,"AAAAAAprf7U=")</f>
        <v>#REF!</v>
      </c>
      <c r="GA383" t="e">
        <f>AND(#REF!,"AAAAAAprf7Y=")</f>
        <v>#REF!</v>
      </c>
      <c r="GB383" t="e">
        <f>AND(#REF!,"AAAAAAprf7c=")</f>
        <v>#REF!</v>
      </c>
      <c r="GC383" t="e">
        <f>AND(#REF!,"AAAAAAprf7g=")</f>
        <v>#REF!</v>
      </c>
      <c r="GD383" t="e">
        <f>AND(#REF!,"AAAAAAprf7k=")</f>
        <v>#REF!</v>
      </c>
      <c r="GE383" t="e">
        <f>AND(#REF!,"AAAAAAprf7o=")</f>
        <v>#REF!</v>
      </c>
      <c r="GF383" t="e">
        <f>AND(#REF!,"AAAAAAprf7s=")</f>
        <v>#REF!</v>
      </c>
      <c r="GG383" t="e">
        <f>AND(#REF!,"AAAAAAprf7w=")</f>
        <v>#REF!</v>
      </c>
      <c r="GH383" t="e">
        <f>AND(#REF!,"AAAAAAprf70=")</f>
        <v>#REF!</v>
      </c>
      <c r="GI383" t="e">
        <f>AND(#REF!,"AAAAAAprf74=")</f>
        <v>#REF!</v>
      </c>
      <c r="GJ383" t="e">
        <f>AND(#REF!,"AAAAAAprf78=")</f>
        <v>#REF!</v>
      </c>
      <c r="GK383" t="e">
        <f>AND(#REF!,"AAAAAAprf8A=")</f>
        <v>#REF!</v>
      </c>
      <c r="GL383" t="e">
        <f>IF(#REF!,"AAAAAAprf8E=",0)</f>
        <v>#REF!</v>
      </c>
      <c r="GM383" t="e">
        <f>AND(#REF!,"AAAAAAprf8I=")</f>
        <v>#REF!</v>
      </c>
      <c r="GN383" t="e">
        <f>AND(#REF!,"AAAAAAprf8M=")</f>
        <v>#REF!</v>
      </c>
      <c r="GO383" t="e">
        <f>AND(#REF!,"AAAAAAprf8Q=")</f>
        <v>#REF!</v>
      </c>
      <c r="GP383" t="e">
        <f>AND(#REF!,"AAAAAAprf8U=")</f>
        <v>#REF!</v>
      </c>
      <c r="GQ383" t="e">
        <f>AND(#REF!,"AAAAAAprf8Y=")</f>
        <v>#REF!</v>
      </c>
      <c r="GR383" t="e">
        <f>AND(#REF!,"AAAAAAprf8c=")</f>
        <v>#REF!</v>
      </c>
      <c r="GS383" t="e">
        <f>AND(#REF!,"AAAAAAprf8g=")</f>
        <v>#REF!</v>
      </c>
      <c r="GT383" t="e">
        <f>AND(#REF!,"AAAAAAprf8k=")</f>
        <v>#REF!</v>
      </c>
      <c r="GU383" t="e">
        <f>AND(#REF!,"AAAAAAprf8o=")</f>
        <v>#REF!</v>
      </c>
      <c r="GV383" t="e">
        <f>AND(#REF!,"AAAAAAprf8s=")</f>
        <v>#REF!</v>
      </c>
      <c r="GW383" t="e">
        <f>AND(#REF!,"AAAAAAprf8w=")</f>
        <v>#REF!</v>
      </c>
      <c r="GX383" t="e">
        <f>AND(#REF!,"AAAAAAprf80=")</f>
        <v>#REF!</v>
      </c>
      <c r="GY383" t="e">
        <f>AND(#REF!,"AAAAAAprf84=")</f>
        <v>#REF!</v>
      </c>
      <c r="GZ383" t="e">
        <f>AND(#REF!,"AAAAAAprf88=")</f>
        <v>#REF!</v>
      </c>
      <c r="HA383" t="e">
        <f>AND(#REF!,"AAAAAAprf9A=")</f>
        <v>#REF!</v>
      </c>
      <c r="HB383" t="e">
        <f>AND(#REF!,"AAAAAAprf9E=")</f>
        <v>#REF!</v>
      </c>
      <c r="HC383" t="e">
        <f>AND(#REF!,"AAAAAAprf9I=")</f>
        <v>#REF!</v>
      </c>
      <c r="HD383" t="e">
        <f>AND(#REF!,"AAAAAAprf9M=")</f>
        <v>#REF!</v>
      </c>
      <c r="HE383" t="e">
        <f>AND(#REF!,"AAAAAAprf9Q=")</f>
        <v>#REF!</v>
      </c>
      <c r="HF383" t="e">
        <f>AND(#REF!,"AAAAAAprf9U=")</f>
        <v>#REF!</v>
      </c>
      <c r="HG383" t="e">
        <f>AND(#REF!,"AAAAAAprf9Y=")</f>
        <v>#REF!</v>
      </c>
      <c r="HH383" t="e">
        <f>AND(#REF!,"AAAAAAprf9c=")</f>
        <v>#REF!</v>
      </c>
      <c r="HI383" t="e">
        <f>AND(#REF!,"AAAAAAprf9g=")</f>
        <v>#REF!</v>
      </c>
      <c r="HJ383" t="e">
        <f>AND(#REF!,"AAAAAAprf9k=")</f>
        <v>#REF!</v>
      </c>
      <c r="HK383" t="e">
        <f>IF(#REF!,"AAAAAAprf9o=",0)</f>
        <v>#REF!</v>
      </c>
      <c r="HL383" t="e">
        <f>AND(#REF!,"AAAAAAprf9s=")</f>
        <v>#REF!</v>
      </c>
      <c r="HM383" t="e">
        <f>AND(#REF!,"AAAAAAprf9w=")</f>
        <v>#REF!</v>
      </c>
      <c r="HN383" t="e">
        <f>AND(#REF!,"AAAAAAprf90=")</f>
        <v>#REF!</v>
      </c>
      <c r="HO383" t="e">
        <f>AND(#REF!,"AAAAAAprf94=")</f>
        <v>#REF!</v>
      </c>
      <c r="HP383" t="e">
        <f>AND(#REF!,"AAAAAAprf98=")</f>
        <v>#REF!</v>
      </c>
      <c r="HQ383" t="e">
        <f>AND(#REF!,"AAAAAAprf+A=")</f>
        <v>#REF!</v>
      </c>
      <c r="HR383" t="e">
        <f>AND(#REF!,"AAAAAAprf+E=")</f>
        <v>#REF!</v>
      </c>
      <c r="HS383" t="e">
        <f>AND(#REF!,"AAAAAAprf+I=")</f>
        <v>#REF!</v>
      </c>
      <c r="HT383" t="e">
        <f>AND(#REF!,"AAAAAAprf+M=")</f>
        <v>#REF!</v>
      </c>
      <c r="HU383" t="e">
        <f>AND(#REF!,"AAAAAAprf+Q=")</f>
        <v>#REF!</v>
      </c>
      <c r="HV383" t="e">
        <f>AND(#REF!,"AAAAAAprf+U=")</f>
        <v>#REF!</v>
      </c>
      <c r="HW383" t="e">
        <f>AND(#REF!,"AAAAAAprf+Y=")</f>
        <v>#REF!</v>
      </c>
      <c r="HX383" t="e">
        <f>AND(#REF!,"AAAAAAprf+c=")</f>
        <v>#REF!</v>
      </c>
      <c r="HY383" t="e">
        <f>AND(#REF!,"AAAAAAprf+g=")</f>
        <v>#REF!</v>
      </c>
      <c r="HZ383" t="e">
        <f>AND(#REF!,"AAAAAAprf+k=")</f>
        <v>#REF!</v>
      </c>
      <c r="IA383" t="e">
        <f>AND(#REF!,"AAAAAAprf+o=")</f>
        <v>#REF!</v>
      </c>
      <c r="IB383" t="e">
        <f>AND(#REF!,"AAAAAAprf+s=")</f>
        <v>#REF!</v>
      </c>
      <c r="IC383" t="e">
        <f>AND(#REF!,"AAAAAAprf+w=")</f>
        <v>#REF!</v>
      </c>
      <c r="ID383" t="e">
        <f>AND(#REF!,"AAAAAAprf+0=")</f>
        <v>#REF!</v>
      </c>
      <c r="IE383" t="e">
        <f>AND(#REF!,"AAAAAAprf+4=")</f>
        <v>#REF!</v>
      </c>
      <c r="IF383" t="e">
        <f>AND(#REF!,"AAAAAAprf+8=")</f>
        <v>#REF!</v>
      </c>
      <c r="IG383" t="e">
        <f>AND(#REF!,"AAAAAAprf/A=")</f>
        <v>#REF!</v>
      </c>
      <c r="IH383" t="e">
        <f>AND(#REF!,"AAAAAAprf/E=")</f>
        <v>#REF!</v>
      </c>
      <c r="II383" t="e">
        <f>AND(#REF!,"AAAAAAprf/I=")</f>
        <v>#REF!</v>
      </c>
      <c r="IJ383" t="e">
        <f>IF(#REF!,"AAAAAAprf/M=",0)</f>
        <v>#REF!</v>
      </c>
      <c r="IK383" t="e">
        <f>AND(#REF!,"AAAAAAprf/Q=")</f>
        <v>#REF!</v>
      </c>
      <c r="IL383" t="e">
        <f>AND(#REF!,"AAAAAAprf/U=")</f>
        <v>#REF!</v>
      </c>
      <c r="IM383" t="e">
        <f>AND(#REF!,"AAAAAAprf/Y=")</f>
        <v>#REF!</v>
      </c>
      <c r="IN383" t="e">
        <f>AND(#REF!,"AAAAAAprf/c=")</f>
        <v>#REF!</v>
      </c>
      <c r="IO383" t="e">
        <f>AND(#REF!,"AAAAAAprf/g=")</f>
        <v>#REF!</v>
      </c>
      <c r="IP383" t="e">
        <f>AND(#REF!,"AAAAAAprf/k=")</f>
        <v>#REF!</v>
      </c>
      <c r="IQ383" t="e">
        <f>AND(#REF!,"AAAAAAprf/o=")</f>
        <v>#REF!</v>
      </c>
      <c r="IR383" t="e">
        <f>AND(#REF!,"AAAAAAprf/s=")</f>
        <v>#REF!</v>
      </c>
      <c r="IS383" t="e">
        <f>AND(#REF!,"AAAAAAprf/w=")</f>
        <v>#REF!</v>
      </c>
      <c r="IT383" t="e">
        <f>AND(#REF!,"AAAAAAprf/0=")</f>
        <v>#REF!</v>
      </c>
      <c r="IU383" t="e">
        <f>AND(#REF!,"AAAAAAprf/4=")</f>
        <v>#REF!</v>
      </c>
      <c r="IV383" t="e">
        <f>AND(#REF!,"AAAAAAprf/8=")</f>
        <v>#REF!</v>
      </c>
    </row>
    <row r="384" spans="1:256">
      <c r="A384" t="e">
        <f>AND(#REF!,"AAAAAHvtewA=")</f>
        <v>#REF!</v>
      </c>
      <c r="B384" t="e">
        <f>AND(#REF!,"AAAAAHvtewE=")</f>
        <v>#REF!</v>
      </c>
      <c r="C384" t="e">
        <f>AND(#REF!,"AAAAAHvtewI=")</f>
        <v>#REF!</v>
      </c>
      <c r="D384" t="e">
        <f>AND(#REF!,"AAAAAHvtewM=")</f>
        <v>#REF!</v>
      </c>
      <c r="E384" t="e">
        <f>AND(#REF!,"AAAAAHvtewQ=")</f>
        <v>#REF!</v>
      </c>
      <c r="F384" t="e">
        <f>AND(#REF!,"AAAAAHvtewU=")</f>
        <v>#REF!</v>
      </c>
      <c r="G384" t="e">
        <f>AND(#REF!,"AAAAAHvtewY=")</f>
        <v>#REF!</v>
      </c>
      <c r="H384" t="e">
        <f>AND(#REF!,"AAAAAHvtewc=")</f>
        <v>#REF!</v>
      </c>
      <c r="I384" t="e">
        <f>AND(#REF!,"AAAAAHvtewg=")</f>
        <v>#REF!</v>
      </c>
      <c r="J384" t="e">
        <f>AND(#REF!,"AAAAAHvtewk=")</f>
        <v>#REF!</v>
      </c>
      <c r="K384" t="e">
        <f>AND(#REF!,"AAAAAHvtewo=")</f>
        <v>#REF!</v>
      </c>
      <c r="L384" t="e">
        <f>AND(#REF!,"AAAAAHvtews=")</f>
        <v>#REF!</v>
      </c>
      <c r="M384" t="e">
        <f>IF(#REF!,"AAAAAHvteww=",0)</f>
        <v>#REF!</v>
      </c>
      <c r="N384" t="e">
        <f>AND(#REF!,"AAAAAHvtew0=")</f>
        <v>#REF!</v>
      </c>
      <c r="O384" t="e">
        <f>AND(#REF!,"AAAAAHvtew4=")</f>
        <v>#REF!</v>
      </c>
      <c r="P384" t="e">
        <f>AND(#REF!,"AAAAAHvtew8=")</f>
        <v>#REF!</v>
      </c>
      <c r="Q384" t="e">
        <f>AND(#REF!,"AAAAAHvtexA=")</f>
        <v>#REF!</v>
      </c>
      <c r="R384" t="e">
        <f>AND(#REF!,"AAAAAHvtexE=")</f>
        <v>#REF!</v>
      </c>
      <c r="S384" t="e">
        <f>AND(#REF!,"AAAAAHvtexI=")</f>
        <v>#REF!</v>
      </c>
      <c r="T384" t="e">
        <f>AND(#REF!,"AAAAAHvtexM=")</f>
        <v>#REF!</v>
      </c>
      <c r="U384" t="e">
        <f>AND(#REF!,"AAAAAHvtexQ=")</f>
        <v>#REF!</v>
      </c>
      <c r="V384" t="e">
        <f>AND(#REF!,"AAAAAHvtexU=")</f>
        <v>#REF!</v>
      </c>
      <c r="W384" t="e">
        <f>AND(#REF!,"AAAAAHvtexY=")</f>
        <v>#REF!</v>
      </c>
      <c r="X384" t="e">
        <f>AND(#REF!,"AAAAAHvtexc=")</f>
        <v>#REF!</v>
      </c>
      <c r="Y384" t="e">
        <f>AND(#REF!,"AAAAAHvtexg=")</f>
        <v>#REF!</v>
      </c>
      <c r="Z384" t="e">
        <f>AND(#REF!,"AAAAAHvtexk=")</f>
        <v>#REF!</v>
      </c>
      <c r="AA384" t="e">
        <f>AND(#REF!,"AAAAAHvtexo=")</f>
        <v>#REF!</v>
      </c>
      <c r="AB384" t="e">
        <f>AND(#REF!,"AAAAAHvtexs=")</f>
        <v>#REF!</v>
      </c>
      <c r="AC384" t="e">
        <f>AND(#REF!,"AAAAAHvtexw=")</f>
        <v>#REF!</v>
      </c>
      <c r="AD384" t="e">
        <f>AND(#REF!,"AAAAAHvtex0=")</f>
        <v>#REF!</v>
      </c>
      <c r="AE384" t="e">
        <f>AND(#REF!,"AAAAAHvtex4=")</f>
        <v>#REF!</v>
      </c>
      <c r="AF384" t="e">
        <f>AND(#REF!,"AAAAAHvtex8=")</f>
        <v>#REF!</v>
      </c>
      <c r="AG384" t="e">
        <f>AND(#REF!,"AAAAAHvteyA=")</f>
        <v>#REF!</v>
      </c>
      <c r="AH384" t="e">
        <f>AND(#REF!,"AAAAAHvteyE=")</f>
        <v>#REF!</v>
      </c>
      <c r="AI384" t="e">
        <f>AND(#REF!,"AAAAAHvteyI=")</f>
        <v>#REF!</v>
      </c>
      <c r="AJ384" t="e">
        <f>AND(#REF!,"AAAAAHvteyM=")</f>
        <v>#REF!</v>
      </c>
      <c r="AK384" t="e">
        <f>AND(#REF!,"AAAAAHvteyQ=")</f>
        <v>#REF!</v>
      </c>
      <c r="AL384" t="e">
        <f>IF(#REF!,"AAAAAHvteyU=",0)</f>
        <v>#REF!</v>
      </c>
      <c r="AM384" t="e">
        <f>AND(#REF!,"AAAAAHvteyY=")</f>
        <v>#REF!</v>
      </c>
      <c r="AN384" t="e">
        <f>AND(#REF!,"AAAAAHvteyc=")</f>
        <v>#REF!</v>
      </c>
      <c r="AO384" t="e">
        <f>AND(#REF!,"AAAAAHvteyg=")</f>
        <v>#REF!</v>
      </c>
      <c r="AP384" t="e">
        <f>AND(#REF!,"AAAAAHvteyk=")</f>
        <v>#REF!</v>
      </c>
      <c r="AQ384" t="e">
        <f>AND(#REF!,"AAAAAHvteyo=")</f>
        <v>#REF!</v>
      </c>
      <c r="AR384" t="e">
        <f>AND(#REF!,"AAAAAHvteys=")</f>
        <v>#REF!</v>
      </c>
      <c r="AS384" t="e">
        <f>AND(#REF!,"AAAAAHvteyw=")</f>
        <v>#REF!</v>
      </c>
      <c r="AT384" t="e">
        <f>AND(#REF!,"AAAAAHvtey0=")</f>
        <v>#REF!</v>
      </c>
      <c r="AU384" t="e">
        <f>AND(#REF!,"AAAAAHvtey4=")</f>
        <v>#REF!</v>
      </c>
      <c r="AV384" t="e">
        <f>AND(#REF!,"AAAAAHvtey8=")</f>
        <v>#REF!</v>
      </c>
      <c r="AW384" t="e">
        <f>AND(#REF!,"AAAAAHvtezA=")</f>
        <v>#REF!</v>
      </c>
      <c r="AX384" t="e">
        <f>AND(#REF!,"AAAAAHvtezE=")</f>
        <v>#REF!</v>
      </c>
      <c r="AY384" t="e">
        <f>AND(#REF!,"AAAAAHvtezI=")</f>
        <v>#REF!</v>
      </c>
      <c r="AZ384" t="e">
        <f>AND(#REF!,"AAAAAHvtezM=")</f>
        <v>#REF!</v>
      </c>
      <c r="BA384" t="e">
        <f>AND(#REF!,"AAAAAHvtezQ=")</f>
        <v>#REF!</v>
      </c>
      <c r="BB384" t="e">
        <f>AND(#REF!,"AAAAAHvtezU=")</f>
        <v>#REF!</v>
      </c>
      <c r="BC384" t="e">
        <f>AND(#REF!,"AAAAAHvtezY=")</f>
        <v>#REF!</v>
      </c>
      <c r="BD384" t="e">
        <f>AND(#REF!,"AAAAAHvtezc=")</f>
        <v>#REF!</v>
      </c>
      <c r="BE384" t="e">
        <f>AND(#REF!,"AAAAAHvtezg=")</f>
        <v>#REF!</v>
      </c>
      <c r="BF384" t="e">
        <f>AND(#REF!,"AAAAAHvtezk=")</f>
        <v>#REF!</v>
      </c>
      <c r="BG384" t="e">
        <f>AND(#REF!,"AAAAAHvtezo=")</f>
        <v>#REF!</v>
      </c>
      <c r="BH384" t="e">
        <f>AND(#REF!,"AAAAAHvtezs=")</f>
        <v>#REF!</v>
      </c>
      <c r="BI384" t="e">
        <f>AND(#REF!,"AAAAAHvtezw=")</f>
        <v>#REF!</v>
      </c>
      <c r="BJ384" t="e">
        <f>AND(#REF!,"AAAAAHvtez0=")</f>
        <v>#REF!</v>
      </c>
      <c r="BK384" t="e">
        <f>IF(#REF!,"AAAAAHvtez4=",0)</f>
        <v>#REF!</v>
      </c>
      <c r="BL384" t="e">
        <f>AND(#REF!,"AAAAAHvtez8=")</f>
        <v>#REF!</v>
      </c>
      <c r="BM384" t="e">
        <f>AND(#REF!,"AAAAAHvte0A=")</f>
        <v>#REF!</v>
      </c>
      <c r="BN384" t="e">
        <f>AND(#REF!,"AAAAAHvte0E=")</f>
        <v>#REF!</v>
      </c>
      <c r="BO384" t="e">
        <f>AND(#REF!,"AAAAAHvte0I=")</f>
        <v>#REF!</v>
      </c>
      <c r="BP384" t="e">
        <f>AND(#REF!,"AAAAAHvte0M=")</f>
        <v>#REF!</v>
      </c>
      <c r="BQ384" t="e">
        <f>AND(#REF!,"AAAAAHvte0Q=")</f>
        <v>#REF!</v>
      </c>
      <c r="BR384" t="e">
        <f>AND(#REF!,"AAAAAHvte0U=")</f>
        <v>#REF!</v>
      </c>
      <c r="BS384" t="e">
        <f>AND(#REF!,"AAAAAHvte0Y=")</f>
        <v>#REF!</v>
      </c>
      <c r="BT384" t="e">
        <f>AND(#REF!,"AAAAAHvte0c=")</f>
        <v>#REF!</v>
      </c>
      <c r="BU384" t="e">
        <f>AND(#REF!,"AAAAAHvte0g=")</f>
        <v>#REF!</v>
      </c>
      <c r="BV384" t="e">
        <f>AND(#REF!,"AAAAAHvte0k=")</f>
        <v>#REF!</v>
      </c>
      <c r="BW384" t="e">
        <f>AND(#REF!,"AAAAAHvte0o=")</f>
        <v>#REF!</v>
      </c>
      <c r="BX384" t="e">
        <f>AND(#REF!,"AAAAAHvte0s=")</f>
        <v>#REF!</v>
      </c>
      <c r="BY384" t="e">
        <f>AND(#REF!,"AAAAAHvte0w=")</f>
        <v>#REF!</v>
      </c>
      <c r="BZ384" t="e">
        <f>AND(#REF!,"AAAAAHvte00=")</f>
        <v>#REF!</v>
      </c>
      <c r="CA384" t="e">
        <f>AND(#REF!,"AAAAAHvte04=")</f>
        <v>#REF!</v>
      </c>
      <c r="CB384" t="e">
        <f>AND(#REF!,"AAAAAHvte08=")</f>
        <v>#REF!</v>
      </c>
      <c r="CC384" t="e">
        <f>AND(#REF!,"AAAAAHvte1A=")</f>
        <v>#REF!</v>
      </c>
      <c r="CD384" t="e">
        <f>AND(#REF!,"AAAAAHvte1E=")</f>
        <v>#REF!</v>
      </c>
      <c r="CE384" t="e">
        <f>AND(#REF!,"AAAAAHvte1I=")</f>
        <v>#REF!</v>
      </c>
      <c r="CF384" t="e">
        <f>AND(#REF!,"AAAAAHvte1M=")</f>
        <v>#REF!</v>
      </c>
      <c r="CG384" t="e">
        <f>AND(#REF!,"AAAAAHvte1Q=")</f>
        <v>#REF!</v>
      </c>
      <c r="CH384" t="e">
        <f>AND(#REF!,"AAAAAHvte1U=")</f>
        <v>#REF!</v>
      </c>
      <c r="CI384" t="e">
        <f>AND(#REF!,"AAAAAHvte1Y=")</f>
        <v>#REF!</v>
      </c>
      <c r="CJ384" t="e">
        <f>IF(#REF!,"AAAAAHvte1c=",0)</f>
        <v>#REF!</v>
      </c>
      <c r="CK384" t="e">
        <f>AND(#REF!,"AAAAAHvte1g=")</f>
        <v>#REF!</v>
      </c>
      <c r="CL384" t="e">
        <f>AND(#REF!,"AAAAAHvte1k=")</f>
        <v>#REF!</v>
      </c>
      <c r="CM384" t="e">
        <f>AND(#REF!,"AAAAAHvte1o=")</f>
        <v>#REF!</v>
      </c>
      <c r="CN384" t="e">
        <f>AND(#REF!,"AAAAAHvte1s=")</f>
        <v>#REF!</v>
      </c>
      <c r="CO384" t="e">
        <f>AND(#REF!,"AAAAAHvte1w=")</f>
        <v>#REF!</v>
      </c>
      <c r="CP384" t="e">
        <f>AND(#REF!,"AAAAAHvte10=")</f>
        <v>#REF!</v>
      </c>
      <c r="CQ384" t="e">
        <f>AND(#REF!,"AAAAAHvte14=")</f>
        <v>#REF!</v>
      </c>
      <c r="CR384" t="e">
        <f>AND(#REF!,"AAAAAHvte18=")</f>
        <v>#REF!</v>
      </c>
      <c r="CS384" t="e">
        <f>AND(#REF!,"AAAAAHvte2A=")</f>
        <v>#REF!</v>
      </c>
      <c r="CT384" t="e">
        <f>AND(#REF!,"AAAAAHvte2E=")</f>
        <v>#REF!</v>
      </c>
      <c r="CU384" t="e">
        <f>AND(#REF!,"AAAAAHvte2I=")</f>
        <v>#REF!</v>
      </c>
      <c r="CV384" t="e">
        <f>AND(#REF!,"AAAAAHvte2M=")</f>
        <v>#REF!</v>
      </c>
      <c r="CW384" t="e">
        <f>AND(#REF!,"AAAAAHvte2Q=")</f>
        <v>#REF!</v>
      </c>
      <c r="CX384" t="e">
        <f>AND(#REF!,"AAAAAHvte2U=")</f>
        <v>#REF!</v>
      </c>
      <c r="CY384" t="e">
        <f>AND(#REF!,"AAAAAHvte2Y=")</f>
        <v>#REF!</v>
      </c>
      <c r="CZ384" t="e">
        <f>AND(#REF!,"AAAAAHvte2c=")</f>
        <v>#REF!</v>
      </c>
      <c r="DA384" t="e">
        <f>AND(#REF!,"AAAAAHvte2g=")</f>
        <v>#REF!</v>
      </c>
      <c r="DB384" t="e">
        <f>AND(#REF!,"AAAAAHvte2k=")</f>
        <v>#REF!</v>
      </c>
      <c r="DC384" t="e">
        <f>AND(#REF!,"AAAAAHvte2o=")</f>
        <v>#REF!</v>
      </c>
      <c r="DD384" t="e">
        <f>AND(#REF!,"AAAAAHvte2s=")</f>
        <v>#REF!</v>
      </c>
      <c r="DE384" t="e">
        <f>AND(#REF!,"AAAAAHvte2w=")</f>
        <v>#REF!</v>
      </c>
      <c r="DF384" t="e">
        <f>AND(#REF!,"AAAAAHvte20=")</f>
        <v>#REF!</v>
      </c>
      <c r="DG384" t="e">
        <f>AND(#REF!,"AAAAAHvte24=")</f>
        <v>#REF!</v>
      </c>
      <c r="DH384" t="e">
        <f>AND(#REF!,"AAAAAHvte28=")</f>
        <v>#REF!</v>
      </c>
      <c r="DI384" t="e">
        <f>IF(#REF!,"AAAAAHvte3A=",0)</f>
        <v>#REF!</v>
      </c>
      <c r="DJ384" t="e">
        <f>AND(#REF!,"AAAAAHvte3E=")</f>
        <v>#REF!</v>
      </c>
      <c r="DK384" t="e">
        <f>AND(#REF!,"AAAAAHvte3I=")</f>
        <v>#REF!</v>
      </c>
      <c r="DL384" t="e">
        <f>AND(#REF!,"AAAAAHvte3M=")</f>
        <v>#REF!</v>
      </c>
      <c r="DM384" t="e">
        <f>AND(#REF!,"AAAAAHvte3Q=")</f>
        <v>#REF!</v>
      </c>
      <c r="DN384" t="e">
        <f>AND(#REF!,"AAAAAHvte3U=")</f>
        <v>#REF!</v>
      </c>
      <c r="DO384" t="e">
        <f>AND(#REF!,"AAAAAHvte3Y=")</f>
        <v>#REF!</v>
      </c>
      <c r="DP384" t="e">
        <f>AND(#REF!,"AAAAAHvte3c=")</f>
        <v>#REF!</v>
      </c>
      <c r="DQ384" t="e">
        <f>AND(#REF!,"AAAAAHvte3g=")</f>
        <v>#REF!</v>
      </c>
      <c r="DR384" t="e">
        <f>AND(#REF!,"AAAAAHvte3k=")</f>
        <v>#REF!</v>
      </c>
      <c r="DS384" t="e">
        <f>AND(#REF!,"AAAAAHvte3o=")</f>
        <v>#REF!</v>
      </c>
      <c r="DT384" t="e">
        <f>AND(#REF!,"AAAAAHvte3s=")</f>
        <v>#REF!</v>
      </c>
      <c r="DU384" t="e">
        <f>AND(#REF!,"AAAAAHvte3w=")</f>
        <v>#REF!</v>
      </c>
      <c r="DV384" t="e">
        <f>AND(#REF!,"AAAAAHvte30=")</f>
        <v>#REF!</v>
      </c>
      <c r="DW384" t="e">
        <f>AND(#REF!,"AAAAAHvte34=")</f>
        <v>#REF!</v>
      </c>
      <c r="DX384" t="e">
        <f>AND(#REF!,"AAAAAHvte38=")</f>
        <v>#REF!</v>
      </c>
      <c r="DY384" t="e">
        <f>AND(#REF!,"AAAAAHvte4A=")</f>
        <v>#REF!</v>
      </c>
      <c r="DZ384" t="e">
        <f>AND(#REF!,"AAAAAHvte4E=")</f>
        <v>#REF!</v>
      </c>
      <c r="EA384" t="e">
        <f>AND(#REF!,"AAAAAHvte4I=")</f>
        <v>#REF!</v>
      </c>
      <c r="EB384" t="e">
        <f>AND(#REF!,"AAAAAHvte4M=")</f>
        <v>#REF!</v>
      </c>
      <c r="EC384" t="e">
        <f>AND(#REF!,"AAAAAHvte4Q=")</f>
        <v>#REF!</v>
      </c>
      <c r="ED384" t="e">
        <f>AND(#REF!,"AAAAAHvte4U=")</f>
        <v>#REF!</v>
      </c>
      <c r="EE384" t="e">
        <f>AND(#REF!,"AAAAAHvte4Y=")</f>
        <v>#REF!</v>
      </c>
      <c r="EF384" t="e">
        <f>AND(#REF!,"AAAAAHvte4c=")</f>
        <v>#REF!</v>
      </c>
      <c r="EG384" t="e">
        <f>AND(#REF!,"AAAAAHvte4g=")</f>
        <v>#REF!</v>
      </c>
      <c r="EH384" t="e">
        <f>IF(#REF!,"AAAAAHvte4k=",0)</f>
        <v>#REF!</v>
      </c>
      <c r="EI384" t="e">
        <f>AND(#REF!,"AAAAAHvte4o=")</f>
        <v>#REF!</v>
      </c>
      <c r="EJ384" t="e">
        <f>AND(#REF!,"AAAAAHvte4s=")</f>
        <v>#REF!</v>
      </c>
      <c r="EK384" t="e">
        <f>AND(#REF!,"AAAAAHvte4w=")</f>
        <v>#REF!</v>
      </c>
      <c r="EL384" t="e">
        <f>AND(#REF!,"AAAAAHvte40=")</f>
        <v>#REF!</v>
      </c>
      <c r="EM384" t="e">
        <f>AND(#REF!,"AAAAAHvte44=")</f>
        <v>#REF!</v>
      </c>
      <c r="EN384" t="e">
        <f>AND(#REF!,"AAAAAHvte48=")</f>
        <v>#REF!</v>
      </c>
      <c r="EO384" t="e">
        <f>AND(#REF!,"AAAAAHvte5A=")</f>
        <v>#REF!</v>
      </c>
      <c r="EP384" t="e">
        <f>AND(#REF!,"AAAAAHvte5E=")</f>
        <v>#REF!</v>
      </c>
      <c r="EQ384" t="e">
        <f>AND(#REF!,"AAAAAHvte5I=")</f>
        <v>#REF!</v>
      </c>
      <c r="ER384" t="e">
        <f>AND(#REF!,"AAAAAHvte5M=")</f>
        <v>#REF!</v>
      </c>
      <c r="ES384" t="e">
        <f>AND(#REF!,"AAAAAHvte5Q=")</f>
        <v>#REF!</v>
      </c>
      <c r="ET384" t="e">
        <f>AND(#REF!,"AAAAAHvte5U=")</f>
        <v>#REF!</v>
      </c>
      <c r="EU384" t="e">
        <f>AND(#REF!,"AAAAAHvte5Y=")</f>
        <v>#REF!</v>
      </c>
      <c r="EV384" t="e">
        <f>AND(#REF!,"AAAAAHvte5c=")</f>
        <v>#REF!</v>
      </c>
      <c r="EW384" t="e">
        <f>AND(#REF!,"AAAAAHvte5g=")</f>
        <v>#REF!</v>
      </c>
      <c r="EX384" t="e">
        <f>AND(#REF!,"AAAAAHvte5k=")</f>
        <v>#REF!</v>
      </c>
      <c r="EY384" t="e">
        <f>AND(#REF!,"AAAAAHvte5o=")</f>
        <v>#REF!</v>
      </c>
      <c r="EZ384" t="e">
        <f>AND(#REF!,"AAAAAHvte5s=")</f>
        <v>#REF!</v>
      </c>
      <c r="FA384" t="e">
        <f>AND(#REF!,"AAAAAHvte5w=")</f>
        <v>#REF!</v>
      </c>
      <c r="FB384" t="e">
        <f>AND(#REF!,"AAAAAHvte50=")</f>
        <v>#REF!</v>
      </c>
      <c r="FC384" t="e">
        <f>AND(#REF!,"AAAAAHvte54=")</f>
        <v>#REF!</v>
      </c>
      <c r="FD384" t="e">
        <f>AND(#REF!,"AAAAAHvte58=")</f>
        <v>#REF!</v>
      </c>
      <c r="FE384" t="e">
        <f>AND(#REF!,"AAAAAHvte6A=")</f>
        <v>#REF!</v>
      </c>
      <c r="FF384" t="e">
        <f>AND(#REF!,"AAAAAHvte6E=")</f>
        <v>#REF!</v>
      </c>
      <c r="FG384" t="e">
        <f>IF(#REF!,"AAAAAHvte6I=",0)</f>
        <v>#REF!</v>
      </c>
      <c r="FH384" t="e">
        <f>AND(#REF!,"AAAAAHvte6M=")</f>
        <v>#REF!</v>
      </c>
      <c r="FI384" t="e">
        <f>AND(#REF!,"AAAAAHvte6Q=")</f>
        <v>#REF!</v>
      </c>
      <c r="FJ384" t="e">
        <f>AND(#REF!,"AAAAAHvte6U=")</f>
        <v>#REF!</v>
      </c>
      <c r="FK384" t="e">
        <f>AND(#REF!,"AAAAAHvte6Y=")</f>
        <v>#REF!</v>
      </c>
      <c r="FL384" t="e">
        <f>AND(#REF!,"AAAAAHvte6c=")</f>
        <v>#REF!</v>
      </c>
      <c r="FM384" t="e">
        <f>AND(#REF!,"AAAAAHvte6g=")</f>
        <v>#REF!</v>
      </c>
      <c r="FN384" t="e">
        <f>AND(#REF!,"AAAAAHvte6k=")</f>
        <v>#REF!</v>
      </c>
      <c r="FO384" t="e">
        <f>AND(#REF!,"AAAAAHvte6o=")</f>
        <v>#REF!</v>
      </c>
      <c r="FP384" t="e">
        <f>AND(#REF!,"AAAAAHvte6s=")</f>
        <v>#REF!</v>
      </c>
      <c r="FQ384" t="e">
        <f>AND(#REF!,"AAAAAHvte6w=")</f>
        <v>#REF!</v>
      </c>
      <c r="FR384" t="e">
        <f>AND(#REF!,"AAAAAHvte60=")</f>
        <v>#REF!</v>
      </c>
      <c r="FS384" t="e">
        <f>AND(#REF!,"AAAAAHvte64=")</f>
        <v>#REF!</v>
      </c>
      <c r="FT384" t="e">
        <f>AND(#REF!,"AAAAAHvte68=")</f>
        <v>#REF!</v>
      </c>
      <c r="FU384" t="e">
        <f>AND(#REF!,"AAAAAHvte7A=")</f>
        <v>#REF!</v>
      </c>
      <c r="FV384" t="e">
        <f>AND(#REF!,"AAAAAHvte7E=")</f>
        <v>#REF!</v>
      </c>
      <c r="FW384" t="e">
        <f>AND(#REF!,"AAAAAHvte7I=")</f>
        <v>#REF!</v>
      </c>
      <c r="FX384" t="e">
        <f>AND(#REF!,"AAAAAHvte7M=")</f>
        <v>#REF!</v>
      </c>
      <c r="FY384" t="e">
        <f>AND(#REF!,"AAAAAHvte7Q=")</f>
        <v>#REF!</v>
      </c>
      <c r="FZ384" t="e">
        <f>AND(#REF!,"AAAAAHvte7U=")</f>
        <v>#REF!</v>
      </c>
      <c r="GA384" t="e">
        <f>AND(#REF!,"AAAAAHvte7Y=")</f>
        <v>#REF!</v>
      </c>
      <c r="GB384" t="e">
        <f>AND(#REF!,"AAAAAHvte7c=")</f>
        <v>#REF!</v>
      </c>
      <c r="GC384" t="e">
        <f>AND(#REF!,"AAAAAHvte7g=")</f>
        <v>#REF!</v>
      </c>
      <c r="GD384" t="e">
        <f>AND(#REF!,"AAAAAHvte7k=")</f>
        <v>#REF!</v>
      </c>
      <c r="GE384" t="e">
        <f>AND(#REF!,"AAAAAHvte7o=")</f>
        <v>#REF!</v>
      </c>
      <c r="GF384" t="e">
        <f>IF(#REF!,"AAAAAHvte7s=",0)</f>
        <v>#REF!</v>
      </c>
      <c r="GG384" t="e">
        <f>AND(#REF!,"AAAAAHvte7w=")</f>
        <v>#REF!</v>
      </c>
      <c r="GH384" t="e">
        <f>AND(#REF!,"AAAAAHvte70=")</f>
        <v>#REF!</v>
      </c>
      <c r="GI384" t="e">
        <f>AND(#REF!,"AAAAAHvte74=")</f>
        <v>#REF!</v>
      </c>
      <c r="GJ384" t="e">
        <f>AND(#REF!,"AAAAAHvte78=")</f>
        <v>#REF!</v>
      </c>
      <c r="GK384" t="e">
        <f>AND(#REF!,"AAAAAHvte8A=")</f>
        <v>#REF!</v>
      </c>
      <c r="GL384" t="e">
        <f>AND(#REF!,"AAAAAHvte8E=")</f>
        <v>#REF!</v>
      </c>
      <c r="GM384" t="e">
        <f>AND(#REF!,"AAAAAHvte8I=")</f>
        <v>#REF!</v>
      </c>
      <c r="GN384" t="e">
        <f>AND(#REF!,"AAAAAHvte8M=")</f>
        <v>#REF!</v>
      </c>
      <c r="GO384" t="e">
        <f>AND(#REF!,"AAAAAHvte8Q=")</f>
        <v>#REF!</v>
      </c>
      <c r="GP384" t="e">
        <f>AND(#REF!,"AAAAAHvte8U=")</f>
        <v>#REF!</v>
      </c>
      <c r="GQ384" t="e">
        <f>AND(#REF!,"AAAAAHvte8Y=")</f>
        <v>#REF!</v>
      </c>
      <c r="GR384" t="e">
        <f>AND(#REF!,"AAAAAHvte8c=")</f>
        <v>#REF!</v>
      </c>
      <c r="GS384" t="e">
        <f>AND(#REF!,"AAAAAHvte8g=")</f>
        <v>#REF!</v>
      </c>
      <c r="GT384" t="e">
        <f>AND(#REF!,"AAAAAHvte8k=")</f>
        <v>#REF!</v>
      </c>
      <c r="GU384" t="e">
        <f>AND(#REF!,"AAAAAHvte8o=")</f>
        <v>#REF!</v>
      </c>
      <c r="GV384" t="e">
        <f>AND(#REF!,"AAAAAHvte8s=")</f>
        <v>#REF!</v>
      </c>
      <c r="GW384" t="e">
        <f>AND(#REF!,"AAAAAHvte8w=")</f>
        <v>#REF!</v>
      </c>
      <c r="GX384" t="e">
        <f>AND(#REF!,"AAAAAHvte80=")</f>
        <v>#REF!</v>
      </c>
      <c r="GY384" t="e">
        <f>AND(#REF!,"AAAAAHvte84=")</f>
        <v>#REF!</v>
      </c>
      <c r="GZ384" t="e">
        <f>AND(#REF!,"AAAAAHvte88=")</f>
        <v>#REF!</v>
      </c>
      <c r="HA384" t="e">
        <f>AND(#REF!,"AAAAAHvte9A=")</f>
        <v>#REF!</v>
      </c>
      <c r="HB384" t="e">
        <f>AND(#REF!,"AAAAAHvte9E=")</f>
        <v>#REF!</v>
      </c>
      <c r="HC384" t="e">
        <f>AND(#REF!,"AAAAAHvte9I=")</f>
        <v>#REF!</v>
      </c>
      <c r="HD384" t="e">
        <f>AND(#REF!,"AAAAAHvte9M=")</f>
        <v>#REF!</v>
      </c>
      <c r="HE384" t="e">
        <f>IF(#REF!,"AAAAAHvte9Q=",0)</f>
        <v>#REF!</v>
      </c>
      <c r="HF384" t="e">
        <f>AND(#REF!,"AAAAAHvte9U=")</f>
        <v>#REF!</v>
      </c>
      <c r="HG384" t="e">
        <f>AND(#REF!,"AAAAAHvte9Y=")</f>
        <v>#REF!</v>
      </c>
      <c r="HH384" t="e">
        <f>AND(#REF!,"AAAAAHvte9c=")</f>
        <v>#REF!</v>
      </c>
      <c r="HI384" t="e">
        <f>AND(#REF!,"AAAAAHvte9g=")</f>
        <v>#REF!</v>
      </c>
      <c r="HJ384" t="e">
        <f>AND(#REF!,"AAAAAHvte9k=")</f>
        <v>#REF!</v>
      </c>
      <c r="HK384" t="e">
        <f>AND(#REF!,"AAAAAHvte9o=")</f>
        <v>#REF!</v>
      </c>
      <c r="HL384" t="e">
        <f>AND(#REF!,"AAAAAHvte9s=")</f>
        <v>#REF!</v>
      </c>
      <c r="HM384" t="e">
        <f>AND(#REF!,"AAAAAHvte9w=")</f>
        <v>#REF!</v>
      </c>
      <c r="HN384" t="e">
        <f>AND(#REF!,"AAAAAHvte90=")</f>
        <v>#REF!</v>
      </c>
      <c r="HO384" t="e">
        <f>AND(#REF!,"AAAAAHvte94=")</f>
        <v>#REF!</v>
      </c>
      <c r="HP384" t="e">
        <f>AND(#REF!,"AAAAAHvte98=")</f>
        <v>#REF!</v>
      </c>
      <c r="HQ384" t="e">
        <f>AND(#REF!,"AAAAAHvte+A=")</f>
        <v>#REF!</v>
      </c>
      <c r="HR384" t="e">
        <f>AND(#REF!,"AAAAAHvte+E=")</f>
        <v>#REF!</v>
      </c>
      <c r="HS384" t="e">
        <f>AND(#REF!,"AAAAAHvte+I=")</f>
        <v>#REF!</v>
      </c>
      <c r="HT384" t="e">
        <f>AND(#REF!,"AAAAAHvte+M=")</f>
        <v>#REF!</v>
      </c>
      <c r="HU384" t="e">
        <f>AND(#REF!,"AAAAAHvte+Q=")</f>
        <v>#REF!</v>
      </c>
      <c r="HV384" t="e">
        <f>AND(#REF!,"AAAAAHvte+U=")</f>
        <v>#REF!</v>
      </c>
      <c r="HW384" t="e">
        <f>AND(#REF!,"AAAAAHvte+Y=")</f>
        <v>#REF!</v>
      </c>
      <c r="HX384" t="e">
        <f>AND(#REF!,"AAAAAHvte+c=")</f>
        <v>#REF!</v>
      </c>
      <c r="HY384" t="e">
        <f>AND(#REF!,"AAAAAHvte+g=")</f>
        <v>#REF!</v>
      </c>
      <c r="HZ384" t="e">
        <f>AND(#REF!,"AAAAAHvte+k=")</f>
        <v>#REF!</v>
      </c>
      <c r="IA384" t="e">
        <f>AND(#REF!,"AAAAAHvte+o=")</f>
        <v>#REF!</v>
      </c>
      <c r="IB384" t="e">
        <f>AND(#REF!,"AAAAAHvte+s=")</f>
        <v>#REF!</v>
      </c>
      <c r="IC384" t="e">
        <f>AND(#REF!,"AAAAAHvte+w=")</f>
        <v>#REF!</v>
      </c>
      <c r="ID384" t="e">
        <f>IF(#REF!,"AAAAAHvte+0=",0)</f>
        <v>#REF!</v>
      </c>
      <c r="IE384" t="e">
        <f>AND(#REF!,"AAAAAHvte+4=")</f>
        <v>#REF!</v>
      </c>
      <c r="IF384" t="e">
        <f>AND(#REF!,"AAAAAHvte+8=")</f>
        <v>#REF!</v>
      </c>
      <c r="IG384" t="e">
        <f>AND(#REF!,"AAAAAHvte/A=")</f>
        <v>#REF!</v>
      </c>
      <c r="IH384" t="e">
        <f>AND(#REF!,"AAAAAHvte/E=")</f>
        <v>#REF!</v>
      </c>
      <c r="II384" t="e">
        <f>AND(#REF!,"AAAAAHvte/I=")</f>
        <v>#REF!</v>
      </c>
      <c r="IJ384" t="e">
        <f>AND(#REF!,"AAAAAHvte/M=")</f>
        <v>#REF!</v>
      </c>
      <c r="IK384" t="e">
        <f>AND(#REF!,"AAAAAHvte/Q=")</f>
        <v>#REF!</v>
      </c>
      <c r="IL384" t="e">
        <f>AND(#REF!,"AAAAAHvte/U=")</f>
        <v>#REF!</v>
      </c>
      <c r="IM384" t="e">
        <f>AND(#REF!,"AAAAAHvte/Y=")</f>
        <v>#REF!</v>
      </c>
      <c r="IN384" t="e">
        <f>AND(#REF!,"AAAAAHvte/c=")</f>
        <v>#REF!</v>
      </c>
      <c r="IO384" t="e">
        <f>AND(#REF!,"AAAAAHvte/g=")</f>
        <v>#REF!</v>
      </c>
      <c r="IP384" t="e">
        <f>AND(#REF!,"AAAAAHvte/k=")</f>
        <v>#REF!</v>
      </c>
      <c r="IQ384" t="e">
        <f>AND(#REF!,"AAAAAHvte/o=")</f>
        <v>#REF!</v>
      </c>
      <c r="IR384" t="e">
        <f>AND(#REF!,"AAAAAHvte/s=")</f>
        <v>#REF!</v>
      </c>
      <c r="IS384" t="e">
        <f>AND(#REF!,"AAAAAHvte/w=")</f>
        <v>#REF!</v>
      </c>
      <c r="IT384" t="e">
        <f>AND(#REF!,"AAAAAHvte/0=")</f>
        <v>#REF!</v>
      </c>
      <c r="IU384" t="e">
        <f>AND(#REF!,"AAAAAHvte/4=")</f>
        <v>#REF!</v>
      </c>
      <c r="IV384" t="e">
        <f>AND(#REF!,"AAAAAHvte/8=")</f>
        <v>#REF!</v>
      </c>
    </row>
    <row r="385" spans="1:256">
      <c r="A385" t="e">
        <f>AND(#REF!,"AAAAAB+v7wA=")</f>
        <v>#REF!</v>
      </c>
      <c r="B385" t="e">
        <f>AND(#REF!,"AAAAAB+v7wE=")</f>
        <v>#REF!</v>
      </c>
      <c r="C385" t="e">
        <f>AND(#REF!,"AAAAAB+v7wI=")</f>
        <v>#REF!</v>
      </c>
      <c r="D385" t="e">
        <f>AND(#REF!,"AAAAAB+v7wM=")</f>
        <v>#REF!</v>
      </c>
      <c r="E385" t="e">
        <f>AND(#REF!,"AAAAAB+v7wQ=")</f>
        <v>#REF!</v>
      </c>
      <c r="F385" t="e">
        <f>AND(#REF!,"AAAAAB+v7wU=")</f>
        <v>#REF!</v>
      </c>
      <c r="G385" t="e">
        <f>IF(#REF!,"AAAAAB+v7wY=",0)</f>
        <v>#REF!</v>
      </c>
      <c r="H385" t="e">
        <f>AND(#REF!,"AAAAAB+v7wc=")</f>
        <v>#REF!</v>
      </c>
      <c r="I385" t="e">
        <f>AND(#REF!,"AAAAAB+v7wg=")</f>
        <v>#REF!</v>
      </c>
      <c r="J385" t="e">
        <f>AND(#REF!,"AAAAAB+v7wk=")</f>
        <v>#REF!</v>
      </c>
      <c r="K385" t="e">
        <f>AND(#REF!,"AAAAAB+v7wo=")</f>
        <v>#REF!</v>
      </c>
      <c r="L385" t="e">
        <f>AND(#REF!,"AAAAAB+v7ws=")</f>
        <v>#REF!</v>
      </c>
      <c r="M385" t="e">
        <f>AND(#REF!,"AAAAAB+v7ww=")</f>
        <v>#REF!</v>
      </c>
      <c r="N385" t="e">
        <f>AND(#REF!,"AAAAAB+v7w0=")</f>
        <v>#REF!</v>
      </c>
      <c r="O385" t="e">
        <f>AND(#REF!,"AAAAAB+v7w4=")</f>
        <v>#REF!</v>
      </c>
      <c r="P385" t="e">
        <f>AND(#REF!,"AAAAAB+v7w8=")</f>
        <v>#REF!</v>
      </c>
      <c r="Q385" t="e">
        <f>AND(#REF!,"AAAAAB+v7xA=")</f>
        <v>#REF!</v>
      </c>
      <c r="R385" t="e">
        <f>AND(#REF!,"AAAAAB+v7xE=")</f>
        <v>#REF!</v>
      </c>
      <c r="S385" t="e">
        <f>AND(#REF!,"AAAAAB+v7xI=")</f>
        <v>#REF!</v>
      </c>
      <c r="T385" t="e">
        <f>AND(#REF!,"AAAAAB+v7xM=")</f>
        <v>#REF!</v>
      </c>
      <c r="U385" t="e">
        <f>AND(#REF!,"AAAAAB+v7xQ=")</f>
        <v>#REF!</v>
      </c>
      <c r="V385" t="e">
        <f>AND(#REF!,"AAAAAB+v7xU=")</f>
        <v>#REF!</v>
      </c>
      <c r="W385" t="e">
        <f>AND(#REF!,"AAAAAB+v7xY=")</f>
        <v>#REF!</v>
      </c>
      <c r="X385" t="e">
        <f>AND(#REF!,"AAAAAB+v7xc=")</f>
        <v>#REF!</v>
      </c>
      <c r="Y385" t="e">
        <f>AND(#REF!,"AAAAAB+v7xg=")</f>
        <v>#REF!</v>
      </c>
      <c r="Z385" t="e">
        <f>AND(#REF!,"AAAAAB+v7xk=")</f>
        <v>#REF!</v>
      </c>
      <c r="AA385" t="e">
        <f>AND(#REF!,"AAAAAB+v7xo=")</f>
        <v>#REF!</v>
      </c>
      <c r="AB385" t="e">
        <f>AND(#REF!,"AAAAAB+v7xs=")</f>
        <v>#REF!</v>
      </c>
      <c r="AC385" t="e">
        <f>AND(#REF!,"AAAAAB+v7xw=")</f>
        <v>#REF!</v>
      </c>
      <c r="AD385" t="e">
        <f>AND(#REF!,"AAAAAB+v7x0=")</f>
        <v>#REF!</v>
      </c>
      <c r="AE385" t="e">
        <f>AND(#REF!,"AAAAAB+v7x4=")</f>
        <v>#REF!</v>
      </c>
      <c r="AF385" t="e">
        <f>IF(#REF!,"AAAAAB+v7x8=",0)</f>
        <v>#REF!</v>
      </c>
      <c r="AG385" t="e">
        <f>AND(#REF!,"AAAAAB+v7yA=")</f>
        <v>#REF!</v>
      </c>
      <c r="AH385" t="e">
        <f>AND(#REF!,"AAAAAB+v7yE=")</f>
        <v>#REF!</v>
      </c>
      <c r="AI385" t="e">
        <f>AND(#REF!,"AAAAAB+v7yI=")</f>
        <v>#REF!</v>
      </c>
      <c r="AJ385" t="e">
        <f>AND(#REF!,"AAAAAB+v7yM=")</f>
        <v>#REF!</v>
      </c>
      <c r="AK385" t="e">
        <f>AND(#REF!,"AAAAAB+v7yQ=")</f>
        <v>#REF!</v>
      </c>
      <c r="AL385" t="e">
        <f>AND(#REF!,"AAAAAB+v7yU=")</f>
        <v>#REF!</v>
      </c>
      <c r="AM385" t="e">
        <f>AND(#REF!,"AAAAAB+v7yY=")</f>
        <v>#REF!</v>
      </c>
      <c r="AN385" t="e">
        <f>AND(#REF!,"AAAAAB+v7yc=")</f>
        <v>#REF!</v>
      </c>
      <c r="AO385" t="e">
        <f>AND(#REF!,"AAAAAB+v7yg=")</f>
        <v>#REF!</v>
      </c>
      <c r="AP385" t="e">
        <f>AND(#REF!,"AAAAAB+v7yk=")</f>
        <v>#REF!</v>
      </c>
      <c r="AQ385" t="e">
        <f>AND(#REF!,"AAAAAB+v7yo=")</f>
        <v>#REF!</v>
      </c>
      <c r="AR385" t="e">
        <f>AND(#REF!,"AAAAAB+v7ys=")</f>
        <v>#REF!</v>
      </c>
      <c r="AS385" t="e">
        <f>AND(#REF!,"AAAAAB+v7yw=")</f>
        <v>#REF!</v>
      </c>
      <c r="AT385" t="e">
        <f>AND(#REF!,"AAAAAB+v7y0=")</f>
        <v>#REF!</v>
      </c>
      <c r="AU385" t="e">
        <f>AND(#REF!,"AAAAAB+v7y4=")</f>
        <v>#REF!</v>
      </c>
      <c r="AV385" t="e">
        <f>AND(#REF!,"AAAAAB+v7y8=")</f>
        <v>#REF!</v>
      </c>
      <c r="AW385" t="e">
        <f>AND(#REF!,"AAAAAB+v7zA=")</f>
        <v>#REF!</v>
      </c>
      <c r="AX385" t="e">
        <f>AND(#REF!,"AAAAAB+v7zE=")</f>
        <v>#REF!</v>
      </c>
      <c r="AY385" t="e">
        <f>AND(#REF!,"AAAAAB+v7zI=")</f>
        <v>#REF!</v>
      </c>
      <c r="AZ385" t="e">
        <f>AND(#REF!,"AAAAAB+v7zM=")</f>
        <v>#REF!</v>
      </c>
      <c r="BA385" t="e">
        <f>AND(#REF!,"AAAAAB+v7zQ=")</f>
        <v>#REF!</v>
      </c>
      <c r="BB385" t="e">
        <f>AND(#REF!,"AAAAAB+v7zU=")</f>
        <v>#REF!</v>
      </c>
      <c r="BC385" t="e">
        <f>AND(#REF!,"AAAAAB+v7zY=")</f>
        <v>#REF!</v>
      </c>
      <c r="BD385" t="e">
        <f>AND(#REF!,"AAAAAB+v7zc=")</f>
        <v>#REF!</v>
      </c>
      <c r="BE385" t="e">
        <f>IF(#REF!,"AAAAAB+v7zg=",0)</f>
        <v>#REF!</v>
      </c>
      <c r="BF385" t="e">
        <f>AND(#REF!,"AAAAAB+v7zk=")</f>
        <v>#REF!</v>
      </c>
      <c r="BG385" t="e">
        <f>AND(#REF!,"AAAAAB+v7zo=")</f>
        <v>#REF!</v>
      </c>
      <c r="BH385" t="e">
        <f>AND(#REF!,"AAAAAB+v7zs=")</f>
        <v>#REF!</v>
      </c>
      <c r="BI385" t="e">
        <f>AND(#REF!,"AAAAAB+v7zw=")</f>
        <v>#REF!</v>
      </c>
      <c r="BJ385" t="e">
        <f>AND(#REF!,"AAAAAB+v7z0=")</f>
        <v>#REF!</v>
      </c>
      <c r="BK385" t="e">
        <f>AND(#REF!,"AAAAAB+v7z4=")</f>
        <v>#REF!</v>
      </c>
      <c r="BL385" t="e">
        <f>AND(#REF!,"AAAAAB+v7z8=")</f>
        <v>#REF!</v>
      </c>
      <c r="BM385" t="e">
        <f>AND(#REF!,"AAAAAB+v70A=")</f>
        <v>#REF!</v>
      </c>
      <c r="BN385" t="e">
        <f>AND(#REF!,"AAAAAB+v70E=")</f>
        <v>#REF!</v>
      </c>
      <c r="BO385" t="e">
        <f>AND(#REF!,"AAAAAB+v70I=")</f>
        <v>#REF!</v>
      </c>
      <c r="BP385" t="e">
        <f>AND(#REF!,"AAAAAB+v70M=")</f>
        <v>#REF!</v>
      </c>
      <c r="BQ385" t="e">
        <f>AND(#REF!,"AAAAAB+v70Q=")</f>
        <v>#REF!</v>
      </c>
      <c r="BR385" t="e">
        <f>AND(#REF!,"AAAAAB+v70U=")</f>
        <v>#REF!</v>
      </c>
      <c r="BS385" t="e">
        <f>AND(#REF!,"AAAAAB+v70Y=")</f>
        <v>#REF!</v>
      </c>
      <c r="BT385" t="e">
        <f>AND(#REF!,"AAAAAB+v70c=")</f>
        <v>#REF!</v>
      </c>
      <c r="BU385" t="e">
        <f>AND(#REF!,"AAAAAB+v70g=")</f>
        <v>#REF!</v>
      </c>
      <c r="BV385" t="e">
        <f>AND(#REF!,"AAAAAB+v70k=")</f>
        <v>#REF!</v>
      </c>
      <c r="BW385" t="e">
        <f>AND(#REF!,"AAAAAB+v70o=")</f>
        <v>#REF!</v>
      </c>
      <c r="BX385" t="e">
        <f>AND(#REF!,"AAAAAB+v70s=")</f>
        <v>#REF!</v>
      </c>
      <c r="BY385" t="e">
        <f>AND(#REF!,"AAAAAB+v70w=")</f>
        <v>#REF!</v>
      </c>
      <c r="BZ385" t="e">
        <f>AND(#REF!,"AAAAAB+v700=")</f>
        <v>#REF!</v>
      </c>
      <c r="CA385" t="e">
        <f>AND(#REF!,"AAAAAB+v704=")</f>
        <v>#REF!</v>
      </c>
      <c r="CB385" t="e">
        <f>AND(#REF!,"AAAAAB+v708=")</f>
        <v>#REF!</v>
      </c>
      <c r="CC385" t="e">
        <f>AND(#REF!,"AAAAAB+v71A=")</f>
        <v>#REF!</v>
      </c>
      <c r="CD385" t="e">
        <f>IF(#REF!,"AAAAAB+v71E=",0)</f>
        <v>#REF!</v>
      </c>
      <c r="CE385" t="e">
        <f>AND(#REF!,"AAAAAB+v71I=")</f>
        <v>#REF!</v>
      </c>
      <c r="CF385" t="e">
        <f>AND(#REF!,"AAAAAB+v71M=")</f>
        <v>#REF!</v>
      </c>
      <c r="CG385" t="e">
        <f>AND(#REF!,"AAAAAB+v71Q=")</f>
        <v>#REF!</v>
      </c>
      <c r="CH385" t="e">
        <f>AND(#REF!,"AAAAAB+v71U=")</f>
        <v>#REF!</v>
      </c>
      <c r="CI385" t="e">
        <f>AND(#REF!,"AAAAAB+v71Y=")</f>
        <v>#REF!</v>
      </c>
      <c r="CJ385" t="e">
        <f>AND(#REF!,"AAAAAB+v71c=")</f>
        <v>#REF!</v>
      </c>
      <c r="CK385" t="e">
        <f>AND(#REF!,"AAAAAB+v71g=")</f>
        <v>#REF!</v>
      </c>
      <c r="CL385" t="e">
        <f>AND(#REF!,"AAAAAB+v71k=")</f>
        <v>#REF!</v>
      </c>
      <c r="CM385" t="e">
        <f>AND(#REF!,"AAAAAB+v71o=")</f>
        <v>#REF!</v>
      </c>
      <c r="CN385" t="e">
        <f>AND(#REF!,"AAAAAB+v71s=")</f>
        <v>#REF!</v>
      </c>
      <c r="CO385" t="e">
        <f>AND(#REF!,"AAAAAB+v71w=")</f>
        <v>#REF!</v>
      </c>
      <c r="CP385" t="e">
        <f>AND(#REF!,"AAAAAB+v710=")</f>
        <v>#REF!</v>
      </c>
      <c r="CQ385" t="e">
        <f>AND(#REF!,"AAAAAB+v714=")</f>
        <v>#REF!</v>
      </c>
      <c r="CR385" t="e">
        <f>AND(#REF!,"AAAAAB+v718=")</f>
        <v>#REF!</v>
      </c>
      <c r="CS385" t="e">
        <f>AND(#REF!,"AAAAAB+v72A=")</f>
        <v>#REF!</v>
      </c>
      <c r="CT385" t="e">
        <f>AND(#REF!,"AAAAAB+v72E=")</f>
        <v>#REF!</v>
      </c>
      <c r="CU385" t="e">
        <f>AND(#REF!,"AAAAAB+v72I=")</f>
        <v>#REF!</v>
      </c>
      <c r="CV385" t="e">
        <f>AND(#REF!,"AAAAAB+v72M=")</f>
        <v>#REF!</v>
      </c>
      <c r="CW385" t="e">
        <f>AND(#REF!,"AAAAAB+v72Q=")</f>
        <v>#REF!</v>
      </c>
      <c r="CX385" t="e">
        <f>AND(#REF!,"AAAAAB+v72U=")</f>
        <v>#REF!</v>
      </c>
      <c r="CY385" t="e">
        <f>AND(#REF!,"AAAAAB+v72Y=")</f>
        <v>#REF!</v>
      </c>
      <c r="CZ385" t="e">
        <f>AND(#REF!,"AAAAAB+v72c=")</f>
        <v>#REF!</v>
      </c>
      <c r="DA385" t="e">
        <f>AND(#REF!,"AAAAAB+v72g=")</f>
        <v>#REF!</v>
      </c>
      <c r="DB385" t="e">
        <f>AND(#REF!,"AAAAAB+v72k=")</f>
        <v>#REF!</v>
      </c>
      <c r="DC385" t="e">
        <f>IF(#REF!,"AAAAAB+v72o=",0)</f>
        <v>#REF!</v>
      </c>
      <c r="DD385" t="e">
        <f>AND(#REF!,"AAAAAB+v72s=")</f>
        <v>#REF!</v>
      </c>
      <c r="DE385" t="e">
        <f>AND(#REF!,"AAAAAB+v72w=")</f>
        <v>#REF!</v>
      </c>
      <c r="DF385" t="e">
        <f>AND(#REF!,"AAAAAB+v720=")</f>
        <v>#REF!</v>
      </c>
      <c r="DG385" t="e">
        <f>AND(#REF!,"AAAAAB+v724=")</f>
        <v>#REF!</v>
      </c>
      <c r="DH385" t="e">
        <f>AND(#REF!,"AAAAAB+v728=")</f>
        <v>#REF!</v>
      </c>
      <c r="DI385" t="e">
        <f>AND(#REF!,"AAAAAB+v73A=")</f>
        <v>#REF!</v>
      </c>
      <c r="DJ385" t="e">
        <f>AND(#REF!,"AAAAAB+v73E=")</f>
        <v>#REF!</v>
      </c>
      <c r="DK385" t="e">
        <f>AND(#REF!,"AAAAAB+v73I=")</f>
        <v>#REF!</v>
      </c>
      <c r="DL385" t="e">
        <f>AND(#REF!,"AAAAAB+v73M=")</f>
        <v>#REF!</v>
      </c>
      <c r="DM385" t="e">
        <f>AND(#REF!,"AAAAAB+v73Q=")</f>
        <v>#REF!</v>
      </c>
      <c r="DN385" t="e">
        <f>AND(#REF!,"AAAAAB+v73U=")</f>
        <v>#REF!</v>
      </c>
      <c r="DO385" t="e">
        <f>AND(#REF!,"AAAAAB+v73Y=")</f>
        <v>#REF!</v>
      </c>
      <c r="DP385" t="e">
        <f>AND(#REF!,"AAAAAB+v73c=")</f>
        <v>#REF!</v>
      </c>
      <c r="DQ385" t="e">
        <f>AND(#REF!,"AAAAAB+v73g=")</f>
        <v>#REF!</v>
      </c>
      <c r="DR385" t="e">
        <f>AND(#REF!,"AAAAAB+v73k=")</f>
        <v>#REF!</v>
      </c>
      <c r="DS385" t="e">
        <f>AND(#REF!,"AAAAAB+v73o=")</f>
        <v>#REF!</v>
      </c>
      <c r="DT385" t="e">
        <f>AND(#REF!,"AAAAAB+v73s=")</f>
        <v>#REF!</v>
      </c>
      <c r="DU385" t="e">
        <f>AND(#REF!,"AAAAAB+v73w=")</f>
        <v>#REF!</v>
      </c>
      <c r="DV385" t="e">
        <f>AND(#REF!,"AAAAAB+v730=")</f>
        <v>#REF!</v>
      </c>
      <c r="DW385" t="e">
        <f>AND(#REF!,"AAAAAB+v734=")</f>
        <v>#REF!</v>
      </c>
      <c r="DX385" t="e">
        <f>AND(#REF!,"AAAAAB+v738=")</f>
        <v>#REF!</v>
      </c>
      <c r="DY385" t="e">
        <f>AND(#REF!,"AAAAAB+v74A=")</f>
        <v>#REF!</v>
      </c>
      <c r="DZ385" t="e">
        <f>AND(#REF!,"AAAAAB+v74E=")</f>
        <v>#REF!</v>
      </c>
      <c r="EA385" t="e">
        <f>AND(#REF!,"AAAAAB+v74I=")</f>
        <v>#REF!</v>
      </c>
      <c r="EB385" t="e">
        <f>IF(#REF!,"AAAAAB+v74M=",0)</f>
        <v>#REF!</v>
      </c>
      <c r="EC385" t="e">
        <f>AND(#REF!,"AAAAAB+v74Q=")</f>
        <v>#REF!</v>
      </c>
      <c r="ED385" t="e">
        <f>AND(#REF!,"AAAAAB+v74U=")</f>
        <v>#REF!</v>
      </c>
      <c r="EE385" t="e">
        <f>AND(#REF!,"AAAAAB+v74Y=")</f>
        <v>#REF!</v>
      </c>
      <c r="EF385" t="e">
        <f>AND(#REF!,"AAAAAB+v74c=")</f>
        <v>#REF!</v>
      </c>
      <c r="EG385" t="e">
        <f>AND(#REF!,"AAAAAB+v74g=")</f>
        <v>#REF!</v>
      </c>
      <c r="EH385" t="e">
        <f>AND(#REF!,"AAAAAB+v74k=")</f>
        <v>#REF!</v>
      </c>
      <c r="EI385" t="e">
        <f>AND(#REF!,"AAAAAB+v74o=")</f>
        <v>#REF!</v>
      </c>
      <c r="EJ385" t="e">
        <f>AND(#REF!,"AAAAAB+v74s=")</f>
        <v>#REF!</v>
      </c>
      <c r="EK385" t="e">
        <f>AND(#REF!,"AAAAAB+v74w=")</f>
        <v>#REF!</v>
      </c>
      <c r="EL385" t="e">
        <f>AND(#REF!,"AAAAAB+v740=")</f>
        <v>#REF!</v>
      </c>
      <c r="EM385" t="e">
        <f>AND(#REF!,"AAAAAB+v744=")</f>
        <v>#REF!</v>
      </c>
      <c r="EN385" t="e">
        <f>AND(#REF!,"AAAAAB+v748=")</f>
        <v>#REF!</v>
      </c>
      <c r="EO385" t="e">
        <f>AND(#REF!,"AAAAAB+v75A=")</f>
        <v>#REF!</v>
      </c>
      <c r="EP385" t="e">
        <f>AND(#REF!,"AAAAAB+v75E=")</f>
        <v>#REF!</v>
      </c>
      <c r="EQ385" t="e">
        <f>AND(#REF!,"AAAAAB+v75I=")</f>
        <v>#REF!</v>
      </c>
      <c r="ER385" t="e">
        <f>AND(#REF!,"AAAAAB+v75M=")</f>
        <v>#REF!</v>
      </c>
      <c r="ES385" t="e">
        <f>AND(#REF!,"AAAAAB+v75Q=")</f>
        <v>#REF!</v>
      </c>
      <c r="ET385" t="e">
        <f>AND(#REF!,"AAAAAB+v75U=")</f>
        <v>#REF!</v>
      </c>
      <c r="EU385" t="e">
        <f>AND(#REF!,"AAAAAB+v75Y=")</f>
        <v>#REF!</v>
      </c>
      <c r="EV385" t="e">
        <f>AND(#REF!,"AAAAAB+v75c=")</f>
        <v>#REF!</v>
      </c>
      <c r="EW385" t="e">
        <f>AND(#REF!,"AAAAAB+v75g=")</f>
        <v>#REF!</v>
      </c>
      <c r="EX385" t="e">
        <f>AND(#REF!,"AAAAAB+v75k=")</f>
        <v>#REF!</v>
      </c>
      <c r="EY385" t="e">
        <f>AND(#REF!,"AAAAAB+v75o=")</f>
        <v>#REF!</v>
      </c>
      <c r="EZ385" t="e">
        <f>AND(#REF!,"AAAAAB+v75s=")</f>
        <v>#REF!</v>
      </c>
      <c r="FA385" t="e">
        <f>IF(#REF!,"AAAAAB+v75w=",0)</f>
        <v>#REF!</v>
      </c>
      <c r="FB385" t="e">
        <f>AND(#REF!,"AAAAAB+v750=")</f>
        <v>#REF!</v>
      </c>
      <c r="FC385" t="e">
        <f>AND(#REF!,"AAAAAB+v754=")</f>
        <v>#REF!</v>
      </c>
      <c r="FD385" t="e">
        <f>AND(#REF!,"AAAAAB+v758=")</f>
        <v>#REF!</v>
      </c>
      <c r="FE385" t="e">
        <f>AND(#REF!,"AAAAAB+v76A=")</f>
        <v>#REF!</v>
      </c>
      <c r="FF385" t="e">
        <f>AND(#REF!,"AAAAAB+v76E=")</f>
        <v>#REF!</v>
      </c>
      <c r="FG385" t="e">
        <f>AND(#REF!,"AAAAAB+v76I=")</f>
        <v>#REF!</v>
      </c>
      <c r="FH385" t="e">
        <f>AND(#REF!,"AAAAAB+v76M=")</f>
        <v>#REF!</v>
      </c>
      <c r="FI385" t="e">
        <f>AND(#REF!,"AAAAAB+v76Q=")</f>
        <v>#REF!</v>
      </c>
      <c r="FJ385" t="e">
        <f>AND(#REF!,"AAAAAB+v76U=")</f>
        <v>#REF!</v>
      </c>
      <c r="FK385" t="e">
        <f>AND(#REF!,"AAAAAB+v76Y=")</f>
        <v>#REF!</v>
      </c>
      <c r="FL385" t="e">
        <f>AND(#REF!,"AAAAAB+v76c=")</f>
        <v>#REF!</v>
      </c>
      <c r="FM385" t="e">
        <f>AND(#REF!,"AAAAAB+v76g=")</f>
        <v>#REF!</v>
      </c>
      <c r="FN385" t="e">
        <f>AND(#REF!,"AAAAAB+v76k=")</f>
        <v>#REF!</v>
      </c>
      <c r="FO385" t="e">
        <f>AND(#REF!,"AAAAAB+v76o=")</f>
        <v>#REF!</v>
      </c>
      <c r="FP385" t="e">
        <f>AND(#REF!,"AAAAAB+v76s=")</f>
        <v>#REF!</v>
      </c>
      <c r="FQ385" t="e">
        <f>AND(#REF!,"AAAAAB+v76w=")</f>
        <v>#REF!</v>
      </c>
      <c r="FR385" t="e">
        <f>AND(#REF!,"AAAAAB+v760=")</f>
        <v>#REF!</v>
      </c>
      <c r="FS385" t="e">
        <f>AND(#REF!,"AAAAAB+v764=")</f>
        <v>#REF!</v>
      </c>
      <c r="FT385" t="e">
        <f>AND(#REF!,"AAAAAB+v768=")</f>
        <v>#REF!</v>
      </c>
      <c r="FU385" t="e">
        <f>AND(#REF!,"AAAAAB+v77A=")</f>
        <v>#REF!</v>
      </c>
      <c r="FV385" t="e">
        <f>AND(#REF!,"AAAAAB+v77E=")</f>
        <v>#REF!</v>
      </c>
      <c r="FW385" t="e">
        <f>AND(#REF!,"AAAAAB+v77I=")</f>
        <v>#REF!</v>
      </c>
      <c r="FX385" t="e">
        <f>AND(#REF!,"AAAAAB+v77M=")</f>
        <v>#REF!</v>
      </c>
      <c r="FY385" t="e">
        <f>AND(#REF!,"AAAAAB+v77Q=")</f>
        <v>#REF!</v>
      </c>
      <c r="FZ385" t="e">
        <f>IF(#REF!,"AAAAAB+v77U=",0)</f>
        <v>#REF!</v>
      </c>
      <c r="GA385" t="e">
        <f>AND(#REF!,"AAAAAB+v77Y=")</f>
        <v>#REF!</v>
      </c>
      <c r="GB385" t="e">
        <f>AND(#REF!,"AAAAAB+v77c=")</f>
        <v>#REF!</v>
      </c>
      <c r="GC385" t="e">
        <f>AND(#REF!,"AAAAAB+v77g=")</f>
        <v>#REF!</v>
      </c>
      <c r="GD385" t="e">
        <f>AND(#REF!,"AAAAAB+v77k=")</f>
        <v>#REF!</v>
      </c>
      <c r="GE385" t="e">
        <f>AND(#REF!,"AAAAAB+v77o=")</f>
        <v>#REF!</v>
      </c>
      <c r="GF385" t="e">
        <f>AND(#REF!,"AAAAAB+v77s=")</f>
        <v>#REF!</v>
      </c>
      <c r="GG385" t="e">
        <f>AND(#REF!,"AAAAAB+v77w=")</f>
        <v>#REF!</v>
      </c>
      <c r="GH385" t="e">
        <f>AND(#REF!,"AAAAAB+v770=")</f>
        <v>#REF!</v>
      </c>
      <c r="GI385" t="e">
        <f>AND(#REF!,"AAAAAB+v774=")</f>
        <v>#REF!</v>
      </c>
      <c r="GJ385" t="e">
        <f>AND(#REF!,"AAAAAB+v778=")</f>
        <v>#REF!</v>
      </c>
      <c r="GK385" t="e">
        <f>AND(#REF!,"AAAAAB+v78A=")</f>
        <v>#REF!</v>
      </c>
      <c r="GL385" t="e">
        <f>AND(#REF!,"AAAAAB+v78E=")</f>
        <v>#REF!</v>
      </c>
      <c r="GM385" t="e">
        <f>AND(#REF!,"AAAAAB+v78I=")</f>
        <v>#REF!</v>
      </c>
      <c r="GN385" t="e">
        <f>AND(#REF!,"AAAAAB+v78M=")</f>
        <v>#REF!</v>
      </c>
      <c r="GO385" t="e">
        <f>AND(#REF!,"AAAAAB+v78Q=")</f>
        <v>#REF!</v>
      </c>
      <c r="GP385" t="e">
        <f>AND(#REF!,"AAAAAB+v78U=")</f>
        <v>#REF!</v>
      </c>
      <c r="GQ385" t="e">
        <f>AND(#REF!,"AAAAAB+v78Y=")</f>
        <v>#REF!</v>
      </c>
      <c r="GR385" t="e">
        <f>AND(#REF!,"AAAAAB+v78c=")</f>
        <v>#REF!</v>
      </c>
      <c r="GS385" t="e">
        <f>AND(#REF!,"AAAAAB+v78g=")</f>
        <v>#REF!</v>
      </c>
      <c r="GT385" t="e">
        <f>AND(#REF!,"AAAAAB+v78k=")</f>
        <v>#REF!</v>
      </c>
      <c r="GU385" t="e">
        <f>AND(#REF!,"AAAAAB+v78o=")</f>
        <v>#REF!</v>
      </c>
      <c r="GV385" t="e">
        <f>AND(#REF!,"AAAAAB+v78s=")</f>
        <v>#REF!</v>
      </c>
      <c r="GW385" t="e">
        <f>AND(#REF!,"AAAAAB+v78w=")</f>
        <v>#REF!</v>
      </c>
      <c r="GX385" t="e">
        <f>AND(#REF!,"AAAAAB+v780=")</f>
        <v>#REF!</v>
      </c>
      <c r="GY385" t="e">
        <f>IF(#REF!,"AAAAAB+v784=",0)</f>
        <v>#REF!</v>
      </c>
      <c r="GZ385" t="e">
        <f>AND(#REF!,"AAAAAB+v788=")</f>
        <v>#REF!</v>
      </c>
      <c r="HA385" t="e">
        <f>AND(#REF!,"AAAAAB+v79A=")</f>
        <v>#REF!</v>
      </c>
      <c r="HB385" t="e">
        <f>AND(#REF!,"AAAAAB+v79E=")</f>
        <v>#REF!</v>
      </c>
      <c r="HC385" t="e">
        <f>AND(#REF!,"AAAAAB+v79I=")</f>
        <v>#REF!</v>
      </c>
      <c r="HD385" t="e">
        <f>AND(#REF!,"AAAAAB+v79M=")</f>
        <v>#REF!</v>
      </c>
      <c r="HE385" t="e">
        <f>AND(#REF!,"AAAAAB+v79Q=")</f>
        <v>#REF!</v>
      </c>
      <c r="HF385" t="e">
        <f>AND(#REF!,"AAAAAB+v79U=")</f>
        <v>#REF!</v>
      </c>
      <c r="HG385" t="e">
        <f>AND(#REF!,"AAAAAB+v79Y=")</f>
        <v>#REF!</v>
      </c>
      <c r="HH385" t="e">
        <f>AND(#REF!,"AAAAAB+v79c=")</f>
        <v>#REF!</v>
      </c>
      <c r="HI385" t="e">
        <f>AND(#REF!,"AAAAAB+v79g=")</f>
        <v>#REF!</v>
      </c>
      <c r="HJ385" t="e">
        <f>AND(#REF!,"AAAAAB+v79k=")</f>
        <v>#REF!</v>
      </c>
      <c r="HK385" t="e">
        <f>AND(#REF!,"AAAAAB+v79o=")</f>
        <v>#REF!</v>
      </c>
      <c r="HL385" t="e">
        <f>AND(#REF!,"AAAAAB+v79s=")</f>
        <v>#REF!</v>
      </c>
      <c r="HM385" t="e">
        <f>AND(#REF!,"AAAAAB+v79w=")</f>
        <v>#REF!</v>
      </c>
      <c r="HN385" t="e">
        <f>AND(#REF!,"AAAAAB+v790=")</f>
        <v>#REF!</v>
      </c>
      <c r="HO385" t="e">
        <f>AND(#REF!,"AAAAAB+v794=")</f>
        <v>#REF!</v>
      </c>
      <c r="HP385" t="e">
        <f>AND(#REF!,"AAAAAB+v798=")</f>
        <v>#REF!</v>
      </c>
      <c r="HQ385" t="e">
        <f>AND(#REF!,"AAAAAB+v7+A=")</f>
        <v>#REF!</v>
      </c>
      <c r="HR385" t="e">
        <f>AND(#REF!,"AAAAAB+v7+E=")</f>
        <v>#REF!</v>
      </c>
      <c r="HS385" t="e">
        <f>AND(#REF!,"AAAAAB+v7+I=")</f>
        <v>#REF!</v>
      </c>
      <c r="HT385" t="e">
        <f>AND(#REF!,"AAAAAB+v7+M=")</f>
        <v>#REF!</v>
      </c>
      <c r="HU385" t="e">
        <f>AND(#REF!,"AAAAAB+v7+Q=")</f>
        <v>#REF!</v>
      </c>
      <c r="HV385" t="e">
        <f>AND(#REF!,"AAAAAB+v7+U=")</f>
        <v>#REF!</v>
      </c>
      <c r="HW385" t="e">
        <f>AND(#REF!,"AAAAAB+v7+Y=")</f>
        <v>#REF!</v>
      </c>
      <c r="HX385" t="e">
        <f>IF(#REF!,"AAAAAB+v7+c=",0)</f>
        <v>#REF!</v>
      </c>
      <c r="HY385" t="e">
        <f>AND(#REF!,"AAAAAB+v7+g=")</f>
        <v>#REF!</v>
      </c>
      <c r="HZ385" t="e">
        <f>AND(#REF!,"AAAAAB+v7+k=")</f>
        <v>#REF!</v>
      </c>
      <c r="IA385" t="e">
        <f>AND(#REF!,"AAAAAB+v7+o=")</f>
        <v>#REF!</v>
      </c>
      <c r="IB385" t="e">
        <f>AND(#REF!,"AAAAAB+v7+s=")</f>
        <v>#REF!</v>
      </c>
      <c r="IC385" t="e">
        <f>AND(#REF!,"AAAAAB+v7+w=")</f>
        <v>#REF!</v>
      </c>
      <c r="ID385" t="e">
        <f>AND(#REF!,"AAAAAB+v7+0=")</f>
        <v>#REF!</v>
      </c>
      <c r="IE385" t="e">
        <f>AND(#REF!,"AAAAAB+v7+4=")</f>
        <v>#REF!</v>
      </c>
      <c r="IF385" t="e">
        <f>AND(#REF!,"AAAAAB+v7+8=")</f>
        <v>#REF!</v>
      </c>
      <c r="IG385" t="e">
        <f>AND(#REF!,"AAAAAB+v7/A=")</f>
        <v>#REF!</v>
      </c>
      <c r="IH385" t="e">
        <f>AND(#REF!,"AAAAAB+v7/E=")</f>
        <v>#REF!</v>
      </c>
      <c r="II385" t="e">
        <f>AND(#REF!,"AAAAAB+v7/I=")</f>
        <v>#REF!</v>
      </c>
      <c r="IJ385" t="e">
        <f>AND(#REF!,"AAAAAB+v7/M=")</f>
        <v>#REF!</v>
      </c>
      <c r="IK385" t="e">
        <f>AND(#REF!,"AAAAAB+v7/Q=")</f>
        <v>#REF!</v>
      </c>
      <c r="IL385" t="e">
        <f>AND(#REF!,"AAAAAB+v7/U=")</f>
        <v>#REF!</v>
      </c>
      <c r="IM385" t="e">
        <f>AND(#REF!,"AAAAAB+v7/Y=")</f>
        <v>#REF!</v>
      </c>
      <c r="IN385" t="e">
        <f>AND(#REF!,"AAAAAB+v7/c=")</f>
        <v>#REF!</v>
      </c>
      <c r="IO385" t="e">
        <f>AND(#REF!,"AAAAAB+v7/g=")</f>
        <v>#REF!</v>
      </c>
      <c r="IP385" t="e">
        <f>AND(#REF!,"AAAAAB+v7/k=")</f>
        <v>#REF!</v>
      </c>
      <c r="IQ385" t="e">
        <f>AND(#REF!,"AAAAAB+v7/o=")</f>
        <v>#REF!</v>
      </c>
      <c r="IR385" t="e">
        <f>AND(#REF!,"AAAAAB+v7/s=")</f>
        <v>#REF!</v>
      </c>
      <c r="IS385" t="e">
        <f>AND(#REF!,"AAAAAB+v7/w=")</f>
        <v>#REF!</v>
      </c>
      <c r="IT385" t="e">
        <f>AND(#REF!,"AAAAAB+v7/0=")</f>
        <v>#REF!</v>
      </c>
      <c r="IU385" t="e">
        <f>AND(#REF!,"AAAAAB+v7/4=")</f>
        <v>#REF!</v>
      </c>
      <c r="IV385" t="e">
        <f>AND(#REF!,"AAAAAB+v7/8=")</f>
        <v>#REF!</v>
      </c>
    </row>
    <row r="386" spans="1:256">
      <c r="A386" t="e">
        <f>IF(#REF!,"AAAAAF03rgA=",0)</f>
        <v>#REF!</v>
      </c>
      <c r="B386" t="e">
        <f>AND(#REF!,"AAAAAF03rgE=")</f>
        <v>#REF!</v>
      </c>
      <c r="C386" t="e">
        <f>AND(#REF!,"AAAAAF03rgI=")</f>
        <v>#REF!</v>
      </c>
      <c r="D386" t="e">
        <f>AND(#REF!,"AAAAAF03rgM=")</f>
        <v>#REF!</v>
      </c>
      <c r="E386" t="e">
        <f>AND(#REF!,"AAAAAF03rgQ=")</f>
        <v>#REF!</v>
      </c>
      <c r="F386" t="e">
        <f>AND(#REF!,"AAAAAF03rgU=")</f>
        <v>#REF!</v>
      </c>
      <c r="G386" t="e">
        <f>AND(#REF!,"AAAAAF03rgY=")</f>
        <v>#REF!</v>
      </c>
      <c r="H386" t="e">
        <f>AND(#REF!,"AAAAAF03rgc=")</f>
        <v>#REF!</v>
      </c>
      <c r="I386" t="e">
        <f>AND(#REF!,"AAAAAF03rgg=")</f>
        <v>#REF!</v>
      </c>
      <c r="J386" t="e">
        <f>AND(#REF!,"AAAAAF03rgk=")</f>
        <v>#REF!</v>
      </c>
      <c r="K386" t="e">
        <f>AND(#REF!,"AAAAAF03rgo=")</f>
        <v>#REF!</v>
      </c>
      <c r="L386" t="e">
        <f>AND(#REF!,"AAAAAF03rgs=")</f>
        <v>#REF!</v>
      </c>
      <c r="M386" t="e">
        <f>AND(#REF!,"AAAAAF03rgw=")</f>
        <v>#REF!</v>
      </c>
      <c r="N386" t="e">
        <f>AND(#REF!,"AAAAAF03rg0=")</f>
        <v>#REF!</v>
      </c>
      <c r="O386" t="e">
        <f>AND(#REF!,"AAAAAF03rg4=")</f>
        <v>#REF!</v>
      </c>
      <c r="P386" t="e">
        <f>AND(#REF!,"AAAAAF03rg8=")</f>
        <v>#REF!</v>
      </c>
      <c r="Q386" t="e">
        <f>AND(#REF!,"AAAAAF03rhA=")</f>
        <v>#REF!</v>
      </c>
      <c r="R386" t="e">
        <f>AND(#REF!,"AAAAAF03rhE=")</f>
        <v>#REF!</v>
      </c>
      <c r="S386" t="e">
        <f>AND(#REF!,"AAAAAF03rhI=")</f>
        <v>#REF!</v>
      </c>
      <c r="T386" t="e">
        <f>AND(#REF!,"AAAAAF03rhM=")</f>
        <v>#REF!</v>
      </c>
      <c r="U386" t="e">
        <f>AND(#REF!,"AAAAAF03rhQ=")</f>
        <v>#REF!</v>
      </c>
      <c r="V386" t="e">
        <f>AND(#REF!,"AAAAAF03rhU=")</f>
        <v>#REF!</v>
      </c>
      <c r="W386" t="e">
        <f>AND(#REF!,"AAAAAF03rhY=")</f>
        <v>#REF!</v>
      </c>
      <c r="X386" t="e">
        <f>AND(#REF!,"AAAAAF03rhc=")</f>
        <v>#REF!</v>
      </c>
      <c r="Y386" t="e">
        <f>AND(#REF!,"AAAAAF03rhg=")</f>
        <v>#REF!</v>
      </c>
      <c r="Z386" t="e">
        <f>IF(#REF!,"AAAAAF03rhk=",0)</f>
        <v>#REF!</v>
      </c>
      <c r="AA386" t="e">
        <f>AND(#REF!,"AAAAAF03rho=")</f>
        <v>#REF!</v>
      </c>
      <c r="AB386" t="e">
        <f>AND(#REF!,"AAAAAF03rhs=")</f>
        <v>#REF!</v>
      </c>
      <c r="AC386" t="e">
        <f>AND(#REF!,"AAAAAF03rhw=")</f>
        <v>#REF!</v>
      </c>
      <c r="AD386" t="e">
        <f>AND(#REF!,"AAAAAF03rh0=")</f>
        <v>#REF!</v>
      </c>
      <c r="AE386" t="e">
        <f>AND(#REF!,"AAAAAF03rh4=")</f>
        <v>#REF!</v>
      </c>
      <c r="AF386" t="e">
        <f>AND(#REF!,"AAAAAF03rh8=")</f>
        <v>#REF!</v>
      </c>
      <c r="AG386" t="e">
        <f>AND(#REF!,"AAAAAF03riA=")</f>
        <v>#REF!</v>
      </c>
      <c r="AH386" t="e">
        <f>AND(#REF!,"AAAAAF03riE=")</f>
        <v>#REF!</v>
      </c>
      <c r="AI386" t="e">
        <f>AND(#REF!,"AAAAAF03riI=")</f>
        <v>#REF!</v>
      </c>
      <c r="AJ386" t="e">
        <f>AND(#REF!,"AAAAAF03riM=")</f>
        <v>#REF!</v>
      </c>
      <c r="AK386" t="e">
        <f>AND(#REF!,"AAAAAF03riQ=")</f>
        <v>#REF!</v>
      </c>
      <c r="AL386" t="e">
        <f>AND(#REF!,"AAAAAF03riU=")</f>
        <v>#REF!</v>
      </c>
      <c r="AM386" t="e">
        <f>AND(#REF!,"AAAAAF03riY=")</f>
        <v>#REF!</v>
      </c>
      <c r="AN386" t="e">
        <f>AND(#REF!,"AAAAAF03ric=")</f>
        <v>#REF!</v>
      </c>
      <c r="AO386" t="e">
        <f>AND(#REF!,"AAAAAF03rig=")</f>
        <v>#REF!</v>
      </c>
      <c r="AP386" t="e">
        <f>AND(#REF!,"AAAAAF03rik=")</f>
        <v>#REF!</v>
      </c>
      <c r="AQ386" t="e">
        <f>AND(#REF!,"AAAAAF03rio=")</f>
        <v>#REF!</v>
      </c>
      <c r="AR386" t="e">
        <f>AND(#REF!,"AAAAAF03ris=")</f>
        <v>#REF!</v>
      </c>
      <c r="AS386" t="e">
        <f>AND(#REF!,"AAAAAF03riw=")</f>
        <v>#REF!</v>
      </c>
      <c r="AT386" t="e">
        <f>AND(#REF!,"AAAAAF03ri0=")</f>
        <v>#REF!</v>
      </c>
      <c r="AU386" t="e">
        <f>AND(#REF!,"AAAAAF03ri4=")</f>
        <v>#REF!</v>
      </c>
      <c r="AV386" t="e">
        <f>AND(#REF!,"AAAAAF03ri8=")</f>
        <v>#REF!</v>
      </c>
      <c r="AW386" t="e">
        <f>AND(#REF!,"AAAAAF03rjA=")</f>
        <v>#REF!</v>
      </c>
      <c r="AX386" t="e">
        <f>AND(#REF!,"AAAAAF03rjE=")</f>
        <v>#REF!</v>
      </c>
      <c r="AY386" t="e">
        <f>IF(#REF!,"AAAAAF03rjI=",0)</f>
        <v>#REF!</v>
      </c>
      <c r="AZ386" t="e">
        <f>AND(#REF!,"AAAAAF03rjM=")</f>
        <v>#REF!</v>
      </c>
      <c r="BA386" t="e">
        <f>AND(#REF!,"AAAAAF03rjQ=")</f>
        <v>#REF!</v>
      </c>
      <c r="BB386" t="e">
        <f>AND(#REF!,"AAAAAF03rjU=")</f>
        <v>#REF!</v>
      </c>
      <c r="BC386" t="e">
        <f>AND(#REF!,"AAAAAF03rjY=")</f>
        <v>#REF!</v>
      </c>
      <c r="BD386" t="e">
        <f>AND(#REF!,"AAAAAF03rjc=")</f>
        <v>#REF!</v>
      </c>
      <c r="BE386" t="e">
        <f>AND(#REF!,"AAAAAF03rjg=")</f>
        <v>#REF!</v>
      </c>
      <c r="BF386" t="e">
        <f>AND(#REF!,"AAAAAF03rjk=")</f>
        <v>#REF!</v>
      </c>
      <c r="BG386" t="e">
        <f>AND(#REF!,"AAAAAF03rjo=")</f>
        <v>#REF!</v>
      </c>
      <c r="BH386" t="e">
        <f>AND(#REF!,"AAAAAF03rjs=")</f>
        <v>#REF!</v>
      </c>
      <c r="BI386" t="e">
        <f>AND(#REF!,"AAAAAF03rjw=")</f>
        <v>#REF!</v>
      </c>
      <c r="BJ386" t="e">
        <f>AND(#REF!,"AAAAAF03rj0=")</f>
        <v>#REF!</v>
      </c>
      <c r="BK386" t="e">
        <f>AND(#REF!,"AAAAAF03rj4=")</f>
        <v>#REF!</v>
      </c>
      <c r="BL386" t="e">
        <f>AND(#REF!,"AAAAAF03rj8=")</f>
        <v>#REF!</v>
      </c>
      <c r="BM386" t="e">
        <f>AND(#REF!,"AAAAAF03rkA=")</f>
        <v>#REF!</v>
      </c>
      <c r="BN386" t="e">
        <f>AND(#REF!,"AAAAAF03rkE=")</f>
        <v>#REF!</v>
      </c>
      <c r="BO386" t="e">
        <f>AND(#REF!,"AAAAAF03rkI=")</f>
        <v>#REF!</v>
      </c>
      <c r="BP386" t="e">
        <f>AND(#REF!,"AAAAAF03rkM=")</f>
        <v>#REF!</v>
      </c>
      <c r="BQ386" t="e">
        <f>AND(#REF!,"AAAAAF03rkQ=")</f>
        <v>#REF!</v>
      </c>
      <c r="BR386" t="e">
        <f>AND(#REF!,"AAAAAF03rkU=")</f>
        <v>#REF!</v>
      </c>
      <c r="BS386" t="e">
        <f>AND(#REF!,"AAAAAF03rkY=")</f>
        <v>#REF!</v>
      </c>
      <c r="BT386" t="e">
        <f>AND(#REF!,"AAAAAF03rkc=")</f>
        <v>#REF!</v>
      </c>
      <c r="BU386" t="e">
        <f>AND(#REF!,"AAAAAF03rkg=")</f>
        <v>#REF!</v>
      </c>
      <c r="BV386" t="e">
        <f>AND(#REF!,"AAAAAF03rkk=")</f>
        <v>#REF!</v>
      </c>
      <c r="BW386" t="e">
        <f>AND(#REF!,"AAAAAF03rko=")</f>
        <v>#REF!</v>
      </c>
      <c r="BX386" t="e">
        <f>IF(#REF!,"AAAAAF03rks=",0)</f>
        <v>#REF!</v>
      </c>
      <c r="BY386" t="e">
        <f>AND(#REF!,"AAAAAF03rkw=")</f>
        <v>#REF!</v>
      </c>
      <c r="BZ386" t="e">
        <f>AND(#REF!,"AAAAAF03rk0=")</f>
        <v>#REF!</v>
      </c>
      <c r="CA386" t="e">
        <f>AND(#REF!,"AAAAAF03rk4=")</f>
        <v>#REF!</v>
      </c>
      <c r="CB386" t="e">
        <f>AND(#REF!,"AAAAAF03rk8=")</f>
        <v>#REF!</v>
      </c>
      <c r="CC386" t="e">
        <f>AND(#REF!,"AAAAAF03rlA=")</f>
        <v>#REF!</v>
      </c>
      <c r="CD386" t="e">
        <f>AND(#REF!,"AAAAAF03rlE=")</f>
        <v>#REF!</v>
      </c>
      <c r="CE386" t="e">
        <f>AND(#REF!,"AAAAAF03rlI=")</f>
        <v>#REF!</v>
      </c>
      <c r="CF386" t="e">
        <f>AND(#REF!,"AAAAAF03rlM=")</f>
        <v>#REF!</v>
      </c>
      <c r="CG386" t="e">
        <f>AND(#REF!,"AAAAAF03rlQ=")</f>
        <v>#REF!</v>
      </c>
      <c r="CH386" t="e">
        <f>AND(#REF!,"AAAAAF03rlU=")</f>
        <v>#REF!</v>
      </c>
      <c r="CI386" t="e">
        <f>AND(#REF!,"AAAAAF03rlY=")</f>
        <v>#REF!</v>
      </c>
      <c r="CJ386" t="e">
        <f>AND(#REF!,"AAAAAF03rlc=")</f>
        <v>#REF!</v>
      </c>
      <c r="CK386" t="e">
        <f>AND(#REF!,"AAAAAF03rlg=")</f>
        <v>#REF!</v>
      </c>
      <c r="CL386" t="e">
        <f>AND(#REF!,"AAAAAF03rlk=")</f>
        <v>#REF!</v>
      </c>
      <c r="CM386" t="e">
        <f>AND(#REF!,"AAAAAF03rlo=")</f>
        <v>#REF!</v>
      </c>
      <c r="CN386" t="e">
        <f>AND(#REF!,"AAAAAF03rls=")</f>
        <v>#REF!</v>
      </c>
      <c r="CO386" t="e">
        <f>AND(#REF!,"AAAAAF03rlw=")</f>
        <v>#REF!</v>
      </c>
      <c r="CP386" t="e">
        <f>AND(#REF!,"AAAAAF03rl0=")</f>
        <v>#REF!</v>
      </c>
      <c r="CQ386" t="e">
        <f>AND(#REF!,"AAAAAF03rl4=")</f>
        <v>#REF!</v>
      </c>
      <c r="CR386" t="e">
        <f>AND(#REF!,"AAAAAF03rl8=")</f>
        <v>#REF!</v>
      </c>
      <c r="CS386" t="e">
        <f>AND(#REF!,"AAAAAF03rmA=")</f>
        <v>#REF!</v>
      </c>
      <c r="CT386" t="e">
        <f>AND(#REF!,"AAAAAF03rmE=")</f>
        <v>#REF!</v>
      </c>
      <c r="CU386" t="e">
        <f>AND(#REF!,"AAAAAF03rmI=")</f>
        <v>#REF!</v>
      </c>
      <c r="CV386" t="e">
        <f>AND(#REF!,"AAAAAF03rmM=")</f>
        <v>#REF!</v>
      </c>
      <c r="CW386" t="e">
        <f>IF(#REF!,"AAAAAF03rmQ=",0)</f>
        <v>#REF!</v>
      </c>
      <c r="CX386" t="e">
        <f>AND(#REF!,"AAAAAF03rmU=")</f>
        <v>#REF!</v>
      </c>
      <c r="CY386" t="e">
        <f>AND(#REF!,"AAAAAF03rmY=")</f>
        <v>#REF!</v>
      </c>
      <c r="CZ386" t="e">
        <f>AND(#REF!,"AAAAAF03rmc=")</f>
        <v>#REF!</v>
      </c>
      <c r="DA386" t="e">
        <f>AND(#REF!,"AAAAAF03rmg=")</f>
        <v>#REF!</v>
      </c>
      <c r="DB386" t="e">
        <f>AND(#REF!,"AAAAAF03rmk=")</f>
        <v>#REF!</v>
      </c>
      <c r="DC386" t="e">
        <f>AND(#REF!,"AAAAAF03rmo=")</f>
        <v>#REF!</v>
      </c>
      <c r="DD386" t="e">
        <f>AND(#REF!,"AAAAAF03rms=")</f>
        <v>#REF!</v>
      </c>
      <c r="DE386" t="e">
        <f>AND(#REF!,"AAAAAF03rmw=")</f>
        <v>#REF!</v>
      </c>
      <c r="DF386" t="e">
        <f>AND(#REF!,"AAAAAF03rm0=")</f>
        <v>#REF!</v>
      </c>
      <c r="DG386" t="e">
        <f>AND(#REF!,"AAAAAF03rm4=")</f>
        <v>#REF!</v>
      </c>
      <c r="DH386" t="e">
        <f>AND(#REF!,"AAAAAF03rm8=")</f>
        <v>#REF!</v>
      </c>
      <c r="DI386" t="e">
        <f>AND(#REF!,"AAAAAF03rnA=")</f>
        <v>#REF!</v>
      </c>
      <c r="DJ386" t="e">
        <f>AND(#REF!,"AAAAAF03rnE=")</f>
        <v>#REF!</v>
      </c>
      <c r="DK386" t="e">
        <f>AND(#REF!,"AAAAAF03rnI=")</f>
        <v>#REF!</v>
      </c>
      <c r="DL386" t="e">
        <f>AND(#REF!,"AAAAAF03rnM=")</f>
        <v>#REF!</v>
      </c>
      <c r="DM386" t="e">
        <f>AND(#REF!,"AAAAAF03rnQ=")</f>
        <v>#REF!</v>
      </c>
      <c r="DN386" t="e">
        <f>AND(#REF!,"AAAAAF03rnU=")</f>
        <v>#REF!</v>
      </c>
      <c r="DO386" t="e">
        <f>AND(#REF!,"AAAAAF03rnY=")</f>
        <v>#REF!</v>
      </c>
      <c r="DP386" t="e">
        <f>AND(#REF!,"AAAAAF03rnc=")</f>
        <v>#REF!</v>
      </c>
      <c r="DQ386" t="e">
        <f>AND(#REF!,"AAAAAF03rng=")</f>
        <v>#REF!</v>
      </c>
      <c r="DR386" t="e">
        <f>AND(#REF!,"AAAAAF03rnk=")</f>
        <v>#REF!</v>
      </c>
      <c r="DS386" t="e">
        <f>AND(#REF!,"AAAAAF03rno=")</f>
        <v>#REF!</v>
      </c>
      <c r="DT386" t="e">
        <f>AND(#REF!,"AAAAAF03rns=")</f>
        <v>#REF!</v>
      </c>
      <c r="DU386" t="e">
        <f>AND(#REF!,"AAAAAF03rnw=")</f>
        <v>#REF!</v>
      </c>
      <c r="DV386" t="e">
        <f>IF(#REF!,"AAAAAF03rn0=",0)</f>
        <v>#REF!</v>
      </c>
      <c r="DW386" t="e">
        <f>AND(#REF!,"AAAAAF03rn4=")</f>
        <v>#REF!</v>
      </c>
      <c r="DX386" t="e">
        <f>AND(#REF!,"AAAAAF03rn8=")</f>
        <v>#REF!</v>
      </c>
      <c r="DY386" t="e">
        <f>AND(#REF!,"AAAAAF03roA=")</f>
        <v>#REF!</v>
      </c>
      <c r="DZ386" t="e">
        <f>AND(#REF!,"AAAAAF03roE=")</f>
        <v>#REF!</v>
      </c>
      <c r="EA386" t="e">
        <f>AND(#REF!,"AAAAAF03roI=")</f>
        <v>#REF!</v>
      </c>
      <c r="EB386" t="e">
        <f>AND(#REF!,"AAAAAF03roM=")</f>
        <v>#REF!</v>
      </c>
      <c r="EC386" t="e">
        <f>AND(#REF!,"AAAAAF03roQ=")</f>
        <v>#REF!</v>
      </c>
      <c r="ED386" t="e">
        <f>AND(#REF!,"AAAAAF03roU=")</f>
        <v>#REF!</v>
      </c>
      <c r="EE386" t="e">
        <f>AND(#REF!,"AAAAAF03roY=")</f>
        <v>#REF!</v>
      </c>
      <c r="EF386" t="e">
        <f>AND(#REF!,"AAAAAF03roc=")</f>
        <v>#REF!</v>
      </c>
      <c r="EG386" t="e">
        <f>AND(#REF!,"AAAAAF03rog=")</f>
        <v>#REF!</v>
      </c>
      <c r="EH386" t="e">
        <f>AND(#REF!,"AAAAAF03rok=")</f>
        <v>#REF!</v>
      </c>
      <c r="EI386" t="e">
        <f>AND(#REF!,"AAAAAF03roo=")</f>
        <v>#REF!</v>
      </c>
      <c r="EJ386" t="e">
        <f>AND(#REF!,"AAAAAF03ros=")</f>
        <v>#REF!</v>
      </c>
      <c r="EK386" t="e">
        <f>AND(#REF!,"AAAAAF03row=")</f>
        <v>#REF!</v>
      </c>
      <c r="EL386" t="e">
        <f>AND(#REF!,"AAAAAF03ro0=")</f>
        <v>#REF!</v>
      </c>
      <c r="EM386" t="e">
        <f>AND(#REF!,"AAAAAF03ro4=")</f>
        <v>#REF!</v>
      </c>
      <c r="EN386" t="e">
        <f>AND(#REF!,"AAAAAF03ro8=")</f>
        <v>#REF!</v>
      </c>
      <c r="EO386" t="e">
        <f>AND(#REF!,"AAAAAF03rpA=")</f>
        <v>#REF!</v>
      </c>
      <c r="EP386" t="e">
        <f>AND(#REF!,"AAAAAF03rpE=")</f>
        <v>#REF!</v>
      </c>
      <c r="EQ386" t="e">
        <f>AND(#REF!,"AAAAAF03rpI=")</f>
        <v>#REF!</v>
      </c>
      <c r="ER386" t="e">
        <f>AND(#REF!,"AAAAAF03rpM=")</f>
        <v>#REF!</v>
      </c>
      <c r="ES386" t="e">
        <f>AND(#REF!,"AAAAAF03rpQ=")</f>
        <v>#REF!</v>
      </c>
      <c r="ET386" t="e">
        <f>AND(#REF!,"AAAAAF03rpU=")</f>
        <v>#REF!</v>
      </c>
      <c r="EU386" t="e">
        <f>IF(#REF!,"AAAAAF03rpY=",0)</f>
        <v>#REF!</v>
      </c>
      <c r="EV386" t="e">
        <f>AND(#REF!,"AAAAAF03rpc=")</f>
        <v>#REF!</v>
      </c>
      <c r="EW386" t="e">
        <f>AND(#REF!,"AAAAAF03rpg=")</f>
        <v>#REF!</v>
      </c>
      <c r="EX386" t="e">
        <f>AND(#REF!,"AAAAAF03rpk=")</f>
        <v>#REF!</v>
      </c>
      <c r="EY386" t="e">
        <f>AND(#REF!,"AAAAAF03rpo=")</f>
        <v>#REF!</v>
      </c>
      <c r="EZ386" t="e">
        <f>AND(#REF!,"AAAAAF03rps=")</f>
        <v>#REF!</v>
      </c>
      <c r="FA386" t="e">
        <f>AND(#REF!,"AAAAAF03rpw=")</f>
        <v>#REF!</v>
      </c>
      <c r="FB386" t="e">
        <f>AND(#REF!,"AAAAAF03rp0=")</f>
        <v>#REF!</v>
      </c>
      <c r="FC386" t="e">
        <f>AND(#REF!,"AAAAAF03rp4=")</f>
        <v>#REF!</v>
      </c>
      <c r="FD386" t="e">
        <f>AND(#REF!,"AAAAAF03rp8=")</f>
        <v>#REF!</v>
      </c>
      <c r="FE386" t="e">
        <f>AND(#REF!,"AAAAAF03rqA=")</f>
        <v>#REF!</v>
      </c>
      <c r="FF386" t="e">
        <f>AND(#REF!,"AAAAAF03rqE=")</f>
        <v>#REF!</v>
      </c>
      <c r="FG386" t="e">
        <f>AND(#REF!,"AAAAAF03rqI=")</f>
        <v>#REF!</v>
      </c>
      <c r="FH386" t="e">
        <f>AND(#REF!,"AAAAAF03rqM=")</f>
        <v>#REF!</v>
      </c>
      <c r="FI386" t="e">
        <f>AND(#REF!,"AAAAAF03rqQ=")</f>
        <v>#REF!</v>
      </c>
      <c r="FJ386" t="e">
        <f>AND(#REF!,"AAAAAF03rqU=")</f>
        <v>#REF!</v>
      </c>
      <c r="FK386" t="e">
        <f>AND(#REF!,"AAAAAF03rqY=")</f>
        <v>#REF!</v>
      </c>
      <c r="FL386" t="e">
        <f>AND(#REF!,"AAAAAF03rqc=")</f>
        <v>#REF!</v>
      </c>
      <c r="FM386" t="e">
        <f>AND(#REF!,"AAAAAF03rqg=")</f>
        <v>#REF!</v>
      </c>
      <c r="FN386" t="e">
        <f>AND(#REF!,"AAAAAF03rqk=")</f>
        <v>#REF!</v>
      </c>
      <c r="FO386" t="e">
        <f>AND(#REF!,"AAAAAF03rqo=")</f>
        <v>#REF!</v>
      </c>
      <c r="FP386" t="e">
        <f>AND(#REF!,"AAAAAF03rqs=")</f>
        <v>#REF!</v>
      </c>
      <c r="FQ386" t="e">
        <f>AND(#REF!,"AAAAAF03rqw=")</f>
        <v>#REF!</v>
      </c>
      <c r="FR386" t="e">
        <f>AND(#REF!,"AAAAAF03rq0=")</f>
        <v>#REF!</v>
      </c>
      <c r="FS386" t="e">
        <f>AND(#REF!,"AAAAAF03rq4=")</f>
        <v>#REF!</v>
      </c>
      <c r="FT386" t="e">
        <f>IF(#REF!,"AAAAAF03rq8=",0)</f>
        <v>#REF!</v>
      </c>
      <c r="FU386" t="e">
        <f>AND(#REF!,"AAAAAF03rrA=")</f>
        <v>#REF!</v>
      </c>
      <c r="FV386" t="e">
        <f>AND(#REF!,"AAAAAF03rrE=")</f>
        <v>#REF!</v>
      </c>
      <c r="FW386" t="e">
        <f>AND(#REF!,"AAAAAF03rrI=")</f>
        <v>#REF!</v>
      </c>
      <c r="FX386" t="e">
        <f>AND(#REF!,"AAAAAF03rrM=")</f>
        <v>#REF!</v>
      </c>
      <c r="FY386" t="e">
        <f>AND(#REF!,"AAAAAF03rrQ=")</f>
        <v>#REF!</v>
      </c>
      <c r="FZ386" t="e">
        <f>AND(#REF!,"AAAAAF03rrU=")</f>
        <v>#REF!</v>
      </c>
      <c r="GA386" t="e">
        <f>AND(#REF!,"AAAAAF03rrY=")</f>
        <v>#REF!</v>
      </c>
      <c r="GB386" t="e">
        <f>AND(#REF!,"AAAAAF03rrc=")</f>
        <v>#REF!</v>
      </c>
      <c r="GC386" t="e">
        <f>AND(#REF!,"AAAAAF03rrg=")</f>
        <v>#REF!</v>
      </c>
      <c r="GD386" t="e">
        <f>AND(#REF!,"AAAAAF03rrk=")</f>
        <v>#REF!</v>
      </c>
      <c r="GE386" t="e">
        <f>AND(#REF!,"AAAAAF03rro=")</f>
        <v>#REF!</v>
      </c>
      <c r="GF386" t="e">
        <f>AND(#REF!,"AAAAAF03rrs=")</f>
        <v>#REF!</v>
      </c>
      <c r="GG386" t="e">
        <f>AND(#REF!,"AAAAAF03rrw=")</f>
        <v>#REF!</v>
      </c>
      <c r="GH386" t="e">
        <f>AND(#REF!,"AAAAAF03rr0=")</f>
        <v>#REF!</v>
      </c>
      <c r="GI386" t="e">
        <f>AND(#REF!,"AAAAAF03rr4=")</f>
        <v>#REF!</v>
      </c>
      <c r="GJ386" t="e">
        <f>AND(#REF!,"AAAAAF03rr8=")</f>
        <v>#REF!</v>
      </c>
      <c r="GK386" t="e">
        <f>AND(#REF!,"AAAAAF03rsA=")</f>
        <v>#REF!</v>
      </c>
      <c r="GL386" t="e">
        <f>AND(#REF!,"AAAAAF03rsE=")</f>
        <v>#REF!</v>
      </c>
      <c r="GM386" t="e">
        <f>AND(#REF!,"AAAAAF03rsI=")</f>
        <v>#REF!</v>
      </c>
      <c r="GN386" t="e">
        <f>AND(#REF!,"AAAAAF03rsM=")</f>
        <v>#REF!</v>
      </c>
      <c r="GO386" t="e">
        <f>AND(#REF!,"AAAAAF03rsQ=")</f>
        <v>#REF!</v>
      </c>
      <c r="GP386" t="e">
        <f>AND(#REF!,"AAAAAF03rsU=")</f>
        <v>#REF!</v>
      </c>
      <c r="GQ386" t="e">
        <f>AND(#REF!,"AAAAAF03rsY=")</f>
        <v>#REF!</v>
      </c>
      <c r="GR386" t="e">
        <f>AND(#REF!,"AAAAAF03rsc=")</f>
        <v>#REF!</v>
      </c>
      <c r="GS386" t="e">
        <f>IF(#REF!,"AAAAAF03rsg=",0)</f>
        <v>#REF!</v>
      </c>
      <c r="GT386" t="e">
        <f>AND(#REF!,"AAAAAF03rsk=")</f>
        <v>#REF!</v>
      </c>
      <c r="GU386" t="e">
        <f>AND(#REF!,"AAAAAF03rso=")</f>
        <v>#REF!</v>
      </c>
      <c r="GV386" t="e">
        <f>AND(#REF!,"AAAAAF03rss=")</f>
        <v>#REF!</v>
      </c>
      <c r="GW386" t="e">
        <f>AND(#REF!,"AAAAAF03rsw=")</f>
        <v>#REF!</v>
      </c>
      <c r="GX386" t="e">
        <f>AND(#REF!,"AAAAAF03rs0=")</f>
        <v>#REF!</v>
      </c>
      <c r="GY386" t="e">
        <f>AND(#REF!,"AAAAAF03rs4=")</f>
        <v>#REF!</v>
      </c>
      <c r="GZ386" t="e">
        <f>AND(#REF!,"AAAAAF03rs8=")</f>
        <v>#REF!</v>
      </c>
      <c r="HA386" t="e">
        <f>AND(#REF!,"AAAAAF03rtA=")</f>
        <v>#REF!</v>
      </c>
      <c r="HB386" t="e">
        <f>AND(#REF!,"AAAAAF03rtE=")</f>
        <v>#REF!</v>
      </c>
      <c r="HC386" t="e">
        <f>AND(#REF!,"AAAAAF03rtI=")</f>
        <v>#REF!</v>
      </c>
      <c r="HD386" t="e">
        <f>AND(#REF!,"AAAAAF03rtM=")</f>
        <v>#REF!</v>
      </c>
      <c r="HE386" t="e">
        <f>AND(#REF!,"AAAAAF03rtQ=")</f>
        <v>#REF!</v>
      </c>
      <c r="HF386" t="e">
        <f>AND(#REF!,"AAAAAF03rtU=")</f>
        <v>#REF!</v>
      </c>
      <c r="HG386" t="e">
        <f>AND(#REF!,"AAAAAF03rtY=")</f>
        <v>#REF!</v>
      </c>
      <c r="HH386" t="e">
        <f>AND(#REF!,"AAAAAF03rtc=")</f>
        <v>#REF!</v>
      </c>
      <c r="HI386" t="e">
        <f>AND(#REF!,"AAAAAF03rtg=")</f>
        <v>#REF!</v>
      </c>
      <c r="HJ386" t="e">
        <f>AND(#REF!,"AAAAAF03rtk=")</f>
        <v>#REF!</v>
      </c>
      <c r="HK386" t="e">
        <f>AND(#REF!,"AAAAAF03rto=")</f>
        <v>#REF!</v>
      </c>
      <c r="HL386" t="e">
        <f>AND(#REF!,"AAAAAF03rts=")</f>
        <v>#REF!</v>
      </c>
      <c r="HM386" t="e">
        <f>AND(#REF!,"AAAAAF03rtw=")</f>
        <v>#REF!</v>
      </c>
      <c r="HN386" t="e">
        <f>AND(#REF!,"AAAAAF03rt0=")</f>
        <v>#REF!</v>
      </c>
      <c r="HO386" t="e">
        <f>AND(#REF!,"AAAAAF03rt4=")</f>
        <v>#REF!</v>
      </c>
      <c r="HP386" t="e">
        <f>AND(#REF!,"AAAAAF03rt8=")</f>
        <v>#REF!</v>
      </c>
      <c r="HQ386" t="e">
        <f>AND(#REF!,"AAAAAF03ruA=")</f>
        <v>#REF!</v>
      </c>
      <c r="HR386" t="e">
        <f>IF(#REF!,"AAAAAF03ruE=",0)</f>
        <v>#REF!</v>
      </c>
      <c r="HS386" t="e">
        <f>AND(#REF!,"AAAAAF03ruI=")</f>
        <v>#REF!</v>
      </c>
      <c r="HT386" t="e">
        <f>AND(#REF!,"AAAAAF03ruM=")</f>
        <v>#REF!</v>
      </c>
      <c r="HU386" t="e">
        <f>AND(#REF!,"AAAAAF03ruQ=")</f>
        <v>#REF!</v>
      </c>
      <c r="HV386" t="e">
        <f>AND(#REF!,"AAAAAF03ruU=")</f>
        <v>#REF!</v>
      </c>
      <c r="HW386" t="e">
        <f>AND(#REF!,"AAAAAF03ruY=")</f>
        <v>#REF!</v>
      </c>
      <c r="HX386" t="e">
        <f>AND(#REF!,"AAAAAF03ruc=")</f>
        <v>#REF!</v>
      </c>
      <c r="HY386" t="e">
        <f>AND(#REF!,"AAAAAF03rug=")</f>
        <v>#REF!</v>
      </c>
      <c r="HZ386" t="e">
        <f>AND(#REF!,"AAAAAF03ruk=")</f>
        <v>#REF!</v>
      </c>
      <c r="IA386" t="e">
        <f>AND(#REF!,"AAAAAF03ruo=")</f>
        <v>#REF!</v>
      </c>
      <c r="IB386" t="e">
        <f>AND(#REF!,"AAAAAF03rus=")</f>
        <v>#REF!</v>
      </c>
      <c r="IC386" t="e">
        <f>AND(#REF!,"AAAAAF03ruw=")</f>
        <v>#REF!</v>
      </c>
      <c r="ID386" t="e">
        <f>AND(#REF!,"AAAAAF03ru0=")</f>
        <v>#REF!</v>
      </c>
      <c r="IE386" t="e">
        <f>AND(#REF!,"AAAAAF03ru4=")</f>
        <v>#REF!</v>
      </c>
      <c r="IF386" t="e">
        <f>AND(#REF!,"AAAAAF03ru8=")</f>
        <v>#REF!</v>
      </c>
      <c r="IG386" t="e">
        <f>AND(#REF!,"AAAAAF03rvA=")</f>
        <v>#REF!</v>
      </c>
      <c r="IH386" t="e">
        <f>AND(#REF!,"AAAAAF03rvE=")</f>
        <v>#REF!</v>
      </c>
      <c r="II386" t="e">
        <f>AND(#REF!,"AAAAAF03rvI=")</f>
        <v>#REF!</v>
      </c>
      <c r="IJ386" t="e">
        <f>AND(#REF!,"AAAAAF03rvM=")</f>
        <v>#REF!</v>
      </c>
      <c r="IK386" t="e">
        <f>AND(#REF!,"AAAAAF03rvQ=")</f>
        <v>#REF!</v>
      </c>
      <c r="IL386" t="e">
        <f>AND(#REF!,"AAAAAF03rvU=")</f>
        <v>#REF!</v>
      </c>
      <c r="IM386" t="e">
        <f>AND(#REF!,"AAAAAF03rvY=")</f>
        <v>#REF!</v>
      </c>
      <c r="IN386" t="e">
        <f>AND(#REF!,"AAAAAF03rvc=")</f>
        <v>#REF!</v>
      </c>
      <c r="IO386" t="e">
        <f>AND(#REF!,"AAAAAF03rvg=")</f>
        <v>#REF!</v>
      </c>
      <c r="IP386" t="e">
        <f>AND(#REF!,"AAAAAF03rvk=")</f>
        <v>#REF!</v>
      </c>
      <c r="IQ386" t="e">
        <f>IF(#REF!,"AAAAAF03rvo=",0)</f>
        <v>#REF!</v>
      </c>
      <c r="IR386" t="e">
        <f>AND(#REF!,"AAAAAF03rvs=")</f>
        <v>#REF!</v>
      </c>
      <c r="IS386" t="e">
        <f>AND(#REF!,"AAAAAF03rvw=")</f>
        <v>#REF!</v>
      </c>
      <c r="IT386" t="e">
        <f>AND(#REF!,"AAAAAF03rv0=")</f>
        <v>#REF!</v>
      </c>
      <c r="IU386" t="e">
        <f>AND(#REF!,"AAAAAF03rv4=")</f>
        <v>#REF!</v>
      </c>
      <c r="IV386" t="e">
        <f>AND(#REF!,"AAAAAF03rv8=")</f>
        <v>#REF!</v>
      </c>
    </row>
    <row r="387" spans="1:256">
      <c r="A387" t="e">
        <f>AND(#REF!,"AAAAAHf5/QA=")</f>
        <v>#REF!</v>
      </c>
      <c r="B387" t="e">
        <f>AND(#REF!,"AAAAAHf5/QE=")</f>
        <v>#REF!</v>
      </c>
      <c r="C387" t="e">
        <f>AND(#REF!,"AAAAAHf5/QI=")</f>
        <v>#REF!</v>
      </c>
      <c r="D387" t="e">
        <f>AND(#REF!,"AAAAAHf5/QM=")</f>
        <v>#REF!</v>
      </c>
      <c r="E387" t="e">
        <f>AND(#REF!,"AAAAAHf5/QQ=")</f>
        <v>#REF!</v>
      </c>
      <c r="F387" t="e">
        <f>AND(#REF!,"AAAAAHf5/QU=")</f>
        <v>#REF!</v>
      </c>
      <c r="G387" t="e">
        <f>AND(#REF!,"AAAAAHf5/QY=")</f>
        <v>#REF!</v>
      </c>
      <c r="H387" t="e">
        <f>AND(#REF!,"AAAAAHf5/Qc=")</f>
        <v>#REF!</v>
      </c>
      <c r="I387" t="e">
        <f>AND(#REF!,"AAAAAHf5/Qg=")</f>
        <v>#REF!</v>
      </c>
      <c r="J387" t="e">
        <f>AND(#REF!,"AAAAAHf5/Qk=")</f>
        <v>#REF!</v>
      </c>
      <c r="K387" t="e">
        <f>AND(#REF!,"AAAAAHf5/Qo=")</f>
        <v>#REF!</v>
      </c>
      <c r="L387" t="e">
        <f>AND(#REF!,"AAAAAHf5/Qs=")</f>
        <v>#REF!</v>
      </c>
      <c r="M387" t="e">
        <f>AND(#REF!,"AAAAAHf5/Qw=")</f>
        <v>#REF!</v>
      </c>
      <c r="N387" t="e">
        <f>AND(#REF!,"AAAAAHf5/Q0=")</f>
        <v>#REF!</v>
      </c>
      <c r="O387" t="e">
        <f>AND(#REF!,"AAAAAHf5/Q4=")</f>
        <v>#REF!</v>
      </c>
      <c r="P387" t="e">
        <f>AND(#REF!,"AAAAAHf5/Q8=")</f>
        <v>#REF!</v>
      </c>
      <c r="Q387" t="e">
        <f>AND(#REF!,"AAAAAHf5/RA=")</f>
        <v>#REF!</v>
      </c>
      <c r="R387" t="e">
        <f>AND(#REF!,"AAAAAHf5/RE=")</f>
        <v>#REF!</v>
      </c>
      <c r="S387" t="e">
        <f>AND(#REF!,"AAAAAHf5/RI=")</f>
        <v>#REF!</v>
      </c>
      <c r="T387" t="e">
        <f>IF(#REF!,"AAAAAHf5/RM=",0)</f>
        <v>#REF!</v>
      </c>
      <c r="U387" t="e">
        <f>AND(#REF!,"AAAAAHf5/RQ=")</f>
        <v>#REF!</v>
      </c>
      <c r="V387" t="e">
        <f>AND(#REF!,"AAAAAHf5/RU=")</f>
        <v>#REF!</v>
      </c>
      <c r="W387" t="e">
        <f>AND(#REF!,"AAAAAHf5/RY=")</f>
        <v>#REF!</v>
      </c>
      <c r="X387" t="e">
        <f>AND(#REF!,"AAAAAHf5/Rc=")</f>
        <v>#REF!</v>
      </c>
      <c r="Y387" t="e">
        <f>AND(#REF!,"AAAAAHf5/Rg=")</f>
        <v>#REF!</v>
      </c>
      <c r="Z387" t="e">
        <f>AND(#REF!,"AAAAAHf5/Rk=")</f>
        <v>#REF!</v>
      </c>
      <c r="AA387" t="e">
        <f>AND(#REF!,"AAAAAHf5/Ro=")</f>
        <v>#REF!</v>
      </c>
      <c r="AB387" t="e">
        <f>AND(#REF!,"AAAAAHf5/Rs=")</f>
        <v>#REF!</v>
      </c>
      <c r="AC387" t="e">
        <f>AND(#REF!,"AAAAAHf5/Rw=")</f>
        <v>#REF!</v>
      </c>
      <c r="AD387" t="e">
        <f>AND(#REF!,"AAAAAHf5/R0=")</f>
        <v>#REF!</v>
      </c>
      <c r="AE387" t="e">
        <f>AND(#REF!,"AAAAAHf5/R4=")</f>
        <v>#REF!</v>
      </c>
      <c r="AF387" t="e">
        <f>AND(#REF!,"AAAAAHf5/R8=")</f>
        <v>#REF!</v>
      </c>
      <c r="AG387" t="e">
        <f>AND(#REF!,"AAAAAHf5/SA=")</f>
        <v>#REF!</v>
      </c>
      <c r="AH387" t="e">
        <f>AND(#REF!,"AAAAAHf5/SE=")</f>
        <v>#REF!</v>
      </c>
      <c r="AI387" t="e">
        <f>AND(#REF!,"AAAAAHf5/SI=")</f>
        <v>#REF!</v>
      </c>
      <c r="AJ387" t="e">
        <f>AND(#REF!,"AAAAAHf5/SM=")</f>
        <v>#REF!</v>
      </c>
      <c r="AK387" t="e">
        <f>AND(#REF!,"AAAAAHf5/SQ=")</f>
        <v>#REF!</v>
      </c>
      <c r="AL387" t="e">
        <f>AND(#REF!,"AAAAAHf5/SU=")</f>
        <v>#REF!</v>
      </c>
      <c r="AM387" t="e">
        <f>AND(#REF!,"AAAAAHf5/SY=")</f>
        <v>#REF!</v>
      </c>
      <c r="AN387" t="e">
        <f>AND(#REF!,"AAAAAHf5/Sc=")</f>
        <v>#REF!</v>
      </c>
      <c r="AO387" t="e">
        <f>AND(#REF!,"AAAAAHf5/Sg=")</f>
        <v>#REF!</v>
      </c>
      <c r="AP387" t="e">
        <f>AND(#REF!,"AAAAAHf5/Sk=")</f>
        <v>#REF!</v>
      </c>
      <c r="AQ387" t="e">
        <f>AND(#REF!,"AAAAAHf5/So=")</f>
        <v>#REF!</v>
      </c>
      <c r="AR387" t="e">
        <f>AND(#REF!,"AAAAAHf5/Ss=")</f>
        <v>#REF!</v>
      </c>
      <c r="AS387" t="e">
        <f>IF(#REF!,"AAAAAHf5/Sw=",0)</f>
        <v>#REF!</v>
      </c>
      <c r="AT387" t="e">
        <f>AND(#REF!,"AAAAAHf5/S0=")</f>
        <v>#REF!</v>
      </c>
      <c r="AU387" t="e">
        <f>AND(#REF!,"AAAAAHf5/S4=")</f>
        <v>#REF!</v>
      </c>
      <c r="AV387" t="e">
        <f>AND(#REF!,"AAAAAHf5/S8=")</f>
        <v>#REF!</v>
      </c>
      <c r="AW387" t="e">
        <f>AND(#REF!,"AAAAAHf5/TA=")</f>
        <v>#REF!</v>
      </c>
      <c r="AX387" t="e">
        <f>AND(#REF!,"AAAAAHf5/TE=")</f>
        <v>#REF!</v>
      </c>
      <c r="AY387" t="e">
        <f>AND(#REF!,"AAAAAHf5/TI=")</f>
        <v>#REF!</v>
      </c>
      <c r="AZ387" t="e">
        <f>AND(#REF!,"AAAAAHf5/TM=")</f>
        <v>#REF!</v>
      </c>
      <c r="BA387" t="e">
        <f>AND(#REF!,"AAAAAHf5/TQ=")</f>
        <v>#REF!</v>
      </c>
      <c r="BB387" t="e">
        <f>AND(#REF!,"AAAAAHf5/TU=")</f>
        <v>#REF!</v>
      </c>
      <c r="BC387" t="e">
        <f>AND(#REF!,"AAAAAHf5/TY=")</f>
        <v>#REF!</v>
      </c>
      <c r="BD387" t="e">
        <f>AND(#REF!,"AAAAAHf5/Tc=")</f>
        <v>#REF!</v>
      </c>
      <c r="BE387" t="e">
        <f>AND(#REF!,"AAAAAHf5/Tg=")</f>
        <v>#REF!</v>
      </c>
      <c r="BF387" t="e">
        <f>AND(#REF!,"AAAAAHf5/Tk=")</f>
        <v>#REF!</v>
      </c>
      <c r="BG387" t="e">
        <f>AND(#REF!,"AAAAAHf5/To=")</f>
        <v>#REF!</v>
      </c>
      <c r="BH387" t="e">
        <f>AND(#REF!,"AAAAAHf5/Ts=")</f>
        <v>#REF!</v>
      </c>
      <c r="BI387" t="e">
        <f>AND(#REF!,"AAAAAHf5/Tw=")</f>
        <v>#REF!</v>
      </c>
      <c r="BJ387" t="e">
        <f>AND(#REF!,"AAAAAHf5/T0=")</f>
        <v>#REF!</v>
      </c>
      <c r="BK387" t="e">
        <f>AND(#REF!,"AAAAAHf5/T4=")</f>
        <v>#REF!</v>
      </c>
      <c r="BL387" t="e">
        <f>AND(#REF!,"AAAAAHf5/T8=")</f>
        <v>#REF!</v>
      </c>
      <c r="BM387" t="e">
        <f>AND(#REF!,"AAAAAHf5/UA=")</f>
        <v>#REF!</v>
      </c>
      <c r="BN387" t="e">
        <f>AND(#REF!,"AAAAAHf5/UE=")</f>
        <v>#REF!</v>
      </c>
      <c r="BO387" t="e">
        <f>AND(#REF!,"AAAAAHf5/UI=")</f>
        <v>#REF!</v>
      </c>
      <c r="BP387" t="e">
        <f>AND(#REF!,"AAAAAHf5/UM=")</f>
        <v>#REF!</v>
      </c>
      <c r="BQ387" t="e">
        <f>AND(#REF!,"AAAAAHf5/UQ=")</f>
        <v>#REF!</v>
      </c>
      <c r="BR387" t="e">
        <f>IF(#REF!,"AAAAAHf5/UU=",0)</f>
        <v>#REF!</v>
      </c>
      <c r="BS387" t="e">
        <f>AND(#REF!,"AAAAAHf5/UY=")</f>
        <v>#REF!</v>
      </c>
      <c r="BT387" t="e">
        <f>AND(#REF!,"AAAAAHf5/Uc=")</f>
        <v>#REF!</v>
      </c>
      <c r="BU387" t="e">
        <f>AND(#REF!,"AAAAAHf5/Ug=")</f>
        <v>#REF!</v>
      </c>
      <c r="BV387" t="e">
        <f>AND(#REF!,"AAAAAHf5/Uk=")</f>
        <v>#REF!</v>
      </c>
      <c r="BW387" t="e">
        <f>AND(#REF!,"AAAAAHf5/Uo=")</f>
        <v>#REF!</v>
      </c>
      <c r="BX387" t="e">
        <f>AND(#REF!,"AAAAAHf5/Us=")</f>
        <v>#REF!</v>
      </c>
      <c r="BY387" t="e">
        <f>AND(#REF!,"AAAAAHf5/Uw=")</f>
        <v>#REF!</v>
      </c>
      <c r="BZ387" t="e">
        <f>AND(#REF!,"AAAAAHf5/U0=")</f>
        <v>#REF!</v>
      </c>
      <c r="CA387" t="e">
        <f>AND(#REF!,"AAAAAHf5/U4=")</f>
        <v>#REF!</v>
      </c>
      <c r="CB387" t="e">
        <f>AND(#REF!,"AAAAAHf5/U8=")</f>
        <v>#REF!</v>
      </c>
      <c r="CC387" t="e">
        <f>AND(#REF!,"AAAAAHf5/VA=")</f>
        <v>#REF!</v>
      </c>
      <c r="CD387" t="e">
        <f>AND(#REF!,"AAAAAHf5/VE=")</f>
        <v>#REF!</v>
      </c>
      <c r="CE387" t="e">
        <f>AND(#REF!,"AAAAAHf5/VI=")</f>
        <v>#REF!</v>
      </c>
      <c r="CF387" t="e">
        <f>AND(#REF!,"AAAAAHf5/VM=")</f>
        <v>#REF!</v>
      </c>
      <c r="CG387" t="e">
        <f>AND(#REF!,"AAAAAHf5/VQ=")</f>
        <v>#REF!</v>
      </c>
      <c r="CH387" t="e">
        <f>AND(#REF!,"AAAAAHf5/VU=")</f>
        <v>#REF!</v>
      </c>
      <c r="CI387" t="e">
        <f>AND(#REF!,"AAAAAHf5/VY=")</f>
        <v>#REF!</v>
      </c>
      <c r="CJ387" t="e">
        <f>AND(#REF!,"AAAAAHf5/Vc=")</f>
        <v>#REF!</v>
      </c>
      <c r="CK387" t="e">
        <f>AND(#REF!,"AAAAAHf5/Vg=")</f>
        <v>#REF!</v>
      </c>
      <c r="CL387" t="e">
        <f>AND(#REF!,"AAAAAHf5/Vk=")</f>
        <v>#REF!</v>
      </c>
      <c r="CM387" t="e">
        <f>AND(#REF!,"AAAAAHf5/Vo=")</f>
        <v>#REF!</v>
      </c>
      <c r="CN387" t="e">
        <f>AND(#REF!,"AAAAAHf5/Vs=")</f>
        <v>#REF!</v>
      </c>
      <c r="CO387" t="e">
        <f>AND(#REF!,"AAAAAHf5/Vw=")</f>
        <v>#REF!</v>
      </c>
      <c r="CP387" t="e">
        <f>AND(#REF!,"AAAAAHf5/V0=")</f>
        <v>#REF!</v>
      </c>
      <c r="CQ387" t="e">
        <f>IF(#REF!,"AAAAAHf5/V4=",0)</f>
        <v>#REF!</v>
      </c>
      <c r="CR387" t="e">
        <f>AND(#REF!,"AAAAAHf5/V8=")</f>
        <v>#REF!</v>
      </c>
      <c r="CS387" t="e">
        <f>AND(#REF!,"AAAAAHf5/WA=")</f>
        <v>#REF!</v>
      </c>
      <c r="CT387" t="e">
        <f>AND(#REF!,"AAAAAHf5/WE=")</f>
        <v>#REF!</v>
      </c>
      <c r="CU387" t="e">
        <f>AND(#REF!,"AAAAAHf5/WI=")</f>
        <v>#REF!</v>
      </c>
      <c r="CV387" t="e">
        <f>AND(#REF!,"AAAAAHf5/WM=")</f>
        <v>#REF!</v>
      </c>
      <c r="CW387" t="e">
        <f>AND(#REF!,"AAAAAHf5/WQ=")</f>
        <v>#REF!</v>
      </c>
      <c r="CX387" t="e">
        <f>AND(#REF!,"AAAAAHf5/WU=")</f>
        <v>#REF!</v>
      </c>
      <c r="CY387" t="e">
        <f>AND(#REF!,"AAAAAHf5/WY=")</f>
        <v>#REF!</v>
      </c>
      <c r="CZ387" t="e">
        <f>AND(#REF!,"AAAAAHf5/Wc=")</f>
        <v>#REF!</v>
      </c>
      <c r="DA387" t="e">
        <f>AND(#REF!,"AAAAAHf5/Wg=")</f>
        <v>#REF!</v>
      </c>
      <c r="DB387" t="e">
        <f>AND(#REF!,"AAAAAHf5/Wk=")</f>
        <v>#REF!</v>
      </c>
      <c r="DC387" t="e">
        <f>AND(#REF!,"AAAAAHf5/Wo=")</f>
        <v>#REF!</v>
      </c>
      <c r="DD387" t="e">
        <f>AND(#REF!,"AAAAAHf5/Ws=")</f>
        <v>#REF!</v>
      </c>
      <c r="DE387" t="e">
        <f>AND(#REF!,"AAAAAHf5/Ww=")</f>
        <v>#REF!</v>
      </c>
      <c r="DF387" t="e">
        <f>AND(#REF!,"AAAAAHf5/W0=")</f>
        <v>#REF!</v>
      </c>
      <c r="DG387" t="e">
        <f>AND(#REF!,"AAAAAHf5/W4=")</f>
        <v>#REF!</v>
      </c>
      <c r="DH387" t="e">
        <f>AND(#REF!,"AAAAAHf5/W8=")</f>
        <v>#REF!</v>
      </c>
      <c r="DI387" t="e">
        <f>AND(#REF!,"AAAAAHf5/XA=")</f>
        <v>#REF!</v>
      </c>
      <c r="DJ387" t="e">
        <f>AND(#REF!,"AAAAAHf5/XE=")</f>
        <v>#REF!</v>
      </c>
      <c r="DK387" t="e">
        <f>AND(#REF!,"AAAAAHf5/XI=")</f>
        <v>#REF!</v>
      </c>
      <c r="DL387" t="e">
        <f>AND(#REF!,"AAAAAHf5/XM=")</f>
        <v>#REF!</v>
      </c>
      <c r="DM387" t="e">
        <f>AND(#REF!,"AAAAAHf5/XQ=")</f>
        <v>#REF!</v>
      </c>
      <c r="DN387" t="e">
        <f>AND(#REF!,"AAAAAHf5/XU=")</f>
        <v>#REF!</v>
      </c>
      <c r="DO387" t="e">
        <f>AND(#REF!,"AAAAAHf5/XY=")</f>
        <v>#REF!</v>
      </c>
      <c r="DP387" t="e">
        <f>IF(#REF!,"AAAAAHf5/Xc=",0)</f>
        <v>#REF!</v>
      </c>
      <c r="DQ387" t="e">
        <f>AND(#REF!,"AAAAAHf5/Xg=")</f>
        <v>#REF!</v>
      </c>
      <c r="DR387" t="e">
        <f>AND(#REF!,"AAAAAHf5/Xk=")</f>
        <v>#REF!</v>
      </c>
      <c r="DS387" t="e">
        <f>AND(#REF!,"AAAAAHf5/Xo=")</f>
        <v>#REF!</v>
      </c>
      <c r="DT387" t="e">
        <f>AND(#REF!,"AAAAAHf5/Xs=")</f>
        <v>#REF!</v>
      </c>
      <c r="DU387" t="e">
        <f>AND(#REF!,"AAAAAHf5/Xw=")</f>
        <v>#REF!</v>
      </c>
      <c r="DV387" t="e">
        <f>AND(#REF!,"AAAAAHf5/X0=")</f>
        <v>#REF!</v>
      </c>
      <c r="DW387" t="e">
        <f>AND(#REF!,"AAAAAHf5/X4=")</f>
        <v>#REF!</v>
      </c>
      <c r="DX387" t="e">
        <f>AND(#REF!,"AAAAAHf5/X8=")</f>
        <v>#REF!</v>
      </c>
      <c r="DY387" t="e">
        <f>AND(#REF!,"AAAAAHf5/YA=")</f>
        <v>#REF!</v>
      </c>
      <c r="DZ387" t="e">
        <f>AND(#REF!,"AAAAAHf5/YE=")</f>
        <v>#REF!</v>
      </c>
      <c r="EA387" t="e">
        <f>AND(#REF!,"AAAAAHf5/YI=")</f>
        <v>#REF!</v>
      </c>
      <c r="EB387" t="e">
        <f>AND(#REF!,"AAAAAHf5/YM=")</f>
        <v>#REF!</v>
      </c>
      <c r="EC387" t="e">
        <f>AND(#REF!,"AAAAAHf5/YQ=")</f>
        <v>#REF!</v>
      </c>
      <c r="ED387" t="e">
        <f>AND(#REF!,"AAAAAHf5/YU=")</f>
        <v>#REF!</v>
      </c>
      <c r="EE387" t="e">
        <f>AND(#REF!,"AAAAAHf5/YY=")</f>
        <v>#REF!</v>
      </c>
      <c r="EF387" t="e">
        <f>AND(#REF!,"AAAAAHf5/Yc=")</f>
        <v>#REF!</v>
      </c>
      <c r="EG387" t="e">
        <f>AND(#REF!,"AAAAAHf5/Yg=")</f>
        <v>#REF!</v>
      </c>
      <c r="EH387" t="e">
        <f>AND(#REF!,"AAAAAHf5/Yk=")</f>
        <v>#REF!</v>
      </c>
      <c r="EI387" t="e">
        <f>AND(#REF!,"AAAAAHf5/Yo=")</f>
        <v>#REF!</v>
      </c>
      <c r="EJ387" t="e">
        <f>AND(#REF!,"AAAAAHf5/Ys=")</f>
        <v>#REF!</v>
      </c>
      <c r="EK387" t="e">
        <f>AND(#REF!,"AAAAAHf5/Yw=")</f>
        <v>#REF!</v>
      </c>
      <c r="EL387" t="e">
        <f>AND(#REF!,"AAAAAHf5/Y0=")</f>
        <v>#REF!</v>
      </c>
      <c r="EM387" t="e">
        <f>AND(#REF!,"AAAAAHf5/Y4=")</f>
        <v>#REF!</v>
      </c>
      <c r="EN387" t="e">
        <f>AND(#REF!,"AAAAAHf5/Y8=")</f>
        <v>#REF!</v>
      </c>
      <c r="EO387" t="e">
        <f>IF(#REF!,"AAAAAHf5/ZA=",0)</f>
        <v>#REF!</v>
      </c>
      <c r="EP387" t="e">
        <f>AND(#REF!,"AAAAAHf5/ZE=")</f>
        <v>#REF!</v>
      </c>
      <c r="EQ387" t="e">
        <f>AND(#REF!,"AAAAAHf5/ZI=")</f>
        <v>#REF!</v>
      </c>
      <c r="ER387" t="e">
        <f>AND(#REF!,"AAAAAHf5/ZM=")</f>
        <v>#REF!</v>
      </c>
      <c r="ES387" t="e">
        <f>AND(#REF!,"AAAAAHf5/ZQ=")</f>
        <v>#REF!</v>
      </c>
      <c r="ET387" t="e">
        <f>AND(#REF!,"AAAAAHf5/ZU=")</f>
        <v>#REF!</v>
      </c>
      <c r="EU387" t="e">
        <f>AND(#REF!,"AAAAAHf5/ZY=")</f>
        <v>#REF!</v>
      </c>
      <c r="EV387" t="e">
        <f>AND(#REF!,"AAAAAHf5/Zc=")</f>
        <v>#REF!</v>
      </c>
      <c r="EW387" t="e">
        <f>AND(#REF!,"AAAAAHf5/Zg=")</f>
        <v>#REF!</v>
      </c>
      <c r="EX387" t="e">
        <f>AND(#REF!,"AAAAAHf5/Zk=")</f>
        <v>#REF!</v>
      </c>
      <c r="EY387" t="e">
        <f>AND(#REF!,"AAAAAHf5/Zo=")</f>
        <v>#REF!</v>
      </c>
      <c r="EZ387" t="e">
        <f>AND(#REF!,"AAAAAHf5/Zs=")</f>
        <v>#REF!</v>
      </c>
      <c r="FA387" t="e">
        <f>AND(#REF!,"AAAAAHf5/Zw=")</f>
        <v>#REF!</v>
      </c>
      <c r="FB387" t="e">
        <f>AND(#REF!,"AAAAAHf5/Z0=")</f>
        <v>#REF!</v>
      </c>
      <c r="FC387" t="e">
        <f>AND(#REF!,"AAAAAHf5/Z4=")</f>
        <v>#REF!</v>
      </c>
      <c r="FD387" t="e">
        <f>AND(#REF!,"AAAAAHf5/Z8=")</f>
        <v>#REF!</v>
      </c>
      <c r="FE387" t="e">
        <f>AND(#REF!,"AAAAAHf5/aA=")</f>
        <v>#REF!</v>
      </c>
      <c r="FF387" t="e">
        <f>AND(#REF!,"AAAAAHf5/aE=")</f>
        <v>#REF!</v>
      </c>
      <c r="FG387" t="e">
        <f>AND(#REF!,"AAAAAHf5/aI=")</f>
        <v>#REF!</v>
      </c>
      <c r="FH387" t="e">
        <f>AND(#REF!,"AAAAAHf5/aM=")</f>
        <v>#REF!</v>
      </c>
      <c r="FI387" t="e">
        <f>AND(#REF!,"AAAAAHf5/aQ=")</f>
        <v>#REF!</v>
      </c>
      <c r="FJ387" t="e">
        <f>AND(#REF!,"AAAAAHf5/aU=")</f>
        <v>#REF!</v>
      </c>
      <c r="FK387" t="e">
        <f>AND(#REF!,"AAAAAHf5/aY=")</f>
        <v>#REF!</v>
      </c>
      <c r="FL387" t="e">
        <f>AND(#REF!,"AAAAAHf5/ac=")</f>
        <v>#REF!</v>
      </c>
      <c r="FM387" t="e">
        <f>AND(#REF!,"AAAAAHf5/ag=")</f>
        <v>#REF!</v>
      </c>
      <c r="FN387" t="e">
        <f>IF(#REF!,"AAAAAHf5/ak=",0)</f>
        <v>#REF!</v>
      </c>
      <c r="FO387" t="e">
        <f>AND(#REF!,"AAAAAHf5/ao=")</f>
        <v>#REF!</v>
      </c>
      <c r="FP387" t="e">
        <f>AND(#REF!,"AAAAAHf5/as=")</f>
        <v>#REF!</v>
      </c>
      <c r="FQ387" t="e">
        <f>AND(#REF!,"AAAAAHf5/aw=")</f>
        <v>#REF!</v>
      </c>
      <c r="FR387" t="e">
        <f>AND(#REF!,"AAAAAHf5/a0=")</f>
        <v>#REF!</v>
      </c>
      <c r="FS387" t="e">
        <f>AND(#REF!,"AAAAAHf5/a4=")</f>
        <v>#REF!</v>
      </c>
      <c r="FT387" t="e">
        <f>AND(#REF!,"AAAAAHf5/a8=")</f>
        <v>#REF!</v>
      </c>
      <c r="FU387" t="e">
        <f>AND(#REF!,"AAAAAHf5/bA=")</f>
        <v>#REF!</v>
      </c>
      <c r="FV387" t="e">
        <f>AND(#REF!,"AAAAAHf5/bE=")</f>
        <v>#REF!</v>
      </c>
      <c r="FW387" t="e">
        <f>AND(#REF!,"AAAAAHf5/bI=")</f>
        <v>#REF!</v>
      </c>
      <c r="FX387" t="e">
        <f>AND(#REF!,"AAAAAHf5/bM=")</f>
        <v>#REF!</v>
      </c>
      <c r="FY387" t="e">
        <f>AND(#REF!,"AAAAAHf5/bQ=")</f>
        <v>#REF!</v>
      </c>
      <c r="FZ387" t="e">
        <f>AND(#REF!,"AAAAAHf5/bU=")</f>
        <v>#REF!</v>
      </c>
      <c r="GA387" t="e">
        <f>AND(#REF!,"AAAAAHf5/bY=")</f>
        <v>#REF!</v>
      </c>
      <c r="GB387" t="e">
        <f>AND(#REF!,"AAAAAHf5/bc=")</f>
        <v>#REF!</v>
      </c>
      <c r="GC387" t="e">
        <f>AND(#REF!,"AAAAAHf5/bg=")</f>
        <v>#REF!</v>
      </c>
      <c r="GD387" t="e">
        <f>AND(#REF!,"AAAAAHf5/bk=")</f>
        <v>#REF!</v>
      </c>
      <c r="GE387" t="e">
        <f>AND(#REF!,"AAAAAHf5/bo=")</f>
        <v>#REF!</v>
      </c>
      <c r="GF387" t="e">
        <f>AND(#REF!,"AAAAAHf5/bs=")</f>
        <v>#REF!</v>
      </c>
      <c r="GG387" t="e">
        <f>AND(#REF!,"AAAAAHf5/bw=")</f>
        <v>#REF!</v>
      </c>
      <c r="GH387" t="e">
        <f>AND(#REF!,"AAAAAHf5/b0=")</f>
        <v>#REF!</v>
      </c>
      <c r="GI387" t="e">
        <f>AND(#REF!,"AAAAAHf5/b4=")</f>
        <v>#REF!</v>
      </c>
      <c r="GJ387" t="e">
        <f>AND(#REF!,"AAAAAHf5/b8=")</f>
        <v>#REF!</v>
      </c>
      <c r="GK387" t="e">
        <f>AND(#REF!,"AAAAAHf5/cA=")</f>
        <v>#REF!</v>
      </c>
      <c r="GL387" t="e">
        <f>AND(#REF!,"AAAAAHf5/cE=")</f>
        <v>#REF!</v>
      </c>
      <c r="GM387" t="e">
        <f>IF(#REF!,"AAAAAHf5/cI=",0)</f>
        <v>#REF!</v>
      </c>
      <c r="GN387" t="e">
        <f>AND(#REF!,"AAAAAHf5/cM=")</f>
        <v>#REF!</v>
      </c>
      <c r="GO387" t="e">
        <f>AND(#REF!,"AAAAAHf5/cQ=")</f>
        <v>#REF!</v>
      </c>
      <c r="GP387" t="e">
        <f>AND(#REF!,"AAAAAHf5/cU=")</f>
        <v>#REF!</v>
      </c>
      <c r="GQ387" t="e">
        <f>AND(#REF!,"AAAAAHf5/cY=")</f>
        <v>#REF!</v>
      </c>
      <c r="GR387" t="e">
        <f>AND(#REF!,"AAAAAHf5/cc=")</f>
        <v>#REF!</v>
      </c>
      <c r="GS387" t="e">
        <f>AND(#REF!,"AAAAAHf5/cg=")</f>
        <v>#REF!</v>
      </c>
      <c r="GT387" t="e">
        <f>AND(#REF!,"AAAAAHf5/ck=")</f>
        <v>#REF!</v>
      </c>
      <c r="GU387" t="e">
        <f>AND(#REF!,"AAAAAHf5/co=")</f>
        <v>#REF!</v>
      </c>
      <c r="GV387" t="e">
        <f>AND(#REF!,"AAAAAHf5/cs=")</f>
        <v>#REF!</v>
      </c>
      <c r="GW387" t="e">
        <f>AND(#REF!,"AAAAAHf5/cw=")</f>
        <v>#REF!</v>
      </c>
      <c r="GX387" t="e">
        <f>AND(#REF!,"AAAAAHf5/c0=")</f>
        <v>#REF!</v>
      </c>
      <c r="GY387" t="e">
        <f>AND(#REF!,"AAAAAHf5/c4=")</f>
        <v>#REF!</v>
      </c>
      <c r="GZ387" t="e">
        <f>AND(#REF!,"AAAAAHf5/c8=")</f>
        <v>#REF!</v>
      </c>
      <c r="HA387" t="e">
        <f>AND(#REF!,"AAAAAHf5/dA=")</f>
        <v>#REF!</v>
      </c>
      <c r="HB387" t="e">
        <f>AND(#REF!,"AAAAAHf5/dE=")</f>
        <v>#REF!</v>
      </c>
      <c r="HC387" t="e">
        <f>AND(#REF!,"AAAAAHf5/dI=")</f>
        <v>#REF!</v>
      </c>
      <c r="HD387" t="e">
        <f>AND(#REF!,"AAAAAHf5/dM=")</f>
        <v>#REF!</v>
      </c>
      <c r="HE387" t="e">
        <f>AND(#REF!,"AAAAAHf5/dQ=")</f>
        <v>#REF!</v>
      </c>
      <c r="HF387" t="e">
        <f>AND(#REF!,"AAAAAHf5/dU=")</f>
        <v>#REF!</v>
      </c>
      <c r="HG387" t="e">
        <f>AND(#REF!,"AAAAAHf5/dY=")</f>
        <v>#REF!</v>
      </c>
      <c r="HH387" t="e">
        <f>AND(#REF!,"AAAAAHf5/dc=")</f>
        <v>#REF!</v>
      </c>
      <c r="HI387" t="e">
        <f>AND(#REF!,"AAAAAHf5/dg=")</f>
        <v>#REF!</v>
      </c>
      <c r="HJ387" t="e">
        <f>AND(#REF!,"AAAAAHf5/dk=")</f>
        <v>#REF!</v>
      </c>
      <c r="HK387" t="e">
        <f>AND(#REF!,"AAAAAHf5/do=")</f>
        <v>#REF!</v>
      </c>
      <c r="HL387" t="e">
        <f>IF(#REF!,"AAAAAHf5/ds=",0)</f>
        <v>#REF!</v>
      </c>
      <c r="HM387" t="e">
        <f>AND(#REF!,"AAAAAHf5/dw=")</f>
        <v>#REF!</v>
      </c>
      <c r="HN387" t="e">
        <f>AND(#REF!,"AAAAAHf5/d0=")</f>
        <v>#REF!</v>
      </c>
      <c r="HO387" t="e">
        <f>AND(#REF!,"AAAAAHf5/d4=")</f>
        <v>#REF!</v>
      </c>
      <c r="HP387" t="e">
        <f>AND(#REF!,"AAAAAHf5/d8=")</f>
        <v>#REF!</v>
      </c>
      <c r="HQ387" t="e">
        <f>AND(#REF!,"AAAAAHf5/eA=")</f>
        <v>#REF!</v>
      </c>
      <c r="HR387" t="e">
        <f>AND(#REF!,"AAAAAHf5/eE=")</f>
        <v>#REF!</v>
      </c>
      <c r="HS387" t="e">
        <f>AND(#REF!,"AAAAAHf5/eI=")</f>
        <v>#REF!</v>
      </c>
      <c r="HT387" t="e">
        <f>AND(#REF!,"AAAAAHf5/eM=")</f>
        <v>#REF!</v>
      </c>
      <c r="HU387" t="e">
        <f>AND(#REF!,"AAAAAHf5/eQ=")</f>
        <v>#REF!</v>
      </c>
      <c r="HV387" t="e">
        <f>AND(#REF!,"AAAAAHf5/eU=")</f>
        <v>#REF!</v>
      </c>
      <c r="HW387" t="e">
        <f>AND(#REF!,"AAAAAHf5/eY=")</f>
        <v>#REF!</v>
      </c>
      <c r="HX387" t="e">
        <f>AND(#REF!,"AAAAAHf5/ec=")</f>
        <v>#REF!</v>
      </c>
      <c r="HY387" t="e">
        <f>AND(#REF!,"AAAAAHf5/eg=")</f>
        <v>#REF!</v>
      </c>
      <c r="HZ387" t="e">
        <f>AND(#REF!,"AAAAAHf5/ek=")</f>
        <v>#REF!</v>
      </c>
      <c r="IA387" t="e">
        <f>AND(#REF!,"AAAAAHf5/eo=")</f>
        <v>#REF!</v>
      </c>
      <c r="IB387" t="e">
        <f>AND(#REF!,"AAAAAHf5/es=")</f>
        <v>#REF!</v>
      </c>
      <c r="IC387" t="e">
        <f>AND(#REF!,"AAAAAHf5/ew=")</f>
        <v>#REF!</v>
      </c>
      <c r="ID387" t="e">
        <f>AND(#REF!,"AAAAAHf5/e0=")</f>
        <v>#REF!</v>
      </c>
      <c r="IE387" t="e">
        <f>AND(#REF!,"AAAAAHf5/e4=")</f>
        <v>#REF!</v>
      </c>
      <c r="IF387" t="e">
        <f>AND(#REF!,"AAAAAHf5/e8=")</f>
        <v>#REF!</v>
      </c>
      <c r="IG387" t="e">
        <f>AND(#REF!,"AAAAAHf5/fA=")</f>
        <v>#REF!</v>
      </c>
      <c r="IH387" t="e">
        <f>AND(#REF!,"AAAAAHf5/fE=")</f>
        <v>#REF!</v>
      </c>
      <c r="II387" t="e">
        <f>AND(#REF!,"AAAAAHf5/fI=")</f>
        <v>#REF!</v>
      </c>
      <c r="IJ387" t="e">
        <f>AND(#REF!,"AAAAAHf5/fM=")</f>
        <v>#REF!</v>
      </c>
      <c r="IK387" t="e">
        <f>IF(#REF!,"AAAAAHf5/fQ=",0)</f>
        <v>#REF!</v>
      </c>
      <c r="IL387" t="e">
        <f>AND(#REF!,"AAAAAHf5/fU=")</f>
        <v>#REF!</v>
      </c>
      <c r="IM387" t="e">
        <f>AND(#REF!,"AAAAAHf5/fY=")</f>
        <v>#REF!</v>
      </c>
      <c r="IN387" t="e">
        <f>AND(#REF!,"AAAAAHf5/fc=")</f>
        <v>#REF!</v>
      </c>
      <c r="IO387" t="e">
        <f>AND(#REF!,"AAAAAHf5/fg=")</f>
        <v>#REF!</v>
      </c>
      <c r="IP387" t="e">
        <f>AND(#REF!,"AAAAAHf5/fk=")</f>
        <v>#REF!</v>
      </c>
      <c r="IQ387" t="e">
        <f>AND(#REF!,"AAAAAHf5/fo=")</f>
        <v>#REF!</v>
      </c>
      <c r="IR387" t="e">
        <f>AND(#REF!,"AAAAAHf5/fs=")</f>
        <v>#REF!</v>
      </c>
      <c r="IS387" t="e">
        <f>AND(#REF!,"AAAAAHf5/fw=")</f>
        <v>#REF!</v>
      </c>
      <c r="IT387" t="e">
        <f>AND(#REF!,"AAAAAHf5/f0=")</f>
        <v>#REF!</v>
      </c>
      <c r="IU387" t="e">
        <f>AND(#REF!,"AAAAAHf5/f4=")</f>
        <v>#REF!</v>
      </c>
      <c r="IV387" t="e">
        <f>AND(#REF!,"AAAAAHf5/f8=")</f>
        <v>#REF!</v>
      </c>
    </row>
    <row r="388" spans="1:256">
      <c r="A388" t="e">
        <f>AND(#REF!,"AAAAAH/7YwA=")</f>
        <v>#REF!</v>
      </c>
      <c r="B388" t="e">
        <f>AND(#REF!,"AAAAAH/7YwE=")</f>
        <v>#REF!</v>
      </c>
      <c r="C388" t="e">
        <f>AND(#REF!,"AAAAAH/7YwI=")</f>
        <v>#REF!</v>
      </c>
      <c r="D388" t="e">
        <f>AND(#REF!,"AAAAAH/7YwM=")</f>
        <v>#REF!</v>
      </c>
      <c r="E388" t="e">
        <f>AND(#REF!,"AAAAAH/7YwQ=")</f>
        <v>#REF!</v>
      </c>
      <c r="F388" t="e">
        <f>AND(#REF!,"AAAAAH/7YwU=")</f>
        <v>#REF!</v>
      </c>
      <c r="G388" t="e">
        <f>AND(#REF!,"AAAAAH/7YwY=")</f>
        <v>#REF!</v>
      </c>
      <c r="H388" t="e">
        <f>AND(#REF!,"AAAAAH/7Ywc=")</f>
        <v>#REF!</v>
      </c>
      <c r="I388" t="e">
        <f>AND(#REF!,"AAAAAH/7Ywg=")</f>
        <v>#REF!</v>
      </c>
      <c r="J388" t="e">
        <f>AND(#REF!,"AAAAAH/7Ywk=")</f>
        <v>#REF!</v>
      </c>
      <c r="K388" t="e">
        <f>AND(#REF!,"AAAAAH/7Ywo=")</f>
        <v>#REF!</v>
      </c>
      <c r="L388" t="e">
        <f>AND(#REF!,"AAAAAH/7Yws=")</f>
        <v>#REF!</v>
      </c>
      <c r="M388" t="e">
        <f>AND(#REF!,"AAAAAH/7Yww=")</f>
        <v>#REF!</v>
      </c>
      <c r="N388" t="e">
        <f>IF(#REF!,"AAAAAH/7Yw0=",0)</f>
        <v>#REF!</v>
      </c>
      <c r="O388" t="e">
        <f>AND(#REF!,"AAAAAH/7Yw4=")</f>
        <v>#REF!</v>
      </c>
      <c r="P388" t="e">
        <f>AND(#REF!,"AAAAAH/7Yw8=")</f>
        <v>#REF!</v>
      </c>
      <c r="Q388" t="e">
        <f>AND(#REF!,"AAAAAH/7YxA=")</f>
        <v>#REF!</v>
      </c>
      <c r="R388" t="e">
        <f>AND(#REF!,"AAAAAH/7YxE=")</f>
        <v>#REF!</v>
      </c>
      <c r="S388" t="e">
        <f>AND(#REF!,"AAAAAH/7YxI=")</f>
        <v>#REF!</v>
      </c>
      <c r="T388" t="e">
        <f>AND(#REF!,"AAAAAH/7YxM=")</f>
        <v>#REF!</v>
      </c>
      <c r="U388" t="e">
        <f>AND(#REF!,"AAAAAH/7YxQ=")</f>
        <v>#REF!</v>
      </c>
      <c r="V388" t="e">
        <f>AND(#REF!,"AAAAAH/7YxU=")</f>
        <v>#REF!</v>
      </c>
      <c r="W388" t="e">
        <f>AND(#REF!,"AAAAAH/7YxY=")</f>
        <v>#REF!</v>
      </c>
      <c r="X388" t="e">
        <f>AND(#REF!,"AAAAAH/7Yxc=")</f>
        <v>#REF!</v>
      </c>
      <c r="Y388" t="e">
        <f>AND(#REF!,"AAAAAH/7Yxg=")</f>
        <v>#REF!</v>
      </c>
      <c r="Z388" t="e">
        <f>AND(#REF!,"AAAAAH/7Yxk=")</f>
        <v>#REF!</v>
      </c>
      <c r="AA388" t="e">
        <f>AND(#REF!,"AAAAAH/7Yxo=")</f>
        <v>#REF!</v>
      </c>
      <c r="AB388" t="e">
        <f>AND(#REF!,"AAAAAH/7Yxs=")</f>
        <v>#REF!</v>
      </c>
      <c r="AC388" t="e">
        <f>AND(#REF!,"AAAAAH/7Yxw=")</f>
        <v>#REF!</v>
      </c>
      <c r="AD388" t="e">
        <f>AND(#REF!,"AAAAAH/7Yx0=")</f>
        <v>#REF!</v>
      </c>
      <c r="AE388" t="e">
        <f>AND(#REF!,"AAAAAH/7Yx4=")</f>
        <v>#REF!</v>
      </c>
      <c r="AF388" t="e">
        <f>AND(#REF!,"AAAAAH/7Yx8=")</f>
        <v>#REF!</v>
      </c>
      <c r="AG388" t="e">
        <f>AND(#REF!,"AAAAAH/7YyA=")</f>
        <v>#REF!</v>
      </c>
      <c r="AH388" t="e">
        <f>AND(#REF!,"AAAAAH/7YyE=")</f>
        <v>#REF!</v>
      </c>
      <c r="AI388" t="e">
        <f>AND(#REF!,"AAAAAH/7YyI=")</f>
        <v>#REF!</v>
      </c>
      <c r="AJ388" t="e">
        <f>AND(#REF!,"AAAAAH/7YyM=")</f>
        <v>#REF!</v>
      </c>
      <c r="AK388" t="e">
        <f>AND(#REF!,"AAAAAH/7YyQ=")</f>
        <v>#REF!</v>
      </c>
      <c r="AL388" t="e">
        <f>AND(#REF!,"AAAAAH/7YyU=")</f>
        <v>#REF!</v>
      </c>
      <c r="AM388" t="e">
        <f>IF(#REF!,"AAAAAH/7YyY=",0)</f>
        <v>#REF!</v>
      </c>
      <c r="AN388" t="e">
        <f>AND(#REF!,"AAAAAH/7Yyc=")</f>
        <v>#REF!</v>
      </c>
      <c r="AO388" t="e">
        <f>AND(#REF!,"AAAAAH/7Yyg=")</f>
        <v>#REF!</v>
      </c>
      <c r="AP388" t="e">
        <f>AND(#REF!,"AAAAAH/7Yyk=")</f>
        <v>#REF!</v>
      </c>
      <c r="AQ388" t="e">
        <f>AND(#REF!,"AAAAAH/7Yyo=")</f>
        <v>#REF!</v>
      </c>
      <c r="AR388" t="e">
        <f>AND(#REF!,"AAAAAH/7Yys=")</f>
        <v>#REF!</v>
      </c>
      <c r="AS388" t="e">
        <f>AND(#REF!,"AAAAAH/7Yyw=")</f>
        <v>#REF!</v>
      </c>
      <c r="AT388" t="e">
        <f>AND(#REF!,"AAAAAH/7Yy0=")</f>
        <v>#REF!</v>
      </c>
      <c r="AU388" t="e">
        <f>AND(#REF!,"AAAAAH/7Yy4=")</f>
        <v>#REF!</v>
      </c>
      <c r="AV388" t="e">
        <f>AND(#REF!,"AAAAAH/7Yy8=")</f>
        <v>#REF!</v>
      </c>
      <c r="AW388" t="e">
        <f>AND(#REF!,"AAAAAH/7YzA=")</f>
        <v>#REF!</v>
      </c>
      <c r="AX388" t="e">
        <f>AND(#REF!,"AAAAAH/7YzE=")</f>
        <v>#REF!</v>
      </c>
      <c r="AY388" t="e">
        <f>AND(#REF!,"AAAAAH/7YzI=")</f>
        <v>#REF!</v>
      </c>
      <c r="AZ388" t="e">
        <f>AND(#REF!,"AAAAAH/7YzM=")</f>
        <v>#REF!</v>
      </c>
      <c r="BA388" t="e">
        <f>AND(#REF!,"AAAAAH/7YzQ=")</f>
        <v>#REF!</v>
      </c>
      <c r="BB388" t="e">
        <f>AND(#REF!,"AAAAAH/7YzU=")</f>
        <v>#REF!</v>
      </c>
      <c r="BC388" t="e">
        <f>AND(#REF!,"AAAAAH/7YzY=")</f>
        <v>#REF!</v>
      </c>
      <c r="BD388" t="e">
        <f>AND(#REF!,"AAAAAH/7Yzc=")</f>
        <v>#REF!</v>
      </c>
      <c r="BE388" t="e">
        <f>AND(#REF!,"AAAAAH/7Yzg=")</f>
        <v>#REF!</v>
      </c>
      <c r="BF388" t="e">
        <f>AND(#REF!,"AAAAAH/7Yzk=")</f>
        <v>#REF!</v>
      </c>
      <c r="BG388" t="e">
        <f>AND(#REF!,"AAAAAH/7Yzo=")</f>
        <v>#REF!</v>
      </c>
      <c r="BH388" t="e">
        <f>AND(#REF!,"AAAAAH/7Yzs=")</f>
        <v>#REF!</v>
      </c>
      <c r="BI388" t="e">
        <f>AND(#REF!,"AAAAAH/7Yzw=")</f>
        <v>#REF!</v>
      </c>
      <c r="BJ388" t="e">
        <f>AND(#REF!,"AAAAAH/7Yz0=")</f>
        <v>#REF!</v>
      </c>
      <c r="BK388" t="e">
        <f>AND(#REF!,"AAAAAH/7Yz4=")</f>
        <v>#REF!</v>
      </c>
      <c r="BL388" t="e">
        <f>IF(#REF!,"AAAAAH/7Yz8=",0)</f>
        <v>#REF!</v>
      </c>
      <c r="BM388" t="e">
        <f>AND(#REF!,"AAAAAH/7Y0A=")</f>
        <v>#REF!</v>
      </c>
      <c r="BN388" t="e">
        <f>AND(#REF!,"AAAAAH/7Y0E=")</f>
        <v>#REF!</v>
      </c>
      <c r="BO388" t="e">
        <f>AND(#REF!,"AAAAAH/7Y0I=")</f>
        <v>#REF!</v>
      </c>
      <c r="BP388" t="e">
        <f>AND(#REF!,"AAAAAH/7Y0M=")</f>
        <v>#REF!</v>
      </c>
      <c r="BQ388" t="e">
        <f>AND(#REF!,"AAAAAH/7Y0Q=")</f>
        <v>#REF!</v>
      </c>
      <c r="BR388" t="e">
        <f>AND(#REF!,"AAAAAH/7Y0U=")</f>
        <v>#REF!</v>
      </c>
      <c r="BS388" t="e">
        <f>AND(#REF!,"AAAAAH/7Y0Y=")</f>
        <v>#REF!</v>
      </c>
      <c r="BT388" t="e">
        <f>AND(#REF!,"AAAAAH/7Y0c=")</f>
        <v>#REF!</v>
      </c>
      <c r="BU388" t="e">
        <f>AND(#REF!,"AAAAAH/7Y0g=")</f>
        <v>#REF!</v>
      </c>
      <c r="BV388" t="e">
        <f>AND(#REF!,"AAAAAH/7Y0k=")</f>
        <v>#REF!</v>
      </c>
      <c r="BW388" t="e">
        <f>AND(#REF!,"AAAAAH/7Y0o=")</f>
        <v>#REF!</v>
      </c>
      <c r="BX388" t="e">
        <f>AND(#REF!,"AAAAAH/7Y0s=")</f>
        <v>#REF!</v>
      </c>
      <c r="BY388" t="e">
        <f>AND(#REF!,"AAAAAH/7Y0w=")</f>
        <v>#REF!</v>
      </c>
      <c r="BZ388" t="e">
        <f>AND(#REF!,"AAAAAH/7Y00=")</f>
        <v>#REF!</v>
      </c>
      <c r="CA388" t="e">
        <f>AND(#REF!,"AAAAAH/7Y04=")</f>
        <v>#REF!</v>
      </c>
      <c r="CB388" t="e">
        <f>AND(#REF!,"AAAAAH/7Y08=")</f>
        <v>#REF!</v>
      </c>
      <c r="CC388" t="e">
        <f>AND(#REF!,"AAAAAH/7Y1A=")</f>
        <v>#REF!</v>
      </c>
      <c r="CD388" t="e">
        <f>AND(#REF!,"AAAAAH/7Y1E=")</f>
        <v>#REF!</v>
      </c>
      <c r="CE388" t="e">
        <f>AND(#REF!,"AAAAAH/7Y1I=")</f>
        <v>#REF!</v>
      </c>
      <c r="CF388" t="e">
        <f>AND(#REF!,"AAAAAH/7Y1M=")</f>
        <v>#REF!</v>
      </c>
      <c r="CG388" t="e">
        <f>AND(#REF!,"AAAAAH/7Y1Q=")</f>
        <v>#REF!</v>
      </c>
      <c r="CH388" t="e">
        <f>AND(#REF!,"AAAAAH/7Y1U=")</f>
        <v>#REF!</v>
      </c>
      <c r="CI388" t="e">
        <f>AND(#REF!,"AAAAAH/7Y1Y=")</f>
        <v>#REF!</v>
      </c>
      <c r="CJ388" t="e">
        <f>AND(#REF!,"AAAAAH/7Y1c=")</f>
        <v>#REF!</v>
      </c>
      <c r="CK388" t="e">
        <f>IF(#REF!,"AAAAAH/7Y1g=",0)</f>
        <v>#REF!</v>
      </c>
      <c r="CL388" t="e">
        <f>AND(#REF!,"AAAAAH/7Y1k=")</f>
        <v>#REF!</v>
      </c>
      <c r="CM388" t="e">
        <f>AND(#REF!,"AAAAAH/7Y1o=")</f>
        <v>#REF!</v>
      </c>
      <c r="CN388" t="e">
        <f>AND(#REF!,"AAAAAH/7Y1s=")</f>
        <v>#REF!</v>
      </c>
      <c r="CO388" t="e">
        <f>AND(#REF!,"AAAAAH/7Y1w=")</f>
        <v>#REF!</v>
      </c>
      <c r="CP388" t="e">
        <f>AND(#REF!,"AAAAAH/7Y10=")</f>
        <v>#REF!</v>
      </c>
      <c r="CQ388" t="e">
        <f>AND(#REF!,"AAAAAH/7Y14=")</f>
        <v>#REF!</v>
      </c>
      <c r="CR388" t="e">
        <f>AND(#REF!,"AAAAAH/7Y18=")</f>
        <v>#REF!</v>
      </c>
      <c r="CS388" t="e">
        <f>AND(#REF!,"AAAAAH/7Y2A=")</f>
        <v>#REF!</v>
      </c>
      <c r="CT388" t="e">
        <f>AND(#REF!,"AAAAAH/7Y2E=")</f>
        <v>#REF!</v>
      </c>
      <c r="CU388" t="e">
        <f>AND(#REF!,"AAAAAH/7Y2I=")</f>
        <v>#REF!</v>
      </c>
      <c r="CV388" t="e">
        <f>AND(#REF!,"AAAAAH/7Y2M=")</f>
        <v>#REF!</v>
      </c>
      <c r="CW388" t="e">
        <f>AND(#REF!,"AAAAAH/7Y2Q=")</f>
        <v>#REF!</v>
      </c>
      <c r="CX388" t="e">
        <f>AND(#REF!,"AAAAAH/7Y2U=")</f>
        <v>#REF!</v>
      </c>
      <c r="CY388" t="e">
        <f>AND(#REF!,"AAAAAH/7Y2Y=")</f>
        <v>#REF!</v>
      </c>
      <c r="CZ388" t="e">
        <f>AND(#REF!,"AAAAAH/7Y2c=")</f>
        <v>#REF!</v>
      </c>
      <c r="DA388" t="e">
        <f>AND(#REF!,"AAAAAH/7Y2g=")</f>
        <v>#REF!</v>
      </c>
      <c r="DB388" t="e">
        <f>AND(#REF!,"AAAAAH/7Y2k=")</f>
        <v>#REF!</v>
      </c>
      <c r="DC388" t="e">
        <f>AND(#REF!,"AAAAAH/7Y2o=")</f>
        <v>#REF!</v>
      </c>
      <c r="DD388" t="e">
        <f>AND(#REF!,"AAAAAH/7Y2s=")</f>
        <v>#REF!</v>
      </c>
      <c r="DE388" t="e">
        <f>AND(#REF!,"AAAAAH/7Y2w=")</f>
        <v>#REF!</v>
      </c>
      <c r="DF388" t="e">
        <f>AND(#REF!,"AAAAAH/7Y20=")</f>
        <v>#REF!</v>
      </c>
      <c r="DG388" t="e">
        <f>AND(#REF!,"AAAAAH/7Y24=")</f>
        <v>#REF!</v>
      </c>
      <c r="DH388" t="e">
        <f>AND(#REF!,"AAAAAH/7Y28=")</f>
        <v>#REF!</v>
      </c>
      <c r="DI388" t="e">
        <f>AND(#REF!,"AAAAAH/7Y3A=")</f>
        <v>#REF!</v>
      </c>
      <c r="DJ388" t="e">
        <f>IF(#REF!,"AAAAAH/7Y3E=",0)</f>
        <v>#REF!</v>
      </c>
      <c r="DK388" t="e">
        <f>AND(#REF!,"AAAAAH/7Y3I=")</f>
        <v>#REF!</v>
      </c>
      <c r="DL388" t="e">
        <f>AND(#REF!,"AAAAAH/7Y3M=")</f>
        <v>#REF!</v>
      </c>
      <c r="DM388" t="e">
        <f>AND(#REF!,"AAAAAH/7Y3Q=")</f>
        <v>#REF!</v>
      </c>
      <c r="DN388" t="e">
        <f>AND(#REF!,"AAAAAH/7Y3U=")</f>
        <v>#REF!</v>
      </c>
      <c r="DO388" t="e">
        <f>AND(#REF!,"AAAAAH/7Y3Y=")</f>
        <v>#REF!</v>
      </c>
      <c r="DP388" t="e">
        <f>AND(#REF!,"AAAAAH/7Y3c=")</f>
        <v>#REF!</v>
      </c>
      <c r="DQ388" t="e">
        <f>AND(#REF!,"AAAAAH/7Y3g=")</f>
        <v>#REF!</v>
      </c>
      <c r="DR388" t="e">
        <f>AND(#REF!,"AAAAAH/7Y3k=")</f>
        <v>#REF!</v>
      </c>
      <c r="DS388" t="e">
        <f>AND(#REF!,"AAAAAH/7Y3o=")</f>
        <v>#REF!</v>
      </c>
      <c r="DT388" t="e">
        <f>AND(#REF!,"AAAAAH/7Y3s=")</f>
        <v>#REF!</v>
      </c>
      <c r="DU388" t="e">
        <f>AND(#REF!,"AAAAAH/7Y3w=")</f>
        <v>#REF!</v>
      </c>
      <c r="DV388" t="e">
        <f>AND(#REF!,"AAAAAH/7Y30=")</f>
        <v>#REF!</v>
      </c>
      <c r="DW388" t="e">
        <f>AND(#REF!,"AAAAAH/7Y34=")</f>
        <v>#REF!</v>
      </c>
      <c r="DX388" t="e">
        <f>AND(#REF!,"AAAAAH/7Y38=")</f>
        <v>#REF!</v>
      </c>
      <c r="DY388" t="e">
        <f>AND(#REF!,"AAAAAH/7Y4A=")</f>
        <v>#REF!</v>
      </c>
      <c r="DZ388" t="e">
        <f>AND(#REF!,"AAAAAH/7Y4E=")</f>
        <v>#REF!</v>
      </c>
      <c r="EA388" t="e">
        <f>AND(#REF!,"AAAAAH/7Y4I=")</f>
        <v>#REF!</v>
      </c>
      <c r="EB388" t="e">
        <f>AND(#REF!,"AAAAAH/7Y4M=")</f>
        <v>#REF!</v>
      </c>
      <c r="EC388" t="e">
        <f>AND(#REF!,"AAAAAH/7Y4Q=")</f>
        <v>#REF!</v>
      </c>
      <c r="ED388" t="e">
        <f>AND(#REF!,"AAAAAH/7Y4U=")</f>
        <v>#REF!</v>
      </c>
      <c r="EE388" t="e">
        <f>AND(#REF!,"AAAAAH/7Y4Y=")</f>
        <v>#REF!</v>
      </c>
      <c r="EF388" t="e">
        <f>AND(#REF!,"AAAAAH/7Y4c=")</f>
        <v>#REF!</v>
      </c>
      <c r="EG388" t="e">
        <f>AND(#REF!,"AAAAAH/7Y4g=")</f>
        <v>#REF!</v>
      </c>
      <c r="EH388" t="e">
        <f>AND(#REF!,"AAAAAH/7Y4k=")</f>
        <v>#REF!</v>
      </c>
      <c r="EI388" t="e">
        <f>IF(#REF!,"AAAAAH/7Y4o=",0)</f>
        <v>#REF!</v>
      </c>
      <c r="EJ388" t="e">
        <f>AND(#REF!,"AAAAAH/7Y4s=")</f>
        <v>#REF!</v>
      </c>
      <c r="EK388" t="e">
        <f>AND(#REF!,"AAAAAH/7Y4w=")</f>
        <v>#REF!</v>
      </c>
      <c r="EL388" t="e">
        <f>AND(#REF!,"AAAAAH/7Y40=")</f>
        <v>#REF!</v>
      </c>
      <c r="EM388" t="e">
        <f>AND(#REF!,"AAAAAH/7Y44=")</f>
        <v>#REF!</v>
      </c>
      <c r="EN388" t="e">
        <f>AND(#REF!,"AAAAAH/7Y48=")</f>
        <v>#REF!</v>
      </c>
      <c r="EO388" t="e">
        <f>AND(#REF!,"AAAAAH/7Y5A=")</f>
        <v>#REF!</v>
      </c>
      <c r="EP388" t="e">
        <f>AND(#REF!,"AAAAAH/7Y5E=")</f>
        <v>#REF!</v>
      </c>
      <c r="EQ388" t="e">
        <f>AND(#REF!,"AAAAAH/7Y5I=")</f>
        <v>#REF!</v>
      </c>
      <c r="ER388" t="e">
        <f>AND(#REF!,"AAAAAH/7Y5M=")</f>
        <v>#REF!</v>
      </c>
      <c r="ES388" t="e">
        <f>AND(#REF!,"AAAAAH/7Y5Q=")</f>
        <v>#REF!</v>
      </c>
      <c r="ET388" t="e">
        <f>AND(#REF!,"AAAAAH/7Y5U=")</f>
        <v>#REF!</v>
      </c>
      <c r="EU388" t="e">
        <f>AND(#REF!,"AAAAAH/7Y5Y=")</f>
        <v>#REF!</v>
      </c>
      <c r="EV388" t="e">
        <f>AND(#REF!,"AAAAAH/7Y5c=")</f>
        <v>#REF!</v>
      </c>
      <c r="EW388" t="e">
        <f>AND(#REF!,"AAAAAH/7Y5g=")</f>
        <v>#REF!</v>
      </c>
      <c r="EX388" t="e">
        <f>AND(#REF!,"AAAAAH/7Y5k=")</f>
        <v>#REF!</v>
      </c>
      <c r="EY388" t="e">
        <f>AND(#REF!,"AAAAAH/7Y5o=")</f>
        <v>#REF!</v>
      </c>
      <c r="EZ388" t="e">
        <f>AND(#REF!,"AAAAAH/7Y5s=")</f>
        <v>#REF!</v>
      </c>
      <c r="FA388" t="e">
        <f>AND(#REF!,"AAAAAH/7Y5w=")</f>
        <v>#REF!</v>
      </c>
      <c r="FB388" t="e">
        <f>AND(#REF!,"AAAAAH/7Y50=")</f>
        <v>#REF!</v>
      </c>
      <c r="FC388" t="e">
        <f>AND(#REF!,"AAAAAH/7Y54=")</f>
        <v>#REF!</v>
      </c>
      <c r="FD388" t="e">
        <f>AND(#REF!,"AAAAAH/7Y58=")</f>
        <v>#REF!</v>
      </c>
      <c r="FE388" t="e">
        <f>AND(#REF!,"AAAAAH/7Y6A=")</f>
        <v>#REF!</v>
      </c>
      <c r="FF388" t="e">
        <f>AND(#REF!,"AAAAAH/7Y6E=")</f>
        <v>#REF!</v>
      </c>
      <c r="FG388" t="e">
        <f>AND(#REF!,"AAAAAH/7Y6I=")</f>
        <v>#REF!</v>
      </c>
      <c r="FH388" t="e">
        <f>IF(#REF!,"AAAAAH/7Y6M=",0)</f>
        <v>#REF!</v>
      </c>
      <c r="FI388" t="e">
        <f>AND(#REF!,"AAAAAH/7Y6Q=")</f>
        <v>#REF!</v>
      </c>
      <c r="FJ388" t="e">
        <f>AND(#REF!,"AAAAAH/7Y6U=")</f>
        <v>#REF!</v>
      </c>
      <c r="FK388" t="e">
        <f>AND(#REF!,"AAAAAH/7Y6Y=")</f>
        <v>#REF!</v>
      </c>
      <c r="FL388" t="e">
        <f>AND(#REF!,"AAAAAH/7Y6c=")</f>
        <v>#REF!</v>
      </c>
      <c r="FM388" t="e">
        <f>AND(#REF!,"AAAAAH/7Y6g=")</f>
        <v>#REF!</v>
      </c>
      <c r="FN388" t="e">
        <f>AND(#REF!,"AAAAAH/7Y6k=")</f>
        <v>#REF!</v>
      </c>
      <c r="FO388" t="e">
        <f>AND(#REF!,"AAAAAH/7Y6o=")</f>
        <v>#REF!</v>
      </c>
      <c r="FP388" t="e">
        <f>AND(#REF!,"AAAAAH/7Y6s=")</f>
        <v>#REF!</v>
      </c>
      <c r="FQ388" t="e">
        <f>AND(#REF!,"AAAAAH/7Y6w=")</f>
        <v>#REF!</v>
      </c>
      <c r="FR388" t="e">
        <f>AND(#REF!,"AAAAAH/7Y60=")</f>
        <v>#REF!</v>
      </c>
      <c r="FS388" t="e">
        <f>AND(#REF!,"AAAAAH/7Y64=")</f>
        <v>#REF!</v>
      </c>
      <c r="FT388" t="e">
        <f>AND(#REF!,"AAAAAH/7Y68=")</f>
        <v>#REF!</v>
      </c>
      <c r="FU388" t="e">
        <f>AND(#REF!,"AAAAAH/7Y7A=")</f>
        <v>#REF!</v>
      </c>
      <c r="FV388" t="e">
        <f>AND(#REF!,"AAAAAH/7Y7E=")</f>
        <v>#REF!</v>
      </c>
      <c r="FW388" t="e">
        <f>AND(#REF!,"AAAAAH/7Y7I=")</f>
        <v>#REF!</v>
      </c>
      <c r="FX388" t="e">
        <f>AND(#REF!,"AAAAAH/7Y7M=")</f>
        <v>#REF!</v>
      </c>
      <c r="FY388" t="e">
        <f>AND(#REF!,"AAAAAH/7Y7Q=")</f>
        <v>#REF!</v>
      </c>
      <c r="FZ388" t="e">
        <f>AND(#REF!,"AAAAAH/7Y7U=")</f>
        <v>#REF!</v>
      </c>
      <c r="GA388" t="e">
        <f>AND(#REF!,"AAAAAH/7Y7Y=")</f>
        <v>#REF!</v>
      </c>
      <c r="GB388" t="e">
        <f>AND(#REF!,"AAAAAH/7Y7c=")</f>
        <v>#REF!</v>
      </c>
      <c r="GC388" t="e">
        <f>AND(#REF!,"AAAAAH/7Y7g=")</f>
        <v>#REF!</v>
      </c>
      <c r="GD388" t="e">
        <f>AND(#REF!,"AAAAAH/7Y7k=")</f>
        <v>#REF!</v>
      </c>
      <c r="GE388" t="e">
        <f>AND(#REF!,"AAAAAH/7Y7o=")</f>
        <v>#REF!</v>
      </c>
      <c r="GF388" t="e">
        <f>AND(#REF!,"AAAAAH/7Y7s=")</f>
        <v>#REF!</v>
      </c>
      <c r="GG388" t="e">
        <f>IF(#REF!,"AAAAAH/7Y7w=",0)</f>
        <v>#REF!</v>
      </c>
      <c r="GH388" t="e">
        <f>AND(#REF!,"AAAAAH/7Y70=")</f>
        <v>#REF!</v>
      </c>
      <c r="GI388" t="e">
        <f>AND(#REF!,"AAAAAH/7Y74=")</f>
        <v>#REF!</v>
      </c>
      <c r="GJ388" t="e">
        <f>AND(#REF!,"AAAAAH/7Y78=")</f>
        <v>#REF!</v>
      </c>
      <c r="GK388" t="e">
        <f>AND(#REF!,"AAAAAH/7Y8A=")</f>
        <v>#REF!</v>
      </c>
      <c r="GL388" t="e">
        <f>AND(#REF!,"AAAAAH/7Y8E=")</f>
        <v>#REF!</v>
      </c>
      <c r="GM388" t="e">
        <f>AND(#REF!,"AAAAAH/7Y8I=")</f>
        <v>#REF!</v>
      </c>
      <c r="GN388" t="e">
        <f>AND(#REF!,"AAAAAH/7Y8M=")</f>
        <v>#REF!</v>
      </c>
      <c r="GO388" t="e">
        <f>AND(#REF!,"AAAAAH/7Y8Q=")</f>
        <v>#REF!</v>
      </c>
      <c r="GP388" t="e">
        <f>AND(#REF!,"AAAAAH/7Y8U=")</f>
        <v>#REF!</v>
      </c>
      <c r="GQ388" t="e">
        <f>AND(#REF!,"AAAAAH/7Y8Y=")</f>
        <v>#REF!</v>
      </c>
      <c r="GR388" t="e">
        <f>AND(#REF!,"AAAAAH/7Y8c=")</f>
        <v>#REF!</v>
      </c>
      <c r="GS388" t="e">
        <f>AND(#REF!,"AAAAAH/7Y8g=")</f>
        <v>#REF!</v>
      </c>
      <c r="GT388" t="e">
        <f>AND(#REF!,"AAAAAH/7Y8k=")</f>
        <v>#REF!</v>
      </c>
      <c r="GU388" t="e">
        <f>AND(#REF!,"AAAAAH/7Y8o=")</f>
        <v>#REF!</v>
      </c>
      <c r="GV388" t="e">
        <f>AND(#REF!,"AAAAAH/7Y8s=")</f>
        <v>#REF!</v>
      </c>
      <c r="GW388" t="e">
        <f>AND(#REF!,"AAAAAH/7Y8w=")</f>
        <v>#REF!</v>
      </c>
      <c r="GX388" t="e">
        <f>AND(#REF!,"AAAAAH/7Y80=")</f>
        <v>#REF!</v>
      </c>
      <c r="GY388" t="e">
        <f>AND(#REF!,"AAAAAH/7Y84=")</f>
        <v>#REF!</v>
      </c>
      <c r="GZ388" t="e">
        <f>AND(#REF!,"AAAAAH/7Y88=")</f>
        <v>#REF!</v>
      </c>
      <c r="HA388" t="e">
        <f>AND(#REF!,"AAAAAH/7Y9A=")</f>
        <v>#REF!</v>
      </c>
      <c r="HB388" t="e">
        <f>AND(#REF!,"AAAAAH/7Y9E=")</f>
        <v>#REF!</v>
      </c>
      <c r="HC388" t="e">
        <f>AND(#REF!,"AAAAAH/7Y9I=")</f>
        <v>#REF!</v>
      </c>
      <c r="HD388" t="e">
        <f>AND(#REF!,"AAAAAH/7Y9M=")</f>
        <v>#REF!</v>
      </c>
      <c r="HE388" t="e">
        <f>AND(#REF!,"AAAAAH/7Y9Q=")</f>
        <v>#REF!</v>
      </c>
      <c r="HF388" t="e">
        <f>IF(#REF!,"AAAAAH/7Y9U=",0)</f>
        <v>#REF!</v>
      </c>
      <c r="HG388" t="e">
        <f>AND(#REF!,"AAAAAH/7Y9Y=")</f>
        <v>#REF!</v>
      </c>
      <c r="HH388" t="e">
        <f>AND(#REF!,"AAAAAH/7Y9c=")</f>
        <v>#REF!</v>
      </c>
      <c r="HI388" t="e">
        <f>AND(#REF!,"AAAAAH/7Y9g=")</f>
        <v>#REF!</v>
      </c>
      <c r="HJ388" t="e">
        <f>AND(#REF!,"AAAAAH/7Y9k=")</f>
        <v>#REF!</v>
      </c>
      <c r="HK388" t="e">
        <f>AND(#REF!,"AAAAAH/7Y9o=")</f>
        <v>#REF!</v>
      </c>
      <c r="HL388" t="e">
        <f>AND(#REF!,"AAAAAH/7Y9s=")</f>
        <v>#REF!</v>
      </c>
      <c r="HM388" t="e">
        <f>AND(#REF!,"AAAAAH/7Y9w=")</f>
        <v>#REF!</v>
      </c>
      <c r="HN388" t="e">
        <f>AND(#REF!,"AAAAAH/7Y90=")</f>
        <v>#REF!</v>
      </c>
      <c r="HO388" t="e">
        <f>AND(#REF!,"AAAAAH/7Y94=")</f>
        <v>#REF!</v>
      </c>
      <c r="HP388" t="e">
        <f>AND(#REF!,"AAAAAH/7Y98=")</f>
        <v>#REF!</v>
      </c>
      <c r="HQ388" t="e">
        <f>AND(#REF!,"AAAAAH/7Y+A=")</f>
        <v>#REF!</v>
      </c>
      <c r="HR388" t="e">
        <f>AND(#REF!,"AAAAAH/7Y+E=")</f>
        <v>#REF!</v>
      </c>
      <c r="HS388" t="e">
        <f>AND(#REF!,"AAAAAH/7Y+I=")</f>
        <v>#REF!</v>
      </c>
      <c r="HT388" t="e">
        <f>AND(#REF!,"AAAAAH/7Y+M=")</f>
        <v>#REF!</v>
      </c>
      <c r="HU388" t="e">
        <f>AND(#REF!,"AAAAAH/7Y+Q=")</f>
        <v>#REF!</v>
      </c>
      <c r="HV388" t="e">
        <f>AND(#REF!,"AAAAAH/7Y+U=")</f>
        <v>#REF!</v>
      </c>
      <c r="HW388" t="e">
        <f>AND(#REF!,"AAAAAH/7Y+Y=")</f>
        <v>#REF!</v>
      </c>
      <c r="HX388" t="e">
        <f>AND(#REF!,"AAAAAH/7Y+c=")</f>
        <v>#REF!</v>
      </c>
      <c r="HY388" t="e">
        <f>AND(#REF!,"AAAAAH/7Y+g=")</f>
        <v>#REF!</v>
      </c>
      <c r="HZ388" t="e">
        <f>AND(#REF!,"AAAAAH/7Y+k=")</f>
        <v>#REF!</v>
      </c>
      <c r="IA388" t="e">
        <f>AND(#REF!,"AAAAAH/7Y+o=")</f>
        <v>#REF!</v>
      </c>
      <c r="IB388" t="e">
        <f>AND(#REF!,"AAAAAH/7Y+s=")</f>
        <v>#REF!</v>
      </c>
      <c r="IC388" t="e">
        <f>AND(#REF!,"AAAAAH/7Y+w=")</f>
        <v>#REF!</v>
      </c>
      <c r="ID388" t="e">
        <f>AND(#REF!,"AAAAAH/7Y+0=")</f>
        <v>#REF!</v>
      </c>
      <c r="IE388" t="e">
        <f>IF(#REF!,"AAAAAH/7Y+4=",0)</f>
        <v>#REF!</v>
      </c>
      <c r="IF388" t="e">
        <f>AND(#REF!,"AAAAAH/7Y+8=")</f>
        <v>#REF!</v>
      </c>
      <c r="IG388" t="e">
        <f>AND(#REF!,"AAAAAH/7Y/A=")</f>
        <v>#REF!</v>
      </c>
      <c r="IH388" t="e">
        <f>AND(#REF!,"AAAAAH/7Y/E=")</f>
        <v>#REF!</v>
      </c>
      <c r="II388" t="e">
        <f>AND(#REF!,"AAAAAH/7Y/I=")</f>
        <v>#REF!</v>
      </c>
      <c r="IJ388" t="e">
        <f>AND(#REF!,"AAAAAH/7Y/M=")</f>
        <v>#REF!</v>
      </c>
      <c r="IK388" t="e">
        <f>AND(#REF!,"AAAAAH/7Y/Q=")</f>
        <v>#REF!</v>
      </c>
      <c r="IL388" t="e">
        <f>AND(#REF!,"AAAAAH/7Y/U=")</f>
        <v>#REF!</v>
      </c>
      <c r="IM388" t="e">
        <f>AND(#REF!,"AAAAAH/7Y/Y=")</f>
        <v>#REF!</v>
      </c>
      <c r="IN388" t="e">
        <f>AND(#REF!,"AAAAAH/7Y/c=")</f>
        <v>#REF!</v>
      </c>
      <c r="IO388" t="e">
        <f>AND(#REF!,"AAAAAH/7Y/g=")</f>
        <v>#REF!</v>
      </c>
      <c r="IP388" t="e">
        <f>AND(#REF!,"AAAAAH/7Y/k=")</f>
        <v>#REF!</v>
      </c>
      <c r="IQ388" t="e">
        <f>AND(#REF!,"AAAAAH/7Y/o=")</f>
        <v>#REF!</v>
      </c>
      <c r="IR388" t="e">
        <f>AND(#REF!,"AAAAAH/7Y/s=")</f>
        <v>#REF!</v>
      </c>
      <c r="IS388" t="e">
        <f>AND(#REF!,"AAAAAH/7Y/w=")</f>
        <v>#REF!</v>
      </c>
      <c r="IT388" t="e">
        <f>AND(#REF!,"AAAAAH/7Y/0=")</f>
        <v>#REF!</v>
      </c>
      <c r="IU388" t="e">
        <f>AND(#REF!,"AAAAAH/7Y/4=")</f>
        <v>#REF!</v>
      </c>
      <c r="IV388" t="e">
        <f>AND(#REF!,"AAAAAH/7Y/8=")</f>
        <v>#REF!</v>
      </c>
    </row>
    <row r="389" spans="1:256">
      <c r="A389" t="e">
        <f>AND(#REF!,"AAAAAGs/dwA=")</f>
        <v>#REF!</v>
      </c>
      <c r="B389" t="e">
        <f>AND(#REF!,"AAAAAGs/dwE=")</f>
        <v>#REF!</v>
      </c>
      <c r="C389" t="e">
        <f>AND(#REF!,"AAAAAGs/dwI=")</f>
        <v>#REF!</v>
      </c>
      <c r="D389" t="e">
        <f>AND(#REF!,"AAAAAGs/dwM=")</f>
        <v>#REF!</v>
      </c>
      <c r="E389" t="e">
        <f>AND(#REF!,"AAAAAGs/dwQ=")</f>
        <v>#REF!</v>
      </c>
      <c r="F389" t="e">
        <f>AND(#REF!,"AAAAAGs/dwU=")</f>
        <v>#REF!</v>
      </c>
      <c r="G389" t="e">
        <f>AND(#REF!,"AAAAAGs/dwY=")</f>
        <v>#REF!</v>
      </c>
      <c r="H389" t="e">
        <f>IF(#REF!,"AAAAAGs/dwc=",0)</f>
        <v>#REF!</v>
      </c>
      <c r="I389" t="e">
        <f>AND(#REF!,"AAAAAGs/dwg=")</f>
        <v>#REF!</v>
      </c>
      <c r="J389" t="e">
        <f>AND(#REF!,"AAAAAGs/dwk=")</f>
        <v>#REF!</v>
      </c>
      <c r="K389" t="e">
        <f>AND(#REF!,"AAAAAGs/dwo=")</f>
        <v>#REF!</v>
      </c>
      <c r="L389" t="e">
        <f>AND(#REF!,"AAAAAGs/dws=")</f>
        <v>#REF!</v>
      </c>
      <c r="M389" t="e">
        <f>AND(#REF!,"AAAAAGs/dww=")</f>
        <v>#REF!</v>
      </c>
      <c r="N389" t="e">
        <f>AND(#REF!,"AAAAAGs/dw0=")</f>
        <v>#REF!</v>
      </c>
      <c r="O389" t="e">
        <f>AND(#REF!,"AAAAAGs/dw4=")</f>
        <v>#REF!</v>
      </c>
      <c r="P389" t="e">
        <f>AND(#REF!,"AAAAAGs/dw8=")</f>
        <v>#REF!</v>
      </c>
      <c r="Q389" t="e">
        <f>AND(#REF!,"AAAAAGs/dxA=")</f>
        <v>#REF!</v>
      </c>
      <c r="R389" t="e">
        <f>AND(#REF!,"AAAAAGs/dxE=")</f>
        <v>#REF!</v>
      </c>
      <c r="S389" t="e">
        <f>AND(#REF!,"AAAAAGs/dxI=")</f>
        <v>#REF!</v>
      </c>
      <c r="T389" t="e">
        <f>AND(#REF!,"AAAAAGs/dxM=")</f>
        <v>#REF!</v>
      </c>
      <c r="U389" t="e">
        <f>AND(#REF!,"AAAAAGs/dxQ=")</f>
        <v>#REF!</v>
      </c>
      <c r="V389" t="e">
        <f>AND(#REF!,"AAAAAGs/dxU=")</f>
        <v>#REF!</v>
      </c>
      <c r="W389" t="e">
        <f>AND(#REF!,"AAAAAGs/dxY=")</f>
        <v>#REF!</v>
      </c>
      <c r="X389" t="e">
        <f>AND(#REF!,"AAAAAGs/dxc=")</f>
        <v>#REF!</v>
      </c>
      <c r="Y389" t="e">
        <f>AND(#REF!,"AAAAAGs/dxg=")</f>
        <v>#REF!</v>
      </c>
      <c r="Z389" t="e">
        <f>AND(#REF!,"AAAAAGs/dxk=")</f>
        <v>#REF!</v>
      </c>
      <c r="AA389" t="e">
        <f>AND(#REF!,"AAAAAGs/dxo=")</f>
        <v>#REF!</v>
      </c>
      <c r="AB389" t="e">
        <f>AND(#REF!,"AAAAAGs/dxs=")</f>
        <v>#REF!</v>
      </c>
      <c r="AC389" t="e">
        <f>AND(#REF!,"AAAAAGs/dxw=")</f>
        <v>#REF!</v>
      </c>
      <c r="AD389" t="e">
        <f>AND(#REF!,"AAAAAGs/dx0=")</f>
        <v>#REF!</v>
      </c>
      <c r="AE389" t="e">
        <f>AND(#REF!,"AAAAAGs/dx4=")</f>
        <v>#REF!</v>
      </c>
      <c r="AF389" t="e">
        <f>AND(#REF!,"AAAAAGs/dx8=")</f>
        <v>#REF!</v>
      </c>
      <c r="AG389" t="e">
        <f>IF(#REF!,"AAAAAGs/dyA=",0)</f>
        <v>#REF!</v>
      </c>
      <c r="AH389" t="e">
        <f>AND(#REF!,"AAAAAGs/dyE=")</f>
        <v>#REF!</v>
      </c>
      <c r="AI389" t="e">
        <f>AND(#REF!,"AAAAAGs/dyI=")</f>
        <v>#REF!</v>
      </c>
      <c r="AJ389" t="e">
        <f>AND(#REF!,"AAAAAGs/dyM=")</f>
        <v>#REF!</v>
      </c>
      <c r="AK389" t="e">
        <f>AND(#REF!,"AAAAAGs/dyQ=")</f>
        <v>#REF!</v>
      </c>
      <c r="AL389" t="e">
        <f>AND(#REF!,"AAAAAGs/dyU=")</f>
        <v>#REF!</v>
      </c>
      <c r="AM389" t="e">
        <f>AND(#REF!,"AAAAAGs/dyY=")</f>
        <v>#REF!</v>
      </c>
      <c r="AN389" t="e">
        <f>AND(#REF!,"AAAAAGs/dyc=")</f>
        <v>#REF!</v>
      </c>
      <c r="AO389" t="e">
        <f>AND(#REF!,"AAAAAGs/dyg=")</f>
        <v>#REF!</v>
      </c>
      <c r="AP389" t="e">
        <f>AND(#REF!,"AAAAAGs/dyk=")</f>
        <v>#REF!</v>
      </c>
      <c r="AQ389" t="e">
        <f>AND(#REF!,"AAAAAGs/dyo=")</f>
        <v>#REF!</v>
      </c>
      <c r="AR389" t="e">
        <f>AND(#REF!,"AAAAAGs/dys=")</f>
        <v>#REF!</v>
      </c>
      <c r="AS389" t="e">
        <f>AND(#REF!,"AAAAAGs/dyw=")</f>
        <v>#REF!</v>
      </c>
      <c r="AT389" t="e">
        <f>AND(#REF!,"AAAAAGs/dy0=")</f>
        <v>#REF!</v>
      </c>
      <c r="AU389" t="e">
        <f>AND(#REF!,"AAAAAGs/dy4=")</f>
        <v>#REF!</v>
      </c>
      <c r="AV389" t="e">
        <f>AND(#REF!,"AAAAAGs/dy8=")</f>
        <v>#REF!</v>
      </c>
      <c r="AW389" t="e">
        <f>AND(#REF!,"AAAAAGs/dzA=")</f>
        <v>#REF!</v>
      </c>
      <c r="AX389" t="e">
        <f>AND(#REF!,"AAAAAGs/dzE=")</f>
        <v>#REF!</v>
      </c>
      <c r="AY389" t="e">
        <f>AND(#REF!,"AAAAAGs/dzI=")</f>
        <v>#REF!</v>
      </c>
      <c r="AZ389" t="e">
        <f>AND(#REF!,"AAAAAGs/dzM=")</f>
        <v>#REF!</v>
      </c>
      <c r="BA389" t="e">
        <f>AND(#REF!,"AAAAAGs/dzQ=")</f>
        <v>#REF!</v>
      </c>
      <c r="BB389" t="e">
        <f>AND(#REF!,"AAAAAGs/dzU=")</f>
        <v>#REF!</v>
      </c>
      <c r="BC389" t="e">
        <f>AND(#REF!,"AAAAAGs/dzY=")</f>
        <v>#REF!</v>
      </c>
      <c r="BD389" t="e">
        <f>AND(#REF!,"AAAAAGs/dzc=")</f>
        <v>#REF!</v>
      </c>
      <c r="BE389" t="e">
        <f>AND(#REF!,"AAAAAGs/dzg=")</f>
        <v>#REF!</v>
      </c>
      <c r="BF389" t="e">
        <f>IF(#REF!,"AAAAAGs/dzk=",0)</f>
        <v>#REF!</v>
      </c>
      <c r="BG389" t="e">
        <f>AND(#REF!,"AAAAAGs/dzo=")</f>
        <v>#REF!</v>
      </c>
      <c r="BH389" t="e">
        <f>AND(#REF!,"AAAAAGs/dzs=")</f>
        <v>#REF!</v>
      </c>
      <c r="BI389" t="e">
        <f>AND(#REF!,"AAAAAGs/dzw=")</f>
        <v>#REF!</v>
      </c>
      <c r="BJ389" t="e">
        <f>AND(#REF!,"AAAAAGs/dz0=")</f>
        <v>#REF!</v>
      </c>
      <c r="BK389" t="e">
        <f>AND(#REF!,"AAAAAGs/dz4=")</f>
        <v>#REF!</v>
      </c>
      <c r="BL389" t="e">
        <f>AND(#REF!,"AAAAAGs/dz8=")</f>
        <v>#REF!</v>
      </c>
      <c r="BM389" t="e">
        <f>AND(#REF!,"AAAAAGs/d0A=")</f>
        <v>#REF!</v>
      </c>
      <c r="BN389" t="e">
        <f>AND(#REF!,"AAAAAGs/d0E=")</f>
        <v>#REF!</v>
      </c>
      <c r="BO389" t="e">
        <f>AND(#REF!,"AAAAAGs/d0I=")</f>
        <v>#REF!</v>
      </c>
      <c r="BP389" t="e">
        <f>AND(#REF!,"AAAAAGs/d0M=")</f>
        <v>#REF!</v>
      </c>
      <c r="BQ389" t="e">
        <f>AND(#REF!,"AAAAAGs/d0Q=")</f>
        <v>#REF!</v>
      </c>
      <c r="BR389" t="e">
        <f>AND(#REF!,"AAAAAGs/d0U=")</f>
        <v>#REF!</v>
      </c>
      <c r="BS389" t="e">
        <f>AND(#REF!,"AAAAAGs/d0Y=")</f>
        <v>#REF!</v>
      </c>
      <c r="BT389" t="e">
        <f>AND(#REF!,"AAAAAGs/d0c=")</f>
        <v>#REF!</v>
      </c>
      <c r="BU389" t="e">
        <f>AND(#REF!,"AAAAAGs/d0g=")</f>
        <v>#REF!</v>
      </c>
      <c r="BV389" t="e">
        <f>AND(#REF!,"AAAAAGs/d0k=")</f>
        <v>#REF!</v>
      </c>
      <c r="BW389" t="e">
        <f>AND(#REF!,"AAAAAGs/d0o=")</f>
        <v>#REF!</v>
      </c>
      <c r="BX389" t="e">
        <f>AND(#REF!,"AAAAAGs/d0s=")</f>
        <v>#REF!</v>
      </c>
      <c r="BY389" t="e">
        <f>AND(#REF!,"AAAAAGs/d0w=")</f>
        <v>#REF!</v>
      </c>
      <c r="BZ389" t="e">
        <f>AND(#REF!,"AAAAAGs/d00=")</f>
        <v>#REF!</v>
      </c>
      <c r="CA389" t="e">
        <f>AND(#REF!,"AAAAAGs/d04=")</f>
        <v>#REF!</v>
      </c>
      <c r="CB389" t="e">
        <f>AND(#REF!,"AAAAAGs/d08=")</f>
        <v>#REF!</v>
      </c>
      <c r="CC389" t="e">
        <f>AND(#REF!,"AAAAAGs/d1A=")</f>
        <v>#REF!</v>
      </c>
      <c r="CD389" t="e">
        <f>AND(#REF!,"AAAAAGs/d1E=")</f>
        <v>#REF!</v>
      </c>
      <c r="CE389" t="e">
        <f>IF(#REF!,"AAAAAGs/d1I=",0)</f>
        <v>#REF!</v>
      </c>
      <c r="CF389" t="e">
        <f>AND(#REF!,"AAAAAGs/d1M=")</f>
        <v>#REF!</v>
      </c>
      <c r="CG389" t="e">
        <f>AND(#REF!,"AAAAAGs/d1Q=")</f>
        <v>#REF!</v>
      </c>
      <c r="CH389" t="e">
        <f>AND(#REF!,"AAAAAGs/d1U=")</f>
        <v>#REF!</v>
      </c>
      <c r="CI389" t="e">
        <f>AND(#REF!,"AAAAAGs/d1Y=")</f>
        <v>#REF!</v>
      </c>
      <c r="CJ389" t="e">
        <f>AND(#REF!,"AAAAAGs/d1c=")</f>
        <v>#REF!</v>
      </c>
      <c r="CK389" t="e">
        <f>AND(#REF!,"AAAAAGs/d1g=")</f>
        <v>#REF!</v>
      </c>
      <c r="CL389" t="e">
        <f>AND(#REF!,"AAAAAGs/d1k=")</f>
        <v>#REF!</v>
      </c>
      <c r="CM389" t="e">
        <f>AND(#REF!,"AAAAAGs/d1o=")</f>
        <v>#REF!</v>
      </c>
      <c r="CN389" t="e">
        <f>AND(#REF!,"AAAAAGs/d1s=")</f>
        <v>#REF!</v>
      </c>
      <c r="CO389" t="e">
        <f>AND(#REF!,"AAAAAGs/d1w=")</f>
        <v>#REF!</v>
      </c>
      <c r="CP389" t="e">
        <f>AND(#REF!,"AAAAAGs/d10=")</f>
        <v>#REF!</v>
      </c>
      <c r="CQ389" t="e">
        <f>AND(#REF!,"AAAAAGs/d14=")</f>
        <v>#REF!</v>
      </c>
      <c r="CR389" t="e">
        <f>AND(#REF!,"AAAAAGs/d18=")</f>
        <v>#REF!</v>
      </c>
      <c r="CS389" t="e">
        <f>AND(#REF!,"AAAAAGs/d2A=")</f>
        <v>#REF!</v>
      </c>
      <c r="CT389" t="e">
        <f>AND(#REF!,"AAAAAGs/d2E=")</f>
        <v>#REF!</v>
      </c>
      <c r="CU389" t="e">
        <f>AND(#REF!,"AAAAAGs/d2I=")</f>
        <v>#REF!</v>
      </c>
      <c r="CV389" t="e">
        <f>AND(#REF!,"AAAAAGs/d2M=")</f>
        <v>#REF!</v>
      </c>
      <c r="CW389" t="e">
        <f>AND(#REF!,"AAAAAGs/d2Q=")</f>
        <v>#REF!</v>
      </c>
      <c r="CX389" t="e">
        <f>AND(#REF!,"AAAAAGs/d2U=")</f>
        <v>#REF!</v>
      </c>
      <c r="CY389" t="e">
        <f>AND(#REF!,"AAAAAGs/d2Y=")</f>
        <v>#REF!</v>
      </c>
      <c r="CZ389" t="e">
        <f>AND(#REF!,"AAAAAGs/d2c=")</f>
        <v>#REF!</v>
      </c>
      <c r="DA389" t="e">
        <f>AND(#REF!,"AAAAAGs/d2g=")</f>
        <v>#REF!</v>
      </c>
      <c r="DB389" t="e">
        <f>AND(#REF!,"AAAAAGs/d2k=")</f>
        <v>#REF!</v>
      </c>
      <c r="DC389" t="e">
        <f>AND(#REF!,"AAAAAGs/d2o=")</f>
        <v>#REF!</v>
      </c>
      <c r="DD389" t="e">
        <f>IF(#REF!,"AAAAAGs/d2s=",0)</f>
        <v>#REF!</v>
      </c>
      <c r="DE389" t="e">
        <f>AND(#REF!,"AAAAAGs/d2w=")</f>
        <v>#REF!</v>
      </c>
      <c r="DF389" t="e">
        <f>AND(#REF!,"AAAAAGs/d20=")</f>
        <v>#REF!</v>
      </c>
      <c r="DG389" t="e">
        <f>AND(#REF!,"AAAAAGs/d24=")</f>
        <v>#REF!</v>
      </c>
      <c r="DH389" t="e">
        <f>AND(#REF!,"AAAAAGs/d28=")</f>
        <v>#REF!</v>
      </c>
      <c r="DI389" t="e">
        <f>AND(#REF!,"AAAAAGs/d3A=")</f>
        <v>#REF!</v>
      </c>
      <c r="DJ389" t="e">
        <f>AND(#REF!,"AAAAAGs/d3E=")</f>
        <v>#REF!</v>
      </c>
      <c r="DK389" t="e">
        <f>AND(#REF!,"AAAAAGs/d3I=")</f>
        <v>#REF!</v>
      </c>
      <c r="DL389" t="e">
        <f>AND(#REF!,"AAAAAGs/d3M=")</f>
        <v>#REF!</v>
      </c>
      <c r="DM389" t="e">
        <f>AND(#REF!,"AAAAAGs/d3Q=")</f>
        <v>#REF!</v>
      </c>
      <c r="DN389" t="e">
        <f>AND(#REF!,"AAAAAGs/d3U=")</f>
        <v>#REF!</v>
      </c>
      <c r="DO389" t="e">
        <f>AND(#REF!,"AAAAAGs/d3Y=")</f>
        <v>#REF!</v>
      </c>
      <c r="DP389" t="e">
        <f>AND(#REF!,"AAAAAGs/d3c=")</f>
        <v>#REF!</v>
      </c>
      <c r="DQ389" t="e">
        <f>AND(#REF!,"AAAAAGs/d3g=")</f>
        <v>#REF!</v>
      </c>
      <c r="DR389" t="e">
        <f>AND(#REF!,"AAAAAGs/d3k=")</f>
        <v>#REF!</v>
      </c>
      <c r="DS389" t="e">
        <f>AND(#REF!,"AAAAAGs/d3o=")</f>
        <v>#REF!</v>
      </c>
      <c r="DT389" t="e">
        <f>AND(#REF!,"AAAAAGs/d3s=")</f>
        <v>#REF!</v>
      </c>
      <c r="DU389" t="e">
        <f>AND(#REF!,"AAAAAGs/d3w=")</f>
        <v>#REF!</v>
      </c>
      <c r="DV389" t="e">
        <f>AND(#REF!,"AAAAAGs/d30=")</f>
        <v>#REF!</v>
      </c>
      <c r="DW389" t="e">
        <f>AND(#REF!,"AAAAAGs/d34=")</f>
        <v>#REF!</v>
      </c>
      <c r="DX389" t="e">
        <f>AND(#REF!,"AAAAAGs/d38=")</f>
        <v>#REF!</v>
      </c>
      <c r="DY389" t="e">
        <f>AND(#REF!,"AAAAAGs/d4A=")</f>
        <v>#REF!</v>
      </c>
      <c r="DZ389" t="e">
        <f>AND(#REF!,"AAAAAGs/d4E=")</f>
        <v>#REF!</v>
      </c>
      <c r="EA389" t="e">
        <f>AND(#REF!,"AAAAAGs/d4I=")</f>
        <v>#REF!</v>
      </c>
      <c r="EB389" t="e">
        <f>AND(#REF!,"AAAAAGs/d4M=")</f>
        <v>#REF!</v>
      </c>
      <c r="EC389" t="e">
        <f>IF(#REF!,"AAAAAGs/d4Q=",0)</f>
        <v>#REF!</v>
      </c>
      <c r="ED389" t="e">
        <f>AND(#REF!,"AAAAAGs/d4U=")</f>
        <v>#REF!</v>
      </c>
      <c r="EE389" t="e">
        <f>AND(#REF!,"AAAAAGs/d4Y=")</f>
        <v>#REF!</v>
      </c>
      <c r="EF389" t="e">
        <f>AND(#REF!,"AAAAAGs/d4c=")</f>
        <v>#REF!</v>
      </c>
      <c r="EG389" t="e">
        <f>AND(#REF!,"AAAAAGs/d4g=")</f>
        <v>#REF!</v>
      </c>
      <c r="EH389" t="e">
        <f>AND(#REF!,"AAAAAGs/d4k=")</f>
        <v>#REF!</v>
      </c>
      <c r="EI389" t="e">
        <f>AND(#REF!,"AAAAAGs/d4o=")</f>
        <v>#REF!</v>
      </c>
      <c r="EJ389" t="e">
        <f>AND(#REF!,"AAAAAGs/d4s=")</f>
        <v>#REF!</v>
      </c>
      <c r="EK389" t="e">
        <f>AND(#REF!,"AAAAAGs/d4w=")</f>
        <v>#REF!</v>
      </c>
      <c r="EL389" t="e">
        <f>AND(#REF!,"AAAAAGs/d40=")</f>
        <v>#REF!</v>
      </c>
      <c r="EM389" t="e">
        <f>AND(#REF!,"AAAAAGs/d44=")</f>
        <v>#REF!</v>
      </c>
      <c r="EN389" t="e">
        <f>AND(#REF!,"AAAAAGs/d48=")</f>
        <v>#REF!</v>
      </c>
      <c r="EO389" t="e">
        <f>AND(#REF!,"AAAAAGs/d5A=")</f>
        <v>#REF!</v>
      </c>
      <c r="EP389" t="e">
        <f>AND(#REF!,"AAAAAGs/d5E=")</f>
        <v>#REF!</v>
      </c>
      <c r="EQ389" t="e">
        <f>AND(#REF!,"AAAAAGs/d5I=")</f>
        <v>#REF!</v>
      </c>
      <c r="ER389" t="e">
        <f>AND(#REF!,"AAAAAGs/d5M=")</f>
        <v>#REF!</v>
      </c>
      <c r="ES389" t="e">
        <f>AND(#REF!,"AAAAAGs/d5Q=")</f>
        <v>#REF!</v>
      </c>
      <c r="ET389" t="e">
        <f>AND(#REF!,"AAAAAGs/d5U=")</f>
        <v>#REF!</v>
      </c>
      <c r="EU389" t="e">
        <f>AND(#REF!,"AAAAAGs/d5Y=")</f>
        <v>#REF!</v>
      </c>
      <c r="EV389" t="e">
        <f>AND(#REF!,"AAAAAGs/d5c=")</f>
        <v>#REF!</v>
      </c>
      <c r="EW389" t="e">
        <f>AND(#REF!,"AAAAAGs/d5g=")</f>
        <v>#REF!</v>
      </c>
      <c r="EX389" t="e">
        <f>AND(#REF!,"AAAAAGs/d5k=")</f>
        <v>#REF!</v>
      </c>
      <c r="EY389" t="e">
        <f>AND(#REF!,"AAAAAGs/d5o=")</f>
        <v>#REF!</v>
      </c>
      <c r="EZ389" t="e">
        <f>AND(#REF!,"AAAAAGs/d5s=")</f>
        <v>#REF!</v>
      </c>
      <c r="FA389" t="e">
        <f>AND(#REF!,"AAAAAGs/d5w=")</f>
        <v>#REF!</v>
      </c>
      <c r="FB389" t="e">
        <f>IF(#REF!,"AAAAAGs/d50=",0)</f>
        <v>#REF!</v>
      </c>
      <c r="FC389" t="e">
        <f>AND(#REF!,"AAAAAGs/d54=")</f>
        <v>#REF!</v>
      </c>
      <c r="FD389" t="e">
        <f>AND(#REF!,"AAAAAGs/d58=")</f>
        <v>#REF!</v>
      </c>
      <c r="FE389" t="e">
        <f>AND(#REF!,"AAAAAGs/d6A=")</f>
        <v>#REF!</v>
      </c>
      <c r="FF389" t="e">
        <f>AND(#REF!,"AAAAAGs/d6E=")</f>
        <v>#REF!</v>
      </c>
      <c r="FG389" t="e">
        <f>AND(#REF!,"AAAAAGs/d6I=")</f>
        <v>#REF!</v>
      </c>
      <c r="FH389" t="e">
        <f>AND(#REF!,"AAAAAGs/d6M=")</f>
        <v>#REF!</v>
      </c>
      <c r="FI389" t="e">
        <f>AND(#REF!,"AAAAAGs/d6Q=")</f>
        <v>#REF!</v>
      </c>
      <c r="FJ389" t="e">
        <f>AND(#REF!,"AAAAAGs/d6U=")</f>
        <v>#REF!</v>
      </c>
      <c r="FK389" t="e">
        <f>AND(#REF!,"AAAAAGs/d6Y=")</f>
        <v>#REF!</v>
      </c>
      <c r="FL389" t="e">
        <f>AND(#REF!,"AAAAAGs/d6c=")</f>
        <v>#REF!</v>
      </c>
      <c r="FM389" t="e">
        <f>AND(#REF!,"AAAAAGs/d6g=")</f>
        <v>#REF!</v>
      </c>
      <c r="FN389" t="e">
        <f>AND(#REF!,"AAAAAGs/d6k=")</f>
        <v>#REF!</v>
      </c>
      <c r="FO389" t="e">
        <f>AND(#REF!,"AAAAAGs/d6o=")</f>
        <v>#REF!</v>
      </c>
      <c r="FP389" t="e">
        <f>AND(#REF!,"AAAAAGs/d6s=")</f>
        <v>#REF!</v>
      </c>
      <c r="FQ389" t="e">
        <f>AND(#REF!,"AAAAAGs/d6w=")</f>
        <v>#REF!</v>
      </c>
      <c r="FR389" t="e">
        <f>AND(#REF!,"AAAAAGs/d60=")</f>
        <v>#REF!</v>
      </c>
      <c r="FS389" t="e">
        <f>AND(#REF!,"AAAAAGs/d64=")</f>
        <v>#REF!</v>
      </c>
      <c r="FT389" t="e">
        <f>AND(#REF!,"AAAAAGs/d68=")</f>
        <v>#REF!</v>
      </c>
      <c r="FU389" t="e">
        <f>AND(#REF!,"AAAAAGs/d7A=")</f>
        <v>#REF!</v>
      </c>
      <c r="FV389" t="e">
        <f>AND(#REF!,"AAAAAGs/d7E=")</f>
        <v>#REF!</v>
      </c>
      <c r="FW389" t="e">
        <f>AND(#REF!,"AAAAAGs/d7I=")</f>
        <v>#REF!</v>
      </c>
      <c r="FX389" t="e">
        <f>AND(#REF!,"AAAAAGs/d7M=")</f>
        <v>#REF!</v>
      </c>
      <c r="FY389" t="e">
        <f>AND(#REF!,"AAAAAGs/d7Q=")</f>
        <v>#REF!</v>
      </c>
      <c r="FZ389" t="e">
        <f>AND(#REF!,"AAAAAGs/d7U=")</f>
        <v>#REF!</v>
      </c>
      <c r="GA389" t="e">
        <f>IF(#REF!,"AAAAAGs/d7Y=",0)</f>
        <v>#REF!</v>
      </c>
      <c r="GB389" t="e">
        <f>AND(#REF!,"AAAAAGs/d7c=")</f>
        <v>#REF!</v>
      </c>
      <c r="GC389" t="e">
        <f>AND(#REF!,"AAAAAGs/d7g=")</f>
        <v>#REF!</v>
      </c>
      <c r="GD389" t="e">
        <f>AND(#REF!,"AAAAAGs/d7k=")</f>
        <v>#REF!</v>
      </c>
      <c r="GE389" t="e">
        <f>AND(#REF!,"AAAAAGs/d7o=")</f>
        <v>#REF!</v>
      </c>
      <c r="GF389" t="e">
        <f>AND(#REF!,"AAAAAGs/d7s=")</f>
        <v>#REF!</v>
      </c>
      <c r="GG389" t="e">
        <f>AND(#REF!,"AAAAAGs/d7w=")</f>
        <v>#REF!</v>
      </c>
      <c r="GH389" t="e">
        <f>AND(#REF!,"AAAAAGs/d70=")</f>
        <v>#REF!</v>
      </c>
      <c r="GI389" t="e">
        <f>AND(#REF!,"AAAAAGs/d74=")</f>
        <v>#REF!</v>
      </c>
      <c r="GJ389" t="e">
        <f>AND(#REF!,"AAAAAGs/d78=")</f>
        <v>#REF!</v>
      </c>
      <c r="GK389" t="e">
        <f>AND(#REF!,"AAAAAGs/d8A=")</f>
        <v>#REF!</v>
      </c>
      <c r="GL389" t="e">
        <f>AND(#REF!,"AAAAAGs/d8E=")</f>
        <v>#REF!</v>
      </c>
      <c r="GM389" t="e">
        <f>AND(#REF!,"AAAAAGs/d8I=")</f>
        <v>#REF!</v>
      </c>
      <c r="GN389" t="e">
        <f>AND(#REF!,"AAAAAGs/d8M=")</f>
        <v>#REF!</v>
      </c>
      <c r="GO389" t="e">
        <f>AND(#REF!,"AAAAAGs/d8Q=")</f>
        <v>#REF!</v>
      </c>
      <c r="GP389" t="e">
        <f>AND(#REF!,"AAAAAGs/d8U=")</f>
        <v>#REF!</v>
      </c>
      <c r="GQ389" t="e">
        <f>AND(#REF!,"AAAAAGs/d8Y=")</f>
        <v>#REF!</v>
      </c>
      <c r="GR389" t="e">
        <f>AND(#REF!,"AAAAAGs/d8c=")</f>
        <v>#REF!</v>
      </c>
      <c r="GS389" t="e">
        <f>AND(#REF!,"AAAAAGs/d8g=")</f>
        <v>#REF!</v>
      </c>
      <c r="GT389" t="e">
        <f>AND(#REF!,"AAAAAGs/d8k=")</f>
        <v>#REF!</v>
      </c>
      <c r="GU389" t="e">
        <f>AND(#REF!,"AAAAAGs/d8o=")</f>
        <v>#REF!</v>
      </c>
      <c r="GV389" t="e">
        <f>AND(#REF!,"AAAAAGs/d8s=")</f>
        <v>#REF!</v>
      </c>
      <c r="GW389" t="e">
        <f>AND(#REF!,"AAAAAGs/d8w=")</f>
        <v>#REF!</v>
      </c>
      <c r="GX389" t="e">
        <f>AND(#REF!,"AAAAAGs/d80=")</f>
        <v>#REF!</v>
      </c>
      <c r="GY389" t="e">
        <f>AND(#REF!,"AAAAAGs/d84=")</f>
        <v>#REF!</v>
      </c>
      <c r="GZ389" t="e">
        <f>IF(#REF!,"AAAAAGs/d88=",0)</f>
        <v>#REF!</v>
      </c>
      <c r="HA389" t="e">
        <f>AND(#REF!,"AAAAAGs/d9A=")</f>
        <v>#REF!</v>
      </c>
      <c r="HB389" t="e">
        <f>AND(#REF!,"AAAAAGs/d9E=")</f>
        <v>#REF!</v>
      </c>
      <c r="HC389" t="e">
        <f>AND(#REF!,"AAAAAGs/d9I=")</f>
        <v>#REF!</v>
      </c>
      <c r="HD389" t="e">
        <f>AND(#REF!,"AAAAAGs/d9M=")</f>
        <v>#REF!</v>
      </c>
      <c r="HE389" t="e">
        <f>AND(#REF!,"AAAAAGs/d9Q=")</f>
        <v>#REF!</v>
      </c>
      <c r="HF389" t="e">
        <f>AND(#REF!,"AAAAAGs/d9U=")</f>
        <v>#REF!</v>
      </c>
      <c r="HG389" t="e">
        <f>AND(#REF!,"AAAAAGs/d9Y=")</f>
        <v>#REF!</v>
      </c>
      <c r="HH389" t="e">
        <f>AND(#REF!,"AAAAAGs/d9c=")</f>
        <v>#REF!</v>
      </c>
      <c r="HI389" t="e">
        <f>AND(#REF!,"AAAAAGs/d9g=")</f>
        <v>#REF!</v>
      </c>
      <c r="HJ389" t="e">
        <f>AND(#REF!,"AAAAAGs/d9k=")</f>
        <v>#REF!</v>
      </c>
      <c r="HK389" t="e">
        <f>AND(#REF!,"AAAAAGs/d9o=")</f>
        <v>#REF!</v>
      </c>
      <c r="HL389" t="e">
        <f>AND(#REF!,"AAAAAGs/d9s=")</f>
        <v>#REF!</v>
      </c>
      <c r="HM389" t="e">
        <f>AND(#REF!,"AAAAAGs/d9w=")</f>
        <v>#REF!</v>
      </c>
      <c r="HN389" t="e">
        <f>AND(#REF!,"AAAAAGs/d90=")</f>
        <v>#REF!</v>
      </c>
      <c r="HO389" t="e">
        <f>AND(#REF!,"AAAAAGs/d94=")</f>
        <v>#REF!</v>
      </c>
      <c r="HP389" t="e">
        <f>AND(#REF!,"AAAAAGs/d98=")</f>
        <v>#REF!</v>
      </c>
      <c r="HQ389" t="e">
        <f>AND(#REF!,"AAAAAGs/d+A=")</f>
        <v>#REF!</v>
      </c>
      <c r="HR389" t="e">
        <f>AND(#REF!,"AAAAAGs/d+E=")</f>
        <v>#REF!</v>
      </c>
      <c r="HS389" t="e">
        <f>AND(#REF!,"AAAAAGs/d+I=")</f>
        <v>#REF!</v>
      </c>
      <c r="HT389" t="e">
        <f>AND(#REF!,"AAAAAGs/d+M=")</f>
        <v>#REF!</v>
      </c>
      <c r="HU389" t="e">
        <f>AND(#REF!,"AAAAAGs/d+Q=")</f>
        <v>#REF!</v>
      </c>
      <c r="HV389" t="e">
        <f>AND(#REF!,"AAAAAGs/d+U=")</f>
        <v>#REF!</v>
      </c>
      <c r="HW389" t="e">
        <f>AND(#REF!,"AAAAAGs/d+Y=")</f>
        <v>#REF!</v>
      </c>
      <c r="HX389" t="e">
        <f>AND(#REF!,"AAAAAGs/d+c=")</f>
        <v>#REF!</v>
      </c>
      <c r="HY389" t="e">
        <f>IF(#REF!,"AAAAAGs/d+g=",0)</f>
        <v>#REF!</v>
      </c>
      <c r="HZ389" t="e">
        <f>AND(#REF!,"AAAAAGs/d+k=")</f>
        <v>#REF!</v>
      </c>
      <c r="IA389" t="e">
        <f>AND(#REF!,"AAAAAGs/d+o=")</f>
        <v>#REF!</v>
      </c>
      <c r="IB389" t="e">
        <f>AND(#REF!,"AAAAAGs/d+s=")</f>
        <v>#REF!</v>
      </c>
      <c r="IC389" t="e">
        <f>AND(#REF!,"AAAAAGs/d+w=")</f>
        <v>#REF!</v>
      </c>
      <c r="ID389" t="e">
        <f>AND(#REF!,"AAAAAGs/d+0=")</f>
        <v>#REF!</v>
      </c>
      <c r="IE389" t="e">
        <f>AND(#REF!,"AAAAAGs/d+4=")</f>
        <v>#REF!</v>
      </c>
      <c r="IF389" t="e">
        <f>AND(#REF!,"AAAAAGs/d+8=")</f>
        <v>#REF!</v>
      </c>
      <c r="IG389" t="e">
        <f>AND(#REF!,"AAAAAGs/d/A=")</f>
        <v>#REF!</v>
      </c>
      <c r="IH389" t="e">
        <f>AND(#REF!,"AAAAAGs/d/E=")</f>
        <v>#REF!</v>
      </c>
      <c r="II389" t="e">
        <f>AND(#REF!,"AAAAAGs/d/I=")</f>
        <v>#REF!</v>
      </c>
      <c r="IJ389" t="e">
        <f>AND(#REF!,"AAAAAGs/d/M=")</f>
        <v>#REF!</v>
      </c>
      <c r="IK389" t="e">
        <f>AND(#REF!,"AAAAAGs/d/Q=")</f>
        <v>#REF!</v>
      </c>
      <c r="IL389" t="e">
        <f>AND(#REF!,"AAAAAGs/d/U=")</f>
        <v>#REF!</v>
      </c>
      <c r="IM389" t="e">
        <f>AND(#REF!,"AAAAAGs/d/Y=")</f>
        <v>#REF!</v>
      </c>
      <c r="IN389" t="e">
        <f>AND(#REF!,"AAAAAGs/d/c=")</f>
        <v>#REF!</v>
      </c>
      <c r="IO389" t="e">
        <f>AND(#REF!,"AAAAAGs/d/g=")</f>
        <v>#REF!</v>
      </c>
      <c r="IP389" t="e">
        <f>AND(#REF!,"AAAAAGs/d/k=")</f>
        <v>#REF!</v>
      </c>
      <c r="IQ389" t="e">
        <f>AND(#REF!,"AAAAAGs/d/o=")</f>
        <v>#REF!</v>
      </c>
      <c r="IR389" t="e">
        <f>AND(#REF!,"AAAAAGs/d/s=")</f>
        <v>#REF!</v>
      </c>
      <c r="IS389" t="e">
        <f>AND(#REF!,"AAAAAGs/d/w=")</f>
        <v>#REF!</v>
      </c>
      <c r="IT389" t="e">
        <f>AND(#REF!,"AAAAAGs/d/0=")</f>
        <v>#REF!</v>
      </c>
      <c r="IU389" t="e">
        <f>AND(#REF!,"AAAAAGs/d/4=")</f>
        <v>#REF!</v>
      </c>
      <c r="IV389" t="e">
        <f>AND(#REF!,"AAAAAGs/d/8=")</f>
        <v>#REF!</v>
      </c>
    </row>
    <row r="390" spans="1:256">
      <c r="A390" t="e">
        <f>AND(#REF!,"AAAAAH+1UwA=")</f>
        <v>#REF!</v>
      </c>
      <c r="B390" t="e">
        <f>IF(#REF!,"AAAAAH+1UwE=",0)</f>
        <v>#REF!</v>
      </c>
      <c r="C390" t="e">
        <f>AND(#REF!,"AAAAAH+1UwI=")</f>
        <v>#REF!</v>
      </c>
      <c r="D390" t="e">
        <f>AND(#REF!,"AAAAAH+1UwM=")</f>
        <v>#REF!</v>
      </c>
      <c r="E390" t="e">
        <f>AND(#REF!,"AAAAAH+1UwQ=")</f>
        <v>#REF!</v>
      </c>
      <c r="F390" t="e">
        <f>AND(#REF!,"AAAAAH+1UwU=")</f>
        <v>#REF!</v>
      </c>
      <c r="G390" t="e">
        <f>AND(#REF!,"AAAAAH+1UwY=")</f>
        <v>#REF!</v>
      </c>
      <c r="H390" t="e">
        <f>AND(#REF!,"AAAAAH+1Uwc=")</f>
        <v>#REF!</v>
      </c>
      <c r="I390" t="e">
        <f>AND(#REF!,"AAAAAH+1Uwg=")</f>
        <v>#REF!</v>
      </c>
      <c r="J390" t="e">
        <f>AND(#REF!,"AAAAAH+1Uwk=")</f>
        <v>#REF!</v>
      </c>
      <c r="K390" t="e">
        <f>AND(#REF!,"AAAAAH+1Uwo=")</f>
        <v>#REF!</v>
      </c>
      <c r="L390" t="e">
        <f>AND(#REF!,"AAAAAH+1Uws=")</f>
        <v>#REF!</v>
      </c>
      <c r="M390" t="e">
        <f>AND(#REF!,"AAAAAH+1Uww=")</f>
        <v>#REF!</v>
      </c>
      <c r="N390" t="e">
        <f>AND(#REF!,"AAAAAH+1Uw0=")</f>
        <v>#REF!</v>
      </c>
      <c r="O390" t="e">
        <f>AND(#REF!,"AAAAAH+1Uw4=")</f>
        <v>#REF!</v>
      </c>
      <c r="P390" t="e">
        <f>AND(#REF!,"AAAAAH+1Uw8=")</f>
        <v>#REF!</v>
      </c>
      <c r="Q390" t="e">
        <f>AND(#REF!,"AAAAAH+1UxA=")</f>
        <v>#REF!</v>
      </c>
      <c r="R390" t="e">
        <f>AND(#REF!,"AAAAAH+1UxE=")</f>
        <v>#REF!</v>
      </c>
      <c r="S390" t="e">
        <f>AND(#REF!,"AAAAAH+1UxI=")</f>
        <v>#REF!</v>
      </c>
      <c r="T390" t="e">
        <f>AND(#REF!,"AAAAAH+1UxM=")</f>
        <v>#REF!</v>
      </c>
      <c r="U390" t="e">
        <f>AND(#REF!,"AAAAAH+1UxQ=")</f>
        <v>#REF!</v>
      </c>
      <c r="V390" t="e">
        <f>AND(#REF!,"AAAAAH+1UxU=")</f>
        <v>#REF!</v>
      </c>
      <c r="W390" t="e">
        <f>AND(#REF!,"AAAAAH+1UxY=")</f>
        <v>#REF!</v>
      </c>
      <c r="X390" t="e">
        <f>AND(#REF!,"AAAAAH+1Uxc=")</f>
        <v>#REF!</v>
      </c>
      <c r="Y390" t="e">
        <f>AND(#REF!,"AAAAAH+1Uxg=")</f>
        <v>#REF!</v>
      </c>
      <c r="Z390" t="e">
        <f>AND(#REF!,"AAAAAH+1Uxk=")</f>
        <v>#REF!</v>
      </c>
      <c r="AA390" t="e">
        <f>IF(#REF!,"AAAAAH+1Uxo=",0)</f>
        <v>#REF!</v>
      </c>
      <c r="AB390" t="e">
        <f>AND(#REF!,"AAAAAH+1Uxs=")</f>
        <v>#REF!</v>
      </c>
      <c r="AC390" t="e">
        <f>AND(#REF!,"AAAAAH+1Uxw=")</f>
        <v>#REF!</v>
      </c>
      <c r="AD390" t="e">
        <f>AND(#REF!,"AAAAAH+1Ux0=")</f>
        <v>#REF!</v>
      </c>
      <c r="AE390" t="e">
        <f>AND(#REF!,"AAAAAH+1Ux4=")</f>
        <v>#REF!</v>
      </c>
      <c r="AF390" t="e">
        <f>AND(#REF!,"AAAAAH+1Ux8=")</f>
        <v>#REF!</v>
      </c>
      <c r="AG390" t="e">
        <f>AND(#REF!,"AAAAAH+1UyA=")</f>
        <v>#REF!</v>
      </c>
      <c r="AH390" t="e">
        <f>AND(#REF!,"AAAAAH+1UyE=")</f>
        <v>#REF!</v>
      </c>
      <c r="AI390" t="e">
        <f>AND(#REF!,"AAAAAH+1UyI=")</f>
        <v>#REF!</v>
      </c>
      <c r="AJ390" t="e">
        <f>AND(#REF!,"AAAAAH+1UyM=")</f>
        <v>#REF!</v>
      </c>
      <c r="AK390" t="e">
        <f>AND(#REF!,"AAAAAH+1UyQ=")</f>
        <v>#REF!</v>
      </c>
      <c r="AL390" t="e">
        <f>AND(#REF!,"AAAAAH+1UyU=")</f>
        <v>#REF!</v>
      </c>
      <c r="AM390" t="e">
        <f>AND(#REF!,"AAAAAH+1UyY=")</f>
        <v>#REF!</v>
      </c>
      <c r="AN390" t="e">
        <f>AND(#REF!,"AAAAAH+1Uyc=")</f>
        <v>#REF!</v>
      </c>
      <c r="AO390" t="e">
        <f>AND(#REF!,"AAAAAH+1Uyg=")</f>
        <v>#REF!</v>
      </c>
      <c r="AP390" t="e">
        <f>AND(#REF!,"AAAAAH+1Uyk=")</f>
        <v>#REF!</v>
      </c>
      <c r="AQ390" t="e">
        <f>AND(#REF!,"AAAAAH+1Uyo=")</f>
        <v>#REF!</v>
      </c>
      <c r="AR390" t="e">
        <f>AND(#REF!,"AAAAAH+1Uys=")</f>
        <v>#REF!</v>
      </c>
      <c r="AS390" t="e">
        <f>AND(#REF!,"AAAAAH+1Uyw=")</f>
        <v>#REF!</v>
      </c>
      <c r="AT390" t="e">
        <f>AND(#REF!,"AAAAAH+1Uy0=")</f>
        <v>#REF!</v>
      </c>
      <c r="AU390" t="e">
        <f>AND(#REF!,"AAAAAH+1Uy4=")</f>
        <v>#REF!</v>
      </c>
      <c r="AV390" t="e">
        <f>AND(#REF!,"AAAAAH+1Uy8=")</f>
        <v>#REF!</v>
      </c>
      <c r="AW390" t="e">
        <f>AND(#REF!,"AAAAAH+1UzA=")</f>
        <v>#REF!</v>
      </c>
      <c r="AX390" t="e">
        <f>AND(#REF!,"AAAAAH+1UzE=")</f>
        <v>#REF!</v>
      </c>
      <c r="AY390" t="e">
        <f>AND(#REF!,"AAAAAH+1UzI=")</f>
        <v>#REF!</v>
      </c>
      <c r="AZ390" t="e">
        <f>IF(#REF!,"AAAAAH+1UzM=",0)</f>
        <v>#REF!</v>
      </c>
      <c r="BA390" t="e">
        <f>AND(#REF!,"AAAAAH+1UzQ=")</f>
        <v>#REF!</v>
      </c>
      <c r="BB390" t="e">
        <f>AND(#REF!,"AAAAAH+1UzU=")</f>
        <v>#REF!</v>
      </c>
      <c r="BC390" t="e">
        <f>AND(#REF!,"AAAAAH+1UzY=")</f>
        <v>#REF!</v>
      </c>
      <c r="BD390" t="e">
        <f>AND(#REF!,"AAAAAH+1Uzc=")</f>
        <v>#REF!</v>
      </c>
      <c r="BE390" t="e">
        <f>AND(#REF!,"AAAAAH+1Uzg=")</f>
        <v>#REF!</v>
      </c>
      <c r="BF390" t="e">
        <f>AND(#REF!,"AAAAAH+1Uzk=")</f>
        <v>#REF!</v>
      </c>
      <c r="BG390" t="e">
        <f>AND(#REF!,"AAAAAH+1Uzo=")</f>
        <v>#REF!</v>
      </c>
      <c r="BH390" t="e">
        <f>AND(#REF!,"AAAAAH+1Uzs=")</f>
        <v>#REF!</v>
      </c>
      <c r="BI390" t="e">
        <f>AND(#REF!,"AAAAAH+1Uzw=")</f>
        <v>#REF!</v>
      </c>
      <c r="BJ390" t="e">
        <f>AND(#REF!,"AAAAAH+1Uz0=")</f>
        <v>#REF!</v>
      </c>
      <c r="BK390" t="e">
        <f>AND(#REF!,"AAAAAH+1Uz4=")</f>
        <v>#REF!</v>
      </c>
      <c r="BL390" t="e">
        <f>AND(#REF!,"AAAAAH+1Uz8=")</f>
        <v>#REF!</v>
      </c>
      <c r="BM390" t="e">
        <f>AND(#REF!,"AAAAAH+1U0A=")</f>
        <v>#REF!</v>
      </c>
      <c r="BN390" t="e">
        <f>AND(#REF!,"AAAAAH+1U0E=")</f>
        <v>#REF!</v>
      </c>
      <c r="BO390" t="e">
        <f>AND(#REF!,"AAAAAH+1U0I=")</f>
        <v>#REF!</v>
      </c>
      <c r="BP390" t="e">
        <f>AND(#REF!,"AAAAAH+1U0M=")</f>
        <v>#REF!</v>
      </c>
      <c r="BQ390" t="e">
        <f>AND(#REF!,"AAAAAH+1U0Q=")</f>
        <v>#REF!</v>
      </c>
      <c r="BR390" t="e">
        <f>AND(#REF!,"AAAAAH+1U0U=")</f>
        <v>#REF!</v>
      </c>
      <c r="BS390" t="e">
        <f>AND(#REF!,"AAAAAH+1U0Y=")</f>
        <v>#REF!</v>
      </c>
      <c r="BT390" t="e">
        <f>AND(#REF!,"AAAAAH+1U0c=")</f>
        <v>#REF!</v>
      </c>
      <c r="BU390" t="e">
        <f>AND(#REF!,"AAAAAH+1U0g=")</f>
        <v>#REF!</v>
      </c>
      <c r="BV390" t="e">
        <f>AND(#REF!,"AAAAAH+1U0k=")</f>
        <v>#REF!</v>
      </c>
      <c r="BW390" t="e">
        <f>AND(#REF!,"AAAAAH+1U0o=")</f>
        <v>#REF!</v>
      </c>
      <c r="BX390" t="e">
        <f>AND(#REF!,"AAAAAH+1U0s=")</f>
        <v>#REF!</v>
      </c>
      <c r="BY390" t="e">
        <f>IF(#REF!,"AAAAAH+1U0w=",0)</f>
        <v>#REF!</v>
      </c>
      <c r="BZ390" t="e">
        <f>AND(#REF!,"AAAAAH+1U00=")</f>
        <v>#REF!</v>
      </c>
      <c r="CA390" t="e">
        <f>AND(#REF!,"AAAAAH+1U04=")</f>
        <v>#REF!</v>
      </c>
      <c r="CB390" t="e">
        <f>AND(#REF!,"AAAAAH+1U08=")</f>
        <v>#REF!</v>
      </c>
      <c r="CC390" t="e">
        <f>AND(#REF!,"AAAAAH+1U1A=")</f>
        <v>#REF!</v>
      </c>
      <c r="CD390" t="e">
        <f>AND(#REF!,"AAAAAH+1U1E=")</f>
        <v>#REF!</v>
      </c>
      <c r="CE390" t="e">
        <f>AND(#REF!,"AAAAAH+1U1I=")</f>
        <v>#REF!</v>
      </c>
      <c r="CF390" t="e">
        <f>AND(#REF!,"AAAAAH+1U1M=")</f>
        <v>#REF!</v>
      </c>
      <c r="CG390" t="e">
        <f>AND(#REF!,"AAAAAH+1U1Q=")</f>
        <v>#REF!</v>
      </c>
      <c r="CH390" t="e">
        <f>AND(#REF!,"AAAAAH+1U1U=")</f>
        <v>#REF!</v>
      </c>
      <c r="CI390" t="e">
        <f>AND(#REF!,"AAAAAH+1U1Y=")</f>
        <v>#REF!</v>
      </c>
      <c r="CJ390" t="e">
        <f>AND(#REF!,"AAAAAH+1U1c=")</f>
        <v>#REF!</v>
      </c>
      <c r="CK390" t="e">
        <f>AND(#REF!,"AAAAAH+1U1g=")</f>
        <v>#REF!</v>
      </c>
      <c r="CL390" t="e">
        <f>AND(#REF!,"AAAAAH+1U1k=")</f>
        <v>#REF!</v>
      </c>
      <c r="CM390" t="e">
        <f>AND(#REF!,"AAAAAH+1U1o=")</f>
        <v>#REF!</v>
      </c>
      <c r="CN390" t="e">
        <f>AND(#REF!,"AAAAAH+1U1s=")</f>
        <v>#REF!</v>
      </c>
      <c r="CO390" t="e">
        <f>AND(#REF!,"AAAAAH+1U1w=")</f>
        <v>#REF!</v>
      </c>
      <c r="CP390" t="e">
        <f>AND(#REF!,"AAAAAH+1U10=")</f>
        <v>#REF!</v>
      </c>
      <c r="CQ390" t="e">
        <f>AND(#REF!,"AAAAAH+1U14=")</f>
        <v>#REF!</v>
      </c>
      <c r="CR390" t="e">
        <f>AND(#REF!,"AAAAAH+1U18=")</f>
        <v>#REF!</v>
      </c>
      <c r="CS390" t="e">
        <f>AND(#REF!,"AAAAAH+1U2A=")</f>
        <v>#REF!</v>
      </c>
      <c r="CT390" t="e">
        <f>AND(#REF!,"AAAAAH+1U2E=")</f>
        <v>#REF!</v>
      </c>
      <c r="CU390" t="e">
        <f>AND(#REF!,"AAAAAH+1U2I=")</f>
        <v>#REF!</v>
      </c>
      <c r="CV390" t="e">
        <f>AND(#REF!,"AAAAAH+1U2M=")</f>
        <v>#REF!</v>
      </c>
      <c r="CW390" t="e">
        <f>AND(#REF!,"AAAAAH+1U2Q=")</f>
        <v>#REF!</v>
      </c>
      <c r="CX390" t="e">
        <f>IF(#REF!,"AAAAAH+1U2U=",0)</f>
        <v>#REF!</v>
      </c>
      <c r="CY390" t="e">
        <f>AND(#REF!,"AAAAAH+1U2Y=")</f>
        <v>#REF!</v>
      </c>
      <c r="CZ390" t="e">
        <f>AND(#REF!,"AAAAAH+1U2c=")</f>
        <v>#REF!</v>
      </c>
      <c r="DA390" t="e">
        <f>AND(#REF!,"AAAAAH+1U2g=")</f>
        <v>#REF!</v>
      </c>
      <c r="DB390" t="e">
        <f>AND(#REF!,"AAAAAH+1U2k=")</f>
        <v>#REF!</v>
      </c>
      <c r="DC390" t="e">
        <f>AND(#REF!,"AAAAAH+1U2o=")</f>
        <v>#REF!</v>
      </c>
      <c r="DD390" t="e">
        <f>AND(#REF!,"AAAAAH+1U2s=")</f>
        <v>#REF!</v>
      </c>
      <c r="DE390" t="e">
        <f>AND(#REF!,"AAAAAH+1U2w=")</f>
        <v>#REF!</v>
      </c>
      <c r="DF390" t="e">
        <f>AND(#REF!,"AAAAAH+1U20=")</f>
        <v>#REF!</v>
      </c>
      <c r="DG390" t="e">
        <f>AND(#REF!,"AAAAAH+1U24=")</f>
        <v>#REF!</v>
      </c>
      <c r="DH390" t="e">
        <f>AND(#REF!,"AAAAAH+1U28=")</f>
        <v>#REF!</v>
      </c>
      <c r="DI390" t="e">
        <f>AND(#REF!,"AAAAAH+1U3A=")</f>
        <v>#REF!</v>
      </c>
      <c r="DJ390" t="e">
        <f>AND(#REF!,"AAAAAH+1U3E=")</f>
        <v>#REF!</v>
      </c>
      <c r="DK390" t="e">
        <f>AND(#REF!,"AAAAAH+1U3I=")</f>
        <v>#REF!</v>
      </c>
      <c r="DL390" t="e">
        <f>AND(#REF!,"AAAAAH+1U3M=")</f>
        <v>#REF!</v>
      </c>
      <c r="DM390" t="e">
        <f>AND(#REF!,"AAAAAH+1U3Q=")</f>
        <v>#REF!</v>
      </c>
      <c r="DN390" t="e">
        <f>AND(#REF!,"AAAAAH+1U3U=")</f>
        <v>#REF!</v>
      </c>
      <c r="DO390" t="e">
        <f>AND(#REF!,"AAAAAH+1U3Y=")</f>
        <v>#REF!</v>
      </c>
      <c r="DP390" t="e">
        <f>AND(#REF!,"AAAAAH+1U3c=")</f>
        <v>#REF!</v>
      </c>
      <c r="DQ390" t="e">
        <f>AND(#REF!,"AAAAAH+1U3g=")</f>
        <v>#REF!</v>
      </c>
      <c r="DR390" t="e">
        <f>AND(#REF!,"AAAAAH+1U3k=")</f>
        <v>#REF!</v>
      </c>
      <c r="DS390" t="e">
        <f>AND(#REF!,"AAAAAH+1U3o=")</f>
        <v>#REF!</v>
      </c>
      <c r="DT390" t="e">
        <f>AND(#REF!,"AAAAAH+1U3s=")</f>
        <v>#REF!</v>
      </c>
      <c r="DU390" t="e">
        <f>AND(#REF!,"AAAAAH+1U3w=")</f>
        <v>#REF!</v>
      </c>
      <c r="DV390" t="e">
        <f>AND(#REF!,"AAAAAH+1U30=")</f>
        <v>#REF!</v>
      </c>
      <c r="DW390" t="e">
        <f>IF(#REF!,"AAAAAH+1U34=",0)</f>
        <v>#REF!</v>
      </c>
      <c r="DX390" t="e">
        <f>AND(#REF!,"AAAAAH+1U38=")</f>
        <v>#REF!</v>
      </c>
      <c r="DY390" t="e">
        <f>AND(#REF!,"AAAAAH+1U4A=")</f>
        <v>#REF!</v>
      </c>
      <c r="DZ390" t="e">
        <f>AND(#REF!,"AAAAAH+1U4E=")</f>
        <v>#REF!</v>
      </c>
      <c r="EA390" t="e">
        <f>AND(#REF!,"AAAAAH+1U4I=")</f>
        <v>#REF!</v>
      </c>
      <c r="EB390" t="e">
        <f>AND(#REF!,"AAAAAH+1U4M=")</f>
        <v>#REF!</v>
      </c>
      <c r="EC390" t="e">
        <f>AND(#REF!,"AAAAAH+1U4Q=")</f>
        <v>#REF!</v>
      </c>
      <c r="ED390" t="e">
        <f>AND(#REF!,"AAAAAH+1U4U=")</f>
        <v>#REF!</v>
      </c>
      <c r="EE390" t="e">
        <f>AND(#REF!,"AAAAAH+1U4Y=")</f>
        <v>#REF!</v>
      </c>
      <c r="EF390" t="e">
        <f>AND(#REF!,"AAAAAH+1U4c=")</f>
        <v>#REF!</v>
      </c>
      <c r="EG390" t="e">
        <f>AND(#REF!,"AAAAAH+1U4g=")</f>
        <v>#REF!</v>
      </c>
      <c r="EH390" t="e">
        <f>AND(#REF!,"AAAAAH+1U4k=")</f>
        <v>#REF!</v>
      </c>
      <c r="EI390" t="e">
        <f>AND(#REF!,"AAAAAH+1U4o=")</f>
        <v>#REF!</v>
      </c>
      <c r="EJ390" t="e">
        <f>AND(#REF!,"AAAAAH+1U4s=")</f>
        <v>#REF!</v>
      </c>
      <c r="EK390" t="e">
        <f>AND(#REF!,"AAAAAH+1U4w=")</f>
        <v>#REF!</v>
      </c>
      <c r="EL390" t="e">
        <f>AND(#REF!,"AAAAAH+1U40=")</f>
        <v>#REF!</v>
      </c>
      <c r="EM390" t="e">
        <f>AND(#REF!,"AAAAAH+1U44=")</f>
        <v>#REF!</v>
      </c>
      <c r="EN390" t="e">
        <f>AND(#REF!,"AAAAAH+1U48=")</f>
        <v>#REF!</v>
      </c>
      <c r="EO390" t="e">
        <f>AND(#REF!,"AAAAAH+1U5A=")</f>
        <v>#REF!</v>
      </c>
      <c r="EP390" t="e">
        <f>AND(#REF!,"AAAAAH+1U5E=")</f>
        <v>#REF!</v>
      </c>
      <c r="EQ390" t="e">
        <f>AND(#REF!,"AAAAAH+1U5I=")</f>
        <v>#REF!</v>
      </c>
      <c r="ER390" t="e">
        <f>AND(#REF!,"AAAAAH+1U5M=")</f>
        <v>#REF!</v>
      </c>
      <c r="ES390" t="e">
        <f>AND(#REF!,"AAAAAH+1U5Q=")</f>
        <v>#REF!</v>
      </c>
      <c r="ET390" t="e">
        <f>AND(#REF!,"AAAAAH+1U5U=")</f>
        <v>#REF!</v>
      </c>
      <c r="EU390" t="e">
        <f>AND(#REF!,"AAAAAH+1U5Y=")</f>
        <v>#REF!</v>
      </c>
      <c r="EV390" t="e">
        <f>IF(#REF!,"AAAAAH+1U5c=",0)</f>
        <v>#REF!</v>
      </c>
      <c r="EW390" t="e">
        <f>AND(#REF!,"AAAAAH+1U5g=")</f>
        <v>#REF!</v>
      </c>
      <c r="EX390" t="e">
        <f>AND(#REF!,"AAAAAH+1U5k=")</f>
        <v>#REF!</v>
      </c>
      <c r="EY390" t="e">
        <f>AND(#REF!,"AAAAAH+1U5o=")</f>
        <v>#REF!</v>
      </c>
      <c r="EZ390" t="e">
        <f>AND(#REF!,"AAAAAH+1U5s=")</f>
        <v>#REF!</v>
      </c>
      <c r="FA390" t="e">
        <f>AND(#REF!,"AAAAAH+1U5w=")</f>
        <v>#REF!</v>
      </c>
      <c r="FB390" t="e">
        <f>AND(#REF!,"AAAAAH+1U50=")</f>
        <v>#REF!</v>
      </c>
      <c r="FC390" t="e">
        <f>AND(#REF!,"AAAAAH+1U54=")</f>
        <v>#REF!</v>
      </c>
      <c r="FD390" t="e">
        <f>AND(#REF!,"AAAAAH+1U58=")</f>
        <v>#REF!</v>
      </c>
      <c r="FE390" t="e">
        <f>AND(#REF!,"AAAAAH+1U6A=")</f>
        <v>#REF!</v>
      </c>
      <c r="FF390" t="e">
        <f>AND(#REF!,"AAAAAH+1U6E=")</f>
        <v>#REF!</v>
      </c>
      <c r="FG390" t="e">
        <f>AND(#REF!,"AAAAAH+1U6I=")</f>
        <v>#REF!</v>
      </c>
      <c r="FH390" t="e">
        <f>AND(#REF!,"AAAAAH+1U6M=")</f>
        <v>#REF!</v>
      </c>
      <c r="FI390" t="e">
        <f>AND(#REF!,"AAAAAH+1U6Q=")</f>
        <v>#REF!</v>
      </c>
      <c r="FJ390" t="e">
        <f>AND(#REF!,"AAAAAH+1U6U=")</f>
        <v>#REF!</v>
      </c>
      <c r="FK390" t="e">
        <f>AND(#REF!,"AAAAAH+1U6Y=")</f>
        <v>#REF!</v>
      </c>
      <c r="FL390" t="e">
        <f>AND(#REF!,"AAAAAH+1U6c=")</f>
        <v>#REF!</v>
      </c>
      <c r="FM390" t="e">
        <f>AND(#REF!,"AAAAAH+1U6g=")</f>
        <v>#REF!</v>
      </c>
      <c r="FN390" t="e">
        <f>AND(#REF!,"AAAAAH+1U6k=")</f>
        <v>#REF!</v>
      </c>
      <c r="FO390" t="e">
        <f>AND(#REF!,"AAAAAH+1U6o=")</f>
        <v>#REF!</v>
      </c>
      <c r="FP390" t="e">
        <f>AND(#REF!,"AAAAAH+1U6s=")</f>
        <v>#REF!</v>
      </c>
      <c r="FQ390" t="e">
        <f>AND(#REF!,"AAAAAH+1U6w=")</f>
        <v>#REF!</v>
      </c>
      <c r="FR390" t="e">
        <f>AND(#REF!,"AAAAAH+1U60=")</f>
        <v>#REF!</v>
      </c>
      <c r="FS390" t="e">
        <f>AND(#REF!,"AAAAAH+1U64=")</f>
        <v>#REF!</v>
      </c>
      <c r="FT390" t="e">
        <f>AND(#REF!,"AAAAAH+1U68=")</f>
        <v>#REF!</v>
      </c>
      <c r="FU390" t="e">
        <f>IF(#REF!,"AAAAAH+1U7A=",0)</f>
        <v>#REF!</v>
      </c>
      <c r="FV390" t="e">
        <f>AND(#REF!,"AAAAAH+1U7E=")</f>
        <v>#REF!</v>
      </c>
      <c r="FW390" t="e">
        <f>AND(#REF!,"AAAAAH+1U7I=")</f>
        <v>#REF!</v>
      </c>
      <c r="FX390" t="e">
        <f>AND(#REF!,"AAAAAH+1U7M=")</f>
        <v>#REF!</v>
      </c>
      <c r="FY390" t="e">
        <f>AND(#REF!,"AAAAAH+1U7Q=")</f>
        <v>#REF!</v>
      </c>
      <c r="FZ390" t="e">
        <f>AND(#REF!,"AAAAAH+1U7U=")</f>
        <v>#REF!</v>
      </c>
      <c r="GA390" t="e">
        <f>AND(#REF!,"AAAAAH+1U7Y=")</f>
        <v>#REF!</v>
      </c>
      <c r="GB390" t="e">
        <f>AND(#REF!,"AAAAAH+1U7c=")</f>
        <v>#REF!</v>
      </c>
      <c r="GC390" t="e">
        <f>AND(#REF!,"AAAAAH+1U7g=")</f>
        <v>#REF!</v>
      </c>
      <c r="GD390" t="e">
        <f>AND(#REF!,"AAAAAH+1U7k=")</f>
        <v>#REF!</v>
      </c>
      <c r="GE390" t="e">
        <f>AND(#REF!,"AAAAAH+1U7o=")</f>
        <v>#REF!</v>
      </c>
      <c r="GF390" t="e">
        <f>AND(#REF!,"AAAAAH+1U7s=")</f>
        <v>#REF!</v>
      </c>
      <c r="GG390" t="e">
        <f>AND(#REF!,"AAAAAH+1U7w=")</f>
        <v>#REF!</v>
      </c>
      <c r="GH390" t="e">
        <f>AND(#REF!,"AAAAAH+1U70=")</f>
        <v>#REF!</v>
      </c>
      <c r="GI390" t="e">
        <f>AND(#REF!,"AAAAAH+1U74=")</f>
        <v>#REF!</v>
      </c>
      <c r="GJ390" t="e">
        <f>AND(#REF!,"AAAAAH+1U78=")</f>
        <v>#REF!</v>
      </c>
      <c r="GK390" t="e">
        <f>AND(#REF!,"AAAAAH+1U8A=")</f>
        <v>#REF!</v>
      </c>
      <c r="GL390" t="e">
        <f>AND(#REF!,"AAAAAH+1U8E=")</f>
        <v>#REF!</v>
      </c>
      <c r="GM390" t="e">
        <f>AND(#REF!,"AAAAAH+1U8I=")</f>
        <v>#REF!</v>
      </c>
      <c r="GN390" t="e">
        <f>AND(#REF!,"AAAAAH+1U8M=")</f>
        <v>#REF!</v>
      </c>
      <c r="GO390" t="e">
        <f>AND(#REF!,"AAAAAH+1U8Q=")</f>
        <v>#REF!</v>
      </c>
      <c r="GP390" t="e">
        <f>AND(#REF!,"AAAAAH+1U8U=")</f>
        <v>#REF!</v>
      </c>
      <c r="GQ390" t="e">
        <f>AND(#REF!,"AAAAAH+1U8Y=")</f>
        <v>#REF!</v>
      </c>
      <c r="GR390" t="e">
        <f>AND(#REF!,"AAAAAH+1U8c=")</f>
        <v>#REF!</v>
      </c>
      <c r="GS390" t="e">
        <f>AND(#REF!,"AAAAAH+1U8g=")</f>
        <v>#REF!</v>
      </c>
      <c r="GT390" t="e">
        <f>IF(#REF!,"AAAAAH+1U8k=",0)</f>
        <v>#REF!</v>
      </c>
      <c r="GU390" t="e">
        <f>AND(#REF!,"AAAAAH+1U8o=")</f>
        <v>#REF!</v>
      </c>
      <c r="GV390" t="e">
        <f>AND(#REF!,"AAAAAH+1U8s=")</f>
        <v>#REF!</v>
      </c>
      <c r="GW390" t="e">
        <f>AND(#REF!,"AAAAAH+1U8w=")</f>
        <v>#REF!</v>
      </c>
      <c r="GX390" t="e">
        <f>AND(#REF!,"AAAAAH+1U80=")</f>
        <v>#REF!</v>
      </c>
      <c r="GY390" t="e">
        <f>AND(#REF!,"AAAAAH+1U84=")</f>
        <v>#REF!</v>
      </c>
      <c r="GZ390" t="e">
        <f>AND(#REF!,"AAAAAH+1U88=")</f>
        <v>#REF!</v>
      </c>
      <c r="HA390" t="e">
        <f>AND(#REF!,"AAAAAH+1U9A=")</f>
        <v>#REF!</v>
      </c>
      <c r="HB390" t="e">
        <f>AND(#REF!,"AAAAAH+1U9E=")</f>
        <v>#REF!</v>
      </c>
      <c r="HC390" t="e">
        <f>AND(#REF!,"AAAAAH+1U9I=")</f>
        <v>#REF!</v>
      </c>
      <c r="HD390" t="e">
        <f>AND(#REF!,"AAAAAH+1U9M=")</f>
        <v>#REF!</v>
      </c>
      <c r="HE390" t="e">
        <f>AND(#REF!,"AAAAAH+1U9Q=")</f>
        <v>#REF!</v>
      </c>
      <c r="HF390" t="e">
        <f>AND(#REF!,"AAAAAH+1U9U=")</f>
        <v>#REF!</v>
      </c>
      <c r="HG390" t="e">
        <f>AND(#REF!,"AAAAAH+1U9Y=")</f>
        <v>#REF!</v>
      </c>
      <c r="HH390" t="e">
        <f>AND(#REF!,"AAAAAH+1U9c=")</f>
        <v>#REF!</v>
      </c>
      <c r="HI390" t="e">
        <f>AND(#REF!,"AAAAAH+1U9g=")</f>
        <v>#REF!</v>
      </c>
      <c r="HJ390" t="e">
        <f>AND(#REF!,"AAAAAH+1U9k=")</f>
        <v>#REF!</v>
      </c>
      <c r="HK390" t="e">
        <f>AND(#REF!,"AAAAAH+1U9o=")</f>
        <v>#REF!</v>
      </c>
      <c r="HL390" t="e">
        <f>AND(#REF!,"AAAAAH+1U9s=")</f>
        <v>#REF!</v>
      </c>
      <c r="HM390" t="e">
        <f>AND(#REF!,"AAAAAH+1U9w=")</f>
        <v>#REF!</v>
      </c>
      <c r="HN390" t="e">
        <f>AND(#REF!,"AAAAAH+1U90=")</f>
        <v>#REF!</v>
      </c>
      <c r="HO390" t="e">
        <f>AND(#REF!,"AAAAAH+1U94=")</f>
        <v>#REF!</v>
      </c>
      <c r="HP390" t="e">
        <f>AND(#REF!,"AAAAAH+1U98=")</f>
        <v>#REF!</v>
      </c>
      <c r="HQ390" t="e">
        <f>AND(#REF!,"AAAAAH+1U+A=")</f>
        <v>#REF!</v>
      </c>
      <c r="HR390" t="e">
        <f>AND(#REF!,"AAAAAH+1U+E=")</f>
        <v>#REF!</v>
      </c>
      <c r="HS390" t="e">
        <f>IF(#REF!,"AAAAAH+1U+I=",0)</f>
        <v>#REF!</v>
      </c>
      <c r="HT390" t="e">
        <f>AND(#REF!,"AAAAAH+1U+M=")</f>
        <v>#REF!</v>
      </c>
      <c r="HU390" t="e">
        <f>AND(#REF!,"AAAAAH+1U+Q=")</f>
        <v>#REF!</v>
      </c>
      <c r="HV390" t="e">
        <f>AND(#REF!,"AAAAAH+1U+U=")</f>
        <v>#REF!</v>
      </c>
      <c r="HW390" t="e">
        <f>AND(#REF!,"AAAAAH+1U+Y=")</f>
        <v>#REF!</v>
      </c>
      <c r="HX390" t="e">
        <f>AND(#REF!,"AAAAAH+1U+c=")</f>
        <v>#REF!</v>
      </c>
      <c r="HY390" t="e">
        <f>AND(#REF!,"AAAAAH+1U+g=")</f>
        <v>#REF!</v>
      </c>
      <c r="HZ390" t="e">
        <f>AND(#REF!,"AAAAAH+1U+k=")</f>
        <v>#REF!</v>
      </c>
      <c r="IA390" t="e">
        <f>AND(#REF!,"AAAAAH+1U+o=")</f>
        <v>#REF!</v>
      </c>
      <c r="IB390" t="e">
        <f>AND(#REF!,"AAAAAH+1U+s=")</f>
        <v>#REF!</v>
      </c>
      <c r="IC390" t="e">
        <f>AND(#REF!,"AAAAAH+1U+w=")</f>
        <v>#REF!</v>
      </c>
      <c r="ID390" t="e">
        <f>AND(#REF!,"AAAAAH+1U+0=")</f>
        <v>#REF!</v>
      </c>
      <c r="IE390" t="e">
        <f>AND(#REF!,"AAAAAH+1U+4=")</f>
        <v>#REF!</v>
      </c>
      <c r="IF390" t="e">
        <f>AND(#REF!,"AAAAAH+1U+8=")</f>
        <v>#REF!</v>
      </c>
      <c r="IG390" t="e">
        <f>AND(#REF!,"AAAAAH+1U/A=")</f>
        <v>#REF!</v>
      </c>
      <c r="IH390" t="e">
        <f>AND(#REF!,"AAAAAH+1U/E=")</f>
        <v>#REF!</v>
      </c>
      <c r="II390" t="e">
        <f>AND(#REF!,"AAAAAH+1U/I=")</f>
        <v>#REF!</v>
      </c>
      <c r="IJ390" t="e">
        <f>AND(#REF!,"AAAAAH+1U/M=")</f>
        <v>#REF!</v>
      </c>
      <c r="IK390" t="e">
        <f>AND(#REF!,"AAAAAH+1U/Q=")</f>
        <v>#REF!</v>
      </c>
      <c r="IL390" t="e">
        <f>AND(#REF!,"AAAAAH+1U/U=")</f>
        <v>#REF!</v>
      </c>
      <c r="IM390" t="e">
        <f>AND(#REF!,"AAAAAH+1U/Y=")</f>
        <v>#REF!</v>
      </c>
      <c r="IN390" t="e">
        <f>AND(#REF!,"AAAAAH+1U/c=")</f>
        <v>#REF!</v>
      </c>
      <c r="IO390" t="e">
        <f>AND(#REF!,"AAAAAH+1U/g=")</f>
        <v>#REF!</v>
      </c>
      <c r="IP390" t="e">
        <f>AND(#REF!,"AAAAAH+1U/k=")</f>
        <v>#REF!</v>
      </c>
      <c r="IQ390" t="e">
        <f>AND(#REF!,"AAAAAH+1U/o=")</f>
        <v>#REF!</v>
      </c>
      <c r="IR390" t="e">
        <f>IF(#REF!,"AAAAAH+1U/s=",0)</f>
        <v>#REF!</v>
      </c>
      <c r="IS390" t="e">
        <f>AND(#REF!,"AAAAAH+1U/w=")</f>
        <v>#REF!</v>
      </c>
      <c r="IT390" t="e">
        <f>AND(#REF!,"AAAAAH+1U/0=")</f>
        <v>#REF!</v>
      </c>
      <c r="IU390" t="e">
        <f>AND(#REF!,"AAAAAH+1U/4=")</f>
        <v>#REF!</v>
      </c>
      <c r="IV390" t="e">
        <f>AND(#REF!,"AAAAAH+1U/8=")</f>
        <v>#REF!</v>
      </c>
    </row>
    <row r="391" spans="1:256">
      <c r="A391" t="e">
        <f>AND(#REF!,"AAAAAHee2wA=")</f>
        <v>#REF!</v>
      </c>
      <c r="B391" t="e">
        <f>AND(#REF!,"AAAAAHee2wE=")</f>
        <v>#REF!</v>
      </c>
      <c r="C391" t="e">
        <f>AND(#REF!,"AAAAAHee2wI=")</f>
        <v>#REF!</v>
      </c>
      <c r="D391" t="e">
        <f>AND(#REF!,"AAAAAHee2wM=")</f>
        <v>#REF!</v>
      </c>
      <c r="E391" t="e">
        <f>AND(#REF!,"AAAAAHee2wQ=")</f>
        <v>#REF!</v>
      </c>
      <c r="F391" t="e">
        <f>AND(#REF!,"AAAAAHee2wU=")</f>
        <v>#REF!</v>
      </c>
      <c r="G391" t="e">
        <f>AND(#REF!,"AAAAAHee2wY=")</f>
        <v>#REF!</v>
      </c>
      <c r="H391" t="e">
        <f>AND(#REF!,"AAAAAHee2wc=")</f>
        <v>#REF!</v>
      </c>
      <c r="I391" t="e">
        <f>AND(#REF!,"AAAAAHee2wg=")</f>
        <v>#REF!</v>
      </c>
      <c r="J391" t="e">
        <f>AND(#REF!,"AAAAAHee2wk=")</f>
        <v>#REF!</v>
      </c>
      <c r="K391" t="e">
        <f>AND(#REF!,"AAAAAHee2wo=")</f>
        <v>#REF!</v>
      </c>
      <c r="L391" t="e">
        <f>AND(#REF!,"AAAAAHee2ws=")</f>
        <v>#REF!</v>
      </c>
      <c r="M391" t="e">
        <f>AND(#REF!,"AAAAAHee2ww=")</f>
        <v>#REF!</v>
      </c>
      <c r="N391" t="e">
        <f>AND(#REF!,"AAAAAHee2w0=")</f>
        <v>#REF!</v>
      </c>
      <c r="O391" t="e">
        <f>AND(#REF!,"AAAAAHee2w4=")</f>
        <v>#REF!</v>
      </c>
      <c r="P391" t="e">
        <f>AND(#REF!,"AAAAAHee2w8=")</f>
        <v>#REF!</v>
      </c>
      <c r="Q391" t="e">
        <f>AND(#REF!,"AAAAAHee2xA=")</f>
        <v>#REF!</v>
      </c>
      <c r="R391" t="e">
        <f>AND(#REF!,"AAAAAHee2xE=")</f>
        <v>#REF!</v>
      </c>
      <c r="S391" t="e">
        <f>AND(#REF!,"AAAAAHee2xI=")</f>
        <v>#REF!</v>
      </c>
      <c r="T391" t="e">
        <f>AND(#REF!,"AAAAAHee2xM=")</f>
        <v>#REF!</v>
      </c>
      <c r="U391" t="e">
        <f>IF(#REF!,"AAAAAHee2xQ=",0)</f>
        <v>#REF!</v>
      </c>
      <c r="V391" t="e">
        <f>AND(#REF!,"AAAAAHee2xU=")</f>
        <v>#REF!</v>
      </c>
      <c r="W391" t="e">
        <f>AND(#REF!,"AAAAAHee2xY=")</f>
        <v>#REF!</v>
      </c>
      <c r="X391" t="e">
        <f>AND(#REF!,"AAAAAHee2xc=")</f>
        <v>#REF!</v>
      </c>
      <c r="Y391" t="e">
        <f>AND(#REF!,"AAAAAHee2xg=")</f>
        <v>#REF!</v>
      </c>
      <c r="Z391" t="e">
        <f>AND(#REF!,"AAAAAHee2xk=")</f>
        <v>#REF!</v>
      </c>
      <c r="AA391" t="e">
        <f>AND(#REF!,"AAAAAHee2xo=")</f>
        <v>#REF!</v>
      </c>
      <c r="AB391" t="e">
        <f>AND(#REF!,"AAAAAHee2xs=")</f>
        <v>#REF!</v>
      </c>
      <c r="AC391" t="e">
        <f>AND(#REF!,"AAAAAHee2xw=")</f>
        <v>#REF!</v>
      </c>
      <c r="AD391" t="e">
        <f>AND(#REF!,"AAAAAHee2x0=")</f>
        <v>#REF!</v>
      </c>
      <c r="AE391" t="e">
        <f>AND(#REF!,"AAAAAHee2x4=")</f>
        <v>#REF!</v>
      </c>
      <c r="AF391" t="e">
        <f>AND(#REF!,"AAAAAHee2x8=")</f>
        <v>#REF!</v>
      </c>
      <c r="AG391" t="e">
        <f>AND(#REF!,"AAAAAHee2yA=")</f>
        <v>#REF!</v>
      </c>
      <c r="AH391" t="e">
        <f>AND(#REF!,"AAAAAHee2yE=")</f>
        <v>#REF!</v>
      </c>
      <c r="AI391" t="e">
        <f>AND(#REF!,"AAAAAHee2yI=")</f>
        <v>#REF!</v>
      </c>
      <c r="AJ391" t="e">
        <f>AND(#REF!,"AAAAAHee2yM=")</f>
        <v>#REF!</v>
      </c>
      <c r="AK391" t="e">
        <f>AND(#REF!,"AAAAAHee2yQ=")</f>
        <v>#REF!</v>
      </c>
      <c r="AL391" t="e">
        <f>AND(#REF!,"AAAAAHee2yU=")</f>
        <v>#REF!</v>
      </c>
      <c r="AM391" t="e">
        <f>AND(#REF!,"AAAAAHee2yY=")</f>
        <v>#REF!</v>
      </c>
      <c r="AN391" t="e">
        <f>AND(#REF!,"AAAAAHee2yc=")</f>
        <v>#REF!</v>
      </c>
      <c r="AO391" t="e">
        <f>AND(#REF!,"AAAAAHee2yg=")</f>
        <v>#REF!</v>
      </c>
      <c r="AP391" t="e">
        <f>AND(#REF!,"AAAAAHee2yk=")</f>
        <v>#REF!</v>
      </c>
      <c r="AQ391" t="e">
        <f>AND(#REF!,"AAAAAHee2yo=")</f>
        <v>#REF!</v>
      </c>
      <c r="AR391" t="e">
        <f>AND(#REF!,"AAAAAHee2ys=")</f>
        <v>#REF!</v>
      </c>
      <c r="AS391" t="e">
        <f>AND(#REF!,"AAAAAHee2yw=")</f>
        <v>#REF!</v>
      </c>
      <c r="AT391" t="e">
        <f>IF(#REF!,"AAAAAHee2y0=",0)</f>
        <v>#REF!</v>
      </c>
      <c r="AU391" t="e">
        <f>AND(#REF!,"AAAAAHee2y4=")</f>
        <v>#REF!</v>
      </c>
      <c r="AV391" t="e">
        <f>AND(#REF!,"AAAAAHee2y8=")</f>
        <v>#REF!</v>
      </c>
      <c r="AW391" t="e">
        <f>AND(#REF!,"AAAAAHee2zA=")</f>
        <v>#REF!</v>
      </c>
      <c r="AX391" t="e">
        <f>AND(#REF!,"AAAAAHee2zE=")</f>
        <v>#REF!</v>
      </c>
      <c r="AY391" t="e">
        <f>AND(#REF!,"AAAAAHee2zI=")</f>
        <v>#REF!</v>
      </c>
      <c r="AZ391" t="e">
        <f>AND(#REF!,"AAAAAHee2zM=")</f>
        <v>#REF!</v>
      </c>
      <c r="BA391" t="e">
        <f>AND(#REF!,"AAAAAHee2zQ=")</f>
        <v>#REF!</v>
      </c>
      <c r="BB391" t="e">
        <f>AND(#REF!,"AAAAAHee2zU=")</f>
        <v>#REF!</v>
      </c>
      <c r="BC391" t="e">
        <f>AND(#REF!,"AAAAAHee2zY=")</f>
        <v>#REF!</v>
      </c>
      <c r="BD391" t="e">
        <f>AND(#REF!,"AAAAAHee2zc=")</f>
        <v>#REF!</v>
      </c>
      <c r="BE391" t="e">
        <f>AND(#REF!,"AAAAAHee2zg=")</f>
        <v>#REF!</v>
      </c>
      <c r="BF391" t="e">
        <f>AND(#REF!,"AAAAAHee2zk=")</f>
        <v>#REF!</v>
      </c>
      <c r="BG391" t="e">
        <f>AND(#REF!,"AAAAAHee2zo=")</f>
        <v>#REF!</v>
      </c>
      <c r="BH391" t="e">
        <f>AND(#REF!,"AAAAAHee2zs=")</f>
        <v>#REF!</v>
      </c>
      <c r="BI391" t="e">
        <f>AND(#REF!,"AAAAAHee2zw=")</f>
        <v>#REF!</v>
      </c>
      <c r="BJ391" t="e">
        <f>AND(#REF!,"AAAAAHee2z0=")</f>
        <v>#REF!</v>
      </c>
      <c r="BK391" t="e">
        <f>AND(#REF!,"AAAAAHee2z4=")</f>
        <v>#REF!</v>
      </c>
      <c r="BL391" t="e">
        <f>AND(#REF!,"AAAAAHee2z8=")</f>
        <v>#REF!</v>
      </c>
      <c r="BM391" t="e">
        <f>AND(#REF!,"AAAAAHee20A=")</f>
        <v>#REF!</v>
      </c>
      <c r="BN391" t="e">
        <f>AND(#REF!,"AAAAAHee20E=")</f>
        <v>#REF!</v>
      </c>
      <c r="BO391" t="e">
        <f>AND(#REF!,"AAAAAHee20I=")</f>
        <v>#REF!</v>
      </c>
      <c r="BP391" t="e">
        <f>AND(#REF!,"AAAAAHee20M=")</f>
        <v>#REF!</v>
      </c>
      <c r="BQ391" t="e">
        <f>AND(#REF!,"AAAAAHee20Q=")</f>
        <v>#REF!</v>
      </c>
      <c r="BR391" t="e">
        <f>AND(#REF!,"AAAAAHee20U=")</f>
        <v>#REF!</v>
      </c>
      <c r="BS391" t="e">
        <f>IF(#REF!,"AAAAAHee20Y=",0)</f>
        <v>#REF!</v>
      </c>
      <c r="BT391" t="e">
        <f>AND(#REF!,"AAAAAHee20c=")</f>
        <v>#REF!</v>
      </c>
      <c r="BU391" t="e">
        <f>AND(#REF!,"AAAAAHee20g=")</f>
        <v>#REF!</v>
      </c>
      <c r="BV391" t="e">
        <f>AND(#REF!,"AAAAAHee20k=")</f>
        <v>#REF!</v>
      </c>
      <c r="BW391" t="e">
        <f>AND(#REF!,"AAAAAHee20o=")</f>
        <v>#REF!</v>
      </c>
      <c r="BX391" t="e">
        <f>AND(#REF!,"AAAAAHee20s=")</f>
        <v>#REF!</v>
      </c>
      <c r="BY391" t="e">
        <f>AND(#REF!,"AAAAAHee20w=")</f>
        <v>#REF!</v>
      </c>
      <c r="BZ391" t="e">
        <f>AND(#REF!,"AAAAAHee200=")</f>
        <v>#REF!</v>
      </c>
      <c r="CA391" t="e">
        <f>AND(#REF!,"AAAAAHee204=")</f>
        <v>#REF!</v>
      </c>
      <c r="CB391" t="e">
        <f>AND(#REF!,"AAAAAHee208=")</f>
        <v>#REF!</v>
      </c>
      <c r="CC391" t="e">
        <f>AND(#REF!,"AAAAAHee21A=")</f>
        <v>#REF!</v>
      </c>
      <c r="CD391" t="e">
        <f>AND(#REF!,"AAAAAHee21E=")</f>
        <v>#REF!</v>
      </c>
      <c r="CE391" t="e">
        <f>AND(#REF!,"AAAAAHee21I=")</f>
        <v>#REF!</v>
      </c>
      <c r="CF391" t="e">
        <f>AND(#REF!,"AAAAAHee21M=")</f>
        <v>#REF!</v>
      </c>
      <c r="CG391" t="e">
        <f>AND(#REF!,"AAAAAHee21Q=")</f>
        <v>#REF!</v>
      </c>
      <c r="CH391" t="e">
        <f>AND(#REF!,"AAAAAHee21U=")</f>
        <v>#REF!</v>
      </c>
      <c r="CI391" t="e">
        <f>AND(#REF!,"AAAAAHee21Y=")</f>
        <v>#REF!</v>
      </c>
      <c r="CJ391" t="e">
        <f>AND(#REF!,"AAAAAHee21c=")</f>
        <v>#REF!</v>
      </c>
      <c r="CK391" t="e">
        <f>AND(#REF!,"AAAAAHee21g=")</f>
        <v>#REF!</v>
      </c>
      <c r="CL391" t="e">
        <f>AND(#REF!,"AAAAAHee21k=")</f>
        <v>#REF!</v>
      </c>
      <c r="CM391" t="e">
        <f>AND(#REF!,"AAAAAHee21o=")</f>
        <v>#REF!</v>
      </c>
      <c r="CN391" t="e">
        <f>AND(#REF!,"AAAAAHee21s=")</f>
        <v>#REF!</v>
      </c>
      <c r="CO391" t="e">
        <f>AND(#REF!,"AAAAAHee21w=")</f>
        <v>#REF!</v>
      </c>
      <c r="CP391" t="e">
        <f>AND(#REF!,"AAAAAHee210=")</f>
        <v>#REF!</v>
      </c>
      <c r="CQ391" t="e">
        <f>AND(#REF!,"AAAAAHee214=")</f>
        <v>#REF!</v>
      </c>
      <c r="CR391" t="e">
        <f>IF(#REF!,"AAAAAHee218=",0)</f>
        <v>#REF!</v>
      </c>
      <c r="CS391" t="e">
        <f>AND(#REF!,"AAAAAHee22A=")</f>
        <v>#REF!</v>
      </c>
      <c r="CT391" t="e">
        <f>AND(#REF!,"AAAAAHee22E=")</f>
        <v>#REF!</v>
      </c>
      <c r="CU391" t="e">
        <f>AND(#REF!,"AAAAAHee22I=")</f>
        <v>#REF!</v>
      </c>
      <c r="CV391" t="e">
        <f>AND(#REF!,"AAAAAHee22M=")</f>
        <v>#REF!</v>
      </c>
      <c r="CW391" t="e">
        <f>AND(#REF!,"AAAAAHee22Q=")</f>
        <v>#REF!</v>
      </c>
      <c r="CX391" t="e">
        <f>AND(#REF!,"AAAAAHee22U=")</f>
        <v>#REF!</v>
      </c>
      <c r="CY391" t="e">
        <f>AND(#REF!,"AAAAAHee22Y=")</f>
        <v>#REF!</v>
      </c>
      <c r="CZ391" t="e">
        <f>AND(#REF!,"AAAAAHee22c=")</f>
        <v>#REF!</v>
      </c>
      <c r="DA391" t="e">
        <f>AND(#REF!,"AAAAAHee22g=")</f>
        <v>#REF!</v>
      </c>
      <c r="DB391" t="e">
        <f>AND(#REF!,"AAAAAHee22k=")</f>
        <v>#REF!</v>
      </c>
      <c r="DC391" t="e">
        <f>AND(#REF!,"AAAAAHee22o=")</f>
        <v>#REF!</v>
      </c>
      <c r="DD391" t="e">
        <f>AND(#REF!,"AAAAAHee22s=")</f>
        <v>#REF!</v>
      </c>
      <c r="DE391" t="e">
        <f>AND(#REF!,"AAAAAHee22w=")</f>
        <v>#REF!</v>
      </c>
      <c r="DF391" t="e">
        <f>AND(#REF!,"AAAAAHee220=")</f>
        <v>#REF!</v>
      </c>
      <c r="DG391" t="e">
        <f>AND(#REF!,"AAAAAHee224=")</f>
        <v>#REF!</v>
      </c>
      <c r="DH391" t="e">
        <f>AND(#REF!,"AAAAAHee228=")</f>
        <v>#REF!</v>
      </c>
      <c r="DI391" t="e">
        <f>AND(#REF!,"AAAAAHee23A=")</f>
        <v>#REF!</v>
      </c>
      <c r="DJ391" t="e">
        <f>AND(#REF!,"AAAAAHee23E=")</f>
        <v>#REF!</v>
      </c>
      <c r="DK391" t="e">
        <f>AND(#REF!,"AAAAAHee23I=")</f>
        <v>#REF!</v>
      </c>
      <c r="DL391" t="e">
        <f>AND(#REF!,"AAAAAHee23M=")</f>
        <v>#REF!</v>
      </c>
      <c r="DM391" t="e">
        <f>AND(#REF!,"AAAAAHee23Q=")</f>
        <v>#REF!</v>
      </c>
      <c r="DN391" t="e">
        <f>AND(#REF!,"AAAAAHee23U=")</f>
        <v>#REF!</v>
      </c>
      <c r="DO391" t="e">
        <f>AND(#REF!,"AAAAAHee23Y=")</f>
        <v>#REF!</v>
      </c>
      <c r="DP391" t="e">
        <f>AND(#REF!,"AAAAAHee23c=")</f>
        <v>#REF!</v>
      </c>
      <c r="DQ391" t="e">
        <f>IF(#REF!,"AAAAAHee23g=",0)</f>
        <v>#REF!</v>
      </c>
      <c r="DR391" t="e">
        <f>AND(#REF!,"AAAAAHee23k=")</f>
        <v>#REF!</v>
      </c>
      <c r="DS391" t="e">
        <f>AND(#REF!,"AAAAAHee23o=")</f>
        <v>#REF!</v>
      </c>
      <c r="DT391" t="e">
        <f>AND(#REF!,"AAAAAHee23s=")</f>
        <v>#REF!</v>
      </c>
      <c r="DU391" t="e">
        <f>AND(#REF!,"AAAAAHee23w=")</f>
        <v>#REF!</v>
      </c>
      <c r="DV391" t="e">
        <f>AND(#REF!,"AAAAAHee230=")</f>
        <v>#REF!</v>
      </c>
      <c r="DW391" t="e">
        <f>AND(#REF!,"AAAAAHee234=")</f>
        <v>#REF!</v>
      </c>
      <c r="DX391" t="e">
        <f>AND(#REF!,"AAAAAHee238=")</f>
        <v>#REF!</v>
      </c>
      <c r="DY391" t="e">
        <f>AND(#REF!,"AAAAAHee24A=")</f>
        <v>#REF!</v>
      </c>
      <c r="DZ391" t="e">
        <f>AND(#REF!,"AAAAAHee24E=")</f>
        <v>#REF!</v>
      </c>
      <c r="EA391" t="e">
        <f>AND(#REF!,"AAAAAHee24I=")</f>
        <v>#REF!</v>
      </c>
      <c r="EB391" t="e">
        <f>AND(#REF!,"AAAAAHee24M=")</f>
        <v>#REF!</v>
      </c>
      <c r="EC391" t="e">
        <f>AND(#REF!,"AAAAAHee24Q=")</f>
        <v>#REF!</v>
      </c>
      <c r="ED391" t="e">
        <f>AND(#REF!,"AAAAAHee24U=")</f>
        <v>#REF!</v>
      </c>
      <c r="EE391" t="e">
        <f>AND(#REF!,"AAAAAHee24Y=")</f>
        <v>#REF!</v>
      </c>
      <c r="EF391" t="e">
        <f>AND(#REF!,"AAAAAHee24c=")</f>
        <v>#REF!</v>
      </c>
      <c r="EG391" t="e">
        <f>AND(#REF!,"AAAAAHee24g=")</f>
        <v>#REF!</v>
      </c>
      <c r="EH391" t="e">
        <f>AND(#REF!,"AAAAAHee24k=")</f>
        <v>#REF!</v>
      </c>
      <c r="EI391" t="e">
        <f>AND(#REF!,"AAAAAHee24o=")</f>
        <v>#REF!</v>
      </c>
      <c r="EJ391" t="e">
        <f>AND(#REF!,"AAAAAHee24s=")</f>
        <v>#REF!</v>
      </c>
      <c r="EK391" t="e">
        <f>AND(#REF!,"AAAAAHee24w=")</f>
        <v>#REF!</v>
      </c>
      <c r="EL391" t="e">
        <f>AND(#REF!,"AAAAAHee240=")</f>
        <v>#REF!</v>
      </c>
      <c r="EM391" t="e">
        <f>AND(#REF!,"AAAAAHee244=")</f>
        <v>#REF!</v>
      </c>
      <c r="EN391" t="e">
        <f>AND(#REF!,"AAAAAHee248=")</f>
        <v>#REF!</v>
      </c>
      <c r="EO391" t="e">
        <f>AND(#REF!,"AAAAAHee25A=")</f>
        <v>#REF!</v>
      </c>
      <c r="EP391" t="e">
        <f>IF(#REF!,"AAAAAHee25E=",0)</f>
        <v>#REF!</v>
      </c>
      <c r="EQ391" t="e">
        <f>AND(#REF!,"AAAAAHee25I=")</f>
        <v>#REF!</v>
      </c>
      <c r="ER391" t="e">
        <f>AND(#REF!,"AAAAAHee25M=")</f>
        <v>#REF!</v>
      </c>
      <c r="ES391" t="e">
        <f>AND(#REF!,"AAAAAHee25Q=")</f>
        <v>#REF!</v>
      </c>
      <c r="ET391" t="e">
        <f>AND(#REF!,"AAAAAHee25U=")</f>
        <v>#REF!</v>
      </c>
      <c r="EU391" t="e">
        <f>AND(#REF!,"AAAAAHee25Y=")</f>
        <v>#REF!</v>
      </c>
      <c r="EV391" t="e">
        <f>AND(#REF!,"AAAAAHee25c=")</f>
        <v>#REF!</v>
      </c>
      <c r="EW391" t="e">
        <f>AND(#REF!,"AAAAAHee25g=")</f>
        <v>#REF!</v>
      </c>
      <c r="EX391" t="e">
        <f>AND(#REF!,"AAAAAHee25k=")</f>
        <v>#REF!</v>
      </c>
      <c r="EY391" t="e">
        <f>AND(#REF!,"AAAAAHee25o=")</f>
        <v>#REF!</v>
      </c>
      <c r="EZ391" t="e">
        <f>AND(#REF!,"AAAAAHee25s=")</f>
        <v>#REF!</v>
      </c>
      <c r="FA391" t="e">
        <f>AND(#REF!,"AAAAAHee25w=")</f>
        <v>#REF!</v>
      </c>
      <c r="FB391" t="e">
        <f>AND(#REF!,"AAAAAHee250=")</f>
        <v>#REF!</v>
      </c>
      <c r="FC391" t="e">
        <f>AND(#REF!,"AAAAAHee254=")</f>
        <v>#REF!</v>
      </c>
      <c r="FD391" t="e">
        <f>AND(#REF!,"AAAAAHee258=")</f>
        <v>#REF!</v>
      </c>
      <c r="FE391" t="e">
        <f>AND(#REF!,"AAAAAHee26A=")</f>
        <v>#REF!</v>
      </c>
      <c r="FF391" t="e">
        <f>AND(#REF!,"AAAAAHee26E=")</f>
        <v>#REF!</v>
      </c>
      <c r="FG391" t="e">
        <f>AND(#REF!,"AAAAAHee26I=")</f>
        <v>#REF!</v>
      </c>
      <c r="FH391" t="e">
        <f>AND(#REF!,"AAAAAHee26M=")</f>
        <v>#REF!</v>
      </c>
      <c r="FI391" t="e">
        <f>AND(#REF!,"AAAAAHee26Q=")</f>
        <v>#REF!</v>
      </c>
      <c r="FJ391" t="e">
        <f>AND(#REF!,"AAAAAHee26U=")</f>
        <v>#REF!</v>
      </c>
      <c r="FK391" t="e">
        <f>AND(#REF!,"AAAAAHee26Y=")</f>
        <v>#REF!</v>
      </c>
      <c r="FL391" t="e">
        <f>AND(#REF!,"AAAAAHee26c=")</f>
        <v>#REF!</v>
      </c>
      <c r="FM391" t="e">
        <f>AND(#REF!,"AAAAAHee26g=")</f>
        <v>#REF!</v>
      </c>
      <c r="FN391" t="e">
        <f>AND(#REF!,"AAAAAHee26k=")</f>
        <v>#REF!</v>
      </c>
      <c r="FO391" t="e">
        <f>IF(#REF!,"AAAAAHee26o=",0)</f>
        <v>#REF!</v>
      </c>
      <c r="FP391" t="e">
        <f>AND(#REF!,"AAAAAHee26s=")</f>
        <v>#REF!</v>
      </c>
      <c r="FQ391" t="e">
        <f>AND(#REF!,"AAAAAHee26w=")</f>
        <v>#REF!</v>
      </c>
      <c r="FR391" t="e">
        <f>AND(#REF!,"AAAAAHee260=")</f>
        <v>#REF!</v>
      </c>
      <c r="FS391" t="e">
        <f>AND(#REF!,"AAAAAHee264=")</f>
        <v>#REF!</v>
      </c>
      <c r="FT391" t="e">
        <f>AND(#REF!,"AAAAAHee268=")</f>
        <v>#REF!</v>
      </c>
      <c r="FU391" t="e">
        <f>AND(#REF!,"AAAAAHee27A=")</f>
        <v>#REF!</v>
      </c>
      <c r="FV391" t="e">
        <f>AND(#REF!,"AAAAAHee27E=")</f>
        <v>#REF!</v>
      </c>
      <c r="FW391" t="e">
        <f>AND(#REF!,"AAAAAHee27I=")</f>
        <v>#REF!</v>
      </c>
      <c r="FX391" t="e">
        <f>AND(#REF!,"AAAAAHee27M=")</f>
        <v>#REF!</v>
      </c>
      <c r="FY391" t="e">
        <f>AND(#REF!,"AAAAAHee27Q=")</f>
        <v>#REF!</v>
      </c>
      <c r="FZ391" t="e">
        <f>AND(#REF!,"AAAAAHee27U=")</f>
        <v>#REF!</v>
      </c>
      <c r="GA391" t="e">
        <f>AND(#REF!,"AAAAAHee27Y=")</f>
        <v>#REF!</v>
      </c>
      <c r="GB391" t="e">
        <f>AND(#REF!,"AAAAAHee27c=")</f>
        <v>#REF!</v>
      </c>
      <c r="GC391" t="e">
        <f>AND(#REF!,"AAAAAHee27g=")</f>
        <v>#REF!</v>
      </c>
      <c r="GD391" t="e">
        <f>AND(#REF!,"AAAAAHee27k=")</f>
        <v>#REF!</v>
      </c>
      <c r="GE391" t="e">
        <f>AND(#REF!,"AAAAAHee27o=")</f>
        <v>#REF!</v>
      </c>
      <c r="GF391" t="e">
        <f>AND(#REF!,"AAAAAHee27s=")</f>
        <v>#REF!</v>
      </c>
      <c r="GG391" t="e">
        <f>AND(#REF!,"AAAAAHee27w=")</f>
        <v>#REF!</v>
      </c>
      <c r="GH391" t="e">
        <f>AND(#REF!,"AAAAAHee270=")</f>
        <v>#REF!</v>
      </c>
      <c r="GI391" t="e">
        <f>AND(#REF!,"AAAAAHee274=")</f>
        <v>#REF!</v>
      </c>
      <c r="GJ391" t="e">
        <f>AND(#REF!,"AAAAAHee278=")</f>
        <v>#REF!</v>
      </c>
      <c r="GK391" t="e">
        <f>AND(#REF!,"AAAAAHee28A=")</f>
        <v>#REF!</v>
      </c>
      <c r="GL391" t="e">
        <f>AND(#REF!,"AAAAAHee28E=")</f>
        <v>#REF!</v>
      </c>
      <c r="GM391" t="e">
        <f>AND(#REF!,"AAAAAHee28I=")</f>
        <v>#REF!</v>
      </c>
      <c r="GN391" t="e">
        <f>IF(#REF!,"AAAAAHee28M=",0)</f>
        <v>#REF!</v>
      </c>
      <c r="GO391" t="e">
        <f>AND(#REF!,"AAAAAHee28Q=")</f>
        <v>#REF!</v>
      </c>
      <c r="GP391" t="e">
        <f>AND(#REF!,"AAAAAHee28U=")</f>
        <v>#REF!</v>
      </c>
      <c r="GQ391" t="e">
        <f>AND(#REF!,"AAAAAHee28Y=")</f>
        <v>#REF!</v>
      </c>
      <c r="GR391" t="e">
        <f>AND(#REF!,"AAAAAHee28c=")</f>
        <v>#REF!</v>
      </c>
      <c r="GS391" t="e">
        <f>AND(#REF!,"AAAAAHee28g=")</f>
        <v>#REF!</v>
      </c>
      <c r="GT391" t="e">
        <f>AND(#REF!,"AAAAAHee28k=")</f>
        <v>#REF!</v>
      </c>
      <c r="GU391" t="e">
        <f>AND(#REF!,"AAAAAHee28o=")</f>
        <v>#REF!</v>
      </c>
      <c r="GV391" t="e">
        <f>AND(#REF!,"AAAAAHee28s=")</f>
        <v>#REF!</v>
      </c>
      <c r="GW391" t="e">
        <f>AND(#REF!,"AAAAAHee28w=")</f>
        <v>#REF!</v>
      </c>
      <c r="GX391" t="e">
        <f>AND(#REF!,"AAAAAHee280=")</f>
        <v>#REF!</v>
      </c>
      <c r="GY391" t="e">
        <f>AND(#REF!,"AAAAAHee284=")</f>
        <v>#REF!</v>
      </c>
      <c r="GZ391" t="e">
        <f>AND(#REF!,"AAAAAHee288=")</f>
        <v>#REF!</v>
      </c>
      <c r="HA391" t="e">
        <f>AND(#REF!,"AAAAAHee29A=")</f>
        <v>#REF!</v>
      </c>
      <c r="HB391" t="e">
        <f>AND(#REF!,"AAAAAHee29E=")</f>
        <v>#REF!</v>
      </c>
      <c r="HC391" t="e">
        <f>AND(#REF!,"AAAAAHee29I=")</f>
        <v>#REF!</v>
      </c>
      <c r="HD391" t="e">
        <f>AND(#REF!,"AAAAAHee29M=")</f>
        <v>#REF!</v>
      </c>
      <c r="HE391" t="e">
        <f>AND(#REF!,"AAAAAHee29Q=")</f>
        <v>#REF!</v>
      </c>
      <c r="HF391" t="e">
        <f>AND(#REF!,"AAAAAHee29U=")</f>
        <v>#REF!</v>
      </c>
      <c r="HG391" t="e">
        <f>AND(#REF!,"AAAAAHee29Y=")</f>
        <v>#REF!</v>
      </c>
      <c r="HH391" t="e">
        <f>AND(#REF!,"AAAAAHee29c=")</f>
        <v>#REF!</v>
      </c>
      <c r="HI391" t="e">
        <f>AND(#REF!,"AAAAAHee29g=")</f>
        <v>#REF!</v>
      </c>
      <c r="HJ391" t="e">
        <f>AND(#REF!,"AAAAAHee29k=")</f>
        <v>#REF!</v>
      </c>
      <c r="HK391" t="e">
        <f>AND(#REF!,"AAAAAHee29o=")</f>
        <v>#REF!</v>
      </c>
      <c r="HL391" t="e">
        <f>AND(#REF!,"AAAAAHee29s=")</f>
        <v>#REF!</v>
      </c>
      <c r="HM391" t="e">
        <f>IF(#REF!,"AAAAAHee29w=",0)</f>
        <v>#REF!</v>
      </c>
      <c r="HN391" t="e">
        <f>AND(#REF!,"AAAAAHee290=")</f>
        <v>#REF!</v>
      </c>
      <c r="HO391" t="e">
        <f>AND(#REF!,"AAAAAHee294=")</f>
        <v>#REF!</v>
      </c>
      <c r="HP391" t="e">
        <f>AND(#REF!,"AAAAAHee298=")</f>
        <v>#REF!</v>
      </c>
      <c r="HQ391" t="e">
        <f>AND(#REF!,"AAAAAHee2+A=")</f>
        <v>#REF!</v>
      </c>
      <c r="HR391" t="e">
        <f>AND(#REF!,"AAAAAHee2+E=")</f>
        <v>#REF!</v>
      </c>
      <c r="HS391" t="e">
        <f>AND(#REF!,"AAAAAHee2+I=")</f>
        <v>#REF!</v>
      </c>
      <c r="HT391" t="e">
        <f>AND(#REF!,"AAAAAHee2+M=")</f>
        <v>#REF!</v>
      </c>
      <c r="HU391" t="e">
        <f>AND(#REF!,"AAAAAHee2+Q=")</f>
        <v>#REF!</v>
      </c>
      <c r="HV391" t="e">
        <f>AND(#REF!,"AAAAAHee2+U=")</f>
        <v>#REF!</v>
      </c>
      <c r="HW391" t="e">
        <f>AND(#REF!,"AAAAAHee2+Y=")</f>
        <v>#REF!</v>
      </c>
      <c r="HX391" t="e">
        <f>AND(#REF!,"AAAAAHee2+c=")</f>
        <v>#REF!</v>
      </c>
      <c r="HY391" t="e">
        <f>AND(#REF!,"AAAAAHee2+g=")</f>
        <v>#REF!</v>
      </c>
      <c r="HZ391" t="e">
        <f>AND(#REF!,"AAAAAHee2+k=")</f>
        <v>#REF!</v>
      </c>
      <c r="IA391" t="e">
        <f>AND(#REF!,"AAAAAHee2+o=")</f>
        <v>#REF!</v>
      </c>
      <c r="IB391" t="e">
        <f>AND(#REF!,"AAAAAHee2+s=")</f>
        <v>#REF!</v>
      </c>
      <c r="IC391" t="e">
        <f>AND(#REF!,"AAAAAHee2+w=")</f>
        <v>#REF!</v>
      </c>
      <c r="ID391" t="e">
        <f>AND(#REF!,"AAAAAHee2+0=")</f>
        <v>#REF!</v>
      </c>
      <c r="IE391" t="e">
        <f>AND(#REF!,"AAAAAHee2+4=")</f>
        <v>#REF!</v>
      </c>
      <c r="IF391" t="e">
        <f>AND(#REF!,"AAAAAHee2+8=")</f>
        <v>#REF!</v>
      </c>
      <c r="IG391" t="e">
        <f>AND(#REF!,"AAAAAHee2/A=")</f>
        <v>#REF!</v>
      </c>
      <c r="IH391" t="e">
        <f>AND(#REF!,"AAAAAHee2/E=")</f>
        <v>#REF!</v>
      </c>
      <c r="II391" t="e">
        <f>AND(#REF!,"AAAAAHee2/I=")</f>
        <v>#REF!</v>
      </c>
      <c r="IJ391" t="e">
        <f>AND(#REF!,"AAAAAHee2/M=")</f>
        <v>#REF!</v>
      </c>
      <c r="IK391" t="e">
        <f>AND(#REF!,"AAAAAHee2/Q=")</f>
        <v>#REF!</v>
      </c>
      <c r="IL391" t="e">
        <f>IF(#REF!,"AAAAAHee2/U=",0)</f>
        <v>#REF!</v>
      </c>
      <c r="IM391" t="e">
        <f>AND(#REF!,"AAAAAHee2/Y=")</f>
        <v>#REF!</v>
      </c>
      <c r="IN391" t="e">
        <f>AND(#REF!,"AAAAAHee2/c=")</f>
        <v>#REF!</v>
      </c>
      <c r="IO391" t="e">
        <f>AND(#REF!,"AAAAAHee2/g=")</f>
        <v>#REF!</v>
      </c>
      <c r="IP391" t="e">
        <f>AND(#REF!,"AAAAAHee2/k=")</f>
        <v>#REF!</v>
      </c>
      <c r="IQ391" t="e">
        <f>AND(#REF!,"AAAAAHee2/o=")</f>
        <v>#REF!</v>
      </c>
      <c r="IR391" t="e">
        <f>AND(#REF!,"AAAAAHee2/s=")</f>
        <v>#REF!</v>
      </c>
      <c r="IS391" t="e">
        <f>AND(#REF!,"AAAAAHee2/w=")</f>
        <v>#REF!</v>
      </c>
      <c r="IT391" t="e">
        <f>AND(#REF!,"AAAAAHee2/0=")</f>
        <v>#REF!</v>
      </c>
      <c r="IU391" t="e">
        <f>AND(#REF!,"AAAAAHee2/4=")</f>
        <v>#REF!</v>
      </c>
      <c r="IV391" t="e">
        <f>AND(#REF!,"AAAAAHee2/8=")</f>
        <v>#REF!</v>
      </c>
    </row>
    <row r="392" spans="1:256">
      <c r="A392" t="e">
        <f>AND(#REF!,"AAAAAFlv3wA=")</f>
        <v>#REF!</v>
      </c>
      <c r="B392" t="e">
        <f>AND(#REF!,"AAAAAFlv3wE=")</f>
        <v>#REF!</v>
      </c>
      <c r="C392" t="e">
        <f>AND(#REF!,"AAAAAFlv3wI=")</f>
        <v>#REF!</v>
      </c>
      <c r="D392" t="e">
        <f>AND(#REF!,"AAAAAFlv3wM=")</f>
        <v>#REF!</v>
      </c>
      <c r="E392" t="e">
        <f>AND(#REF!,"AAAAAFlv3wQ=")</f>
        <v>#REF!</v>
      </c>
      <c r="F392" t="e">
        <f>AND(#REF!,"AAAAAFlv3wU=")</f>
        <v>#REF!</v>
      </c>
      <c r="G392" t="e">
        <f>AND(#REF!,"AAAAAFlv3wY=")</f>
        <v>#REF!</v>
      </c>
      <c r="H392" t="e">
        <f>AND(#REF!,"AAAAAFlv3wc=")</f>
        <v>#REF!</v>
      </c>
      <c r="I392" t="e">
        <f>AND(#REF!,"AAAAAFlv3wg=")</f>
        <v>#REF!</v>
      </c>
      <c r="J392" t="e">
        <f>AND(#REF!,"AAAAAFlv3wk=")</f>
        <v>#REF!</v>
      </c>
      <c r="K392" t="e">
        <f>AND(#REF!,"AAAAAFlv3wo=")</f>
        <v>#REF!</v>
      </c>
      <c r="L392" t="e">
        <f>AND(#REF!,"AAAAAFlv3ws=")</f>
        <v>#REF!</v>
      </c>
      <c r="M392" t="e">
        <f>AND(#REF!,"AAAAAFlv3ww=")</f>
        <v>#REF!</v>
      </c>
      <c r="N392" t="e">
        <f>AND(#REF!,"AAAAAFlv3w0=")</f>
        <v>#REF!</v>
      </c>
      <c r="O392" t="e">
        <f>IF(#REF!,"AAAAAFlv3w4=",0)</f>
        <v>#REF!</v>
      </c>
      <c r="P392" t="e">
        <f>AND(#REF!,"AAAAAFlv3w8=")</f>
        <v>#REF!</v>
      </c>
      <c r="Q392" t="e">
        <f>AND(#REF!,"AAAAAFlv3xA=")</f>
        <v>#REF!</v>
      </c>
      <c r="R392" t="e">
        <f>AND(#REF!,"AAAAAFlv3xE=")</f>
        <v>#REF!</v>
      </c>
      <c r="S392" t="e">
        <f>AND(#REF!,"AAAAAFlv3xI=")</f>
        <v>#REF!</v>
      </c>
      <c r="T392" t="e">
        <f>AND(#REF!,"AAAAAFlv3xM=")</f>
        <v>#REF!</v>
      </c>
      <c r="U392" t="e">
        <f>AND(#REF!,"AAAAAFlv3xQ=")</f>
        <v>#REF!</v>
      </c>
      <c r="V392" t="e">
        <f>AND(#REF!,"AAAAAFlv3xU=")</f>
        <v>#REF!</v>
      </c>
      <c r="W392" t="e">
        <f>AND(#REF!,"AAAAAFlv3xY=")</f>
        <v>#REF!</v>
      </c>
      <c r="X392" t="e">
        <f>AND(#REF!,"AAAAAFlv3xc=")</f>
        <v>#REF!</v>
      </c>
      <c r="Y392" t="e">
        <f>AND(#REF!,"AAAAAFlv3xg=")</f>
        <v>#REF!</v>
      </c>
      <c r="Z392" t="e">
        <f>AND(#REF!,"AAAAAFlv3xk=")</f>
        <v>#REF!</v>
      </c>
      <c r="AA392" t="e">
        <f>AND(#REF!,"AAAAAFlv3xo=")</f>
        <v>#REF!</v>
      </c>
      <c r="AB392" t="e">
        <f>AND(#REF!,"AAAAAFlv3xs=")</f>
        <v>#REF!</v>
      </c>
      <c r="AC392" t="e">
        <f>AND(#REF!,"AAAAAFlv3xw=")</f>
        <v>#REF!</v>
      </c>
      <c r="AD392" t="e">
        <f>AND(#REF!,"AAAAAFlv3x0=")</f>
        <v>#REF!</v>
      </c>
      <c r="AE392" t="e">
        <f>AND(#REF!,"AAAAAFlv3x4=")</f>
        <v>#REF!</v>
      </c>
      <c r="AF392" t="e">
        <f>AND(#REF!,"AAAAAFlv3x8=")</f>
        <v>#REF!</v>
      </c>
      <c r="AG392" t="e">
        <f>AND(#REF!,"AAAAAFlv3yA=")</f>
        <v>#REF!</v>
      </c>
      <c r="AH392" t="e">
        <f>AND(#REF!,"AAAAAFlv3yE=")</f>
        <v>#REF!</v>
      </c>
      <c r="AI392" t="e">
        <f>AND(#REF!,"AAAAAFlv3yI=")</f>
        <v>#REF!</v>
      </c>
      <c r="AJ392" t="e">
        <f>AND(#REF!,"AAAAAFlv3yM=")</f>
        <v>#REF!</v>
      </c>
      <c r="AK392" t="e">
        <f>AND(#REF!,"AAAAAFlv3yQ=")</f>
        <v>#REF!</v>
      </c>
      <c r="AL392" t="e">
        <f>AND(#REF!,"AAAAAFlv3yU=")</f>
        <v>#REF!</v>
      </c>
      <c r="AM392" t="e">
        <f>AND(#REF!,"AAAAAFlv3yY=")</f>
        <v>#REF!</v>
      </c>
      <c r="AN392" t="e">
        <f>IF(#REF!,"AAAAAFlv3yc=",0)</f>
        <v>#REF!</v>
      </c>
      <c r="AO392" t="e">
        <f>AND(#REF!,"AAAAAFlv3yg=")</f>
        <v>#REF!</v>
      </c>
      <c r="AP392" t="e">
        <f>AND(#REF!,"AAAAAFlv3yk=")</f>
        <v>#REF!</v>
      </c>
      <c r="AQ392" t="e">
        <f>AND(#REF!,"AAAAAFlv3yo=")</f>
        <v>#REF!</v>
      </c>
      <c r="AR392" t="e">
        <f>AND(#REF!,"AAAAAFlv3ys=")</f>
        <v>#REF!</v>
      </c>
      <c r="AS392" t="e">
        <f>AND(#REF!,"AAAAAFlv3yw=")</f>
        <v>#REF!</v>
      </c>
      <c r="AT392" t="e">
        <f>AND(#REF!,"AAAAAFlv3y0=")</f>
        <v>#REF!</v>
      </c>
      <c r="AU392" t="e">
        <f>AND(#REF!,"AAAAAFlv3y4=")</f>
        <v>#REF!</v>
      </c>
      <c r="AV392" t="e">
        <f>AND(#REF!,"AAAAAFlv3y8=")</f>
        <v>#REF!</v>
      </c>
      <c r="AW392" t="e">
        <f>AND(#REF!,"AAAAAFlv3zA=")</f>
        <v>#REF!</v>
      </c>
      <c r="AX392" t="e">
        <f>AND(#REF!,"AAAAAFlv3zE=")</f>
        <v>#REF!</v>
      </c>
      <c r="AY392" t="e">
        <f>AND(#REF!,"AAAAAFlv3zI=")</f>
        <v>#REF!</v>
      </c>
      <c r="AZ392" t="e">
        <f>AND(#REF!,"AAAAAFlv3zM=")</f>
        <v>#REF!</v>
      </c>
      <c r="BA392" t="e">
        <f>AND(#REF!,"AAAAAFlv3zQ=")</f>
        <v>#REF!</v>
      </c>
      <c r="BB392" t="e">
        <f>AND(#REF!,"AAAAAFlv3zU=")</f>
        <v>#REF!</v>
      </c>
      <c r="BC392" t="e">
        <f>AND(#REF!,"AAAAAFlv3zY=")</f>
        <v>#REF!</v>
      </c>
      <c r="BD392" t="e">
        <f>AND(#REF!,"AAAAAFlv3zc=")</f>
        <v>#REF!</v>
      </c>
      <c r="BE392" t="e">
        <f>AND(#REF!,"AAAAAFlv3zg=")</f>
        <v>#REF!</v>
      </c>
      <c r="BF392" t="e">
        <f>AND(#REF!,"AAAAAFlv3zk=")</f>
        <v>#REF!</v>
      </c>
      <c r="BG392" t="e">
        <f>AND(#REF!,"AAAAAFlv3zo=")</f>
        <v>#REF!</v>
      </c>
      <c r="BH392" t="e">
        <f>AND(#REF!,"AAAAAFlv3zs=")</f>
        <v>#REF!</v>
      </c>
      <c r="BI392" t="e">
        <f>AND(#REF!,"AAAAAFlv3zw=")</f>
        <v>#REF!</v>
      </c>
      <c r="BJ392" t="e">
        <f>AND(#REF!,"AAAAAFlv3z0=")</f>
        <v>#REF!</v>
      </c>
      <c r="BK392" t="e">
        <f>AND(#REF!,"AAAAAFlv3z4=")</f>
        <v>#REF!</v>
      </c>
      <c r="BL392" t="e">
        <f>AND(#REF!,"AAAAAFlv3z8=")</f>
        <v>#REF!</v>
      </c>
      <c r="BM392" t="e">
        <f>IF(#REF!,"AAAAAFlv30A=",0)</f>
        <v>#REF!</v>
      </c>
      <c r="BN392" t="e">
        <f>AND(#REF!,"AAAAAFlv30E=")</f>
        <v>#REF!</v>
      </c>
      <c r="BO392" t="e">
        <f>AND(#REF!,"AAAAAFlv30I=")</f>
        <v>#REF!</v>
      </c>
      <c r="BP392" t="e">
        <f>AND(#REF!,"AAAAAFlv30M=")</f>
        <v>#REF!</v>
      </c>
      <c r="BQ392" t="e">
        <f>AND(#REF!,"AAAAAFlv30Q=")</f>
        <v>#REF!</v>
      </c>
      <c r="BR392" t="e">
        <f>AND(#REF!,"AAAAAFlv30U=")</f>
        <v>#REF!</v>
      </c>
      <c r="BS392" t="e">
        <f>AND(#REF!,"AAAAAFlv30Y=")</f>
        <v>#REF!</v>
      </c>
      <c r="BT392" t="e">
        <f>AND(#REF!,"AAAAAFlv30c=")</f>
        <v>#REF!</v>
      </c>
      <c r="BU392" t="e">
        <f>AND(#REF!,"AAAAAFlv30g=")</f>
        <v>#REF!</v>
      </c>
      <c r="BV392" t="e">
        <f>AND(#REF!,"AAAAAFlv30k=")</f>
        <v>#REF!</v>
      </c>
      <c r="BW392" t="e">
        <f>AND(#REF!,"AAAAAFlv30o=")</f>
        <v>#REF!</v>
      </c>
      <c r="BX392" t="e">
        <f>AND(#REF!,"AAAAAFlv30s=")</f>
        <v>#REF!</v>
      </c>
      <c r="BY392" t="e">
        <f>AND(#REF!,"AAAAAFlv30w=")</f>
        <v>#REF!</v>
      </c>
      <c r="BZ392" t="e">
        <f>AND(#REF!,"AAAAAFlv300=")</f>
        <v>#REF!</v>
      </c>
      <c r="CA392" t="e">
        <f>AND(#REF!,"AAAAAFlv304=")</f>
        <v>#REF!</v>
      </c>
      <c r="CB392" t="e">
        <f>AND(#REF!,"AAAAAFlv308=")</f>
        <v>#REF!</v>
      </c>
      <c r="CC392" t="e">
        <f>AND(#REF!,"AAAAAFlv31A=")</f>
        <v>#REF!</v>
      </c>
      <c r="CD392" t="e">
        <f>AND(#REF!,"AAAAAFlv31E=")</f>
        <v>#REF!</v>
      </c>
      <c r="CE392" t="e">
        <f>AND(#REF!,"AAAAAFlv31I=")</f>
        <v>#REF!</v>
      </c>
      <c r="CF392" t="e">
        <f>AND(#REF!,"AAAAAFlv31M=")</f>
        <v>#REF!</v>
      </c>
      <c r="CG392" t="e">
        <f>AND(#REF!,"AAAAAFlv31Q=")</f>
        <v>#REF!</v>
      </c>
      <c r="CH392" t="e">
        <f>AND(#REF!,"AAAAAFlv31U=")</f>
        <v>#REF!</v>
      </c>
      <c r="CI392" t="e">
        <f>AND(#REF!,"AAAAAFlv31Y=")</f>
        <v>#REF!</v>
      </c>
      <c r="CJ392" t="e">
        <f>AND(#REF!,"AAAAAFlv31c=")</f>
        <v>#REF!</v>
      </c>
      <c r="CK392" t="e">
        <f>AND(#REF!,"AAAAAFlv31g=")</f>
        <v>#REF!</v>
      </c>
      <c r="CL392" t="e">
        <f>IF(#REF!,"AAAAAFlv31k=",0)</f>
        <v>#REF!</v>
      </c>
      <c r="CM392" t="e">
        <f>AND(#REF!,"AAAAAFlv31o=")</f>
        <v>#REF!</v>
      </c>
      <c r="CN392" t="e">
        <f>AND(#REF!,"AAAAAFlv31s=")</f>
        <v>#REF!</v>
      </c>
      <c r="CO392" t="e">
        <f>AND(#REF!,"AAAAAFlv31w=")</f>
        <v>#REF!</v>
      </c>
      <c r="CP392" t="e">
        <f>AND(#REF!,"AAAAAFlv310=")</f>
        <v>#REF!</v>
      </c>
      <c r="CQ392" t="e">
        <f>AND(#REF!,"AAAAAFlv314=")</f>
        <v>#REF!</v>
      </c>
      <c r="CR392" t="e">
        <f>AND(#REF!,"AAAAAFlv318=")</f>
        <v>#REF!</v>
      </c>
      <c r="CS392" t="e">
        <f>AND(#REF!,"AAAAAFlv32A=")</f>
        <v>#REF!</v>
      </c>
      <c r="CT392" t="e">
        <f>AND(#REF!,"AAAAAFlv32E=")</f>
        <v>#REF!</v>
      </c>
      <c r="CU392" t="e">
        <f>AND(#REF!,"AAAAAFlv32I=")</f>
        <v>#REF!</v>
      </c>
      <c r="CV392" t="e">
        <f>AND(#REF!,"AAAAAFlv32M=")</f>
        <v>#REF!</v>
      </c>
      <c r="CW392" t="e">
        <f>AND(#REF!,"AAAAAFlv32Q=")</f>
        <v>#REF!</v>
      </c>
      <c r="CX392" t="e">
        <f>AND(#REF!,"AAAAAFlv32U=")</f>
        <v>#REF!</v>
      </c>
      <c r="CY392" t="e">
        <f>AND(#REF!,"AAAAAFlv32Y=")</f>
        <v>#REF!</v>
      </c>
      <c r="CZ392" t="e">
        <f>AND(#REF!,"AAAAAFlv32c=")</f>
        <v>#REF!</v>
      </c>
      <c r="DA392" t="e">
        <f>AND(#REF!,"AAAAAFlv32g=")</f>
        <v>#REF!</v>
      </c>
      <c r="DB392" t="e">
        <f>AND(#REF!,"AAAAAFlv32k=")</f>
        <v>#REF!</v>
      </c>
      <c r="DC392" t="e">
        <f>AND(#REF!,"AAAAAFlv32o=")</f>
        <v>#REF!</v>
      </c>
      <c r="DD392" t="e">
        <f>AND(#REF!,"AAAAAFlv32s=")</f>
        <v>#REF!</v>
      </c>
      <c r="DE392" t="e">
        <f>AND(#REF!,"AAAAAFlv32w=")</f>
        <v>#REF!</v>
      </c>
      <c r="DF392" t="e">
        <f>AND(#REF!,"AAAAAFlv320=")</f>
        <v>#REF!</v>
      </c>
      <c r="DG392" t="e">
        <f>AND(#REF!,"AAAAAFlv324=")</f>
        <v>#REF!</v>
      </c>
      <c r="DH392" t="e">
        <f>AND(#REF!,"AAAAAFlv328=")</f>
        <v>#REF!</v>
      </c>
      <c r="DI392" t="e">
        <f>AND(#REF!,"AAAAAFlv33A=")</f>
        <v>#REF!</v>
      </c>
      <c r="DJ392" t="e">
        <f>AND(#REF!,"AAAAAFlv33E=")</f>
        <v>#REF!</v>
      </c>
      <c r="DK392" t="e">
        <f>IF(#REF!,"AAAAAFlv33I=",0)</f>
        <v>#REF!</v>
      </c>
      <c r="DL392" t="e">
        <f>AND(#REF!,"AAAAAFlv33M=")</f>
        <v>#REF!</v>
      </c>
      <c r="DM392" t="e">
        <f>AND(#REF!,"AAAAAFlv33Q=")</f>
        <v>#REF!</v>
      </c>
      <c r="DN392" t="e">
        <f>AND(#REF!,"AAAAAFlv33U=")</f>
        <v>#REF!</v>
      </c>
      <c r="DO392" t="e">
        <f>AND(#REF!,"AAAAAFlv33Y=")</f>
        <v>#REF!</v>
      </c>
      <c r="DP392" t="e">
        <f>AND(#REF!,"AAAAAFlv33c=")</f>
        <v>#REF!</v>
      </c>
      <c r="DQ392" t="e">
        <f>AND(#REF!,"AAAAAFlv33g=")</f>
        <v>#REF!</v>
      </c>
      <c r="DR392" t="e">
        <f>AND(#REF!,"AAAAAFlv33k=")</f>
        <v>#REF!</v>
      </c>
      <c r="DS392" t="e">
        <f>AND(#REF!,"AAAAAFlv33o=")</f>
        <v>#REF!</v>
      </c>
      <c r="DT392" t="e">
        <f>AND(#REF!,"AAAAAFlv33s=")</f>
        <v>#REF!</v>
      </c>
      <c r="DU392" t="e">
        <f>AND(#REF!,"AAAAAFlv33w=")</f>
        <v>#REF!</v>
      </c>
      <c r="DV392" t="e">
        <f>AND(#REF!,"AAAAAFlv330=")</f>
        <v>#REF!</v>
      </c>
      <c r="DW392" t="e">
        <f>AND(#REF!,"AAAAAFlv334=")</f>
        <v>#REF!</v>
      </c>
      <c r="DX392" t="e">
        <f>AND(#REF!,"AAAAAFlv338=")</f>
        <v>#REF!</v>
      </c>
      <c r="DY392" t="e">
        <f>AND(#REF!,"AAAAAFlv34A=")</f>
        <v>#REF!</v>
      </c>
      <c r="DZ392" t="e">
        <f>AND(#REF!,"AAAAAFlv34E=")</f>
        <v>#REF!</v>
      </c>
      <c r="EA392" t="e">
        <f>AND(#REF!,"AAAAAFlv34I=")</f>
        <v>#REF!</v>
      </c>
      <c r="EB392" t="e">
        <f>AND(#REF!,"AAAAAFlv34M=")</f>
        <v>#REF!</v>
      </c>
      <c r="EC392" t="e">
        <f>AND(#REF!,"AAAAAFlv34Q=")</f>
        <v>#REF!</v>
      </c>
      <c r="ED392" t="e">
        <f>AND(#REF!,"AAAAAFlv34U=")</f>
        <v>#REF!</v>
      </c>
      <c r="EE392" t="e">
        <f>AND(#REF!,"AAAAAFlv34Y=")</f>
        <v>#REF!</v>
      </c>
      <c r="EF392" t="e">
        <f>AND(#REF!,"AAAAAFlv34c=")</f>
        <v>#REF!</v>
      </c>
      <c r="EG392" t="e">
        <f>AND(#REF!,"AAAAAFlv34g=")</f>
        <v>#REF!</v>
      </c>
      <c r="EH392" t="e">
        <f>AND(#REF!,"AAAAAFlv34k=")</f>
        <v>#REF!</v>
      </c>
      <c r="EI392" t="e">
        <f>AND(#REF!,"AAAAAFlv34o=")</f>
        <v>#REF!</v>
      </c>
      <c r="EJ392" t="e">
        <f>IF(#REF!,"AAAAAFlv34s=",0)</f>
        <v>#REF!</v>
      </c>
      <c r="EK392" t="e">
        <f>AND(#REF!,"AAAAAFlv34w=")</f>
        <v>#REF!</v>
      </c>
      <c r="EL392" t="e">
        <f>AND(#REF!,"AAAAAFlv340=")</f>
        <v>#REF!</v>
      </c>
      <c r="EM392" t="e">
        <f>AND(#REF!,"AAAAAFlv344=")</f>
        <v>#REF!</v>
      </c>
      <c r="EN392" t="e">
        <f>AND(#REF!,"AAAAAFlv348=")</f>
        <v>#REF!</v>
      </c>
      <c r="EO392" t="e">
        <f>AND(#REF!,"AAAAAFlv35A=")</f>
        <v>#REF!</v>
      </c>
      <c r="EP392" t="e">
        <f>AND(#REF!,"AAAAAFlv35E=")</f>
        <v>#REF!</v>
      </c>
      <c r="EQ392" t="e">
        <f>AND(#REF!,"AAAAAFlv35I=")</f>
        <v>#REF!</v>
      </c>
      <c r="ER392" t="e">
        <f>AND(#REF!,"AAAAAFlv35M=")</f>
        <v>#REF!</v>
      </c>
      <c r="ES392" t="e">
        <f>AND(#REF!,"AAAAAFlv35Q=")</f>
        <v>#REF!</v>
      </c>
      <c r="ET392" t="e">
        <f>AND(#REF!,"AAAAAFlv35U=")</f>
        <v>#REF!</v>
      </c>
      <c r="EU392" t="e">
        <f>AND(#REF!,"AAAAAFlv35Y=")</f>
        <v>#REF!</v>
      </c>
      <c r="EV392" t="e">
        <f>AND(#REF!,"AAAAAFlv35c=")</f>
        <v>#REF!</v>
      </c>
      <c r="EW392" t="e">
        <f>AND(#REF!,"AAAAAFlv35g=")</f>
        <v>#REF!</v>
      </c>
      <c r="EX392" t="e">
        <f>AND(#REF!,"AAAAAFlv35k=")</f>
        <v>#REF!</v>
      </c>
      <c r="EY392" t="e">
        <f>AND(#REF!,"AAAAAFlv35o=")</f>
        <v>#REF!</v>
      </c>
      <c r="EZ392" t="e">
        <f>AND(#REF!,"AAAAAFlv35s=")</f>
        <v>#REF!</v>
      </c>
      <c r="FA392" t="e">
        <f>AND(#REF!,"AAAAAFlv35w=")</f>
        <v>#REF!</v>
      </c>
      <c r="FB392" t="e">
        <f>AND(#REF!,"AAAAAFlv350=")</f>
        <v>#REF!</v>
      </c>
      <c r="FC392" t="e">
        <f>AND(#REF!,"AAAAAFlv354=")</f>
        <v>#REF!</v>
      </c>
      <c r="FD392" t="e">
        <f>AND(#REF!,"AAAAAFlv358=")</f>
        <v>#REF!</v>
      </c>
      <c r="FE392" t="e">
        <f>AND(#REF!,"AAAAAFlv36A=")</f>
        <v>#REF!</v>
      </c>
      <c r="FF392" t="e">
        <f>AND(#REF!,"AAAAAFlv36E=")</f>
        <v>#REF!</v>
      </c>
      <c r="FG392" t="e">
        <f>AND(#REF!,"AAAAAFlv36I=")</f>
        <v>#REF!</v>
      </c>
      <c r="FH392" t="e">
        <f>AND(#REF!,"AAAAAFlv36M=")</f>
        <v>#REF!</v>
      </c>
      <c r="FI392" t="e">
        <f>IF(#REF!,"AAAAAFlv36Q=",0)</f>
        <v>#REF!</v>
      </c>
      <c r="FJ392" t="e">
        <f>AND(#REF!,"AAAAAFlv36U=")</f>
        <v>#REF!</v>
      </c>
      <c r="FK392" t="e">
        <f>AND(#REF!,"AAAAAFlv36Y=")</f>
        <v>#REF!</v>
      </c>
      <c r="FL392" t="e">
        <f>AND(#REF!,"AAAAAFlv36c=")</f>
        <v>#REF!</v>
      </c>
      <c r="FM392" t="e">
        <f>AND(#REF!,"AAAAAFlv36g=")</f>
        <v>#REF!</v>
      </c>
      <c r="FN392" t="e">
        <f>AND(#REF!,"AAAAAFlv36k=")</f>
        <v>#REF!</v>
      </c>
      <c r="FO392" t="e">
        <f>AND(#REF!,"AAAAAFlv36o=")</f>
        <v>#REF!</v>
      </c>
      <c r="FP392" t="e">
        <f>AND(#REF!,"AAAAAFlv36s=")</f>
        <v>#REF!</v>
      </c>
      <c r="FQ392" t="e">
        <f>AND(#REF!,"AAAAAFlv36w=")</f>
        <v>#REF!</v>
      </c>
      <c r="FR392" t="e">
        <f>AND(#REF!,"AAAAAFlv360=")</f>
        <v>#REF!</v>
      </c>
      <c r="FS392" t="e">
        <f>AND(#REF!,"AAAAAFlv364=")</f>
        <v>#REF!</v>
      </c>
      <c r="FT392" t="e">
        <f>AND(#REF!,"AAAAAFlv368=")</f>
        <v>#REF!</v>
      </c>
      <c r="FU392" t="e">
        <f>AND(#REF!,"AAAAAFlv37A=")</f>
        <v>#REF!</v>
      </c>
      <c r="FV392" t="e">
        <f>AND(#REF!,"AAAAAFlv37E=")</f>
        <v>#REF!</v>
      </c>
      <c r="FW392" t="e">
        <f>AND(#REF!,"AAAAAFlv37I=")</f>
        <v>#REF!</v>
      </c>
      <c r="FX392" t="e">
        <f>AND(#REF!,"AAAAAFlv37M=")</f>
        <v>#REF!</v>
      </c>
      <c r="FY392" t="e">
        <f>AND(#REF!,"AAAAAFlv37Q=")</f>
        <v>#REF!</v>
      </c>
      <c r="FZ392" t="e">
        <f>AND(#REF!,"AAAAAFlv37U=")</f>
        <v>#REF!</v>
      </c>
      <c r="GA392" t="e">
        <f>AND(#REF!,"AAAAAFlv37Y=")</f>
        <v>#REF!</v>
      </c>
      <c r="GB392" t="e">
        <f>AND(#REF!,"AAAAAFlv37c=")</f>
        <v>#REF!</v>
      </c>
      <c r="GC392" t="e">
        <f>AND(#REF!,"AAAAAFlv37g=")</f>
        <v>#REF!</v>
      </c>
      <c r="GD392" t="e">
        <f>AND(#REF!,"AAAAAFlv37k=")</f>
        <v>#REF!</v>
      </c>
      <c r="GE392" t="e">
        <f>AND(#REF!,"AAAAAFlv37o=")</f>
        <v>#REF!</v>
      </c>
      <c r="GF392" t="e">
        <f>AND(#REF!,"AAAAAFlv37s=")</f>
        <v>#REF!</v>
      </c>
      <c r="GG392" t="e">
        <f>AND(#REF!,"AAAAAFlv37w=")</f>
        <v>#REF!</v>
      </c>
      <c r="GH392" t="e">
        <f>IF(#REF!,"AAAAAFlv370=",0)</f>
        <v>#REF!</v>
      </c>
      <c r="GI392" t="e">
        <f>AND(#REF!,"AAAAAFlv374=")</f>
        <v>#REF!</v>
      </c>
      <c r="GJ392" t="e">
        <f>AND(#REF!,"AAAAAFlv378=")</f>
        <v>#REF!</v>
      </c>
      <c r="GK392" t="e">
        <f>AND(#REF!,"AAAAAFlv38A=")</f>
        <v>#REF!</v>
      </c>
      <c r="GL392" t="e">
        <f>AND(#REF!,"AAAAAFlv38E=")</f>
        <v>#REF!</v>
      </c>
      <c r="GM392" t="e">
        <f>AND(#REF!,"AAAAAFlv38I=")</f>
        <v>#REF!</v>
      </c>
      <c r="GN392" t="e">
        <f>AND(#REF!,"AAAAAFlv38M=")</f>
        <v>#REF!</v>
      </c>
      <c r="GO392" t="e">
        <f>AND(#REF!,"AAAAAFlv38Q=")</f>
        <v>#REF!</v>
      </c>
      <c r="GP392" t="e">
        <f>AND(#REF!,"AAAAAFlv38U=")</f>
        <v>#REF!</v>
      </c>
      <c r="GQ392" t="e">
        <f>AND(#REF!,"AAAAAFlv38Y=")</f>
        <v>#REF!</v>
      </c>
      <c r="GR392" t="e">
        <f>AND(#REF!,"AAAAAFlv38c=")</f>
        <v>#REF!</v>
      </c>
      <c r="GS392" t="e">
        <f>AND(#REF!,"AAAAAFlv38g=")</f>
        <v>#REF!</v>
      </c>
      <c r="GT392" t="e">
        <f>AND(#REF!,"AAAAAFlv38k=")</f>
        <v>#REF!</v>
      </c>
      <c r="GU392" t="e">
        <f>AND(#REF!,"AAAAAFlv38o=")</f>
        <v>#REF!</v>
      </c>
      <c r="GV392" t="e">
        <f>AND(#REF!,"AAAAAFlv38s=")</f>
        <v>#REF!</v>
      </c>
      <c r="GW392" t="e">
        <f>AND(#REF!,"AAAAAFlv38w=")</f>
        <v>#REF!</v>
      </c>
      <c r="GX392" t="e">
        <f>AND(#REF!,"AAAAAFlv380=")</f>
        <v>#REF!</v>
      </c>
      <c r="GY392" t="e">
        <f>AND(#REF!,"AAAAAFlv384=")</f>
        <v>#REF!</v>
      </c>
      <c r="GZ392" t="e">
        <f>AND(#REF!,"AAAAAFlv388=")</f>
        <v>#REF!</v>
      </c>
      <c r="HA392" t="e">
        <f>AND(#REF!,"AAAAAFlv39A=")</f>
        <v>#REF!</v>
      </c>
      <c r="HB392" t="e">
        <f>AND(#REF!,"AAAAAFlv39E=")</f>
        <v>#REF!</v>
      </c>
      <c r="HC392" t="e">
        <f>AND(#REF!,"AAAAAFlv39I=")</f>
        <v>#REF!</v>
      </c>
      <c r="HD392" t="e">
        <f>AND(#REF!,"AAAAAFlv39M=")</f>
        <v>#REF!</v>
      </c>
      <c r="HE392" t="e">
        <f>AND(#REF!,"AAAAAFlv39Q=")</f>
        <v>#REF!</v>
      </c>
      <c r="HF392" t="e">
        <f>AND(#REF!,"AAAAAFlv39U=")</f>
        <v>#REF!</v>
      </c>
      <c r="HG392" t="e">
        <f>IF(#REF!,"AAAAAFlv39Y=",0)</f>
        <v>#REF!</v>
      </c>
      <c r="HH392" t="e">
        <f>AND(#REF!,"AAAAAFlv39c=")</f>
        <v>#REF!</v>
      </c>
      <c r="HI392" t="e">
        <f>AND(#REF!,"AAAAAFlv39g=")</f>
        <v>#REF!</v>
      </c>
      <c r="HJ392" t="e">
        <f>AND(#REF!,"AAAAAFlv39k=")</f>
        <v>#REF!</v>
      </c>
      <c r="HK392" t="e">
        <f>AND(#REF!,"AAAAAFlv39o=")</f>
        <v>#REF!</v>
      </c>
      <c r="HL392" t="e">
        <f>AND(#REF!,"AAAAAFlv39s=")</f>
        <v>#REF!</v>
      </c>
      <c r="HM392" t="e">
        <f>AND(#REF!,"AAAAAFlv39w=")</f>
        <v>#REF!</v>
      </c>
      <c r="HN392" t="e">
        <f>AND(#REF!,"AAAAAFlv390=")</f>
        <v>#REF!</v>
      </c>
      <c r="HO392" t="e">
        <f>AND(#REF!,"AAAAAFlv394=")</f>
        <v>#REF!</v>
      </c>
      <c r="HP392" t="e">
        <f>AND(#REF!,"AAAAAFlv398=")</f>
        <v>#REF!</v>
      </c>
      <c r="HQ392" t="e">
        <f>AND(#REF!,"AAAAAFlv3+A=")</f>
        <v>#REF!</v>
      </c>
      <c r="HR392" t="e">
        <f>AND(#REF!,"AAAAAFlv3+E=")</f>
        <v>#REF!</v>
      </c>
      <c r="HS392" t="e">
        <f>AND(#REF!,"AAAAAFlv3+I=")</f>
        <v>#REF!</v>
      </c>
      <c r="HT392" t="e">
        <f>AND(#REF!,"AAAAAFlv3+M=")</f>
        <v>#REF!</v>
      </c>
      <c r="HU392" t="e">
        <f>AND(#REF!,"AAAAAFlv3+Q=")</f>
        <v>#REF!</v>
      </c>
      <c r="HV392" t="e">
        <f>AND(#REF!,"AAAAAFlv3+U=")</f>
        <v>#REF!</v>
      </c>
      <c r="HW392" t="e">
        <f>AND(#REF!,"AAAAAFlv3+Y=")</f>
        <v>#REF!</v>
      </c>
      <c r="HX392" t="e">
        <f>AND(#REF!,"AAAAAFlv3+c=")</f>
        <v>#REF!</v>
      </c>
      <c r="HY392" t="e">
        <f>AND(#REF!,"AAAAAFlv3+g=")</f>
        <v>#REF!</v>
      </c>
      <c r="HZ392" t="e">
        <f>AND(#REF!,"AAAAAFlv3+k=")</f>
        <v>#REF!</v>
      </c>
      <c r="IA392" t="e">
        <f>AND(#REF!,"AAAAAFlv3+o=")</f>
        <v>#REF!</v>
      </c>
      <c r="IB392" t="e">
        <f>AND(#REF!,"AAAAAFlv3+s=")</f>
        <v>#REF!</v>
      </c>
      <c r="IC392" t="e">
        <f>AND(#REF!,"AAAAAFlv3+w=")</f>
        <v>#REF!</v>
      </c>
      <c r="ID392" t="e">
        <f>AND(#REF!,"AAAAAFlv3+0=")</f>
        <v>#REF!</v>
      </c>
      <c r="IE392" t="e">
        <f>AND(#REF!,"AAAAAFlv3+4=")</f>
        <v>#REF!</v>
      </c>
      <c r="IF392" t="e">
        <f>IF(#REF!,"AAAAAFlv3+8=",0)</f>
        <v>#REF!</v>
      </c>
      <c r="IG392" t="e">
        <f>AND(#REF!,"AAAAAFlv3/A=")</f>
        <v>#REF!</v>
      </c>
      <c r="IH392" t="e">
        <f>AND(#REF!,"AAAAAFlv3/E=")</f>
        <v>#REF!</v>
      </c>
      <c r="II392" t="e">
        <f>AND(#REF!,"AAAAAFlv3/I=")</f>
        <v>#REF!</v>
      </c>
      <c r="IJ392" t="e">
        <f>AND(#REF!,"AAAAAFlv3/M=")</f>
        <v>#REF!</v>
      </c>
      <c r="IK392" t="e">
        <f>AND(#REF!,"AAAAAFlv3/Q=")</f>
        <v>#REF!</v>
      </c>
      <c r="IL392" t="e">
        <f>AND(#REF!,"AAAAAFlv3/U=")</f>
        <v>#REF!</v>
      </c>
      <c r="IM392" t="e">
        <f>AND(#REF!,"AAAAAFlv3/Y=")</f>
        <v>#REF!</v>
      </c>
      <c r="IN392" t="e">
        <f>AND(#REF!,"AAAAAFlv3/c=")</f>
        <v>#REF!</v>
      </c>
      <c r="IO392" t="e">
        <f>AND(#REF!,"AAAAAFlv3/g=")</f>
        <v>#REF!</v>
      </c>
      <c r="IP392" t="e">
        <f>AND(#REF!,"AAAAAFlv3/k=")</f>
        <v>#REF!</v>
      </c>
      <c r="IQ392" t="e">
        <f>AND(#REF!,"AAAAAFlv3/o=")</f>
        <v>#REF!</v>
      </c>
      <c r="IR392" t="e">
        <f>AND(#REF!,"AAAAAFlv3/s=")</f>
        <v>#REF!</v>
      </c>
      <c r="IS392" t="e">
        <f>AND(#REF!,"AAAAAFlv3/w=")</f>
        <v>#REF!</v>
      </c>
      <c r="IT392" t="e">
        <f>AND(#REF!,"AAAAAFlv3/0=")</f>
        <v>#REF!</v>
      </c>
      <c r="IU392" t="e">
        <f>AND(#REF!,"AAAAAFlv3/4=")</f>
        <v>#REF!</v>
      </c>
      <c r="IV392" t="e">
        <f>AND(#REF!,"AAAAAFlv3/8=")</f>
        <v>#REF!</v>
      </c>
    </row>
    <row r="393" spans="1:256">
      <c r="A393" t="e">
        <f>AND(#REF!,"AAAAAGf53QA=")</f>
        <v>#REF!</v>
      </c>
      <c r="B393" t="e">
        <f>AND(#REF!,"AAAAAGf53QE=")</f>
        <v>#REF!</v>
      </c>
      <c r="C393" t="e">
        <f>AND(#REF!,"AAAAAGf53QI=")</f>
        <v>#REF!</v>
      </c>
      <c r="D393" t="e">
        <f>AND(#REF!,"AAAAAGf53QM=")</f>
        <v>#REF!</v>
      </c>
      <c r="E393" t="e">
        <f>AND(#REF!,"AAAAAGf53QQ=")</f>
        <v>#REF!</v>
      </c>
      <c r="F393" t="e">
        <f>AND(#REF!,"AAAAAGf53QU=")</f>
        <v>#REF!</v>
      </c>
      <c r="G393" t="e">
        <f>AND(#REF!,"AAAAAGf53QY=")</f>
        <v>#REF!</v>
      </c>
      <c r="H393" t="e">
        <f>AND(#REF!,"AAAAAGf53Qc=")</f>
        <v>#REF!</v>
      </c>
      <c r="I393" t="e">
        <f>IF(#REF!,"AAAAAGf53Qg=",0)</f>
        <v>#REF!</v>
      </c>
      <c r="J393" t="e">
        <f>AND(#REF!,"AAAAAGf53Qk=")</f>
        <v>#REF!</v>
      </c>
      <c r="K393" t="e">
        <f>AND(#REF!,"AAAAAGf53Qo=")</f>
        <v>#REF!</v>
      </c>
      <c r="L393" t="e">
        <f>AND(#REF!,"AAAAAGf53Qs=")</f>
        <v>#REF!</v>
      </c>
      <c r="M393" t="e">
        <f>AND(#REF!,"AAAAAGf53Qw=")</f>
        <v>#REF!</v>
      </c>
      <c r="N393" t="e">
        <f>AND(#REF!,"AAAAAGf53Q0=")</f>
        <v>#REF!</v>
      </c>
      <c r="O393" t="e">
        <f>AND(#REF!,"AAAAAGf53Q4=")</f>
        <v>#REF!</v>
      </c>
      <c r="P393" t="e">
        <f>AND(#REF!,"AAAAAGf53Q8=")</f>
        <v>#REF!</v>
      </c>
      <c r="Q393" t="e">
        <f>AND(#REF!,"AAAAAGf53RA=")</f>
        <v>#REF!</v>
      </c>
      <c r="R393" t="e">
        <f>AND(#REF!,"AAAAAGf53RE=")</f>
        <v>#REF!</v>
      </c>
      <c r="S393" t="e">
        <f>AND(#REF!,"AAAAAGf53RI=")</f>
        <v>#REF!</v>
      </c>
      <c r="T393" t="e">
        <f>AND(#REF!,"AAAAAGf53RM=")</f>
        <v>#REF!</v>
      </c>
      <c r="U393" t="e">
        <f>AND(#REF!,"AAAAAGf53RQ=")</f>
        <v>#REF!</v>
      </c>
      <c r="V393" t="e">
        <f>AND(#REF!,"AAAAAGf53RU=")</f>
        <v>#REF!</v>
      </c>
      <c r="W393" t="e">
        <f>AND(#REF!,"AAAAAGf53RY=")</f>
        <v>#REF!</v>
      </c>
      <c r="X393" t="e">
        <f>AND(#REF!,"AAAAAGf53Rc=")</f>
        <v>#REF!</v>
      </c>
      <c r="Y393" t="e">
        <f>AND(#REF!,"AAAAAGf53Rg=")</f>
        <v>#REF!</v>
      </c>
      <c r="Z393" t="e">
        <f>AND(#REF!,"AAAAAGf53Rk=")</f>
        <v>#REF!</v>
      </c>
      <c r="AA393" t="e">
        <f>AND(#REF!,"AAAAAGf53Ro=")</f>
        <v>#REF!</v>
      </c>
      <c r="AB393" t="e">
        <f>AND(#REF!,"AAAAAGf53Rs=")</f>
        <v>#REF!</v>
      </c>
      <c r="AC393" t="e">
        <f>AND(#REF!,"AAAAAGf53Rw=")</f>
        <v>#REF!</v>
      </c>
      <c r="AD393" t="e">
        <f>AND(#REF!,"AAAAAGf53R0=")</f>
        <v>#REF!</v>
      </c>
      <c r="AE393" t="e">
        <f>AND(#REF!,"AAAAAGf53R4=")</f>
        <v>#REF!</v>
      </c>
      <c r="AF393" t="e">
        <f>AND(#REF!,"AAAAAGf53R8=")</f>
        <v>#REF!</v>
      </c>
      <c r="AG393" t="e">
        <f>AND(#REF!,"AAAAAGf53SA=")</f>
        <v>#REF!</v>
      </c>
      <c r="AH393" t="e">
        <f>IF(#REF!,"AAAAAGf53SE=",0)</f>
        <v>#REF!</v>
      </c>
      <c r="AI393" t="e">
        <f>AND(#REF!,"AAAAAGf53SI=")</f>
        <v>#REF!</v>
      </c>
      <c r="AJ393" t="e">
        <f>AND(#REF!,"AAAAAGf53SM=")</f>
        <v>#REF!</v>
      </c>
      <c r="AK393" t="e">
        <f>AND(#REF!,"AAAAAGf53SQ=")</f>
        <v>#REF!</v>
      </c>
      <c r="AL393" t="e">
        <f>AND(#REF!,"AAAAAGf53SU=")</f>
        <v>#REF!</v>
      </c>
      <c r="AM393" t="e">
        <f>AND(#REF!,"AAAAAGf53SY=")</f>
        <v>#REF!</v>
      </c>
      <c r="AN393" t="e">
        <f>AND(#REF!,"AAAAAGf53Sc=")</f>
        <v>#REF!</v>
      </c>
      <c r="AO393" t="e">
        <f>AND(#REF!,"AAAAAGf53Sg=")</f>
        <v>#REF!</v>
      </c>
      <c r="AP393" t="e">
        <f>AND(#REF!,"AAAAAGf53Sk=")</f>
        <v>#REF!</v>
      </c>
      <c r="AQ393" t="e">
        <f>AND(#REF!,"AAAAAGf53So=")</f>
        <v>#REF!</v>
      </c>
      <c r="AR393" t="e">
        <f>AND(#REF!,"AAAAAGf53Ss=")</f>
        <v>#REF!</v>
      </c>
      <c r="AS393" t="e">
        <f>AND(#REF!,"AAAAAGf53Sw=")</f>
        <v>#REF!</v>
      </c>
      <c r="AT393" t="e">
        <f>AND(#REF!,"AAAAAGf53S0=")</f>
        <v>#REF!</v>
      </c>
      <c r="AU393" t="e">
        <f>AND(#REF!,"AAAAAGf53S4=")</f>
        <v>#REF!</v>
      </c>
      <c r="AV393" t="e">
        <f>AND(#REF!,"AAAAAGf53S8=")</f>
        <v>#REF!</v>
      </c>
      <c r="AW393" t="e">
        <f>AND(#REF!,"AAAAAGf53TA=")</f>
        <v>#REF!</v>
      </c>
      <c r="AX393" t="e">
        <f>AND(#REF!,"AAAAAGf53TE=")</f>
        <v>#REF!</v>
      </c>
      <c r="AY393" t="e">
        <f>AND(#REF!,"AAAAAGf53TI=")</f>
        <v>#REF!</v>
      </c>
      <c r="AZ393" t="e">
        <f>AND(#REF!,"AAAAAGf53TM=")</f>
        <v>#REF!</v>
      </c>
      <c r="BA393" t="e">
        <f>AND(#REF!,"AAAAAGf53TQ=")</f>
        <v>#REF!</v>
      </c>
      <c r="BB393" t="e">
        <f>AND(#REF!,"AAAAAGf53TU=")</f>
        <v>#REF!</v>
      </c>
      <c r="BC393" t="e">
        <f>AND(#REF!,"AAAAAGf53TY=")</f>
        <v>#REF!</v>
      </c>
      <c r="BD393" t="e">
        <f>AND(#REF!,"AAAAAGf53Tc=")</f>
        <v>#REF!</v>
      </c>
      <c r="BE393" t="e">
        <f>AND(#REF!,"AAAAAGf53Tg=")</f>
        <v>#REF!</v>
      </c>
      <c r="BF393" t="e">
        <f>AND(#REF!,"AAAAAGf53Tk=")</f>
        <v>#REF!</v>
      </c>
      <c r="BG393" t="e">
        <f>IF(#REF!,"AAAAAGf53To=",0)</f>
        <v>#REF!</v>
      </c>
      <c r="BH393" t="e">
        <f>AND(#REF!,"AAAAAGf53Ts=")</f>
        <v>#REF!</v>
      </c>
      <c r="BI393" t="e">
        <f>AND(#REF!,"AAAAAGf53Tw=")</f>
        <v>#REF!</v>
      </c>
      <c r="BJ393" t="e">
        <f>AND(#REF!,"AAAAAGf53T0=")</f>
        <v>#REF!</v>
      </c>
      <c r="BK393" t="e">
        <f>AND(#REF!,"AAAAAGf53T4=")</f>
        <v>#REF!</v>
      </c>
      <c r="BL393" t="e">
        <f>AND(#REF!,"AAAAAGf53T8=")</f>
        <v>#REF!</v>
      </c>
      <c r="BM393" t="e">
        <f>AND(#REF!,"AAAAAGf53UA=")</f>
        <v>#REF!</v>
      </c>
      <c r="BN393" t="e">
        <f>AND(#REF!,"AAAAAGf53UE=")</f>
        <v>#REF!</v>
      </c>
      <c r="BO393" t="e">
        <f>AND(#REF!,"AAAAAGf53UI=")</f>
        <v>#REF!</v>
      </c>
      <c r="BP393" t="e">
        <f>AND(#REF!,"AAAAAGf53UM=")</f>
        <v>#REF!</v>
      </c>
      <c r="BQ393" t="e">
        <f>AND(#REF!,"AAAAAGf53UQ=")</f>
        <v>#REF!</v>
      </c>
      <c r="BR393" t="e">
        <f>AND(#REF!,"AAAAAGf53UU=")</f>
        <v>#REF!</v>
      </c>
      <c r="BS393" t="e">
        <f>AND(#REF!,"AAAAAGf53UY=")</f>
        <v>#REF!</v>
      </c>
      <c r="BT393" t="e">
        <f>AND(#REF!,"AAAAAGf53Uc=")</f>
        <v>#REF!</v>
      </c>
      <c r="BU393" t="e">
        <f>AND(#REF!,"AAAAAGf53Ug=")</f>
        <v>#REF!</v>
      </c>
      <c r="BV393" t="e">
        <f>AND(#REF!,"AAAAAGf53Uk=")</f>
        <v>#REF!</v>
      </c>
      <c r="BW393" t="e">
        <f>AND(#REF!,"AAAAAGf53Uo=")</f>
        <v>#REF!</v>
      </c>
      <c r="BX393" t="e">
        <f>AND(#REF!,"AAAAAGf53Us=")</f>
        <v>#REF!</v>
      </c>
      <c r="BY393" t="e">
        <f>AND(#REF!,"AAAAAGf53Uw=")</f>
        <v>#REF!</v>
      </c>
      <c r="BZ393" t="e">
        <f>AND(#REF!,"AAAAAGf53U0=")</f>
        <v>#REF!</v>
      </c>
      <c r="CA393" t="e">
        <f>AND(#REF!,"AAAAAGf53U4=")</f>
        <v>#REF!</v>
      </c>
      <c r="CB393" t="e">
        <f>AND(#REF!,"AAAAAGf53U8=")</f>
        <v>#REF!</v>
      </c>
      <c r="CC393" t="e">
        <f>AND(#REF!,"AAAAAGf53VA=")</f>
        <v>#REF!</v>
      </c>
      <c r="CD393" t="e">
        <f>AND(#REF!,"AAAAAGf53VE=")</f>
        <v>#REF!</v>
      </c>
      <c r="CE393" t="e">
        <f>AND(#REF!,"AAAAAGf53VI=")</f>
        <v>#REF!</v>
      </c>
      <c r="CF393" t="e">
        <f>IF(#REF!,"AAAAAGf53VM=",0)</f>
        <v>#REF!</v>
      </c>
      <c r="CG393" t="e">
        <f>AND(#REF!,"AAAAAGf53VQ=")</f>
        <v>#REF!</v>
      </c>
      <c r="CH393" t="e">
        <f>AND(#REF!,"AAAAAGf53VU=")</f>
        <v>#REF!</v>
      </c>
      <c r="CI393" t="e">
        <f>AND(#REF!,"AAAAAGf53VY=")</f>
        <v>#REF!</v>
      </c>
      <c r="CJ393" t="e">
        <f>AND(#REF!,"AAAAAGf53Vc=")</f>
        <v>#REF!</v>
      </c>
      <c r="CK393" t="e">
        <f>AND(#REF!,"AAAAAGf53Vg=")</f>
        <v>#REF!</v>
      </c>
      <c r="CL393" t="e">
        <f>AND(#REF!,"AAAAAGf53Vk=")</f>
        <v>#REF!</v>
      </c>
      <c r="CM393" t="e">
        <f>AND(#REF!,"AAAAAGf53Vo=")</f>
        <v>#REF!</v>
      </c>
      <c r="CN393" t="e">
        <f>AND(#REF!,"AAAAAGf53Vs=")</f>
        <v>#REF!</v>
      </c>
      <c r="CO393" t="e">
        <f>AND(#REF!,"AAAAAGf53Vw=")</f>
        <v>#REF!</v>
      </c>
      <c r="CP393" t="e">
        <f>AND(#REF!,"AAAAAGf53V0=")</f>
        <v>#REF!</v>
      </c>
      <c r="CQ393" t="e">
        <f>AND(#REF!,"AAAAAGf53V4=")</f>
        <v>#REF!</v>
      </c>
      <c r="CR393" t="e">
        <f>AND(#REF!,"AAAAAGf53V8=")</f>
        <v>#REF!</v>
      </c>
      <c r="CS393" t="e">
        <f>AND(#REF!,"AAAAAGf53WA=")</f>
        <v>#REF!</v>
      </c>
      <c r="CT393" t="e">
        <f>AND(#REF!,"AAAAAGf53WE=")</f>
        <v>#REF!</v>
      </c>
      <c r="CU393" t="e">
        <f>AND(#REF!,"AAAAAGf53WI=")</f>
        <v>#REF!</v>
      </c>
      <c r="CV393" t="e">
        <f>AND(#REF!,"AAAAAGf53WM=")</f>
        <v>#REF!</v>
      </c>
      <c r="CW393" t="e">
        <f>AND(#REF!,"AAAAAGf53WQ=")</f>
        <v>#REF!</v>
      </c>
      <c r="CX393" t="e">
        <f>AND(#REF!,"AAAAAGf53WU=")</f>
        <v>#REF!</v>
      </c>
      <c r="CY393" t="e">
        <f>AND(#REF!,"AAAAAGf53WY=")</f>
        <v>#REF!</v>
      </c>
      <c r="CZ393" t="e">
        <f>AND(#REF!,"AAAAAGf53Wc=")</f>
        <v>#REF!</v>
      </c>
      <c r="DA393" t="e">
        <f>AND(#REF!,"AAAAAGf53Wg=")</f>
        <v>#REF!</v>
      </c>
      <c r="DB393" t="e">
        <f>AND(#REF!,"AAAAAGf53Wk=")</f>
        <v>#REF!</v>
      </c>
      <c r="DC393" t="e">
        <f>AND(#REF!,"AAAAAGf53Wo=")</f>
        <v>#REF!</v>
      </c>
      <c r="DD393" t="e">
        <f>AND(#REF!,"AAAAAGf53Ws=")</f>
        <v>#REF!</v>
      </c>
      <c r="DE393" t="e">
        <f>IF(#REF!,"AAAAAGf53Ww=",0)</f>
        <v>#REF!</v>
      </c>
      <c r="DF393" t="e">
        <f>AND(#REF!,"AAAAAGf53W0=")</f>
        <v>#REF!</v>
      </c>
      <c r="DG393" t="e">
        <f>AND(#REF!,"AAAAAGf53W4=")</f>
        <v>#REF!</v>
      </c>
      <c r="DH393" t="e">
        <f>AND(#REF!,"AAAAAGf53W8=")</f>
        <v>#REF!</v>
      </c>
      <c r="DI393" t="e">
        <f>AND(#REF!,"AAAAAGf53XA=")</f>
        <v>#REF!</v>
      </c>
      <c r="DJ393" t="e">
        <f>AND(#REF!,"AAAAAGf53XE=")</f>
        <v>#REF!</v>
      </c>
      <c r="DK393" t="e">
        <f>AND(#REF!,"AAAAAGf53XI=")</f>
        <v>#REF!</v>
      </c>
      <c r="DL393" t="e">
        <f>AND(#REF!,"AAAAAGf53XM=")</f>
        <v>#REF!</v>
      </c>
      <c r="DM393" t="e">
        <f>AND(#REF!,"AAAAAGf53XQ=")</f>
        <v>#REF!</v>
      </c>
      <c r="DN393" t="e">
        <f>AND(#REF!,"AAAAAGf53XU=")</f>
        <v>#REF!</v>
      </c>
      <c r="DO393" t="e">
        <f>AND(#REF!,"AAAAAGf53XY=")</f>
        <v>#REF!</v>
      </c>
      <c r="DP393" t="e">
        <f>AND(#REF!,"AAAAAGf53Xc=")</f>
        <v>#REF!</v>
      </c>
      <c r="DQ393" t="e">
        <f>AND(#REF!,"AAAAAGf53Xg=")</f>
        <v>#REF!</v>
      </c>
      <c r="DR393" t="e">
        <f>AND(#REF!,"AAAAAGf53Xk=")</f>
        <v>#REF!</v>
      </c>
      <c r="DS393" t="e">
        <f>AND(#REF!,"AAAAAGf53Xo=")</f>
        <v>#REF!</v>
      </c>
      <c r="DT393" t="e">
        <f>AND(#REF!,"AAAAAGf53Xs=")</f>
        <v>#REF!</v>
      </c>
      <c r="DU393" t="e">
        <f>AND(#REF!,"AAAAAGf53Xw=")</f>
        <v>#REF!</v>
      </c>
      <c r="DV393" t="e">
        <f>AND(#REF!,"AAAAAGf53X0=")</f>
        <v>#REF!</v>
      </c>
      <c r="DW393" t="e">
        <f>AND(#REF!,"AAAAAGf53X4=")</f>
        <v>#REF!</v>
      </c>
      <c r="DX393" t="e">
        <f>AND(#REF!,"AAAAAGf53X8=")</f>
        <v>#REF!</v>
      </c>
      <c r="DY393" t="e">
        <f>AND(#REF!,"AAAAAGf53YA=")</f>
        <v>#REF!</v>
      </c>
      <c r="DZ393" t="e">
        <f>AND(#REF!,"AAAAAGf53YE=")</f>
        <v>#REF!</v>
      </c>
      <c r="EA393" t="e">
        <f>AND(#REF!,"AAAAAGf53YI=")</f>
        <v>#REF!</v>
      </c>
      <c r="EB393" t="e">
        <f>AND(#REF!,"AAAAAGf53YM=")</f>
        <v>#REF!</v>
      </c>
      <c r="EC393" t="e">
        <f>AND(#REF!,"AAAAAGf53YQ=")</f>
        <v>#REF!</v>
      </c>
      <c r="ED393" t="e">
        <f>IF(#REF!,"AAAAAGf53YU=",0)</f>
        <v>#REF!</v>
      </c>
      <c r="EE393" t="e">
        <f>AND(#REF!,"AAAAAGf53YY=")</f>
        <v>#REF!</v>
      </c>
      <c r="EF393" t="e">
        <f>AND(#REF!,"AAAAAGf53Yc=")</f>
        <v>#REF!</v>
      </c>
      <c r="EG393" t="e">
        <f>AND(#REF!,"AAAAAGf53Yg=")</f>
        <v>#REF!</v>
      </c>
      <c r="EH393" t="e">
        <f>AND(#REF!,"AAAAAGf53Yk=")</f>
        <v>#REF!</v>
      </c>
      <c r="EI393" t="e">
        <f>AND(#REF!,"AAAAAGf53Yo=")</f>
        <v>#REF!</v>
      </c>
      <c r="EJ393" t="e">
        <f>AND(#REF!,"AAAAAGf53Ys=")</f>
        <v>#REF!</v>
      </c>
      <c r="EK393" t="e">
        <f>AND(#REF!,"AAAAAGf53Yw=")</f>
        <v>#REF!</v>
      </c>
      <c r="EL393" t="e">
        <f>AND(#REF!,"AAAAAGf53Y0=")</f>
        <v>#REF!</v>
      </c>
      <c r="EM393" t="e">
        <f>AND(#REF!,"AAAAAGf53Y4=")</f>
        <v>#REF!</v>
      </c>
      <c r="EN393" t="e">
        <f>AND(#REF!,"AAAAAGf53Y8=")</f>
        <v>#REF!</v>
      </c>
      <c r="EO393" t="e">
        <f>AND(#REF!,"AAAAAGf53ZA=")</f>
        <v>#REF!</v>
      </c>
      <c r="EP393" t="e">
        <f>AND(#REF!,"AAAAAGf53ZE=")</f>
        <v>#REF!</v>
      </c>
      <c r="EQ393" t="e">
        <f>AND(#REF!,"AAAAAGf53ZI=")</f>
        <v>#REF!</v>
      </c>
      <c r="ER393" t="e">
        <f>AND(#REF!,"AAAAAGf53ZM=")</f>
        <v>#REF!</v>
      </c>
      <c r="ES393" t="e">
        <f>AND(#REF!,"AAAAAGf53ZQ=")</f>
        <v>#REF!</v>
      </c>
      <c r="ET393" t="e">
        <f>AND(#REF!,"AAAAAGf53ZU=")</f>
        <v>#REF!</v>
      </c>
      <c r="EU393" t="e">
        <f>AND(#REF!,"AAAAAGf53ZY=")</f>
        <v>#REF!</v>
      </c>
      <c r="EV393" t="e">
        <f>AND(#REF!,"AAAAAGf53Zc=")</f>
        <v>#REF!</v>
      </c>
      <c r="EW393" t="e">
        <f>AND(#REF!,"AAAAAGf53Zg=")</f>
        <v>#REF!</v>
      </c>
      <c r="EX393" t="e">
        <f>AND(#REF!,"AAAAAGf53Zk=")</f>
        <v>#REF!</v>
      </c>
      <c r="EY393" t="e">
        <f>AND(#REF!,"AAAAAGf53Zo=")</f>
        <v>#REF!</v>
      </c>
      <c r="EZ393" t="e">
        <f>AND(#REF!,"AAAAAGf53Zs=")</f>
        <v>#REF!</v>
      </c>
      <c r="FA393" t="e">
        <f>AND(#REF!,"AAAAAGf53Zw=")</f>
        <v>#REF!</v>
      </c>
      <c r="FB393" t="e">
        <f>AND(#REF!,"AAAAAGf53Z0=")</f>
        <v>#REF!</v>
      </c>
      <c r="FC393" t="e">
        <f>IF(#REF!,"AAAAAGf53Z4=",0)</f>
        <v>#REF!</v>
      </c>
      <c r="FD393" t="e">
        <f>AND(#REF!,"AAAAAGf53Z8=")</f>
        <v>#REF!</v>
      </c>
      <c r="FE393" t="e">
        <f>AND(#REF!,"AAAAAGf53aA=")</f>
        <v>#REF!</v>
      </c>
      <c r="FF393" t="e">
        <f>AND(#REF!,"AAAAAGf53aE=")</f>
        <v>#REF!</v>
      </c>
      <c r="FG393" t="e">
        <f>AND(#REF!,"AAAAAGf53aI=")</f>
        <v>#REF!</v>
      </c>
      <c r="FH393" t="e">
        <f>AND(#REF!,"AAAAAGf53aM=")</f>
        <v>#REF!</v>
      </c>
      <c r="FI393" t="e">
        <f>AND(#REF!,"AAAAAGf53aQ=")</f>
        <v>#REF!</v>
      </c>
      <c r="FJ393" t="e">
        <f>AND(#REF!,"AAAAAGf53aU=")</f>
        <v>#REF!</v>
      </c>
      <c r="FK393" t="e">
        <f>AND(#REF!,"AAAAAGf53aY=")</f>
        <v>#REF!</v>
      </c>
      <c r="FL393" t="e">
        <f>AND(#REF!,"AAAAAGf53ac=")</f>
        <v>#REF!</v>
      </c>
      <c r="FM393" t="e">
        <f>AND(#REF!,"AAAAAGf53ag=")</f>
        <v>#REF!</v>
      </c>
      <c r="FN393" t="e">
        <f>AND(#REF!,"AAAAAGf53ak=")</f>
        <v>#REF!</v>
      </c>
      <c r="FO393" t="e">
        <f>AND(#REF!,"AAAAAGf53ao=")</f>
        <v>#REF!</v>
      </c>
      <c r="FP393" t="e">
        <f>AND(#REF!,"AAAAAGf53as=")</f>
        <v>#REF!</v>
      </c>
      <c r="FQ393" t="e">
        <f>AND(#REF!,"AAAAAGf53aw=")</f>
        <v>#REF!</v>
      </c>
      <c r="FR393" t="e">
        <f>AND(#REF!,"AAAAAGf53a0=")</f>
        <v>#REF!</v>
      </c>
      <c r="FS393" t="e">
        <f>AND(#REF!,"AAAAAGf53a4=")</f>
        <v>#REF!</v>
      </c>
      <c r="FT393" t="e">
        <f>AND(#REF!,"AAAAAGf53a8=")</f>
        <v>#REF!</v>
      </c>
      <c r="FU393" t="e">
        <f>AND(#REF!,"AAAAAGf53bA=")</f>
        <v>#REF!</v>
      </c>
      <c r="FV393" t="e">
        <f>AND(#REF!,"AAAAAGf53bE=")</f>
        <v>#REF!</v>
      </c>
      <c r="FW393" t="e">
        <f>AND(#REF!,"AAAAAGf53bI=")</f>
        <v>#REF!</v>
      </c>
      <c r="FX393" t="e">
        <f>AND(#REF!,"AAAAAGf53bM=")</f>
        <v>#REF!</v>
      </c>
      <c r="FY393" t="e">
        <f>AND(#REF!,"AAAAAGf53bQ=")</f>
        <v>#REF!</v>
      </c>
      <c r="FZ393" t="e">
        <f>AND(#REF!,"AAAAAGf53bU=")</f>
        <v>#REF!</v>
      </c>
      <c r="GA393" t="e">
        <f>AND(#REF!,"AAAAAGf53bY=")</f>
        <v>#REF!</v>
      </c>
      <c r="GB393" t="e">
        <f>IF(#REF!,"AAAAAGf53bc=",0)</f>
        <v>#REF!</v>
      </c>
      <c r="GC393" t="e">
        <f>AND(#REF!,"AAAAAGf53bg=")</f>
        <v>#REF!</v>
      </c>
      <c r="GD393" t="e">
        <f>AND(#REF!,"AAAAAGf53bk=")</f>
        <v>#REF!</v>
      </c>
      <c r="GE393" t="e">
        <f>AND(#REF!,"AAAAAGf53bo=")</f>
        <v>#REF!</v>
      </c>
      <c r="GF393" t="e">
        <f>AND(#REF!,"AAAAAGf53bs=")</f>
        <v>#REF!</v>
      </c>
      <c r="GG393" t="e">
        <f>AND(#REF!,"AAAAAGf53bw=")</f>
        <v>#REF!</v>
      </c>
      <c r="GH393" t="e">
        <f>AND(#REF!,"AAAAAGf53b0=")</f>
        <v>#REF!</v>
      </c>
      <c r="GI393" t="e">
        <f>AND(#REF!,"AAAAAGf53b4=")</f>
        <v>#REF!</v>
      </c>
      <c r="GJ393" t="e">
        <f>AND(#REF!,"AAAAAGf53b8=")</f>
        <v>#REF!</v>
      </c>
      <c r="GK393" t="e">
        <f>AND(#REF!,"AAAAAGf53cA=")</f>
        <v>#REF!</v>
      </c>
      <c r="GL393" t="e">
        <f>AND(#REF!,"AAAAAGf53cE=")</f>
        <v>#REF!</v>
      </c>
      <c r="GM393" t="e">
        <f>AND(#REF!,"AAAAAGf53cI=")</f>
        <v>#REF!</v>
      </c>
      <c r="GN393" t="e">
        <f>AND(#REF!,"AAAAAGf53cM=")</f>
        <v>#REF!</v>
      </c>
      <c r="GO393" t="e">
        <f>AND(#REF!,"AAAAAGf53cQ=")</f>
        <v>#REF!</v>
      </c>
      <c r="GP393" t="e">
        <f>AND(#REF!,"AAAAAGf53cU=")</f>
        <v>#REF!</v>
      </c>
      <c r="GQ393" t="e">
        <f>AND(#REF!,"AAAAAGf53cY=")</f>
        <v>#REF!</v>
      </c>
      <c r="GR393" t="e">
        <f>AND(#REF!,"AAAAAGf53cc=")</f>
        <v>#REF!</v>
      </c>
      <c r="GS393" t="e">
        <f>AND(#REF!,"AAAAAGf53cg=")</f>
        <v>#REF!</v>
      </c>
      <c r="GT393" t="e">
        <f>AND(#REF!,"AAAAAGf53ck=")</f>
        <v>#REF!</v>
      </c>
      <c r="GU393" t="e">
        <f>AND(#REF!,"AAAAAGf53co=")</f>
        <v>#REF!</v>
      </c>
      <c r="GV393" t="e">
        <f>AND(#REF!,"AAAAAGf53cs=")</f>
        <v>#REF!</v>
      </c>
      <c r="GW393" t="e">
        <f>AND(#REF!,"AAAAAGf53cw=")</f>
        <v>#REF!</v>
      </c>
      <c r="GX393" t="e">
        <f>AND(#REF!,"AAAAAGf53c0=")</f>
        <v>#REF!</v>
      </c>
      <c r="GY393" t="e">
        <f>AND(#REF!,"AAAAAGf53c4=")</f>
        <v>#REF!</v>
      </c>
      <c r="GZ393" t="e">
        <f>AND(#REF!,"AAAAAGf53c8=")</f>
        <v>#REF!</v>
      </c>
      <c r="HA393" t="e">
        <f>IF(#REF!,"AAAAAGf53dA=",0)</f>
        <v>#REF!</v>
      </c>
      <c r="HB393" t="e">
        <f>AND(#REF!,"AAAAAGf53dE=")</f>
        <v>#REF!</v>
      </c>
      <c r="HC393" t="e">
        <f>AND(#REF!,"AAAAAGf53dI=")</f>
        <v>#REF!</v>
      </c>
      <c r="HD393" t="e">
        <f>AND(#REF!,"AAAAAGf53dM=")</f>
        <v>#REF!</v>
      </c>
      <c r="HE393" t="e">
        <f>AND(#REF!,"AAAAAGf53dQ=")</f>
        <v>#REF!</v>
      </c>
      <c r="HF393" t="e">
        <f>AND(#REF!,"AAAAAGf53dU=")</f>
        <v>#REF!</v>
      </c>
      <c r="HG393" t="e">
        <f>AND(#REF!,"AAAAAGf53dY=")</f>
        <v>#REF!</v>
      </c>
      <c r="HH393" t="e">
        <f>AND(#REF!,"AAAAAGf53dc=")</f>
        <v>#REF!</v>
      </c>
      <c r="HI393" t="e">
        <f>AND(#REF!,"AAAAAGf53dg=")</f>
        <v>#REF!</v>
      </c>
      <c r="HJ393" t="e">
        <f>AND(#REF!,"AAAAAGf53dk=")</f>
        <v>#REF!</v>
      </c>
      <c r="HK393" t="e">
        <f>AND(#REF!,"AAAAAGf53do=")</f>
        <v>#REF!</v>
      </c>
      <c r="HL393" t="e">
        <f>AND(#REF!,"AAAAAGf53ds=")</f>
        <v>#REF!</v>
      </c>
      <c r="HM393" t="e">
        <f>AND(#REF!,"AAAAAGf53dw=")</f>
        <v>#REF!</v>
      </c>
      <c r="HN393" t="e">
        <f>AND(#REF!,"AAAAAGf53d0=")</f>
        <v>#REF!</v>
      </c>
      <c r="HO393" t="e">
        <f>AND(#REF!,"AAAAAGf53d4=")</f>
        <v>#REF!</v>
      </c>
      <c r="HP393" t="e">
        <f>AND(#REF!,"AAAAAGf53d8=")</f>
        <v>#REF!</v>
      </c>
      <c r="HQ393" t="e">
        <f>AND(#REF!,"AAAAAGf53eA=")</f>
        <v>#REF!</v>
      </c>
      <c r="HR393" t="e">
        <f>AND(#REF!,"AAAAAGf53eE=")</f>
        <v>#REF!</v>
      </c>
      <c r="HS393" t="e">
        <f>AND(#REF!,"AAAAAGf53eI=")</f>
        <v>#REF!</v>
      </c>
      <c r="HT393" t="e">
        <f>AND(#REF!,"AAAAAGf53eM=")</f>
        <v>#REF!</v>
      </c>
      <c r="HU393" t="e">
        <f>AND(#REF!,"AAAAAGf53eQ=")</f>
        <v>#REF!</v>
      </c>
      <c r="HV393" t="e">
        <f>AND(#REF!,"AAAAAGf53eU=")</f>
        <v>#REF!</v>
      </c>
      <c r="HW393" t="e">
        <f>AND(#REF!,"AAAAAGf53eY=")</f>
        <v>#REF!</v>
      </c>
      <c r="HX393" t="e">
        <f>AND(#REF!,"AAAAAGf53ec=")</f>
        <v>#REF!</v>
      </c>
      <c r="HY393" t="e">
        <f>AND(#REF!,"AAAAAGf53eg=")</f>
        <v>#REF!</v>
      </c>
      <c r="HZ393" t="e">
        <f>IF(#REF!,"AAAAAGf53ek=",0)</f>
        <v>#REF!</v>
      </c>
      <c r="IA393" t="e">
        <f>AND(#REF!,"AAAAAGf53eo=")</f>
        <v>#REF!</v>
      </c>
      <c r="IB393" t="e">
        <f>AND(#REF!,"AAAAAGf53es=")</f>
        <v>#REF!</v>
      </c>
      <c r="IC393" t="e">
        <f>AND(#REF!,"AAAAAGf53ew=")</f>
        <v>#REF!</v>
      </c>
      <c r="ID393" t="e">
        <f>AND(#REF!,"AAAAAGf53e0=")</f>
        <v>#REF!</v>
      </c>
      <c r="IE393" t="e">
        <f>AND(#REF!,"AAAAAGf53e4=")</f>
        <v>#REF!</v>
      </c>
      <c r="IF393" t="e">
        <f>AND(#REF!,"AAAAAGf53e8=")</f>
        <v>#REF!</v>
      </c>
      <c r="IG393" t="e">
        <f>AND(#REF!,"AAAAAGf53fA=")</f>
        <v>#REF!</v>
      </c>
      <c r="IH393" t="e">
        <f>AND(#REF!,"AAAAAGf53fE=")</f>
        <v>#REF!</v>
      </c>
      <c r="II393" t="e">
        <f>AND(#REF!,"AAAAAGf53fI=")</f>
        <v>#REF!</v>
      </c>
      <c r="IJ393" t="e">
        <f>AND(#REF!,"AAAAAGf53fM=")</f>
        <v>#REF!</v>
      </c>
      <c r="IK393" t="e">
        <f>AND(#REF!,"AAAAAGf53fQ=")</f>
        <v>#REF!</v>
      </c>
      <c r="IL393" t="e">
        <f>AND(#REF!,"AAAAAGf53fU=")</f>
        <v>#REF!</v>
      </c>
      <c r="IM393" t="e">
        <f>AND(#REF!,"AAAAAGf53fY=")</f>
        <v>#REF!</v>
      </c>
      <c r="IN393" t="e">
        <f>AND(#REF!,"AAAAAGf53fc=")</f>
        <v>#REF!</v>
      </c>
      <c r="IO393" t="e">
        <f>AND(#REF!,"AAAAAGf53fg=")</f>
        <v>#REF!</v>
      </c>
      <c r="IP393" t="e">
        <f>AND(#REF!,"AAAAAGf53fk=")</f>
        <v>#REF!</v>
      </c>
      <c r="IQ393" t="e">
        <f>AND(#REF!,"AAAAAGf53fo=")</f>
        <v>#REF!</v>
      </c>
      <c r="IR393" t="e">
        <f>AND(#REF!,"AAAAAGf53fs=")</f>
        <v>#REF!</v>
      </c>
      <c r="IS393" t="e">
        <f>AND(#REF!,"AAAAAGf53fw=")</f>
        <v>#REF!</v>
      </c>
      <c r="IT393" t="e">
        <f>AND(#REF!,"AAAAAGf53f0=")</f>
        <v>#REF!</v>
      </c>
      <c r="IU393" t="e">
        <f>AND(#REF!,"AAAAAGf53f4=")</f>
        <v>#REF!</v>
      </c>
      <c r="IV393" t="e">
        <f>AND(#REF!,"AAAAAGf53f8=")</f>
        <v>#REF!</v>
      </c>
    </row>
    <row r="394" spans="1:256">
      <c r="A394" t="e">
        <f>AND(#REF!,"AAAAAG/5fwA=")</f>
        <v>#REF!</v>
      </c>
      <c r="B394" t="e">
        <f>AND(#REF!,"AAAAAG/5fwE=")</f>
        <v>#REF!</v>
      </c>
      <c r="C394" t="e">
        <f>IF(#REF!,"AAAAAG/5fwI=",0)</f>
        <v>#REF!</v>
      </c>
      <c r="D394" t="e">
        <f>AND(#REF!,"AAAAAG/5fwM=")</f>
        <v>#REF!</v>
      </c>
      <c r="E394" t="e">
        <f>AND(#REF!,"AAAAAG/5fwQ=")</f>
        <v>#REF!</v>
      </c>
      <c r="F394" t="e">
        <f>AND(#REF!,"AAAAAG/5fwU=")</f>
        <v>#REF!</v>
      </c>
      <c r="G394" t="e">
        <f>AND(#REF!,"AAAAAG/5fwY=")</f>
        <v>#REF!</v>
      </c>
      <c r="H394" t="e">
        <f>AND(#REF!,"AAAAAG/5fwc=")</f>
        <v>#REF!</v>
      </c>
      <c r="I394" t="e">
        <f>AND(#REF!,"AAAAAG/5fwg=")</f>
        <v>#REF!</v>
      </c>
      <c r="J394" t="e">
        <f>AND(#REF!,"AAAAAG/5fwk=")</f>
        <v>#REF!</v>
      </c>
      <c r="K394" t="e">
        <f>AND(#REF!,"AAAAAG/5fwo=")</f>
        <v>#REF!</v>
      </c>
      <c r="L394" t="e">
        <f>AND(#REF!,"AAAAAG/5fws=")</f>
        <v>#REF!</v>
      </c>
      <c r="M394" t="e">
        <f>AND(#REF!,"AAAAAG/5fww=")</f>
        <v>#REF!</v>
      </c>
      <c r="N394" t="e">
        <f>AND(#REF!,"AAAAAG/5fw0=")</f>
        <v>#REF!</v>
      </c>
      <c r="O394" t="e">
        <f>AND(#REF!,"AAAAAG/5fw4=")</f>
        <v>#REF!</v>
      </c>
      <c r="P394" t="e">
        <f>AND(#REF!,"AAAAAG/5fw8=")</f>
        <v>#REF!</v>
      </c>
      <c r="Q394" t="e">
        <f>AND(#REF!,"AAAAAG/5fxA=")</f>
        <v>#REF!</v>
      </c>
      <c r="R394" t="e">
        <f>AND(#REF!,"AAAAAG/5fxE=")</f>
        <v>#REF!</v>
      </c>
      <c r="S394" t="e">
        <f>AND(#REF!,"AAAAAG/5fxI=")</f>
        <v>#REF!</v>
      </c>
      <c r="T394" t="e">
        <f>AND(#REF!,"AAAAAG/5fxM=")</f>
        <v>#REF!</v>
      </c>
      <c r="U394" t="e">
        <f>AND(#REF!,"AAAAAG/5fxQ=")</f>
        <v>#REF!</v>
      </c>
      <c r="V394" t="e">
        <f>AND(#REF!,"AAAAAG/5fxU=")</f>
        <v>#REF!</v>
      </c>
      <c r="W394" t="e">
        <f>AND(#REF!,"AAAAAG/5fxY=")</f>
        <v>#REF!</v>
      </c>
      <c r="X394" t="e">
        <f>AND(#REF!,"AAAAAG/5fxc=")</f>
        <v>#REF!</v>
      </c>
      <c r="Y394" t="e">
        <f>AND(#REF!,"AAAAAG/5fxg=")</f>
        <v>#REF!</v>
      </c>
      <c r="Z394" t="e">
        <f>AND(#REF!,"AAAAAG/5fxk=")</f>
        <v>#REF!</v>
      </c>
      <c r="AA394" t="e">
        <f>AND(#REF!,"AAAAAG/5fxo=")</f>
        <v>#REF!</v>
      </c>
      <c r="AB394" t="e">
        <f>IF(#REF!,"AAAAAG/5fxs=",0)</f>
        <v>#REF!</v>
      </c>
      <c r="AC394" t="e">
        <f>AND(#REF!,"AAAAAG/5fxw=")</f>
        <v>#REF!</v>
      </c>
      <c r="AD394" t="e">
        <f>AND(#REF!,"AAAAAG/5fx0=")</f>
        <v>#REF!</v>
      </c>
      <c r="AE394" t="e">
        <f>AND(#REF!,"AAAAAG/5fx4=")</f>
        <v>#REF!</v>
      </c>
      <c r="AF394" t="e">
        <f>AND(#REF!,"AAAAAG/5fx8=")</f>
        <v>#REF!</v>
      </c>
      <c r="AG394" t="e">
        <f>AND(#REF!,"AAAAAG/5fyA=")</f>
        <v>#REF!</v>
      </c>
      <c r="AH394" t="e">
        <f>AND(#REF!,"AAAAAG/5fyE=")</f>
        <v>#REF!</v>
      </c>
      <c r="AI394" t="e">
        <f>AND(#REF!,"AAAAAG/5fyI=")</f>
        <v>#REF!</v>
      </c>
      <c r="AJ394" t="e">
        <f>AND(#REF!,"AAAAAG/5fyM=")</f>
        <v>#REF!</v>
      </c>
      <c r="AK394" t="e">
        <f>AND(#REF!,"AAAAAG/5fyQ=")</f>
        <v>#REF!</v>
      </c>
      <c r="AL394" t="e">
        <f>AND(#REF!,"AAAAAG/5fyU=")</f>
        <v>#REF!</v>
      </c>
      <c r="AM394" t="e">
        <f>AND(#REF!,"AAAAAG/5fyY=")</f>
        <v>#REF!</v>
      </c>
      <c r="AN394" t="e">
        <f>AND(#REF!,"AAAAAG/5fyc=")</f>
        <v>#REF!</v>
      </c>
      <c r="AO394" t="e">
        <f>AND(#REF!,"AAAAAG/5fyg=")</f>
        <v>#REF!</v>
      </c>
      <c r="AP394" t="e">
        <f>AND(#REF!,"AAAAAG/5fyk=")</f>
        <v>#REF!</v>
      </c>
      <c r="AQ394" t="e">
        <f>AND(#REF!,"AAAAAG/5fyo=")</f>
        <v>#REF!</v>
      </c>
      <c r="AR394" t="e">
        <f>AND(#REF!,"AAAAAG/5fys=")</f>
        <v>#REF!</v>
      </c>
      <c r="AS394" t="e">
        <f>AND(#REF!,"AAAAAG/5fyw=")</f>
        <v>#REF!</v>
      </c>
      <c r="AT394" t="e">
        <f>AND(#REF!,"AAAAAG/5fy0=")</f>
        <v>#REF!</v>
      </c>
      <c r="AU394" t="e">
        <f>AND(#REF!,"AAAAAG/5fy4=")</f>
        <v>#REF!</v>
      </c>
      <c r="AV394" t="e">
        <f>AND(#REF!,"AAAAAG/5fy8=")</f>
        <v>#REF!</v>
      </c>
      <c r="AW394" t="e">
        <f>AND(#REF!,"AAAAAG/5fzA=")</f>
        <v>#REF!</v>
      </c>
      <c r="AX394" t="e">
        <f>AND(#REF!,"AAAAAG/5fzE=")</f>
        <v>#REF!</v>
      </c>
      <c r="AY394" t="e">
        <f>AND(#REF!,"AAAAAG/5fzI=")</f>
        <v>#REF!</v>
      </c>
      <c r="AZ394" t="e">
        <f>AND(#REF!,"AAAAAG/5fzM=")</f>
        <v>#REF!</v>
      </c>
      <c r="BA394" t="e">
        <f>IF(#REF!,"AAAAAG/5fzQ=",0)</f>
        <v>#REF!</v>
      </c>
      <c r="BB394" t="e">
        <f>AND(#REF!,"AAAAAG/5fzU=")</f>
        <v>#REF!</v>
      </c>
      <c r="BC394" t="e">
        <f>AND(#REF!,"AAAAAG/5fzY=")</f>
        <v>#REF!</v>
      </c>
      <c r="BD394" t="e">
        <f>AND(#REF!,"AAAAAG/5fzc=")</f>
        <v>#REF!</v>
      </c>
      <c r="BE394" t="e">
        <f>AND(#REF!,"AAAAAG/5fzg=")</f>
        <v>#REF!</v>
      </c>
      <c r="BF394" t="e">
        <f>AND(#REF!,"AAAAAG/5fzk=")</f>
        <v>#REF!</v>
      </c>
      <c r="BG394" t="e">
        <f>AND(#REF!,"AAAAAG/5fzo=")</f>
        <v>#REF!</v>
      </c>
      <c r="BH394" t="e">
        <f>AND(#REF!,"AAAAAG/5fzs=")</f>
        <v>#REF!</v>
      </c>
      <c r="BI394" t="e">
        <f>AND(#REF!,"AAAAAG/5fzw=")</f>
        <v>#REF!</v>
      </c>
      <c r="BJ394" t="e">
        <f>AND(#REF!,"AAAAAG/5fz0=")</f>
        <v>#REF!</v>
      </c>
      <c r="BK394" t="e">
        <f>AND(#REF!,"AAAAAG/5fz4=")</f>
        <v>#REF!</v>
      </c>
      <c r="BL394" t="e">
        <f>AND(#REF!,"AAAAAG/5fz8=")</f>
        <v>#REF!</v>
      </c>
      <c r="BM394" t="e">
        <f>AND(#REF!,"AAAAAG/5f0A=")</f>
        <v>#REF!</v>
      </c>
      <c r="BN394" t="e">
        <f>AND(#REF!,"AAAAAG/5f0E=")</f>
        <v>#REF!</v>
      </c>
      <c r="BO394" t="e">
        <f>AND(#REF!,"AAAAAG/5f0I=")</f>
        <v>#REF!</v>
      </c>
      <c r="BP394" t="e">
        <f>AND(#REF!,"AAAAAG/5f0M=")</f>
        <v>#REF!</v>
      </c>
      <c r="BQ394" t="e">
        <f>AND(#REF!,"AAAAAG/5f0Q=")</f>
        <v>#REF!</v>
      </c>
      <c r="BR394" t="e">
        <f>AND(#REF!,"AAAAAG/5f0U=")</f>
        <v>#REF!</v>
      </c>
      <c r="BS394" t="e">
        <f>AND(#REF!,"AAAAAG/5f0Y=")</f>
        <v>#REF!</v>
      </c>
      <c r="BT394" t="e">
        <f>AND(#REF!,"AAAAAG/5f0c=")</f>
        <v>#REF!</v>
      </c>
      <c r="BU394" t="e">
        <f>AND(#REF!,"AAAAAG/5f0g=")</f>
        <v>#REF!</v>
      </c>
      <c r="BV394" t="e">
        <f>AND(#REF!,"AAAAAG/5f0k=")</f>
        <v>#REF!</v>
      </c>
      <c r="BW394" t="e">
        <f>AND(#REF!,"AAAAAG/5f0o=")</f>
        <v>#REF!</v>
      </c>
      <c r="BX394" t="e">
        <f>AND(#REF!,"AAAAAG/5f0s=")</f>
        <v>#REF!</v>
      </c>
      <c r="BY394" t="e">
        <f>AND(#REF!,"AAAAAG/5f0w=")</f>
        <v>#REF!</v>
      </c>
      <c r="BZ394" t="e">
        <f>IF(#REF!,"AAAAAG/5f00=",0)</f>
        <v>#REF!</v>
      </c>
      <c r="CA394" t="e">
        <f>AND(#REF!,"AAAAAG/5f04=")</f>
        <v>#REF!</v>
      </c>
      <c r="CB394" t="e">
        <f>AND(#REF!,"AAAAAG/5f08=")</f>
        <v>#REF!</v>
      </c>
      <c r="CC394" t="e">
        <f>AND(#REF!,"AAAAAG/5f1A=")</f>
        <v>#REF!</v>
      </c>
      <c r="CD394" t="e">
        <f>AND(#REF!,"AAAAAG/5f1E=")</f>
        <v>#REF!</v>
      </c>
      <c r="CE394" t="e">
        <f>AND(#REF!,"AAAAAG/5f1I=")</f>
        <v>#REF!</v>
      </c>
      <c r="CF394" t="e">
        <f>AND(#REF!,"AAAAAG/5f1M=")</f>
        <v>#REF!</v>
      </c>
      <c r="CG394" t="e">
        <f>AND(#REF!,"AAAAAG/5f1Q=")</f>
        <v>#REF!</v>
      </c>
      <c r="CH394" t="e">
        <f>AND(#REF!,"AAAAAG/5f1U=")</f>
        <v>#REF!</v>
      </c>
      <c r="CI394" t="e">
        <f>AND(#REF!,"AAAAAG/5f1Y=")</f>
        <v>#REF!</v>
      </c>
      <c r="CJ394" t="e">
        <f>AND(#REF!,"AAAAAG/5f1c=")</f>
        <v>#REF!</v>
      </c>
      <c r="CK394" t="e">
        <f>AND(#REF!,"AAAAAG/5f1g=")</f>
        <v>#REF!</v>
      </c>
      <c r="CL394" t="e">
        <f>AND(#REF!,"AAAAAG/5f1k=")</f>
        <v>#REF!</v>
      </c>
      <c r="CM394" t="e">
        <f>AND(#REF!,"AAAAAG/5f1o=")</f>
        <v>#REF!</v>
      </c>
      <c r="CN394" t="e">
        <f>AND(#REF!,"AAAAAG/5f1s=")</f>
        <v>#REF!</v>
      </c>
      <c r="CO394" t="e">
        <f>AND(#REF!,"AAAAAG/5f1w=")</f>
        <v>#REF!</v>
      </c>
      <c r="CP394" t="e">
        <f>AND(#REF!,"AAAAAG/5f10=")</f>
        <v>#REF!</v>
      </c>
      <c r="CQ394" t="e">
        <f>AND(#REF!,"AAAAAG/5f14=")</f>
        <v>#REF!</v>
      </c>
      <c r="CR394" t="e">
        <f>AND(#REF!,"AAAAAG/5f18=")</f>
        <v>#REF!</v>
      </c>
      <c r="CS394" t="e">
        <f>AND(#REF!,"AAAAAG/5f2A=")</f>
        <v>#REF!</v>
      </c>
      <c r="CT394" t="e">
        <f>AND(#REF!,"AAAAAG/5f2E=")</f>
        <v>#REF!</v>
      </c>
      <c r="CU394" t="e">
        <f>AND(#REF!,"AAAAAG/5f2I=")</f>
        <v>#REF!</v>
      </c>
      <c r="CV394" t="e">
        <f>AND(#REF!,"AAAAAG/5f2M=")</f>
        <v>#REF!</v>
      </c>
      <c r="CW394" t="e">
        <f>AND(#REF!,"AAAAAG/5f2Q=")</f>
        <v>#REF!</v>
      </c>
      <c r="CX394" t="e">
        <f>AND(#REF!,"AAAAAG/5f2U=")</f>
        <v>#REF!</v>
      </c>
      <c r="CY394" t="e">
        <f>IF(#REF!,"AAAAAG/5f2Y=",0)</f>
        <v>#REF!</v>
      </c>
      <c r="CZ394" t="e">
        <f>AND(#REF!,"AAAAAG/5f2c=")</f>
        <v>#REF!</v>
      </c>
      <c r="DA394" t="e">
        <f>AND(#REF!,"AAAAAG/5f2g=")</f>
        <v>#REF!</v>
      </c>
      <c r="DB394" t="e">
        <f>AND(#REF!,"AAAAAG/5f2k=")</f>
        <v>#REF!</v>
      </c>
      <c r="DC394" t="e">
        <f>AND(#REF!,"AAAAAG/5f2o=")</f>
        <v>#REF!</v>
      </c>
      <c r="DD394" t="e">
        <f>AND(#REF!,"AAAAAG/5f2s=")</f>
        <v>#REF!</v>
      </c>
      <c r="DE394" t="e">
        <f>AND(#REF!,"AAAAAG/5f2w=")</f>
        <v>#REF!</v>
      </c>
      <c r="DF394" t="e">
        <f>AND(#REF!,"AAAAAG/5f20=")</f>
        <v>#REF!</v>
      </c>
      <c r="DG394" t="e">
        <f>AND(#REF!,"AAAAAG/5f24=")</f>
        <v>#REF!</v>
      </c>
      <c r="DH394" t="e">
        <f>AND(#REF!,"AAAAAG/5f28=")</f>
        <v>#REF!</v>
      </c>
      <c r="DI394" t="e">
        <f>AND(#REF!,"AAAAAG/5f3A=")</f>
        <v>#REF!</v>
      </c>
      <c r="DJ394" t="e">
        <f>AND(#REF!,"AAAAAG/5f3E=")</f>
        <v>#REF!</v>
      </c>
      <c r="DK394" t="e">
        <f>AND(#REF!,"AAAAAG/5f3I=")</f>
        <v>#REF!</v>
      </c>
      <c r="DL394" t="e">
        <f>AND(#REF!,"AAAAAG/5f3M=")</f>
        <v>#REF!</v>
      </c>
      <c r="DM394" t="e">
        <f>AND(#REF!,"AAAAAG/5f3Q=")</f>
        <v>#REF!</v>
      </c>
      <c r="DN394" t="e">
        <f>AND(#REF!,"AAAAAG/5f3U=")</f>
        <v>#REF!</v>
      </c>
      <c r="DO394" t="e">
        <f>AND(#REF!,"AAAAAG/5f3Y=")</f>
        <v>#REF!</v>
      </c>
      <c r="DP394" t="e">
        <f>AND(#REF!,"AAAAAG/5f3c=")</f>
        <v>#REF!</v>
      </c>
      <c r="DQ394" t="e">
        <f>AND(#REF!,"AAAAAG/5f3g=")</f>
        <v>#REF!</v>
      </c>
      <c r="DR394" t="e">
        <f>AND(#REF!,"AAAAAG/5f3k=")</f>
        <v>#REF!</v>
      </c>
      <c r="DS394" t="e">
        <f>AND(#REF!,"AAAAAG/5f3o=")</f>
        <v>#REF!</v>
      </c>
      <c r="DT394" t="e">
        <f>AND(#REF!,"AAAAAG/5f3s=")</f>
        <v>#REF!</v>
      </c>
      <c r="DU394" t="e">
        <f>AND(#REF!,"AAAAAG/5f3w=")</f>
        <v>#REF!</v>
      </c>
      <c r="DV394" t="e">
        <f>AND(#REF!,"AAAAAG/5f30=")</f>
        <v>#REF!</v>
      </c>
      <c r="DW394" t="e">
        <f>AND(#REF!,"AAAAAG/5f34=")</f>
        <v>#REF!</v>
      </c>
      <c r="DX394" t="e">
        <f>IF(#REF!,"AAAAAG/5f38=",0)</f>
        <v>#REF!</v>
      </c>
      <c r="DY394" t="e">
        <f>AND(#REF!,"AAAAAG/5f4A=")</f>
        <v>#REF!</v>
      </c>
      <c r="DZ394" t="e">
        <f>AND(#REF!,"AAAAAG/5f4E=")</f>
        <v>#REF!</v>
      </c>
      <c r="EA394" t="e">
        <f>AND(#REF!,"AAAAAG/5f4I=")</f>
        <v>#REF!</v>
      </c>
      <c r="EB394" t="e">
        <f>AND(#REF!,"AAAAAG/5f4M=")</f>
        <v>#REF!</v>
      </c>
      <c r="EC394" t="e">
        <f>AND(#REF!,"AAAAAG/5f4Q=")</f>
        <v>#REF!</v>
      </c>
      <c r="ED394" t="e">
        <f>AND(#REF!,"AAAAAG/5f4U=")</f>
        <v>#REF!</v>
      </c>
      <c r="EE394" t="e">
        <f>AND(#REF!,"AAAAAG/5f4Y=")</f>
        <v>#REF!</v>
      </c>
      <c r="EF394" t="e">
        <f>AND(#REF!,"AAAAAG/5f4c=")</f>
        <v>#REF!</v>
      </c>
      <c r="EG394" t="e">
        <f>AND(#REF!,"AAAAAG/5f4g=")</f>
        <v>#REF!</v>
      </c>
      <c r="EH394" t="e">
        <f>AND(#REF!,"AAAAAG/5f4k=")</f>
        <v>#REF!</v>
      </c>
      <c r="EI394" t="e">
        <f>AND(#REF!,"AAAAAG/5f4o=")</f>
        <v>#REF!</v>
      </c>
      <c r="EJ394" t="e">
        <f>AND(#REF!,"AAAAAG/5f4s=")</f>
        <v>#REF!</v>
      </c>
      <c r="EK394" t="e">
        <f>AND(#REF!,"AAAAAG/5f4w=")</f>
        <v>#REF!</v>
      </c>
      <c r="EL394" t="e">
        <f>AND(#REF!,"AAAAAG/5f40=")</f>
        <v>#REF!</v>
      </c>
      <c r="EM394" t="e">
        <f>AND(#REF!,"AAAAAG/5f44=")</f>
        <v>#REF!</v>
      </c>
      <c r="EN394" t="e">
        <f>AND(#REF!,"AAAAAG/5f48=")</f>
        <v>#REF!</v>
      </c>
      <c r="EO394" t="e">
        <f>AND(#REF!,"AAAAAG/5f5A=")</f>
        <v>#REF!</v>
      </c>
      <c r="EP394" t="e">
        <f>AND(#REF!,"AAAAAG/5f5E=")</f>
        <v>#REF!</v>
      </c>
      <c r="EQ394" t="e">
        <f>AND(#REF!,"AAAAAG/5f5I=")</f>
        <v>#REF!</v>
      </c>
      <c r="ER394" t="e">
        <f>AND(#REF!,"AAAAAG/5f5M=")</f>
        <v>#REF!</v>
      </c>
      <c r="ES394" t="e">
        <f>AND(#REF!,"AAAAAG/5f5Q=")</f>
        <v>#REF!</v>
      </c>
      <c r="ET394" t="e">
        <f>AND(#REF!,"AAAAAG/5f5U=")</f>
        <v>#REF!</v>
      </c>
      <c r="EU394" t="e">
        <f>AND(#REF!,"AAAAAG/5f5Y=")</f>
        <v>#REF!</v>
      </c>
      <c r="EV394" t="e">
        <f>AND(#REF!,"AAAAAG/5f5c=")</f>
        <v>#REF!</v>
      </c>
      <c r="EW394" t="e">
        <f>IF(#REF!,"AAAAAG/5f5g=",0)</f>
        <v>#REF!</v>
      </c>
      <c r="EX394" t="e">
        <f>AND(#REF!,"AAAAAG/5f5k=")</f>
        <v>#REF!</v>
      </c>
      <c r="EY394" t="e">
        <f>AND(#REF!,"AAAAAG/5f5o=")</f>
        <v>#REF!</v>
      </c>
      <c r="EZ394" t="e">
        <f>AND(#REF!,"AAAAAG/5f5s=")</f>
        <v>#REF!</v>
      </c>
      <c r="FA394" t="e">
        <f>AND(#REF!,"AAAAAG/5f5w=")</f>
        <v>#REF!</v>
      </c>
      <c r="FB394" t="e">
        <f>AND(#REF!,"AAAAAG/5f50=")</f>
        <v>#REF!</v>
      </c>
      <c r="FC394" t="e">
        <f>AND(#REF!,"AAAAAG/5f54=")</f>
        <v>#REF!</v>
      </c>
      <c r="FD394" t="e">
        <f>AND(#REF!,"AAAAAG/5f58=")</f>
        <v>#REF!</v>
      </c>
      <c r="FE394" t="e">
        <f>AND(#REF!,"AAAAAG/5f6A=")</f>
        <v>#REF!</v>
      </c>
      <c r="FF394" t="e">
        <f>AND(#REF!,"AAAAAG/5f6E=")</f>
        <v>#REF!</v>
      </c>
      <c r="FG394" t="e">
        <f>AND(#REF!,"AAAAAG/5f6I=")</f>
        <v>#REF!</v>
      </c>
      <c r="FH394" t="e">
        <f>AND(#REF!,"AAAAAG/5f6M=")</f>
        <v>#REF!</v>
      </c>
      <c r="FI394" t="e">
        <f>AND(#REF!,"AAAAAG/5f6Q=")</f>
        <v>#REF!</v>
      </c>
      <c r="FJ394" t="e">
        <f>AND(#REF!,"AAAAAG/5f6U=")</f>
        <v>#REF!</v>
      </c>
      <c r="FK394" t="e">
        <f>AND(#REF!,"AAAAAG/5f6Y=")</f>
        <v>#REF!</v>
      </c>
      <c r="FL394" t="e">
        <f>AND(#REF!,"AAAAAG/5f6c=")</f>
        <v>#REF!</v>
      </c>
      <c r="FM394" t="e">
        <f>AND(#REF!,"AAAAAG/5f6g=")</f>
        <v>#REF!</v>
      </c>
      <c r="FN394" t="e">
        <f>AND(#REF!,"AAAAAG/5f6k=")</f>
        <v>#REF!</v>
      </c>
      <c r="FO394" t="e">
        <f>AND(#REF!,"AAAAAG/5f6o=")</f>
        <v>#REF!</v>
      </c>
      <c r="FP394" t="e">
        <f>AND(#REF!,"AAAAAG/5f6s=")</f>
        <v>#REF!</v>
      </c>
      <c r="FQ394" t="e">
        <f>AND(#REF!,"AAAAAG/5f6w=")</f>
        <v>#REF!</v>
      </c>
      <c r="FR394" t="e">
        <f>AND(#REF!,"AAAAAG/5f60=")</f>
        <v>#REF!</v>
      </c>
      <c r="FS394" t="e">
        <f>AND(#REF!,"AAAAAG/5f64=")</f>
        <v>#REF!</v>
      </c>
      <c r="FT394" t="e">
        <f>AND(#REF!,"AAAAAG/5f68=")</f>
        <v>#REF!</v>
      </c>
      <c r="FU394" t="e">
        <f>AND(#REF!,"AAAAAG/5f7A=")</f>
        <v>#REF!</v>
      </c>
      <c r="FV394" t="e">
        <f>IF(#REF!,"AAAAAG/5f7E=",0)</f>
        <v>#REF!</v>
      </c>
      <c r="FW394" t="e">
        <f>AND(#REF!,"AAAAAG/5f7I=")</f>
        <v>#REF!</v>
      </c>
      <c r="FX394" t="e">
        <f>AND(#REF!,"AAAAAG/5f7M=")</f>
        <v>#REF!</v>
      </c>
      <c r="FY394" t="e">
        <f>AND(#REF!,"AAAAAG/5f7Q=")</f>
        <v>#REF!</v>
      </c>
      <c r="FZ394" t="e">
        <f>AND(#REF!,"AAAAAG/5f7U=")</f>
        <v>#REF!</v>
      </c>
      <c r="GA394" t="e">
        <f>AND(#REF!,"AAAAAG/5f7Y=")</f>
        <v>#REF!</v>
      </c>
      <c r="GB394" t="e">
        <f>AND(#REF!,"AAAAAG/5f7c=")</f>
        <v>#REF!</v>
      </c>
      <c r="GC394" t="e">
        <f>AND(#REF!,"AAAAAG/5f7g=")</f>
        <v>#REF!</v>
      </c>
      <c r="GD394" t="e">
        <f>AND(#REF!,"AAAAAG/5f7k=")</f>
        <v>#REF!</v>
      </c>
      <c r="GE394" t="e">
        <f>AND(#REF!,"AAAAAG/5f7o=")</f>
        <v>#REF!</v>
      </c>
      <c r="GF394" t="e">
        <f>AND(#REF!,"AAAAAG/5f7s=")</f>
        <v>#REF!</v>
      </c>
      <c r="GG394" t="e">
        <f>AND(#REF!,"AAAAAG/5f7w=")</f>
        <v>#REF!</v>
      </c>
      <c r="GH394" t="e">
        <f>AND(#REF!,"AAAAAG/5f70=")</f>
        <v>#REF!</v>
      </c>
      <c r="GI394" t="e">
        <f>AND(#REF!,"AAAAAG/5f74=")</f>
        <v>#REF!</v>
      </c>
      <c r="GJ394" t="e">
        <f>AND(#REF!,"AAAAAG/5f78=")</f>
        <v>#REF!</v>
      </c>
      <c r="GK394" t="e">
        <f>AND(#REF!,"AAAAAG/5f8A=")</f>
        <v>#REF!</v>
      </c>
      <c r="GL394" t="e">
        <f>AND(#REF!,"AAAAAG/5f8E=")</f>
        <v>#REF!</v>
      </c>
      <c r="GM394" t="e">
        <f>AND(#REF!,"AAAAAG/5f8I=")</f>
        <v>#REF!</v>
      </c>
      <c r="GN394" t="e">
        <f>AND(#REF!,"AAAAAG/5f8M=")</f>
        <v>#REF!</v>
      </c>
      <c r="GO394" t="e">
        <f>AND(#REF!,"AAAAAG/5f8Q=")</f>
        <v>#REF!</v>
      </c>
      <c r="GP394" t="e">
        <f>AND(#REF!,"AAAAAG/5f8U=")</f>
        <v>#REF!</v>
      </c>
      <c r="GQ394" t="e">
        <f>AND(#REF!,"AAAAAG/5f8Y=")</f>
        <v>#REF!</v>
      </c>
      <c r="GR394" t="e">
        <f>AND(#REF!,"AAAAAG/5f8c=")</f>
        <v>#REF!</v>
      </c>
      <c r="GS394" t="e">
        <f>AND(#REF!,"AAAAAG/5f8g=")</f>
        <v>#REF!</v>
      </c>
      <c r="GT394" t="e">
        <f>AND(#REF!,"AAAAAG/5f8k=")</f>
        <v>#REF!</v>
      </c>
      <c r="GU394" t="e">
        <f>IF(#REF!,"AAAAAG/5f8o=",0)</f>
        <v>#REF!</v>
      </c>
      <c r="GV394" t="e">
        <f>AND(#REF!,"AAAAAG/5f8s=")</f>
        <v>#REF!</v>
      </c>
      <c r="GW394" t="e">
        <f>AND(#REF!,"AAAAAG/5f8w=")</f>
        <v>#REF!</v>
      </c>
      <c r="GX394" t="e">
        <f>AND(#REF!,"AAAAAG/5f80=")</f>
        <v>#REF!</v>
      </c>
      <c r="GY394" t="e">
        <f>AND(#REF!,"AAAAAG/5f84=")</f>
        <v>#REF!</v>
      </c>
      <c r="GZ394" t="e">
        <f>AND(#REF!,"AAAAAG/5f88=")</f>
        <v>#REF!</v>
      </c>
      <c r="HA394" t="e">
        <f>AND(#REF!,"AAAAAG/5f9A=")</f>
        <v>#REF!</v>
      </c>
      <c r="HB394" t="e">
        <f>AND(#REF!,"AAAAAG/5f9E=")</f>
        <v>#REF!</v>
      </c>
      <c r="HC394" t="e">
        <f>AND(#REF!,"AAAAAG/5f9I=")</f>
        <v>#REF!</v>
      </c>
      <c r="HD394" t="e">
        <f>AND(#REF!,"AAAAAG/5f9M=")</f>
        <v>#REF!</v>
      </c>
      <c r="HE394" t="e">
        <f>AND(#REF!,"AAAAAG/5f9Q=")</f>
        <v>#REF!</v>
      </c>
      <c r="HF394" t="e">
        <f>AND(#REF!,"AAAAAG/5f9U=")</f>
        <v>#REF!</v>
      </c>
      <c r="HG394" t="e">
        <f>AND(#REF!,"AAAAAG/5f9Y=")</f>
        <v>#REF!</v>
      </c>
      <c r="HH394" t="e">
        <f>AND(#REF!,"AAAAAG/5f9c=")</f>
        <v>#REF!</v>
      </c>
      <c r="HI394" t="e">
        <f>AND(#REF!,"AAAAAG/5f9g=")</f>
        <v>#REF!</v>
      </c>
      <c r="HJ394" t="e">
        <f>AND(#REF!,"AAAAAG/5f9k=")</f>
        <v>#REF!</v>
      </c>
      <c r="HK394" t="e">
        <f>AND(#REF!,"AAAAAG/5f9o=")</f>
        <v>#REF!</v>
      </c>
      <c r="HL394" t="e">
        <f>AND(#REF!,"AAAAAG/5f9s=")</f>
        <v>#REF!</v>
      </c>
      <c r="HM394" t="e">
        <f>AND(#REF!,"AAAAAG/5f9w=")</f>
        <v>#REF!</v>
      </c>
      <c r="HN394" t="e">
        <f>AND(#REF!,"AAAAAG/5f90=")</f>
        <v>#REF!</v>
      </c>
      <c r="HO394" t="e">
        <f>AND(#REF!,"AAAAAG/5f94=")</f>
        <v>#REF!</v>
      </c>
      <c r="HP394" t="e">
        <f>AND(#REF!,"AAAAAG/5f98=")</f>
        <v>#REF!</v>
      </c>
      <c r="HQ394" t="e">
        <f>AND(#REF!,"AAAAAG/5f+A=")</f>
        <v>#REF!</v>
      </c>
      <c r="HR394" t="e">
        <f>AND(#REF!,"AAAAAG/5f+E=")</f>
        <v>#REF!</v>
      </c>
      <c r="HS394" t="e">
        <f>AND(#REF!,"AAAAAG/5f+I=")</f>
        <v>#REF!</v>
      </c>
      <c r="HT394" t="e">
        <f>IF(#REF!,"AAAAAG/5f+M=",0)</f>
        <v>#REF!</v>
      </c>
      <c r="HU394" t="e">
        <f>AND(#REF!,"AAAAAG/5f+Q=")</f>
        <v>#REF!</v>
      </c>
      <c r="HV394" t="e">
        <f>AND(#REF!,"AAAAAG/5f+U=")</f>
        <v>#REF!</v>
      </c>
      <c r="HW394" t="e">
        <f>AND(#REF!,"AAAAAG/5f+Y=")</f>
        <v>#REF!</v>
      </c>
      <c r="HX394" t="e">
        <f>AND(#REF!,"AAAAAG/5f+c=")</f>
        <v>#REF!</v>
      </c>
      <c r="HY394" t="e">
        <f>AND(#REF!,"AAAAAG/5f+g=")</f>
        <v>#REF!</v>
      </c>
      <c r="HZ394" t="e">
        <f>AND(#REF!,"AAAAAG/5f+k=")</f>
        <v>#REF!</v>
      </c>
      <c r="IA394" t="e">
        <f>AND(#REF!,"AAAAAG/5f+o=")</f>
        <v>#REF!</v>
      </c>
      <c r="IB394" t="e">
        <f>AND(#REF!,"AAAAAG/5f+s=")</f>
        <v>#REF!</v>
      </c>
      <c r="IC394" t="e">
        <f>AND(#REF!,"AAAAAG/5f+w=")</f>
        <v>#REF!</v>
      </c>
      <c r="ID394" t="e">
        <f>AND(#REF!,"AAAAAG/5f+0=")</f>
        <v>#REF!</v>
      </c>
      <c r="IE394" t="e">
        <f>AND(#REF!,"AAAAAG/5f+4=")</f>
        <v>#REF!</v>
      </c>
      <c r="IF394" t="e">
        <f>AND(#REF!,"AAAAAG/5f+8=")</f>
        <v>#REF!</v>
      </c>
      <c r="IG394" t="e">
        <f>AND(#REF!,"AAAAAG/5f/A=")</f>
        <v>#REF!</v>
      </c>
      <c r="IH394" t="e">
        <f>AND(#REF!,"AAAAAG/5f/E=")</f>
        <v>#REF!</v>
      </c>
      <c r="II394" t="e">
        <f>AND(#REF!,"AAAAAG/5f/I=")</f>
        <v>#REF!</v>
      </c>
      <c r="IJ394" t="e">
        <f>AND(#REF!,"AAAAAG/5f/M=")</f>
        <v>#REF!</v>
      </c>
      <c r="IK394" t="e">
        <f>AND(#REF!,"AAAAAG/5f/Q=")</f>
        <v>#REF!</v>
      </c>
      <c r="IL394" t="e">
        <f>AND(#REF!,"AAAAAG/5f/U=")</f>
        <v>#REF!</v>
      </c>
      <c r="IM394" t="e">
        <f>AND(#REF!,"AAAAAG/5f/Y=")</f>
        <v>#REF!</v>
      </c>
      <c r="IN394" t="e">
        <f>AND(#REF!,"AAAAAG/5f/c=")</f>
        <v>#REF!</v>
      </c>
      <c r="IO394" t="e">
        <f>AND(#REF!,"AAAAAG/5f/g=")</f>
        <v>#REF!</v>
      </c>
      <c r="IP394" t="e">
        <f>AND(#REF!,"AAAAAG/5f/k=")</f>
        <v>#REF!</v>
      </c>
      <c r="IQ394" t="e">
        <f>AND(#REF!,"AAAAAG/5f/o=")</f>
        <v>#REF!</v>
      </c>
      <c r="IR394" t="e">
        <f>AND(#REF!,"AAAAAG/5f/s=")</f>
        <v>#REF!</v>
      </c>
      <c r="IS394" t="e">
        <f>IF(#REF!,"AAAAAG/5f/w=",0)</f>
        <v>#REF!</v>
      </c>
      <c r="IT394" t="e">
        <f>AND(#REF!,"AAAAAG/5f/0=")</f>
        <v>#REF!</v>
      </c>
      <c r="IU394" t="e">
        <f>AND(#REF!,"AAAAAG/5f/4=")</f>
        <v>#REF!</v>
      </c>
      <c r="IV394" t="e">
        <f>AND(#REF!,"AAAAAG/5f/8=")</f>
        <v>#REF!</v>
      </c>
    </row>
    <row r="395" spans="1:256">
      <c r="A395" t="e">
        <f>AND(#REF!,"AAAAABd/7QA=")</f>
        <v>#REF!</v>
      </c>
      <c r="B395" t="e">
        <f>AND(#REF!,"AAAAABd/7QE=")</f>
        <v>#REF!</v>
      </c>
      <c r="C395" t="e">
        <f>AND(#REF!,"AAAAABd/7QI=")</f>
        <v>#REF!</v>
      </c>
      <c r="D395" t="e">
        <f>AND(#REF!,"AAAAABd/7QM=")</f>
        <v>#REF!</v>
      </c>
      <c r="E395" t="e">
        <f>AND(#REF!,"AAAAABd/7QQ=")</f>
        <v>#REF!</v>
      </c>
      <c r="F395" t="e">
        <f>AND(#REF!,"AAAAABd/7QU=")</f>
        <v>#REF!</v>
      </c>
      <c r="G395" t="e">
        <f>AND(#REF!,"AAAAABd/7QY=")</f>
        <v>#REF!</v>
      </c>
      <c r="H395" t="e">
        <f>AND(#REF!,"AAAAABd/7Qc=")</f>
        <v>#REF!</v>
      </c>
      <c r="I395" t="e">
        <f>AND(#REF!,"AAAAABd/7Qg=")</f>
        <v>#REF!</v>
      </c>
      <c r="J395" t="e">
        <f>AND(#REF!,"AAAAABd/7Qk=")</f>
        <v>#REF!</v>
      </c>
      <c r="K395" t="e">
        <f>AND(#REF!,"AAAAABd/7Qo=")</f>
        <v>#REF!</v>
      </c>
      <c r="L395" t="e">
        <f>AND(#REF!,"AAAAABd/7Qs=")</f>
        <v>#REF!</v>
      </c>
      <c r="M395" t="e">
        <f>AND(#REF!,"AAAAABd/7Qw=")</f>
        <v>#REF!</v>
      </c>
      <c r="N395" t="e">
        <f>AND(#REF!,"AAAAABd/7Q0=")</f>
        <v>#REF!</v>
      </c>
      <c r="O395" t="e">
        <f>AND(#REF!,"AAAAABd/7Q4=")</f>
        <v>#REF!</v>
      </c>
      <c r="P395" t="e">
        <f>AND(#REF!,"AAAAABd/7Q8=")</f>
        <v>#REF!</v>
      </c>
      <c r="Q395" t="e">
        <f>AND(#REF!,"AAAAABd/7RA=")</f>
        <v>#REF!</v>
      </c>
      <c r="R395" t="e">
        <f>AND(#REF!,"AAAAABd/7RE=")</f>
        <v>#REF!</v>
      </c>
      <c r="S395" t="e">
        <f>AND(#REF!,"AAAAABd/7RI=")</f>
        <v>#REF!</v>
      </c>
      <c r="T395" t="e">
        <f>AND(#REF!,"AAAAABd/7RM=")</f>
        <v>#REF!</v>
      </c>
      <c r="U395" t="e">
        <f>AND(#REF!,"AAAAABd/7RQ=")</f>
        <v>#REF!</v>
      </c>
      <c r="V395" t="e">
        <f>IF(#REF!,"AAAAABd/7RU=",0)</f>
        <v>#REF!</v>
      </c>
      <c r="W395" t="e">
        <f>AND(#REF!,"AAAAABd/7RY=")</f>
        <v>#REF!</v>
      </c>
      <c r="X395" t="e">
        <f>AND(#REF!,"AAAAABd/7Rc=")</f>
        <v>#REF!</v>
      </c>
      <c r="Y395" t="e">
        <f>AND(#REF!,"AAAAABd/7Rg=")</f>
        <v>#REF!</v>
      </c>
      <c r="Z395" t="e">
        <f>AND(#REF!,"AAAAABd/7Rk=")</f>
        <v>#REF!</v>
      </c>
      <c r="AA395" t="e">
        <f>AND(#REF!,"AAAAABd/7Ro=")</f>
        <v>#REF!</v>
      </c>
      <c r="AB395" t="e">
        <f>AND(#REF!,"AAAAABd/7Rs=")</f>
        <v>#REF!</v>
      </c>
      <c r="AC395" t="e">
        <f>AND(#REF!,"AAAAABd/7Rw=")</f>
        <v>#REF!</v>
      </c>
      <c r="AD395" t="e">
        <f>AND(#REF!,"AAAAABd/7R0=")</f>
        <v>#REF!</v>
      </c>
      <c r="AE395" t="e">
        <f>AND(#REF!,"AAAAABd/7R4=")</f>
        <v>#REF!</v>
      </c>
      <c r="AF395" t="e">
        <f>AND(#REF!,"AAAAABd/7R8=")</f>
        <v>#REF!</v>
      </c>
      <c r="AG395" t="e">
        <f>AND(#REF!,"AAAAABd/7SA=")</f>
        <v>#REF!</v>
      </c>
      <c r="AH395" t="e">
        <f>AND(#REF!,"AAAAABd/7SE=")</f>
        <v>#REF!</v>
      </c>
      <c r="AI395" t="e">
        <f>AND(#REF!,"AAAAABd/7SI=")</f>
        <v>#REF!</v>
      </c>
      <c r="AJ395" t="e">
        <f>AND(#REF!,"AAAAABd/7SM=")</f>
        <v>#REF!</v>
      </c>
      <c r="AK395" t="e">
        <f>AND(#REF!,"AAAAABd/7SQ=")</f>
        <v>#REF!</v>
      </c>
      <c r="AL395" t="e">
        <f>AND(#REF!,"AAAAABd/7SU=")</f>
        <v>#REF!</v>
      </c>
      <c r="AM395" t="e">
        <f>AND(#REF!,"AAAAABd/7SY=")</f>
        <v>#REF!</v>
      </c>
      <c r="AN395" t="e">
        <f>AND(#REF!,"AAAAABd/7Sc=")</f>
        <v>#REF!</v>
      </c>
      <c r="AO395" t="e">
        <f>AND(#REF!,"AAAAABd/7Sg=")</f>
        <v>#REF!</v>
      </c>
      <c r="AP395" t="e">
        <f>AND(#REF!,"AAAAABd/7Sk=")</f>
        <v>#REF!</v>
      </c>
      <c r="AQ395" t="e">
        <f>AND(#REF!,"AAAAABd/7So=")</f>
        <v>#REF!</v>
      </c>
      <c r="AR395" t="e">
        <f>AND(#REF!,"AAAAABd/7Ss=")</f>
        <v>#REF!</v>
      </c>
      <c r="AS395" t="e">
        <f>AND(#REF!,"AAAAABd/7Sw=")</f>
        <v>#REF!</v>
      </c>
      <c r="AT395" t="e">
        <f>AND(#REF!,"AAAAABd/7S0=")</f>
        <v>#REF!</v>
      </c>
      <c r="AU395" t="e">
        <f>IF(#REF!,"AAAAABd/7S4=",0)</f>
        <v>#REF!</v>
      </c>
      <c r="AV395" t="e">
        <f>AND(#REF!,"AAAAABd/7S8=")</f>
        <v>#REF!</v>
      </c>
      <c r="AW395" t="e">
        <f>AND(#REF!,"AAAAABd/7TA=")</f>
        <v>#REF!</v>
      </c>
      <c r="AX395" t="e">
        <f>AND(#REF!,"AAAAABd/7TE=")</f>
        <v>#REF!</v>
      </c>
      <c r="AY395" t="e">
        <f>AND(#REF!,"AAAAABd/7TI=")</f>
        <v>#REF!</v>
      </c>
      <c r="AZ395" t="e">
        <f>AND(#REF!,"AAAAABd/7TM=")</f>
        <v>#REF!</v>
      </c>
      <c r="BA395" t="e">
        <f>AND(#REF!,"AAAAABd/7TQ=")</f>
        <v>#REF!</v>
      </c>
      <c r="BB395" t="e">
        <f>AND(#REF!,"AAAAABd/7TU=")</f>
        <v>#REF!</v>
      </c>
      <c r="BC395" t="e">
        <f>AND(#REF!,"AAAAABd/7TY=")</f>
        <v>#REF!</v>
      </c>
      <c r="BD395" t="e">
        <f>AND(#REF!,"AAAAABd/7Tc=")</f>
        <v>#REF!</v>
      </c>
      <c r="BE395" t="e">
        <f>AND(#REF!,"AAAAABd/7Tg=")</f>
        <v>#REF!</v>
      </c>
      <c r="BF395" t="e">
        <f>AND(#REF!,"AAAAABd/7Tk=")</f>
        <v>#REF!</v>
      </c>
      <c r="BG395" t="e">
        <f>AND(#REF!,"AAAAABd/7To=")</f>
        <v>#REF!</v>
      </c>
      <c r="BH395" t="e">
        <f>AND(#REF!,"AAAAABd/7Ts=")</f>
        <v>#REF!</v>
      </c>
      <c r="BI395" t="e">
        <f>AND(#REF!,"AAAAABd/7Tw=")</f>
        <v>#REF!</v>
      </c>
      <c r="BJ395" t="e">
        <f>AND(#REF!,"AAAAABd/7T0=")</f>
        <v>#REF!</v>
      </c>
      <c r="BK395" t="e">
        <f>AND(#REF!,"AAAAABd/7T4=")</f>
        <v>#REF!</v>
      </c>
      <c r="BL395" t="e">
        <f>AND(#REF!,"AAAAABd/7T8=")</f>
        <v>#REF!</v>
      </c>
      <c r="BM395" t="e">
        <f>AND(#REF!,"AAAAABd/7UA=")</f>
        <v>#REF!</v>
      </c>
      <c r="BN395" t="e">
        <f>AND(#REF!,"AAAAABd/7UE=")</f>
        <v>#REF!</v>
      </c>
      <c r="BO395" t="e">
        <f>AND(#REF!,"AAAAABd/7UI=")</f>
        <v>#REF!</v>
      </c>
      <c r="BP395" t="e">
        <f>AND(#REF!,"AAAAABd/7UM=")</f>
        <v>#REF!</v>
      </c>
      <c r="BQ395" t="e">
        <f>AND(#REF!,"AAAAABd/7UQ=")</f>
        <v>#REF!</v>
      </c>
      <c r="BR395" t="e">
        <f>AND(#REF!,"AAAAABd/7UU=")</f>
        <v>#REF!</v>
      </c>
      <c r="BS395" t="e">
        <f>AND(#REF!,"AAAAABd/7UY=")</f>
        <v>#REF!</v>
      </c>
      <c r="BT395" t="e">
        <f>IF(#REF!,"AAAAABd/7Uc=",0)</f>
        <v>#REF!</v>
      </c>
      <c r="BU395" t="e">
        <f>AND(#REF!,"AAAAABd/7Ug=")</f>
        <v>#REF!</v>
      </c>
      <c r="BV395" t="e">
        <f>AND(#REF!,"AAAAABd/7Uk=")</f>
        <v>#REF!</v>
      </c>
      <c r="BW395" t="e">
        <f>AND(#REF!,"AAAAABd/7Uo=")</f>
        <v>#REF!</v>
      </c>
      <c r="BX395" t="e">
        <f>AND(#REF!,"AAAAABd/7Us=")</f>
        <v>#REF!</v>
      </c>
      <c r="BY395" t="e">
        <f>AND(#REF!,"AAAAABd/7Uw=")</f>
        <v>#REF!</v>
      </c>
      <c r="BZ395" t="e">
        <f>AND(#REF!,"AAAAABd/7U0=")</f>
        <v>#REF!</v>
      </c>
      <c r="CA395" t="e">
        <f>AND(#REF!,"AAAAABd/7U4=")</f>
        <v>#REF!</v>
      </c>
      <c r="CB395" t="e">
        <f>AND(#REF!,"AAAAABd/7U8=")</f>
        <v>#REF!</v>
      </c>
      <c r="CC395" t="e">
        <f>AND(#REF!,"AAAAABd/7VA=")</f>
        <v>#REF!</v>
      </c>
      <c r="CD395" t="e">
        <f>AND(#REF!,"AAAAABd/7VE=")</f>
        <v>#REF!</v>
      </c>
      <c r="CE395" t="e">
        <f>AND(#REF!,"AAAAABd/7VI=")</f>
        <v>#REF!</v>
      </c>
      <c r="CF395" t="e">
        <f>AND(#REF!,"AAAAABd/7VM=")</f>
        <v>#REF!</v>
      </c>
      <c r="CG395" t="e">
        <f>AND(#REF!,"AAAAABd/7VQ=")</f>
        <v>#REF!</v>
      </c>
      <c r="CH395" t="e">
        <f>AND(#REF!,"AAAAABd/7VU=")</f>
        <v>#REF!</v>
      </c>
      <c r="CI395" t="e">
        <f>AND(#REF!,"AAAAABd/7VY=")</f>
        <v>#REF!</v>
      </c>
      <c r="CJ395" t="e">
        <f>AND(#REF!,"AAAAABd/7Vc=")</f>
        <v>#REF!</v>
      </c>
      <c r="CK395" t="e">
        <f>AND(#REF!,"AAAAABd/7Vg=")</f>
        <v>#REF!</v>
      </c>
      <c r="CL395" t="e">
        <f>AND(#REF!,"AAAAABd/7Vk=")</f>
        <v>#REF!</v>
      </c>
      <c r="CM395" t="e">
        <f>AND(#REF!,"AAAAABd/7Vo=")</f>
        <v>#REF!</v>
      </c>
      <c r="CN395" t="e">
        <f>AND(#REF!,"AAAAABd/7Vs=")</f>
        <v>#REF!</v>
      </c>
      <c r="CO395" t="e">
        <f>AND(#REF!,"AAAAABd/7Vw=")</f>
        <v>#REF!</v>
      </c>
      <c r="CP395" t="e">
        <f>AND(#REF!,"AAAAABd/7V0=")</f>
        <v>#REF!</v>
      </c>
      <c r="CQ395" t="e">
        <f>AND(#REF!,"AAAAABd/7V4=")</f>
        <v>#REF!</v>
      </c>
      <c r="CR395" t="e">
        <f>AND(#REF!,"AAAAABd/7V8=")</f>
        <v>#REF!</v>
      </c>
      <c r="CS395" t="e">
        <f>IF(#REF!,"AAAAABd/7WA=",0)</f>
        <v>#REF!</v>
      </c>
      <c r="CT395" t="e">
        <f>AND(#REF!,"AAAAABd/7WE=")</f>
        <v>#REF!</v>
      </c>
      <c r="CU395" t="e">
        <f>AND(#REF!,"AAAAABd/7WI=")</f>
        <v>#REF!</v>
      </c>
      <c r="CV395" t="e">
        <f>AND(#REF!,"AAAAABd/7WM=")</f>
        <v>#REF!</v>
      </c>
      <c r="CW395" t="e">
        <f>AND(#REF!,"AAAAABd/7WQ=")</f>
        <v>#REF!</v>
      </c>
      <c r="CX395" t="e">
        <f>AND(#REF!,"AAAAABd/7WU=")</f>
        <v>#REF!</v>
      </c>
      <c r="CY395" t="e">
        <f>AND(#REF!,"AAAAABd/7WY=")</f>
        <v>#REF!</v>
      </c>
      <c r="CZ395" t="e">
        <f>AND(#REF!,"AAAAABd/7Wc=")</f>
        <v>#REF!</v>
      </c>
      <c r="DA395" t="e">
        <f>AND(#REF!,"AAAAABd/7Wg=")</f>
        <v>#REF!</v>
      </c>
      <c r="DB395" t="e">
        <f>AND(#REF!,"AAAAABd/7Wk=")</f>
        <v>#REF!</v>
      </c>
      <c r="DC395" t="e">
        <f>AND(#REF!,"AAAAABd/7Wo=")</f>
        <v>#REF!</v>
      </c>
      <c r="DD395" t="e">
        <f>AND(#REF!,"AAAAABd/7Ws=")</f>
        <v>#REF!</v>
      </c>
      <c r="DE395" t="e">
        <f>AND(#REF!,"AAAAABd/7Ww=")</f>
        <v>#REF!</v>
      </c>
      <c r="DF395" t="e">
        <f>AND(#REF!,"AAAAABd/7W0=")</f>
        <v>#REF!</v>
      </c>
      <c r="DG395" t="e">
        <f>AND(#REF!,"AAAAABd/7W4=")</f>
        <v>#REF!</v>
      </c>
      <c r="DH395" t="e">
        <f>AND(#REF!,"AAAAABd/7W8=")</f>
        <v>#REF!</v>
      </c>
      <c r="DI395" t="e">
        <f>AND(#REF!,"AAAAABd/7XA=")</f>
        <v>#REF!</v>
      </c>
      <c r="DJ395" t="e">
        <f>AND(#REF!,"AAAAABd/7XE=")</f>
        <v>#REF!</v>
      </c>
      <c r="DK395" t="e">
        <f>AND(#REF!,"AAAAABd/7XI=")</f>
        <v>#REF!</v>
      </c>
      <c r="DL395" t="e">
        <f>AND(#REF!,"AAAAABd/7XM=")</f>
        <v>#REF!</v>
      </c>
      <c r="DM395" t="e">
        <f>AND(#REF!,"AAAAABd/7XQ=")</f>
        <v>#REF!</v>
      </c>
      <c r="DN395" t="e">
        <f>AND(#REF!,"AAAAABd/7XU=")</f>
        <v>#REF!</v>
      </c>
      <c r="DO395" t="e">
        <f>AND(#REF!,"AAAAABd/7XY=")</f>
        <v>#REF!</v>
      </c>
      <c r="DP395" t="e">
        <f>AND(#REF!,"AAAAABd/7Xc=")</f>
        <v>#REF!</v>
      </c>
      <c r="DQ395" t="e">
        <f>AND(#REF!,"AAAAABd/7Xg=")</f>
        <v>#REF!</v>
      </c>
      <c r="DR395" t="e">
        <f>IF(#REF!,"AAAAABd/7Xk=",0)</f>
        <v>#REF!</v>
      </c>
      <c r="DS395" t="e">
        <f>AND(#REF!,"AAAAABd/7Xo=")</f>
        <v>#REF!</v>
      </c>
      <c r="DT395" t="e">
        <f>AND(#REF!,"AAAAABd/7Xs=")</f>
        <v>#REF!</v>
      </c>
      <c r="DU395" t="e">
        <f>AND(#REF!,"AAAAABd/7Xw=")</f>
        <v>#REF!</v>
      </c>
      <c r="DV395" t="e">
        <f>AND(#REF!,"AAAAABd/7X0=")</f>
        <v>#REF!</v>
      </c>
      <c r="DW395" t="e">
        <f>AND(#REF!,"AAAAABd/7X4=")</f>
        <v>#REF!</v>
      </c>
      <c r="DX395" t="e">
        <f>AND(#REF!,"AAAAABd/7X8=")</f>
        <v>#REF!</v>
      </c>
      <c r="DY395" t="e">
        <f>AND(#REF!,"AAAAABd/7YA=")</f>
        <v>#REF!</v>
      </c>
      <c r="DZ395" t="e">
        <f>AND(#REF!,"AAAAABd/7YE=")</f>
        <v>#REF!</v>
      </c>
      <c r="EA395" t="e">
        <f>AND(#REF!,"AAAAABd/7YI=")</f>
        <v>#REF!</v>
      </c>
      <c r="EB395" t="e">
        <f>AND(#REF!,"AAAAABd/7YM=")</f>
        <v>#REF!</v>
      </c>
      <c r="EC395" t="e">
        <f>AND(#REF!,"AAAAABd/7YQ=")</f>
        <v>#REF!</v>
      </c>
      <c r="ED395" t="e">
        <f>AND(#REF!,"AAAAABd/7YU=")</f>
        <v>#REF!</v>
      </c>
      <c r="EE395" t="e">
        <f>AND(#REF!,"AAAAABd/7YY=")</f>
        <v>#REF!</v>
      </c>
      <c r="EF395" t="e">
        <f>AND(#REF!,"AAAAABd/7Yc=")</f>
        <v>#REF!</v>
      </c>
      <c r="EG395" t="e">
        <f>AND(#REF!,"AAAAABd/7Yg=")</f>
        <v>#REF!</v>
      </c>
      <c r="EH395" t="e">
        <f>AND(#REF!,"AAAAABd/7Yk=")</f>
        <v>#REF!</v>
      </c>
      <c r="EI395" t="e">
        <f>AND(#REF!,"AAAAABd/7Yo=")</f>
        <v>#REF!</v>
      </c>
      <c r="EJ395" t="e">
        <f>AND(#REF!,"AAAAABd/7Ys=")</f>
        <v>#REF!</v>
      </c>
      <c r="EK395" t="e">
        <f>AND(#REF!,"AAAAABd/7Yw=")</f>
        <v>#REF!</v>
      </c>
      <c r="EL395" t="e">
        <f>AND(#REF!,"AAAAABd/7Y0=")</f>
        <v>#REF!</v>
      </c>
      <c r="EM395" t="e">
        <f>AND(#REF!,"AAAAABd/7Y4=")</f>
        <v>#REF!</v>
      </c>
      <c r="EN395" t="e">
        <f>AND(#REF!,"AAAAABd/7Y8=")</f>
        <v>#REF!</v>
      </c>
      <c r="EO395" t="e">
        <f>AND(#REF!,"AAAAABd/7ZA=")</f>
        <v>#REF!</v>
      </c>
      <c r="EP395" t="e">
        <f>AND(#REF!,"AAAAABd/7ZE=")</f>
        <v>#REF!</v>
      </c>
      <c r="EQ395" t="e">
        <f>IF(#REF!,"AAAAABd/7ZI=",0)</f>
        <v>#REF!</v>
      </c>
      <c r="ER395" t="e">
        <f>AND(#REF!,"AAAAABd/7ZM=")</f>
        <v>#REF!</v>
      </c>
      <c r="ES395" t="e">
        <f>AND(#REF!,"AAAAABd/7ZQ=")</f>
        <v>#REF!</v>
      </c>
      <c r="ET395" t="e">
        <f>AND(#REF!,"AAAAABd/7ZU=")</f>
        <v>#REF!</v>
      </c>
      <c r="EU395" t="e">
        <f>AND(#REF!,"AAAAABd/7ZY=")</f>
        <v>#REF!</v>
      </c>
      <c r="EV395" t="e">
        <f>AND(#REF!,"AAAAABd/7Zc=")</f>
        <v>#REF!</v>
      </c>
      <c r="EW395" t="e">
        <f>AND(#REF!,"AAAAABd/7Zg=")</f>
        <v>#REF!</v>
      </c>
      <c r="EX395" t="e">
        <f>AND(#REF!,"AAAAABd/7Zk=")</f>
        <v>#REF!</v>
      </c>
      <c r="EY395" t="e">
        <f>AND(#REF!,"AAAAABd/7Zo=")</f>
        <v>#REF!</v>
      </c>
      <c r="EZ395" t="e">
        <f>AND(#REF!,"AAAAABd/7Zs=")</f>
        <v>#REF!</v>
      </c>
      <c r="FA395" t="e">
        <f>AND(#REF!,"AAAAABd/7Zw=")</f>
        <v>#REF!</v>
      </c>
      <c r="FB395" t="e">
        <f>AND(#REF!,"AAAAABd/7Z0=")</f>
        <v>#REF!</v>
      </c>
      <c r="FC395" t="e">
        <f>AND(#REF!,"AAAAABd/7Z4=")</f>
        <v>#REF!</v>
      </c>
      <c r="FD395" t="e">
        <f>AND(#REF!,"AAAAABd/7Z8=")</f>
        <v>#REF!</v>
      </c>
      <c r="FE395" t="e">
        <f>AND(#REF!,"AAAAABd/7aA=")</f>
        <v>#REF!</v>
      </c>
      <c r="FF395" t="e">
        <f>AND(#REF!,"AAAAABd/7aE=")</f>
        <v>#REF!</v>
      </c>
      <c r="FG395" t="e">
        <f>AND(#REF!,"AAAAABd/7aI=")</f>
        <v>#REF!</v>
      </c>
      <c r="FH395" t="e">
        <f>AND(#REF!,"AAAAABd/7aM=")</f>
        <v>#REF!</v>
      </c>
      <c r="FI395" t="e">
        <f>AND(#REF!,"AAAAABd/7aQ=")</f>
        <v>#REF!</v>
      </c>
      <c r="FJ395" t="e">
        <f>AND(#REF!,"AAAAABd/7aU=")</f>
        <v>#REF!</v>
      </c>
      <c r="FK395" t="e">
        <f>AND(#REF!,"AAAAABd/7aY=")</f>
        <v>#REF!</v>
      </c>
      <c r="FL395" t="e">
        <f>AND(#REF!,"AAAAABd/7ac=")</f>
        <v>#REF!</v>
      </c>
      <c r="FM395" t="e">
        <f>AND(#REF!,"AAAAABd/7ag=")</f>
        <v>#REF!</v>
      </c>
      <c r="FN395" t="e">
        <f>AND(#REF!,"AAAAABd/7ak=")</f>
        <v>#REF!</v>
      </c>
      <c r="FO395" t="e">
        <f>AND(#REF!,"AAAAABd/7ao=")</f>
        <v>#REF!</v>
      </c>
      <c r="FP395" t="e">
        <f>IF(#REF!,"AAAAABd/7as=",0)</f>
        <v>#REF!</v>
      </c>
      <c r="FQ395" t="e">
        <f>AND(#REF!,"AAAAABd/7aw=")</f>
        <v>#REF!</v>
      </c>
      <c r="FR395" t="e">
        <f>AND(#REF!,"AAAAABd/7a0=")</f>
        <v>#REF!</v>
      </c>
      <c r="FS395" t="e">
        <f>AND(#REF!,"AAAAABd/7a4=")</f>
        <v>#REF!</v>
      </c>
      <c r="FT395" t="e">
        <f>AND(#REF!,"AAAAABd/7a8=")</f>
        <v>#REF!</v>
      </c>
      <c r="FU395" t="e">
        <f>AND(#REF!,"AAAAABd/7bA=")</f>
        <v>#REF!</v>
      </c>
      <c r="FV395" t="e">
        <f>AND(#REF!,"AAAAABd/7bE=")</f>
        <v>#REF!</v>
      </c>
      <c r="FW395" t="e">
        <f>AND(#REF!,"AAAAABd/7bI=")</f>
        <v>#REF!</v>
      </c>
      <c r="FX395" t="e">
        <f>AND(#REF!,"AAAAABd/7bM=")</f>
        <v>#REF!</v>
      </c>
      <c r="FY395" t="e">
        <f>AND(#REF!,"AAAAABd/7bQ=")</f>
        <v>#REF!</v>
      </c>
      <c r="FZ395" t="e">
        <f>AND(#REF!,"AAAAABd/7bU=")</f>
        <v>#REF!</v>
      </c>
      <c r="GA395" t="e">
        <f>AND(#REF!,"AAAAABd/7bY=")</f>
        <v>#REF!</v>
      </c>
      <c r="GB395" t="e">
        <f>AND(#REF!,"AAAAABd/7bc=")</f>
        <v>#REF!</v>
      </c>
      <c r="GC395" t="e">
        <f>AND(#REF!,"AAAAABd/7bg=")</f>
        <v>#REF!</v>
      </c>
      <c r="GD395" t="e">
        <f>AND(#REF!,"AAAAABd/7bk=")</f>
        <v>#REF!</v>
      </c>
      <c r="GE395" t="e">
        <f>AND(#REF!,"AAAAABd/7bo=")</f>
        <v>#REF!</v>
      </c>
      <c r="GF395" t="e">
        <f>AND(#REF!,"AAAAABd/7bs=")</f>
        <v>#REF!</v>
      </c>
      <c r="GG395" t="e">
        <f>AND(#REF!,"AAAAABd/7bw=")</f>
        <v>#REF!</v>
      </c>
      <c r="GH395" t="e">
        <f>AND(#REF!,"AAAAABd/7b0=")</f>
        <v>#REF!</v>
      </c>
      <c r="GI395" t="e">
        <f>AND(#REF!,"AAAAABd/7b4=")</f>
        <v>#REF!</v>
      </c>
      <c r="GJ395" t="e">
        <f>AND(#REF!,"AAAAABd/7b8=")</f>
        <v>#REF!</v>
      </c>
      <c r="GK395" t="e">
        <f>AND(#REF!,"AAAAABd/7cA=")</f>
        <v>#REF!</v>
      </c>
      <c r="GL395" t="e">
        <f>AND(#REF!,"AAAAABd/7cE=")</f>
        <v>#REF!</v>
      </c>
      <c r="GM395" t="e">
        <f>AND(#REF!,"AAAAABd/7cI=")</f>
        <v>#REF!</v>
      </c>
      <c r="GN395" t="e">
        <f>AND(#REF!,"AAAAABd/7cM=")</f>
        <v>#REF!</v>
      </c>
      <c r="GO395" t="e">
        <f>IF(#REF!,"AAAAABd/7cQ=",0)</f>
        <v>#REF!</v>
      </c>
      <c r="GP395" t="e">
        <f>AND(#REF!,"AAAAABd/7cU=")</f>
        <v>#REF!</v>
      </c>
      <c r="GQ395" t="e">
        <f>AND(#REF!,"AAAAABd/7cY=")</f>
        <v>#REF!</v>
      </c>
      <c r="GR395" t="e">
        <f>AND(#REF!,"AAAAABd/7cc=")</f>
        <v>#REF!</v>
      </c>
      <c r="GS395" t="e">
        <f>AND(#REF!,"AAAAABd/7cg=")</f>
        <v>#REF!</v>
      </c>
      <c r="GT395" t="e">
        <f>AND(#REF!,"AAAAABd/7ck=")</f>
        <v>#REF!</v>
      </c>
      <c r="GU395" t="e">
        <f>AND(#REF!,"AAAAABd/7co=")</f>
        <v>#REF!</v>
      </c>
      <c r="GV395" t="e">
        <f>AND(#REF!,"AAAAABd/7cs=")</f>
        <v>#REF!</v>
      </c>
      <c r="GW395" t="e">
        <f>AND(#REF!,"AAAAABd/7cw=")</f>
        <v>#REF!</v>
      </c>
      <c r="GX395" t="e">
        <f>AND(#REF!,"AAAAABd/7c0=")</f>
        <v>#REF!</v>
      </c>
      <c r="GY395" t="e">
        <f>AND(#REF!,"AAAAABd/7c4=")</f>
        <v>#REF!</v>
      </c>
      <c r="GZ395" t="e">
        <f>AND(#REF!,"AAAAABd/7c8=")</f>
        <v>#REF!</v>
      </c>
      <c r="HA395" t="e">
        <f>AND(#REF!,"AAAAABd/7dA=")</f>
        <v>#REF!</v>
      </c>
      <c r="HB395" t="e">
        <f>AND(#REF!,"AAAAABd/7dE=")</f>
        <v>#REF!</v>
      </c>
      <c r="HC395" t="e">
        <f>AND(#REF!,"AAAAABd/7dI=")</f>
        <v>#REF!</v>
      </c>
      <c r="HD395" t="e">
        <f>AND(#REF!,"AAAAABd/7dM=")</f>
        <v>#REF!</v>
      </c>
      <c r="HE395" t="e">
        <f>AND(#REF!,"AAAAABd/7dQ=")</f>
        <v>#REF!</v>
      </c>
      <c r="HF395" t="e">
        <f>AND(#REF!,"AAAAABd/7dU=")</f>
        <v>#REF!</v>
      </c>
      <c r="HG395" t="e">
        <f>AND(#REF!,"AAAAABd/7dY=")</f>
        <v>#REF!</v>
      </c>
      <c r="HH395" t="e">
        <f>AND(#REF!,"AAAAABd/7dc=")</f>
        <v>#REF!</v>
      </c>
      <c r="HI395" t="e">
        <f>AND(#REF!,"AAAAABd/7dg=")</f>
        <v>#REF!</v>
      </c>
      <c r="HJ395" t="e">
        <f>AND(#REF!,"AAAAABd/7dk=")</f>
        <v>#REF!</v>
      </c>
      <c r="HK395" t="e">
        <f>AND(#REF!,"AAAAABd/7do=")</f>
        <v>#REF!</v>
      </c>
      <c r="HL395" t="e">
        <f>AND(#REF!,"AAAAABd/7ds=")</f>
        <v>#REF!</v>
      </c>
      <c r="HM395" t="e">
        <f>AND(#REF!,"AAAAABd/7dw=")</f>
        <v>#REF!</v>
      </c>
      <c r="HN395" t="e">
        <f>IF(#REF!,"AAAAABd/7d0=",0)</f>
        <v>#REF!</v>
      </c>
      <c r="HO395" t="e">
        <f>AND(#REF!,"AAAAABd/7d4=")</f>
        <v>#REF!</v>
      </c>
      <c r="HP395" t="e">
        <f>AND(#REF!,"AAAAABd/7d8=")</f>
        <v>#REF!</v>
      </c>
      <c r="HQ395" t="e">
        <f>AND(#REF!,"AAAAABd/7eA=")</f>
        <v>#REF!</v>
      </c>
      <c r="HR395" t="e">
        <f>AND(#REF!,"AAAAABd/7eE=")</f>
        <v>#REF!</v>
      </c>
      <c r="HS395" t="e">
        <f>AND(#REF!,"AAAAABd/7eI=")</f>
        <v>#REF!</v>
      </c>
      <c r="HT395" t="e">
        <f>AND(#REF!,"AAAAABd/7eM=")</f>
        <v>#REF!</v>
      </c>
      <c r="HU395" t="e">
        <f>AND(#REF!,"AAAAABd/7eQ=")</f>
        <v>#REF!</v>
      </c>
      <c r="HV395" t="e">
        <f>AND(#REF!,"AAAAABd/7eU=")</f>
        <v>#REF!</v>
      </c>
      <c r="HW395" t="e">
        <f>AND(#REF!,"AAAAABd/7eY=")</f>
        <v>#REF!</v>
      </c>
      <c r="HX395" t="e">
        <f>AND(#REF!,"AAAAABd/7ec=")</f>
        <v>#REF!</v>
      </c>
      <c r="HY395" t="e">
        <f>AND(#REF!,"AAAAABd/7eg=")</f>
        <v>#REF!</v>
      </c>
      <c r="HZ395" t="e">
        <f>AND(#REF!,"AAAAABd/7ek=")</f>
        <v>#REF!</v>
      </c>
      <c r="IA395" t="e">
        <f>AND(#REF!,"AAAAABd/7eo=")</f>
        <v>#REF!</v>
      </c>
      <c r="IB395" t="e">
        <f>AND(#REF!,"AAAAABd/7es=")</f>
        <v>#REF!</v>
      </c>
      <c r="IC395" t="e">
        <f>AND(#REF!,"AAAAABd/7ew=")</f>
        <v>#REF!</v>
      </c>
      <c r="ID395" t="e">
        <f>AND(#REF!,"AAAAABd/7e0=")</f>
        <v>#REF!</v>
      </c>
      <c r="IE395" t="e">
        <f>AND(#REF!,"AAAAABd/7e4=")</f>
        <v>#REF!</v>
      </c>
      <c r="IF395" t="e">
        <f>AND(#REF!,"AAAAABd/7e8=")</f>
        <v>#REF!</v>
      </c>
      <c r="IG395" t="e">
        <f>AND(#REF!,"AAAAABd/7fA=")</f>
        <v>#REF!</v>
      </c>
      <c r="IH395" t="e">
        <f>AND(#REF!,"AAAAABd/7fE=")</f>
        <v>#REF!</v>
      </c>
      <c r="II395" t="e">
        <f>AND(#REF!,"AAAAABd/7fI=")</f>
        <v>#REF!</v>
      </c>
      <c r="IJ395" t="e">
        <f>AND(#REF!,"AAAAABd/7fM=")</f>
        <v>#REF!</v>
      </c>
      <c r="IK395" t="e">
        <f>AND(#REF!,"AAAAABd/7fQ=")</f>
        <v>#REF!</v>
      </c>
      <c r="IL395" t="e">
        <f>AND(#REF!,"AAAAABd/7fU=")</f>
        <v>#REF!</v>
      </c>
      <c r="IM395" t="e">
        <f>IF(#REF!,"AAAAABd/7fY=",0)</f>
        <v>#REF!</v>
      </c>
      <c r="IN395" t="e">
        <f>AND(#REF!,"AAAAABd/7fc=")</f>
        <v>#REF!</v>
      </c>
      <c r="IO395" t="e">
        <f>AND(#REF!,"AAAAABd/7fg=")</f>
        <v>#REF!</v>
      </c>
      <c r="IP395" t="e">
        <f>AND(#REF!,"AAAAABd/7fk=")</f>
        <v>#REF!</v>
      </c>
      <c r="IQ395" t="e">
        <f>AND(#REF!,"AAAAABd/7fo=")</f>
        <v>#REF!</v>
      </c>
      <c r="IR395" t="e">
        <f>AND(#REF!,"AAAAABd/7fs=")</f>
        <v>#REF!</v>
      </c>
      <c r="IS395" t="e">
        <f>AND(#REF!,"AAAAABd/7fw=")</f>
        <v>#REF!</v>
      </c>
      <c r="IT395" t="e">
        <f>AND(#REF!,"AAAAABd/7f0=")</f>
        <v>#REF!</v>
      </c>
      <c r="IU395" t="e">
        <f>AND(#REF!,"AAAAABd/7f4=")</f>
        <v>#REF!</v>
      </c>
      <c r="IV395" t="e">
        <f>AND(#REF!,"AAAAABd/7f8=")</f>
        <v>#REF!</v>
      </c>
    </row>
    <row r="396" spans="1:256">
      <c r="A396" t="e">
        <f>AND(#REF!,"AAAAADvftwA=")</f>
        <v>#REF!</v>
      </c>
      <c r="B396" t="e">
        <f>AND(#REF!,"AAAAADvftwE=")</f>
        <v>#REF!</v>
      </c>
      <c r="C396" t="e">
        <f>AND(#REF!,"AAAAADvftwI=")</f>
        <v>#REF!</v>
      </c>
      <c r="D396" t="e">
        <f>AND(#REF!,"AAAAADvftwM=")</f>
        <v>#REF!</v>
      </c>
      <c r="E396" t="e">
        <f>AND(#REF!,"AAAAADvftwQ=")</f>
        <v>#REF!</v>
      </c>
      <c r="F396" t="e">
        <f>AND(#REF!,"AAAAADvftwU=")</f>
        <v>#REF!</v>
      </c>
      <c r="G396" t="e">
        <f>AND(#REF!,"AAAAADvftwY=")</f>
        <v>#REF!</v>
      </c>
      <c r="H396" t="e">
        <f>AND(#REF!,"AAAAADvftwc=")</f>
        <v>#REF!</v>
      </c>
      <c r="I396" t="e">
        <f>AND(#REF!,"AAAAADvftwg=")</f>
        <v>#REF!</v>
      </c>
      <c r="J396" t="e">
        <f>AND(#REF!,"AAAAADvftwk=")</f>
        <v>#REF!</v>
      </c>
      <c r="K396" t="e">
        <f>AND(#REF!,"AAAAADvftwo=")</f>
        <v>#REF!</v>
      </c>
      <c r="L396" t="e">
        <f>AND(#REF!,"AAAAADvftws=")</f>
        <v>#REF!</v>
      </c>
      <c r="M396" t="e">
        <f>AND(#REF!,"AAAAADvftww=")</f>
        <v>#REF!</v>
      </c>
      <c r="N396" t="e">
        <f>AND(#REF!,"AAAAADvftw0=")</f>
        <v>#REF!</v>
      </c>
      <c r="O396" t="e">
        <f>AND(#REF!,"AAAAADvftw4=")</f>
        <v>#REF!</v>
      </c>
      <c r="P396" t="e">
        <f>IF(#REF!,"AAAAADvftw8=",0)</f>
        <v>#REF!</v>
      </c>
      <c r="Q396" t="e">
        <f>AND(#REF!,"AAAAADvftxA=")</f>
        <v>#REF!</v>
      </c>
      <c r="R396" t="e">
        <f>AND(#REF!,"AAAAADvftxE=")</f>
        <v>#REF!</v>
      </c>
      <c r="S396" t="e">
        <f>AND(#REF!,"AAAAADvftxI=")</f>
        <v>#REF!</v>
      </c>
      <c r="T396" t="e">
        <f>AND(#REF!,"AAAAADvftxM=")</f>
        <v>#REF!</v>
      </c>
      <c r="U396" t="e">
        <f>AND(#REF!,"AAAAADvftxQ=")</f>
        <v>#REF!</v>
      </c>
      <c r="V396" t="e">
        <f>AND(#REF!,"AAAAADvftxU=")</f>
        <v>#REF!</v>
      </c>
      <c r="W396" t="e">
        <f>AND(#REF!,"AAAAADvftxY=")</f>
        <v>#REF!</v>
      </c>
      <c r="X396" t="e">
        <f>AND(#REF!,"AAAAADvftxc=")</f>
        <v>#REF!</v>
      </c>
      <c r="Y396" t="e">
        <f>AND(#REF!,"AAAAADvftxg=")</f>
        <v>#REF!</v>
      </c>
      <c r="Z396" t="e">
        <f>AND(#REF!,"AAAAADvftxk=")</f>
        <v>#REF!</v>
      </c>
      <c r="AA396" t="e">
        <f>AND(#REF!,"AAAAADvftxo=")</f>
        <v>#REF!</v>
      </c>
      <c r="AB396" t="e">
        <f>AND(#REF!,"AAAAADvftxs=")</f>
        <v>#REF!</v>
      </c>
      <c r="AC396" t="e">
        <f>AND(#REF!,"AAAAADvftxw=")</f>
        <v>#REF!</v>
      </c>
      <c r="AD396" t="e">
        <f>AND(#REF!,"AAAAADvftx0=")</f>
        <v>#REF!</v>
      </c>
      <c r="AE396" t="e">
        <f>AND(#REF!,"AAAAADvftx4=")</f>
        <v>#REF!</v>
      </c>
      <c r="AF396" t="e">
        <f>AND(#REF!,"AAAAADvftx8=")</f>
        <v>#REF!</v>
      </c>
      <c r="AG396" t="e">
        <f>AND(#REF!,"AAAAADvftyA=")</f>
        <v>#REF!</v>
      </c>
      <c r="AH396" t="e">
        <f>AND(#REF!,"AAAAADvftyE=")</f>
        <v>#REF!</v>
      </c>
      <c r="AI396" t="e">
        <f>AND(#REF!,"AAAAADvftyI=")</f>
        <v>#REF!</v>
      </c>
      <c r="AJ396" t="e">
        <f>AND(#REF!,"AAAAADvftyM=")</f>
        <v>#REF!</v>
      </c>
      <c r="AK396" t="e">
        <f>AND(#REF!,"AAAAADvftyQ=")</f>
        <v>#REF!</v>
      </c>
      <c r="AL396" t="e">
        <f>AND(#REF!,"AAAAADvftyU=")</f>
        <v>#REF!</v>
      </c>
      <c r="AM396" t="e">
        <f>AND(#REF!,"AAAAADvftyY=")</f>
        <v>#REF!</v>
      </c>
      <c r="AN396" t="e">
        <f>AND(#REF!,"AAAAADvftyc=")</f>
        <v>#REF!</v>
      </c>
      <c r="AO396" t="e">
        <f>IF(#REF!,"AAAAADvftyg=",0)</f>
        <v>#REF!</v>
      </c>
      <c r="AP396" t="e">
        <f>AND(#REF!,"AAAAADvftyk=")</f>
        <v>#REF!</v>
      </c>
      <c r="AQ396" t="e">
        <f>AND(#REF!,"AAAAADvftyo=")</f>
        <v>#REF!</v>
      </c>
      <c r="AR396" t="e">
        <f>AND(#REF!,"AAAAADvftys=")</f>
        <v>#REF!</v>
      </c>
      <c r="AS396" t="e">
        <f>AND(#REF!,"AAAAADvftyw=")</f>
        <v>#REF!</v>
      </c>
      <c r="AT396" t="e">
        <f>AND(#REF!,"AAAAADvfty0=")</f>
        <v>#REF!</v>
      </c>
      <c r="AU396" t="e">
        <f>AND(#REF!,"AAAAADvfty4=")</f>
        <v>#REF!</v>
      </c>
      <c r="AV396" t="e">
        <f>AND(#REF!,"AAAAADvfty8=")</f>
        <v>#REF!</v>
      </c>
      <c r="AW396" t="e">
        <f>AND(#REF!,"AAAAADvftzA=")</f>
        <v>#REF!</v>
      </c>
      <c r="AX396" t="e">
        <f>AND(#REF!,"AAAAADvftzE=")</f>
        <v>#REF!</v>
      </c>
      <c r="AY396" t="e">
        <f>AND(#REF!,"AAAAADvftzI=")</f>
        <v>#REF!</v>
      </c>
      <c r="AZ396" t="e">
        <f>AND(#REF!,"AAAAADvftzM=")</f>
        <v>#REF!</v>
      </c>
      <c r="BA396" t="e">
        <f>AND(#REF!,"AAAAADvftzQ=")</f>
        <v>#REF!</v>
      </c>
      <c r="BB396" t="e">
        <f>AND(#REF!,"AAAAADvftzU=")</f>
        <v>#REF!</v>
      </c>
      <c r="BC396" t="e">
        <f>AND(#REF!,"AAAAADvftzY=")</f>
        <v>#REF!</v>
      </c>
      <c r="BD396" t="e">
        <f>AND(#REF!,"AAAAADvftzc=")</f>
        <v>#REF!</v>
      </c>
      <c r="BE396" t="e">
        <f>AND(#REF!,"AAAAADvftzg=")</f>
        <v>#REF!</v>
      </c>
      <c r="BF396" t="e">
        <f>AND(#REF!,"AAAAADvftzk=")</f>
        <v>#REF!</v>
      </c>
      <c r="BG396" t="e">
        <f>AND(#REF!,"AAAAADvftzo=")</f>
        <v>#REF!</v>
      </c>
      <c r="BH396" t="e">
        <f>AND(#REF!,"AAAAADvftzs=")</f>
        <v>#REF!</v>
      </c>
      <c r="BI396" t="e">
        <f>AND(#REF!,"AAAAADvftzw=")</f>
        <v>#REF!</v>
      </c>
      <c r="BJ396" t="e">
        <f>AND(#REF!,"AAAAADvftz0=")</f>
        <v>#REF!</v>
      </c>
      <c r="BK396" t="e">
        <f>AND(#REF!,"AAAAADvftz4=")</f>
        <v>#REF!</v>
      </c>
      <c r="BL396" t="e">
        <f>AND(#REF!,"AAAAADvftz8=")</f>
        <v>#REF!</v>
      </c>
      <c r="BM396" t="e">
        <f>AND(#REF!,"AAAAADvft0A=")</f>
        <v>#REF!</v>
      </c>
      <c r="BN396" t="e">
        <f>IF(#REF!,"AAAAADvft0E=",0)</f>
        <v>#REF!</v>
      </c>
      <c r="BO396" t="e">
        <f>AND(#REF!,"AAAAADvft0I=")</f>
        <v>#REF!</v>
      </c>
      <c r="BP396" t="e">
        <f>AND(#REF!,"AAAAADvft0M=")</f>
        <v>#REF!</v>
      </c>
      <c r="BQ396" t="e">
        <f>AND(#REF!,"AAAAADvft0Q=")</f>
        <v>#REF!</v>
      </c>
      <c r="BR396" t="e">
        <f>AND(#REF!,"AAAAADvft0U=")</f>
        <v>#REF!</v>
      </c>
      <c r="BS396" t="e">
        <f>AND(#REF!,"AAAAADvft0Y=")</f>
        <v>#REF!</v>
      </c>
      <c r="BT396" t="e">
        <f>AND(#REF!,"AAAAADvft0c=")</f>
        <v>#REF!</v>
      </c>
      <c r="BU396" t="e">
        <f>AND(#REF!,"AAAAADvft0g=")</f>
        <v>#REF!</v>
      </c>
      <c r="BV396" t="e">
        <f>AND(#REF!,"AAAAADvft0k=")</f>
        <v>#REF!</v>
      </c>
      <c r="BW396" t="e">
        <f>AND(#REF!,"AAAAADvft0o=")</f>
        <v>#REF!</v>
      </c>
      <c r="BX396" t="e">
        <f>AND(#REF!,"AAAAADvft0s=")</f>
        <v>#REF!</v>
      </c>
      <c r="BY396" t="e">
        <f>AND(#REF!,"AAAAADvft0w=")</f>
        <v>#REF!</v>
      </c>
      <c r="BZ396" t="e">
        <f>AND(#REF!,"AAAAADvft00=")</f>
        <v>#REF!</v>
      </c>
      <c r="CA396" t="e">
        <f>AND(#REF!,"AAAAADvft04=")</f>
        <v>#REF!</v>
      </c>
      <c r="CB396" t="e">
        <f>AND(#REF!,"AAAAADvft08=")</f>
        <v>#REF!</v>
      </c>
      <c r="CC396" t="e">
        <f>AND(#REF!,"AAAAADvft1A=")</f>
        <v>#REF!</v>
      </c>
      <c r="CD396" t="e">
        <f>AND(#REF!,"AAAAADvft1E=")</f>
        <v>#REF!</v>
      </c>
      <c r="CE396" t="e">
        <f>AND(#REF!,"AAAAADvft1I=")</f>
        <v>#REF!</v>
      </c>
      <c r="CF396" t="e">
        <f>AND(#REF!,"AAAAADvft1M=")</f>
        <v>#REF!</v>
      </c>
      <c r="CG396" t="e">
        <f>AND(#REF!,"AAAAADvft1Q=")</f>
        <v>#REF!</v>
      </c>
      <c r="CH396" t="e">
        <f>AND(#REF!,"AAAAADvft1U=")</f>
        <v>#REF!</v>
      </c>
      <c r="CI396" t="e">
        <f>AND(#REF!,"AAAAADvft1Y=")</f>
        <v>#REF!</v>
      </c>
      <c r="CJ396" t="e">
        <f>AND(#REF!,"AAAAADvft1c=")</f>
        <v>#REF!</v>
      </c>
      <c r="CK396" t="e">
        <f>AND(#REF!,"AAAAADvft1g=")</f>
        <v>#REF!</v>
      </c>
      <c r="CL396" t="e">
        <f>AND(#REF!,"AAAAADvft1k=")</f>
        <v>#REF!</v>
      </c>
      <c r="CM396" t="e">
        <f>IF(#REF!,"AAAAADvft1o=",0)</f>
        <v>#REF!</v>
      </c>
      <c r="CN396" t="e">
        <f>AND(#REF!,"AAAAADvft1s=")</f>
        <v>#REF!</v>
      </c>
      <c r="CO396" t="e">
        <f>AND(#REF!,"AAAAADvft1w=")</f>
        <v>#REF!</v>
      </c>
      <c r="CP396" t="e">
        <f>AND(#REF!,"AAAAADvft10=")</f>
        <v>#REF!</v>
      </c>
      <c r="CQ396" t="e">
        <f>AND(#REF!,"AAAAADvft14=")</f>
        <v>#REF!</v>
      </c>
      <c r="CR396" t="e">
        <f>AND(#REF!,"AAAAADvft18=")</f>
        <v>#REF!</v>
      </c>
      <c r="CS396" t="e">
        <f>AND(#REF!,"AAAAADvft2A=")</f>
        <v>#REF!</v>
      </c>
      <c r="CT396" t="e">
        <f>AND(#REF!,"AAAAADvft2E=")</f>
        <v>#REF!</v>
      </c>
      <c r="CU396" t="e">
        <f>AND(#REF!,"AAAAADvft2I=")</f>
        <v>#REF!</v>
      </c>
      <c r="CV396" t="e">
        <f>AND(#REF!,"AAAAADvft2M=")</f>
        <v>#REF!</v>
      </c>
      <c r="CW396" t="e">
        <f>AND(#REF!,"AAAAADvft2Q=")</f>
        <v>#REF!</v>
      </c>
      <c r="CX396" t="e">
        <f>AND(#REF!,"AAAAADvft2U=")</f>
        <v>#REF!</v>
      </c>
      <c r="CY396" t="e">
        <f>AND(#REF!,"AAAAADvft2Y=")</f>
        <v>#REF!</v>
      </c>
      <c r="CZ396" t="e">
        <f>AND(#REF!,"AAAAADvft2c=")</f>
        <v>#REF!</v>
      </c>
      <c r="DA396" t="e">
        <f>AND(#REF!,"AAAAADvft2g=")</f>
        <v>#REF!</v>
      </c>
      <c r="DB396" t="e">
        <f>AND(#REF!,"AAAAADvft2k=")</f>
        <v>#REF!</v>
      </c>
      <c r="DC396" t="e">
        <f>AND(#REF!,"AAAAADvft2o=")</f>
        <v>#REF!</v>
      </c>
      <c r="DD396" t="e">
        <f>AND(#REF!,"AAAAADvft2s=")</f>
        <v>#REF!</v>
      </c>
      <c r="DE396" t="e">
        <f>AND(#REF!,"AAAAADvft2w=")</f>
        <v>#REF!</v>
      </c>
      <c r="DF396" t="e">
        <f>AND(#REF!,"AAAAADvft20=")</f>
        <v>#REF!</v>
      </c>
      <c r="DG396" t="e">
        <f>AND(#REF!,"AAAAADvft24=")</f>
        <v>#REF!</v>
      </c>
      <c r="DH396" t="e">
        <f>AND(#REF!,"AAAAADvft28=")</f>
        <v>#REF!</v>
      </c>
      <c r="DI396" t="e">
        <f>AND(#REF!,"AAAAADvft3A=")</f>
        <v>#REF!</v>
      </c>
      <c r="DJ396" t="e">
        <f>AND(#REF!,"AAAAADvft3E=")</f>
        <v>#REF!</v>
      </c>
      <c r="DK396" t="e">
        <f>AND(#REF!,"AAAAADvft3I=")</f>
        <v>#REF!</v>
      </c>
      <c r="DL396" t="e">
        <f>IF(#REF!,"AAAAADvft3M=",0)</f>
        <v>#REF!</v>
      </c>
      <c r="DM396" t="e">
        <f>AND(#REF!,"AAAAADvft3Q=")</f>
        <v>#REF!</v>
      </c>
      <c r="DN396" t="e">
        <f>AND(#REF!,"AAAAADvft3U=")</f>
        <v>#REF!</v>
      </c>
      <c r="DO396" t="e">
        <f>AND(#REF!,"AAAAADvft3Y=")</f>
        <v>#REF!</v>
      </c>
      <c r="DP396" t="e">
        <f>AND(#REF!,"AAAAADvft3c=")</f>
        <v>#REF!</v>
      </c>
      <c r="DQ396" t="e">
        <f>AND(#REF!,"AAAAADvft3g=")</f>
        <v>#REF!</v>
      </c>
      <c r="DR396" t="e">
        <f>AND(#REF!,"AAAAADvft3k=")</f>
        <v>#REF!</v>
      </c>
      <c r="DS396" t="e">
        <f>AND(#REF!,"AAAAADvft3o=")</f>
        <v>#REF!</v>
      </c>
      <c r="DT396" t="e">
        <f>AND(#REF!,"AAAAADvft3s=")</f>
        <v>#REF!</v>
      </c>
      <c r="DU396" t="e">
        <f>AND(#REF!,"AAAAADvft3w=")</f>
        <v>#REF!</v>
      </c>
      <c r="DV396" t="e">
        <f>AND(#REF!,"AAAAADvft30=")</f>
        <v>#REF!</v>
      </c>
      <c r="DW396" t="e">
        <f>AND(#REF!,"AAAAADvft34=")</f>
        <v>#REF!</v>
      </c>
      <c r="DX396" t="e">
        <f>AND(#REF!,"AAAAADvft38=")</f>
        <v>#REF!</v>
      </c>
      <c r="DY396" t="e">
        <f>AND(#REF!,"AAAAADvft4A=")</f>
        <v>#REF!</v>
      </c>
      <c r="DZ396" t="e">
        <f>AND(#REF!,"AAAAADvft4E=")</f>
        <v>#REF!</v>
      </c>
      <c r="EA396" t="e">
        <f>AND(#REF!,"AAAAADvft4I=")</f>
        <v>#REF!</v>
      </c>
      <c r="EB396" t="e">
        <f>AND(#REF!,"AAAAADvft4M=")</f>
        <v>#REF!</v>
      </c>
      <c r="EC396" t="e">
        <f>AND(#REF!,"AAAAADvft4Q=")</f>
        <v>#REF!</v>
      </c>
      <c r="ED396" t="e">
        <f>AND(#REF!,"AAAAADvft4U=")</f>
        <v>#REF!</v>
      </c>
      <c r="EE396" t="e">
        <f>AND(#REF!,"AAAAADvft4Y=")</f>
        <v>#REF!</v>
      </c>
      <c r="EF396" t="e">
        <f>AND(#REF!,"AAAAADvft4c=")</f>
        <v>#REF!</v>
      </c>
      <c r="EG396" t="e">
        <f>AND(#REF!,"AAAAADvft4g=")</f>
        <v>#REF!</v>
      </c>
      <c r="EH396" t="e">
        <f>AND(#REF!,"AAAAADvft4k=")</f>
        <v>#REF!</v>
      </c>
      <c r="EI396" t="e">
        <f>AND(#REF!,"AAAAADvft4o=")</f>
        <v>#REF!</v>
      </c>
      <c r="EJ396" t="e">
        <f>AND(#REF!,"AAAAADvft4s=")</f>
        <v>#REF!</v>
      </c>
      <c r="EK396" t="e">
        <f>IF(#REF!,"AAAAADvft4w=",0)</f>
        <v>#REF!</v>
      </c>
      <c r="EL396" t="e">
        <f>AND(#REF!,"AAAAADvft40=")</f>
        <v>#REF!</v>
      </c>
      <c r="EM396" t="e">
        <f>AND(#REF!,"AAAAADvft44=")</f>
        <v>#REF!</v>
      </c>
      <c r="EN396" t="e">
        <f>AND(#REF!,"AAAAADvft48=")</f>
        <v>#REF!</v>
      </c>
      <c r="EO396" t="e">
        <f>AND(#REF!,"AAAAADvft5A=")</f>
        <v>#REF!</v>
      </c>
      <c r="EP396" t="e">
        <f>AND(#REF!,"AAAAADvft5E=")</f>
        <v>#REF!</v>
      </c>
      <c r="EQ396" t="e">
        <f>AND(#REF!,"AAAAADvft5I=")</f>
        <v>#REF!</v>
      </c>
      <c r="ER396" t="e">
        <f>AND(#REF!,"AAAAADvft5M=")</f>
        <v>#REF!</v>
      </c>
      <c r="ES396" t="e">
        <f>AND(#REF!,"AAAAADvft5Q=")</f>
        <v>#REF!</v>
      </c>
      <c r="ET396" t="e">
        <f>AND(#REF!,"AAAAADvft5U=")</f>
        <v>#REF!</v>
      </c>
      <c r="EU396" t="e">
        <f>AND(#REF!,"AAAAADvft5Y=")</f>
        <v>#REF!</v>
      </c>
      <c r="EV396" t="e">
        <f>AND(#REF!,"AAAAADvft5c=")</f>
        <v>#REF!</v>
      </c>
      <c r="EW396" t="e">
        <f>AND(#REF!,"AAAAADvft5g=")</f>
        <v>#REF!</v>
      </c>
      <c r="EX396" t="e">
        <f>AND(#REF!,"AAAAADvft5k=")</f>
        <v>#REF!</v>
      </c>
      <c r="EY396" t="e">
        <f>AND(#REF!,"AAAAADvft5o=")</f>
        <v>#REF!</v>
      </c>
      <c r="EZ396" t="e">
        <f>AND(#REF!,"AAAAADvft5s=")</f>
        <v>#REF!</v>
      </c>
      <c r="FA396" t="e">
        <f>AND(#REF!,"AAAAADvft5w=")</f>
        <v>#REF!</v>
      </c>
      <c r="FB396" t="e">
        <f>AND(#REF!,"AAAAADvft50=")</f>
        <v>#REF!</v>
      </c>
      <c r="FC396" t="e">
        <f>AND(#REF!,"AAAAADvft54=")</f>
        <v>#REF!</v>
      </c>
      <c r="FD396" t="e">
        <f>AND(#REF!,"AAAAADvft58=")</f>
        <v>#REF!</v>
      </c>
      <c r="FE396" t="e">
        <f>AND(#REF!,"AAAAADvft6A=")</f>
        <v>#REF!</v>
      </c>
      <c r="FF396" t="e">
        <f>AND(#REF!,"AAAAADvft6E=")</f>
        <v>#REF!</v>
      </c>
      <c r="FG396" t="e">
        <f>AND(#REF!,"AAAAADvft6I=")</f>
        <v>#REF!</v>
      </c>
      <c r="FH396" t="e">
        <f>AND(#REF!,"AAAAADvft6M=")</f>
        <v>#REF!</v>
      </c>
      <c r="FI396" t="e">
        <f>AND(#REF!,"AAAAADvft6Q=")</f>
        <v>#REF!</v>
      </c>
      <c r="FJ396" t="e">
        <f>IF(#REF!,"AAAAADvft6U=",0)</f>
        <v>#REF!</v>
      </c>
      <c r="FK396" t="e">
        <f>AND(#REF!,"AAAAADvft6Y=")</f>
        <v>#REF!</v>
      </c>
      <c r="FL396" t="e">
        <f>AND(#REF!,"AAAAADvft6c=")</f>
        <v>#REF!</v>
      </c>
      <c r="FM396" t="e">
        <f>AND(#REF!,"AAAAADvft6g=")</f>
        <v>#REF!</v>
      </c>
      <c r="FN396" t="e">
        <f>AND(#REF!,"AAAAADvft6k=")</f>
        <v>#REF!</v>
      </c>
      <c r="FO396" t="e">
        <f>AND(#REF!,"AAAAADvft6o=")</f>
        <v>#REF!</v>
      </c>
      <c r="FP396" t="e">
        <f>AND(#REF!,"AAAAADvft6s=")</f>
        <v>#REF!</v>
      </c>
      <c r="FQ396" t="e">
        <f>AND(#REF!,"AAAAADvft6w=")</f>
        <v>#REF!</v>
      </c>
      <c r="FR396" t="e">
        <f>AND(#REF!,"AAAAADvft60=")</f>
        <v>#REF!</v>
      </c>
      <c r="FS396" t="e">
        <f>AND(#REF!,"AAAAADvft64=")</f>
        <v>#REF!</v>
      </c>
      <c r="FT396" t="e">
        <f>AND(#REF!,"AAAAADvft68=")</f>
        <v>#REF!</v>
      </c>
      <c r="FU396" t="e">
        <f>AND(#REF!,"AAAAADvft7A=")</f>
        <v>#REF!</v>
      </c>
      <c r="FV396" t="e">
        <f>AND(#REF!,"AAAAADvft7E=")</f>
        <v>#REF!</v>
      </c>
      <c r="FW396" t="e">
        <f>AND(#REF!,"AAAAADvft7I=")</f>
        <v>#REF!</v>
      </c>
      <c r="FX396" t="e">
        <f>AND(#REF!,"AAAAADvft7M=")</f>
        <v>#REF!</v>
      </c>
      <c r="FY396" t="e">
        <f>AND(#REF!,"AAAAADvft7Q=")</f>
        <v>#REF!</v>
      </c>
      <c r="FZ396" t="e">
        <f>AND(#REF!,"AAAAADvft7U=")</f>
        <v>#REF!</v>
      </c>
      <c r="GA396" t="e">
        <f>AND(#REF!,"AAAAADvft7Y=")</f>
        <v>#REF!</v>
      </c>
      <c r="GB396" t="e">
        <f>AND(#REF!,"AAAAADvft7c=")</f>
        <v>#REF!</v>
      </c>
      <c r="GC396" t="e">
        <f>AND(#REF!,"AAAAADvft7g=")</f>
        <v>#REF!</v>
      </c>
      <c r="GD396" t="e">
        <f>AND(#REF!,"AAAAADvft7k=")</f>
        <v>#REF!</v>
      </c>
      <c r="GE396" t="e">
        <f>AND(#REF!,"AAAAADvft7o=")</f>
        <v>#REF!</v>
      </c>
      <c r="GF396" t="e">
        <f>AND(#REF!,"AAAAADvft7s=")</f>
        <v>#REF!</v>
      </c>
      <c r="GG396" t="e">
        <f>AND(#REF!,"AAAAADvft7w=")</f>
        <v>#REF!</v>
      </c>
      <c r="GH396" t="e">
        <f>AND(#REF!,"AAAAADvft70=")</f>
        <v>#REF!</v>
      </c>
      <c r="GI396" t="e">
        <f>IF(#REF!,"AAAAADvft74=",0)</f>
        <v>#REF!</v>
      </c>
      <c r="GJ396" t="e">
        <f>AND(#REF!,"AAAAADvft78=")</f>
        <v>#REF!</v>
      </c>
      <c r="GK396" t="e">
        <f>AND(#REF!,"AAAAADvft8A=")</f>
        <v>#REF!</v>
      </c>
      <c r="GL396" t="e">
        <f>AND(#REF!,"AAAAADvft8E=")</f>
        <v>#REF!</v>
      </c>
      <c r="GM396" t="e">
        <f>AND(#REF!,"AAAAADvft8I=")</f>
        <v>#REF!</v>
      </c>
      <c r="GN396" t="e">
        <f>AND(#REF!,"AAAAADvft8M=")</f>
        <v>#REF!</v>
      </c>
      <c r="GO396" t="e">
        <f>AND(#REF!,"AAAAADvft8Q=")</f>
        <v>#REF!</v>
      </c>
      <c r="GP396" t="e">
        <f>AND(#REF!,"AAAAADvft8U=")</f>
        <v>#REF!</v>
      </c>
      <c r="GQ396" t="e">
        <f>AND(#REF!,"AAAAADvft8Y=")</f>
        <v>#REF!</v>
      </c>
      <c r="GR396" t="e">
        <f>AND(#REF!,"AAAAADvft8c=")</f>
        <v>#REF!</v>
      </c>
      <c r="GS396" t="e">
        <f>AND(#REF!,"AAAAADvft8g=")</f>
        <v>#REF!</v>
      </c>
      <c r="GT396" t="e">
        <f>AND(#REF!,"AAAAADvft8k=")</f>
        <v>#REF!</v>
      </c>
      <c r="GU396" t="e">
        <f>AND(#REF!,"AAAAADvft8o=")</f>
        <v>#REF!</v>
      </c>
      <c r="GV396" t="e">
        <f>AND(#REF!,"AAAAADvft8s=")</f>
        <v>#REF!</v>
      </c>
      <c r="GW396" t="e">
        <f>AND(#REF!,"AAAAADvft8w=")</f>
        <v>#REF!</v>
      </c>
      <c r="GX396" t="e">
        <f>AND(#REF!,"AAAAADvft80=")</f>
        <v>#REF!</v>
      </c>
      <c r="GY396" t="e">
        <f>AND(#REF!,"AAAAADvft84=")</f>
        <v>#REF!</v>
      </c>
      <c r="GZ396" t="e">
        <f>AND(#REF!,"AAAAADvft88=")</f>
        <v>#REF!</v>
      </c>
      <c r="HA396" t="e">
        <f>AND(#REF!,"AAAAADvft9A=")</f>
        <v>#REF!</v>
      </c>
      <c r="HB396" t="e">
        <f>AND(#REF!,"AAAAADvft9E=")</f>
        <v>#REF!</v>
      </c>
      <c r="HC396" t="e">
        <f>AND(#REF!,"AAAAADvft9I=")</f>
        <v>#REF!</v>
      </c>
      <c r="HD396" t="e">
        <f>AND(#REF!,"AAAAADvft9M=")</f>
        <v>#REF!</v>
      </c>
      <c r="HE396" t="e">
        <f>AND(#REF!,"AAAAADvft9Q=")</f>
        <v>#REF!</v>
      </c>
      <c r="HF396" t="e">
        <f>AND(#REF!,"AAAAADvft9U=")</f>
        <v>#REF!</v>
      </c>
      <c r="HG396" t="e">
        <f>AND(#REF!,"AAAAADvft9Y=")</f>
        <v>#REF!</v>
      </c>
      <c r="HH396" t="e">
        <f>IF(#REF!,"AAAAADvft9c=",0)</f>
        <v>#REF!</v>
      </c>
      <c r="HI396" t="e">
        <f>AND(#REF!,"AAAAADvft9g=")</f>
        <v>#REF!</v>
      </c>
      <c r="HJ396" t="e">
        <f>AND(#REF!,"AAAAADvft9k=")</f>
        <v>#REF!</v>
      </c>
      <c r="HK396" t="e">
        <f>AND(#REF!,"AAAAADvft9o=")</f>
        <v>#REF!</v>
      </c>
      <c r="HL396" t="e">
        <f>AND(#REF!,"AAAAADvft9s=")</f>
        <v>#REF!</v>
      </c>
      <c r="HM396" t="e">
        <f>AND(#REF!,"AAAAADvft9w=")</f>
        <v>#REF!</v>
      </c>
      <c r="HN396" t="e">
        <f>AND(#REF!,"AAAAADvft90=")</f>
        <v>#REF!</v>
      </c>
      <c r="HO396" t="e">
        <f>AND(#REF!,"AAAAADvft94=")</f>
        <v>#REF!</v>
      </c>
      <c r="HP396" t="e">
        <f>AND(#REF!,"AAAAADvft98=")</f>
        <v>#REF!</v>
      </c>
      <c r="HQ396" t="e">
        <f>AND(#REF!,"AAAAADvft+A=")</f>
        <v>#REF!</v>
      </c>
      <c r="HR396" t="e">
        <f>AND(#REF!,"AAAAADvft+E=")</f>
        <v>#REF!</v>
      </c>
      <c r="HS396" t="e">
        <f>AND(#REF!,"AAAAADvft+I=")</f>
        <v>#REF!</v>
      </c>
      <c r="HT396" t="e">
        <f>AND(#REF!,"AAAAADvft+M=")</f>
        <v>#REF!</v>
      </c>
      <c r="HU396" t="e">
        <f>AND(#REF!,"AAAAADvft+Q=")</f>
        <v>#REF!</v>
      </c>
      <c r="HV396" t="e">
        <f>AND(#REF!,"AAAAADvft+U=")</f>
        <v>#REF!</v>
      </c>
      <c r="HW396" t="e">
        <f>AND(#REF!,"AAAAADvft+Y=")</f>
        <v>#REF!</v>
      </c>
      <c r="HX396" t="e">
        <f>AND(#REF!,"AAAAADvft+c=")</f>
        <v>#REF!</v>
      </c>
      <c r="HY396" t="e">
        <f>AND(#REF!,"AAAAADvft+g=")</f>
        <v>#REF!</v>
      </c>
      <c r="HZ396" t="e">
        <f>AND(#REF!,"AAAAADvft+k=")</f>
        <v>#REF!</v>
      </c>
      <c r="IA396" t="e">
        <f>AND(#REF!,"AAAAADvft+o=")</f>
        <v>#REF!</v>
      </c>
      <c r="IB396" t="e">
        <f>AND(#REF!,"AAAAADvft+s=")</f>
        <v>#REF!</v>
      </c>
      <c r="IC396" t="e">
        <f>AND(#REF!,"AAAAADvft+w=")</f>
        <v>#REF!</v>
      </c>
      <c r="ID396" t="e">
        <f>AND(#REF!,"AAAAADvft+0=")</f>
        <v>#REF!</v>
      </c>
      <c r="IE396" t="e">
        <f>AND(#REF!,"AAAAADvft+4=")</f>
        <v>#REF!</v>
      </c>
      <c r="IF396" t="e">
        <f>AND(#REF!,"AAAAADvft+8=")</f>
        <v>#REF!</v>
      </c>
      <c r="IG396" t="e">
        <f>IF(#REF!,"AAAAADvft/A=",0)</f>
        <v>#REF!</v>
      </c>
      <c r="IH396" t="e">
        <f>AND(#REF!,"AAAAADvft/E=")</f>
        <v>#REF!</v>
      </c>
      <c r="II396" t="e">
        <f>AND(#REF!,"AAAAADvft/I=")</f>
        <v>#REF!</v>
      </c>
      <c r="IJ396" t="e">
        <f>AND(#REF!,"AAAAADvft/M=")</f>
        <v>#REF!</v>
      </c>
      <c r="IK396" t="e">
        <f>AND(#REF!,"AAAAADvft/Q=")</f>
        <v>#REF!</v>
      </c>
      <c r="IL396" t="e">
        <f>AND(#REF!,"AAAAADvft/U=")</f>
        <v>#REF!</v>
      </c>
      <c r="IM396" t="e">
        <f>AND(#REF!,"AAAAADvft/Y=")</f>
        <v>#REF!</v>
      </c>
      <c r="IN396" t="e">
        <f>AND(#REF!,"AAAAADvft/c=")</f>
        <v>#REF!</v>
      </c>
      <c r="IO396" t="e">
        <f>AND(#REF!,"AAAAADvft/g=")</f>
        <v>#REF!</v>
      </c>
      <c r="IP396" t="e">
        <f>AND(#REF!,"AAAAADvft/k=")</f>
        <v>#REF!</v>
      </c>
      <c r="IQ396" t="e">
        <f>AND(#REF!,"AAAAADvft/o=")</f>
        <v>#REF!</v>
      </c>
      <c r="IR396" t="e">
        <f>AND(#REF!,"AAAAADvft/s=")</f>
        <v>#REF!</v>
      </c>
      <c r="IS396" t="e">
        <f>AND(#REF!,"AAAAADvft/w=")</f>
        <v>#REF!</v>
      </c>
      <c r="IT396" t="e">
        <f>AND(#REF!,"AAAAADvft/0=")</f>
        <v>#REF!</v>
      </c>
      <c r="IU396" t="e">
        <f>AND(#REF!,"AAAAADvft/4=")</f>
        <v>#REF!</v>
      </c>
      <c r="IV396" t="e">
        <f>AND(#REF!,"AAAAADvft/8=")</f>
        <v>#REF!</v>
      </c>
    </row>
    <row r="397" spans="1:256">
      <c r="A397" t="e">
        <f>AND(#REF!,"AAAAAH671QA=")</f>
        <v>#REF!</v>
      </c>
      <c r="B397" t="e">
        <f>AND(#REF!,"AAAAAH671QE=")</f>
        <v>#REF!</v>
      </c>
      <c r="C397" t="e">
        <f>AND(#REF!,"AAAAAH671QI=")</f>
        <v>#REF!</v>
      </c>
      <c r="D397" t="e">
        <f>AND(#REF!,"AAAAAH671QM=")</f>
        <v>#REF!</v>
      </c>
      <c r="E397" t="e">
        <f>AND(#REF!,"AAAAAH671QQ=")</f>
        <v>#REF!</v>
      </c>
      <c r="F397" t="e">
        <f>AND(#REF!,"AAAAAH671QU=")</f>
        <v>#REF!</v>
      </c>
      <c r="G397" t="e">
        <f>AND(#REF!,"AAAAAH671QY=")</f>
        <v>#REF!</v>
      </c>
      <c r="H397" t="e">
        <f>AND(#REF!,"AAAAAH671Qc=")</f>
        <v>#REF!</v>
      </c>
      <c r="I397" t="e">
        <f>AND(#REF!,"AAAAAH671Qg=")</f>
        <v>#REF!</v>
      </c>
      <c r="J397" t="e">
        <f>IF(#REF!,"AAAAAH671Qk=",0)</f>
        <v>#REF!</v>
      </c>
      <c r="K397" t="e">
        <f>AND(#REF!,"AAAAAH671Qo=")</f>
        <v>#REF!</v>
      </c>
      <c r="L397" t="e">
        <f>AND(#REF!,"AAAAAH671Qs=")</f>
        <v>#REF!</v>
      </c>
      <c r="M397" t="e">
        <f>AND(#REF!,"AAAAAH671Qw=")</f>
        <v>#REF!</v>
      </c>
      <c r="N397" t="e">
        <f>AND(#REF!,"AAAAAH671Q0=")</f>
        <v>#REF!</v>
      </c>
      <c r="O397" t="e">
        <f>AND(#REF!,"AAAAAH671Q4=")</f>
        <v>#REF!</v>
      </c>
      <c r="P397" t="e">
        <f>AND(#REF!,"AAAAAH671Q8=")</f>
        <v>#REF!</v>
      </c>
      <c r="Q397" t="e">
        <f>AND(#REF!,"AAAAAH671RA=")</f>
        <v>#REF!</v>
      </c>
      <c r="R397" t="e">
        <f>AND(#REF!,"AAAAAH671RE=")</f>
        <v>#REF!</v>
      </c>
      <c r="S397" t="e">
        <f>AND(#REF!,"AAAAAH671RI=")</f>
        <v>#REF!</v>
      </c>
      <c r="T397" t="e">
        <f>AND(#REF!,"AAAAAH671RM=")</f>
        <v>#REF!</v>
      </c>
      <c r="U397" t="e">
        <f>AND(#REF!,"AAAAAH671RQ=")</f>
        <v>#REF!</v>
      </c>
      <c r="V397" t="e">
        <f>AND(#REF!,"AAAAAH671RU=")</f>
        <v>#REF!</v>
      </c>
      <c r="W397" t="e">
        <f>AND(#REF!,"AAAAAH671RY=")</f>
        <v>#REF!</v>
      </c>
      <c r="X397" t="e">
        <f>AND(#REF!,"AAAAAH671Rc=")</f>
        <v>#REF!</v>
      </c>
      <c r="Y397" t="e">
        <f>AND(#REF!,"AAAAAH671Rg=")</f>
        <v>#REF!</v>
      </c>
      <c r="Z397" t="e">
        <f>AND(#REF!,"AAAAAH671Rk=")</f>
        <v>#REF!</v>
      </c>
      <c r="AA397" t="e">
        <f>AND(#REF!,"AAAAAH671Ro=")</f>
        <v>#REF!</v>
      </c>
      <c r="AB397" t="e">
        <f>AND(#REF!,"AAAAAH671Rs=")</f>
        <v>#REF!</v>
      </c>
      <c r="AC397" t="e">
        <f>AND(#REF!,"AAAAAH671Rw=")</f>
        <v>#REF!</v>
      </c>
      <c r="AD397" t="e">
        <f>AND(#REF!,"AAAAAH671R0=")</f>
        <v>#REF!</v>
      </c>
      <c r="AE397" t="e">
        <f>AND(#REF!,"AAAAAH671R4=")</f>
        <v>#REF!</v>
      </c>
      <c r="AF397" t="e">
        <f>AND(#REF!,"AAAAAH671R8=")</f>
        <v>#REF!</v>
      </c>
      <c r="AG397" t="e">
        <f>AND(#REF!,"AAAAAH671SA=")</f>
        <v>#REF!</v>
      </c>
      <c r="AH397" t="e">
        <f>AND(#REF!,"AAAAAH671SE=")</f>
        <v>#REF!</v>
      </c>
      <c r="AI397" t="e">
        <f>IF(#REF!,"AAAAAH671SI=",0)</f>
        <v>#REF!</v>
      </c>
      <c r="AJ397" t="e">
        <f>AND(#REF!,"AAAAAH671SM=")</f>
        <v>#REF!</v>
      </c>
      <c r="AK397" t="e">
        <f>AND(#REF!,"AAAAAH671SQ=")</f>
        <v>#REF!</v>
      </c>
      <c r="AL397" t="e">
        <f>AND(#REF!,"AAAAAH671SU=")</f>
        <v>#REF!</v>
      </c>
      <c r="AM397" t="e">
        <f>AND(#REF!,"AAAAAH671SY=")</f>
        <v>#REF!</v>
      </c>
      <c r="AN397" t="e">
        <f>AND(#REF!,"AAAAAH671Sc=")</f>
        <v>#REF!</v>
      </c>
      <c r="AO397" t="e">
        <f>AND(#REF!,"AAAAAH671Sg=")</f>
        <v>#REF!</v>
      </c>
      <c r="AP397" t="e">
        <f>AND(#REF!,"AAAAAH671Sk=")</f>
        <v>#REF!</v>
      </c>
      <c r="AQ397" t="e">
        <f>AND(#REF!,"AAAAAH671So=")</f>
        <v>#REF!</v>
      </c>
      <c r="AR397" t="e">
        <f>AND(#REF!,"AAAAAH671Ss=")</f>
        <v>#REF!</v>
      </c>
      <c r="AS397" t="e">
        <f>AND(#REF!,"AAAAAH671Sw=")</f>
        <v>#REF!</v>
      </c>
      <c r="AT397" t="e">
        <f>AND(#REF!,"AAAAAH671S0=")</f>
        <v>#REF!</v>
      </c>
      <c r="AU397" t="e">
        <f>AND(#REF!,"AAAAAH671S4=")</f>
        <v>#REF!</v>
      </c>
      <c r="AV397" t="e">
        <f>AND(#REF!,"AAAAAH671S8=")</f>
        <v>#REF!</v>
      </c>
      <c r="AW397" t="e">
        <f>AND(#REF!,"AAAAAH671TA=")</f>
        <v>#REF!</v>
      </c>
      <c r="AX397" t="e">
        <f>AND(#REF!,"AAAAAH671TE=")</f>
        <v>#REF!</v>
      </c>
      <c r="AY397" t="e">
        <f>AND(#REF!,"AAAAAH671TI=")</f>
        <v>#REF!</v>
      </c>
      <c r="AZ397" t="e">
        <f>AND(#REF!,"AAAAAH671TM=")</f>
        <v>#REF!</v>
      </c>
      <c r="BA397" t="e">
        <f>AND(#REF!,"AAAAAH671TQ=")</f>
        <v>#REF!</v>
      </c>
      <c r="BB397" t="e">
        <f>AND(#REF!,"AAAAAH671TU=")</f>
        <v>#REF!</v>
      </c>
      <c r="BC397" t="e">
        <f>AND(#REF!,"AAAAAH671TY=")</f>
        <v>#REF!</v>
      </c>
      <c r="BD397" t="e">
        <f>AND(#REF!,"AAAAAH671Tc=")</f>
        <v>#REF!</v>
      </c>
      <c r="BE397" t="e">
        <f>AND(#REF!,"AAAAAH671Tg=")</f>
        <v>#REF!</v>
      </c>
      <c r="BF397" t="e">
        <f>AND(#REF!,"AAAAAH671Tk=")</f>
        <v>#REF!</v>
      </c>
      <c r="BG397" t="e">
        <f>AND(#REF!,"AAAAAH671To=")</f>
        <v>#REF!</v>
      </c>
      <c r="BH397" t="e">
        <f>IF(#REF!,"AAAAAH671Ts=",0)</f>
        <v>#REF!</v>
      </c>
      <c r="BI397" t="e">
        <f>AND(#REF!,"AAAAAH671Tw=")</f>
        <v>#REF!</v>
      </c>
      <c r="BJ397" t="e">
        <f>AND(#REF!,"AAAAAH671T0=")</f>
        <v>#REF!</v>
      </c>
      <c r="BK397" t="e">
        <f>AND(#REF!,"AAAAAH671T4=")</f>
        <v>#REF!</v>
      </c>
      <c r="BL397" t="e">
        <f>AND(#REF!,"AAAAAH671T8=")</f>
        <v>#REF!</v>
      </c>
      <c r="BM397" t="e">
        <f>AND(#REF!,"AAAAAH671UA=")</f>
        <v>#REF!</v>
      </c>
      <c r="BN397" t="e">
        <f>AND(#REF!,"AAAAAH671UE=")</f>
        <v>#REF!</v>
      </c>
      <c r="BO397" t="e">
        <f>AND(#REF!,"AAAAAH671UI=")</f>
        <v>#REF!</v>
      </c>
      <c r="BP397" t="e">
        <f>AND(#REF!,"AAAAAH671UM=")</f>
        <v>#REF!</v>
      </c>
      <c r="BQ397" t="e">
        <f>AND(#REF!,"AAAAAH671UQ=")</f>
        <v>#REF!</v>
      </c>
      <c r="BR397" t="e">
        <f>AND(#REF!,"AAAAAH671UU=")</f>
        <v>#REF!</v>
      </c>
      <c r="BS397" t="e">
        <f>AND(#REF!,"AAAAAH671UY=")</f>
        <v>#REF!</v>
      </c>
      <c r="BT397" t="e">
        <f>AND(#REF!,"AAAAAH671Uc=")</f>
        <v>#REF!</v>
      </c>
      <c r="BU397" t="e">
        <f>AND(#REF!,"AAAAAH671Ug=")</f>
        <v>#REF!</v>
      </c>
      <c r="BV397" t="e">
        <f>AND(#REF!,"AAAAAH671Uk=")</f>
        <v>#REF!</v>
      </c>
      <c r="BW397" t="e">
        <f>AND(#REF!,"AAAAAH671Uo=")</f>
        <v>#REF!</v>
      </c>
      <c r="BX397" t="e">
        <f>AND(#REF!,"AAAAAH671Us=")</f>
        <v>#REF!</v>
      </c>
      <c r="BY397" t="e">
        <f>AND(#REF!,"AAAAAH671Uw=")</f>
        <v>#REF!</v>
      </c>
      <c r="BZ397" t="e">
        <f>AND(#REF!,"AAAAAH671U0=")</f>
        <v>#REF!</v>
      </c>
      <c r="CA397" t="e">
        <f>AND(#REF!,"AAAAAH671U4=")</f>
        <v>#REF!</v>
      </c>
      <c r="CB397" t="e">
        <f>AND(#REF!,"AAAAAH671U8=")</f>
        <v>#REF!</v>
      </c>
      <c r="CC397" t="e">
        <f>AND(#REF!,"AAAAAH671VA=")</f>
        <v>#REF!</v>
      </c>
      <c r="CD397" t="e">
        <f>AND(#REF!,"AAAAAH671VE=")</f>
        <v>#REF!</v>
      </c>
      <c r="CE397" t="e">
        <f>AND(#REF!,"AAAAAH671VI=")</f>
        <v>#REF!</v>
      </c>
      <c r="CF397" t="e">
        <f>AND(#REF!,"AAAAAH671VM=")</f>
        <v>#REF!</v>
      </c>
      <c r="CG397" t="e">
        <f>IF(#REF!,"AAAAAH671VQ=",0)</f>
        <v>#REF!</v>
      </c>
      <c r="CH397" t="e">
        <f>AND(#REF!,"AAAAAH671VU=")</f>
        <v>#REF!</v>
      </c>
      <c r="CI397" t="e">
        <f>AND(#REF!,"AAAAAH671VY=")</f>
        <v>#REF!</v>
      </c>
      <c r="CJ397" t="e">
        <f>AND(#REF!,"AAAAAH671Vc=")</f>
        <v>#REF!</v>
      </c>
      <c r="CK397" t="e">
        <f>AND(#REF!,"AAAAAH671Vg=")</f>
        <v>#REF!</v>
      </c>
      <c r="CL397" t="e">
        <f>AND(#REF!,"AAAAAH671Vk=")</f>
        <v>#REF!</v>
      </c>
      <c r="CM397" t="e">
        <f>AND(#REF!,"AAAAAH671Vo=")</f>
        <v>#REF!</v>
      </c>
      <c r="CN397" t="e">
        <f>AND(#REF!,"AAAAAH671Vs=")</f>
        <v>#REF!</v>
      </c>
      <c r="CO397" t="e">
        <f>AND(#REF!,"AAAAAH671Vw=")</f>
        <v>#REF!</v>
      </c>
      <c r="CP397" t="e">
        <f>AND(#REF!,"AAAAAH671V0=")</f>
        <v>#REF!</v>
      </c>
      <c r="CQ397" t="e">
        <f>AND(#REF!,"AAAAAH671V4=")</f>
        <v>#REF!</v>
      </c>
      <c r="CR397" t="e">
        <f>AND(#REF!,"AAAAAH671V8=")</f>
        <v>#REF!</v>
      </c>
      <c r="CS397" t="e">
        <f>AND(#REF!,"AAAAAH671WA=")</f>
        <v>#REF!</v>
      </c>
      <c r="CT397" t="e">
        <f>AND(#REF!,"AAAAAH671WE=")</f>
        <v>#REF!</v>
      </c>
      <c r="CU397" t="e">
        <f>AND(#REF!,"AAAAAH671WI=")</f>
        <v>#REF!</v>
      </c>
      <c r="CV397" t="e">
        <f>AND(#REF!,"AAAAAH671WM=")</f>
        <v>#REF!</v>
      </c>
      <c r="CW397" t="e">
        <f>AND(#REF!,"AAAAAH671WQ=")</f>
        <v>#REF!</v>
      </c>
      <c r="CX397" t="e">
        <f>AND(#REF!,"AAAAAH671WU=")</f>
        <v>#REF!</v>
      </c>
      <c r="CY397" t="e">
        <f>AND(#REF!,"AAAAAH671WY=")</f>
        <v>#REF!</v>
      </c>
      <c r="CZ397" t="e">
        <f>AND(#REF!,"AAAAAH671Wc=")</f>
        <v>#REF!</v>
      </c>
      <c r="DA397" t="e">
        <f>AND(#REF!,"AAAAAH671Wg=")</f>
        <v>#REF!</v>
      </c>
      <c r="DB397" t="e">
        <f>AND(#REF!,"AAAAAH671Wk=")</f>
        <v>#REF!</v>
      </c>
      <c r="DC397" t="e">
        <f>AND(#REF!,"AAAAAH671Wo=")</f>
        <v>#REF!</v>
      </c>
      <c r="DD397" t="e">
        <f>AND(#REF!,"AAAAAH671Ws=")</f>
        <v>#REF!</v>
      </c>
      <c r="DE397" t="e">
        <f>AND(#REF!,"AAAAAH671Ww=")</f>
        <v>#REF!</v>
      </c>
      <c r="DF397" t="e">
        <f>IF(#REF!,"AAAAAH671W0=",0)</f>
        <v>#REF!</v>
      </c>
      <c r="DG397" t="e">
        <f>AND(#REF!,"AAAAAH671W4=")</f>
        <v>#REF!</v>
      </c>
      <c r="DH397" t="e">
        <f>AND(#REF!,"AAAAAH671W8=")</f>
        <v>#REF!</v>
      </c>
      <c r="DI397" t="e">
        <f>AND(#REF!,"AAAAAH671XA=")</f>
        <v>#REF!</v>
      </c>
      <c r="DJ397" t="e">
        <f>AND(#REF!,"AAAAAH671XE=")</f>
        <v>#REF!</v>
      </c>
      <c r="DK397" t="e">
        <f>AND(#REF!,"AAAAAH671XI=")</f>
        <v>#REF!</v>
      </c>
      <c r="DL397" t="e">
        <f>AND(#REF!,"AAAAAH671XM=")</f>
        <v>#REF!</v>
      </c>
      <c r="DM397" t="e">
        <f>AND(#REF!,"AAAAAH671XQ=")</f>
        <v>#REF!</v>
      </c>
      <c r="DN397" t="e">
        <f>AND(#REF!,"AAAAAH671XU=")</f>
        <v>#REF!</v>
      </c>
      <c r="DO397" t="e">
        <f>AND(#REF!,"AAAAAH671XY=")</f>
        <v>#REF!</v>
      </c>
      <c r="DP397" t="e">
        <f>AND(#REF!,"AAAAAH671Xc=")</f>
        <v>#REF!</v>
      </c>
      <c r="DQ397" t="e">
        <f>AND(#REF!,"AAAAAH671Xg=")</f>
        <v>#REF!</v>
      </c>
      <c r="DR397" t="e">
        <f>AND(#REF!,"AAAAAH671Xk=")</f>
        <v>#REF!</v>
      </c>
      <c r="DS397" t="e">
        <f>AND(#REF!,"AAAAAH671Xo=")</f>
        <v>#REF!</v>
      </c>
      <c r="DT397" t="e">
        <f>AND(#REF!,"AAAAAH671Xs=")</f>
        <v>#REF!</v>
      </c>
      <c r="DU397" t="e">
        <f>AND(#REF!,"AAAAAH671Xw=")</f>
        <v>#REF!</v>
      </c>
      <c r="DV397" t="e">
        <f>AND(#REF!,"AAAAAH671X0=")</f>
        <v>#REF!</v>
      </c>
      <c r="DW397" t="e">
        <f>AND(#REF!,"AAAAAH671X4=")</f>
        <v>#REF!</v>
      </c>
      <c r="DX397" t="e">
        <f>AND(#REF!,"AAAAAH671X8=")</f>
        <v>#REF!</v>
      </c>
      <c r="DY397" t="e">
        <f>AND(#REF!,"AAAAAH671YA=")</f>
        <v>#REF!</v>
      </c>
      <c r="DZ397" t="e">
        <f>AND(#REF!,"AAAAAH671YE=")</f>
        <v>#REF!</v>
      </c>
      <c r="EA397" t="e">
        <f>AND(#REF!,"AAAAAH671YI=")</f>
        <v>#REF!</v>
      </c>
      <c r="EB397" t="e">
        <f>AND(#REF!,"AAAAAH671YM=")</f>
        <v>#REF!</v>
      </c>
      <c r="EC397" t="e">
        <f>AND(#REF!,"AAAAAH671YQ=")</f>
        <v>#REF!</v>
      </c>
      <c r="ED397" t="e">
        <f>AND(#REF!,"AAAAAH671YU=")</f>
        <v>#REF!</v>
      </c>
      <c r="EE397" t="e">
        <f>IF(#REF!,"AAAAAH671YY=",0)</f>
        <v>#REF!</v>
      </c>
      <c r="EF397" t="e">
        <f>AND(#REF!,"AAAAAH671Yc=")</f>
        <v>#REF!</v>
      </c>
      <c r="EG397" t="e">
        <f>AND(#REF!,"AAAAAH671Yg=")</f>
        <v>#REF!</v>
      </c>
      <c r="EH397" t="e">
        <f>AND(#REF!,"AAAAAH671Yk=")</f>
        <v>#REF!</v>
      </c>
      <c r="EI397" t="e">
        <f>AND(#REF!,"AAAAAH671Yo=")</f>
        <v>#REF!</v>
      </c>
      <c r="EJ397" t="e">
        <f>AND(#REF!,"AAAAAH671Ys=")</f>
        <v>#REF!</v>
      </c>
      <c r="EK397" t="e">
        <f>AND(#REF!,"AAAAAH671Yw=")</f>
        <v>#REF!</v>
      </c>
      <c r="EL397" t="e">
        <f>AND(#REF!,"AAAAAH671Y0=")</f>
        <v>#REF!</v>
      </c>
      <c r="EM397" t="e">
        <f>AND(#REF!,"AAAAAH671Y4=")</f>
        <v>#REF!</v>
      </c>
      <c r="EN397" t="e">
        <f>AND(#REF!,"AAAAAH671Y8=")</f>
        <v>#REF!</v>
      </c>
      <c r="EO397" t="e">
        <f>AND(#REF!,"AAAAAH671ZA=")</f>
        <v>#REF!</v>
      </c>
      <c r="EP397" t="e">
        <f>AND(#REF!,"AAAAAH671ZE=")</f>
        <v>#REF!</v>
      </c>
      <c r="EQ397" t="e">
        <f>AND(#REF!,"AAAAAH671ZI=")</f>
        <v>#REF!</v>
      </c>
      <c r="ER397" t="e">
        <f>AND(#REF!,"AAAAAH671ZM=")</f>
        <v>#REF!</v>
      </c>
      <c r="ES397" t="e">
        <f>AND(#REF!,"AAAAAH671ZQ=")</f>
        <v>#REF!</v>
      </c>
      <c r="ET397" t="e">
        <f>AND(#REF!,"AAAAAH671ZU=")</f>
        <v>#REF!</v>
      </c>
      <c r="EU397" t="e">
        <f>AND(#REF!,"AAAAAH671ZY=")</f>
        <v>#REF!</v>
      </c>
      <c r="EV397" t="e">
        <f>AND(#REF!,"AAAAAH671Zc=")</f>
        <v>#REF!</v>
      </c>
      <c r="EW397" t="e">
        <f>AND(#REF!,"AAAAAH671Zg=")</f>
        <v>#REF!</v>
      </c>
      <c r="EX397" t="e">
        <f>AND(#REF!,"AAAAAH671Zk=")</f>
        <v>#REF!</v>
      </c>
      <c r="EY397" t="e">
        <f>AND(#REF!,"AAAAAH671Zo=")</f>
        <v>#REF!</v>
      </c>
      <c r="EZ397" t="e">
        <f>AND(#REF!,"AAAAAH671Zs=")</f>
        <v>#REF!</v>
      </c>
      <c r="FA397" t="e">
        <f>AND(#REF!,"AAAAAH671Zw=")</f>
        <v>#REF!</v>
      </c>
      <c r="FB397" t="e">
        <f>AND(#REF!,"AAAAAH671Z0=")</f>
        <v>#REF!</v>
      </c>
      <c r="FC397" t="e">
        <f>AND(#REF!,"AAAAAH671Z4=")</f>
        <v>#REF!</v>
      </c>
      <c r="FD397" t="e">
        <f>IF(#REF!,"AAAAAH671Z8=",0)</f>
        <v>#REF!</v>
      </c>
      <c r="FE397" t="e">
        <f>AND(#REF!,"AAAAAH671aA=")</f>
        <v>#REF!</v>
      </c>
      <c r="FF397" t="e">
        <f>AND(#REF!,"AAAAAH671aE=")</f>
        <v>#REF!</v>
      </c>
      <c r="FG397" t="e">
        <f>AND(#REF!,"AAAAAH671aI=")</f>
        <v>#REF!</v>
      </c>
      <c r="FH397" t="e">
        <f>AND(#REF!,"AAAAAH671aM=")</f>
        <v>#REF!</v>
      </c>
      <c r="FI397" t="e">
        <f>AND(#REF!,"AAAAAH671aQ=")</f>
        <v>#REF!</v>
      </c>
      <c r="FJ397" t="e">
        <f>AND(#REF!,"AAAAAH671aU=")</f>
        <v>#REF!</v>
      </c>
      <c r="FK397" t="e">
        <f>AND(#REF!,"AAAAAH671aY=")</f>
        <v>#REF!</v>
      </c>
      <c r="FL397" t="e">
        <f>AND(#REF!,"AAAAAH671ac=")</f>
        <v>#REF!</v>
      </c>
      <c r="FM397" t="e">
        <f>AND(#REF!,"AAAAAH671ag=")</f>
        <v>#REF!</v>
      </c>
      <c r="FN397" t="e">
        <f>AND(#REF!,"AAAAAH671ak=")</f>
        <v>#REF!</v>
      </c>
      <c r="FO397" t="e">
        <f>AND(#REF!,"AAAAAH671ao=")</f>
        <v>#REF!</v>
      </c>
      <c r="FP397" t="e">
        <f>AND(#REF!,"AAAAAH671as=")</f>
        <v>#REF!</v>
      </c>
      <c r="FQ397" t="e">
        <f>AND(#REF!,"AAAAAH671aw=")</f>
        <v>#REF!</v>
      </c>
      <c r="FR397" t="e">
        <f>AND(#REF!,"AAAAAH671a0=")</f>
        <v>#REF!</v>
      </c>
      <c r="FS397" t="e">
        <f>AND(#REF!,"AAAAAH671a4=")</f>
        <v>#REF!</v>
      </c>
      <c r="FT397" t="e">
        <f>AND(#REF!,"AAAAAH671a8=")</f>
        <v>#REF!</v>
      </c>
      <c r="FU397" t="e">
        <f>AND(#REF!,"AAAAAH671bA=")</f>
        <v>#REF!</v>
      </c>
      <c r="FV397" t="e">
        <f>AND(#REF!,"AAAAAH671bE=")</f>
        <v>#REF!</v>
      </c>
      <c r="FW397" t="e">
        <f>AND(#REF!,"AAAAAH671bI=")</f>
        <v>#REF!</v>
      </c>
      <c r="FX397" t="e">
        <f>AND(#REF!,"AAAAAH671bM=")</f>
        <v>#REF!</v>
      </c>
      <c r="FY397" t="e">
        <f>AND(#REF!,"AAAAAH671bQ=")</f>
        <v>#REF!</v>
      </c>
      <c r="FZ397" t="e">
        <f>AND(#REF!,"AAAAAH671bU=")</f>
        <v>#REF!</v>
      </c>
      <c r="GA397" t="e">
        <f>AND(#REF!,"AAAAAH671bY=")</f>
        <v>#REF!</v>
      </c>
      <c r="GB397" t="e">
        <f>AND(#REF!,"AAAAAH671bc=")</f>
        <v>#REF!</v>
      </c>
      <c r="GC397" t="e">
        <f>IF(#REF!,"AAAAAH671bg=",0)</f>
        <v>#REF!</v>
      </c>
      <c r="GD397" t="e">
        <f>AND(#REF!,"AAAAAH671bk=")</f>
        <v>#REF!</v>
      </c>
      <c r="GE397" t="e">
        <f>AND(#REF!,"AAAAAH671bo=")</f>
        <v>#REF!</v>
      </c>
      <c r="GF397" t="e">
        <f>AND(#REF!,"AAAAAH671bs=")</f>
        <v>#REF!</v>
      </c>
      <c r="GG397" t="e">
        <f>AND(#REF!,"AAAAAH671bw=")</f>
        <v>#REF!</v>
      </c>
      <c r="GH397" t="e">
        <f>AND(#REF!,"AAAAAH671b0=")</f>
        <v>#REF!</v>
      </c>
      <c r="GI397" t="e">
        <f>AND(#REF!,"AAAAAH671b4=")</f>
        <v>#REF!</v>
      </c>
      <c r="GJ397" t="e">
        <f>AND(#REF!,"AAAAAH671b8=")</f>
        <v>#REF!</v>
      </c>
      <c r="GK397" t="e">
        <f>AND(#REF!,"AAAAAH671cA=")</f>
        <v>#REF!</v>
      </c>
      <c r="GL397" t="e">
        <f>AND(#REF!,"AAAAAH671cE=")</f>
        <v>#REF!</v>
      </c>
      <c r="GM397" t="e">
        <f>AND(#REF!,"AAAAAH671cI=")</f>
        <v>#REF!</v>
      </c>
      <c r="GN397" t="e">
        <f>AND(#REF!,"AAAAAH671cM=")</f>
        <v>#REF!</v>
      </c>
      <c r="GO397" t="e">
        <f>AND(#REF!,"AAAAAH671cQ=")</f>
        <v>#REF!</v>
      </c>
      <c r="GP397" t="e">
        <f>AND(#REF!,"AAAAAH671cU=")</f>
        <v>#REF!</v>
      </c>
      <c r="GQ397" t="e">
        <f>AND(#REF!,"AAAAAH671cY=")</f>
        <v>#REF!</v>
      </c>
      <c r="GR397" t="e">
        <f>AND(#REF!,"AAAAAH671cc=")</f>
        <v>#REF!</v>
      </c>
      <c r="GS397" t="e">
        <f>AND(#REF!,"AAAAAH671cg=")</f>
        <v>#REF!</v>
      </c>
      <c r="GT397" t="e">
        <f>AND(#REF!,"AAAAAH671ck=")</f>
        <v>#REF!</v>
      </c>
      <c r="GU397" t="e">
        <f>AND(#REF!,"AAAAAH671co=")</f>
        <v>#REF!</v>
      </c>
      <c r="GV397" t="e">
        <f>AND(#REF!,"AAAAAH671cs=")</f>
        <v>#REF!</v>
      </c>
      <c r="GW397" t="e">
        <f>AND(#REF!,"AAAAAH671cw=")</f>
        <v>#REF!</v>
      </c>
      <c r="GX397" t="e">
        <f>AND(#REF!,"AAAAAH671c0=")</f>
        <v>#REF!</v>
      </c>
      <c r="GY397" t="e">
        <f>AND(#REF!,"AAAAAH671c4=")</f>
        <v>#REF!</v>
      </c>
      <c r="GZ397" t="e">
        <f>AND(#REF!,"AAAAAH671c8=")</f>
        <v>#REF!</v>
      </c>
      <c r="HA397" t="e">
        <f>AND(#REF!,"AAAAAH671dA=")</f>
        <v>#REF!</v>
      </c>
      <c r="HB397" t="e">
        <f>IF(#REF!,"AAAAAH671dE=",0)</f>
        <v>#REF!</v>
      </c>
      <c r="HC397" t="e">
        <f>AND(#REF!,"AAAAAH671dI=")</f>
        <v>#REF!</v>
      </c>
      <c r="HD397" t="e">
        <f>AND(#REF!,"AAAAAH671dM=")</f>
        <v>#REF!</v>
      </c>
      <c r="HE397" t="e">
        <f>AND(#REF!,"AAAAAH671dQ=")</f>
        <v>#REF!</v>
      </c>
      <c r="HF397" t="e">
        <f>AND(#REF!,"AAAAAH671dU=")</f>
        <v>#REF!</v>
      </c>
      <c r="HG397" t="e">
        <f>AND(#REF!,"AAAAAH671dY=")</f>
        <v>#REF!</v>
      </c>
      <c r="HH397" t="e">
        <f>AND(#REF!,"AAAAAH671dc=")</f>
        <v>#REF!</v>
      </c>
      <c r="HI397" t="e">
        <f>AND(#REF!,"AAAAAH671dg=")</f>
        <v>#REF!</v>
      </c>
      <c r="HJ397" t="e">
        <f>AND(#REF!,"AAAAAH671dk=")</f>
        <v>#REF!</v>
      </c>
      <c r="HK397" t="e">
        <f>AND(#REF!,"AAAAAH671do=")</f>
        <v>#REF!</v>
      </c>
      <c r="HL397" t="e">
        <f>AND(#REF!,"AAAAAH671ds=")</f>
        <v>#REF!</v>
      </c>
      <c r="HM397" t="e">
        <f>AND(#REF!,"AAAAAH671dw=")</f>
        <v>#REF!</v>
      </c>
      <c r="HN397" t="e">
        <f>AND(#REF!,"AAAAAH671d0=")</f>
        <v>#REF!</v>
      </c>
      <c r="HO397" t="e">
        <f>AND(#REF!,"AAAAAH671d4=")</f>
        <v>#REF!</v>
      </c>
      <c r="HP397" t="e">
        <f>AND(#REF!,"AAAAAH671d8=")</f>
        <v>#REF!</v>
      </c>
      <c r="HQ397" t="e">
        <f>AND(#REF!,"AAAAAH671eA=")</f>
        <v>#REF!</v>
      </c>
      <c r="HR397" t="e">
        <f>AND(#REF!,"AAAAAH671eE=")</f>
        <v>#REF!</v>
      </c>
      <c r="HS397" t="e">
        <f>AND(#REF!,"AAAAAH671eI=")</f>
        <v>#REF!</v>
      </c>
      <c r="HT397" t="e">
        <f>AND(#REF!,"AAAAAH671eM=")</f>
        <v>#REF!</v>
      </c>
      <c r="HU397" t="e">
        <f>AND(#REF!,"AAAAAH671eQ=")</f>
        <v>#REF!</v>
      </c>
      <c r="HV397" t="e">
        <f>AND(#REF!,"AAAAAH671eU=")</f>
        <v>#REF!</v>
      </c>
      <c r="HW397" t="e">
        <f>AND(#REF!,"AAAAAH671eY=")</f>
        <v>#REF!</v>
      </c>
      <c r="HX397" t="e">
        <f>AND(#REF!,"AAAAAH671ec=")</f>
        <v>#REF!</v>
      </c>
      <c r="HY397" t="e">
        <f>AND(#REF!,"AAAAAH671eg=")</f>
        <v>#REF!</v>
      </c>
      <c r="HZ397" t="e">
        <f>AND(#REF!,"AAAAAH671ek=")</f>
        <v>#REF!</v>
      </c>
      <c r="IA397" t="e">
        <f>IF(#REF!,"AAAAAH671eo=",0)</f>
        <v>#REF!</v>
      </c>
      <c r="IB397" t="e">
        <f>AND(#REF!,"AAAAAH671es=")</f>
        <v>#REF!</v>
      </c>
      <c r="IC397" t="e">
        <f>AND(#REF!,"AAAAAH671ew=")</f>
        <v>#REF!</v>
      </c>
      <c r="ID397" t="e">
        <f>AND(#REF!,"AAAAAH671e0=")</f>
        <v>#REF!</v>
      </c>
      <c r="IE397" t="e">
        <f>AND(#REF!,"AAAAAH671e4=")</f>
        <v>#REF!</v>
      </c>
      <c r="IF397" t="e">
        <f>AND(#REF!,"AAAAAH671e8=")</f>
        <v>#REF!</v>
      </c>
      <c r="IG397" t="e">
        <f>AND(#REF!,"AAAAAH671fA=")</f>
        <v>#REF!</v>
      </c>
      <c r="IH397" t="e">
        <f>AND(#REF!,"AAAAAH671fE=")</f>
        <v>#REF!</v>
      </c>
      <c r="II397" t="e">
        <f>AND(#REF!,"AAAAAH671fI=")</f>
        <v>#REF!</v>
      </c>
      <c r="IJ397" t="e">
        <f>AND(#REF!,"AAAAAH671fM=")</f>
        <v>#REF!</v>
      </c>
      <c r="IK397" t="e">
        <f>AND(#REF!,"AAAAAH671fQ=")</f>
        <v>#REF!</v>
      </c>
      <c r="IL397" t="e">
        <f>AND(#REF!,"AAAAAH671fU=")</f>
        <v>#REF!</v>
      </c>
      <c r="IM397" t="e">
        <f>AND(#REF!,"AAAAAH671fY=")</f>
        <v>#REF!</v>
      </c>
      <c r="IN397" t="e">
        <f>AND(#REF!,"AAAAAH671fc=")</f>
        <v>#REF!</v>
      </c>
      <c r="IO397" t="e">
        <f>AND(#REF!,"AAAAAH671fg=")</f>
        <v>#REF!</v>
      </c>
      <c r="IP397" t="e">
        <f>AND(#REF!,"AAAAAH671fk=")</f>
        <v>#REF!</v>
      </c>
      <c r="IQ397" t="e">
        <f>AND(#REF!,"AAAAAH671fo=")</f>
        <v>#REF!</v>
      </c>
      <c r="IR397" t="e">
        <f>AND(#REF!,"AAAAAH671fs=")</f>
        <v>#REF!</v>
      </c>
      <c r="IS397" t="e">
        <f>AND(#REF!,"AAAAAH671fw=")</f>
        <v>#REF!</v>
      </c>
      <c r="IT397" t="e">
        <f>AND(#REF!,"AAAAAH671f0=")</f>
        <v>#REF!</v>
      </c>
      <c r="IU397" t="e">
        <f>AND(#REF!,"AAAAAH671f4=")</f>
        <v>#REF!</v>
      </c>
      <c r="IV397" t="e">
        <f>AND(#REF!,"AAAAAH671f8=")</f>
        <v>#REF!</v>
      </c>
    </row>
    <row r="398" spans="1:256">
      <c r="A398" t="e">
        <f>AND(#REF!,"AAAAAGf6qQA=")</f>
        <v>#REF!</v>
      </c>
      <c r="B398" t="e">
        <f>AND(#REF!,"AAAAAGf6qQE=")</f>
        <v>#REF!</v>
      </c>
      <c r="C398" t="e">
        <f>AND(#REF!,"AAAAAGf6qQI=")</f>
        <v>#REF!</v>
      </c>
      <c r="D398" t="e">
        <f>IF(#REF!,"AAAAAGf6qQM=",0)</f>
        <v>#REF!</v>
      </c>
      <c r="E398" t="e">
        <f>AND(#REF!,"AAAAAGf6qQQ=")</f>
        <v>#REF!</v>
      </c>
      <c r="F398" t="e">
        <f>AND(#REF!,"AAAAAGf6qQU=")</f>
        <v>#REF!</v>
      </c>
      <c r="G398" t="e">
        <f>AND(#REF!,"AAAAAGf6qQY=")</f>
        <v>#REF!</v>
      </c>
      <c r="H398" t="e">
        <f>AND(#REF!,"AAAAAGf6qQc=")</f>
        <v>#REF!</v>
      </c>
      <c r="I398" t="e">
        <f>AND(#REF!,"AAAAAGf6qQg=")</f>
        <v>#REF!</v>
      </c>
      <c r="J398" t="e">
        <f>AND(#REF!,"AAAAAGf6qQk=")</f>
        <v>#REF!</v>
      </c>
      <c r="K398" t="e">
        <f>AND(#REF!,"AAAAAGf6qQo=")</f>
        <v>#REF!</v>
      </c>
      <c r="L398" t="e">
        <f>AND(#REF!,"AAAAAGf6qQs=")</f>
        <v>#REF!</v>
      </c>
      <c r="M398" t="e">
        <f>AND(#REF!,"AAAAAGf6qQw=")</f>
        <v>#REF!</v>
      </c>
      <c r="N398" t="e">
        <f>AND(#REF!,"AAAAAGf6qQ0=")</f>
        <v>#REF!</v>
      </c>
      <c r="O398" t="e">
        <f>AND(#REF!,"AAAAAGf6qQ4=")</f>
        <v>#REF!</v>
      </c>
      <c r="P398" t="e">
        <f>AND(#REF!,"AAAAAGf6qQ8=")</f>
        <v>#REF!</v>
      </c>
      <c r="Q398" t="e">
        <f>AND(#REF!,"AAAAAGf6qRA=")</f>
        <v>#REF!</v>
      </c>
      <c r="R398" t="e">
        <f>AND(#REF!,"AAAAAGf6qRE=")</f>
        <v>#REF!</v>
      </c>
      <c r="S398" t="e">
        <f>AND(#REF!,"AAAAAGf6qRI=")</f>
        <v>#REF!</v>
      </c>
      <c r="T398" t="e">
        <f>AND(#REF!,"AAAAAGf6qRM=")</f>
        <v>#REF!</v>
      </c>
      <c r="U398" t="e">
        <f>AND(#REF!,"AAAAAGf6qRQ=")</f>
        <v>#REF!</v>
      </c>
      <c r="V398" t="e">
        <f>AND(#REF!,"AAAAAGf6qRU=")</f>
        <v>#REF!</v>
      </c>
      <c r="W398" t="e">
        <f>AND(#REF!,"AAAAAGf6qRY=")</f>
        <v>#REF!</v>
      </c>
      <c r="X398" t="e">
        <f>AND(#REF!,"AAAAAGf6qRc=")</f>
        <v>#REF!</v>
      </c>
      <c r="Y398" t="e">
        <f>AND(#REF!,"AAAAAGf6qRg=")</f>
        <v>#REF!</v>
      </c>
      <c r="Z398" t="e">
        <f>AND(#REF!,"AAAAAGf6qRk=")</f>
        <v>#REF!</v>
      </c>
      <c r="AA398" t="e">
        <f>AND(#REF!,"AAAAAGf6qRo=")</f>
        <v>#REF!</v>
      </c>
      <c r="AB398" t="e">
        <f>AND(#REF!,"AAAAAGf6qRs=")</f>
        <v>#REF!</v>
      </c>
      <c r="AC398" t="e">
        <f>IF(#REF!,"AAAAAGf6qRw=",0)</f>
        <v>#REF!</v>
      </c>
      <c r="AD398" t="e">
        <f>AND(#REF!,"AAAAAGf6qR0=")</f>
        <v>#REF!</v>
      </c>
      <c r="AE398" t="e">
        <f>AND(#REF!,"AAAAAGf6qR4=")</f>
        <v>#REF!</v>
      </c>
      <c r="AF398" t="e">
        <f>AND(#REF!,"AAAAAGf6qR8=")</f>
        <v>#REF!</v>
      </c>
      <c r="AG398" t="e">
        <f>AND(#REF!,"AAAAAGf6qSA=")</f>
        <v>#REF!</v>
      </c>
      <c r="AH398" t="e">
        <f>AND(#REF!,"AAAAAGf6qSE=")</f>
        <v>#REF!</v>
      </c>
      <c r="AI398" t="e">
        <f>AND(#REF!,"AAAAAGf6qSI=")</f>
        <v>#REF!</v>
      </c>
      <c r="AJ398" t="e">
        <f>AND(#REF!,"AAAAAGf6qSM=")</f>
        <v>#REF!</v>
      </c>
      <c r="AK398" t="e">
        <f>AND(#REF!,"AAAAAGf6qSQ=")</f>
        <v>#REF!</v>
      </c>
      <c r="AL398" t="e">
        <f>AND(#REF!,"AAAAAGf6qSU=")</f>
        <v>#REF!</v>
      </c>
      <c r="AM398" t="e">
        <f>AND(#REF!,"AAAAAGf6qSY=")</f>
        <v>#REF!</v>
      </c>
      <c r="AN398" t="e">
        <f>AND(#REF!,"AAAAAGf6qSc=")</f>
        <v>#REF!</v>
      </c>
      <c r="AO398" t="e">
        <f>AND(#REF!,"AAAAAGf6qSg=")</f>
        <v>#REF!</v>
      </c>
      <c r="AP398" t="e">
        <f>AND(#REF!,"AAAAAGf6qSk=")</f>
        <v>#REF!</v>
      </c>
      <c r="AQ398" t="e">
        <f>AND(#REF!,"AAAAAGf6qSo=")</f>
        <v>#REF!</v>
      </c>
      <c r="AR398" t="e">
        <f>AND(#REF!,"AAAAAGf6qSs=")</f>
        <v>#REF!</v>
      </c>
      <c r="AS398" t="e">
        <f>AND(#REF!,"AAAAAGf6qSw=")</f>
        <v>#REF!</v>
      </c>
      <c r="AT398" t="e">
        <f>AND(#REF!,"AAAAAGf6qS0=")</f>
        <v>#REF!</v>
      </c>
      <c r="AU398" t="e">
        <f>AND(#REF!,"AAAAAGf6qS4=")</f>
        <v>#REF!</v>
      </c>
      <c r="AV398" t="e">
        <f>AND(#REF!,"AAAAAGf6qS8=")</f>
        <v>#REF!</v>
      </c>
      <c r="AW398" t="e">
        <f>AND(#REF!,"AAAAAGf6qTA=")</f>
        <v>#REF!</v>
      </c>
      <c r="AX398" t="e">
        <f>AND(#REF!,"AAAAAGf6qTE=")</f>
        <v>#REF!</v>
      </c>
      <c r="AY398" t="e">
        <f>AND(#REF!,"AAAAAGf6qTI=")</f>
        <v>#REF!</v>
      </c>
      <c r="AZ398" t="e">
        <f>AND(#REF!,"AAAAAGf6qTM=")</f>
        <v>#REF!</v>
      </c>
      <c r="BA398" t="e">
        <f>AND(#REF!,"AAAAAGf6qTQ=")</f>
        <v>#REF!</v>
      </c>
      <c r="BB398" t="e">
        <f>IF(#REF!,"AAAAAGf6qTU=",0)</f>
        <v>#REF!</v>
      </c>
      <c r="BC398" t="e">
        <f>AND(#REF!,"AAAAAGf6qTY=")</f>
        <v>#REF!</v>
      </c>
      <c r="BD398" t="e">
        <f>AND(#REF!,"AAAAAGf6qTc=")</f>
        <v>#REF!</v>
      </c>
      <c r="BE398" t="e">
        <f>AND(#REF!,"AAAAAGf6qTg=")</f>
        <v>#REF!</v>
      </c>
      <c r="BF398" t="e">
        <f>AND(#REF!,"AAAAAGf6qTk=")</f>
        <v>#REF!</v>
      </c>
      <c r="BG398" t="e">
        <f>AND(#REF!,"AAAAAGf6qTo=")</f>
        <v>#REF!</v>
      </c>
      <c r="BH398" t="e">
        <f>AND(#REF!,"AAAAAGf6qTs=")</f>
        <v>#REF!</v>
      </c>
      <c r="BI398" t="e">
        <f>AND(#REF!,"AAAAAGf6qTw=")</f>
        <v>#REF!</v>
      </c>
      <c r="BJ398" t="e">
        <f>AND(#REF!,"AAAAAGf6qT0=")</f>
        <v>#REF!</v>
      </c>
      <c r="BK398" t="e">
        <f>AND(#REF!,"AAAAAGf6qT4=")</f>
        <v>#REF!</v>
      </c>
      <c r="BL398" t="e">
        <f>AND(#REF!,"AAAAAGf6qT8=")</f>
        <v>#REF!</v>
      </c>
      <c r="BM398" t="e">
        <f>AND(#REF!,"AAAAAGf6qUA=")</f>
        <v>#REF!</v>
      </c>
      <c r="BN398" t="e">
        <f>AND(#REF!,"AAAAAGf6qUE=")</f>
        <v>#REF!</v>
      </c>
      <c r="BO398" t="e">
        <f>AND(#REF!,"AAAAAGf6qUI=")</f>
        <v>#REF!</v>
      </c>
      <c r="BP398" t="e">
        <f>AND(#REF!,"AAAAAGf6qUM=")</f>
        <v>#REF!</v>
      </c>
      <c r="BQ398" t="e">
        <f>AND(#REF!,"AAAAAGf6qUQ=")</f>
        <v>#REF!</v>
      </c>
      <c r="BR398" t="e">
        <f>AND(#REF!,"AAAAAGf6qUU=")</f>
        <v>#REF!</v>
      </c>
      <c r="BS398" t="e">
        <f>AND(#REF!,"AAAAAGf6qUY=")</f>
        <v>#REF!</v>
      </c>
      <c r="BT398" t="e">
        <f>AND(#REF!,"AAAAAGf6qUc=")</f>
        <v>#REF!</v>
      </c>
      <c r="BU398" t="e">
        <f>AND(#REF!,"AAAAAGf6qUg=")</f>
        <v>#REF!</v>
      </c>
      <c r="BV398" t="e">
        <f>AND(#REF!,"AAAAAGf6qUk=")</f>
        <v>#REF!</v>
      </c>
      <c r="BW398" t="e">
        <f>AND(#REF!,"AAAAAGf6qUo=")</f>
        <v>#REF!</v>
      </c>
      <c r="BX398" t="e">
        <f>AND(#REF!,"AAAAAGf6qUs=")</f>
        <v>#REF!</v>
      </c>
      <c r="BY398" t="e">
        <f>AND(#REF!,"AAAAAGf6qUw=")</f>
        <v>#REF!</v>
      </c>
      <c r="BZ398" t="e">
        <f>AND(#REF!,"AAAAAGf6qU0=")</f>
        <v>#REF!</v>
      </c>
      <c r="CA398" t="e">
        <f>IF(#REF!,"AAAAAGf6qU4=",0)</f>
        <v>#REF!</v>
      </c>
      <c r="CB398" t="e">
        <f>AND(#REF!,"AAAAAGf6qU8=")</f>
        <v>#REF!</v>
      </c>
      <c r="CC398" t="e">
        <f>AND(#REF!,"AAAAAGf6qVA=")</f>
        <v>#REF!</v>
      </c>
      <c r="CD398" t="e">
        <f>AND(#REF!,"AAAAAGf6qVE=")</f>
        <v>#REF!</v>
      </c>
      <c r="CE398" t="e">
        <f>AND(#REF!,"AAAAAGf6qVI=")</f>
        <v>#REF!</v>
      </c>
      <c r="CF398" t="e">
        <f>AND(#REF!,"AAAAAGf6qVM=")</f>
        <v>#REF!</v>
      </c>
      <c r="CG398" t="e">
        <f>AND(#REF!,"AAAAAGf6qVQ=")</f>
        <v>#REF!</v>
      </c>
      <c r="CH398" t="e">
        <f>AND(#REF!,"AAAAAGf6qVU=")</f>
        <v>#REF!</v>
      </c>
      <c r="CI398" t="e">
        <f>AND(#REF!,"AAAAAGf6qVY=")</f>
        <v>#REF!</v>
      </c>
      <c r="CJ398" t="e">
        <f>AND(#REF!,"AAAAAGf6qVc=")</f>
        <v>#REF!</v>
      </c>
      <c r="CK398" t="e">
        <f>AND(#REF!,"AAAAAGf6qVg=")</f>
        <v>#REF!</v>
      </c>
      <c r="CL398" t="e">
        <f>AND(#REF!,"AAAAAGf6qVk=")</f>
        <v>#REF!</v>
      </c>
      <c r="CM398" t="e">
        <f>AND(#REF!,"AAAAAGf6qVo=")</f>
        <v>#REF!</v>
      </c>
      <c r="CN398" t="e">
        <f>AND(#REF!,"AAAAAGf6qVs=")</f>
        <v>#REF!</v>
      </c>
      <c r="CO398" t="e">
        <f>AND(#REF!,"AAAAAGf6qVw=")</f>
        <v>#REF!</v>
      </c>
      <c r="CP398" t="e">
        <f>AND(#REF!,"AAAAAGf6qV0=")</f>
        <v>#REF!</v>
      </c>
      <c r="CQ398" t="e">
        <f>AND(#REF!,"AAAAAGf6qV4=")</f>
        <v>#REF!</v>
      </c>
      <c r="CR398" t="e">
        <f>AND(#REF!,"AAAAAGf6qV8=")</f>
        <v>#REF!</v>
      </c>
      <c r="CS398" t="e">
        <f>AND(#REF!,"AAAAAGf6qWA=")</f>
        <v>#REF!</v>
      </c>
      <c r="CT398" t="e">
        <f>AND(#REF!,"AAAAAGf6qWE=")</f>
        <v>#REF!</v>
      </c>
      <c r="CU398" t="e">
        <f>AND(#REF!,"AAAAAGf6qWI=")</f>
        <v>#REF!</v>
      </c>
      <c r="CV398" t="e">
        <f>AND(#REF!,"AAAAAGf6qWM=")</f>
        <v>#REF!</v>
      </c>
      <c r="CW398" t="e">
        <f>AND(#REF!,"AAAAAGf6qWQ=")</f>
        <v>#REF!</v>
      </c>
      <c r="CX398" t="e">
        <f>AND(#REF!,"AAAAAGf6qWU=")</f>
        <v>#REF!</v>
      </c>
      <c r="CY398" t="e">
        <f>AND(#REF!,"AAAAAGf6qWY=")</f>
        <v>#REF!</v>
      </c>
      <c r="CZ398" t="e">
        <f>IF(#REF!,"AAAAAGf6qWc=",0)</f>
        <v>#REF!</v>
      </c>
      <c r="DA398" t="e">
        <f>AND(#REF!,"AAAAAGf6qWg=")</f>
        <v>#REF!</v>
      </c>
      <c r="DB398" t="e">
        <f>AND(#REF!,"AAAAAGf6qWk=")</f>
        <v>#REF!</v>
      </c>
      <c r="DC398" t="e">
        <f>AND(#REF!,"AAAAAGf6qWo=")</f>
        <v>#REF!</v>
      </c>
      <c r="DD398" t="e">
        <f>AND(#REF!,"AAAAAGf6qWs=")</f>
        <v>#REF!</v>
      </c>
      <c r="DE398" t="e">
        <f>AND(#REF!,"AAAAAGf6qWw=")</f>
        <v>#REF!</v>
      </c>
      <c r="DF398" t="e">
        <f>AND(#REF!,"AAAAAGf6qW0=")</f>
        <v>#REF!</v>
      </c>
      <c r="DG398" t="e">
        <f>AND(#REF!,"AAAAAGf6qW4=")</f>
        <v>#REF!</v>
      </c>
      <c r="DH398" t="e">
        <f>AND(#REF!,"AAAAAGf6qW8=")</f>
        <v>#REF!</v>
      </c>
      <c r="DI398" t="e">
        <f>AND(#REF!,"AAAAAGf6qXA=")</f>
        <v>#REF!</v>
      </c>
      <c r="DJ398" t="e">
        <f>AND(#REF!,"AAAAAGf6qXE=")</f>
        <v>#REF!</v>
      </c>
      <c r="DK398" t="e">
        <f>AND(#REF!,"AAAAAGf6qXI=")</f>
        <v>#REF!</v>
      </c>
      <c r="DL398" t="e">
        <f>AND(#REF!,"AAAAAGf6qXM=")</f>
        <v>#REF!</v>
      </c>
      <c r="DM398" t="e">
        <f>AND(#REF!,"AAAAAGf6qXQ=")</f>
        <v>#REF!</v>
      </c>
      <c r="DN398" t="e">
        <f>AND(#REF!,"AAAAAGf6qXU=")</f>
        <v>#REF!</v>
      </c>
      <c r="DO398" t="e">
        <f>AND(#REF!,"AAAAAGf6qXY=")</f>
        <v>#REF!</v>
      </c>
      <c r="DP398" t="e">
        <f>AND(#REF!,"AAAAAGf6qXc=")</f>
        <v>#REF!</v>
      </c>
      <c r="DQ398" t="e">
        <f>AND(#REF!,"AAAAAGf6qXg=")</f>
        <v>#REF!</v>
      </c>
      <c r="DR398" t="e">
        <f>AND(#REF!,"AAAAAGf6qXk=")</f>
        <v>#REF!</v>
      </c>
      <c r="DS398" t="e">
        <f>AND(#REF!,"AAAAAGf6qXo=")</f>
        <v>#REF!</v>
      </c>
      <c r="DT398" t="e">
        <f>AND(#REF!,"AAAAAGf6qXs=")</f>
        <v>#REF!</v>
      </c>
      <c r="DU398" t="e">
        <f>AND(#REF!,"AAAAAGf6qXw=")</f>
        <v>#REF!</v>
      </c>
      <c r="DV398" t="e">
        <f>AND(#REF!,"AAAAAGf6qX0=")</f>
        <v>#REF!</v>
      </c>
      <c r="DW398" t="e">
        <f>AND(#REF!,"AAAAAGf6qX4=")</f>
        <v>#REF!</v>
      </c>
      <c r="DX398" t="e">
        <f>AND(#REF!,"AAAAAGf6qX8=")</f>
        <v>#REF!</v>
      </c>
      <c r="DY398" t="e">
        <f>IF(#REF!,"AAAAAGf6qYA=",0)</f>
        <v>#REF!</v>
      </c>
      <c r="DZ398" t="e">
        <f>AND(#REF!,"AAAAAGf6qYE=")</f>
        <v>#REF!</v>
      </c>
      <c r="EA398" t="e">
        <f>AND(#REF!,"AAAAAGf6qYI=")</f>
        <v>#REF!</v>
      </c>
      <c r="EB398" t="e">
        <f>AND(#REF!,"AAAAAGf6qYM=")</f>
        <v>#REF!</v>
      </c>
      <c r="EC398" t="e">
        <f>AND(#REF!,"AAAAAGf6qYQ=")</f>
        <v>#REF!</v>
      </c>
      <c r="ED398" t="e">
        <f>AND(#REF!,"AAAAAGf6qYU=")</f>
        <v>#REF!</v>
      </c>
      <c r="EE398" t="e">
        <f>AND(#REF!,"AAAAAGf6qYY=")</f>
        <v>#REF!</v>
      </c>
      <c r="EF398" t="e">
        <f>AND(#REF!,"AAAAAGf6qYc=")</f>
        <v>#REF!</v>
      </c>
      <c r="EG398" t="e">
        <f>AND(#REF!,"AAAAAGf6qYg=")</f>
        <v>#REF!</v>
      </c>
      <c r="EH398" t="e">
        <f>AND(#REF!,"AAAAAGf6qYk=")</f>
        <v>#REF!</v>
      </c>
      <c r="EI398" t="e">
        <f>AND(#REF!,"AAAAAGf6qYo=")</f>
        <v>#REF!</v>
      </c>
      <c r="EJ398" t="e">
        <f>AND(#REF!,"AAAAAGf6qYs=")</f>
        <v>#REF!</v>
      </c>
      <c r="EK398" t="e">
        <f>AND(#REF!,"AAAAAGf6qYw=")</f>
        <v>#REF!</v>
      </c>
      <c r="EL398" t="e">
        <f>AND(#REF!,"AAAAAGf6qY0=")</f>
        <v>#REF!</v>
      </c>
      <c r="EM398" t="e">
        <f>AND(#REF!,"AAAAAGf6qY4=")</f>
        <v>#REF!</v>
      </c>
      <c r="EN398" t="e">
        <f>AND(#REF!,"AAAAAGf6qY8=")</f>
        <v>#REF!</v>
      </c>
      <c r="EO398" t="e">
        <f>AND(#REF!,"AAAAAGf6qZA=")</f>
        <v>#REF!</v>
      </c>
      <c r="EP398" t="e">
        <f>AND(#REF!,"AAAAAGf6qZE=")</f>
        <v>#REF!</v>
      </c>
      <c r="EQ398" t="e">
        <f>AND(#REF!,"AAAAAGf6qZI=")</f>
        <v>#REF!</v>
      </c>
      <c r="ER398" t="e">
        <f>AND(#REF!,"AAAAAGf6qZM=")</f>
        <v>#REF!</v>
      </c>
      <c r="ES398" t="e">
        <f>AND(#REF!,"AAAAAGf6qZQ=")</f>
        <v>#REF!</v>
      </c>
      <c r="ET398" t="e">
        <f>AND(#REF!,"AAAAAGf6qZU=")</f>
        <v>#REF!</v>
      </c>
      <c r="EU398" t="e">
        <f>AND(#REF!,"AAAAAGf6qZY=")</f>
        <v>#REF!</v>
      </c>
      <c r="EV398" t="e">
        <f>AND(#REF!,"AAAAAGf6qZc=")</f>
        <v>#REF!</v>
      </c>
      <c r="EW398" t="e">
        <f>AND(#REF!,"AAAAAGf6qZg=")</f>
        <v>#REF!</v>
      </c>
      <c r="EX398" t="e">
        <f>IF(#REF!,"AAAAAGf6qZk=",0)</f>
        <v>#REF!</v>
      </c>
      <c r="EY398" t="e">
        <f>AND(#REF!,"AAAAAGf6qZo=")</f>
        <v>#REF!</v>
      </c>
      <c r="EZ398" t="e">
        <f>AND(#REF!,"AAAAAGf6qZs=")</f>
        <v>#REF!</v>
      </c>
      <c r="FA398" t="e">
        <f>AND(#REF!,"AAAAAGf6qZw=")</f>
        <v>#REF!</v>
      </c>
      <c r="FB398" t="e">
        <f>AND(#REF!,"AAAAAGf6qZ0=")</f>
        <v>#REF!</v>
      </c>
      <c r="FC398" t="e">
        <f>AND(#REF!,"AAAAAGf6qZ4=")</f>
        <v>#REF!</v>
      </c>
      <c r="FD398" t="e">
        <f>AND(#REF!,"AAAAAGf6qZ8=")</f>
        <v>#REF!</v>
      </c>
      <c r="FE398" t="e">
        <f>AND(#REF!,"AAAAAGf6qaA=")</f>
        <v>#REF!</v>
      </c>
      <c r="FF398" t="e">
        <f>AND(#REF!,"AAAAAGf6qaE=")</f>
        <v>#REF!</v>
      </c>
      <c r="FG398" t="e">
        <f>AND(#REF!,"AAAAAGf6qaI=")</f>
        <v>#REF!</v>
      </c>
      <c r="FH398" t="e">
        <f>AND(#REF!,"AAAAAGf6qaM=")</f>
        <v>#REF!</v>
      </c>
      <c r="FI398" t="e">
        <f>AND(#REF!,"AAAAAGf6qaQ=")</f>
        <v>#REF!</v>
      </c>
      <c r="FJ398" t="e">
        <f>AND(#REF!,"AAAAAGf6qaU=")</f>
        <v>#REF!</v>
      </c>
      <c r="FK398" t="e">
        <f>AND(#REF!,"AAAAAGf6qaY=")</f>
        <v>#REF!</v>
      </c>
      <c r="FL398" t="e">
        <f>AND(#REF!,"AAAAAGf6qac=")</f>
        <v>#REF!</v>
      </c>
      <c r="FM398" t="e">
        <f>AND(#REF!,"AAAAAGf6qag=")</f>
        <v>#REF!</v>
      </c>
      <c r="FN398" t="e">
        <f>AND(#REF!,"AAAAAGf6qak=")</f>
        <v>#REF!</v>
      </c>
      <c r="FO398" t="e">
        <f>AND(#REF!,"AAAAAGf6qao=")</f>
        <v>#REF!</v>
      </c>
      <c r="FP398" t="e">
        <f>AND(#REF!,"AAAAAGf6qas=")</f>
        <v>#REF!</v>
      </c>
      <c r="FQ398" t="e">
        <f>AND(#REF!,"AAAAAGf6qaw=")</f>
        <v>#REF!</v>
      </c>
      <c r="FR398" t="e">
        <f>AND(#REF!,"AAAAAGf6qa0=")</f>
        <v>#REF!</v>
      </c>
      <c r="FS398" t="e">
        <f>AND(#REF!,"AAAAAGf6qa4=")</f>
        <v>#REF!</v>
      </c>
      <c r="FT398" t="e">
        <f>AND(#REF!,"AAAAAGf6qa8=")</f>
        <v>#REF!</v>
      </c>
      <c r="FU398" t="e">
        <f>AND(#REF!,"AAAAAGf6qbA=")</f>
        <v>#REF!</v>
      </c>
      <c r="FV398" t="e">
        <f>AND(#REF!,"AAAAAGf6qbE=")</f>
        <v>#REF!</v>
      </c>
      <c r="FW398" t="e">
        <f>IF(#REF!,"AAAAAGf6qbI=",0)</f>
        <v>#REF!</v>
      </c>
      <c r="FX398" t="e">
        <f>AND(#REF!,"AAAAAGf6qbM=")</f>
        <v>#REF!</v>
      </c>
      <c r="FY398" t="e">
        <f>AND(#REF!,"AAAAAGf6qbQ=")</f>
        <v>#REF!</v>
      </c>
      <c r="FZ398" t="e">
        <f>AND(#REF!,"AAAAAGf6qbU=")</f>
        <v>#REF!</v>
      </c>
      <c r="GA398" t="e">
        <f>AND(#REF!,"AAAAAGf6qbY=")</f>
        <v>#REF!</v>
      </c>
      <c r="GB398" t="e">
        <f>AND(#REF!,"AAAAAGf6qbc=")</f>
        <v>#REF!</v>
      </c>
      <c r="GC398" t="e">
        <f>AND(#REF!,"AAAAAGf6qbg=")</f>
        <v>#REF!</v>
      </c>
      <c r="GD398" t="e">
        <f>AND(#REF!,"AAAAAGf6qbk=")</f>
        <v>#REF!</v>
      </c>
      <c r="GE398" t="e">
        <f>AND(#REF!,"AAAAAGf6qbo=")</f>
        <v>#REF!</v>
      </c>
      <c r="GF398" t="e">
        <f>AND(#REF!,"AAAAAGf6qbs=")</f>
        <v>#REF!</v>
      </c>
      <c r="GG398" t="e">
        <f>AND(#REF!,"AAAAAGf6qbw=")</f>
        <v>#REF!</v>
      </c>
      <c r="GH398" t="e">
        <f>AND(#REF!,"AAAAAGf6qb0=")</f>
        <v>#REF!</v>
      </c>
      <c r="GI398" t="e">
        <f>AND(#REF!,"AAAAAGf6qb4=")</f>
        <v>#REF!</v>
      </c>
      <c r="GJ398" t="e">
        <f>AND(#REF!,"AAAAAGf6qb8=")</f>
        <v>#REF!</v>
      </c>
      <c r="GK398" t="e">
        <f>AND(#REF!,"AAAAAGf6qcA=")</f>
        <v>#REF!</v>
      </c>
      <c r="GL398" t="e">
        <f>AND(#REF!,"AAAAAGf6qcE=")</f>
        <v>#REF!</v>
      </c>
      <c r="GM398" t="e">
        <f>AND(#REF!,"AAAAAGf6qcI=")</f>
        <v>#REF!</v>
      </c>
      <c r="GN398" t="e">
        <f>AND(#REF!,"AAAAAGf6qcM=")</f>
        <v>#REF!</v>
      </c>
      <c r="GO398" t="e">
        <f>AND(#REF!,"AAAAAGf6qcQ=")</f>
        <v>#REF!</v>
      </c>
      <c r="GP398" t="e">
        <f>AND(#REF!,"AAAAAGf6qcU=")</f>
        <v>#REF!</v>
      </c>
      <c r="GQ398" t="e">
        <f>AND(#REF!,"AAAAAGf6qcY=")</f>
        <v>#REF!</v>
      </c>
      <c r="GR398" t="e">
        <f>AND(#REF!,"AAAAAGf6qcc=")</f>
        <v>#REF!</v>
      </c>
      <c r="GS398" t="e">
        <f>AND(#REF!,"AAAAAGf6qcg=")</f>
        <v>#REF!</v>
      </c>
      <c r="GT398" t="e">
        <f>AND(#REF!,"AAAAAGf6qck=")</f>
        <v>#REF!</v>
      </c>
      <c r="GU398" t="e">
        <f>AND(#REF!,"AAAAAGf6qco=")</f>
        <v>#REF!</v>
      </c>
      <c r="GV398" t="e">
        <f>IF(#REF!,"AAAAAGf6qcs=",0)</f>
        <v>#REF!</v>
      </c>
      <c r="GW398" t="e">
        <f>AND(#REF!,"AAAAAGf6qcw=")</f>
        <v>#REF!</v>
      </c>
      <c r="GX398" t="e">
        <f>AND(#REF!,"AAAAAGf6qc0=")</f>
        <v>#REF!</v>
      </c>
      <c r="GY398" t="e">
        <f>AND(#REF!,"AAAAAGf6qc4=")</f>
        <v>#REF!</v>
      </c>
      <c r="GZ398" t="e">
        <f>AND(#REF!,"AAAAAGf6qc8=")</f>
        <v>#REF!</v>
      </c>
      <c r="HA398" t="e">
        <f>AND(#REF!,"AAAAAGf6qdA=")</f>
        <v>#REF!</v>
      </c>
      <c r="HB398" t="e">
        <f>AND(#REF!,"AAAAAGf6qdE=")</f>
        <v>#REF!</v>
      </c>
      <c r="HC398" t="e">
        <f>AND(#REF!,"AAAAAGf6qdI=")</f>
        <v>#REF!</v>
      </c>
      <c r="HD398" t="e">
        <f>AND(#REF!,"AAAAAGf6qdM=")</f>
        <v>#REF!</v>
      </c>
      <c r="HE398" t="e">
        <f>AND(#REF!,"AAAAAGf6qdQ=")</f>
        <v>#REF!</v>
      </c>
      <c r="HF398" t="e">
        <f>AND(#REF!,"AAAAAGf6qdU=")</f>
        <v>#REF!</v>
      </c>
      <c r="HG398" t="e">
        <f>AND(#REF!,"AAAAAGf6qdY=")</f>
        <v>#REF!</v>
      </c>
      <c r="HH398" t="e">
        <f>AND(#REF!,"AAAAAGf6qdc=")</f>
        <v>#REF!</v>
      </c>
      <c r="HI398" t="e">
        <f>AND(#REF!,"AAAAAGf6qdg=")</f>
        <v>#REF!</v>
      </c>
      <c r="HJ398" t="e">
        <f>AND(#REF!,"AAAAAGf6qdk=")</f>
        <v>#REF!</v>
      </c>
      <c r="HK398" t="e">
        <f>AND(#REF!,"AAAAAGf6qdo=")</f>
        <v>#REF!</v>
      </c>
      <c r="HL398" t="e">
        <f>AND(#REF!,"AAAAAGf6qds=")</f>
        <v>#REF!</v>
      </c>
      <c r="HM398" t="e">
        <f>AND(#REF!,"AAAAAGf6qdw=")</f>
        <v>#REF!</v>
      </c>
      <c r="HN398" t="e">
        <f>AND(#REF!,"AAAAAGf6qd0=")</f>
        <v>#REF!</v>
      </c>
      <c r="HO398" t="e">
        <f>AND(#REF!,"AAAAAGf6qd4=")</f>
        <v>#REF!</v>
      </c>
      <c r="HP398" t="e">
        <f>AND(#REF!,"AAAAAGf6qd8=")</f>
        <v>#REF!</v>
      </c>
      <c r="HQ398" t="e">
        <f>AND(#REF!,"AAAAAGf6qeA=")</f>
        <v>#REF!</v>
      </c>
      <c r="HR398" t="e">
        <f>AND(#REF!,"AAAAAGf6qeE=")</f>
        <v>#REF!</v>
      </c>
      <c r="HS398" t="e">
        <f>AND(#REF!,"AAAAAGf6qeI=")</f>
        <v>#REF!</v>
      </c>
      <c r="HT398" t="e">
        <f>AND(#REF!,"AAAAAGf6qeM=")</f>
        <v>#REF!</v>
      </c>
      <c r="HU398" t="e">
        <f>IF(#REF!,"AAAAAGf6qeQ=",0)</f>
        <v>#REF!</v>
      </c>
      <c r="HV398" t="e">
        <f>AND(#REF!,"AAAAAGf6qeU=")</f>
        <v>#REF!</v>
      </c>
      <c r="HW398" t="e">
        <f>AND(#REF!,"AAAAAGf6qeY=")</f>
        <v>#REF!</v>
      </c>
      <c r="HX398" t="e">
        <f>AND(#REF!,"AAAAAGf6qec=")</f>
        <v>#REF!</v>
      </c>
      <c r="HY398" t="e">
        <f>AND(#REF!,"AAAAAGf6qeg=")</f>
        <v>#REF!</v>
      </c>
      <c r="HZ398" t="e">
        <f>AND(#REF!,"AAAAAGf6qek=")</f>
        <v>#REF!</v>
      </c>
      <c r="IA398" t="e">
        <f>AND(#REF!,"AAAAAGf6qeo=")</f>
        <v>#REF!</v>
      </c>
      <c r="IB398" t="e">
        <f>AND(#REF!,"AAAAAGf6qes=")</f>
        <v>#REF!</v>
      </c>
      <c r="IC398" t="e">
        <f>AND(#REF!,"AAAAAGf6qew=")</f>
        <v>#REF!</v>
      </c>
      <c r="ID398" t="e">
        <f>AND(#REF!,"AAAAAGf6qe0=")</f>
        <v>#REF!</v>
      </c>
      <c r="IE398" t="e">
        <f>AND(#REF!,"AAAAAGf6qe4=")</f>
        <v>#REF!</v>
      </c>
      <c r="IF398" t="e">
        <f>AND(#REF!,"AAAAAGf6qe8=")</f>
        <v>#REF!</v>
      </c>
      <c r="IG398" t="e">
        <f>AND(#REF!,"AAAAAGf6qfA=")</f>
        <v>#REF!</v>
      </c>
      <c r="IH398" t="e">
        <f>AND(#REF!,"AAAAAGf6qfE=")</f>
        <v>#REF!</v>
      </c>
      <c r="II398" t="e">
        <f>AND(#REF!,"AAAAAGf6qfI=")</f>
        <v>#REF!</v>
      </c>
      <c r="IJ398" t="e">
        <f>AND(#REF!,"AAAAAGf6qfM=")</f>
        <v>#REF!</v>
      </c>
      <c r="IK398" t="e">
        <f>AND(#REF!,"AAAAAGf6qfQ=")</f>
        <v>#REF!</v>
      </c>
      <c r="IL398" t="e">
        <f>AND(#REF!,"AAAAAGf6qfU=")</f>
        <v>#REF!</v>
      </c>
      <c r="IM398" t="e">
        <f>AND(#REF!,"AAAAAGf6qfY=")</f>
        <v>#REF!</v>
      </c>
      <c r="IN398" t="e">
        <f>AND(#REF!,"AAAAAGf6qfc=")</f>
        <v>#REF!</v>
      </c>
      <c r="IO398" t="e">
        <f>AND(#REF!,"AAAAAGf6qfg=")</f>
        <v>#REF!</v>
      </c>
      <c r="IP398" t="e">
        <f>AND(#REF!,"AAAAAGf6qfk=")</f>
        <v>#REF!</v>
      </c>
      <c r="IQ398" t="e">
        <f>AND(#REF!,"AAAAAGf6qfo=")</f>
        <v>#REF!</v>
      </c>
      <c r="IR398" t="e">
        <f>AND(#REF!,"AAAAAGf6qfs=")</f>
        <v>#REF!</v>
      </c>
      <c r="IS398" t="e">
        <f>AND(#REF!,"AAAAAGf6qfw=")</f>
        <v>#REF!</v>
      </c>
      <c r="IT398" t="e">
        <f>IF(#REF!,"AAAAAGf6qf0=",0)</f>
        <v>#REF!</v>
      </c>
      <c r="IU398" t="e">
        <f>AND(#REF!,"AAAAAGf6qf4=")</f>
        <v>#REF!</v>
      </c>
      <c r="IV398" t="e">
        <f>AND(#REF!,"AAAAAGf6qf8=")</f>
        <v>#REF!</v>
      </c>
    </row>
    <row r="399" spans="1:256">
      <c r="A399" t="e">
        <f>AND(#REF!,"AAAAAH/nWgA=")</f>
        <v>#REF!</v>
      </c>
      <c r="B399" t="e">
        <f>AND(#REF!,"AAAAAH/nWgE=")</f>
        <v>#REF!</v>
      </c>
      <c r="C399" t="e">
        <f>AND(#REF!,"AAAAAH/nWgI=")</f>
        <v>#REF!</v>
      </c>
      <c r="D399" t="e">
        <f>AND(#REF!,"AAAAAH/nWgM=")</f>
        <v>#REF!</v>
      </c>
      <c r="E399" t="e">
        <f>AND(#REF!,"AAAAAH/nWgQ=")</f>
        <v>#REF!</v>
      </c>
      <c r="F399" t="e">
        <f>AND(#REF!,"AAAAAH/nWgU=")</f>
        <v>#REF!</v>
      </c>
      <c r="G399" t="e">
        <f>AND(#REF!,"AAAAAH/nWgY=")</f>
        <v>#REF!</v>
      </c>
      <c r="H399" t="e">
        <f>AND(#REF!,"AAAAAH/nWgc=")</f>
        <v>#REF!</v>
      </c>
      <c r="I399" t="e">
        <f>AND(#REF!,"AAAAAH/nWgg=")</f>
        <v>#REF!</v>
      </c>
      <c r="J399" t="e">
        <f>AND(#REF!,"AAAAAH/nWgk=")</f>
        <v>#REF!</v>
      </c>
      <c r="K399" t="e">
        <f>AND(#REF!,"AAAAAH/nWgo=")</f>
        <v>#REF!</v>
      </c>
      <c r="L399" t="e">
        <f>AND(#REF!,"AAAAAH/nWgs=")</f>
        <v>#REF!</v>
      </c>
      <c r="M399" t="e">
        <f>AND(#REF!,"AAAAAH/nWgw=")</f>
        <v>#REF!</v>
      </c>
      <c r="N399" t="e">
        <f>AND(#REF!,"AAAAAH/nWg0=")</f>
        <v>#REF!</v>
      </c>
      <c r="O399" t="e">
        <f>AND(#REF!,"AAAAAH/nWg4=")</f>
        <v>#REF!</v>
      </c>
      <c r="P399" t="e">
        <f>AND(#REF!,"AAAAAH/nWg8=")</f>
        <v>#REF!</v>
      </c>
      <c r="Q399" t="e">
        <f>AND(#REF!,"AAAAAH/nWhA=")</f>
        <v>#REF!</v>
      </c>
      <c r="R399" t="e">
        <f>AND(#REF!,"AAAAAH/nWhE=")</f>
        <v>#REF!</v>
      </c>
      <c r="S399" t="e">
        <f>AND(#REF!,"AAAAAH/nWhI=")</f>
        <v>#REF!</v>
      </c>
      <c r="T399" t="e">
        <f>AND(#REF!,"AAAAAH/nWhM=")</f>
        <v>#REF!</v>
      </c>
      <c r="U399" t="e">
        <f>AND(#REF!,"AAAAAH/nWhQ=")</f>
        <v>#REF!</v>
      </c>
      <c r="V399" t="e">
        <f>AND(#REF!,"AAAAAH/nWhU=")</f>
        <v>#REF!</v>
      </c>
      <c r="W399" t="e">
        <f>IF(#REF!,"AAAAAH/nWhY=",0)</f>
        <v>#REF!</v>
      </c>
      <c r="X399" t="e">
        <f>AND(#REF!,"AAAAAH/nWhc=")</f>
        <v>#REF!</v>
      </c>
      <c r="Y399" t="e">
        <f>AND(#REF!,"AAAAAH/nWhg=")</f>
        <v>#REF!</v>
      </c>
      <c r="Z399" t="e">
        <f>AND(#REF!,"AAAAAH/nWhk=")</f>
        <v>#REF!</v>
      </c>
      <c r="AA399" t="e">
        <f>AND(#REF!,"AAAAAH/nWho=")</f>
        <v>#REF!</v>
      </c>
      <c r="AB399" t="e">
        <f>AND(#REF!,"AAAAAH/nWhs=")</f>
        <v>#REF!</v>
      </c>
      <c r="AC399" t="e">
        <f>AND(#REF!,"AAAAAH/nWhw=")</f>
        <v>#REF!</v>
      </c>
      <c r="AD399" t="e">
        <f>AND(#REF!,"AAAAAH/nWh0=")</f>
        <v>#REF!</v>
      </c>
      <c r="AE399" t="e">
        <f>AND(#REF!,"AAAAAH/nWh4=")</f>
        <v>#REF!</v>
      </c>
      <c r="AF399" t="e">
        <f>AND(#REF!,"AAAAAH/nWh8=")</f>
        <v>#REF!</v>
      </c>
      <c r="AG399" t="e">
        <f>AND(#REF!,"AAAAAH/nWiA=")</f>
        <v>#REF!</v>
      </c>
      <c r="AH399" t="e">
        <f>AND(#REF!,"AAAAAH/nWiE=")</f>
        <v>#REF!</v>
      </c>
      <c r="AI399" t="e">
        <f>AND(#REF!,"AAAAAH/nWiI=")</f>
        <v>#REF!</v>
      </c>
      <c r="AJ399" t="e">
        <f>AND(#REF!,"AAAAAH/nWiM=")</f>
        <v>#REF!</v>
      </c>
      <c r="AK399" t="e">
        <f>AND(#REF!,"AAAAAH/nWiQ=")</f>
        <v>#REF!</v>
      </c>
      <c r="AL399" t="e">
        <f>AND(#REF!,"AAAAAH/nWiU=")</f>
        <v>#REF!</v>
      </c>
      <c r="AM399" t="e">
        <f>AND(#REF!,"AAAAAH/nWiY=")</f>
        <v>#REF!</v>
      </c>
      <c r="AN399" t="e">
        <f>AND(#REF!,"AAAAAH/nWic=")</f>
        <v>#REF!</v>
      </c>
      <c r="AO399" t="e">
        <f>AND(#REF!,"AAAAAH/nWig=")</f>
        <v>#REF!</v>
      </c>
      <c r="AP399" t="e">
        <f>AND(#REF!,"AAAAAH/nWik=")</f>
        <v>#REF!</v>
      </c>
      <c r="AQ399" t="e">
        <f>AND(#REF!,"AAAAAH/nWio=")</f>
        <v>#REF!</v>
      </c>
      <c r="AR399" t="e">
        <f>AND(#REF!,"AAAAAH/nWis=")</f>
        <v>#REF!</v>
      </c>
      <c r="AS399" t="e">
        <f>AND(#REF!,"AAAAAH/nWiw=")</f>
        <v>#REF!</v>
      </c>
      <c r="AT399" t="e">
        <f>AND(#REF!,"AAAAAH/nWi0=")</f>
        <v>#REF!</v>
      </c>
      <c r="AU399" t="e">
        <f>AND(#REF!,"AAAAAH/nWi4=")</f>
        <v>#REF!</v>
      </c>
      <c r="AV399" t="e">
        <f>IF(#REF!,"AAAAAH/nWi8=",0)</f>
        <v>#REF!</v>
      </c>
      <c r="AW399" t="e">
        <f>AND(#REF!,"AAAAAH/nWjA=")</f>
        <v>#REF!</v>
      </c>
      <c r="AX399" t="e">
        <f>AND(#REF!,"AAAAAH/nWjE=")</f>
        <v>#REF!</v>
      </c>
      <c r="AY399" t="e">
        <f>AND(#REF!,"AAAAAH/nWjI=")</f>
        <v>#REF!</v>
      </c>
      <c r="AZ399" t="e">
        <f>AND(#REF!,"AAAAAH/nWjM=")</f>
        <v>#REF!</v>
      </c>
      <c r="BA399" t="e">
        <f>AND(#REF!,"AAAAAH/nWjQ=")</f>
        <v>#REF!</v>
      </c>
      <c r="BB399" t="e">
        <f>AND(#REF!,"AAAAAH/nWjU=")</f>
        <v>#REF!</v>
      </c>
      <c r="BC399" t="e">
        <f>AND(#REF!,"AAAAAH/nWjY=")</f>
        <v>#REF!</v>
      </c>
      <c r="BD399" t="e">
        <f>AND(#REF!,"AAAAAH/nWjc=")</f>
        <v>#REF!</v>
      </c>
      <c r="BE399" t="e">
        <f>AND(#REF!,"AAAAAH/nWjg=")</f>
        <v>#REF!</v>
      </c>
      <c r="BF399" t="e">
        <f>AND(#REF!,"AAAAAH/nWjk=")</f>
        <v>#REF!</v>
      </c>
      <c r="BG399" t="e">
        <f>AND(#REF!,"AAAAAH/nWjo=")</f>
        <v>#REF!</v>
      </c>
      <c r="BH399" t="e">
        <f>AND(#REF!,"AAAAAH/nWjs=")</f>
        <v>#REF!</v>
      </c>
      <c r="BI399" t="e">
        <f>AND(#REF!,"AAAAAH/nWjw=")</f>
        <v>#REF!</v>
      </c>
      <c r="BJ399" t="e">
        <f>AND(#REF!,"AAAAAH/nWj0=")</f>
        <v>#REF!</v>
      </c>
      <c r="BK399" t="e">
        <f>AND(#REF!,"AAAAAH/nWj4=")</f>
        <v>#REF!</v>
      </c>
      <c r="BL399" t="e">
        <f>AND(#REF!,"AAAAAH/nWj8=")</f>
        <v>#REF!</v>
      </c>
      <c r="BM399" t="e">
        <f>AND(#REF!,"AAAAAH/nWkA=")</f>
        <v>#REF!</v>
      </c>
      <c r="BN399" t="e">
        <f>AND(#REF!,"AAAAAH/nWkE=")</f>
        <v>#REF!</v>
      </c>
      <c r="BO399" t="e">
        <f>AND(#REF!,"AAAAAH/nWkI=")</f>
        <v>#REF!</v>
      </c>
      <c r="BP399" t="e">
        <f>AND(#REF!,"AAAAAH/nWkM=")</f>
        <v>#REF!</v>
      </c>
      <c r="BQ399" t="e">
        <f>AND(#REF!,"AAAAAH/nWkQ=")</f>
        <v>#REF!</v>
      </c>
      <c r="BR399" t="e">
        <f>AND(#REF!,"AAAAAH/nWkU=")</f>
        <v>#REF!</v>
      </c>
      <c r="BS399" t="e">
        <f>AND(#REF!,"AAAAAH/nWkY=")</f>
        <v>#REF!</v>
      </c>
      <c r="BT399" t="e">
        <f>AND(#REF!,"AAAAAH/nWkc=")</f>
        <v>#REF!</v>
      </c>
      <c r="BU399" t="e">
        <f>IF(#REF!,"AAAAAH/nWkg=",0)</f>
        <v>#REF!</v>
      </c>
      <c r="BV399" t="e">
        <f>AND(#REF!,"AAAAAH/nWkk=")</f>
        <v>#REF!</v>
      </c>
      <c r="BW399" t="e">
        <f>AND(#REF!,"AAAAAH/nWko=")</f>
        <v>#REF!</v>
      </c>
      <c r="BX399" t="e">
        <f>AND(#REF!,"AAAAAH/nWks=")</f>
        <v>#REF!</v>
      </c>
      <c r="BY399" t="e">
        <f>AND(#REF!,"AAAAAH/nWkw=")</f>
        <v>#REF!</v>
      </c>
      <c r="BZ399" t="e">
        <f>AND(#REF!,"AAAAAH/nWk0=")</f>
        <v>#REF!</v>
      </c>
      <c r="CA399" t="e">
        <f>AND(#REF!,"AAAAAH/nWk4=")</f>
        <v>#REF!</v>
      </c>
      <c r="CB399" t="e">
        <f>AND(#REF!,"AAAAAH/nWk8=")</f>
        <v>#REF!</v>
      </c>
      <c r="CC399" t="e">
        <f>AND(#REF!,"AAAAAH/nWlA=")</f>
        <v>#REF!</v>
      </c>
      <c r="CD399" t="e">
        <f>AND(#REF!,"AAAAAH/nWlE=")</f>
        <v>#REF!</v>
      </c>
      <c r="CE399" t="e">
        <f>AND(#REF!,"AAAAAH/nWlI=")</f>
        <v>#REF!</v>
      </c>
      <c r="CF399" t="e">
        <f>AND(#REF!,"AAAAAH/nWlM=")</f>
        <v>#REF!</v>
      </c>
      <c r="CG399" t="e">
        <f>AND(#REF!,"AAAAAH/nWlQ=")</f>
        <v>#REF!</v>
      </c>
      <c r="CH399" t="e">
        <f>AND(#REF!,"AAAAAH/nWlU=")</f>
        <v>#REF!</v>
      </c>
      <c r="CI399" t="e">
        <f>AND(#REF!,"AAAAAH/nWlY=")</f>
        <v>#REF!</v>
      </c>
      <c r="CJ399" t="e">
        <f>AND(#REF!,"AAAAAH/nWlc=")</f>
        <v>#REF!</v>
      </c>
      <c r="CK399" t="e">
        <f>AND(#REF!,"AAAAAH/nWlg=")</f>
        <v>#REF!</v>
      </c>
      <c r="CL399" t="e">
        <f>AND(#REF!,"AAAAAH/nWlk=")</f>
        <v>#REF!</v>
      </c>
      <c r="CM399" t="e">
        <f>AND(#REF!,"AAAAAH/nWlo=")</f>
        <v>#REF!</v>
      </c>
      <c r="CN399" t="e">
        <f>AND(#REF!,"AAAAAH/nWls=")</f>
        <v>#REF!</v>
      </c>
      <c r="CO399" t="e">
        <f>AND(#REF!,"AAAAAH/nWlw=")</f>
        <v>#REF!</v>
      </c>
      <c r="CP399" t="e">
        <f>AND(#REF!,"AAAAAH/nWl0=")</f>
        <v>#REF!</v>
      </c>
      <c r="CQ399" t="e">
        <f>AND(#REF!,"AAAAAH/nWl4=")</f>
        <v>#REF!</v>
      </c>
      <c r="CR399" t="e">
        <f>AND(#REF!,"AAAAAH/nWl8=")</f>
        <v>#REF!</v>
      </c>
      <c r="CS399" t="e">
        <f>AND(#REF!,"AAAAAH/nWmA=")</f>
        <v>#REF!</v>
      </c>
      <c r="CT399" t="e">
        <f>IF(#REF!,"AAAAAH/nWmE=",0)</f>
        <v>#REF!</v>
      </c>
      <c r="CU399" t="e">
        <f>AND(#REF!,"AAAAAH/nWmI=")</f>
        <v>#REF!</v>
      </c>
      <c r="CV399" t="e">
        <f>AND(#REF!,"AAAAAH/nWmM=")</f>
        <v>#REF!</v>
      </c>
      <c r="CW399" t="e">
        <f>AND(#REF!,"AAAAAH/nWmQ=")</f>
        <v>#REF!</v>
      </c>
      <c r="CX399" t="e">
        <f>AND(#REF!,"AAAAAH/nWmU=")</f>
        <v>#REF!</v>
      </c>
      <c r="CY399" t="e">
        <f>AND(#REF!,"AAAAAH/nWmY=")</f>
        <v>#REF!</v>
      </c>
      <c r="CZ399" t="e">
        <f>AND(#REF!,"AAAAAH/nWmc=")</f>
        <v>#REF!</v>
      </c>
      <c r="DA399" t="e">
        <f>AND(#REF!,"AAAAAH/nWmg=")</f>
        <v>#REF!</v>
      </c>
      <c r="DB399" t="e">
        <f>AND(#REF!,"AAAAAH/nWmk=")</f>
        <v>#REF!</v>
      </c>
      <c r="DC399" t="e">
        <f>AND(#REF!,"AAAAAH/nWmo=")</f>
        <v>#REF!</v>
      </c>
      <c r="DD399" t="e">
        <f>AND(#REF!,"AAAAAH/nWms=")</f>
        <v>#REF!</v>
      </c>
      <c r="DE399" t="e">
        <f>AND(#REF!,"AAAAAH/nWmw=")</f>
        <v>#REF!</v>
      </c>
      <c r="DF399" t="e">
        <f>AND(#REF!,"AAAAAH/nWm0=")</f>
        <v>#REF!</v>
      </c>
      <c r="DG399" t="e">
        <f>AND(#REF!,"AAAAAH/nWm4=")</f>
        <v>#REF!</v>
      </c>
      <c r="DH399" t="e">
        <f>AND(#REF!,"AAAAAH/nWm8=")</f>
        <v>#REF!</v>
      </c>
      <c r="DI399" t="e">
        <f>AND(#REF!,"AAAAAH/nWnA=")</f>
        <v>#REF!</v>
      </c>
      <c r="DJ399" t="e">
        <f>AND(#REF!,"AAAAAH/nWnE=")</f>
        <v>#REF!</v>
      </c>
      <c r="DK399" t="e">
        <f>AND(#REF!,"AAAAAH/nWnI=")</f>
        <v>#REF!</v>
      </c>
      <c r="DL399" t="e">
        <f>AND(#REF!,"AAAAAH/nWnM=")</f>
        <v>#REF!</v>
      </c>
      <c r="DM399" t="e">
        <f>AND(#REF!,"AAAAAH/nWnQ=")</f>
        <v>#REF!</v>
      </c>
      <c r="DN399" t="e">
        <f>AND(#REF!,"AAAAAH/nWnU=")</f>
        <v>#REF!</v>
      </c>
      <c r="DO399" t="e">
        <f>AND(#REF!,"AAAAAH/nWnY=")</f>
        <v>#REF!</v>
      </c>
      <c r="DP399" t="e">
        <f>AND(#REF!,"AAAAAH/nWnc=")</f>
        <v>#REF!</v>
      </c>
      <c r="DQ399" t="e">
        <f>AND(#REF!,"AAAAAH/nWng=")</f>
        <v>#REF!</v>
      </c>
      <c r="DR399" t="e">
        <f>AND(#REF!,"AAAAAH/nWnk=")</f>
        <v>#REF!</v>
      </c>
      <c r="DS399" t="e">
        <f>IF(#REF!,"AAAAAH/nWno=",0)</f>
        <v>#REF!</v>
      </c>
      <c r="DT399" t="e">
        <f>AND(#REF!,"AAAAAH/nWns=")</f>
        <v>#REF!</v>
      </c>
      <c r="DU399" t="e">
        <f>AND(#REF!,"AAAAAH/nWnw=")</f>
        <v>#REF!</v>
      </c>
      <c r="DV399" t="e">
        <f>AND(#REF!,"AAAAAH/nWn0=")</f>
        <v>#REF!</v>
      </c>
      <c r="DW399" t="e">
        <f>AND(#REF!,"AAAAAH/nWn4=")</f>
        <v>#REF!</v>
      </c>
      <c r="DX399" t="e">
        <f>AND(#REF!,"AAAAAH/nWn8=")</f>
        <v>#REF!</v>
      </c>
      <c r="DY399" t="e">
        <f>AND(#REF!,"AAAAAH/nWoA=")</f>
        <v>#REF!</v>
      </c>
      <c r="DZ399" t="e">
        <f>AND(#REF!,"AAAAAH/nWoE=")</f>
        <v>#REF!</v>
      </c>
      <c r="EA399" t="e">
        <f>AND(#REF!,"AAAAAH/nWoI=")</f>
        <v>#REF!</v>
      </c>
      <c r="EB399" t="e">
        <f>AND(#REF!,"AAAAAH/nWoM=")</f>
        <v>#REF!</v>
      </c>
      <c r="EC399" t="e">
        <f>AND(#REF!,"AAAAAH/nWoQ=")</f>
        <v>#REF!</v>
      </c>
      <c r="ED399" t="e">
        <f>AND(#REF!,"AAAAAH/nWoU=")</f>
        <v>#REF!</v>
      </c>
      <c r="EE399" t="e">
        <f>AND(#REF!,"AAAAAH/nWoY=")</f>
        <v>#REF!</v>
      </c>
      <c r="EF399" t="e">
        <f>AND(#REF!,"AAAAAH/nWoc=")</f>
        <v>#REF!</v>
      </c>
      <c r="EG399" t="e">
        <f>AND(#REF!,"AAAAAH/nWog=")</f>
        <v>#REF!</v>
      </c>
      <c r="EH399" t="e">
        <f>AND(#REF!,"AAAAAH/nWok=")</f>
        <v>#REF!</v>
      </c>
      <c r="EI399" t="e">
        <f>AND(#REF!,"AAAAAH/nWoo=")</f>
        <v>#REF!</v>
      </c>
      <c r="EJ399" t="e">
        <f>AND(#REF!,"AAAAAH/nWos=")</f>
        <v>#REF!</v>
      </c>
      <c r="EK399" t="e">
        <f>AND(#REF!,"AAAAAH/nWow=")</f>
        <v>#REF!</v>
      </c>
      <c r="EL399" t="e">
        <f>AND(#REF!,"AAAAAH/nWo0=")</f>
        <v>#REF!</v>
      </c>
      <c r="EM399" t="e">
        <f>AND(#REF!,"AAAAAH/nWo4=")</f>
        <v>#REF!</v>
      </c>
      <c r="EN399" t="e">
        <f>AND(#REF!,"AAAAAH/nWo8=")</f>
        <v>#REF!</v>
      </c>
      <c r="EO399" t="e">
        <f>AND(#REF!,"AAAAAH/nWpA=")</f>
        <v>#REF!</v>
      </c>
      <c r="EP399" t="e">
        <f>AND(#REF!,"AAAAAH/nWpE=")</f>
        <v>#REF!</v>
      </c>
      <c r="EQ399" t="e">
        <f>AND(#REF!,"AAAAAH/nWpI=")</f>
        <v>#REF!</v>
      </c>
      <c r="ER399" t="e">
        <f>IF(#REF!,"AAAAAH/nWpM=",0)</f>
        <v>#REF!</v>
      </c>
      <c r="ES399" t="e">
        <f>AND(#REF!,"AAAAAH/nWpQ=")</f>
        <v>#REF!</v>
      </c>
      <c r="ET399" t="e">
        <f>AND(#REF!,"AAAAAH/nWpU=")</f>
        <v>#REF!</v>
      </c>
      <c r="EU399" t="e">
        <f>AND(#REF!,"AAAAAH/nWpY=")</f>
        <v>#REF!</v>
      </c>
      <c r="EV399" t="e">
        <f>AND(#REF!,"AAAAAH/nWpc=")</f>
        <v>#REF!</v>
      </c>
      <c r="EW399" t="e">
        <f>AND(#REF!,"AAAAAH/nWpg=")</f>
        <v>#REF!</v>
      </c>
      <c r="EX399" t="e">
        <f>AND(#REF!,"AAAAAH/nWpk=")</f>
        <v>#REF!</v>
      </c>
      <c r="EY399" t="e">
        <f>AND(#REF!,"AAAAAH/nWpo=")</f>
        <v>#REF!</v>
      </c>
      <c r="EZ399" t="e">
        <f>AND(#REF!,"AAAAAH/nWps=")</f>
        <v>#REF!</v>
      </c>
      <c r="FA399" t="e">
        <f>AND(#REF!,"AAAAAH/nWpw=")</f>
        <v>#REF!</v>
      </c>
      <c r="FB399" t="e">
        <f>AND(#REF!,"AAAAAH/nWp0=")</f>
        <v>#REF!</v>
      </c>
      <c r="FC399" t="e">
        <f>AND(#REF!,"AAAAAH/nWp4=")</f>
        <v>#REF!</v>
      </c>
      <c r="FD399" t="e">
        <f>AND(#REF!,"AAAAAH/nWp8=")</f>
        <v>#REF!</v>
      </c>
      <c r="FE399" t="e">
        <f>AND(#REF!,"AAAAAH/nWqA=")</f>
        <v>#REF!</v>
      </c>
      <c r="FF399" t="e">
        <f>AND(#REF!,"AAAAAH/nWqE=")</f>
        <v>#REF!</v>
      </c>
      <c r="FG399" t="e">
        <f>AND(#REF!,"AAAAAH/nWqI=")</f>
        <v>#REF!</v>
      </c>
      <c r="FH399" t="e">
        <f>AND(#REF!,"AAAAAH/nWqM=")</f>
        <v>#REF!</v>
      </c>
      <c r="FI399" t="e">
        <f>AND(#REF!,"AAAAAH/nWqQ=")</f>
        <v>#REF!</v>
      </c>
      <c r="FJ399" t="e">
        <f>AND(#REF!,"AAAAAH/nWqU=")</f>
        <v>#REF!</v>
      </c>
      <c r="FK399" t="e">
        <f>AND(#REF!,"AAAAAH/nWqY=")</f>
        <v>#REF!</v>
      </c>
      <c r="FL399" t="e">
        <f>AND(#REF!,"AAAAAH/nWqc=")</f>
        <v>#REF!</v>
      </c>
      <c r="FM399" t="e">
        <f>AND(#REF!,"AAAAAH/nWqg=")</f>
        <v>#REF!</v>
      </c>
      <c r="FN399" t="e">
        <f>AND(#REF!,"AAAAAH/nWqk=")</f>
        <v>#REF!</v>
      </c>
      <c r="FO399" t="e">
        <f>AND(#REF!,"AAAAAH/nWqo=")</f>
        <v>#REF!</v>
      </c>
      <c r="FP399" t="e">
        <f>AND(#REF!,"AAAAAH/nWqs=")</f>
        <v>#REF!</v>
      </c>
      <c r="FQ399" t="e">
        <f>IF(#REF!,"AAAAAH/nWqw=",0)</f>
        <v>#REF!</v>
      </c>
      <c r="FR399" t="e">
        <f>AND(#REF!,"AAAAAH/nWq0=")</f>
        <v>#REF!</v>
      </c>
      <c r="FS399" t="e">
        <f>AND(#REF!,"AAAAAH/nWq4=")</f>
        <v>#REF!</v>
      </c>
      <c r="FT399" t="e">
        <f>AND(#REF!,"AAAAAH/nWq8=")</f>
        <v>#REF!</v>
      </c>
      <c r="FU399" t="e">
        <f>AND(#REF!,"AAAAAH/nWrA=")</f>
        <v>#REF!</v>
      </c>
      <c r="FV399" t="e">
        <f>AND(#REF!,"AAAAAH/nWrE=")</f>
        <v>#REF!</v>
      </c>
      <c r="FW399" t="e">
        <f>AND(#REF!,"AAAAAH/nWrI=")</f>
        <v>#REF!</v>
      </c>
      <c r="FX399" t="e">
        <f>AND(#REF!,"AAAAAH/nWrM=")</f>
        <v>#REF!</v>
      </c>
      <c r="FY399" t="e">
        <f>AND(#REF!,"AAAAAH/nWrQ=")</f>
        <v>#REF!</v>
      </c>
      <c r="FZ399" t="e">
        <f>AND(#REF!,"AAAAAH/nWrU=")</f>
        <v>#REF!</v>
      </c>
      <c r="GA399" t="e">
        <f>AND(#REF!,"AAAAAH/nWrY=")</f>
        <v>#REF!</v>
      </c>
      <c r="GB399" t="e">
        <f>AND(#REF!,"AAAAAH/nWrc=")</f>
        <v>#REF!</v>
      </c>
      <c r="GC399" t="e">
        <f>AND(#REF!,"AAAAAH/nWrg=")</f>
        <v>#REF!</v>
      </c>
      <c r="GD399" t="e">
        <f>AND(#REF!,"AAAAAH/nWrk=")</f>
        <v>#REF!</v>
      </c>
      <c r="GE399" t="e">
        <f>AND(#REF!,"AAAAAH/nWro=")</f>
        <v>#REF!</v>
      </c>
      <c r="GF399" t="e">
        <f>AND(#REF!,"AAAAAH/nWrs=")</f>
        <v>#REF!</v>
      </c>
      <c r="GG399" t="e">
        <f>AND(#REF!,"AAAAAH/nWrw=")</f>
        <v>#REF!</v>
      </c>
      <c r="GH399" t="e">
        <f>AND(#REF!,"AAAAAH/nWr0=")</f>
        <v>#REF!</v>
      </c>
      <c r="GI399" t="e">
        <f>AND(#REF!,"AAAAAH/nWr4=")</f>
        <v>#REF!</v>
      </c>
      <c r="GJ399" t="e">
        <f>AND(#REF!,"AAAAAH/nWr8=")</f>
        <v>#REF!</v>
      </c>
      <c r="GK399" t="e">
        <f>AND(#REF!,"AAAAAH/nWsA=")</f>
        <v>#REF!</v>
      </c>
      <c r="GL399" t="e">
        <f>AND(#REF!,"AAAAAH/nWsE=")</f>
        <v>#REF!</v>
      </c>
      <c r="GM399" t="e">
        <f>AND(#REF!,"AAAAAH/nWsI=")</f>
        <v>#REF!</v>
      </c>
      <c r="GN399" t="e">
        <f>AND(#REF!,"AAAAAH/nWsM=")</f>
        <v>#REF!</v>
      </c>
      <c r="GO399" t="e">
        <f>AND(#REF!,"AAAAAH/nWsQ=")</f>
        <v>#REF!</v>
      </c>
      <c r="GP399" t="e">
        <f>IF(#REF!,"AAAAAH/nWsU=",0)</f>
        <v>#REF!</v>
      </c>
      <c r="GQ399" t="e">
        <f>AND(#REF!,"AAAAAH/nWsY=")</f>
        <v>#REF!</v>
      </c>
      <c r="GR399" t="e">
        <f>AND(#REF!,"AAAAAH/nWsc=")</f>
        <v>#REF!</v>
      </c>
      <c r="GS399" t="e">
        <f>AND(#REF!,"AAAAAH/nWsg=")</f>
        <v>#REF!</v>
      </c>
      <c r="GT399" t="e">
        <f>AND(#REF!,"AAAAAH/nWsk=")</f>
        <v>#REF!</v>
      </c>
      <c r="GU399" t="e">
        <f>AND(#REF!,"AAAAAH/nWso=")</f>
        <v>#REF!</v>
      </c>
      <c r="GV399" t="e">
        <f>AND(#REF!,"AAAAAH/nWss=")</f>
        <v>#REF!</v>
      </c>
      <c r="GW399" t="e">
        <f>AND(#REF!,"AAAAAH/nWsw=")</f>
        <v>#REF!</v>
      </c>
      <c r="GX399" t="e">
        <f>AND(#REF!,"AAAAAH/nWs0=")</f>
        <v>#REF!</v>
      </c>
      <c r="GY399" t="e">
        <f>AND(#REF!,"AAAAAH/nWs4=")</f>
        <v>#REF!</v>
      </c>
      <c r="GZ399" t="e">
        <f>AND(#REF!,"AAAAAH/nWs8=")</f>
        <v>#REF!</v>
      </c>
      <c r="HA399" t="e">
        <f>AND(#REF!,"AAAAAH/nWtA=")</f>
        <v>#REF!</v>
      </c>
      <c r="HB399" t="e">
        <f>AND(#REF!,"AAAAAH/nWtE=")</f>
        <v>#REF!</v>
      </c>
      <c r="HC399" t="e">
        <f>AND(#REF!,"AAAAAH/nWtI=")</f>
        <v>#REF!</v>
      </c>
      <c r="HD399" t="e">
        <f>AND(#REF!,"AAAAAH/nWtM=")</f>
        <v>#REF!</v>
      </c>
      <c r="HE399" t="e">
        <f>AND(#REF!,"AAAAAH/nWtQ=")</f>
        <v>#REF!</v>
      </c>
      <c r="HF399" t="e">
        <f>AND(#REF!,"AAAAAH/nWtU=")</f>
        <v>#REF!</v>
      </c>
      <c r="HG399" t="e">
        <f>AND(#REF!,"AAAAAH/nWtY=")</f>
        <v>#REF!</v>
      </c>
      <c r="HH399" t="e">
        <f>AND(#REF!,"AAAAAH/nWtc=")</f>
        <v>#REF!</v>
      </c>
      <c r="HI399" t="e">
        <f>AND(#REF!,"AAAAAH/nWtg=")</f>
        <v>#REF!</v>
      </c>
      <c r="HJ399" t="e">
        <f>AND(#REF!,"AAAAAH/nWtk=")</f>
        <v>#REF!</v>
      </c>
      <c r="HK399" t="e">
        <f>AND(#REF!,"AAAAAH/nWto=")</f>
        <v>#REF!</v>
      </c>
      <c r="HL399" t="e">
        <f>AND(#REF!,"AAAAAH/nWts=")</f>
        <v>#REF!</v>
      </c>
      <c r="HM399" t="e">
        <f>AND(#REF!,"AAAAAH/nWtw=")</f>
        <v>#REF!</v>
      </c>
      <c r="HN399" t="e">
        <f>AND(#REF!,"AAAAAH/nWt0=")</f>
        <v>#REF!</v>
      </c>
      <c r="HO399" t="e">
        <f>IF(#REF!,"AAAAAH/nWt4=",0)</f>
        <v>#REF!</v>
      </c>
      <c r="HP399" t="e">
        <f>AND(#REF!,"AAAAAH/nWt8=")</f>
        <v>#REF!</v>
      </c>
      <c r="HQ399" t="e">
        <f>AND(#REF!,"AAAAAH/nWuA=")</f>
        <v>#REF!</v>
      </c>
      <c r="HR399" t="e">
        <f>AND(#REF!,"AAAAAH/nWuE=")</f>
        <v>#REF!</v>
      </c>
      <c r="HS399" t="e">
        <f>AND(#REF!,"AAAAAH/nWuI=")</f>
        <v>#REF!</v>
      </c>
      <c r="HT399" t="e">
        <f>AND(#REF!,"AAAAAH/nWuM=")</f>
        <v>#REF!</v>
      </c>
      <c r="HU399" t="e">
        <f>AND(#REF!,"AAAAAH/nWuQ=")</f>
        <v>#REF!</v>
      </c>
      <c r="HV399" t="e">
        <f>AND(#REF!,"AAAAAH/nWuU=")</f>
        <v>#REF!</v>
      </c>
      <c r="HW399" t="e">
        <f>AND(#REF!,"AAAAAH/nWuY=")</f>
        <v>#REF!</v>
      </c>
      <c r="HX399" t="e">
        <f>AND(#REF!,"AAAAAH/nWuc=")</f>
        <v>#REF!</v>
      </c>
      <c r="HY399" t="e">
        <f>AND(#REF!,"AAAAAH/nWug=")</f>
        <v>#REF!</v>
      </c>
      <c r="HZ399" t="e">
        <f>AND(#REF!,"AAAAAH/nWuk=")</f>
        <v>#REF!</v>
      </c>
      <c r="IA399" t="e">
        <f>AND(#REF!,"AAAAAH/nWuo=")</f>
        <v>#REF!</v>
      </c>
      <c r="IB399" t="e">
        <f>AND(#REF!,"AAAAAH/nWus=")</f>
        <v>#REF!</v>
      </c>
      <c r="IC399" t="e">
        <f>AND(#REF!,"AAAAAH/nWuw=")</f>
        <v>#REF!</v>
      </c>
      <c r="ID399" t="e">
        <f>AND(#REF!,"AAAAAH/nWu0=")</f>
        <v>#REF!</v>
      </c>
      <c r="IE399" t="e">
        <f>AND(#REF!,"AAAAAH/nWu4=")</f>
        <v>#REF!</v>
      </c>
      <c r="IF399" t="e">
        <f>AND(#REF!,"AAAAAH/nWu8=")</f>
        <v>#REF!</v>
      </c>
      <c r="IG399" t="e">
        <f>AND(#REF!,"AAAAAH/nWvA=")</f>
        <v>#REF!</v>
      </c>
      <c r="IH399" t="e">
        <f>AND(#REF!,"AAAAAH/nWvE=")</f>
        <v>#REF!</v>
      </c>
      <c r="II399" t="e">
        <f>AND(#REF!,"AAAAAH/nWvI=")</f>
        <v>#REF!</v>
      </c>
      <c r="IJ399" t="e">
        <f>AND(#REF!,"AAAAAH/nWvM=")</f>
        <v>#REF!</v>
      </c>
      <c r="IK399" t="e">
        <f>AND(#REF!,"AAAAAH/nWvQ=")</f>
        <v>#REF!</v>
      </c>
      <c r="IL399" t="e">
        <f>AND(#REF!,"AAAAAH/nWvU=")</f>
        <v>#REF!</v>
      </c>
      <c r="IM399" t="e">
        <f>AND(#REF!,"AAAAAH/nWvY=")</f>
        <v>#REF!</v>
      </c>
      <c r="IN399" t="e">
        <f>IF(#REF!,"AAAAAH/nWvc=",0)</f>
        <v>#REF!</v>
      </c>
      <c r="IO399" t="e">
        <f>AND(#REF!,"AAAAAH/nWvg=")</f>
        <v>#REF!</v>
      </c>
      <c r="IP399" t="e">
        <f>AND(#REF!,"AAAAAH/nWvk=")</f>
        <v>#REF!</v>
      </c>
      <c r="IQ399" t="e">
        <f>AND(#REF!,"AAAAAH/nWvo=")</f>
        <v>#REF!</v>
      </c>
      <c r="IR399" t="e">
        <f>AND(#REF!,"AAAAAH/nWvs=")</f>
        <v>#REF!</v>
      </c>
      <c r="IS399" t="e">
        <f>AND(#REF!,"AAAAAH/nWvw=")</f>
        <v>#REF!</v>
      </c>
      <c r="IT399" t="e">
        <f>AND(#REF!,"AAAAAH/nWv0=")</f>
        <v>#REF!</v>
      </c>
      <c r="IU399" t="e">
        <f>AND(#REF!,"AAAAAH/nWv4=")</f>
        <v>#REF!</v>
      </c>
      <c r="IV399" t="e">
        <f>AND(#REF!,"AAAAAH/nWv8=")</f>
        <v>#REF!</v>
      </c>
    </row>
    <row r="400" spans="1:256">
      <c r="A400" t="e">
        <f>AND(#REF!,"AAAAAH/OawA=")</f>
        <v>#REF!</v>
      </c>
      <c r="B400" t="e">
        <f>AND(#REF!,"AAAAAH/OawE=")</f>
        <v>#REF!</v>
      </c>
      <c r="C400" t="e">
        <f>AND(#REF!,"AAAAAH/OawI=")</f>
        <v>#REF!</v>
      </c>
      <c r="D400" t="e">
        <f>AND(#REF!,"AAAAAH/OawM=")</f>
        <v>#REF!</v>
      </c>
      <c r="E400" t="e">
        <f>AND(#REF!,"AAAAAH/OawQ=")</f>
        <v>#REF!</v>
      </c>
      <c r="F400" t="e">
        <f>AND(#REF!,"AAAAAH/OawU=")</f>
        <v>#REF!</v>
      </c>
      <c r="G400" t="e">
        <f>AND(#REF!,"AAAAAH/OawY=")</f>
        <v>#REF!</v>
      </c>
      <c r="H400" t="e">
        <f>AND(#REF!,"AAAAAH/Oawc=")</f>
        <v>#REF!</v>
      </c>
      <c r="I400" t="e">
        <f>AND(#REF!,"AAAAAH/Oawg=")</f>
        <v>#REF!</v>
      </c>
      <c r="J400" t="e">
        <f>AND(#REF!,"AAAAAH/Oawk=")</f>
        <v>#REF!</v>
      </c>
      <c r="K400" t="e">
        <f>AND(#REF!,"AAAAAH/Oawo=")</f>
        <v>#REF!</v>
      </c>
      <c r="L400" t="e">
        <f>AND(#REF!,"AAAAAH/Oaws=")</f>
        <v>#REF!</v>
      </c>
      <c r="M400" t="e">
        <f>AND(#REF!,"AAAAAH/Oaww=")</f>
        <v>#REF!</v>
      </c>
      <c r="N400" t="e">
        <f>AND(#REF!,"AAAAAH/Oaw0=")</f>
        <v>#REF!</v>
      </c>
      <c r="O400" t="e">
        <f>AND(#REF!,"AAAAAH/Oaw4=")</f>
        <v>#REF!</v>
      </c>
      <c r="P400" t="e">
        <f>AND(#REF!,"AAAAAH/Oaw8=")</f>
        <v>#REF!</v>
      </c>
      <c r="Q400" t="e">
        <f>IF(#REF!,"AAAAAH/OaxA=",0)</f>
        <v>#REF!</v>
      </c>
      <c r="R400" t="e">
        <f>AND(#REF!,"AAAAAH/OaxE=")</f>
        <v>#REF!</v>
      </c>
      <c r="S400" t="e">
        <f>AND(#REF!,"AAAAAH/OaxI=")</f>
        <v>#REF!</v>
      </c>
      <c r="T400" t="e">
        <f>AND(#REF!,"AAAAAH/OaxM=")</f>
        <v>#REF!</v>
      </c>
      <c r="U400" t="e">
        <f>AND(#REF!,"AAAAAH/OaxQ=")</f>
        <v>#REF!</v>
      </c>
      <c r="V400" t="e">
        <f>AND(#REF!,"AAAAAH/OaxU=")</f>
        <v>#REF!</v>
      </c>
      <c r="W400" t="e">
        <f>AND(#REF!,"AAAAAH/OaxY=")</f>
        <v>#REF!</v>
      </c>
      <c r="X400" t="e">
        <f>AND(#REF!,"AAAAAH/Oaxc=")</f>
        <v>#REF!</v>
      </c>
      <c r="Y400" t="e">
        <f>AND(#REF!,"AAAAAH/Oaxg=")</f>
        <v>#REF!</v>
      </c>
      <c r="Z400" t="e">
        <f>AND(#REF!,"AAAAAH/Oaxk=")</f>
        <v>#REF!</v>
      </c>
      <c r="AA400" t="e">
        <f>AND(#REF!,"AAAAAH/Oaxo=")</f>
        <v>#REF!</v>
      </c>
      <c r="AB400" t="e">
        <f>AND(#REF!,"AAAAAH/Oaxs=")</f>
        <v>#REF!</v>
      </c>
      <c r="AC400" t="e">
        <f>AND(#REF!,"AAAAAH/Oaxw=")</f>
        <v>#REF!</v>
      </c>
      <c r="AD400" t="e">
        <f>AND(#REF!,"AAAAAH/Oax0=")</f>
        <v>#REF!</v>
      </c>
      <c r="AE400" t="e">
        <f>AND(#REF!,"AAAAAH/Oax4=")</f>
        <v>#REF!</v>
      </c>
      <c r="AF400" t="e">
        <f>AND(#REF!,"AAAAAH/Oax8=")</f>
        <v>#REF!</v>
      </c>
      <c r="AG400" t="e">
        <f>AND(#REF!,"AAAAAH/OayA=")</f>
        <v>#REF!</v>
      </c>
      <c r="AH400" t="e">
        <f>AND(#REF!,"AAAAAH/OayE=")</f>
        <v>#REF!</v>
      </c>
      <c r="AI400" t="e">
        <f>AND(#REF!,"AAAAAH/OayI=")</f>
        <v>#REF!</v>
      </c>
      <c r="AJ400" t="e">
        <f>AND(#REF!,"AAAAAH/OayM=")</f>
        <v>#REF!</v>
      </c>
      <c r="AK400" t="e">
        <f>AND(#REF!,"AAAAAH/OayQ=")</f>
        <v>#REF!</v>
      </c>
      <c r="AL400" t="e">
        <f>AND(#REF!,"AAAAAH/OayU=")</f>
        <v>#REF!</v>
      </c>
      <c r="AM400" t="e">
        <f>AND(#REF!,"AAAAAH/OayY=")</f>
        <v>#REF!</v>
      </c>
      <c r="AN400" t="e">
        <f>AND(#REF!,"AAAAAH/Oayc=")</f>
        <v>#REF!</v>
      </c>
      <c r="AO400" t="e">
        <f>AND(#REF!,"AAAAAH/Oayg=")</f>
        <v>#REF!</v>
      </c>
      <c r="AP400" t="e">
        <f>IF(#REF!,"AAAAAH/Oayk=",0)</f>
        <v>#REF!</v>
      </c>
      <c r="AQ400" t="e">
        <f>AND(#REF!,"AAAAAH/Oayo=")</f>
        <v>#REF!</v>
      </c>
      <c r="AR400" t="e">
        <f>AND(#REF!,"AAAAAH/Oays=")</f>
        <v>#REF!</v>
      </c>
      <c r="AS400" t="e">
        <f>AND(#REF!,"AAAAAH/Oayw=")</f>
        <v>#REF!</v>
      </c>
      <c r="AT400" t="e">
        <f>AND(#REF!,"AAAAAH/Oay0=")</f>
        <v>#REF!</v>
      </c>
      <c r="AU400" t="e">
        <f>AND(#REF!,"AAAAAH/Oay4=")</f>
        <v>#REF!</v>
      </c>
      <c r="AV400" t="e">
        <f>AND(#REF!,"AAAAAH/Oay8=")</f>
        <v>#REF!</v>
      </c>
      <c r="AW400" t="e">
        <f>AND(#REF!,"AAAAAH/OazA=")</f>
        <v>#REF!</v>
      </c>
      <c r="AX400" t="e">
        <f>AND(#REF!,"AAAAAH/OazE=")</f>
        <v>#REF!</v>
      </c>
      <c r="AY400" t="e">
        <f>AND(#REF!,"AAAAAH/OazI=")</f>
        <v>#REF!</v>
      </c>
      <c r="AZ400" t="e">
        <f>AND(#REF!,"AAAAAH/OazM=")</f>
        <v>#REF!</v>
      </c>
      <c r="BA400" t="e">
        <f>AND(#REF!,"AAAAAH/OazQ=")</f>
        <v>#REF!</v>
      </c>
      <c r="BB400" t="e">
        <f>AND(#REF!,"AAAAAH/OazU=")</f>
        <v>#REF!</v>
      </c>
      <c r="BC400" t="e">
        <f>AND(#REF!,"AAAAAH/OazY=")</f>
        <v>#REF!</v>
      </c>
      <c r="BD400" t="e">
        <f>AND(#REF!,"AAAAAH/Oazc=")</f>
        <v>#REF!</v>
      </c>
      <c r="BE400" t="e">
        <f>AND(#REF!,"AAAAAH/Oazg=")</f>
        <v>#REF!</v>
      </c>
      <c r="BF400" t="e">
        <f>AND(#REF!,"AAAAAH/Oazk=")</f>
        <v>#REF!</v>
      </c>
      <c r="BG400" t="e">
        <f>AND(#REF!,"AAAAAH/Oazo=")</f>
        <v>#REF!</v>
      </c>
      <c r="BH400" t="e">
        <f>AND(#REF!,"AAAAAH/Oazs=")</f>
        <v>#REF!</v>
      </c>
      <c r="BI400" t="e">
        <f>AND(#REF!,"AAAAAH/Oazw=")</f>
        <v>#REF!</v>
      </c>
      <c r="BJ400" t="e">
        <f>AND(#REF!,"AAAAAH/Oaz0=")</f>
        <v>#REF!</v>
      </c>
      <c r="BK400" t="e">
        <f>AND(#REF!,"AAAAAH/Oaz4=")</f>
        <v>#REF!</v>
      </c>
      <c r="BL400" t="e">
        <f>AND(#REF!,"AAAAAH/Oaz8=")</f>
        <v>#REF!</v>
      </c>
      <c r="BM400" t="e">
        <f>AND(#REF!,"AAAAAH/Oa0A=")</f>
        <v>#REF!</v>
      </c>
      <c r="BN400" t="e">
        <f>AND(#REF!,"AAAAAH/Oa0E=")</f>
        <v>#REF!</v>
      </c>
      <c r="BO400" t="e">
        <f>IF(#REF!,"AAAAAH/Oa0I=",0)</f>
        <v>#REF!</v>
      </c>
      <c r="BP400" t="e">
        <f>AND(#REF!,"AAAAAH/Oa0M=")</f>
        <v>#REF!</v>
      </c>
      <c r="BQ400" t="e">
        <f>AND(#REF!,"AAAAAH/Oa0Q=")</f>
        <v>#REF!</v>
      </c>
      <c r="BR400" t="e">
        <f>AND(#REF!,"AAAAAH/Oa0U=")</f>
        <v>#REF!</v>
      </c>
      <c r="BS400" t="e">
        <f>AND(#REF!,"AAAAAH/Oa0Y=")</f>
        <v>#REF!</v>
      </c>
      <c r="BT400" t="e">
        <f>AND(#REF!,"AAAAAH/Oa0c=")</f>
        <v>#REF!</v>
      </c>
      <c r="BU400" t="e">
        <f>AND(#REF!,"AAAAAH/Oa0g=")</f>
        <v>#REF!</v>
      </c>
      <c r="BV400" t="e">
        <f>AND(#REF!,"AAAAAH/Oa0k=")</f>
        <v>#REF!</v>
      </c>
      <c r="BW400" t="e">
        <f>AND(#REF!,"AAAAAH/Oa0o=")</f>
        <v>#REF!</v>
      </c>
      <c r="BX400" t="e">
        <f>AND(#REF!,"AAAAAH/Oa0s=")</f>
        <v>#REF!</v>
      </c>
      <c r="BY400" t="e">
        <f>AND(#REF!,"AAAAAH/Oa0w=")</f>
        <v>#REF!</v>
      </c>
      <c r="BZ400" t="e">
        <f>AND(#REF!,"AAAAAH/Oa00=")</f>
        <v>#REF!</v>
      </c>
      <c r="CA400" t="e">
        <f>AND(#REF!,"AAAAAH/Oa04=")</f>
        <v>#REF!</v>
      </c>
      <c r="CB400" t="e">
        <f>AND(#REF!,"AAAAAH/Oa08=")</f>
        <v>#REF!</v>
      </c>
      <c r="CC400" t="e">
        <f>AND(#REF!,"AAAAAH/Oa1A=")</f>
        <v>#REF!</v>
      </c>
      <c r="CD400" t="e">
        <f>AND(#REF!,"AAAAAH/Oa1E=")</f>
        <v>#REF!</v>
      </c>
      <c r="CE400" t="e">
        <f>AND(#REF!,"AAAAAH/Oa1I=")</f>
        <v>#REF!</v>
      </c>
      <c r="CF400" t="e">
        <f>AND(#REF!,"AAAAAH/Oa1M=")</f>
        <v>#REF!</v>
      </c>
      <c r="CG400" t="e">
        <f>AND(#REF!,"AAAAAH/Oa1Q=")</f>
        <v>#REF!</v>
      </c>
      <c r="CH400" t="e">
        <f>AND(#REF!,"AAAAAH/Oa1U=")</f>
        <v>#REF!</v>
      </c>
      <c r="CI400" t="e">
        <f>AND(#REF!,"AAAAAH/Oa1Y=")</f>
        <v>#REF!</v>
      </c>
      <c r="CJ400" t="e">
        <f>AND(#REF!,"AAAAAH/Oa1c=")</f>
        <v>#REF!</v>
      </c>
      <c r="CK400" t="e">
        <f>AND(#REF!,"AAAAAH/Oa1g=")</f>
        <v>#REF!</v>
      </c>
      <c r="CL400" t="e">
        <f>AND(#REF!,"AAAAAH/Oa1k=")</f>
        <v>#REF!</v>
      </c>
      <c r="CM400" t="e">
        <f>AND(#REF!,"AAAAAH/Oa1o=")</f>
        <v>#REF!</v>
      </c>
      <c r="CN400" t="e">
        <f>IF(#REF!,"AAAAAH/Oa1s=",0)</f>
        <v>#REF!</v>
      </c>
      <c r="CO400" t="e">
        <f>AND(#REF!,"AAAAAH/Oa1w=")</f>
        <v>#REF!</v>
      </c>
      <c r="CP400" t="e">
        <f>AND(#REF!,"AAAAAH/Oa10=")</f>
        <v>#REF!</v>
      </c>
      <c r="CQ400" t="e">
        <f>AND(#REF!,"AAAAAH/Oa14=")</f>
        <v>#REF!</v>
      </c>
      <c r="CR400" t="e">
        <f>AND(#REF!,"AAAAAH/Oa18=")</f>
        <v>#REF!</v>
      </c>
      <c r="CS400" t="e">
        <f>AND(#REF!,"AAAAAH/Oa2A=")</f>
        <v>#REF!</v>
      </c>
      <c r="CT400" t="e">
        <f>AND(#REF!,"AAAAAH/Oa2E=")</f>
        <v>#REF!</v>
      </c>
      <c r="CU400" t="e">
        <f>AND(#REF!,"AAAAAH/Oa2I=")</f>
        <v>#REF!</v>
      </c>
      <c r="CV400" t="e">
        <f>AND(#REF!,"AAAAAH/Oa2M=")</f>
        <v>#REF!</v>
      </c>
      <c r="CW400" t="e">
        <f>AND(#REF!,"AAAAAH/Oa2Q=")</f>
        <v>#REF!</v>
      </c>
      <c r="CX400" t="e">
        <f>AND(#REF!,"AAAAAH/Oa2U=")</f>
        <v>#REF!</v>
      </c>
      <c r="CY400" t="e">
        <f>AND(#REF!,"AAAAAH/Oa2Y=")</f>
        <v>#REF!</v>
      </c>
      <c r="CZ400" t="e">
        <f>AND(#REF!,"AAAAAH/Oa2c=")</f>
        <v>#REF!</v>
      </c>
      <c r="DA400" t="e">
        <f>AND(#REF!,"AAAAAH/Oa2g=")</f>
        <v>#REF!</v>
      </c>
      <c r="DB400" t="e">
        <f>AND(#REF!,"AAAAAH/Oa2k=")</f>
        <v>#REF!</v>
      </c>
      <c r="DC400" t="e">
        <f>AND(#REF!,"AAAAAH/Oa2o=")</f>
        <v>#REF!</v>
      </c>
      <c r="DD400" t="e">
        <f>AND(#REF!,"AAAAAH/Oa2s=")</f>
        <v>#REF!</v>
      </c>
      <c r="DE400" t="e">
        <f>AND(#REF!,"AAAAAH/Oa2w=")</f>
        <v>#REF!</v>
      </c>
      <c r="DF400" t="e">
        <f>AND(#REF!,"AAAAAH/Oa20=")</f>
        <v>#REF!</v>
      </c>
      <c r="DG400" t="e">
        <f>AND(#REF!,"AAAAAH/Oa24=")</f>
        <v>#REF!</v>
      </c>
      <c r="DH400" t="e">
        <f>AND(#REF!,"AAAAAH/Oa28=")</f>
        <v>#REF!</v>
      </c>
      <c r="DI400" t="e">
        <f>AND(#REF!,"AAAAAH/Oa3A=")</f>
        <v>#REF!</v>
      </c>
      <c r="DJ400" t="e">
        <f>AND(#REF!,"AAAAAH/Oa3E=")</f>
        <v>#REF!</v>
      </c>
      <c r="DK400" t="e">
        <f>AND(#REF!,"AAAAAH/Oa3I=")</f>
        <v>#REF!</v>
      </c>
      <c r="DL400" t="e">
        <f>AND(#REF!,"AAAAAH/Oa3M=")</f>
        <v>#REF!</v>
      </c>
      <c r="DM400" t="e">
        <f>IF(#REF!,"AAAAAH/Oa3Q=",0)</f>
        <v>#REF!</v>
      </c>
      <c r="DN400" t="e">
        <f>AND(#REF!,"AAAAAH/Oa3U=")</f>
        <v>#REF!</v>
      </c>
      <c r="DO400" t="e">
        <f>AND(#REF!,"AAAAAH/Oa3Y=")</f>
        <v>#REF!</v>
      </c>
      <c r="DP400" t="e">
        <f>AND(#REF!,"AAAAAH/Oa3c=")</f>
        <v>#REF!</v>
      </c>
      <c r="DQ400" t="e">
        <f>AND(#REF!,"AAAAAH/Oa3g=")</f>
        <v>#REF!</v>
      </c>
      <c r="DR400" t="e">
        <f>AND(#REF!,"AAAAAH/Oa3k=")</f>
        <v>#REF!</v>
      </c>
      <c r="DS400" t="e">
        <f>AND(#REF!,"AAAAAH/Oa3o=")</f>
        <v>#REF!</v>
      </c>
      <c r="DT400" t="e">
        <f>AND(#REF!,"AAAAAH/Oa3s=")</f>
        <v>#REF!</v>
      </c>
      <c r="DU400" t="e">
        <f>AND(#REF!,"AAAAAH/Oa3w=")</f>
        <v>#REF!</v>
      </c>
      <c r="DV400" t="e">
        <f>AND(#REF!,"AAAAAH/Oa30=")</f>
        <v>#REF!</v>
      </c>
      <c r="DW400" t="e">
        <f>AND(#REF!,"AAAAAH/Oa34=")</f>
        <v>#REF!</v>
      </c>
      <c r="DX400" t="e">
        <f>AND(#REF!,"AAAAAH/Oa38=")</f>
        <v>#REF!</v>
      </c>
      <c r="DY400" t="e">
        <f>AND(#REF!,"AAAAAH/Oa4A=")</f>
        <v>#REF!</v>
      </c>
      <c r="DZ400" t="e">
        <f>AND(#REF!,"AAAAAH/Oa4E=")</f>
        <v>#REF!</v>
      </c>
      <c r="EA400" t="e">
        <f>AND(#REF!,"AAAAAH/Oa4I=")</f>
        <v>#REF!</v>
      </c>
      <c r="EB400" t="e">
        <f>AND(#REF!,"AAAAAH/Oa4M=")</f>
        <v>#REF!</v>
      </c>
      <c r="EC400" t="e">
        <f>AND(#REF!,"AAAAAH/Oa4Q=")</f>
        <v>#REF!</v>
      </c>
      <c r="ED400" t="e">
        <f>AND(#REF!,"AAAAAH/Oa4U=")</f>
        <v>#REF!</v>
      </c>
      <c r="EE400" t="e">
        <f>AND(#REF!,"AAAAAH/Oa4Y=")</f>
        <v>#REF!</v>
      </c>
      <c r="EF400" t="e">
        <f>AND(#REF!,"AAAAAH/Oa4c=")</f>
        <v>#REF!</v>
      </c>
      <c r="EG400" t="e">
        <f>AND(#REF!,"AAAAAH/Oa4g=")</f>
        <v>#REF!</v>
      </c>
      <c r="EH400" t="e">
        <f>AND(#REF!,"AAAAAH/Oa4k=")</f>
        <v>#REF!</v>
      </c>
      <c r="EI400" t="e">
        <f>AND(#REF!,"AAAAAH/Oa4o=")</f>
        <v>#REF!</v>
      </c>
      <c r="EJ400" t="e">
        <f>AND(#REF!,"AAAAAH/Oa4s=")</f>
        <v>#REF!</v>
      </c>
      <c r="EK400" t="e">
        <f>AND(#REF!,"AAAAAH/Oa4w=")</f>
        <v>#REF!</v>
      </c>
      <c r="EL400" t="e">
        <f>IF(#REF!,"AAAAAH/Oa40=",0)</f>
        <v>#REF!</v>
      </c>
      <c r="EM400" t="e">
        <f>AND(#REF!,"AAAAAH/Oa44=")</f>
        <v>#REF!</v>
      </c>
      <c r="EN400" t="e">
        <f>AND(#REF!,"AAAAAH/Oa48=")</f>
        <v>#REF!</v>
      </c>
      <c r="EO400" t="e">
        <f>AND(#REF!,"AAAAAH/Oa5A=")</f>
        <v>#REF!</v>
      </c>
      <c r="EP400" t="e">
        <f>AND(#REF!,"AAAAAH/Oa5E=")</f>
        <v>#REF!</v>
      </c>
      <c r="EQ400" t="e">
        <f>AND(#REF!,"AAAAAH/Oa5I=")</f>
        <v>#REF!</v>
      </c>
      <c r="ER400" t="e">
        <f>AND(#REF!,"AAAAAH/Oa5M=")</f>
        <v>#REF!</v>
      </c>
      <c r="ES400" t="e">
        <f>AND(#REF!,"AAAAAH/Oa5Q=")</f>
        <v>#REF!</v>
      </c>
      <c r="ET400" t="e">
        <f>AND(#REF!,"AAAAAH/Oa5U=")</f>
        <v>#REF!</v>
      </c>
      <c r="EU400" t="e">
        <f>AND(#REF!,"AAAAAH/Oa5Y=")</f>
        <v>#REF!</v>
      </c>
      <c r="EV400" t="e">
        <f>AND(#REF!,"AAAAAH/Oa5c=")</f>
        <v>#REF!</v>
      </c>
      <c r="EW400" t="e">
        <f>AND(#REF!,"AAAAAH/Oa5g=")</f>
        <v>#REF!</v>
      </c>
      <c r="EX400" t="e">
        <f>AND(#REF!,"AAAAAH/Oa5k=")</f>
        <v>#REF!</v>
      </c>
      <c r="EY400" t="e">
        <f>AND(#REF!,"AAAAAH/Oa5o=")</f>
        <v>#REF!</v>
      </c>
      <c r="EZ400" t="e">
        <f>AND(#REF!,"AAAAAH/Oa5s=")</f>
        <v>#REF!</v>
      </c>
      <c r="FA400" t="e">
        <f>AND(#REF!,"AAAAAH/Oa5w=")</f>
        <v>#REF!</v>
      </c>
      <c r="FB400" t="e">
        <f>AND(#REF!,"AAAAAH/Oa50=")</f>
        <v>#REF!</v>
      </c>
      <c r="FC400" t="e">
        <f>AND(#REF!,"AAAAAH/Oa54=")</f>
        <v>#REF!</v>
      </c>
      <c r="FD400" t="e">
        <f>AND(#REF!,"AAAAAH/Oa58=")</f>
        <v>#REF!</v>
      </c>
      <c r="FE400" t="e">
        <f>AND(#REF!,"AAAAAH/Oa6A=")</f>
        <v>#REF!</v>
      </c>
      <c r="FF400" t="e">
        <f>AND(#REF!,"AAAAAH/Oa6E=")</f>
        <v>#REF!</v>
      </c>
      <c r="FG400" t="e">
        <f>AND(#REF!,"AAAAAH/Oa6I=")</f>
        <v>#REF!</v>
      </c>
      <c r="FH400" t="e">
        <f>AND(#REF!,"AAAAAH/Oa6M=")</f>
        <v>#REF!</v>
      </c>
      <c r="FI400" t="e">
        <f>AND(#REF!,"AAAAAH/Oa6Q=")</f>
        <v>#REF!</v>
      </c>
      <c r="FJ400" t="e">
        <f>AND(#REF!,"AAAAAH/Oa6U=")</f>
        <v>#REF!</v>
      </c>
      <c r="FK400" t="e">
        <f>IF(#REF!,"AAAAAH/Oa6Y=",0)</f>
        <v>#REF!</v>
      </c>
      <c r="FL400" t="e">
        <f>AND(#REF!,"AAAAAH/Oa6c=")</f>
        <v>#REF!</v>
      </c>
      <c r="FM400" t="e">
        <f>AND(#REF!,"AAAAAH/Oa6g=")</f>
        <v>#REF!</v>
      </c>
      <c r="FN400" t="e">
        <f>AND(#REF!,"AAAAAH/Oa6k=")</f>
        <v>#REF!</v>
      </c>
      <c r="FO400" t="e">
        <f>AND(#REF!,"AAAAAH/Oa6o=")</f>
        <v>#REF!</v>
      </c>
      <c r="FP400" t="e">
        <f>AND(#REF!,"AAAAAH/Oa6s=")</f>
        <v>#REF!</v>
      </c>
      <c r="FQ400" t="e">
        <f>AND(#REF!,"AAAAAH/Oa6w=")</f>
        <v>#REF!</v>
      </c>
      <c r="FR400" t="e">
        <f>AND(#REF!,"AAAAAH/Oa60=")</f>
        <v>#REF!</v>
      </c>
      <c r="FS400" t="e">
        <f>AND(#REF!,"AAAAAH/Oa64=")</f>
        <v>#REF!</v>
      </c>
      <c r="FT400" t="e">
        <f>AND(#REF!,"AAAAAH/Oa68=")</f>
        <v>#REF!</v>
      </c>
      <c r="FU400" t="e">
        <f>AND(#REF!,"AAAAAH/Oa7A=")</f>
        <v>#REF!</v>
      </c>
      <c r="FV400" t="e">
        <f>AND(#REF!,"AAAAAH/Oa7E=")</f>
        <v>#REF!</v>
      </c>
      <c r="FW400" t="e">
        <f>AND(#REF!,"AAAAAH/Oa7I=")</f>
        <v>#REF!</v>
      </c>
      <c r="FX400" t="e">
        <f>AND(#REF!,"AAAAAH/Oa7M=")</f>
        <v>#REF!</v>
      </c>
      <c r="FY400" t="e">
        <f>AND(#REF!,"AAAAAH/Oa7Q=")</f>
        <v>#REF!</v>
      </c>
      <c r="FZ400" t="e">
        <f>AND(#REF!,"AAAAAH/Oa7U=")</f>
        <v>#REF!</v>
      </c>
      <c r="GA400" t="e">
        <f>AND(#REF!,"AAAAAH/Oa7Y=")</f>
        <v>#REF!</v>
      </c>
      <c r="GB400" t="e">
        <f>AND(#REF!,"AAAAAH/Oa7c=")</f>
        <v>#REF!</v>
      </c>
      <c r="GC400" t="e">
        <f>AND(#REF!,"AAAAAH/Oa7g=")</f>
        <v>#REF!</v>
      </c>
      <c r="GD400" t="e">
        <f>AND(#REF!,"AAAAAH/Oa7k=")</f>
        <v>#REF!</v>
      </c>
      <c r="GE400" t="e">
        <f>AND(#REF!,"AAAAAH/Oa7o=")</f>
        <v>#REF!</v>
      </c>
      <c r="GF400" t="e">
        <f>AND(#REF!,"AAAAAH/Oa7s=")</f>
        <v>#REF!</v>
      </c>
      <c r="GG400" t="e">
        <f>AND(#REF!,"AAAAAH/Oa7w=")</f>
        <v>#REF!</v>
      </c>
      <c r="GH400" t="e">
        <f>AND(#REF!,"AAAAAH/Oa70=")</f>
        <v>#REF!</v>
      </c>
      <c r="GI400" t="e">
        <f>AND(#REF!,"AAAAAH/Oa74=")</f>
        <v>#REF!</v>
      </c>
      <c r="GJ400" t="e">
        <f>IF(#REF!,"AAAAAH/Oa78=",0)</f>
        <v>#REF!</v>
      </c>
      <c r="GK400" t="e">
        <f>AND(#REF!,"AAAAAH/Oa8A=")</f>
        <v>#REF!</v>
      </c>
      <c r="GL400" t="e">
        <f>AND(#REF!,"AAAAAH/Oa8E=")</f>
        <v>#REF!</v>
      </c>
      <c r="GM400" t="e">
        <f>AND(#REF!,"AAAAAH/Oa8I=")</f>
        <v>#REF!</v>
      </c>
      <c r="GN400" t="e">
        <f>AND(#REF!,"AAAAAH/Oa8M=")</f>
        <v>#REF!</v>
      </c>
      <c r="GO400" t="e">
        <f>AND(#REF!,"AAAAAH/Oa8Q=")</f>
        <v>#REF!</v>
      </c>
      <c r="GP400" t="e">
        <f>AND(#REF!,"AAAAAH/Oa8U=")</f>
        <v>#REF!</v>
      </c>
      <c r="GQ400" t="e">
        <f>AND(#REF!,"AAAAAH/Oa8Y=")</f>
        <v>#REF!</v>
      </c>
      <c r="GR400" t="e">
        <f>AND(#REF!,"AAAAAH/Oa8c=")</f>
        <v>#REF!</v>
      </c>
      <c r="GS400" t="e">
        <f>AND(#REF!,"AAAAAH/Oa8g=")</f>
        <v>#REF!</v>
      </c>
      <c r="GT400" t="e">
        <f>AND(#REF!,"AAAAAH/Oa8k=")</f>
        <v>#REF!</v>
      </c>
      <c r="GU400" t="e">
        <f>AND(#REF!,"AAAAAH/Oa8o=")</f>
        <v>#REF!</v>
      </c>
      <c r="GV400" t="e">
        <f>AND(#REF!,"AAAAAH/Oa8s=")</f>
        <v>#REF!</v>
      </c>
      <c r="GW400" t="e">
        <f>AND(#REF!,"AAAAAH/Oa8w=")</f>
        <v>#REF!</v>
      </c>
      <c r="GX400" t="e">
        <f>AND(#REF!,"AAAAAH/Oa80=")</f>
        <v>#REF!</v>
      </c>
      <c r="GY400" t="e">
        <f>AND(#REF!,"AAAAAH/Oa84=")</f>
        <v>#REF!</v>
      </c>
      <c r="GZ400" t="e">
        <f>AND(#REF!,"AAAAAH/Oa88=")</f>
        <v>#REF!</v>
      </c>
      <c r="HA400" t="e">
        <f>AND(#REF!,"AAAAAH/Oa9A=")</f>
        <v>#REF!</v>
      </c>
      <c r="HB400" t="e">
        <f>AND(#REF!,"AAAAAH/Oa9E=")</f>
        <v>#REF!</v>
      </c>
      <c r="HC400" t="e">
        <f>AND(#REF!,"AAAAAH/Oa9I=")</f>
        <v>#REF!</v>
      </c>
      <c r="HD400" t="e">
        <f>AND(#REF!,"AAAAAH/Oa9M=")</f>
        <v>#REF!</v>
      </c>
      <c r="HE400" t="e">
        <f>AND(#REF!,"AAAAAH/Oa9Q=")</f>
        <v>#REF!</v>
      </c>
      <c r="HF400" t="e">
        <f>AND(#REF!,"AAAAAH/Oa9U=")</f>
        <v>#REF!</v>
      </c>
      <c r="HG400" t="e">
        <f>AND(#REF!,"AAAAAH/Oa9Y=")</f>
        <v>#REF!</v>
      </c>
      <c r="HH400" t="e">
        <f>AND(#REF!,"AAAAAH/Oa9c=")</f>
        <v>#REF!</v>
      </c>
      <c r="HI400" t="e">
        <f>IF(#REF!,"AAAAAH/Oa9g=",0)</f>
        <v>#REF!</v>
      </c>
      <c r="HJ400" t="e">
        <f>AND(#REF!,"AAAAAH/Oa9k=")</f>
        <v>#REF!</v>
      </c>
      <c r="HK400" t="e">
        <f>AND(#REF!,"AAAAAH/Oa9o=")</f>
        <v>#REF!</v>
      </c>
      <c r="HL400" t="e">
        <f>AND(#REF!,"AAAAAH/Oa9s=")</f>
        <v>#REF!</v>
      </c>
      <c r="HM400" t="e">
        <f>AND(#REF!,"AAAAAH/Oa9w=")</f>
        <v>#REF!</v>
      </c>
      <c r="HN400" t="e">
        <f>AND(#REF!,"AAAAAH/Oa90=")</f>
        <v>#REF!</v>
      </c>
      <c r="HO400" t="e">
        <f>AND(#REF!,"AAAAAH/Oa94=")</f>
        <v>#REF!</v>
      </c>
      <c r="HP400" t="e">
        <f>AND(#REF!,"AAAAAH/Oa98=")</f>
        <v>#REF!</v>
      </c>
      <c r="HQ400" t="e">
        <f>AND(#REF!,"AAAAAH/Oa+A=")</f>
        <v>#REF!</v>
      </c>
      <c r="HR400" t="e">
        <f>AND(#REF!,"AAAAAH/Oa+E=")</f>
        <v>#REF!</v>
      </c>
      <c r="HS400" t="e">
        <f>AND(#REF!,"AAAAAH/Oa+I=")</f>
        <v>#REF!</v>
      </c>
      <c r="HT400" t="e">
        <f>AND(#REF!,"AAAAAH/Oa+M=")</f>
        <v>#REF!</v>
      </c>
      <c r="HU400" t="e">
        <f>AND(#REF!,"AAAAAH/Oa+Q=")</f>
        <v>#REF!</v>
      </c>
      <c r="HV400" t="e">
        <f>AND(#REF!,"AAAAAH/Oa+U=")</f>
        <v>#REF!</v>
      </c>
      <c r="HW400" t="e">
        <f>AND(#REF!,"AAAAAH/Oa+Y=")</f>
        <v>#REF!</v>
      </c>
      <c r="HX400" t="e">
        <f>AND(#REF!,"AAAAAH/Oa+c=")</f>
        <v>#REF!</v>
      </c>
      <c r="HY400" t="e">
        <f>AND(#REF!,"AAAAAH/Oa+g=")</f>
        <v>#REF!</v>
      </c>
      <c r="HZ400" t="e">
        <f>AND(#REF!,"AAAAAH/Oa+k=")</f>
        <v>#REF!</v>
      </c>
      <c r="IA400" t="e">
        <f>AND(#REF!,"AAAAAH/Oa+o=")</f>
        <v>#REF!</v>
      </c>
      <c r="IB400" t="e">
        <f>AND(#REF!,"AAAAAH/Oa+s=")</f>
        <v>#REF!</v>
      </c>
      <c r="IC400" t="e">
        <f>AND(#REF!,"AAAAAH/Oa+w=")</f>
        <v>#REF!</v>
      </c>
      <c r="ID400" t="e">
        <f>AND(#REF!,"AAAAAH/Oa+0=")</f>
        <v>#REF!</v>
      </c>
      <c r="IE400" t="e">
        <f>AND(#REF!,"AAAAAH/Oa+4=")</f>
        <v>#REF!</v>
      </c>
      <c r="IF400" t="e">
        <f>AND(#REF!,"AAAAAH/Oa+8=")</f>
        <v>#REF!</v>
      </c>
      <c r="IG400" t="e">
        <f>AND(#REF!,"AAAAAH/Oa/A=")</f>
        <v>#REF!</v>
      </c>
      <c r="IH400" t="e">
        <f>IF(#REF!,"AAAAAH/Oa/E=",0)</f>
        <v>#REF!</v>
      </c>
      <c r="II400" t="e">
        <f>AND(#REF!,"AAAAAH/Oa/I=")</f>
        <v>#REF!</v>
      </c>
      <c r="IJ400" t="e">
        <f>AND(#REF!,"AAAAAH/Oa/M=")</f>
        <v>#REF!</v>
      </c>
      <c r="IK400" t="e">
        <f>AND(#REF!,"AAAAAH/Oa/Q=")</f>
        <v>#REF!</v>
      </c>
      <c r="IL400" t="e">
        <f>AND(#REF!,"AAAAAH/Oa/U=")</f>
        <v>#REF!</v>
      </c>
      <c r="IM400" t="e">
        <f>AND(#REF!,"AAAAAH/Oa/Y=")</f>
        <v>#REF!</v>
      </c>
      <c r="IN400" t="e">
        <f>AND(#REF!,"AAAAAH/Oa/c=")</f>
        <v>#REF!</v>
      </c>
      <c r="IO400" t="e">
        <f>AND(#REF!,"AAAAAH/Oa/g=")</f>
        <v>#REF!</v>
      </c>
      <c r="IP400" t="e">
        <f>AND(#REF!,"AAAAAH/Oa/k=")</f>
        <v>#REF!</v>
      </c>
      <c r="IQ400" t="e">
        <f>AND(#REF!,"AAAAAH/Oa/o=")</f>
        <v>#REF!</v>
      </c>
      <c r="IR400" t="e">
        <f>AND(#REF!,"AAAAAH/Oa/s=")</f>
        <v>#REF!</v>
      </c>
      <c r="IS400" t="e">
        <f>AND(#REF!,"AAAAAH/Oa/w=")</f>
        <v>#REF!</v>
      </c>
      <c r="IT400" t="e">
        <f>AND(#REF!,"AAAAAH/Oa/0=")</f>
        <v>#REF!</v>
      </c>
      <c r="IU400" t="e">
        <f>AND(#REF!,"AAAAAH/Oa/4=")</f>
        <v>#REF!</v>
      </c>
      <c r="IV400" t="e">
        <f>AND(#REF!,"AAAAAH/Oa/8=")</f>
        <v>#REF!</v>
      </c>
    </row>
    <row r="401" spans="1:256">
      <c r="A401" t="e">
        <f>AND(#REF!,"AAAAADlv/gA=")</f>
        <v>#REF!</v>
      </c>
      <c r="B401" t="e">
        <f>AND(#REF!,"AAAAADlv/gE=")</f>
        <v>#REF!</v>
      </c>
      <c r="C401" t="e">
        <f>AND(#REF!,"AAAAADlv/gI=")</f>
        <v>#REF!</v>
      </c>
      <c r="D401" t="e">
        <f>AND(#REF!,"AAAAADlv/gM=")</f>
        <v>#REF!</v>
      </c>
      <c r="E401" t="e">
        <f>AND(#REF!,"AAAAADlv/gQ=")</f>
        <v>#REF!</v>
      </c>
      <c r="F401" t="e">
        <f>AND(#REF!,"AAAAADlv/gU=")</f>
        <v>#REF!</v>
      </c>
      <c r="G401" t="e">
        <f>AND(#REF!,"AAAAADlv/gY=")</f>
        <v>#REF!</v>
      </c>
      <c r="H401" t="e">
        <f>AND(#REF!,"AAAAADlv/gc=")</f>
        <v>#REF!</v>
      </c>
      <c r="I401" t="e">
        <f>AND(#REF!,"AAAAADlv/gg=")</f>
        <v>#REF!</v>
      </c>
      <c r="J401" t="e">
        <f>AND(#REF!,"AAAAADlv/gk=")</f>
        <v>#REF!</v>
      </c>
      <c r="K401" t="e">
        <f>IF(#REF!,"AAAAADlv/go=",0)</f>
        <v>#REF!</v>
      </c>
      <c r="L401" t="e">
        <f>AND(#REF!,"AAAAADlv/gs=")</f>
        <v>#REF!</v>
      </c>
      <c r="M401" t="e">
        <f>AND(#REF!,"AAAAADlv/gw=")</f>
        <v>#REF!</v>
      </c>
      <c r="N401" t="e">
        <f>AND(#REF!,"AAAAADlv/g0=")</f>
        <v>#REF!</v>
      </c>
      <c r="O401" t="e">
        <f>AND(#REF!,"AAAAADlv/g4=")</f>
        <v>#REF!</v>
      </c>
      <c r="P401" t="e">
        <f>AND(#REF!,"AAAAADlv/g8=")</f>
        <v>#REF!</v>
      </c>
      <c r="Q401" t="e">
        <f>AND(#REF!,"AAAAADlv/hA=")</f>
        <v>#REF!</v>
      </c>
      <c r="R401" t="e">
        <f>AND(#REF!,"AAAAADlv/hE=")</f>
        <v>#REF!</v>
      </c>
      <c r="S401" t="e">
        <f>AND(#REF!,"AAAAADlv/hI=")</f>
        <v>#REF!</v>
      </c>
      <c r="T401" t="e">
        <f>AND(#REF!,"AAAAADlv/hM=")</f>
        <v>#REF!</v>
      </c>
      <c r="U401" t="e">
        <f>AND(#REF!,"AAAAADlv/hQ=")</f>
        <v>#REF!</v>
      </c>
      <c r="V401" t="e">
        <f>AND(#REF!,"AAAAADlv/hU=")</f>
        <v>#REF!</v>
      </c>
      <c r="W401" t="e">
        <f>AND(#REF!,"AAAAADlv/hY=")</f>
        <v>#REF!</v>
      </c>
      <c r="X401" t="e">
        <f>AND(#REF!,"AAAAADlv/hc=")</f>
        <v>#REF!</v>
      </c>
      <c r="Y401" t="e">
        <f>AND(#REF!,"AAAAADlv/hg=")</f>
        <v>#REF!</v>
      </c>
      <c r="Z401" t="e">
        <f>AND(#REF!,"AAAAADlv/hk=")</f>
        <v>#REF!</v>
      </c>
      <c r="AA401" t="e">
        <f>AND(#REF!,"AAAAADlv/ho=")</f>
        <v>#REF!</v>
      </c>
      <c r="AB401" t="e">
        <f>AND(#REF!,"AAAAADlv/hs=")</f>
        <v>#REF!</v>
      </c>
      <c r="AC401" t="e">
        <f>AND(#REF!,"AAAAADlv/hw=")</f>
        <v>#REF!</v>
      </c>
      <c r="AD401" t="e">
        <f>AND(#REF!,"AAAAADlv/h0=")</f>
        <v>#REF!</v>
      </c>
      <c r="AE401" t="e">
        <f>AND(#REF!,"AAAAADlv/h4=")</f>
        <v>#REF!</v>
      </c>
      <c r="AF401" t="e">
        <f>AND(#REF!,"AAAAADlv/h8=")</f>
        <v>#REF!</v>
      </c>
      <c r="AG401" t="e">
        <f>AND(#REF!,"AAAAADlv/iA=")</f>
        <v>#REF!</v>
      </c>
      <c r="AH401" t="e">
        <f>AND(#REF!,"AAAAADlv/iE=")</f>
        <v>#REF!</v>
      </c>
      <c r="AI401" t="e">
        <f>AND(#REF!,"AAAAADlv/iI=")</f>
        <v>#REF!</v>
      </c>
      <c r="AJ401" t="e">
        <f>IF(#REF!,"AAAAADlv/iM=",0)</f>
        <v>#REF!</v>
      </c>
      <c r="AK401" t="e">
        <f>AND(#REF!,"AAAAADlv/iQ=")</f>
        <v>#REF!</v>
      </c>
      <c r="AL401" t="e">
        <f>AND(#REF!,"AAAAADlv/iU=")</f>
        <v>#REF!</v>
      </c>
      <c r="AM401" t="e">
        <f>AND(#REF!,"AAAAADlv/iY=")</f>
        <v>#REF!</v>
      </c>
      <c r="AN401" t="e">
        <f>AND(#REF!,"AAAAADlv/ic=")</f>
        <v>#REF!</v>
      </c>
      <c r="AO401" t="e">
        <f>AND(#REF!,"AAAAADlv/ig=")</f>
        <v>#REF!</v>
      </c>
      <c r="AP401" t="e">
        <f>AND(#REF!,"AAAAADlv/ik=")</f>
        <v>#REF!</v>
      </c>
      <c r="AQ401" t="e">
        <f>AND(#REF!,"AAAAADlv/io=")</f>
        <v>#REF!</v>
      </c>
      <c r="AR401" t="e">
        <f>AND(#REF!,"AAAAADlv/is=")</f>
        <v>#REF!</v>
      </c>
      <c r="AS401" t="e">
        <f>AND(#REF!,"AAAAADlv/iw=")</f>
        <v>#REF!</v>
      </c>
      <c r="AT401" t="e">
        <f>AND(#REF!,"AAAAADlv/i0=")</f>
        <v>#REF!</v>
      </c>
      <c r="AU401" t="e">
        <f>AND(#REF!,"AAAAADlv/i4=")</f>
        <v>#REF!</v>
      </c>
      <c r="AV401" t="e">
        <f>AND(#REF!,"AAAAADlv/i8=")</f>
        <v>#REF!</v>
      </c>
      <c r="AW401" t="e">
        <f>AND(#REF!,"AAAAADlv/jA=")</f>
        <v>#REF!</v>
      </c>
      <c r="AX401" t="e">
        <f>AND(#REF!,"AAAAADlv/jE=")</f>
        <v>#REF!</v>
      </c>
      <c r="AY401" t="e">
        <f>AND(#REF!,"AAAAADlv/jI=")</f>
        <v>#REF!</v>
      </c>
      <c r="AZ401" t="e">
        <f>AND(#REF!,"AAAAADlv/jM=")</f>
        <v>#REF!</v>
      </c>
      <c r="BA401" t="e">
        <f>AND(#REF!,"AAAAADlv/jQ=")</f>
        <v>#REF!</v>
      </c>
      <c r="BB401" t="e">
        <f>AND(#REF!,"AAAAADlv/jU=")</f>
        <v>#REF!</v>
      </c>
      <c r="BC401" t="e">
        <f>AND(#REF!,"AAAAADlv/jY=")</f>
        <v>#REF!</v>
      </c>
      <c r="BD401" t="e">
        <f>AND(#REF!,"AAAAADlv/jc=")</f>
        <v>#REF!</v>
      </c>
      <c r="BE401" t="e">
        <f>AND(#REF!,"AAAAADlv/jg=")</f>
        <v>#REF!</v>
      </c>
      <c r="BF401" t="e">
        <f>AND(#REF!,"AAAAADlv/jk=")</f>
        <v>#REF!</v>
      </c>
      <c r="BG401" t="e">
        <f>AND(#REF!,"AAAAADlv/jo=")</f>
        <v>#REF!</v>
      </c>
      <c r="BH401" t="e">
        <f>AND(#REF!,"AAAAADlv/js=")</f>
        <v>#REF!</v>
      </c>
      <c r="BI401" t="e">
        <f>IF(#REF!,"AAAAADlv/jw=",0)</f>
        <v>#REF!</v>
      </c>
      <c r="BJ401" t="e">
        <f>AND(#REF!,"AAAAADlv/j0=")</f>
        <v>#REF!</v>
      </c>
      <c r="BK401" t="e">
        <f>AND(#REF!,"AAAAADlv/j4=")</f>
        <v>#REF!</v>
      </c>
      <c r="BL401" t="e">
        <f>AND(#REF!,"AAAAADlv/j8=")</f>
        <v>#REF!</v>
      </c>
      <c r="BM401" t="e">
        <f>AND(#REF!,"AAAAADlv/kA=")</f>
        <v>#REF!</v>
      </c>
      <c r="BN401" t="e">
        <f>AND(#REF!,"AAAAADlv/kE=")</f>
        <v>#REF!</v>
      </c>
      <c r="BO401" t="e">
        <f>AND(#REF!,"AAAAADlv/kI=")</f>
        <v>#REF!</v>
      </c>
      <c r="BP401" t="e">
        <f>AND(#REF!,"AAAAADlv/kM=")</f>
        <v>#REF!</v>
      </c>
      <c r="BQ401" t="e">
        <f>AND(#REF!,"AAAAADlv/kQ=")</f>
        <v>#REF!</v>
      </c>
      <c r="BR401" t="e">
        <f>AND(#REF!,"AAAAADlv/kU=")</f>
        <v>#REF!</v>
      </c>
      <c r="BS401" t="e">
        <f>AND(#REF!,"AAAAADlv/kY=")</f>
        <v>#REF!</v>
      </c>
      <c r="BT401" t="e">
        <f>AND(#REF!,"AAAAADlv/kc=")</f>
        <v>#REF!</v>
      </c>
      <c r="BU401" t="e">
        <f>AND(#REF!,"AAAAADlv/kg=")</f>
        <v>#REF!</v>
      </c>
      <c r="BV401" t="e">
        <f>AND(#REF!,"AAAAADlv/kk=")</f>
        <v>#REF!</v>
      </c>
      <c r="BW401" t="e">
        <f>AND(#REF!,"AAAAADlv/ko=")</f>
        <v>#REF!</v>
      </c>
      <c r="BX401" t="e">
        <f>AND(#REF!,"AAAAADlv/ks=")</f>
        <v>#REF!</v>
      </c>
      <c r="BY401" t="e">
        <f>AND(#REF!,"AAAAADlv/kw=")</f>
        <v>#REF!</v>
      </c>
      <c r="BZ401" t="e">
        <f>AND(#REF!,"AAAAADlv/k0=")</f>
        <v>#REF!</v>
      </c>
      <c r="CA401" t="e">
        <f>AND(#REF!,"AAAAADlv/k4=")</f>
        <v>#REF!</v>
      </c>
      <c r="CB401" t="e">
        <f>AND(#REF!,"AAAAADlv/k8=")</f>
        <v>#REF!</v>
      </c>
      <c r="CC401" t="e">
        <f>AND(#REF!,"AAAAADlv/lA=")</f>
        <v>#REF!</v>
      </c>
      <c r="CD401" t="e">
        <f>AND(#REF!,"AAAAADlv/lE=")</f>
        <v>#REF!</v>
      </c>
      <c r="CE401" t="e">
        <f>AND(#REF!,"AAAAADlv/lI=")</f>
        <v>#REF!</v>
      </c>
      <c r="CF401" t="e">
        <f>AND(#REF!,"AAAAADlv/lM=")</f>
        <v>#REF!</v>
      </c>
      <c r="CG401" t="e">
        <f>AND(#REF!,"AAAAADlv/lQ=")</f>
        <v>#REF!</v>
      </c>
      <c r="CH401" t="e">
        <f>IF(#REF!,"AAAAADlv/lU=",0)</f>
        <v>#REF!</v>
      </c>
      <c r="CI401" t="e">
        <f>AND(#REF!,"AAAAADlv/lY=")</f>
        <v>#REF!</v>
      </c>
      <c r="CJ401" t="e">
        <f>AND(#REF!,"AAAAADlv/lc=")</f>
        <v>#REF!</v>
      </c>
      <c r="CK401" t="e">
        <f>AND(#REF!,"AAAAADlv/lg=")</f>
        <v>#REF!</v>
      </c>
      <c r="CL401" t="e">
        <f>AND(#REF!,"AAAAADlv/lk=")</f>
        <v>#REF!</v>
      </c>
      <c r="CM401" t="e">
        <f>AND(#REF!,"AAAAADlv/lo=")</f>
        <v>#REF!</v>
      </c>
      <c r="CN401" t="e">
        <f>AND(#REF!,"AAAAADlv/ls=")</f>
        <v>#REF!</v>
      </c>
      <c r="CO401" t="e">
        <f>AND(#REF!,"AAAAADlv/lw=")</f>
        <v>#REF!</v>
      </c>
      <c r="CP401" t="e">
        <f>AND(#REF!,"AAAAADlv/l0=")</f>
        <v>#REF!</v>
      </c>
      <c r="CQ401" t="e">
        <f>AND(#REF!,"AAAAADlv/l4=")</f>
        <v>#REF!</v>
      </c>
      <c r="CR401" t="e">
        <f>AND(#REF!,"AAAAADlv/l8=")</f>
        <v>#REF!</v>
      </c>
      <c r="CS401" t="e">
        <f>AND(#REF!,"AAAAADlv/mA=")</f>
        <v>#REF!</v>
      </c>
      <c r="CT401" t="e">
        <f>AND(#REF!,"AAAAADlv/mE=")</f>
        <v>#REF!</v>
      </c>
      <c r="CU401" t="e">
        <f>AND(#REF!,"AAAAADlv/mI=")</f>
        <v>#REF!</v>
      </c>
      <c r="CV401" t="e">
        <f>AND(#REF!,"AAAAADlv/mM=")</f>
        <v>#REF!</v>
      </c>
      <c r="CW401" t="e">
        <f>AND(#REF!,"AAAAADlv/mQ=")</f>
        <v>#REF!</v>
      </c>
      <c r="CX401" t="e">
        <f>AND(#REF!,"AAAAADlv/mU=")</f>
        <v>#REF!</v>
      </c>
      <c r="CY401" t="e">
        <f>AND(#REF!,"AAAAADlv/mY=")</f>
        <v>#REF!</v>
      </c>
      <c r="CZ401" t="e">
        <f>AND(#REF!,"AAAAADlv/mc=")</f>
        <v>#REF!</v>
      </c>
      <c r="DA401" t="e">
        <f>AND(#REF!,"AAAAADlv/mg=")</f>
        <v>#REF!</v>
      </c>
      <c r="DB401" t="e">
        <f>AND(#REF!,"AAAAADlv/mk=")</f>
        <v>#REF!</v>
      </c>
      <c r="DC401" t="e">
        <f>AND(#REF!,"AAAAADlv/mo=")</f>
        <v>#REF!</v>
      </c>
      <c r="DD401" t="e">
        <f>AND(#REF!,"AAAAADlv/ms=")</f>
        <v>#REF!</v>
      </c>
      <c r="DE401" t="e">
        <f>AND(#REF!,"AAAAADlv/mw=")</f>
        <v>#REF!</v>
      </c>
      <c r="DF401" t="e">
        <f>AND(#REF!,"AAAAADlv/m0=")</f>
        <v>#REF!</v>
      </c>
      <c r="DG401" t="e">
        <f>IF(#REF!,"AAAAADlv/m4=",0)</f>
        <v>#REF!</v>
      </c>
      <c r="DH401" t="e">
        <f>AND(#REF!,"AAAAADlv/m8=")</f>
        <v>#REF!</v>
      </c>
      <c r="DI401" t="e">
        <f>AND(#REF!,"AAAAADlv/nA=")</f>
        <v>#REF!</v>
      </c>
      <c r="DJ401" t="e">
        <f>AND(#REF!,"AAAAADlv/nE=")</f>
        <v>#REF!</v>
      </c>
      <c r="DK401" t="e">
        <f>AND(#REF!,"AAAAADlv/nI=")</f>
        <v>#REF!</v>
      </c>
      <c r="DL401" t="e">
        <f>AND(#REF!,"AAAAADlv/nM=")</f>
        <v>#REF!</v>
      </c>
      <c r="DM401" t="e">
        <f>AND(#REF!,"AAAAADlv/nQ=")</f>
        <v>#REF!</v>
      </c>
      <c r="DN401" t="e">
        <f>AND(#REF!,"AAAAADlv/nU=")</f>
        <v>#REF!</v>
      </c>
      <c r="DO401" t="e">
        <f>AND(#REF!,"AAAAADlv/nY=")</f>
        <v>#REF!</v>
      </c>
      <c r="DP401" t="e">
        <f>AND(#REF!,"AAAAADlv/nc=")</f>
        <v>#REF!</v>
      </c>
      <c r="DQ401" t="e">
        <f>AND(#REF!,"AAAAADlv/ng=")</f>
        <v>#REF!</v>
      </c>
      <c r="DR401" t="e">
        <f>AND(#REF!,"AAAAADlv/nk=")</f>
        <v>#REF!</v>
      </c>
      <c r="DS401" t="e">
        <f>AND(#REF!,"AAAAADlv/no=")</f>
        <v>#REF!</v>
      </c>
      <c r="DT401" t="e">
        <f>AND(#REF!,"AAAAADlv/ns=")</f>
        <v>#REF!</v>
      </c>
      <c r="DU401" t="e">
        <f>AND(#REF!,"AAAAADlv/nw=")</f>
        <v>#REF!</v>
      </c>
      <c r="DV401" t="e">
        <f>AND(#REF!,"AAAAADlv/n0=")</f>
        <v>#REF!</v>
      </c>
      <c r="DW401" t="e">
        <f>AND(#REF!,"AAAAADlv/n4=")</f>
        <v>#REF!</v>
      </c>
      <c r="DX401" t="e">
        <f>AND(#REF!,"AAAAADlv/n8=")</f>
        <v>#REF!</v>
      </c>
      <c r="DY401" t="e">
        <f>AND(#REF!,"AAAAADlv/oA=")</f>
        <v>#REF!</v>
      </c>
      <c r="DZ401" t="e">
        <f>AND(#REF!,"AAAAADlv/oE=")</f>
        <v>#REF!</v>
      </c>
      <c r="EA401" t="e">
        <f>AND(#REF!,"AAAAADlv/oI=")</f>
        <v>#REF!</v>
      </c>
      <c r="EB401" t="e">
        <f>AND(#REF!,"AAAAADlv/oM=")</f>
        <v>#REF!</v>
      </c>
      <c r="EC401" t="e">
        <f>AND(#REF!,"AAAAADlv/oQ=")</f>
        <v>#REF!</v>
      </c>
      <c r="ED401" t="e">
        <f>AND(#REF!,"AAAAADlv/oU=")</f>
        <v>#REF!</v>
      </c>
      <c r="EE401" t="e">
        <f>AND(#REF!,"AAAAADlv/oY=")</f>
        <v>#REF!</v>
      </c>
      <c r="EF401" t="e">
        <f>IF(#REF!,"AAAAADlv/oc=",0)</f>
        <v>#REF!</v>
      </c>
      <c r="EG401" t="e">
        <f>AND(#REF!,"AAAAADlv/og=")</f>
        <v>#REF!</v>
      </c>
      <c r="EH401" t="e">
        <f>AND(#REF!,"AAAAADlv/ok=")</f>
        <v>#REF!</v>
      </c>
      <c r="EI401" t="e">
        <f>AND(#REF!,"AAAAADlv/oo=")</f>
        <v>#REF!</v>
      </c>
      <c r="EJ401" t="e">
        <f>AND(#REF!,"AAAAADlv/os=")</f>
        <v>#REF!</v>
      </c>
      <c r="EK401" t="e">
        <f>AND(#REF!,"AAAAADlv/ow=")</f>
        <v>#REF!</v>
      </c>
      <c r="EL401" t="e">
        <f>AND(#REF!,"AAAAADlv/o0=")</f>
        <v>#REF!</v>
      </c>
      <c r="EM401" t="e">
        <f>AND(#REF!,"AAAAADlv/o4=")</f>
        <v>#REF!</v>
      </c>
      <c r="EN401" t="e">
        <f>AND(#REF!,"AAAAADlv/o8=")</f>
        <v>#REF!</v>
      </c>
      <c r="EO401" t="e">
        <f>AND(#REF!,"AAAAADlv/pA=")</f>
        <v>#REF!</v>
      </c>
      <c r="EP401" t="e">
        <f>AND(#REF!,"AAAAADlv/pE=")</f>
        <v>#REF!</v>
      </c>
      <c r="EQ401" t="e">
        <f>AND(#REF!,"AAAAADlv/pI=")</f>
        <v>#REF!</v>
      </c>
      <c r="ER401" t="e">
        <f>AND(#REF!,"AAAAADlv/pM=")</f>
        <v>#REF!</v>
      </c>
      <c r="ES401" t="e">
        <f>AND(#REF!,"AAAAADlv/pQ=")</f>
        <v>#REF!</v>
      </c>
      <c r="ET401" t="e">
        <f>AND(#REF!,"AAAAADlv/pU=")</f>
        <v>#REF!</v>
      </c>
      <c r="EU401" t="e">
        <f>AND(#REF!,"AAAAADlv/pY=")</f>
        <v>#REF!</v>
      </c>
      <c r="EV401" t="e">
        <f>AND(#REF!,"AAAAADlv/pc=")</f>
        <v>#REF!</v>
      </c>
      <c r="EW401" t="e">
        <f>AND(#REF!,"AAAAADlv/pg=")</f>
        <v>#REF!</v>
      </c>
      <c r="EX401" t="e">
        <f>AND(#REF!,"AAAAADlv/pk=")</f>
        <v>#REF!</v>
      </c>
      <c r="EY401" t="e">
        <f>AND(#REF!,"AAAAADlv/po=")</f>
        <v>#REF!</v>
      </c>
      <c r="EZ401" t="e">
        <f>AND(#REF!,"AAAAADlv/ps=")</f>
        <v>#REF!</v>
      </c>
      <c r="FA401" t="e">
        <f>AND(#REF!,"AAAAADlv/pw=")</f>
        <v>#REF!</v>
      </c>
      <c r="FB401" t="e">
        <f>AND(#REF!,"AAAAADlv/p0=")</f>
        <v>#REF!</v>
      </c>
      <c r="FC401" t="e">
        <f>AND(#REF!,"AAAAADlv/p4=")</f>
        <v>#REF!</v>
      </c>
      <c r="FD401" t="e">
        <f>AND(#REF!,"AAAAADlv/p8=")</f>
        <v>#REF!</v>
      </c>
      <c r="FE401" t="e">
        <f>IF(#REF!,"AAAAADlv/qA=",0)</f>
        <v>#REF!</v>
      </c>
      <c r="FF401" t="e">
        <f>AND(#REF!,"AAAAADlv/qE=")</f>
        <v>#REF!</v>
      </c>
      <c r="FG401" t="e">
        <f>AND(#REF!,"AAAAADlv/qI=")</f>
        <v>#REF!</v>
      </c>
      <c r="FH401" t="e">
        <f>AND(#REF!,"AAAAADlv/qM=")</f>
        <v>#REF!</v>
      </c>
      <c r="FI401" t="e">
        <f>AND(#REF!,"AAAAADlv/qQ=")</f>
        <v>#REF!</v>
      </c>
      <c r="FJ401" t="e">
        <f>AND(#REF!,"AAAAADlv/qU=")</f>
        <v>#REF!</v>
      </c>
      <c r="FK401" t="e">
        <f>AND(#REF!,"AAAAADlv/qY=")</f>
        <v>#REF!</v>
      </c>
      <c r="FL401" t="e">
        <f>AND(#REF!,"AAAAADlv/qc=")</f>
        <v>#REF!</v>
      </c>
      <c r="FM401" t="e">
        <f>AND(#REF!,"AAAAADlv/qg=")</f>
        <v>#REF!</v>
      </c>
      <c r="FN401" t="e">
        <f>AND(#REF!,"AAAAADlv/qk=")</f>
        <v>#REF!</v>
      </c>
      <c r="FO401" t="e">
        <f>AND(#REF!,"AAAAADlv/qo=")</f>
        <v>#REF!</v>
      </c>
      <c r="FP401" t="e">
        <f>AND(#REF!,"AAAAADlv/qs=")</f>
        <v>#REF!</v>
      </c>
      <c r="FQ401" t="e">
        <f>AND(#REF!,"AAAAADlv/qw=")</f>
        <v>#REF!</v>
      </c>
      <c r="FR401" t="e">
        <f>AND(#REF!,"AAAAADlv/q0=")</f>
        <v>#REF!</v>
      </c>
      <c r="FS401" t="e">
        <f>AND(#REF!,"AAAAADlv/q4=")</f>
        <v>#REF!</v>
      </c>
      <c r="FT401" t="e">
        <f>AND(#REF!,"AAAAADlv/q8=")</f>
        <v>#REF!</v>
      </c>
      <c r="FU401" t="e">
        <f>AND(#REF!,"AAAAADlv/rA=")</f>
        <v>#REF!</v>
      </c>
      <c r="FV401" t="e">
        <f>AND(#REF!,"AAAAADlv/rE=")</f>
        <v>#REF!</v>
      </c>
      <c r="FW401" t="e">
        <f>AND(#REF!,"AAAAADlv/rI=")</f>
        <v>#REF!</v>
      </c>
      <c r="FX401" t="e">
        <f>AND(#REF!,"AAAAADlv/rM=")</f>
        <v>#REF!</v>
      </c>
      <c r="FY401" t="e">
        <f>AND(#REF!,"AAAAADlv/rQ=")</f>
        <v>#REF!</v>
      </c>
      <c r="FZ401" t="e">
        <f>AND(#REF!,"AAAAADlv/rU=")</f>
        <v>#REF!</v>
      </c>
      <c r="GA401" t="e">
        <f>AND(#REF!,"AAAAADlv/rY=")</f>
        <v>#REF!</v>
      </c>
      <c r="GB401" t="e">
        <f>AND(#REF!,"AAAAADlv/rc=")</f>
        <v>#REF!</v>
      </c>
      <c r="GC401" t="e">
        <f>AND(#REF!,"AAAAADlv/rg=")</f>
        <v>#REF!</v>
      </c>
      <c r="GD401" t="e">
        <f>IF(#REF!,"AAAAADlv/rk=",0)</f>
        <v>#REF!</v>
      </c>
      <c r="GE401" t="e">
        <f>AND(#REF!,"AAAAADlv/ro=")</f>
        <v>#REF!</v>
      </c>
      <c r="GF401" t="e">
        <f>AND(#REF!,"AAAAADlv/rs=")</f>
        <v>#REF!</v>
      </c>
      <c r="GG401" t="e">
        <f>AND(#REF!,"AAAAADlv/rw=")</f>
        <v>#REF!</v>
      </c>
      <c r="GH401" t="e">
        <f>AND(#REF!,"AAAAADlv/r0=")</f>
        <v>#REF!</v>
      </c>
      <c r="GI401" t="e">
        <f>AND(#REF!,"AAAAADlv/r4=")</f>
        <v>#REF!</v>
      </c>
      <c r="GJ401" t="e">
        <f>AND(#REF!,"AAAAADlv/r8=")</f>
        <v>#REF!</v>
      </c>
      <c r="GK401" t="e">
        <f>AND(#REF!,"AAAAADlv/sA=")</f>
        <v>#REF!</v>
      </c>
      <c r="GL401" t="e">
        <f>AND(#REF!,"AAAAADlv/sE=")</f>
        <v>#REF!</v>
      </c>
      <c r="GM401" t="e">
        <f>AND(#REF!,"AAAAADlv/sI=")</f>
        <v>#REF!</v>
      </c>
      <c r="GN401" t="e">
        <f>AND(#REF!,"AAAAADlv/sM=")</f>
        <v>#REF!</v>
      </c>
      <c r="GO401" t="e">
        <f>AND(#REF!,"AAAAADlv/sQ=")</f>
        <v>#REF!</v>
      </c>
      <c r="GP401" t="e">
        <f>AND(#REF!,"AAAAADlv/sU=")</f>
        <v>#REF!</v>
      </c>
      <c r="GQ401" t="e">
        <f>AND(#REF!,"AAAAADlv/sY=")</f>
        <v>#REF!</v>
      </c>
      <c r="GR401" t="e">
        <f>AND(#REF!,"AAAAADlv/sc=")</f>
        <v>#REF!</v>
      </c>
      <c r="GS401" t="e">
        <f>AND(#REF!,"AAAAADlv/sg=")</f>
        <v>#REF!</v>
      </c>
      <c r="GT401" t="e">
        <f>AND(#REF!,"AAAAADlv/sk=")</f>
        <v>#REF!</v>
      </c>
      <c r="GU401" t="e">
        <f>AND(#REF!,"AAAAADlv/so=")</f>
        <v>#REF!</v>
      </c>
      <c r="GV401" t="e">
        <f>AND(#REF!,"AAAAADlv/ss=")</f>
        <v>#REF!</v>
      </c>
      <c r="GW401" t="e">
        <f>AND(#REF!,"AAAAADlv/sw=")</f>
        <v>#REF!</v>
      </c>
      <c r="GX401" t="e">
        <f>AND(#REF!,"AAAAADlv/s0=")</f>
        <v>#REF!</v>
      </c>
      <c r="GY401" t="e">
        <f>AND(#REF!,"AAAAADlv/s4=")</f>
        <v>#REF!</v>
      </c>
      <c r="GZ401" t="e">
        <f>AND(#REF!,"AAAAADlv/s8=")</f>
        <v>#REF!</v>
      </c>
      <c r="HA401" t="e">
        <f>AND(#REF!,"AAAAADlv/tA=")</f>
        <v>#REF!</v>
      </c>
      <c r="HB401" t="e">
        <f>AND(#REF!,"AAAAADlv/tE=")</f>
        <v>#REF!</v>
      </c>
      <c r="HC401" t="e">
        <f>IF(#REF!,"AAAAADlv/tI=",0)</f>
        <v>#REF!</v>
      </c>
      <c r="HD401" t="e">
        <f>AND(#REF!,"AAAAADlv/tM=")</f>
        <v>#REF!</v>
      </c>
      <c r="HE401" t="e">
        <f>AND(#REF!,"AAAAADlv/tQ=")</f>
        <v>#REF!</v>
      </c>
      <c r="HF401" t="e">
        <f>AND(#REF!,"AAAAADlv/tU=")</f>
        <v>#REF!</v>
      </c>
      <c r="HG401" t="e">
        <f>AND(#REF!,"AAAAADlv/tY=")</f>
        <v>#REF!</v>
      </c>
      <c r="HH401" t="e">
        <f>AND(#REF!,"AAAAADlv/tc=")</f>
        <v>#REF!</v>
      </c>
      <c r="HI401" t="e">
        <f>AND(#REF!,"AAAAADlv/tg=")</f>
        <v>#REF!</v>
      </c>
      <c r="HJ401" t="e">
        <f>AND(#REF!,"AAAAADlv/tk=")</f>
        <v>#REF!</v>
      </c>
      <c r="HK401" t="e">
        <f>AND(#REF!,"AAAAADlv/to=")</f>
        <v>#REF!</v>
      </c>
      <c r="HL401" t="e">
        <f>AND(#REF!,"AAAAADlv/ts=")</f>
        <v>#REF!</v>
      </c>
      <c r="HM401" t="e">
        <f>AND(#REF!,"AAAAADlv/tw=")</f>
        <v>#REF!</v>
      </c>
      <c r="HN401" t="e">
        <f>AND(#REF!,"AAAAADlv/t0=")</f>
        <v>#REF!</v>
      </c>
      <c r="HO401" t="e">
        <f>AND(#REF!,"AAAAADlv/t4=")</f>
        <v>#REF!</v>
      </c>
      <c r="HP401" t="e">
        <f>AND(#REF!,"AAAAADlv/t8=")</f>
        <v>#REF!</v>
      </c>
      <c r="HQ401" t="e">
        <f>AND(#REF!,"AAAAADlv/uA=")</f>
        <v>#REF!</v>
      </c>
      <c r="HR401" t="e">
        <f>AND(#REF!,"AAAAADlv/uE=")</f>
        <v>#REF!</v>
      </c>
      <c r="HS401" t="e">
        <f>AND(#REF!,"AAAAADlv/uI=")</f>
        <v>#REF!</v>
      </c>
      <c r="HT401" t="e">
        <f>AND(#REF!,"AAAAADlv/uM=")</f>
        <v>#REF!</v>
      </c>
      <c r="HU401" t="e">
        <f>AND(#REF!,"AAAAADlv/uQ=")</f>
        <v>#REF!</v>
      </c>
      <c r="HV401" t="e">
        <f>AND(#REF!,"AAAAADlv/uU=")</f>
        <v>#REF!</v>
      </c>
      <c r="HW401" t="e">
        <f>AND(#REF!,"AAAAADlv/uY=")</f>
        <v>#REF!</v>
      </c>
      <c r="HX401" t="e">
        <f>AND(#REF!,"AAAAADlv/uc=")</f>
        <v>#REF!</v>
      </c>
      <c r="HY401" t="e">
        <f>AND(#REF!,"AAAAADlv/ug=")</f>
        <v>#REF!</v>
      </c>
      <c r="HZ401" t="e">
        <f>AND(#REF!,"AAAAADlv/uk=")</f>
        <v>#REF!</v>
      </c>
      <c r="IA401" t="e">
        <f>AND(#REF!,"AAAAADlv/uo=")</f>
        <v>#REF!</v>
      </c>
      <c r="IB401" t="e">
        <f>IF(#REF!,"AAAAADlv/us=",0)</f>
        <v>#REF!</v>
      </c>
      <c r="IC401" t="e">
        <f>AND(#REF!,"AAAAADlv/uw=")</f>
        <v>#REF!</v>
      </c>
      <c r="ID401" t="e">
        <f>AND(#REF!,"AAAAADlv/u0=")</f>
        <v>#REF!</v>
      </c>
      <c r="IE401" t="e">
        <f>AND(#REF!,"AAAAADlv/u4=")</f>
        <v>#REF!</v>
      </c>
      <c r="IF401" t="e">
        <f>AND(#REF!,"AAAAADlv/u8=")</f>
        <v>#REF!</v>
      </c>
      <c r="IG401" t="e">
        <f>AND(#REF!,"AAAAADlv/vA=")</f>
        <v>#REF!</v>
      </c>
      <c r="IH401" t="e">
        <f>AND(#REF!,"AAAAADlv/vE=")</f>
        <v>#REF!</v>
      </c>
      <c r="II401" t="e">
        <f>AND(#REF!,"AAAAADlv/vI=")</f>
        <v>#REF!</v>
      </c>
      <c r="IJ401" t="e">
        <f>AND(#REF!,"AAAAADlv/vM=")</f>
        <v>#REF!</v>
      </c>
      <c r="IK401" t="e">
        <f>AND(#REF!,"AAAAADlv/vQ=")</f>
        <v>#REF!</v>
      </c>
      <c r="IL401" t="e">
        <f>AND(#REF!,"AAAAADlv/vU=")</f>
        <v>#REF!</v>
      </c>
      <c r="IM401" t="e">
        <f>AND(#REF!,"AAAAADlv/vY=")</f>
        <v>#REF!</v>
      </c>
      <c r="IN401" t="e">
        <f>AND(#REF!,"AAAAADlv/vc=")</f>
        <v>#REF!</v>
      </c>
      <c r="IO401" t="e">
        <f>AND(#REF!,"AAAAADlv/vg=")</f>
        <v>#REF!</v>
      </c>
      <c r="IP401" t="e">
        <f>AND(#REF!,"AAAAADlv/vk=")</f>
        <v>#REF!</v>
      </c>
      <c r="IQ401" t="e">
        <f>AND(#REF!,"AAAAADlv/vo=")</f>
        <v>#REF!</v>
      </c>
      <c r="IR401" t="e">
        <f>AND(#REF!,"AAAAADlv/vs=")</f>
        <v>#REF!</v>
      </c>
      <c r="IS401" t="e">
        <f>AND(#REF!,"AAAAADlv/vw=")</f>
        <v>#REF!</v>
      </c>
      <c r="IT401" t="e">
        <f>AND(#REF!,"AAAAADlv/v0=")</f>
        <v>#REF!</v>
      </c>
      <c r="IU401" t="e">
        <f>AND(#REF!,"AAAAADlv/v4=")</f>
        <v>#REF!</v>
      </c>
      <c r="IV401" t="e">
        <f>AND(#REF!,"AAAAADlv/v8=")</f>
        <v>#REF!</v>
      </c>
    </row>
    <row r="402" spans="1:256">
      <c r="A402" t="e">
        <f>AND(#REF!,"AAAAAH6b7wA=")</f>
        <v>#REF!</v>
      </c>
      <c r="B402" t="e">
        <f>AND(#REF!,"AAAAAH6b7wE=")</f>
        <v>#REF!</v>
      </c>
      <c r="C402" t="e">
        <f>AND(#REF!,"AAAAAH6b7wI=")</f>
        <v>#REF!</v>
      </c>
      <c r="D402" t="e">
        <f>AND(#REF!,"AAAAAH6b7wM=")</f>
        <v>#REF!</v>
      </c>
      <c r="E402" t="e">
        <f>IF(#REF!,"AAAAAH6b7wQ=",0)</f>
        <v>#REF!</v>
      </c>
      <c r="F402" t="e">
        <f>AND(#REF!,"AAAAAH6b7wU=")</f>
        <v>#REF!</v>
      </c>
      <c r="G402" t="e">
        <f>AND(#REF!,"AAAAAH6b7wY=")</f>
        <v>#REF!</v>
      </c>
      <c r="H402" t="e">
        <f>AND(#REF!,"AAAAAH6b7wc=")</f>
        <v>#REF!</v>
      </c>
      <c r="I402" t="e">
        <f>AND(#REF!,"AAAAAH6b7wg=")</f>
        <v>#REF!</v>
      </c>
      <c r="J402" t="e">
        <f>AND(#REF!,"AAAAAH6b7wk=")</f>
        <v>#REF!</v>
      </c>
      <c r="K402" t="e">
        <f>AND(#REF!,"AAAAAH6b7wo=")</f>
        <v>#REF!</v>
      </c>
      <c r="L402" t="e">
        <f>AND(#REF!,"AAAAAH6b7ws=")</f>
        <v>#REF!</v>
      </c>
      <c r="M402" t="e">
        <f>AND(#REF!,"AAAAAH6b7ww=")</f>
        <v>#REF!</v>
      </c>
      <c r="N402" t="e">
        <f>AND(#REF!,"AAAAAH6b7w0=")</f>
        <v>#REF!</v>
      </c>
      <c r="O402" t="e">
        <f>AND(#REF!,"AAAAAH6b7w4=")</f>
        <v>#REF!</v>
      </c>
      <c r="P402" t="e">
        <f>AND(#REF!,"AAAAAH6b7w8=")</f>
        <v>#REF!</v>
      </c>
      <c r="Q402" t="e">
        <f>AND(#REF!,"AAAAAH6b7xA=")</f>
        <v>#REF!</v>
      </c>
      <c r="R402" t="e">
        <f>AND(#REF!,"AAAAAH6b7xE=")</f>
        <v>#REF!</v>
      </c>
      <c r="S402" t="e">
        <f>AND(#REF!,"AAAAAH6b7xI=")</f>
        <v>#REF!</v>
      </c>
      <c r="T402" t="e">
        <f>AND(#REF!,"AAAAAH6b7xM=")</f>
        <v>#REF!</v>
      </c>
      <c r="U402" t="e">
        <f>AND(#REF!,"AAAAAH6b7xQ=")</f>
        <v>#REF!</v>
      </c>
      <c r="V402" t="e">
        <f>AND(#REF!,"AAAAAH6b7xU=")</f>
        <v>#REF!</v>
      </c>
      <c r="W402" t="e">
        <f>AND(#REF!,"AAAAAH6b7xY=")</f>
        <v>#REF!</v>
      </c>
      <c r="X402" t="e">
        <f>AND(#REF!,"AAAAAH6b7xc=")</f>
        <v>#REF!</v>
      </c>
      <c r="Y402" t="e">
        <f>AND(#REF!,"AAAAAH6b7xg=")</f>
        <v>#REF!</v>
      </c>
      <c r="Z402" t="e">
        <f>AND(#REF!,"AAAAAH6b7xk=")</f>
        <v>#REF!</v>
      </c>
      <c r="AA402" t="e">
        <f>AND(#REF!,"AAAAAH6b7xo=")</f>
        <v>#REF!</v>
      </c>
      <c r="AB402" t="e">
        <f>AND(#REF!,"AAAAAH6b7xs=")</f>
        <v>#REF!</v>
      </c>
      <c r="AC402" t="e">
        <f>AND(#REF!,"AAAAAH6b7xw=")</f>
        <v>#REF!</v>
      </c>
      <c r="AD402" t="e">
        <f>IF(#REF!,"AAAAAH6b7x0=",0)</f>
        <v>#REF!</v>
      </c>
      <c r="AE402" t="e">
        <f>AND(#REF!,"AAAAAH6b7x4=")</f>
        <v>#REF!</v>
      </c>
      <c r="AF402" t="e">
        <f>AND(#REF!,"AAAAAH6b7x8=")</f>
        <v>#REF!</v>
      </c>
      <c r="AG402" t="e">
        <f>AND(#REF!,"AAAAAH6b7yA=")</f>
        <v>#REF!</v>
      </c>
      <c r="AH402" t="e">
        <f>AND(#REF!,"AAAAAH6b7yE=")</f>
        <v>#REF!</v>
      </c>
      <c r="AI402" t="e">
        <f>AND(#REF!,"AAAAAH6b7yI=")</f>
        <v>#REF!</v>
      </c>
      <c r="AJ402" t="e">
        <f>AND(#REF!,"AAAAAH6b7yM=")</f>
        <v>#REF!</v>
      </c>
      <c r="AK402" t="e">
        <f>AND(#REF!,"AAAAAH6b7yQ=")</f>
        <v>#REF!</v>
      </c>
      <c r="AL402" t="e">
        <f>AND(#REF!,"AAAAAH6b7yU=")</f>
        <v>#REF!</v>
      </c>
      <c r="AM402" t="e">
        <f>AND(#REF!,"AAAAAH6b7yY=")</f>
        <v>#REF!</v>
      </c>
      <c r="AN402" t="e">
        <f>AND(#REF!,"AAAAAH6b7yc=")</f>
        <v>#REF!</v>
      </c>
      <c r="AO402" t="e">
        <f>AND(#REF!,"AAAAAH6b7yg=")</f>
        <v>#REF!</v>
      </c>
      <c r="AP402" t="e">
        <f>AND(#REF!,"AAAAAH6b7yk=")</f>
        <v>#REF!</v>
      </c>
      <c r="AQ402" t="e">
        <f>AND(#REF!,"AAAAAH6b7yo=")</f>
        <v>#REF!</v>
      </c>
      <c r="AR402" t="e">
        <f>AND(#REF!,"AAAAAH6b7ys=")</f>
        <v>#REF!</v>
      </c>
      <c r="AS402" t="e">
        <f>AND(#REF!,"AAAAAH6b7yw=")</f>
        <v>#REF!</v>
      </c>
      <c r="AT402" t="e">
        <f>AND(#REF!,"AAAAAH6b7y0=")</f>
        <v>#REF!</v>
      </c>
      <c r="AU402" t="e">
        <f>AND(#REF!,"AAAAAH6b7y4=")</f>
        <v>#REF!</v>
      </c>
      <c r="AV402" t="e">
        <f>AND(#REF!,"AAAAAH6b7y8=")</f>
        <v>#REF!</v>
      </c>
      <c r="AW402" t="e">
        <f>AND(#REF!,"AAAAAH6b7zA=")</f>
        <v>#REF!</v>
      </c>
      <c r="AX402" t="e">
        <f>AND(#REF!,"AAAAAH6b7zE=")</f>
        <v>#REF!</v>
      </c>
      <c r="AY402" t="e">
        <f>AND(#REF!,"AAAAAH6b7zI=")</f>
        <v>#REF!</v>
      </c>
      <c r="AZ402" t="e">
        <f>AND(#REF!,"AAAAAH6b7zM=")</f>
        <v>#REF!</v>
      </c>
      <c r="BA402" t="e">
        <f>AND(#REF!,"AAAAAH6b7zQ=")</f>
        <v>#REF!</v>
      </c>
      <c r="BB402" t="e">
        <f>AND(#REF!,"AAAAAH6b7zU=")</f>
        <v>#REF!</v>
      </c>
      <c r="BC402" t="e">
        <f>IF(#REF!,"AAAAAH6b7zY=",0)</f>
        <v>#REF!</v>
      </c>
      <c r="BD402" t="e">
        <f>AND(#REF!,"AAAAAH6b7zc=")</f>
        <v>#REF!</v>
      </c>
      <c r="BE402" t="e">
        <f>AND(#REF!,"AAAAAH6b7zg=")</f>
        <v>#REF!</v>
      </c>
      <c r="BF402" t="e">
        <f>AND(#REF!,"AAAAAH6b7zk=")</f>
        <v>#REF!</v>
      </c>
      <c r="BG402" t="e">
        <f>AND(#REF!,"AAAAAH6b7zo=")</f>
        <v>#REF!</v>
      </c>
      <c r="BH402" t="e">
        <f>AND(#REF!,"AAAAAH6b7zs=")</f>
        <v>#REF!</v>
      </c>
      <c r="BI402" t="e">
        <f>AND(#REF!,"AAAAAH6b7zw=")</f>
        <v>#REF!</v>
      </c>
      <c r="BJ402" t="e">
        <f>AND(#REF!,"AAAAAH6b7z0=")</f>
        <v>#REF!</v>
      </c>
      <c r="BK402" t="e">
        <f>AND(#REF!,"AAAAAH6b7z4=")</f>
        <v>#REF!</v>
      </c>
      <c r="BL402" t="e">
        <f>AND(#REF!,"AAAAAH6b7z8=")</f>
        <v>#REF!</v>
      </c>
      <c r="BM402" t="e">
        <f>AND(#REF!,"AAAAAH6b70A=")</f>
        <v>#REF!</v>
      </c>
      <c r="BN402" t="e">
        <f>AND(#REF!,"AAAAAH6b70E=")</f>
        <v>#REF!</v>
      </c>
      <c r="BO402" t="e">
        <f>AND(#REF!,"AAAAAH6b70I=")</f>
        <v>#REF!</v>
      </c>
      <c r="BP402" t="e">
        <f>AND(#REF!,"AAAAAH6b70M=")</f>
        <v>#REF!</v>
      </c>
      <c r="BQ402" t="e">
        <f>AND(#REF!,"AAAAAH6b70Q=")</f>
        <v>#REF!</v>
      </c>
      <c r="BR402" t="e">
        <f>AND(#REF!,"AAAAAH6b70U=")</f>
        <v>#REF!</v>
      </c>
      <c r="BS402" t="e">
        <f>AND(#REF!,"AAAAAH6b70Y=")</f>
        <v>#REF!</v>
      </c>
      <c r="BT402" t="e">
        <f>AND(#REF!,"AAAAAH6b70c=")</f>
        <v>#REF!</v>
      </c>
      <c r="BU402" t="e">
        <f>AND(#REF!,"AAAAAH6b70g=")</f>
        <v>#REF!</v>
      </c>
      <c r="BV402" t="e">
        <f>AND(#REF!,"AAAAAH6b70k=")</f>
        <v>#REF!</v>
      </c>
      <c r="BW402" t="e">
        <f>AND(#REF!,"AAAAAH6b70o=")</f>
        <v>#REF!</v>
      </c>
      <c r="BX402" t="e">
        <f>AND(#REF!,"AAAAAH6b70s=")</f>
        <v>#REF!</v>
      </c>
      <c r="BY402" t="e">
        <f>AND(#REF!,"AAAAAH6b70w=")</f>
        <v>#REF!</v>
      </c>
      <c r="BZ402" t="e">
        <f>AND(#REF!,"AAAAAH6b700=")</f>
        <v>#REF!</v>
      </c>
      <c r="CA402" t="e">
        <f>AND(#REF!,"AAAAAH6b704=")</f>
        <v>#REF!</v>
      </c>
      <c r="CB402" t="e">
        <f>IF(#REF!,"AAAAAH6b708=",0)</f>
        <v>#REF!</v>
      </c>
      <c r="CC402" t="e">
        <f>AND(#REF!,"AAAAAH6b71A=")</f>
        <v>#REF!</v>
      </c>
      <c r="CD402" t="e">
        <f>AND(#REF!,"AAAAAH6b71E=")</f>
        <v>#REF!</v>
      </c>
      <c r="CE402" t="e">
        <f>AND(#REF!,"AAAAAH6b71I=")</f>
        <v>#REF!</v>
      </c>
      <c r="CF402" t="e">
        <f>AND(#REF!,"AAAAAH6b71M=")</f>
        <v>#REF!</v>
      </c>
      <c r="CG402" t="e">
        <f>AND(#REF!,"AAAAAH6b71Q=")</f>
        <v>#REF!</v>
      </c>
      <c r="CH402" t="e">
        <f>AND(#REF!,"AAAAAH6b71U=")</f>
        <v>#REF!</v>
      </c>
      <c r="CI402" t="e">
        <f>AND(#REF!,"AAAAAH6b71Y=")</f>
        <v>#REF!</v>
      </c>
      <c r="CJ402" t="e">
        <f>AND(#REF!,"AAAAAH6b71c=")</f>
        <v>#REF!</v>
      </c>
      <c r="CK402" t="e">
        <f>AND(#REF!,"AAAAAH6b71g=")</f>
        <v>#REF!</v>
      </c>
      <c r="CL402" t="e">
        <f>AND(#REF!,"AAAAAH6b71k=")</f>
        <v>#REF!</v>
      </c>
      <c r="CM402" t="e">
        <f>AND(#REF!,"AAAAAH6b71o=")</f>
        <v>#REF!</v>
      </c>
      <c r="CN402" t="e">
        <f>AND(#REF!,"AAAAAH6b71s=")</f>
        <v>#REF!</v>
      </c>
      <c r="CO402" t="e">
        <f>AND(#REF!,"AAAAAH6b71w=")</f>
        <v>#REF!</v>
      </c>
      <c r="CP402" t="e">
        <f>AND(#REF!,"AAAAAH6b710=")</f>
        <v>#REF!</v>
      </c>
      <c r="CQ402" t="e">
        <f>AND(#REF!,"AAAAAH6b714=")</f>
        <v>#REF!</v>
      </c>
      <c r="CR402" t="e">
        <f>AND(#REF!,"AAAAAH6b718=")</f>
        <v>#REF!</v>
      </c>
      <c r="CS402" t="e">
        <f>AND(#REF!,"AAAAAH6b72A=")</f>
        <v>#REF!</v>
      </c>
      <c r="CT402" t="e">
        <f>AND(#REF!,"AAAAAH6b72E=")</f>
        <v>#REF!</v>
      </c>
      <c r="CU402" t="e">
        <f>AND(#REF!,"AAAAAH6b72I=")</f>
        <v>#REF!</v>
      </c>
      <c r="CV402" t="e">
        <f>AND(#REF!,"AAAAAH6b72M=")</f>
        <v>#REF!</v>
      </c>
      <c r="CW402" t="e">
        <f>AND(#REF!,"AAAAAH6b72Q=")</f>
        <v>#REF!</v>
      </c>
      <c r="CX402" t="e">
        <f>AND(#REF!,"AAAAAH6b72U=")</f>
        <v>#REF!</v>
      </c>
      <c r="CY402" t="e">
        <f>AND(#REF!,"AAAAAH6b72Y=")</f>
        <v>#REF!</v>
      </c>
      <c r="CZ402" t="e">
        <f>AND(#REF!,"AAAAAH6b72c=")</f>
        <v>#REF!</v>
      </c>
      <c r="DA402" t="e">
        <f>IF(#REF!,"AAAAAH6b72g=",0)</f>
        <v>#REF!</v>
      </c>
      <c r="DB402" t="e">
        <f>AND(#REF!,"AAAAAH6b72k=")</f>
        <v>#REF!</v>
      </c>
      <c r="DC402" t="e">
        <f>AND(#REF!,"AAAAAH6b72o=")</f>
        <v>#REF!</v>
      </c>
      <c r="DD402" t="e">
        <f>AND(#REF!,"AAAAAH6b72s=")</f>
        <v>#REF!</v>
      </c>
      <c r="DE402" t="e">
        <f>AND(#REF!,"AAAAAH6b72w=")</f>
        <v>#REF!</v>
      </c>
      <c r="DF402" t="e">
        <f>AND(#REF!,"AAAAAH6b720=")</f>
        <v>#REF!</v>
      </c>
      <c r="DG402" t="e">
        <f>AND(#REF!,"AAAAAH6b724=")</f>
        <v>#REF!</v>
      </c>
      <c r="DH402" t="e">
        <f>AND(#REF!,"AAAAAH6b728=")</f>
        <v>#REF!</v>
      </c>
      <c r="DI402" t="e">
        <f>AND(#REF!,"AAAAAH6b73A=")</f>
        <v>#REF!</v>
      </c>
      <c r="DJ402" t="e">
        <f>AND(#REF!,"AAAAAH6b73E=")</f>
        <v>#REF!</v>
      </c>
      <c r="DK402" t="e">
        <f>AND(#REF!,"AAAAAH6b73I=")</f>
        <v>#REF!</v>
      </c>
      <c r="DL402" t="e">
        <f>AND(#REF!,"AAAAAH6b73M=")</f>
        <v>#REF!</v>
      </c>
      <c r="DM402" t="e">
        <f>AND(#REF!,"AAAAAH6b73Q=")</f>
        <v>#REF!</v>
      </c>
      <c r="DN402" t="e">
        <f>AND(#REF!,"AAAAAH6b73U=")</f>
        <v>#REF!</v>
      </c>
      <c r="DO402" t="e">
        <f>AND(#REF!,"AAAAAH6b73Y=")</f>
        <v>#REF!</v>
      </c>
      <c r="DP402" t="e">
        <f>AND(#REF!,"AAAAAH6b73c=")</f>
        <v>#REF!</v>
      </c>
      <c r="DQ402" t="e">
        <f>AND(#REF!,"AAAAAH6b73g=")</f>
        <v>#REF!</v>
      </c>
      <c r="DR402" t="e">
        <f>AND(#REF!,"AAAAAH6b73k=")</f>
        <v>#REF!</v>
      </c>
      <c r="DS402" t="e">
        <f>AND(#REF!,"AAAAAH6b73o=")</f>
        <v>#REF!</v>
      </c>
      <c r="DT402" t="e">
        <f>AND(#REF!,"AAAAAH6b73s=")</f>
        <v>#REF!</v>
      </c>
      <c r="DU402" t="e">
        <f>AND(#REF!,"AAAAAH6b73w=")</f>
        <v>#REF!</v>
      </c>
      <c r="DV402" t="e">
        <f>AND(#REF!,"AAAAAH6b730=")</f>
        <v>#REF!</v>
      </c>
      <c r="DW402" t="e">
        <f>AND(#REF!,"AAAAAH6b734=")</f>
        <v>#REF!</v>
      </c>
      <c r="DX402" t="e">
        <f>AND(#REF!,"AAAAAH6b738=")</f>
        <v>#REF!</v>
      </c>
      <c r="DY402" t="e">
        <f>AND(#REF!,"AAAAAH6b74A=")</f>
        <v>#REF!</v>
      </c>
      <c r="DZ402" t="e">
        <f>IF(#REF!,"AAAAAH6b74E=",0)</f>
        <v>#REF!</v>
      </c>
      <c r="EA402" t="e">
        <f>AND(#REF!,"AAAAAH6b74I=")</f>
        <v>#REF!</v>
      </c>
      <c r="EB402" t="e">
        <f>AND(#REF!,"AAAAAH6b74M=")</f>
        <v>#REF!</v>
      </c>
      <c r="EC402" t="e">
        <f>AND(#REF!,"AAAAAH6b74Q=")</f>
        <v>#REF!</v>
      </c>
      <c r="ED402" t="e">
        <f>AND(#REF!,"AAAAAH6b74U=")</f>
        <v>#REF!</v>
      </c>
      <c r="EE402" t="e">
        <f>AND(#REF!,"AAAAAH6b74Y=")</f>
        <v>#REF!</v>
      </c>
      <c r="EF402" t="e">
        <f>AND(#REF!,"AAAAAH6b74c=")</f>
        <v>#REF!</v>
      </c>
      <c r="EG402" t="e">
        <f>AND(#REF!,"AAAAAH6b74g=")</f>
        <v>#REF!</v>
      </c>
      <c r="EH402" t="e">
        <f>AND(#REF!,"AAAAAH6b74k=")</f>
        <v>#REF!</v>
      </c>
      <c r="EI402" t="e">
        <f>AND(#REF!,"AAAAAH6b74o=")</f>
        <v>#REF!</v>
      </c>
      <c r="EJ402" t="e">
        <f>AND(#REF!,"AAAAAH6b74s=")</f>
        <v>#REF!</v>
      </c>
      <c r="EK402" t="e">
        <f>AND(#REF!,"AAAAAH6b74w=")</f>
        <v>#REF!</v>
      </c>
      <c r="EL402" t="e">
        <f>AND(#REF!,"AAAAAH6b740=")</f>
        <v>#REF!</v>
      </c>
      <c r="EM402" t="e">
        <f>AND(#REF!,"AAAAAH6b744=")</f>
        <v>#REF!</v>
      </c>
      <c r="EN402" t="e">
        <f>AND(#REF!,"AAAAAH6b748=")</f>
        <v>#REF!</v>
      </c>
      <c r="EO402" t="e">
        <f>AND(#REF!,"AAAAAH6b75A=")</f>
        <v>#REF!</v>
      </c>
      <c r="EP402" t="e">
        <f>AND(#REF!,"AAAAAH6b75E=")</f>
        <v>#REF!</v>
      </c>
      <c r="EQ402" t="e">
        <f>AND(#REF!,"AAAAAH6b75I=")</f>
        <v>#REF!</v>
      </c>
      <c r="ER402" t="e">
        <f>AND(#REF!,"AAAAAH6b75M=")</f>
        <v>#REF!</v>
      </c>
      <c r="ES402" t="e">
        <f>AND(#REF!,"AAAAAH6b75Q=")</f>
        <v>#REF!</v>
      </c>
      <c r="ET402" t="e">
        <f>AND(#REF!,"AAAAAH6b75U=")</f>
        <v>#REF!</v>
      </c>
      <c r="EU402" t="e">
        <f>AND(#REF!,"AAAAAH6b75Y=")</f>
        <v>#REF!</v>
      </c>
      <c r="EV402" t="e">
        <f>AND(#REF!,"AAAAAH6b75c=")</f>
        <v>#REF!</v>
      </c>
      <c r="EW402" t="e">
        <f>AND(#REF!,"AAAAAH6b75g=")</f>
        <v>#REF!</v>
      </c>
      <c r="EX402" t="e">
        <f>AND(#REF!,"AAAAAH6b75k=")</f>
        <v>#REF!</v>
      </c>
      <c r="EY402" t="e">
        <f>IF(#REF!,"AAAAAH6b75o=",0)</f>
        <v>#REF!</v>
      </c>
      <c r="EZ402" t="e">
        <f>AND(#REF!,"AAAAAH6b75s=")</f>
        <v>#REF!</v>
      </c>
      <c r="FA402" t="e">
        <f>AND(#REF!,"AAAAAH6b75w=")</f>
        <v>#REF!</v>
      </c>
      <c r="FB402" t="e">
        <f>AND(#REF!,"AAAAAH6b750=")</f>
        <v>#REF!</v>
      </c>
      <c r="FC402" t="e">
        <f>AND(#REF!,"AAAAAH6b754=")</f>
        <v>#REF!</v>
      </c>
      <c r="FD402" t="e">
        <f>AND(#REF!,"AAAAAH6b758=")</f>
        <v>#REF!</v>
      </c>
      <c r="FE402" t="e">
        <f>AND(#REF!,"AAAAAH6b76A=")</f>
        <v>#REF!</v>
      </c>
      <c r="FF402" t="e">
        <f>AND(#REF!,"AAAAAH6b76E=")</f>
        <v>#REF!</v>
      </c>
      <c r="FG402" t="e">
        <f>AND(#REF!,"AAAAAH6b76I=")</f>
        <v>#REF!</v>
      </c>
      <c r="FH402" t="e">
        <f>AND(#REF!,"AAAAAH6b76M=")</f>
        <v>#REF!</v>
      </c>
      <c r="FI402" t="e">
        <f>AND(#REF!,"AAAAAH6b76Q=")</f>
        <v>#REF!</v>
      </c>
      <c r="FJ402" t="e">
        <f>AND(#REF!,"AAAAAH6b76U=")</f>
        <v>#REF!</v>
      </c>
      <c r="FK402" t="e">
        <f>AND(#REF!,"AAAAAH6b76Y=")</f>
        <v>#REF!</v>
      </c>
      <c r="FL402" t="e">
        <f>AND(#REF!,"AAAAAH6b76c=")</f>
        <v>#REF!</v>
      </c>
      <c r="FM402" t="e">
        <f>AND(#REF!,"AAAAAH6b76g=")</f>
        <v>#REF!</v>
      </c>
      <c r="FN402" t="e">
        <f>AND(#REF!,"AAAAAH6b76k=")</f>
        <v>#REF!</v>
      </c>
      <c r="FO402" t="e">
        <f>AND(#REF!,"AAAAAH6b76o=")</f>
        <v>#REF!</v>
      </c>
      <c r="FP402" t="e">
        <f>AND(#REF!,"AAAAAH6b76s=")</f>
        <v>#REF!</v>
      </c>
      <c r="FQ402" t="e">
        <f>AND(#REF!,"AAAAAH6b76w=")</f>
        <v>#REF!</v>
      </c>
      <c r="FR402" t="e">
        <f>AND(#REF!,"AAAAAH6b760=")</f>
        <v>#REF!</v>
      </c>
      <c r="FS402" t="e">
        <f>AND(#REF!,"AAAAAH6b764=")</f>
        <v>#REF!</v>
      </c>
      <c r="FT402" t="e">
        <f>AND(#REF!,"AAAAAH6b768=")</f>
        <v>#REF!</v>
      </c>
      <c r="FU402" t="e">
        <f>AND(#REF!,"AAAAAH6b77A=")</f>
        <v>#REF!</v>
      </c>
      <c r="FV402" t="e">
        <f>AND(#REF!,"AAAAAH6b77E=")</f>
        <v>#REF!</v>
      </c>
      <c r="FW402" t="e">
        <f>AND(#REF!,"AAAAAH6b77I=")</f>
        <v>#REF!</v>
      </c>
      <c r="FX402" t="e">
        <f>IF(#REF!,"AAAAAH6b77M=",0)</f>
        <v>#REF!</v>
      </c>
      <c r="FY402" t="e">
        <f>AND(#REF!,"AAAAAH6b77Q=")</f>
        <v>#REF!</v>
      </c>
      <c r="FZ402" t="e">
        <f>AND(#REF!,"AAAAAH6b77U=")</f>
        <v>#REF!</v>
      </c>
      <c r="GA402" t="e">
        <f>AND(#REF!,"AAAAAH6b77Y=")</f>
        <v>#REF!</v>
      </c>
      <c r="GB402" t="e">
        <f>AND(#REF!,"AAAAAH6b77c=")</f>
        <v>#REF!</v>
      </c>
      <c r="GC402" t="e">
        <f>AND(#REF!,"AAAAAH6b77g=")</f>
        <v>#REF!</v>
      </c>
      <c r="GD402" t="e">
        <f>AND(#REF!,"AAAAAH6b77k=")</f>
        <v>#REF!</v>
      </c>
      <c r="GE402" t="e">
        <f>AND(#REF!,"AAAAAH6b77o=")</f>
        <v>#REF!</v>
      </c>
      <c r="GF402" t="e">
        <f>AND(#REF!,"AAAAAH6b77s=")</f>
        <v>#REF!</v>
      </c>
      <c r="GG402" t="e">
        <f>AND(#REF!,"AAAAAH6b77w=")</f>
        <v>#REF!</v>
      </c>
      <c r="GH402" t="e">
        <f>AND(#REF!,"AAAAAH6b770=")</f>
        <v>#REF!</v>
      </c>
      <c r="GI402" t="e">
        <f>AND(#REF!,"AAAAAH6b774=")</f>
        <v>#REF!</v>
      </c>
      <c r="GJ402" t="e">
        <f>AND(#REF!,"AAAAAH6b778=")</f>
        <v>#REF!</v>
      </c>
      <c r="GK402" t="e">
        <f>AND(#REF!,"AAAAAH6b78A=")</f>
        <v>#REF!</v>
      </c>
      <c r="GL402" t="e">
        <f>AND(#REF!,"AAAAAH6b78E=")</f>
        <v>#REF!</v>
      </c>
      <c r="GM402" t="e">
        <f>AND(#REF!,"AAAAAH6b78I=")</f>
        <v>#REF!</v>
      </c>
      <c r="GN402" t="e">
        <f>AND(#REF!,"AAAAAH6b78M=")</f>
        <v>#REF!</v>
      </c>
      <c r="GO402" t="e">
        <f>AND(#REF!,"AAAAAH6b78Q=")</f>
        <v>#REF!</v>
      </c>
      <c r="GP402" t="e">
        <f>AND(#REF!,"AAAAAH6b78U=")</f>
        <v>#REF!</v>
      </c>
      <c r="GQ402" t="e">
        <f>AND(#REF!,"AAAAAH6b78Y=")</f>
        <v>#REF!</v>
      </c>
      <c r="GR402" t="e">
        <f>AND(#REF!,"AAAAAH6b78c=")</f>
        <v>#REF!</v>
      </c>
      <c r="GS402" t="e">
        <f>AND(#REF!,"AAAAAH6b78g=")</f>
        <v>#REF!</v>
      </c>
      <c r="GT402" t="e">
        <f>AND(#REF!,"AAAAAH6b78k=")</f>
        <v>#REF!</v>
      </c>
      <c r="GU402" t="e">
        <f>AND(#REF!,"AAAAAH6b78o=")</f>
        <v>#REF!</v>
      </c>
      <c r="GV402" t="e">
        <f>AND(#REF!,"AAAAAH6b78s=")</f>
        <v>#REF!</v>
      </c>
      <c r="GW402" t="e">
        <f>IF(#REF!,"AAAAAH6b78w=",0)</f>
        <v>#REF!</v>
      </c>
      <c r="GX402" t="e">
        <f>AND(#REF!,"AAAAAH6b780=")</f>
        <v>#REF!</v>
      </c>
      <c r="GY402" t="e">
        <f>AND(#REF!,"AAAAAH6b784=")</f>
        <v>#REF!</v>
      </c>
      <c r="GZ402" t="e">
        <f>AND(#REF!,"AAAAAH6b788=")</f>
        <v>#REF!</v>
      </c>
      <c r="HA402" t="e">
        <f>AND(#REF!,"AAAAAH6b79A=")</f>
        <v>#REF!</v>
      </c>
      <c r="HB402" t="e">
        <f>AND(#REF!,"AAAAAH6b79E=")</f>
        <v>#REF!</v>
      </c>
      <c r="HC402" t="e">
        <f>AND(#REF!,"AAAAAH6b79I=")</f>
        <v>#REF!</v>
      </c>
      <c r="HD402" t="e">
        <f>AND(#REF!,"AAAAAH6b79M=")</f>
        <v>#REF!</v>
      </c>
      <c r="HE402" t="e">
        <f>AND(#REF!,"AAAAAH6b79Q=")</f>
        <v>#REF!</v>
      </c>
      <c r="HF402" t="e">
        <f>AND(#REF!,"AAAAAH6b79U=")</f>
        <v>#REF!</v>
      </c>
      <c r="HG402" t="e">
        <f>AND(#REF!,"AAAAAH6b79Y=")</f>
        <v>#REF!</v>
      </c>
      <c r="HH402" t="e">
        <f>AND(#REF!,"AAAAAH6b79c=")</f>
        <v>#REF!</v>
      </c>
      <c r="HI402" t="e">
        <f>AND(#REF!,"AAAAAH6b79g=")</f>
        <v>#REF!</v>
      </c>
      <c r="HJ402" t="e">
        <f>AND(#REF!,"AAAAAH6b79k=")</f>
        <v>#REF!</v>
      </c>
      <c r="HK402" t="e">
        <f>AND(#REF!,"AAAAAH6b79o=")</f>
        <v>#REF!</v>
      </c>
      <c r="HL402" t="e">
        <f>AND(#REF!,"AAAAAH6b79s=")</f>
        <v>#REF!</v>
      </c>
      <c r="HM402" t="e">
        <f>AND(#REF!,"AAAAAH6b79w=")</f>
        <v>#REF!</v>
      </c>
      <c r="HN402" t="e">
        <f>AND(#REF!,"AAAAAH6b790=")</f>
        <v>#REF!</v>
      </c>
      <c r="HO402" t="e">
        <f>AND(#REF!,"AAAAAH6b794=")</f>
        <v>#REF!</v>
      </c>
      <c r="HP402" t="e">
        <f>AND(#REF!,"AAAAAH6b798=")</f>
        <v>#REF!</v>
      </c>
      <c r="HQ402" t="e">
        <f>AND(#REF!,"AAAAAH6b7+A=")</f>
        <v>#REF!</v>
      </c>
      <c r="HR402" t="e">
        <f>AND(#REF!,"AAAAAH6b7+E=")</f>
        <v>#REF!</v>
      </c>
      <c r="HS402" t="e">
        <f>AND(#REF!,"AAAAAH6b7+I=")</f>
        <v>#REF!</v>
      </c>
      <c r="HT402" t="e">
        <f>AND(#REF!,"AAAAAH6b7+M=")</f>
        <v>#REF!</v>
      </c>
      <c r="HU402" t="e">
        <f>AND(#REF!,"AAAAAH6b7+Q=")</f>
        <v>#REF!</v>
      </c>
      <c r="HV402" t="e">
        <f>IF(#REF!,"AAAAAH6b7+U=",0)</f>
        <v>#REF!</v>
      </c>
      <c r="HW402" t="e">
        <f>AND(#REF!,"AAAAAH6b7+Y=")</f>
        <v>#REF!</v>
      </c>
      <c r="HX402" t="e">
        <f>AND(#REF!,"AAAAAH6b7+c=")</f>
        <v>#REF!</v>
      </c>
      <c r="HY402" t="e">
        <f>AND(#REF!,"AAAAAH6b7+g=")</f>
        <v>#REF!</v>
      </c>
      <c r="HZ402" t="e">
        <f>AND(#REF!,"AAAAAH6b7+k=")</f>
        <v>#REF!</v>
      </c>
      <c r="IA402" t="e">
        <f>AND(#REF!,"AAAAAH6b7+o=")</f>
        <v>#REF!</v>
      </c>
      <c r="IB402" t="e">
        <f>AND(#REF!,"AAAAAH6b7+s=")</f>
        <v>#REF!</v>
      </c>
      <c r="IC402" t="e">
        <f>AND(#REF!,"AAAAAH6b7+w=")</f>
        <v>#REF!</v>
      </c>
      <c r="ID402" t="e">
        <f>AND(#REF!,"AAAAAH6b7+0=")</f>
        <v>#REF!</v>
      </c>
      <c r="IE402" t="e">
        <f>AND(#REF!,"AAAAAH6b7+4=")</f>
        <v>#REF!</v>
      </c>
      <c r="IF402" t="e">
        <f>AND(#REF!,"AAAAAH6b7+8=")</f>
        <v>#REF!</v>
      </c>
      <c r="IG402" t="e">
        <f>AND(#REF!,"AAAAAH6b7/A=")</f>
        <v>#REF!</v>
      </c>
      <c r="IH402" t="e">
        <f>AND(#REF!,"AAAAAH6b7/E=")</f>
        <v>#REF!</v>
      </c>
      <c r="II402" t="e">
        <f>AND(#REF!,"AAAAAH6b7/I=")</f>
        <v>#REF!</v>
      </c>
      <c r="IJ402" t="e">
        <f>AND(#REF!,"AAAAAH6b7/M=")</f>
        <v>#REF!</v>
      </c>
      <c r="IK402" t="e">
        <f>AND(#REF!,"AAAAAH6b7/Q=")</f>
        <v>#REF!</v>
      </c>
      <c r="IL402" t="e">
        <f>AND(#REF!,"AAAAAH6b7/U=")</f>
        <v>#REF!</v>
      </c>
      <c r="IM402" t="e">
        <f>AND(#REF!,"AAAAAH6b7/Y=")</f>
        <v>#REF!</v>
      </c>
      <c r="IN402" t="e">
        <f>AND(#REF!,"AAAAAH6b7/c=")</f>
        <v>#REF!</v>
      </c>
      <c r="IO402" t="e">
        <f>AND(#REF!,"AAAAAH6b7/g=")</f>
        <v>#REF!</v>
      </c>
      <c r="IP402" t="e">
        <f>AND(#REF!,"AAAAAH6b7/k=")</f>
        <v>#REF!</v>
      </c>
      <c r="IQ402" t="e">
        <f>AND(#REF!,"AAAAAH6b7/o=")</f>
        <v>#REF!</v>
      </c>
      <c r="IR402" t="e">
        <f>AND(#REF!,"AAAAAH6b7/s=")</f>
        <v>#REF!</v>
      </c>
      <c r="IS402" t="e">
        <f>AND(#REF!,"AAAAAH6b7/w=")</f>
        <v>#REF!</v>
      </c>
      <c r="IT402" t="e">
        <f>AND(#REF!,"AAAAAH6b7/0=")</f>
        <v>#REF!</v>
      </c>
      <c r="IU402" t="e">
        <f>IF(#REF!,"AAAAAH6b7/4=",0)</f>
        <v>#REF!</v>
      </c>
      <c r="IV402" t="e">
        <f>AND(#REF!,"AAAAAH6b7/8=")</f>
        <v>#REF!</v>
      </c>
    </row>
    <row r="403" spans="1:256">
      <c r="A403" t="e">
        <f>AND(#REF!,"AAAAAEfn6wA=")</f>
        <v>#REF!</v>
      </c>
      <c r="B403" t="e">
        <f>AND(#REF!,"AAAAAEfn6wE=")</f>
        <v>#REF!</v>
      </c>
      <c r="C403" t="e">
        <f>AND(#REF!,"AAAAAEfn6wI=")</f>
        <v>#REF!</v>
      </c>
      <c r="D403" t="e">
        <f>AND(#REF!,"AAAAAEfn6wM=")</f>
        <v>#REF!</v>
      </c>
      <c r="E403" t="e">
        <f>AND(#REF!,"AAAAAEfn6wQ=")</f>
        <v>#REF!</v>
      </c>
      <c r="F403" t="e">
        <f>AND(#REF!,"AAAAAEfn6wU=")</f>
        <v>#REF!</v>
      </c>
      <c r="G403" t="e">
        <f>AND(#REF!,"AAAAAEfn6wY=")</f>
        <v>#REF!</v>
      </c>
      <c r="H403" t="e">
        <f>AND(#REF!,"AAAAAEfn6wc=")</f>
        <v>#REF!</v>
      </c>
      <c r="I403" t="e">
        <f>AND(#REF!,"AAAAAEfn6wg=")</f>
        <v>#REF!</v>
      </c>
      <c r="J403" t="e">
        <f>AND(#REF!,"AAAAAEfn6wk=")</f>
        <v>#REF!</v>
      </c>
      <c r="K403" t="e">
        <f>AND(#REF!,"AAAAAEfn6wo=")</f>
        <v>#REF!</v>
      </c>
      <c r="L403" t="e">
        <f>AND(#REF!,"AAAAAEfn6ws=")</f>
        <v>#REF!</v>
      </c>
      <c r="M403" t="e">
        <f>AND(#REF!,"AAAAAEfn6ww=")</f>
        <v>#REF!</v>
      </c>
      <c r="N403" t="e">
        <f>AND(#REF!,"AAAAAEfn6w0=")</f>
        <v>#REF!</v>
      </c>
      <c r="O403" t="e">
        <f>AND(#REF!,"AAAAAEfn6w4=")</f>
        <v>#REF!</v>
      </c>
      <c r="P403" t="e">
        <f>AND(#REF!,"AAAAAEfn6w8=")</f>
        <v>#REF!</v>
      </c>
      <c r="Q403" t="e">
        <f>AND(#REF!,"AAAAAEfn6xA=")</f>
        <v>#REF!</v>
      </c>
      <c r="R403" t="e">
        <f>AND(#REF!,"AAAAAEfn6xE=")</f>
        <v>#REF!</v>
      </c>
      <c r="S403" t="e">
        <f>AND(#REF!,"AAAAAEfn6xI=")</f>
        <v>#REF!</v>
      </c>
      <c r="T403" t="e">
        <f>AND(#REF!,"AAAAAEfn6xM=")</f>
        <v>#REF!</v>
      </c>
      <c r="U403" t="e">
        <f>AND(#REF!,"AAAAAEfn6xQ=")</f>
        <v>#REF!</v>
      </c>
      <c r="V403" t="e">
        <f>AND(#REF!,"AAAAAEfn6xU=")</f>
        <v>#REF!</v>
      </c>
      <c r="W403" t="e">
        <f>AND(#REF!,"AAAAAEfn6xY=")</f>
        <v>#REF!</v>
      </c>
      <c r="X403" t="e">
        <f>IF(#REF!,"AAAAAEfn6xc=",0)</f>
        <v>#REF!</v>
      </c>
      <c r="Y403" t="e">
        <f>AND(#REF!,"AAAAAEfn6xg=")</f>
        <v>#REF!</v>
      </c>
      <c r="Z403" t="e">
        <f>AND(#REF!,"AAAAAEfn6xk=")</f>
        <v>#REF!</v>
      </c>
      <c r="AA403" t="e">
        <f>AND(#REF!,"AAAAAEfn6xo=")</f>
        <v>#REF!</v>
      </c>
      <c r="AB403" t="e">
        <f>AND(#REF!,"AAAAAEfn6xs=")</f>
        <v>#REF!</v>
      </c>
      <c r="AC403" t="e">
        <f>AND(#REF!,"AAAAAEfn6xw=")</f>
        <v>#REF!</v>
      </c>
      <c r="AD403" t="e">
        <f>AND(#REF!,"AAAAAEfn6x0=")</f>
        <v>#REF!</v>
      </c>
      <c r="AE403" t="e">
        <f>AND(#REF!,"AAAAAEfn6x4=")</f>
        <v>#REF!</v>
      </c>
      <c r="AF403" t="e">
        <f>AND(#REF!,"AAAAAEfn6x8=")</f>
        <v>#REF!</v>
      </c>
      <c r="AG403" t="e">
        <f>AND(#REF!,"AAAAAEfn6yA=")</f>
        <v>#REF!</v>
      </c>
      <c r="AH403" t="e">
        <f>AND(#REF!,"AAAAAEfn6yE=")</f>
        <v>#REF!</v>
      </c>
      <c r="AI403" t="e">
        <f>AND(#REF!,"AAAAAEfn6yI=")</f>
        <v>#REF!</v>
      </c>
      <c r="AJ403" t="e">
        <f>AND(#REF!,"AAAAAEfn6yM=")</f>
        <v>#REF!</v>
      </c>
      <c r="AK403" t="e">
        <f>AND(#REF!,"AAAAAEfn6yQ=")</f>
        <v>#REF!</v>
      </c>
      <c r="AL403" t="e">
        <f>AND(#REF!,"AAAAAEfn6yU=")</f>
        <v>#REF!</v>
      </c>
      <c r="AM403" t="e">
        <f>AND(#REF!,"AAAAAEfn6yY=")</f>
        <v>#REF!</v>
      </c>
      <c r="AN403" t="e">
        <f>AND(#REF!,"AAAAAEfn6yc=")</f>
        <v>#REF!</v>
      </c>
      <c r="AO403" t="e">
        <f>AND(#REF!,"AAAAAEfn6yg=")</f>
        <v>#REF!</v>
      </c>
      <c r="AP403" t="e">
        <f>AND(#REF!,"AAAAAEfn6yk=")</f>
        <v>#REF!</v>
      </c>
      <c r="AQ403" t="e">
        <f>AND(#REF!,"AAAAAEfn6yo=")</f>
        <v>#REF!</v>
      </c>
      <c r="AR403" t="e">
        <f>AND(#REF!,"AAAAAEfn6ys=")</f>
        <v>#REF!</v>
      </c>
      <c r="AS403" t="e">
        <f>AND(#REF!,"AAAAAEfn6yw=")</f>
        <v>#REF!</v>
      </c>
      <c r="AT403" t="e">
        <f>AND(#REF!,"AAAAAEfn6y0=")</f>
        <v>#REF!</v>
      </c>
      <c r="AU403" t="e">
        <f>AND(#REF!,"AAAAAEfn6y4=")</f>
        <v>#REF!</v>
      </c>
      <c r="AV403" t="e">
        <f>AND(#REF!,"AAAAAEfn6y8=")</f>
        <v>#REF!</v>
      </c>
      <c r="AW403" t="e">
        <f>IF(#REF!,"AAAAAEfn6zA=",0)</f>
        <v>#REF!</v>
      </c>
      <c r="AX403" t="e">
        <f>AND(#REF!,"AAAAAEfn6zE=")</f>
        <v>#REF!</v>
      </c>
      <c r="AY403" t="e">
        <f>AND(#REF!,"AAAAAEfn6zI=")</f>
        <v>#REF!</v>
      </c>
      <c r="AZ403" t="e">
        <f>AND(#REF!,"AAAAAEfn6zM=")</f>
        <v>#REF!</v>
      </c>
      <c r="BA403" t="e">
        <f>AND(#REF!,"AAAAAEfn6zQ=")</f>
        <v>#REF!</v>
      </c>
      <c r="BB403" t="e">
        <f>AND(#REF!,"AAAAAEfn6zU=")</f>
        <v>#REF!</v>
      </c>
      <c r="BC403" t="e">
        <f>AND(#REF!,"AAAAAEfn6zY=")</f>
        <v>#REF!</v>
      </c>
      <c r="BD403" t="e">
        <f>AND(#REF!,"AAAAAEfn6zc=")</f>
        <v>#REF!</v>
      </c>
      <c r="BE403" t="e">
        <f>AND(#REF!,"AAAAAEfn6zg=")</f>
        <v>#REF!</v>
      </c>
      <c r="BF403" t="e">
        <f>AND(#REF!,"AAAAAEfn6zk=")</f>
        <v>#REF!</v>
      </c>
      <c r="BG403" t="e">
        <f>AND(#REF!,"AAAAAEfn6zo=")</f>
        <v>#REF!</v>
      </c>
      <c r="BH403" t="e">
        <f>AND(#REF!,"AAAAAEfn6zs=")</f>
        <v>#REF!</v>
      </c>
      <c r="BI403" t="e">
        <f>AND(#REF!,"AAAAAEfn6zw=")</f>
        <v>#REF!</v>
      </c>
      <c r="BJ403" t="e">
        <f>AND(#REF!,"AAAAAEfn6z0=")</f>
        <v>#REF!</v>
      </c>
      <c r="BK403" t="e">
        <f>AND(#REF!,"AAAAAEfn6z4=")</f>
        <v>#REF!</v>
      </c>
      <c r="BL403" t="e">
        <f>AND(#REF!,"AAAAAEfn6z8=")</f>
        <v>#REF!</v>
      </c>
      <c r="BM403" t="e">
        <f>AND(#REF!,"AAAAAEfn60A=")</f>
        <v>#REF!</v>
      </c>
      <c r="BN403" t="e">
        <f>AND(#REF!,"AAAAAEfn60E=")</f>
        <v>#REF!</v>
      </c>
      <c r="BO403" t="e">
        <f>AND(#REF!,"AAAAAEfn60I=")</f>
        <v>#REF!</v>
      </c>
      <c r="BP403" t="e">
        <f>AND(#REF!,"AAAAAEfn60M=")</f>
        <v>#REF!</v>
      </c>
      <c r="BQ403" t="e">
        <f>AND(#REF!,"AAAAAEfn60Q=")</f>
        <v>#REF!</v>
      </c>
      <c r="BR403" t="e">
        <f>AND(#REF!,"AAAAAEfn60U=")</f>
        <v>#REF!</v>
      </c>
      <c r="BS403" t="e">
        <f>AND(#REF!,"AAAAAEfn60Y=")</f>
        <v>#REF!</v>
      </c>
      <c r="BT403" t="e">
        <f>AND(#REF!,"AAAAAEfn60c=")</f>
        <v>#REF!</v>
      </c>
      <c r="BU403" t="e">
        <f>AND(#REF!,"AAAAAEfn60g=")</f>
        <v>#REF!</v>
      </c>
      <c r="BV403" t="e">
        <f>IF(#REF!,"AAAAAEfn60k=",0)</f>
        <v>#REF!</v>
      </c>
      <c r="BW403" t="e">
        <f>AND(#REF!,"AAAAAEfn60o=")</f>
        <v>#REF!</v>
      </c>
      <c r="BX403" t="e">
        <f>AND(#REF!,"AAAAAEfn60s=")</f>
        <v>#REF!</v>
      </c>
      <c r="BY403" t="e">
        <f>AND(#REF!,"AAAAAEfn60w=")</f>
        <v>#REF!</v>
      </c>
      <c r="BZ403" t="e">
        <f>AND(#REF!,"AAAAAEfn600=")</f>
        <v>#REF!</v>
      </c>
      <c r="CA403" t="e">
        <f>AND(#REF!,"AAAAAEfn604=")</f>
        <v>#REF!</v>
      </c>
      <c r="CB403" t="e">
        <f>AND(#REF!,"AAAAAEfn608=")</f>
        <v>#REF!</v>
      </c>
      <c r="CC403" t="e">
        <f>AND(#REF!,"AAAAAEfn61A=")</f>
        <v>#REF!</v>
      </c>
      <c r="CD403" t="e">
        <f>AND(#REF!,"AAAAAEfn61E=")</f>
        <v>#REF!</v>
      </c>
      <c r="CE403" t="e">
        <f>AND(#REF!,"AAAAAEfn61I=")</f>
        <v>#REF!</v>
      </c>
      <c r="CF403" t="e">
        <f>AND(#REF!,"AAAAAEfn61M=")</f>
        <v>#REF!</v>
      </c>
      <c r="CG403" t="e">
        <f>AND(#REF!,"AAAAAEfn61Q=")</f>
        <v>#REF!</v>
      </c>
      <c r="CH403" t="e">
        <f>AND(#REF!,"AAAAAEfn61U=")</f>
        <v>#REF!</v>
      </c>
      <c r="CI403" t="e">
        <f>AND(#REF!,"AAAAAEfn61Y=")</f>
        <v>#REF!</v>
      </c>
      <c r="CJ403" t="e">
        <f>AND(#REF!,"AAAAAEfn61c=")</f>
        <v>#REF!</v>
      </c>
      <c r="CK403" t="e">
        <f>AND(#REF!,"AAAAAEfn61g=")</f>
        <v>#REF!</v>
      </c>
      <c r="CL403" t="e">
        <f>AND(#REF!,"AAAAAEfn61k=")</f>
        <v>#REF!</v>
      </c>
      <c r="CM403" t="e">
        <f>AND(#REF!,"AAAAAEfn61o=")</f>
        <v>#REF!</v>
      </c>
      <c r="CN403" t="e">
        <f>AND(#REF!,"AAAAAEfn61s=")</f>
        <v>#REF!</v>
      </c>
      <c r="CO403" t="e">
        <f>AND(#REF!,"AAAAAEfn61w=")</f>
        <v>#REF!</v>
      </c>
      <c r="CP403" t="e">
        <f>AND(#REF!,"AAAAAEfn610=")</f>
        <v>#REF!</v>
      </c>
      <c r="CQ403" t="e">
        <f>AND(#REF!,"AAAAAEfn614=")</f>
        <v>#REF!</v>
      </c>
      <c r="CR403" t="e">
        <f>AND(#REF!,"AAAAAEfn618=")</f>
        <v>#REF!</v>
      </c>
      <c r="CS403" t="e">
        <f>AND(#REF!,"AAAAAEfn62A=")</f>
        <v>#REF!</v>
      </c>
      <c r="CT403" t="e">
        <f>AND(#REF!,"AAAAAEfn62E=")</f>
        <v>#REF!</v>
      </c>
      <c r="CU403" t="e">
        <f>IF(#REF!,"AAAAAEfn62I=",0)</f>
        <v>#REF!</v>
      </c>
      <c r="CV403" t="e">
        <f>AND(#REF!,"AAAAAEfn62M=")</f>
        <v>#REF!</v>
      </c>
      <c r="CW403" t="e">
        <f>AND(#REF!,"AAAAAEfn62Q=")</f>
        <v>#REF!</v>
      </c>
      <c r="CX403" t="e">
        <f>AND(#REF!,"AAAAAEfn62U=")</f>
        <v>#REF!</v>
      </c>
      <c r="CY403" t="e">
        <f>AND(#REF!,"AAAAAEfn62Y=")</f>
        <v>#REF!</v>
      </c>
      <c r="CZ403" t="e">
        <f>AND(#REF!,"AAAAAEfn62c=")</f>
        <v>#REF!</v>
      </c>
      <c r="DA403" t="e">
        <f>AND(#REF!,"AAAAAEfn62g=")</f>
        <v>#REF!</v>
      </c>
      <c r="DB403" t="e">
        <f>AND(#REF!,"AAAAAEfn62k=")</f>
        <v>#REF!</v>
      </c>
      <c r="DC403" t="e">
        <f>AND(#REF!,"AAAAAEfn62o=")</f>
        <v>#REF!</v>
      </c>
      <c r="DD403" t="e">
        <f>AND(#REF!,"AAAAAEfn62s=")</f>
        <v>#REF!</v>
      </c>
      <c r="DE403" t="e">
        <f>AND(#REF!,"AAAAAEfn62w=")</f>
        <v>#REF!</v>
      </c>
      <c r="DF403" t="e">
        <f>AND(#REF!,"AAAAAEfn620=")</f>
        <v>#REF!</v>
      </c>
      <c r="DG403" t="e">
        <f>AND(#REF!,"AAAAAEfn624=")</f>
        <v>#REF!</v>
      </c>
      <c r="DH403" t="e">
        <f>AND(#REF!,"AAAAAEfn628=")</f>
        <v>#REF!</v>
      </c>
      <c r="DI403" t="e">
        <f>AND(#REF!,"AAAAAEfn63A=")</f>
        <v>#REF!</v>
      </c>
      <c r="DJ403" t="e">
        <f>AND(#REF!,"AAAAAEfn63E=")</f>
        <v>#REF!</v>
      </c>
      <c r="DK403" t="e">
        <f>AND(#REF!,"AAAAAEfn63I=")</f>
        <v>#REF!</v>
      </c>
      <c r="DL403" t="e">
        <f>AND(#REF!,"AAAAAEfn63M=")</f>
        <v>#REF!</v>
      </c>
      <c r="DM403" t="e">
        <f>AND(#REF!,"AAAAAEfn63Q=")</f>
        <v>#REF!</v>
      </c>
      <c r="DN403" t="e">
        <f>AND(#REF!,"AAAAAEfn63U=")</f>
        <v>#REF!</v>
      </c>
      <c r="DO403" t="e">
        <f>AND(#REF!,"AAAAAEfn63Y=")</f>
        <v>#REF!</v>
      </c>
      <c r="DP403" t="e">
        <f>AND(#REF!,"AAAAAEfn63c=")</f>
        <v>#REF!</v>
      </c>
      <c r="DQ403" t="e">
        <f>AND(#REF!,"AAAAAEfn63g=")</f>
        <v>#REF!</v>
      </c>
      <c r="DR403" t="e">
        <f>AND(#REF!,"AAAAAEfn63k=")</f>
        <v>#REF!</v>
      </c>
      <c r="DS403" t="e">
        <f>AND(#REF!,"AAAAAEfn63o=")</f>
        <v>#REF!</v>
      </c>
      <c r="DT403" t="e">
        <f>IF(#REF!,"AAAAAEfn63s=",0)</f>
        <v>#REF!</v>
      </c>
      <c r="DU403" t="e">
        <f>AND(#REF!,"AAAAAEfn63w=")</f>
        <v>#REF!</v>
      </c>
      <c r="DV403" t="e">
        <f>AND(#REF!,"AAAAAEfn630=")</f>
        <v>#REF!</v>
      </c>
      <c r="DW403" t="e">
        <f>AND(#REF!,"AAAAAEfn634=")</f>
        <v>#REF!</v>
      </c>
      <c r="DX403" t="e">
        <f>AND(#REF!,"AAAAAEfn638=")</f>
        <v>#REF!</v>
      </c>
      <c r="DY403" t="e">
        <f>AND(#REF!,"AAAAAEfn64A=")</f>
        <v>#REF!</v>
      </c>
      <c r="DZ403" t="e">
        <f>AND(#REF!,"AAAAAEfn64E=")</f>
        <v>#REF!</v>
      </c>
      <c r="EA403" t="e">
        <f>AND(#REF!,"AAAAAEfn64I=")</f>
        <v>#REF!</v>
      </c>
      <c r="EB403" t="e">
        <f>AND(#REF!,"AAAAAEfn64M=")</f>
        <v>#REF!</v>
      </c>
      <c r="EC403" t="e">
        <f>AND(#REF!,"AAAAAEfn64Q=")</f>
        <v>#REF!</v>
      </c>
      <c r="ED403" t="e">
        <f>AND(#REF!,"AAAAAEfn64U=")</f>
        <v>#REF!</v>
      </c>
      <c r="EE403" t="e">
        <f>AND(#REF!,"AAAAAEfn64Y=")</f>
        <v>#REF!</v>
      </c>
      <c r="EF403" t="e">
        <f>AND(#REF!,"AAAAAEfn64c=")</f>
        <v>#REF!</v>
      </c>
      <c r="EG403" t="e">
        <f>AND(#REF!,"AAAAAEfn64g=")</f>
        <v>#REF!</v>
      </c>
      <c r="EH403" t="e">
        <f>AND(#REF!,"AAAAAEfn64k=")</f>
        <v>#REF!</v>
      </c>
      <c r="EI403" t="e">
        <f>AND(#REF!,"AAAAAEfn64o=")</f>
        <v>#REF!</v>
      </c>
      <c r="EJ403" t="e">
        <f>AND(#REF!,"AAAAAEfn64s=")</f>
        <v>#REF!</v>
      </c>
      <c r="EK403" t="e">
        <f>AND(#REF!,"AAAAAEfn64w=")</f>
        <v>#REF!</v>
      </c>
      <c r="EL403" t="e">
        <f>AND(#REF!,"AAAAAEfn640=")</f>
        <v>#REF!</v>
      </c>
      <c r="EM403" t="e">
        <f>AND(#REF!,"AAAAAEfn644=")</f>
        <v>#REF!</v>
      </c>
      <c r="EN403" t="e">
        <f>AND(#REF!,"AAAAAEfn648=")</f>
        <v>#REF!</v>
      </c>
      <c r="EO403" t="e">
        <f>AND(#REF!,"AAAAAEfn65A=")</f>
        <v>#REF!</v>
      </c>
      <c r="EP403" t="e">
        <f>AND(#REF!,"AAAAAEfn65E=")</f>
        <v>#REF!</v>
      </c>
      <c r="EQ403" t="e">
        <f>AND(#REF!,"AAAAAEfn65I=")</f>
        <v>#REF!</v>
      </c>
      <c r="ER403" t="e">
        <f>AND(#REF!,"AAAAAEfn65M=")</f>
        <v>#REF!</v>
      </c>
      <c r="ES403" t="e">
        <f>IF(#REF!,"AAAAAEfn65Q=",0)</f>
        <v>#REF!</v>
      </c>
      <c r="ET403" t="e">
        <f>AND(#REF!,"AAAAAEfn65U=")</f>
        <v>#REF!</v>
      </c>
      <c r="EU403" t="e">
        <f>AND(#REF!,"AAAAAEfn65Y=")</f>
        <v>#REF!</v>
      </c>
      <c r="EV403" t="e">
        <f>AND(#REF!,"AAAAAEfn65c=")</f>
        <v>#REF!</v>
      </c>
      <c r="EW403" t="e">
        <f>AND(#REF!,"AAAAAEfn65g=")</f>
        <v>#REF!</v>
      </c>
      <c r="EX403" t="e">
        <f>AND(#REF!,"AAAAAEfn65k=")</f>
        <v>#REF!</v>
      </c>
      <c r="EY403" t="e">
        <f>AND(#REF!,"AAAAAEfn65o=")</f>
        <v>#REF!</v>
      </c>
      <c r="EZ403" t="e">
        <f>AND(#REF!,"AAAAAEfn65s=")</f>
        <v>#REF!</v>
      </c>
      <c r="FA403" t="e">
        <f>AND(#REF!,"AAAAAEfn65w=")</f>
        <v>#REF!</v>
      </c>
      <c r="FB403" t="e">
        <f>AND(#REF!,"AAAAAEfn650=")</f>
        <v>#REF!</v>
      </c>
      <c r="FC403" t="e">
        <f>AND(#REF!,"AAAAAEfn654=")</f>
        <v>#REF!</v>
      </c>
      <c r="FD403" t="e">
        <f>AND(#REF!,"AAAAAEfn658=")</f>
        <v>#REF!</v>
      </c>
      <c r="FE403" t="e">
        <f>AND(#REF!,"AAAAAEfn66A=")</f>
        <v>#REF!</v>
      </c>
      <c r="FF403" t="e">
        <f>AND(#REF!,"AAAAAEfn66E=")</f>
        <v>#REF!</v>
      </c>
      <c r="FG403" t="e">
        <f>AND(#REF!,"AAAAAEfn66I=")</f>
        <v>#REF!</v>
      </c>
      <c r="FH403" t="e">
        <f>AND(#REF!,"AAAAAEfn66M=")</f>
        <v>#REF!</v>
      </c>
      <c r="FI403" t="e">
        <f>AND(#REF!,"AAAAAEfn66Q=")</f>
        <v>#REF!</v>
      </c>
      <c r="FJ403" t="e">
        <f>AND(#REF!,"AAAAAEfn66U=")</f>
        <v>#REF!</v>
      </c>
      <c r="FK403" t="e">
        <f>AND(#REF!,"AAAAAEfn66Y=")</f>
        <v>#REF!</v>
      </c>
      <c r="FL403" t="e">
        <f>AND(#REF!,"AAAAAEfn66c=")</f>
        <v>#REF!</v>
      </c>
      <c r="FM403" t="e">
        <f>AND(#REF!,"AAAAAEfn66g=")</f>
        <v>#REF!</v>
      </c>
      <c r="FN403" t="e">
        <f>AND(#REF!,"AAAAAEfn66k=")</f>
        <v>#REF!</v>
      </c>
      <c r="FO403" t="e">
        <f>AND(#REF!,"AAAAAEfn66o=")</f>
        <v>#REF!</v>
      </c>
      <c r="FP403" t="e">
        <f>AND(#REF!,"AAAAAEfn66s=")</f>
        <v>#REF!</v>
      </c>
      <c r="FQ403" t="e">
        <f>AND(#REF!,"AAAAAEfn66w=")</f>
        <v>#REF!</v>
      </c>
      <c r="FR403" t="e">
        <f>IF(#REF!,"AAAAAEfn660=",0)</f>
        <v>#REF!</v>
      </c>
      <c r="FS403" t="e">
        <f>AND(#REF!,"AAAAAEfn664=")</f>
        <v>#REF!</v>
      </c>
      <c r="FT403" t="e">
        <f>AND(#REF!,"AAAAAEfn668=")</f>
        <v>#REF!</v>
      </c>
      <c r="FU403" t="e">
        <f>AND(#REF!,"AAAAAEfn67A=")</f>
        <v>#REF!</v>
      </c>
      <c r="FV403" t="e">
        <f>AND(#REF!,"AAAAAEfn67E=")</f>
        <v>#REF!</v>
      </c>
      <c r="FW403" t="e">
        <f>AND(#REF!,"AAAAAEfn67I=")</f>
        <v>#REF!</v>
      </c>
      <c r="FX403" t="e">
        <f>AND(#REF!,"AAAAAEfn67M=")</f>
        <v>#REF!</v>
      </c>
      <c r="FY403" t="e">
        <f>AND(#REF!,"AAAAAEfn67Q=")</f>
        <v>#REF!</v>
      </c>
      <c r="FZ403" t="e">
        <f>AND(#REF!,"AAAAAEfn67U=")</f>
        <v>#REF!</v>
      </c>
      <c r="GA403" t="e">
        <f>AND(#REF!,"AAAAAEfn67Y=")</f>
        <v>#REF!</v>
      </c>
      <c r="GB403" t="e">
        <f>AND(#REF!,"AAAAAEfn67c=")</f>
        <v>#REF!</v>
      </c>
      <c r="GC403" t="e">
        <f>AND(#REF!,"AAAAAEfn67g=")</f>
        <v>#REF!</v>
      </c>
      <c r="GD403" t="e">
        <f>AND(#REF!,"AAAAAEfn67k=")</f>
        <v>#REF!</v>
      </c>
      <c r="GE403" t="e">
        <f>AND(#REF!,"AAAAAEfn67o=")</f>
        <v>#REF!</v>
      </c>
      <c r="GF403" t="e">
        <f>AND(#REF!,"AAAAAEfn67s=")</f>
        <v>#REF!</v>
      </c>
      <c r="GG403" t="e">
        <f>AND(#REF!,"AAAAAEfn67w=")</f>
        <v>#REF!</v>
      </c>
      <c r="GH403" t="e">
        <f>AND(#REF!,"AAAAAEfn670=")</f>
        <v>#REF!</v>
      </c>
      <c r="GI403" t="e">
        <f>AND(#REF!,"AAAAAEfn674=")</f>
        <v>#REF!</v>
      </c>
      <c r="GJ403" t="e">
        <f>AND(#REF!,"AAAAAEfn678=")</f>
        <v>#REF!</v>
      </c>
      <c r="GK403" t="e">
        <f>AND(#REF!,"AAAAAEfn68A=")</f>
        <v>#REF!</v>
      </c>
      <c r="GL403" t="e">
        <f>AND(#REF!,"AAAAAEfn68E=")</f>
        <v>#REF!</v>
      </c>
      <c r="GM403" t="e">
        <f>AND(#REF!,"AAAAAEfn68I=")</f>
        <v>#REF!</v>
      </c>
      <c r="GN403" t="e">
        <f>AND(#REF!,"AAAAAEfn68M=")</f>
        <v>#REF!</v>
      </c>
      <c r="GO403" t="e">
        <f>AND(#REF!,"AAAAAEfn68Q=")</f>
        <v>#REF!</v>
      </c>
      <c r="GP403" t="e">
        <f>AND(#REF!,"AAAAAEfn68U=")</f>
        <v>#REF!</v>
      </c>
      <c r="GQ403" t="e">
        <f>IF(#REF!,"AAAAAEfn68Y=",0)</f>
        <v>#REF!</v>
      </c>
      <c r="GR403" t="e">
        <f>AND(#REF!,"AAAAAEfn68c=")</f>
        <v>#REF!</v>
      </c>
      <c r="GS403" t="e">
        <f>AND(#REF!,"AAAAAEfn68g=")</f>
        <v>#REF!</v>
      </c>
      <c r="GT403" t="e">
        <f>AND(#REF!,"AAAAAEfn68k=")</f>
        <v>#REF!</v>
      </c>
      <c r="GU403" t="e">
        <f>AND(#REF!,"AAAAAEfn68o=")</f>
        <v>#REF!</v>
      </c>
      <c r="GV403" t="e">
        <f>AND(#REF!,"AAAAAEfn68s=")</f>
        <v>#REF!</v>
      </c>
      <c r="GW403" t="e">
        <f>AND(#REF!,"AAAAAEfn68w=")</f>
        <v>#REF!</v>
      </c>
      <c r="GX403" t="e">
        <f>AND(#REF!,"AAAAAEfn680=")</f>
        <v>#REF!</v>
      </c>
      <c r="GY403" t="e">
        <f>AND(#REF!,"AAAAAEfn684=")</f>
        <v>#REF!</v>
      </c>
      <c r="GZ403" t="e">
        <f>AND(#REF!,"AAAAAEfn688=")</f>
        <v>#REF!</v>
      </c>
      <c r="HA403" t="e">
        <f>AND(#REF!,"AAAAAEfn69A=")</f>
        <v>#REF!</v>
      </c>
      <c r="HB403" t="e">
        <f>AND(#REF!,"AAAAAEfn69E=")</f>
        <v>#REF!</v>
      </c>
      <c r="HC403" t="e">
        <f>AND(#REF!,"AAAAAEfn69I=")</f>
        <v>#REF!</v>
      </c>
      <c r="HD403" t="e">
        <f>AND(#REF!,"AAAAAEfn69M=")</f>
        <v>#REF!</v>
      </c>
      <c r="HE403" t="e">
        <f>AND(#REF!,"AAAAAEfn69Q=")</f>
        <v>#REF!</v>
      </c>
      <c r="HF403" t="e">
        <f>AND(#REF!,"AAAAAEfn69U=")</f>
        <v>#REF!</v>
      </c>
      <c r="HG403" t="e">
        <f>AND(#REF!,"AAAAAEfn69Y=")</f>
        <v>#REF!</v>
      </c>
      <c r="HH403" t="e">
        <f>AND(#REF!,"AAAAAEfn69c=")</f>
        <v>#REF!</v>
      </c>
      <c r="HI403" t="e">
        <f>AND(#REF!,"AAAAAEfn69g=")</f>
        <v>#REF!</v>
      </c>
      <c r="HJ403" t="e">
        <f>AND(#REF!,"AAAAAEfn69k=")</f>
        <v>#REF!</v>
      </c>
      <c r="HK403" t="e">
        <f>AND(#REF!,"AAAAAEfn69o=")</f>
        <v>#REF!</v>
      </c>
      <c r="HL403" t="e">
        <f>AND(#REF!,"AAAAAEfn69s=")</f>
        <v>#REF!</v>
      </c>
      <c r="HM403" t="e">
        <f>AND(#REF!,"AAAAAEfn69w=")</f>
        <v>#REF!</v>
      </c>
      <c r="HN403" t="e">
        <f>AND(#REF!,"AAAAAEfn690=")</f>
        <v>#REF!</v>
      </c>
      <c r="HO403" t="e">
        <f>AND(#REF!,"AAAAAEfn694=")</f>
        <v>#REF!</v>
      </c>
      <c r="HP403" t="e">
        <f>IF(#REF!,"AAAAAEfn698=",0)</f>
        <v>#REF!</v>
      </c>
      <c r="HQ403" t="e">
        <f>AND(#REF!,"AAAAAEfn6+A=")</f>
        <v>#REF!</v>
      </c>
      <c r="HR403" t="e">
        <f>AND(#REF!,"AAAAAEfn6+E=")</f>
        <v>#REF!</v>
      </c>
      <c r="HS403" t="e">
        <f>AND(#REF!,"AAAAAEfn6+I=")</f>
        <v>#REF!</v>
      </c>
      <c r="HT403" t="e">
        <f>AND(#REF!,"AAAAAEfn6+M=")</f>
        <v>#REF!</v>
      </c>
      <c r="HU403" t="e">
        <f>AND(#REF!,"AAAAAEfn6+Q=")</f>
        <v>#REF!</v>
      </c>
      <c r="HV403" t="e">
        <f>AND(#REF!,"AAAAAEfn6+U=")</f>
        <v>#REF!</v>
      </c>
      <c r="HW403" t="e">
        <f>AND(#REF!,"AAAAAEfn6+Y=")</f>
        <v>#REF!</v>
      </c>
      <c r="HX403" t="e">
        <f>AND(#REF!,"AAAAAEfn6+c=")</f>
        <v>#REF!</v>
      </c>
      <c r="HY403" t="e">
        <f>AND(#REF!,"AAAAAEfn6+g=")</f>
        <v>#REF!</v>
      </c>
      <c r="HZ403" t="e">
        <f>AND(#REF!,"AAAAAEfn6+k=")</f>
        <v>#REF!</v>
      </c>
      <c r="IA403" t="e">
        <f>AND(#REF!,"AAAAAEfn6+o=")</f>
        <v>#REF!</v>
      </c>
      <c r="IB403" t="e">
        <f>AND(#REF!,"AAAAAEfn6+s=")</f>
        <v>#REF!</v>
      </c>
      <c r="IC403" t="e">
        <f>AND(#REF!,"AAAAAEfn6+w=")</f>
        <v>#REF!</v>
      </c>
      <c r="ID403" t="e">
        <f>AND(#REF!,"AAAAAEfn6+0=")</f>
        <v>#REF!</v>
      </c>
      <c r="IE403" t="e">
        <f>AND(#REF!,"AAAAAEfn6+4=")</f>
        <v>#REF!</v>
      </c>
      <c r="IF403" t="e">
        <f>AND(#REF!,"AAAAAEfn6+8=")</f>
        <v>#REF!</v>
      </c>
      <c r="IG403" t="e">
        <f>AND(#REF!,"AAAAAEfn6/A=")</f>
        <v>#REF!</v>
      </c>
      <c r="IH403" t="e">
        <f>AND(#REF!,"AAAAAEfn6/E=")</f>
        <v>#REF!</v>
      </c>
      <c r="II403" t="e">
        <f>AND(#REF!,"AAAAAEfn6/I=")</f>
        <v>#REF!</v>
      </c>
      <c r="IJ403" t="e">
        <f>AND(#REF!,"AAAAAEfn6/M=")</f>
        <v>#REF!</v>
      </c>
      <c r="IK403" t="e">
        <f>AND(#REF!,"AAAAAEfn6/Q=")</f>
        <v>#REF!</v>
      </c>
      <c r="IL403" t="e">
        <f>AND(#REF!,"AAAAAEfn6/U=")</f>
        <v>#REF!</v>
      </c>
      <c r="IM403" t="e">
        <f>AND(#REF!,"AAAAAEfn6/Y=")</f>
        <v>#REF!</v>
      </c>
      <c r="IN403" t="e">
        <f>AND(#REF!,"AAAAAEfn6/c=")</f>
        <v>#REF!</v>
      </c>
      <c r="IO403" t="e">
        <f>IF(#REF!,"AAAAAEfn6/g=",0)</f>
        <v>#REF!</v>
      </c>
      <c r="IP403" t="e">
        <f>AND(#REF!,"AAAAAEfn6/k=")</f>
        <v>#REF!</v>
      </c>
      <c r="IQ403" t="e">
        <f>AND(#REF!,"AAAAAEfn6/o=")</f>
        <v>#REF!</v>
      </c>
      <c r="IR403" t="e">
        <f>AND(#REF!,"AAAAAEfn6/s=")</f>
        <v>#REF!</v>
      </c>
      <c r="IS403" t="e">
        <f>AND(#REF!,"AAAAAEfn6/w=")</f>
        <v>#REF!</v>
      </c>
      <c r="IT403" t="e">
        <f>AND(#REF!,"AAAAAEfn6/0=")</f>
        <v>#REF!</v>
      </c>
      <c r="IU403" t="e">
        <f>AND(#REF!,"AAAAAEfn6/4=")</f>
        <v>#REF!</v>
      </c>
      <c r="IV403" t="e">
        <f>AND(#REF!,"AAAAAEfn6/8=")</f>
        <v>#REF!</v>
      </c>
    </row>
    <row r="404" spans="1:256">
      <c r="A404" t="e">
        <f>AND(#REF!,"AAAAAH+/5wA=")</f>
        <v>#REF!</v>
      </c>
      <c r="B404" t="e">
        <f>AND(#REF!,"AAAAAH+/5wE=")</f>
        <v>#REF!</v>
      </c>
      <c r="C404" t="e">
        <f>AND(#REF!,"AAAAAH+/5wI=")</f>
        <v>#REF!</v>
      </c>
      <c r="D404" t="e">
        <f>AND(#REF!,"AAAAAH+/5wM=")</f>
        <v>#REF!</v>
      </c>
      <c r="E404" t="e">
        <f>AND(#REF!,"AAAAAH+/5wQ=")</f>
        <v>#REF!</v>
      </c>
      <c r="F404" t="e">
        <f>AND(#REF!,"AAAAAH+/5wU=")</f>
        <v>#REF!</v>
      </c>
      <c r="G404" t="e">
        <f>AND(#REF!,"AAAAAH+/5wY=")</f>
        <v>#REF!</v>
      </c>
      <c r="H404" t="e">
        <f>AND(#REF!,"AAAAAH+/5wc=")</f>
        <v>#REF!</v>
      </c>
      <c r="I404" t="e">
        <f>AND(#REF!,"AAAAAH+/5wg=")</f>
        <v>#REF!</v>
      </c>
      <c r="J404" t="e">
        <f>AND(#REF!,"AAAAAH+/5wk=")</f>
        <v>#REF!</v>
      </c>
      <c r="K404" t="e">
        <f>AND(#REF!,"AAAAAH+/5wo=")</f>
        <v>#REF!</v>
      </c>
      <c r="L404" t="e">
        <f>AND(#REF!,"AAAAAH+/5ws=")</f>
        <v>#REF!</v>
      </c>
      <c r="M404" t="e">
        <f>AND(#REF!,"AAAAAH+/5ww=")</f>
        <v>#REF!</v>
      </c>
      <c r="N404" t="e">
        <f>AND(#REF!,"AAAAAH+/5w0=")</f>
        <v>#REF!</v>
      </c>
      <c r="O404" t="e">
        <f>AND(#REF!,"AAAAAH+/5w4=")</f>
        <v>#REF!</v>
      </c>
      <c r="P404" t="e">
        <f>AND(#REF!,"AAAAAH+/5w8=")</f>
        <v>#REF!</v>
      </c>
      <c r="Q404" t="e">
        <f>AND(#REF!,"AAAAAH+/5xA=")</f>
        <v>#REF!</v>
      </c>
      <c r="R404" t="e">
        <f>IF(#REF!,"AAAAAH+/5xE=",0)</f>
        <v>#REF!</v>
      </c>
      <c r="S404" t="e">
        <f>AND(#REF!,"AAAAAH+/5xI=")</f>
        <v>#REF!</v>
      </c>
      <c r="T404" t="e">
        <f>AND(#REF!,"AAAAAH+/5xM=")</f>
        <v>#REF!</v>
      </c>
      <c r="U404" t="e">
        <f>AND(#REF!,"AAAAAH+/5xQ=")</f>
        <v>#REF!</v>
      </c>
      <c r="V404" t="e">
        <f>AND(#REF!,"AAAAAH+/5xU=")</f>
        <v>#REF!</v>
      </c>
      <c r="W404" t="e">
        <f>AND(#REF!,"AAAAAH+/5xY=")</f>
        <v>#REF!</v>
      </c>
      <c r="X404" t="e">
        <f>AND(#REF!,"AAAAAH+/5xc=")</f>
        <v>#REF!</v>
      </c>
      <c r="Y404" t="e">
        <f>AND(#REF!,"AAAAAH+/5xg=")</f>
        <v>#REF!</v>
      </c>
      <c r="Z404" t="e">
        <f>AND(#REF!,"AAAAAH+/5xk=")</f>
        <v>#REF!</v>
      </c>
      <c r="AA404" t="e">
        <f>AND(#REF!,"AAAAAH+/5xo=")</f>
        <v>#REF!</v>
      </c>
      <c r="AB404" t="e">
        <f>AND(#REF!,"AAAAAH+/5xs=")</f>
        <v>#REF!</v>
      </c>
      <c r="AC404" t="e">
        <f>AND(#REF!,"AAAAAH+/5xw=")</f>
        <v>#REF!</v>
      </c>
      <c r="AD404" t="e">
        <f>AND(#REF!,"AAAAAH+/5x0=")</f>
        <v>#REF!</v>
      </c>
      <c r="AE404" t="e">
        <f>AND(#REF!,"AAAAAH+/5x4=")</f>
        <v>#REF!</v>
      </c>
      <c r="AF404" t="e">
        <f>AND(#REF!,"AAAAAH+/5x8=")</f>
        <v>#REF!</v>
      </c>
      <c r="AG404" t="e">
        <f>AND(#REF!,"AAAAAH+/5yA=")</f>
        <v>#REF!</v>
      </c>
      <c r="AH404" t="e">
        <f>AND(#REF!,"AAAAAH+/5yE=")</f>
        <v>#REF!</v>
      </c>
      <c r="AI404" t="e">
        <f>AND(#REF!,"AAAAAH+/5yI=")</f>
        <v>#REF!</v>
      </c>
      <c r="AJ404" t="e">
        <f>AND(#REF!,"AAAAAH+/5yM=")</f>
        <v>#REF!</v>
      </c>
      <c r="AK404" t="e">
        <f>AND(#REF!,"AAAAAH+/5yQ=")</f>
        <v>#REF!</v>
      </c>
      <c r="AL404" t="e">
        <f>AND(#REF!,"AAAAAH+/5yU=")</f>
        <v>#REF!</v>
      </c>
      <c r="AM404" t="e">
        <f>AND(#REF!,"AAAAAH+/5yY=")</f>
        <v>#REF!</v>
      </c>
      <c r="AN404" t="e">
        <f>AND(#REF!,"AAAAAH+/5yc=")</f>
        <v>#REF!</v>
      </c>
      <c r="AO404" t="e">
        <f>AND(#REF!,"AAAAAH+/5yg=")</f>
        <v>#REF!</v>
      </c>
      <c r="AP404" t="e">
        <f>AND(#REF!,"AAAAAH+/5yk=")</f>
        <v>#REF!</v>
      </c>
      <c r="AQ404" t="e">
        <f>IF(#REF!,"AAAAAH+/5yo=",0)</f>
        <v>#REF!</v>
      </c>
      <c r="AR404" t="e">
        <f>AND(#REF!,"AAAAAH+/5ys=")</f>
        <v>#REF!</v>
      </c>
      <c r="AS404" t="e">
        <f>AND(#REF!,"AAAAAH+/5yw=")</f>
        <v>#REF!</v>
      </c>
      <c r="AT404" t="e">
        <f>AND(#REF!,"AAAAAH+/5y0=")</f>
        <v>#REF!</v>
      </c>
      <c r="AU404" t="e">
        <f>AND(#REF!,"AAAAAH+/5y4=")</f>
        <v>#REF!</v>
      </c>
      <c r="AV404" t="e">
        <f>AND(#REF!,"AAAAAH+/5y8=")</f>
        <v>#REF!</v>
      </c>
      <c r="AW404" t="e">
        <f>AND(#REF!,"AAAAAH+/5zA=")</f>
        <v>#REF!</v>
      </c>
      <c r="AX404" t="e">
        <f>AND(#REF!,"AAAAAH+/5zE=")</f>
        <v>#REF!</v>
      </c>
      <c r="AY404" t="e">
        <f>AND(#REF!,"AAAAAH+/5zI=")</f>
        <v>#REF!</v>
      </c>
      <c r="AZ404" t="e">
        <f>AND(#REF!,"AAAAAH+/5zM=")</f>
        <v>#REF!</v>
      </c>
      <c r="BA404" t="e">
        <f>AND(#REF!,"AAAAAH+/5zQ=")</f>
        <v>#REF!</v>
      </c>
      <c r="BB404" t="e">
        <f>AND(#REF!,"AAAAAH+/5zU=")</f>
        <v>#REF!</v>
      </c>
      <c r="BC404" t="e">
        <f>AND(#REF!,"AAAAAH+/5zY=")</f>
        <v>#REF!</v>
      </c>
      <c r="BD404" t="e">
        <f>AND(#REF!,"AAAAAH+/5zc=")</f>
        <v>#REF!</v>
      </c>
      <c r="BE404" t="e">
        <f>AND(#REF!,"AAAAAH+/5zg=")</f>
        <v>#REF!</v>
      </c>
      <c r="BF404" t="e">
        <f>AND(#REF!,"AAAAAH+/5zk=")</f>
        <v>#REF!</v>
      </c>
      <c r="BG404" t="e">
        <f>AND(#REF!,"AAAAAH+/5zo=")</f>
        <v>#REF!</v>
      </c>
      <c r="BH404" t="e">
        <f>AND(#REF!,"AAAAAH+/5zs=")</f>
        <v>#REF!</v>
      </c>
      <c r="BI404" t="e">
        <f>AND(#REF!,"AAAAAH+/5zw=")</f>
        <v>#REF!</v>
      </c>
      <c r="BJ404" t="e">
        <f>AND(#REF!,"AAAAAH+/5z0=")</f>
        <v>#REF!</v>
      </c>
      <c r="BK404" t="e">
        <f>AND(#REF!,"AAAAAH+/5z4=")</f>
        <v>#REF!</v>
      </c>
      <c r="BL404" t="e">
        <f>AND(#REF!,"AAAAAH+/5z8=")</f>
        <v>#REF!</v>
      </c>
      <c r="BM404" t="e">
        <f>AND(#REF!,"AAAAAH+/50A=")</f>
        <v>#REF!</v>
      </c>
      <c r="BN404" t="e">
        <f>AND(#REF!,"AAAAAH+/50E=")</f>
        <v>#REF!</v>
      </c>
      <c r="BO404" t="e">
        <f>AND(#REF!,"AAAAAH+/50I=")</f>
        <v>#REF!</v>
      </c>
      <c r="BP404" t="e">
        <f>IF(#REF!,"AAAAAH+/50M=",0)</f>
        <v>#REF!</v>
      </c>
      <c r="BQ404" t="e">
        <f>AND(#REF!,"AAAAAH+/50Q=")</f>
        <v>#REF!</v>
      </c>
      <c r="BR404" t="e">
        <f>AND(#REF!,"AAAAAH+/50U=")</f>
        <v>#REF!</v>
      </c>
      <c r="BS404" t="e">
        <f>AND(#REF!,"AAAAAH+/50Y=")</f>
        <v>#REF!</v>
      </c>
      <c r="BT404" t="e">
        <f>AND(#REF!,"AAAAAH+/50c=")</f>
        <v>#REF!</v>
      </c>
      <c r="BU404" t="e">
        <f>AND(#REF!,"AAAAAH+/50g=")</f>
        <v>#REF!</v>
      </c>
      <c r="BV404" t="e">
        <f>AND(#REF!,"AAAAAH+/50k=")</f>
        <v>#REF!</v>
      </c>
      <c r="BW404" t="e">
        <f>AND(#REF!,"AAAAAH+/50o=")</f>
        <v>#REF!</v>
      </c>
      <c r="BX404" t="e">
        <f>AND(#REF!,"AAAAAH+/50s=")</f>
        <v>#REF!</v>
      </c>
      <c r="BY404" t="e">
        <f>AND(#REF!,"AAAAAH+/50w=")</f>
        <v>#REF!</v>
      </c>
      <c r="BZ404" t="e">
        <f>AND(#REF!,"AAAAAH+/500=")</f>
        <v>#REF!</v>
      </c>
      <c r="CA404" t="e">
        <f>AND(#REF!,"AAAAAH+/504=")</f>
        <v>#REF!</v>
      </c>
      <c r="CB404" t="e">
        <f>AND(#REF!,"AAAAAH+/508=")</f>
        <v>#REF!</v>
      </c>
      <c r="CC404" t="e">
        <f>AND(#REF!,"AAAAAH+/51A=")</f>
        <v>#REF!</v>
      </c>
      <c r="CD404" t="e">
        <f>AND(#REF!,"AAAAAH+/51E=")</f>
        <v>#REF!</v>
      </c>
      <c r="CE404" t="e">
        <f>AND(#REF!,"AAAAAH+/51I=")</f>
        <v>#REF!</v>
      </c>
      <c r="CF404" t="e">
        <f>AND(#REF!,"AAAAAH+/51M=")</f>
        <v>#REF!</v>
      </c>
      <c r="CG404" t="e">
        <f>AND(#REF!,"AAAAAH+/51Q=")</f>
        <v>#REF!</v>
      </c>
      <c r="CH404" t="e">
        <f>AND(#REF!,"AAAAAH+/51U=")</f>
        <v>#REF!</v>
      </c>
      <c r="CI404" t="e">
        <f>AND(#REF!,"AAAAAH+/51Y=")</f>
        <v>#REF!</v>
      </c>
      <c r="CJ404" t="e">
        <f>AND(#REF!,"AAAAAH+/51c=")</f>
        <v>#REF!</v>
      </c>
      <c r="CK404" t="e">
        <f>AND(#REF!,"AAAAAH+/51g=")</f>
        <v>#REF!</v>
      </c>
      <c r="CL404" t="e">
        <f>AND(#REF!,"AAAAAH+/51k=")</f>
        <v>#REF!</v>
      </c>
      <c r="CM404" t="e">
        <f>AND(#REF!,"AAAAAH+/51o=")</f>
        <v>#REF!</v>
      </c>
      <c r="CN404" t="e">
        <f>AND(#REF!,"AAAAAH+/51s=")</f>
        <v>#REF!</v>
      </c>
      <c r="CO404" t="e">
        <f>IF(#REF!,"AAAAAH+/51w=",0)</f>
        <v>#REF!</v>
      </c>
      <c r="CP404" t="e">
        <f>AND(#REF!,"AAAAAH+/510=")</f>
        <v>#REF!</v>
      </c>
      <c r="CQ404" t="e">
        <f>AND(#REF!,"AAAAAH+/514=")</f>
        <v>#REF!</v>
      </c>
      <c r="CR404" t="e">
        <f>AND(#REF!,"AAAAAH+/518=")</f>
        <v>#REF!</v>
      </c>
      <c r="CS404" t="e">
        <f>AND(#REF!,"AAAAAH+/52A=")</f>
        <v>#REF!</v>
      </c>
      <c r="CT404" t="e">
        <f>AND(#REF!,"AAAAAH+/52E=")</f>
        <v>#REF!</v>
      </c>
      <c r="CU404" t="e">
        <f>AND(#REF!,"AAAAAH+/52I=")</f>
        <v>#REF!</v>
      </c>
      <c r="CV404" t="e">
        <f>AND(#REF!,"AAAAAH+/52M=")</f>
        <v>#REF!</v>
      </c>
      <c r="CW404" t="e">
        <f>AND(#REF!,"AAAAAH+/52Q=")</f>
        <v>#REF!</v>
      </c>
      <c r="CX404" t="e">
        <f>AND(#REF!,"AAAAAH+/52U=")</f>
        <v>#REF!</v>
      </c>
      <c r="CY404" t="e">
        <f>AND(#REF!,"AAAAAH+/52Y=")</f>
        <v>#REF!</v>
      </c>
      <c r="CZ404" t="e">
        <f>AND(#REF!,"AAAAAH+/52c=")</f>
        <v>#REF!</v>
      </c>
      <c r="DA404" t="e">
        <f>AND(#REF!,"AAAAAH+/52g=")</f>
        <v>#REF!</v>
      </c>
      <c r="DB404" t="e">
        <f>AND(#REF!,"AAAAAH+/52k=")</f>
        <v>#REF!</v>
      </c>
      <c r="DC404" t="e">
        <f>AND(#REF!,"AAAAAH+/52o=")</f>
        <v>#REF!</v>
      </c>
      <c r="DD404" t="e">
        <f>AND(#REF!,"AAAAAH+/52s=")</f>
        <v>#REF!</v>
      </c>
      <c r="DE404" t="e">
        <f>AND(#REF!,"AAAAAH+/52w=")</f>
        <v>#REF!</v>
      </c>
      <c r="DF404" t="e">
        <f>AND(#REF!,"AAAAAH+/520=")</f>
        <v>#REF!</v>
      </c>
      <c r="DG404" t="e">
        <f>AND(#REF!,"AAAAAH+/524=")</f>
        <v>#REF!</v>
      </c>
      <c r="DH404" t="e">
        <f>AND(#REF!,"AAAAAH+/528=")</f>
        <v>#REF!</v>
      </c>
      <c r="DI404" t="e">
        <f>AND(#REF!,"AAAAAH+/53A=")</f>
        <v>#REF!</v>
      </c>
      <c r="DJ404" t="e">
        <f>AND(#REF!,"AAAAAH+/53E=")</f>
        <v>#REF!</v>
      </c>
      <c r="DK404" t="e">
        <f>AND(#REF!,"AAAAAH+/53I=")</f>
        <v>#REF!</v>
      </c>
      <c r="DL404" t="e">
        <f>AND(#REF!,"AAAAAH+/53M=")</f>
        <v>#REF!</v>
      </c>
      <c r="DM404" t="e">
        <f>AND(#REF!,"AAAAAH+/53Q=")</f>
        <v>#REF!</v>
      </c>
      <c r="DN404" t="e">
        <f>IF(#REF!,"AAAAAH+/53U=",0)</f>
        <v>#REF!</v>
      </c>
      <c r="DO404" t="e">
        <f>AND(#REF!,"AAAAAH+/53Y=")</f>
        <v>#REF!</v>
      </c>
      <c r="DP404" t="e">
        <f>AND(#REF!,"AAAAAH+/53c=")</f>
        <v>#REF!</v>
      </c>
      <c r="DQ404" t="e">
        <f>AND(#REF!,"AAAAAH+/53g=")</f>
        <v>#REF!</v>
      </c>
      <c r="DR404" t="e">
        <f>AND(#REF!,"AAAAAH+/53k=")</f>
        <v>#REF!</v>
      </c>
      <c r="DS404" t="e">
        <f>AND(#REF!,"AAAAAH+/53o=")</f>
        <v>#REF!</v>
      </c>
      <c r="DT404" t="e">
        <f>AND(#REF!,"AAAAAH+/53s=")</f>
        <v>#REF!</v>
      </c>
      <c r="DU404" t="e">
        <f>AND(#REF!,"AAAAAH+/53w=")</f>
        <v>#REF!</v>
      </c>
      <c r="DV404" t="e">
        <f>AND(#REF!,"AAAAAH+/530=")</f>
        <v>#REF!</v>
      </c>
      <c r="DW404" t="e">
        <f>AND(#REF!,"AAAAAH+/534=")</f>
        <v>#REF!</v>
      </c>
      <c r="DX404" t="e">
        <f>AND(#REF!,"AAAAAH+/538=")</f>
        <v>#REF!</v>
      </c>
      <c r="DY404" t="e">
        <f>AND(#REF!,"AAAAAH+/54A=")</f>
        <v>#REF!</v>
      </c>
      <c r="DZ404" t="e">
        <f>AND(#REF!,"AAAAAH+/54E=")</f>
        <v>#REF!</v>
      </c>
      <c r="EA404" t="e">
        <f>AND(#REF!,"AAAAAH+/54I=")</f>
        <v>#REF!</v>
      </c>
      <c r="EB404" t="e">
        <f>AND(#REF!,"AAAAAH+/54M=")</f>
        <v>#REF!</v>
      </c>
      <c r="EC404" t="e">
        <f>AND(#REF!,"AAAAAH+/54Q=")</f>
        <v>#REF!</v>
      </c>
      <c r="ED404" t="e">
        <f>AND(#REF!,"AAAAAH+/54U=")</f>
        <v>#REF!</v>
      </c>
      <c r="EE404" t="e">
        <f>AND(#REF!,"AAAAAH+/54Y=")</f>
        <v>#REF!</v>
      </c>
      <c r="EF404" t="e">
        <f>AND(#REF!,"AAAAAH+/54c=")</f>
        <v>#REF!</v>
      </c>
      <c r="EG404" t="e">
        <f>AND(#REF!,"AAAAAH+/54g=")</f>
        <v>#REF!</v>
      </c>
      <c r="EH404" t="e">
        <f>AND(#REF!,"AAAAAH+/54k=")</f>
        <v>#REF!</v>
      </c>
      <c r="EI404" t="e">
        <f>AND(#REF!,"AAAAAH+/54o=")</f>
        <v>#REF!</v>
      </c>
      <c r="EJ404" t="e">
        <f>AND(#REF!,"AAAAAH+/54s=")</f>
        <v>#REF!</v>
      </c>
      <c r="EK404" t="e">
        <f>AND(#REF!,"AAAAAH+/54w=")</f>
        <v>#REF!</v>
      </c>
      <c r="EL404" t="e">
        <f>AND(#REF!,"AAAAAH+/540=")</f>
        <v>#REF!</v>
      </c>
      <c r="EM404" t="e">
        <f>IF(#REF!,"AAAAAH+/544=",0)</f>
        <v>#REF!</v>
      </c>
      <c r="EN404" t="e">
        <f>AND(#REF!,"AAAAAH+/548=")</f>
        <v>#REF!</v>
      </c>
      <c r="EO404" t="e">
        <f>AND(#REF!,"AAAAAH+/55A=")</f>
        <v>#REF!</v>
      </c>
      <c r="EP404" t="e">
        <f>AND(#REF!,"AAAAAH+/55E=")</f>
        <v>#REF!</v>
      </c>
      <c r="EQ404" t="e">
        <f>AND(#REF!,"AAAAAH+/55I=")</f>
        <v>#REF!</v>
      </c>
      <c r="ER404" t="e">
        <f>AND(#REF!,"AAAAAH+/55M=")</f>
        <v>#REF!</v>
      </c>
      <c r="ES404" t="e">
        <f>AND(#REF!,"AAAAAH+/55Q=")</f>
        <v>#REF!</v>
      </c>
      <c r="ET404" t="e">
        <f>AND(#REF!,"AAAAAH+/55U=")</f>
        <v>#REF!</v>
      </c>
      <c r="EU404" t="e">
        <f>AND(#REF!,"AAAAAH+/55Y=")</f>
        <v>#REF!</v>
      </c>
      <c r="EV404" t="e">
        <f>AND(#REF!,"AAAAAH+/55c=")</f>
        <v>#REF!</v>
      </c>
      <c r="EW404" t="e">
        <f>AND(#REF!,"AAAAAH+/55g=")</f>
        <v>#REF!</v>
      </c>
      <c r="EX404" t="e">
        <f>AND(#REF!,"AAAAAH+/55k=")</f>
        <v>#REF!</v>
      </c>
      <c r="EY404" t="e">
        <f>AND(#REF!,"AAAAAH+/55o=")</f>
        <v>#REF!</v>
      </c>
      <c r="EZ404" t="e">
        <f>AND(#REF!,"AAAAAH+/55s=")</f>
        <v>#REF!</v>
      </c>
      <c r="FA404" t="e">
        <f>AND(#REF!,"AAAAAH+/55w=")</f>
        <v>#REF!</v>
      </c>
      <c r="FB404" t="e">
        <f>AND(#REF!,"AAAAAH+/550=")</f>
        <v>#REF!</v>
      </c>
      <c r="FC404" t="e">
        <f>AND(#REF!,"AAAAAH+/554=")</f>
        <v>#REF!</v>
      </c>
      <c r="FD404" t="e">
        <f>AND(#REF!,"AAAAAH+/558=")</f>
        <v>#REF!</v>
      </c>
      <c r="FE404" t="e">
        <f>AND(#REF!,"AAAAAH+/56A=")</f>
        <v>#REF!</v>
      </c>
      <c r="FF404" t="e">
        <f>AND(#REF!,"AAAAAH+/56E=")</f>
        <v>#REF!</v>
      </c>
      <c r="FG404" t="e">
        <f>AND(#REF!,"AAAAAH+/56I=")</f>
        <v>#REF!</v>
      </c>
      <c r="FH404" t="e">
        <f>AND(#REF!,"AAAAAH+/56M=")</f>
        <v>#REF!</v>
      </c>
      <c r="FI404" t="e">
        <f>AND(#REF!,"AAAAAH+/56Q=")</f>
        <v>#REF!</v>
      </c>
      <c r="FJ404" t="e">
        <f>AND(#REF!,"AAAAAH+/56U=")</f>
        <v>#REF!</v>
      </c>
      <c r="FK404" t="e">
        <f>AND(#REF!,"AAAAAH+/56Y=")</f>
        <v>#REF!</v>
      </c>
      <c r="FL404" t="e">
        <f>IF(#REF!,"AAAAAH+/56c=",0)</f>
        <v>#REF!</v>
      </c>
      <c r="FM404" t="e">
        <f>AND(#REF!,"AAAAAH+/56g=")</f>
        <v>#REF!</v>
      </c>
      <c r="FN404" t="e">
        <f>AND(#REF!,"AAAAAH+/56k=")</f>
        <v>#REF!</v>
      </c>
      <c r="FO404" t="e">
        <f>AND(#REF!,"AAAAAH+/56o=")</f>
        <v>#REF!</v>
      </c>
      <c r="FP404" t="e">
        <f>AND(#REF!,"AAAAAH+/56s=")</f>
        <v>#REF!</v>
      </c>
      <c r="FQ404" t="e">
        <f>AND(#REF!,"AAAAAH+/56w=")</f>
        <v>#REF!</v>
      </c>
      <c r="FR404" t="e">
        <f>AND(#REF!,"AAAAAH+/560=")</f>
        <v>#REF!</v>
      </c>
      <c r="FS404" t="e">
        <f>AND(#REF!,"AAAAAH+/564=")</f>
        <v>#REF!</v>
      </c>
      <c r="FT404" t="e">
        <f>AND(#REF!,"AAAAAH+/568=")</f>
        <v>#REF!</v>
      </c>
      <c r="FU404" t="e">
        <f>AND(#REF!,"AAAAAH+/57A=")</f>
        <v>#REF!</v>
      </c>
      <c r="FV404" t="e">
        <f>AND(#REF!,"AAAAAH+/57E=")</f>
        <v>#REF!</v>
      </c>
      <c r="FW404" t="e">
        <f>AND(#REF!,"AAAAAH+/57I=")</f>
        <v>#REF!</v>
      </c>
      <c r="FX404" t="e">
        <f>AND(#REF!,"AAAAAH+/57M=")</f>
        <v>#REF!</v>
      </c>
      <c r="FY404" t="e">
        <f>AND(#REF!,"AAAAAH+/57Q=")</f>
        <v>#REF!</v>
      </c>
      <c r="FZ404" t="e">
        <f>AND(#REF!,"AAAAAH+/57U=")</f>
        <v>#REF!</v>
      </c>
      <c r="GA404" t="e">
        <f>AND(#REF!,"AAAAAH+/57Y=")</f>
        <v>#REF!</v>
      </c>
      <c r="GB404" t="e">
        <f>AND(#REF!,"AAAAAH+/57c=")</f>
        <v>#REF!</v>
      </c>
      <c r="GC404" t="e">
        <f>AND(#REF!,"AAAAAH+/57g=")</f>
        <v>#REF!</v>
      </c>
      <c r="GD404" t="e">
        <f>AND(#REF!,"AAAAAH+/57k=")</f>
        <v>#REF!</v>
      </c>
      <c r="GE404" t="e">
        <f>AND(#REF!,"AAAAAH+/57o=")</f>
        <v>#REF!</v>
      </c>
      <c r="GF404" t="e">
        <f>AND(#REF!,"AAAAAH+/57s=")</f>
        <v>#REF!</v>
      </c>
      <c r="GG404" t="e">
        <f>AND(#REF!,"AAAAAH+/57w=")</f>
        <v>#REF!</v>
      </c>
      <c r="GH404" t="e">
        <f>AND(#REF!,"AAAAAH+/570=")</f>
        <v>#REF!</v>
      </c>
      <c r="GI404" t="e">
        <f>AND(#REF!,"AAAAAH+/574=")</f>
        <v>#REF!</v>
      </c>
      <c r="GJ404" t="e">
        <f>AND(#REF!,"AAAAAH+/578=")</f>
        <v>#REF!</v>
      </c>
      <c r="GK404" t="e">
        <f>IF(#REF!,"AAAAAH+/58A=",0)</f>
        <v>#REF!</v>
      </c>
      <c r="GL404" t="e">
        <f>AND(#REF!,"AAAAAH+/58E=")</f>
        <v>#REF!</v>
      </c>
      <c r="GM404" t="e">
        <f>AND(#REF!,"AAAAAH+/58I=")</f>
        <v>#REF!</v>
      </c>
      <c r="GN404" t="e">
        <f>AND(#REF!,"AAAAAH+/58M=")</f>
        <v>#REF!</v>
      </c>
      <c r="GO404" t="e">
        <f>AND(#REF!,"AAAAAH+/58Q=")</f>
        <v>#REF!</v>
      </c>
      <c r="GP404" t="e">
        <f>AND(#REF!,"AAAAAH+/58U=")</f>
        <v>#REF!</v>
      </c>
      <c r="GQ404" t="e">
        <f>AND(#REF!,"AAAAAH+/58Y=")</f>
        <v>#REF!</v>
      </c>
      <c r="GR404" t="e">
        <f>AND(#REF!,"AAAAAH+/58c=")</f>
        <v>#REF!</v>
      </c>
      <c r="GS404" t="e">
        <f>AND(#REF!,"AAAAAH+/58g=")</f>
        <v>#REF!</v>
      </c>
      <c r="GT404" t="e">
        <f>AND(#REF!,"AAAAAH+/58k=")</f>
        <v>#REF!</v>
      </c>
      <c r="GU404" t="e">
        <f>AND(#REF!,"AAAAAH+/58o=")</f>
        <v>#REF!</v>
      </c>
      <c r="GV404" t="e">
        <f>AND(#REF!,"AAAAAH+/58s=")</f>
        <v>#REF!</v>
      </c>
      <c r="GW404" t="e">
        <f>AND(#REF!,"AAAAAH+/58w=")</f>
        <v>#REF!</v>
      </c>
      <c r="GX404" t="e">
        <f>AND(#REF!,"AAAAAH+/580=")</f>
        <v>#REF!</v>
      </c>
      <c r="GY404" t="e">
        <f>AND(#REF!,"AAAAAH+/584=")</f>
        <v>#REF!</v>
      </c>
      <c r="GZ404" t="e">
        <f>AND(#REF!,"AAAAAH+/588=")</f>
        <v>#REF!</v>
      </c>
      <c r="HA404" t="e">
        <f>AND(#REF!,"AAAAAH+/59A=")</f>
        <v>#REF!</v>
      </c>
      <c r="HB404" t="e">
        <f>AND(#REF!,"AAAAAH+/59E=")</f>
        <v>#REF!</v>
      </c>
      <c r="HC404" t="e">
        <f>AND(#REF!,"AAAAAH+/59I=")</f>
        <v>#REF!</v>
      </c>
      <c r="HD404" t="e">
        <f>AND(#REF!,"AAAAAH+/59M=")</f>
        <v>#REF!</v>
      </c>
      <c r="HE404" t="e">
        <f>AND(#REF!,"AAAAAH+/59Q=")</f>
        <v>#REF!</v>
      </c>
      <c r="HF404" t="e">
        <f>AND(#REF!,"AAAAAH+/59U=")</f>
        <v>#REF!</v>
      </c>
      <c r="HG404" t="e">
        <f>AND(#REF!,"AAAAAH+/59Y=")</f>
        <v>#REF!</v>
      </c>
      <c r="HH404" t="e">
        <f>AND(#REF!,"AAAAAH+/59c=")</f>
        <v>#REF!</v>
      </c>
      <c r="HI404" t="e">
        <f>AND(#REF!,"AAAAAH+/59g=")</f>
        <v>#REF!</v>
      </c>
      <c r="HJ404" t="e">
        <f>IF(#REF!,"AAAAAH+/59k=",0)</f>
        <v>#REF!</v>
      </c>
      <c r="HK404" t="e">
        <f>AND(#REF!,"AAAAAH+/59o=")</f>
        <v>#REF!</v>
      </c>
      <c r="HL404" t="e">
        <f>AND(#REF!,"AAAAAH+/59s=")</f>
        <v>#REF!</v>
      </c>
      <c r="HM404" t="e">
        <f>AND(#REF!,"AAAAAH+/59w=")</f>
        <v>#REF!</v>
      </c>
      <c r="HN404" t="e">
        <f>AND(#REF!,"AAAAAH+/590=")</f>
        <v>#REF!</v>
      </c>
      <c r="HO404" t="e">
        <f>AND(#REF!,"AAAAAH+/594=")</f>
        <v>#REF!</v>
      </c>
      <c r="HP404" t="e">
        <f>AND(#REF!,"AAAAAH+/598=")</f>
        <v>#REF!</v>
      </c>
      <c r="HQ404" t="e">
        <f>AND(#REF!,"AAAAAH+/5+A=")</f>
        <v>#REF!</v>
      </c>
      <c r="HR404" t="e">
        <f>AND(#REF!,"AAAAAH+/5+E=")</f>
        <v>#REF!</v>
      </c>
      <c r="HS404" t="e">
        <f>AND(#REF!,"AAAAAH+/5+I=")</f>
        <v>#REF!</v>
      </c>
      <c r="HT404" t="e">
        <f>AND(#REF!,"AAAAAH+/5+M=")</f>
        <v>#REF!</v>
      </c>
      <c r="HU404" t="e">
        <f>AND(#REF!,"AAAAAH+/5+Q=")</f>
        <v>#REF!</v>
      </c>
      <c r="HV404" t="e">
        <f>AND(#REF!,"AAAAAH+/5+U=")</f>
        <v>#REF!</v>
      </c>
      <c r="HW404" t="e">
        <f>AND(#REF!,"AAAAAH+/5+Y=")</f>
        <v>#REF!</v>
      </c>
      <c r="HX404" t="e">
        <f>AND(#REF!,"AAAAAH+/5+c=")</f>
        <v>#REF!</v>
      </c>
      <c r="HY404" t="e">
        <f>AND(#REF!,"AAAAAH+/5+g=")</f>
        <v>#REF!</v>
      </c>
      <c r="HZ404" t="e">
        <f>AND(#REF!,"AAAAAH+/5+k=")</f>
        <v>#REF!</v>
      </c>
      <c r="IA404" t="e">
        <f>AND(#REF!,"AAAAAH+/5+o=")</f>
        <v>#REF!</v>
      </c>
      <c r="IB404" t="e">
        <f>AND(#REF!,"AAAAAH+/5+s=")</f>
        <v>#REF!</v>
      </c>
      <c r="IC404" t="e">
        <f>AND(#REF!,"AAAAAH+/5+w=")</f>
        <v>#REF!</v>
      </c>
      <c r="ID404" t="e">
        <f>AND(#REF!,"AAAAAH+/5+0=")</f>
        <v>#REF!</v>
      </c>
      <c r="IE404" t="e">
        <f>AND(#REF!,"AAAAAH+/5+4=")</f>
        <v>#REF!</v>
      </c>
      <c r="IF404" t="e">
        <f>AND(#REF!,"AAAAAH+/5+8=")</f>
        <v>#REF!</v>
      </c>
      <c r="IG404" t="e">
        <f>AND(#REF!,"AAAAAH+/5/A=")</f>
        <v>#REF!</v>
      </c>
      <c r="IH404" t="e">
        <f>AND(#REF!,"AAAAAH+/5/E=")</f>
        <v>#REF!</v>
      </c>
      <c r="II404" t="e">
        <f>IF(#REF!,"AAAAAH+/5/I=",0)</f>
        <v>#REF!</v>
      </c>
      <c r="IJ404" t="e">
        <f>AND(#REF!,"AAAAAH+/5/M=")</f>
        <v>#REF!</v>
      </c>
      <c r="IK404" t="e">
        <f>AND(#REF!,"AAAAAH+/5/Q=")</f>
        <v>#REF!</v>
      </c>
      <c r="IL404" t="e">
        <f>AND(#REF!,"AAAAAH+/5/U=")</f>
        <v>#REF!</v>
      </c>
      <c r="IM404" t="e">
        <f>AND(#REF!,"AAAAAH+/5/Y=")</f>
        <v>#REF!</v>
      </c>
      <c r="IN404" t="e">
        <f>AND(#REF!,"AAAAAH+/5/c=")</f>
        <v>#REF!</v>
      </c>
      <c r="IO404" t="e">
        <f>AND(#REF!,"AAAAAH+/5/g=")</f>
        <v>#REF!</v>
      </c>
      <c r="IP404" t="e">
        <f>AND(#REF!,"AAAAAH+/5/k=")</f>
        <v>#REF!</v>
      </c>
      <c r="IQ404" t="e">
        <f>AND(#REF!,"AAAAAH+/5/o=")</f>
        <v>#REF!</v>
      </c>
      <c r="IR404" t="e">
        <f>AND(#REF!,"AAAAAH+/5/s=")</f>
        <v>#REF!</v>
      </c>
      <c r="IS404" t="e">
        <f>AND(#REF!,"AAAAAH+/5/w=")</f>
        <v>#REF!</v>
      </c>
      <c r="IT404" t="e">
        <f>AND(#REF!,"AAAAAH+/5/0=")</f>
        <v>#REF!</v>
      </c>
      <c r="IU404" t="e">
        <f>AND(#REF!,"AAAAAH+/5/4=")</f>
        <v>#REF!</v>
      </c>
      <c r="IV404" t="e">
        <f>AND(#REF!,"AAAAAH+/5/8=")</f>
        <v>#REF!</v>
      </c>
    </row>
    <row r="405" spans="1:256">
      <c r="A405" t="e">
        <f>AND(#REF!,"AAAAAH9dfQA=")</f>
        <v>#REF!</v>
      </c>
      <c r="B405" t="e">
        <f>AND(#REF!,"AAAAAH9dfQE=")</f>
        <v>#REF!</v>
      </c>
      <c r="C405" t="e">
        <f>AND(#REF!,"AAAAAH9dfQI=")</f>
        <v>#REF!</v>
      </c>
      <c r="D405" t="e">
        <f>AND(#REF!,"AAAAAH9dfQM=")</f>
        <v>#REF!</v>
      </c>
      <c r="E405" t="e">
        <f>AND(#REF!,"AAAAAH9dfQQ=")</f>
        <v>#REF!</v>
      </c>
      <c r="F405" t="e">
        <f>AND(#REF!,"AAAAAH9dfQU=")</f>
        <v>#REF!</v>
      </c>
      <c r="G405" t="e">
        <f>AND(#REF!,"AAAAAH9dfQY=")</f>
        <v>#REF!</v>
      </c>
      <c r="H405" t="e">
        <f>AND(#REF!,"AAAAAH9dfQc=")</f>
        <v>#REF!</v>
      </c>
      <c r="I405" t="e">
        <f>AND(#REF!,"AAAAAH9dfQg=")</f>
        <v>#REF!</v>
      </c>
      <c r="J405" t="e">
        <f>AND(#REF!,"AAAAAH9dfQk=")</f>
        <v>#REF!</v>
      </c>
      <c r="K405" t="e">
        <f>AND(#REF!,"AAAAAH9dfQo=")</f>
        <v>#REF!</v>
      </c>
      <c r="L405" t="e">
        <f>IF(#REF!,"AAAAAH9dfQs=",0)</f>
        <v>#REF!</v>
      </c>
      <c r="M405" t="e">
        <f>AND(#REF!,"AAAAAH9dfQw=")</f>
        <v>#REF!</v>
      </c>
      <c r="N405" t="e">
        <f>AND(#REF!,"AAAAAH9dfQ0=")</f>
        <v>#REF!</v>
      </c>
      <c r="O405" t="e">
        <f>AND(#REF!,"AAAAAH9dfQ4=")</f>
        <v>#REF!</v>
      </c>
      <c r="P405" t="e">
        <f>AND(#REF!,"AAAAAH9dfQ8=")</f>
        <v>#REF!</v>
      </c>
      <c r="Q405" t="e">
        <f>AND(#REF!,"AAAAAH9dfRA=")</f>
        <v>#REF!</v>
      </c>
      <c r="R405" t="e">
        <f>AND(#REF!,"AAAAAH9dfRE=")</f>
        <v>#REF!</v>
      </c>
      <c r="S405" t="e">
        <f>AND(#REF!,"AAAAAH9dfRI=")</f>
        <v>#REF!</v>
      </c>
      <c r="T405" t="e">
        <f>AND(#REF!,"AAAAAH9dfRM=")</f>
        <v>#REF!</v>
      </c>
      <c r="U405" t="e">
        <f>AND(#REF!,"AAAAAH9dfRQ=")</f>
        <v>#REF!</v>
      </c>
      <c r="V405" t="e">
        <f>AND(#REF!,"AAAAAH9dfRU=")</f>
        <v>#REF!</v>
      </c>
      <c r="W405" t="e">
        <f>AND(#REF!,"AAAAAH9dfRY=")</f>
        <v>#REF!</v>
      </c>
      <c r="X405" t="e">
        <f>AND(#REF!,"AAAAAH9dfRc=")</f>
        <v>#REF!</v>
      </c>
      <c r="Y405" t="e">
        <f>AND(#REF!,"AAAAAH9dfRg=")</f>
        <v>#REF!</v>
      </c>
      <c r="Z405" t="e">
        <f>AND(#REF!,"AAAAAH9dfRk=")</f>
        <v>#REF!</v>
      </c>
      <c r="AA405" t="e">
        <f>AND(#REF!,"AAAAAH9dfRo=")</f>
        <v>#REF!</v>
      </c>
      <c r="AB405" t="e">
        <f>AND(#REF!,"AAAAAH9dfRs=")</f>
        <v>#REF!</v>
      </c>
      <c r="AC405" t="e">
        <f>AND(#REF!,"AAAAAH9dfRw=")</f>
        <v>#REF!</v>
      </c>
      <c r="AD405" t="e">
        <f>AND(#REF!,"AAAAAH9dfR0=")</f>
        <v>#REF!</v>
      </c>
      <c r="AE405" t="e">
        <f>AND(#REF!,"AAAAAH9dfR4=")</f>
        <v>#REF!</v>
      </c>
      <c r="AF405" t="e">
        <f>AND(#REF!,"AAAAAH9dfR8=")</f>
        <v>#REF!</v>
      </c>
      <c r="AG405" t="e">
        <f>AND(#REF!,"AAAAAH9dfSA=")</f>
        <v>#REF!</v>
      </c>
      <c r="AH405" t="e">
        <f>AND(#REF!,"AAAAAH9dfSE=")</f>
        <v>#REF!</v>
      </c>
      <c r="AI405" t="e">
        <f>AND(#REF!,"AAAAAH9dfSI=")</f>
        <v>#REF!</v>
      </c>
      <c r="AJ405" t="e">
        <f>AND(#REF!,"AAAAAH9dfSM=")</f>
        <v>#REF!</v>
      </c>
      <c r="AK405" t="e">
        <f>IF(#REF!,"AAAAAH9dfSQ=",0)</f>
        <v>#REF!</v>
      </c>
      <c r="AL405" t="e">
        <f>AND(#REF!,"AAAAAH9dfSU=")</f>
        <v>#REF!</v>
      </c>
      <c r="AM405" t="e">
        <f>AND(#REF!,"AAAAAH9dfSY=")</f>
        <v>#REF!</v>
      </c>
      <c r="AN405" t="e">
        <f>AND(#REF!,"AAAAAH9dfSc=")</f>
        <v>#REF!</v>
      </c>
      <c r="AO405" t="e">
        <f>AND(#REF!,"AAAAAH9dfSg=")</f>
        <v>#REF!</v>
      </c>
      <c r="AP405" t="e">
        <f>AND(#REF!,"AAAAAH9dfSk=")</f>
        <v>#REF!</v>
      </c>
      <c r="AQ405" t="e">
        <f>AND(#REF!,"AAAAAH9dfSo=")</f>
        <v>#REF!</v>
      </c>
      <c r="AR405" t="e">
        <f>AND(#REF!,"AAAAAH9dfSs=")</f>
        <v>#REF!</v>
      </c>
      <c r="AS405" t="e">
        <f>AND(#REF!,"AAAAAH9dfSw=")</f>
        <v>#REF!</v>
      </c>
      <c r="AT405" t="e">
        <f>AND(#REF!,"AAAAAH9dfS0=")</f>
        <v>#REF!</v>
      </c>
      <c r="AU405" t="e">
        <f>AND(#REF!,"AAAAAH9dfS4=")</f>
        <v>#REF!</v>
      </c>
      <c r="AV405" t="e">
        <f>AND(#REF!,"AAAAAH9dfS8=")</f>
        <v>#REF!</v>
      </c>
      <c r="AW405" t="e">
        <f>AND(#REF!,"AAAAAH9dfTA=")</f>
        <v>#REF!</v>
      </c>
      <c r="AX405" t="e">
        <f>AND(#REF!,"AAAAAH9dfTE=")</f>
        <v>#REF!</v>
      </c>
      <c r="AY405" t="e">
        <f>AND(#REF!,"AAAAAH9dfTI=")</f>
        <v>#REF!</v>
      </c>
      <c r="AZ405" t="e">
        <f>AND(#REF!,"AAAAAH9dfTM=")</f>
        <v>#REF!</v>
      </c>
      <c r="BA405" t="e">
        <f>AND(#REF!,"AAAAAH9dfTQ=")</f>
        <v>#REF!</v>
      </c>
      <c r="BB405" t="e">
        <f>AND(#REF!,"AAAAAH9dfTU=")</f>
        <v>#REF!</v>
      </c>
      <c r="BC405" t="e">
        <f>AND(#REF!,"AAAAAH9dfTY=")</f>
        <v>#REF!</v>
      </c>
      <c r="BD405" t="e">
        <f>AND(#REF!,"AAAAAH9dfTc=")</f>
        <v>#REF!</v>
      </c>
      <c r="BE405" t="e">
        <f>AND(#REF!,"AAAAAH9dfTg=")</f>
        <v>#REF!</v>
      </c>
      <c r="BF405" t="e">
        <f>AND(#REF!,"AAAAAH9dfTk=")</f>
        <v>#REF!</v>
      </c>
      <c r="BG405" t="e">
        <f>AND(#REF!,"AAAAAH9dfTo=")</f>
        <v>#REF!</v>
      </c>
      <c r="BH405" t="e">
        <f>AND(#REF!,"AAAAAH9dfTs=")</f>
        <v>#REF!</v>
      </c>
      <c r="BI405" t="e">
        <f>AND(#REF!,"AAAAAH9dfTw=")</f>
        <v>#REF!</v>
      </c>
      <c r="BJ405" t="e">
        <f>IF(#REF!,"AAAAAH9dfT0=",0)</f>
        <v>#REF!</v>
      </c>
      <c r="BK405" t="e">
        <f>AND(#REF!,"AAAAAH9dfT4=")</f>
        <v>#REF!</v>
      </c>
      <c r="BL405" t="e">
        <f>AND(#REF!,"AAAAAH9dfT8=")</f>
        <v>#REF!</v>
      </c>
      <c r="BM405" t="e">
        <f>AND(#REF!,"AAAAAH9dfUA=")</f>
        <v>#REF!</v>
      </c>
      <c r="BN405" t="e">
        <f>AND(#REF!,"AAAAAH9dfUE=")</f>
        <v>#REF!</v>
      </c>
      <c r="BO405" t="e">
        <f>AND(#REF!,"AAAAAH9dfUI=")</f>
        <v>#REF!</v>
      </c>
      <c r="BP405" t="e">
        <f>AND(#REF!,"AAAAAH9dfUM=")</f>
        <v>#REF!</v>
      </c>
      <c r="BQ405" t="e">
        <f>AND(#REF!,"AAAAAH9dfUQ=")</f>
        <v>#REF!</v>
      </c>
      <c r="BR405" t="e">
        <f>AND(#REF!,"AAAAAH9dfUU=")</f>
        <v>#REF!</v>
      </c>
      <c r="BS405" t="e">
        <f>AND(#REF!,"AAAAAH9dfUY=")</f>
        <v>#REF!</v>
      </c>
      <c r="BT405" t="e">
        <f>AND(#REF!,"AAAAAH9dfUc=")</f>
        <v>#REF!</v>
      </c>
      <c r="BU405" t="e">
        <f>AND(#REF!,"AAAAAH9dfUg=")</f>
        <v>#REF!</v>
      </c>
      <c r="BV405" t="e">
        <f>AND(#REF!,"AAAAAH9dfUk=")</f>
        <v>#REF!</v>
      </c>
      <c r="BW405" t="e">
        <f>AND(#REF!,"AAAAAH9dfUo=")</f>
        <v>#REF!</v>
      </c>
      <c r="BX405" t="e">
        <f>AND(#REF!,"AAAAAH9dfUs=")</f>
        <v>#REF!</v>
      </c>
      <c r="BY405" t="e">
        <f>AND(#REF!,"AAAAAH9dfUw=")</f>
        <v>#REF!</v>
      </c>
      <c r="BZ405" t="e">
        <f>AND(#REF!,"AAAAAH9dfU0=")</f>
        <v>#REF!</v>
      </c>
      <c r="CA405" t="e">
        <f>AND(#REF!,"AAAAAH9dfU4=")</f>
        <v>#REF!</v>
      </c>
      <c r="CB405" t="e">
        <f>AND(#REF!,"AAAAAH9dfU8=")</f>
        <v>#REF!</v>
      </c>
      <c r="CC405" t="e">
        <f>AND(#REF!,"AAAAAH9dfVA=")</f>
        <v>#REF!</v>
      </c>
      <c r="CD405" t="e">
        <f>AND(#REF!,"AAAAAH9dfVE=")</f>
        <v>#REF!</v>
      </c>
      <c r="CE405" t="e">
        <f>AND(#REF!,"AAAAAH9dfVI=")</f>
        <v>#REF!</v>
      </c>
      <c r="CF405" t="e">
        <f>AND(#REF!,"AAAAAH9dfVM=")</f>
        <v>#REF!</v>
      </c>
      <c r="CG405" t="e">
        <f>AND(#REF!,"AAAAAH9dfVQ=")</f>
        <v>#REF!</v>
      </c>
      <c r="CH405" t="e">
        <f>AND(#REF!,"AAAAAH9dfVU=")</f>
        <v>#REF!</v>
      </c>
      <c r="CI405" t="e">
        <f>IF(#REF!,"AAAAAH9dfVY=",0)</f>
        <v>#REF!</v>
      </c>
      <c r="CJ405" t="e">
        <f>AND(#REF!,"AAAAAH9dfVc=")</f>
        <v>#REF!</v>
      </c>
      <c r="CK405" t="e">
        <f>AND(#REF!,"AAAAAH9dfVg=")</f>
        <v>#REF!</v>
      </c>
      <c r="CL405" t="e">
        <f>AND(#REF!,"AAAAAH9dfVk=")</f>
        <v>#REF!</v>
      </c>
      <c r="CM405" t="e">
        <f>AND(#REF!,"AAAAAH9dfVo=")</f>
        <v>#REF!</v>
      </c>
      <c r="CN405" t="e">
        <f>AND(#REF!,"AAAAAH9dfVs=")</f>
        <v>#REF!</v>
      </c>
      <c r="CO405" t="e">
        <f>AND(#REF!,"AAAAAH9dfVw=")</f>
        <v>#REF!</v>
      </c>
      <c r="CP405" t="e">
        <f>AND(#REF!,"AAAAAH9dfV0=")</f>
        <v>#REF!</v>
      </c>
      <c r="CQ405" t="e">
        <f>AND(#REF!,"AAAAAH9dfV4=")</f>
        <v>#REF!</v>
      </c>
      <c r="CR405" t="e">
        <f>AND(#REF!,"AAAAAH9dfV8=")</f>
        <v>#REF!</v>
      </c>
      <c r="CS405" t="e">
        <f>AND(#REF!,"AAAAAH9dfWA=")</f>
        <v>#REF!</v>
      </c>
      <c r="CT405" t="e">
        <f>AND(#REF!,"AAAAAH9dfWE=")</f>
        <v>#REF!</v>
      </c>
      <c r="CU405" t="e">
        <f>AND(#REF!,"AAAAAH9dfWI=")</f>
        <v>#REF!</v>
      </c>
      <c r="CV405" t="e">
        <f>AND(#REF!,"AAAAAH9dfWM=")</f>
        <v>#REF!</v>
      </c>
      <c r="CW405" t="e">
        <f>AND(#REF!,"AAAAAH9dfWQ=")</f>
        <v>#REF!</v>
      </c>
      <c r="CX405" t="e">
        <f>AND(#REF!,"AAAAAH9dfWU=")</f>
        <v>#REF!</v>
      </c>
      <c r="CY405" t="e">
        <f>AND(#REF!,"AAAAAH9dfWY=")</f>
        <v>#REF!</v>
      </c>
      <c r="CZ405" t="e">
        <f>AND(#REF!,"AAAAAH9dfWc=")</f>
        <v>#REF!</v>
      </c>
      <c r="DA405" t="e">
        <f>AND(#REF!,"AAAAAH9dfWg=")</f>
        <v>#REF!</v>
      </c>
      <c r="DB405" t="e">
        <f>AND(#REF!,"AAAAAH9dfWk=")</f>
        <v>#REF!</v>
      </c>
      <c r="DC405" t="e">
        <f>AND(#REF!,"AAAAAH9dfWo=")</f>
        <v>#REF!</v>
      </c>
      <c r="DD405" t="e">
        <f>AND(#REF!,"AAAAAH9dfWs=")</f>
        <v>#REF!</v>
      </c>
      <c r="DE405" t="e">
        <f>AND(#REF!,"AAAAAH9dfWw=")</f>
        <v>#REF!</v>
      </c>
      <c r="DF405" t="e">
        <f>AND(#REF!,"AAAAAH9dfW0=")</f>
        <v>#REF!</v>
      </c>
      <c r="DG405" t="e">
        <f>AND(#REF!,"AAAAAH9dfW4=")</f>
        <v>#REF!</v>
      </c>
      <c r="DH405" t="e">
        <f>IF(#REF!,"AAAAAH9dfW8=",0)</f>
        <v>#REF!</v>
      </c>
      <c r="DI405" t="e">
        <f>AND(#REF!,"AAAAAH9dfXA=")</f>
        <v>#REF!</v>
      </c>
      <c r="DJ405" t="e">
        <f>AND(#REF!,"AAAAAH9dfXE=")</f>
        <v>#REF!</v>
      </c>
      <c r="DK405" t="e">
        <f>AND(#REF!,"AAAAAH9dfXI=")</f>
        <v>#REF!</v>
      </c>
      <c r="DL405" t="e">
        <f>AND(#REF!,"AAAAAH9dfXM=")</f>
        <v>#REF!</v>
      </c>
      <c r="DM405" t="e">
        <f>AND(#REF!,"AAAAAH9dfXQ=")</f>
        <v>#REF!</v>
      </c>
      <c r="DN405" t="e">
        <f>AND(#REF!,"AAAAAH9dfXU=")</f>
        <v>#REF!</v>
      </c>
      <c r="DO405" t="e">
        <f>AND(#REF!,"AAAAAH9dfXY=")</f>
        <v>#REF!</v>
      </c>
      <c r="DP405" t="e">
        <f>AND(#REF!,"AAAAAH9dfXc=")</f>
        <v>#REF!</v>
      </c>
      <c r="DQ405" t="e">
        <f>AND(#REF!,"AAAAAH9dfXg=")</f>
        <v>#REF!</v>
      </c>
      <c r="DR405" t="e">
        <f>AND(#REF!,"AAAAAH9dfXk=")</f>
        <v>#REF!</v>
      </c>
      <c r="DS405" t="e">
        <f>AND(#REF!,"AAAAAH9dfXo=")</f>
        <v>#REF!</v>
      </c>
      <c r="DT405" t="e">
        <f>AND(#REF!,"AAAAAH9dfXs=")</f>
        <v>#REF!</v>
      </c>
      <c r="DU405" t="e">
        <f>AND(#REF!,"AAAAAH9dfXw=")</f>
        <v>#REF!</v>
      </c>
      <c r="DV405" t="e">
        <f>AND(#REF!,"AAAAAH9dfX0=")</f>
        <v>#REF!</v>
      </c>
      <c r="DW405" t="e">
        <f>AND(#REF!,"AAAAAH9dfX4=")</f>
        <v>#REF!</v>
      </c>
      <c r="DX405" t="e">
        <f>AND(#REF!,"AAAAAH9dfX8=")</f>
        <v>#REF!</v>
      </c>
      <c r="DY405" t="e">
        <f>AND(#REF!,"AAAAAH9dfYA=")</f>
        <v>#REF!</v>
      </c>
      <c r="DZ405" t="e">
        <f>AND(#REF!,"AAAAAH9dfYE=")</f>
        <v>#REF!</v>
      </c>
      <c r="EA405" t="e">
        <f>AND(#REF!,"AAAAAH9dfYI=")</f>
        <v>#REF!</v>
      </c>
      <c r="EB405" t="e">
        <f>AND(#REF!,"AAAAAH9dfYM=")</f>
        <v>#REF!</v>
      </c>
      <c r="EC405" t="e">
        <f>AND(#REF!,"AAAAAH9dfYQ=")</f>
        <v>#REF!</v>
      </c>
      <c r="ED405" t="e">
        <f>AND(#REF!,"AAAAAH9dfYU=")</f>
        <v>#REF!</v>
      </c>
      <c r="EE405" t="e">
        <f>AND(#REF!,"AAAAAH9dfYY=")</f>
        <v>#REF!</v>
      </c>
      <c r="EF405" t="e">
        <f>AND(#REF!,"AAAAAH9dfYc=")</f>
        <v>#REF!</v>
      </c>
      <c r="EG405" t="e">
        <f>IF(#REF!,"AAAAAH9dfYg=",0)</f>
        <v>#REF!</v>
      </c>
      <c r="EH405" t="e">
        <f>AND(#REF!,"AAAAAH9dfYk=")</f>
        <v>#REF!</v>
      </c>
      <c r="EI405" t="e">
        <f>AND(#REF!,"AAAAAH9dfYo=")</f>
        <v>#REF!</v>
      </c>
      <c r="EJ405" t="e">
        <f>AND(#REF!,"AAAAAH9dfYs=")</f>
        <v>#REF!</v>
      </c>
      <c r="EK405" t="e">
        <f>AND(#REF!,"AAAAAH9dfYw=")</f>
        <v>#REF!</v>
      </c>
      <c r="EL405" t="e">
        <f>AND(#REF!,"AAAAAH9dfY0=")</f>
        <v>#REF!</v>
      </c>
      <c r="EM405" t="e">
        <f>AND(#REF!,"AAAAAH9dfY4=")</f>
        <v>#REF!</v>
      </c>
      <c r="EN405" t="e">
        <f>AND(#REF!,"AAAAAH9dfY8=")</f>
        <v>#REF!</v>
      </c>
      <c r="EO405" t="e">
        <f>AND(#REF!,"AAAAAH9dfZA=")</f>
        <v>#REF!</v>
      </c>
      <c r="EP405" t="e">
        <f>AND(#REF!,"AAAAAH9dfZE=")</f>
        <v>#REF!</v>
      </c>
      <c r="EQ405" t="e">
        <f>AND(#REF!,"AAAAAH9dfZI=")</f>
        <v>#REF!</v>
      </c>
      <c r="ER405" t="e">
        <f>AND(#REF!,"AAAAAH9dfZM=")</f>
        <v>#REF!</v>
      </c>
      <c r="ES405" t="e">
        <f>AND(#REF!,"AAAAAH9dfZQ=")</f>
        <v>#REF!</v>
      </c>
      <c r="ET405" t="e">
        <f>AND(#REF!,"AAAAAH9dfZU=")</f>
        <v>#REF!</v>
      </c>
      <c r="EU405" t="e">
        <f>AND(#REF!,"AAAAAH9dfZY=")</f>
        <v>#REF!</v>
      </c>
      <c r="EV405" t="e">
        <f>AND(#REF!,"AAAAAH9dfZc=")</f>
        <v>#REF!</v>
      </c>
      <c r="EW405" t="e">
        <f>AND(#REF!,"AAAAAH9dfZg=")</f>
        <v>#REF!</v>
      </c>
      <c r="EX405" t="e">
        <f>AND(#REF!,"AAAAAH9dfZk=")</f>
        <v>#REF!</v>
      </c>
      <c r="EY405" t="e">
        <f>AND(#REF!,"AAAAAH9dfZo=")</f>
        <v>#REF!</v>
      </c>
      <c r="EZ405" t="e">
        <f>AND(#REF!,"AAAAAH9dfZs=")</f>
        <v>#REF!</v>
      </c>
      <c r="FA405" t="e">
        <f>AND(#REF!,"AAAAAH9dfZw=")</f>
        <v>#REF!</v>
      </c>
      <c r="FB405" t="e">
        <f>AND(#REF!,"AAAAAH9dfZ0=")</f>
        <v>#REF!</v>
      </c>
      <c r="FC405" t="e">
        <f>AND(#REF!,"AAAAAH9dfZ4=")</f>
        <v>#REF!</v>
      </c>
      <c r="FD405" t="e">
        <f>AND(#REF!,"AAAAAH9dfZ8=")</f>
        <v>#REF!</v>
      </c>
      <c r="FE405" t="e">
        <f>AND(#REF!,"AAAAAH9dfaA=")</f>
        <v>#REF!</v>
      </c>
      <c r="FF405" t="e">
        <f>IF(#REF!,"AAAAAH9dfaE=",0)</f>
        <v>#REF!</v>
      </c>
      <c r="FG405" t="e">
        <f>AND(#REF!,"AAAAAH9dfaI=")</f>
        <v>#REF!</v>
      </c>
      <c r="FH405" t="e">
        <f>AND(#REF!,"AAAAAH9dfaM=")</f>
        <v>#REF!</v>
      </c>
      <c r="FI405" t="e">
        <f>AND(#REF!,"AAAAAH9dfaQ=")</f>
        <v>#REF!</v>
      </c>
      <c r="FJ405" t="e">
        <f>AND(#REF!,"AAAAAH9dfaU=")</f>
        <v>#REF!</v>
      </c>
      <c r="FK405" t="e">
        <f>AND(#REF!,"AAAAAH9dfaY=")</f>
        <v>#REF!</v>
      </c>
      <c r="FL405" t="e">
        <f>AND(#REF!,"AAAAAH9dfac=")</f>
        <v>#REF!</v>
      </c>
      <c r="FM405" t="e">
        <f>AND(#REF!,"AAAAAH9dfag=")</f>
        <v>#REF!</v>
      </c>
      <c r="FN405" t="e">
        <f>AND(#REF!,"AAAAAH9dfak=")</f>
        <v>#REF!</v>
      </c>
      <c r="FO405" t="e">
        <f>AND(#REF!,"AAAAAH9dfao=")</f>
        <v>#REF!</v>
      </c>
      <c r="FP405" t="e">
        <f>AND(#REF!,"AAAAAH9dfas=")</f>
        <v>#REF!</v>
      </c>
      <c r="FQ405" t="e">
        <f>AND(#REF!,"AAAAAH9dfaw=")</f>
        <v>#REF!</v>
      </c>
      <c r="FR405" t="e">
        <f>AND(#REF!,"AAAAAH9dfa0=")</f>
        <v>#REF!</v>
      </c>
      <c r="FS405" t="e">
        <f>AND(#REF!,"AAAAAH9dfa4=")</f>
        <v>#REF!</v>
      </c>
      <c r="FT405" t="e">
        <f>AND(#REF!,"AAAAAH9dfa8=")</f>
        <v>#REF!</v>
      </c>
      <c r="FU405" t="e">
        <f>AND(#REF!,"AAAAAH9dfbA=")</f>
        <v>#REF!</v>
      </c>
      <c r="FV405" t="e">
        <f>AND(#REF!,"AAAAAH9dfbE=")</f>
        <v>#REF!</v>
      </c>
      <c r="FW405" t="e">
        <f>AND(#REF!,"AAAAAH9dfbI=")</f>
        <v>#REF!</v>
      </c>
      <c r="FX405" t="e">
        <f>AND(#REF!,"AAAAAH9dfbM=")</f>
        <v>#REF!</v>
      </c>
      <c r="FY405" t="e">
        <f>AND(#REF!,"AAAAAH9dfbQ=")</f>
        <v>#REF!</v>
      </c>
      <c r="FZ405" t="e">
        <f>AND(#REF!,"AAAAAH9dfbU=")</f>
        <v>#REF!</v>
      </c>
      <c r="GA405" t="e">
        <f>AND(#REF!,"AAAAAH9dfbY=")</f>
        <v>#REF!</v>
      </c>
      <c r="GB405" t="e">
        <f>AND(#REF!,"AAAAAH9dfbc=")</f>
        <v>#REF!</v>
      </c>
      <c r="GC405" t="e">
        <f>AND(#REF!,"AAAAAH9dfbg=")</f>
        <v>#REF!</v>
      </c>
      <c r="GD405" t="e">
        <f>AND(#REF!,"AAAAAH9dfbk=")</f>
        <v>#REF!</v>
      </c>
      <c r="GE405" t="e">
        <f>IF(#REF!,"AAAAAH9dfbo=",0)</f>
        <v>#REF!</v>
      </c>
      <c r="GF405" t="e">
        <f>AND(#REF!,"AAAAAH9dfbs=")</f>
        <v>#REF!</v>
      </c>
      <c r="GG405" t="e">
        <f>AND(#REF!,"AAAAAH9dfbw=")</f>
        <v>#REF!</v>
      </c>
      <c r="GH405" t="e">
        <f>AND(#REF!,"AAAAAH9dfb0=")</f>
        <v>#REF!</v>
      </c>
      <c r="GI405" t="e">
        <f>AND(#REF!,"AAAAAH9dfb4=")</f>
        <v>#REF!</v>
      </c>
      <c r="GJ405" t="e">
        <f>AND(#REF!,"AAAAAH9dfb8=")</f>
        <v>#REF!</v>
      </c>
      <c r="GK405" t="e">
        <f>AND(#REF!,"AAAAAH9dfcA=")</f>
        <v>#REF!</v>
      </c>
      <c r="GL405" t="e">
        <f>AND(#REF!,"AAAAAH9dfcE=")</f>
        <v>#REF!</v>
      </c>
      <c r="GM405" t="e">
        <f>AND(#REF!,"AAAAAH9dfcI=")</f>
        <v>#REF!</v>
      </c>
      <c r="GN405" t="e">
        <f>AND(#REF!,"AAAAAH9dfcM=")</f>
        <v>#REF!</v>
      </c>
      <c r="GO405" t="e">
        <f>AND(#REF!,"AAAAAH9dfcQ=")</f>
        <v>#REF!</v>
      </c>
      <c r="GP405" t="e">
        <f>AND(#REF!,"AAAAAH9dfcU=")</f>
        <v>#REF!</v>
      </c>
      <c r="GQ405" t="e">
        <f>AND(#REF!,"AAAAAH9dfcY=")</f>
        <v>#REF!</v>
      </c>
      <c r="GR405" t="e">
        <f>AND(#REF!,"AAAAAH9dfcc=")</f>
        <v>#REF!</v>
      </c>
      <c r="GS405" t="e">
        <f>AND(#REF!,"AAAAAH9dfcg=")</f>
        <v>#REF!</v>
      </c>
      <c r="GT405" t="e">
        <f>AND(#REF!,"AAAAAH9dfck=")</f>
        <v>#REF!</v>
      </c>
      <c r="GU405" t="e">
        <f>AND(#REF!,"AAAAAH9dfco=")</f>
        <v>#REF!</v>
      </c>
      <c r="GV405" t="e">
        <f>AND(#REF!,"AAAAAH9dfcs=")</f>
        <v>#REF!</v>
      </c>
      <c r="GW405" t="e">
        <f>AND(#REF!,"AAAAAH9dfcw=")</f>
        <v>#REF!</v>
      </c>
      <c r="GX405" t="e">
        <f>AND(#REF!,"AAAAAH9dfc0=")</f>
        <v>#REF!</v>
      </c>
      <c r="GY405" t="e">
        <f>AND(#REF!,"AAAAAH9dfc4=")</f>
        <v>#REF!</v>
      </c>
      <c r="GZ405" t="e">
        <f>AND(#REF!,"AAAAAH9dfc8=")</f>
        <v>#REF!</v>
      </c>
      <c r="HA405" t="e">
        <f>AND(#REF!,"AAAAAH9dfdA=")</f>
        <v>#REF!</v>
      </c>
      <c r="HB405" t="e">
        <f>AND(#REF!,"AAAAAH9dfdE=")</f>
        <v>#REF!</v>
      </c>
      <c r="HC405" t="e">
        <f>AND(#REF!,"AAAAAH9dfdI=")</f>
        <v>#REF!</v>
      </c>
      <c r="HD405" t="e">
        <f>IF(#REF!,"AAAAAH9dfdM=",0)</f>
        <v>#REF!</v>
      </c>
      <c r="HE405" t="e">
        <f>AND(#REF!,"AAAAAH9dfdQ=")</f>
        <v>#REF!</v>
      </c>
      <c r="HF405" t="e">
        <f>AND(#REF!,"AAAAAH9dfdU=")</f>
        <v>#REF!</v>
      </c>
      <c r="HG405" t="e">
        <f>AND(#REF!,"AAAAAH9dfdY=")</f>
        <v>#REF!</v>
      </c>
      <c r="HH405" t="e">
        <f>AND(#REF!,"AAAAAH9dfdc=")</f>
        <v>#REF!</v>
      </c>
      <c r="HI405" t="e">
        <f>AND(#REF!,"AAAAAH9dfdg=")</f>
        <v>#REF!</v>
      </c>
      <c r="HJ405" t="e">
        <f>AND(#REF!,"AAAAAH9dfdk=")</f>
        <v>#REF!</v>
      </c>
      <c r="HK405" t="e">
        <f>AND(#REF!,"AAAAAH9dfdo=")</f>
        <v>#REF!</v>
      </c>
      <c r="HL405" t="e">
        <f>AND(#REF!,"AAAAAH9dfds=")</f>
        <v>#REF!</v>
      </c>
      <c r="HM405" t="e">
        <f>AND(#REF!,"AAAAAH9dfdw=")</f>
        <v>#REF!</v>
      </c>
      <c r="HN405" t="e">
        <f>AND(#REF!,"AAAAAH9dfd0=")</f>
        <v>#REF!</v>
      </c>
      <c r="HO405" t="e">
        <f>AND(#REF!,"AAAAAH9dfd4=")</f>
        <v>#REF!</v>
      </c>
      <c r="HP405" t="e">
        <f>AND(#REF!,"AAAAAH9dfd8=")</f>
        <v>#REF!</v>
      </c>
      <c r="HQ405" t="e">
        <f>AND(#REF!,"AAAAAH9dfeA=")</f>
        <v>#REF!</v>
      </c>
      <c r="HR405" t="e">
        <f>AND(#REF!,"AAAAAH9dfeE=")</f>
        <v>#REF!</v>
      </c>
      <c r="HS405" t="e">
        <f>AND(#REF!,"AAAAAH9dfeI=")</f>
        <v>#REF!</v>
      </c>
      <c r="HT405" t="e">
        <f>AND(#REF!,"AAAAAH9dfeM=")</f>
        <v>#REF!</v>
      </c>
      <c r="HU405" t="e">
        <f>AND(#REF!,"AAAAAH9dfeQ=")</f>
        <v>#REF!</v>
      </c>
      <c r="HV405" t="e">
        <f>AND(#REF!,"AAAAAH9dfeU=")</f>
        <v>#REF!</v>
      </c>
      <c r="HW405" t="e">
        <f>AND(#REF!,"AAAAAH9dfeY=")</f>
        <v>#REF!</v>
      </c>
      <c r="HX405" t="e">
        <f>AND(#REF!,"AAAAAH9dfec=")</f>
        <v>#REF!</v>
      </c>
      <c r="HY405" t="e">
        <f>AND(#REF!,"AAAAAH9dfeg=")</f>
        <v>#REF!</v>
      </c>
      <c r="HZ405" t="e">
        <f>AND(#REF!,"AAAAAH9dfek=")</f>
        <v>#REF!</v>
      </c>
      <c r="IA405" t="e">
        <f>AND(#REF!,"AAAAAH9dfeo=")</f>
        <v>#REF!</v>
      </c>
      <c r="IB405" t="e">
        <f>AND(#REF!,"AAAAAH9dfes=")</f>
        <v>#REF!</v>
      </c>
      <c r="IC405" t="e">
        <f>IF(#REF!,"AAAAAH9dfew=",0)</f>
        <v>#REF!</v>
      </c>
      <c r="ID405" t="e">
        <f>AND(#REF!,"AAAAAH9dfe0=")</f>
        <v>#REF!</v>
      </c>
      <c r="IE405" t="e">
        <f>AND(#REF!,"AAAAAH9dfe4=")</f>
        <v>#REF!</v>
      </c>
      <c r="IF405" t="e">
        <f>AND(#REF!,"AAAAAH9dfe8=")</f>
        <v>#REF!</v>
      </c>
      <c r="IG405" t="e">
        <f>AND(#REF!,"AAAAAH9dffA=")</f>
        <v>#REF!</v>
      </c>
      <c r="IH405" t="e">
        <f>AND(#REF!,"AAAAAH9dffE=")</f>
        <v>#REF!</v>
      </c>
      <c r="II405" t="e">
        <f>AND(#REF!,"AAAAAH9dffI=")</f>
        <v>#REF!</v>
      </c>
      <c r="IJ405" t="e">
        <f>AND(#REF!,"AAAAAH9dffM=")</f>
        <v>#REF!</v>
      </c>
      <c r="IK405" t="e">
        <f>AND(#REF!,"AAAAAH9dffQ=")</f>
        <v>#REF!</v>
      </c>
      <c r="IL405" t="e">
        <f>AND(#REF!,"AAAAAH9dffU=")</f>
        <v>#REF!</v>
      </c>
      <c r="IM405" t="e">
        <f>AND(#REF!,"AAAAAH9dffY=")</f>
        <v>#REF!</v>
      </c>
      <c r="IN405" t="e">
        <f>AND(#REF!,"AAAAAH9dffc=")</f>
        <v>#REF!</v>
      </c>
      <c r="IO405" t="e">
        <f>AND(#REF!,"AAAAAH9dffg=")</f>
        <v>#REF!</v>
      </c>
      <c r="IP405" t="e">
        <f>AND(#REF!,"AAAAAH9dffk=")</f>
        <v>#REF!</v>
      </c>
      <c r="IQ405" t="e">
        <f>AND(#REF!,"AAAAAH9dffo=")</f>
        <v>#REF!</v>
      </c>
      <c r="IR405" t="e">
        <f>AND(#REF!,"AAAAAH9dffs=")</f>
        <v>#REF!</v>
      </c>
      <c r="IS405" t="e">
        <f>AND(#REF!,"AAAAAH9dffw=")</f>
        <v>#REF!</v>
      </c>
      <c r="IT405" t="e">
        <f>AND(#REF!,"AAAAAH9dff0=")</f>
        <v>#REF!</v>
      </c>
      <c r="IU405" t="e">
        <f>AND(#REF!,"AAAAAH9dff4=")</f>
        <v>#REF!</v>
      </c>
      <c r="IV405" t="e">
        <f>AND(#REF!,"AAAAAH9dff8=")</f>
        <v>#REF!</v>
      </c>
    </row>
    <row r="406" spans="1:256">
      <c r="A406" t="e">
        <f>AND(#REF!,"AAAAAH/+HgA=")</f>
        <v>#REF!</v>
      </c>
      <c r="B406" t="e">
        <f>AND(#REF!,"AAAAAH/+HgE=")</f>
        <v>#REF!</v>
      </c>
      <c r="C406" t="e">
        <f>AND(#REF!,"AAAAAH/+HgI=")</f>
        <v>#REF!</v>
      </c>
      <c r="D406" t="e">
        <f>AND(#REF!,"AAAAAH/+HgM=")</f>
        <v>#REF!</v>
      </c>
      <c r="E406" t="e">
        <f>AND(#REF!,"AAAAAH/+HgQ=")</f>
        <v>#REF!</v>
      </c>
      <c r="F406" t="e">
        <f>IF(#REF!,"AAAAAH/+HgU=",0)</f>
        <v>#REF!</v>
      </c>
      <c r="G406" t="e">
        <f>AND(#REF!,"AAAAAH/+HgY=")</f>
        <v>#REF!</v>
      </c>
      <c r="H406" t="e">
        <f>AND(#REF!,"AAAAAH/+Hgc=")</f>
        <v>#REF!</v>
      </c>
      <c r="I406" t="e">
        <f>AND(#REF!,"AAAAAH/+Hgg=")</f>
        <v>#REF!</v>
      </c>
      <c r="J406" t="e">
        <f>AND(#REF!,"AAAAAH/+Hgk=")</f>
        <v>#REF!</v>
      </c>
      <c r="K406" t="e">
        <f>AND(#REF!,"AAAAAH/+Hgo=")</f>
        <v>#REF!</v>
      </c>
      <c r="L406" t="e">
        <f>AND(#REF!,"AAAAAH/+Hgs=")</f>
        <v>#REF!</v>
      </c>
      <c r="M406" t="e">
        <f>AND(#REF!,"AAAAAH/+Hgw=")</f>
        <v>#REF!</v>
      </c>
      <c r="N406" t="e">
        <f>AND(#REF!,"AAAAAH/+Hg0=")</f>
        <v>#REF!</v>
      </c>
      <c r="O406" t="e">
        <f>AND(#REF!,"AAAAAH/+Hg4=")</f>
        <v>#REF!</v>
      </c>
      <c r="P406" t="e">
        <f>AND(#REF!,"AAAAAH/+Hg8=")</f>
        <v>#REF!</v>
      </c>
      <c r="Q406" t="e">
        <f>AND(#REF!,"AAAAAH/+HhA=")</f>
        <v>#REF!</v>
      </c>
      <c r="R406" t="e">
        <f>AND(#REF!,"AAAAAH/+HhE=")</f>
        <v>#REF!</v>
      </c>
      <c r="S406" t="e">
        <f>AND(#REF!,"AAAAAH/+HhI=")</f>
        <v>#REF!</v>
      </c>
      <c r="T406" t="e">
        <f>AND(#REF!,"AAAAAH/+HhM=")</f>
        <v>#REF!</v>
      </c>
      <c r="U406" t="e">
        <f>AND(#REF!,"AAAAAH/+HhQ=")</f>
        <v>#REF!</v>
      </c>
      <c r="V406" t="e">
        <f>AND(#REF!,"AAAAAH/+HhU=")</f>
        <v>#REF!</v>
      </c>
      <c r="W406" t="e">
        <f>AND(#REF!,"AAAAAH/+HhY=")</f>
        <v>#REF!</v>
      </c>
      <c r="X406" t="e">
        <f>AND(#REF!,"AAAAAH/+Hhc=")</f>
        <v>#REF!</v>
      </c>
      <c r="Y406" t="e">
        <f>AND(#REF!,"AAAAAH/+Hhg=")</f>
        <v>#REF!</v>
      </c>
      <c r="Z406" t="e">
        <f>AND(#REF!,"AAAAAH/+Hhk=")</f>
        <v>#REF!</v>
      </c>
      <c r="AA406" t="e">
        <f>AND(#REF!,"AAAAAH/+Hho=")</f>
        <v>#REF!</v>
      </c>
      <c r="AB406" t="e">
        <f>AND(#REF!,"AAAAAH/+Hhs=")</f>
        <v>#REF!</v>
      </c>
      <c r="AC406" t="e">
        <f>AND(#REF!,"AAAAAH/+Hhw=")</f>
        <v>#REF!</v>
      </c>
      <c r="AD406" t="e">
        <f>AND(#REF!,"AAAAAH/+Hh0=")</f>
        <v>#REF!</v>
      </c>
      <c r="AE406" t="e">
        <f>IF(#REF!,"AAAAAH/+Hh4=",0)</f>
        <v>#REF!</v>
      </c>
      <c r="AF406" t="e">
        <f>AND(#REF!,"AAAAAH/+Hh8=")</f>
        <v>#REF!</v>
      </c>
      <c r="AG406" t="e">
        <f>AND(#REF!,"AAAAAH/+HiA=")</f>
        <v>#REF!</v>
      </c>
      <c r="AH406" t="e">
        <f>AND(#REF!,"AAAAAH/+HiE=")</f>
        <v>#REF!</v>
      </c>
      <c r="AI406" t="e">
        <f>AND(#REF!,"AAAAAH/+HiI=")</f>
        <v>#REF!</v>
      </c>
      <c r="AJ406" t="e">
        <f>AND(#REF!,"AAAAAH/+HiM=")</f>
        <v>#REF!</v>
      </c>
      <c r="AK406" t="e">
        <f>AND(#REF!,"AAAAAH/+HiQ=")</f>
        <v>#REF!</v>
      </c>
      <c r="AL406" t="e">
        <f>AND(#REF!,"AAAAAH/+HiU=")</f>
        <v>#REF!</v>
      </c>
      <c r="AM406" t="e">
        <f>AND(#REF!,"AAAAAH/+HiY=")</f>
        <v>#REF!</v>
      </c>
      <c r="AN406" t="e">
        <f>AND(#REF!,"AAAAAH/+Hic=")</f>
        <v>#REF!</v>
      </c>
      <c r="AO406" t="e">
        <f>AND(#REF!,"AAAAAH/+Hig=")</f>
        <v>#REF!</v>
      </c>
      <c r="AP406" t="e">
        <f>AND(#REF!,"AAAAAH/+Hik=")</f>
        <v>#REF!</v>
      </c>
      <c r="AQ406" t="e">
        <f>AND(#REF!,"AAAAAH/+Hio=")</f>
        <v>#REF!</v>
      </c>
      <c r="AR406" t="e">
        <f>AND(#REF!,"AAAAAH/+His=")</f>
        <v>#REF!</v>
      </c>
      <c r="AS406" t="e">
        <f>AND(#REF!,"AAAAAH/+Hiw=")</f>
        <v>#REF!</v>
      </c>
      <c r="AT406" t="e">
        <f>AND(#REF!,"AAAAAH/+Hi0=")</f>
        <v>#REF!</v>
      </c>
      <c r="AU406" t="e">
        <f>AND(#REF!,"AAAAAH/+Hi4=")</f>
        <v>#REF!</v>
      </c>
      <c r="AV406" t="e">
        <f>AND(#REF!,"AAAAAH/+Hi8=")</f>
        <v>#REF!</v>
      </c>
      <c r="AW406" t="e">
        <f>AND(#REF!,"AAAAAH/+HjA=")</f>
        <v>#REF!</v>
      </c>
      <c r="AX406" t="e">
        <f>AND(#REF!,"AAAAAH/+HjE=")</f>
        <v>#REF!</v>
      </c>
      <c r="AY406" t="e">
        <f>AND(#REF!,"AAAAAH/+HjI=")</f>
        <v>#REF!</v>
      </c>
      <c r="AZ406" t="e">
        <f>AND(#REF!,"AAAAAH/+HjM=")</f>
        <v>#REF!</v>
      </c>
      <c r="BA406" t="e">
        <f>AND(#REF!,"AAAAAH/+HjQ=")</f>
        <v>#REF!</v>
      </c>
      <c r="BB406" t="e">
        <f>AND(#REF!,"AAAAAH/+HjU=")</f>
        <v>#REF!</v>
      </c>
      <c r="BC406" t="e">
        <f>AND(#REF!,"AAAAAH/+HjY=")</f>
        <v>#REF!</v>
      </c>
      <c r="BD406" t="e">
        <f>IF(#REF!,"AAAAAH/+Hjc=",0)</f>
        <v>#REF!</v>
      </c>
      <c r="BE406" t="e">
        <f>AND(#REF!,"AAAAAH/+Hjg=")</f>
        <v>#REF!</v>
      </c>
      <c r="BF406" t="e">
        <f>AND(#REF!,"AAAAAH/+Hjk=")</f>
        <v>#REF!</v>
      </c>
      <c r="BG406" t="e">
        <f>AND(#REF!,"AAAAAH/+Hjo=")</f>
        <v>#REF!</v>
      </c>
      <c r="BH406" t="e">
        <f>AND(#REF!,"AAAAAH/+Hjs=")</f>
        <v>#REF!</v>
      </c>
      <c r="BI406" t="e">
        <f>AND(#REF!,"AAAAAH/+Hjw=")</f>
        <v>#REF!</v>
      </c>
      <c r="BJ406" t="e">
        <f>AND(#REF!,"AAAAAH/+Hj0=")</f>
        <v>#REF!</v>
      </c>
      <c r="BK406" t="e">
        <f>AND(#REF!,"AAAAAH/+Hj4=")</f>
        <v>#REF!</v>
      </c>
      <c r="BL406" t="e">
        <f>AND(#REF!,"AAAAAH/+Hj8=")</f>
        <v>#REF!</v>
      </c>
      <c r="BM406" t="e">
        <f>AND(#REF!,"AAAAAH/+HkA=")</f>
        <v>#REF!</v>
      </c>
      <c r="BN406" t="e">
        <f>AND(#REF!,"AAAAAH/+HkE=")</f>
        <v>#REF!</v>
      </c>
      <c r="BO406" t="e">
        <f>AND(#REF!,"AAAAAH/+HkI=")</f>
        <v>#REF!</v>
      </c>
      <c r="BP406" t="e">
        <f>AND(#REF!,"AAAAAH/+HkM=")</f>
        <v>#REF!</v>
      </c>
      <c r="BQ406" t="e">
        <f>AND(#REF!,"AAAAAH/+HkQ=")</f>
        <v>#REF!</v>
      </c>
      <c r="BR406" t="e">
        <f>AND(#REF!,"AAAAAH/+HkU=")</f>
        <v>#REF!</v>
      </c>
      <c r="BS406" t="e">
        <f>AND(#REF!,"AAAAAH/+HkY=")</f>
        <v>#REF!</v>
      </c>
      <c r="BT406" t="e">
        <f>AND(#REF!,"AAAAAH/+Hkc=")</f>
        <v>#REF!</v>
      </c>
      <c r="BU406" t="e">
        <f>AND(#REF!,"AAAAAH/+Hkg=")</f>
        <v>#REF!</v>
      </c>
      <c r="BV406" t="e">
        <f>AND(#REF!,"AAAAAH/+Hkk=")</f>
        <v>#REF!</v>
      </c>
      <c r="BW406" t="e">
        <f>AND(#REF!,"AAAAAH/+Hko=")</f>
        <v>#REF!</v>
      </c>
      <c r="BX406" t="e">
        <f>AND(#REF!,"AAAAAH/+Hks=")</f>
        <v>#REF!</v>
      </c>
      <c r="BY406" t="e">
        <f>AND(#REF!,"AAAAAH/+Hkw=")</f>
        <v>#REF!</v>
      </c>
      <c r="BZ406" t="e">
        <f>AND(#REF!,"AAAAAH/+Hk0=")</f>
        <v>#REF!</v>
      </c>
      <c r="CA406" t="e">
        <f>AND(#REF!,"AAAAAH/+Hk4=")</f>
        <v>#REF!</v>
      </c>
      <c r="CB406" t="e">
        <f>AND(#REF!,"AAAAAH/+Hk8=")</f>
        <v>#REF!</v>
      </c>
      <c r="CC406" t="e">
        <f>IF(#REF!,"AAAAAH/+HlA=",0)</f>
        <v>#REF!</v>
      </c>
      <c r="CD406" t="e">
        <f>AND(#REF!,"AAAAAH/+HlE=")</f>
        <v>#REF!</v>
      </c>
      <c r="CE406" t="e">
        <f>AND(#REF!,"AAAAAH/+HlI=")</f>
        <v>#REF!</v>
      </c>
      <c r="CF406" t="e">
        <f>AND(#REF!,"AAAAAH/+HlM=")</f>
        <v>#REF!</v>
      </c>
      <c r="CG406" t="e">
        <f>AND(#REF!,"AAAAAH/+HlQ=")</f>
        <v>#REF!</v>
      </c>
      <c r="CH406" t="e">
        <f>AND(#REF!,"AAAAAH/+HlU=")</f>
        <v>#REF!</v>
      </c>
      <c r="CI406" t="e">
        <f>AND(#REF!,"AAAAAH/+HlY=")</f>
        <v>#REF!</v>
      </c>
      <c r="CJ406" t="e">
        <f>AND(#REF!,"AAAAAH/+Hlc=")</f>
        <v>#REF!</v>
      </c>
      <c r="CK406" t="e">
        <f>AND(#REF!,"AAAAAH/+Hlg=")</f>
        <v>#REF!</v>
      </c>
      <c r="CL406" t="e">
        <f>AND(#REF!,"AAAAAH/+Hlk=")</f>
        <v>#REF!</v>
      </c>
      <c r="CM406" t="e">
        <f>AND(#REF!,"AAAAAH/+Hlo=")</f>
        <v>#REF!</v>
      </c>
      <c r="CN406" t="e">
        <f>AND(#REF!,"AAAAAH/+Hls=")</f>
        <v>#REF!</v>
      </c>
      <c r="CO406" t="e">
        <f>AND(#REF!,"AAAAAH/+Hlw=")</f>
        <v>#REF!</v>
      </c>
      <c r="CP406" t="e">
        <f>AND(#REF!,"AAAAAH/+Hl0=")</f>
        <v>#REF!</v>
      </c>
      <c r="CQ406" t="e">
        <f>AND(#REF!,"AAAAAH/+Hl4=")</f>
        <v>#REF!</v>
      </c>
      <c r="CR406" t="e">
        <f>AND(#REF!,"AAAAAH/+Hl8=")</f>
        <v>#REF!</v>
      </c>
      <c r="CS406" t="e">
        <f>AND(#REF!,"AAAAAH/+HmA=")</f>
        <v>#REF!</v>
      </c>
      <c r="CT406" t="e">
        <f>AND(#REF!,"AAAAAH/+HmE=")</f>
        <v>#REF!</v>
      </c>
      <c r="CU406" t="e">
        <f>AND(#REF!,"AAAAAH/+HmI=")</f>
        <v>#REF!</v>
      </c>
      <c r="CV406" t="e">
        <f>AND(#REF!,"AAAAAH/+HmM=")</f>
        <v>#REF!</v>
      </c>
      <c r="CW406" t="e">
        <f>AND(#REF!,"AAAAAH/+HmQ=")</f>
        <v>#REF!</v>
      </c>
      <c r="CX406" t="e">
        <f>AND(#REF!,"AAAAAH/+HmU=")</f>
        <v>#REF!</v>
      </c>
      <c r="CY406" t="e">
        <f>AND(#REF!,"AAAAAH/+HmY=")</f>
        <v>#REF!</v>
      </c>
      <c r="CZ406" t="e">
        <f>AND(#REF!,"AAAAAH/+Hmc=")</f>
        <v>#REF!</v>
      </c>
      <c r="DA406" t="e">
        <f>AND(#REF!,"AAAAAH/+Hmg=")</f>
        <v>#REF!</v>
      </c>
      <c r="DB406" t="e">
        <f>IF(#REF!,"AAAAAH/+Hmk=",0)</f>
        <v>#REF!</v>
      </c>
      <c r="DC406" t="e">
        <f>AND(#REF!,"AAAAAH/+Hmo=")</f>
        <v>#REF!</v>
      </c>
      <c r="DD406" t="e">
        <f>AND(#REF!,"AAAAAH/+Hms=")</f>
        <v>#REF!</v>
      </c>
      <c r="DE406" t="e">
        <f>AND(#REF!,"AAAAAH/+Hmw=")</f>
        <v>#REF!</v>
      </c>
      <c r="DF406" t="e">
        <f>AND(#REF!,"AAAAAH/+Hm0=")</f>
        <v>#REF!</v>
      </c>
      <c r="DG406" t="e">
        <f>AND(#REF!,"AAAAAH/+Hm4=")</f>
        <v>#REF!</v>
      </c>
      <c r="DH406" t="e">
        <f>AND(#REF!,"AAAAAH/+Hm8=")</f>
        <v>#REF!</v>
      </c>
      <c r="DI406" t="e">
        <f>AND(#REF!,"AAAAAH/+HnA=")</f>
        <v>#REF!</v>
      </c>
      <c r="DJ406" t="e">
        <f>AND(#REF!,"AAAAAH/+HnE=")</f>
        <v>#REF!</v>
      </c>
      <c r="DK406" t="e">
        <f>AND(#REF!,"AAAAAH/+HnI=")</f>
        <v>#REF!</v>
      </c>
      <c r="DL406" t="e">
        <f>AND(#REF!,"AAAAAH/+HnM=")</f>
        <v>#REF!</v>
      </c>
      <c r="DM406" t="e">
        <f>AND(#REF!,"AAAAAH/+HnQ=")</f>
        <v>#REF!</v>
      </c>
      <c r="DN406" t="e">
        <f>AND(#REF!,"AAAAAH/+HnU=")</f>
        <v>#REF!</v>
      </c>
      <c r="DO406" t="e">
        <f>AND(#REF!,"AAAAAH/+HnY=")</f>
        <v>#REF!</v>
      </c>
      <c r="DP406" t="e">
        <f>AND(#REF!,"AAAAAH/+Hnc=")</f>
        <v>#REF!</v>
      </c>
      <c r="DQ406" t="e">
        <f>AND(#REF!,"AAAAAH/+Hng=")</f>
        <v>#REF!</v>
      </c>
      <c r="DR406" t="e">
        <f>AND(#REF!,"AAAAAH/+Hnk=")</f>
        <v>#REF!</v>
      </c>
      <c r="DS406" t="e">
        <f>AND(#REF!,"AAAAAH/+Hno=")</f>
        <v>#REF!</v>
      </c>
      <c r="DT406" t="e">
        <f>AND(#REF!,"AAAAAH/+Hns=")</f>
        <v>#REF!</v>
      </c>
      <c r="DU406" t="e">
        <f>AND(#REF!,"AAAAAH/+Hnw=")</f>
        <v>#REF!</v>
      </c>
      <c r="DV406" t="e">
        <f>AND(#REF!,"AAAAAH/+Hn0=")</f>
        <v>#REF!</v>
      </c>
      <c r="DW406" t="e">
        <f>AND(#REF!,"AAAAAH/+Hn4=")</f>
        <v>#REF!</v>
      </c>
      <c r="DX406" t="e">
        <f>AND(#REF!,"AAAAAH/+Hn8=")</f>
        <v>#REF!</v>
      </c>
      <c r="DY406" t="e">
        <f>AND(#REF!,"AAAAAH/+HoA=")</f>
        <v>#REF!</v>
      </c>
      <c r="DZ406" t="e">
        <f>AND(#REF!,"AAAAAH/+HoE=")</f>
        <v>#REF!</v>
      </c>
      <c r="EA406" t="e">
        <f>IF(#REF!,"AAAAAH/+HoI=",0)</f>
        <v>#REF!</v>
      </c>
      <c r="EB406" t="e">
        <f>AND(#REF!,"AAAAAH/+HoM=")</f>
        <v>#REF!</v>
      </c>
      <c r="EC406" t="e">
        <f>AND(#REF!,"AAAAAH/+HoQ=")</f>
        <v>#REF!</v>
      </c>
      <c r="ED406" t="e">
        <f>AND(#REF!,"AAAAAH/+HoU=")</f>
        <v>#REF!</v>
      </c>
      <c r="EE406" t="e">
        <f>AND(#REF!,"AAAAAH/+HoY=")</f>
        <v>#REF!</v>
      </c>
      <c r="EF406" t="e">
        <f>AND(#REF!,"AAAAAH/+Hoc=")</f>
        <v>#REF!</v>
      </c>
      <c r="EG406" t="e">
        <f>AND(#REF!,"AAAAAH/+Hog=")</f>
        <v>#REF!</v>
      </c>
      <c r="EH406" t="e">
        <f>AND(#REF!,"AAAAAH/+Hok=")</f>
        <v>#REF!</v>
      </c>
      <c r="EI406" t="e">
        <f>AND(#REF!,"AAAAAH/+Hoo=")</f>
        <v>#REF!</v>
      </c>
      <c r="EJ406" t="e">
        <f>AND(#REF!,"AAAAAH/+Hos=")</f>
        <v>#REF!</v>
      </c>
      <c r="EK406" t="e">
        <f>AND(#REF!,"AAAAAH/+How=")</f>
        <v>#REF!</v>
      </c>
      <c r="EL406" t="e">
        <f>AND(#REF!,"AAAAAH/+Ho0=")</f>
        <v>#REF!</v>
      </c>
      <c r="EM406" t="e">
        <f>AND(#REF!,"AAAAAH/+Ho4=")</f>
        <v>#REF!</v>
      </c>
      <c r="EN406" t="e">
        <f>AND(#REF!,"AAAAAH/+Ho8=")</f>
        <v>#REF!</v>
      </c>
      <c r="EO406" t="e">
        <f>AND(#REF!,"AAAAAH/+HpA=")</f>
        <v>#REF!</v>
      </c>
      <c r="EP406" t="e">
        <f>AND(#REF!,"AAAAAH/+HpE=")</f>
        <v>#REF!</v>
      </c>
      <c r="EQ406" t="e">
        <f>AND(#REF!,"AAAAAH/+HpI=")</f>
        <v>#REF!</v>
      </c>
      <c r="ER406" t="e">
        <f>AND(#REF!,"AAAAAH/+HpM=")</f>
        <v>#REF!</v>
      </c>
      <c r="ES406" t="e">
        <f>AND(#REF!,"AAAAAH/+HpQ=")</f>
        <v>#REF!</v>
      </c>
      <c r="ET406" t="e">
        <f>AND(#REF!,"AAAAAH/+HpU=")</f>
        <v>#REF!</v>
      </c>
      <c r="EU406" t="e">
        <f>AND(#REF!,"AAAAAH/+HpY=")</f>
        <v>#REF!</v>
      </c>
      <c r="EV406" t="e">
        <f>AND(#REF!,"AAAAAH/+Hpc=")</f>
        <v>#REF!</v>
      </c>
      <c r="EW406" t="e">
        <f>AND(#REF!,"AAAAAH/+Hpg=")</f>
        <v>#REF!</v>
      </c>
      <c r="EX406" t="e">
        <f>AND(#REF!,"AAAAAH/+Hpk=")</f>
        <v>#REF!</v>
      </c>
      <c r="EY406" t="e">
        <f>AND(#REF!,"AAAAAH/+Hpo=")</f>
        <v>#REF!</v>
      </c>
      <c r="EZ406" t="e">
        <f>IF(#REF!,"AAAAAH/+Hps=",0)</f>
        <v>#REF!</v>
      </c>
      <c r="FA406" t="e">
        <f>AND(#REF!,"AAAAAH/+Hpw=")</f>
        <v>#REF!</v>
      </c>
      <c r="FB406" t="e">
        <f>AND(#REF!,"AAAAAH/+Hp0=")</f>
        <v>#REF!</v>
      </c>
      <c r="FC406" t="e">
        <f>AND(#REF!,"AAAAAH/+Hp4=")</f>
        <v>#REF!</v>
      </c>
      <c r="FD406" t="e">
        <f>AND(#REF!,"AAAAAH/+Hp8=")</f>
        <v>#REF!</v>
      </c>
      <c r="FE406" t="e">
        <f>AND(#REF!,"AAAAAH/+HqA=")</f>
        <v>#REF!</v>
      </c>
      <c r="FF406" t="e">
        <f>AND(#REF!,"AAAAAH/+HqE=")</f>
        <v>#REF!</v>
      </c>
      <c r="FG406" t="e">
        <f>AND(#REF!,"AAAAAH/+HqI=")</f>
        <v>#REF!</v>
      </c>
      <c r="FH406" t="e">
        <f>AND(#REF!,"AAAAAH/+HqM=")</f>
        <v>#REF!</v>
      </c>
      <c r="FI406" t="e">
        <f>AND(#REF!,"AAAAAH/+HqQ=")</f>
        <v>#REF!</v>
      </c>
      <c r="FJ406" t="e">
        <f>AND(#REF!,"AAAAAH/+HqU=")</f>
        <v>#REF!</v>
      </c>
      <c r="FK406" t="e">
        <f>AND(#REF!,"AAAAAH/+HqY=")</f>
        <v>#REF!</v>
      </c>
      <c r="FL406" t="e">
        <f>AND(#REF!,"AAAAAH/+Hqc=")</f>
        <v>#REF!</v>
      </c>
      <c r="FM406" t="e">
        <f>AND(#REF!,"AAAAAH/+Hqg=")</f>
        <v>#REF!</v>
      </c>
      <c r="FN406" t="e">
        <f>AND(#REF!,"AAAAAH/+Hqk=")</f>
        <v>#REF!</v>
      </c>
      <c r="FO406" t="e">
        <f>AND(#REF!,"AAAAAH/+Hqo=")</f>
        <v>#REF!</v>
      </c>
      <c r="FP406" t="e">
        <f>AND(#REF!,"AAAAAH/+Hqs=")</f>
        <v>#REF!</v>
      </c>
      <c r="FQ406" t="e">
        <f>AND(#REF!,"AAAAAH/+Hqw=")</f>
        <v>#REF!</v>
      </c>
      <c r="FR406" t="e">
        <f>AND(#REF!,"AAAAAH/+Hq0=")</f>
        <v>#REF!</v>
      </c>
      <c r="FS406" t="e">
        <f>AND(#REF!,"AAAAAH/+Hq4=")</f>
        <v>#REF!</v>
      </c>
      <c r="FT406" t="e">
        <f>AND(#REF!,"AAAAAH/+Hq8=")</f>
        <v>#REF!</v>
      </c>
      <c r="FU406" t="e">
        <f>AND(#REF!,"AAAAAH/+HrA=")</f>
        <v>#REF!</v>
      </c>
      <c r="FV406" t="e">
        <f>AND(#REF!,"AAAAAH/+HrE=")</f>
        <v>#REF!</v>
      </c>
      <c r="FW406" t="e">
        <f>AND(#REF!,"AAAAAH/+HrI=")</f>
        <v>#REF!</v>
      </c>
      <c r="FX406" t="e">
        <f>AND(#REF!,"AAAAAH/+HrM=")</f>
        <v>#REF!</v>
      </c>
      <c r="FY406" t="e">
        <f>IF(#REF!,"AAAAAH/+HrQ=",0)</f>
        <v>#REF!</v>
      </c>
      <c r="FZ406" t="e">
        <f>AND(#REF!,"AAAAAH/+HrU=")</f>
        <v>#REF!</v>
      </c>
      <c r="GA406" t="e">
        <f>AND(#REF!,"AAAAAH/+HrY=")</f>
        <v>#REF!</v>
      </c>
      <c r="GB406" t="e">
        <f>AND(#REF!,"AAAAAH/+Hrc=")</f>
        <v>#REF!</v>
      </c>
      <c r="GC406" t="e">
        <f>AND(#REF!,"AAAAAH/+Hrg=")</f>
        <v>#REF!</v>
      </c>
      <c r="GD406" t="e">
        <f>AND(#REF!,"AAAAAH/+Hrk=")</f>
        <v>#REF!</v>
      </c>
      <c r="GE406" t="e">
        <f>AND(#REF!,"AAAAAH/+Hro=")</f>
        <v>#REF!</v>
      </c>
      <c r="GF406" t="e">
        <f>AND(#REF!,"AAAAAH/+Hrs=")</f>
        <v>#REF!</v>
      </c>
      <c r="GG406" t="e">
        <f>AND(#REF!,"AAAAAH/+Hrw=")</f>
        <v>#REF!</v>
      </c>
      <c r="GH406" t="e">
        <f>AND(#REF!,"AAAAAH/+Hr0=")</f>
        <v>#REF!</v>
      </c>
      <c r="GI406" t="e">
        <f>AND(#REF!,"AAAAAH/+Hr4=")</f>
        <v>#REF!</v>
      </c>
      <c r="GJ406" t="e">
        <f>AND(#REF!,"AAAAAH/+Hr8=")</f>
        <v>#REF!</v>
      </c>
      <c r="GK406" t="e">
        <f>AND(#REF!,"AAAAAH/+HsA=")</f>
        <v>#REF!</v>
      </c>
      <c r="GL406" t="e">
        <f>AND(#REF!,"AAAAAH/+HsE=")</f>
        <v>#REF!</v>
      </c>
      <c r="GM406" t="e">
        <f>AND(#REF!,"AAAAAH/+HsI=")</f>
        <v>#REF!</v>
      </c>
      <c r="GN406" t="e">
        <f>AND(#REF!,"AAAAAH/+HsM=")</f>
        <v>#REF!</v>
      </c>
      <c r="GO406" t="e">
        <f>AND(#REF!,"AAAAAH/+HsQ=")</f>
        <v>#REF!</v>
      </c>
      <c r="GP406" t="e">
        <f>AND(#REF!,"AAAAAH/+HsU=")</f>
        <v>#REF!</v>
      </c>
      <c r="GQ406" t="e">
        <f>AND(#REF!,"AAAAAH/+HsY=")</f>
        <v>#REF!</v>
      </c>
      <c r="GR406" t="e">
        <f>AND(#REF!,"AAAAAH/+Hsc=")</f>
        <v>#REF!</v>
      </c>
      <c r="GS406" t="e">
        <f>AND(#REF!,"AAAAAH/+Hsg=")</f>
        <v>#REF!</v>
      </c>
      <c r="GT406" t="e">
        <f>AND(#REF!,"AAAAAH/+Hsk=")</f>
        <v>#REF!</v>
      </c>
      <c r="GU406" t="e">
        <f>AND(#REF!,"AAAAAH/+Hso=")</f>
        <v>#REF!</v>
      </c>
      <c r="GV406" t="e">
        <f>AND(#REF!,"AAAAAH/+Hss=")</f>
        <v>#REF!</v>
      </c>
      <c r="GW406" t="e">
        <f>AND(#REF!,"AAAAAH/+Hsw=")</f>
        <v>#REF!</v>
      </c>
      <c r="GX406" t="e">
        <f>IF(#REF!,"AAAAAH/+Hs0=",0)</f>
        <v>#REF!</v>
      </c>
      <c r="GY406" t="e">
        <f>AND(#REF!,"AAAAAH/+Hs4=")</f>
        <v>#REF!</v>
      </c>
      <c r="GZ406" t="e">
        <f>AND(#REF!,"AAAAAH/+Hs8=")</f>
        <v>#REF!</v>
      </c>
      <c r="HA406" t="e">
        <f>AND(#REF!,"AAAAAH/+HtA=")</f>
        <v>#REF!</v>
      </c>
      <c r="HB406" t="e">
        <f>AND(#REF!,"AAAAAH/+HtE=")</f>
        <v>#REF!</v>
      </c>
      <c r="HC406" t="e">
        <f>AND(#REF!,"AAAAAH/+HtI=")</f>
        <v>#REF!</v>
      </c>
      <c r="HD406" t="e">
        <f>AND(#REF!,"AAAAAH/+HtM=")</f>
        <v>#REF!</v>
      </c>
      <c r="HE406" t="e">
        <f>AND(#REF!,"AAAAAH/+HtQ=")</f>
        <v>#REF!</v>
      </c>
      <c r="HF406" t="e">
        <f>AND(#REF!,"AAAAAH/+HtU=")</f>
        <v>#REF!</v>
      </c>
      <c r="HG406" t="e">
        <f>AND(#REF!,"AAAAAH/+HtY=")</f>
        <v>#REF!</v>
      </c>
      <c r="HH406" t="e">
        <f>AND(#REF!,"AAAAAH/+Htc=")</f>
        <v>#REF!</v>
      </c>
      <c r="HI406" t="e">
        <f>AND(#REF!,"AAAAAH/+Htg=")</f>
        <v>#REF!</v>
      </c>
      <c r="HJ406" t="e">
        <f>AND(#REF!,"AAAAAH/+Htk=")</f>
        <v>#REF!</v>
      </c>
      <c r="HK406" t="e">
        <f>AND(#REF!,"AAAAAH/+Hto=")</f>
        <v>#REF!</v>
      </c>
      <c r="HL406" t="e">
        <f>AND(#REF!,"AAAAAH/+Hts=")</f>
        <v>#REF!</v>
      </c>
      <c r="HM406" t="e">
        <f>AND(#REF!,"AAAAAH/+Htw=")</f>
        <v>#REF!</v>
      </c>
      <c r="HN406" t="e">
        <f>AND(#REF!,"AAAAAH/+Ht0=")</f>
        <v>#REF!</v>
      </c>
      <c r="HO406" t="e">
        <f>AND(#REF!,"AAAAAH/+Ht4=")</f>
        <v>#REF!</v>
      </c>
      <c r="HP406" t="e">
        <f>AND(#REF!,"AAAAAH/+Ht8=")</f>
        <v>#REF!</v>
      </c>
      <c r="HQ406" t="e">
        <f>AND(#REF!,"AAAAAH/+HuA=")</f>
        <v>#REF!</v>
      </c>
      <c r="HR406" t="e">
        <f>AND(#REF!,"AAAAAH/+HuE=")</f>
        <v>#REF!</v>
      </c>
      <c r="HS406" t="e">
        <f>AND(#REF!,"AAAAAH/+HuI=")</f>
        <v>#REF!</v>
      </c>
      <c r="HT406" t="e">
        <f>AND(#REF!,"AAAAAH/+HuM=")</f>
        <v>#REF!</v>
      </c>
      <c r="HU406" t="e">
        <f>AND(#REF!,"AAAAAH/+HuQ=")</f>
        <v>#REF!</v>
      </c>
      <c r="HV406" t="e">
        <f>AND(#REF!,"AAAAAH/+HuU=")</f>
        <v>#REF!</v>
      </c>
      <c r="HW406" t="e">
        <f>IF(#REF!,"AAAAAH/+HuY=",0)</f>
        <v>#REF!</v>
      </c>
      <c r="HX406" t="e">
        <f>AND(#REF!,"AAAAAH/+Huc=")</f>
        <v>#REF!</v>
      </c>
      <c r="HY406" t="e">
        <f>AND(#REF!,"AAAAAH/+Hug=")</f>
        <v>#REF!</v>
      </c>
      <c r="HZ406" t="e">
        <f>AND(#REF!,"AAAAAH/+Huk=")</f>
        <v>#REF!</v>
      </c>
      <c r="IA406" t="e">
        <f>AND(#REF!,"AAAAAH/+Huo=")</f>
        <v>#REF!</v>
      </c>
      <c r="IB406" t="e">
        <f>AND(#REF!,"AAAAAH/+Hus=")</f>
        <v>#REF!</v>
      </c>
      <c r="IC406" t="e">
        <f>AND(#REF!,"AAAAAH/+Huw=")</f>
        <v>#REF!</v>
      </c>
      <c r="ID406" t="e">
        <f>AND(#REF!,"AAAAAH/+Hu0=")</f>
        <v>#REF!</v>
      </c>
      <c r="IE406" t="e">
        <f>AND(#REF!,"AAAAAH/+Hu4=")</f>
        <v>#REF!</v>
      </c>
      <c r="IF406" t="e">
        <f>AND(#REF!,"AAAAAH/+Hu8=")</f>
        <v>#REF!</v>
      </c>
      <c r="IG406" t="e">
        <f>AND(#REF!,"AAAAAH/+HvA=")</f>
        <v>#REF!</v>
      </c>
      <c r="IH406" t="e">
        <f>AND(#REF!,"AAAAAH/+HvE=")</f>
        <v>#REF!</v>
      </c>
      <c r="II406" t="e">
        <f>AND(#REF!,"AAAAAH/+HvI=")</f>
        <v>#REF!</v>
      </c>
      <c r="IJ406" t="e">
        <f>AND(#REF!,"AAAAAH/+HvM=")</f>
        <v>#REF!</v>
      </c>
      <c r="IK406" t="e">
        <f>AND(#REF!,"AAAAAH/+HvQ=")</f>
        <v>#REF!</v>
      </c>
      <c r="IL406" t="e">
        <f>AND(#REF!,"AAAAAH/+HvU=")</f>
        <v>#REF!</v>
      </c>
      <c r="IM406" t="e">
        <f>AND(#REF!,"AAAAAH/+HvY=")</f>
        <v>#REF!</v>
      </c>
      <c r="IN406" t="e">
        <f>AND(#REF!,"AAAAAH/+Hvc=")</f>
        <v>#REF!</v>
      </c>
      <c r="IO406" t="e">
        <f>AND(#REF!,"AAAAAH/+Hvg=")</f>
        <v>#REF!</v>
      </c>
      <c r="IP406" t="e">
        <f>AND(#REF!,"AAAAAH/+Hvk=")</f>
        <v>#REF!</v>
      </c>
      <c r="IQ406" t="e">
        <f>AND(#REF!,"AAAAAH/+Hvo=")</f>
        <v>#REF!</v>
      </c>
      <c r="IR406" t="e">
        <f>AND(#REF!,"AAAAAH/+Hvs=")</f>
        <v>#REF!</v>
      </c>
      <c r="IS406" t="e">
        <f>AND(#REF!,"AAAAAH/+Hvw=")</f>
        <v>#REF!</v>
      </c>
      <c r="IT406" t="e">
        <f>AND(#REF!,"AAAAAH/+Hv0=")</f>
        <v>#REF!</v>
      </c>
      <c r="IU406" t="e">
        <f>AND(#REF!,"AAAAAH/+Hv4=")</f>
        <v>#REF!</v>
      </c>
      <c r="IV406" t="e">
        <f>IF(#REF!,"AAAAAH/+Hv8=",0)</f>
        <v>#REF!</v>
      </c>
    </row>
    <row r="407" spans="1:256">
      <c r="A407" t="e">
        <f>AND(#REF!,"AAAAAHWc3wA=")</f>
        <v>#REF!</v>
      </c>
      <c r="B407" t="e">
        <f>AND(#REF!,"AAAAAHWc3wE=")</f>
        <v>#REF!</v>
      </c>
      <c r="C407" t="e">
        <f>AND(#REF!,"AAAAAHWc3wI=")</f>
        <v>#REF!</v>
      </c>
      <c r="D407" t="e">
        <f>AND(#REF!,"AAAAAHWc3wM=")</f>
        <v>#REF!</v>
      </c>
      <c r="E407" t="e">
        <f>AND(#REF!,"AAAAAHWc3wQ=")</f>
        <v>#REF!</v>
      </c>
      <c r="F407" t="e">
        <f>AND(#REF!,"AAAAAHWc3wU=")</f>
        <v>#REF!</v>
      </c>
      <c r="G407" t="e">
        <f>AND(#REF!,"AAAAAHWc3wY=")</f>
        <v>#REF!</v>
      </c>
      <c r="H407" t="e">
        <f>AND(#REF!,"AAAAAHWc3wc=")</f>
        <v>#REF!</v>
      </c>
      <c r="I407" t="e">
        <f>AND(#REF!,"AAAAAHWc3wg=")</f>
        <v>#REF!</v>
      </c>
      <c r="J407" t="e">
        <f>AND(#REF!,"AAAAAHWc3wk=")</f>
        <v>#REF!</v>
      </c>
      <c r="K407" t="e">
        <f>AND(#REF!,"AAAAAHWc3wo=")</f>
        <v>#REF!</v>
      </c>
      <c r="L407" t="e">
        <f>AND(#REF!,"AAAAAHWc3ws=")</f>
        <v>#REF!</v>
      </c>
      <c r="M407" t="e">
        <f>AND(#REF!,"AAAAAHWc3ww=")</f>
        <v>#REF!</v>
      </c>
      <c r="N407" t="e">
        <f>AND(#REF!,"AAAAAHWc3w0=")</f>
        <v>#REF!</v>
      </c>
      <c r="O407" t="e">
        <f>AND(#REF!,"AAAAAHWc3w4=")</f>
        <v>#REF!</v>
      </c>
      <c r="P407" t="e">
        <f>AND(#REF!,"AAAAAHWc3w8=")</f>
        <v>#REF!</v>
      </c>
      <c r="Q407" t="e">
        <f>AND(#REF!,"AAAAAHWc3xA=")</f>
        <v>#REF!</v>
      </c>
      <c r="R407" t="e">
        <f>AND(#REF!,"AAAAAHWc3xE=")</f>
        <v>#REF!</v>
      </c>
      <c r="S407" t="e">
        <f>AND(#REF!,"AAAAAHWc3xI=")</f>
        <v>#REF!</v>
      </c>
      <c r="T407" t="e">
        <f>AND(#REF!,"AAAAAHWc3xM=")</f>
        <v>#REF!</v>
      </c>
      <c r="U407" t="e">
        <f>AND(#REF!,"AAAAAHWc3xQ=")</f>
        <v>#REF!</v>
      </c>
      <c r="V407" t="e">
        <f>AND(#REF!,"AAAAAHWc3xU=")</f>
        <v>#REF!</v>
      </c>
      <c r="W407" t="e">
        <f>AND(#REF!,"AAAAAHWc3xY=")</f>
        <v>#REF!</v>
      </c>
      <c r="X407" t="e">
        <f>AND(#REF!,"AAAAAHWc3xc=")</f>
        <v>#REF!</v>
      </c>
      <c r="Y407" t="e">
        <f>IF(#REF!,"AAAAAHWc3xg=",0)</f>
        <v>#REF!</v>
      </c>
      <c r="Z407" t="e">
        <f>AND(#REF!,"AAAAAHWc3xk=")</f>
        <v>#REF!</v>
      </c>
      <c r="AA407" t="e">
        <f>AND(#REF!,"AAAAAHWc3xo=")</f>
        <v>#REF!</v>
      </c>
      <c r="AB407" t="e">
        <f>AND(#REF!,"AAAAAHWc3xs=")</f>
        <v>#REF!</v>
      </c>
      <c r="AC407" t="e">
        <f>AND(#REF!,"AAAAAHWc3xw=")</f>
        <v>#REF!</v>
      </c>
      <c r="AD407" t="e">
        <f>AND(#REF!,"AAAAAHWc3x0=")</f>
        <v>#REF!</v>
      </c>
      <c r="AE407" t="e">
        <f>AND(#REF!,"AAAAAHWc3x4=")</f>
        <v>#REF!</v>
      </c>
      <c r="AF407" t="e">
        <f>AND(#REF!,"AAAAAHWc3x8=")</f>
        <v>#REF!</v>
      </c>
      <c r="AG407" t="e">
        <f>AND(#REF!,"AAAAAHWc3yA=")</f>
        <v>#REF!</v>
      </c>
      <c r="AH407" t="e">
        <f>AND(#REF!,"AAAAAHWc3yE=")</f>
        <v>#REF!</v>
      </c>
      <c r="AI407" t="e">
        <f>AND(#REF!,"AAAAAHWc3yI=")</f>
        <v>#REF!</v>
      </c>
      <c r="AJ407" t="e">
        <f>AND(#REF!,"AAAAAHWc3yM=")</f>
        <v>#REF!</v>
      </c>
      <c r="AK407" t="e">
        <f>AND(#REF!,"AAAAAHWc3yQ=")</f>
        <v>#REF!</v>
      </c>
      <c r="AL407" t="e">
        <f>AND(#REF!,"AAAAAHWc3yU=")</f>
        <v>#REF!</v>
      </c>
      <c r="AM407" t="e">
        <f>AND(#REF!,"AAAAAHWc3yY=")</f>
        <v>#REF!</v>
      </c>
      <c r="AN407" t="e">
        <f>AND(#REF!,"AAAAAHWc3yc=")</f>
        <v>#REF!</v>
      </c>
      <c r="AO407" t="e">
        <f>AND(#REF!,"AAAAAHWc3yg=")</f>
        <v>#REF!</v>
      </c>
      <c r="AP407" t="e">
        <f>AND(#REF!,"AAAAAHWc3yk=")</f>
        <v>#REF!</v>
      </c>
      <c r="AQ407" t="e">
        <f>AND(#REF!,"AAAAAHWc3yo=")</f>
        <v>#REF!</v>
      </c>
      <c r="AR407" t="e">
        <f>AND(#REF!,"AAAAAHWc3ys=")</f>
        <v>#REF!</v>
      </c>
      <c r="AS407" t="e">
        <f>AND(#REF!,"AAAAAHWc3yw=")</f>
        <v>#REF!</v>
      </c>
      <c r="AT407" t="e">
        <f>AND(#REF!,"AAAAAHWc3y0=")</f>
        <v>#REF!</v>
      </c>
      <c r="AU407" t="e">
        <f>AND(#REF!,"AAAAAHWc3y4=")</f>
        <v>#REF!</v>
      </c>
      <c r="AV407" t="e">
        <f>AND(#REF!,"AAAAAHWc3y8=")</f>
        <v>#REF!</v>
      </c>
      <c r="AW407" t="e">
        <f>AND(#REF!,"AAAAAHWc3zA=")</f>
        <v>#REF!</v>
      </c>
      <c r="AX407" t="e">
        <f>IF(#REF!,"AAAAAHWc3zE=",0)</f>
        <v>#REF!</v>
      </c>
      <c r="AY407" t="e">
        <f>AND(#REF!,"AAAAAHWc3zI=")</f>
        <v>#REF!</v>
      </c>
      <c r="AZ407" t="e">
        <f>AND(#REF!,"AAAAAHWc3zM=")</f>
        <v>#REF!</v>
      </c>
      <c r="BA407" t="e">
        <f>AND(#REF!,"AAAAAHWc3zQ=")</f>
        <v>#REF!</v>
      </c>
      <c r="BB407" t="e">
        <f>AND(#REF!,"AAAAAHWc3zU=")</f>
        <v>#REF!</v>
      </c>
      <c r="BC407" t="e">
        <f>AND(#REF!,"AAAAAHWc3zY=")</f>
        <v>#REF!</v>
      </c>
      <c r="BD407" t="e">
        <f>AND(#REF!,"AAAAAHWc3zc=")</f>
        <v>#REF!</v>
      </c>
      <c r="BE407" t="e">
        <f>AND(#REF!,"AAAAAHWc3zg=")</f>
        <v>#REF!</v>
      </c>
      <c r="BF407" t="e">
        <f>AND(#REF!,"AAAAAHWc3zk=")</f>
        <v>#REF!</v>
      </c>
      <c r="BG407" t="e">
        <f>AND(#REF!,"AAAAAHWc3zo=")</f>
        <v>#REF!</v>
      </c>
      <c r="BH407" t="e">
        <f>AND(#REF!,"AAAAAHWc3zs=")</f>
        <v>#REF!</v>
      </c>
      <c r="BI407" t="e">
        <f>AND(#REF!,"AAAAAHWc3zw=")</f>
        <v>#REF!</v>
      </c>
      <c r="BJ407" t="e">
        <f>AND(#REF!,"AAAAAHWc3z0=")</f>
        <v>#REF!</v>
      </c>
      <c r="BK407" t="e">
        <f>AND(#REF!,"AAAAAHWc3z4=")</f>
        <v>#REF!</v>
      </c>
      <c r="BL407" t="e">
        <f>AND(#REF!,"AAAAAHWc3z8=")</f>
        <v>#REF!</v>
      </c>
      <c r="BM407" t="e">
        <f>AND(#REF!,"AAAAAHWc30A=")</f>
        <v>#REF!</v>
      </c>
      <c r="BN407" t="e">
        <f>AND(#REF!,"AAAAAHWc30E=")</f>
        <v>#REF!</v>
      </c>
      <c r="BO407" t="e">
        <f>AND(#REF!,"AAAAAHWc30I=")</f>
        <v>#REF!</v>
      </c>
      <c r="BP407" t="e">
        <f>AND(#REF!,"AAAAAHWc30M=")</f>
        <v>#REF!</v>
      </c>
      <c r="BQ407" t="e">
        <f>AND(#REF!,"AAAAAHWc30Q=")</f>
        <v>#REF!</v>
      </c>
      <c r="BR407" t="e">
        <f>AND(#REF!,"AAAAAHWc30U=")</f>
        <v>#REF!</v>
      </c>
      <c r="BS407" t="e">
        <f>AND(#REF!,"AAAAAHWc30Y=")</f>
        <v>#REF!</v>
      </c>
      <c r="BT407" t="e">
        <f>AND(#REF!,"AAAAAHWc30c=")</f>
        <v>#REF!</v>
      </c>
      <c r="BU407" t="e">
        <f>AND(#REF!,"AAAAAHWc30g=")</f>
        <v>#REF!</v>
      </c>
      <c r="BV407" t="e">
        <f>AND(#REF!,"AAAAAHWc30k=")</f>
        <v>#REF!</v>
      </c>
      <c r="BW407" t="e">
        <f>IF(#REF!,"AAAAAHWc30o=",0)</f>
        <v>#REF!</v>
      </c>
      <c r="BX407" t="e">
        <f>AND(#REF!,"AAAAAHWc30s=")</f>
        <v>#REF!</v>
      </c>
      <c r="BY407" t="e">
        <f>AND(#REF!,"AAAAAHWc30w=")</f>
        <v>#REF!</v>
      </c>
      <c r="BZ407" t="e">
        <f>AND(#REF!,"AAAAAHWc300=")</f>
        <v>#REF!</v>
      </c>
      <c r="CA407" t="e">
        <f>AND(#REF!,"AAAAAHWc304=")</f>
        <v>#REF!</v>
      </c>
      <c r="CB407" t="e">
        <f>AND(#REF!,"AAAAAHWc308=")</f>
        <v>#REF!</v>
      </c>
      <c r="CC407" t="e">
        <f>AND(#REF!,"AAAAAHWc31A=")</f>
        <v>#REF!</v>
      </c>
      <c r="CD407" t="e">
        <f>AND(#REF!,"AAAAAHWc31E=")</f>
        <v>#REF!</v>
      </c>
      <c r="CE407" t="e">
        <f>AND(#REF!,"AAAAAHWc31I=")</f>
        <v>#REF!</v>
      </c>
      <c r="CF407" t="e">
        <f>AND(#REF!,"AAAAAHWc31M=")</f>
        <v>#REF!</v>
      </c>
      <c r="CG407" t="e">
        <f>AND(#REF!,"AAAAAHWc31Q=")</f>
        <v>#REF!</v>
      </c>
      <c r="CH407" t="e">
        <f>AND(#REF!,"AAAAAHWc31U=")</f>
        <v>#REF!</v>
      </c>
      <c r="CI407" t="e">
        <f>AND(#REF!,"AAAAAHWc31Y=")</f>
        <v>#REF!</v>
      </c>
      <c r="CJ407" t="e">
        <f>AND(#REF!,"AAAAAHWc31c=")</f>
        <v>#REF!</v>
      </c>
      <c r="CK407" t="e">
        <f>AND(#REF!,"AAAAAHWc31g=")</f>
        <v>#REF!</v>
      </c>
      <c r="CL407" t="e">
        <f>AND(#REF!,"AAAAAHWc31k=")</f>
        <v>#REF!</v>
      </c>
      <c r="CM407" t="e">
        <f>AND(#REF!,"AAAAAHWc31o=")</f>
        <v>#REF!</v>
      </c>
      <c r="CN407" t="e">
        <f>AND(#REF!,"AAAAAHWc31s=")</f>
        <v>#REF!</v>
      </c>
      <c r="CO407" t="e">
        <f>AND(#REF!,"AAAAAHWc31w=")</f>
        <v>#REF!</v>
      </c>
      <c r="CP407" t="e">
        <f>AND(#REF!,"AAAAAHWc310=")</f>
        <v>#REF!</v>
      </c>
      <c r="CQ407" t="e">
        <f>AND(#REF!,"AAAAAHWc314=")</f>
        <v>#REF!</v>
      </c>
      <c r="CR407" t="e">
        <f>AND(#REF!,"AAAAAHWc318=")</f>
        <v>#REF!</v>
      </c>
      <c r="CS407" t="e">
        <f>AND(#REF!,"AAAAAHWc32A=")</f>
        <v>#REF!</v>
      </c>
      <c r="CT407" t="e">
        <f>AND(#REF!,"AAAAAHWc32E=")</f>
        <v>#REF!</v>
      </c>
      <c r="CU407" t="e">
        <f>AND(#REF!,"AAAAAHWc32I=")</f>
        <v>#REF!</v>
      </c>
      <c r="CV407" t="e">
        <f>IF(#REF!,"AAAAAHWc32M=",0)</f>
        <v>#REF!</v>
      </c>
      <c r="CW407" t="e">
        <f>AND(#REF!,"AAAAAHWc32Q=")</f>
        <v>#REF!</v>
      </c>
      <c r="CX407" t="e">
        <f>AND(#REF!,"AAAAAHWc32U=")</f>
        <v>#REF!</v>
      </c>
      <c r="CY407" t="e">
        <f>AND(#REF!,"AAAAAHWc32Y=")</f>
        <v>#REF!</v>
      </c>
      <c r="CZ407" t="e">
        <f>AND(#REF!,"AAAAAHWc32c=")</f>
        <v>#REF!</v>
      </c>
      <c r="DA407" t="e">
        <f>AND(#REF!,"AAAAAHWc32g=")</f>
        <v>#REF!</v>
      </c>
      <c r="DB407" t="e">
        <f>AND(#REF!,"AAAAAHWc32k=")</f>
        <v>#REF!</v>
      </c>
      <c r="DC407" t="e">
        <f>AND(#REF!,"AAAAAHWc32o=")</f>
        <v>#REF!</v>
      </c>
      <c r="DD407" t="e">
        <f>AND(#REF!,"AAAAAHWc32s=")</f>
        <v>#REF!</v>
      </c>
      <c r="DE407" t="e">
        <f>AND(#REF!,"AAAAAHWc32w=")</f>
        <v>#REF!</v>
      </c>
      <c r="DF407" t="e">
        <f>AND(#REF!,"AAAAAHWc320=")</f>
        <v>#REF!</v>
      </c>
      <c r="DG407" t="e">
        <f>AND(#REF!,"AAAAAHWc324=")</f>
        <v>#REF!</v>
      </c>
      <c r="DH407" t="e">
        <f>AND(#REF!,"AAAAAHWc328=")</f>
        <v>#REF!</v>
      </c>
      <c r="DI407" t="e">
        <f>AND(#REF!,"AAAAAHWc33A=")</f>
        <v>#REF!</v>
      </c>
      <c r="DJ407" t="e">
        <f>AND(#REF!,"AAAAAHWc33E=")</f>
        <v>#REF!</v>
      </c>
      <c r="DK407" t="e">
        <f>AND(#REF!,"AAAAAHWc33I=")</f>
        <v>#REF!</v>
      </c>
      <c r="DL407" t="e">
        <f>AND(#REF!,"AAAAAHWc33M=")</f>
        <v>#REF!</v>
      </c>
      <c r="DM407" t="e">
        <f>AND(#REF!,"AAAAAHWc33Q=")</f>
        <v>#REF!</v>
      </c>
      <c r="DN407" t="e">
        <f>AND(#REF!,"AAAAAHWc33U=")</f>
        <v>#REF!</v>
      </c>
      <c r="DO407" t="e">
        <f>AND(#REF!,"AAAAAHWc33Y=")</f>
        <v>#REF!</v>
      </c>
      <c r="DP407" t="e">
        <f>AND(#REF!,"AAAAAHWc33c=")</f>
        <v>#REF!</v>
      </c>
      <c r="DQ407" t="e">
        <f>AND(#REF!,"AAAAAHWc33g=")</f>
        <v>#REF!</v>
      </c>
      <c r="DR407" t="e">
        <f>AND(#REF!,"AAAAAHWc33k=")</f>
        <v>#REF!</v>
      </c>
      <c r="DS407" t="e">
        <f>AND(#REF!,"AAAAAHWc33o=")</f>
        <v>#REF!</v>
      </c>
      <c r="DT407" t="e">
        <f>AND(#REF!,"AAAAAHWc33s=")</f>
        <v>#REF!</v>
      </c>
      <c r="DU407" t="e">
        <f>IF(#REF!,"AAAAAHWc33w=",0)</f>
        <v>#REF!</v>
      </c>
      <c r="DV407" t="e">
        <f>AND(#REF!,"AAAAAHWc330=")</f>
        <v>#REF!</v>
      </c>
      <c r="DW407" t="e">
        <f>AND(#REF!,"AAAAAHWc334=")</f>
        <v>#REF!</v>
      </c>
      <c r="DX407" t="e">
        <f>AND(#REF!,"AAAAAHWc338=")</f>
        <v>#REF!</v>
      </c>
      <c r="DY407" t="e">
        <f>AND(#REF!,"AAAAAHWc34A=")</f>
        <v>#REF!</v>
      </c>
      <c r="DZ407" t="e">
        <f>AND(#REF!,"AAAAAHWc34E=")</f>
        <v>#REF!</v>
      </c>
      <c r="EA407" t="e">
        <f>AND(#REF!,"AAAAAHWc34I=")</f>
        <v>#REF!</v>
      </c>
      <c r="EB407" t="e">
        <f>AND(#REF!,"AAAAAHWc34M=")</f>
        <v>#REF!</v>
      </c>
      <c r="EC407" t="e">
        <f>AND(#REF!,"AAAAAHWc34Q=")</f>
        <v>#REF!</v>
      </c>
      <c r="ED407" t="e">
        <f>AND(#REF!,"AAAAAHWc34U=")</f>
        <v>#REF!</v>
      </c>
      <c r="EE407" t="e">
        <f>AND(#REF!,"AAAAAHWc34Y=")</f>
        <v>#REF!</v>
      </c>
      <c r="EF407" t="e">
        <f>AND(#REF!,"AAAAAHWc34c=")</f>
        <v>#REF!</v>
      </c>
      <c r="EG407" t="e">
        <f>AND(#REF!,"AAAAAHWc34g=")</f>
        <v>#REF!</v>
      </c>
      <c r="EH407" t="e">
        <f>AND(#REF!,"AAAAAHWc34k=")</f>
        <v>#REF!</v>
      </c>
      <c r="EI407" t="e">
        <f>AND(#REF!,"AAAAAHWc34o=")</f>
        <v>#REF!</v>
      </c>
      <c r="EJ407" t="e">
        <f>AND(#REF!,"AAAAAHWc34s=")</f>
        <v>#REF!</v>
      </c>
      <c r="EK407" t="e">
        <f>AND(#REF!,"AAAAAHWc34w=")</f>
        <v>#REF!</v>
      </c>
      <c r="EL407" t="e">
        <f>AND(#REF!,"AAAAAHWc340=")</f>
        <v>#REF!</v>
      </c>
      <c r="EM407" t="e">
        <f>AND(#REF!,"AAAAAHWc344=")</f>
        <v>#REF!</v>
      </c>
      <c r="EN407" t="e">
        <f>AND(#REF!,"AAAAAHWc348=")</f>
        <v>#REF!</v>
      </c>
      <c r="EO407" t="e">
        <f>AND(#REF!,"AAAAAHWc35A=")</f>
        <v>#REF!</v>
      </c>
      <c r="EP407" t="e">
        <f>AND(#REF!,"AAAAAHWc35E=")</f>
        <v>#REF!</v>
      </c>
      <c r="EQ407" t="e">
        <f>AND(#REF!,"AAAAAHWc35I=")</f>
        <v>#REF!</v>
      </c>
      <c r="ER407" t="e">
        <f>AND(#REF!,"AAAAAHWc35M=")</f>
        <v>#REF!</v>
      </c>
      <c r="ES407" t="e">
        <f>AND(#REF!,"AAAAAHWc35Q=")</f>
        <v>#REF!</v>
      </c>
      <c r="ET407" t="e">
        <f>IF(#REF!,"AAAAAHWc35U=",0)</f>
        <v>#REF!</v>
      </c>
      <c r="EU407" t="e">
        <f>AND(#REF!,"AAAAAHWc35Y=")</f>
        <v>#REF!</v>
      </c>
      <c r="EV407" t="e">
        <f>AND(#REF!,"AAAAAHWc35c=")</f>
        <v>#REF!</v>
      </c>
      <c r="EW407" t="e">
        <f>AND(#REF!,"AAAAAHWc35g=")</f>
        <v>#REF!</v>
      </c>
      <c r="EX407" t="e">
        <f>AND(#REF!,"AAAAAHWc35k=")</f>
        <v>#REF!</v>
      </c>
      <c r="EY407" t="e">
        <f>AND(#REF!,"AAAAAHWc35o=")</f>
        <v>#REF!</v>
      </c>
      <c r="EZ407" t="e">
        <f>AND(#REF!,"AAAAAHWc35s=")</f>
        <v>#REF!</v>
      </c>
      <c r="FA407" t="e">
        <f>AND(#REF!,"AAAAAHWc35w=")</f>
        <v>#REF!</v>
      </c>
      <c r="FB407" t="e">
        <f>AND(#REF!,"AAAAAHWc350=")</f>
        <v>#REF!</v>
      </c>
      <c r="FC407" t="e">
        <f>AND(#REF!,"AAAAAHWc354=")</f>
        <v>#REF!</v>
      </c>
      <c r="FD407" t="e">
        <f>AND(#REF!,"AAAAAHWc358=")</f>
        <v>#REF!</v>
      </c>
      <c r="FE407" t="e">
        <f>AND(#REF!,"AAAAAHWc36A=")</f>
        <v>#REF!</v>
      </c>
      <c r="FF407" t="e">
        <f>AND(#REF!,"AAAAAHWc36E=")</f>
        <v>#REF!</v>
      </c>
      <c r="FG407" t="e">
        <f>AND(#REF!,"AAAAAHWc36I=")</f>
        <v>#REF!</v>
      </c>
      <c r="FH407" t="e">
        <f>AND(#REF!,"AAAAAHWc36M=")</f>
        <v>#REF!</v>
      </c>
      <c r="FI407" t="e">
        <f>AND(#REF!,"AAAAAHWc36Q=")</f>
        <v>#REF!</v>
      </c>
      <c r="FJ407" t="e">
        <f>AND(#REF!,"AAAAAHWc36U=")</f>
        <v>#REF!</v>
      </c>
      <c r="FK407" t="e">
        <f>AND(#REF!,"AAAAAHWc36Y=")</f>
        <v>#REF!</v>
      </c>
      <c r="FL407" t="e">
        <f>AND(#REF!,"AAAAAHWc36c=")</f>
        <v>#REF!</v>
      </c>
      <c r="FM407" t="e">
        <f>AND(#REF!,"AAAAAHWc36g=")</f>
        <v>#REF!</v>
      </c>
      <c r="FN407" t="e">
        <f>AND(#REF!,"AAAAAHWc36k=")</f>
        <v>#REF!</v>
      </c>
      <c r="FO407" t="e">
        <f>AND(#REF!,"AAAAAHWc36o=")</f>
        <v>#REF!</v>
      </c>
      <c r="FP407" t="e">
        <f>AND(#REF!,"AAAAAHWc36s=")</f>
        <v>#REF!</v>
      </c>
      <c r="FQ407" t="e">
        <f>AND(#REF!,"AAAAAHWc36w=")</f>
        <v>#REF!</v>
      </c>
      <c r="FR407" t="e">
        <f>AND(#REF!,"AAAAAHWc360=")</f>
        <v>#REF!</v>
      </c>
      <c r="FS407" t="e">
        <f>IF(#REF!,"AAAAAHWc364=",0)</f>
        <v>#REF!</v>
      </c>
      <c r="FT407" t="e">
        <f>AND(#REF!,"AAAAAHWc368=")</f>
        <v>#REF!</v>
      </c>
      <c r="FU407" t="e">
        <f>AND(#REF!,"AAAAAHWc37A=")</f>
        <v>#REF!</v>
      </c>
      <c r="FV407" t="e">
        <f>AND(#REF!,"AAAAAHWc37E=")</f>
        <v>#REF!</v>
      </c>
      <c r="FW407" t="e">
        <f>AND(#REF!,"AAAAAHWc37I=")</f>
        <v>#REF!</v>
      </c>
      <c r="FX407" t="e">
        <f>AND(#REF!,"AAAAAHWc37M=")</f>
        <v>#REF!</v>
      </c>
      <c r="FY407" t="e">
        <f>AND(#REF!,"AAAAAHWc37Q=")</f>
        <v>#REF!</v>
      </c>
      <c r="FZ407" t="e">
        <f>AND(#REF!,"AAAAAHWc37U=")</f>
        <v>#REF!</v>
      </c>
      <c r="GA407" t="e">
        <f>AND(#REF!,"AAAAAHWc37Y=")</f>
        <v>#REF!</v>
      </c>
      <c r="GB407" t="e">
        <f>AND(#REF!,"AAAAAHWc37c=")</f>
        <v>#REF!</v>
      </c>
      <c r="GC407" t="e">
        <f>AND(#REF!,"AAAAAHWc37g=")</f>
        <v>#REF!</v>
      </c>
      <c r="GD407" t="e">
        <f>AND(#REF!,"AAAAAHWc37k=")</f>
        <v>#REF!</v>
      </c>
      <c r="GE407" t="e">
        <f>AND(#REF!,"AAAAAHWc37o=")</f>
        <v>#REF!</v>
      </c>
      <c r="GF407" t="e">
        <f>AND(#REF!,"AAAAAHWc37s=")</f>
        <v>#REF!</v>
      </c>
      <c r="GG407" t="e">
        <f>AND(#REF!,"AAAAAHWc37w=")</f>
        <v>#REF!</v>
      </c>
      <c r="GH407" t="e">
        <f>AND(#REF!,"AAAAAHWc370=")</f>
        <v>#REF!</v>
      </c>
      <c r="GI407" t="e">
        <f>AND(#REF!,"AAAAAHWc374=")</f>
        <v>#REF!</v>
      </c>
      <c r="GJ407" t="e">
        <f>AND(#REF!,"AAAAAHWc378=")</f>
        <v>#REF!</v>
      </c>
      <c r="GK407" t="e">
        <f>AND(#REF!,"AAAAAHWc38A=")</f>
        <v>#REF!</v>
      </c>
      <c r="GL407" t="e">
        <f>AND(#REF!,"AAAAAHWc38E=")</f>
        <v>#REF!</v>
      </c>
      <c r="GM407" t="e">
        <f>AND(#REF!,"AAAAAHWc38I=")</f>
        <v>#REF!</v>
      </c>
      <c r="GN407" t="e">
        <f>AND(#REF!,"AAAAAHWc38M=")</f>
        <v>#REF!</v>
      </c>
      <c r="GO407" t="e">
        <f>AND(#REF!,"AAAAAHWc38Q=")</f>
        <v>#REF!</v>
      </c>
      <c r="GP407" t="e">
        <f>AND(#REF!,"AAAAAHWc38U=")</f>
        <v>#REF!</v>
      </c>
      <c r="GQ407" t="e">
        <f>AND(#REF!,"AAAAAHWc38Y=")</f>
        <v>#REF!</v>
      </c>
      <c r="GR407" t="e">
        <f>IF(#REF!,"AAAAAHWc38c=",0)</f>
        <v>#REF!</v>
      </c>
      <c r="GS407" t="e">
        <f>AND(#REF!,"AAAAAHWc38g=")</f>
        <v>#REF!</v>
      </c>
      <c r="GT407" t="e">
        <f>AND(#REF!,"AAAAAHWc38k=")</f>
        <v>#REF!</v>
      </c>
      <c r="GU407" t="e">
        <f>AND(#REF!,"AAAAAHWc38o=")</f>
        <v>#REF!</v>
      </c>
      <c r="GV407" t="e">
        <f>AND(#REF!,"AAAAAHWc38s=")</f>
        <v>#REF!</v>
      </c>
      <c r="GW407" t="e">
        <f>AND(#REF!,"AAAAAHWc38w=")</f>
        <v>#REF!</v>
      </c>
      <c r="GX407" t="e">
        <f>AND(#REF!,"AAAAAHWc380=")</f>
        <v>#REF!</v>
      </c>
      <c r="GY407" t="e">
        <f>AND(#REF!,"AAAAAHWc384=")</f>
        <v>#REF!</v>
      </c>
      <c r="GZ407" t="e">
        <f>AND(#REF!,"AAAAAHWc388=")</f>
        <v>#REF!</v>
      </c>
      <c r="HA407" t="e">
        <f>AND(#REF!,"AAAAAHWc39A=")</f>
        <v>#REF!</v>
      </c>
      <c r="HB407" t="e">
        <f>AND(#REF!,"AAAAAHWc39E=")</f>
        <v>#REF!</v>
      </c>
      <c r="HC407" t="e">
        <f>AND(#REF!,"AAAAAHWc39I=")</f>
        <v>#REF!</v>
      </c>
      <c r="HD407" t="e">
        <f>AND(#REF!,"AAAAAHWc39M=")</f>
        <v>#REF!</v>
      </c>
      <c r="HE407" t="e">
        <f>AND(#REF!,"AAAAAHWc39Q=")</f>
        <v>#REF!</v>
      </c>
      <c r="HF407" t="e">
        <f>AND(#REF!,"AAAAAHWc39U=")</f>
        <v>#REF!</v>
      </c>
      <c r="HG407" t="e">
        <f>AND(#REF!,"AAAAAHWc39Y=")</f>
        <v>#REF!</v>
      </c>
      <c r="HH407" t="e">
        <f>AND(#REF!,"AAAAAHWc39c=")</f>
        <v>#REF!</v>
      </c>
      <c r="HI407" t="e">
        <f>AND(#REF!,"AAAAAHWc39g=")</f>
        <v>#REF!</v>
      </c>
      <c r="HJ407" t="e">
        <f>AND(#REF!,"AAAAAHWc39k=")</f>
        <v>#REF!</v>
      </c>
      <c r="HK407" t="e">
        <f>AND(#REF!,"AAAAAHWc39o=")</f>
        <v>#REF!</v>
      </c>
      <c r="HL407" t="e">
        <f>AND(#REF!,"AAAAAHWc39s=")</f>
        <v>#REF!</v>
      </c>
      <c r="HM407" t="e">
        <f>AND(#REF!,"AAAAAHWc39w=")</f>
        <v>#REF!</v>
      </c>
      <c r="HN407" t="e">
        <f>AND(#REF!,"AAAAAHWc390=")</f>
        <v>#REF!</v>
      </c>
      <c r="HO407" t="e">
        <f>AND(#REF!,"AAAAAHWc394=")</f>
        <v>#REF!</v>
      </c>
      <c r="HP407" t="e">
        <f>AND(#REF!,"AAAAAHWc398=")</f>
        <v>#REF!</v>
      </c>
      <c r="HQ407" t="e">
        <f>IF(#REF!,"AAAAAHWc3+A=",0)</f>
        <v>#REF!</v>
      </c>
      <c r="HR407" t="e">
        <f>AND(#REF!,"AAAAAHWc3+E=")</f>
        <v>#REF!</v>
      </c>
      <c r="HS407" t="e">
        <f>AND(#REF!,"AAAAAHWc3+I=")</f>
        <v>#REF!</v>
      </c>
      <c r="HT407" t="e">
        <f>AND(#REF!,"AAAAAHWc3+M=")</f>
        <v>#REF!</v>
      </c>
      <c r="HU407" t="e">
        <f>AND(#REF!,"AAAAAHWc3+Q=")</f>
        <v>#REF!</v>
      </c>
      <c r="HV407" t="e">
        <f>AND(#REF!,"AAAAAHWc3+U=")</f>
        <v>#REF!</v>
      </c>
      <c r="HW407" t="e">
        <f>AND(#REF!,"AAAAAHWc3+Y=")</f>
        <v>#REF!</v>
      </c>
      <c r="HX407" t="e">
        <f>AND(#REF!,"AAAAAHWc3+c=")</f>
        <v>#REF!</v>
      </c>
      <c r="HY407" t="e">
        <f>AND(#REF!,"AAAAAHWc3+g=")</f>
        <v>#REF!</v>
      </c>
      <c r="HZ407" t="e">
        <f>AND(#REF!,"AAAAAHWc3+k=")</f>
        <v>#REF!</v>
      </c>
      <c r="IA407" t="e">
        <f>AND(#REF!,"AAAAAHWc3+o=")</f>
        <v>#REF!</v>
      </c>
      <c r="IB407" t="e">
        <f>AND(#REF!,"AAAAAHWc3+s=")</f>
        <v>#REF!</v>
      </c>
      <c r="IC407" t="e">
        <f>AND(#REF!,"AAAAAHWc3+w=")</f>
        <v>#REF!</v>
      </c>
      <c r="ID407" t="e">
        <f>AND(#REF!,"AAAAAHWc3+0=")</f>
        <v>#REF!</v>
      </c>
      <c r="IE407" t="e">
        <f>AND(#REF!,"AAAAAHWc3+4=")</f>
        <v>#REF!</v>
      </c>
      <c r="IF407" t="e">
        <f>AND(#REF!,"AAAAAHWc3+8=")</f>
        <v>#REF!</v>
      </c>
      <c r="IG407" t="e">
        <f>AND(#REF!,"AAAAAHWc3/A=")</f>
        <v>#REF!</v>
      </c>
      <c r="IH407" t="e">
        <f>AND(#REF!,"AAAAAHWc3/E=")</f>
        <v>#REF!</v>
      </c>
      <c r="II407" t="e">
        <f>AND(#REF!,"AAAAAHWc3/I=")</f>
        <v>#REF!</v>
      </c>
      <c r="IJ407" t="e">
        <f>AND(#REF!,"AAAAAHWc3/M=")</f>
        <v>#REF!</v>
      </c>
      <c r="IK407" t="e">
        <f>AND(#REF!,"AAAAAHWc3/Q=")</f>
        <v>#REF!</v>
      </c>
      <c r="IL407" t="e">
        <f>AND(#REF!,"AAAAAHWc3/U=")</f>
        <v>#REF!</v>
      </c>
      <c r="IM407" t="e">
        <f>AND(#REF!,"AAAAAHWc3/Y=")</f>
        <v>#REF!</v>
      </c>
      <c r="IN407" t="e">
        <f>AND(#REF!,"AAAAAHWc3/c=")</f>
        <v>#REF!</v>
      </c>
      <c r="IO407" t="e">
        <f>AND(#REF!,"AAAAAHWc3/g=")</f>
        <v>#REF!</v>
      </c>
      <c r="IP407" t="e">
        <f>IF(#REF!,"AAAAAHWc3/k=",0)</f>
        <v>#REF!</v>
      </c>
      <c r="IQ407" t="e">
        <f>AND(#REF!,"AAAAAHWc3/o=")</f>
        <v>#REF!</v>
      </c>
      <c r="IR407" t="e">
        <f>AND(#REF!,"AAAAAHWc3/s=")</f>
        <v>#REF!</v>
      </c>
      <c r="IS407" t="e">
        <f>AND(#REF!,"AAAAAHWc3/w=")</f>
        <v>#REF!</v>
      </c>
      <c r="IT407" t="e">
        <f>AND(#REF!,"AAAAAHWc3/0=")</f>
        <v>#REF!</v>
      </c>
      <c r="IU407" t="e">
        <f>AND(#REF!,"AAAAAHWc3/4=")</f>
        <v>#REF!</v>
      </c>
      <c r="IV407" t="e">
        <f>AND(#REF!,"AAAAAHWc3/8=")</f>
        <v>#REF!</v>
      </c>
    </row>
    <row r="408" spans="1:256">
      <c r="A408" t="e">
        <f>AND(#REF!,"AAAAAD/ebQA=")</f>
        <v>#REF!</v>
      </c>
      <c r="B408" t="e">
        <f>AND(#REF!,"AAAAAD/ebQE=")</f>
        <v>#REF!</v>
      </c>
      <c r="C408" t="e">
        <f>AND(#REF!,"AAAAAD/ebQI=")</f>
        <v>#REF!</v>
      </c>
      <c r="D408" t="e">
        <f>AND(#REF!,"AAAAAD/ebQM=")</f>
        <v>#REF!</v>
      </c>
      <c r="E408" t="e">
        <f>AND(#REF!,"AAAAAD/ebQQ=")</f>
        <v>#REF!</v>
      </c>
      <c r="F408" t="e">
        <f>AND(#REF!,"AAAAAD/ebQU=")</f>
        <v>#REF!</v>
      </c>
      <c r="G408" t="e">
        <f>AND(#REF!,"AAAAAD/ebQY=")</f>
        <v>#REF!</v>
      </c>
      <c r="H408" t="e">
        <f>AND(#REF!,"AAAAAD/ebQc=")</f>
        <v>#REF!</v>
      </c>
      <c r="I408" t="e">
        <f>AND(#REF!,"AAAAAD/ebQg=")</f>
        <v>#REF!</v>
      </c>
      <c r="J408" t="e">
        <f>AND(#REF!,"AAAAAD/ebQk=")</f>
        <v>#REF!</v>
      </c>
      <c r="K408" t="e">
        <f>AND(#REF!,"AAAAAD/ebQo=")</f>
        <v>#REF!</v>
      </c>
      <c r="L408" t="e">
        <f>AND(#REF!,"AAAAAD/ebQs=")</f>
        <v>#REF!</v>
      </c>
      <c r="M408" t="e">
        <f>AND(#REF!,"AAAAAD/ebQw=")</f>
        <v>#REF!</v>
      </c>
      <c r="N408" t="e">
        <f>AND(#REF!,"AAAAAD/ebQ0=")</f>
        <v>#REF!</v>
      </c>
      <c r="O408" t="e">
        <f>AND(#REF!,"AAAAAD/ebQ4=")</f>
        <v>#REF!</v>
      </c>
      <c r="P408" t="e">
        <f>AND(#REF!,"AAAAAD/ebQ8=")</f>
        <v>#REF!</v>
      </c>
      <c r="Q408" t="e">
        <f>AND(#REF!,"AAAAAD/ebRA=")</f>
        <v>#REF!</v>
      </c>
      <c r="R408" t="e">
        <f>AND(#REF!,"AAAAAD/ebRE=")</f>
        <v>#REF!</v>
      </c>
      <c r="S408" t="e">
        <f>IF(#REF!,"AAAAAD/ebRI=",0)</f>
        <v>#REF!</v>
      </c>
      <c r="T408" t="e">
        <f>AND(#REF!,"AAAAAD/ebRM=")</f>
        <v>#REF!</v>
      </c>
      <c r="U408" t="e">
        <f>AND(#REF!,"AAAAAD/ebRQ=")</f>
        <v>#REF!</v>
      </c>
      <c r="V408" t="e">
        <f>AND(#REF!,"AAAAAD/ebRU=")</f>
        <v>#REF!</v>
      </c>
      <c r="W408" t="e">
        <f>AND(#REF!,"AAAAAD/ebRY=")</f>
        <v>#REF!</v>
      </c>
      <c r="X408" t="e">
        <f>AND(#REF!,"AAAAAD/ebRc=")</f>
        <v>#REF!</v>
      </c>
      <c r="Y408" t="e">
        <f>AND(#REF!,"AAAAAD/ebRg=")</f>
        <v>#REF!</v>
      </c>
      <c r="Z408" t="e">
        <f>AND(#REF!,"AAAAAD/ebRk=")</f>
        <v>#REF!</v>
      </c>
      <c r="AA408" t="e">
        <f>AND(#REF!,"AAAAAD/ebRo=")</f>
        <v>#REF!</v>
      </c>
      <c r="AB408" t="e">
        <f>AND(#REF!,"AAAAAD/ebRs=")</f>
        <v>#REF!</v>
      </c>
      <c r="AC408" t="e">
        <f>AND(#REF!,"AAAAAD/ebRw=")</f>
        <v>#REF!</v>
      </c>
      <c r="AD408" t="e">
        <f>AND(#REF!,"AAAAAD/ebR0=")</f>
        <v>#REF!</v>
      </c>
      <c r="AE408" t="e">
        <f>AND(#REF!,"AAAAAD/ebR4=")</f>
        <v>#REF!</v>
      </c>
      <c r="AF408" t="e">
        <f>AND(#REF!,"AAAAAD/ebR8=")</f>
        <v>#REF!</v>
      </c>
      <c r="AG408" t="e">
        <f>AND(#REF!,"AAAAAD/ebSA=")</f>
        <v>#REF!</v>
      </c>
      <c r="AH408" t="e">
        <f>AND(#REF!,"AAAAAD/ebSE=")</f>
        <v>#REF!</v>
      </c>
      <c r="AI408" t="e">
        <f>AND(#REF!,"AAAAAD/ebSI=")</f>
        <v>#REF!</v>
      </c>
      <c r="AJ408" t="e">
        <f>AND(#REF!,"AAAAAD/ebSM=")</f>
        <v>#REF!</v>
      </c>
      <c r="AK408" t="e">
        <f>AND(#REF!,"AAAAAD/ebSQ=")</f>
        <v>#REF!</v>
      </c>
      <c r="AL408" t="e">
        <f>AND(#REF!,"AAAAAD/ebSU=")</f>
        <v>#REF!</v>
      </c>
      <c r="AM408" t="e">
        <f>AND(#REF!,"AAAAAD/ebSY=")</f>
        <v>#REF!</v>
      </c>
      <c r="AN408" t="e">
        <f>AND(#REF!,"AAAAAD/ebSc=")</f>
        <v>#REF!</v>
      </c>
      <c r="AO408" t="e">
        <f>AND(#REF!,"AAAAAD/ebSg=")</f>
        <v>#REF!</v>
      </c>
      <c r="AP408" t="e">
        <f>AND(#REF!,"AAAAAD/ebSk=")</f>
        <v>#REF!</v>
      </c>
      <c r="AQ408" t="e">
        <f>AND(#REF!,"AAAAAD/ebSo=")</f>
        <v>#REF!</v>
      </c>
      <c r="AR408" t="e">
        <f>IF(#REF!,"AAAAAD/ebSs=",0)</f>
        <v>#REF!</v>
      </c>
      <c r="AS408" t="e">
        <f>AND(#REF!,"AAAAAD/ebSw=")</f>
        <v>#REF!</v>
      </c>
      <c r="AT408" t="e">
        <f>AND(#REF!,"AAAAAD/ebS0=")</f>
        <v>#REF!</v>
      </c>
      <c r="AU408" t="e">
        <f>AND(#REF!,"AAAAAD/ebS4=")</f>
        <v>#REF!</v>
      </c>
      <c r="AV408" t="e">
        <f>AND(#REF!,"AAAAAD/ebS8=")</f>
        <v>#REF!</v>
      </c>
      <c r="AW408" t="e">
        <f>AND(#REF!,"AAAAAD/ebTA=")</f>
        <v>#REF!</v>
      </c>
      <c r="AX408" t="e">
        <f>AND(#REF!,"AAAAAD/ebTE=")</f>
        <v>#REF!</v>
      </c>
      <c r="AY408" t="e">
        <f>AND(#REF!,"AAAAAD/ebTI=")</f>
        <v>#REF!</v>
      </c>
      <c r="AZ408" t="e">
        <f>AND(#REF!,"AAAAAD/ebTM=")</f>
        <v>#REF!</v>
      </c>
      <c r="BA408" t="e">
        <f>AND(#REF!,"AAAAAD/ebTQ=")</f>
        <v>#REF!</v>
      </c>
      <c r="BB408" t="e">
        <f>AND(#REF!,"AAAAAD/ebTU=")</f>
        <v>#REF!</v>
      </c>
      <c r="BC408" t="e">
        <f>AND(#REF!,"AAAAAD/ebTY=")</f>
        <v>#REF!</v>
      </c>
      <c r="BD408" t="e">
        <f>AND(#REF!,"AAAAAD/ebTc=")</f>
        <v>#REF!</v>
      </c>
      <c r="BE408" t="e">
        <f>AND(#REF!,"AAAAAD/ebTg=")</f>
        <v>#REF!</v>
      </c>
      <c r="BF408" t="e">
        <f>AND(#REF!,"AAAAAD/ebTk=")</f>
        <v>#REF!</v>
      </c>
      <c r="BG408" t="e">
        <f>AND(#REF!,"AAAAAD/ebTo=")</f>
        <v>#REF!</v>
      </c>
      <c r="BH408" t="e">
        <f>AND(#REF!,"AAAAAD/ebTs=")</f>
        <v>#REF!</v>
      </c>
      <c r="BI408" t="e">
        <f>AND(#REF!,"AAAAAD/ebTw=")</f>
        <v>#REF!</v>
      </c>
      <c r="BJ408" t="e">
        <f>AND(#REF!,"AAAAAD/ebT0=")</f>
        <v>#REF!</v>
      </c>
      <c r="BK408" t="e">
        <f>AND(#REF!,"AAAAAD/ebT4=")</f>
        <v>#REF!</v>
      </c>
      <c r="BL408" t="e">
        <f>AND(#REF!,"AAAAAD/ebT8=")</f>
        <v>#REF!</v>
      </c>
      <c r="BM408" t="e">
        <f>AND(#REF!,"AAAAAD/ebUA=")</f>
        <v>#REF!</v>
      </c>
      <c r="BN408" t="e">
        <f>AND(#REF!,"AAAAAD/ebUE=")</f>
        <v>#REF!</v>
      </c>
      <c r="BO408" t="e">
        <f>AND(#REF!,"AAAAAD/ebUI=")</f>
        <v>#REF!</v>
      </c>
      <c r="BP408" t="e">
        <f>AND(#REF!,"AAAAAD/ebUM=")</f>
        <v>#REF!</v>
      </c>
      <c r="BQ408" t="e">
        <f>IF(#REF!,"AAAAAD/ebUQ=",0)</f>
        <v>#REF!</v>
      </c>
      <c r="BR408" t="e">
        <f>AND(#REF!,"AAAAAD/ebUU=")</f>
        <v>#REF!</v>
      </c>
      <c r="BS408" t="e">
        <f>AND(#REF!,"AAAAAD/ebUY=")</f>
        <v>#REF!</v>
      </c>
      <c r="BT408" t="e">
        <f>AND(#REF!,"AAAAAD/ebUc=")</f>
        <v>#REF!</v>
      </c>
      <c r="BU408" t="e">
        <f>AND(#REF!,"AAAAAD/ebUg=")</f>
        <v>#REF!</v>
      </c>
      <c r="BV408" t="e">
        <f>AND(#REF!,"AAAAAD/ebUk=")</f>
        <v>#REF!</v>
      </c>
      <c r="BW408" t="e">
        <f>AND(#REF!,"AAAAAD/ebUo=")</f>
        <v>#REF!</v>
      </c>
      <c r="BX408" t="e">
        <f>AND(#REF!,"AAAAAD/ebUs=")</f>
        <v>#REF!</v>
      </c>
      <c r="BY408" t="e">
        <f>AND(#REF!,"AAAAAD/ebUw=")</f>
        <v>#REF!</v>
      </c>
      <c r="BZ408" t="e">
        <f>AND(#REF!,"AAAAAD/ebU0=")</f>
        <v>#REF!</v>
      </c>
      <c r="CA408" t="e">
        <f>AND(#REF!,"AAAAAD/ebU4=")</f>
        <v>#REF!</v>
      </c>
      <c r="CB408" t="e">
        <f>AND(#REF!,"AAAAAD/ebU8=")</f>
        <v>#REF!</v>
      </c>
      <c r="CC408" t="e">
        <f>AND(#REF!,"AAAAAD/ebVA=")</f>
        <v>#REF!</v>
      </c>
      <c r="CD408" t="e">
        <f>AND(#REF!,"AAAAAD/ebVE=")</f>
        <v>#REF!</v>
      </c>
      <c r="CE408" t="e">
        <f>AND(#REF!,"AAAAAD/ebVI=")</f>
        <v>#REF!</v>
      </c>
      <c r="CF408" t="e">
        <f>AND(#REF!,"AAAAAD/ebVM=")</f>
        <v>#REF!</v>
      </c>
      <c r="CG408" t="e">
        <f>AND(#REF!,"AAAAAD/ebVQ=")</f>
        <v>#REF!</v>
      </c>
      <c r="CH408" t="e">
        <f>AND(#REF!,"AAAAAD/ebVU=")</f>
        <v>#REF!</v>
      </c>
      <c r="CI408" t="e">
        <f>AND(#REF!,"AAAAAD/ebVY=")</f>
        <v>#REF!</v>
      </c>
      <c r="CJ408" t="e">
        <f>AND(#REF!,"AAAAAD/ebVc=")</f>
        <v>#REF!</v>
      </c>
      <c r="CK408" t="e">
        <f>AND(#REF!,"AAAAAD/ebVg=")</f>
        <v>#REF!</v>
      </c>
      <c r="CL408" t="e">
        <f>AND(#REF!,"AAAAAD/ebVk=")</f>
        <v>#REF!</v>
      </c>
      <c r="CM408" t="e">
        <f>AND(#REF!,"AAAAAD/ebVo=")</f>
        <v>#REF!</v>
      </c>
      <c r="CN408" t="e">
        <f>AND(#REF!,"AAAAAD/ebVs=")</f>
        <v>#REF!</v>
      </c>
      <c r="CO408" t="e">
        <f>AND(#REF!,"AAAAAD/ebVw=")</f>
        <v>#REF!</v>
      </c>
      <c r="CP408" t="e">
        <f>IF(#REF!,"AAAAAD/ebV0=",0)</f>
        <v>#REF!</v>
      </c>
      <c r="CQ408" t="e">
        <f>AND(#REF!,"AAAAAD/ebV4=")</f>
        <v>#REF!</v>
      </c>
      <c r="CR408" t="e">
        <f>AND(#REF!,"AAAAAD/ebV8=")</f>
        <v>#REF!</v>
      </c>
      <c r="CS408" t="e">
        <f>AND(#REF!,"AAAAAD/ebWA=")</f>
        <v>#REF!</v>
      </c>
      <c r="CT408" t="e">
        <f>AND(#REF!,"AAAAAD/ebWE=")</f>
        <v>#REF!</v>
      </c>
      <c r="CU408" t="e">
        <f>AND(#REF!,"AAAAAD/ebWI=")</f>
        <v>#REF!</v>
      </c>
      <c r="CV408" t="e">
        <f>AND(#REF!,"AAAAAD/ebWM=")</f>
        <v>#REF!</v>
      </c>
      <c r="CW408" t="e">
        <f>AND(#REF!,"AAAAAD/ebWQ=")</f>
        <v>#REF!</v>
      </c>
      <c r="CX408" t="e">
        <f>AND(#REF!,"AAAAAD/ebWU=")</f>
        <v>#REF!</v>
      </c>
      <c r="CY408" t="e">
        <f>AND(#REF!,"AAAAAD/ebWY=")</f>
        <v>#REF!</v>
      </c>
      <c r="CZ408" t="e">
        <f>AND(#REF!,"AAAAAD/ebWc=")</f>
        <v>#REF!</v>
      </c>
      <c r="DA408" t="e">
        <f>AND(#REF!,"AAAAAD/ebWg=")</f>
        <v>#REF!</v>
      </c>
      <c r="DB408" t="e">
        <f>AND(#REF!,"AAAAAD/ebWk=")</f>
        <v>#REF!</v>
      </c>
      <c r="DC408" t="e">
        <f>AND(#REF!,"AAAAAD/ebWo=")</f>
        <v>#REF!</v>
      </c>
      <c r="DD408" t="e">
        <f>AND(#REF!,"AAAAAD/ebWs=")</f>
        <v>#REF!</v>
      </c>
      <c r="DE408" t="e">
        <f>AND(#REF!,"AAAAAD/ebWw=")</f>
        <v>#REF!</v>
      </c>
      <c r="DF408" t="e">
        <f>AND(#REF!,"AAAAAD/ebW0=")</f>
        <v>#REF!</v>
      </c>
      <c r="DG408" t="e">
        <f>AND(#REF!,"AAAAAD/ebW4=")</f>
        <v>#REF!</v>
      </c>
      <c r="DH408" t="e">
        <f>AND(#REF!,"AAAAAD/ebW8=")</f>
        <v>#REF!</v>
      </c>
      <c r="DI408" t="e">
        <f>AND(#REF!,"AAAAAD/ebXA=")</f>
        <v>#REF!</v>
      </c>
      <c r="DJ408" t="e">
        <f>AND(#REF!,"AAAAAD/ebXE=")</f>
        <v>#REF!</v>
      </c>
      <c r="DK408" t="e">
        <f>AND(#REF!,"AAAAAD/ebXI=")</f>
        <v>#REF!</v>
      </c>
      <c r="DL408" t="e">
        <f>AND(#REF!,"AAAAAD/ebXM=")</f>
        <v>#REF!</v>
      </c>
      <c r="DM408" t="e">
        <f>AND(#REF!,"AAAAAD/ebXQ=")</f>
        <v>#REF!</v>
      </c>
      <c r="DN408" t="e">
        <f>AND(#REF!,"AAAAAD/ebXU=")</f>
        <v>#REF!</v>
      </c>
      <c r="DO408" t="e">
        <f>IF(#REF!,"AAAAAD/ebXY=",0)</f>
        <v>#REF!</v>
      </c>
      <c r="DP408" t="e">
        <f>AND(#REF!,"AAAAAD/ebXc=")</f>
        <v>#REF!</v>
      </c>
      <c r="DQ408" t="e">
        <f>AND(#REF!,"AAAAAD/ebXg=")</f>
        <v>#REF!</v>
      </c>
      <c r="DR408" t="e">
        <f>AND(#REF!,"AAAAAD/ebXk=")</f>
        <v>#REF!</v>
      </c>
      <c r="DS408" t="e">
        <f>AND(#REF!,"AAAAAD/ebXo=")</f>
        <v>#REF!</v>
      </c>
      <c r="DT408" t="e">
        <f>AND(#REF!,"AAAAAD/ebXs=")</f>
        <v>#REF!</v>
      </c>
      <c r="DU408" t="e">
        <f>AND(#REF!,"AAAAAD/ebXw=")</f>
        <v>#REF!</v>
      </c>
      <c r="DV408" t="e">
        <f>AND(#REF!,"AAAAAD/ebX0=")</f>
        <v>#REF!</v>
      </c>
      <c r="DW408" t="e">
        <f>AND(#REF!,"AAAAAD/ebX4=")</f>
        <v>#REF!</v>
      </c>
      <c r="DX408" t="e">
        <f>AND(#REF!,"AAAAAD/ebX8=")</f>
        <v>#REF!</v>
      </c>
      <c r="DY408" t="e">
        <f>AND(#REF!,"AAAAAD/ebYA=")</f>
        <v>#REF!</v>
      </c>
      <c r="DZ408" t="e">
        <f>AND(#REF!,"AAAAAD/ebYE=")</f>
        <v>#REF!</v>
      </c>
      <c r="EA408" t="e">
        <f>AND(#REF!,"AAAAAD/ebYI=")</f>
        <v>#REF!</v>
      </c>
      <c r="EB408" t="e">
        <f>AND(#REF!,"AAAAAD/ebYM=")</f>
        <v>#REF!</v>
      </c>
      <c r="EC408" t="e">
        <f>AND(#REF!,"AAAAAD/ebYQ=")</f>
        <v>#REF!</v>
      </c>
      <c r="ED408" t="e">
        <f>AND(#REF!,"AAAAAD/ebYU=")</f>
        <v>#REF!</v>
      </c>
      <c r="EE408" t="e">
        <f>AND(#REF!,"AAAAAD/ebYY=")</f>
        <v>#REF!</v>
      </c>
      <c r="EF408" t="e">
        <f>AND(#REF!,"AAAAAD/ebYc=")</f>
        <v>#REF!</v>
      </c>
      <c r="EG408" t="e">
        <f>AND(#REF!,"AAAAAD/ebYg=")</f>
        <v>#REF!</v>
      </c>
      <c r="EH408" t="e">
        <f>AND(#REF!,"AAAAAD/ebYk=")</f>
        <v>#REF!</v>
      </c>
      <c r="EI408" t="e">
        <f>AND(#REF!,"AAAAAD/ebYo=")</f>
        <v>#REF!</v>
      </c>
      <c r="EJ408" t="e">
        <f>AND(#REF!,"AAAAAD/ebYs=")</f>
        <v>#REF!</v>
      </c>
      <c r="EK408" t="e">
        <f>AND(#REF!,"AAAAAD/ebYw=")</f>
        <v>#REF!</v>
      </c>
      <c r="EL408" t="e">
        <f>AND(#REF!,"AAAAAD/ebY0=")</f>
        <v>#REF!</v>
      </c>
      <c r="EM408" t="e">
        <f>AND(#REF!,"AAAAAD/ebY4=")</f>
        <v>#REF!</v>
      </c>
      <c r="EN408" t="e">
        <f>IF(#REF!,"AAAAAD/ebY8=",0)</f>
        <v>#REF!</v>
      </c>
      <c r="EO408" t="e">
        <f>AND(#REF!,"AAAAAD/ebZA=")</f>
        <v>#REF!</v>
      </c>
      <c r="EP408" t="e">
        <f>AND(#REF!,"AAAAAD/ebZE=")</f>
        <v>#REF!</v>
      </c>
      <c r="EQ408" t="e">
        <f>AND(#REF!,"AAAAAD/ebZI=")</f>
        <v>#REF!</v>
      </c>
      <c r="ER408" t="e">
        <f>AND(#REF!,"AAAAAD/ebZM=")</f>
        <v>#REF!</v>
      </c>
      <c r="ES408" t="e">
        <f>AND(#REF!,"AAAAAD/ebZQ=")</f>
        <v>#REF!</v>
      </c>
      <c r="ET408" t="e">
        <f>AND(#REF!,"AAAAAD/ebZU=")</f>
        <v>#REF!</v>
      </c>
      <c r="EU408" t="e">
        <f>AND(#REF!,"AAAAAD/ebZY=")</f>
        <v>#REF!</v>
      </c>
      <c r="EV408" t="e">
        <f>AND(#REF!,"AAAAAD/ebZc=")</f>
        <v>#REF!</v>
      </c>
      <c r="EW408" t="e">
        <f>AND(#REF!,"AAAAAD/ebZg=")</f>
        <v>#REF!</v>
      </c>
      <c r="EX408" t="e">
        <f>AND(#REF!,"AAAAAD/ebZk=")</f>
        <v>#REF!</v>
      </c>
      <c r="EY408" t="e">
        <f>AND(#REF!,"AAAAAD/ebZo=")</f>
        <v>#REF!</v>
      </c>
      <c r="EZ408" t="e">
        <f>AND(#REF!,"AAAAAD/ebZs=")</f>
        <v>#REF!</v>
      </c>
      <c r="FA408" t="e">
        <f>AND(#REF!,"AAAAAD/ebZw=")</f>
        <v>#REF!</v>
      </c>
      <c r="FB408" t="e">
        <f>AND(#REF!,"AAAAAD/ebZ0=")</f>
        <v>#REF!</v>
      </c>
      <c r="FC408" t="e">
        <f>AND(#REF!,"AAAAAD/ebZ4=")</f>
        <v>#REF!</v>
      </c>
      <c r="FD408" t="e">
        <f>AND(#REF!,"AAAAAD/ebZ8=")</f>
        <v>#REF!</v>
      </c>
      <c r="FE408" t="e">
        <f>AND(#REF!,"AAAAAD/ebaA=")</f>
        <v>#REF!</v>
      </c>
      <c r="FF408" t="e">
        <f>AND(#REF!,"AAAAAD/ebaE=")</f>
        <v>#REF!</v>
      </c>
      <c r="FG408" t="e">
        <f>AND(#REF!,"AAAAAD/ebaI=")</f>
        <v>#REF!</v>
      </c>
      <c r="FH408" t="e">
        <f>AND(#REF!,"AAAAAD/ebaM=")</f>
        <v>#REF!</v>
      </c>
      <c r="FI408" t="e">
        <f>AND(#REF!,"AAAAAD/ebaQ=")</f>
        <v>#REF!</v>
      </c>
      <c r="FJ408" t="e">
        <f>AND(#REF!,"AAAAAD/ebaU=")</f>
        <v>#REF!</v>
      </c>
      <c r="FK408" t="e">
        <f>AND(#REF!,"AAAAAD/ebaY=")</f>
        <v>#REF!</v>
      </c>
      <c r="FL408" t="e">
        <f>AND(#REF!,"AAAAAD/ebac=")</f>
        <v>#REF!</v>
      </c>
      <c r="FM408" t="e">
        <f>IF(#REF!,"AAAAAD/ebag=",0)</f>
        <v>#REF!</v>
      </c>
      <c r="FN408" t="e">
        <f>AND(#REF!,"AAAAAD/ebak=")</f>
        <v>#REF!</v>
      </c>
      <c r="FO408" t="e">
        <f>AND(#REF!,"AAAAAD/ebao=")</f>
        <v>#REF!</v>
      </c>
      <c r="FP408" t="e">
        <f>AND(#REF!,"AAAAAD/ebas=")</f>
        <v>#REF!</v>
      </c>
      <c r="FQ408" t="e">
        <f>AND(#REF!,"AAAAAD/ebaw=")</f>
        <v>#REF!</v>
      </c>
      <c r="FR408" t="e">
        <f>AND(#REF!,"AAAAAD/eba0=")</f>
        <v>#REF!</v>
      </c>
      <c r="FS408" t="e">
        <f>AND(#REF!,"AAAAAD/eba4=")</f>
        <v>#REF!</v>
      </c>
      <c r="FT408" t="e">
        <f>AND(#REF!,"AAAAAD/eba8=")</f>
        <v>#REF!</v>
      </c>
      <c r="FU408" t="e">
        <f>AND(#REF!,"AAAAAD/ebbA=")</f>
        <v>#REF!</v>
      </c>
      <c r="FV408" t="e">
        <f>AND(#REF!,"AAAAAD/ebbE=")</f>
        <v>#REF!</v>
      </c>
      <c r="FW408" t="e">
        <f>AND(#REF!,"AAAAAD/ebbI=")</f>
        <v>#REF!</v>
      </c>
      <c r="FX408" t="e">
        <f>AND(#REF!,"AAAAAD/ebbM=")</f>
        <v>#REF!</v>
      </c>
      <c r="FY408" t="e">
        <f>AND(#REF!,"AAAAAD/ebbQ=")</f>
        <v>#REF!</v>
      </c>
      <c r="FZ408" t="e">
        <f>AND(#REF!,"AAAAAD/ebbU=")</f>
        <v>#REF!</v>
      </c>
      <c r="GA408" t="e">
        <f>AND(#REF!,"AAAAAD/ebbY=")</f>
        <v>#REF!</v>
      </c>
      <c r="GB408" t="e">
        <f>AND(#REF!,"AAAAAD/ebbc=")</f>
        <v>#REF!</v>
      </c>
      <c r="GC408" t="e">
        <f>AND(#REF!,"AAAAAD/ebbg=")</f>
        <v>#REF!</v>
      </c>
      <c r="GD408" t="e">
        <f>AND(#REF!,"AAAAAD/ebbk=")</f>
        <v>#REF!</v>
      </c>
      <c r="GE408" t="e">
        <f>AND(#REF!,"AAAAAD/ebbo=")</f>
        <v>#REF!</v>
      </c>
      <c r="GF408" t="e">
        <f>AND(#REF!,"AAAAAD/ebbs=")</f>
        <v>#REF!</v>
      </c>
      <c r="GG408" t="e">
        <f>AND(#REF!,"AAAAAD/ebbw=")</f>
        <v>#REF!</v>
      </c>
      <c r="GH408" t="e">
        <f>AND(#REF!,"AAAAAD/ebb0=")</f>
        <v>#REF!</v>
      </c>
      <c r="GI408" t="e">
        <f>AND(#REF!,"AAAAAD/ebb4=")</f>
        <v>#REF!</v>
      </c>
      <c r="GJ408" t="e">
        <f>AND(#REF!,"AAAAAD/ebb8=")</f>
        <v>#REF!</v>
      </c>
      <c r="GK408" t="e">
        <f>AND(#REF!,"AAAAAD/ebcA=")</f>
        <v>#REF!</v>
      </c>
      <c r="GL408" t="e">
        <f>IF(#REF!,"AAAAAD/ebcE=",0)</f>
        <v>#REF!</v>
      </c>
      <c r="GM408" t="e">
        <f>AND(#REF!,"AAAAAD/ebcI=")</f>
        <v>#REF!</v>
      </c>
      <c r="GN408" t="e">
        <f>AND(#REF!,"AAAAAD/ebcM=")</f>
        <v>#REF!</v>
      </c>
      <c r="GO408" t="e">
        <f>AND(#REF!,"AAAAAD/ebcQ=")</f>
        <v>#REF!</v>
      </c>
      <c r="GP408" t="e">
        <f>AND(#REF!,"AAAAAD/ebcU=")</f>
        <v>#REF!</v>
      </c>
      <c r="GQ408" t="e">
        <f>AND(#REF!,"AAAAAD/ebcY=")</f>
        <v>#REF!</v>
      </c>
      <c r="GR408" t="e">
        <f>AND(#REF!,"AAAAAD/ebcc=")</f>
        <v>#REF!</v>
      </c>
      <c r="GS408" t="e">
        <f>AND(#REF!,"AAAAAD/ebcg=")</f>
        <v>#REF!</v>
      </c>
      <c r="GT408" t="e">
        <f>AND(#REF!,"AAAAAD/ebck=")</f>
        <v>#REF!</v>
      </c>
      <c r="GU408" t="e">
        <f>AND(#REF!,"AAAAAD/ebco=")</f>
        <v>#REF!</v>
      </c>
      <c r="GV408" t="e">
        <f>AND(#REF!,"AAAAAD/ebcs=")</f>
        <v>#REF!</v>
      </c>
      <c r="GW408" t="e">
        <f>AND(#REF!,"AAAAAD/ebcw=")</f>
        <v>#REF!</v>
      </c>
      <c r="GX408" t="e">
        <f>AND(#REF!,"AAAAAD/ebc0=")</f>
        <v>#REF!</v>
      </c>
      <c r="GY408" t="e">
        <f>AND(#REF!,"AAAAAD/ebc4=")</f>
        <v>#REF!</v>
      </c>
      <c r="GZ408" t="e">
        <f>AND(#REF!,"AAAAAD/ebc8=")</f>
        <v>#REF!</v>
      </c>
      <c r="HA408" t="e">
        <f>AND(#REF!,"AAAAAD/ebdA=")</f>
        <v>#REF!</v>
      </c>
      <c r="HB408" t="e">
        <f>AND(#REF!,"AAAAAD/ebdE=")</f>
        <v>#REF!</v>
      </c>
      <c r="HC408" t="e">
        <f>AND(#REF!,"AAAAAD/ebdI=")</f>
        <v>#REF!</v>
      </c>
      <c r="HD408" t="e">
        <f>AND(#REF!,"AAAAAD/ebdM=")</f>
        <v>#REF!</v>
      </c>
      <c r="HE408" t="e">
        <f>AND(#REF!,"AAAAAD/ebdQ=")</f>
        <v>#REF!</v>
      </c>
      <c r="HF408" t="e">
        <f>AND(#REF!,"AAAAAD/ebdU=")</f>
        <v>#REF!</v>
      </c>
      <c r="HG408" t="e">
        <f>AND(#REF!,"AAAAAD/ebdY=")</f>
        <v>#REF!</v>
      </c>
      <c r="HH408" t="e">
        <f>AND(#REF!,"AAAAAD/ebdc=")</f>
        <v>#REF!</v>
      </c>
      <c r="HI408" t="e">
        <f>AND(#REF!,"AAAAAD/ebdg=")</f>
        <v>#REF!</v>
      </c>
      <c r="HJ408" t="e">
        <f>AND(#REF!,"AAAAAD/ebdk=")</f>
        <v>#REF!</v>
      </c>
      <c r="HK408" t="e">
        <f>IF(#REF!,"AAAAAD/ebdo=",0)</f>
        <v>#REF!</v>
      </c>
      <c r="HL408" t="e">
        <f>AND(#REF!,"AAAAAD/ebds=")</f>
        <v>#REF!</v>
      </c>
      <c r="HM408" t="e">
        <f>AND(#REF!,"AAAAAD/ebdw=")</f>
        <v>#REF!</v>
      </c>
      <c r="HN408" t="e">
        <f>AND(#REF!,"AAAAAD/ebd0=")</f>
        <v>#REF!</v>
      </c>
      <c r="HO408" t="e">
        <f>AND(#REF!,"AAAAAD/ebd4=")</f>
        <v>#REF!</v>
      </c>
      <c r="HP408" t="e">
        <f>AND(#REF!,"AAAAAD/ebd8=")</f>
        <v>#REF!</v>
      </c>
      <c r="HQ408" t="e">
        <f>AND(#REF!,"AAAAAD/ebeA=")</f>
        <v>#REF!</v>
      </c>
      <c r="HR408" t="e">
        <f>AND(#REF!,"AAAAAD/ebeE=")</f>
        <v>#REF!</v>
      </c>
      <c r="HS408" t="e">
        <f>AND(#REF!,"AAAAAD/ebeI=")</f>
        <v>#REF!</v>
      </c>
      <c r="HT408" t="e">
        <f>AND(#REF!,"AAAAAD/ebeM=")</f>
        <v>#REF!</v>
      </c>
      <c r="HU408" t="e">
        <f>AND(#REF!,"AAAAAD/ebeQ=")</f>
        <v>#REF!</v>
      </c>
      <c r="HV408" t="e">
        <f>AND(#REF!,"AAAAAD/ebeU=")</f>
        <v>#REF!</v>
      </c>
      <c r="HW408" t="e">
        <f>AND(#REF!,"AAAAAD/ebeY=")</f>
        <v>#REF!</v>
      </c>
      <c r="HX408" t="e">
        <f>AND(#REF!,"AAAAAD/ebec=")</f>
        <v>#REF!</v>
      </c>
      <c r="HY408" t="e">
        <f>AND(#REF!,"AAAAAD/ebeg=")</f>
        <v>#REF!</v>
      </c>
      <c r="HZ408" t="e">
        <f>AND(#REF!,"AAAAAD/ebek=")</f>
        <v>#REF!</v>
      </c>
      <c r="IA408" t="e">
        <f>AND(#REF!,"AAAAAD/ebeo=")</f>
        <v>#REF!</v>
      </c>
      <c r="IB408" t="e">
        <f>AND(#REF!,"AAAAAD/ebes=")</f>
        <v>#REF!</v>
      </c>
      <c r="IC408" t="e">
        <f>AND(#REF!,"AAAAAD/ebew=")</f>
        <v>#REF!</v>
      </c>
      <c r="ID408" t="e">
        <f>AND(#REF!,"AAAAAD/ebe0=")</f>
        <v>#REF!</v>
      </c>
      <c r="IE408" t="e">
        <f>AND(#REF!,"AAAAAD/ebe4=")</f>
        <v>#REF!</v>
      </c>
      <c r="IF408" t="e">
        <f>AND(#REF!,"AAAAAD/ebe8=")</f>
        <v>#REF!</v>
      </c>
      <c r="IG408" t="e">
        <f>AND(#REF!,"AAAAAD/ebfA=")</f>
        <v>#REF!</v>
      </c>
      <c r="IH408" t="e">
        <f>AND(#REF!,"AAAAAD/ebfE=")</f>
        <v>#REF!</v>
      </c>
      <c r="II408" t="e">
        <f>AND(#REF!,"AAAAAD/ebfI=")</f>
        <v>#REF!</v>
      </c>
      <c r="IJ408" t="e">
        <f>IF(#REF!,"AAAAAD/ebfM=",0)</f>
        <v>#REF!</v>
      </c>
      <c r="IK408" t="e">
        <f>AND(#REF!,"AAAAAD/ebfQ=")</f>
        <v>#REF!</v>
      </c>
      <c r="IL408" t="e">
        <f>AND(#REF!,"AAAAAD/ebfU=")</f>
        <v>#REF!</v>
      </c>
      <c r="IM408" t="e">
        <f>AND(#REF!,"AAAAAD/ebfY=")</f>
        <v>#REF!</v>
      </c>
      <c r="IN408" t="e">
        <f>AND(#REF!,"AAAAAD/ebfc=")</f>
        <v>#REF!</v>
      </c>
      <c r="IO408" t="e">
        <f>AND(#REF!,"AAAAAD/ebfg=")</f>
        <v>#REF!</v>
      </c>
      <c r="IP408" t="e">
        <f>AND(#REF!,"AAAAAD/ebfk=")</f>
        <v>#REF!</v>
      </c>
      <c r="IQ408" t="e">
        <f>AND(#REF!,"AAAAAD/ebfo=")</f>
        <v>#REF!</v>
      </c>
      <c r="IR408" t="e">
        <f>AND(#REF!,"AAAAAD/ebfs=")</f>
        <v>#REF!</v>
      </c>
      <c r="IS408" t="e">
        <f>AND(#REF!,"AAAAAD/ebfw=")</f>
        <v>#REF!</v>
      </c>
      <c r="IT408" t="e">
        <f>AND(#REF!,"AAAAAD/ebf0=")</f>
        <v>#REF!</v>
      </c>
      <c r="IU408" t="e">
        <f>AND(#REF!,"AAAAAD/ebf4=")</f>
        <v>#REF!</v>
      </c>
      <c r="IV408" t="e">
        <f>AND(#REF!,"AAAAAD/ebf8=")</f>
        <v>#REF!</v>
      </c>
    </row>
    <row r="409" spans="1:256">
      <c r="A409" t="e">
        <f>AND(#REF!,"AAAAAGN7fwA=")</f>
        <v>#REF!</v>
      </c>
      <c r="B409" t="e">
        <f>AND(#REF!,"AAAAAGN7fwE=")</f>
        <v>#REF!</v>
      </c>
      <c r="C409" t="e">
        <f>AND(#REF!,"AAAAAGN7fwI=")</f>
        <v>#REF!</v>
      </c>
      <c r="D409" t="e">
        <f>AND(#REF!,"AAAAAGN7fwM=")</f>
        <v>#REF!</v>
      </c>
      <c r="E409" t="e">
        <f>AND(#REF!,"AAAAAGN7fwQ=")</f>
        <v>#REF!</v>
      </c>
      <c r="F409" t="e">
        <f>AND(#REF!,"AAAAAGN7fwU=")</f>
        <v>#REF!</v>
      </c>
      <c r="G409" t="e">
        <f>AND(#REF!,"AAAAAGN7fwY=")</f>
        <v>#REF!</v>
      </c>
      <c r="H409" t="e">
        <f>AND(#REF!,"AAAAAGN7fwc=")</f>
        <v>#REF!</v>
      </c>
      <c r="I409" t="e">
        <f>AND(#REF!,"AAAAAGN7fwg=")</f>
        <v>#REF!</v>
      </c>
      <c r="J409" t="e">
        <f>AND(#REF!,"AAAAAGN7fwk=")</f>
        <v>#REF!</v>
      </c>
      <c r="K409" t="e">
        <f>AND(#REF!,"AAAAAGN7fwo=")</f>
        <v>#REF!</v>
      </c>
      <c r="L409" t="e">
        <f>AND(#REF!,"AAAAAGN7fws=")</f>
        <v>#REF!</v>
      </c>
      <c r="M409" t="e">
        <f>IF(#REF!,"AAAAAGN7fww=",0)</f>
        <v>#REF!</v>
      </c>
      <c r="N409" t="e">
        <f>AND(#REF!,"AAAAAGN7fw0=")</f>
        <v>#REF!</v>
      </c>
      <c r="O409" t="e">
        <f>AND(#REF!,"AAAAAGN7fw4=")</f>
        <v>#REF!</v>
      </c>
      <c r="P409" t="e">
        <f>AND(#REF!,"AAAAAGN7fw8=")</f>
        <v>#REF!</v>
      </c>
      <c r="Q409" t="e">
        <f>AND(#REF!,"AAAAAGN7fxA=")</f>
        <v>#REF!</v>
      </c>
      <c r="R409" t="e">
        <f>AND(#REF!,"AAAAAGN7fxE=")</f>
        <v>#REF!</v>
      </c>
      <c r="S409" t="e">
        <f>AND(#REF!,"AAAAAGN7fxI=")</f>
        <v>#REF!</v>
      </c>
      <c r="T409" t="e">
        <f>AND(#REF!,"AAAAAGN7fxM=")</f>
        <v>#REF!</v>
      </c>
      <c r="U409" t="e">
        <f>AND(#REF!,"AAAAAGN7fxQ=")</f>
        <v>#REF!</v>
      </c>
      <c r="V409" t="e">
        <f>AND(#REF!,"AAAAAGN7fxU=")</f>
        <v>#REF!</v>
      </c>
      <c r="W409" t="e">
        <f>AND(#REF!,"AAAAAGN7fxY=")</f>
        <v>#REF!</v>
      </c>
      <c r="X409" t="e">
        <f>AND(#REF!,"AAAAAGN7fxc=")</f>
        <v>#REF!</v>
      </c>
      <c r="Y409" t="e">
        <f>AND(#REF!,"AAAAAGN7fxg=")</f>
        <v>#REF!</v>
      </c>
      <c r="Z409" t="e">
        <f>AND(#REF!,"AAAAAGN7fxk=")</f>
        <v>#REF!</v>
      </c>
      <c r="AA409" t="e">
        <f>AND(#REF!,"AAAAAGN7fxo=")</f>
        <v>#REF!</v>
      </c>
      <c r="AB409" t="e">
        <f>AND(#REF!,"AAAAAGN7fxs=")</f>
        <v>#REF!</v>
      </c>
      <c r="AC409" t="e">
        <f>AND(#REF!,"AAAAAGN7fxw=")</f>
        <v>#REF!</v>
      </c>
      <c r="AD409" t="e">
        <f>AND(#REF!,"AAAAAGN7fx0=")</f>
        <v>#REF!</v>
      </c>
      <c r="AE409" t="e">
        <f>AND(#REF!,"AAAAAGN7fx4=")</f>
        <v>#REF!</v>
      </c>
      <c r="AF409" t="e">
        <f>AND(#REF!,"AAAAAGN7fx8=")</f>
        <v>#REF!</v>
      </c>
      <c r="AG409" t="e">
        <f>AND(#REF!,"AAAAAGN7fyA=")</f>
        <v>#REF!</v>
      </c>
      <c r="AH409" t="e">
        <f>AND(#REF!,"AAAAAGN7fyE=")</f>
        <v>#REF!</v>
      </c>
      <c r="AI409" t="e">
        <f>AND(#REF!,"AAAAAGN7fyI=")</f>
        <v>#REF!</v>
      </c>
      <c r="AJ409" t="e">
        <f>AND(#REF!,"AAAAAGN7fyM=")</f>
        <v>#REF!</v>
      </c>
      <c r="AK409" t="e">
        <f>AND(#REF!,"AAAAAGN7fyQ=")</f>
        <v>#REF!</v>
      </c>
      <c r="AL409" t="e">
        <f>IF(#REF!,"AAAAAGN7fyU=",0)</f>
        <v>#REF!</v>
      </c>
      <c r="AM409" t="e">
        <f>AND(#REF!,"AAAAAGN7fyY=")</f>
        <v>#REF!</v>
      </c>
      <c r="AN409" t="e">
        <f>AND(#REF!,"AAAAAGN7fyc=")</f>
        <v>#REF!</v>
      </c>
      <c r="AO409" t="e">
        <f>AND(#REF!,"AAAAAGN7fyg=")</f>
        <v>#REF!</v>
      </c>
      <c r="AP409" t="e">
        <f>AND(#REF!,"AAAAAGN7fyk=")</f>
        <v>#REF!</v>
      </c>
      <c r="AQ409" t="e">
        <f>AND(#REF!,"AAAAAGN7fyo=")</f>
        <v>#REF!</v>
      </c>
      <c r="AR409" t="e">
        <f>AND(#REF!,"AAAAAGN7fys=")</f>
        <v>#REF!</v>
      </c>
      <c r="AS409" t="e">
        <f>AND(#REF!,"AAAAAGN7fyw=")</f>
        <v>#REF!</v>
      </c>
      <c r="AT409" t="e">
        <f>AND(#REF!,"AAAAAGN7fy0=")</f>
        <v>#REF!</v>
      </c>
      <c r="AU409" t="e">
        <f>AND(#REF!,"AAAAAGN7fy4=")</f>
        <v>#REF!</v>
      </c>
      <c r="AV409" t="e">
        <f>AND(#REF!,"AAAAAGN7fy8=")</f>
        <v>#REF!</v>
      </c>
      <c r="AW409" t="e">
        <f>AND(#REF!,"AAAAAGN7fzA=")</f>
        <v>#REF!</v>
      </c>
      <c r="AX409" t="e">
        <f>AND(#REF!,"AAAAAGN7fzE=")</f>
        <v>#REF!</v>
      </c>
      <c r="AY409" t="e">
        <f>AND(#REF!,"AAAAAGN7fzI=")</f>
        <v>#REF!</v>
      </c>
      <c r="AZ409" t="e">
        <f>AND(#REF!,"AAAAAGN7fzM=")</f>
        <v>#REF!</v>
      </c>
      <c r="BA409" t="e">
        <f>AND(#REF!,"AAAAAGN7fzQ=")</f>
        <v>#REF!</v>
      </c>
      <c r="BB409" t="e">
        <f>AND(#REF!,"AAAAAGN7fzU=")</f>
        <v>#REF!</v>
      </c>
      <c r="BC409" t="e">
        <f>AND(#REF!,"AAAAAGN7fzY=")</f>
        <v>#REF!</v>
      </c>
      <c r="BD409" t="e">
        <f>AND(#REF!,"AAAAAGN7fzc=")</f>
        <v>#REF!</v>
      </c>
      <c r="BE409" t="e">
        <f>AND(#REF!,"AAAAAGN7fzg=")</f>
        <v>#REF!</v>
      </c>
      <c r="BF409" t="e">
        <f>AND(#REF!,"AAAAAGN7fzk=")</f>
        <v>#REF!</v>
      </c>
      <c r="BG409" t="e">
        <f>AND(#REF!,"AAAAAGN7fzo=")</f>
        <v>#REF!</v>
      </c>
      <c r="BH409" t="e">
        <f>AND(#REF!,"AAAAAGN7fzs=")</f>
        <v>#REF!</v>
      </c>
      <c r="BI409" t="e">
        <f>AND(#REF!,"AAAAAGN7fzw=")</f>
        <v>#REF!</v>
      </c>
      <c r="BJ409" t="e">
        <f>AND(#REF!,"AAAAAGN7fz0=")</f>
        <v>#REF!</v>
      </c>
      <c r="BK409" t="e">
        <f>IF(#REF!,"AAAAAGN7fz4=",0)</f>
        <v>#REF!</v>
      </c>
      <c r="BL409" t="e">
        <f>AND(#REF!,"AAAAAGN7fz8=")</f>
        <v>#REF!</v>
      </c>
      <c r="BM409" t="e">
        <f>AND(#REF!,"AAAAAGN7f0A=")</f>
        <v>#REF!</v>
      </c>
      <c r="BN409" t="e">
        <f>AND(#REF!,"AAAAAGN7f0E=")</f>
        <v>#REF!</v>
      </c>
      <c r="BO409" t="e">
        <f>AND(#REF!,"AAAAAGN7f0I=")</f>
        <v>#REF!</v>
      </c>
      <c r="BP409" t="e">
        <f>AND(#REF!,"AAAAAGN7f0M=")</f>
        <v>#REF!</v>
      </c>
      <c r="BQ409" t="e">
        <f>AND(#REF!,"AAAAAGN7f0Q=")</f>
        <v>#REF!</v>
      </c>
      <c r="BR409" t="e">
        <f>AND(#REF!,"AAAAAGN7f0U=")</f>
        <v>#REF!</v>
      </c>
      <c r="BS409" t="e">
        <f>AND(#REF!,"AAAAAGN7f0Y=")</f>
        <v>#REF!</v>
      </c>
      <c r="BT409" t="e">
        <f>AND(#REF!,"AAAAAGN7f0c=")</f>
        <v>#REF!</v>
      </c>
      <c r="BU409" t="e">
        <f>AND(#REF!,"AAAAAGN7f0g=")</f>
        <v>#REF!</v>
      </c>
      <c r="BV409" t="e">
        <f>AND(#REF!,"AAAAAGN7f0k=")</f>
        <v>#REF!</v>
      </c>
      <c r="BW409" t="e">
        <f>AND(#REF!,"AAAAAGN7f0o=")</f>
        <v>#REF!</v>
      </c>
      <c r="BX409" t="e">
        <f>AND(#REF!,"AAAAAGN7f0s=")</f>
        <v>#REF!</v>
      </c>
      <c r="BY409" t="e">
        <f>AND(#REF!,"AAAAAGN7f0w=")</f>
        <v>#REF!</v>
      </c>
      <c r="BZ409" t="e">
        <f>AND(#REF!,"AAAAAGN7f00=")</f>
        <v>#REF!</v>
      </c>
      <c r="CA409" t="e">
        <f>AND(#REF!,"AAAAAGN7f04=")</f>
        <v>#REF!</v>
      </c>
      <c r="CB409" t="e">
        <f>AND(#REF!,"AAAAAGN7f08=")</f>
        <v>#REF!</v>
      </c>
      <c r="CC409" t="e">
        <f>AND(#REF!,"AAAAAGN7f1A=")</f>
        <v>#REF!</v>
      </c>
      <c r="CD409" t="e">
        <f>AND(#REF!,"AAAAAGN7f1E=")</f>
        <v>#REF!</v>
      </c>
      <c r="CE409" t="e">
        <f>AND(#REF!,"AAAAAGN7f1I=")</f>
        <v>#REF!</v>
      </c>
      <c r="CF409" t="e">
        <f>AND(#REF!,"AAAAAGN7f1M=")</f>
        <v>#REF!</v>
      </c>
      <c r="CG409" t="e">
        <f>AND(#REF!,"AAAAAGN7f1Q=")</f>
        <v>#REF!</v>
      </c>
      <c r="CH409" t="e">
        <f>AND(#REF!,"AAAAAGN7f1U=")</f>
        <v>#REF!</v>
      </c>
      <c r="CI409" t="e">
        <f>AND(#REF!,"AAAAAGN7f1Y=")</f>
        <v>#REF!</v>
      </c>
      <c r="CJ409" t="e">
        <f>IF(#REF!,"AAAAAGN7f1c=",0)</f>
        <v>#REF!</v>
      </c>
      <c r="CK409" t="e">
        <f>AND(#REF!,"AAAAAGN7f1g=")</f>
        <v>#REF!</v>
      </c>
      <c r="CL409" t="e">
        <f>AND(#REF!,"AAAAAGN7f1k=")</f>
        <v>#REF!</v>
      </c>
      <c r="CM409" t="e">
        <f>AND(#REF!,"AAAAAGN7f1o=")</f>
        <v>#REF!</v>
      </c>
      <c r="CN409" t="e">
        <f>AND(#REF!,"AAAAAGN7f1s=")</f>
        <v>#REF!</v>
      </c>
      <c r="CO409" t="e">
        <f>AND(#REF!,"AAAAAGN7f1w=")</f>
        <v>#REF!</v>
      </c>
      <c r="CP409" t="e">
        <f>AND(#REF!,"AAAAAGN7f10=")</f>
        <v>#REF!</v>
      </c>
      <c r="CQ409" t="e">
        <f>AND(#REF!,"AAAAAGN7f14=")</f>
        <v>#REF!</v>
      </c>
      <c r="CR409" t="e">
        <f>AND(#REF!,"AAAAAGN7f18=")</f>
        <v>#REF!</v>
      </c>
      <c r="CS409" t="e">
        <f>AND(#REF!,"AAAAAGN7f2A=")</f>
        <v>#REF!</v>
      </c>
      <c r="CT409" t="e">
        <f>AND(#REF!,"AAAAAGN7f2E=")</f>
        <v>#REF!</v>
      </c>
      <c r="CU409" t="e">
        <f>AND(#REF!,"AAAAAGN7f2I=")</f>
        <v>#REF!</v>
      </c>
      <c r="CV409" t="e">
        <f>AND(#REF!,"AAAAAGN7f2M=")</f>
        <v>#REF!</v>
      </c>
      <c r="CW409" t="e">
        <f>AND(#REF!,"AAAAAGN7f2Q=")</f>
        <v>#REF!</v>
      </c>
      <c r="CX409" t="e">
        <f>AND(#REF!,"AAAAAGN7f2U=")</f>
        <v>#REF!</v>
      </c>
      <c r="CY409" t="e">
        <f>AND(#REF!,"AAAAAGN7f2Y=")</f>
        <v>#REF!</v>
      </c>
      <c r="CZ409" t="e">
        <f>AND(#REF!,"AAAAAGN7f2c=")</f>
        <v>#REF!</v>
      </c>
      <c r="DA409" t="e">
        <f>AND(#REF!,"AAAAAGN7f2g=")</f>
        <v>#REF!</v>
      </c>
      <c r="DB409" t="e">
        <f>AND(#REF!,"AAAAAGN7f2k=")</f>
        <v>#REF!</v>
      </c>
      <c r="DC409" t="e">
        <f>AND(#REF!,"AAAAAGN7f2o=")</f>
        <v>#REF!</v>
      </c>
      <c r="DD409" t="e">
        <f>AND(#REF!,"AAAAAGN7f2s=")</f>
        <v>#REF!</v>
      </c>
      <c r="DE409" t="e">
        <f>AND(#REF!,"AAAAAGN7f2w=")</f>
        <v>#REF!</v>
      </c>
      <c r="DF409" t="e">
        <f>AND(#REF!,"AAAAAGN7f20=")</f>
        <v>#REF!</v>
      </c>
      <c r="DG409" t="e">
        <f>AND(#REF!,"AAAAAGN7f24=")</f>
        <v>#REF!</v>
      </c>
      <c r="DH409" t="e">
        <f>AND(#REF!,"AAAAAGN7f28=")</f>
        <v>#REF!</v>
      </c>
      <c r="DI409" t="e">
        <f>IF(#REF!,"AAAAAGN7f3A=",0)</f>
        <v>#REF!</v>
      </c>
      <c r="DJ409" t="e">
        <f>AND(#REF!,"AAAAAGN7f3E=")</f>
        <v>#REF!</v>
      </c>
      <c r="DK409" t="e">
        <f>AND(#REF!,"AAAAAGN7f3I=")</f>
        <v>#REF!</v>
      </c>
      <c r="DL409" t="e">
        <f>AND(#REF!,"AAAAAGN7f3M=")</f>
        <v>#REF!</v>
      </c>
      <c r="DM409" t="e">
        <f>AND(#REF!,"AAAAAGN7f3Q=")</f>
        <v>#REF!</v>
      </c>
      <c r="DN409" t="e">
        <f>AND(#REF!,"AAAAAGN7f3U=")</f>
        <v>#REF!</v>
      </c>
      <c r="DO409" t="e">
        <f>AND(#REF!,"AAAAAGN7f3Y=")</f>
        <v>#REF!</v>
      </c>
      <c r="DP409" t="e">
        <f>AND(#REF!,"AAAAAGN7f3c=")</f>
        <v>#REF!</v>
      </c>
      <c r="DQ409" t="e">
        <f>AND(#REF!,"AAAAAGN7f3g=")</f>
        <v>#REF!</v>
      </c>
      <c r="DR409" t="e">
        <f>AND(#REF!,"AAAAAGN7f3k=")</f>
        <v>#REF!</v>
      </c>
      <c r="DS409" t="e">
        <f>AND(#REF!,"AAAAAGN7f3o=")</f>
        <v>#REF!</v>
      </c>
      <c r="DT409" t="e">
        <f>AND(#REF!,"AAAAAGN7f3s=")</f>
        <v>#REF!</v>
      </c>
      <c r="DU409" t="e">
        <f>AND(#REF!,"AAAAAGN7f3w=")</f>
        <v>#REF!</v>
      </c>
      <c r="DV409" t="e">
        <f>AND(#REF!,"AAAAAGN7f30=")</f>
        <v>#REF!</v>
      </c>
      <c r="DW409" t="e">
        <f>AND(#REF!,"AAAAAGN7f34=")</f>
        <v>#REF!</v>
      </c>
      <c r="DX409" t="e">
        <f>AND(#REF!,"AAAAAGN7f38=")</f>
        <v>#REF!</v>
      </c>
      <c r="DY409" t="e">
        <f>AND(#REF!,"AAAAAGN7f4A=")</f>
        <v>#REF!</v>
      </c>
      <c r="DZ409" t="e">
        <f>AND(#REF!,"AAAAAGN7f4E=")</f>
        <v>#REF!</v>
      </c>
      <c r="EA409" t="e">
        <f>AND(#REF!,"AAAAAGN7f4I=")</f>
        <v>#REF!</v>
      </c>
      <c r="EB409" t="e">
        <f>AND(#REF!,"AAAAAGN7f4M=")</f>
        <v>#REF!</v>
      </c>
      <c r="EC409" t="e">
        <f>AND(#REF!,"AAAAAGN7f4Q=")</f>
        <v>#REF!</v>
      </c>
      <c r="ED409" t="e">
        <f>AND(#REF!,"AAAAAGN7f4U=")</f>
        <v>#REF!</v>
      </c>
      <c r="EE409" t="e">
        <f>AND(#REF!,"AAAAAGN7f4Y=")</f>
        <v>#REF!</v>
      </c>
      <c r="EF409" t="e">
        <f>AND(#REF!,"AAAAAGN7f4c=")</f>
        <v>#REF!</v>
      </c>
      <c r="EG409" t="e">
        <f>AND(#REF!,"AAAAAGN7f4g=")</f>
        <v>#REF!</v>
      </c>
      <c r="EH409" t="e">
        <f>IF(#REF!,"AAAAAGN7f4k=",0)</f>
        <v>#REF!</v>
      </c>
      <c r="EI409" t="e">
        <f>AND(#REF!,"AAAAAGN7f4o=")</f>
        <v>#REF!</v>
      </c>
      <c r="EJ409" t="e">
        <f>AND(#REF!,"AAAAAGN7f4s=")</f>
        <v>#REF!</v>
      </c>
      <c r="EK409" t="e">
        <f>AND(#REF!,"AAAAAGN7f4w=")</f>
        <v>#REF!</v>
      </c>
      <c r="EL409" t="e">
        <f>AND(#REF!,"AAAAAGN7f40=")</f>
        <v>#REF!</v>
      </c>
      <c r="EM409" t="e">
        <f>AND(#REF!,"AAAAAGN7f44=")</f>
        <v>#REF!</v>
      </c>
      <c r="EN409" t="e">
        <f>AND(#REF!,"AAAAAGN7f48=")</f>
        <v>#REF!</v>
      </c>
      <c r="EO409" t="e">
        <f>AND(#REF!,"AAAAAGN7f5A=")</f>
        <v>#REF!</v>
      </c>
      <c r="EP409" t="e">
        <f>AND(#REF!,"AAAAAGN7f5E=")</f>
        <v>#REF!</v>
      </c>
      <c r="EQ409" t="e">
        <f>AND(#REF!,"AAAAAGN7f5I=")</f>
        <v>#REF!</v>
      </c>
      <c r="ER409" t="e">
        <f>AND(#REF!,"AAAAAGN7f5M=")</f>
        <v>#REF!</v>
      </c>
      <c r="ES409" t="e">
        <f>AND(#REF!,"AAAAAGN7f5Q=")</f>
        <v>#REF!</v>
      </c>
      <c r="ET409" t="e">
        <f>AND(#REF!,"AAAAAGN7f5U=")</f>
        <v>#REF!</v>
      </c>
      <c r="EU409" t="e">
        <f>AND(#REF!,"AAAAAGN7f5Y=")</f>
        <v>#REF!</v>
      </c>
      <c r="EV409" t="e">
        <f>AND(#REF!,"AAAAAGN7f5c=")</f>
        <v>#REF!</v>
      </c>
      <c r="EW409" t="e">
        <f>AND(#REF!,"AAAAAGN7f5g=")</f>
        <v>#REF!</v>
      </c>
      <c r="EX409" t="e">
        <f>AND(#REF!,"AAAAAGN7f5k=")</f>
        <v>#REF!</v>
      </c>
      <c r="EY409" t="e">
        <f>AND(#REF!,"AAAAAGN7f5o=")</f>
        <v>#REF!</v>
      </c>
      <c r="EZ409" t="e">
        <f>AND(#REF!,"AAAAAGN7f5s=")</f>
        <v>#REF!</v>
      </c>
      <c r="FA409" t="e">
        <f>AND(#REF!,"AAAAAGN7f5w=")</f>
        <v>#REF!</v>
      </c>
      <c r="FB409" t="e">
        <f>AND(#REF!,"AAAAAGN7f50=")</f>
        <v>#REF!</v>
      </c>
      <c r="FC409" t="e">
        <f>AND(#REF!,"AAAAAGN7f54=")</f>
        <v>#REF!</v>
      </c>
      <c r="FD409" t="e">
        <f>AND(#REF!,"AAAAAGN7f58=")</f>
        <v>#REF!</v>
      </c>
      <c r="FE409" t="e">
        <f>AND(#REF!,"AAAAAGN7f6A=")</f>
        <v>#REF!</v>
      </c>
      <c r="FF409" t="e">
        <f>AND(#REF!,"AAAAAGN7f6E=")</f>
        <v>#REF!</v>
      </c>
      <c r="FG409" t="e">
        <f>IF(#REF!,"AAAAAGN7f6I=",0)</f>
        <v>#REF!</v>
      </c>
      <c r="FH409" t="e">
        <f>AND(#REF!,"AAAAAGN7f6M=")</f>
        <v>#REF!</v>
      </c>
      <c r="FI409" t="e">
        <f>AND(#REF!,"AAAAAGN7f6Q=")</f>
        <v>#REF!</v>
      </c>
      <c r="FJ409" t="e">
        <f>AND(#REF!,"AAAAAGN7f6U=")</f>
        <v>#REF!</v>
      </c>
      <c r="FK409" t="e">
        <f>AND(#REF!,"AAAAAGN7f6Y=")</f>
        <v>#REF!</v>
      </c>
      <c r="FL409" t="e">
        <f>AND(#REF!,"AAAAAGN7f6c=")</f>
        <v>#REF!</v>
      </c>
      <c r="FM409" t="e">
        <f>AND(#REF!,"AAAAAGN7f6g=")</f>
        <v>#REF!</v>
      </c>
      <c r="FN409" t="e">
        <f>AND(#REF!,"AAAAAGN7f6k=")</f>
        <v>#REF!</v>
      </c>
      <c r="FO409" t="e">
        <f>AND(#REF!,"AAAAAGN7f6o=")</f>
        <v>#REF!</v>
      </c>
      <c r="FP409" t="e">
        <f>AND(#REF!,"AAAAAGN7f6s=")</f>
        <v>#REF!</v>
      </c>
      <c r="FQ409" t="e">
        <f>AND(#REF!,"AAAAAGN7f6w=")</f>
        <v>#REF!</v>
      </c>
      <c r="FR409" t="e">
        <f>AND(#REF!,"AAAAAGN7f60=")</f>
        <v>#REF!</v>
      </c>
      <c r="FS409" t="e">
        <f>AND(#REF!,"AAAAAGN7f64=")</f>
        <v>#REF!</v>
      </c>
      <c r="FT409" t="e">
        <f>AND(#REF!,"AAAAAGN7f68=")</f>
        <v>#REF!</v>
      </c>
      <c r="FU409" t="e">
        <f>AND(#REF!,"AAAAAGN7f7A=")</f>
        <v>#REF!</v>
      </c>
      <c r="FV409" t="e">
        <f>AND(#REF!,"AAAAAGN7f7E=")</f>
        <v>#REF!</v>
      </c>
      <c r="FW409" t="e">
        <f>AND(#REF!,"AAAAAGN7f7I=")</f>
        <v>#REF!</v>
      </c>
      <c r="FX409" t="e">
        <f>AND(#REF!,"AAAAAGN7f7M=")</f>
        <v>#REF!</v>
      </c>
      <c r="FY409" t="e">
        <f>AND(#REF!,"AAAAAGN7f7Q=")</f>
        <v>#REF!</v>
      </c>
      <c r="FZ409" t="e">
        <f>AND(#REF!,"AAAAAGN7f7U=")</f>
        <v>#REF!</v>
      </c>
      <c r="GA409" t="e">
        <f>AND(#REF!,"AAAAAGN7f7Y=")</f>
        <v>#REF!</v>
      </c>
      <c r="GB409" t="e">
        <f>AND(#REF!,"AAAAAGN7f7c=")</f>
        <v>#REF!</v>
      </c>
      <c r="GC409" t="e">
        <f>AND(#REF!,"AAAAAGN7f7g=")</f>
        <v>#REF!</v>
      </c>
      <c r="GD409" t="e">
        <f>AND(#REF!,"AAAAAGN7f7k=")</f>
        <v>#REF!</v>
      </c>
      <c r="GE409" t="e">
        <f>AND(#REF!,"AAAAAGN7f7o=")</f>
        <v>#REF!</v>
      </c>
      <c r="GF409" t="e">
        <f>IF(#REF!,"AAAAAGN7f7s=",0)</f>
        <v>#REF!</v>
      </c>
      <c r="GG409" t="e">
        <f>AND(#REF!,"AAAAAGN7f7w=")</f>
        <v>#REF!</v>
      </c>
      <c r="GH409" t="e">
        <f>AND(#REF!,"AAAAAGN7f70=")</f>
        <v>#REF!</v>
      </c>
      <c r="GI409" t="e">
        <f>AND(#REF!,"AAAAAGN7f74=")</f>
        <v>#REF!</v>
      </c>
      <c r="GJ409" t="e">
        <f>AND(#REF!,"AAAAAGN7f78=")</f>
        <v>#REF!</v>
      </c>
      <c r="GK409" t="e">
        <f>AND(#REF!,"AAAAAGN7f8A=")</f>
        <v>#REF!</v>
      </c>
      <c r="GL409" t="e">
        <f>AND(#REF!,"AAAAAGN7f8E=")</f>
        <v>#REF!</v>
      </c>
      <c r="GM409" t="e">
        <f>AND(#REF!,"AAAAAGN7f8I=")</f>
        <v>#REF!</v>
      </c>
      <c r="GN409" t="e">
        <f>AND(#REF!,"AAAAAGN7f8M=")</f>
        <v>#REF!</v>
      </c>
      <c r="GO409" t="e">
        <f>AND(#REF!,"AAAAAGN7f8Q=")</f>
        <v>#REF!</v>
      </c>
      <c r="GP409" t="e">
        <f>AND(#REF!,"AAAAAGN7f8U=")</f>
        <v>#REF!</v>
      </c>
      <c r="GQ409" t="e">
        <f>AND(#REF!,"AAAAAGN7f8Y=")</f>
        <v>#REF!</v>
      </c>
      <c r="GR409" t="e">
        <f>AND(#REF!,"AAAAAGN7f8c=")</f>
        <v>#REF!</v>
      </c>
      <c r="GS409" t="e">
        <f>AND(#REF!,"AAAAAGN7f8g=")</f>
        <v>#REF!</v>
      </c>
      <c r="GT409" t="e">
        <f>AND(#REF!,"AAAAAGN7f8k=")</f>
        <v>#REF!</v>
      </c>
      <c r="GU409" t="e">
        <f>AND(#REF!,"AAAAAGN7f8o=")</f>
        <v>#REF!</v>
      </c>
      <c r="GV409" t="e">
        <f>AND(#REF!,"AAAAAGN7f8s=")</f>
        <v>#REF!</v>
      </c>
      <c r="GW409" t="e">
        <f>AND(#REF!,"AAAAAGN7f8w=")</f>
        <v>#REF!</v>
      </c>
      <c r="GX409" t="e">
        <f>AND(#REF!,"AAAAAGN7f80=")</f>
        <v>#REF!</v>
      </c>
      <c r="GY409" t="e">
        <f>AND(#REF!,"AAAAAGN7f84=")</f>
        <v>#REF!</v>
      </c>
      <c r="GZ409" t="e">
        <f>AND(#REF!,"AAAAAGN7f88=")</f>
        <v>#REF!</v>
      </c>
      <c r="HA409" t="e">
        <f>AND(#REF!,"AAAAAGN7f9A=")</f>
        <v>#REF!</v>
      </c>
      <c r="HB409" t="e">
        <f>AND(#REF!,"AAAAAGN7f9E=")</f>
        <v>#REF!</v>
      </c>
      <c r="HC409" t="e">
        <f>AND(#REF!,"AAAAAGN7f9I=")</f>
        <v>#REF!</v>
      </c>
      <c r="HD409" t="e">
        <f>AND(#REF!,"AAAAAGN7f9M=")</f>
        <v>#REF!</v>
      </c>
      <c r="HE409" t="e">
        <f>IF(#REF!,"AAAAAGN7f9Q=",0)</f>
        <v>#REF!</v>
      </c>
      <c r="HF409" t="e">
        <f>AND(#REF!,"AAAAAGN7f9U=")</f>
        <v>#REF!</v>
      </c>
      <c r="HG409" t="e">
        <f>AND(#REF!,"AAAAAGN7f9Y=")</f>
        <v>#REF!</v>
      </c>
      <c r="HH409" t="e">
        <f>AND(#REF!,"AAAAAGN7f9c=")</f>
        <v>#REF!</v>
      </c>
      <c r="HI409" t="e">
        <f>AND(#REF!,"AAAAAGN7f9g=")</f>
        <v>#REF!</v>
      </c>
      <c r="HJ409" t="e">
        <f>AND(#REF!,"AAAAAGN7f9k=")</f>
        <v>#REF!</v>
      </c>
      <c r="HK409" t="e">
        <f>AND(#REF!,"AAAAAGN7f9o=")</f>
        <v>#REF!</v>
      </c>
      <c r="HL409" t="e">
        <f>AND(#REF!,"AAAAAGN7f9s=")</f>
        <v>#REF!</v>
      </c>
      <c r="HM409" t="e">
        <f>AND(#REF!,"AAAAAGN7f9w=")</f>
        <v>#REF!</v>
      </c>
      <c r="HN409" t="e">
        <f>AND(#REF!,"AAAAAGN7f90=")</f>
        <v>#REF!</v>
      </c>
      <c r="HO409" t="e">
        <f>AND(#REF!,"AAAAAGN7f94=")</f>
        <v>#REF!</v>
      </c>
      <c r="HP409" t="e">
        <f>AND(#REF!,"AAAAAGN7f98=")</f>
        <v>#REF!</v>
      </c>
      <c r="HQ409" t="e">
        <f>AND(#REF!,"AAAAAGN7f+A=")</f>
        <v>#REF!</v>
      </c>
      <c r="HR409" t="e">
        <f>AND(#REF!,"AAAAAGN7f+E=")</f>
        <v>#REF!</v>
      </c>
      <c r="HS409" t="e">
        <f>AND(#REF!,"AAAAAGN7f+I=")</f>
        <v>#REF!</v>
      </c>
      <c r="HT409" t="e">
        <f>AND(#REF!,"AAAAAGN7f+M=")</f>
        <v>#REF!</v>
      </c>
      <c r="HU409" t="e">
        <f>AND(#REF!,"AAAAAGN7f+Q=")</f>
        <v>#REF!</v>
      </c>
      <c r="HV409" t="e">
        <f>AND(#REF!,"AAAAAGN7f+U=")</f>
        <v>#REF!</v>
      </c>
      <c r="HW409" t="e">
        <f>AND(#REF!,"AAAAAGN7f+Y=")</f>
        <v>#REF!</v>
      </c>
      <c r="HX409" t="e">
        <f>AND(#REF!,"AAAAAGN7f+c=")</f>
        <v>#REF!</v>
      </c>
      <c r="HY409" t="e">
        <f>AND(#REF!,"AAAAAGN7f+g=")</f>
        <v>#REF!</v>
      </c>
      <c r="HZ409" t="e">
        <f>AND(#REF!,"AAAAAGN7f+k=")</f>
        <v>#REF!</v>
      </c>
      <c r="IA409" t="e">
        <f>AND(#REF!,"AAAAAGN7f+o=")</f>
        <v>#REF!</v>
      </c>
      <c r="IB409" t="e">
        <f>AND(#REF!,"AAAAAGN7f+s=")</f>
        <v>#REF!</v>
      </c>
      <c r="IC409" t="e">
        <f>AND(#REF!,"AAAAAGN7f+w=")</f>
        <v>#REF!</v>
      </c>
      <c r="ID409" t="e">
        <f>IF(#REF!,"AAAAAGN7f+0=",0)</f>
        <v>#REF!</v>
      </c>
      <c r="IE409" t="e">
        <f>AND(#REF!,"AAAAAGN7f+4=")</f>
        <v>#REF!</v>
      </c>
      <c r="IF409" t="e">
        <f>AND(#REF!,"AAAAAGN7f+8=")</f>
        <v>#REF!</v>
      </c>
      <c r="IG409" t="e">
        <f>AND(#REF!,"AAAAAGN7f/A=")</f>
        <v>#REF!</v>
      </c>
      <c r="IH409" t="e">
        <f>AND(#REF!,"AAAAAGN7f/E=")</f>
        <v>#REF!</v>
      </c>
      <c r="II409" t="e">
        <f>AND(#REF!,"AAAAAGN7f/I=")</f>
        <v>#REF!</v>
      </c>
      <c r="IJ409" t="e">
        <f>AND(#REF!,"AAAAAGN7f/M=")</f>
        <v>#REF!</v>
      </c>
      <c r="IK409" t="e">
        <f>AND(#REF!,"AAAAAGN7f/Q=")</f>
        <v>#REF!</v>
      </c>
      <c r="IL409" t="e">
        <f>AND(#REF!,"AAAAAGN7f/U=")</f>
        <v>#REF!</v>
      </c>
      <c r="IM409" t="e">
        <f>AND(#REF!,"AAAAAGN7f/Y=")</f>
        <v>#REF!</v>
      </c>
      <c r="IN409" t="e">
        <f>AND(#REF!,"AAAAAGN7f/c=")</f>
        <v>#REF!</v>
      </c>
      <c r="IO409" t="e">
        <f>AND(#REF!,"AAAAAGN7f/g=")</f>
        <v>#REF!</v>
      </c>
      <c r="IP409" t="e">
        <f>AND(#REF!,"AAAAAGN7f/k=")</f>
        <v>#REF!</v>
      </c>
      <c r="IQ409" t="e">
        <f>AND(#REF!,"AAAAAGN7f/o=")</f>
        <v>#REF!</v>
      </c>
      <c r="IR409" t="e">
        <f>AND(#REF!,"AAAAAGN7f/s=")</f>
        <v>#REF!</v>
      </c>
      <c r="IS409" t="e">
        <f>AND(#REF!,"AAAAAGN7f/w=")</f>
        <v>#REF!</v>
      </c>
      <c r="IT409" t="e">
        <f>AND(#REF!,"AAAAAGN7f/0=")</f>
        <v>#REF!</v>
      </c>
      <c r="IU409" t="e">
        <f>AND(#REF!,"AAAAAGN7f/4=")</f>
        <v>#REF!</v>
      </c>
      <c r="IV409" t="e">
        <f>AND(#REF!,"AAAAAGN7f/8=")</f>
        <v>#REF!</v>
      </c>
    </row>
    <row r="410" spans="1:256">
      <c r="A410" t="e">
        <f>AND(#REF!,"AAAAADV/PwA=")</f>
        <v>#REF!</v>
      </c>
      <c r="B410" t="e">
        <f>AND(#REF!,"AAAAADV/PwE=")</f>
        <v>#REF!</v>
      </c>
      <c r="C410" t="e">
        <f>AND(#REF!,"AAAAADV/PwI=")</f>
        <v>#REF!</v>
      </c>
      <c r="D410" t="e">
        <f>AND(#REF!,"AAAAADV/PwM=")</f>
        <v>#REF!</v>
      </c>
      <c r="E410" t="e">
        <f>AND(#REF!,"AAAAADV/PwQ=")</f>
        <v>#REF!</v>
      </c>
      <c r="F410" t="e">
        <f>AND(#REF!,"AAAAADV/PwU=")</f>
        <v>#REF!</v>
      </c>
      <c r="G410" t="e">
        <f>IF(#REF!,"AAAAADV/PwY=",0)</f>
        <v>#REF!</v>
      </c>
      <c r="H410" t="e">
        <f>AND(#REF!,"AAAAADV/Pwc=")</f>
        <v>#REF!</v>
      </c>
      <c r="I410" t="e">
        <f>AND(#REF!,"AAAAADV/Pwg=")</f>
        <v>#REF!</v>
      </c>
      <c r="J410" t="e">
        <f>AND(#REF!,"AAAAADV/Pwk=")</f>
        <v>#REF!</v>
      </c>
      <c r="K410" t="e">
        <f>AND(#REF!,"AAAAADV/Pwo=")</f>
        <v>#REF!</v>
      </c>
      <c r="L410" t="e">
        <f>AND(#REF!,"AAAAADV/Pws=")</f>
        <v>#REF!</v>
      </c>
      <c r="M410" t="e">
        <f>AND(#REF!,"AAAAADV/Pww=")</f>
        <v>#REF!</v>
      </c>
      <c r="N410" t="e">
        <f>AND(#REF!,"AAAAADV/Pw0=")</f>
        <v>#REF!</v>
      </c>
      <c r="O410" t="e">
        <f>AND(#REF!,"AAAAADV/Pw4=")</f>
        <v>#REF!</v>
      </c>
      <c r="P410" t="e">
        <f>AND(#REF!,"AAAAADV/Pw8=")</f>
        <v>#REF!</v>
      </c>
      <c r="Q410" t="e">
        <f>AND(#REF!,"AAAAADV/PxA=")</f>
        <v>#REF!</v>
      </c>
      <c r="R410" t="e">
        <f>AND(#REF!,"AAAAADV/PxE=")</f>
        <v>#REF!</v>
      </c>
      <c r="S410" t="e">
        <f>AND(#REF!,"AAAAADV/PxI=")</f>
        <v>#REF!</v>
      </c>
      <c r="T410" t="e">
        <f>AND(#REF!,"AAAAADV/PxM=")</f>
        <v>#REF!</v>
      </c>
      <c r="U410" t="e">
        <f>AND(#REF!,"AAAAADV/PxQ=")</f>
        <v>#REF!</v>
      </c>
      <c r="V410" t="e">
        <f>AND(#REF!,"AAAAADV/PxU=")</f>
        <v>#REF!</v>
      </c>
      <c r="W410" t="e">
        <f>AND(#REF!,"AAAAADV/PxY=")</f>
        <v>#REF!</v>
      </c>
      <c r="X410" t="e">
        <f>AND(#REF!,"AAAAADV/Pxc=")</f>
        <v>#REF!</v>
      </c>
      <c r="Y410" t="e">
        <f>AND(#REF!,"AAAAADV/Pxg=")</f>
        <v>#REF!</v>
      </c>
      <c r="Z410" t="e">
        <f>AND(#REF!,"AAAAADV/Pxk=")</f>
        <v>#REF!</v>
      </c>
      <c r="AA410" t="e">
        <f>AND(#REF!,"AAAAADV/Pxo=")</f>
        <v>#REF!</v>
      </c>
      <c r="AB410" t="e">
        <f>AND(#REF!,"AAAAADV/Pxs=")</f>
        <v>#REF!</v>
      </c>
      <c r="AC410" t="e">
        <f>AND(#REF!,"AAAAADV/Pxw=")</f>
        <v>#REF!</v>
      </c>
      <c r="AD410" t="e">
        <f>AND(#REF!,"AAAAADV/Px0=")</f>
        <v>#REF!</v>
      </c>
      <c r="AE410" t="e">
        <f>AND(#REF!,"AAAAADV/Px4=")</f>
        <v>#REF!</v>
      </c>
      <c r="AF410" t="e">
        <f>IF(#REF!,"AAAAADV/Px8=",0)</f>
        <v>#REF!</v>
      </c>
      <c r="AG410" t="e">
        <f>AND(#REF!,"AAAAADV/PyA=")</f>
        <v>#REF!</v>
      </c>
      <c r="AH410" t="e">
        <f>AND(#REF!,"AAAAADV/PyE=")</f>
        <v>#REF!</v>
      </c>
      <c r="AI410" t="e">
        <f>AND(#REF!,"AAAAADV/PyI=")</f>
        <v>#REF!</v>
      </c>
      <c r="AJ410" t="e">
        <f>AND(#REF!,"AAAAADV/PyM=")</f>
        <v>#REF!</v>
      </c>
      <c r="AK410" t="e">
        <f>AND(#REF!,"AAAAADV/PyQ=")</f>
        <v>#REF!</v>
      </c>
      <c r="AL410" t="e">
        <f>AND(#REF!,"AAAAADV/PyU=")</f>
        <v>#REF!</v>
      </c>
      <c r="AM410" t="e">
        <f>AND(#REF!,"AAAAADV/PyY=")</f>
        <v>#REF!</v>
      </c>
      <c r="AN410" t="e">
        <f>AND(#REF!,"AAAAADV/Pyc=")</f>
        <v>#REF!</v>
      </c>
      <c r="AO410" t="e">
        <f>AND(#REF!,"AAAAADV/Pyg=")</f>
        <v>#REF!</v>
      </c>
      <c r="AP410" t="e">
        <f>AND(#REF!,"AAAAADV/Pyk=")</f>
        <v>#REF!</v>
      </c>
      <c r="AQ410" t="e">
        <f>AND(#REF!,"AAAAADV/Pyo=")</f>
        <v>#REF!</v>
      </c>
      <c r="AR410" t="e">
        <f>AND(#REF!,"AAAAADV/Pys=")</f>
        <v>#REF!</v>
      </c>
      <c r="AS410" t="e">
        <f>AND(#REF!,"AAAAADV/Pyw=")</f>
        <v>#REF!</v>
      </c>
      <c r="AT410" t="e">
        <f>AND(#REF!,"AAAAADV/Py0=")</f>
        <v>#REF!</v>
      </c>
      <c r="AU410" t="e">
        <f>AND(#REF!,"AAAAADV/Py4=")</f>
        <v>#REF!</v>
      </c>
      <c r="AV410" t="e">
        <f>AND(#REF!,"AAAAADV/Py8=")</f>
        <v>#REF!</v>
      </c>
      <c r="AW410" t="e">
        <f>AND(#REF!,"AAAAADV/PzA=")</f>
        <v>#REF!</v>
      </c>
      <c r="AX410" t="e">
        <f>AND(#REF!,"AAAAADV/PzE=")</f>
        <v>#REF!</v>
      </c>
      <c r="AY410" t="e">
        <f>AND(#REF!,"AAAAADV/PzI=")</f>
        <v>#REF!</v>
      </c>
      <c r="AZ410" t="e">
        <f>AND(#REF!,"AAAAADV/PzM=")</f>
        <v>#REF!</v>
      </c>
      <c r="BA410" t="e">
        <f>AND(#REF!,"AAAAADV/PzQ=")</f>
        <v>#REF!</v>
      </c>
      <c r="BB410" t="e">
        <f>AND(#REF!,"AAAAADV/PzU=")</f>
        <v>#REF!</v>
      </c>
      <c r="BC410" t="e">
        <f>AND(#REF!,"AAAAADV/PzY=")</f>
        <v>#REF!</v>
      </c>
      <c r="BD410" t="e">
        <f>AND(#REF!,"AAAAADV/Pzc=")</f>
        <v>#REF!</v>
      </c>
      <c r="BE410" t="e">
        <f>IF(#REF!,"AAAAADV/Pzg=",0)</f>
        <v>#REF!</v>
      </c>
      <c r="BF410" t="e">
        <f>AND(#REF!,"AAAAADV/Pzk=")</f>
        <v>#REF!</v>
      </c>
      <c r="BG410" t="e">
        <f>AND(#REF!,"AAAAADV/Pzo=")</f>
        <v>#REF!</v>
      </c>
      <c r="BH410" t="e">
        <f>AND(#REF!,"AAAAADV/Pzs=")</f>
        <v>#REF!</v>
      </c>
      <c r="BI410" t="e">
        <f>AND(#REF!,"AAAAADV/Pzw=")</f>
        <v>#REF!</v>
      </c>
      <c r="BJ410" t="e">
        <f>AND(#REF!,"AAAAADV/Pz0=")</f>
        <v>#REF!</v>
      </c>
      <c r="BK410" t="e">
        <f>AND(#REF!,"AAAAADV/Pz4=")</f>
        <v>#REF!</v>
      </c>
      <c r="BL410" t="e">
        <f>AND(#REF!,"AAAAADV/Pz8=")</f>
        <v>#REF!</v>
      </c>
      <c r="BM410" t="e">
        <f>AND(#REF!,"AAAAADV/P0A=")</f>
        <v>#REF!</v>
      </c>
      <c r="BN410" t="e">
        <f>AND(#REF!,"AAAAADV/P0E=")</f>
        <v>#REF!</v>
      </c>
      <c r="BO410" t="e">
        <f>AND(#REF!,"AAAAADV/P0I=")</f>
        <v>#REF!</v>
      </c>
      <c r="BP410" t="e">
        <f>AND(#REF!,"AAAAADV/P0M=")</f>
        <v>#REF!</v>
      </c>
      <c r="BQ410" t="e">
        <f>AND(#REF!,"AAAAADV/P0Q=")</f>
        <v>#REF!</v>
      </c>
      <c r="BR410" t="e">
        <f>AND(#REF!,"AAAAADV/P0U=")</f>
        <v>#REF!</v>
      </c>
      <c r="BS410" t="e">
        <f>AND(#REF!,"AAAAADV/P0Y=")</f>
        <v>#REF!</v>
      </c>
      <c r="BT410" t="e">
        <f>AND(#REF!,"AAAAADV/P0c=")</f>
        <v>#REF!</v>
      </c>
      <c r="BU410" t="e">
        <f>AND(#REF!,"AAAAADV/P0g=")</f>
        <v>#REF!</v>
      </c>
      <c r="BV410" t="e">
        <f>AND(#REF!,"AAAAADV/P0k=")</f>
        <v>#REF!</v>
      </c>
      <c r="BW410" t="e">
        <f>AND(#REF!,"AAAAADV/P0o=")</f>
        <v>#REF!</v>
      </c>
      <c r="BX410" t="e">
        <f>AND(#REF!,"AAAAADV/P0s=")</f>
        <v>#REF!</v>
      </c>
      <c r="BY410" t="e">
        <f>AND(#REF!,"AAAAADV/P0w=")</f>
        <v>#REF!</v>
      </c>
      <c r="BZ410" t="e">
        <f>AND(#REF!,"AAAAADV/P00=")</f>
        <v>#REF!</v>
      </c>
      <c r="CA410" t="e">
        <f>AND(#REF!,"AAAAADV/P04=")</f>
        <v>#REF!</v>
      </c>
      <c r="CB410" t="e">
        <f>AND(#REF!,"AAAAADV/P08=")</f>
        <v>#REF!</v>
      </c>
      <c r="CC410" t="e">
        <f>AND(#REF!,"AAAAADV/P1A=")</f>
        <v>#REF!</v>
      </c>
      <c r="CD410" t="e">
        <f>IF(#REF!,"AAAAADV/P1E=",0)</f>
        <v>#REF!</v>
      </c>
      <c r="CE410" t="e">
        <f>AND(#REF!,"AAAAADV/P1I=")</f>
        <v>#REF!</v>
      </c>
      <c r="CF410" t="e">
        <f>AND(#REF!,"AAAAADV/P1M=")</f>
        <v>#REF!</v>
      </c>
      <c r="CG410" t="e">
        <f>AND(#REF!,"AAAAADV/P1Q=")</f>
        <v>#REF!</v>
      </c>
      <c r="CH410" t="e">
        <f>AND(#REF!,"AAAAADV/P1U=")</f>
        <v>#REF!</v>
      </c>
      <c r="CI410" t="e">
        <f>AND(#REF!,"AAAAADV/P1Y=")</f>
        <v>#REF!</v>
      </c>
      <c r="CJ410" t="e">
        <f>AND(#REF!,"AAAAADV/P1c=")</f>
        <v>#REF!</v>
      </c>
      <c r="CK410" t="e">
        <f>AND(#REF!,"AAAAADV/P1g=")</f>
        <v>#REF!</v>
      </c>
      <c r="CL410" t="e">
        <f>AND(#REF!,"AAAAADV/P1k=")</f>
        <v>#REF!</v>
      </c>
      <c r="CM410" t="e">
        <f>AND(#REF!,"AAAAADV/P1o=")</f>
        <v>#REF!</v>
      </c>
      <c r="CN410" t="e">
        <f>AND(#REF!,"AAAAADV/P1s=")</f>
        <v>#REF!</v>
      </c>
      <c r="CO410" t="e">
        <f>AND(#REF!,"AAAAADV/P1w=")</f>
        <v>#REF!</v>
      </c>
      <c r="CP410" t="e">
        <f>AND(#REF!,"AAAAADV/P10=")</f>
        <v>#REF!</v>
      </c>
      <c r="CQ410" t="e">
        <f>AND(#REF!,"AAAAADV/P14=")</f>
        <v>#REF!</v>
      </c>
      <c r="CR410" t="e">
        <f>AND(#REF!,"AAAAADV/P18=")</f>
        <v>#REF!</v>
      </c>
      <c r="CS410" t="e">
        <f>AND(#REF!,"AAAAADV/P2A=")</f>
        <v>#REF!</v>
      </c>
      <c r="CT410" t="e">
        <f>AND(#REF!,"AAAAADV/P2E=")</f>
        <v>#REF!</v>
      </c>
      <c r="CU410" t="e">
        <f>AND(#REF!,"AAAAADV/P2I=")</f>
        <v>#REF!</v>
      </c>
      <c r="CV410" t="e">
        <f>AND(#REF!,"AAAAADV/P2M=")</f>
        <v>#REF!</v>
      </c>
      <c r="CW410" t="e">
        <f>AND(#REF!,"AAAAADV/P2Q=")</f>
        <v>#REF!</v>
      </c>
      <c r="CX410" t="e">
        <f>AND(#REF!,"AAAAADV/P2U=")</f>
        <v>#REF!</v>
      </c>
      <c r="CY410" t="e">
        <f>AND(#REF!,"AAAAADV/P2Y=")</f>
        <v>#REF!</v>
      </c>
      <c r="CZ410" t="e">
        <f>AND(#REF!,"AAAAADV/P2c=")</f>
        <v>#REF!</v>
      </c>
      <c r="DA410" t="e">
        <f>AND(#REF!,"AAAAADV/P2g=")</f>
        <v>#REF!</v>
      </c>
      <c r="DB410" t="e">
        <f>AND(#REF!,"AAAAADV/P2k=")</f>
        <v>#REF!</v>
      </c>
      <c r="DC410" t="e">
        <f>IF(#REF!,"AAAAADV/P2o=",0)</f>
        <v>#REF!</v>
      </c>
      <c r="DD410" t="e">
        <f>AND(#REF!,"AAAAADV/P2s=")</f>
        <v>#REF!</v>
      </c>
      <c r="DE410" t="e">
        <f>AND(#REF!,"AAAAADV/P2w=")</f>
        <v>#REF!</v>
      </c>
      <c r="DF410" t="e">
        <f>AND(#REF!,"AAAAADV/P20=")</f>
        <v>#REF!</v>
      </c>
      <c r="DG410" t="e">
        <f>AND(#REF!,"AAAAADV/P24=")</f>
        <v>#REF!</v>
      </c>
      <c r="DH410" t="e">
        <f>AND(#REF!,"AAAAADV/P28=")</f>
        <v>#REF!</v>
      </c>
      <c r="DI410" t="e">
        <f>AND(#REF!,"AAAAADV/P3A=")</f>
        <v>#REF!</v>
      </c>
      <c r="DJ410" t="e">
        <f>AND(#REF!,"AAAAADV/P3E=")</f>
        <v>#REF!</v>
      </c>
      <c r="DK410" t="e">
        <f>AND(#REF!,"AAAAADV/P3I=")</f>
        <v>#REF!</v>
      </c>
      <c r="DL410" t="e">
        <f>AND(#REF!,"AAAAADV/P3M=")</f>
        <v>#REF!</v>
      </c>
      <c r="DM410" t="e">
        <f>AND(#REF!,"AAAAADV/P3Q=")</f>
        <v>#REF!</v>
      </c>
      <c r="DN410" t="e">
        <f>AND(#REF!,"AAAAADV/P3U=")</f>
        <v>#REF!</v>
      </c>
      <c r="DO410" t="e">
        <f>AND(#REF!,"AAAAADV/P3Y=")</f>
        <v>#REF!</v>
      </c>
      <c r="DP410" t="e">
        <f>AND(#REF!,"AAAAADV/P3c=")</f>
        <v>#REF!</v>
      </c>
      <c r="DQ410" t="e">
        <f>AND(#REF!,"AAAAADV/P3g=")</f>
        <v>#REF!</v>
      </c>
      <c r="DR410" t="e">
        <f>AND(#REF!,"AAAAADV/P3k=")</f>
        <v>#REF!</v>
      </c>
      <c r="DS410" t="e">
        <f>AND(#REF!,"AAAAADV/P3o=")</f>
        <v>#REF!</v>
      </c>
      <c r="DT410" t="e">
        <f>AND(#REF!,"AAAAADV/P3s=")</f>
        <v>#REF!</v>
      </c>
      <c r="DU410" t="e">
        <f>AND(#REF!,"AAAAADV/P3w=")</f>
        <v>#REF!</v>
      </c>
      <c r="DV410" t="e">
        <f>AND(#REF!,"AAAAADV/P30=")</f>
        <v>#REF!</v>
      </c>
      <c r="DW410" t="e">
        <f>AND(#REF!,"AAAAADV/P34=")</f>
        <v>#REF!</v>
      </c>
      <c r="DX410" t="e">
        <f>AND(#REF!,"AAAAADV/P38=")</f>
        <v>#REF!</v>
      </c>
      <c r="DY410" t="e">
        <f>AND(#REF!,"AAAAADV/P4A=")</f>
        <v>#REF!</v>
      </c>
      <c r="DZ410" t="e">
        <f>AND(#REF!,"AAAAADV/P4E=")</f>
        <v>#REF!</v>
      </c>
      <c r="EA410" t="e">
        <f>AND(#REF!,"AAAAADV/P4I=")</f>
        <v>#REF!</v>
      </c>
      <c r="EB410" t="e">
        <f>IF(#REF!,"AAAAADV/P4M=",0)</f>
        <v>#REF!</v>
      </c>
      <c r="EC410" t="e">
        <f>AND(#REF!,"AAAAADV/P4Q=")</f>
        <v>#REF!</v>
      </c>
      <c r="ED410" t="e">
        <f>AND(#REF!,"AAAAADV/P4U=")</f>
        <v>#REF!</v>
      </c>
      <c r="EE410" t="e">
        <f>AND(#REF!,"AAAAADV/P4Y=")</f>
        <v>#REF!</v>
      </c>
      <c r="EF410" t="e">
        <f>AND(#REF!,"AAAAADV/P4c=")</f>
        <v>#REF!</v>
      </c>
      <c r="EG410" t="e">
        <f>AND(#REF!,"AAAAADV/P4g=")</f>
        <v>#REF!</v>
      </c>
      <c r="EH410" t="e">
        <f>AND(#REF!,"AAAAADV/P4k=")</f>
        <v>#REF!</v>
      </c>
      <c r="EI410" t="e">
        <f>AND(#REF!,"AAAAADV/P4o=")</f>
        <v>#REF!</v>
      </c>
      <c r="EJ410" t="e">
        <f>AND(#REF!,"AAAAADV/P4s=")</f>
        <v>#REF!</v>
      </c>
      <c r="EK410" t="e">
        <f>AND(#REF!,"AAAAADV/P4w=")</f>
        <v>#REF!</v>
      </c>
      <c r="EL410" t="e">
        <f>AND(#REF!,"AAAAADV/P40=")</f>
        <v>#REF!</v>
      </c>
      <c r="EM410" t="e">
        <f>AND(#REF!,"AAAAADV/P44=")</f>
        <v>#REF!</v>
      </c>
      <c r="EN410" t="e">
        <f>AND(#REF!,"AAAAADV/P48=")</f>
        <v>#REF!</v>
      </c>
      <c r="EO410" t="e">
        <f>AND(#REF!,"AAAAADV/P5A=")</f>
        <v>#REF!</v>
      </c>
      <c r="EP410" t="e">
        <f>AND(#REF!,"AAAAADV/P5E=")</f>
        <v>#REF!</v>
      </c>
      <c r="EQ410" t="e">
        <f>AND(#REF!,"AAAAADV/P5I=")</f>
        <v>#REF!</v>
      </c>
      <c r="ER410" t="e">
        <f>AND(#REF!,"AAAAADV/P5M=")</f>
        <v>#REF!</v>
      </c>
      <c r="ES410" t="e">
        <f>AND(#REF!,"AAAAADV/P5Q=")</f>
        <v>#REF!</v>
      </c>
      <c r="ET410" t="e">
        <f>AND(#REF!,"AAAAADV/P5U=")</f>
        <v>#REF!</v>
      </c>
      <c r="EU410" t="e">
        <f>AND(#REF!,"AAAAADV/P5Y=")</f>
        <v>#REF!</v>
      </c>
      <c r="EV410" t="e">
        <f>AND(#REF!,"AAAAADV/P5c=")</f>
        <v>#REF!</v>
      </c>
      <c r="EW410" t="e">
        <f>AND(#REF!,"AAAAADV/P5g=")</f>
        <v>#REF!</v>
      </c>
      <c r="EX410" t="e">
        <f>AND(#REF!,"AAAAADV/P5k=")</f>
        <v>#REF!</v>
      </c>
      <c r="EY410" t="e">
        <f>AND(#REF!,"AAAAADV/P5o=")</f>
        <v>#REF!</v>
      </c>
      <c r="EZ410" t="e">
        <f>AND(#REF!,"AAAAADV/P5s=")</f>
        <v>#REF!</v>
      </c>
      <c r="FA410" t="e">
        <f>IF(#REF!,"AAAAADV/P5w=",0)</f>
        <v>#REF!</v>
      </c>
      <c r="FB410" t="e">
        <f>AND(#REF!,"AAAAADV/P50=")</f>
        <v>#REF!</v>
      </c>
      <c r="FC410" t="e">
        <f>AND(#REF!,"AAAAADV/P54=")</f>
        <v>#REF!</v>
      </c>
      <c r="FD410" t="e">
        <f>AND(#REF!,"AAAAADV/P58=")</f>
        <v>#REF!</v>
      </c>
      <c r="FE410" t="e">
        <f>AND(#REF!,"AAAAADV/P6A=")</f>
        <v>#REF!</v>
      </c>
      <c r="FF410" t="e">
        <f>AND(#REF!,"AAAAADV/P6E=")</f>
        <v>#REF!</v>
      </c>
      <c r="FG410" t="e">
        <f>AND(#REF!,"AAAAADV/P6I=")</f>
        <v>#REF!</v>
      </c>
      <c r="FH410" t="e">
        <f>AND(#REF!,"AAAAADV/P6M=")</f>
        <v>#REF!</v>
      </c>
      <c r="FI410" t="e">
        <f>AND(#REF!,"AAAAADV/P6Q=")</f>
        <v>#REF!</v>
      </c>
      <c r="FJ410" t="e">
        <f>AND(#REF!,"AAAAADV/P6U=")</f>
        <v>#REF!</v>
      </c>
      <c r="FK410" t="e">
        <f>AND(#REF!,"AAAAADV/P6Y=")</f>
        <v>#REF!</v>
      </c>
      <c r="FL410" t="e">
        <f>AND(#REF!,"AAAAADV/P6c=")</f>
        <v>#REF!</v>
      </c>
      <c r="FM410" t="e">
        <f>AND(#REF!,"AAAAADV/P6g=")</f>
        <v>#REF!</v>
      </c>
      <c r="FN410" t="e">
        <f>AND(#REF!,"AAAAADV/P6k=")</f>
        <v>#REF!</v>
      </c>
      <c r="FO410" t="e">
        <f>AND(#REF!,"AAAAADV/P6o=")</f>
        <v>#REF!</v>
      </c>
      <c r="FP410" t="e">
        <f>AND(#REF!,"AAAAADV/P6s=")</f>
        <v>#REF!</v>
      </c>
      <c r="FQ410" t="e">
        <f>AND(#REF!,"AAAAADV/P6w=")</f>
        <v>#REF!</v>
      </c>
      <c r="FR410" t="e">
        <f>AND(#REF!,"AAAAADV/P60=")</f>
        <v>#REF!</v>
      </c>
      <c r="FS410" t="e">
        <f>AND(#REF!,"AAAAADV/P64=")</f>
        <v>#REF!</v>
      </c>
      <c r="FT410" t="e">
        <f>AND(#REF!,"AAAAADV/P68=")</f>
        <v>#REF!</v>
      </c>
      <c r="FU410" t="e">
        <f>AND(#REF!,"AAAAADV/P7A=")</f>
        <v>#REF!</v>
      </c>
      <c r="FV410" t="e">
        <f>AND(#REF!,"AAAAADV/P7E=")</f>
        <v>#REF!</v>
      </c>
      <c r="FW410" t="e">
        <f>AND(#REF!,"AAAAADV/P7I=")</f>
        <v>#REF!</v>
      </c>
      <c r="FX410" t="e">
        <f>AND(#REF!,"AAAAADV/P7M=")</f>
        <v>#REF!</v>
      </c>
      <c r="FY410" t="e">
        <f>AND(#REF!,"AAAAADV/P7Q=")</f>
        <v>#REF!</v>
      </c>
      <c r="FZ410" t="e">
        <f>IF(#REF!,"AAAAADV/P7U=",0)</f>
        <v>#REF!</v>
      </c>
      <c r="GA410" t="e">
        <f>AND(#REF!,"AAAAADV/P7Y=")</f>
        <v>#REF!</v>
      </c>
      <c r="GB410" t="e">
        <f>AND(#REF!,"AAAAADV/P7c=")</f>
        <v>#REF!</v>
      </c>
      <c r="GC410" t="e">
        <f>AND(#REF!,"AAAAADV/P7g=")</f>
        <v>#REF!</v>
      </c>
      <c r="GD410" t="e">
        <f>AND(#REF!,"AAAAADV/P7k=")</f>
        <v>#REF!</v>
      </c>
      <c r="GE410" t="e">
        <f>AND(#REF!,"AAAAADV/P7o=")</f>
        <v>#REF!</v>
      </c>
      <c r="GF410" t="e">
        <f>AND(#REF!,"AAAAADV/P7s=")</f>
        <v>#REF!</v>
      </c>
      <c r="GG410" t="e">
        <f>AND(#REF!,"AAAAADV/P7w=")</f>
        <v>#REF!</v>
      </c>
      <c r="GH410" t="e">
        <f>AND(#REF!,"AAAAADV/P70=")</f>
        <v>#REF!</v>
      </c>
      <c r="GI410" t="e">
        <f>AND(#REF!,"AAAAADV/P74=")</f>
        <v>#REF!</v>
      </c>
      <c r="GJ410" t="e">
        <f>AND(#REF!,"AAAAADV/P78=")</f>
        <v>#REF!</v>
      </c>
      <c r="GK410" t="e">
        <f>AND(#REF!,"AAAAADV/P8A=")</f>
        <v>#REF!</v>
      </c>
      <c r="GL410" t="e">
        <f>AND(#REF!,"AAAAADV/P8E=")</f>
        <v>#REF!</v>
      </c>
      <c r="GM410" t="e">
        <f>AND(#REF!,"AAAAADV/P8I=")</f>
        <v>#REF!</v>
      </c>
      <c r="GN410" t="e">
        <f>AND(#REF!,"AAAAADV/P8M=")</f>
        <v>#REF!</v>
      </c>
      <c r="GO410" t="e">
        <f>AND(#REF!,"AAAAADV/P8Q=")</f>
        <v>#REF!</v>
      </c>
      <c r="GP410" t="e">
        <f>AND(#REF!,"AAAAADV/P8U=")</f>
        <v>#REF!</v>
      </c>
      <c r="GQ410" t="e">
        <f>AND(#REF!,"AAAAADV/P8Y=")</f>
        <v>#REF!</v>
      </c>
      <c r="GR410" t="e">
        <f>AND(#REF!,"AAAAADV/P8c=")</f>
        <v>#REF!</v>
      </c>
      <c r="GS410" t="e">
        <f>AND(#REF!,"AAAAADV/P8g=")</f>
        <v>#REF!</v>
      </c>
      <c r="GT410" t="e">
        <f>AND(#REF!,"AAAAADV/P8k=")</f>
        <v>#REF!</v>
      </c>
      <c r="GU410" t="e">
        <f>AND(#REF!,"AAAAADV/P8o=")</f>
        <v>#REF!</v>
      </c>
      <c r="GV410" t="e">
        <f>AND(#REF!,"AAAAADV/P8s=")</f>
        <v>#REF!</v>
      </c>
      <c r="GW410" t="e">
        <f>AND(#REF!,"AAAAADV/P8w=")</f>
        <v>#REF!</v>
      </c>
      <c r="GX410" t="e">
        <f>AND(#REF!,"AAAAADV/P80=")</f>
        <v>#REF!</v>
      </c>
      <c r="GY410" t="e">
        <f>IF(#REF!,"AAAAADV/P84=",0)</f>
        <v>#REF!</v>
      </c>
      <c r="GZ410" t="e">
        <f>AND(#REF!,"AAAAADV/P88=")</f>
        <v>#REF!</v>
      </c>
      <c r="HA410" t="e">
        <f>AND(#REF!,"AAAAADV/P9A=")</f>
        <v>#REF!</v>
      </c>
      <c r="HB410" t="e">
        <f>AND(#REF!,"AAAAADV/P9E=")</f>
        <v>#REF!</v>
      </c>
      <c r="HC410" t="e">
        <f>AND(#REF!,"AAAAADV/P9I=")</f>
        <v>#REF!</v>
      </c>
      <c r="HD410" t="e">
        <f>AND(#REF!,"AAAAADV/P9M=")</f>
        <v>#REF!</v>
      </c>
      <c r="HE410" t="e">
        <f>AND(#REF!,"AAAAADV/P9Q=")</f>
        <v>#REF!</v>
      </c>
      <c r="HF410" t="e">
        <f>AND(#REF!,"AAAAADV/P9U=")</f>
        <v>#REF!</v>
      </c>
      <c r="HG410" t="e">
        <f>AND(#REF!,"AAAAADV/P9Y=")</f>
        <v>#REF!</v>
      </c>
      <c r="HH410" t="e">
        <f>AND(#REF!,"AAAAADV/P9c=")</f>
        <v>#REF!</v>
      </c>
      <c r="HI410" t="e">
        <f>AND(#REF!,"AAAAADV/P9g=")</f>
        <v>#REF!</v>
      </c>
      <c r="HJ410" t="e">
        <f>AND(#REF!,"AAAAADV/P9k=")</f>
        <v>#REF!</v>
      </c>
      <c r="HK410" t="e">
        <f>AND(#REF!,"AAAAADV/P9o=")</f>
        <v>#REF!</v>
      </c>
      <c r="HL410" t="e">
        <f>AND(#REF!,"AAAAADV/P9s=")</f>
        <v>#REF!</v>
      </c>
      <c r="HM410" t="e">
        <f>AND(#REF!,"AAAAADV/P9w=")</f>
        <v>#REF!</v>
      </c>
      <c r="HN410" t="e">
        <f>AND(#REF!,"AAAAADV/P90=")</f>
        <v>#REF!</v>
      </c>
      <c r="HO410" t="e">
        <f>AND(#REF!,"AAAAADV/P94=")</f>
        <v>#REF!</v>
      </c>
      <c r="HP410" t="e">
        <f>AND(#REF!,"AAAAADV/P98=")</f>
        <v>#REF!</v>
      </c>
      <c r="HQ410" t="e">
        <f>AND(#REF!,"AAAAADV/P+A=")</f>
        <v>#REF!</v>
      </c>
      <c r="HR410" t="e">
        <f>AND(#REF!,"AAAAADV/P+E=")</f>
        <v>#REF!</v>
      </c>
      <c r="HS410" t="e">
        <f>AND(#REF!,"AAAAADV/P+I=")</f>
        <v>#REF!</v>
      </c>
      <c r="HT410" t="e">
        <f>AND(#REF!,"AAAAADV/P+M=")</f>
        <v>#REF!</v>
      </c>
      <c r="HU410" t="e">
        <f>AND(#REF!,"AAAAADV/P+Q=")</f>
        <v>#REF!</v>
      </c>
      <c r="HV410" t="e">
        <f>AND(#REF!,"AAAAADV/P+U=")</f>
        <v>#REF!</v>
      </c>
      <c r="HW410" t="e">
        <f>AND(#REF!,"AAAAADV/P+Y=")</f>
        <v>#REF!</v>
      </c>
      <c r="HX410" t="e">
        <f>IF(#REF!,"AAAAADV/P+c=",0)</f>
        <v>#REF!</v>
      </c>
      <c r="HY410" t="e">
        <f>AND(#REF!,"AAAAADV/P+g=")</f>
        <v>#REF!</v>
      </c>
      <c r="HZ410" t="e">
        <f>AND(#REF!,"AAAAADV/P+k=")</f>
        <v>#REF!</v>
      </c>
      <c r="IA410" t="e">
        <f>AND(#REF!,"AAAAADV/P+o=")</f>
        <v>#REF!</v>
      </c>
      <c r="IB410" t="e">
        <f>AND(#REF!,"AAAAADV/P+s=")</f>
        <v>#REF!</v>
      </c>
      <c r="IC410" t="e">
        <f>AND(#REF!,"AAAAADV/P+w=")</f>
        <v>#REF!</v>
      </c>
      <c r="ID410" t="e">
        <f>AND(#REF!,"AAAAADV/P+0=")</f>
        <v>#REF!</v>
      </c>
      <c r="IE410" t="e">
        <f>AND(#REF!,"AAAAADV/P+4=")</f>
        <v>#REF!</v>
      </c>
      <c r="IF410" t="e">
        <f>AND(#REF!,"AAAAADV/P+8=")</f>
        <v>#REF!</v>
      </c>
      <c r="IG410" t="e">
        <f>AND(#REF!,"AAAAADV/P/A=")</f>
        <v>#REF!</v>
      </c>
      <c r="IH410" t="e">
        <f>AND(#REF!,"AAAAADV/P/E=")</f>
        <v>#REF!</v>
      </c>
      <c r="II410" t="e">
        <f>AND(#REF!,"AAAAADV/P/I=")</f>
        <v>#REF!</v>
      </c>
      <c r="IJ410" t="e">
        <f>AND(#REF!,"AAAAADV/P/M=")</f>
        <v>#REF!</v>
      </c>
      <c r="IK410" t="e">
        <f>AND(#REF!,"AAAAADV/P/Q=")</f>
        <v>#REF!</v>
      </c>
      <c r="IL410" t="e">
        <f>AND(#REF!,"AAAAADV/P/U=")</f>
        <v>#REF!</v>
      </c>
      <c r="IM410" t="e">
        <f>AND(#REF!,"AAAAADV/P/Y=")</f>
        <v>#REF!</v>
      </c>
      <c r="IN410" t="e">
        <f>AND(#REF!,"AAAAADV/P/c=")</f>
        <v>#REF!</v>
      </c>
      <c r="IO410" t="e">
        <f>AND(#REF!,"AAAAADV/P/g=")</f>
        <v>#REF!</v>
      </c>
      <c r="IP410" t="e">
        <f>AND(#REF!,"AAAAADV/P/k=")</f>
        <v>#REF!</v>
      </c>
      <c r="IQ410" t="e">
        <f>AND(#REF!,"AAAAADV/P/o=")</f>
        <v>#REF!</v>
      </c>
      <c r="IR410" t="e">
        <f>AND(#REF!,"AAAAADV/P/s=")</f>
        <v>#REF!</v>
      </c>
      <c r="IS410" t="e">
        <f>AND(#REF!,"AAAAADV/P/w=")</f>
        <v>#REF!</v>
      </c>
      <c r="IT410" t="e">
        <f>AND(#REF!,"AAAAADV/P/0=")</f>
        <v>#REF!</v>
      </c>
      <c r="IU410" t="e">
        <f>AND(#REF!,"AAAAADV/P/4=")</f>
        <v>#REF!</v>
      </c>
      <c r="IV410" t="e">
        <f>AND(#REF!,"AAAAADV/P/8=")</f>
        <v>#REF!</v>
      </c>
    </row>
    <row r="411" spans="1:256">
      <c r="A411" t="e">
        <f>IF(#REF!,"AAAAAB+rXgA=",0)</f>
        <v>#REF!</v>
      </c>
      <c r="B411" t="e">
        <f>AND(#REF!,"AAAAAB+rXgE=")</f>
        <v>#REF!</v>
      </c>
      <c r="C411" t="e">
        <f>AND(#REF!,"AAAAAB+rXgI=")</f>
        <v>#REF!</v>
      </c>
      <c r="D411" t="e">
        <f>AND(#REF!,"AAAAAB+rXgM=")</f>
        <v>#REF!</v>
      </c>
      <c r="E411" t="e">
        <f>AND(#REF!,"AAAAAB+rXgQ=")</f>
        <v>#REF!</v>
      </c>
      <c r="F411" t="e">
        <f>AND(#REF!,"AAAAAB+rXgU=")</f>
        <v>#REF!</v>
      </c>
      <c r="G411" t="e">
        <f>AND(#REF!,"AAAAAB+rXgY=")</f>
        <v>#REF!</v>
      </c>
      <c r="H411" t="e">
        <f>AND(#REF!,"AAAAAB+rXgc=")</f>
        <v>#REF!</v>
      </c>
      <c r="I411" t="e">
        <f>AND(#REF!,"AAAAAB+rXgg=")</f>
        <v>#REF!</v>
      </c>
      <c r="J411" t="e">
        <f>AND(#REF!,"AAAAAB+rXgk=")</f>
        <v>#REF!</v>
      </c>
      <c r="K411" t="e">
        <f>AND(#REF!,"AAAAAB+rXgo=")</f>
        <v>#REF!</v>
      </c>
      <c r="L411" t="e">
        <f>AND(#REF!,"AAAAAB+rXgs=")</f>
        <v>#REF!</v>
      </c>
      <c r="M411" t="e">
        <f>AND(#REF!,"AAAAAB+rXgw=")</f>
        <v>#REF!</v>
      </c>
      <c r="N411" t="e">
        <f>AND(#REF!,"AAAAAB+rXg0=")</f>
        <v>#REF!</v>
      </c>
      <c r="O411" t="e">
        <f>AND(#REF!,"AAAAAB+rXg4=")</f>
        <v>#REF!</v>
      </c>
      <c r="P411" t="e">
        <f>AND(#REF!,"AAAAAB+rXg8=")</f>
        <v>#REF!</v>
      </c>
      <c r="Q411" t="e">
        <f>AND(#REF!,"AAAAAB+rXhA=")</f>
        <v>#REF!</v>
      </c>
      <c r="R411" t="e">
        <f>AND(#REF!,"AAAAAB+rXhE=")</f>
        <v>#REF!</v>
      </c>
      <c r="S411" t="e">
        <f>AND(#REF!,"AAAAAB+rXhI=")</f>
        <v>#REF!</v>
      </c>
      <c r="T411" t="e">
        <f>AND(#REF!,"AAAAAB+rXhM=")</f>
        <v>#REF!</v>
      </c>
      <c r="U411" t="e">
        <f>AND(#REF!,"AAAAAB+rXhQ=")</f>
        <v>#REF!</v>
      </c>
      <c r="V411" t="e">
        <f>AND(#REF!,"AAAAAB+rXhU=")</f>
        <v>#REF!</v>
      </c>
      <c r="W411" t="e">
        <f>AND(#REF!,"AAAAAB+rXhY=")</f>
        <v>#REF!</v>
      </c>
      <c r="X411" t="e">
        <f>AND(#REF!,"AAAAAB+rXhc=")</f>
        <v>#REF!</v>
      </c>
      <c r="Y411" t="e">
        <f>AND(#REF!,"AAAAAB+rXhg=")</f>
        <v>#REF!</v>
      </c>
      <c r="Z411" t="e">
        <f>IF(#REF!,"AAAAAB+rXhk=",0)</f>
        <v>#REF!</v>
      </c>
      <c r="AA411" t="e">
        <f>AND(#REF!,"AAAAAB+rXho=")</f>
        <v>#REF!</v>
      </c>
      <c r="AB411" t="e">
        <f>AND(#REF!,"AAAAAB+rXhs=")</f>
        <v>#REF!</v>
      </c>
      <c r="AC411" t="e">
        <f>AND(#REF!,"AAAAAB+rXhw=")</f>
        <v>#REF!</v>
      </c>
      <c r="AD411" t="e">
        <f>AND(#REF!,"AAAAAB+rXh0=")</f>
        <v>#REF!</v>
      </c>
      <c r="AE411" t="e">
        <f>AND(#REF!,"AAAAAB+rXh4=")</f>
        <v>#REF!</v>
      </c>
      <c r="AF411" t="e">
        <f>AND(#REF!,"AAAAAB+rXh8=")</f>
        <v>#REF!</v>
      </c>
      <c r="AG411" t="e">
        <f>AND(#REF!,"AAAAAB+rXiA=")</f>
        <v>#REF!</v>
      </c>
      <c r="AH411" t="e">
        <f>AND(#REF!,"AAAAAB+rXiE=")</f>
        <v>#REF!</v>
      </c>
      <c r="AI411" t="e">
        <f>AND(#REF!,"AAAAAB+rXiI=")</f>
        <v>#REF!</v>
      </c>
      <c r="AJ411" t="e">
        <f>AND(#REF!,"AAAAAB+rXiM=")</f>
        <v>#REF!</v>
      </c>
      <c r="AK411" t="e">
        <f>AND(#REF!,"AAAAAB+rXiQ=")</f>
        <v>#REF!</v>
      </c>
      <c r="AL411" t="e">
        <f>AND(#REF!,"AAAAAB+rXiU=")</f>
        <v>#REF!</v>
      </c>
      <c r="AM411" t="e">
        <f>AND(#REF!,"AAAAAB+rXiY=")</f>
        <v>#REF!</v>
      </c>
      <c r="AN411" t="e">
        <f>AND(#REF!,"AAAAAB+rXic=")</f>
        <v>#REF!</v>
      </c>
      <c r="AO411" t="e">
        <f>AND(#REF!,"AAAAAB+rXig=")</f>
        <v>#REF!</v>
      </c>
      <c r="AP411" t="e">
        <f>AND(#REF!,"AAAAAB+rXik=")</f>
        <v>#REF!</v>
      </c>
      <c r="AQ411" t="e">
        <f>AND(#REF!,"AAAAAB+rXio=")</f>
        <v>#REF!</v>
      </c>
      <c r="AR411" t="e">
        <f>AND(#REF!,"AAAAAB+rXis=")</f>
        <v>#REF!</v>
      </c>
      <c r="AS411" t="e">
        <f>AND(#REF!,"AAAAAB+rXiw=")</f>
        <v>#REF!</v>
      </c>
      <c r="AT411" t="e">
        <f>AND(#REF!,"AAAAAB+rXi0=")</f>
        <v>#REF!</v>
      </c>
      <c r="AU411" t="e">
        <f>AND(#REF!,"AAAAAB+rXi4=")</f>
        <v>#REF!</v>
      </c>
      <c r="AV411" t="e">
        <f>AND(#REF!,"AAAAAB+rXi8=")</f>
        <v>#REF!</v>
      </c>
      <c r="AW411" t="e">
        <f>AND(#REF!,"AAAAAB+rXjA=")</f>
        <v>#REF!</v>
      </c>
      <c r="AX411" t="e">
        <f>AND(#REF!,"AAAAAB+rXjE=")</f>
        <v>#REF!</v>
      </c>
      <c r="AY411" t="e">
        <f>IF(#REF!,"AAAAAB+rXjI=",0)</f>
        <v>#REF!</v>
      </c>
      <c r="AZ411" t="e">
        <f>AND(#REF!,"AAAAAB+rXjM=")</f>
        <v>#REF!</v>
      </c>
      <c r="BA411" t="e">
        <f>AND(#REF!,"AAAAAB+rXjQ=")</f>
        <v>#REF!</v>
      </c>
      <c r="BB411" t="e">
        <f>AND(#REF!,"AAAAAB+rXjU=")</f>
        <v>#REF!</v>
      </c>
      <c r="BC411" t="e">
        <f>AND(#REF!,"AAAAAB+rXjY=")</f>
        <v>#REF!</v>
      </c>
      <c r="BD411" t="e">
        <f>AND(#REF!,"AAAAAB+rXjc=")</f>
        <v>#REF!</v>
      </c>
      <c r="BE411" t="e">
        <f>AND(#REF!,"AAAAAB+rXjg=")</f>
        <v>#REF!</v>
      </c>
      <c r="BF411" t="e">
        <f>AND(#REF!,"AAAAAB+rXjk=")</f>
        <v>#REF!</v>
      </c>
      <c r="BG411" t="e">
        <f>AND(#REF!,"AAAAAB+rXjo=")</f>
        <v>#REF!</v>
      </c>
      <c r="BH411" t="e">
        <f>AND(#REF!,"AAAAAB+rXjs=")</f>
        <v>#REF!</v>
      </c>
      <c r="BI411" t="e">
        <f>AND(#REF!,"AAAAAB+rXjw=")</f>
        <v>#REF!</v>
      </c>
      <c r="BJ411" t="e">
        <f>AND(#REF!,"AAAAAB+rXj0=")</f>
        <v>#REF!</v>
      </c>
      <c r="BK411" t="e">
        <f>AND(#REF!,"AAAAAB+rXj4=")</f>
        <v>#REF!</v>
      </c>
      <c r="BL411" t="e">
        <f>AND(#REF!,"AAAAAB+rXj8=")</f>
        <v>#REF!</v>
      </c>
      <c r="BM411" t="e">
        <f>AND(#REF!,"AAAAAB+rXkA=")</f>
        <v>#REF!</v>
      </c>
      <c r="BN411" t="e">
        <f>AND(#REF!,"AAAAAB+rXkE=")</f>
        <v>#REF!</v>
      </c>
      <c r="BO411" t="e">
        <f>AND(#REF!,"AAAAAB+rXkI=")</f>
        <v>#REF!</v>
      </c>
      <c r="BP411" t="e">
        <f>AND(#REF!,"AAAAAB+rXkM=")</f>
        <v>#REF!</v>
      </c>
      <c r="BQ411" t="e">
        <f>AND(#REF!,"AAAAAB+rXkQ=")</f>
        <v>#REF!</v>
      </c>
      <c r="BR411" t="e">
        <f>AND(#REF!,"AAAAAB+rXkU=")</f>
        <v>#REF!</v>
      </c>
      <c r="BS411" t="e">
        <f>AND(#REF!,"AAAAAB+rXkY=")</f>
        <v>#REF!</v>
      </c>
      <c r="BT411" t="e">
        <f>AND(#REF!,"AAAAAB+rXkc=")</f>
        <v>#REF!</v>
      </c>
      <c r="BU411" t="e">
        <f>AND(#REF!,"AAAAAB+rXkg=")</f>
        <v>#REF!</v>
      </c>
      <c r="BV411" t="e">
        <f>AND(#REF!,"AAAAAB+rXkk=")</f>
        <v>#REF!</v>
      </c>
      <c r="BW411" t="e">
        <f>AND(#REF!,"AAAAAB+rXko=")</f>
        <v>#REF!</v>
      </c>
      <c r="BX411" t="e">
        <f>IF(#REF!,"AAAAAB+rXks=",0)</f>
        <v>#REF!</v>
      </c>
      <c r="BY411" t="e">
        <f>AND(#REF!,"AAAAAB+rXkw=")</f>
        <v>#REF!</v>
      </c>
      <c r="BZ411" t="e">
        <f>AND(#REF!,"AAAAAB+rXk0=")</f>
        <v>#REF!</v>
      </c>
      <c r="CA411" t="e">
        <f>AND(#REF!,"AAAAAB+rXk4=")</f>
        <v>#REF!</v>
      </c>
      <c r="CB411" t="e">
        <f>AND(#REF!,"AAAAAB+rXk8=")</f>
        <v>#REF!</v>
      </c>
      <c r="CC411" t="e">
        <f>AND(#REF!,"AAAAAB+rXlA=")</f>
        <v>#REF!</v>
      </c>
      <c r="CD411" t="e">
        <f>AND(#REF!,"AAAAAB+rXlE=")</f>
        <v>#REF!</v>
      </c>
      <c r="CE411" t="e">
        <f>AND(#REF!,"AAAAAB+rXlI=")</f>
        <v>#REF!</v>
      </c>
      <c r="CF411" t="e">
        <f>AND(#REF!,"AAAAAB+rXlM=")</f>
        <v>#REF!</v>
      </c>
      <c r="CG411" t="e">
        <f>AND(#REF!,"AAAAAB+rXlQ=")</f>
        <v>#REF!</v>
      </c>
      <c r="CH411" t="e">
        <f>AND(#REF!,"AAAAAB+rXlU=")</f>
        <v>#REF!</v>
      </c>
      <c r="CI411" t="e">
        <f>AND(#REF!,"AAAAAB+rXlY=")</f>
        <v>#REF!</v>
      </c>
      <c r="CJ411" t="e">
        <f>AND(#REF!,"AAAAAB+rXlc=")</f>
        <v>#REF!</v>
      </c>
      <c r="CK411" t="e">
        <f>AND(#REF!,"AAAAAB+rXlg=")</f>
        <v>#REF!</v>
      </c>
      <c r="CL411" t="e">
        <f>AND(#REF!,"AAAAAB+rXlk=")</f>
        <v>#REF!</v>
      </c>
      <c r="CM411" t="e">
        <f>AND(#REF!,"AAAAAB+rXlo=")</f>
        <v>#REF!</v>
      </c>
      <c r="CN411" t="e">
        <f>AND(#REF!,"AAAAAB+rXls=")</f>
        <v>#REF!</v>
      </c>
      <c r="CO411" t="e">
        <f>AND(#REF!,"AAAAAB+rXlw=")</f>
        <v>#REF!</v>
      </c>
      <c r="CP411" t="e">
        <f>AND(#REF!,"AAAAAB+rXl0=")</f>
        <v>#REF!</v>
      </c>
      <c r="CQ411" t="e">
        <f>AND(#REF!,"AAAAAB+rXl4=")</f>
        <v>#REF!</v>
      </c>
      <c r="CR411" t="e">
        <f>AND(#REF!,"AAAAAB+rXl8=")</f>
        <v>#REF!</v>
      </c>
      <c r="CS411" t="e">
        <f>AND(#REF!,"AAAAAB+rXmA=")</f>
        <v>#REF!</v>
      </c>
      <c r="CT411" t="e">
        <f>AND(#REF!,"AAAAAB+rXmE=")</f>
        <v>#REF!</v>
      </c>
      <c r="CU411" t="e">
        <f>AND(#REF!,"AAAAAB+rXmI=")</f>
        <v>#REF!</v>
      </c>
      <c r="CV411" t="e">
        <f>AND(#REF!,"AAAAAB+rXmM=")</f>
        <v>#REF!</v>
      </c>
      <c r="CW411" t="e">
        <f>IF(#REF!,"AAAAAB+rXmQ=",0)</f>
        <v>#REF!</v>
      </c>
      <c r="CX411" t="e">
        <f>AND(#REF!,"AAAAAB+rXmU=")</f>
        <v>#REF!</v>
      </c>
      <c r="CY411" t="e">
        <f>AND(#REF!,"AAAAAB+rXmY=")</f>
        <v>#REF!</v>
      </c>
      <c r="CZ411" t="e">
        <f>AND(#REF!,"AAAAAB+rXmc=")</f>
        <v>#REF!</v>
      </c>
      <c r="DA411" t="e">
        <f>AND(#REF!,"AAAAAB+rXmg=")</f>
        <v>#REF!</v>
      </c>
      <c r="DB411" t="e">
        <f>AND(#REF!,"AAAAAB+rXmk=")</f>
        <v>#REF!</v>
      </c>
      <c r="DC411" t="e">
        <f>AND(#REF!,"AAAAAB+rXmo=")</f>
        <v>#REF!</v>
      </c>
      <c r="DD411" t="e">
        <f>AND(#REF!,"AAAAAB+rXms=")</f>
        <v>#REF!</v>
      </c>
      <c r="DE411" t="e">
        <f>AND(#REF!,"AAAAAB+rXmw=")</f>
        <v>#REF!</v>
      </c>
      <c r="DF411" t="e">
        <f>AND(#REF!,"AAAAAB+rXm0=")</f>
        <v>#REF!</v>
      </c>
      <c r="DG411" t="e">
        <f>AND(#REF!,"AAAAAB+rXm4=")</f>
        <v>#REF!</v>
      </c>
      <c r="DH411" t="e">
        <f>AND(#REF!,"AAAAAB+rXm8=")</f>
        <v>#REF!</v>
      </c>
      <c r="DI411" t="e">
        <f>AND(#REF!,"AAAAAB+rXnA=")</f>
        <v>#REF!</v>
      </c>
      <c r="DJ411" t="e">
        <f>AND(#REF!,"AAAAAB+rXnE=")</f>
        <v>#REF!</v>
      </c>
      <c r="DK411" t="e">
        <f>AND(#REF!,"AAAAAB+rXnI=")</f>
        <v>#REF!</v>
      </c>
      <c r="DL411" t="e">
        <f>AND(#REF!,"AAAAAB+rXnM=")</f>
        <v>#REF!</v>
      </c>
      <c r="DM411" t="e">
        <f>AND(#REF!,"AAAAAB+rXnQ=")</f>
        <v>#REF!</v>
      </c>
      <c r="DN411" t="e">
        <f>AND(#REF!,"AAAAAB+rXnU=")</f>
        <v>#REF!</v>
      </c>
      <c r="DO411" t="e">
        <f>AND(#REF!,"AAAAAB+rXnY=")</f>
        <v>#REF!</v>
      </c>
      <c r="DP411" t="e">
        <f>AND(#REF!,"AAAAAB+rXnc=")</f>
        <v>#REF!</v>
      </c>
      <c r="DQ411" t="e">
        <f>AND(#REF!,"AAAAAB+rXng=")</f>
        <v>#REF!</v>
      </c>
      <c r="DR411" t="e">
        <f>AND(#REF!,"AAAAAB+rXnk=")</f>
        <v>#REF!</v>
      </c>
      <c r="DS411" t="e">
        <f>AND(#REF!,"AAAAAB+rXno=")</f>
        <v>#REF!</v>
      </c>
      <c r="DT411" t="e">
        <f>AND(#REF!,"AAAAAB+rXns=")</f>
        <v>#REF!</v>
      </c>
      <c r="DU411" t="e">
        <f>AND(#REF!,"AAAAAB+rXnw=")</f>
        <v>#REF!</v>
      </c>
      <c r="DV411" t="e">
        <f>IF(#REF!,"AAAAAB+rXn0=",0)</f>
        <v>#REF!</v>
      </c>
      <c r="DW411" t="e">
        <f>AND(#REF!,"AAAAAB+rXn4=")</f>
        <v>#REF!</v>
      </c>
      <c r="DX411" t="e">
        <f>AND(#REF!,"AAAAAB+rXn8=")</f>
        <v>#REF!</v>
      </c>
      <c r="DY411" t="e">
        <f>AND(#REF!,"AAAAAB+rXoA=")</f>
        <v>#REF!</v>
      </c>
      <c r="DZ411" t="e">
        <f>AND(#REF!,"AAAAAB+rXoE=")</f>
        <v>#REF!</v>
      </c>
      <c r="EA411" t="e">
        <f>AND(#REF!,"AAAAAB+rXoI=")</f>
        <v>#REF!</v>
      </c>
      <c r="EB411" t="e">
        <f>AND(#REF!,"AAAAAB+rXoM=")</f>
        <v>#REF!</v>
      </c>
      <c r="EC411" t="e">
        <f>AND(#REF!,"AAAAAB+rXoQ=")</f>
        <v>#REF!</v>
      </c>
      <c r="ED411" t="e">
        <f>AND(#REF!,"AAAAAB+rXoU=")</f>
        <v>#REF!</v>
      </c>
      <c r="EE411" t="e">
        <f>AND(#REF!,"AAAAAB+rXoY=")</f>
        <v>#REF!</v>
      </c>
      <c r="EF411" t="e">
        <f>AND(#REF!,"AAAAAB+rXoc=")</f>
        <v>#REF!</v>
      </c>
      <c r="EG411" t="e">
        <f>AND(#REF!,"AAAAAB+rXog=")</f>
        <v>#REF!</v>
      </c>
      <c r="EH411" t="e">
        <f>AND(#REF!,"AAAAAB+rXok=")</f>
        <v>#REF!</v>
      </c>
      <c r="EI411" t="e">
        <f>AND(#REF!,"AAAAAB+rXoo=")</f>
        <v>#REF!</v>
      </c>
      <c r="EJ411" t="e">
        <f>AND(#REF!,"AAAAAB+rXos=")</f>
        <v>#REF!</v>
      </c>
      <c r="EK411" t="e">
        <f>AND(#REF!,"AAAAAB+rXow=")</f>
        <v>#REF!</v>
      </c>
      <c r="EL411" t="e">
        <f>AND(#REF!,"AAAAAB+rXo0=")</f>
        <v>#REF!</v>
      </c>
      <c r="EM411" t="e">
        <f>AND(#REF!,"AAAAAB+rXo4=")</f>
        <v>#REF!</v>
      </c>
      <c r="EN411" t="e">
        <f>AND(#REF!,"AAAAAB+rXo8=")</f>
        <v>#REF!</v>
      </c>
      <c r="EO411" t="e">
        <f>AND(#REF!,"AAAAAB+rXpA=")</f>
        <v>#REF!</v>
      </c>
      <c r="EP411" t="e">
        <f>AND(#REF!,"AAAAAB+rXpE=")</f>
        <v>#REF!</v>
      </c>
      <c r="EQ411" t="e">
        <f>AND(#REF!,"AAAAAB+rXpI=")</f>
        <v>#REF!</v>
      </c>
      <c r="ER411" t="e">
        <f>AND(#REF!,"AAAAAB+rXpM=")</f>
        <v>#REF!</v>
      </c>
      <c r="ES411" t="e">
        <f>AND(#REF!,"AAAAAB+rXpQ=")</f>
        <v>#REF!</v>
      </c>
      <c r="ET411" t="e">
        <f>AND(#REF!,"AAAAAB+rXpU=")</f>
        <v>#REF!</v>
      </c>
      <c r="EU411" t="e">
        <f>IF(#REF!,"AAAAAB+rXpY=",0)</f>
        <v>#REF!</v>
      </c>
      <c r="EV411" t="e">
        <f>AND(#REF!,"AAAAAB+rXpc=")</f>
        <v>#REF!</v>
      </c>
      <c r="EW411" t="e">
        <f>AND(#REF!,"AAAAAB+rXpg=")</f>
        <v>#REF!</v>
      </c>
      <c r="EX411" t="e">
        <f>AND(#REF!,"AAAAAB+rXpk=")</f>
        <v>#REF!</v>
      </c>
      <c r="EY411" t="e">
        <f>AND(#REF!,"AAAAAB+rXpo=")</f>
        <v>#REF!</v>
      </c>
      <c r="EZ411" t="e">
        <f>AND(#REF!,"AAAAAB+rXps=")</f>
        <v>#REF!</v>
      </c>
      <c r="FA411" t="e">
        <f>AND(#REF!,"AAAAAB+rXpw=")</f>
        <v>#REF!</v>
      </c>
      <c r="FB411" t="e">
        <f>AND(#REF!,"AAAAAB+rXp0=")</f>
        <v>#REF!</v>
      </c>
      <c r="FC411" t="e">
        <f>AND(#REF!,"AAAAAB+rXp4=")</f>
        <v>#REF!</v>
      </c>
      <c r="FD411" t="e">
        <f>AND(#REF!,"AAAAAB+rXp8=")</f>
        <v>#REF!</v>
      </c>
      <c r="FE411" t="e">
        <f>AND(#REF!,"AAAAAB+rXqA=")</f>
        <v>#REF!</v>
      </c>
      <c r="FF411" t="e">
        <f>AND(#REF!,"AAAAAB+rXqE=")</f>
        <v>#REF!</v>
      </c>
      <c r="FG411" t="e">
        <f>AND(#REF!,"AAAAAB+rXqI=")</f>
        <v>#REF!</v>
      </c>
      <c r="FH411" t="e">
        <f>AND(#REF!,"AAAAAB+rXqM=")</f>
        <v>#REF!</v>
      </c>
      <c r="FI411" t="e">
        <f>AND(#REF!,"AAAAAB+rXqQ=")</f>
        <v>#REF!</v>
      </c>
      <c r="FJ411" t="e">
        <f>AND(#REF!,"AAAAAB+rXqU=")</f>
        <v>#REF!</v>
      </c>
      <c r="FK411" t="e">
        <f>AND(#REF!,"AAAAAB+rXqY=")</f>
        <v>#REF!</v>
      </c>
      <c r="FL411" t="e">
        <f>AND(#REF!,"AAAAAB+rXqc=")</f>
        <v>#REF!</v>
      </c>
      <c r="FM411" t="e">
        <f>AND(#REF!,"AAAAAB+rXqg=")</f>
        <v>#REF!</v>
      </c>
      <c r="FN411" t="e">
        <f>AND(#REF!,"AAAAAB+rXqk=")</f>
        <v>#REF!</v>
      </c>
      <c r="FO411" t="e">
        <f>AND(#REF!,"AAAAAB+rXqo=")</f>
        <v>#REF!</v>
      </c>
      <c r="FP411" t="e">
        <f>AND(#REF!,"AAAAAB+rXqs=")</f>
        <v>#REF!</v>
      </c>
      <c r="FQ411" t="e">
        <f>AND(#REF!,"AAAAAB+rXqw=")</f>
        <v>#REF!</v>
      </c>
      <c r="FR411" t="e">
        <f>AND(#REF!,"AAAAAB+rXq0=")</f>
        <v>#REF!</v>
      </c>
      <c r="FS411" t="e">
        <f>AND(#REF!,"AAAAAB+rXq4=")</f>
        <v>#REF!</v>
      </c>
      <c r="FT411" t="e">
        <f>IF(#REF!,"AAAAAB+rXq8=",0)</f>
        <v>#REF!</v>
      </c>
      <c r="FU411" t="e">
        <f>AND(#REF!,"AAAAAB+rXrA=")</f>
        <v>#REF!</v>
      </c>
      <c r="FV411" t="e">
        <f>AND(#REF!,"AAAAAB+rXrE=")</f>
        <v>#REF!</v>
      </c>
      <c r="FW411" t="e">
        <f>AND(#REF!,"AAAAAB+rXrI=")</f>
        <v>#REF!</v>
      </c>
      <c r="FX411" t="e">
        <f>AND(#REF!,"AAAAAB+rXrM=")</f>
        <v>#REF!</v>
      </c>
      <c r="FY411" t="e">
        <f>AND(#REF!,"AAAAAB+rXrQ=")</f>
        <v>#REF!</v>
      </c>
      <c r="FZ411" t="e">
        <f>AND(#REF!,"AAAAAB+rXrU=")</f>
        <v>#REF!</v>
      </c>
      <c r="GA411" t="e">
        <f>AND(#REF!,"AAAAAB+rXrY=")</f>
        <v>#REF!</v>
      </c>
      <c r="GB411" t="e">
        <f>AND(#REF!,"AAAAAB+rXrc=")</f>
        <v>#REF!</v>
      </c>
      <c r="GC411" t="e">
        <f>AND(#REF!,"AAAAAB+rXrg=")</f>
        <v>#REF!</v>
      </c>
      <c r="GD411" t="e">
        <f>AND(#REF!,"AAAAAB+rXrk=")</f>
        <v>#REF!</v>
      </c>
      <c r="GE411" t="e">
        <f>AND(#REF!,"AAAAAB+rXro=")</f>
        <v>#REF!</v>
      </c>
      <c r="GF411" t="e">
        <f>AND(#REF!,"AAAAAB+rXrs=")</f>
        <v>#REF!</v>
      </c>
      <c r="GG411" t="e">
        <f>AND(#REF!,"AAAAAB+rXrw=")</f>
        <v>#REF!</v>
      </c>
      <c r="GH411" t="e">
        <f>AND(#REF!,"AAAAAB+rXr0=")</f>
        <v>#REF!</v>
      </c>
      <c r="GI411" t="e">
        <f>AND(#REF!,"AAAAAB+rXr4=")</f>
        <v>#REF!</v>
      </c>
      <c r="GJ411" t="e">
        <f>AND(#REF!,"AAAAAB+rXr8=")</f>
        <v>#REF!</v>
      </c>
      <c r="GK411" t="e">
        <f>AND(#REF!,"AAAAAB+rXsA=")</f>
        <v>#REF!</v>
      </c>
      <c r="GL411" t="e">
        <f>AND(#REF!,"AAAAAB+rXsE=")</f>
        <v>#REF!</v>
      </c>
      <c r="GM411" t="e">
        <f>AND(#REF!,"AAAAAB+rXsI=")</f>
        <v>#REF!</v>
      </c>
      <c r="GN411" t="e">
        <f>AND(#REF!,"AAAAAB+rXsM=")</f>
        <v>#REF!</v>
      </c>
      <c r="GO411" t="e">
        <f>AND(#REF!,"AAAAAB+rXsQ=")</f>
        <v>#REF!</v>
      </c>
      <c r="GP411" t="e">
        <f>AND(#REF!,"AAAAAB+rXsU=")</f>
        <v>#REF!</v>
      </c>
      <c r="GQ411" t="e">
        <f>AND(#REF!,"AAAAAB+rXsY=")</f>
        <v>#REF!</v>
      </c>
      <c r="GR411" t="e">
        <f>AND(#REF!,"AAAAAB+rXsc=")</f>
        <v>#REF!</v>
      </c>
      <c r="GS411" t="e">
        <f>IF(#REF!,"AAAAAB+rXsg=",0)</f>
        <v>#REF!</v>
      </c>
      <c r="GT411" t="e">
        <f>AND(#REF!,"AAAAAB+rXsk=")</f>
        <v>#REF!</v>
      </c>
      <c r="GU411" t="e">
        <f>AND(#REF!,"AAAAAB+rXso=")</f>
        <v>#REF!</v>
      </c>
      <c r="GV411" t="e">
        <f>AND(#REF!,"AAAAAB+rXss=")</f>
        <v>#REF!</v>
      </c>
      <c r="GW411" t="e">
        <f>AND(#REF!,"AAAAAB+rXsw=")</f>
        <v>#REF!</v>
      </c>
      <c r="GX411" t="e">
        <f>AND(#REF!,"AAAAAB+rXs0=")</f>
        <v>#REF!</v>
      </c>
      <c r="GY411" t="e">
        <f>AND(#REF!,"AAAAAB+rXs4=")</f>
        <v>#REF!</v>
      </c>
      <c r="GZ411" t="e">
        <f>AND(#REF!,"AAAAAB+rXs8=")</f>
        <v>#REF!</v>
      </c>
      <c r="HA411" t="e">
        <f>AND(#REF!,"AAAAAB+rXtA=")</f>
        <v>#REF!</v>
      </c>
      <c r="HB411" t="e">
        <f>AND(#REF!,"AAAAAB+rXtE=")</f>
        <v>#REF!</v>
      </c>
      <c r="HC411" t="e">
        <f>AND(#REF!,"AAAAAB+rXtI=")</f>
        <v>#REF!</v>
      </c>
      <c r="HD411" t="e">
        <f>AND(#REF!,"AAAAAB+rXtM=")</f>
        <v>#REF!</v>
      </c>
      <c r="HE411" t="e">
        <f>AND(#REF!,"AAAAAB+rXtQ=")</f>
        <v>#REF!</v>
      </c>
      <c r="HF411" t="e">
        <f>AND(#REF!,"AAAAAB+rXtU=")</f>
        <v>#REF!</v>
      </c>
      <c r="HG411" t="e">
        <f>AND(#REF!,"AAAAAB+rXtY=")</f>
        <v>#REF!</v>
      </c>
      <c r="HH411" t="e">
        <f>AND(#REF!,"AAAAAB+rXtc=")</f>
        <v>#REF!</v>
      </c>
      <c r="HI411" t="e">
        <f>AND(#REF!,"AAAAAB+rXtg=")</f>
        <v>#REF!</v>
      </c>
      <c r="HJ411" t="e">
        <f>AND(#REF!,"AAAAAB+rXtk=")</f>
        <v>#REF!</v>
      </c>
      <c r="HK411" t="e">
        <f>AND(#REF!,"AAAAAB+rXto=")</f>
        <v>#REF!</v>
      </c>
      <c r="HL411" t="e">
        <f>AND(#REF!,"AAAAAB+rXts=")</f>
        <v>#REF!</v>
      </c>
      <c r="HM411" t="e">
        <f>AND(#REF!,"AAAAAB+rXtw=")</f>
        <v>#REF!</v>
      </c>
      <c r="HN411" t="e">
        <f>AND(#REF!,"AAAAAB+rXt0=")</f>
        <v>#REF!</v>
      </c>
      <c r="HO411" t="e">
        <f>AND(#REF!,"AAAAAB+rXt4=")</f>
        <v>#REF!</v>
      </c>
      <c r="HP411" t="e">
        <f>AND(#REF!,"AAAAAB+rXt8=")</f>
        <v>#REF!</v>
      </c>
      <c r="HQ411" t="e">
        <f>AND(#REF!,"AAAAAB+rXuA=")</f>
        <v>#REF!</v>
      </c>
      <c r="HR411" t="e">
        <f>IF(#REF!,"AAAAAB+rXuE=",0)</f>
        <v>#REF!</v>
      </c>
      <c r="HS411" t="e">
        <f>AND(#REF!,"AAAAAB+rXuI=")</f>
        <v>#REF!</v>
      </c>
      <c r="HT411" t="e">
        <f>AND(#REF!,"AAAAAB+rXuM=")</f>
        <v>#REF!</v>
      </c>
      <c r="HU411" t="e">
        <f>AND(#REF!,"AAAAAB+rXuQ=")</f>
        <v>#REF!</v>
      </c>
      <c r="HV411" t="e">
        <f>AND(#REF!,"AAAAAB+rXuU=")</f>
        <v>#REF!</v>
      </c>
      <c r="HW411" t="e">
        <f>AND(#REF!,"AAAAAB+rXuY=")</f>
        <v>#REF!</v>
      </c>
      <c r="HX411" t="e">
        <f>AND(#REF!,"AAAAAB+rXuc=")</f>
        <v>#REF!</v>
      </c>
      <c r="HY411" t="e">
        <f>AND(#REF!,"AAAAAB+rXug=")</f>
        <v>#REF!</v>
      </c>
      <c r="HZ411" t="e">
        <f>AND(#REF!,"AAAAAB+rXuk=")</f>
        <v>#REF!</v>
      </c>
      <c r="IA411" t="e">
        <f>AND(#REF!,"AAAAAB+rXuo=")</f>
        <v>#REF!</v>
      </c>
      <c r="IB411" t="e">
        <f>AND(#REF!,"AAAAAB+rXus=")</f>
        <v>#REF!</v>
      </c>
      <c r="IC411" t="e">
        <f>AND(#REF!,"AAAAAB+rXuw=")</f>
        <v>#REF!</v>
      </c>
      <c r="ID411" t="e">
        <f>AND(#REF!,"AAAAAB+rXu0=")</f>
        <v>#REF!</v>
      </c>
      <c r="IE411" t="e">
        <f>AND(#REF!,"AAAAAB+rXu4=")</f>
        <v>#REF!</v>
      </c>
      <c r="IF411" t="e">
        <f>AND(#REF!,"AAAAAB+rXu8=")</f>
        <v>#REF!</v>
      </c>
      <c r="IG411" t="e">
        <f>AND(#REF!,"AAAAAB+rXvA=")</f>
        <v>#REF!</v>
      </c>
      <c r="IH411" t="e">
        <f>AND(#REF!,"AAAAAB+rXvE=")</f>
        <v>#REF!</v>
      </c>
      <c r="II411" t="e">
        <f>AND(#REF!,"AAAAAB+rXvI=")</f>
        <v>#REF!</v>
      </c>
      <c r="IJ411" t="e">
        <f>AND(#REF!,"AAAAAB+rXvM=")</f>
        <v>#REF!</v>
      </c>
      <c r="IK411" t="e">
        <f>AND(#REF!,"AAAAAB+rXvQ=")</f>
        <v>#REF!</v>
      </c>
      <c r="IL411" t="e">
        <f>AND(#REF!,"AAAAAB+rXvU=")</f>
        <v>#REF!</v>
      </c>
      <c r="IM411" t="e">
        <f>AND(#REF!,"AAAAAB+rXvY=")</f>
        <v>#REF!</v>
      </c>
      <c r="IN411" t="e">
        <f>AND(#REF!,"AAAAAB+rXvc=")</f>
        <v>#REF!</v>
      </c>
      <c r="IO411" t="e">
        <f>AND(#REF!,"AAAAAB+rXvg=")</f>
        <v>#REF!</v>
      </c>
      <c r="IP411" t="e">
        <f>AND(#REF!,"AAAAAB+rXvk=")</f>
        <v>#REF!</v>
      </c>
      <c r="IQ411" t="e">
        <f>IF(#REF!,"AAAAAB+rXvo=",0)</f>
        <v>#REF!</v>
      </c>
      <c r="IR411" t="e">
        <f>AND(#REF!,"AAAAAB+rXvs=")</f>
        <v>#REF!</v>
      </c>
      <c r="IS411" t="e">
        <f>AND(#REF!,"AAAAAB+rXvw=")</f>
        <v>#REF!</v>
      </c>
      <c r="IT411" t="e">
        <f>AND(#REF!,"AAAAAB+rXv0=")</f>
        <v>#REF!</v>
      </c>
      <c r="IU411" t="e">
        <f>AND(#REF!,"AAAAAB+rXv4=")</f>
        <v>#REF!</v>
      </c>
      <c r="IV411" t="e">
        <f>AND(#REF!,"AAAAAB+rXv8=")</f>
        <v>#REF!</v>
      </c>
    </row>
    <row r="412" spans="1:256">
      <c r="A412" t="e">
        <f>AND(#REF!,"AAAAAHrfPwA=")</f>
        <v>#REF!</v>
      </c>
      <c r="B412" t="e">
        <f>AND(#REF!,"AAAAAHrfPwE=")</f>
        <v>#REF!</v>
      </c>
      <c r="C412" t="e">
        <f>AND(#REF!,"AAAAAHrfPwI=")</f>
        <v>#REF!</v>
      </c>
      <c r="D412" t="e">
        <f>AND(#REF!,"AAAAAHrfPwM=")</f>
        <v>#REF!</v>
      </c>
      <c r="E412" t="e">
        <f>AND(#REF!,"AAAAAHrfPwQ=")</f>
        <v>#REF!</v>
      </c>
      <c r="F412" t="e">
        <f>AND(#REF!,"AAAAAHrfPwU=")</f>
        <v>#REF!</v>
      </c>
      <c r="G412" t="e">
        <f>AND(#REF!,"AAAAAHrfPwY=")</f>
        <v>#REF!</v>
      </c>
      <c r="H412" t="e">
        <f>AND(#REF!,"AAAAAHrfPwc=")</f>
        <v>#REF!</v>
      </c>
      <c r="I412" t="e">
        <f>AND(#REF!,"AAAAAHrfPwg=")</f>
        <v>#REF!</v>
      </c>
      <c r="J412" t="e">
        <f>AND(#REF!,"AAAAAHrfPwk=")</f>
        <v>#REF!</v>
      </c>
      <c r="K412" t="e">
        <f>AND(#REF!,"AAAAAHrfPwo=")</f>
        <v>#REF!</v>
      </c>
      <c r="L412" t="e">
        <f>AND(#REF!,"AAAAAHrfPws=")</f>
        <v>#REF!</v>
      </c>
      <c r="M412" t="e">
        <f>AND(#REF!,"AAAAAHrfPww=")</f>
        <v>#REF!</v>
      </c>
      <c r="N412" t="e">
        <f>AND(#REF!,"AAAAAHrfPw0=")</f>
        <v>#REF!</v>
      </c>
      <c r="O412" t="e">
        <f>AND(#REF!,"AAAAAHrfPw4=")</f>
        <v>#REF!</v>
      </c>
      <c r="P412" t="e">
        <f>AND(#REF!,"AAAAAHrfPw8=")</f>
        <v>#REF!</v>
      </c>
      <c r="Q412" t="e">
        <f>AND(#REF!,"AAAAAHrfPxA=")</f>
        <v>#REF!</v>
      </c>
      <c r="R412" t="e">
        <f>AND(#REF!,"AAAAAHrfPxE=")</f>
        <v>#REF!</v>
      </c>
      <c r="S412" t="e">
        <f>AND(#REF!,"AAAAAHrfPxI=")</f>
        <v>#REF!</v>
      </c>
      <c r="T412" t="e">
        <f>IF(#REF!,"AAAAAHrfPxM=",0)</f>
        <v>#REF!</v>
      </c>
      <c r="U412" t="e">
        <f>AND(#REF!,"AAAAAHrfPxQ=")</f>
        <v>#REF!</v>
      </c>
      <c r="V412" t="e">
        <f>AND(#REF!,"AAAAAHrfPxU=")</f>
        <v>#REF!</v>
      </c>
      <c r="W412" t="e">
        <f>AND(#REF!,"AAAAAHrfPxY=")</f>
        <v>#REF!</v>
      </c>
      <c r="X412" t="e">
        <f>AND(#REF!,"AAAAAHrfPxc=")</f>
        <v>#REF!</v>
      </c>
      <c r="Y412" t="e">
        <f>AND(#REF!,"AAAAAHrfPxg=")</f>
        <v>#REF!</v>
      </c>
      <c r="Z412" t="e">
        <f>AND(#REF!,"AAAAAHrfPxk=")</f>
        <v>#REF!</v>
      </c>
      <c r="AA412" t="e">
        <f>AND(#REF!,"AAAAAHrfPxo=")</f>
        <v>#REF!</v>
      </c>
      <c r="AB412" t="e">
        <f>AND(#REF!,"AAAAAHrfPxs=")</f>
        <v>#REF!</v>
      </c>
      <c r="AC412" t="e">
        <f>AND(#REF!,"AAAAAHrfPxw=")</f>
        <v>#REF!</v>
      </c>
      <c r="AD412" t="e">
        <f>AND(#REF!,"AAAAAHrfPx0=")</f>
        <v>#REF!</v>
      </c>
      <c r="AE412" t="e">
        <f>AND(#REF!,"AAAAAHrfPx4=")</f>
        <v>#REF!</v>
      </c>
      <c r="AF412" t="e">
        <f>AND(#REF!,"AAAAAHrfPx8=")</f>
        <v>#REF!</v>
      </c>
      <c r="AG412" t="e">
        <f>AND(#REF!,"AAAAAHrfPyA=")</f>
        <v>#REF!</v>
      </c>
      <c r="AH412" t="e">
        <f>AND(#REF!,"AAAAAHrfPyE=")</f>
        <v>#REF!</v>
      </c>
      <c r="AI412" t="e">
        <f>AND(#REF!,"AAAAAHrfPyI=")</f>
        <v>#REF!</v>
      </c>
      <c r="AJ412" t="e">
        <f>AND(#REF!,"AAAAAHrfPyM=")</f>
        <v>#REF!</v>
      </c>
      <c r="AK412" t="e">
        <f>AND(#REF!,"AAAAAHrfPyQ=")</f>
        <v>#REF!</v>
      </c>
      <c r="AL412" t="e">
        <f>AND(#REF!,"AAAAAHrfPyU=")</f>
        <v>#REF!</v>
      </c>
      <c r="AM412" t="e">
        <f>AND(#REF!,"AAAAAHrfPyY=")</f>
        <v>#REF!</v>
      </c>
      <c r="AN412" t="e">
        <f>AND(#REF!,"AAAAAHrfPyc=")</f>
        <v>#REF!</v>
      </c>
      <c r="AO412" t="e">
        <f>AND(#REF!,"AAAAAHrfPyg=")</f>
        <v>#REF!</v>
      </c>
      <c r="AP412" t="e">
        <f>AND(#REF!,"AAAAAHrfPyk=")</f>
        <v>#REF!</v>
      </c>
      <c r="AQ412" t="e">
        <f>AND(#REF!,"AAAAAHrfPyo=")</f>
        <v>#REF!</v>
      </c>
      <c r="AR412" t="e">
        <f>AND(#REF!,"AAAAAHrfPys=")</f>
        <v>#REF!</v>
      </c>
      <c r="AS412" t="e">
        <f>IF(#REF!,"AAAAAHrfPyw=",0)</f>
        <v>#REF!</v>
      </c>
      <c r="AT412" t="e">
        <f>AND(#REF!,"AAAAAHrfPy0=")</f>
        <v>#REF!</v>
      </c>
      <c r="AU412" t="e">
        <f>AND(#REF!,"AAAAAHrfPy4=")</f>
        <v>#REF!</v>
      </c>
      <c r="AV412" t="e">
        <f>AND(#REF!,"AAAAAHrfPy8=")</f>
        <v>#REF!</v>
      </c>
      <c r="AW412" t="e">
        <f>AND(#REF!,"AAAAAHrfPzA=")</f>
        <v>#REF!</v>
      </c>
      <c r="AX412" t="e">
        <f>AND(#REF!,"AAAAAHrfPzE=")</f>
        <v>#REF!</v>
      </c>
      <c r="AY412" t="e">
        <f>AND(#REF!,"AAAAAHrfPzI=")</f>
        <v>#REF!</v>
      </c>
      <c r="AZ412" t="e">
        <f>AND(#REF!,"AAAAAHrfPzM=")</f>
        <v>#REF!</v>
      </c>
      <c r="BA412" t="e">
        <f>AND(#REF!,"AAAAAHrfPzQ=")</f>
        <v>#REF!</v>
      </c>
      <c r="BB412" t="e">
        <f>AND(#REF!,"AAAAAHrfPzU=")</f>
        <v>#REF!</v>
      </c>
      <c r="BC412" t="e">
        <f>AND(#REF!,"AAAAAHrfPzY=")</f>
        <v>#REF!</v>
      </c>
      <c r="BD412" t="e">
        <f>AND(#REF!,"AAAAAHrfPzc=")</f>
        <v>#REF!</v>
      </c>
      <c r="BE412" t="e">
        <f>AND(#REF!,"AAAAAHrfPzg=")</f>
        <v>#REF!</v>
      </c>
      <c r="BF412" t="e">
        <f>AND(#REF!,"AAAAAHrfPzk=")</f>
        <v>#REF!</v>
      </c>
      <c r="BG412" t="e">
        <f>AND(#REF!,"AAAAAHrfPzo=")</f>
        <v>#REF!</v>
      </c>
      <c r="BH412" t="e">
        <f>AND(#REF!,"AAAAAHrfPzs=")</f>
        <v>#REF!</v>
      </c>
      <c r="BI412" t="e">
        <f>AND(#REF!,"AAAAAHrfPzw=")</f>
        <v>#REF!</v>
      </c>
      <c r="BJ412" t="e">
        <f>AND(#REF!,"AAAAAHrfPz0=")</f>
        <v>#REF!</v>
      </c>
      <c r="BK412" t="e">
        <f>AND(#REF!,"AAAAAHrfPz4=")</f>
        <v>#REF!</v>
      </c>
      <c r="BL412" t="e">
        <f>AND(#REF!,"AAAAAHrfPz8=")</f>
        <v>#REF!</v>
      </c>
      <c r="BM412" t="e">
        <f>AND(#REF!,"AAAAAHrfP0A=")</f>
        <v>#REF!</v>
      </c>
      <c r="BN412" t="e">
        <f>AND(#REF!,"AAAAAHrfP0E=")</f>
        <v>#REF!</v>
      </c>
      <c r="BO412" t="e">
        <f>AND(#REF!,"AAAAAHrfP0I=")</f>
        <v>#REF!</v>
      </c>
      <c r="BP412" t="e">
        <f>AND(#REF!,"AAAAAHrfP0M=")</f>
        <v>#REF!</v>
      </c>
      <c r="BQ412" t="e">
        <f>AND(#REF!,"AAAAAHrfP0Q=")</f>
        <v>#REF!</v>
      </c>
      <c r="BR412" t="e">
        <f>IF(#REF!,"AAAAAHrfP0U=",0)</f>
        <v>#REF!</v>
      </c>
      <c r="BS412" t="e">
        <f>AND(#REF!,"AAAAAHrfP0Y=")</f>
        <v>#REF!</v>
      </c>
      <c r="BT412" t="e">
        <f>AND(#REF!,"AAAAAHrfP0c=")</f>
        <v>#REF!</v>
      </c>
      <c r="BU412" t="e">
        <f>AND(#REF!,"AAAAAHrfP0g=")</f>
        <v>#REF!</v>
      </c>
      <c r="BV412" t="e">
        <f>AND(#REF!,"AAAAAHrfP0k=")</f>
        <v>#REF!</v>
      </c>
      <c r="BW412" t="e">
        <f>AND(#REF!,"AAAAAHrfP0o=")</f>
        <v>#REF!</v>
      </c>
      <c r="BX412" t="e">
        <f>AND(#REF!,"AAAAAHrfP0s=")</f>
        <v>#REF!</v>
      </c>
      <c r="BY412" t="e">
        <f>AND(#REF!,"AAAAAHrfP0w=")</f>
        <v>#REF!</v>
      </c>
      <c r="BZ412" t="e">
        <f>AND(#REF!,"AAAAAHrfP00=")</f>
        <v>#REF!</v>
      </c>
      <c r="CA412" t="e">
        <f>AND(#REF!,"AAAAAHrfP04=")</f>
        <v>#REF!</v>
      </c>
      <c r="CB412" t="e">
        <f>AND(#REF!,"AAAAAHrfP08=")</f>
        <v>#REF!</v>
      </c>
      <c r="CC412" t="e">
        <f>AND(#REF!,"AAAAAHrfP1A=")</f>
        <v>#REF!</v>
      </c>
      <c r="CD412" t="e">
        <f>AND(#REF!,"AAAAAHrfP1E=")</f>
        <v>#REF!</v>
      </c>
      <c r="CE412" t="e">
        <f>AND(#REF!,"AAAAAHrfP1I=")</f>
        <v>#REF!</v>
      </c>
      <c r="CF412" t="e">
        <f>AND(#REF!,"AAAAAHrfP1M=")</f>
        <v>#REF!</v>
      </c>
      <c r="CG412" t="e">
        <f>AND(#REF!,"AAAAAHrfP1Q=")</f>
        <v>#REF!</v>
      </c>
      <c r="CH412" t="e">
        <f>AND(#REF!,"AAAAAHrfP1U=")</f>
        <v>#REF!</v>
      </c>
      <c r="CI412" t="e">
        <f>AND(#REF!,"AAAAAHrfP1Y=")</f>
        <v>#REF!</v>
      </c>
      <c r="CJ412" t="e">
        <f>AND(#REF!,"AAAAAHrfP1c=")</f>
        <v>#REF!</v>
      </c>
      <c r="CK412" t="e">
        <f>AND(#REF!,"AAAAAHrfP1g=")</f>
        <v>#REF!</v>
      </c>
      <c r="CL412" t="e">
        <f>AND(#REF!,"AAAAAHrfP1k=")</f>
        <v>#REF!</v>
      </c>
      <c r="CM412" t="e">
        <f>AND(#REF!,"AAAAAHrfP1o=")</f>
        <v>#REF!</v>
      </c>
      <c r="CN412" t="e">
        <f>AND(#REF!,"AAAAAHrfP1s=")</f>
        <v>#REF!</v>
      </c>
      <c r="CO412" t="e">
        <f>AND(#REF!,"AAAAAHrfP1w=")</f>
        <v>#REF!</v>
      </c>
      <c r="CP412" t="e">
        <f>AND(#REF!,"AAAAAHrfP10=")</f>
        <v>#REF!</v>
      </c>
      <c r="CQ412" t="e">
        <f>IF(#REF!,"AAAAAHrfP14=",0)</f>
        <v>#REF!</v>
      </c>
      <c r="CR412" t="e">
        <f>AND(#REF!,"AAAAAHrfP18=")</f>
        <v>#REF!</v>
      </c>
      <c r="CS412" t="e">
        <f>AND(#REF!,"AAAAAHrfP2A=")</f>
        <v>#REF!</v>
      </c>
      <c r="CT412" t="e">
        <f>AND(#REF!,"AAAAAHrfP2E=")</f>
        <v>#REF!</v>
      </c>
      <c r="CU412" t="e">
        <f>AND(#REF!,"AAAAAHrfP2I=")</f>
        <v>#REF!</v>
      </c>
      <c r="CV412" t="e">
        <f>AND(#REF!,"AAAAAHrfP2M=")</f>
        <v>#REF!</v>
      </c>
      <c r="CW412" t="e">
        <f>AND(#REF!,"AAAAAHrfP2Q=")</f>
        <v>#REF!</v>
      </c>
      <c r="CX412" t="e">
        <f>AND(#REF!,"AAAAAHrfP2U=")</f>
        <v>#REF!</v>
      </c>
      <c r="CY412" t="e">
        <f>AND(#REF!,"AAAAAHrfP2Y=")</f>
        <v>#REF!</v>
      </c>
      <c r="CZ412" t="e">
        <f>AND(#REF!,"AAAAAHrfP2c=")</f>
        <v>#REF!</v>
      </c>
      <c r="DA412" t="e">
        <f>AND(#REF!,"AAAAAHrfP2g=")</f>
        <v>#REF!</v>
      </c>
      <c r="DB412" t="e">
        <f>AND(#REF!,"AAAAAHrfP2k=")</f>
        <v>#REF!</v>
      </c>
      <c r="DC412" t="e">
        <f>AND(#REF!,"AAAAAHrfP2o=")</f>
        <v>#REF!</v>
      </c>
      <c r="DD412" t="e">
        <f>AND(#REF!,"AAAAAHrfP2s=")</f>
        <v>#REF!</v>
      </c>
      <c r="DE412" t="e">
        <f>AND(#REF!,"AAAAAHrfP2w=")</f>
        <v>#REF!</v>
      </c>
      <c r="DF412" t="e">
        <f>AND(#REF!,"AAAAAHrfP20=")</f>
        <v>#REF!</v>
      </c>
      <c r="DG412" t="e">
        <f>AND(#REF!,"AAAAAHrfP24=")</f>
        <v>#REF!</v>
      </c>
      <c r="DH412" t="e">
        <f>AND(#REF!,"AAAAAHrfP28=")</f>
        <v>#REF!</v>
      </c>
      <c r="DI412" t="e">
        <f>AND(#REF!,"AAAAAHrfP3A=")</f>
        <v>#REF!</v>
      </c>
      <c r="DJ412" t="e">
        <f>AND(#REF!,"AAAAAHrfP3E=")</f>
        <v>#REF!</v>
      </c>
      <c r="DK412" t="e">
        <f>AND(#REF!,"AAAAAHrfP3I=")</f>
        <v>#REF!</v>
      </c>
      <c r="DL412" t="e">
        <f>AND(#REF!,"AAAAAHrfP3M=")</f>
        <v>#REF!</v>
      </c>
      <c r="DM412" t="e">
        <f>AND(#REF!,"AAAAAHrfP3Q=")</f>
        <v>#REF!</v>
      </c>
      <c r="DN412" t="e">
        <f>AND(#REF!,"AAAAAHrfP3U=")</f>
        <v>#REF!</v>
      </c>
      <c r="DO412" t="e">
        <f>AND(#REF!,"AAAAAHrfP3Y=")</f>
        <v>#REF!</v>
      </c>
      <c r="DP412" t="e">
        <f>IF(#REF!,"AAAAAHrfP3c=",0)</f>
        <v>#REF!</v>
      </c>
      <c r="DQ412" t="e">
        <f>AND(#REF!,"AAAAAHrfP3g=")</f>
        <v>#REF!</v>
      </c>
      <c r="DR412" t="e">
        <f>AND(#REF!,"AAAAAHrfP3k=")</f>
        <v>#REF!</v>
      </c>
      <c r="DS412" t="e">
        <f>AND(#REF!,"AAAAAHrfP3o=")</f>
        <v>#REF!</v>
      </c>
      <c r="DT412" t="e">
        <f>AND(#REF!,"AAAAAHrfP3s=")</f>
        <v>#REF!</v>
      </c>
      <c r="DU412" t="e">
        <f>AND(#REF!,"AAAAAHrfP3w=")</f>
        <v>#REF!</v>
      </c>
      <c r="DV412" t="e">
        <f>AND(#REF!,"AAAAAHrfP30=")</f>
        <v>#REF!</v>
      </c>
      <c r="DW412" t="e">
        <f>AND(#REF!,"AAAAAHrfP34=")</f>
        <v>#REF!</v>
      </c>
      <c r="DX412" t="e">
        <f>AND(#REF!,"AAAAAHrfP38=")</f>
        <v>#REF!</v>
      </c>
      <c r="DY412" t="e">
        <f>AND(#REF!,"AAAAAHrfP4A=")</f>
        <v>#REF!</v>
      </c>
      <c r="DZ412" t="e">
        <f>AND(#REF!,"AAAAAHrfP4E=")</f>
        <v>#REF!</v>
      </c>
      <c r="EA412" t="e">
        <f>AND(#REF!,"AAAAAHrfP4I=")</f>
        <v>#REF!</v>
      </c>
      <c r="EB412" t="e">
        <f>AND(#REF!,"AAAAAHrfP4M=")</f>
        <v>#REF!</v>
      </c>
      <c r="EC412" t="e">
        <f>AND(#REF!,"AAAAAHrfP4Q=")</f>
        <v>#REF!</v>
      </c>
      <c r="ED412" t="e">
        <f>AND(#REF!,"AAAAAHrfP4U=")</f>
        <v>#REF!</v>
      </c>
      <c r="EE412" t="e">
        <f>AND(#REF!,"AAAAAHrfP4Y=")</f>
        <v>#REF!</v>
      </c>
      <c r="EF412" t="e">
        <f>AND(#REF!,"AAAAAHrfP4c=")</f>
        <v>#REF!</v>
      </c>
      <c r="EG412" t="e">
        <f>AND(#REF!,"AAAAAHrfP4g=")</f>
        <v>#REF!</v>
      </c>
      <c r="EH412" t="e">
        <f>AND(#REF!,"AAAAAHrfP4k=")</f>
        <v>#REF!</v>
      </c>
      <c r="EI412" t="e">
        <f>AND(#REF!,"AAAAAHrfP4o=")</f>
        <v>#REF!</v>
      </c>
      <c r="EJ412" t="e">
        <f>AND(#REF!,"AAAAAHrfP4s=")</f>
        <v>#REF!</v>
      </c>
      <c r="EK412" t="e">
        <f>AND(#REF!,"AAAAAHrfP4w=")</f>
        <v>#REF!</v>
      </c>
      <c r="EL412" t="e">
        <f>AND(#REF!,"AAAAAHrfP40=")</f>
        <v>#REF!</v>
      </c>
      <c r="EM412" t="e">
        <f>AND(#REF!,"AAAAAHrfP44=")</f>
        <v>#REF!</v>
      </c>
      <c r="EN412" t="e">
        <f>AND(#REF!,"AAAAAHrfP48=")</f>
        <v>#REF!</v>
      </c>
      <c r="EO412" t="e">
        <f>IF(#REF!,"AAAAAHrfP5A=",0)</f>
        <v>#REF!</v>
      </c>
      <c r="EP412" t="e">
        <f>AND(#REF!,"AAAAAHrfP5E=")</f>
        <v>#REF!</v>
      </c>
      <c r="EQ412" t="e">
        <f>AND(#REF!,"AAAAAHrfP5I=")</f>
        <v>#REF!</v>
      </c>
      <c r="ER412" t="e">
        <f>AND(#REF!,"AAAAAHrfP5M=")</f>
        <v>#REF!</v>
      </c>
      <c r="ES412" t="e">
        <f>AND(#REF!,"AAAAAHrfP5Q=")</f>
        <v>#REF!</v>
      </c>
      <c r="ET412" t="e">
        <f>AND(#REF!,"AAAAAHrfP5U=")</f>
        <v>#REF!</v>
      </c>
      <c r="EU412" t="e">
        <f>AND(#REF!,"AAAAAHrfP5Y=")</f>
        <v>#REF!</v>
      </c>
      <c r="EV412" t="e">
        <f>AND(#REF!,"AAAAAHrfP5c=")</f>
        <v>#REF!</v>
      </c>
      <c r="EW412" t="e">
        <f>AND(#REF!,"AAAAAHrfP5g=")</f>
        <v>#REF!</v>
      </c>
      <c r="EX412" t="e">
        <f>AND(#REF!,"AAAAAHrfP5k=")</f>
        <v>#REF!</v>
      </c>
      <c r="EY412" t="e">
        <f>AND(#REF!,"AAAAAHrfP5o=")</f>
        <v>#REF!</v>
      </c>
      <c r="EZ412" t="e">
        <f>AND(#REF!,"AAAAAHrfP5s=")</f>
        <v>#REF!</v>
      </c>
      <c r="FA412" t="e">
        <f>AND(#REF!,"AAAAAHrfP5w=")</f>
        <v>#REF!</v>
      </c>
      <c r="FB412" t="e">
        <f>AND(#REF!,"AAAAAHrfP50=")</f>
        <v>#REF!</v>
      </c>
      <c r="FC412" t="e">
        <f>AND(#REF!,"AAAAAHrfP54=")</f>
        <v>#REF!</v>
      </c>
      <c r="FD412" t="e">
        <f>AND(#REF!,"AAAAAHrfP58=")</f>
        <v>#REF!</v>
      </c>
      <c r="FE412" t="e">
        <f>AND(#REF!,"AAAAAHrfP6A=")</f>
        <v>#REF!</v>
      </c>
      <c r="FF412" t="e">
        <f>AND(#REF!,"AAAAAHrfP6E=")</f>
        <v>#REF!</v>
      </c>
      <c r="FG412" t="e">
        <f>AND(#REF!,"AAAAAHrfP6I=")</f>
        <v>#REF!</v>
      </c>
      <c r="FH412" t="e">
        <f>AND(#REF!,"AAAAAHrfP6M=")</f>
        <v>#REF!</v>
      </c>
      <c r="FI412" t="e">
        <f>AND(#REF!,"AAAAAHrfP6Q=")</f>
        <v>#REF!</v>
      </c>
      <c r="FJ412" t="e">
        <f>AND(#REF!,"AAAAAHrfP6U=")</f>
        <v>#REF!</v>
      </c>
      <c r="FK412" t="e">
        <f>AND(#REF!,"AAAAAHrfP6Y=")</f>
        <v>#REF!</v>
      </c>
      <c r="FL412" t="e">
        <f>AND(#REF!,"AAAAAHrfP6c=")</f>
        <v>#REF!</v>
      </c>
      <c r="FM412" t="e">
        <f>AND(#REF!,"AAAAAHrfP6g=")</f>
        <v>#REF!</v>
      </c>
      <c r="FN412" t="e">
        <f>IF(#REF!,"AAAAAHrfP6k=",0)</f>
        <v>#REF!</v>
      </c>
      <c r="FO412" t="e">
        <f>AND(#REF!,"AAAAAHrfP6o=")</f>
        <v>#REF!</v>
      </c>
      <c r="FP412" t="e">
        <f>AND(#REF!,"AAAAAHrfP6s=")</f>
        <v>#REF!</v>
      </c>
      <c r="FQ412" t="e">
        <f>AND(#REF!,"AAAAAHrfP6w=")</f>
        <v>#REF!</v>
      </c>
      <c r="FR412" t="e">
        <f>AND(#REF!,"AAAAAHrfP60=")</f>
        <v>#REF!</v>
      </c>
      <c r="FS412" t="e">
        <f>AND(#REF!,"AAAAAHrfP64=")</f>
        <v>#REF!</v>
      </c>
      <c r="FT412" t="e">
        <f>AND(#REF!,"AAAAAHrfP68=")</f>
        <v>#REF!</v>
      </c>
      <c r="FU412" t="e">
        <f>AND(#REF!,"AAAAAHrfP7A=")</f>
        <v>#REF!</v>
      </c>
      <c r="FV412" t="e">
        <f>AND(#REF!,"AAAAAHrfP7E=")</f>
        <v>#REF!</v>
      </c>
      <c r="FW412" t="e">
        <f>AND(#REF!,"AAAAAHrfP7I=")</f>
        <v>#REF!</v>
      </c>
      <c r="FX412" t="e">
        <f>AND(#REF!,"AAAAAHrfP7M=")</f>
        <v>#REF!</v>
      </c>
      <c r="FY412" t="e">
        <f>AND(#REF!,"AAAAAHrfP7Q=")</f>
        <v>#REF!</v>
      </c>
      <c r="FZ412" t="e">
        <f>AND(#REF!,"AAAAAHrfP7U=")</f>
        <v>#REF!</v>
      </c>
      <c r="GA412" t="e">
        <f>AND(#REF!,"AAAAAHrfP7Y=")</f>
        <v>#REF!</v>
      </c>
      <c r="GB412" t="e">
        <f>AND(#REF!,"AAAAAHrfP7c=")</f>
        <v>#REF!</v>
      </c>
      <c r="GC412" t="e">
        <f>AND(#REF!,"AAAAAHrfP7g=")</f>
        <v>#REF!</v>
      </c>
      <c r="GD412" t="e">
        <f>AND(#REF!,"AAAAAHrfP7k=")</f>
        <v>#REF!</v>
      </c>
      <c r="GE412" t="e">
        <f>AND(#REF!,"AAAAAHrfP7o=")</f>
        <v>#REF!</v>
      </c>
      <c r="GF412" t="e">
        <f>AND(#REF!,"AAAAAHrfP7s=")</f>
        <v>#REF!</v>
      </c>
      <c r="GG412" t="e">
        <f>AND(#REF!,"AAAAAHrfP7w=")</f>
        <v>#REF!</v>
      </c>
      <c r="GH412" t="e">
        <f>AND(#REF!,"AAAAAHrfP70=")</f>
        <v>#REF!</v>
      </c>
      <c r="GI412" t="e">
        <f>AND(#REF!,"AAAAAHrfP74=")</f>
        <v>#REF!</v>
      </c>
      <c r="GJ412" t="e">
        <f>AND(#REF!,"AAAAAHrfP78=")</f>
        <v>#REF!</v>
      </c>
      <c r="GK412" t="e">
        <f>AND(#REF!,"AAAAAHrfP8A=")</f>
        <v>#REF!</v>
      </c>
      <c r="GL412" t="e">
        <f>AND(#REF!,"AAAAAHrfP8E=")</f>
        <v>#REF!</v>
      </c>
      <c r="GM412" t="e">
        <f>IF(#REF!,"AAAAAHrfP8I=",0)</f>
        <v>#REF!</v>
      </c>
      <c r="GN412" t="e">
        <f>AND(#REF!,"AAAAAHrfP8M=")</f>
        <v>#REF!</v>
      </c>
      <c r="GO412" t="e">
        <f>AND(#REF!,"AAAAAHrfP8Q=")</f>
        <v>#REF!</v>
      </c>
      <c r="GP412" t="e">
        <f>AND(#REF!,"AAAAAHrfP8U=")</f>
        <v>#REF!</v>
      </c>
      <c r="GQ412" t="e">
        <f>AND(#REF!,"AAAAAHrfP8Y=")</f>
        <v>#REF!</v>
      </c>
      <c r="GR412" t="e">
        <f>AND(#REF!,"AAAAAHrfP8c=")</f>
        <v>#REF!</v>
      </c>
      <c r="GS412" t="e">
        <f>AND(#REF!,"AAAAAHrfP8g=")</f>
        <v>#REF!</v>
      </c>
      <c r="GT412" t="e">
        <f>AND(#REF!,"AAAAAHrfP8k=")</f>
        <v>#REF!</v>
      </c>
      <c r="GU412" t="e">
        <f>AND(#REF!,"AAAAAHrfP8o=")</f>
        <v>#REF!</v>
      </c>
      <c r="GV412" t="e">
        <f>AND(#REF!,"AAAAAHrfP8s=")</f>
        <v>#REF!</v>
      </c>
      <c r="GW412" t="e">
        <f>AND(#REF!,"AAAAAHrfP8w=")</f>
        <v>#REF!</v>
      </c>
      <c r="GX412" t="e">
        <f>AND(#REF!,"AAAAAHrfP80=")</f>
        <v>#REF!</v>
      </c>
      <c r="GY412" t="e">
        <f>AND(#REF!,"AAAAAHrfP84=")</f>
        <v>#REF!</v>
      </c>
      <c r="GZ412" t="e">
        <f>AND(#REF!,"AAAAAHrfP88=")</f>
        <v>#REF!</v>
      </c>
      <c r="HA412" t="e">
        <f>AND(#REF!,"AAAAAHrfP9A=")</f>
        <v>#REF!</v>
      </c>
      <c r="HB412" t="e">
        <f>AND(#REF!,"AAAAAHrfP9E=")</f>
        <v>#REF!</v>
      </c>
      <c r="HC412" t="e">
        <f>AND(#REF!,"AAAAAHrfP9I=")</f>
        <v>#REF!</v>
      </c>
      <c r="HD412" t="e">
        <f>AND(#REF!,"AAAAAHrfP9M=")</f>
        <v>#REF!</v>
      </c>
      <c r="HE412" t="e">
        <f>AND(#REF!,"AAAAAHrfP9Q=")</f>
        <v>#REF!</v>
      </c>
      <c r="HF412" t="e">
        <f>AND(#REF!,"AAAAAHrfP9U=")</f>
        <v>#REF!</v>
      </c>
      <c r="HG412" t="e">
        <f>AND(#REF!,"AAAAAHrfP9Y=")</f>
        <v>#REF!</v>
      </c>
      <c r="HH412" t="e">
        <f>AND(#REF!,"AAAAAHrfP9c=")</f>
        <v>#REF!</v>
      </c>
      <c r="HI412" t="e">
        <f>AND(#REF!,"AAAAAHrfP9g=")</f>
        <v>#REF!</v>
      </c>
      <c r="HJ412" t="e">
        <f>AND(#REF!,"AAAAAHrfP9k=")</f>
        <v>#REF!</v>
      </c>
      <c r="HK412" t="e">
        <f>AND(#REF!,"AAAAAHrfP9o=")</f>
        <v>#REF!</v>
      </c>
      <c r="HL412" t="e">
        <f>IF(#REF!,"AAAAAHrfP9s=",0)</f>
        <v>#REF!</v>
      </c>
      <c r="HM412" t="e">
        <f>AND(#REF!,"AAAAAHrfP9w=")</f>
        <v>#REF!</v>
      </c>
      <c r="HN412" t="e">
        <f>AND(#REF!,"AAAAAHrfP90=")</f>
        <v>#REF!</v>
      </c>
      <c r="HO412" t="e">
        <f>AND(#REF!,"AAAAAHrfP94=")</f>
        <v>#REF!</v>
      </c>
      <c r="HP412" t="e">
        <f>AND(#REF!,"AAAAAHrfP98=")</f>
        <v>#REF!</v>
      </c>
      <c r="HQ412" t="e">
        <f>AND(#REF!,"AAAAAHrfP+A=")</f>
        <v>#REF!</v>
      </c>
      <c r="HR412" t="e">
        <f>AND(#REF!,"AAAAAHrfP+E=")</f>
        <v>#REF!</v>
      </c>
      <c r="HS412" t="e">
        <f>AND(#REF!,"AAAAAHrfP+I=")</f>
        <v>#REF!</v>
      </c>
      <c r="HT412" t="e">
        <f>AND(#REF!,"AAAAAHrfP+M=")</f>
        <v>#REF!</v>
      </c>
      <c r="HU412" t="e">
        <f>AND(#REF!,"AAAAAHrfP+Q=")</f>
        <v>#REF!</v>
      </c>
      <c r="HV412" t="e">
        <f>AND(#REF!,"AAAAAHrfP+U=")</f>
        <v>#REF!</v>
      </c>
      <c r="HW412" t="e">
        <f>AND(#REF!,"AAAAAHrfP+Y=")</f>
        <v>#REF!</v>
      </c>
      <c r="HX412" t="e">
        <f>AND(#REF!,"AAAAAHrfP+c=")</f>
        <v>#REF!</v>
      </c>
      <c r="HY412" t="e">
        <f>AND(#REF!,"AAAAAHrfP+g=")</f>
        <v>#REF!</v>
      </c>
      <c r="HZ412" t="e">
        <f>AND(#REF!,"AAAAAHrfP+k=")</f>
        <v>#REF!</v>
      </c>
      <c r="IA412" t="e">
        <f>AND(#REF!,"AAAAAHrfP+o=")</f>
        <v>#REF!</v>
      </c>
      <c r="IB412" t="e">
        <f>AND(#REF!,"AAAAAHrfP+s=")</f>
        <v>#REF!</v>
      </c>
      <c r="IC412" t="e">
        <f>AND(#REF!,"AAAAAHrfP+w=")</f>
        <v>#REF!</v>
      </c>
      <c r="ID412" t="e">
        <f>AND(#REF!,"AAAAAHrfP+0=")</f>
        <v>#REF!</v>
      </c>
      <c r="IE412" t="e">
        <f>AND(#REF!,"AAAAAHrfP+4=")</f>
        <v>#REF!</v>
      </c>
      <c r="IF412" t="e">
        <f>AND(#REF!,"AAAAAHrfP+8=")</f>
        <v>#REF!</v>
      </c>
      <c r="IG412" t="e">
        <f>AND(#REF!,"AAAAAHrfP/A=")</f>
        <v>#REF!</v>
      </c>
      <c r="IH412" t="e">
        <f>AND(#REF!,"AAAAAHrfP/E=")</f>
        <v>#REF!</v>
      </c>
      <c r="II412" t="e">
        <f>AND(#REF!,"AAAAAHrfP/I=")</f>
        <v>#REF!</v>
      </c>
      <c r="IJ412" t="e">
        <f>AND(#REF!,"AAAAAHrfP/M=")</f>
        <v>#REF!</v>
      </c>
      <c r="IK412" t="e">
        <f>IF(#REF!,"AAAAAHrfP/Q=",0)</f>
        <v>#REF!</v>
      </c>
      <c r="IL412" t="e">
        <f>AND(#REF!,"AAAAAHrfP/U=")</f>
        <v>#REF!</v>
      </c>
      <c r="IM412" t="e">
        <f>AND(#REF!,"AAAAAHrfP/Y=")</f>
        <v>#REF!</v>
      </c>
      <c r="IN412" t="e">
        <f>AND(#REF!,"AAAAAHrfP/c=")</f>
        <v>#REF!</v>
      </c>
      <c r="IO412" t="e">
        <f>AND(#REF!,"AAAAAHrfP/g=")</f>
        <v>#REF!</v>
      </c>
      <c r="IP412" t="e">
        <f>AND(#REF!,"AAAAAHrfP/k=")</f>
        <v>#REF!</v>
      </c>
      <c r="IQ412" t="e">
        <f>AND(#REF!,"AAAAAHrfP/o=")</f>
        <v>#REF!</v>
      </c>
      <c r="IR412" t="e">
        <f>AND(#REF!,"AAAAAHrfP/s=")</f>
        <v>#REF!</v>
      </c>
      <c r="IS412" t="e">
        <f>AND(#REF!,"AAAAAHrfP/w=")</f>
        <v>#REF!</v>
      </c>
      <c r="IT412" t="e">
        <f>AND(#REF!,"AAAAAHrfP/0=")</f>
        <v>#REF!</v>
      </c>
      <c r="IU412" t="e">
        <f>AND(#REF!,"AAAAAHrfP/4=")</f>
        <v>#REF!</v>
      </c>
      <c r="IV412" t="e">
        <f>AND(#REF!,"AAAAAHrfP/8=")</f>
        <v>#REF!</v>
      </c>
    </row>
    <row r="413" spans="1:256">
      <c r="A413" t="e">
        <f>AND(#REF!,"AAAAAG9/1gA=")</f>
        <v>#REF!</v>
      </c>
      <c r="B413" t="e">
        <f>AND(#REF!,"AAAAAG9/1gE=")</f>
        <v>#REF!</v>
      </c>
      <c r="C413" t="e">
        <f>AND(#REF!,"AAAAAG9/1gI=")</f>
        <v>#REF!</v>
      </c>
      <c r="D413" t="e">
        <f>AND(#REF!,"AAAAAG9/1gM=")</f>
        <v>#REF!</v>
      </c>
      <c r="E413" t="e">
        <f>AND(#REF!,"AAAAAG9/1gQ=")</f>
        <v>#REF!</v>
      </c>
      <c r="F413" t="e">
        <f>AND(#REF!,"AAAAAG9/1gU=")</f>
        <v>#REF!</v>
      </c>
      <c r="G413" t="e">
        <f>AND(#REF!,"AAAAAG9/1gY=")</f>
        <v>#REF!</v>
      </c>
      <c r="H413" t="e">
        <f>AND(#REF!,"AAAAAG9/1gc=")</f>
        <v>#REF!</v>
      </c>
      <c r="I413" t="e">
        <f>AND(#REF!,"AAAAAG9/1gg=")</f>
        <v>#REF!</v>
      </c>
      <c r="J413" t="e">
        <f>AND(#REF!,"AAAAAG9/1gk=")</f>
        <v>#REF!</v>
      </c>
      <c r="K413" t="e">
        <f>AND(#REF!,"AAAAAG9/1go=")</f>
        <v>#REF!</v>
      </c>
      <c r="L413" t="e">
        <f>AND(#REF!,"AAAAAG9/1gs=")</f>
        <v>#REF!</v>
      </c>
      <c r="M413" t="e">
        <f>AND(#REF!,"AAAAAG9/1gw=")</f>
        <v>#REF!</v>
      </c>
      <c r="N413" t="e">
        <f>IF(#REF!,"AAAAAG9/1g0=",0)</f>
        <v>#REF!</v>
      </c>
      <c r="O413" t="e">
        <f>AND(#REF!,"AAAAAG9/1g4=")</f>
        <v>#REF!</v>
      </c>
      <c r="P413" t="e">
        <f>AND(#REF!,"AAAAAG9/1g8=")</f>
        <v>#REF!</v>
      </c>
      <c r="Q413" t="e">
        <f>AND(#REF!,"AAAAAG9/1hA=")</f>
        <v>#REF!</v>
      </c>
      <c r="R413" t="e">
        <f>AND(#REF!,"AAAAAG9/1hE=")</f>
        <v>#REF!</v>
      </c>
      <c r="S413" t="e">
        <f>AND(#REF!,"AAAAAG9/1hI=")</f>
        <v>#REF!</v>
      </c>
      <c r="T413" t="e">
        <f>AND(#REF!,"AAAAAG9/1hM=")</f>
        <v>#REF!</v>
      </c>
      <c r="U413" t="e">
        <f>AND(#REF!,"AAAAAG9/1hQ=")</f>
        <v>#REF!</v>
      </c>
      <c r="V413" t="e">
        <f>AND(#REF!,"AAAAAG9/1hU=")</f>
        <v>#REF!</v>
      </c>
      <c r="W413" t="e">
        <f>AND(#REF!,"AAAAAG9/1hY=")</f>
        <v>#REF!</v>
      </c>
      <c r="X413" t="e">
        <f>AND(#REF!,"AAAAAG9/1hc=")</f>
        <v>#REF!</v>
      </c>
      <c r="Y413" t="e">
        <f>AND(#REF!,"AAAAAG9/1hg=")</f>
        <v>#REF!</v>
      </c>
      <c r="Z413" t="e">
        <f>AND(#REF!,"AAAAAG9/1hk=")</f>
        <v>#REF!</v>
      </c>
      <c r="AA413" t="e">
        <f>AND(#REF!,"AAAAAG9/1ho=")</f>
        <v>#REF!</v>
      </c>
      <c r="AB413" t="e">
        <f>AND(#REF!,"AAAAAG9/1hs=")</f>
        <v>#REF!</v>
      </c>
      <c r="AC413" t="e">
        <f>AND(#REF!,"AAAAAG9/1hw=")</f>
        <v>#REF!</v>
      </c>
      <c r="AD413" t="e">
        <f>AND(#REF!,"AAAAAG9/1h0=")</f>
        <v>#REF!</v>
      </c>
      <c r="AE413" t="e">
        <f>AND(#REF!,"AAAAAG9/1h4=")</f>
        <v>#REF!</v>
      </c>
      <c r="AF413" t="e">
        <f>AND(#REF!,"AAAAAG9/1h8=")</f>
        <v>#REF!</v>
      </c>
      <c r="AG413" t="e">
        <f>AND(#REF!,"AAAAAG9/1iA=")</f>
        <v>#REF!</v>
      </c>
      <c r="AH413" t="e">
        <f>AND(#REF!,"AAAAAG9/1iE=")</f>
        <v>#REF!</v>
      </c>
      <c r="AI413" t="e">
        <f>AND(#REF!,"AAAAAG9/1iI=")</f>
        <v>#REF!</v>
      </c>
      <c r="AJ413" t="e">
        <f>AND(#REF!,"AAAAAG9/1iM=")</f>
        <v>#REF!</v>
      </c>
      <c r="AK413" t="e">
        <f>AND(#REF!,"AAAAAG9/1iQ=")</f>
        <v>#REF!</v>
      </c>
      <c r="AL413" t="e">
        <f>AND(#REF!,"AAAAAG9/1iU=")</f>
        <v>#REF!</v>
      </c>
      <c r="AM413" t="e">
        <f>IF(#REF!,"AAAAAG9/1iY=",0)</f>
        <v>#REF!</v>
      </c>
      <c r="AN413" t="e">
        <f>AND(#REF!,"AAAAAG9/1ic=")</f>
        <v>#REF!</v>
      </c>
      <c r="AO413" t="e">
        <f>AND(#REF!,"AAAAAG9/1ig=")</f>
        <v>#REF!</v>
      </c>
      <c r="AP413" t="e">
        <f>AND(#REF!,"AAAAAG9/1ik=")</f>
        <v>#REF!</v>
      </c>
      <c r="AQ413" t="e">
        <f>AND(#REF!,"AAAAAG9/1io=")</f>
        <v>#REF!</v>
      </c>
      <c r="AR413" t="e">
        <f>AND(#REF!,"AAAAAG9/1is=")</f>
        <v>#REF!</v>
      </c>
      <c r="AS413" t="e">
        <f>AND(#REF!,"AAAAAG9/1iw=")</f>
        <v>#REF!</v>
      </c>
      <c r="AT413" t="e">
        <f>AND(#REF!,"AAAAAG9/1i0=")</f>
        <v>#REF!</v>
      </c>
      <c r="AU413" t="e">
        <f>AND(#REF!,"AAAAAG9/1i4=")</f>
        <v>#REF!</v>
      </c>
      <c r="AV413" t="e">
        <f>AND(#REF!,"AAAAAG9/1i8=")</f>
        <v>#REF!</v>
      </c>
      <c r="AW413" t="e">
        <f>AND(#REF!,"AAAAAG9/1jA=")</f>
        <v>#REF!</v>
      </c>
      <c r="AX413" t="e">
        <f>AND(#REF!,"AAAAAG9/1jE=")</f>
        <v>#REF!</v>
      </c>
      <c r="AY413" t="e">
        <f>AND(#REF!,"AAAAAG9/1jI=")</f>
        <v>#REF!</v>
      </c>
      <c r="AZ413" t="e">
        <f>AND(#REF!,"AAAAAG9/1jM=")</f>
        <v>#REF!</v>
      </c>
      <c r="BA413" t="e">
        <f>AND(#REF!,"AAAAAG9/1jQ=")</f>
        <v>#REF!</v>
      </c>
      <c r="BB413" t="e">
        <f>AND(#REF!,"AAAAAG9/1jU=")</f>
        <v>#REF!</v>
      </c>
      <c r="BC413" t="e">
        <f>AND(#REF!,"AAAAAG9/1jY=")</f>
        <v>#REF!</v>
      </c>
      <c r="BD413" t="e">
        <f>AND(#REF!,"AAAAAG9/1jc=")</f>
        <v>#REF!</v>
      </c>
      <c r="BE413" t="e">
        <f>AND(#REF!,"AAAAAG9/1jg=")</f>
        <v>#REF!</v>
      </c>
      <c r="BF413" t="e">
        <f>AND(#REF!,"AAAAAG9/1jk=")</f>
        <v>#REF!</v>
      </c>
      <c r="BG413" t="e">
        <f>AND(#REF!,"AAAAAG9/1jo=")</f>
        <v>#REF!</v>
      </c>
      <c r="BH413" t="e">
        <f>AND(#REF!,"AAAAAG9/1js=")</f>
        <v>#REF!</v>
      </c>
      <c r="BI413" t="e">
        <f>AND(#REF!,"AAAAAG9/1jw=")</f>
        <v>#REF!</v>
      </c>
      <c r="BJ413" t="e">
        <f>AND(#REF!,"AAAAAG9/1j0=")</f>
        <v>#REF!</v>
      </c>
      <c r="BK413" t="e">
        <f>AND(#REF!,"AAAAAG9/1j4=")</f>
        <v>#REF!</v>
      </c>
      <c r="BL413" t="e">
        <f>IF(#REF!,"AAAAAG9/1j8=",0)</f>
        <v>#REF!</v>
      </c>
      <c r="BM413" t="e">
        <f>AND(#REF!,"AAAAAG9/1kA=")</f>
        <v>#REF!</v>
      </c>
      <c r="BN413" t="e">
        <f>AND(#REF!,"AAAAAG9/1kE=")</f>
        <v>#REF!</v>
      </c>
      <c r="BO413" t="e">
        <f>AND(#REF!,"AAAAAG9/1kI=")</f>
        <v>#REF!</v>
      </c>
      <c r="BP413" t="e">
        <f>AND(#REF!,"AAAAAG9/1kM=")</f>
        <v>#REF!</v>
      </c>
      <c r="BQ413" t="e">
        <f>AND(#REF!,"AAAAAG9/1kQ=")</f>
        <v>#REF!</v>
      </c>
      <c r="BR413" t="e">
        <f>AND(#REF!,"AAAAAG9/1kU=")</f>
        <v>#REF!</v>
      </c>
      <c r="BS413" t="e">
        <f>AND(#REF!,"AAAAAG9/1kY=")</f>
        <v>#REF!</v>
      </c>
      <c r="BT413" t="e">
        <f>AND(#REF!,"AAAAAG9/1kc=")</f>
        <v>#REF!</v>
      </c>
      <c r="BU413" t="e">
        <f>AND(#REF!,"AAAAAG9/1kg=")</f>
        <v>#REF!</v>
      </c>
      <c r="BV413" t="e">
        <f>AND(#REF!,"AAAAAG9/1kk=")</f>
        <v>#REF!</v>
      </c>
      <c r="BW413" t="e">
        <f>AND(#REF!,"AAAAAG9/1ko=")</f>
        <v>#REF!</v>
      </c>
      <c r="BX413" t="e">
        <f>AND(#REF!,"AAAAAG9/1ks=")</f>
        <v>#REF!</v>
      </c>
      <c r="BY413" t="e">
        <f>AND(#REF!,"AAAAAG9/1kw=")</f>
        <v>#REF!</v>
      </c>
      <c r="BZ413" t="e">
        <f>AND(#REF!,"AAAAAG9/1k0=")</f>
        <v>#REF!</v>
      </c>
      <c r="CA413" t="e">
        <f>AND(#REF!,"AAAAAG9/1k4=")</f>
        <v>#REF!</v>
      </c>
      <c r="CB413" t="e">
        <f>AND(#REF!,"AAAAAG9/1k8=")</f>
        <v>#REF!</v>
      </c>
      <c r="CC413" t="e">
        <f>AND(#REF!,"AAAAAG9/1lA=")</f>
        <v>#REF!</v>
      </c>
      <c r="CD413" t="e">
        <f>AND(#REF!,"AAAAAG9/1lE=")</f>
        <v>#REF!</v>
      </c>
      <c r="CE413" t="e">
        <f>AND(#REF!,"AAAAAG9/1lI=")</f>
        <v>#REF!</v>
      </c>
      <c r="CF413" t="e">
        <f>AND(#REF!,"AAAAAG9/1lM=")</f>
        <v>#REF!</v>
      </c>
      <c r="CG413" t="e">
        <f>AND(#REF!,"AAAAAG9/1lQ=")</f>
        <v>#REF!</v>
      </c>
      <c r="CH413" t="e">
        <f>AND(#REF!,"AAAAAG9/1lU=")</f>
        <v>#REF!</v>
      </c>
      <c r="CI413" t="e">
        <f>AND(#REF!,"AAAAAG9/1lY=")</f>
        <v>#REF!</v>
      </c>
      <c r="CJ413" t="e">
        <f>AND(#REF!,"AAAAAG9/1lc=")</f>
        <v>#REF!</v>
      </c>
      <c r="CK413" t="e">
        <f>IF(#REF!,"AAAAAG9/1lg=",0)</f>
        <v>#REF!</v>
      </c>
      <c r="CL413" t="e">
        <f>AND(#REF!,"AAAAAG9/1lk=")</f>
        <v>#REF!</v>
      </c>
      <c r="CM413" t="e">
        <f>AND(#REF!,"AAAAAG9/1lo=")</f>
        <v>#REF!</v>
      </c>
      <c r="CN413" t="e">
        <f>AND(#REF!,"AAAAAG9/1ls=")</f>
        <v>#REF!</v>
      </c>
      <c r="CO413" t="e">
        <f>AND(#REF!,"AAAAAG9/1lw=")</f>
        <v>#REF!</v>
      </c>
      <c r="CP413" t="e">
        <f>AND(#REF!,"AAAAAG9/1l0=")</f>
        <v>#REF!</v>
      </c>
      <c r="CQ413" t="e">
        <f>AND(#REF!,"AAAAAG9/1l4=")</f>
        <v>#REF!</v>
      </c>
      <c r="CR413" t="e">
        <f>AND(#REF!,"AAAAAG9/1l8=")</f>
        <v>#REF!</v>
      </c>
      <c r="CS413" t="e">
        <f>AND(#REF!,"AAAAAG9/1mA=")</f>
        <v>#REF!</v>
      </c>
      <c r="CT413" t="e">
        <f>AND(#REF!,"AAAAAG9/1mE=")</f>
        <v>#REF!</v>
      </c>
      <c r="CU413" t="e">
        <f>AND(#REF!,"AAAAAG9/1mI=")</f>
        <v>#REF!</v>
      </c>
      <c r="CV413" t="e">
        <f>AND(#REF!,"AAAAAG9/1mM=")</f>
        <v>#REF!</v>
      </c>
      <c r="CW413" t="e">
        <f>AND(#REF!,"AAAAAG9/1mQ=")</f>
        <v>#REF!</v>
      </c>
      <c r="CX413" t="e">
        <f>AND(#REF!,"AAAAAG9/1mU=")</f>
        <v>#REF!</v>
      </c>
      <c r="CY413" t="e">
        <f>AND(#REF!,"AAAAAG9/1mY=")</f>
        <v>#REF!</v>
      </c>
      <c r="CZ413" t="e">
        <f>AND(#REF!,"AAAAAG9/1mc=")</f>
        <v>#REF!</v>
      </c>
      <c r="DA413" t="e">
        <f>AND(#REF!,"AAAAAG9/1mg=")</f>
        <v>#REF!</v>
      </c>
      <c r="DB413" t="e">
        <f>AND(#REF!,"AAAAAG9/1mk=")</f>
        <v>#REF!</v>
      </c>
      <c r="DC413" t="e">
        <f>AND(#REF!,"AAAAAG9/1mo=")</f>
        <v>#REF!</v>
      </c>
      <c r="DD413" t="e">
        <f>AND(#REF!,"AAAAAG9/1ms=")</f>
        <v>#REF!</v>
      </c>
      <c r="DE413" t="e">
        <f>AND(#REF!,"AAAAAG9/1mw=")</f>
        <v>#REF!</v>
      </c>
      <c r="DF413" t="e">
        <f>AND(#REF!,"AAAAAG9/1m0=")</f>
        <v>#REF!</v>
      </c>
      <c r="DG413" t="e">
        <f>AND(#REF!,"AAAAAG9/1m4=")</f>
        <v>#REF!</v>
      </c>
      <c r="DH413" t="e">
        <f>AND(#REF!,"AAAAAG9/1m8=")</f>
        <v>#REF!</v>
      </c>
      <c r="DI413" t="e">
        <f>AND(#REF!,"AAAAAG9/1nA=")</f>
        <v>#REF!</v>
      </c>
      <c r="DJ413" t="e">
        <f>IF(#REF!,"AAAAAG9/1nE=",0)</f>
        <v>#REF!</v>
      </c>
      <c r="DK413" t="e">
        <f>AND(#REF!,"AAAAAG9/1nI=")</f>
        <v>#REF!</v>
      </c>
      <c r="DL413" t="e">
        <f>AND(#REF!,"AAAAAG9/1nM=")</f>
        <v>#REF!</v>
      </c>
      <c r="DM413" t="e">
        <f>AND(#REF!,"AAAAAG9/1nQ=")</f>
        <v>#REF!</v>
      </c>
      <c r="DN413" t="e">
        <f>AND(#REF!,"AAAAAG9/1nU=")</f>
        <v>#REF!</v>
      </c>
      <c r="DO413" t="e">
        <f>AND(#REF!,"AAAAAG9/1nY=")</f>
        <v>#REF!</v>
      </c>
      <c r="DP413" t="e">
        <f>AND(#REF!,"AAAAAG9/1nc=")</f>
        <v>#REF!</v>
      </c>
      <c r="DQ413" t="e">
        <f>AND(#REF!,"AAAAAG9/1ng=")</f>
        <v>#REF!</v>
      </c>
      <c r="DR413" t="e">
        <f>AND(#REF!,"AAAAAG9/1nk=")</f>
        <v>#REF!</v>
      </c>
      <c r="DS413" t="e">
        <f>AND(#REF!,"AAAAAG9/1no=")</f>
        <v>#REF!</v>
      </c>
      <c r="DT413" t="e">
        <f>AND(#REF!,"AAAAAG9/1ns=")</f>
        <v>#REF!</v>
      </c>
      <c r="DU413" t="e">
        <f>AND(#REF!,"AAAAAG9/1nw=")</f>
        <v>#REF!</v>
      </c>
      <c r="DV413" t="e">
        <f>AND(#REF!,"AAAAAG9/1n0=")</f>
        <v>#REF!</v>
      </c>
      <c r="DW413" t="e">
        <f>AND(#REF!,"AAAAAG9/1n4=")</f>
        <v>#REF!</v>
      </c>
      <c r="DX413" t="e">
        <f>AND(#REF!,"AAAAAG9/1n8=")</f>
        <v>#REF!</v>
      </c>
      <c r="DY413" t="e">
        <f>AND(#REF!,"AAAAAG9/1oA=")</f>
        <v>#REF!</v>
      </c>
      <c r="DZ413" t="e">
        <f>AND(#REF!,"AAAAAG9/1oE=")</f>
        <v>#REF!</v>
      </c>
      <c r="EA413" t="e">
        <f>AND(#REF!,"AAAAAG9/1oI=")</f>
        <v>#REF!</v>
      </c>
      <c r="EB413" t="e">
        <f>AND(#REF!,"AAAAAG9/1oM=")</f>
        <v>#REF!</v>
      </c>
      <c r="EC413" t="e">
        <f>AND(#REF!,"AAAAAG9/1oQ=")</f>
        <v>#REF!</v>
      </c>
      <c r="ED413" t="e">
        <f>AND(#REF!,"AAAAAG9/1oU=")</f>
        <v>#REF!</v>
      </c>
      <c r="EE413" t="e">
        <f>AND(#REF!,"AAAAAG9/1oY=")</f>
        <v>#REF!</v>
      </c>
      <c r="EF413" t="e">
        <f>AND(#REF!,"AAAAAG9/1oc=")</f>
        <v>#REF!</v>
      </c>
      <c r="EG413" t="e">
        <f>AND(#REF!,"AAAAAG9/1og=")</f>
        <v>#REF!</v>
      </c>
      <c r="EH413" t="e">
        <f>AND(#REF!,"AAAAAG9/1ok=")</f>
        <v>#REF!</v>
      </c>
      <c r="EI413" t="e">
        <f>IF(#REF!,"AAAAAG9/1oo=",0)</f>
        <v>#REF!</v>
      </c>
      <c r="EJ413" t="e">
        <f>AND(#REF!,"AAAAAG9/1os=")</f>
        <v>#REF!</v>
      </c>
      <c r="EK413" t="e">
        <f>AND(#REF!,"AAAAAG9/1ow=")</f>
        <v>#REF!</v>
      </c>
      <c r="EL413" t="e">
        <f>AND(#REF!,"AAAAAG9/1o0=")</f>
        <v>#REF!</v>
      </c>
      <c r="EM413" t="e">
        <f>AND(#REF!,"AAAAAG9/1o4=")</f>
        <v>#REF!</v>
      </c>
      <c r="EN413" t="e">
        <f>AND(#REF!,"AAAAAG9/1o8=")</f>
        <v>#REF!</v>
      </c>
      <c r="EO413" t="e">
        <f>AND(#REF!,"AAAAAG9/1pA=")</f>
        <v>#REF!</v>
      </c>
      <c r="EP413" t="e">
        <f>AND(#REF!,"AAAAAG9/1pE=")</f>
        <v>#REF!</v>
      </c>
      <c r="EQ413" t="e">
        <f>AND(#REF!,"AAAAAG9/1pI=")</f>
        <v>#REF!</v>
      </c>
      <c r="ER413" t="e">
        <f>AND(#REF!,"AAAAAG9/1pM=")</f>
        <v>#REF!</v>
      </c>
      <c r="ES413" t="e">
        <f>AND(#REF!,"AAAAAG9/1pQ=")</f>
        <v>#REF!</v>
      </c>
      <c r="ET413" t="e">
        <f>AND(#REF!,"AAAAAG9/1pU=")</f>
        <v>#REF!</v>
      </c>
      <c r="EU413" t="e">
        <f>AND(#REF!,"AAAAAG9/1pY=")</f>
        <v>#REF!</v>
      </c>
      <c r="EV413" t="e">
        <f>AND(#REF!,"AAAAAG9/1pc=")</f>
        <v>#REF!</v>
      </c>
      <c r="EW413" t="e">
        <f>AND(#REF!,"AAAAAG9/1pg=")</f>
        <v>#REF!</v>
      </c>
      <c r="EX413" t="e">
        <f>AND(#REF!,"AAAAAG9/1pk=")</f>
        <v>#REF!</v>
      </c>
      <c r="EY413" t="e">
        <f>AND(#REF!,"AAAAAG9/1po=")</f>
        <v>#REF!</v>
      </c>
      <c r="EZ413" t="e">
        <f>AND(#REF!,"AAAAAG9/1ps=")</f>
        <v>#REF!</v>
      </c>
      <c r="FA413" t="e">
        <f>AND(#REF!,"AAAAAG9/1pw=")</f>
        <v>#REF!</v>
      </c>
      <c r="FB413" t="e">
        <f>AND(#REF!,"AAAAAG9/1p0=")</f>
        <v>#REF!</v>
      </c>
      <c r="FC413" t="e">
        <f>AND(#REF!,"AAAAAG9/1p4=")</f>
        <v>#REF!</v>
      </c>
      <c r="FD413" t="e">
        <f>AND(#REF!,"AAAAAG9/1p8=")</f>
        <v>#REF!</v>
      </c>
      <c r="FE413" t="e">
        <f>AND(#REF!,"AAAAAG9/1qA=")</f>
        <v>#REF!</v>
      </c>
      <c r="FF413" t="e">
        <f>AND(#REF!,"AAAAAG9/1qE=")</f>
        <v>#REF!</v>
      </c>
      <c r="FG413" t="e">
        <f>AND(#REF!,"AAAAAG9/1qI=")</f>
        <v>#REF!</v>
      </c>
      <c r="FH413" t="e">
        <f>IF(#REF!,"AAAAAG9/1qM=",0)</f>
        <v>#REF!</v>
      </c>
      <c r="FI413" t="e">
        <f>AND(#REF!,"AAAAAG9/1qQ=")</f>
        <v>#REF!</v>
      </c>
      <c r="FJ413" t="e">
        <f>AND(#REF!,"AAAAAG9/1qU=")</f>
        <v>#REF!</v>
      </c>
      <c r="FK413" t="e">
        <f>AND(#REF!,"AAAAAG9/1qY=")</f>
        <v>#REF!</v>
      </c>
      <c r="FL413" t="e">
        <f>AND(#REF!,"AAAAAG9/1qc=")</f>
        <v>#REF!</v>
      </c>
      <c r="FM413" t="e">
        <f>AND(#REF!,"AAAAAG9/1qg=")</f>
        <v>#REF!</v>
      </c>
      <c r="FN413" t="e">
        <f>AND(#REF!,"AAAAAG9/1qk=")</f>
        <v>#REF!</v>
      </c>
      <c r="FO413" t="e">
        <f>AND(#REF!,"AAAAAG9/1qo=")</f>
        <v>#REF!</v>
      </c>
      <c r="FP413" t="e">
        <f>AND(#REF!,"AAAAAG9/1qs=")</f>
        <v>#REF!</v>
      </c>
      <c r="FQ413" t="e">
        <f>AND(#REF!,"AAAAAG9/1qw=")</f>
        <v>#REF!</v>
      </c>
      <c r="FR413" t="e">
        <f>AND(#REF!,"AAAAAG9/1q0=")</f>
        <v>#REF!</v>
      </c>
      <c r="FS413" t="e">
        <f>AND(#REF!,"AAAAAG9/1q4=")</f>
        <v>#REF!</v>
      </c>
      <c r="FT413" t="e">
        <f>AND(#REF!,"AAAAAG9/1q8=")</f>
        <v>#REF!</v>
      </c>
      <c r="FU413" t="e">
        <f>AND(#REF!,"AAAAAG9/1rA=")</f>
        <v>#REF!</v>
      </c>
      <c r="FV413" t="e">
        <f>AND(#REF!,"AAAAAG9/1rE=")</f>
        <v>#REF!</v>
      </c>
      <c r="FW413" t="e">
        <f>AND(#REF!,"AAAAAG9/1rI=")</f>
        <v>#REF!</v>
      </c>
      <c r="FX413" t="e">
        <f>AND(#REF!,"AAAAAG9/1rM=")</f>
        <v>#REF!</v>
      </c>
      <c r="FY413" t="e">
        <f>AND(#REF!,"AAAAAG9/1rQ=")</f>
        <v>#REF!</v>
      </c>
      <c r="FZ413" t="e">
        <f>AND(#REF!,"AAAAAG9/1rU=")</f>
        <v>#REF!</v>
      </c>
      <c r="GA413" t="e">
        <f>AND(#REF!,"AAAAAG9/1rY=")</f>
        <v>#REF!</v>
      </c>
      <c r="GB413" t="e">
        <f>AND(#REF!,"AAAAAG9/1rc=")</f>
        <v>#REF!</v>
      </c>
      <c r="GC413" t="e">
        <f>AND(#REF!,"AAAAAG9/1rg=")</f>
        <v>#REF!</v>
      </c>
      <c r="GD413" t="e">
        <f>AND(#REF!,"AAAAAG9/1rk=")</f>
        <v>#REF!</v>
      </c>
      <c r="GE413" t="e">
        <f>AND(#REF!,"AAAAAG9/1ro=")</f>
        <v>#REF!</v>
      </c>
      <c r="GF413" t="e">
        <f>AND(#REF!,"AAAAAG9/1rs=")</f>
        <v>#REF!</v>
      </c>
      <c r="GG413" t="e">
        <f>IF(#REF!,"AAAAAG9/1rw=",0)</f>
        <v>#REF!</v>
      </c>
      <c r="GH413" t="e">
        <f>AND(#REF!,"AAAAAG9/1r0=")</f>
        <v>#REF!</v>
      </c>
      <c r="GI413" t="e">
        <f>AND(#REF!,"AAAAAG9/1r4=")</f>
        <v>#REF!</v>
      </c>
      <c r="GJ413" t="e">
        <f>AND(#REF!,"AAAAAG9/1r8=")</f>
        <v>#REF!</v>
      </c>
      <c r="GK413" t="e">
        <f>AND(#REF!,"AAAAAG9/1sA=")</f>
        <v>#REF!</v>
      </c>
      <c r="GL413" t="e">
        <f>AND(#REF!,"AAAAAG9/1sE=")</f>
        <v>#REF!</v>
      </c>
      <c r="GM413" t="e">
        <f>AND(#REF!,"AAAAAG9/1sI=")</f>
        <v>#REF!</v>
      </c>
      <c r="GN413" t="e">
        <f>AND(#REF!,"AAAAAG9/1sM=")</f>
        <v>#REF!</v>
      </c>
      <c r="GO413" t="e">
        <f>AND(#REF!,"AAAAAG9/1sQ=")</f>
        <v>#REF!</v>
      </c>
      <c r="GP413" t="e">
        <f>AND(#REF!,"AAAAAG9/1sU=")</f>
        <v>#REF!</v>
      </c>
      <c r="GQ413" t="e">
        <f>AND(#REF!,"AAAAAG9/1sY=")</f>
        <v>#REF!</v>
      </c>
      <c r="GR413" t="e">
        <f>AND(#REF!,"AAAAAG9/1sc=")</f>
        <v>#REF!</v>
      </c>
      <c r="GS413" t="e">
        <f>AND(#REF!,"AAAAAG9/1sg=")</f>
        <v>#REF!</v>
      </c>
      <c r="GT413" t="e">
        <f>AND(#REF!,"AAAAAG9/1sk=")</f>
        <v>#REF!</v>
      </c>
      <c r="GU413" t="e">
        <f>AND(#REF!,"AAAAAG9/1so=")</f>
        <v>#REF!</v>
      </c>
      <c r="GV413" t="e">
        <f>AND(#REF!,"AAAAAG9/1ss=")</f>
        <v>#REF!</v>
      </c>
      <c r="GW413" t="e">
        <f>AND(#REF!,"AAAAAG9/1sw=")</f>
        <v>#REF!</v>
      </c>
      <c r="GX413" t="e">
        <f>AND(#REF!,"AAAAAG9/1s0=")</f>
        <v>#REF!</v>
      </c>
      <c r="GY413" t="e">
        <f>AND(#REF!,"AAAAAG9/1s4=")</f>
        <v>#REF!</v>
      </c>
      <c r="GZ413" t="e">
        <f>AND(#REF!,"AAAAAG9/1s8=")</f>
        <v>#REF!</v>
      </c>
      <c r="HA413" t="e">
        <f>AND(#REF!,"AAAAAG9/1tA=")</f>
        <v>#REF!</v>
      </c>
      <c r="HB413" t="e">
        <f>AND(#REF!,"AAAAAG9/1tE=")</f>
        <v>#REF!</v>
      </c>
      <c r="HC413" t="e">
        <f>AND(#REF!,"AAAAAG9/1tI=")</f>
        <v>#REF!</v>
      </c>
      <c r="HD413" t="e">
        <f>AND(#REF!,"AAAAAG9/1tM=")</f>
        <v>#REF!</v>
      </c>
      <c r="HE413" t="e">
        <f>AND(#REF!,"AAAAAG9/1tQ=")</f>
        <v>#REF!</v>
      </c>
      <c r="HF413" t="e">
        <f>IF(#REF!,"AAAAAG9/1tU=",0)</f>
        <v>#REF!</v>
      </c>
      <c r="HG413" t="e">
        <f>AND(#REF!,"AAAAAG9/1tY=")</f>
        <v>#REF!</v>
      </c>
      <c r="HH413" t="e">
        <f>AND(#REF!,"AAAAAG9/1tc=")</f>
        <v>#REF!</v>
      </c>
      <c r="HI413" t="e">
        <f>AND(#REF!,"AAAAAG9/1tg=")</f>
        <v>#REF!</v>
      </c>
      <c r="HJ413" t="e">
        <f>AND(#REF!,"AAAAAG9/1tk=")</f>
        <v>#REF!</v>
      </c>
      <c r="HK413" t="e">
        <f>AND(#REF!,"AAAAAG9/1to=")</f>
        <v>#REF!</v>
      </c>
      <c r="HL413" t="e">
        <f>AND(#REF!,"AAAAAG9/1ts=")</f>
        <v>#REF!</v>
      </c>
      <c r="HM413" t="e">
        <f>AND(#REF!,"AAAAAG9/1tw=")</f>
        <v>#REF!</v>
      </c>
      <c r="HN413" t="e">
        <f>AND(#REF!,"AAAAAG9/1t0=")</f>
        <v>#REF!</v>
      </c>
      <c r="HO413" t="e">
        <f>AND(#REF!,"AAAAAG9/1t4=")</f>
        <v>#REF!</v>
      </c>
      <c r="HP413" t="e">
        <f>AND(#REF!,"AAAAAG9/1t8=")</f>
        <v>#REF!</v>
      </c>
      <c r="HQ413" t="e">
        <f>AND(#REF!,"AAAAAG9/1uA=")</f>
        <v>#REF!</v>
      </c>
      <c r="HR413" t="e">
        <f>AND(#REF!,"AAAAAG9/1uE=")</f>
        <v>#REF!</v>
      </c>
      <c r="HS413" t="e">
        <f>AND(#REF!,"AAAAAG9/1uI=")</f>
        <v>#REF!</v>
      </c>
      <c r="HT413" t="e">
        <f>AND(#REF!,"AAAAAG9/1uM=")</f>
        <v>#REF!</v>
      </c>
      <c r="HU413" t="e">
        <f>AND(#REF!,"AAAAAG9/1uQ=")</f>
        <v>#REF!</v>
      </c>
      <c r="HV413" t="e">
        <f>AND(#REF!,"AAAAAG9/1uU=")</f>
        <v>#REF!</v>
      </c>
      <c r="HW413" t="e">
        <f>AND(#REF!,"AAAAAG9/1uY=")</f>
        <v>#REF!</v>
      </c>
      <c r="HX413" t="e">
        <f>AND(#REF!,"AAAAAG9/1uc=")</f>
        <v>#REF!</v>
      </c>
      <c r="HY413" t="e">
        <f>AND(#REF!,"AAAAAG9/1ug=")</f>
        <v>#REF!</v>
      </c>
      <c r="HZ413" t="e">
        <f>AND(#REF!,"AAAAAG9/1uk=")</f>
        <v>#REF!</v>
      </c>
      <c r="IA413" t="e">
        <f>AND(#REF!,"AAAAAG9/1uo=")</f>
        <v>#REF!</v>
      </c>
      <c r="IB413" t="e">
        <f>AND(#REF!,"AAAAAG9/1us=")</f>
        <v>#REF!</v>
      </c>
      <c r="IC413" t="e">
        <f>AND(#REF!,"AAAAAG9/1uw=")</f>
        <v>#REF!</v>
      </c>
      <c r="ID413" t="e">
        <f>AND(#REF!,"AAAAAG9/1u0=")</f>
        <v>#REF!</v>
      </c>
      <c r="IE413" t="e">
        <f>IF(#REF!,"AAAAAG9/1u4=",0)</f>
        <v>#REF!</v>
      </c>
      <c r="IF413" t="e">
        <f>AND(#REF!,"AAAAAG9/1u8=")</f>
        <v>#REF!</v>
      </c>
      <c r="IG413" t="e">
        <f>AND(#REF!,"AAAAAG9/1vA=")</f>
        <v>#REF!</v>
      </c>
      <c r="IH413" t="e">
        <f>AND(#REF!,"AAAAAG9/1vE=")</f>
        <v>#REF!</v>
      </c>
      <c r="II413" t="e">
        <f>AND(#REF!,"AAAAAG9/1vI=")</f>
        <v>#REF!</v>
      </c>
      <c r="IJ413" t="e">
        <f>AND(#REF!,"AAAAAG9/1vM=")</f>
        <v>#REF!</v>
      </c>
      <c r="IK413" t="e">
        <f>AND(#REF!,"AAAAAG9/1vQ=")</f>
        <v>#REF!</v>
      </c>
      <c r="IL413" t="e">
        <f>AND(#REF!,"AAAAAG9/1vU=")</f>
        <v>#REF!</v>
      </c>
      <c r="IM413" t="e">
        <f>AND(#REF!,"AAAAAG9/1vY=")</f>
        <v>#REF!</v>
      </c>
      <c r="IN413" t="e">
        <f>AND(#REF!,"AAAAAG9/1vc=")</f>
        <v>#REF!</v>
      </c>
      <c r="IO413" t="e">
        <f>AND(#REF!,"AAAAAG9/1vg=")</f>
        <v>#REF!</v>
      </c>
      <c r="IP413" t="e">
        <f>AND(#REF!,"AAAAAG9/1vk=")</f>
        <v>#REF!</v>
      </c>
      <c r="IQ413" t="e">
        <f>AND(#REF!,"AAAAAG9/1vo=")</f>
        <v>#REF!</v>
      </c>
      <c r="IR413" t="e">
        <f>AND(#REF!,"AAAAAG9/1vs=")</f>
        <v>#REF!</v>
      </c>
      <c r="IS413" t="e">
        <f>AND(#REF!,"AAAAAG9/1vw=")</f>
        <v>#REF!</v>
      </c>
      <c r="IT413" t="e">
        <f>AND(#REF!,"AAAAAG9/1v0=")</f>
        <v>#REF!</v>
      </c>
      <c r="IU413" t="e">
        <f>AND(#REF!,"AAAAAG9/1v4=")</f>
        <v>#REF!</v>
      </c>
      <c r="IV413" t="e">
        <f>AND(#REF!,"AAAAAG9/1v8=")</f>
        <v>#REF!</v>
      </c>
    </row>
    <row r="414" spans="1:256">
      <c r="A414" t="e">
        <f>AND(#REF!,"AAAAAHf/+QA=")</f>
        <v>#REF!</v>
      </c>
      <c r="B414" t="e">
        <f>AND(#REF!,"AAAAAHf/+QE=")</f>
        <v>#REF!</v>
      </c>
      <c r="C414" t="e">
        <f>AND(#REF!,"AAAAAHf/+QI=")</f>
        <v>#REF!</v>
      </c>
      <c r="D414" t="e">
        <f>AND(#REF!,"AAAAAHf/+QM=")</f>
        <v>#REF!</v>
      </c>
      <c r="E414" t="e">
        <f>AND(#REF!,"AAAAAHf/+QQ=")</f>
        <v>#REF!</v>
      </c>
      <c r="F414" t="e">
        <f>AND(#REF!,"AAAAAHf/+QU=")</f>
        <v>#REF!</v>
      </c>
      <c r="G414" t="e">
        <f>AND(#REF!,"AAAAAHf/+QY=")</f>
        <v>#REF!</v>
      </c>
      <c r="H414" t="e">
        <f>IF(#REF!,"AAAAAHf/+Qc=",0)</f>
        <v>#REF!</v>
      </c>
      <c r="I414" t="e">
        <f>AND(#REF!,"AAAAAHf/+Qg=")</f>
        <v>#REF!</v>
      </c>
      <c r="J414" t="e">
        <f>AND(#REF!,"AAAAAHf/+Qk=")</f>
        <v>#REF!</v>
      </c>
      <c r="K414" t="e">
        <f>AND(#REF!,"AAAAAHf/+Qo=")</f>
        <v>#REF!</v>
      </c>
      <c r="L414" t="e">
        <f>AND(#REF!,"AAAAAHf/+Qs=")</f>
        <v>#REF!</v>
      </c>
      <c r="M414" t="e">
        <f>AND(#REF!,"AAAAAHf/+Qw=")</f>
        <v>#REF!</v>
      </c>
      <c r="N414" t="e">
        <f>AND(#REF!,"AAAAAHf/+Q0=")</f>
        <v>#REF!</v>
      </c>
      <c r="O414" t="e">
        <f>AND(#REF!,"AAAAAHf/+Q4=")</f>
        <v>#REF!</v>
      </c>
      <c r="P414" t="e">
        <f>AND(#REF!,"AAAAAHf/+Q8=")</f>
        <v>#REF!</v>
      </c>
      <c r="Q414" t="e">
        <f>AND(#REF!,"AAAAAHf/+RA=")</f>
        <v>#REF!</v>
      </c>
      <c r="R414" t="e">
        <f>AND(#REF!,"AAAAAHf/+RE=")</f>
        <v>#REF!</v>
      </c>
      <c r="S414" t="e">
        <f>AND(#REF!,"AAAAAHf/+RI=")</f>
        <v>#REF!</v>
      </c>
      <c r="T414" t="e">
        <f>AND(#REF!,"AAAAAHf/+RM=")</f>
        <v>#REF!</v>
      </c>
      <c r="U414" t="e">
        <f>AND(#REF!,"AAAAAHf/+RQ=")</f>
        <v>#REF!</v>
      </c>
      <c r="V414" t="e">
        <f>AND(#REF!,"AAAAAHf/+RU=")</f>
        <v>#REF!</v>
      </c>
      <c r="W414" t="e">
        <f>AND(#REF!,"AAAAAHf/+RY=")</f>
        <v>#REF!</v>
      </c>
      <c r="X414" t="e">
        <f>AND(#REF!,"AAAAAHf/+Rc=")</f>
        <v>#REF!</v>
      </c>
      <c r="Y414" t="e">
        <f>AND(#REF!,"AAAAAHf/+Rg=")</f>
        <v>#REF!</v>
      </c>
      <c r="Z414" t="e">
        <f>AND(#REF!,"AAAAAHf/+Rk=")</f>
        <v>#REF!</v>
      </c>
      <c r="AA414" t="e">
        <f>AND(#REF!,"AAAAAHf/+Ro=")</f>
        <v>#REF!</v>
      </c>
      <c r="AB414" t="e">
        <f>AND(#REF!,"AAAAAHf/+Rs=")</f>
        <v>#REF!</v>
      </c>
      <c r="AC414" t="e">
        <f>AND(#REF!,"AAAAAHf/+Rw=")</f>
        <v>#REF!</v>
      </c>
      <c r="AD414" t="e">
        <f>AND(#REF!,"AAAAAHf/+R0=")</f>
        <v>#REF!</v>
      </c>
      <c r="AE414" t="e">
        <f>AND(#REF!,"AAAAAHf/+R4=")</f>
        <v>#REF!</v>
      </c>
      <c r="AF414" t="e">
        <f>AND(#REF!,"AAAAAHf/+R8=")</f>
        <v>#REF!</v>
      </c>
      <c r="AG414" t="e">
        <f>IF(#REF!,"AAAAAHf/+SA=",0)</f>
        <v>#REF!</v>
      </c>
      <c r="AH414" t="e">
        <f>AND(#REF!,"AAAAAHf/+SE=")</f>
        <v>#REF!</v>
      </c>
      <c r="AI414" t="e">
        <f>AND(#REF!,"AAAAAHf/+SI=")</f>
        <v>#REF!</v>
      </c>
      <c r="AJ414" t="e">
        <f>AND(#REF!,"AAAAAHf/+SM=")</f>
        <v>#REF!</v>
      </c>
      <c r="AK414" t="e">
        <f>AND(#REF!,"AAAAAHf/+SQ=")</f>
        <v>#REF!</v>
      </c>
      <c r="AL414" t="e">
        <f>AND(#REF!,"AAAAAHf/+SU=")</f>
        <v>#REF!</v>
      </c>
      <c r="AM414" t="e">
        <f>AND(#REF!,"AAAAAHf/+SY=")</f>
        <v>#REF!</v>
      </c>
      <c r="AN414" t="e">
        <f>AND(#REF!,"AAAAAHf/+Sc=")</f>
        <v>#REF!</v>
      </c>
      <c r="AO414" t="e">
        <f>AND(#REF!,"AAAAAHf/+Sg=")</f>
        <v>#REF!</v>
      </c>
      <c r="AP414" t="e">
        <f>AND(#REF!,"AAAAAHf/+Sk=")</f>
        <v>#REF!</v>
      </c>
      <c r="AQ414" t="e">
        <f>AND(#REF!,"AAAAAHf/+So=")</f>
        <v>#REF!</v>
      </c>
      <c r="AR414" t="e">
        <f>AND(#REF!,"AAAAAHf/+Ss=")</f>
        <v>#REF!</v>
      </c>
      <c r="AS414" t="e">
        <f>AND(#REF!,"AAAAAHf/+Sw=")</f>
        <v>#REF!</v>
      </c>
      <c r="AT414" t="e">
        <f>AND(#REF!,"AAAAAHf/+S0=")</f>
        <v>#REF!</v>
      </c>
      <c r="AU414" t="e">
        <f>AND(#REF!,"AAAAAHf/+S4=")</f>
        <v>#REF!</v>
      </c>
      <c r="AV414" t="e">
        <f>AND(#REF!,"AAAAAHf/+S8=")</f>
        <v>#REF!</v>
      </c>
      <c r="AW414" t="e">
        <f>AND(#REF!,"AAAAAHf/+TA=")</f>
        <v>#REF!</v>
      </c>
      <c r="AX414" t="e">
        <f>AND(#REF!,"AAAAAHf/+TE=")</f>
        <v>#REF!</v>
      </c>
      <c r="AY414" t="e">
        <f>AND(#REF!,"AAAAAHf/+TI=")</f>
        <v>#REF!</v>
      </c>
      <c r="AZ414" t="e">
        <f>AND(#REF!,"AAAAAHf/+TM=")</f>
        <v>#REF!</v>
      </c>
      <c r="BA414" t="e">
        <f>AND(#REF!,"AAAAAHf/+TQ=")</f>
        <v>#REF!</v>
      </c>
      <c r="BB414" t="e">
        <f>AND(#REF!,"AAAAAHf/+TU=")</f>
        <v>#REF!</v>
      </c>
      <c r="BC414" t="e">
        <f>AND(#REF!,"AAAAAHf/+TY=")</f>
        <v>#REF!</v>
      </c>
      <c r="BD414" t="e">
        <f>AND(#REF!,"AAAAAHf/+Tc=")</f>
        <v>#REF!</v>
      </c>
      <c r="BE414" t="e">
        <f>AND(#REF!,"AAAAAHf/+Tg=")</f>
        <v>#REF!</v>
      </c>
      <c r="BF414" t="e">
        <f>IF(#REF!,"AAAAAHf/+Tk=",0)</f>
        <v>#REF!</v>
      </c>
      <c r="BG414" t="e">
        <f>AND(#REF!,"AAAAAHf/+To=")</f>
        <v>#REF!</v>
      </c>
      <c r="BH414" t="e">
        <f>AND(#REF!,"AAAAAHf/+Ts=")</f>
        <v>#REF!</v>
      </c>
      <c r="BI414" t="e">
        <f>AND(#REF!,"AAAAAHf/+Tw=")</f>
        <v>#REF!</v>
      </c>
      <c r="BJ414" t="e">
        <f>AND(#REF!,"AAAAAHf/+T0=")</f>
        <v>#REF!</v>
      </c>
      <c r="BK414" t="e">
        <f>AND(#REF!,"AAAAAHf/+T4=")</f>
        <v>#REF!</v>
      </c>
      <c r="BL414" t="e">
        <f>AND(#REF!,"AAAAAHf/+T8=")</f>
        <v>#REF!</v>
      </c>
      <c r="BM414" t="e">
        <f>AND(#REF!,"AAAAAHf/+UA=")</f>
        <v>#REF!</v>
      </c>
      <c r="BN414" t="e">
        <f>AND(#REF!,"AAAAAHf/+UE=")</f>
        <v>#REF!</v>
      </c>
      <c r="BO414" t="e">
        <f>AND(#REF!,"AAAAAHf/+UI=")</f>
        <v>#REF!</v>
      </c>
      <c r="BP414" t="e">
        <f>AND(#REF!,"AAAAAHf/+UM=")</f>
        <v>#REF!</v>
      </c>
      <c r="BQ414" t="e">
        <f>AND(#REF!,"AAAAAHf/+UQ=")</f>
        <v>#REF!</v>
      </c>
      <c r="BR414" t="e">
        <f>AND(#REF!,"AAAAAHf/+UU=")</f>
        <v>#REF!</v>
      </c>
      <c r="BS414" t="e">
        <f>AND(#REF!,"AAAAAHf/+UY=")</f>
        <v>#REF!</v>
      </c>
      <c r="BT414" t="e">
        <f>AND(#REF!,"AAAAAHf/+Uc=")</f>
        <v>#REF!</v>
      </c>
      <c r="BU414" t="e">
        <f>AND(#REF!,"AAAAAHf/+Ug=")</f>
        <v>#REF!</v>
      </c>
      <c r="BV414" t="e">
        <f>AND(#REF!,"AAAAAHf/+Uk=")</f>
        <v>#REF!</v>
      </c>
      <c r="BW414" t="e">
        <f>AND(#REF!,"AAAAAHf/+Uo=")</f>
        <v>#REF!</v>
      </c>
      <c r="BX414" t="e">
        <f>AND(#REF!,"AAAAAHf/+Us=")</f>
        <v>#REF!</v>
      </c>
      <c r="BY414" t="e">
        <f>AND(#REF!,"AAAAAHf/+Uw=")</f>
        <v>#REF!</v>
      </c>
      <c r="BZ414" t="e">
        <f>AND(#REF!,"AAAAAHf/+U0=")</f>
        <v>#REF!</v>
      </c>
      <c r="CA414" t="e">
        <f>AND(#REF!,"AAAAAHf/+U4=")</f>
        <v>#REF!</v>
      </c>
      <c r="CB414" t="e">
        <f>AND(#REF!,"AAAAAHf/+U8=")</f>
        <v>#REF!</v>
      </c>
      <c r="CC414" t="e">
        <f>AND(#REF!,"AAAAAHf/+VA=")</f>
        <v>#REF!</v>
      </c>
      <c r="CD414" t="e">
        <f>AND(#REF!,"AAAAAHf/+VE=")</f>
        <v>#REF!</v>
      </c>
      <c r="CE414" t="e">
        <f>IF(#REF!,"AAAAAHf/+VI=",0)</f>
        <v>#REF!</v>
      </c>
      <c r="CF414" t="e">
        <f>AND(#REF!,"AAAAAHf/+VM=")</f>
        <v>#REF!</v>
      </c>
      <c r="CG414" t="e">
        <f>AND(#REF!,"AAAAAHf/+VQ=")</f>
        <v>#REF!</v>
      </c>
      <c r="CH414" t="e">
        <f>AND(#REF!,"AAAAAHf/+VU=")</f>
        <v>#REF!</v>
      </c>
      <c r="CI414" t="e">
        <f>AND(#REF!,"AAAAAHf/+VY=")</f>
        <v>#REF!</v>
      </c>
      <c r="CJ414" t="e">
        <f>AND(#REF!,"AAAAAHf/+Vc=")</f>
        <v>#REF!</v>
      </c>
      <c r="CK414" t="e">
        <f>AND(#REF!,"AAAAAHf/+Vg=")</f>
        <v>#REF!</v>
      </c>
      <c r="CL414" t="e">
        <f>AND(#REF!,"AAAAAHf/+Vk=")</f>
        <v>#REF!</v>
      </c>
      <c r="CM414" t="e">
        <f>AND(#REF!,"AAAAAHf/+Vo=")</f>
        <v>#REF!</v>
      </c>
      <c r="CN414" t="e">
        <f>AND(#REF!,"AAAAAHf/+Vs=")</f>
        <v>#REF!</v>
      </c>
      <c r="CO414" t="e">
        <f>AND(#REF!,"AAAAAHf/+Vw=")</f>
        <v>#REF!</v>
      </c>
      <c r="CP414" t="e">
        <f>AND(#REF!,"AAAAAHf/+V0=")</f>
        <v>#REF!</v>
      </c>
      <c r="CQ414" t="e">
        <f>AND(#REF!,"AAAAAHf/+V4=")</f>
        <v>#REF!</v>
      </c>
      <c r="CR414" t="e">
        <f>AND(#REF!,"AAAAAHf/+V8=")</f>
        <v>#REF!</v>
      </c>
      <c r="CS414" t="e">
        <f>AND(#REF!,"AAAAAHf/+WA=")</f>
        <v>#REF!</v>
      </c>
      <c r="CT414" t="e">
        <f>AND(#REF!,"AAAAAHf/+WE=")</f>
        <v>#REF!</v>
      </c>
      <c r="CU414" t="e">
        <f>AND(#REF!,"AAAAAHf/+WI=")</f>
        <v>#REF!</v>
      </c>
      <c r="CV414" t="e">
        <f>AND(#REF!,"AAAAAHf/+WM=")</f>
        <v>#REF!</v>
      </c>
      <c r="CW414" t="e">
        <f>AND(#REF!,"AAAAAHf/+WQ=")</f>
        <v>#REF!</v>
      </c>
      <c r="CX414" t="e">
        <f>AND(#REF!,"AAAAAHf/+WU=")</f>
        <v>#REF!</v>
      </c>
      <c r="CY414" t="e">
        <f>AND(#REF!,"AAAAAHf/+WY=")</f>
        <v>#REF!</v>
      </c>
      <c r="CZ414" t="e">
        <f>AND(#REF!,"AAAAAHf/+Wc=")</f>
        <v>#REF!</v>
      </c>
      <c r="DA414" t="e">
        <f>AND(#REF!,"AAAAAHf/+Wg=")</f>
        <v>#REF!</v>
      </c>
      <c r="DB414" t="e">
        <f>AND(#REF!,"AAAAAHf/+Wk=")</f>
        <v>#REF!</v>
      </c>
      <c r="DC414" t="e">
        <f>AND(#REF!,"AAAAAHf/+Wo=")</f>
        <v>#REF!</v>
      </c>
      <c r="DD414" t="e">
        <f>IF(#REF!,"AAAAAHf/+Ws=",0)</f>
        <v>#REF!</v>
      </c>
      <c r="DE414" t="e">
        <f>AND(#REF!,"AAAAAHf/+Ww=")</f>
        <v>#REF!</v>
      </c>
      <c r="DF414" t="e">
        <f>AND(#REF!,"AAAAAHf/+W0=")</f>
        <v>#REF!</v>
      </c>
      <c r="DG414" t="e">
        <f>AND(#REF!,"AAAAAHf/+W4=")</f>
        <v>#REF!</v>
      </c>
      <c r="DH414" t="e">
        <f>AND(#REF!,"AAAAAHf/+W8=")</f>
        <v>#REF!</v>
      </c>
      <c r="DI414" t="e">
        <f>AND(#REF!,"AAAAAHf/+XA=")</f>
        <v>#REF!</v>
      </c>
      <c r="DJ414" t="e">
        <f>AND(#REF!,"AAAAAHf/+XE=")</f>
        <v>#REF!</v>
      </c>
      <c r="DK414" t="e">
        <f>AND(#REF!,"AAAAAHf/+XI=")</f>
        <v>#REF!</v>
      </c>
      <c r="DL414" t="e">
        <f>AND(#REF!,"AAAAAHf/+XM=")</f>
        <v>#REF!</v>
      </c>
      <c r="DM414" t="e">
        <f>AND(#REF!,"AAAAAHf/+XQ=")</f>
        <v>#REF!</v>
      </c>
      <c r="DN414" t="e">
        <f>AND(#REF!,"AAAAAHf/+XU=")</f>
        <v>#REF!</v>
      </c>
      <c r="DO414" t="e">
        <f>AND(#REF!,"AAAAAHf/+XY=")</f>
        <v>#REF!</v>
      </c>
      <c r="DP414" t="e">
        <f>AND(#REF!,"AAAAAHf/+Xc=")</f>
        <v>#REF!</v>
      </c>
      <c r="DQ414" t="e">
        <f>AND(#REF!,"AAAAAHf/+Xg=")</f>
        <v>#REF!</v>
      </c>
      <c r="DR414" t="e">
        <f>AND(#REF!,"AAAAAHf/+Xk=")</f>
        <v>#REF!</v>
      </c>
      <c r="DS414" t="e">
        <f>AND(#REF!,"AAAAAHf/+Xo=")</f>
        <v>#REF!</v>
      </c>
      <c r="DT414" t="e">
        <f>AND(#REF!,"AAAAAHf/+Xs=")</f>
        <v>#REF!</v>
      </c>
      <c r="DU414" t="e">
        <f>AND(#REF!,"AAAAAHf/+Xw=")</f>
        <v>#REF!</v>
      </c>
      <c r="DV414" t="e">
        <f>AND(#REF!,"AAAAAHf/+X0=")</f>
        <v>#REF!</v>
      </c>
      <c r="DW414" t="e">
        <f>AND(#REF!,"AAAAAHf/+X4=")</f>
        <v>#REF!</v>
      </c>
      <c r="DX414" t="e">
        <f>AND(#REF!,"AAAAAHf/+X8=")</f>
        <v>#REF!</v>
      </c>
      <c r="DY414" t="e">
        <f>AND(#REF!,"AAAAAHf/+YA=")</f>
        <v>#REF!</v>
      </c>
      <c r="DZ414" t="e">
        <f>AND(#REF!,"AAAAAHf/+YE=")</f>
        <v>#REF!</v>
      </c>
      <c r="EA414" t="e">
        <f>AND(#REF!,"AAAAAHf/+YI=")</f>
        <v>#REF!</v>
      </c>
      <c r="EB414" t="e">
        <f>AND(#REF!,"AAAAAHf/+YM=")</f>
        <v>#REF!</v>
      </c>
      <c r="EC414" t="e">
        <f>IF(#REF!,"AAAAAHf/+YQ=",0)</f>
        <v>#REF!</v>
      </c>
      <c r="ED414" t="e">
        <f>AND(#REF!,"AAAAAHf/+YU=")</f>
        <v>#REF!</v>
      </c>
      <c r="EE414" t="e">
        <f>AND(#REF!,"AAAAAHf/+YY=")</f>
        <v>#REF!</v>
      </c>
      <c r="EF414" t="e">
        <f>AND(#REF!,"AAAAAHf/+Yc=")</f>
        <v>#REF!</v>
      </c>
      <c r="EG414" t="e">
        <f>AND(#REF!,"AAAAAHf/+Yg=")</f>
        <v>#REF!</v>
      </c>
      <c r="EH414" t="e">
        <f>AND(#REF!,"AAAAAHf/+Yk=")</f>
        <v>#REF!</v>
      </c>
      <c r="EI414" t="e">
        <f>AND(#REF!,"AAAAAHf/+Yo=")</f>
        <v>#REF!</v>
      </c>
      <c r="EJ414" t="e">
        <f>AND(#REF!,"AAAAAHf/+Ys=")</f>
        <v>#REF!</v>
      </c>
      <c r="EK414" t="e">
        <f>AND(#REF!,"AAAAAHf/+Yw=")</f>
        <v>#REF!</v>
      </c>
      <c r="EL414" t="e">
        <f>AND(#REF!,"AAAAAHf/+Y0=")</f>
        <v>#REF!</v>
      </c>
      <c r="EM414" t="e">
        <f>AND(#REF!,"AAAAAHf/+Y4=")</f>
        <v>#REF!</v>
      </c>
      <c r="EN414" t="e">
        <f>AND(#REF!,"AAAAAHf/+Y8=")</f>
        <v>#REF!</v>
      </c>
      <c r="EO414" t="e">
        <f>AND(#REF!,"AAAAAHf/+ZA=")</f>
        <v>#REF!</v>
      </c>
      <c r="EP414" t="e">
        <f>AND(#REF!,"AAAAAHf/+ZE=")</f>
        <v>#REF!</v>
      </c>
      <c r="EQ414" t="e">
        <f>AND(#REF!,"AAAAAHf/+ZI=")</f>
        <v>#REF!</v>
      </c>
      <c r="ER414" t="e">
        <f>AND(#REF!,"AAAAAHf/+ZM=")</f>
        <v>#REF!</v>
      </c>
      <c r="ES414" t="e">
        <f>AND(#REF!,"AAAAAHf/+ZQ=")</f>
        <v>#REF!</v>
      </c>
      <c r="ET414" t="e">
        <f>AND(#REF!,"AAAAAHf/+ZU=")</f>
        <v>#REF!</v>
      </c>
      <c r="EU414" t="e">
        <f>AND(#REF!,"AAAAAHf/+ZY=")</f>
        <v>#REF!</v>
      </c>
      <c r="EV414" t="e">
        <f>AND(#REF!,"AAAAAHf/+Zc=")</f>
        <v>#REF!</v>
      </c>
      <c r="EW414" t="e">
        <f>AND(#REF!,"AAAAAHf/+Zg=")</f>
        <v>#REF!</v>
      </c>
      <c r="EX414" t="e">
        <f>AND(#REF!,"AAAAAHf/+Zk=")</f>
        <v>#REF!</v>
      </c>
      <c r="EY414" t="e">
        <f>AND(#REF!,"AAAAAHf/+Zo=")</f>
        <v>#REF!</v>
      </c>
      <c r="EZ414" t="e">
        <f>AND(#REF!,"AAAAAHf/+Zs=")</f>
        <v>#REF!</v>
      </c>
      <c r="FA414" t="e">
        <f>AND(#REF!,"AAAAAHf/+Zw=")</f>
        <v>#REF!</v>
      </c>
      <c r="FB414" t="e">
        <f>IF(#REF!,"AAAAAHf/+Z0=",0)</f>
        <v>#REF!</v>
      </c>
      <c r="FC414" t="e">
        <f>AND(#REF!,"AAAAAHf/+Z4=")</f>
        <v>#REF!</v>
      </c>
      <c r="FD414" t="e">
        <f>AND(#REF!,"AAAAAHf/+Z8=")</f>
        <v>#REF!</v>
      </c>
      <c r="FE414" t="e">
        <f>AND(#REF!,"AAAAAHf/+aA=")</f>
        <v>#REF!</v>
      </c>
      <c r="FF414" t="e">
        <f>AND(#REF!,"AAAAAHf/+aE=")</f>
        <v>#REF!</v>
      </c>
      <c r="FG414" t="e">
        <f>AND(#REF!,"AAAAAHf/+aI=")</f>
        <v>#REF!</v>
      </c>
      <c r="FH414" t="e">
        <f>AND(#REF!,"AAAAAHf/+aM=")</f>
        <v>#REF!</v>
      </c>
      <c r="FI414" t="e">
        <f>AND(#REF!,"AAAAAHf/+aQ=")</f>
        <v>#REF!</v>
      </c>
      <c r="FJ414" t="e">
        <f>AND(#REF!,"AAAAAHf/+aU=")</f>
        <v>#REF!</v>
      </c>
      <c r="FK414" t="e">
        <f>AND(#REF!,"AAAAAHf/+aY=")</f>
        <v>#REF!</v>
      </c>
      <c r="FL414" t="e">
        <f>AND(#REF!,"AAAAAHf/+ac=")</f>
        <v>#REF!</v>
      </c>
      <c r="FM414" t="e">
        <f>AND(#REF!,"AAAAAHf/+ag=")</f>
        <v>#REF!</v>
      </c>
      <c r="FN414" t="e">
        <f>AND(#REF!,"AAAAAHf/+ak=")</f>
        <v>#REF!</v>
      </c>
      <c r="FO414" t="e">
        <f>AND(#REF!,"AAAAAHf/+ao=")</f>
        <v>#REF!</v>
      </c>
      <c r="FP414" t="e">
        <f>AND(#REF!,"AAAAAHf/+as=")</f>
        <v>#REF!</v>
      </c>
      <c r="FQ414" t="e">
        <f>AND(#REF!,"AAAAAHf/+aw=")</f>
        <v>#REF!</v>
      </c>
      <c r="FR414" t="e">
        <f>AND(#REF!,"AAAAAHf/+a0=")</f>
        <v>#REF!</v>
      </c>
      <c r="FS414" t="e">
        <f>AND(#REF!,"AAAAAHf/+a4=")</f>
        <v>#REF!</v>
      </c>
      <c r="FT414" t="e">
        <f>AND(#REF!,"AAAAAHf/+a8=")</f>
        <v>#REF!</v>
      </c>
      <c r="FU414" t="e">
        <f>AND(#REF!,"AAAAAHf/+bA=")</f>
        <v>#REF!</v>
      </c>
      <c r="FV414" t="e">
        <f>AND(#REF!,"AAAAAHf/+bE=")</f>
        <v>#REF!</v>
      </c>
      <c r="FW414" t="e">
        <f>AND(#REF!,"AAAAAHf/+bI=")</f>
        <v>#REF!</v>
      </c>
      <c r="FX414" t="e">
        <f>AND(#REF!,"AAAAAHf/+bM=")</f>
        <v>#REF!</v>
      </c>
      <c r="FY414" t="e">
        <f>AND(#REF!,"AAAAAHf/+bQ=")</f>
        <v>#REF!</v>
      </c>
      <c r="FZ414" t="e">
        <f>AND(#REF!,"AAAAAHf/+bU=")</f>
        <v>#REF!</v>
      </c>
      <c r="GA414" t="e">
        <f>IF(#REF!,"AAAAAHf/+bY=",0)</f>
        <v>#REF!</v>
      </c>
      <c r="GB414" t="e">
        <f>AND(#REF!,"AAAAAHf/+bc=")</f>
        <v>#REF!</v>
      </c>
      <c r="GC414" t="e">
        <f>AND(#REF!,"AAAAAHf/+bg=")</f>
        <v>#REF!</v>
      </c>
      <c r="GD414" t="e">
        <f>AND(#REF!,"AAAAAHf/+bk=")</f>
        <v>#REF!</v>
      </c>
      <c r="GE414" t="e">
        <f>AND(#REF!,"AAAAAHf/+bo=")</f>
        <v>#REF!</v>
      </c>
      <c r="GF414" t="e">
        <f>AND(#REF!,"AAAAAHf/+bs=")</f>
        <v>#REF!</v>
      </c>
      <c r="GG414" t="e">
        <f>AND(#REF!,"AAAAAHf/+bw=")</f>
        <v>#REF!</v>
      </c>
      <c r="GH414" t="e">
        <f>AND(#REF!,"AAAAAHf/+b0=")</f>
        <v>#REF!</v>
      </c>
      <c r="GI414" t="e">
        <f>AND(#REF!,"AAAAAHf/+b4=")</f>
        <v>#REF!</v>
      </c>
      <c r="GJ414" t="e">
        <f>AND(#REF!,"AAAAAHf/+b8=")</f>
        <v>#REF!</v>
      </c>
      <c r="GK414" t="e">
        <f>AND(#REF!,"AAAAAHf/+cA=")</f>
        <v>#REF!</v>
      </c>
      <c r="GL414" t="e">
        <f>AND(#REF!,"AAAAAHf/+cE=")</f>
        <v>#REF!</v>
      </c>
      <c r="GM414" t="e">
        <f>AND(#REF!,"AAAAAHf/+cI=")</f>
        <v>#REF!</v>
      </c>
      <c r="GN414" t="e">
        <f>AND(#REF!,"AAAAAHf/+cM=")</f>
        <v>#REF!</v>
      </c>
      <c r="GO414" t="e">
        <f>AND(#REF!,"AAAAAHf/+cQ=")</f>
        <v>#REF!</v>
      </c>
      <c r="GP414" t="e">
        <f>AND(#REF!,"AAAAAHf/+cU=")</f>
        <v>#REF!</v>
      </c>
      <c r="GQ414" t="e">
        <f>AND(#REF!,"AAAAAHf/+cY=")</f>
        <v>#REF!</v>
      </c>
      <c r="GR414" t="e">
        <f>AND(#REF!,"AAAAAHf/+cc=")</f>
        <v>#REF!</v>
      </c>
      <c r="GS414" t="e">
        <f>AND(#REF!,"AAAAAHf/+cg=")</f>
        <v>#REF!</v>
      </c>
      <c r="GT414" t="e">
        <f>AND(#REF!,"AAAAAHf/+ck=")</f>
        <v>#REF!</v>
      </c>
      <c r="GU414" t="e">
        <f>AND(#REF!,"AAAAAHf/+co=")</f>
        <v>#REF!</v>
      </c>
      <c r="GV414" t="e">
        <f>AND(#REF!,"AAAAAHf/+cs=")</f>
        <v>#REF!</v>
      </c>
      <c r="GW414" t="e">
        <f>AND(#REF!,"AAAAAHf/+cw=")</f>
        <v>#REF!</v>
      </c>
      <c r="GX414" t="e">
        <f>AND(#REF!,"AAAAAHf/+c0=")</f>
        <v>#REF!</v>
      </c>
      <c r="GY414" t="e">
        <f>AND(#REF!,"AAAAAHf/+c4=")</f>
        <v>#REF!</v>
      </c>
      <c r="GZ414" t="e">
        <f>IF(#REF!,"AAAAAHf/+c8=",0)</f>
        <v>#REF!</v>
      </c>
      <c r="HA414" t="e">
        <f>AND(#REF!,"AAAAAHf/+dA=")</f>
        <v>#REF!</v>
      </c>
      <c r="HB414" t="e">
        <f>AND(#REF!,"AAAAAHf/+dE=")</f>
        <v>#REF!</v>
      </c>
      <c r="HC414" t="e">
        <f>AND(#REF!,"AAAAAHf/+dI=")</f>
        <v>#REF!</v>
      </c>
      <c r="HD414" t="e">
        <f>AND(#REF!,"AAAAAHf/+dM=")</f>
        <v>#REF!</v>
      </c>
      <c r="HE414" t="e">
        <f>AND(#REF!,"AAAAAHf/+dQ=")</f>
        <v>#REF!</v>
      </c>
      <c r="HF414" t="e">
        <f>AND(#REF!,"AAAAAHf/+dU=")</f>
        <v>#REF!</v>
      </c>
      <c r="HG414" t="e">
        <f>AND(#REF!,"AAAAAHf/+dY=")</f>
        <v>#REF!</v>
      </c>
      <c r="HH414" t="e">
        <f>AND(#REF!,"AAAAAHf/+dc=")</f>
        <v>#REF!</v>
      </c>
      <c r="HI414" t="e">
        <f>AND(#REF!,"AAAAAHf/+dg=")</f>
        <v>#REF!</v>
      </c>
      <c r="HJ414" t="e">
        <f>AND(#REF!,"AAAAAHf/+dk=")</f>
        <v>#REF!</v>
      </c>
      <c r="HK414" t="e">
        <f>AND(#REF!,"AAAAAHf/+do=")</f>
        <v>#REF!</v>
      </c>
      <c r="HL414" t="e">
        <f>AND(#REF!,"AAAAAHf/+ds=")</f>
        <v>#REF!</v>
      </c>
      <c r="HM414" t="e">
        <f>AND(#REF!,"AAAAAHf/+dw=")</f>
        <v>#REF!</v>
      </c>
      <c r="HN414" t="e">
        <f>AND(#REF!,"AAAAAHf/+d0=")</f>
        <v>#REF!</v>
      </c>
      <c r="HO414" t="e">
        <f>AND(#REF!,"AAAAAHf/+d4=")</f>
        <v>#REF!</v>
      </c>
      <c r="HP414" t="e">
        <f>AND(#REF!,"AAAAAHf/+d8=")</f>
        <v>#REF!</v>
      </c>
      <c r="HQ414" t="e">
        <f>AND(#REF!,"AAAAAHf/+eA=")</f>
        <v>#REF!</v>
      </c>
      <c r="HR414" t="e">
        <f>AND(#REF!,"AAAAAHf/+eE=")</f>
        <v>#REF!</v>
      </c>
      <c r="HS414" t="e">
        <f>AND(#REF!,"AAAAAHf/+eI=")</f>
        <v>#REF!</v>
      </c>
      <c r="HT414" t="e">
        <f>AND(#REF!,"AAAAAHf/+eM=")</f>
        <v>#REF!</v>
      </c>
      <c r="HU414" t="e">
        <f>AND(#REF!,"AAAAAHf/+eQ=")</f>
        <v>#REF!</v>
      </c>
      <c r="HV414" t="e">
        <f>AND(#REF!,"AAAAAHf/+eU=")</f>
        <v>#REF!</v>
      </c>
      <c r="HW414" t="e">
        <f>AND(#REF!,"AAAAAHf/+eY=")</f>
        <v>#REF!</v>
      </c>
      <c r="HX414" t="e">
        <f>AND(#REF!,"AAAAAHf/+ec=")</f>
        <v>#REF!</v>
      </c>
      <c r="HY414" t="e">
        <f>IF(#REF!,"AAAAAHf/+eg=",0)</f>
        <v>#REF!</v>
      </c>
      <c r="HZ414" t="e">
        <f>AND(#REF!,"AAAAAHf/+ek=")</f>
        <v>#REF!</v>
      </c>
      <c r="IA414" t="e">
        <f>AND(#REF!,"AAAAAHf/+eo=")</f>
        <v>#REF!</v>
      </c>
      <c r="IB414" t="e">
        <f>AND(#REF!,"AAAAAHf/+es=")</f>
        <v>#REF!</v>
      </c>
      <c r="IC414" t="e">
        <f>AND(#REF!,"AAAAAHf/+ew=")</f>
        <v>#REF!</v>
      </c>
      <c r="ID414" t="e">
        <f>AND(#REF!,"AAAAAHf/+e0=")</f>
        <v>#REF!</v>
      </c>
      <c r="IE414" t="e">
        <f>AND(#REF!,"AAAAAHf/+e4=")</f>
        <v>#REF!</v>
      </c>
      <c r="IF414" t="e">
        <f>AND(#REF!,"AAAAAHf/+e8=")</f>
        <v>#REF!</v>
      </c>
      <c r="IG414" t="e">
        <f>AND(#REF!,"AAAAAHf/+fA=")</f>
        <v>#REF!</v>
      </c>
      <c r="IH414" t="e">
        <f>AND(#REF!,"AAAAAHf/+fE=")</f>
        <v>#REF!</v>
      </c>
      <c r="II414" t="e">
        <f>AND(#REF!,"AAAAAHf/+fI=")</f>
        <v>#REF!</v>
      </c>
      <c r="IJ414" t="e">
        <f>AND(#REF!,"AAAAAHf/+fM=")</f>
        <v>#REF!</v>
      </c>
      <c r="IK414" t="e">
        <f>AND(#REF!,"AAAAAHf/+fQ=")</f>
        <v>#REF!</v>
      </c>
      <c r="IL414" t="e">
        <f>AND(#REF!,"AAAAAHf/+fU=")</f>
        <v>#REF!</v>
      </c>
      <c r="IM414" t="e">
        <f>AND(#REF!,"AAAAAHf/+fY=")</f>
        <v>#REF!</v>
      </c>
      <c r="IN414" t="e">
        <f>AND(#REF!,"AAAAAHf/+fc=")</f>
        <v>#REF!</v>
      </c>
      <c r="IO414" t="e">
        <f>AND(#REF!,"AAAAAHf/+fg=")</f>
        <v>#REF!</v>
      </c>
      <c r="IP414" t="e">
        <f>AND(#REF!,"AAAAAHf/+fk=")</f>
        <v>#REF!</v>
      </c>
      <c r="IQ414" t="e">
        <f>AND(#REF!,"AAAAAHf/+fo=")</f>
        <v>#REF!</v>
      </c>
      <c r="IR414" t="e">
        <f>AND(#REF!,"AAAAAHf/+fs=")</f>
        <v>#REF!</v>
      </c>
      <c r="IS414" t="e">
        <f>AND(#REF!,"AAAAAHf/+fw=")</f>
        <v>#REF!</v>
      </c>
      <c r="IT414" t="e">
        <f>AND(#REF!,"AAAAAHf/+f0=")</f>
        <v>#REF!</v>
      </c>
      <c r="IU414" t="e">
        <f>AND(#REF!,"AAAAAHf/+f4=")</f>
        <v>#REF!</v>
      </c>
      <c r="IV414" t="e">
        <f>AND(#REF!,"AAAAAHf/+f8=")</f>
        <v>#REF!</v>
      </c>
    </row>
    <row r="415" spans="1:256">
      <c r="A415" t="e">
        <f>AND(#REF!,"AAAAAG78FwA=")</f>
        <v>#REF!</v>
      </c>
      <c r="B415" t="e">
        <f>IF(#REF!,"AAAAAG78FwE=",0)</f>
        <v>#REF!</v>
      </c>
      <c r="C415" t="e">
        <f>AND(#REF!,"AAAAAG78FwI=")</f>
        <v>#REF!</v>
      </c>
      <c r="D415" t="e">
        <f>AND(#REF!,"AAAAAG78FwM=")</f>
        <v>#REF!</v>
      </c>
      <c r="E415" t="e">
        <f>AND(#REF!,"AAAAAG78FwQ=")</f>
        <v>#REF!</v>
      </c>
      <c r="F415" t="e">
        <f>AND(#REF!,"AAAAAG78FwU=")</f>
        <v>#REF!</v>
      </c>
      <c r="G415" t="e">
        <f>AND(#REF!,"AAAAAG78FwY=")</f>
        <v>#REF!</v>
      </c>
      <c r="H415" t="e">
        <f>AND(#REF!,"AAAAAG78Fwc=")</f>
        <v>#REF!</v>
      </c>
      <c r="I415" t="e">
        <f>AND(#REF!,"AAAAAG78Fwg=")</f>
        <v>#REF!</v>
      </c>
      <c r="J415" t="e">
        <f>AND(#REF!,"AAAAAG78Fwk=")</f>
        <v>#REF!</v>
      </c>
      <c r="K415" t="e">
        <f>AND(#REF!,"AAAAAG78Fwo=")</f>
        <v>#REF!</v>
      </c>
      <c r="L415" t="e">
        <f>AND(#REF!,"AAAAAG78Fws=")</f>
        <v>#REF!</v>
      </c>
      <c r="M415" t="e">
        <f>AND(#REF!,"AAAAAG78Fww=")</f>
        <v>#REF!</v>
      </c>
      <c r="N415" t="e">
        <f>AND(#REF!,"AAAAAG78Fw0=")</f>
        <v>#REF!</v>
      </c>
      <c r="O415" t="e">
        <f>AND(#REF!,"AAAAAG78Fw4=")</f>
        <v>#REF!</v>
      </c>
      <c r="P415" t="e">
        <f>AND(#REF!,"AAAAAG78Fw8=")</f>
        <v>#REF!</v>
      </c>
      <c r="Q415" t="e">
        <f>AND(#REF!,"AAAAAG78FxA=")</f>
        <v>#REF!</v>
      </c>
      <c r="R415" t="e">
        <f>AND(#REF!,"AAAAAG78FxE=")</f>
        <v>#REF!</v>
      </c>
      <c r="S415" t="e">
        <f>AND(#REF!,"AAAAAG78FxI=")</f>
        <v>#REF!</v>
      </c>
      <c r="T415" t="e">
        <f>AND(#REF!,"AAAAAG78FxM=")</f>
        <v>#REF!</v>
      </c>
      <c r="U415" t="e">
        <f>AND(#REF!,"AAAAAG78FxQ=")</f>
        <v>#REF!</v>
      </c>
      <c r="V415" t="e">
        <f>AND(#REF!,"AAAAAG78FxU=")</f>
        <v>#REF!</v>
      </c>
      <c r="W415" t="e">
        <f>AND(#REF!,"AAAAAG78FxY=")</f>
        <v>#REF!</v>
      </c>
      <c r="X415" t="e">
        <f>AND(#REF!,"AAAAAG78Fxc=")</f>
        <v>#REF!</v>
      </c>
      <c r="Y415" t="e">
        <f>AND(#REF!,"AAAAAG78Fxg=")</f>
        <v>#REF!</v>
      </c>
      <c r="Z415" t="e">
        <f>AND(#REF!,"AAAAAG78Fxk=")</f>
        <v>#REF!</v>
      </c>
      <c r="AA415" t="e">
        <f>IF(#REF!,"AAAAAG78Fxo=",0)</f>
        <v>#REF!</v>
      </c>
      <c r="AB415" t="e">
        <f>AND(#REF!,"AAAAAG78Fxs=")</f>
        <v>#REF!</v>
      </c>
      <c r="AC415" t="e">
        <f>AND(#REF!,"AAAAAG78Fxw=")</f>
        <v>#REF!</v>
      </c>
      <c r="AD415" t="e">
        <f>AND(#REF!,"AAAAAG78Fx0=")</f>
        <v>#REF!</v>
      </c>
      <c r="AE415" t="e">
        <f>AND(#REF!,"AAAAAG78Fx4=")</f>
        <v>#REF!</v>
      </c>
      <c r="AF415" t="e">
        <f>AND(#REF!,"AAAAAG78Fx8=")</f>
        <v>#REF!</v>
      </c>
      <c r="AG415" t="e">
        <f>AND(#REF!,"AAAAAG78FyA=")</f>
        <v>#REF!</v>
      </c>
      <c r="AH415" t="e">
        <f>AND(#REF!,"AAAAAG78FyE=")</f>
        <v>#REF!</v>
      </c>
      <c r="AI415" t="e">
        <f>AND(#REF!,"AAAAAG78FyI=")</f>
        <v>#REF!</v>
      </c>
      <c r="AJ415" t="e">
        <f>AND(#REF!,"AAAAAG78FyM=")</f>
        <v>#REF!</v>
      </c>
      <c r="AK415" t="e">
        <f>AND(#REF!,"AAAAAG78FyQ=")</f>
        <v>#REF!</v>
      </c>
      <c r="AL415" t="e">
        <f>AND(#REF!,"AAAAAG78FyU=")</f>
        <v>#REF!</v>
      </c>
      <c r="AM415" t="e">
        <f>AND(#REF!,"AAAAAG78FyY=")</f>
        <v>#REF!</v>
      </c>
      <c r="AN415" t="e">
        <f>AND(#REF!,"AAAAAG78Fyc=")</f>
        <v>#REF!</v>
      </c>
      <c r="AO415" t="e">
        <f>AND(#REF!,"AAAAAG78Fyg=")</f>
        <v>#REF!</v>
      </c>
      <c r="AP415" t="e">
        <f>AND(#REF!,"AAAAAG78Fyk=")</f>
        <v>#REF!</v>
      </c>
      <c r="AQ415" t="e">
        <f>AND(#REF!,"AAAAAG78Fyo=")</f>
        <v>#REF!</v>
      </c>
      <c r="AR415" t="e">
        <f>AND(#REF!,"AAAAAG78Fys=")</f>
        <v>#REF!</v>
      </c>
      <c r="AS415" t="e">
        <f>AND(#REF!,"AAAAAG78Fyw=")</f>
        <v>#REF!</v>
      </c>
      <c r="AT415" t="e">
        <f>AND(#REF!,"AAAAAG78Fy0=")</f>
        <v>#REF!</v>
      </c>
      <c r="AU415" t="e">
        <f>AND(#REF!,"AAAAAG78Fy4=")</f>
        <v>#REF!</v>
      </c>
      <c r="AV415" t="e">
        <f>AND(#REF!,"AAAAAG78Fy8=")</f>
        <v>#REF!</v>
      </c>
      <c r="AW415" t="e">
        <f>AND(#REF!,"AAAAAG78FzA=")</f>
        <v>#REF!</v>
      </c>
      <c r="AX415" t="e">
        <f>AND(#REF!,"AAAAAG78FzE=")</f>
        <v>#REF!</v>
      </c>
      <c r="AY415" t="e">
        <f>AND(#REF!,"AAAAAG78FzI=")</f>
        <v>#REF!</v>
      </c>
      <c r="AZ415" t="e">
        <f>IF(#REF!,"AAAAAG78FzM=",0)</f>
        <v>#REF!</v>
      </c>
      <c r="BA415" t="e">
        <f>AND(#REF!,"AAAAAG78FzQ=")</f>
        <v>#REF!</v>
      </c>
      <c r="BB415" t="e">
        <f>AND(#REF!,"AAAAAG78FzU=")</f>
        <v>#REF!</v>
      </c>
      <c r="BC415" t="e">
        <f>AND(#REF!,"AAAAAG78FzY=")</f>
        <v>#REF!</v>
      </c>
      <c r="BD415" t="e">
        <f>AND(#REF!,"AAAAAG78Fzc=")</f>
        <v>#REF!</v>
      </c>
      <c r="BE415" t="e">
        <f>AND(#REF!,"AAAAAG78Fzg=")</f>
        <v>#REF!</v>
      </c>
      <c r="BF415" t="e">
        <f>AND(#REF!,"AAAAAG78Fzk=")</f>
        <v>#REF!</v>
      </c>
      <c r="BG415" t="e">
        <f>AND(#REF!,"AAAAAG78Fzo=")</f>
        <v>#REF!</v>
      </c>
      <c r="BH415" t="e">
        <f>AND(#REF!,"AAAAAG78Fzs=")</f>
        <v>#REF!</v>
      </c>
      <c r="BI415" t="e">
        <f>AND(#REF!,"AAAAAG78Fzw=")</f>
        <v>#REF!</v>
      </c>
      <c r="BJ415" t="e">
        <f>AND(#REF!,"AAAAAG78Fz0=")</f>
        <v>#REF!</v>
      </c>
      <c r="BK415" t="e">
        <f>AND(#REF!,"AAAAAG78Fz4=")</f>
        <v>#REF!</v>
      </c>
      <c r="BL415" t="e">
        <f>AND(#REF!,"AAAAAG78Fz8=")</f>
        <v>#REF!</v>
      </c>
      <c r="BM415" t="e">
        <f>AND(#REF!,"AAAAAG78F0A=")</f>
        <v>#REF!</v>
      </c>
      <c r="BN415" t="e">
        <f>AND(#REF!,"AAAAAG78F0E=")</f>
        <v>#REF!</v>
      </c>
      <c r="BO415" t="e">
        <f>AND(#REF!,"AAAAAG78F0I=")</f>
        <v>#REF!</v>
      </c>
      <c r="BP415" t="e">
        <f>AND(#REF!,"AAAAAG78F0M=")</f>
        <v>#REF!</v>
      </c>
      <c r="BQ415" t="e">
        <f>AND(#REF!,"AAAAAG78F0Q=")</f>
        <v>#REF!</v>
      </c>
      <c r="BR415" t="e">
        <f>AND(#REF!,"AAAAAG78F0U=")</f>
        <v>#REF!</v>
      </c>
      <c r="BS415" t="e">
        <f>AND(#REF!,"AAAAAG78F0Y=")</f>
        <v>#REF!</v>
      </c>
      <c r="BT415" t="e">
        <f>AND(#REF!,"AAAAAG78F0c=")</f>
        <v>#REF!</v>
      </c>
      <c r="BU415" t="e">
        <f>AND(#REF!,"AAAAAG78F0g=")</f>
        <v>#REF!</v>
      </c>
      <c r="BV415" t="e">
        <f>AND(#REF!,"AAAAAG78F0k=")</f>
        <v>#REF!</v>
      </c>
      <c r="BW415" t="e">
        <f>AND(#REF!,"AAAAAG78F0o=")</f>
        <v>#REF!</v>
      </c>
      <c r="BX415" t="e">
        <f>AND(#REF!,"AAAAAG78F0s=")</f>
        <v>#REF!</v>
      </c>
      <c r="BY415" t="e">
        <f>IF(#REF!,"AAAAAG78F0w=",0)</f>
        <v>#REF!</v>
      </c>
      <c r="BZ415" t="e">
        <f>AND(#REF!,"AAAAAG78F00=")</f>
        <v>#REF!</v>
      </c>
      <c r="CA415" t="e">
        <f>AND(#REF!,"AAAAAG78F04=")</f>
        <v>#REF!</v>
      </c>
      <c r="CB415" t="e">
        <f>AND(#REF!,"AAAAAG78F08=")</f>
        <v>#REF!</v>
      </c>
      <c r="CC415" t="e">
        <f>AND(#REF!,"AAAAAG78F1A=")</f>
        <v>#REF!</v>
      </c>
      <c r="CD415" t="e">
        <f>AND(#REF!,"AAAAAG78F1E=")</f>
        <v>#REF!</v>
      </c>
      <c r="CE415" t="e">
        <f>AND(#REF!,"AAAAAG78F1I=")</f>
        <v>#REF!</v>
      </c>
      <c r="CF415" t="e">
        <f>AND(#REF!,"AAAAAG78F1M=")</f>
        <v>#REF!</v>
      </c>
      <c r="CG415" t="e">
        <f>AND(#REF!,"AAAAAG78F1Q=")</f>
        <v>#REF!</v>
      </c>
      <c r="CH415" t="e">
        <f>AND(#REF!,"AAAAAG78F1U=")</f>
        <v>#REF!</v>
      </c>
      <c r="CI415" t="e">
        <f>AND(#REF!,"AAAAAG78F1Y=")</f>
        <v>#REF!</v>
      </c>
      <c r="CJ415" t="e">
        <f>AND(#REF!,"AAAAAG78F1c=")</f>
        <v>#REF!</v>
      </c>
      <c r="CK415" t="e">
        <f>AND(#REF!,"AAAAAG78F1g=")</f>
        <v>#REF!</v>
      </c>
      <c r="CL415" t="e">
        <f>AND(#REF!,"AAAAAG78F1k=")</f>
        <v>#REF!</v>
      </c>
      <c r="CM415" t="e">
        <f>AND(#REF!,"AAAAAG78F1o=")</f>
        <v>#REF!</v>
      </c>
      <c r="CN415" t="e">
        <f>AND(#REF!,"AAAAAG78F1s=")</f>
        <v>#REF!</v>
      </c>
      <c r="CO415" t="e">
        <f>AND(#REF!,"AAAAAG78F1w=")</f>
        <v>#REF!</v>
      </c>
      <c r="CP415" t="e">
        <f>AND(#REF!,"AAAAAG78F10=")</f>
        <v>#REF!</v>
      </c>
      <c r="CQ415" t="e">
        <f>AND(#REF!,"AAAAAG78F14=")</f>
        <v>#REF!</v>
      </c>
      <c r="CR415" t="e">
        <f>AND(#REF!,"AAAAAG78F18=")</f>
        <v>#REF!</v>
      </c>
      <c r="CS415" t="e">
        <f>AND(#REF!,"AAAAAG78F2A=")</f>
        <v>#REF!</v>
      </c>
      <c r="CT415" t="e">
        <f>AND(#REF!,"AAAAAG78F2E=")</f>
        <v>#REF!</v>
      </c>
      <c r="CU415" t="e">
        <f>AND(#REF!,"AAAAAG78F2I=")</f>
        <v>#REF!</v>
      </c>
      <c r="CV415" t="e">
        <f>AND(#REF!,"AAAAAG78F2M=")</f>
        <v>#REF!</v>
      </c>
      <c r="CW415" t="e">
        <f>AND(#REF!,"AAAAAG78F2Q=")</f>
        <v>#REF!</v>
      </c>
      <c r="CX415" t="e">
        <f>IF(#REF!,"AAAAAG78F2U=",0)</f>
        <v>#REF!</v>
      </c>
      <c r="CY415" t="e">
        <f>AND(#REF!,"AAAAAG78F2Y=")</f>
        <v>#REF!</v>
      </c>
      <c r="CZ415" t="e">
        <f>AND(#REF!,"AAAAAG78F2c=")</f>
        <v>#REF!</v>
      </c>
      <c r="DA415" t="e">
        <f>AND(#REF!,"AAAAAG78F2g=")</f>
        <v>#REF!</v>
      </c>
      <c r="DB415" t="e">
        <f>AND(#REF!,"AAAAAG78F2k=")</f>
        <v>#REF!</v>
      </c>
      <c r="DC415" t="e">
        <f>AND(#REF!,"AAAAAG78F2o=")</f>
        <v>#REF!</v>
      </c>
      <c r="DD415" t="e">
        <f>AND(#REF!,"AAAAAG78F2s=")</f>
        <v>#REF!</v>
      </c>
      <c r="DE415" t="e">
        <f>AND(#REF!,"AAAAAG78F2w=")</f>
        <v>#REF!</v>
      </c>
      <c r="DF415" t="e">
        <f>AND(#REF!,"AAAAAG78F20=")</f>
        <v>#REF!</v>
      </c>
      <c r="DG415" t="e">
        <f>AND(#REF!,"AAAAAG78F24=")</f>
        <v>#REF!</v>
      </c>
      <c r="DH415" t="e">
        <f>AND(#REF!,"AAAAAG78F28=")</f>
        <v>#REF!</v>
      </c>
      <c r="DI415" t="e">
        <f>AND(#REF!,"AAAAAG78F3A=")</f>
        <v>#REF!</v>
      </c>
      <c r="DJ415" t="e">
        <f>AND(#REF!,"AAAAAG78F3E=")</f>
        <v>#REF!</v>
      </c>
      <c r="DK415" t="e">
        <f>AND(#REF!,"AAAAAG78F3I=")</f>
        <v>#REF!</v>
      </c>
      <c r="DL415" t="e">
        <f>AND(#REF!,"AAAAAG78F3M=")</f>
        <v>#REF!</v>
      </c>
      <c r="DM415" t="e">
        <f>AND(#REF!,"AAAAAG78F3Q=")</f>
        <v>#REF!</v>
      </c>
      <c r="DN415" t="e">
        <f>AND(#REF!,"AAAAAG78F3U=")</f>
        <v>#REF!</v>
      </c>
      <c r="DO415" t="e">
        <f>AND(#REF!,"AAAAAG78F3Y=")</f>
        <v>#REF!</v>
      </c>
      <c r="DP415" t="e">
        <f>AND(#REF!,"AAAAAG78F3c=")</f>
        <v>#REF!</v>
      </c>
      <c r="DQ415" t="e">
        <f>AND(#REF!,"AAAAAG78F3g=")</f>
        <v>#REF!</v>
      </c>
      <c r="DR415" t="e">
        <f>AND(#REF!,"AAAAAG78F3k=")</f>
        <v>#REF!</v>
      </c>
      <c r="DS415" t="e">
        <f>AND(#REF!,"AAAAAG78F3o=")</f>
        <v>#REF!</v>
      </c>
      <c r="DT415" t="e">
        <f>AND(#REF!,"AAAAAG78F3s=")</f>
        <v>#REF!</v>
      </c>
      <c r="DU415" t="e">
        <f>AND(#REF!,"AAAAAG78F3w=")</f>
        <v>#REF!</v>
      </c>
      <c r="DV415" t="e">
        <f>AND(#REF!,"AAAAAG78F30=")</f>
        <v>#REF!</v>
      </c>
      <c r="DW415" t="e">
        <f>IF(#REF!,"AAAAAG78F34=",0)</f>
        <v>#REF!</v>
      </c>
      <c r="DX415" t="e">
        <f>AND(#REF!,"AAAAAG78F38=")</f>
        <v>#REF!</v>
      </c>
      <c r="DY415" t="e">
        <f>AND(#REF!,"AAAAAG78F4A=")</f>
        <v>#REF!</v>
      </c>
      <c r="DZ415" t="e">
        <f>AND(#REF!,"AAAAAG78F4E=")</f>
        <v>#REF!</v>
      </c>
      <c r="EA415" t="e">
        <f>AND(#REF!,"AAAAAG78F4I=")</f>
        <v>#REF!</v>
      </c>
      <c r="EB415" t="e">
        <f>AND(#REF!,"AAAAAG78F4M=")</f>
        <v>#REF!</v>
      </c>
      <c r="EC415" t="e">
        <f>AND(#REF!,"AAAAAG78F4Q=")</f>
        <v>#REF!</v>
      </c>
      <c r="ED415" t="e">
        <f>AND(#REF!,"AAAAAG78F4U=")</f>
        <v>#REF!</v>
      </c>
      <c r="EE415" t="e">
        <f>AND(#REF!,"AAAAAG78F4Y=")</f>
        <v>#REF!</v>
      </c>
      <c r="EF415" t="e">
        <f>AND(#REF!,"AAAAAG78F4c=")</f>
        <v>#REF!</v>
      </c>
      <c r="EG415" t="e">
        <f>AND(#REF!,"AAAAAG78F4g=")</f>
        <v>#REF!</v>
      </c>
      <c r="EH415" t="e">
        <f>AND(#REF!,"AAAAAG78F4k=")</f>
        <v>#REF!</v>
      </c>
      <c r="EI415" t="e">
        <f>AND(#REF!,"AAAAAG78F4o=")</f>
        <v>#REF!</v>
      </c>
      <c r="EJ415" t="e">
        <f>AND(#REF!,"AAAAAG78F4s=")</f>
        <v>#REF!</v>
      </c>
      <c r="EK415" t="e">
        <f>AND(#REF!,"AAAAAG78F4w=")</f>
        <v>#REF!</v>
      </c>
      <c r="EL415" t="e">
        <f>AND(#REF!,"AAAAAG78F40=")</f>
        <v>#REF!</v>
      </c>
      <c r="EM415" t="e">
        <f>AND(#REF!,"AAAAAG78F44=")</f>
        <v>#REF!</v>
      </c>
      <c r="EN415" t="e">
        <f>AND(#REF!,"AAAAAG78F48=")</f>
        <v>#REF!</v>
      </c>
      <c r="EO415" t="e">
        <f>AND(#REF!,"AAAAAG78F5A=")</f>
        <v>#REF!</v>
      </c>
      <c r="EP415" t="e">
        <f>AND(#REF!,"AAAAAG78F5E=")</f>
        <v>#REF!</v>
      </c>
      <c r="EQ415" t="e">
        <f>AND(#REF!,"AAAAAG78F5I=")</f>
        <v>#REF!</v>
      </c>
      <c r="ER415" t="e">
        <f>AND(#REF!,"AAAAAG78F5M=")</f>
        <v>#REF!</v>
      </c>
      <c r="ES415" t="e">
        <f>AND(#REF!,"AAAAAG78F5Q=")</f>
        <v>#REF!</v>
      </c>
      <c r="ET415" t="e">
        <f>AND(#REF!,"AAAAAG78F5U=")</f>
        <v>#REF!</v>
      </c>
      <c r="EU415" t="e">
        <f>AND(#REF!,"AAAAAG78F5Y=")</f>
        <v>#REF!</v>
      </c>
      <c r="EV415" t="e">
        <f>IF(#REF!,"AAAAAG78F5c=",0)</f>
        <v>#REF!</v>
      </c>
      <c r="EW415" t="e">
        <f>AND(#REF!,"AAAAAG78F5g=")</f>
        <v>#REF!</v>
      </c>
      <c r="EX415" t="e">
        <f>AND(#REF!,"AAAAAG78F5k=")</f>
        <v>#REF!</v>
      </c>
      <c r="EY415" t="e">
        <f>AND(#REF!,"AAAAAG78F5o=")</f>
        <v>#REF!</v>
      </c>
      <c r="EZ415" t="e">
        <f>AND(#REF!,"AAAAAG78F5s=")</f>
        <v>#REF!</v>
      </c>
      <c r="FA415" t="e">
        <f>AND(#REF!,"AAAAAG78F5w=")</f>
        <v>#REF!</v>
      </c>
      <c r="FB415" t="e">
        <f>AND(#REF!,"AAAAAG78F50=")</f>
        <v>#REF!</v>
      </c>
      <c r="FC415" t="e">
        <f>AND(#REF!,"AAAAAG78F54=")</f>
        <v>#REF!</v>
      </c>
      <c r="FD415" t="e">
        <f>AND(#REF!,"AAAAAG78F58=")</f>
        <v>#REF!</v>
      </c>
      <c r="FE415" t="e">
        <f>AND(#REF!,"AAAAAG78F6A=")</f>
        <v>#REF!</v>
      </c>
      <c r="FF415" t="e">
        <f>AND(#REF!,"AAAAAG78F6E=")</f>
        <v>#REF!</v>
      </c>
      <c r="FG415" t="e">
        <f>AND(#REF!,"AAAAAG78F6I=")</f>
        <v>#REF!</v>
      </c>
      <c r="FH415" t="e">
        <f>AND(#REF!,"AAAAAG78F6M=")</f>
        <v>#REF!</v>
      </c>
      <c r="FI415" t="e">
        <f>AND(#REF!,"AAAAAG78F6Q=")</f>
        <v>#REF!</v>
      </c>
      <c r="FJ415" t="e">
        <f>AND(#REF!,"AAAAAG78F6U=")</f>
        <v>#REF!</v>
      </c>
      <c r="FK415" t="e">
        <f>AND(#REF!,"AAAAAG78F6Y=")</f>
        <v>#REF!</v>
      </c>
      <c r="FL415" t="e">
        <f>AND(#REF!,"AAAAAG78F6c=")</f>
        <v>#REF!</v>
      </c>
      <c r="FM415" t="e">
        <f>AND(#REF!,"AAAAAG78F6g=")</f>
        <v>#REF!</v>
      </c>
      <c r="FN415" t="e">
        <f>AND(#REF!,"AAAAAG78F6k=")</f>
        <v>#REF!</v>
      </c>
      <c r="FO415" t="e">
        <f>AND(#REF!,"AAAAAG78F6o=")</f>
        <v>#REF!</v>
      </c>
      <c r="FP415" t="e">
        <f>AND(#REF!,"AAAAAG78F6s=")</f>
        <v>#REF!</v>
      </c>
      <c r="FQ415" t="e">
        <f>AND(#REF!,"AAAAAG78F6w=")</f>
        <v>#REF!</v>
      </c>
      <c r="FR415" t="e">
        <f>AND(#REF!,"AAAAAG78F60=")</f>
        <v>#REF!</v>
      </c>
      <c r="FS415" t="e">
        <f>AND(#REF!,"AAAAAG78F64=")</f>
        <v>#REF!</v>
      </c>
      <c r="FT415" t="e">
        <f>AND(#REF!,"AAAAAG78F68=")</f>
        <v>#REF!</v>
      </c>
      <c r="FU415" t="e">
        <f>IF(#REF!,"AAAAAG78F7A=",0)</f>
        <v>#REF!</v>
      </c>
      <c r="FV415" t="e">
        <f>AND(#REF!,"AAAAAG78F7E=")</f>
        <v>#REF!</v>
      </c>
      <c r="FW415" t="e">
        <f>AND(#REF!,"AAAAAG78F7I=")</f>
        <v>#REF!</v>
      </c>
      <c r="FX415" t="e">
        <f>AND(#REF!,"AAAAAG78F7M=")</f>
        <v>#REF!</v>
      </c>
      <c r="FY415" t="e">
        <f>AND(#REF!,"AAAAAG78F7Q=")</f>
        <v>#REF!</v>
      </c>
      <c r="FZ415" t="e">
        <f>AND(#REF!,"AAAAAG78F7U=")</f>
        <v>#REF!</v>
      </c>
      <c r="GA415" t="e">
        <f>AND(#REF!,"AAAAAG78F7Y=")</f>
        <v>#REF!</v>
      </c>
      <c r="GB415" t="e">
        <f>AND(#REF!,"AAAAAG78F7c=")</f>
        <v>#REF!</v>
      </c>
      <c r="GC415" t="e">
        <f>AND(#REF!,"AAAAAG78F7g=")</f>
        <v>#REF!</v>
      </c>
      <c r="GD415" t="e">
        <f>AND(#REF!,"AAAAAG78F7k=")</f>
        <v>#REF!</v>
      </c>
      <c r="GE415" t="e">
        <f>AND(#REF!,"AAAAAG78F7o=")</f>
        <v>#REF!</v>
      </c>
      <c r="GF415" t="e">
        <f>AND(#REF!,"AAAAAG78F7s=")</f>
        <v>#REF!</v>
      </c>
      <c r="GG415" t="e">
        <f>AND(#REF!,"AAAAAG78F7w=")</f>
        <v>#REF!</v>
      </c>
      <c r="GH415" t="e">
        <f>AND(#REF!,"AAAAAG78F70=")</f>
        <v>#REF!</v>
      </c>
      <c r="GI415" t="e">
        <f>AND(#REF!,"AAAAAG78F74=")</f>
        <v>#REF!</v>
      </c>
      <c r="GJ415" t="e">
        <f>AND(#REF!,"AAAAAG78F78=")</f>
        <v>#REF!</v>
      </c>
      <c r="GK415" t="e">
        <f>AND(#REF!,"AAAAAG78F8A=")</f>
        <v>#REF!</v>
      </c>
      <c r="GL415" t="e">
        <f>AND(#REF!,"AAAAAG78F8E=")</f>
        <v>#REF!</v>
      </c>
      <c r="GM415" t="e">
        <f>AND(#REF!,"AAAAAG78F8I=")</f>
        <v>#REF!</v>
      </c>
      <c r="GN415" t="e">
        <f>AND(#REF!,"AAAAAG78F8M=")</f>
        <v>#REF!</v>
      </c>
      <c r="GO415" t="e">
        <f>AND(#REF!,"AAAAAG78F8Q=")</f>
        <v>#REF!</v>
      </c>
      <c r="GP415" t="e">
        <f>AND(#REF!,"AAAAAG78F8U=")</f>
        <v>#REF!</v>
      </c>
      <c r="GQ415" t="e">
        <f>AND(#REF!,"AAAAAG78F8Y=")</f>
        <v>#REF!</v>
      </c>
      <c r="GR415" t="e">
        <f>AND(#REF!,"AAAAAG78F8c=")</f>
        <v>#REF!</v>
      </c>
      <c r="GS415" t="e">
        <f>AND(#REF!,"AAAAAG78F8g=")</f>
        <v>#REF!</v>
      </c>
      <c r="GT415" t="e">
        <f>IF(#REF!,"AAAAAG78F8k=",0)</f>
        <v>#REF!</v>
      </c>
      <c r="GU415" t="e">
        <f>AND(#REF!,"AAAAAG78F8o=")</f>
        <v>#REF!</v>
      </c>
      <c r="GV415" t="e">
        <f>AND(#REF!,"AAAAAG78F8s=")</f>
        <v>#REF!</v>
      </c>
      <c r="GW415" t="e">
        <f>AND(#REF!,"AAAAAG78F8w=")</f>
        <v>#REF!</v>
      </c>
      <c r="GX415" t="e">
        <f>AND(#REF!,"AAAAAG78F80=")</f>
        <v>#REF!</v>
      </c>
      <c r="GY415" t="e">
        <f>AND(#REF!,"AAAAAG78F84=")</f>
        <v>#REF!</v>
      </c>
      <c r="GZ415" t="e">
        <f>AND(#REF!,"AAAAAG78F88=")</f>
        <v>#REF!</v>
      </c>
      <c r="HA415" t="e">
        <f>AND(#REF!,"AAAAAG78F9A=")</f>
        <v>#REF!</v>
      </c>
      <c r="HB415" t="e">
        <f>AND(#REF!,"AAAAAG78F9E=")</f>
        <v>#REF!</v>
      </c>
      <c r="HC415" t="e">
        <f>AND(#REF!,"AAAAAG78F9I=")</f>
        <v>#REF!</v>
      </c>
      <c r="HD415" t="e">
        <f>AND(#REF!,"AAAAAG78F9M=")</f>
        <v>#REF!</v>
      </c>
      <c r="HE415" t="e">
        <f>AND(#REF!,"AAAAAG78F9Q=")</f>
        <v>#REF!</v>
      </c>
      <c r="HF415" t="e">
        <f>AND(#REF!,"AAAAAG78F9U=")</f>
        <v>#REF!</v>
      </c>
      <c r="HG415" t="e">
        <f>AND(#REF!,"AAAAAG78F9Y=")</f>
        <v>#REF!</v>
      </c>
      <c r="HH415" t="e">
        <f>AND(#REF!,"AAAAAG78F9c=")</f>
        <v>#REF!</v>
      </c>
      <c r="HI415" t="e">
        <f>AND(#REF!,"AAAAAG78F9g=")</f>
        <v>#REF!</v>
      </c>
      <c r="HJ415" t="e">
        <f>AND(#REF!,"AAAAAG78F9k=")</f>
        <v>#REF!</v>
      </c>
      <c r="HK415" t="e">
        <f>AND(#REF!,"AAAAAG78F9o=")</f>
        <v>#REF!</v>
      </c>
      <c r="HL415" t="e">
        <f>AND(#REF!,"AAAAAG78F9s=")</f>
        <v>#REF!</v>
      </c>
      <c r="HM415" t="e">
        <f>AND(#REF!,"AAAAAG78F9w=")</f>
        <v>#REF!</v>
      </c>
      <c r="HN415" t="e">
        <f>AND(#REF!,"AAAAAG78F90=")</f>
        <v>#REF!</v>
      </c>
      <c r="HO415" t="e">
        <f>AND(#REF!,"AAAAAG78F94=")</f>
        <v>#REF!</v>
      </c>
      <c r="HP415" t="e">
        <f>AND(#REF!,"AAAAAG78F98=")</f>
        <v>#REF!</v>
      </c>
      <c r="HQ415" t="e">
        <f>AND(#REF!,"AAAAAG78F+A=")</f>
        <v>#REF!</v>
      </c>
      <c r="HR415" t="e">
        <f>AND(#REF!,"AAAAAG78F+E=")</f>
        <v>#REF!</v>
      </c>
      <c r="HS415" t="e">
        <f>IF(#REF!,"AAAAAG78F+I=",0)</f>
        <v>#REF!</v>
      </c>
      <c r="HT415" t="e">
        <f>AND(#REF!,"AAAAAG78F+M=")</f>
        <v>#REF!</v>
      </c>
      <c r="HU415" t="e">
        <f>AND(#REF!,"AAAAAG78F+Q=")</f>
        <v>#REF!</v>
      </c>
      <c r="HV415" t="e">
        <f>AND(#REF!,"AAAAAG78F+U=")</f>
        <v>#REF!</v>
      </c>
      <c r="HW415" t="e">
        <f>AND(#REF!,"AAAAAG78F+Y=")</f>
        <v>#REF!</v>
      </c>
      <c r="HX415" t="e">
        <f>AND(#REF!,"AAAAAG78F+c=")</f>
        <v>#REF!</v>
      </c>
      <c r="HY415" t="e">
        <f>AND(#REF!,"AAAAAG78F+g=")</f>
        <v>#REF!</v>
      </c>
      <c r="HZ415" t="e">
        <f>AND(#REF!,"AAAAAG78F+k=")</f>
        <v>#REF!</v>
      </c>
      <c r="IA415" t="e">
        <f>AND(#REF!,"AAAAAG78F+o=")</f>
        <v>#REF!</v>
      </c>
      <c r="IB415" t="e">
        <f>AND(#REF!,"AAAAAG78F+s=")</f>
        <v>#REF!</v>
      </c>
      <c r="IC415" t="e">
        <f>AND(#REF!,"AAAAAG78F+w=")</f>
        <v>#REF!</v>
      </c>
      <c r="ID415" t="e">
        <f>AND(#REF!,"AAAAAG78F+0=")</f>
        <v>#REF!</v>
      </c>
      <c r="IE415" t="e">
        <f>AND(#REF!,"AAAAAG78F+4=")</f>
        <v>#REF!</v>
      </c>
      <c r="IF415" t="e">
        <f>AND(#REF!,"AAAAAG78F+8=")</f>
        <v>#REF!</v>
      </c>
      <c r="IG415" t="e">
        <f>AND(#REF!,"AAAAAG78F/A=")</f>
        <v>#REF!</v>
      </c>
      <c r="IH415" t="e">
        <f>AND(#REF!,"AAAAAG78F/E=")</f>
        <v>#REF!</v>
      </c>
      <c r="II415" t="e">
        <f>AND(#REF!,"AAAAAG78F/I=")</f>
        <v>#REF!</v>
      </c>
      <c r="IJ415" t="e">
        <f>AND(#REF!,"AAAAAG78F/M=")</f>
        <v>#REF!</v>
      </c>
      <c r="IK415" t="e">
        <f>AND(#REF!,"AAAAAG78F/Q=")</f>
        <v>#REF!</v>
      </c>
      <c r="IL415" t="e">
        <f>AND(#REF!,"AAAAAG78F/U=")</f>
        <v>#REF!</v>
      </c>
      <c r="IM415" t="e">
        <f>AND(#REF!,"AAAAAG78F/Y=")</f>
        <v>#REF!</v>
      </c>
      <c r="IN415" t="e">
        <f>AND(#REF!,"AAAAAG78F/c=")</f>
        <v>#REF!</v>
      </c>
      <c r="IO415" t="e">
        <f>AND(#REF!,"AAAAAG78F/g=")</f>
        <v>#REF!</v>
      </c>
      <c r="IP415" t="e">
        <f>AND(#REF!,"AAAAAG78F/k=")</f>
        <v>#REF!</v>
      </c>
      <c r="IQ415" t="e">
        <f>AND(#REF!,"AAAAAG78F/o=")</f>
        <v>#REF!</v>
      </c>
      <c r="IR415" t="e">
        <f>IF(#REF!,"AAAAAG78F/s=",0)</f>
        <v>#REF!</v>
      </c>
      <c r="IS415" t="e">
        <f>AND(#REF!,"AAAAAG78F/w=")</f>
        <v>#REF!</v>
      </c>
      <c r="IT415" t="e">
        <f>AND(#REF!,"AAAAAG78F/0=")</f>
        <v>#REF!</v>
      </c>
      <c r="IU415" t="e">
        <f>AND(#REF!,"AAAAAG78F/4=")</f>
        <v>#REF!</v>
      </c>
      <c r="IV415" t="e">
        <f>AND(#REF!,"AAAAAG78F/8=")</f>
        <v>#REF!</v>
      </c>
    </row>
    <row r="416" spans="1:256">
      <c r="A416" t="e">
        <f>AND(#REF!,"AAAAAHpsPwA=")</f>
        <v>#REF!</v>
      </c>
      <c r="B416" t="e">
        <f>AND(#REF!,"AAAAAHpsPwE=")</f>
        <v>#REF!</v>
      </c>
      <c r="C416" t="e">
        <f>AND(#REF!,"AAAAAHpsPwI=")</f>
        <v>#REF!</v>
      </c>
      <c r="D416" t="e">
        <f>AND(#REF!,"AAAAAHpsPwM=")</f>
        <v>#REF!</v>
      </c>
      <c r="E416" t="e">
        <f>AND(#REF!,"AAAAAHpsPwQ=")</f>
        <v>#REF!</v>
      </c>
      <c r="F416" t="e">
        <f>AND(#REF!,"AAAAAHpsPwU=")</f>
        <v>#REF!</v>
      </c>
      <c r="G416" t="e">
        <f>AND(#REF!,"AAAAAHpsPwY=")</f>
        <v>#REF!</v>
      </c>
      <c r="H416" t="e">
        <f>AND(#REF!,"AAAAAHpsPwc=")</f>
        <v>#REF!</v>
      </c>
      <c r="I416" t="e">
        <f>AND(#REF!,"AAAAAHpsPwg=")</f>
        <v>#REF!</v>
      </c>
      <c r="J416" t="e">
        <f>AND(#REF!,"AAAAAHpsPwk=")</f>
        <v>#REF!</v>
      </c>
      <c r="K416" t="e">
        <f>AND(#REF!,"AAAAAHpsPwo=")</f>
        <v>#REF!</v>
      </c>
      <c r="L416" t="e">
        <f>AND(#REF!,"AAAAAHpsPws=")</f>
        <v>#REF!</v>
      </c>
      <c r="M416" t="e">
        <f>AND(#REF!,"AAAAAHpsPww=")</f>
        <v>#REF!</v>
      </c>
      <c r="N416" t="e">
        <f>AND(#REF!,"AAAAAHpsPw0=")</f>
        <v>#REF!</v>
      </c>
      <c r="O416" t="e">
        <f>AND(#REF!,"AAAAAHpsPw4=")</f>
        <v>#REF!</v>
      </c>
      <c r="P416" t="e">
        <f>AND(#REF!,"AAAAAHpsPw8=")</f>
        <v>#REF!</v>
      </c>
      <c r="Q416" t="e">
        <f>AND(#REF!,"AAAAAHpsPxA=")</f>
        <v>#REF!</v>
      </c>
      <c r="R416" t="e">
        <f>AND(#REF!,"AAAAAHpsPxE=")</f>
        <v>#REF!</v>
      </c>
      <c r="S416" t="e">
        <f>AND(#REF!,"AAAAAHpsPxI=")</f>
        <v>#REF!</v>
      </c>
      <c r="T416" t="e">
        <f>AND(#REF!,"AAAAAHpsPxM=")</f>
        <v>#REF!</v>
      </c>
      <c r="U416" t="e">
        <f>IF(#REF!,"AAAAAHpsPxQ=",0)</f>
        <v>#REF!</v>
      </c>
      <c r="V416" t="e">
        <f>AND(#REF!,"AAAAAHpsPxU=")</f>
        <v>#REF!</v>
      </c>
      <c r="W416" t="e">
        <f>AND(#REF!,"AAAAAHpsPxY=")</f>
        <v>#REF!</v>
      </c>
      <c r="X416" t="e">
        <f>AND(#REF!,"AAAAAHpsPxc=")</f>
        <v>#REF!</v>
      </c>
      <c r="Y416" t="e">
        <f>AND(#REF!,"AAAAAHpsPxg=")</f>
        <v>#REF!</v>
      </c>
      <c r="Z416" t="e">
        <f>AND(#REF!,"AAAAAHpsPxk=")</f>
        <v>#REF!</v>
      </c>
      <c r="AA416" t="e">
        <f>AND(#REF!,"AAAAAHpsPxo=")</f>
        <v>#REF!</v>
      </c>
      <c r="AB416" t="e">
        <f>AND(#REF!,"AAAAAHpsPxs=")</f>
        <v>#REF!</v>
      </c>
      <c r="AC416" t="e">
        <f>AND(#REF!,"AAAAAHpsPxw=")</f>
        <v>#REF!</v>
      </c>
      <c r="AD416" t="e">
        <f>AND(#REF!,"AAAAAHpsPx0=")</f>
        <v>#REF!</v>
      </c>
      <c r="AE416" t="e">
        <f>AND(#REF!,"AAAAAHpsPx4=")</f>
        <v>#REF!</v>
      </c>
      <c r="AF416" t="e">
        <f>AND(#REF!,"AAAAAHpsPx8=")</f>
        <v>#REF!</v>
      </c>
      <c r="AG416" t="e">
        <f>AND(#REF!,"AAAAAHpsPyA=")</f>
        <v>#REF!</v>
      </c>
      <c r="AH416" t="e">
        <f>AND(#REF!,"AAAAAHpsPyE=")</f>
        <v>#REF!</v>
      </c>
      <c r="AI416" t="e">
        <f>AND(#REF!,"AAAAAHpsPyI=")</f>
        <v>#REF!</v>
      </c>
      <c r="AJ416" t="e">
        <f>AND(#REF!,"AAAAAHpsPyM=")</f>
        <v>#REF!</v>
      </c>
      <c r="AK416" t="e">
        <f>AND(#REF!,"AAAAAHpsPyQ=")</f>
        <v>#REF!</v>
      </c>
      <c r="AL416" t="e">
        <f>AND(#REF!,"AAAAAHpsPyU=")</f>
        <v>#REF!</v>
      </c>
      <c r="AM416" t="e">
        <f>AND(#REF!,"AAAAAHpsPyY=")</f>
        <v>#REF!</v>
      </c>
      <c r="AN416" t="e">
        <f>AND(#REF!,"AAAAAHpsPyc=")</f>
        <v>#REF!</v>
      </c>
      <c r="AO416" t="e">
        <f>AND(#REF!,"AAAAAHpsPyg=")</f>
        <v>#REF!</v>
      </c>
      <c r="AP416" t="e">
        <f>AND(#REF!,"AAAAAHpsPyk=")</f>
        <v>#REF!</v>
      </c>
      <c r="AQ416" t="e">
        <f>AND(#REF!,"AAAAAHpsPyo=")</f>
        <v>#REF!</v>
      </c>
      <c r="AR416" t="e">
        <f>AND(#REF!,"AAAAAHpsPys=")</f>
        <v>#REF!</v>
      </c>
      <c r="AS416" t="e">
        <f>AND(#REF!,"AAAAAHpsPyw=")</f>
        <v>#REF!</v>
      </c>
      <c r="AT416" t="e">
        <f>IF(#REF!,"AAAAAHpsPy0=",0)</f>
        <v>#REF!</v>
      </c>
      <c r="AU416" t="e">
        <f>AND(#REF!,"AAAAAHpsPy4=")</f>
        <v>#REF!</v>
      </c>
      <c r="AV416" t="e">
        <f>AND(#REF!,"AAAAAHpsPy8=")</f>
        <v>#REF!</v>
      </c>
      <c r="AW416" t="e">
        <f>AND(#REF!,"AAAAAHpsPzA=")</f>
        <v>#REF!</v>
      </c>
      <c r="AX416" t="e">
        <f>AND(#REF!,"AAAAAHpsPzE=")</f>
        <v>#REF!</v>
      </c>
      <c r="AY416" t="e">
        <f>AND(#REF!,"AAAAAHpsPzI=")</f>
        <v>#REF!</v>
      </c>
      <c r="AZ416" t="e">
        <f>AND(#REF!,"AAAAAHpsPzM=")</f>
        <v>#REF!</v>
      </c>
      <c r="BA416" t="e">
        <f>AND(#REF!,"AAAAAHpsPzQ=")</f>
        <v>#REF!</v>
      </c>
      <c r="BB416" t="e">
        <f>AND(#REF!,"AAAAAHpsPzU=")</f>
        <v>#REF!</v>
      </c>
      <c r="BC416" t="e">
        <f>AND(#REF!,"AAAAAHpsPzY=")</f>
        <v>#REF!</v>
      </c>
      <c r="BD416" t="e">
        <f>AND(#REF!,"AAAAAHpsPzc=")</f>
        <v>#REF!</v>
      </c>
      <c r="BE416" t="e">
        <f>AND(#REF!,"AAAAAHpsPzg=")</f>
        <v>#REF!</v>
      </c>
      <c r="BF416" t="e">
        <f>AND(#REF!,"AAAAAHpsPzk=")</f>
        <v>#REF!</v>
      </c>
      <c r="BG416" t="e">
        <f>AND(#REF!,"AAAAAHpsPzo=")</f>
        <v>#REF!</v>
      </c>
      <c r="BH416" t="e">
        <f>AND(#REF!,"AAAAAHpsPzs=")</f>
        <v>#REF!</v>
      </c>
      <c r="BI416" t="e">
        <f>AND(#REF!,"AAAAAHpsPzw=")</f>
        <v>#REF!</v>
      </c>
      <c r="BJ416" t="e">
        <f>AND(#REF!,"AAAAAHpsPz0=")</f>
        <v>#REF!</v>
      </c>
      <c r="BK416" t="e">
        <f>AND(#REF!,"AAAAAHpsPz4=")</f>
        <v>#REF!</v>
      </c>
      <c r="BL416" t="e">
        <f>AND(#REF!,"AAAAAHpsPz8=")</f>
        <v>#REF!</v>
      </c>
      <c r="BM416" t="e">
        <f>AND(#REF!,"AAAAAHpsP0A=")</f>
        <v>#REF!</v>
      </c>
      <c r="BN416" t="e">
        <f>AND(#REF!,"AAAAAHpsP0E=")</f>
        <v>#REF!</v>
      </c>
      <c r="BO416" t="e">
        <f>AND(#REF!,"AAAAAHpsP0I=")</f>
        <v>#REF!</v>
      </c>
      <c r="BP416" t="e">
        <f>AND(#REF!,"AAAAAHpsP0M=")</f>
        <v>#REF!</v>
      </c>
      <c r="BQ416" t="e">
        <f>AND(#REF!,"AAAAAHpsP0Q=")</f>
        <v>#REF!</v>
      </c>
      <c r="BR416" t="e">
        <f>AND(#REF!,"AAAAAHpsP0U=")</f>
        <v>#REF!</v>
      </c>
      <c r="BS416" t="e">
        <f>IF(#REF!,"AAAAAHpsP0Y=",0)</f>
        <v>#REF!</v>
      </c>
      <c r="BT416" t="e">
        <f>AND(#REF!,"AAAAAHpsP0c=")</f>
        <v>#REF!</v>
      </c>
      <c r="BU416" t="e">
        <f>AND(#REF!,"AAAAAHpsP0g=")</f>
        <v>#REF!</v>
      </c>
      <c r="BV416" t="e">
        <f>AND(#REF!,"AAAAAHpsP0k=")</f>
        <v>#REF!</v>
      </c>
      <c r="BW416" t="e">
        <f>AND(#REF!,"AAAAAHpsP0o=")</f>
        <v>#REF!</v>
      </c>
      <c r="BX416" t="e">
        <f>AND(#REF!,"AAAAAHpsP0s=")</f>
        <v>#REF!</v>
      </c>
      <c r="BY416" t="e">
        <f>AND(#REF!,"AAAAAHpsP0w=")</f>
        <v>#REF!</v>
      </c>
      <c r="BZ416" t="e">
        <f>AND(#REF!,"AAAAAHpsP00=")</f>
        <v>#REF!</v>
      </c>
      <c r="CA416" t="e">
        <f>AND(#REF!,"AAAAAHpsP04=")</f>
        <v>#REF!</v>
      </c>
      <c r="CB416" t="e">
        <f>AND(#REF!,"AAAAAHpsP08=")</f>
        <v>#REF!</v>
      </c>
      <c r="CC416" t="e">
        <f>AND(#REF!,"AAAAAHpsP1A=")</f>
        <v>#REF!</v>
      </c>
      <c r="CD416" t="e">
        <f>AND(#REF!,"AAAAAHpsP1E=")</f>
        <v>#REF!</v>
      </c>
      <c r="CE416" t="e">
        <f>AND(#REF!,"AAAAAHpsP1I=")</f>
        <v>#REF!</v>
      </c>
      <c r="CF416" t="e">
        <f>AND(#REF!,"AAAAAHpsP1M=")</f>
        <v>#REF!</v>
      </c>
      <c r="CG416" t="e">
        <f>AND(#REF!,"AAAAAHpsP1Q=")</f>
        <v>#REF!</v>
      </c>
      <c r="CH416" t="e">
        <f>AND(#REF!,"AAAAAHpsP1U=")</f>
        <v>#REF!</v>
      </c>
      <c r="CI416" t="e">
        <f>AND(#REF!,"AAAAAHpsP1Y=")</f>
        <v>#REF!</v>
      </c>
      <c r="CJ416" t="e">
        <f>AND(#REF!,"AAAAAHpsP1c=")</f>
        <v>#REF!</v>
      </c>
      <c r="CK416" t="e">
        <f>AND(#REF!,"AAAAAHpsP1g=")</f>
        <v>#REF!</v>
      </c>
      <c r="CL416" t="e">
        <f>AND(#REF!,"AAAAAHpsP1k=")</f>
        <v>#REF!</v>
      </c>
      <c r="CM416" t="e">
        <f>AND(#REF!,"AAAAAHpsP1o=")</f>
        <v>#REF!</v>
      </c>
      <c r="CN416" t="e">
        <f>AND(#REF!,"AAAAAHpsP1s=")</f>
        <v>#REF!</v>
      </c>
      <c r="CO416" t="e">
        <f>AND(#REF!,"AAAAAHpsP1w=")</f>
        <v>#REF!</v>
      </c>
      <c r="CP416" t="e">
        <f>AND(#REF!,"AAAAAHpsP10=")</f>
        <v>#REF!</v>
      </c>
      <c r="CQ416" t="e">
        <f>AND(#REF!,"AAAAAHpsP14=")</f>
        <v>#REF!</v>
      </c>
      <c r="CR416" t="e">
        <f>IF(#REF!,"AAAAAHpsP18=",0)</f>
        <v>#REF!</v>
      </c>
      <c r="CS416" t="e">
        <f>AND(#REF!,"AAAAAHpsP2A=")</f>
        <v>#REF!</v>
      </c>
      <c r="CT416" t="e">
        <f>AND(#REF!,"AAAAAHpsP2E=")</f>
        <v>#REF!</v>
      </c>
      <c r="CU416" t="e">
        <f>AND(#REF!,"AAAAAHpsP2I=")</f>
        <v>#REF!</v>
      </c>
      <c r="CV416" t="e">
        <f>AND(#REF!,"AAAAAHpsP2M=")</f>
        <v>#REF!</v>
      </c>
      <c r="CW416" t="e">
        <f>AND(#REF!,"AAAAAHpsP2Q=")</f>
        <v>#REF!</v>
      </c>
      <c r="CX416" t="e">
        <f>AND(#REF!,"AAAAAHpsP2U=")</f>
        <v>#REF!</v>
      </c>
      <c r="CY416" t="e">
        <f>AND(#REF!,"AAAAAHpsP2Y=")</f>
        <v>#REF!</v>
      </c>
      <c r="CZ416" t="e">
        <f>AND(#REF!,"AAAAAHpsP2c=")</f>
        <v>#REF!</v>
      </c>
      <c r="DA416" t="e">
        <f>AND(#REF!,"AAAAAHpsP2g=")</f>
        <v>#REF!</v>
      </c>
      <c r="DB416" t="e">
        <f>AND(#REF!,"AAAAAHpsP2k=")</f>
        <v>#REF!</v>
      </c>
      <c r="DC416" t="e">
        <f>AND(#REF!,"AAAAAHpsP2o=")</f>
        <v>#REF!</v>
      </c>
      <c r="DD416" t="e">
        <f>AND(#REF!,"AAAAAHpsP2s=")</f>
        <v>#REF!</v>
      </c>
      <c r="DE416" t="e">
        <f>AND(#REF!,"AAAAAHpsP2w=")</f>
        <v>#REF!</v>
      </c>
      <c r="DF416" t="e">
        <f>AND(#REF!,"AAAAAHpsP20=")</f>
        <v>#REF!</v>
      </c>
      <c r="DG416" t="e">
        <f>AND(#REF!,"AAAAAHpsP24=")</f>
        <v>#REF!</v>
      </c>
      <c r="DH416" t="e">
        <f>AND(#REF!,"AAAAAHpsP28=")</f>
        <v>#REF!</v>
      </c>
      <c r="DI416" t="e">
        <f>AND(#REF!,"AAAAAHpsP3A=")</f>
        <v>#REF!</v>
      </c>
      <c r="DJ416" t="e">
        <f>AND(#REF!,"AAAAAHpsP3E=")</f>
        <v>#REF!</v>
      </c>
      <c r="DK416" t="e">
        <f>AND(#REF!,"AAAAAHpsP3I=")</f>
        <v>#REF!</v>
      </c>
      <c r="DL416" t="e">
        <f>AND(#REF!,"AAAAAHpsP3M=")</f>
        <v>#REF!</v>
      </c>
      <c r="DM416" t="e">
        <f>AND(#REF!,"AAAAAHpsP3Q=")</f>
        <v>#REF!</v>
      </c>
      <c r="DN416" t="e">
        <f>AND(#REF!,"AAAAAHpsP3U=")</f>
        <v>#REF!</v>
      </c>
      <c r="DO416" t="e">
        <f>AND(#REF!,"AAAAAHpsP3Y=")</f>
        <v>#REF!</v>
      </c>
      <c r="DP416" t="e">
        <f>AND(#REF!,"AAAAAHpsP3c=")</f>
        <v>#REF!</v>
      </c>
      <c r="DQ416" t="e">
        <f>IF(#REF!,"AAAAAHpsP3g=",0)</f>
        <v>#REF!</v>
      </c>
      <c r="DR416" t="e">
        <f>AND(#REF!,"AAAAAHpsP3k=")</f>
        <v>#REF!</v>
      </c>
      <c r="DS416" t="e">
        <f>AND(#REF!,"AAAAAHpsP3o=")</f>
        <v>#REF!</v>
      </c>
      <c r="DT416" t="e">
        <f>AND(#REF!,"AAAAAHpsP3s=")</f>
        <v>#REF!</v>
      </c>
      <c r="DU416" t="e">
        <f>AND(#REF!,"AAAAAHpsP3w=")</f>
        <v>#REF!</v>
      </c>
      <c r="DV416" t="e">
        <f>AND(#REF!,"AAAAAHpsP30=")</f>
        <v>#REF!</v>
      </c>
      <c r="DW416" t="e">
        <f>AND(#REF!,"AAAAAHpsP34=")</f>
        <v>#REF!</v>
      </c>
      <c r="DX416" t="e">
        <f>AND(#REF!,"AAAAAHpsP38=")</f>
        <v>#REF!</v>
      </c>
      <c r="DY416" t="e">
        <f>AND(#REF!,"AAAAAHpsP4A=")</f>
        <v>#REF!</v>
      </c>
      <c r="DZ416" t="e">
        <f>AND(#REF!,"AAAAAHpsP4E=")</f>
        <v>#REF!</v>
      </c>
      <c r="EA416" t="e">
        <f>AND(#REF!,"AAAAAHpsP4I=")</f>
        <v>#REF!</v>
      </c>
      <c r="EB416" t="e">
        <f>AND(#REF!,"AAAAAHpsP4M=")</f>
        <v>#REF!</v>
      </c>
      <c r="EC416" t="e">
        <f>AND(#REF!,"AAAAAHpsP4Q=")</f>
        <v>#REF!</v>
      </c>
      <c r="ED416" t="e">
        <f>AND(#REF!,"AAAAAHpsP4U=")</f>
        <v>#REF!</v>
      </c>
      <c r="EE416" t="e">
        <f>AND(#REF!,"AAAAAHpsP4Y=")</f>
        <v>#REF!</v>
      </c>
      <c r="EF416" t="e">
        <f>AND(#REF!,"AAAAAHpsP4c=")</f>
        <v>#REF!</v>
      </c>
      <c r="EG416" t="e">
        <f>AND(#REF!,"AAAAAHpsP4g=")</f>
        <v>#REF!</v>
      </c>
      <c r="EH416" t="e">
        <f>AND(#REF!,"AAAAAHpsP4k=")</f>
        <v>#REF!</v>
      </c>
      <c r="EI416" t="e">
        <f>AND(#REF!,"AAAAAHpsP4o=")</f>
        <v>#REF!</v>
      </c>
      <c r="EJ416" t="e">
        <f>AND(#REF!,"AAAAAHpsP4s=")</f>
        <v>#REF!</v>
      </c>
      <c r="EK416" t="e">
        <f>AND(#REF!,"AAAAAHpsP4w=")</f>
        <v>#REF!</v>
      </c>
      <c r="EL416" t="e">
        <f>AND(#REF!,"AAAAAHpsP40=")</f>
        <v>#REF!</v>
      </c>
      <c r="EM416" t="e">
        <f>AND(#REF!,"AAAAAHpsP44=")</f>
        <v>#REF!</v>
      </c>
      <c r="EN416" t="e">
        <f>AND(#REF!,"AAAAAHpsP48=")</f>
        <v>#REF!</v>
      </c>
      <c r="EO416" t="e">
        <f>AND(#REF!,"AAAAAHpsP5A=")</f>
        <v>#REF!</v>
      </c>
      <c r="EP416" t="e">
        <f>IF(#REF!,"AAAAAHpsP5E=",0)</f>
        <v>#REF!</v>
      </c>
      <c r="EQ416" t="e">
        <f>AND(#REF!,"AAAAAHpsP5I=")</f>
        <v>#REF!</v>
      </c>
      <c r="ER416" t="e">
        <f>AND(#REF!,"AAAAAHpsP5M=")</f>
        <v>#REF!</v>
      </c>
      <c r="ES416" t="e">
        <f>AND(#REF!,"AAAAAHpsP5Q=")</f>
        <v>#REF!</v>
      </c>
      <c r="ET416" t="e">
        <f>AND(#REF!,"AAAAAHpsP5U=")</f>
        <v>#REF!</v>
      </c>
      <c r="EU416" t="e">
        <f>AND(#REF!,"AAAAAHpsP5Y=")</f>
        <v>#REF!</v>
      </c>
      <c r="EV416" t="e">
        <f>AND(#REF!,"AAAAAHpsP5c=")</f>
        <v>#REF!</v>
      </c>
      <c r="EW416" t="e">
        <f>AND(#REF!,"AAAAAHpsP5g=")</f>
        <v>#REF!</v>
      </c>
      <c r="EX416" t="e">
        <f>AND(#REF!,"AAAAAHpsP5k=")</f>
        <v>#REF!</v>
      </c>
      <c r="EY416" t="e">
        <f>AND(#REF!,"AAAAAHpsP5o=")</f>
        <v>#REF!</v>
      </c>
      <c r="EZ416" t="e">
        <f>AND(#REF!,"AAAAAHpsP5s=")</f>
        <v>#REF!</v>
      </c>
      <c r="FA416" t="e">
        <f>AND(#REF!,"AAAAAHpsP5w=")</f>
        <v>#REF!</v>
      </c>
      <c r="FB416" t="e">
        <f>AND(#REF!,"AAAAAHpsP50=")</f>
        <v>#REF!</v>
      </c>
      <c r="FC416" t="e">
        <f>AND(#REF!,"AAAAAHpsP54=")</f>
        <v>#REF!</v>
      </c>
      <c r="FD416" t="e">
        <f>AND(#REF!,"AAAAAHpsP58=")</f>
        <v>#REF!</v>
      </c>
      <c r="FE416" t="e">
        <f>AND(#REF!,"AAAAAHpsP6A=")</f>
        <v>#REF!</v>
      </c>
      <c r="FF416" t="e">
        <f>AND(#REF!,"AAAAAHpsP6E=")</f>
        <v>#REF!</v>
      </c>
      <c r="FG416" t="e">
        <f>AND(#REF!,"AAAAAHpsP6I=")</f>
        <v>#REF!</v>
      </c>
      <c r="FH416" t="e">
        <f>AND(#REF!,"AAAAAHpsP6M=")</f>
        <v>#REF!</v>
      </c>
      <c r="FI416" t="e">
        <f>AND(#REF!,"AAAAAHpsP6Q=")</f>
        <v>#REF!</v>
      </c>
      <c r="FJ416" t="e">
        <f>AND(#REF!,"AAAAAHpsP6U=")</f>
        <v>#REF!</v>
      </c>
      <c r="FK416" t="e">
        <f>AND(#REF!,"AAAAAHpsP6Y=")</f>
        <v>#REF!</v>
      </c>
      <c r="FL416" t="e">
        <f>AND(#REF!,"AAAAAHpsP6c=")</f>
        <v>#REF!</v>
      </c>
      <c r="FM416" t="e">
        <f>AND(#REF!,"AAAAAHpsP6g=")</f>
        <v>#REF!</v>
      </c>
      <c r="FN416" t="e">
        <f>AND(#REF!,"AAAAAHpsP6k=")</f>
        <v>#REF!</v>
      </c>
      <c r="FO416" t="e">
        <f>IF(#REF!,"AAAAAHpsP6o=",0)</f>
        <v>#REF!</v>
      </c>
      <c r="FP416" t="e">
        <f>AND(#REF!,"AAAAAHpsP6s=")</f>
        <v>#REF!</v>
      </c>
      <c r="FQ416" t="e">
        <f>AND(#REF!,"AAAAAHpsP6w=")</f>
        <v>#REF!</v>
      </c>
      <c r="FR416" t="e">
        <f>AND(#REF!,"AAAAAHpsP60=")</f>
        <v>#REF!</v>
      </c>
      <c r="FS416" t="e">
        <f>AND(#REF!,"AAAAAHpsP64=")</f>
        <v>#REF!</v>
      </c>
      <c r="FT416" t="e">
        <f>AND(#REF!,"AAAAAHpsP68=")</f>
        <v>#REF!</v>
      </c>
      <c r="FU416" t="e">
        <f>AND(#REF!,"AAAAAHpsP7A=")</f>
        <v>#REF!</v>
      </c>
      <c r="FV416" t="e">
        <f>AND(#REF!,"AAAAAHpsP7E=")</f>
        <v>#REF!</v>
      </c>
      <c r="FW416" t="e">
        <f>AND(#REF!,"AAAAAHpsP7I=")</f>
        <v>#REF!</v>
      </c>
      <c r="FX416" t="e">
        <f>AND(#REF!,"AAAAAHpsP7M=")</f>
        <v>#REF!</v>
      </c>
      <c r="FY416" t="e">
        <f>AND(#REF!,"AAAAAHpsP7Q=")</f>
        <v>#REF!</v>
      </c>
      <c r="FZ416" t="e">
        <f>AND(#REF!,"AAAAAHpsP7U=")</f>
        <v>#REF!</v>
      </c>
      <c r="GA416" t="e">
        <f>AND(#REF!,"AAAAAHpsP7Y=")</f>
        <v>#REF!</v>
      </c>
      <c r="GB416" t="e">
        <f>AND(#REF!,"AAAAAHpsP7c=")</f>
        <v>#REF!</v>
      </c>
      <c r="GC416" t="e">
        <f>AND(#REF!,"AAAAAHpsP7g=")</f>
        <v>#REF!</v>
      </c>
      <c r="GD416" t="e">
        <f>AND(#REF!,"AAAAAHpsP7k=")</f>
        <v>#REF!</v>
      </c>
      <c r="GE416" t="e">
        <f>AND(#REF!,"AAAAAHpsP7o=")</f>
        <v>#REF!</v>
      </c>
      <c r="GF416" t="e">
        <f>AND(#REF!,"AAAAAHpsP7s=")</f>
        <v>#REF!</v>
      </c>
      <c r="GG416" t="e">
        <f>AND(#REF!,"AAAAAHpsP7w=")</f>
        <v>#REF!</v>
      </c>
      <c r="GH416" t="e">
        <f>AND(#REF!,"AAAAAHpsP70=")</f>
        <v>#REF!</v>
      </c>
      <c r="GI416" t="e">
        <f>AND(#REF!,"AAAAAHpsP74=")</f>
        <v>#REF!</v>
      </c>
      <c r="GJ416" t="e">
        <f>AND(#REF!,"AAAAAHpsP78=")</f>
        <v>#REF!</v>
      </c>
      <c r="GK416" t="e">
        <f>AND(#REF!,"AAAAAHpsP8A=")</f>
        <v>#REF!</v>
      </c>
      <c r="GL416" t="e">
        <f>AND(#REF!,"AAAAAHpsP8E=")</f>
        <v>#REF!</v>
      </c>
      <c r="GM416" t="e">
        <f>AND(#REF!,"AAAAAHpsP8I=")</f>
        <v>#REF!</v>
      </c>
      <c r="GN416" t="e">
        <f>IF(#REF!,"AAAAAHpsP8M=",0)</f>
        <v>#REF!</v>
      </c>
      <c r="GO416" t="e">
        <f>AND(#REF!,"AAAAAHpsP8Q=")</f>
        <v>#REF!</v>
      </c>
      <c r="GP416" t="e">
        <f>AND(#REF!,"AAAAAHpsP8U=")</f>
        <v>#REF!</v>
      </c>
      <c r="GQ416" t="e">
        <f>AND(#REF!,"AAAAAHpsP8Y=")</f>
        <v>#REF!</v>
      </c>
      <c r="GR416" t="e">
        <f>AND(#REF!,"AAAAAHpsP8c=")</f>
        <v>#REF!</v>
      </c>
      <c r="GS416" t="e">
        <f>AND(#REF!,"AAAAAHpsP8g=")</f>
        <v>#REF!</v>
      </c>
      <c r="GT416" t="e">
        <f>AND(#REF!,"AAAAAHpsP8k=")</f>
        <v>#REF!</v>
      </c>
      <c r="GU416" t="e">
        <f>AND(#REF!,"AAAAAHpsP8o=")</f>
        <v>#REF!</v>
      </c>
      <c r="GV416" t="e">
        <f>AND(#REF!,"AAAAAHpsP8s=")</f>
        <v>#REF!</v>
      </c>
      <c r="GW416" t="e">
        <f>AND(#REF!,"AAAAAHpsP8w=")</f>
        <v>#REF!</v>
      </c>
      <c r="GX416" t="e">
        <f>AND(#REF!,"AAAAAHpsP80=")</f>
        <v>#REF!</v>
      </c>
      <c r="GY416" t="e">
        <f>AND(#REF!,"AAAAAHpsP84=")</f>
        <v>#REF!</v>
      </c>
      <c r="GZ416" t="e">
        <f>AND(#REF!,"AAAAAHpsP88=")</f>
        <v>#REF!</v>
      </c>
      <c r="HA416" t="e">
        <f>AND(#REF!,"AAAAAHpsP9A=")</f>
        <v>#REF!</v>
      </c>
      <c r="HB416" t="e">
        <f>AND(#REF!,"AAAAAHpsP9E=")</f>
        <v>#REF!</v>
      </c>
      <c r="HC416" t="e">
        <f>AND(#REF!,"AAAAAHpsP9I=")</f>
        <v>#REF!</v>
      </c>
      <c r="HD416" t="e">
        <f>AND(#REF!,"AAAAAHpsP9M=")</f>
        <v>#REF!</v>
      </c>
      <c r="HE416" t="e">
        <f>AND(#REF!,"AAAAAHpsP9Q=")</f>
        <v>#REF!</v>
      </c>
      <c r="HF416" t="e">
        <f>AND(#REF!,"AAAAAHpsP9U=")</f>
        <v>#REF!</v>
      </c>
      <c r="HG416" t="e">
        <f>AND(#REF!,"AAAAAHpsP9Y=")</f>
        <v>#REF!</v>
      </c>
      <c r="HH416" t="e">
        <f>AND(#REF!,"AAAAAHpsP9c=")</f>
        <v>#REF!</v>
      </c>
      <c r="HI416" t="e">
        <f>AND(#REF!,"AAAAAHpsP9g=")</f>
        <v>#REF!</v>
      </c>
      <c r="HJ416" t="e">
        <f>AND(#REF!,"AAAAAHpsP9k=")</f>
        <v>#REF!</v>
      </c>
      <c r="HK416" t="e">
        <f>AND(#REF!,"AAAAAHpsP9o=")</f>
        <v>#REF!</v>
      </c>
      <c r="HL416" t="e">
        <f>AND(#REF!,"AAAAAHpsP9s=")</f>
        <v>#REF!</v>
      </c>
      <c r="HM416" t="e">
        <f>IF(#REF!,"AAAAAHpsP9w=",0)</f>
        <v>#REF!</v>
      </c>
      <c r="HN416" t="e">
        <f>AND(#REF!,"AAAAAHpsP90=")</f>
        <v>#REF!</v>
      </c>
      <c r="HO416" t="e">
        <f>AND(#REF!,"AAAAAHpsP94=")</f>
        <v>#REF!</v>
      </c>
      <c r="HP416" t="e">
        <f>AND(#REF!,"AAAAAHpsP98=")</f>
        <v>#REF!</v>
      </c>
      <c r="HQ416" t="e">
        <f>AND(#REF!,"AAAAAHpsP+A=")</f>
        <v>#REF!</v>
      </c>
      <c r="HR416" t="e">
        <f>AND(#REF!,"AAAAAHpsP+E=")</f>
        <v>#REF!</v>
      </c>
      <c r="HS416" t="e">
        <f>AND(#REF!,"AAAAAHpsP+I=")</f>
        <v>#REF!</v>
      </c>
      <c r="HT416" t="e">
        <f>AND(#REF!,"AAAAAHpsP+M=")</f>
        <v>#REF!</v>
      </c>
      <c r="HU416" t="e">
        <f>AND(#REF!,"AAAAAHpsP+Q=")</f>
        <v>#REF!</v>
      </c>
      <c r="HV416" t="e">
        <f>AND(#REF!,"AAAAAHpsP+U=")</f>
        <v>#REF!</v>
      </c>
      <c r="HW416" t="e">
        <f>AND(#REF!,"AAAAAHpsP+Y=")</f>
        <v>#REF!</v>
      </c>
      <c r="HX416" t="e">
        <f>AND(#REF!,"AAAAAHpsP+c=")</f>
        <v>#REF!</v>
      </c>
      <c r="HY416" t="e">
        <f>AND(#REF!,"AAAAAHpsP+g=")</f>
        <v>#REF!</v>
      </c>
      <c r="HZ416" t="e">
        <f>AND(#REF!,"AAAAAHpsP+k=")</f>
        <v>#REF!</v>
      </c>
      <c r="IA416" t="e">
        <f>AND(#REF!,"AAAAAHpsP+o=")</f>
        <v>#REF!</v>
      </c>
      <c r="IB416" t="e">
        <f>AND(#REF!,"AAAAAHpsP+s=")</f>
        <v>#REF!</v>
      </c>
      <c r="IC416" t="e">
        <f>AND(#REF!,"AAAAAHpsP+w=")</f>
        <v>#REF!</v>
      </c>
      <c r="ID416" t="e">
        <f>AND(#REF!,"AAAAAHpsP+0=")</f>
        <v>#REF!</v>
      </c>
      <c r="IE416" t="e">
        <f>AND(#REF!,"AAAAAHpsP+4=")</f>
        <v>#REF!</v>
      </c>
      <c r="IF416" t="e">
        <f>AND(#REF!,"AAAAAHpsP+8=")</f>
        <v>#REF!</v>
      </c>
      <c r="IG416" t="e">
        <f>AND(#REF!,"AAAAAHpsP/A=")</f>
        <v>#REF!</v>
      </c>
      <c r="IH416" t="e">
        <f>AND(#REF!,"AAAAAHpsP/E=")</f>
        <v>#REF!</v>
      </c>
      <c r="II416" t="e">
        <f>AND(#REF!,"AAAAAHpsP/I=")</f>
        <v>#REF!</v>
      </c>
      <c r="IJ416" t="e">
        <f>AND(#REF!,"AAAAAHpsP/M=")</f>
        <v>#REF!</v>
      </c>
      <c r="IK416" t="e">
        <f>AND(#REF!,"AAAAAHpsP/Q=")</f>
        <v>#REF!</v>
      </c>
      <c r="IL416" t="e">
        <f>IF(#REF!,"AAAAAHpsP/U=",0)</f>
        <v>#REF!</v>
      </c>
      <c r="IM416" t="e">
        <f>AND(#REF!,"AAAAAHpsP/Y=")</f>
        <v>#REF!</v>
      </c>
      <c r="IN416" t="e">
        <f>AND(#REF!,"AAAAAHpsP/c=")</f>
        <v>#REF!</v>
      </c>
      <c r="IO416" t="e">
        <f>AND(#REF!,"AAAAAHpsP/g=")</f>
        <v>#REF!</v>
      </c>
      <c r="IP416" t="e">
        <f>AND(#REF!,"AAAAAHpsP/k=")</f>
        <v>#REF!</v>
      </c>
      <c r="IQ416" t="e">
        <f>AND(#REF!,"AAAAAHpsP/o=")</f>
        <v>#REF!</v>
      </c>
      <c r="IR416" t="e">
        <f>AND(#REF!,"AAAAAHpsP/s=")</f>
        <v>#REF!</v>
      </c>
      <c r="IS416" t="e">
        <f>AND(#REF!,"AAAAAHpsP/w=")</f>
        <v>#REF!</v>
      </c>
      <c r="IT416" t="e">
        <f>AND(#REF!,"AAAAAHpsP/0=")</f>
        <v>#REF!</v>
      </c>
      <c r="IU416" t="e">
        <f>AND(#REF!,"AAAAAHpsP/4=")</f>
        <v>#REF!</v>
      </c>
      <c r="IV416" t="e">
        <f>AND(#REF!,"AAAAAHpsP/8=")</f>
        <v>#REF!</v>
      </c>
    </row>
    <row r="417" spans="1:256">
      <c r="A417" t="e">
        <f>AND(#REF!,"AAAAAH+tzwA=")</f>
        <v>#REF!</v>
      </c>
      <c r="B417" t="e">
        <f>AND(#REF!,"AAAAAH+tzwE=")</f>
        <v>#REF!</v>
      </c>
      <c r="C417" t="e">
        <f>AND(#REF!,"AAAAAH+tzwI=")</f>
        <v>#REF!</v>
      </c>
      <c r="D417" t="e">
        <f>AND(#REF!,"AAAAAH+tzwM=")</f>
        <v>#REF!</v>
      </c>
      <c r="E417" t="e">
        <f>AND(#REF!,"AAAAAH+tzwQ=")</f>
        <v>#REF!</v>
      </c>
      <c r="F417" t="e">
        <f>AND(#REF!,"AAAAAH+tzwU=")</f>
        <v>#REF!</v>
      </c>
      <c r="G417" t="e">
        <f>AND(#REF!,"AAAAAH+tzwY=")</f>
        <v>#REF!</v>
      </c>
      <c r="H417" t="e">
        <f>AND(#REF!,"AAAAAH+tzwc=")</f>
        <v>#REF!</v>
      </c>
      <c r="I417" t="e">
        <f>AND(#REF!,"AAAAAH+tzwg=")</f>
        <v>#REF!</v>
      </c>
      <c r="J417" t="e">
        <f>AND(#REF!,"AAAAAH+tzwk=")</f>
        <v>#REF!</v>
      </c>
      <c r="K417" t="e">
        <f>AND(#REF!,"AAAAAH+tzwo=")</f>
        <v>#REF!</v>
      </c>
      <c r="L417" t="e">
        <f>AND(#REF!,"AAAAAH+tzws=")</f>
        <v>#REF!</v>
      </c>
      <c r="M417" t="e">
        <f>AND(#REF!,"AAAAAH+tzww=")</f>
        <v>#REF!</v>
      </c>
      <c r="N417" t="e">
        <f>AND(#REF!,"AAAAAH+tzw0=")</f>
        <v>#REF!</v>
      </c>
      <c r="O417" t="e">
        <f>IF(#REF!,"AAAAAH+tzw4=",0)</f>
        <v>#REF!</v>
      </c>
      <c r="P417" t="e">
        <f>AND(#REF!,"AAAAAH+tzw8=")</f>
        <v>#REF!</v>
      </c>
      <c r="Q417" t="e">
        <f>AND(#REF!,"AAAAAH+tzxA=")</f>
        <v>#REF!</v>
      </c>
      <c r="R417" t="e">
        <f>AND(#REF!,"AAAAAH+tzxE=")</f>
        <v>#REF!</v>
      </c>
      <c r="S417" t="e">
        <f>AND(#REF!,"AAAAAH+tzxI=")</f>
        <v>#REF!</v>
      </c>
      <c r="T417" t="e">
        <f>AND(#REF!,"AAAAAH+tzxM=")</f>
        <v>#REF!</v>
      </c>
      <c r="U417" t="e">
        <f>AND(#REF!,"AAAAAH+tzxQ=")</f>
        <v>#REF!</v>
      </c>
      <c r="V417" t="e">
        <f>AND(#REF!,"AAAAAH+tzxU=")</f>
        <v>#REF!</v>
      </c>
      <c r="W417" t="e">
        <f>AND(#REF!,"AAAAAH+tzxY=")</f>
        <v>#REF!</v>
      </c>
      <c r="X417" t="e">
        <f>AND(#REF!,"AAAAAH+tzxc=")</f>
        <v>#REF!</v>
      </c>
      <c r="Y417" t="e">
        <f>AND(#REF!,"AAAAAH+tzxg=")</f>
        <v>#REF!</v>
      </c>
      <c r="Z417" t="e">
        <f>AND(#REF!,"AAAAAH+tzxk=")</f>
        <v>#REF!</v>
      </c>
      <c r="AA417" t="e">
        <f>AND(#REF!,"AAAAAH+tzxo=")</f>
        <v>#REF!</v>
      </c>
      <c r="AB417" t="e">
        <f>AND(#REF!,"AAAAAH+tzxs=")</f>
        <v>#REF!</v>
      </c>
      <c r="AC417" t="e">
        <f>AND(#REF!,"AAAAAH+tzxw=")</f>
        <v>#REF!</v>
      </c>
      <c r="AD417" t="e">
        <f>AND(#REF!,"AAAAAH+tzx0=")</f>
        <v>#REF!</v>
      </c>
      <c r="AE417" t="e">
        <f>AND(#REF!,"AAAAAH+tzx4=")</f>
        <v>#REF!</v>
      </c>
      <c r="AF417" t="e">
        <f>AND(#REF!,"AAAAAH+tzx8=")</f>
        <v>#REF!</v>
      </c>
      <c r="AG417" t="e">
        <f>AND(#REF!,"AAAAAH+tzyA=")</f>
        <v>#REF!</v>
      </c>
      <c r="AH417" t="e">
        <f>AND(#REF!,"AAAAAH+tzyE=")</f>
        <v>#REF!</v>
      </c>
      <c r="AI417" t="e">
        <f>AND(#REF!,"AAAAAH+tzyI=")</f>
        <v>#REF!</v>
      </c>
      <c r="AJ417" t="e">
        <f>AND(#REF!,"AAAAAH+tzyM=")</f>
        <v>#REF!</v>
      </c>
      <c r="AK417" t="e">
        <f>AND(#REF!,"AAAAAH+tzyQ=")</f>
        <v>#REF!</v>
      </c>
      <c r="AL417" t="e">
        <f>AND(#REF!,"AAAAAH+tzyU=")</f>
        <v>#REF!</v>
      </c>
      <c r="AM417" t="e">
        <f>AND(#REF!,"AAAAAH+tzyY=")</f>
        <v>#REF!</v>
      </c>
      <c r="AN417" t="e">
        <f>IF(#REF!,"AAAAAH+tzyc=",0)</f>
        <v>#REF!</v>
      </c>
      <c r="AO417" t="e">
        <f>AND(#REF!,"AAAAAH+tzyg=")</f>
        <v>#REF!</v>
      </c>
      <c r="AP417" t="e">
        <f>AND(#REF!,"AAAAAH+tzyk=")</f>
        <v>#REF!</v>
      </c>
      <c r="AQ417" t="e">
        <f>AND(#REF!,"AAAAAH+tzyo=")</f>
        <v>#REF!</v>
      </c>
      <c r="AR417" t="e">
        <f>AND(#REF!,"AAAAAH+tzys=")</f>
        <v>#REF!</v>
      </c>
      <c r="AS417" t="e">
        <f>AND(#REF!,"AAAAAH+tzyw=")</f>
        <v>#REF!</v>
      </c>
      <c r="AT417" t="e">
        <f>AND(#REF!,"AAAAAH+tzy0=")</f>
        <v>#REF!</v>
      </c>
      <c r="AU417" t="e">
        <f>AND(#REF!,"AAAAAH+tzy4=")</f>
        <v>#REF!</v>
      </c>
      <c r="AV417" t="e">
        <f>AND(#REF!,"AAAAAH+tzy8=")</f>
        <v>#REF!</v>
      </c>
      <c r="AW417" t="e">
        <f>AND(#REF!,"AAAAAH+tzzA=")</f>
        <v>#REF!</v>
      </c>
      <c r="AX417" t="e">
        <f>AND(#REF!,"AAAAAH+tzzE=")</f>
        <v>#REF!</v>
      </c>
      <c r="AY417" t="e">
        <f>AND(#REF!,"AAAAAH+tzzI=")</f>
        <v>#REF!</v>
      </c>
      <c r="AZ417" t="e">
        <f>AND(#REF!,"AAAAAH+tzzM=")</f>
        <v>#REF!</v>
      </c>
      <c r="BA417" t="e">
        <f>AND(#REF!,"AAAAAH+tzzQ=")</f>
        <v>#REF!</v>
      </c>
      <c r="BB417" t="e">
        <f>AND(#REF!,"AAAAAH+tzzU=")</f>
        <v>#REF!</v>
      </c>
      <c r="BC417" t="e">
        <f>AND(#REF!,"AAAAAH+tzzY=")</f>
        <v>#REF!</v>
      </c>
      <c r="BD417" t="e">
        <f>AND(#REF!,"AAAAAH+tzzc=")</f>
        <v>#REF!</v>
      </c>
      <c r="BE417" t="e">
        <f>AND(#REF!,"AAAAAH+tzzg=")</f>
        <v>#REF!</v>
      </c>
      <c r="BF417" t="e">
        <f>AND(#REF!,"AAAAAH+tzzk=")</f>
        <v>#REF!</v>
      </c>
      <c r="BG417" t="e">
        <f>AND(#REF!,"AAAAAH+tzzo=")</f>
        <v>#REF!</v>
      </c>
      <c r="BH417" t="e">
        <f>AND(#REF!,"AAAAAH+tzzs=")</f>
        <v>#REF!</v>
      </c>
      <c r="BI417" t="e">
        <f>AND(#REF!,"AAAAAH+tzzw=")</f>
        <v>#REF!</v>
      </c>
      <c r="BJ417" t="e">
        <f>AND(#REF!,"AAAAAH+tzz0=")</f>
        <v>#REF!</v>
      </c>
      <c r="BK417" t="e">
        <f>AND(#REF!,"AAAAAH+tzz4=")</f>
        <v>#REF!</v>
      </c>
      <c r="BL417" t="e">
        <f>AND(#REF!,"AAAAAH+tzz8=")</f>
        <v>#REF!</v>
      </c>
      <c r="BM417" t="e">
        <f>IF(#REF!,"AAAAAH+tz0A=",0)</f>
        <v>#REF!</v>
      </c>
      <c r="BN417" t="e">
        <f>AND(#REF!,"AAAAAH+tz0E=")</f>
        <v>#REF!</v>
      </c>
      <c r="BO417" t="e">
        <f>AND(#REF!,"AAAAAH+tz0I=")</f>
        <v>#REF!</v>
      </c>
      <c r="BP417" t="e">
        <f>AND(#REF!,"AAAAAH+tz0M=")</f>
        <v>#REF!</v>
      </c>
      <c r="BQ417" t="e">
        <f>AND(#REF!,"AAAAAH+tz0Q=")</f>
        <v>#REF!</v>
      </c>
      <c r="BR417" t="e">
        <f>AND(#REF!,"AAAAAH+tz0U=")</f>
        <v>#REF!</v>
      </c>
      <c r="BS417" t="e">
        <f>AND(#REF!,"AAAAAH+tz0Y=")</f>
        <v>#REF!</v>
      </c>
      <c r="BT417" t="e">
        <f>AND(#REF!,"AAAAAH+tz0c=")</f>
        <v>#REF!</v>
      </c>
      <c r="BU417" t="e">
        <f>AND(#REF!,"AAAAAH+tz0g=")</f>
        <v>#REF!</v>
      </c>
      <c r="BV417" t="e">
        <f>AND(#REF!,"AAAAAH+tz0k=")</f>
        <v>#REF!</v>
      </c>
      <c r="BW417" t="e">
        <f>AND(#REF!,"AAAAAH+tz0o=")</f>
        <v>#REF!</v>
      </c>
      <c r="BX417" t="e">
        <f>AND(#REF!,"AAAAAH+tz0s=")</f>
        <v>#REF!</v>
      </c>
      <c r="BY417" t="e">
        <f>AND(#REF!,"AAAAAH+tz0w=")</f>
        <v>#REF!</v>
      </c>
      <c r="BZ417" t="e">
        <f>AND(#REF!,"AAAAAH+tz00=")</f>
        <v>#REF!</v>
      </c>
      <c r="CA417" t="e">
        <f>AND(#REF!,"AAAAAH+tz04=")</f>
        <v>#REF!</v>
      </c>
      <c r="CB417" t="e">
        <f>AND(#REF!,"AAAAAH+tz08=")</f>
        <v>#REF!</v>
      </c>
      <c r="CC417" t="e">
        <f>AND(#REF!,"AAAAAH+tz1A=")</f>
        <v>#REF!</v>
      </c>
      <c r="CD417" t="e">
        <f>AND(#REF!,"AAAAAH+tz1E=")</f>
        <v>#REF!</v>
      </c>
      <c r="CE417" t="e">
        <f>AND(#REF!,"AAAAAH+tz1I=")</f>
        <v>#REF!</v>
      </c>
      <c r="CF417" t="e">
        <f>AND(#REF!,"AAAAAH+tz1M=")</f>
        <v>#REF!</v>
      </c>
      <c r="CG417" t="e">
        <f>AND(#REF!,"AAAAAH+tz1Q=")</f>
        <v>#REF!</v>
      </c>
      <c r="CH417" t="e">
        <f>AND(#REF!,"AAAAAH+tz1U=")</f>
        <v>#REF!</v>
      </c>
      <c r="CI417" t="e">
        <f>AND(#REF!,"AAAAAH+tz1Y=")</f>
        <v>#REF!</v>
      </c>
      <c r="CJ417" t="e">
        <f>AND(#REF!,"AAAAAH+tz1c=")</f>
        <v>#REF!</v>
      </c>
      <c r="CK417" t="e">
        <f>AND(#REF!,"AAAAAH+tz1g=")</f>
        <v>#REF!</v>
      </c>
      <c r="CL417" t="e">
        <f>IF(#REF!,"AAAAAH+tz1k=",0)</f>
        <v>#REF!</v>
      </c>
      <c r="CM417" t="e">
        <f>AND(#REF!,"AAAAAH+tz1o=")</f>
        <v>#REF!</v>
      </c>
      <c r="CN417" t="e">
        <f>AND(#REF!,"AAAAAH+tz1s=")</f>
        <v>#REF!</v>
      </c>
      <c r="CO417" t="e">
        <f>AND(#REF!,"AAAAAH+tz1w=")</f>
        <v>#REF!</v>
      </c>
      <c r="CP417" t="e">
        <f>AND(#REF!,"AAAAAH+tz10=")</f>
        <v>#REF!</v>
      </c>
      <c r="CQ417" t="e">
        <f>AND(#REF!,"AAAAAH+tz14=")</f>
        <v>#REF!</v>
      </c>
      <c r="CR417" t="e">
        <f>AND(#REF!,"AAAAAH+tz18=")</f>
        <v>#REF!</v>
      </c>
      <c r="CS417" t="e">
        <f>AND(#REF!,"AAAAAH+tz2A=")</f>
        <v>#REF!</v>
      </c>
      <c r="CT417" t="e">
        <f>AND(#REF!,"AAAAAH+tz2E=")</f>
        <v>#REF!</v>
      </c>
      <c r="CU417" t="e">
        <f>AND(#REF!,"AAAAAH+tz2I=")</f>
        <v>#REF!</v>
      </c>
      <c r="CV417" t="e">
        <f>AND(#REF!,"AAAAAH+tz2M=")</f>
        <v>#REF!</v>
      </c>
      <c r="CW417" t="e">
        <f>AND(#REF!,"AAAAAH+tz2Q=")</f>
        <v>#REF!</v>
      </c>
      <c r="CX417" t="e">
        <f>AND(#REF!,"AAAAAH+tz2U=")</f>
        <v>#REF!</v>
      </c>
      <c r="CY417" t="e">
        <f>AND(#REF!,"AAAAAH+tz2Y=")</f>
        <v>#REF!</v>
      </c>
      <c r="CZ417" t="e">
        <f>AND(#REF!,"AAAAAH+tz2c=")</f>
        <v>#REF!</v>
      </c>
      <c r="DA417" t="e">
        <f>AND(#REF!,"AAAAAH+tz2g=")</f>
        <v>#REF!</v>
      </c>
      <c r="DB417" t="e">
        <f>AND(#REF!,"AAAAAH+tz2k=")</f>
        <v>#REF!</v>
      </c>
      <c r="DC417" t="e">
        <f>AND(#REF!,"AAAAAH+tz2o=")</f>
        <v>#REF!</v>
      </c>
      <c r="DD417" t="e">
        <f>AND(#REF!,"AAAAAH+tz2s=")</f>
        <v>#REF!</v>
      </c>
      <c r="DE417" t="e">
        <f>AND(#REF!,"AAAAAH+tz2w=")</f>
        <v>#REF!</v>
      </c>
      <c r="DF417" t="e">
        <f>AND(#REF!,"AAAAAH+tz20=")</f>
        <v>#REF!</v>
      </c>
      <c r="DG417" t="e">
        <f>AND(#REF!,"AAAAAH+tz24=")</f>
        <v>#REF!</v>
      </c>
      <c r="DH417" t="e">
        <f>AND(#REF!,"AAAAAH+tz28=")</f>
        <v>#REF!</v>
      </c>
      <c r="DI417" t="e">
        <f>AND(#REF!,"AAAAAH+tz3A=")</f>
        <v>#REF!</v>
      </c>
      <c r="DJ417" t="e">
        <f>AND(#REF!,"AAAAAH+tz3E=")</f>
        <v>#REF!</v>
      </c>
      <c r="DK417" t="e">
        <f>IF(#REF!,"AAAAAH+tz3I=",0)</f>
        <v>#REF!</v>
      </c>
      <c r="DL417" t="e">
        <f>AND(#REF!,"AAAAAH+tz3M=")</f>
        <v>#REF!</v>
      </c>
      <c r="DM417" t="e">
        <f>AND(#REF!,"AAAAAH+tz3Q=")</f>
        <v>#REF!</v>
      </c>
      <c r="DN417" t="e">
        <f>AND(#REF!,"AAAAAH+tz3U=")</f>
        <v>#REF!</v>
      </c>
      <c r="DO417" t="e">
        <f>AND(#REF!,"AAAAAH+tz3Y=")</f>
        <v>#REF!</v>
      </c>
      <c r="DP417" t="e">
        <f>AND(#REF!,"AAAAAH+tz3c=")</f>
        <v>#REF!</v>
      </c>
      <c r="DQ417" t="e">
        <f>AND(#REF!,"AAAAAH+tz3g=")</f>
        <v>#REF!</v>
      </c>
      <c r="DR417" t="e">
        <f>AND(#REF!,"AAAAAH+tz3k=")</f>
        <v>#REF!</v>
      </c>
      <c r="DS417" t="e">
        <f>AND(#REF!,"AAAAAH+tz3o=")</f>
        <v>#REF!</v>
      </c>
      <c r="DT417" t="e">
        <f>AND(#REF!,"AAAAAH+tz3s=")</f>
        <v>#REF!</v>
      </c>
      <c r="DU417" t="e">
        <f>AND(#REF!,"AAAAAH+tz3w=")</f>
        <v>#REF!</v>
      </c>
      <c r="DV417" t="e">
        <f>AND(#REF!,"AAAAAH+tz30=")</f>
        <v>#REF!</v>
      </c>
      <c r="DW417" t="e">
        <f>AND(#REF!,"AAAAAH+tz34=")</f>
        <v>#REF!</v>
      </c>
      <c r="DX417" t="e">
        <f>AND(#REF!,"AAAAAH+tz38=")</f>
        <v>#REF!</v>
      </c>
      <c r="DY417" t="e">
        <f>AND(#REF!,"AAAAAH+tz4A=")</f>
        <v>#REF!</v>
      </c>
      <c r="DZ417" t="e">
        <f>AND(#REF!,"AAAAAH+tz4E=")</f>
        <v>#REF!</v>
      </c>
      <c r="EA417" t="e">
        <f>AND(#REF!,"AAAAAH+tz4I=")</f>
        <v>#REF!</v>
      </c>
      <c r="EB417" t="e">
        <f>AND(#REF!,"AAAAAH+tz4M=")</f>
        <v>#REF!</v>
      </c>
      <c r="EC417" t="e">
        <f>AND(#REF!,"AAAAAH+tz4Q=")</f>
        <v>#REF!</v>
      </c>
      <c r="ED417" t="e">
        <f>AND(#REF!,"AAAAAH+tz4U=")</f>
        <v>#REF!</v>
      </c>
      <c r="EE417" t="e">
        <f>AND(#REF!,"AAAAAH+tz4Y=")</f>
        <v>#REF!</v>
      </c>
      <c r="EF417" t="e">
        <f>AND(#REF!,"AAAAAH+tz4c=")</f>
        <v>#REF!</v>
      </c>
      <c r="EG417" t="e">
        <f>AND(#REF!,"AAAAAH+tz4g=")</f>
        <v>#REF!</v>
      </c>
      <c r="EH417" t="e">
        <f>AND(#REF!,"AAAAAH+tz4k=")</f>
        <v>#REF!</v>
      </c>
      <c r="EI417" t="e">
        <f>AND(#REF!,"AAAAAH+tz4o=")</f>
        <v>#REF!</v>
      </c>
      <c r="EJ417" t="e">
        <f>IF(#REF!,"AAAAAH+tz4s=",0)</f>
        <v>#REF!</v>
      </c>
      <c r="EK417" t="e">
        <f>AND(#REF!,"AAAAAH+tz4w=")</f>
        <v>#REF!</v>
      </c>
      <c r="EL417" t="e">
        <f>AND(#REF!,"AAAAAH+tz40=")</f>
        <v>#REF!</v>
      </c>
      <c r="EM417" t="e">
        <f>AND(#REF!,"AAAAAH+tz44=")</f>
        <v>#REF!</v>
      </c>
      <c r="EN417" t="e">
        <f>AND(#REF!,"AAAAAH+tz48=")</f>
        <v>#REF!</v>
      </c>
      <c r="EO417" t="e">
        <f>AND(#REF!,"AAAAAH+tz5A=")</f>
        <v>#REF!</v>
      </c>
      <c r="EP417" t="e">
        <f>AND(#REF!,"AAAAAH+tz5E=")</f>
        <v>#REF!</v>
      </c>
      <c r="EQ417" t="e">
        <f>AND(#REF!,"AAAAAH+tz5I=")</f>
        <v>#REF!</v>
      </c>
      <c r="ER417" t="e">
        <f>AND(#REF!,"AAAAAH+tz5M=")</f>
        <v>#REF!</v>
      </c>
      <c r="ES417" t="e">
        <f>AND(#REF!,"AAAAAH+tz5Q=")</f>
        <v>#REF!</v>
      </c>
      <c r="ET417" t="e">
        <f>AND(#REF!,"AAAAAH+tz5U=")</f>
        <v>#REF!</v>
      </c>
      <c r="EU417" t="e">
        <f>AND(#REF!,"AAAAAH+tz5Y=")</f>
        <v>#REF!</v>
      </c>
      <c r="EV417" t="e">
        <f>AND(#REF!,"AAAAAH+tz5c=")</f>
        <v>#REF!</v>
      </c>
      <c r="EW417" t="e">
        <f>AND(#REF!,"AAAAAH+tz5g=")</f>
        <v>#REF!</v>
      </c>
      <c r="EX417" t="e">
        <f>AND(#REF!,"AAAAAH+tz5k=")</f>
        <v>#REF!</v>
      </c>
      <c r="EY417" t="e">
        <f>AND(#REF!,"AAAAAH+tz5o=")</f>
        <v>#REF!</v>
      </c>
      <c r="EZ417" t="e">
        <f>AND(#REF!,"AAAAAH+tz5s=")</f>
        <v>#REF!</v>
      </c>
      <c r="FA417" t="e">
        <f>AND(#REF!,"AAAAAH+tz5w=")</f>
        <v>#REF!</v>
      </c>
      <c r="FB417" t="e">
        <f>AND(#REF!,"AAAAAH+tz50=")</f>
        <v>#REF!</v>
      </c>
      <c r="FC417" t="e">
        <f>AND(#REF!,"AAAAAH+tz54=")</f>
        <v>#REF!</v>
      </c>
      <c r="FD417" t="e">
        <f>AND(#REF!,"AAAAAH+tz58=")</f>
        <v>#REF!</v>
      </c>
      <c r="FE417" t="e">
        <f>AND(#REF!,"AAAAAH+tz6A=")</f>
        <v>#REF!</v>
      </c>
      <c r="FF417" t="e">
        <f>AND(#REF!,"AAAAAH+tz6E=")</f>
        <v>#REF!</v>
      </c>
      <c r="FG417" t="e">
        <f>AND(#REF!,"AAAAAH+tz6I=")</f>
        <v>#REF!</v>
      </c>
      <c r="FH417" t="e">
        <f>AND(#REF!,"AAAAAH+tz6M=")</f>
        <v>#REF!</v>
      </c>
      <c r="FI417" t="e">
        <f>IF(#REF!,"AAAAAH+tz6Q=",0)</f>
        <v>#REF!</v>
      </c>
      <c r="FJ417" t="e">
        <f>AND(#REF!,"AAAAAH+tz6U=")</f>
        <v>#REF!</v>
      </c>
      <c r="FK417" t="e">
        <f>AND(#REF!,"AAAAAH+tz6Y=")</f>
        <v>#REF!</v>
      </c>
      <c r="FL417" t="e">
        <f>AND(#REF!,"AAAAAH+tz6c=")</f>
        <v>#REF!</v>
      </c>
      <c r="FM417" t="e">
        <f>AND(#REF!,"AAAAAH+tz6g=")</f>
        <v>#REF!</v>
      </c>
      <c r="FN417" t="e">
        <f>AND(#REF!,"AAAAAH+tz6k=")</f>
        <v>#REF!</v>
      </c>
      <c r="FO417" t="e">
        <f>AND(#REF!,"AAAAAH+tz6o=")</f>
        <v>#REF!</v>
      </c>
      <c r="FP417" t="e">
        <f>AND(#REF!,"AAAAAH+tz6s=")</f>
        <v>#REF!</v>
      </c>
      <c r="FQ417" t="e">
        <f>AND(#REF!,"AAAAAH+tz6w=")</f>
        <v>#REF!</v>
      </c>
      <c r="FR417" t="e">
        <f>AND(#REF!,"AAAAAH+tz60=")</f>
        <v>#REF!</v>
      </c>
      <c r="FS417" t="e">
        <f>AND(#REF!,"AAAAAH+tz64=")</f>
        <v>#REF!</v>
      </c>
      <c r="FT417" t="e">
        <f>AND(#REF!,"AAAAAH+tz68=")</f>
        <v>#REF!</v>
      </c>
      <c r="FU417" t="e">
        <f>AND(#REF!,"AAAAAH+tz7A=")</f>
        <v>#REF!</v>
      </c>
      <c r="FV417" t="e">
        <f>AND(#REF!,"AAAAAH+tz7E=")</f>
        <v>#REF!</v>
      </c>
      <c r="FW417" t="e">
        <f>AND(#REF!,"AAAAAH+tz7I=")</f>
        <v>#REF!</v>
      </c>
      <c r="FX417" t="e">
        <f>AND(#REF!,"AAAAAH+tz7M=")</f>
        <v>#REF!</v>
      </c>
      <c r="FY417" t="e">
        <f>AND(#REF!,"AAAAAH+tz7Q=")</f>
        <v>#REF!</v>
      </c>
      <c r="FZ417" t="e">
        <f>AND(#REF!,"AAAAAH+tz7U=")</f>
        <v>#REF!</v>
      </c>
      <c r="GA417" t="e">
        <f>AND(#REF!,"AAAAAH+tz7Y=")</f>
        <v>#REF!</v>
      </c>
      <c r="GB417" t="e">
        <f>AND(#REF!,"AAAAAH+tz7c=")</f>
        <v>#REF!</v>
      </c>
      <c r="GC417" t="e">
        <f>AND(#REF!,"AAAAAH+tz7g=")</f>
        <v>#REF!</v>
      </c>
      <c r="GD417" t="e">
        <f>AND(#REF!,"AAAAAH+tz7k=")</f>
        <v>#REF!</v>
      </c>
      <c r="GE417" t="e">
        <f>AND(#REF!,"AAAAAH+tz7o=")</f>
        <v>#REF!</v>
      </c>
      <c r="GF417" t="e">
        <f>AND(#REF!,"AAAAAH+tz7s=")</f>
        <v>#REF!</v>
      </c>
      <c r="GG417" t="e">
        <f>AND(#REF!,"AAAAAH+tz7w=")</f>
        <v>#REF!</v>
      </c>
      <c r="GH417" t="e">
        <f>IF(#REF!,"AAAAAH+tz70=",0)</f>
        <v>#REF!</v>
      </c>
      <c r="GI417" t="e">
        <f>AND(#REF!,"AAAAAH+tz74=")</f>
        <v>#REF!</v>
      </c>
      <c r="GJ417" t="e">
        <f>AND(#REF!,"AAAAAH+tz78=")</f>
        <v>#REF!</v>
      </c>
      <c r="GK417" t="e">
        <f>AND(#REF!,"AAAAAH+tz8A=")</f>
        <v>#REF!</v>
      </c>
      <c r="GL417" t="e">
        <f>AND(#REF!,"AAAAAH+tz8E=")</f>
        <v>#REF!</v>
      </c>
      <c r="GM417" t="e">
        <f>AND(#REF!,"AAAAAH+tz8I=")</f>
        <v>#REF!</v>
      </c>
      <c r="GN417" t="e">
        <f>AND(#REF!,"AAAAAH+tz8M=")</f>
        <v>#REF!</v>
      </c>
      <c r="GO417" t="e">
        <f>AND(#REF!,"AAAAAH+tz8Q=")</f>
        <v>#REF!</v>
      </c>
      <c r="GP417" t="e">
        <f>AND(#REF!,"AAAAAH+tz8U=")</f>
        <v>#REF!</v>
      </c>
      <c r="GQ417" t="e">
        <f>AND(#REF!,"AAAAAH+tz8Y=")</f>
        <v>#REF!</v>
      </c>
      <c r="GR417" t="e">
        <f>AND(#REF!,"AAAAAH+tz8c=")</f>
        <v>#REF!</v>
      </c>
      <c r="GS417" t="e">
        <f>AND(#REF!,"AAAAAH+tz8g=")</f>
        <v>#REF!</v>
      </c>
      <c r="GT417" t="e">
        <f>AND(#REF!,"AAAAAH+tz8k=")</f>
        <v>#REF!</v>
      </c>
      <c r="GU417" t="e">
        <f>AND(#REF!,"AAAAAH+tz8o=")</f>
        <v>#REF!</v>
      </c>
      <c r="GV417" t="e">
        <f>AND(#REF!,"AAAAAH+tz8s=")</f>
        <v>#REF!</v>
      </c>
      <c r="GW417" t="e">
        <f>AND(#REF!,"AAAAAH+tz8w=")</f>
        <v>#REF!</v>
      </c>
      <c r="GX417" t="e">
        <f>AND(#REF!,"AAAAAH+tz80=")</f>
        <v>#REF!</v>
      </c>
      <c r="GY417" t="e">
        <f>AND(#REF!,"AAAAAH+tz84=")</f>
        <v>#REF!</v>
      </c>
      <c r="GZ417" t="e">
        <f>AND(#REF!,"AAAAAH+tz88=")</f>
        <v>#REF!</v>
      </c>
      <c r="HA417" t="e">
        <f>AND(#REF!,"AAAAAH+tz9A=")</f>
        <v>#REF!</v>
      </c>
      <c r="HB417" t="e">
        <f>AND(#REF!,"AAAAAH+tz9E=")</f>
        <v>#REF!</v>
      </c>
      <c r="HC417" t="e">
        <f>AND(#REF!,"AAAAAH+tz9I=")</f>
        <v>#REF!</v>
      </c>
      <c r="HD417" t="e">
        <f>AND(#REF!,"AAAAAH+tz9M=")</f>
        <v>#REF!</v>
      </c>
      <c r="HE417" t="e">
        <f>AND(#REF!,"AAAAAH+tz9Q=")</f>
        <v>#REF!</v>
      </c>
      <c r="HF417" t="e">
        <f>AND(#REF!,"AAAAAH+tz9U=")</f>
        <v>#REF!</v>
      </c>
      <c r="HG417" t="e">
        <f>IF(#REF!,"AAAAAH+tz9Y=",0)</f>
        <v>#REF!</v>
      </c>
      <c r="HH417" t="e">
        <f>AND(#REF!,"AAAAAH+tz9c=")</f>
        <v>#REF!</v>
      </c>
      <c r="HI417" t="e">
        <f>AND(#REF!,"AAAAAH+tz9g=")</f>
        <v>#REF!</v>
      </c>
      <c r="HJ417" t="e">
        <f>AND(#REF!,"AAAAAH+tz9k=")</f>
        <v>#REF!</v>
      </c>
      <c r="HK417" t="e">
        <f>AND(#REF!,"AAAAAH+tz9o=")</f>
        <v>#REF!</v>
      </c>
      <c r="HL417" t="e">
        <f>AND(#REF!,"AAAAAH+tz9s=")</f>
        <v>#REF!</v>
      </c>
      <c r="HM417" t="e">
        <f>AND(#REF!,"AAAAAH+tz9w=")</f>
        <v>#REF!</v>
      </c>
      <c r="HN417" t="e">
        <f>AND(#REF!,"AAAAAH+tz90=")</f>
        <v>#REF!</v>
      </c>
      <c r="HO417" t="e">
        <f>AND(#REF!,"AAAAAH+tz94=")</f>
        <v>#REF!</v>
      </c>
      <c r="HP417" t="e">
        <f>AND(#REF!,"AAAAAH+tz98=")</f>
        <v>#REF!</v>
      </c>
      <c r="HQ417" t="e">
        <f>AND(#REF!,"AAAAAH+tz+A=")</f>
        <v>#REF!</v>
      </c>
      <c r="HR417" t="e">
        <f>AND(#REF!,"AAAAAH+tz+E=")</f>
        <v>#REF!</v>
      </c>
      <c r="HS417" t="e">
        <f>AND(#REF!,"AAAAAH+tz+I=")</f>
        <v>#REF!</v>
      </c>
      <c r="HT417" t="e">
        <f>AND(#REF!,"AAAAAH+tz+M=")</f>
        <v>#REF!</v>
      </c>
      <c r="HU417" t="e">
        <f>AND(#REF!,"AAAAAH+tz+Q=")</f>
        <v>#REF!</v>
      </c>
      <c r="HV417" t="e">
        <f>AND(#REF!,"AAAAAH+tz+U=")</f>
        <v>#REF!</v>
      </c>
      <c r="HW417" t="e">
        <f>AND(#REF!,"AAAAAH+tz+Y=")</f>
        <v>#REF!</v>
      </c>
      <c r="HX417" t="e">
        <f>AND(#REF!,"AAAAAH+tz+c=")</f>
        <v>#REF!</v>
      </c>
      <c r="HY417" t="e">
        <f>AND(#REF!,"AAAAAH+tz+g=")</f>
        <v>#REF!</v>
      </c>
      <c r="HZ417" t="e">
        <f>AND(#REF!,"AAAAAH+tz+k=")</f>
        <v>#REF!</v>
      </c>
      <c r="IA417" t="e">
        <f>AND(#REF!,"AAAAAH+tz+o=")</f>
        <v>#REF!</v>
      </c>
      <c r="IB417" t="e">
        <f>AND(#REF!,"AAAAAH+tz+s=")</f>
        <v>#REF!</v>
      </c>
      <c r="IC417" t="e">
        <f>AND(#REF!,"AAAAAH+tz+w=")</f>
        <v>#REF!</v>
      </c>
      <c r="ID417" t="e">
        <f>AND(#REF!,"AAAAAH+tz+0=")</f>
        <v>#REF!</v>
      </c>
      <c r="IE417" t="e">
        <f>AND(#REF!,"AAAAAH+tz+4=")</f>
        <v>#REF!</v>
      </c>
      <c r="IF417" t="e">
        <f>IF(#REF!,"AAAAAH+tz+8=",0)</f>
        <v>#REF!</v>
      </c>
      <c r="IG417" t="e">
        <f>AND(#REF!,"AAAAAH+tz/A=")</f>
        <v>#REF!</v>
      </c>
      <c r="IH417" t="e">
        <f>AND(#REF!,"AAAAAH+tz/E=")</f>
        <v>#REF!</v>
      </c>
      <c r="II417" t="e">
        <f>AND(#REF!,"AAAAAH+tz/I=")</f>
        <v>#REF!</v>
      </c>
      <c r="IJ417" t="e">
        <f>AND(#REF!,"AAAAAH+tz/M=")</f>
        <v>#REF!</v>
      </c>
      <c r="IK417" t="e">
        <f>AND(#REF!,"AAAAAH+tz/Q=")</f>
        <v>#REF!</v>
      </c>
      <c r="IL417" t="e">
        <f>AND(#REF!,"AAAAAH+tz/U=")</f>
        <v>#REF!</v>
      </c>
      <c r="IM417" t="e">
        <f>AND(#REF!,"AAAAAH+tz/Y=")</f>
        <v>#REF!</v>
      </c>
      <c r="IN417" t="e">
        <f>AND(#REF!,"AAAAAH+tz/c=")</f>
        <v>#REF!</v>
      </c>
      <c r="IO417" t="e">
        <f>AND(#REF!,"AAAAAH+tz/g=")</f>
        <v>#REF!</v>
      </c>
      <c r="IP417" t="e">
        <f>AND(#REF!,"AAAAAH+tz/k=")</f>
        <v>#REF!</v>
      </c>
      <c r="IQ417" t="e">
        <f>AND(#REF!,"AAAAAH+tz/o=")</f>
        <v>#REF!</v>
      </c>
      <c r="IR417" t="e">
        <f>AND(#REF!,"AAAAAH+tz/s=")</f>
        <v>#REF!</v>
      </c>
      <c r="IS417" t="e">
        <f>AND(#REF!,"AAAAAH+tz/w=")</f>
        <v>#REF!</v>
      </c>
      <c r="IT417" t="e">
        <f>AND(#REF!,"AAAAAH+tz/0=")</f>
        <v>#REF!</v>
      </c>
      <c r="IU417" t="e">
        <f>AND(#REF!,"AAAAAH+tz/4=")</f>
        <v>#REF!</v>
      </c>
      <c r="IV417" t="e">
        <f>AND(#REF!,"AAAAAH+tz/8=")</f>
        <v>#REF!</v>
      </c>
    </row>
    <row r="418" spans="1:256">
      <c r="A418" t="e">
        <f>AND(#REF!,"AAAAADd+6wA=")</f>
        <v>#REF!</v>
      </c>
      <c r="B418" t="e">
        <f>AND(#REF!,"AAAAADd+6wE=")</f>
        <v>#REF!</v>
      </c>
      <c r="C418" t="e">
        <f>AND(#REF!,"AAAAADd+6wI=")</f>
        <v>#REF!</v>
      </c>
      <c r="D418" t="e">
        <f>AND(#REF!,"AAAAADd+6wM=")</f>
        <v>#REF!</v>
      </c>
      <c r="E418" t="e">
        <f>AND(#REF!,"AAAAADd+6wQ=")</f>
        <v>#REF!</v>
      </c>
      <c r="F418" t="e">
        <f>AND(#REF!,"AAAAADd+6wU=")</f>
        <v>#REF!</v>
      </c>
      <c r="G418" t="e">
        <f>AND(#REF!,"AAAAADd+6wY=")</f>
        <v>#REF!</v>
      </c>
      <c r="H418" t="e">
        <f>AND(#REF!,"AAAAADd+6wc=")</f>
        <v>#REF!</v>
      </c>
      <c r="I418" t="e">
        <f>IF(#REF!,"AAAAADd+6wg=",0)</f>
        <v>#REF!</v>
      </c>
      <c r="J418" t="e">
        <f>AND(#REF!,"AAAAADd+6wk=")</f>
        <v>#REF!</v>
      </c>
      <c r="K418" t="e">
        <f>AND(#REF!,"AAAAADd+6wo=")</f>
        <v>#REF!</v>
      </c>
      <c r="L418" t="e">
        <f>AND(#REF!,"AAAAADd+6ws=")</f>
        <v>#REF!</v>
      </c>
      <c r="M418" t="e">
        <f>AND(#REF!,"AAAAADd+6ww=")</f>
        <v>#REF!</v>
      </c>
      <c r="N418" t="e">
        <f>AND(#REF!,"AAAAADd+6w0=")</f>
        <v>#REF!</v>
      </c>
      <c r="O418" t="e">
        <f>AND(#REF!,"AAAAADd+6w4=")</f>
        <v>#REF!</v>
      </c>
      <c r="P418" t="e">
        <f>AND(#REF!,"AAAAADd+6w8=")</f>
        <v>#REF!</v>
      </c>
      <c r="Q418" t="e">
        <f>AND(#REF!,"AAAAADd+6xA=")</f>
        <v>#REF!</v>
      </c>
      <c r="R418" t="e">
        <f>AND(#REF!,"AAAAADd+6xE=")</f>
        <v>#REF!</v>
      </c>
      <c r="S418" t="e">
        <f>AND(#REF!,"AAAAADd+6xI=")</f>
        <v>#REF!</v>
      </c>
      <c r="T418" t="e">
        <f>AND(#REF!,"AAAAADd+6xM=")</f>
        <v>#REF!</v>
      </c>
      <c r="U418" t="e">
        <f>AND(#REF!,"AAAAADd+6xQ=")</f>
        <v>#REF!</v>
      </c>
      <c r="V418" t="e">
        <f>AND(#REF!,"AAAAADd+6xU=")</f>
        <v>#REF!</v>
      </c>
      <c r="W418" t="e">
        <f>AND(#REF!,"AAAAADd+6xY=")</f>
        <v>#REF!</v>
      </c>
      <c r="X418" t="e">
        <f>AND(#REF!,"AAAAADd+6xc=")</f>
        <v>#REF!</v>
      </c>
      <c r="Y418" t="e">
        <f>AND(#REF!,"AAAAADd+6xg=")</f>
        <v>#REF!</v>
      </c>
      <c r="Z418" t="e">
        <f>AND(#REF!,"AAAAADd+6xk=")</f>
        <v>#REF!</v>
      </c>
      <c r="AA418" t="e">
        <f>AND(#REF!,"AAAAADd+6xo=")</f>
        <v>#REF!</v>
      </c>
      <c r="AB418" t="e">
        <f>AND(#REF!,"AAAAADd+6xs=")</f>
        <v>#REF!</v>
      </c>
      <c r="AC418" t="e">
        <f>AND(#REF!,"AAAAADd+6xw=")</f>
        <v>#REF!</v>
      </c>
      <c r="AD418" t="e">
        <f>AND(#REF!,"AAAAADd+6x0=")</f>
        <v>#REF!</v>
      </c>
      <c r="AE418" t="e">
        <f>AND(#REF!,"AAAAADd+6x4=")</f>
        <v>#REF!</v>
      </c>
      <c r="AF418" t="e">
        <f>AND(#REF!,"AAAAADd+6x8=")</f>
        <v>#REF!</v>
      </c>
      <c r="AG418" t="e">
        <f>AND(#REF!,"AAAAADd+6yA=")</f>
        <v>#REF!</v>
      </c>
      <c r="AH418" t="e">
        <f>IF(#REF!,"AAAAADd+6yE=",0)</f>
        <v>#REF!</v>
      </c>
      <c r="AI418" t="e">
        <f>AND(#REF!,"AAAAADd+6yI=")</f>
        <v>#REF!</v>
      </c>
      <c r="AJ418" t="e">
        <f>AND(#REF!,"AAAAADd+6yM=")</f>
        <v>#REF!</v>
      </c>
      <c r="AK418" t="e">
        <f>AND(#REF!,"AAAAADd+6yQ=")</f>
        <v>#REF!</v>
      </c>
      <c r="AL418" t="e">
        <f>AND(#REF!,"AAAAADd+6yU=")</f>
        <v>#REF!</v>
      </c>
      <c r="AM418" t="e">
        <f>AND(#REF!,"AAAAADd+6yY=")</f>
        <v>#REF!</v>
      </c>
      <c r="AN418" t="e">
        <f>AND(#REF!,"AAAAADd+6yc=")</f>
        <v>#REF!</v>
      </c>
      <c r="AO418" t="e">
        <f>AND(#REF!,"AAAAADd+6yg=")</f>
        <v>#REF!</v>
      </c>
      <c r="AP418" t="e">
        <f>AND(#REF!,"AAAAADd+6yk=")</f>
        <v>#REF!</v>
      </c>
      <c r="AQ418" t="e">
        <f>AND(#REF!,"AAAAADd+6yo=")</f>
        <v>#REF!</v>
      </c>
      <c r="AR418" t="e">
        <f>AND(#REF!,"AAAAADd+6ys=")</f>
        <v>#REF!</v>
      </c>
      <c r="AS418" t="e">
        <f>AND(#REF!,"AAAAADd+6yw=")</f>
        <v>#REF!</v>
      </c>
      <c r="AT418" t="e">
        <f>AND(#REF!,"AAAAADd+6y0=")</f>
        <v>#REF!</v>
      </c>
      <c r="AU418" t="e">
        <f>AND(#REF!,"AAAAADd+6y4=")</f>
        <v>#REF!</v>
      </c>
      <c r="AV418" t="e">
        <f>AND(#REF!,"AAAAADd+6y8=")</f>
        <v>#REF!</v>
      </c>
      <c r="AW418" t="e">
        <f>AND(#REF!,"AAAAADd+6zA=")</f>
        <v>#REF!</v>
      </c>
      <c r="AX418" t="e">
        <f>AND(#REF!,"AAAAADd+6zE=")</f>
        <v>#REF!</v>
      </c>
      <c r="AY418" t="e">
        <f>AND(#REF!,"AAAAADd+6zI=")</f>
        <v>#REF!</v>
      </c>
      <c r="AZ418" t="e">
        <f>AND(#REF!,"AAAAADd+6zM=")</f>
        <v>#REF!</v>
      </c>
      <c r="BA418" t="e">
        <f>AND(#REF!,"AAAAADd+6zQ=")</f>
        <v>#REF!</v>
      </c>
      <c r="BB418" t="e">
        <f>AND(#REF!,"AAAAADd+6zU=")</f>
        <v>#REF!</v>
      </c>
      <c r="BC418" t="e">
        <f>AND(#REF!,"AAAAADd+6zY=")</f>
        <v>#REF!</v>
      </c>
      <c r="BD418" t="e">
        <f>AND(#REF!,"AAAAADd+6zc=")</f>
        <v>#REF!</v>
      </c>
      <c r="BE418" t="e">
        <f>AND(#REF!,"AAAAADd+6zg=")</f>
        <v>#REF!</v>
      </c>
      <c r="BF418" t="e">
        <f>AND(#REF!,"AAAAADd+6zk=")</f>
        <v>#REF!</v>
      </c>
      <c r="BG418" t="e">
        <f>IF(#REF!,"AAAAADd+6zo=",0)</f>
        <v>#REF!</v>
      </c>
      <c r="BH418" t="e">
        <f>AND(#REF!,"AAAAADd+6zs=")</f>
        <v>#REF!</v>
      </c>
      <c r="BI418" t="e">
        <f>AND(#REF!,"AAAAADd+6zw=")</f>
        <v>#REF!</v>
      </c>
      <c r="BJ418" t="e">
        <f>AND(#REF!,"AAAAADd+6z0=")</f>
        <v>#REF!</v>
      </c>
      <c r="BK418" t="e">
        <f>AND(#REF!,"AAAAADd+6z4=")</f>
        <v>#REF!</v>
      </c>
      <c r="BL418" t="e">
        <f>AND(#REF!,"AAAAADd+6z8=")</f>
        <v>#REF!</v>
      </c>
      <c r="BM418" t="e">
        <f>AND(#REF!,"AAAAADd+60A=")</f>
        <v>#REF!</v>
      </c>
      <c r="BN418" t="e">
        <f>AND(#REF!,"AAAAADd+60E=")</f>
        <v>#REF!</v>
      </c>
      <c r="BO418" t="e">
        <f>AND(#REF!,"AAAAADd+60I=")</f>
        <v>#REF!</v>
      </c>
      <c r="BP418" t="e">
        <f>AND(#REF!,"AAAAADd+60M=")</f>
        <v>#REF!</v>
      </c>
      <c r="BQ418" t="e">
        <f>AND(#REF!,"AAAAADd+60Q=")</f>
        <v>#REF!</v>
      </c>
      <c r="BR418" t="e">
        <f>AND(#REF!,"AAAAADd+60U=")</f>
        <v>#REF!</v>
      </c>
      <c r="BS418" t="e">
        <f>AND(#REF!,"AAAAADd+60Y=")</f>
        <v>#REF!</v>
      </c>
      <c r="BT418" t="e">
        <f>AND(#REF!,"AAAAADd+60c=")</f>
        <v>#REF!</v>
      </c>
      <c r="BU418" t="e">
        <f>AND(#REF!,"AAAAADd+60g=")</f>
        <v>#REF!</v>
      </c>
      <c r="BV418" t="e">
        <f>AND(#REF!,"AAAAADd+60k=")</f>
        <v>#REF!</v>
      </c>
      <c r="BW418" t="e">
        <f>AND(#REF!,"AAAAADd+60o=")</f>
        <v>#REF!</v>
      </c>
      <c r="BX418" t="e">
        <f>AND(#REF!,"AAAAADd+60s=")</f>
        <v>#REF!</v>
      </c>
      <c r="BY418" t="e">
        <f>AND(#REF!,"AAAAADd+60w=")</f>
        <v>#REF!</v>
      </c>
      <c r="BZ418" t="e">
        <f>AND(#REF!,"AAAAADd+600=")</f>
        <v>#REF!</v>
      </c>
      <c r="CA418" t="e">
        <f>AND(#REF!,"AAAAADd+604=")</f>
        <v>#REF!</v>
      </c>
      <c r="CB418" t="e">
        <f>AND(#REF!,"AAAAADd+608=")</f>
        <v>#REF!</v>
      </c>
      <c r="CC418" t="e">
        <f>AND(#REF!,"AAAAADd+61A=")</f>
        <v>#REF!</v>
      </c>
      <c r="CD418" t="e">
        <f>AND(#REF!,"AAAAADd+61E=")</f>
        <v>#REF!</v>
      </c>
      <c r="CE418" t="e">
        <f>AND(#REF!,"AAAAADd+61I=")</f>
        <v>#REF!</v>
      </c>
      <c r="CF418" t="e">
        <f>IF(#REF!,"AAAAADd+61M=",0)</f>
        <v>#REF!</v>
      </c>
      <c r="CG418" t="e">
        <f>AND(#REF!,"AAAAADd+61Q=")</f>
        <v>#REF!</v>
      </c>
      <c r="CH418" t="e">
        <f>AND(#REF!,"AAAAADd+61U=")</f>
        <v>#REF!</v>
      </c>
      <c r="CI418" t="e">
        <f>AND(#REF!,"AAAAADd+61Y=")</f>
        <v>#REF!</v>
      </c>
      <c r="CJ418" t="e">
        <f>AND(#REF!,"AAAAADd+61c=")</f>
        <v>#REF!</v>
      </c>
      <c r="CK418" t="e">
        <f>AND(#REF!,"AAAAADd+61g=")</f>
        <v>#REF!</v>
      </c>
      <c r="CL418" t="e">
        <f>AND(#REF!,"AAAAADd+61k=")</f>
        <v>#REF!</v>
      </c>
      <c r="CM418" t="e">
        <f>AND(#REF!,"AAAAADd+61o=")</f>
        <v>#REF!</v>
      </c>
      <c r="CN418" t="e">
        <f>AND(#REF!,"AAAAADd+61s=")</f>
        <v>#REF!</v>
      </c>
      <c r="CO418" t="e">
        <f>AND(#REF!,"AAAAADd+61w=")</f>
        <v>#REF!</v>
      </c>
      <c r="CP418" t="e">
        <f>AND(#REF!,"AAAAADd+610=")</f>
        <v>#REF!</v>
      </c>
      <c r="CQ418" t="e">
        <f>AND(#REF!,"AAAAADd+614=")</f>
        <v>#REF!</v>
      </c>
      <c r="CR418" t="e">
        <f>AND(#REF!,"AAAAADd+618=")</f>
        <v>#REF!</v>
      </c>
      <c r="CS418" t="e">
        <f>AND(#REF!,"AAAAADd+62A=")</f>
        <v>#REF!</v>
      </c>
      <c r="CT418" t="e">
        <f>AND(#REF!,"AAAAADd+62E=")</f>
        <v>#REF!</v>
      </c>
      <c r="CU418" t="e">
        <f>AND(#REF!,"AAAAADd+62I=")</f>
        <v>#REF!</v>
      </c>
      <c r="CV418" t="e">
        <f>AND(#REF!,"AAAAADd+62M=")</f>
        <v>#REF!</v>
      </c>
      <c r="CW418" t="e">
        <f>AND(#REF!,"AAAAADd+62Q=")</f>
        <v>#REF!</v>
      </c>
      <c r="CX418" t="e">
        <f>AND(#REF!,"AAAAADd+62U=")</f>
        <v>#REF!</v>
      </c>
      <c r="CY418" t="e">
        <f>AND(#REF!,"AAAAADd+62Y=")</f>
        <v>#REF!</v>
      </c>
      <c r="CZ418" t="e">
        <f>AND(#REF!,"AAAAADd+62c=")</f>
        <v>#REF!</v>
      </c>
      <c r="DA418" t="e">
        <f>AND(#REF!,"AAAAADd+62g=")</f>
        <v>#REF!</v>
      </c>
      <c r="DB418" t="e">
        <f>AND(#REF!,"AAAAADd+62k=")</f>
        <v>#REF!</v>
      </c>
      <c r="DC418" t="e">
        <f>AND(#REF!,"AAAAADd+62o=")</f>
        <v>#REF!</v>
      </c>
      <c r="DD418" t="e">
        <f>AND(#REF!,"AAAAADd+62s=")</f>
        <v>#REF!</v>
      </c>
      <c r="DE418" t="e">
        <f>IF(#REF!,"AAAAADd+62w=",0)</f>
        <v>#REF!</v>
      </c>
      <c r="DF418" t="e">
        <f>AND(#REF!,"AAAAADd+620=")</f>
        <v>#REF!</v>
      </c>
      <c r="DG418" t="e">
        <f>AND(#REF!,"AAAAADd+624=")</f>
        <v>#REF!</v>
      </c>
      <c r="DH418" t="e">
        <f>AND(#REF!,"AAAAADd+628=")</f>
        <v>#REF!</v>
      </c>
      <c r="DI418" t="e">
        <f>AND(#REF!,"AAAAADd+63A=")</f>
        <v>#REF!</v>
      </c>
      <c r="DJ418" t="e">
        <f>AND(#REF!,"AAAAADd+63E=")</f>
        <v>#REF!</v>
      </c>
      <c r="DK418" t="e">
        <f>AND(#REF!,"AAAAADd+63I=")</f>
        <v>#REF!</v>
      </c>
      <c r="DL418" t="e">
        <f>AND(#REF!,"AAAAADd+63M=")</f>
        <v>#REF!</v>
      </c>
      <c r="DM418" t="e">
        <f>AND(#REF!,"AAAAADd+63Q=")</f>
        <v>#REF!</v>
      </c>
      <c r="DN418" t="e">
        <f>AND(#REF!,"AAAAADd+63U=")</f>
        <v>#REF!</v>
      </c>
      <c r="DO418" t="e">
        <f>AND(#REF!,"AAAAADd+63Y=")</f>
        <v>#REF!</v>
      </c>
      <c r="DP418" t="e">
        <f>AND(#REF!,"AAAAADd+63c=")</f>
        <v>#REF!</v>
      </c>
      <c r="DQ418" t="e">
        <f>AND(#REF!,"AAAAADd+63g=")</f>
        <v>#REF!</v>
      </c>
      <c r="DR418" t="e">
        <f>AND(#REF!,"AAAAADd+63k=")</f>
        <v>#REF!</v>
      </c>
      <c r="DS418" t="e">
        <f>AND(#REF!,"AAAAADd+63o=")</f>
        <v>#REF!</v>
      </c>
      <c r="DT418" t="e">
        <f>AND(#REF!,"AAAAADd+63s=")</f>
        <v>#REF!</v>
      </c>
      <c r="DU418" t="e">
        <f>AND(#REF!,"AAAAADd+63w=")</f>
        <v>#REF!</v>
      </c>
      <c r="DV418" t="e">
        <f>AND(#REF!,"AAAAADd+630=")</f>
        <v>#REF!</v>
      </c>
      <c r="DW418" t="e">
        <f>AND(#REF!,"AAAAADd+634=")</f>
        <v>#REF!</v>
      </c>
      <c r="DX418" t="e">
        <f>AND(#REF!,"AAAAADd+638=")</f>
        <v>#REF!</v>
      </c>
      <c r="DY418" t="e">
        <f>AND(#REF!,"AAAAADd+64A=")</f>
        <v>#REF!</v>
      </c>
      <c r="DZ418" t="e">
        <f>AND(#REF!,"AAAAADd+64E=")</f>
        <v>#REF!</v>
      </c>
      <c r="EA418" t="e">
        <f>AND(#REF!,"AAAAADd+64I=")</f>
        <v>#REF!</v>
      </c>
      <c r="EB418" t="e">
        <f>AND(#REF!,"AAAAADd+64M=")</f>
        <v>#REF!</v>
      </c>
      <c r="EC418" t="e">
        <f>AND(#REF!,"AAAAADd+64Q=")</f>
        <v>#REF!</v>
      </c>
      <c r="ED418" t="e">
        <f>IF(#REF!,"AAAAADd+64U=",0)</f>
        <v>#REF!</v>
      </c>
      <c r="EE418" t="e">
        <f>AND(#REF!,"AAAAADd+64Y=")</f>
        <v>#REF!</v>
      </c>
      <c r="EF418" t="e">
        <f>AND(#REF!,"AAAAADd+64c=")</f>
        <v>#REF!</v>
      </c>
      <c r="EG418" t="e">
        <f>AND(#REF!,"AAAAADd+64g=")</f>
        <v>#REF!</v>
      </c>
      <c r="EH418" t="e">
        <f>AND(#REF!,"AAAAADd+64k=")</f>
        <v>#REF!</v>
      </c>
      <c r="EI418" t="e">
        <f>AND(#REF!,"AAAAADd+64o=")</f>
        <v>#REF!</v>
      </c>
      <c r="EJ418" t="e">
        <f>AND(#REF!,"AAAAADd+64s=")</f>
        <v>#REF!</v>
      </c>
      <c r="EK418" t="e">
        <f>AND(#REF!,"AAAAADd+64w=")</f>
        <v>#REF!</v>
      </c>
      <c r="EL418" t="e">
        <f>AND(#REF!,"AAAAADd+640=")</f>
        <v>#REF!</v>
      </c>
      <c r="EM418" t="e">
        <f>AND(#REF!,"AAAAADd+644=")</f>
        <v>#REF!</v>
      </c>
      <c r="EN418" t="e">
        <f>AND(#REF!,"AAAAADd+648=")</f>
        <v>#REF!</v>
      </c>
      <c r="EO418" t="e">
        <f>AND(#REF!,"AAAAADd+65A=")</f>
        <v>#REF!</v>
      </c>
      <c r="EP418" t="e">
        <f>AND(#REF!,"AAAAADd+65E=")</f>
        <v>#REF!</v>
      </c>
      <c r="EQ418" t="e">
        <f>AND(#REF!,"AAAAADd+65I=")</f>
        <v>#REF!</v>
      </c>
      <c r="ER418" t="e">
        <f>AND(#REF!,"AAAAADd+65M=")</f>
        <v>#REF!</v>
      </c>
      <c r="ES418" t="e">
        <f>AND(#REF!,"AAAAADd+65Q=")</f>
        <v>#REF!</v>
      </c>
      <c r="ET418" t="e">
        <f>AND(#REF!,"AAAAADd+65U=")</f>
        <v>#REF!</v>
      </c>
      <c r="EU418" t="e">
        <f>AND(#REF!,"AAAAADd+65Y=")</f>
        <v>#REF!</v>
      </c>
      <c r="EV418" t="e">
        <f>AND(#REF!,"AAAAADd+65c=")</f>
        <v>#REF!</v>
      </c>
      <c r="EW418" t="e">
        <f>AND(#REF!,"AAAAADd+65g=")</f>
        <v>#REF!</v>
      </c>
      <c r="EX418" t="e">
        <f>AND(#REF!,"AAAAADd+65k=")</f>
        <v>#REF!</v>
      </c>
      <c r="EY418" t="e">
        <f>AND(#REF!,"AAAAADd+65o=")</f>
        <v>#REF!</v>
      </c>
      <c r="EZ418" t="e">
        <f>AND(#REF!,"AAAAADd+65s=")</f>
        <v>#REF!</v>
      </c>
      <c r="FA418" t="e">
        <f>AND(#REF!,"AAAAADd+65w=")</f>
        <v>#REF!</v>
      </c>
      <c r="FB418" t="e">
        <f>AND(#REF!,"AAAAADd+650=")</f>
        <v>#REF!</v>
      </c>
      <c r="FC418" t="e">
        <f>IF(#REF!,"AAAAADd+654=",0)</f>
        <v>#REF!</v>
      </c>
      <c r="FD418" t="e">
        <f>AND(#REF!,"AAAAADd+658=")</f>
        <v>#REF!</v>
      </c>
      <c r="FE418" t="e">
        <f>AND(#REF!,"AAAAADd+66A=")</f>
        <v>#REF!</v>
      </c>
      <c r="FF418" t="e">
        <f>AND(#REF!,"AAAAADd+66E=")</f>
        <v>#REF!</v>
      </c>
      <c r="FG418" t="e">
        <f>AND(#REF!,"AAAAADd+66I=")</f>
        <v>#REF!</v>
      </c>
      <c r="FH418" t="e">
        <f>AND(#REF!,"AAAAADd+66M=")</f>
        <v>#REF!</v>
      </c>
      <c r="FI418" t="e">
        <f>AND(#REF!,"AAAAADd+66Q=")</f>
        <v>#REF!</v>
      </c>
      <c r="FJ418" t="e">
        <f>AND(#REF!,"AAAAADd+66U=")</f>
        <v>#REF!</v>
      </c>
      <c r="FK418" t="e">
        <f>AND(#REF!,"AAAAADd+66Y=")</f>
        <v>#REF!</v>
      </c>
      <c r="FL418" t="e">
        <f>AND(#REF!,"AAAAADd+66c=")</f>
        <v>#REF!</v>
      </c>
      <c r="FM418" t="e">
        <f>AND(#REF!,"AAAAADd+66g=")</f>
        <v>#REF!</v>
      </c>
      <c r="FN418" t="e">
        <f>AND(#REF!,"AAAAADd+66k=")</f>
        <v>#REF!</v>
      </c>
      <c r="FO418" t="e">
        <f>AND(#REF!,"AAAAADd+66o=")</f>
        <v>#REF!</v>
      </c>
      <c r="FP418" t="e">
        <f>AND(#REF!,"AAAAADd+66s=")</f>
        <v>#REF!</v>
      </c>
      <c r="FQ418" t="e">
        <f>AND(#REF!,"AAAAADd+66w=")</f>
        <v>#REF!</v>
      </c>
      <c r="FR418" t="e">
        <f>AND(#REF!,"AAAAADd+660=")</f>
        <v>#REF!</v>
      </c>
      <c r="FS418" t="e">
        <f>AND(#REF!,"AAAAADd+664=")</f>
        <v>#REF!</v>
      </c>
      <c r="FT418" t="e">
        <f>AND(#REF!,"AAAAADd+668=")</f>
        <v>#REF!</v>
      </c>
      <c r="FU418" t="e">
        <f>AND(#REF!,"AAAAADd+67A=")</f>
        <v>#REF!</v>
      </c>
      <c r="FV418" t="e">
        <f>AND(#REF!,"AAAAADd+67E=")</f>
        <v>#REF!</v>
      </c>
      <c r="FW418" t="e">
        <f>AND(#REF!,"AAAAADd+67I=")</f>
        <v>#REF!</v>
      </c>
      <c r="FX418" t="e">
        <f>AND(#REF!,"AAAAADd+67M=")</f>
        <v>#REF!</v>
      </c>
      <c r="FY418" t="e">
        <f>AND(#REF!,"AAAAADd+67Q=")</f>
        <v>#REF!</v>
      </c>
      <c r="FZ418" t="e">
        <f>AND(#REF!,"AAAAADd+67U=")</f>
        <v>#REF!</v>
      </c>
      <c r="GA418" t="e">
        <f>AND(#REF!,"AAAAADd+67Y=")</f>
        <v>#REF!</v>
      </c>
      <c r="GB418" t="e">
        <f>IF(#REF!,"AAAAADd+67c=",0)</f>
        <v>#REF!</v>
      </c>
      <c r="GC418" t="e">
        <f>AND(#REF!,"AAAAADd+67g=")</f>
        <v>#REF!</v>
      </c>
      <c r="GD418" t="e">
        <f>AND(#REF!,"AAAAADd+67k=")</f>
        <v>#REF!</v>
      </c>
      <c r="GE418" t="e">
        <f>AND(#REF!,"AAAAADd+67o=")</f>
        <v>#REF!</v>
      </c>
      <c r="GF418" t="e">
        <f>AND(#REF!,"AAAAADd+67s=")</f>
        <v>#REF!</v>
      </c>
      <c r="GG418" t="e">
        <f>AND(#REF!,"AAAAADd+67w=")</f>
        <v>#REF!</v>
      </c>
      <c r="GH418" t="e">
        <f>AND(#REF!,"AAAAADd+670=")</f>
        <v>#REF!</v>
      </c>
      <c r="GI418" t="e">
        <f>AND(#REF!,"AAAAADd+674=")</f>
        <v>#REF!</v>
      </c>
      <c r="GJ418" t="e">
        <f>AND(#REF!,"AAAAADd+678=")</f>
        <v>#REF!</v>
      </c>
      <c r="GK418" t="e">
        <f>AND(#REF!,"AAAAADd+68A=")</f>
        <v>#REF!</v>
      </c>
      <c r="GL418" t="e">
        <f>AND(#REF!,"AAAAADd+68E=")</f>
        <v>#REF!</v>
      </c>
      <c r="GM418" t="e">
        <f>AND(#REF!,"AAAAADd+68I=")</f>
        <v>#REF!</v>
      </c>
      <c r="GN418" t="e">
        <f>AND(#REF!,"AAAAADd+68M=")</f>
        <v>#REF!</v>
      </c>
      <c r="GO418" t="e">
        <f>AND(#REF!,"AAAAADd+68Q=")</f>
        <v>#REF!</v>
      </c>
      <c r="GP418" t="e">
        <f>AND(#REF!,"AAAAADd+68U=")</f>
        <v>#REF!</v>
      </c>
      <c r="GQ418" t="e">
        <f>AND(#REF!,"AAAAADd+68Y=")</f>
        <v>#REF!</v>
      </c>
      <c r="GR418" t="e">
        <f>AND(#REF!,"AAAAADd+68c=")</f>
        <v>#REF!</v>
      </c>
      <c r="GS418" t="e">
        <f>AND(#REF!,"AAAAADd+68g=")</f>
        <v>#REF!</v>
      </c>
      <c r="GT418" t="e">
        <f>AND(#REF!,"AAAAADd+68k=")</f>
        <v>#REF!</v>
      </c>
      <c r="GU418" t="e">
        <f>AND(#REF!,"AAAAADd+68o=")</f>
        <v>#REF!</v>
      </c>
      <c r="GV418" t="e">
        <f>AND(#REF!,"AAAAADd+68s=")</f>
        <v>#REF!</v>
      </c>
      <c r="GW418" t="e">
        <f>AND(#REF!,"AAAAADd+68w=")</f>
        <v>#REF!</v>
      </c>
      <c r="GX418" t="e">
        <f>AND(#REF!,"AAAAADd+680=")</f>
        <v>#REF!</v>
      </c>
      <c r="GY418" t="e">
        <f>AND(#REF!,"AAAAADd+684=")</f>
        <v>#REF!</v>
      </c>
      <c r="GZ418" t="e">
        <f>AND(#REF!,"AAAAADd+688=")</f>
        <v>#REF!</v>
      </c>
      <c r="HA418" t="e">
        <f>IF(#REF!,"AAAAADd+69A=",0)</f>
        <v>#REF!</v>
      </c>
      <c r="HB418" t="e">
        <f>AND(#REF!,"AAAAADd+69E=")</f>
        <v>#REF!</v>
      </c>
      <c r="HC418" t="e">
        <f>AND(#REF!,"AAAAADd+69I=")</f>
        <v>#REF!</v>
      </c>
      <c r="HD418" t="e">
        <f>AND(#REF!,"AAAAADd+69M=")</f>
        <v>#REF!</v>
      </c>
      <c r="HE418" t="e">
        <f>AND(#REF!,"AAAAADd+69Q=")</f>
        <v>#REF!</v>
      </c>
      <c r="HF418" t="e">
        <f>AND(#REF!,"AAAAADd+69U=")</f>
        <v>#REF!</v>
      </c>
      <c r="HG418" t="e">
        <f>AND(#REF!,"AAAAADd+69Y=")</f>
        <v>#REF!</v>
      </c>
      <c r="HH418" t="e">
        <f>AND(#REF!,"AAAAADd+69c=")</f>
        <v>#REF!</v>
      </c>
      <c r="HI418" t="e">
        <f>AND(#REF!,"AAAAADd+69g=")</f>
        <v>#REF!</v>
      </c>
      <c r="HJ418" t="e">
        <f>AND(#REF!,"AAAAADd+69k=")</f>
        <v>#REF!</v>
      </c>
      <c r="HK418" t="e">
        <f>AND(#REF!,"AAAAADd+69o=")</f>
        <v>#REF!</v>
      </c>
      <c r="HL418" t="e">
        <f>AND(#REF!,"AAAAADd+69s=")</f>
        <v>#REF!</v>
      </c>
      <c r="HM418" t="e">
        <f>AND(#REF!,"AAAAADd+69w=")</f>
        <v>#REF!</v>
      </c>
      <c r="HN418" t="e">
        <f>AND(#REF!,"AAAAADd+690=")</f>
        <v>#REF!</v>
      </c>
      <c r="HO418" t="e">
        <f>AND(#REF!,"AAAAADd+694=")</f>
        <v>#REF!</v>
      </c>
      <c r="HP418" t="e">
        <f>AND(#REF!,"AAAAADd+698=")</f>
        <v>#REF!</v>
      </c>
      <c r="HQ418" t="e">
        <f>AND(#REF!,"AAAAADd+6+A=")</f>
        <v>#REF!</v>
      </c>
      <c r="HR418" t="e">
        <f>AND(#REF!,"AAAAADd+6+E=")</f>
        <v>#REF!</v>
      </c>
      <c r="HS418" t="e">
        <f>AND(#REF!,"AAAAADd+6+I=")</f>
        <v>#REF!</v>
      </c>
      <c r="HT418" t="e">
        <f>AND(#REF!,"AAAAADd+6+M=")</f>
        <v>#REF!</v>
      </c>
      <c r="HU418" t="e">
        <f>AND(#REF!,"AAAAADd+6+Q=")</f>
        <v>#REF!</v>
      </c>
      <c r="HV418" t="e">
        <f>AND(#REF!,"AAAAADd+6+U=")</f>
        <v>#REF!</v>
      </c>
      <c r="HW418" t="e">
        <f>AND(#REF!,"AAAAADd+6+Y=")</f>
        <v>#REF!</v>
      </c>
      <c r="HX418" t="e">
        <f>AND(#REF!,"AAAAADd+6+c=")</f>
        <v>#REF!</v>
      </c>
      <c r="HY418" t="e">
        <f>AND(#REF!,"AAAAADd+6+g=")</f>
        <v>#REF!</v>
      </c>
      <c r="HZ418" t="e">
        <f>IF(#REF!,"AAAAADd+6+k=",0)</f>
        <v>#REF!</v>
      </c>
      <c r="IA418" t="e">
        <f>AND(#REF!,"AAAAADd+6+o=")</f>
        <v>#REF!</v>
      </c>
      <c r="IB418" t="e">
        <f>AND(#REF!,"AAAAADd+6+s=")</f>
        <v>#REF!</v>
      </c>
      <c r="IC418" t="e">
        <f>AND(#REF!,"AAAAADd+6+w=")</f>
        <v>#REF!</v>
      </c>
      <c r="ID418" t="e">
        <f>AND(#REF!,"AAAAADd+6+0=")</f>
        <v>#REF!</v>
      </c>
      <c r="IE418" t="e">
        <f>AND(#REF!,"AAAAADd+6+4=")</f>
        <v>#REF!</v>
      </c>
      <c r="IF418" t="e">
        <f>AND(#REF!,"AAAAADd+6+8=")</f>
        <v>#REF!</v>
      </c>
      <c r="IG418" t="e">
        <f>AND(#REF!,"AAAAADd+6/A=")</f>
        <v>#REF!</v>
      </c>
      <c r="IH418" t="e">
        <f>AND(#REF!,"AAAAADd+6/E=")</f>
        <v>#REF!</v>
      </c>
      <c r="II418" t="e">
        <f>AND(#REF!,"AAAAADd+6/I=")</f>
        <v>#REF!</v>
      </c>
      <c r="IJ418" t="e">
        <f>AND(#REF!,"AAAAADd+6/M=")</f>
        <v>#REF!</v>
      </c>
      <c r="IK418" t="e">
        <f>AND(#REF!,"AAAAADd+6/Q=")</f>
        <v>#REF!</v>
      </c>
      <c r="IL418" t="e">
        <f>AND(#REF!,"AAAAADd+6/U=")</f>
        <v>#REF!</v>
      </c>
      <c r="IM418" t="e">
        <f>AND(#REF!,"AAAAADd+6/Y=")</f>
        <v>#REF!</v>
      </c>
      <c r="IN418" t="e">
        <f>AND(#REF!,"AAAAADd+6/c=")</f>
        <v>#REF!</v>
      </c>
      <c r="IO418" t="e">
        <f>AND(#REF!,"AAAAADd+6/g=")</f>
        <v>#REF!</v>
      </c>
      <c r="IP418" t="e">
        <f>AND(#REF!,"AAAAADd+6/k=")</f>
        <v>#REF!</v>
      </c>
      <c r="IQ418" t="e">
        <f>AND(#REF!,"AAAAADd+6/o=")</f>
        <v>#REF!</v>
      </c>
      <c r="IR418" t="e">
        <f>AND(#REF!,"AAAAADd+6/s=")</f>
        <v>#REF!</v>
      </c>
      <c r="IS418" t="e">
        <f>AND(#REF!,"AAAAADd+6/w=")</f>
        <v>#REF!</v>
      </c>
      <c r="IT418" t="e">
        <f>AND(#REF!,"AAAAADd+6/0=")</f>
        <v>#REF!</v>
      </c>
      <c r="IU418" t="e">
        <f>AND(#REF!,"AAAAADd+6/4=")</f>
        <v>#REF!</v>
      </c>
      <c r="IV418" t="e">
        <f>AND(#REF!,"AAAAADd+6/8=")</f>
        <v>#REF!</v>
      </c>
    </row>
    <row r="419" spans="1:256">
      <c r="A419" t="e">
        <f>AND(#REF!,"AAAAAHb2LwA=")</f>
        <v>#REF!</v>
      </c>
      <c r="B419" t="e">
        <f>AND(#REF!,"AAAAAHb2LwE=")</f>
        <v>#REF!</v>
      </c>
      <c r="C419" t="e">
        <f>IF(#REF!,"AAAAAHb2LwI=",0)</f>
        <v>#REF!</v>
      </c>
      <c r="D419" t="e">
        <f>AND(#REF!,"AAAAAHb2LwM=")</f>
        <v>#REF!</v>
      </c>
      <c r="E419" t="e">
        <f>AND(#REF!,"AAAAAHb2LwQ=")</f>
        <v>#REF!</v>
      </c>
      <c r="F419" t="e">
        <f>AND(#REF!,"AAAAAHb2LwU=")</f>
        <v>#REF!</v>
      </c>
      <c r="G419" t="e">
        <f>AND(#REF!,"AAAAAHb2LwY=")</f>
        <v>#REF!</v>
      </c>
      <c r="H419" t="e">
        <f>AND(#REF!,"AAAAAHb2Lwc=")</f>
        <v>#REF!</v>
      </c>
      <c r="I419" t="e">
        <f>AND(#REF!,"AAAAAHb2Lwg=")</f>
        <v>#REF!</v>
      </c>
      <c r="J419" t="e">
        <f>AND(#REF!,"AAAAAHb2Lwk=")</f>
        <v>#REF!</v>
      </c>
      <c r="K419" t="e">
        <f>AND(#REF!,"AAAAAHb2Lwo=")</f>
        <v>#REF!</v>
      </c>
      <c r="L419" t="e">
        <f>AND(#REF!,"AAAAAHb2Lws=")</f>
        <v>#REF!</v>
      </c>
      <c r="M419" t="e">
        <f>AND(#REF!,"AAAAAHb2Lww=")</f>
        <v>#REF!</v>
      </c>
      <c r="N419" t="e">
        <f>AND(#REF!,"AAAAAHb2Lw0=")</f>
        <v>#REF!</v>
      </c>
      <c r="O419" t="e">
        <f>AND(#REF!,"AAAAAHb2Lw4=")</f>
        <v>#REF!</v>
      </c>
      <c r="P419" t="e">
        <f>AND(#REF!,"AAAAAHb2Lw8=")</f>
        <v>#REF!</v>
      </c>
      <c r="Q419" t="e">
        <f>AND(#REF!,"AAAAAHb2LxA=")</f>
        <v>#REF!</v>
      </c>
      <c r="R419" t="e">
        <f>AND(#REF!,"AAAAAHb2LxE=")</f>
        <v>#REF!</v>
      </c>
      <c r="S419" t="e">
        <f>AND(#REF!,"AAAAAHb2LxI=")</f>
        <v>#REF!</v>
      </c>
      <c r="T419" t="e">
        <f>AND(#REF!,"AAAAAHb2LxM=")</f>
        <v>#REF!</v>
      </c>
      <c r="U419" t="e">
        <f>AND(#REF!,"AAAAAHb2LxQ=")</f>
        <v>#REF!</v>
      </c>
      <c r="V419" t="e">
        <f>AND(#REF!,"AAAAAHb2LxU=")</f>
        <v>#REF!</v>
      </c>
      <c r="W419" t="e">
        <f>AND(#REF!,"AAAAAHb2LxY=")</f>
        <v>#REF!</v>
      </c>
      <c r="X419" t="e">
        <f>AND(#REF!,"AAAAAHb2Lxc=")</f>
        <v>#REF!</v>
      </c>
      <c r="Y419" t="e">
        <f>AND(#REF!,"AAAAAHb2Lxg=")</f>
        <v>#REF!</v>
      </c>
      <c r="Z419" t="e">
        <f>AND(#REF!,"AAAAAHb2Lxk=")</f>
        <v>#REF!</v>
      </c>
      <c r="AA419" t="e">
        <f>AND(#REF!,"AAAAAHb2Lxo=")</f>
        <v>#REF!</v>
      </c>
      <c r="AB419" t="e">
        <f>IF(#REF!,"AAAAAHb2Lxs=",0)</f>
        <v>#REF!</v>
      </c>
      <c r="AC419" t="e">
        <f>AND(#REF!,"AAAAAHb2Lxw=")</f>
        <v>#REF!</v>
      </c>
      <c r="AD419" t="e">
        <f>AND(#REF!,"AAAAAHb2Lx0=")</f>
        <v>#REF!</v>
      </c>
      <c r="AE419" t="e">
        <f>AND(#REF!,"AAAAAHb2Lx4=")</f>
        <v>#REF!</v>
      </c>
      <c r="AF419" t="e">
        <f>AND(#REF!,"AAAAAHb2Lx8=")</f>
        <v>#REF!</v>
      </c>
      <c r="AG419" t="e">
        <f>AND(#REF!,"AAAAAHb2LyA=")</f>
        <v>#REF!</v>
      </c>
      <c r="AH419" t="e">
        <f>AND(#REF!,"AAAAAHb2LyE=")</f>
        <v>#REF!</v>
      </c>
      <c r="AI419" t="e">
        <f>AND(#REF!,"AAAAAHb2LyI=")</f>
        <v>#REF!</v>
      </c>
      <c r="AJ419" t="e">
        <f>AND(#REF!,"AAAAAHb2LyM=")</f>
        <v>#REF!</v>
      </c>
      <c r="AK419" t="e">
        <f>AND(#REF!,"AAAAAHb2LyQ=")</f>
        <v>#REF!</v>
      </c>
      <c r="AL419" t="e">
        <f>AND(#REF!,"AAAAAHb2LyU=")</f>
        <v>#REF!</v>
      </c>
      <c r="AM419" t="e">
        <f>AND(#REF!,"AAAAAHb2LyY=")</f>
        <v>#REF!</v>
      </c>
      <c r="AN419" t="e">
        <f>AND(#REF!,"AAAAAHb2Lyc=")</f>
        <v>#REF!</v>
      </c>
      <c r="AO419" t="e">
        <f>AND(#REF!,"AAAAAHb2Lyg=")</f>
        <v>#REF!</v>
      </c>
      <c r="AP419" t="e">
        <f>AND(#REF!,"AAAAAHb2Lyk=")</f>
        <v>#REF!</v>
      </c>
      <c r="AQ419" t="e">
        <f>AND(#REF!,"AAAAAHb2Lyo=")</f>
        <v>#REF!</v>
      </c>
      <c r="AR419" t="e">
        <f>AND(#REF!,"AAAAAHb2Lys=")</f>
        <v>#REF!</v>
      </c>
      <c r="AS419" t="e">
        <f>AND(#REF!,"AAAAAHb2Lyw=")</f>
        <v>#REF!</v>
      </c>
      <c r="AT419" t="e">
        <f>AND(#REF!,"AAAAAHb2Ly0=")</f>
        <v>#REF!</v>
      </c>
      <c r="AU419" t="e">
        <f>AND(#REF!,"AAAAAHb2Ly4=")</f>
        <v>#REF!</v>
      </c>
      <c r="AV419" t="e">
        <f>AND(#REF!,"AAAAAHb2Ly8=")</f>
        <v>#REF!</v>
      </c>
      <c r="AW419" t="e">
        <f>AND(#REF!,"AAAAAHb2LzA=")</f>
        <v>#REF!</v>
      </c>
      <c r="AX419" t="e">
        <f>AND(#REF!,"AAAAAHb2LzE=")</f>
        <v>#REF!</v>
      </c>
      <c r="AY419" t="e">
        <f>AND(#REF!,"AAAAAHb2LzI=")</f>
        <v>#REF!</v>
      </c>
      <c r="AZ419" t="e">
        <f>AND(#REF!,"AAAAAHb2LzM=")</f>
        <v>#REF!</v>
      </c>
      <c r="BA419" t="e">
        <f>IF(#REF!,"AAAAAHb2LzQ=",0)</f>
        <v>#REF!</v>
      </c>
      <c r="BB419" t="e">
        <f>AND(#REF!,"AAAAAHb2LzU=")</f>
        <v>#REF!</v>
      </c>
      <c r="BC419" t="e">
        <f>AND(#REF!,"AAAAAHb2LzY=")</f>
        <v>#REF!</v>
      </c>
      <c r="BD419" t="e">
        <f>AND(#REF!,"AAAAAHb2Lzc=")</f>
        <v>#REF!</v>
      </c>
      <c r="BE419" t="e">
        <f>AND(#REF!,"AAAAAHb2Lzg=")</f>
        <v>#REF!</v>
      </c>
      <c r="BF419" t="e">
        <f>AND(#REF!,"AAAAAHb2Lzk=")</f>
        <v>#REF!</v>
      </c>
      <c r="BG419" t="e">
        <f>AND(#REF!,"AAAAAHb2Lzo=")</f>
        <v>#REF!</v>
      </c>
      <c r="BH419" t="e">
        <f>AND(#REF!,"AAAAAHb2Lzs=")</f>
        <v>#REF!</v>
      </c>
      <c r="BI419" t="e">
        <f>AND(#REF!,"AAAAAHb2Lzw=")</f>
        <v>#REF!</v>
      </c>
      <c r="BJ419" t="e">
        <f>AND(#REF!,"AAAAAHb2Lz0=")</f>
        <v>#REF!</v>
      </c>
      <c r="BK419" t="e">
        <f>AND(#REF!,"AAAAAHb2Lz4=")</f>
        <v>#REF!</v>
      </c>
      <c r="BL419" t="e">
        <f>AND(#REF!,"AAAAAHb2Lz8=")</f>
        <v>#REF!</v>
      </c>
      <c r="BM419" t="e">
        <f>AND(#REF!,"AAAAAHb2L0A=")</f>
        <v>#REF!</v>
      </c>
      <c r="BN419" t="e">
        <f>AND(#REF!,"AAAAAHb2L0E=")</f>
        <v>#REF!</v>
      </c>
      <c r="BO419" t="e">
        <f>AND(#REF!,"AAAAAHb2L0I=")</f>
        <v>#REF!</v>
      </c>
      <c r="BP419" t="e">
        <f>AND(#REF!,"AAAAAHb2L0M=")</f>
        <v>#REF!</v>
      </c>
      <c r="BQ419" t="e">
        <f>AND(#REF!,"AAAAAHb2L0Q=")</f>
        <v>#REF!</v>
      </c>
      <c r="BR419" t="e">
        <f>AND(#REF!,"AAAAAHb2L0U=")</f>
        <v>#REF!</v>
      </c>
      <c r="BS419" t="e">
        <f>AND(#REF!,"AAAAAHb2L0Y=")</f>
        <v>#REF!</v>
      </c>
      <c r="BT419" t="e">
        <f>AND(#REF!,"AAAAAHb2L0c=")</f>
        <v>#REF!</v>
      </c>
      <c r="BU419" t="e">
        <f>AND(#REF!,"AAAAAHb2L0g=")</f>
        <v>#REF!</v>
      </c>
      <c r="BV419" t="e">
        <f>AND(#REF!,"AAAAAHb2L0k=")</f>
        <v>#REF!</v>
      </c>
      <c r="BW419" t="e">
        <f>AND(#REF!,"AAAAAHb2L0o=")</f>
        <v>#REF!</v>
      </c>
      <c r="BX419" t="e">
        <f>AND(#REF!,"AAAAAHb2L0s=")</f>
        <v>#REF!</v>
      </c>
      <c r="BY419" t="e">
        <f>AND(#REF!,"AAAAAHb2L0w=")</f>
        <v>#REF!</v>
      </c>
      <c r="BZ419" t="e">
        <f>IF(#REF!,"AAAAAHb2L00=",0)</f>
        <v>#REF!</v>
      </c>
      <c r="CA419" t="e">
        <f>AND(#REF!,"AAAAAHb2L04=")</f>
        <v>#REF!</v>
      </c>
      <c r="CB419" t="e">
        <f>AND(#REF!,"AAAAAHb2L08=")</f>
        <v>#REF!</v>
      </c>
      <c r="CC419" t="e">
        <f>AND(#REF!,"AAAAAHb2L1A=")</f>
        <v>#REF!</v>
      </c>
      <c r="CD419" t="e">
        <f>AND(#REF!,"AAAAAHb2L1E=")</f>
        <v>#REF!</v>
      </c>
      <c r="CE419" t="e">
        <f>AND(#REF!,"AAAAAHb2L1I=")</f>
        <v>#REF!</v>
      </c>
      <c r="CF419" t="e">
        <f>AND(#REF!,"AAAAAHb2L1M=")</f>
        <v>#REF!</v>
      </c>
      <c r="CG419" t="e">
        <f>AND(#REF!,"AAAAAHb2L1Q=")</f>
        <v>#REF!</v>
      </c>
      <c r="CH419" t="e">
        <f>AND(#REF!,"AAAAAHb2L1U=")</f>
        <v>#REF!</v>
      </c>
      <c r="CI419" t="e">
        <f>AND(#REF!,"AAAAAHb2L1Y=")</f>
        <v>#REF!</v>
      </c>
      <c r="CJ419" t="e">
        <f>AND(#REF!,"AAAAAHb2L1c=")</f>
        <v>#REF!</v>
      </c>
      <c r="CK419" t="e">
        <f>AND(#REF!,"AAAAAHb2L1g=")</f>
        <v>#REF!</v>
      </c>
      <c r="CL419" t="e">
        <f>AND(#REF!,"AAAAAHb2L1k=")</f>
        <v>#REF!</v>
      </c>
      <c r="CM419" t="e">
        <f>AND(#REF!,"AAAAAHb2L1o=")</f>
        <v>#REF!</v>
      </c>
      <c r="CN419" t="e">
        <f>AND(#REF!,"AAAAAHb2L1s=")</f>
        <v>#REF!</v>
      </c>
      <c r="CO419" t="e">
        <f>AND(#REF!,"AAAAAHb2L1w=")</f>
        <v>#REF!</v>
      </c>
      <c r="CP419" t="e">
        <f>AND(#REF!,"AAAAAHb2L10=")</f>
        <v>#REF!</v>
      </c>
      <c r="CQ419" t="e">
        <f>AND(#REF!,"AAAAAHb2L14=")</f>
        <v>#REF!</v>
      </c>
      <c r="CR419" t="e">
        <f>AND(#REF!,"AAAAAHb2L18=")</f>
        <v>#REF!</v>
      </c>
      <c r="CS419" t="e">
        <f>AND(#REF!,"AAAAAHb2L2A=")</f>
        <v>#REF!</v>
      </c>
      <c r="CT419" t="e">
        <f>AND(#REF!,"AAAAAHb2L2E=")</f>
        <v>#REF!</v>
      </c>
      <c r="CU419" t="e">
        <f>AND(#REF!,"AAAAAHb2L2I=")</f>
        <v>#REF!</v>
      </c>
      <c r="CV419" t="e">
        <f>AND(#REF!,"AAAAAHb2L2M=")</f>
        <v>#REF!</v>
      </c>
      <c r="CW419" t="e">
        <f>AND(#REF!,"AAAAAHb2L2Q=")</f>
        <v>#REF!</v>
      </c>
      <c r="CX419" t="e">
        <f>AND(#REF!,"AAAAAHb2L2U=")</f>
        <v>#REF!</v>
      </c>
      <c r="CY419" t="e">
        <f>IF(#REF!,"AAAAAHb2L2Y=",0)</f>
        <v>#REF!</v>
      </c>
      <c r="CZ419" t="e">
        <f>AND(#REF!,"AAAAAHb2L2c=")</f>
        <v>#REF!</v>
      </c>
      <c r="DA419" t="e">
        <f>AND(#REF!,"AAAAAHb2L2g=")</f>
        <v>#REF!</v>
      </c>
      <c r="DB419" t="e">
        <f>AND(#REF!,"AAAAAHb2L2k=")</f>
        <v>#REF!</v>
      </c>
      <c r="DC419" t="e">
        <f>AND(#REF!,"AAAAAHb2L2o=")</f>
        <v>#REF!</v>
      </c>
      <c r="DD419" t="e">
        <f>AND(#REF!,"AAAAAHb2L2s=")</f>
        <v>#REF!</v>
      </c>
      <c r="DE419" t="e">
        <f>AND(#REF!,"AAAAAHb2L2w=")</f>
        <v>#REF!</v>
      </c>
      <c r="DF419" t="e">
        <f>AND(#REF!,"AAAAAHb2L20=")</f>
        <v>#REF!</v>
      </c>
      <c r="DG419" t="e">
        <f>AND(#REF!,"AAAAAHb2L24=")</f>
        <v>#REF!</v>
      </c>
      <c r="DH419" t="e">
        <f>AND(#REF!,"AAAAAHb2L28=")</f>
        <v>#REF!</v>
      </c>
      <c r="DI419" t="e">
        <f>AND(#REF!,"AAAAAHb2L3A=")</f>
        <v>#REF!</v>
      </c>
      <c r="DJ419" t="e">
        <f>AND(#REF!,"AAAAAHb2L3E=")</f>
        <v>#REF!</v>
      </c>
      <c r="DK419" t="e">
        <f>AND(#REF!,"AAAAAHb2L3I=")</f>
        <v>#REF!</v>
      </c>
      <c r="DL419" t="e">
        <f>AND(#REF!,"AAAAAHb2L3M=")</f>
        <v>#REF!</v>
      </c>
      <c r="DM419" t="e">
        <f>AND(#REF!,"AAAAAHb2L3Q=")</f>
        <v>#REF!</v>
      </c>
      <c r="DN419" t="e">
        <f>AND(#REF!,"AAAAAHb2L3U=")</f>
        <v>#REF!</v>
      </c>
      <c r="DO419" t="e">
        <f>AND(#REF!,"AAAAAHb2L3Y=")</f>
        <v>#REF!</v>
      </c>
      <c r="DP419" t="e">
        <f>AND(#REF!,"AAAAAHb2L3c=")</f>
        <v>#REF!</v>
      </c>
      <c r="DQ419" t="e">
        <f>AND(#REF!,"AAAAAHb2L3g=")</f>
        <v>#REF!</v>
      </c>
      <c r="DR419" t="e">
        <f>AND(#REF!,"AAAAAHb2L3k=")</f>
        <v>#REF!</v>
      </c>
      <c r="DS419" t="e">
        <f>AND(#REF!,"AAAAAHb2L3o=")</f>
        <v>#REF!</v>
      </c>
      <c r="DT419" t="e">
        <f>AND(#REF!,"AAAAAHb2L3s=")</f>
        <v>#REF!</v>
      </c>
      <c r="DU419" t="e">
        <f>AND(#REF!,"AAAAAHb2L3w=")</f>
        <v>#REF!</v>
      </c>
      <c r="DV419" t="e">
        <f>AND(#REF!,"AAAAAHb2L30=")</f>
        <v>#REF!</v>
      </c>
      <c r="DW419" t="e">
        <f>AND(#REF!,"AAAAAHb2L34=")</f>
        <v>#REF!</v>
      </c>
      <c r="DX419" t="e">
        <f>IF(#REF!,"AAAAAHb2L38=",0)</f>
        <v>#REF!</v>
      </c>
      <c r="DY419" t="e">
        <f>AND(#REF!,"AAAAAHb2L4A=")</f>
        <v>#REF!</v>
      </c>
      <c r="DZ419" t="e">
        <f>AND(#REF!,"AAAAAHb2L4E=")</f>
        <v>#REF!</v>
      </c>
      <c r="EA419" t="e">
        <f>AND(#REF!,"AAAAAHb2L4I=")</f>
        <v>#REF!</v>
      </c>
      <c r="EB419" t="e">
        <f>AND(#REF!,"AAAAAHb2L4M=")</f>
        <v>#REF!</v>
      </c>
      <c r="EC419" t="e">
        <f>AND(#REF!,"AAAAAHb2L4Q=")</f>
        <v>#REF!</v>
      </c>
      <c r="ED419" t="e">
        <f>AND(#REF!,"AAAAAHb2L4U=")</f>
        <v>#REF!</v>
      </c>
      <c r="EE419" t="e">
        <f>AND(#REF!,"AAAAAHb2L4Y=")</f>
        <v>#REF!</v>
      </c>
      <c r="EF419" t="e">
        <f>AND(#REF!,"AAAAAHb2L4c=")</f>
        <v>#REF!</v>
      </c>
      <c r="EG419" t="e">
        <f>AND(#REF!,"AAAAAHb2L4g=")</f>
        <v>#REF!</v>
      </c>
      <c r="EH419" t="e">
        <f>AND(#REF!,"AAAAAHb2L4k=")</f>
        <v>#REF!</v>
      </c>
      <c r="EI419" t="e">
        <f>AND(#REF!,"AAAAAHb2L4o=")</f>
        <v>#REF!</v>
      </c>
      <c r="EJ419" t="e">
        <f>AND(#REF!,"AAAAAHb2L4s=")</f>
        <v>#REF!</v>
      </c>
      <c r="EK419" t="e">
        <f>AND(#REF!,"AAAAAHb2L4w=")</f>
        <v>#REF!</v>
      </c>
      <c r="EL419" t="e">
        <f>AND(#REF!,"AAAAAHb2L40=")</f>
        <v>#REF!</v>
      </c>
      <c r="EM419" t="e">
        <f>AND(#REF!,"AAAAAHb2L44=")</f>
        <v>#REF!</v>
      </c>
      <c r="EN419" t="e">
        <f>AND(#REF!,"AAAAAHb2L48=")</f>
        <v>#REF!</v>
      </c>
      <c r="EO419" t="e">
        <f>AND(#REF!,"AAAAAHb2L5A=")</f>
        <v>#REF!</v>
      </c>
      <c r="EP419" t="e">
        <f>AND(#REF!,"AAAAAHb2L5E=")</f>
        <v>#REF!</v>
      </c>
      <c r="EQ419" t="e">
        <f>AND(#REF!,"AAAAAHb2L5I=")</f>
        <v>#REF!</v>
      </c>
      <c r="ER419" t="e">
        <f>AND(#REF!,"AAAAAHb2L5M=")</f>
        <v>#REF!</v>
      </c>
      <c r="ES419" t="e">
        <f>AND(#REF!,"AAAAAHb2L5Q=")</f>
        <v>#REF!</v>
      </c>
      <c r="ET419" t="e">
        <f>AND(#REF!,"AAAAAHb2L5U=")</f>
        <v>#REF!</v>
      </c>
      <c r="EU419" t="e">
        <f>AND(#REF!,"AAAAAHb2L5Y=")</f>
        <v>#REF!</v>
      </c>
      <c r="EV419" t="e">
        <f>AND(#REF!,"AAAAAHb2L5c=")</f>
        <v>#REF!</v>
      </c>
      <c r="EW419" t="e">
        <f>IF(#REF!,"AAAAAHb2L5g=",0)</f>
        <v>#REF!</v>
      </c>
      <c r="EX419" t="e">
        <f>AND(#REF!,"AAAAAHb2L5k=")</f>
        <v>#REF!</v>
      </c>
      <c r="EY419" t="e">
        <f>AND(#REF!,"AAAAAHb2L5o=")</f>
        <v>#REF!</v>
      </c>
      <c r="EZ419" t="e">
        <f>AND(#REF!,"AAAAAHb2L5s=")</f>
        <v>#REF!</v>
      </c>
      <c r="FA419" t="e">
        <f>AND(#REF!,"AAAAAHb2L5w=")</f>
        <v>#REF!</v>
      </c>
      <c r="FB419" t="e">
        <f>AND(#REF!,"AAAAAHb2L50=")</f>
        <v>#REF!</v>
      </c>
      <c r="FC419" t="e">
        <f>AND(#REF!,"AAAAAHb2L54=")</f>
        <v>#REF!</v>
      </c>
      <c r="FD419" t="e">
        <f>AND(#REF!,"AAAAAHb2L58=")</f>
        <v>#REF!</v>
      </c>
      <c r="FE419" t="e">
        <f>AND(#REF!,"AAAAAHb2L6A=")</f>
        <v>#REF!</v>
      </c>
      <c r="FF419" t="e">
        <f>AND(#REF!,"AAAAAHb2L6E=")</f>
        <v>#REF!</v>
      </c>
      <c r="FG419" t="e">
        <f>AND(#REF!,"AAAAAHb2L6I=")</f>
        <v>#REF!</v>
      </c>
      <c r="FH419" t="e">
        <f>AND(#REF!,"AAAAAHb2L6M=")</f>
        <v>#REF!</v>
      </c>
      <c r="FI419" t="e">
        <f>AND(#REF!,"AAAAAHb2L6Q=")</f>
        <v>#REF!</v>
      </c>
      <c r="FJ419" t="e">
        <f>AND(#REF!,"AAAAAHb2L6U=")</f>
        <v>#REF!</v>
      </c>
      <c r="FK419" t="e">
        <f>AND(#REF!,"AAAAAHb2L6Y=")</f>
        <v>#REF!</v>
      </c>
      <c r="FL419" t="e">
        <f>AND(#REF!,"AAAAAHb2L6c=")</f>
        <v>#REF!</v>
      </c>
      <c r="FM419" t="e">
        <f>AND(#REF!,"AAAAAHb2L6g=")</f>
        <v>#REF!</v>
      </c>
      <c r="FN419" t="e">
        <f>AND(#REF!,"AAAAAHb2L6k=")</f>
        <v>#REF!</v>
      </c>
      <c r="FO419" t="e">
        <f>AND(#REF!,"AAAAAHb2L6o=")</f>
        <v>#REF!</v>
      </c>
      <c r="FP419" t="e">
        <f>AND(#REF!,"AAAAAHb2L6s=")</f>
        <v>#REF!</v>
      </c>
      <c r="FQ419" t="e">
        <f>AND(#REF!,"AAAAAHb2L6w=")</f>
        <v>#REF!</v>
      </c>
      <c r="FR419" t="e">
        <f>AND(#REF!,"AAAAAHb2L60=")</f>
        <v>#REF!</v>
      </c>
      <c r="FS419" t="e">
        <f>AND(#REF!,"AAAAAHb2L64=")</f>
        <v>#REF!</v>
      </c>
      <c r="FT419" t="e">
        <f>AND(#REF!,"AAAAAHb2L68=")</f>
        <v>#REF!</v>
      </c>
      <c r="FU419" t="e">
        <f>AND(#REF!,"AAAAAHb2L7A=")</f>
        <v>#REF!</v>
      </c>
      <c r="FV419" t="e">
        <f>IF(#REF!,"AAAAAHb2L7E=",0)</f>
        <v>#REF!</v>
      </c>
      <c r="FW419" t="e">
        <f>AND(#REF!,"AAAAAHb2L7I=")</f>
        <v>#REF!</v>
      </c>
      <c r="FX419" t="e">
        <f>AND(#REF!,"AAAAAHb2L7M=")</f>
        <v>#REF!</v>
      </c>
      <c r="FY419" t="e">
        <f>AND(#REF!,"AAAAAHb2L7Q=")</f>
        <v>#REF!</v>
      </c>
      <c r="FZ419" t="e">
        <f>AND(#REF!,"AAAAAHb2L7U=")</f>
        <v>#REF!</v>
      </c>
      <c r="GA419" t="e">
        <f>AND(#REF!,"AAAAAHb2L7Y=")</f>
        <v>#REF!</v>
      </c>
      <c r="GB419" t="e">
        <f>AND(#REF!,"AAAAAHb2L7c=")</f>
        <v>#REF!</v>
      </c>
      <c r="GC419" t="e">
        <f>AND(#REF!,"AAAAAHb2L7g=")</f>
        <v>#REF!</v>
      </c>
      <c r="GD419" t="e">
        <f>AND(#REF!,"AAAAAHb2L7k=")</f>
        <v>#REF!</v>
      </c>
      <c r="GE419" t="e">
        <f>AND(#REF!,"AAAAAHb2L7o=")</f>
        <v>#REF!</v>
      </c>
      <c r="GF419" t="e">
        <f>AND(#REF!,"AAAAAHb2L7s=")</f>
        <v>#REF!</v>
      </c>
      <c r="GG419" t="e">
        <f>AND(#REF!,"AAAAAHb2L7w=")</f>
        <v>#REF!</v>
      </c>
      <c r="GH419" t="e">
        <f>AND(#REF!,"AAAAAHb2L70=")</f>
        <v>#REF!</v>
      </c>
      <c r="GI419" t="e">
        <f>AND(#REF!,"AAAAAHb2L74=")</f>
        <v>#REF!</v>
      </c>
      <c r="GJ419" t="e">
        <f>AND(#REF!,"AAAAAHb2L78=")</f>
        <v>#REF!</v>
      </c>
      <c r="GK419" t="e">
        <f>AND(#REF!,"AAAAAHb2L8A=")</f>
        <v>#REF!</v>
      </c>
      <c r="GL419" t="e">
        <f>AND(#REF!,"AAAAAHb2L8E=")</f>
        <v>#REF!</v>
      </c>
      <c r="GM419" t="e">
        <f>AND(#REF!,"AAAAAHb2L8I=")</f>
        <v>#REF!</v>
      </c>
      <c r="GN419" t="e">
        <f>AND(#REF!,"AAAAAHb2L8M=")</f>
        <v>#REF!</v>
      </c>
      <c r="GO419" t="e">
        <f>AND(#REF!,"AAAAAHb2L8Q=")</f>
        <v>#REF!</v>
      </c>
      <c r="GP419" t="e">
        <f>AND(#REF!,"AAAAAHb2L8U=")</f>
        <v>#REF!</v>
      </c>
      <c r="GQ419" t="e">
        <f>AND(#REF!,"AAAAAHb2L8Y=")</f>
        <v>#REF!</v>
      </c>
      <c r="GR419" t="e">
        <f>AND(#REF!,"AAAAAHb2L8c=")</f>
        <v>#REF!</v>
      </c>
      <c r="GS419" t="e">
        <f>AND(#REF!,"AAAAAHb2L8g=")</f>
        <v>#REF!</v>
      </c>
      <c r="GT419" t="e">
        <f>AND(#REF!,"AAAAAHb2L8k=")</f>
        <v>#REF!</v>
      </c>
      <c r="GU419" t="e">
        <f>IF(#REF!,"AAAAAHb2L8o=",0)</f>
        <v>#REF!</v>
      </c>
      <c r="GV419" t="e">
        <f>AND(#REF!,"AAAAAHb2L8s=")</f>
        <v>#REF!</v>
      </c>
      <c r="GW419" t="e">
        <f>AND(#REF!,"AAAAAHb2L8w=")</f>
        <v>#REF!</v>
      </c>
      <c r="GX419" t="e">
        <f>AND(#REF!,"AAAAAHb2L80=")</f>
        <v>#REF!</v>
      </c>
      <c r="GY419" t="e">
        <f>AND(#REF!,"AAAAAHb2L84=")</f>
        <v>#REF!</v>
      </c>
      <c r="GZ419" t="e">
        <f>AND(#REF!,"AAAAAHb2L88=")</f>
        <v>#REF!</v>
      </c>
      <c r="HA419" t="e">
        <f>AND(#REF!,"AAAAAHb2L9A=")</f>
        <v>#REF!</v>
      </c>
      <c r="HB419" t="e">
        <f>AND(#REF!,"AAAAAHb2L9E=")</f>
        <v>#REF!</v>
      </c>
      <c r="HC419" t="e">
        <f>AND(#REF!,"AAAAAHb2L9I=")</f>
        <v>#REF!</v>
      </c>
      <c r="HD419" t="e">
        <f>AND(#REF!,"AAAAAHb2L9M=")</f>
        <v>#REF!</v>
      </c>
      <c r="HE419" t="e">
        <f>AND(#REF!,"AAAAAHb2L9Q=")</f>
        <v>#REF!</v>
      </c>
      <c r="HF419" t="e">
        <f>AND(#REF!,"AAAAAHb2L9U=")</f>
        <v>#REF!</v>
      </c>
      <c r="HG419" t="e">
        <f>AND(#REF!,"AAAAAHb2L9Y=")</f>
        <v>#REF!</v>
      </c>
      <c r="HH419" t="e">
        <f>AND(#REF!,"AAAAAHb2L9c=")</f>
        <v>#REF!</v>
      </c>
      <c r="HI419" t="e">
        <f>AND(#REF!,"AAAAAHb2L9g=")</f>
        <v>#REF!</v>
      </c>
      <c r="HJ419" t="e">
        <f>AND(#REF!,"AAAAAHb2L9k=")</f>
        <v>#REF!</v>
      </c>
      <c r="HK419" t="e">
        <f>AND(#REF!,"AAAAAHb2L9o=")</f>
        <v>#REF!</v>
      </c>
      <c r="HL419" t="e">
        <f>AND(#REF!,"AAAAAHb2L9s=")</f>
        <v>#REF!</v>
      </c>
      <c r="HM419" t="e">
        <f>AND(#REF!,"AAAAAHb2L9w=")</f>
        <v>#REF!</v>
      </c>
      <c r="HN419" t="e">
        <f>AND(#REF!,"AAAAAHb2L90=")</f>
        <v>#REF!</v>
      </c>
      <c r="HO419" t="e">
        <f>AND(#REF!,"AAAAAHb2L94=")</f>
        <v>#REF!</v>
      </c>
      <c r="HP419" t="e">
        <f>AND(#REF!,"AAAAAHb2L98=")</f>
        <v>#REF!</v>
      </c>
      <c r="HQ419" t="e">
        <f>AND(#REF!,"AAAAAHb2L+A=")</f>
        <v>#REF!</v>
      </c>
      <c r="HR419" t="e">
        <f>AND(#REF!,"AAAAAHb2L+E=")</f>
        <v>#REF!</v>
      </c>
      <c r="HS419" t="e">
        <f>AND(#REF!,"AAAAAHb2L+I=")</f>
        <v>#REF!</v>
      </c>
      <c r="HT419" t="e">
        <f>IF(#REF!,"AAAAAHb2L+M=",0)</f>
        <v>#REF!</v>
      </c>
      <c r="HU419" t="e">
        <f>AND(#REF!,"AAAAAHb2L+Q=")</f>
        <v>#REF!</v>
      </c>
      <c r="HV419" t="e">
        <f>AND(#REF!,"AAAAAHb2L+U=")</f>
        <v>#REF!</v>
      </c>
      <c r="HW419" t="e">
        <f>AND(#REF!,"AAAAAHb2L+Y=")</f>
        <v>#REF!</v>
      </c>
      <c r="HX419" t="e">
        <f>AND(#REF!,"AAAAAHb2L+c=")</f>
        <v>#REF!</v>
      </c>
      <c r="HY419" t="e">
        <f>AND(#REF!,"AAAAAHb2L+g=")</f>
        <v>#REF!</v>
      </c>
      <c r="HZ419" t="e">
        <f>AND(#REF!,"AAAAAHb2L+k=")</f>
        <v>#REF!</v>
      </c>
      <c r="IA419" t="e">
        <f>AND(#REF!,"AAAAAHb2L+o=")</f>
        <v>#REF!</v>
      </c>
      <c r="IB419" t="e">
        <f>AND(#REF!,"AAAAAHb2L+s=")</f>
        <v>#REF!</v>
      </c>
      <c r="IC419" t="e">
        <f>AND(#REF!,"AAAAAHb2L+w=")</f>
        <v>#REF!</v>
      </c>
      <c r="ID419" t="e">
        <f>AND(#REF!,"AAAAAHb2L+0=")</f>
        <v>#REF!</v>
      </c>
      <c r="IE419" t="e">
        <f>AND(#REF!,"AAAAAHb2L+4=")</f>
        <v>#REF!</v>
      </c>
      <c r="IF419" t="e">
        <f>AND(#REF!,"AAAAAHb2L+8=")</f>
        <v>#REF!</v>
      </c>
      <c r="IG419" t="e">
        <f>AND(#REF!,"AAAAAHb2L/A=")</f>
        <v>#REF!</v>
      </c>
      <c r="IH419" t="e">
        <f>AND(#REF!,"AAAAAHb2L/E=")</f>
        <v>#REF!</v>
      </c>
      <c r="II419" t="e">
        <f>AND(#REF!,"AAAAAHb2L/I=")</f>
        <v>#REF!</v>
      </c>
      <c r="IJ419" t="e">
        <f>AND(#REF!,"AAAAAHb2L/M=")</f>
        <v>#REF!</v>
      </c>
      <c r="IK419" t="e">
        <f>AND(#REF!,"AAAAAHb2L/Q=")</f>
        <v>#REF!</v>
      </c>
      <c r="IL419" t="e">
        <f>AND(#REF!,"AAAAAHb2L/U=")</f>
        <v>#REF!</v>
      </c>
      <c r="IM419" t="e">
        <f>AND(#REF!,"AAAAAHb2L/Y=")</f>
        <v>#REF!</v>
      </c>
      <c r="IN419" t="e">
        <f>AND(#REF!,"AAAAAHb2L/c=")</f>
        <v>#REF!</v>
      </c>
      <c r="IO419" t="e">
        <f>AND(#REF!,"AAAAAHb2L/g=")</f>
        <v>#REF!</v>
      </c>
      <c r="IP419" t="e">
        <f>AND(#REF!,"AAAAAHb2L/k=")</f>
        <v>#REF!</v>
      </c>
      <c r="IQ419" t="e">
        <f>AND(#REF!,"AAAAAHb2L/o=")</f>
        <v>#REF!</v>
      </c>
      <c r="IR419" t="e">
        <f>AND(#REF!,"AAAAAHb2L/s=")</f>
        <v>#REF!</v>
      </c>
      <c r="IS419" t="e">
        <f>IF(#REF!,"AAAAAHb2L/w=",0)</f>
        <v>#REF!</v>
      </c>
      <c r="IT419" t="e">
        <f>AND(#REF!,"AAAAAHb2L/0=")</f>
        <v>#REF!</v>
      </c>
      <c r="IU419" t="e">
        <f>AND(#REF!,"AAAAAHb2L/4=")</f>
        <v>#REF!</v>
      </c>
      <c r="IV419" t="e">
        <f>AND(#REF!,"AAAAAHb2L/8=")</f>
        <v>#REF!</v>
      </c>
    </row>
    <row r="420" spans="1:256">
      <c r="A420" t="e">
        <f>AND(#REF!,"AAAAAGV2+QA=")</f>
        <v>#REF!</v>
      </c>
      <c r="B420" t="e">
        <f>AND(#REF!,"AAAAAGV2+QE=")</f>
        <v>#REF!</v>
      </c>
      <c r="C420" t="e">
        <f>AND(#REF!,"AAAAAGV2+QI=")</f>
        <v>#REF!</v>
      </c>
      <c r="D420" t="e">
        <f>AND(#REF!,"AAAAAGV2+QM=")</f>
        <v>#REF!</v>
      </c>
      <c r="E420" t="e">
        <f>AND(#REF!,"AAAAAGV2+QQ=")</f>
        <v>#REF!</v>
      </c>
      <c r="F420" t="e">
        <f>AND(#REF!,"AAAAAGV2+QU=")</f>
        <v>#REF!</v>
      </c>
      <c r="G420" t="e">
        <f>AND(#REF!,"AAAAAGV2+QY=")</f>
        <v>#REF!</v>
      </c>
      <c r="H420" t="e">
        <f>AND(#REF!,"AAAAAGV2+Qc=")</f>
        <v>#REF!</v>
      </c>
      <c r="I420" t="e">
        <f>AND(#REF!,"AAAAAGV2+Qg=")</f>
        <v>#REF!</v>
      </c>
      <c r="J420" t="e">
        <f>AND(#REF!,"AAAAAGV2+Qk=")</f>
        <v>#REF!</v>
      </c>
      <c r="K420" t="e">
        <f>AND(#REF!,"AAAAAGV2+Qo=")</f>
        <v>#REF!</v>
      </c>
      <c r="L420" t="e">
        <f>AND(#REF!,"AAAAAGV2+Qs=")</f>
        <v>#REF!</v>
      </c>
      <c r="M420" t="e">
        <f>AND(#REF!,"AAAAAGV2+Qw=")</f>
        <v>#REF!</v>
      </c>
      <c r="N420" t="e">
        <f>AND(#REF!,"AAAAAGV2+Q0=")</f>
        <v>#REF!</v>
      </c>
      <c r="O420" t="e">
        <f>AND(#REF!,"AAAAAGV2+Q4=")</f>
        <v>#REF!</v>
      </c>
      <c r="P420" t="e">
        <f>AND(#REF!,"AAAAAGV2+Q8=")</f>
        <v>#REF!</v>
      </c>
      <c r="Q420" t="e">
        <f>AND(#REF!,"AAAAAGV2+RA=")</f>
        <v>#REF!</v>
      </c>
      <c r="R420" t="e">
        <f>AND(#REF!,"AAAAAGV2+RE=")</f>
        <v>#REF!</v>
      </c>
      <c r="S420" t="e">
        <f>AND(#REF!,"AAAAAGV2+RI=")</f>
        <v>#REF!</v>
      </c>
      <c r="T420" t="e">
        <f>AND(#REF!,"AAAAAGV2+RM=")</f>
        <v>#REF!</v>
      </c>
      <c r="U420" t="e">
        <f>AND(#REF!,"AAAAAGV2+RQ=")</f>
        <v>#REF!</v>
      </c>
      <c r="V420" t="e">
        <f>IF(#REF!,"AAAAAGV2+RU=",0)</f>
        <v>#REF!</v>
      </c>
      <c r="W420" t="e">
        <f>AND(#REF!,"AAAAAGV2+RY=")</f>
        <v>#REF!</v>
      </c>
      <c r="X420" t="e">
        <f>AND(#REF!,"AAAAAGV2+Rc=")</f>
        <v>#REF!</v>
      </c>
      <c r="Y420" t="e">
        <f>AND(#REF!,"AAAAAGV2+Rg=")</f>
        <v>#REF!</v>
      </c>
      <c r="Z420" t="e">
        <f>AND(#REF!,"AAAAAGV2+Rk=")</f>
        <v>#REF!</v>
      </c>
      <c r="AA420" t="e">
        <f>AND(#REF!,"AAAAAGV2+Ro=")</f>
        <v>#REF!</v>
      </c>
      <c r="AB420" t="e">
        <f>AND(#REF!,"AAAAAGV2+Rs=")</f>
        <v>#REF!</v>
      </c>
      <c r="AC420" t="e">
        <f>AND(#REF!,"AAAAAGV2+Rw=")</f>
        <v>#REF!</v>
      </c>
      <c r="AD420" t="e">
        <f>AND(#REF!,"AAAAAGV2+R0=")</f>
        <v>#REF!</v>
      </c>
      <c r="AE420" t="e">
        <f>AND(#REF!,"AAAAAGV2+R4=")</f>
        <v>#REF!</v>
      </c>
      <c r="AF420" t="e">
        <f>AND(#REF!,"AAAAAGV2+R8=")</f>
        <v>#REF!</v>
      </c>
      <c r="AG420" t="e">
        <f>AND(#REF!,"AAAAAGV2+SA=")</f>
        <v>#REF!</v>
      </c>
      <c r="AH420" t="e">
        <f>AND(#REF!,"AAAAAGV2+SE=")</f>
        <v>#REF!</v>
      </c>
      <c r="AI420" t="e">
        <f>AND(#REF!,"AAAAAGV2+SI=")</f>
        <v>#REF!</v>
      </c>
      <c r="AJ420" t="e">
        <f>AND(#REF!,"AAAAAGV2+SM=")</f>
        <v>#REF!</v>
      </c>
      <c r="AK420" t="e">
        <f>AND(#REF!,"AAAAAGV2+SQ=")</f>
        <v>#REF!</v>
      </c>
      <c r="AL420" t="e">
        <f>AND(#REF!,"AAAAAGV2+SU=")</f>
        <v>#REF!</v>
      </c>
      <c r="AM420" t="e">
        <f>AND(#REF!,"AAAAAGV2+SY=")</f>
        <v>#REF!</v>
      </c>
      <c r="AN420" t="e">
        <f>AND(#REF!,"AAAAAGV2+Sc=")</f>
        <v>#REF!</v>
      </c>
      <c r="AO420" t="e">
        <f>AND(#REF!,"AAAAAGV2+Sg=")</f>
        <v>#REF!</v>
      </c>
      <c r="AP420" t="e">
        <f>AND(#REF!,"AAAAAGV2+Sk=")</f>
        <v>#REF!</v>
      </c>
      <c r="AQ420" t="e">
        <f>AND(#REF!,"AAAAAGV2+So=")</f>
        <v>#REF!</v>
      </c>
      <c r="AR420" t="e">
        <f>AND(#REF!,"AAAAAGV2+Ss=")</f>
        <v>#REF!</v>
      </c>
      <c r="AS420" t="e">
        <f>AND(#REF!,"AAAAAGV2+Sw=")</f>
        <v>#REF!</v>
      </c>
      <c r="AT420" t="e">
        <f>AND(#REF!,"AAAAAGV2+S0=")</f>
        <v>#REF!</v>
      </c>
      <c r="AU420" t="e">
        <f>IF(#REF!,"AAAAAGV2+S4=",0)</f>
        <v>#REF!</v>
      </c>
      <c r="AV420" t="e">
        <f>AND(#REF!,"AAAAAGV2+S8=")</f>
        <v>#REF!</v>
      </c>
      <c r="AW420" t="e">
        <f>AND(#REF!,"AAAAAGV2+TA=")</f>
        <v>#REF!</v>
      </c>
      <c r="AX420" t="e">
        <f>AND(#REF!,"AAAAAGV2+TE=")</f>
        <v>#REF!</v>
      </c>
      <c r="AY420" t="e">
        <f>AND(#REF!,"AAAAAGV2+TI=")</f>
        <v>#REF!</v>
      </c>
      <c r="AZ420" t="e">
        <f>AND(#REF!,"AAAAAGV2+TM=")</f>
        <v>#REF!</v>
      </c>
      <c r="BA420" t="e">
        <f>AND(#REF!,"AAAAAGV2+TQ=")</f>
        <v>#REF!</v>
      </c>
      <c r="BB420" t="e">
        <f>AND(#REF!,"AAAAAGV2+TU=")</f>
        <v>#REF!</v>
      </c>
      <c r="BC420" t="e">
        <f>AND(#REF!,"AAAAAGV2+TY=")</f>
        <v>#REF!</v>
      </c>
      <c r="BD420" t="e">
        <f>AND(#REF!,"AAAAAGV2+Tc=")</f>
        <v>#REF!</v>
      </c>
      <c r="BE420" t="e">
        <f>AND(#REF!,"AAAAAGV2+Tg=")</f>
        <v>#REF!</v>
      </c>
      <c r="BF420" t="e">
        <f>AND(#REF!,"AAAAAGV2+Tk=")</f>
        <v>#REF!</v>
      </c>
      <c r="BG420" t="e">
        <f>AND(#REF!,"AAAAAGV2+To=")</f>
        <v>#REF!</v>
      </c>
      <c r="BH420" t="e">
        <f>AND(#REF!,"AAAAAGV2+Ts=")</f>
        <v>#REF!</v>
      </c>
      <c r="BI420" t="e">
        <f>AND(#REF!,"AAAAAGV2+Tw=")</f>
        <v>#REF!</v>
      </c>
      <c r="BJ420" t="e">
        <f>AND(#REF!,"AAAAAGV2+T0=")</f>
        <v>#REF!</v>
      </c>
      <c r="BK420" t="e">
        <f>AND(#REF!,"AAAAAGV2+T4=")</f>
        <v>#REF!</v>
      </c>
      <c r="BL420" t="e">
        <f>AND(#REF!,"AAAAAGV2+T8=")</f>
        <v>#REF!</v>
      </c>
      <c r="BM420" t="e">
        <f>AND(#REF!,"AAAAAGV2+UA=")</f>
        <v>#REF!</v>
      </c>
      <c r="BN420" t="e">
        <f>AND(#REF!,"AAAAAGV2+UE=")</f>
        <v>#REF!</v>
      </c>
      <c r="BO420" t="e">
        <f>AND(#REF!,"AAAAAGV2+UI=")</f>
        <v>#REF!</v>
      </c>
      <c r="BP420" t="e">
        <f>AND(#REF!,"AAAAAGV2+UM=")</f>
        <v>#REF!</v>
      </c>
      <c r="BQ420" t="e">
        <f>AND(#REF!,"AAAAAGV2+UQ=")</f>
        <v>#REF!</v>
      </c>
      <c r="BR420" t="e">
        <f>AND(#REF!,"AAAAAGV2+UU=")</f>
        <v>#REF!</v>
      </c>
      <c r="BS420" t="e">
        <f>AND(#REF!,"AAAAAGV2+UY=")</f>
        <v>#REF!</v>
      </c>
      <c r="BT420" t="e">
        <f>IF(#REF!,"AAAAAGV2+Uc=",0)</f>
        <v>#REF!</v>
      </c>
      <c r="BU420" t="e">
        <f>AND(#REF!,"AAAAAGV2+Ug=")</f>
        <v>#REF!</v>
      </c>
      <c r="BV420" t="e">
        <f>AND(#REF!,"AAAAAGV2+Uk=")</f>
        <v>#REF!</v>
      </c>
      <c r="BW420" t="e">
        <f>AND(#REF!,"AAAAAGV2+Uo=")</f>
        <v>#REF!</v>
      </c>
      <c r="BX420" t="e">
        <f>AND(#REF!,"AAAAAGV2+Us=")</f>
        <v>#REF!</v>
      </c>
      <c r="BY420" t="e">
        <f>AND(#REF!,"AAAAAGV2+Uw=")</f>
        <v>#REF!</v>
      </c>
      <c r="BZ420" t="e">
        <f>AND(#REF!,"AAAAAGV2+U0=")</f>
        <v>#REF!</v>
      </c>
      <c r="CA420" t="e">
        <f>AND(#REF!,"AAAAAGV2+U4=")</f>
        <v>#REF!</v>
      </c>
      <c r="CB420" t="e">
        <f>AND(#REF!,"AAAAAGV2+U8=")</f>
        <v>#REF!</v>
      </c>
      <c r="CC420" t="e">
        <f>AND(#REF!,"AAAAAGV2+VA=")</f>
        <v>#REF!</v>
      </c>
      <c r="CD420" t="e">
        <f>AND(#REF!,"AAAAAGV2+VE=")</f>
        <v>#REF!</v>
      </c>
      <c r="CE420" t="e">
        <f>AND(#REF!,"AAAAAGV2+VI=")</f>
        <v>#REF!</v>
      </c>
      <c r="CF420" t="e">
        <f>AND(#REF!,"AAAAAGV2+VM=")</f>
        <v>#REF!</v>
      </c>
      <c r="CG420" t="e">
        <f>AND(#REF!,"AAAAAGV2+VQ=")</f>
        <v>#REF!</v>
      </c>
      <c r="CH420" t="e">
        <f>AND(#REF!,"AAAAAGV2+VU=")</f>
        <v>#REF!</v>
      </c>
      <c r="CI420" t="e">
        <f>AND(#REF!,"AAAAAGV2+VY=")</f>
        <v>#REF!</v>
      </c>
      <c r="CJ420" t="e">
        <f>AND(#REF!,"AAAAAGV2+Vc=")</f>
        <v>#REF!</v>
      </c>
      <c r="CK420" t="e">
        <f>AND(#REF!,"AAAAAGV2+Vg=")</f>
        <v>#REF!</v>
      </c>
      <c r="CL420" t="e">
        <f>AND(#REF!,"AAAAAGV2+Vk=")</f>
        <v>#REF!</v>
      </c>
      <c r="CM420" t="e">
        <f>AND(#REF!,"AAAAAGV2+Vo=")</f>
        <v>#REF!</v>
      </c>
      <c r="CN420" t="e">
        <f>AND(#REF!,"AAAAAGV2+Vs=")</f>
        <v>#REF!</v>
      </c>
      <c r="CO420" t="e">
        <f>AND(#REF!,"AAAAAGV2+Vw=")</f>
        <v>#REF!</v>
      </c>
      <c r="CP420" t="e">
        <f>AND(#REF!,"AAAAAGV2+V0=")</f>
        <v>#REF!</v>
      </c>
      <c r="CQ420" t="e">
        <f>AND(#REF!,"AAAAAGV2+V4=")</f>
        <v>#REF!</v>
      </c>
      <c r="CR420" t="e">
        <f>AND(#REF!,"AAAAAGV2+V8=")</f>
        <v>#REF!</v>
      </c>
      <c r="CS420" t="e">
        <f>IF(#REF!,"AAAAAGV2+WA=",0)</f>
        <v>#REF!</v>
      </c>
      <c r="CT420" t="e">
        <f>AND(#REF!,"AAAAAGV2+WE=")</f>
        <v>#REF!</v>
      </c>
      <c r="CU420" t="e">
        <f>AND(#REF!,"AAAAAGV2+WI=")</f>
        <v>#REF!</v>
      </c>
      <c r="CV420" t="e">
        <f>AND(#REF!,"AAAAAGV2+WM=")</f>
        <v>#REF!</v>
      </c>
      <c r="CW420" t="e">
        <f>AND(#REF!,"AAAAAGV2+WQ=")</f>
        <v>#REF!</v>
      </c>
      <c r="CX420" t="e">
        <f>AND(#REF!,"AAAAAGV2+WU=")</f>
        <v>#REF!</v>
      </c>
      <c r="CY420" t="e">
        <f>AND(#REF!,"AAAAAGV2+WY=")</f>
        <v>#REF!</v>
      </c>
      <c r="CZ420" t="e">
        <f>AND(#REF!,"AAAAAGV2+Wc=")</f>
        <v>#REF!</v>
      </c>
      <c r="DA420" t="e">
        <f>AND(#REF!,"AAAAAGV2+Wg=")</f>
        <v>#REF!</v>
      </c>
      <c r="DB420" t="e">
        <f>AND(#REF!,"AAAAAGV2+Wk=")</f>
        <v>#REF!</v>
      </c>
      <c r="DC420" t="e">
        <f>AND(#REF!,"AAAAAGV2+Wo=")</f>
        <v>#REF!</v>
      </c>
      <c r="DD420" t="e">
        <f>AND(#REF!,"AAAAAGV2+Ws=")</f>
        <v>#REF!</v>
      </c>
      <c r="DE420" t="e">
        <f>AND(#REF!,"AAAAAGV2+Ww=")</f>
        <v>#REF!</v>
      </c>
      <c r="DF420" t="e">
        <f>AND(#REF!,"AAAAAGV2+W0=")</f>
        <v>#REF!</v>
      </c>
      <c r="DG420" t="e">
        <f>AND(#REF!,"AAAAAGV2+W4=")</f>
        <v>#REF!</v>
      </c>
      <c r="DH420" t="e">
        <f>AND(#REF!,"AAAAAGV2+W8=")</f>
        <v>#REF!</v>
      </c>
      <c r="DI420" t="e">
        <f>AND(#REF!,"AAAAAGV2+XA=")</f>
        <v>#REF!</v>
      </c>
      <c r="DJ420" t="e">
        <f>AND(#REF!,"AAAAAGV2+XE=")</f>
        <v>#REF!</v>
      </c>
      <c r="DK420" t="e">
        <f>AND(#REF!,"AAAAAGV2+XI=")</f>
        <v>#REF!</v>
      </c>
      <c r="DL420" t="e">
        <f>AND(#REF!,"AAAAAGV2+XM=")</f>
        <v>#REF!</v>
      </c>
      <c r="DM420" t="e">
        <f>AND(#REF!,"AAAAAGV2+XQ=")</f>
        <v>#REF!</v>
      </c>
      <c r="DN420" t="e">
        <f>AND(#REF!,"AAAAAGV2+XU=")</f>
        <v>#REF!</v>
      </c>
      <c r="DO420" t="e">
        <f>AND(#REF!,"AAAAAGV2+XY=")</f>
        <v>#REF!</v>
      </c>
      <c r="DP420" t="e">
        <f>AND(#REF!,"AAAAAGV2+Xc=")</f>
        <v>#REF!</v>
      </c>
      <c r="DQ420" t="e">
        <f>AND(#REF!,"AAAAAGV2+Xg=")</f>
        <v>#REF!</v>
      </c>
      <c r="DR420" t="e">
        <f>IF(#REF!,"AAAAAGV2+Xk=",0)</f>
        <v>#REF!</v>
      </c>
      <c r="DS420" t="e">
        <f>AND(#REF!,"AAAAAGV2+Xo=")</f>
        <v>#REF!</v>
      </c>
      <c r="DT420" t="e">
        <f>AND(#REF!,"AAAAAGV2+Xs=")</f>
        <v>#REF!</v>
      </c>
      <c r="DU420" t="e">
        <f>AND(#REF!,"AAAAAGV2+Xw=")</f>
        <v>#REF!</v>
      </c>
      <c r="DV420" t="e">
        <f>AND(#REF!,"AAAAAGV2+X0=")</f>
        <v>#REF!</v>
      </c>
      <c r="DW420" t="e">
        <f>AND(#REF!,"AAAAAGV2+X4=")</f>
        <v>#REF!</v>
      </c>
      <c r="DX420" t="e">
        <f>AND(#REF!,"AAAAAGV2+X8=")</f>
        <v>#REF!</v>
      </c>
      <c r="DY420" t="e">
        <f>AND(#REF!,"AAAAAGV2+YA=")</f>
        <v>#REF!</v>
      </c>
      <c r="DZ420" t="e">
        <f>AND(#REF!,"AAAAAGV2+YE=")</f>
        <v>#REF!</v>
      </c>
      <c r="EA420" t="e">
        <f>AND(#REF!,"AAAAAGV2+YI=")</f>
        <v>#REF!</v>
      </c>
      <c r="EB420" t="e">
        <f>AND(#REF!,"AAAAAGV2+YM=")</f>
        <v>#REF!</v>
      </c>
      <c r="EC420" t="e">
        <f>AND(#REF!,"AAAAAGV2+YQ=")</f>
        <v>#REF!</v>
      </c>
      <c r="ED420" t="e">
        <f>AND(#REF!,"AAAAAGV2+YU=")</f>
        <v>#REF!</v>
      </c>
      <c r="EE420" t="e">
        <f>AND(#REF!,"AAAAAGV2+YY=")</f>
        <v>#REF!</v>
      </c>
      <c r="EF420" t="e">
        <f>AND(#REF!,"AAAAAGV2+Yc=")</f>
        <v>#REF!</v>
      </c>
      <c r="EG420" t="e">
        <f>AND(#REF!,"AAAAAGV2+Yg=")</f>
        <v>#REF!</v>
      </c>
      <c r="EH420" t="e">
        <f>AND(#REF!,"AAAAAGV2+Yk=")</f>
        <v>#REF!</v>
      </c>
      <c r="EI420" t="e">
        <f>AND(#REF!,"AAAAAGV2+Yo=")</f>
        <v>#REF!</v>
      </c>
      <c r="EJ420" t="e">
        <f>AND(#REF!,"AAAAAGV2+Ys=")</f>
        <v>#REF!</v>
      </c>
      <c r="EK420" t="e">
        <f>AND(#REF!,"AAAAAGV2+Yw=")</f>
        <v>#REF!</v>
      </c>
      <c r="EL420" t="e">
        <f>AND(#REF!,"AAAAAGV2+Y0=")</f>
        <v>#REF!</v>
      </c>
      <c r="EM420" t="e">
        <f>AND(#REF!,"AAAAAGV2+Y4=")</f>
        <v>#REF!</v>
      </c>
      <c r="EN420" t="e">
        <f>AND(#REF!,"AAAAAGV2+Y8=")</f>
        <v>#REF!</v>
      </c>
      <c r="EO420" t="e">
        <f>AND(#REF!,"AAAAAGV2+ZA=")</f>
        <v>#REF!</v>
      </c>
      <c r="EP420" t="e">
        <f>AND(#REF!,"AAAAAGV2+ZE=")</f>
        <v>#REF!</v>
      </c>
      <c r="EQ420" t="e">
        <f>IF(#REF!,"AAAAAGV2+ZI=",0)</f>
        <v>#REF!</v>
      </c>
      <c r="ER420" t="e">
        <f>AND(#REF!,"AAAAAGV2+ZM=")</f>
        <v>#REF!</v>
      </c>
      <c r="ES420" t="e">
        <f>AND(#REF!,"AAAAAGV2+ZQ=")</f>
        <v>#REF!</v>
      </c>
      <c r="ET420" t="e">
        <f>AND(#REF!,"AAAAAGV2+ZU=")</f>
        <v>#REF!</v>
      </c>
      <c r="EU420" t="e">
        <f>AND(#REF!,"AAAAAGV2+ZY=")</f>
        <v>#REF!</v>
      </c>
      <c r="EV420" t="e">
        <f>AND(#REF!,"AAAAAGV2+Zc=")</f>
        <v>#REF!</v>
      </c>
      <c r="EW420" t="e">
        <f>AND(#REF!,"AAAAAGV2+Zg=")</f>
        <v>#REF!</v>
      </c>
      <c r="EX420" t="e">
        <f>AND(#REF!,"AAAAAGV2+Zk=")</f>
        <v>#REF!</v>
      </c>
      <c r="EY420" t="e">
        <f>AND(#REF!,"AAAAAGV2+Zo=")</f>
        <v>#REF!</v>
      </c>
      <c r="EZ420" t="e">
        <f>AND(#REF!,"AAAAAGV2+Zs=")</f>
        <v>#REF!</v>
      </c>
      <c r="FA420" t="e">
        <f>AND(#REF!,"AAAAAGV2+Zw=")</f>
        <v>#REF!</v>
      </c>
      <c r="FB420" t="e">
        <f>AND(#REF!,"AAAAAGV2+Z0=")</f>
        <v>#REF!</v>
      </c>
      <c r="FC420" t="e">
        <f>AND(#REF!,"AAAAAGV2+Z4=")</f>
        <v>#REF!</v>
      </c>
      <c r="FD420" t="e">
        <f>AND(#REF!,"AAAAAGV2+Z8=")</f>
        <v>#REF!</v>
      </c>
      <c r="FE420" t="e">
        <f>AND(#REF!,"AAAAAGV2+aA=")</f>
        <v>#REF!</v>
      </c>
      <c r="FF420" t="e">
        <f>AND(#REF!,"AAAAAGV2+aE=")</f>
        <v>#REF!</v>
      </c>
      <c r="FG420" t="e">
        <f>AND(#REF!,"AAAAAGV2+aI=")</f>
        <v>#REF!</v>
      </c>
      <c r="FH420" t="e">
        <f>AND(#REF!,"AAAAAGV2+aM=")</f>
        <v>#REF!</v>
      </c>
      <c r="FI420" t="e">
        <f>AND(#REF!,"AAAAAGV2+aQ=")</f>
        <v>#REF!</v>
      </c>
      <c r="FJ420" t="e">
        <f>AND(#REF!,"AAAAAGV2+aU=")</f>
        <v>#REF!</v>
      </c>
      <c r="FK420" t="e">
        <f>AND(#REF!,"AAAAAGV2+aY=")</f>
        <v>#REF!</v>
      </c>
      <c r="FL420" t="e">
        <f>AND(#REF!,"AAAAAGV2+ac=")</f>
        <v>#REF!</v>
      </c>
      <c r="FM420" t="e">
        <f>AND(#REF!,"AAAAAGV2+ag=")</f>
        <v>#REF!</v>
      </c>
      <c r="FN420" t="e">
        <f>AND(#REF!,"AAAAAGV2+ak=")</f>
        <v>#REF!</v>
      </c>
      <c r="FO420" t="e">
        <f>AND(#REF!,"AAAAAGV2+ao=")</f>
        <v>#REF!</v>
      </c>
      <c r="FP420" t="e">
        <f>IF(#REF!,"AAAAAGV2+as=",0)</f>
        <v>#REF!</v>
      </c>
      <c r="FQ420" t="e">
        <f>AND(#REF!,"AAAAAGV2+aw=")</f>
        <v>#REF!</v>
      </c>
      <c r="FR420" t="e">
        <f>AND(#REF!,"AAAAAGV2+a0=")</f>
        <v>#REF!</v>
      </c>
      <c r="FS420" t="e">
        <f>AND(#REF!,"AAAAAGV2+a4=")</f>
        <v>#REF!</v>
      </c>
      <c r="FT420" t="e">
        <f>AND(#REF!,"AAAAAGV2+a8=")</f>
        <v>#REF!</v>
      </c>
      <c r="FU420" t="e">
        <f>AND(#REF!,"AAAAAGV2+bA=")</f>
        <v>#REF!</v>
      </c>
      <c r="FV420" t="e">
        <f>AND(#REF!,"AAAAAGV2+bE=")</f>
        <v>#REF!</v>
      </c>
      <c r="FW420" t="e">
        <f>AND(#REF!,"AAAAAGV2+bI=")</f>
        <v>#REF!</v>
      </c>
      <c r="FX420" t="e">
        <f>AND(#REF!,"AAAAAGV2+bM=")</f>
        <v>#REF!</v>
      </c>
      <c r="FY420" t="e">
        <f>AND(#REF!,"AAAAAGV2+bQ=")</f>
        <v>#REF!</v>
      </c>
      <c r="FZ420" t="e">
        <f>AND(#REF!,"AAAAAGV2+bU=")</f>
        <v>#REF!</v>
      </c>
      <c r="GA420" t="e">
        <f>AND(#REF!,"AAAAAGV2+bY=")</f>
        <v>#REF!</v>
      </c>
      <c r="GB420" t="e">
        <f>AND(#REF!,"AAAAAGV2+bc=")</f>
        <v>#REF!</v>
      </c>
      <c r="GC420" t="e">
        <f>AND(#REF!,"AAAAAGV2+bg=")</f>
        <v>#REF!</v>
      </c>
      <c r="GD420" t="e">
        <f>AND(#REF!,"AAAAAGV2+bk=")</f>
        <v>#REF!</v>
      </c>
      <c r="GE420" t="e">
        <f>AND(#REF!,"AAAAAGV2+bo=")</f>
        <v>#REF!</v>
      </c>
      <c r="GF420" t="e">
        <f>AND(#REF!,"AAAAAGV2+bs=")</f>
        <v>#REF!</v>
      </c>
      <c r="GG420" t="e">
        <f>AND(#REF!,"AAAAAGV2+bw=")</f>
        <v>#REF!</v>
      </c>
      <c r="GH420" t="e">
        <f>AND(#REF!,"AAAAAGV2+b0=")</f>
        <v>#REF!</v>
      </c>
      <c r="GI420" t="e">
        <f>AND(#REF!,"AAAAAGV2+b4=")</f>
        <v>#REF!</v>
      </c>
      <c r="GJ420" t="e">
        <f>AND(#REF!,"AAAAAGV2+b8=")</f>
        <v>#REF!</v>
      </c>
      <c r="GK420" t="e">
        <f>AND(#REF!,"AAAAAGV2+cA=")</f>
        <v>#REF!</v>
      </c>
      <c r="GL420" t="e">
        <f>AND(#REF!,"AAAAAGV2+cE=")</f>
        <v>#REF!</v>
      </c>
      <c r="GM420" t="e">
        <f>AND(#REF!,"AAAAAGV2+cI=")</f>
        <v>#REF!</v>
      </c>
      <c r="GN420" t="e">
        <f>AND(#REF!,"AAAAAGV2+cM=")</f>
        <v>#REF!</v>
      </c>
      <c r="GO420" t="e">
        <f>IF(#REF!,"AAAAAGV2+cQ=",0)</f>
        <v>#REF!</v>
      </c>
      <c r="GP420" t="e">
        <f>AND(#REF!,"AAAAAGV2+cU=")</f>
        <v>#REF!</v>
      </c>
      <c r="GQ420" t="e">
        <f>AND(#REF!,"AAAAAGV2+cY=")</f>
        <v>#REF!</v>
      </c>
      <c r="GR420" t="e">
        <f>AND(#REF!,"AAAAAGV2+cc=")</f>
        <v>#REF!</v>
      </c>
      <c r="GS420" t="e">
        <f>AND(#REF!,"AAAAAGV2+cg=")</f>
        <v>#REF!</v>
      </c>
      <c r="GT420" t="e">
        <f>AND(#REF!,"AAAAAGV2+ck=")</f>
        <v>#REF!</v>
      </c>
      <c r="GU420" t="e">
        <f>AND(#REF!,"AAAAAGV2+co=")</f>
        <v>#REF!</v>
      </c>
      <c r="GV420" t="e">
        <f>AND(#REF!,"AAAAAGV2+cs=")</f>
        <v>#REF!</v>
      </c>
      <c r="GW420" t="e">
        <f>AND(#REF!,"AAAAAGV2+cw=")</f>
        <v>#REF!</v>
      </c>
      <c r="GX420" t="e">
        <f>AND(#REF!,"AAAAAGV2+c0=")</f>
        <v>#REF!</v>
      </c>
      <c r="GY420" t="e">
        <f>AND(#REF!,"AAAAAGV2+c4=")</f>
        <v>#REF!</v>
      </c>
      <c r="GZ420" t="e">
        <f>AND(#REF!,"AAAAAGV2+c8=")</f>
        <v>#REF!</v>
      </c>
      <c r="HA420" t="e">
        <f>AND(#REF!,"AAAAAGV2+dA=")</f>
        <v>#REF!</v>
      </c>
      <c r="HB420" t="e">
        <f>AND(#REF!,"AAAAAGV2+dE=")</f>
        <v>#REF!</v>
      </c>
      <c r="HC420" t="e">
        <f>AND(#REF!,"AAAAAGV2+dI=")</f>
        <v>#REF!</v>
      </c>
      <c r="HD420" t="e">
        <f>AND(#REF!,"AAAAAGV2+dM=")</f>
        <v>#REF!</v>
      </c>
      <c r="HE420" t="e">
        <f>AND(#REF!,"AAAAAGV2+dQ=")</f>
        <v>#REF!</v>
      </c>
      <c r="HF420" t="e">
        <f>AND(#REF!,"AAAAAGV2+dU=")</f>
        <v>#REF!</v>
      </c>
      <c r="HG420" t="e">
        <f>AND(#REF!,"AAAAAGV2+dY=")</f>
        <v>#REF!</v>
      </c>
      <c r="HH420" t="e">
        <f>AND(#REF!,"AAAAAGV2+dc=")</f>
        <v>#REF!</v>
      </c>
      <c r="HI420" t="e">
        <f>AND(#REF!,"AAAAAGV2+dg=")</f>
        <v>#REF!</v>
      </c>
      <c r="HJ420" t="e">
        <f>AND(#REF!,"AAAAAGV2+dk=")</f>
        <v>#REF!</v>
      </c>
      <c r="HK420" t="e">
        <f>AND(#REF!,"AAAAAGV2+do=")</f>
        <v>#REF!</v>
      </c>
      <c r="HL420" t="e">
        <f>AND(#REF!,"AAAAAGV2+ds=")</f>
        <v>#REF!</v>
      </c>
      <c r="HM420" t="e">
        <f>AND(#REF!,"AAAAAGV2+dw=")</f>
        <v>#REF!</v>
      </c>
      <c r="HN420" t="e">
        <f>IF(#REF!,"AAAAAGV2+d0=",0)</f>
        <v>#REF!</v>
      </c>
      <c r="HO420" t="e">
        <f>AND(#REF!,"AAAAAGV2+d4=")</f>
        <v>#REF!</v>
      </c>
      <c r="HP420" t="e">
        <f>AND(#REF!,"AAAAAGV2+d8=")</f>
        <v>#REF!</v>
      </c>
      <c r="HQ420" t="e">
        <f>AND(#REF!,"AAAAAGV2+eA=")</f>
        <v>#REF!</v>
      </c>
      <c r="HR420" t="e">
        <f>AND(#REF!,"AAAAAGV2+eE=")</f>
        <v>#REF!</v>
      </c>
      <c r="HS420" t="e">
        <f>AND(#REF!,"AAAAAGV2+eI=")</f>
        <v>#REF!</v>
      </c>
      <c r="HT420" t="e">
        <f>AND(#REF!,"AAAAAGV2+eM=")</f>
        <v>#REF!</v>
      </c>
      <c r="HU420" t="e">
        <f>AND(#REF!,"AAAAAGV2+eQ=")</f>
        <v>#REF!</v>
      </c>
      <c r="HV420" t="e">
        <f>AND(#REF!,"AAAAAGV2+eU=")</f>
        <v>#REF!</v>
      </c>
      <c r="HW420" t="e">
        <f>AND(#REF!,"AAAAAGV2+eY=")</f>
        <v>#REF!</v>
      </c>
      <c r="HX420" t="e">
        <f>AND(#REF!,"AAAAAGV2+ec=")</f>
        <v>#REF!</v>
      </c>
      <c r="HY420" t="e">
        <f>AND(#REF!,"AAAAAGV2+eg=")</f>
        <v>#REF!</v>
      </c>
      <c r="HZ420" t="e">
        <f>AND(#REF!,"AAAAAGV2+ek=")</f>
        <v>#REF!</v>
      </c>
      <c r="IA420" t="e">
        <f>AND(#REF!,"AAAAAGV2+eo=")</f>
        <v>#REF!</v>
      </c>
      <c r="IB420" t="e">
        <f>AND(#REF!,"AAAAAGV2+es=")</f>
        <v>#REF!</v>
      </c>
      <c r="IC420" t="e">
        <f>AND(#REF!,"AAAAAGV2+ew=")</f>
        <v>#REF!</v>
      </c>
      <c r="ID420" t="e">
        <f>AND(#REF!,"AAAAAGV2+e0=")</f>
        <v>#REF!</v>
      </c>
      <c r="IE420" t="e">
        <f>AND(#REF!,"AAAAAGV2+e4=")</f>
        <v>#REF!</v>
      </c>
      <c r="IF420" t="e">
        <f>AND(#REF!,"AAAAAGV2+e8=")</f>
        <v>#REF!</v>
      </c>
      <c r="IG420" t="e">
        <f>AND(#REF!,"AAAAAGV2+fA=")</f>
        <v>#REF!</v>
      </c>
      <c r="IH420" t="e">
        <f>AND(#REF!,"AAAAAGV2+fE=")</f>
        <v>#REF!</v>
      </c>
      <c r="II420" t="e">
        <f>AND(#REF!,"AAAAAGV2+fI=")</f>
        <v>#REF!</v>
      </c>
      <c r="IJ420" t="e">
        <f>AND(#REF!,"AAAAAGV2+fM=")</f>
        <v>#REF!</v>
      </c>
      <c r="IK420" t="e">
        <f>AND(#REF!,"AAAAAGV2+fQ=")</f>
        <v>#REF!</v>
      </c>
      <c r="IL420" t="e">
        <f>AND(#REF!,"AAAAAGV2+fU=")</f>
        <v>#REF!</v>
      </c>
      <c r="IM420" t="e">
        <f>IF(#REF!,"AAAAAGV2+fY=",0)</f>
        <v>#REF!</v>
      </c>
      <c r="IN420" t="e">
        <f>AND(#REF!,"AAAAAGV2+fc=")</f>
        <v>#REF!</v>
      </c>
      <c r="IO420" t="e">
        <f>AND(#REF!,"AAAAAGV2+fg=")</f>
        <v>#REF!</v>
      </c>
      <c r="IP420" t="e">
        <f>AND(#REF!,"AAAAAGV2+fk=")</f>
        <v>#REF!</v>
      </c>
      <c r="IQ420" t="e">
        <f>AND(#REF!,"AAAAAGV2+fo=")</f>
        <v>#REF!</v>
      </c>
      <c r="IR420" t="e">
        <f>AND(#REF!,"AAAAAGV2+fs=")</f>
        <v>#REF!</v>
      </c>
      <c r="IS420" t="e">
        <f>AND(#REF!,"AAAAAGV2+fw=")</f>
        <v>#REF!</v>
      </c>
      <c r="IT420" t="e">
        <f>AND(#REF!,"AAAAAGV2+f0=")</f>
        <v>#REF!</v>
      </c>
      <c r="IU420" t="e">
        <f>AND(#REF!,"AAAAAGV2+f4=")</f>
        <v>#REF!</v>
      </c>
      <c r="IV420" t="e">
        <f>AND(#REF!,"AAAAAGV2+f8=")</f>
        <v>#REF!</v>
      </c>
    </row>
    <row r="421" spans="1:256">
      <c r="A421" t="e">
        <f>AND(#REF!,"AAAAAHd99gA=")</f>
        <v>#REF!</v>
      </c>
      <c r="B421" t="e">
        <f>AND(#REF!,"AAAAAHd99gE=")</f>
        <v>#REF!</v>
      </c>
      <c r="C421" t="e">
        <f>AND(#REF!,"AAAAAHd99gI=")</f>
        <v>#REF!</v>
      </c>
      <c r="D421" t="e">
        <f>AND(#REF!,"AAAAAHd99gM=")</f>
        <v>#REF!</v>
      </c>
      <c r="E421" t="e">
        <f>AND(#REF!,"AAAAAHd99gQ=")</f>
        <v>#REF!</v>
      </c>
      <c r="F421" t="e">
        <f>AND(#REF!,"AAAAAHd99gU=")</f>
        <v>#REF!</v>
      </c>
      <c r="G421" t="e">
        <f>AND(#REF!,"AAAAAHd99gY=")</f>
        <v>#REF!</v>
      </c>
      <c r="H421" t="e">
        <f>AND(#REF!,"AAAAAHd99gc=")</f>
        <v>#REF!</v>
      </c>
      <c r="I421" t="e">
        <f>AND(#REF!,"AAAAAHd99gg=")</f>
        <v>#REF!</v>
      </c>
      <c r="J421" t="e">
        <f>AND(#REF!,"AAAAAHd99gk=")</f>
        <v>#REF!</v>
      </c>
      <c r="K421" t="e">
        <f>AND(#REF!,"AAAAAHd99go=")</f>
        <v>#REF!</v>
      </c>
      <c r="L421" t="e">
        <f>AND(#REF!,"AAAAAHd99gs=")</f>
        <v>#REF!</v>
      </c>
      <c r="M421" t="e">
        <f>AND(#REF!,"AAAAAHd99gw=")</f>
        <v>#REF!</v>
      </c>
      <c r="N421" t="e">
        <f>AND(#REF!,"AAAAAHd99g0=")</f>
        <v>#REF!</v>
      </c>
      <c r="O421" t="e">
        <f>AND(#REF!,"AAAAAHd99g4=")</f>
        <v>#REF!</v>
      </c>
      <c r="P421" t="e">
        <f>IF(#REF!,"AAAAAHd99g8=",0)</f>
        <v>#REF!</v>
      </c>
      <c r="Q421" t="e">
        <f>AND(#REF!,"AAAAAHd99hA=")</f>
        <v>#REF!</v>
      </c>
      <c r="R421" t="e">
        <f>AND(#REF!,"AAAAAHd99hE=")</f>
        <v>#REF!</v>
      </c>
      <c r="S421" t="e">
        <f>AND(#REF!,"AAAAAHd99hI=")</f>
        <v>#REF!</v>
      </c>
      <c r="T421" t="e">
        <f>AND(#REF!,"AAAAAHd99hM=")</f>
        <v>#REF!</v>
      </c>
      <c r="U421" t="e">
        <f>AND(#REF!,"AAAAAHd99hQ=")</f>
        <v>#REF!</v>
      </c>
      <c r="V421" t="e">
        <f>AND(#REF!,"AAAAAHd99hU=")</f>
        <v>#REF!</v>
      </c>
      <c r="W421" t="e">
        <f>AND(#REF!,"AAAAAHd99hY=")</f>
        <v>#REF!</v>
      </c>
      <c r="X421" t="e">
        <f>AND(#REF!,"AAAAAHd99hc=")</f>
        <v>#REF!</v>
      </c>
      <c r="Y421" t="e">
        <f>AND(#REF!,"AAAAAHd99hg=")</f>
        <v>#REF!</v>
      </c>
      <c r="Z421" t="e">
        <f>AND(#REF!,"AAAAAHd99hk=")</f>
        <v>#REF!</v>
      </c>
      <c r="AA421" t="e">
        <f>AND(#REF!,"AAAAAHd99ho=")</f>
        <v>#REF!</v>
      </c>
      <c r="AB421" t="e">
        <f>AND(#REF!,"AAAAAHd99hs=")</f>
        <v>#REF!</v>
      </c>
      <c r="AC421" t="e">
        <f>AND(#REF!,"AAAAAHd99hw=")</f>
        <v>#REF!</v>
      </c>
      <c r="AD421" t="e">
        <f>AND(#REF!,"AAAAAHd99h0=")</f>
        <v>#REF!</v>
      </c>
      <c r="AE421" t="e">
        <f>AND(#REF!,"AAAAAHd99h4=")</f>
        <v>#REF!</v>
      </c>
      <c r="AF421" t="e">
        <f>AND(#REF!,"AAAAAHd99h8=")</f>
        <v>#REF!</v>
      </c>
      <c r="AG421" t="e">
        <f>AND(#REF!,"AAAAAHd99iA=")</f>
        <v>#REF!</v>
      </c>
      <c r="AH421" t="e">
        <f>AND(#REF!,"AAAAAHd99iE=")</f>
        <v>#REF!</v>
      </c>
      <c r="AI421" t="e">
        <f>AND(#REF!,"AAAAAHd99iI=")</f>
        <v>#REF!</v>
      </c>
      <c r="AJ421" t="e">
        <f>AND(#REF!,"AAAAAHd99iM=")</f>
        <v>#REF!</v>
      </c>
      <c r="AK421" t="e">
        <f>AND(#REF!,"AAAAAHd99iQ=")</f>
        <v>#REF!</v>
      </c>
      <c r="AL421" t="e">
        <f>AND(#REF!,"AAAAAHd99iU=")</f>
        <v>#REF!</v>
      </c>
      <c r="AM421" t="e">
        <f>AND(#REF!,"AAAAAHd99iY=")</f>
        <v>#REF!</v>
      </c>
      <c r="AN421" t="e">
        <f>AND(#REF!,"AAAAAHd99ic=")</f>
        <v>#REF!</v>
      </c>
      <c r="AO421" t="e">
        <f>IF(#REF!,"AAAAAHd99ig=",0)</f>
        <v>#REF!</v>
      </c>
      <c r="AP421" t="e">
        <f>AND(#REF!,"AAAAAHd99ik=")</f>
        <v>#REF!</v>
      </c>
      <c r="AQ421" t="e">
        <f>AND(#REF!,"AAAAAHd99io=")</f>
        <v>#REF!</v>
      </c>
      <c r="AR421" t="e">
        <f>AND(#REF!,"AAAAAHd99is=")</f>
        <v>#REF!</v>
      </c>
      <c r="AS421" t="e">
        <f>AND(#REF!,"AAAAAHd99iw=")</f>
        <v>#REF!</v>
      </c>
      <c r="AT421" t="e">
        <f>AND(#REF!,"AAAAAHd99i0=")</f>
        <v>#REF!</v>
      </c>
      <c r="AU421" t="e">
        <f>AND(#REF!,"AAAAAHd99i4=")</f>
        <v>#REF!</v>
      </c>
      <c r="AV421" t="e">
        <f>AND(#REF!,"AAAAAHd99i8=")</f>
        <v>#REF!</v>
      </c>
      <c r="AW421" t="e">
        <f>AND(#REF!,"AAAAAHd99jA=")</f>
        <v>#REF!</v>
      </c>
      <c r="AX421" t="e">
        <f>AND(#REF!,"AAAAAHd99jE=")</f>
        <v>#REF!</v>
      </c>
      <c r="AY421" t="e">
        <f>AND(#REF!,"AAAAAHd99jI=")</f>
        <v>#REF!</v>
      </c>
      <c r="AZ421" t="e">
        <f>AND(#REF!,"AAAAAHd99jM=")</f>
        <v>#REF!</v>
      </c>
      <c r="BA421" t="e">
        <f>AND(#REF!,"AAAAAHd99jQ=")</f>
        <v>#REF!</v>
      </c>
      <c r="BB421" t="e">
        <f>AND(#REF!,"AAAAAHd99jU=")</f>
        <v>#REF!</v>
      </c>
      <c r="BC421" t="e">
        <f>AND(#REF!,"AAAAAHd99jY=")</f>
        <v>#REF!</v>
      </c>
      <c r="BD421" t="e">
        <f>AND(#REF!,"AAAAAHd99jc=")</f>
        <v>#REF!</v>
      </c>
      <c r="BE421" t="e">
        <f>AND(#REF!,"AAAAAHd99jg=")</f>
        <v>#REF!</v>
      </c>
      <c r="BF421" t="e">
        <f>AND(#REF!,"AAAAAHd99jk=")</f>
        <v>#REF!</v>
      </c>
      <c r="BG421" t="e">
        <f>AND(#REF!,"AAAAAHd99jo=")</f>
        <v>#REF!</v>
      </c>
      <c r="BH421" t="e">
        <f>AND(#REF!,"AAAAAHd99js=")</f>
        <v>#REF!</v>
      </c>
      <c r="BI421" t="e">
        <f>AND(#REF!,"AAAAAHd99jw=")</f>
        <v>#REF!</v>
      </c>
      <c r="BJ421" t="e">
        <f>AND(#REF!,"AAAAAHd99j0=")</f>
        <v>#REF!</v>
      </c>
      <c r="BK421" t="e">
        <f>AND(#REF!,"AAAAAHd99j4=")</f>
        <v>#REF!</v>
      </c>
      <c r="BL421" t="e">
        <f>AND(#REF!,"AAAAAHd99j8=")</f>
        <v>#REF!</v>
      </c>
      <c r="BM421" t="e">
        <f>AND(#REF!,"AAAAAHd99kA=")</f>
        <v>#REF!</v>
      </c>
      <c r="BN421" t="e">
        <f>IF(#REF!,"AAAAAHd99kE=",0)</f>
        <v>#REF!</v>
      </c>
      <c r="BO421" t="e">
        <f>AND(#REF!,"AAAAAHd99kI=")</f>
        <v>#REF!</v>
      </c>
      <c r="BP421" t="e">
        <f>AND(#REF!,"AAAAAHd99kM=")</f>
        <v>#REF!</v>
      </c>
      <c r="BQ421" t="e">
        <f>AND(#REF!,"AAAAAHd99kQ=")</f>
        <v>#REF!</v>
      </c>
      <c r="BR421" t="e">
        <f>AND(#REF!,"AAAAAHd99kU=")</f>
        <v>#REF!</v>
      </c>
      <c r="BS421" t="e">
        <f>AND(#REF!,"AAAAAHd99kY=")</f>
        <v>#REF!</v>
      </c>
      <c r="BT421" t="e">
        <f>AND(#REF!,"AAAAAHd99kc=")</f>
        <v>#REF!</v>
      </c>
      <c r="BU421" t="e">
        <f>AND(#REF!,"AAAAAHd99kg=")</f>
        <v>#REF!</v>
      </c>
      <c r="BV421" t="e">
        <f>AND(#REF!,"AAAAAHd99kk=")</f>
        <v>#REF!</v>
      </c>
      <c r="BW421" t="e">
        <f>AND(#REF!,"AAAAAHd99ko=")</f>
        <v>#REF!</v>
      </c>
      <c r="BX421" t="e">
        <f>AND(#REF!,"AAAAAHd99ks=")</f>
        <v>#REF!</v>
      </c>
      <c r="BY421" t="e">
        <f>AND(#REF!,"AAAAAHd99kw=")</f>
        <v>#REF!</v>
      </c>
      <c r="BZ421" t="e">
        <f>AND(#REF!,"AAAAAHd99k0=")</f>
        <v>#REF!</v>
      </c>
      <c r="CA421" t="e">
        <f>AND(#REF!,"AAAAAHd99k4=")</f>
        <v>#REF!</v>
      </c>
      <c r="CB421" t="e">
        <f>AND(#REF!,"AAAAAHd99k8=")</f>
        <v>#REF!</v>
      </c>
      <c r="CC421" t="e">
        <f>AND(#REF!,"AAAAAHd99lA=")</f>
        <v>#REF!</v>
      </c>
      <c r="CD421" t="e">
        <f>AND(#REF!,"AAAAAHd99lE=")</f>
        <v>#REF!</v>
      </c>
      <c r="CE421" t="e">
        <f>AND(#REF!,"AAAAAHd99lI=")</f>
        <v>#REF!</v>
      </c>
      <c r="CF421" t="e">
        <f>AND(#REF!,"AAAAAHd99lM=")</f>
        <v>#REF!</v>
      </c>
      <c r="CG421" t="e">
        <f>AND(#REF!,"AAAAAHd99lQ=")</f>
        <v>#REF!</v>
      </c>
      <c r="CH421" t="e">
        <f>AND(#REF!,"AAAAAHd99lU=")</f>
        <v>#REF!</v>
      </c>
      <c r="CI421" t="e">
        <f>AND(#REF!,"AAAAAHd99lY=")</f>
        <v>#REF!</v>
      </c>
      <c r="CJ421" t="e">
        <f>AND(#REF!,"AAAAAHd99lc=")</f>
        <v>#REF!</v>
      </c>
      <c r="CK421" t="e">
        <f>AND(#REF!,"AAAAAHd99lg=")</f>
        <v>#REF!</v>
      </c>
      <c r="CL421" t="e">
        <f>AND(#REF!,"AAAAAHd99lk=")</f>
        <v>#REF!</v>
      </c>
      <c r="CM421" t="e">
        <f>IF(#REF!,"AAAAAHd99lo=",0)</f>
        <v>#REF!</v>
      </c>
      <c r="CN421" t="e">
        <f>AND(#REF!,"AAAAAHd99ls=")</f>
        <v>#REF!</v>
      </c>
      <c r="CO421" t="e">
        <f>AND(#REF!,"AAAAAHd99lw=")</f>
        <v>#REF!</v>
      </c>
      <c r="CP421" t="e">
        <f>AND(#REF!,"AAAAAHd99l0=")</f>
        <v>#REF!</v>
      </c>
      <c r="CQ421" t="e">
        <f>AND(#REF!,"AAAAAHd99l4=")</f>
        <v>#REF!</v>
      </c>
      <c r="CR421" t="e">
        <f>AND(#REF!,"AAAAAHd99l8=")</f>
        <v>#REF!</v>
      </c>
      <c r="CS421" t="e">
        <f>AND(#REF!,"AAAAAHd99mA=")</f>
        <v>#REF!</v>
      </c>
      <c r="CT421" t="e">
        <f>AND(#REF!,"AAAAAHd99mE=")</f>
        <v>#REF!</v>
      </c>
      <c r="CU421" t="e">
        <f>AND(#REF!,"AAAAAHd99mI=")</f>
        <v>#REF!</v>
      </c>
      <c r="CV421" t="e">
        <f>AND(#REF!,"AAAAAHd99mM=")</f>
        <v>#REF!</v>
      </c>
      <c r="CW421" t="e">
        <f>AND(#REF!,"AAAAAHd99mQ=")</f>
        <v>#REF!</v>
      </c>
      <c r="CX421" t="e">
        <f>AND(#REF!,"AAAAAHd99mU=")</f>
        <v>#REF!</v>
      </c>
      <c r="CY421" t="e">
        <f>AND(#REF!,"AAAAAHd99mY=")</f>
        <v>#REF!</v>
      </c>
      <c r="CZ421" t="e">
        <f>AND(#REF!,"AAAAAHd99mc=")</f>
        <v>#REF!</v>
      </c>
      <c r="DA421" t="e">
        <f>AND(#REF!,"AAAAAHd99mg=")</f>
        <v>#REF!</v>
      </c>
      <c r="DB421" t="e">
        <f>AND(#REF!,"AAAAAHd99mk=")</f>
        <v>#REF!</v>
      </c>
      <c r="DC421" t="e">
        <f>AND(#REF!,"AAAAAHd99mo=")</f>
        <v>#REF!</v>
      </c>
      <c r="DD421" t="e">
        <f>AND(#REF!,"AAAAAHd99ms=")</f>
        <v>#REF!</v>
      </c>
      <c r="DE421" t="e">
        <f>AND(#REF!,"AAAAAHd99mw=")</f>
        <v>#REF!</v>
      </c>
      <c r="DF421" t="e">
        <f>AND(#REF!,"AAAAAHd99m0=")</f>
        <v>#REF!</v>
      </c>
      <c r="DG421" t="e">
        <f>AND(#REF!,"AAAAAHd99m4=")</f>
        <v>#REF!</v>
      </c>
      <c r="DH421" t="e">
        <f>AND(#REF!,"AAAAAHd99m8=")</f>
        <v>#REF!</v>
      </c>
      <c r="DI421" t="e">
        <f>AND(#REF!,"AAAAAHd99nA=")</f>
        <v>#REF!</v>
      </c>
      <c r="DJ421" t="e">
        <f>AND(#REF!,"AAAAAHd99nE=")</f>
        <v>#REF!</v>
      </c>
      <c r="DK421" t="e">
        <f>AND(#REF!,"AAAAAHd99nI=")</f>
        <v>#REF!</v>
      </c>
      <c r="DL421" t="e">
        <f>IF(#REF!,"AAAAAHd99nM=",0)</f>
        <v>#REF!</v>
      </c>
      <c r="DM421" t="e">
        <f>AND(#REF!,"AAAAAHd99nQ=")</f>
        <v>#REF!</v>
      </c>
      <c r="DN421" t="e">
        <f>AND(#REF!,"AAAAAHd99nU=")</f>
        <v>#REF!</v>
      </c>
      <c r="DO421" t="e">
        <f>AND(#REF!,"AAAAAHd99nY=")</f>
        <v>#REF!</v>
      </c>
      <c r="DP421" t="e">
        <f>AND(#REF!,"AAAAAHd99nc=")</f>
        <v>#REF!</v>
      </c>
      <c r="DQ421" t="e">
        <f>AND(#REF!,"AAAAAHd99ng=")</f>
        <v>#REF!</v>
      </c>
      <c r="DR421" t="e">
        <f>AND(#REF!,"AAAAAHd99nk=")</f>
        <v>#REF!</v>
      </c>
      <c r="DS421" t="e">
        <f>AND(#REF!,"AAAAAHd99no=")</f>
        <v>#REF!</v>
      </c>
      <c r="DT421" t="e">
        <f>AND(#REF!,"AAAAAHd99ns=")</f>
        <v>#REF!</v>
      </c>
      <c r="DU421" t="e">
        <f>AND(#REF!,"AAAAAHd99nw=")</f>
        <v>#REF!</v>
      </c>
      <c r="DV421" t="e">
        <f>AND(#REF!,"AAAAAHd99n0=")</f>
        <v>#REF!</v>
      </c>
      <c r="DW421" t="e">
        <f>AND(#REF!,"AAAAAHd99n4=")</f>
        <v>#REF!</v>
      </c>
      <c r="DX421" t="e">
        <f>AND(#REF!,"AAAAAHd99n8=")</f>
        <v>#REF!</v>
      </c>
      <c r="DY421" t="e">
        <f>AND(#REF!,"AAAAAHd99oA=")</f>
        <v>#REF!</v>
      </c>
      <c r="DZ421" t="e">
        <f>AND(#REF!,"AAAAAHd99oE=")</f>
        <v>#REF!</v>
      </c>
      <c r="EA421" t="e">
        <f>AND(#REF!,"AAAAAHd99oI=")</f>
        <v>#REF!</v>
      </c>
      <c r="EB421" t="e">
        <f>AND(#REF!,"AAAAAHd99oM=")</f>
        <v>#REF!</v>
      </c>
      <c r="EC421" t="e">
        <f>AND(#REF!,"AAAAAHd99oQ=")</f>
        <v>#REF!</v>
      </c>
      <c r="ED421" t="e">
        <f>AND(#REF!,"AAAAAHd99oU=")</f>
        <v>#REF!</v>
      </c>
      <c r="EE421" t="e">
        <f>AND(#REF!,"AAAAAHd99oY=")</f>
        <v>#REF!</v>
      </c>
      <c r="EF421" t="e">
        <f>AND(#REF!,"AAAAAHd99oc=")</f>
        <v>#REF!</v>
      </c>
      <c r="EG421" t="e">
        <f>AND(#REF!,"AAAAAHd99og=")</f>
        <v>#REF!</v>
      </c>
      <c r="EH421" t="e">
        <f>AND(#REF!,"AAAAAHd99ok=")</f>
        <v>#REF!</v>
      </c>
      <c r="EI421" t="e">
        <f>AND(#REF!,"AAAAAHd99oo=")</f>
        <v>#REF!</v>
      </c>
      <c r="EJ421" t="e">
        <f>AND(#REF!,"AAAAAHd99os=")</f>
        <v>#REF!</v>
      </c>
      <c r="EK421" t="e">
        <f>IF(#REF!,"AAAAAHd99ow=",0)</f>
        <v>#REF!</v>
      </c>
      <c r="EL421" t="e">
        <f>AND(#REF!,"AAAAAHd99o0=")</f>
        <v>#REF!</v>
      </c>
      <c r="EM421" t="e">
        <f>AND(#REF!,"AAAAAHd99o4=")</f>
        <v>#REF!</v>
      </c>
      <c r="EN421" t="e">
        <f>AND(#REF!,"AAAAAHd99o8=")</f>
        <v>#REF!</v>
      </c>
      <c r="EO421" t="e">
        <f>AND(#REF!,"AAAAAHd99pA=")</f>
        <v>#REF!</v>
      </c>
      <c r="EP421" t="e">
        <f>AND(#REF!,"AAAAAHd99pE=")</f>
        <v>#REF!</v>
      </c>
      <c r="EQ421" t="e">
        <f>AND(#REF!,"AAAAAHd99pI=")</f>
        <v>#REF!</v>
      </c>
      <c r="ER421" t="e">
        <f>AND(#REF!,"AAAAAHd99pM=")</f>
        <v>#REF!</v>
      </c>
      <c r="ES421" t="e">
        <f>AND(#REF!,"AAAAAHd99pQ=")</f>
        <v>#REF!</v>
      </c>
      <c r="ET421" t="e">
        <f>AND(#REF!,"AAAAAHd99pU=")</f>
        <v>#REF!</v>
      </c>
      <c r="EU421" t="e">
        <f>AND(#REF!,"AAAAAHd99pY=")</f>
        <v>#REF!</v>
      </c>
      <c r="EV421" t="e">
        <f>AND(#REF!,"AAAAAHd99pc=")</f>
        <v>#REF!</v>
      </c>
      <c r="EW421" t="e">
        <f>AND(#REF!,"AAAAAHd99pg=")</f>
        <v>#REF!</v>
      </c>
      <c r="EX421" t="e">
        <f>AND(#REF!,"AAAAAHd99pk=")</f>
        <v>#REF!</v>
      </c>
      <c r="EY421" t="e">
        <f>AND(#REF!,"AAAAAHd99po=")</f>
        <v>#REF!</v>
      </c>
      <c r="EZ421" t="e">
        <f>AND(#REF!,"AAAAAHd99ps=")</f>
        <v>#REF!</v>
      </c>
      <c r="FA421" t="e">
        <f>AND(#REF!,"AAAAAHd99pw=")</f>
        <v>#REF!</v>
      </c>
      <c r="FB421" t="e">
        <f>AND(#REF!,"AAAAAHd99p0=")</f>
        <v>#REF!</v>
      </c>
      <c r="FC421" t="e">
        <f>AND(#REF!,"AAAAAHd99p4=")</f>
        <v>#REF!</v>
      </c>
      <c r="FD421" t="e">
        <f>AND(#REF!,"AAAAAHd99p8=")</f>
        <v>#REF!</v>
      </c>
      <c r="FE421" t="e">
        <f>AND(#REF!,"AAAAAHd99qA=")</f>
        <v>#REF!</v>
      </c>
      <c r="FF421" t="e">
        <f>AND(#REF!,"AAAAAHd99qE=")</f>
        <v>#REF!</v>
      </c>
      <c r="FG421" t="e">
        <f>AND(#REF!,"AAAAAHd99qI=")</f>
        <v>#REF!</v>
      </c>
      <c r="FH421" t="e">
        <f>AND(#REF!,"AAAAAHd99qM=")</f>
        <v>#REF!</v>
      </c>
      <c r="FI421" t="e">
        <f>AND(#REF!,"AAAAAHd99qQ=")</f>
        <v>#REF!</v>
      </c>
      <c r="FJ421" t="e">
        <f>IF(#REF!,"AAAAAHd99qU=",0)</f>
        <v>#REF!</v>
      </c>
      <c r="FK421" t="e">
        <f>AND(#REF!,"AAAAAHd99qY=")</f>
        <v>#REF!</v>
      </c>
      <c r="FL421" t="e">
        <f>AND(#REF!,"AAAAAHd99qc=")</f>
        <v>#REF!</v>
      </c>
      <c r="FM421" t="e">
        <f>AND(#REF!,"AAAAAHd99qg=")</f>
        <v>#REF!</v>
      </c>
      <c r="FN421" t="e">
        <f>AND(#REF!,"AAAAAHd99qk=")</f>
        <v>#REF!</v>
      </c>
      <c r="FO421" t="e">
        <f>AND(#REF!,"AAAAAHd99qo=")</f>
        <v>#REF!</v>
      </c>
      <c r="FP421" t="e">
        <f>AND(#REF!,"AAAAAHd99qs=")</f>
        <v>#REF!</v>
      </c>
      <c r="FQ421" t="e">
        <f>AND(#REF!,"AAAAAHd99qw=")</f>
        <v>#REF!</v>
      </c>
      <c r="FR421" t="e">
        <f>AND(#REF!,"AAAAAHd99q0=")</f>
        <v>#REF!</v>
      </c>
      <c r="FS421" t="e">
        <f>AND(#REF!,"AAAAAHd99q4=")</f>
        <v>#REF!</v>
      </c>
      <c r="FT421" t="e">
        <f>AND(#REF!,"AAAAAHd99q8=")</f>
        <v>#REF!</v>
      </c>
      <c r="FU421" t="e">
        <f>AND(#REF!,"AAAAAHd99rA=")</f>
        <v>#REF!</v>
      </c>
      <c r="FV421" t="e">
        <f>AND(#REF!,"AAAAAHd99rE=")</f>
        <v>#REF!</v>
      </c>
      <c r="FW421" t="e">
        <f>AND(#REF!,"AAAAAHd99rI=")</f>
        <v>#REF!</v>
      </c>
      <c r="FX421" t="e">
        <f>AND(#REF!,"AAAAAHd99rM=")</f>
        <v>#REF!</v>
      </c>
      <c r="FY421" t="e">
        <f>AND(#REF!,"AAAAAHd99rQ=")</f>
        <v>#REF!</v>
      </c>
      <c r="FZ421" t="e">
        <f>AND(#REF!,"AAAAAHd99rU=")</f>
        <v>#REF!</v>
      </c>
      <c r="GA421" t="e">
        <f>AND(#REF!,"AAAAAHd99rY=")</f>
        <v>#REF!</v>
      </c>
      <c r="GB421" t="e">
        <f>AND(#REF!,"AAAAAHd99rc=")</f>
        <v>#REF!</v>
      </c>
      <c r="GC421" t="e">
        <f>AND(#REF!,"AAAAAHd99rg=")</f>
        <v>#REF!</v>
      </c>
      <c r="GD421" t="e">
        <f>AND(#REF!,"AAAAAHd99rk=")</f>
        <v>#REF!</v>
      </c>
      <c r="GE421" t="e">
        <f>AND(#REF!,"AAAAAHd99ro=")</f>
        <v>#REF!</v>
      </c>
      <c r="GF421" t="e">
        <f>AND(#REF!,"AAAAAHd99rs=")</f>
        <v>#REF!</v>
      </c>
      <c r="GG421" t="e">
        <f>AND(#REF!,"AAAAAHd99rw=")</f>
        <v>#REF!</v>
      </c>
      <c r="GH421" t="e">
        <f>AND(#REF!,"AAAAAHd99r0=")</f>
        <v>#REF!</v>
      </c>
      <c r="GI421" t="e">
        <f>IF(#REF!,"AAAAAHd99r4=",0)</f>
        <v>#REF!</v>
      </c>
      <c r="GJ421" t="e">
        <f>AND(#REF!,"AAAAAHd99r8=")</f>
        <v>#REF!</v>
      </c>
      <c r="GK421" t="e">
        <f>AND(#REF!,"AAAAAHd99sA=")</f>
        <v>#REF!</v>
      </c>
      <c r="GL421" t="e">
        <f>AND(#REF!,"AAAAAHd99sE=")</f>
        <v>#REF!</v>
      </c>
      <c r="GM421" t="e">
        <f>AND(#REF!,"AAAAAHd99sI=")</f>
        <v>#REF!</v>
      </c>
      <c r="GN421" t="e">
        <f>AND(#REF!,"AAAAAHd99sM=")</f>
        <v>#REF!</v>
      </c>
      <c r="GO421" t="e">
        <f>AND(#REF!,"AAAAAHd99sQ=")</f>
        <v>#REF!</v>
      </c>
      <c r="GP421" t="e">
        <f>AND(#REF!,"AAAAAHd99sU=")</f>
        <v>#REF!</v>
      </c>
      <c r="GQ421" t="e">
        <f>AND(#REF!,"AAAAAHd99sY=")</f>
        <v>#REF!</v>
      </c>
      <c r="GR421" t="e">
        <f>AND(#REF!,"AAAAAHd99sc=")</f>
        <v>#REF!</v>
      </c>
      <c r="GS421" t="e">
        <f>AND(#REF!,"AAAAAHd99sg=")</f>
        <v>#REF!</v>
      </c>
      <c r="GT421" t="e">
        <f>AND(#REF!,"AAAAAHd99sk=")</f>
        <v>#REF!</v>
      </c>
      <c r="GU421" t="e">
        <f>AND(#REF!,"AAAAAHd99so=")</f>
        <v>#REF!</v>
      </c>
      <c r="GV421" t="e">
        <f>AND(#REF!,"AAAAAHd99ss=")</f>
        <v>#REF!</v>
      </c>
      <c r="GW421" t="e">
        <f>AND(#REF!,"AAAAAHd99sw=")</f>
        <v>#REF!</v>
      </c>
      <c r="GX421" t="e">
        <f>AND(#REF!,"AAAAAHd99s0=")</f>
        <v>#REF!</v>
      </c>
      <c r="GY421" t="e">
        <f>AND(#REF!,"AAAAAHd99s4=")</f>
        <v>#REF!</v>
      </c>
      <c r="GZ421" t="e">
        <f>AND(#REF!,"AAAAAHd99s8=")</f>
        <v>#REF!</v>
      </c>
      <c r="HA421" t="e">
        <f>AND(#REF!,"AAAAAHd99tA=")</f>
        <v>#REF!</v>
      </c>
      <c r="HB421" t="e">
        <f>AND(#REF!,"AAAAAHd99tE=")</f>
        <v>#REF!</v>
      </c>
      <c r="HC421" t="e">
        <f>AND(#REF!,"AAAAAHd99tI=")</f>
        <v>#REF!</v>
      </c>
      <c r="HD421" t="e">
        <f>AND(#REF!,"AAAAAHd99tM=")</f>
        <v>#REF!</v>
      </c>
      <c r="HE421" t="e">
        <f>AND(#REF!,"AAAAAHd99tQ=")</f>
        <v>#REF!</v>
      </c>
      <c r="HF421" t="e">
        <f>AND(#REF!,"AAAAAHd99tU=")</f>
        <v>#REF!</v>
      </c>
      <c r="HG421" t="e">
        <f>AND(#REF!,"AAAAAHd99tY=")</f>
        <v>#REF!</v>
      </c>
      <c r="HH421" t="e">
        <f>IF(#REF!,"AAAAAHd99tc=",0)</f>
        <v>#REF!</v>
      </c>
      <c r="HI421" t="e">
        <f>AND(#REF!,"AAAAAHd99tg=")</f>
        <v>#REF!</v>
      </c>
      <c r="HJ421" t="e">
        <f>AND(#REF!,"AAAAAHd99tk=")</f>
        <v>#REF!</v>
      </c>
      <c r="HK421" t="e">
        <f>AND(#REF!,"AAAAAHd99to=")</f>
        <v>#REF!</v>
      </c>
      <c r="HL421" t="e">
        <f>AND(#REF!,"AAAAAHd99ts=")</f>
        <v>#REF!</v>
      </c>
      <c r="HM421" t="e">
        <f>AND(#REF!,"AAAAAHd99tw=")</f>
        <v>#REF!</v>
      </c>
      <c r="HN421" t="e">
        <f>AND(#REF!,"AAAAAHd99t0=")</f>
        <v>#REF!</v>
      </c>
      <c r="HO421" t="e">
        <f>AND(#REF!,"AAAAAHd99t4=")</f>
        <v>#REF!</v>
      </c>
      <c r="HP421" t="e">
        <f>AND(#REF!,"AAAAAHd99t8=")</f>
        <v>#REF!</v>
      </c>
      <c r="HQ421" t="e">
        <f>AND(#REF!,"AAAAAHd99uA=")</f>
        <v>#REF!</v>
      </c>
      <c r="HR421" t="e">
        <f>AND(#REF!,"AAAAAHd99uE=")</f>
        <v>#REF!</v>
      </c>
      <c r="HS421" t="e">
        <f>AND(#REF!,"AAAAAHd99uI=")</f>
        <v>#REF!</v>
      </c>
      <c r="HT421" t="e">
        <f>AND(#REF!,"AAAAAHd99uM=")</f>
        <v>#REF!</v>
      </c>
      <c r="HU421" t="e">
        <f>AND(#REF!,"AAAAAHd99uQ=")</f>
        <v>#REF!</v>
      </c>
      <c r="HV421" t="e">
        <f>AND(#REF!,"AAAAAHd99uU=")</f>
        <v>#REF!</v>
      </c>
      <c r="HW421" t="e">
        <f>AND(#REF!,"AAAAAHd99uY=")</f>
        <v>#REF!</v>
      </c>
      <c r="HX421" t="e">
        <f>AND(#REF!,"AAAAAHd99uc=")</f>
        <v>#REF!</v>
      </c>
      <c r="HY421" t="e">
        <f>AND(#REF!,"AAAAAHd99ug=")</f>
        <v>#REF!</v>
      </c>
      <c r="HZ421" t="e">
        <f>AND(#REF!,"AAAAAHd99uk=")</f>
        <v>#REF!</v>
      </c>
      <c r="IA421" t="e">
        <f>AND(#REF!,"AAAAAHd99uo=")</f>
        <v>#REF!</v>
      </c>
      <c r="IB421" t="e">
        <f>AND(#REF!,"AAAAAHd99us=")</f>
        <v>#REF!</v>
      </c>
      <c r="IC421" t="e">
        <f>AND(#REF!,"AAAAAHd99uw=")</f>
        <v>#REF!</v>
      </c>
      <c r="ID421" t="e">
        <f>AND(#REF!,"AAAAAHd99u0=")</f>
        <v>#REF!</v>
      </c>
      <c r="IE421" t="e">
        <f>AND(#REF!,"AAAAAHd99u4=")</f>
        <v>#REF!</v>
      </c>
      <c r="IF421" t="e">
        <f>AND(#REF!,"AAAAAHd99u8=")</f>
        <v>#REF!</v>
      </c>
      <c r="IG421" t="e">
        <f>IF(#REF!,"AAAAAHd99vA=",0)</f>
        <v>#REF!</v>
      </c>
      <c r="IH421" t="e">
        <f>AND(#REF!,"AAAAAHd99vE=")</f>
        <v>#REF!</v>
      </c>
      <c r="II421" t="e">
        <f>AND(#REF!,"AAAAAHd99vI=")</f>
        <v>#REF!</v>
      </c>
      <c r="IJ421" t="e">
        <f>AND(#REF!,"AAAAAHd99vM=")</f>
        <v>#REF!</v>
      </c>
      <c r="IK421" t="e">
        <f>AND(#REF!,"AAAAAHd99vQ=")</f>
        <v>#REF!</v>
      </c>
      <c r="IL421" t="e">
        <f>AND(#REF!,"AAAAAHd99vU=")</f>
        <v>#REF!</v>
      </c>
      <c r="IM421" t="e">
        <f>AND(#REF!,"AAAAAHd99vY=")</f>
        <v>#REF!</v>
      </c>
      <c r="IN421" t="e">
        <f>AND(#REF!,"AAAAAHd99vc=")</f>
        <v>#REF!</v>
      </c>
      <c r="IO421" t="e">
        <f>AND(#REF!,"AAAAAHd99vg=")</f>
        <v>#REF!</v>
      </c>
      <c r="IP421" t="e">
        <f>AND(#REF!,"AAAAAHd99vk=")</f>
        <v>#REF!</v>
      </c>
      <c r="IQ421" t="e">
        <f>AND(#REF!,"AAAAAHd99vo=")</f>
        <v>#REF!</v>
      </c>
      <c r="IR421" t="e">
        <f>AND(#REF!,"AAAAAHd99vs=")</f>
        <v>#REF!</v>
      </c>
      <c r="IS421" t="e">
        <f>AND(#REF!,"AAAAAHd99vw=")</f>
        <v>#REF!</v>
      </c>
      <c r="IT421" t="e">
        <f>AND(#REF!,"AAAAAHd99v0=")</f>
        <v>#REF!</v>
      </c>
      <c r="IU421" t="e">
        <f>AND(#REF!,"AAAAAHd99v4=")</f>
        <v>#REF!</v>
      </c>
      <c r="IV421" t="e">
        <f>AND(#REF!,"AAAAAHd99v8=")</f>
        <v>#REF!</v>
      </c>
    </row>
    <row r="422" spans="1:256">
      <c r="A422" t="e">
        <f>AND(#REF!,"AAAAAA6r+wA=")</f>
        <v>#REF!</v>
      </c>
      <c r="B422" t="e">
        <f>AND(#REF!,"AAAAAA6r+wE=")</f>
        <v>#REF!</v>
      </c>
      <c r="C422" t="e">
        <f>AND(#REF!,"AAAAAA6r+wI=")</f>
        <v>#REF!</v>
      </c>
      <c r="D422" t="e">
        <f>AND(#REF!,"AAAAAA6r+wM=")</f>
        <v>#REF!</v>
      </c>
      <c r="E422" t="e">
        <f>AND(#REF!,"AAAAAA6r+wQ=")</f>
        <v>#REF!</v>
      </c>
      <c r="F422" t="e">
        <f>AND(#REF!,"AAAAAA6r+wU=")</f>
        <v>#REF!</v>
      </c>
      <c r="G422" t="e">
        <f>AND(#REF!,"AAAAAA6r+wY=")</f>
        <v>#REF!</v>
      </c>
      <c r="H422" t="e">
        <f>AND(#REF!,"AAAAAA6r+wc=")</f>
        <v>#REF!</v>
      </c>
      <c r="I422" t="e">
        <f>AND(#REF!,"AAAAAA6r+wg=")</f>
        <v>#REF!</v>
      </c>
      <c r="J422" t="e">
        <f>IF(#REF!,"AAAAAA6r+wk=",0)</f>
        <v>#REF!</v>
      </c>
      <c r="K422" t="e">
        <f>AND(#REF!,"AAAAAA6r+wo=")</f>
        <v>#REF!</v>
      </c>
      <c r="L422" t="e">
        <f>AND(#REF!,"AAAAAA6r+ws=")</f>
        <v>#REF!</v>
      </c>
      <c r="M422" t="e">
        <f>AND(#REF!,"AAAAAA6r+ww=")</f>
        <v>#REF!</v>
      </c>
      <c r="N422" t="e">
        <f>AND(#REF!,"AAAAAA6r+w0=")</f>
        <v>#REF!</v>
      </c>
      <c r="O422" t="e">
        <f>AND(#REF!,"AAAAAA6r+w4=")</f>
        <v>#REF!</v>
      </c>
      <c r="P422" t="e">
        <f>AND(#REF!,"AAAAAA6r+w8=")</f>
        <v>#REF!</v>
      </c>
      <c r="Q422" t="e">
        <f>AND(#REF!,"AAAAAA6r+xA=")</f>
        <v>#REF!</v>
      </c>
      <c r="R422" t="e">
        <f>AND(#REF!,"AAAAAA6r+xE=")</f>
        <v>#REF!</v>
      </c>
      <c r="S422" t="e">
        <f>AND(#REF!,"AAAAAA6r+xI=")</f>
        <v>#REF!</v>
      </c>
      <c r="T422" t="e">
        <f>AND(#REF!,"AAAAAA6r+xM=")</f>
        <v>#REF!</v>
      </c>
      <c r="U422" t="e">
        <f>AND(#REF!,"AAAAAA6r+xQ=")</f>
        <v>#REF!</v>
      </c>
      <c r="V422" t="e">
        <f>AND(#REF!,"AAAAAA6r+xU=")</f>
        <v>#REF!</v>
      </c>
      <c r="W422" t="e">
        <f>AND(#REF!,"AAAAAA6r+xY=")</f>
        <v>#REF!</v>
      </c>
      <c r="X422" t="e">
        <f>AND(#REF!,"AAAAAA6r+xc=")</f>
        <v>#REF!</v>
      </c>
      <c r="Y422" t="e">
        <f>AND(#REF!,"AAAAAA6r+xg=")</f>
        <v>#REF!</v>
      </c>
      <c r="Z422" t="e">
        <f>AND(#REF!,"AAAAAA6r+xk=")</f>
        <v>#REF!</v>
      </c>
      <c r="AA422" t="e">
        <f>AND(#REF!,"AAAAAA6r+xo=")</f>
        <v>#REF!</v>
      </c>
      <c r="AB422" t="e">
        <f>AND(#REF!,"AAAAAA6r+xs=")</f>
        <v>#REF!</v>
      </c>
      <c r="AC422" t="e">
        <f>AND(#REF!,"AAAAAA6r+xw=")</f>
        <v>#REF!</v>
      </c>
      <c r="AD422" t="e">
        <f>AND(#REF!,"AAAAAA6r+x0=")</f>
        <v>#REF!</v>
      </c>
      <c r="AE422" t="e">
        <f>AND(#REF!,"AAAAAA6r+x4=")</f>
        <v>#REF!</v>
      </c>
      <c r="AF422" t="e">
        <f>AND(#REF!,"AAAAAA6r+x8=")</f>
        <v>#REF!</v>
      </c>
      <c r="AG422" t="e">
        <f>AND(#REF!,"AAAAAA6r+yA=")</f>
        <v>#REF!</v>
      </c>
      <c r="AH422" t="e">
        <f>AND(#REF!,"AAAAAA6r+yE=")</f>
        <v>#REF!</v>
      </c>
      <c r="AI422" t="e">
        <f>IF(#REF!,"AAAAAA6r+yI=",0)</f>
        <v>#REF!</v>
      </c>
      <c r="AJ422" t="e">
        <f>AND(#REF!,"AAAAAA6r+yM=")</f>
        <v>#REF!</v>
      </c>
      <c r="AK422" t="e">
        <f>AND(#REF!,"AAAAAA6r+yQ=")</f>
        <v>#REF!</v>
      </c>
      <c r="AL422" t="e">
        <f>AND(#REF!,"AAAAAA6r+yU=")</f>
        <v>#REF!</v>
      </c>
      <c r="AM422" t="e">
        <f>AND(#REF!,"AAAAAA6r+yY=")</f>
        <v>#REF!</v>
      </c>
      <c r="AN422" t="e">
        <f>AND(#REF!,"AAAAAA6r+yc=")</f>
        <v>#REF!</v>
      </c>
      <c r="AO422" t="e">
        <f>AND(#REF!,"AAAAAA6r+yg=")</f>
        <v>#REF!</v>
      </c>
      <c r="AP422" t="e">
        <f>AND(#REF!,"AAAAAA6r+yk=")</f>
        <v>#REF!</v>
      </c>
      <c r="AQ422" t="e">
        <f>AND(#REF!,"AAAAAA6r+yo=")</f>
        <v>#REF!</v>
      </c>
      <c r="AR422" t="e">
        <f>AND(#REF!,"AAAAAA6r+ys=")</f>
        <v>#REF!</v>
      </c>
      <c r="AS422" t="e">
        <f>AND(#REF!,"AAAAAA6r+yw=")</f>
        <v>#REF!</v>
      </c>
      <c r="AT422" t="e">
        <f>AND(#REF!,"AAAAAA6r+y0=")</f>
        <v>#REF!</v>
      </c>
      <c r="AU422" t="e">
        <f>AND(#REF!,"AAAAAA6r+y4=")</f>
        <v>#REF!</v>
      </c>
      <c r="AV422" t="e">
        <f>AND(#REF!,"AAAAAA6r+y8=")</f>
        <v>#REF!</v>
      </c>
      <c r="AW422" t="e">
        <f>AND(#REF!,"AAAAAA6r+zA=")</f>
        <v>#REF!</v>
      </c>
      <c r="AX422" t="e">
        <f>AND(#REF!,"AAAAAA6r+zE=")</f>
        <v>#REF!</v>
      </c>
      <c r="AY422" t="e">
        <f>AND(#REF!,"AAAAAA6r+zI=")</f>
        <v>#REF!</v>
      </c>
      <c r="AZ422" t="e">
        <f>AND(#REF!,"AAAAAA6r+zM=")</f>
        <v>#REF!</v>
      </c>
      <c r="BA422" t="e">
        <f>AND(#REF!,"AAAAAA6r+zQ=")</f>
        <v>#REF!</v>
      </c>
      <c r="BB422" t="e">
        <f>AND(#REF!,"AAAAAA6r+zU=")</f>
        <v>#REF!</v>
      </c>
      <c r="BC422" t="e">
        <f>AND(#REF!,"AAAAAA6r+zY=")</f>
        <v>#REF!</v>
      </c>
      <c r="BD422" t="e">
        <f>AND(#REF!,"AAAAAA6r+zc=")</f>
        <v>#REF!</v>
      </c>
      <c r="BE422" t="e">
        <f>AND(#REF!,"AAAAAA6r+zg=")</f>
        <v>#REF!</v>
      </c>
      <c r="BF422" t="e">
        <f>AND(#REF!,"AAAAAA6r+zk=")</f>
        <v>#REF!</v>
      </c>
      <c r="BG422" t="e">
        <f>AND(#REF!,"AAAAAA6r+zo=")</f>
        <v>#REF!</v>
      </c>
      <c r="BH422" t="e">
        <f>IF(#REF!,"AAAAAA6r+zs=",0)</f>
        <v>#REF!</v>
      </c>
      <c r="BI422" t="e">
        <f>AND(#REF!,"AAAAAA6r+zw=")</f>
        <v>#REF!</v>
      </c>
      <c r="BJ422" t="e">
        <f>AND(#REF!,"AAAAAA6r+z0=")</f>
        <v>#REF!</v>
      </c>
      <c r="BK422" t="e">
        <f>AND(#REF!,"AAAAAA6r+z4=")</f>
        <v>#REF!</v>
      </c>
      <c r="BL422" t="e">
        <f>AND(#REF!,"AAAAAA6r+z8=")</f>
        <v>#REF!</v>
      </c>
      <c r="BM422" t="e">
        <f>AND(#REF!,"AAAAAA6r+0A=")</f>
        <v>#REF!</v>
      </c>
      <c r="BN422" t="e">
        <f>AND(#REF!,"AAAAAA6r+0E=")</f>
        <v>#REF!</v>
      </c>
      <c r="BO422" t="e">
        <f>AND(#REF!,"AAAAAA6r+0I=")</f>
        <v>#REF!</v>
      </c>
      <c r="BP422" t="e">
        <f>AND(#REF!,"AAAAAA6r+0M=")</f>
        <v>#REF!</v>
      </c>
      <c r="BQ422" t="e">
        <f>AND(#REF!,"AAAAAA6r+0Q=")</f>
        <v>#REF!</v>
      </c>
      <c r="BR422" t="e">
        <f>AND(#REF!,"AAAAAA6r+0U=")</f>
        <v>#REF!</v>
      </c>
      <c r="BS422" t="e">
        <f>AND(#REF!,"AAAAAA6r+0Y=")</f>
        <v>#REF!</v>
      </c>
      <c r="BT422" t="e">
        <f>AND(#REF!,"AAAAAA6r+0c=")</f>
        <v>#REF!</v>
      </c>
      <c r="BU422" t="e">
        <f>AND(#REF!,"AAAAAA6r+0g=")</f>
        <v>#REF!</v>
      </c>
      <c r="BV422" t="e">
        <f>AND(#REF!,"AAAAAA6r+0k=")</f>
        <v>#REF!</v>
      </c>
      <c r="BW422" t="e">
        <f>AND(#REF!,"AAAAAA6r+0o=")</f>
        <v>#REF!</v>
      </c>
      <c r="BX422" t="e">
        <f>AND(#REF!,"AAAAAA6r+0s=")</f>
        <v>#REF!</v>
      </c>
      <c r="BY422" t="e">
        <f>AND(#REF!,"AAAAAA6r+0w=")</f>
        <v>#REF!</v>
      </c>
      <c r="BZ422" t="e">
        <f>AND(#REF!,"AAAAAA6r+00=")</f>
        <v>#REF!</v>
      </c>
      <c r="CA422" t="e">
        <f>AND(#REF!,"AAAAAA6r+04=")</f>
        <v>#REF!</v>
      </c>
      <c r="CB422" t="e">
        <f>AND(#REF!,"AAAAAA6r+08=")</f>
        <v>#REF!</v>
      </c>
      <c r="CC422" t="e">
        <f>AND(#REF!,"AAAAAA6r+1A=")</f>
        <v>#REF!</v>
      </c>
      <c r="CD422" t="e">
        <f>AND(#REF!,"AAAAAA6r+1E=")</f>
        <v>#REF!</v>
      </c>
      <c r="CE422" t="e">
        <f>AND(#REF!,"AAAAAA6r+1I=")</f>
        <v>#REF!</v>
      </c>
      <c r="CF422" t="e">
        <f>AND(#REF!,"AAAAAA6r+1M=")</f>
        <v>#REF!</v>
      </c>
      <c r="CG422" t="e">
        <f>IF(#REF!,"AAAAAA6r+1Q=",0)</f>
        <v>#REF!</v>
      </c>
      <c r="CH422" t="e">
        <f>AND(#REF!,"AAAAAA6r+1U=")</f>
        <v>#REF!</v>
      </c>
      <c r="CI422" t="e">
        <f>AND(#REF!,"AAAAAA6r+1Y=")</f>
        <v>#REF!</v>
      </c>
      <c r="CJ422" t="e">
        <f>AND(#REF!,"AAAAAA6r+1c=")</f>
        <v>#REF!</v>
      </c>
      <c r="CK422" t="e">
        <f>AND(#REF!,"AAAAAA6r+1g=")</f>
        <v>#REF!</v>
      </c>
      <c r="CL422" t="e">
        <f>AND(#REF!,"AAAAAA6r+1k=")</f>
        <v>#REF!</v>
      </c>
      <c r="CM422" t="e">
        <f>AND(#REF!,"AAAAAA6r+1o=")</f>
        <v>#REF!</v>
      </c>
      <c r="CN422" t="e">
        <f>AND(#REF!,"AAAAAA6r+1s=")</f>
        <v>#REF!</v>
      </c>
      <c r="CO422" t="e">
        <f>AND(#REF!,"AAAAAA6r+1w=")</f>
        <v>#REF!</v>
      </c>
      <c r="CP422" t="e">
        <f>AND(#REF!,"AAAAAA6r+10=")</f>
        <v>#REF!</v>
      </c>
      <c r="CQ422" t="e">
        <f>AND(#REF!,"AAAAAA6r+14=")</f>
        <v>#REF!</v>
      </c>
      <c r="CR422" t="e">
        <f>AND(#REF!,"AAAAAA6r+18=")</f>
        <v>#REF!</v>
      </c>
      <c r="CS422" t="e">
        <f>AND(#REF!,"AAAAAA6r+2A=")</f>
        <v>#REF!</v>
      </c>
      <c r="CT422" t="e">
        <f>AND(#REF!,"AAAAAA6r+2E=")</f>
        <v>#REF!</v>
      </c>
      <c r="CU422" t="e">
        <f>AND(#REF!,"AAAAAA6r+2I=")</f>
        <v>#REF!</v>
      </c>
      <c r="CV422" t="e">
        <f>AND(#REF!,"AAAAAA6r+2M=")</f>
        <v>#REF!</v>
      </c>
      <c r="CW422" t="e">
        <f>AND(#REF!,"AAAAAA6r+2Q=")</f>
        <v>#REF!</v>
      </c>
      <c r="CX422" t="e">
        <f>AND(#REF!,"AAAAAA6r+2U=")</f>
        <v>#REF!</v>
      </c>
      <c r="CY422" t="e">
        <f>AND(#REF!,"AAAAAA6r+2Y=")</f>
        <v>#REF!</v>
      </c>
      <c r="CZ422" t="e">
        <f>AND(#REF!,"AAAAAA6r+2c=")</f>
        <v>#REF!</v>
      </c>
      <c r="DA422" t="e">
        <f>AND(#REF!,"AAAAAA6r+2g=")</f>
        <v>#REF!</v>
      </c>
      <c r="DB422" t="e">
        <f>AND(#REF!,"AAAAAA6r+2k=")</f>
        <v>#REF!</v>
      </c>
      <c r="DC422" t="e">
        <f>AND(#REF!,"AAAAAA6r+2o=")</f>
        <v>#REF!</v>
      </c>
      <c r="DD422" t="e">
        <f>AND(#REF!,"AAAAAA6r+2s=")</f>
        <v>#REF!</v>
      </c>
      <c r="DE422" t="e">
        <f>AND(#REF!,"AAAAAA6r+2w=")</f>
        <v>#REF!</v>
      </c>
      <c r="DF422" t="e">
        <f>IF(#REF!,"AAAAAA6r+20=",0)</f>
        <v>#REF!</v>
      </c>
      <c r="DG422" t="e">
        <f>AND(#REF!,"AAAAAA6r+24=")</f>
        <v>#REF!</v>
      </c>
      <c r="DH422" t="e">
        <f>AND(#REF!,"AAAAAA6r+28=")</f>
        <v>#REF!</v>
      </c>
      <c r="DI422" t="e">
        <f>AND(#REF!,"AAAAAA6r+3A=")</f>
        <v>#REF!</v>
      </c>
      <c r="DJ422" t="e">
        <f>AND(#REF!,"AAAAAA6r+3E=")</f>
        <v>#REF!</v>
      </c>
      <c r="DK422" t="e">
        <f>AND(#REF!,"AAAAAA6r+3I=")</f>
        <v>#REF!</v>
      </c>
      <c r="DL422" t="e">
        <f>AND(#REF!,"AAAAAA6r+3M=")</f>
        <v>#REF!</v>
      </c>
      <c r="DM422" t="e">
        <f>AND(#REF!,"AAAAAA6r+3Q=")</f>
        <v>#REF!</v>
      </c>
      <c r="DN422" t="e">
        <f>AND(#REF!,"AAAAAA6r+3U=")</f>
        <v>#REF!</v>
      </c>
      <c r="DO422" t="e">
        <f>AND(#REF!,"AAAAAA6r+3Y=")</f>
        <v>#REF!</v>
      </c>
      <c r="DP422" t="e">
        <f>AND(#REF!,"AAAAAA6r+3c=")</f>
        <v>#REF!</v>
      </c>
      <c r="DQ422" t="e">
        <f>AND(#REF!,"AAAAAA6r+3g=")</f>
        <v>#REF!</v>
      </c>
      <c r="DR422" t="e">
        <f>AND(#REF!,"AAAAAA6r+3k=")</f>
        <v>#REF!</v>
      </c>
      <c r="DS422" t="e">
        <f>AND(#REF!,"AAAAAA6r+3o=")</f>
        <v>#REF!</v>
      </c>
      <c r="DT422" t="e">
        <f>AND(#REF!,"AAAAAA6r+3s=")</f>
        <v>#REF!</v>
      </c>
      <c r="DU422" t="e">
        <f>AND(#REF!,"AAAAAA6r+3w=")</f>
        <v>#REF!</v>
      </c>
      <c r="DV422" t="e">
        <f>AND(#REF!,"AAAAAA6r+30=")</f>
        <v>#REF!</v>
      </c>
      <c r="DW422" t="e">
        <f>AND(#REF!,"AAAAAA6r+34=")</f>
        <v>#REF!</v>
      </c>
      <c r="DX422" t="e">
        <f>AND(#REF!,"AAAAAA6r+38=")</f>
        <v>#REF!</v>
      </c>
      <c r="DY422" t="e">
        <f>AND(#REF!,"AAAAAA6r+4A=")</f>
        <v>#REF!</v>
      </c>
      <c r="DZ422" t="e">
        <f>AND(#REF!,"AAAAAA6r+4E=")</f>
        <v>#REF!</v>
      </c>
      <c r="EA422" t="e">
        <f>AND(#REF!,"AAAAAA6r+4I=")</f>
        <v>#REF!</v>
      </c>
      <c r="EB422" t="e">
        <f>AND(#REF!,"AAAAAA6r+4M=")</f>
        <v>#REF!</v>
      </c>
      <c r="EC422" t="e">
        <f>AND(#REF!,"AAAAAA6r+4Q=")</f>
        <v>#REF!</v>
      </c>
      <c r="ED422" t="e">
        <f>AND(#REF!,"AAAAAA6r+4U=")</f>
        <v>#REF!</v>
      </c>
      <c r="EE422" t="e">
        <f>IF(#REF!,"AAAAAA6r+4Y=",0)</f>
        <v>#REF!</v>
      </c>
      <c r="EF422" t="e">
        <f>AND(#REF!,"AAAAAA6r+4c=")</f>
        <v>#REF!</v>
      </c>
      <c r="EG422" t="e">
        <f>AND(#REF!,"AAAAAA6r+4g=")</f>
        <v>#REF!</v>
      </c>
      <c r="EH422" t="e">
        <f>AND(#REF!,"AAAAAA6r+4k=")</f>
        <v>#REF!</v>
      </c>
      <c r="EI422" t="e">
        <f>AND(#REF!,"AAAAAA6r+4o=")</f>
        <v>#REF!</v>
      </c>
      <c r="EJ422" t="e">
        <f>AND(#REF!,"AAAAAA6r+4s=")</f>
        <v>#REF!</v>
      </c>
      <c r="EK422" t="e">
        <f>AND(#REF!,"AAAAAA6r+4w=")</f>
        <v>#REF!</v>
      </c>
      <c r="EL422" t="e">
        <f>AND(#REF!,"AAAAAA6r+40=")</f>
        <v>#REF!</v>
      </c>
      <c r="EM422" t="e">
        <f>AND(#REF!,"AAAAAA6r+44=")</f>
        <v>#REF!</v>
      </c>
      <c r="EN422" t="e">
        <f>AND(#REF!,"AAAAAA6r+48=")</f>
        <v>#REF!</v>
      </c>
      <c r="EO422" t="e">
        <f>AND(#REF!,"AAAAAA6r+5A=")</f>
        <v>#REF!</v>
      </c>
      <c r="EP422" t="e">
        <f>AND(#REF!,"AAAAAA6r+5E=")</f>
        <v>#REF!</v>
      </c>
      <c r="EQ422" t="e">
        <f>AND(#REF!,"AAAAAA6r+5I=")</f>
        <v>#REF!</v>
      </c>
      <c r="ER422" t="e">
        <f>AND(#REF!,"AAAAAA6r+5M=")</f>
        <v>#REF!</v>
      </c>
      <c r="ES422" t="e">
        <f>AND(#REF!,"AAAAAA6r+5Q=")</f>
        <v>#REF!</v>
      </c>
      <c r="ET422" t="e">
        <f>AND(#REF!,"AAAAAA6r+5U=")</f>
        <v>#REF!</v>
      </c>
      <c r="EU422" t="e">
        <f>AND(#REF!,"AAAAAA6r+5Y=")</f>
        <v>#REF!</v>
      </c>
      <c r="EV422" t="e">
        <f>AND(#REF!,"AAAAAA6r+5c=")</f>
        <v>#REF!</v>
      </c>
      <c r="EW422" t="e">
        <f>AND(#REF!,"AAAAAA6r+5g=")</f>
        <v>#REF!</v>
      </c>
      <c r="EX422" t="e">
        <f>AND(#REF!,"AAAAAA6r+5k=")</f>
        <v>#REF!</v>
      </c>
      <c r="EY422" t="e">
        <f>AND(#REF!,"AAAAAA6r+5o=")</f>
        <v>#REF!</v>
      </c>
      <c r="EZ422" t="e">
        <f>AND(#REF!,"AAAAAA6r+5s=")</f>
        <v>#REF!</v>
      </c>
      <c r="FA422" t="e">
        <f>AND(#REF!,"AAAAAA6r+5w=")</f>
        <v>#REF!</v>
      </c>
      <c r="FB422" t="e">
        <f>AND(#REF!,"AAAAAA6r+50=")</f>
        <v>#REF!</v>
      </c>
      <c r="FC422" t="e">
        <f>AND(#REF!,"AAAAAA6r+54=")</f>
        <v>#REF!</v>
      </c>
      <c r="FD422" t="e">
        <f>IF(#REF!,"AAAAAA6r+58=",0)</f>
        <v>#REF!</v>
      </c>
      <c r="FE422" t="e">
        <f>AND(#REF!,"AAAAAA6r+6A=")</f>
        <v>#REF!</v>
      </c>
      <c r="FF422" t="e">
        <f>AND(#REF!,"AAAAAA6r+6E=")</f>
        <v>#REF!</v>
      </c>
      <c r="FG422" t="e">
        <f>AND(#REF!,"AAAAAA6r+6I=")</f>
        <v>#REF!</v>
      </c>
      <c r="FH422" t="e">
        <f>AND(#REF!,"AAAAAA6r+6M=")</f>
        <v>#REF!</v>
      </c>
      <c r="FI422" t="e">
        <f>AND(#REF!,"AAAAAA6r+6Q=")</f>
        <v>#REF!</v>
      </c>
      <c r="FJ422" t="e">
        <f>AND(#REF!,"AAAAAA6r+6U=")</f>
        <v>#REF!</v>
      </c>
      <c r="FK422" t="e">
        <f>AND(#REF!,"AAAAAA6r+6Y=")</f>
        <v>#REF!</v>
      </c>
      <c r="FL422" t="e">
        <f>AND(#REF!,"AAAAAA6r+6c=")</f>
        <v>#REF!</v>
      </c>
      <c r="FM422" t="e">
        <f>AND(#REF!,"AAAAAA6r+6g=")</f>
        <v>#REF!</v>
      </c>
      <c r="FN422" t="e">
        <f>AND(#REF!,"AAAAAA6r+6k=")</f>
        <v>#REF!</v>
      </c>
      <c r="FO422" t="e">
        <f>AND(#REF!,"AAAAAA6r+6o=")</f>
        <v>#REF!</v>
      </c>
      <c r="FP422" t="e">
        <f>AND(#REF!,"AAAAAA6r+6s=")</f>
        <v>#REF!</v>
      </c>
      <c r="FQ422" t="e">
        <f>AND(#REF!,"AAAAAA6r+6w=")</f>
        <v>#REF!</v>
      </c>
      <c r="FR422" t="e">
        <f>AND(#REF!,"AAAAAA6r+60=")</f>
        <v>#REF!</v>
      </c>
      <c r="FS422" t="e">
        <f>AND(#REF!,"AAAAAA6r+64=")</f>
        <v>#REF!</v>
      </c>
      <c r="FT422" t="e">
        <f>AND(#REF!,"AAAAAA6r+68=")</f>
        <v>#REF!</v>
      </c>
      <c r="FU422" t="e">
        <f>AND(#REF!,"AAAAAA6r+7A=")</f>
        <v>#REF!</v>
      </c>
      <c r="FV422" t="e">
        <f>AND(#REF!,"AAAAAA6r+7E=")</f>
        <v>#REF!</v>
      </c>
      <c r="FW422" t="e">
        <f>AND(#REF!,"AAAAAA6r+7I=")</f>
        <v>#REF!</v>
      </c>
      <c r="FX422" t="e">
        <f>AND(#REF!,"AAAAAA6r+7M=")</f>
        <v>#REF!</v>
      </c>
      <c r="FY422" t="e">
        <f>AND(#REF!,"AAAAAA6r+7Q=")</f>
        <v>#REF!</v>
      </c>
      <c r="FZ422" t="e">
        <f>AND(#REF!,"AAAAAA6r+7U=")</f>
        <v>#REF!</v>
      </c>
      <c r="GA422" t="e">
        <f>AND(#REF!,"AAAAAA6r+7Y=")</f>
        <v>#REF!</v>
      </c>
      <c r="GB422" t="e">
        <f>AND(#REF!,"AAAAAA6r+7c=")</f>
        <v>#REF!</v>
      </c>
      <c r="GC422" t="e">
        <f>IF(#REF!,"AAAAAA6r+7g=",0)</f>
        <v>#REF!</v>
      </c>
      <c r="GD422" t="e">
        <f>AND(#REF!,"AAAAAA6r+7k=")</f>
        <v>#REF!</v>
      </c>
      <c r="GE422" t="e">
        <f>AND(#REF!,"AAAAAA6r+7o=")</f>
        <v>#REF!</v>
      </c>
      <c r="GF422" t="e">
        <f>AND(#REF!,"AAAAAA6r+7s=")</f>
        <v>#REF!</v>
      </c>
      <c r="GG422" t="e">
        <f>AND(#REF!,"AAAAAA6r+7w=")</f>
        <v>#REF!</v>
      </c>
      <c r="GH422" t="e">
        <f>AND(#REF!,"AAAAAA6r+70=")</f>
        <v>#REF!</v>
      </c>
      <c r="GI422" t="e">
        <f>AND(#REF!,"AAAAAA6r+74=")</f>
        <v>#REF!</v>
      </c>
      <c r="GJ422" t="e">
        <f>AND(#REF!,"AAAAAA6r+78=")</f>
        <v>#REF!</v>
      </c>
      <c r="GK422" t="e">
        <f>AND(#REF!,"AAAAAA6r+8A=")</f>
        <v>#REF!</v>
      </c>
      <c r="GL422" t="e">
        <f>AND(#REF!,"AAAAAA6r+8E=")</f>
        <v>#REF!</v>
      </c>
      <c r="GM422" t="e">
        <f>AND(#REF!,"AAAAAA6r+8I=")</f>
        <v>#REF!</v>
      </c>
      <c r="GN422" t="e">
        <f>AND(#REF!,"AAAAAA6r+8M=")</f>
        <v>#REF!</v>
      </c>
      <c r="GO422" t="e">
        <f>AND(#REF!,"AAAAAA6r+8Q=")</f>
        <v>#REF!</v>
      </c>
      <c r="GP422" t="e">
        <f>AND(#REF!,"AAAAAA6r+8U=")</f>
        <v>#REF!</v>
      </c>
      <c r="GQ422" t="e">
        <f>AND(#REF!,"AAAAAA6r+8Y=")</f>
        <v>#REF!</v>
      </c>
      <c r="GR422" t="e">
        <f>AND(#REF!,"AAAAAA6r+8c=")</f>
        <v>#REF!</v>
      </c>
      <c r="GS422" t="e">
        <f>AND(#REF!,"AAAAAA6r+8g=")</f>
        <v>#REF!</v>
      </c>
      <c r="GT422" t="e">
        <f>AND(#REF!,"AAAAAA6r+8k=")</f>
        <v>#REF!</v>
      </c>
      <c r="GU422" t="e">
        <f>AND(#REF!,"AAAAAA6r+8o=")</f>
        <v>#REF!</v>
      </c>
      <c r="GV422" t="e">
        <f>AND(#REF!,"AAAAAA6r+8s=")</f>
        <v>#REF!</v>
      </c>
      <c r="GW422" t="e">
        <f>AND(#REF!,"AAAAAA6r+8w=")</f>
        <v>#REF!</v>
      </c>
      <c r="GX422" t="e">
        <f>AND(#REF!,"AAAAAA6r+80=")</f>
        <v>#REF!</v>
      </c>
      <c r="GY422" t="e">
        <f>AND(#REF!,"AAAAAA6r+84=")</f>
        <v>#REF!</v>
      </c>
      <c r="GZ422" t="e">
        <f>AND(#REF!,"AAAAAA6r+88=")</f>
        <v>#REF!</v>
      </c>
      <c r="HA422" t="e">
        <f>AND(#REF!,"AAAAAA6r+9A=")</f>
        <v>#REF!</v>
      </c>
      <c r="HB422" t="e">
        <f>IF(#REF!,"AAAAAA6r+9E=",0)</f>
        <v>#REF!</v>
      </c>
      <c r="HC422" t="e">
        <f>AND(#REF!,"AAAAAA6r+9I=")</f>
        <v>#REF!</v>
      </c>
      <c r="HD422" t="e">
        <f>AND(#REF!,"AAAAAA6r+9M=")</f>
        <v>#REF!</v>
      </c>
      <c r="HE422" t="e">
        <f>AND(#REF!,"AAAAAA6r+9Q=")</f>
        <v>#REF!</v>
      </c>
      <c r="HF422" t="e">
        <f>AND(#REF!,"AAAAAA6r+9U=")</f>
        <v>#REF!</v>
      </c>
      <c r="HG422" t="e">
        <f>AND(#REF!,"AAAAAA6r+9Y=")</f>
        <v>#REF!</v>
      </c>
      <c r="HH422" t="e">
        <f>AND(#REF!,"AAAAAA6r+9c=")</f>
        <v>#REF!</v>
      </c>
      <c r="HI422" t="e">
        <f>AND(#REF!,"AAAAAA6r+9g=")</f>
        <v>#REF!</v>
      </c>
      <c r="HJ422" t="e">
        <f>AND(#REF!,"AAAAAA6r+9k=")</f>
        <v>#REF!</v>
      </c>
      <c r="HK422" t="e">
        <f>AND(#REF!,"AAAAAA6r+9o=")</f>
        <v>#REF!</v>
      </c>
      <c r="HL422" t="e">
        <f>AND(#REF!,"AAAAAA6r+9s=")</f>
        <v>#REF!</v>
      </c>
      <c r="HM422" t="e">
        <f>AND(#REF!,"AAAAAA6r+9w=")</f>
        <v>#REF!</v>
      </c>
      <c r="HN422" t="e">
        <f>AND(#REF!,"AAAAAA6r+90=")</f>
        <v>#REF!</v>
      </c>
      <c r="HO422" t="e">
        <f>AND(#REF!,"AAAAAA6r+94=")</f>
        <v>#REF!</v>
      </c>
      <c r="HP422" t="e">
        <f>AND(#REF!,"AAAAAA6r+98=")</f>
        <v>#REF!</v>
      </c>
      <c r="HQ422" t="e">
        <f>AND(#REF!,"AAAAAA6r++A=")</f>
        <v>#REF!</v>
      </c>
      <c r="HR422" t="e">
        <f>AND(#REF!,"AAAAAA6r++E=")</f>
        <v>#REF!</v>
      </c>
      <c r="HS422" t="e">
        <f>AND(#REF!,"AAAAAA6r++I=")</f>
        <v>#REF!</v>
      </c>
      <c r="HT422" t="e">
        <f>AND(#REF!,"AAAAAA6r++M=")</f>
        <v>#REF!</v>
      </c>
      <c r="HU422" t="e">
        <f>AND(#REF!,"AAAAAA6r++Q=")</f>
        <v>#REF!</v>
      </c>
      <c r="HV422" t="e">
        <f>AND(#REF!,"AAAAAA6r++U=")</f>
        <v>#REF!</v>
      </c>
      <c r="HW422" t="e">
        <f>AND(#REF!,"AAAAAA6r++Y=")</f>
        <v>#REF!</v>
      </c>
      <c r="HX422" t="e">
        <f>AND(#REF!,"AAAAAA6r++c=")</f>
        <v>#REF!</v>
      </c>
      <c r="HY422" t="e">
        <f>AND(#REF!,"AAAAAA6r++g=")</f>
        <v>#REF!</v>
      </c>
      <c r="HZ422" t="e">
        <f>AND(#REF!,"AAAAAA6r++k=")</f>
        <v>#REF!</v>
      </c>
      <c r="IA422" t="e">
        <f>IF(#REF!,"AAAAAA6r++o=",0)</f>
        <v>#REF!</v>
      </c>
      <c r="IB422" t="e">
        <f>AND(#REF!,"AAAAAA6r++s=")</f>
        <v>#REF!</v>
      </c>
      <c r="IC422" t="e">
        <f>AND(#REF!,"AAAAAA6r++w=")</f>
        <v>#REF!</v>
      </c>
      <c r="ID422" t="e">
        <f>AND(#REF!,"AAAAAA6r++0=")</f>
        <v>#REF!</v>
      </c>
      <c r="IE422" t="e">
        <f>AND(#REF!,"AAAAAA6r++4=")</f>
        <v>#REF!</v>
      </c>
      <c r="IF422" t="e">
        <f>AND(#REF!,"AAAAAA6r++8=")</f>
        <v>#REF!</v>
      </c>
      <c r="IG422" t="e">
        <f>AND(#REF!,"AAAAAA6r+/A=")</f>
        <v>#REF!</v>
      </c>
      <c r="IH422" t="e">
        <f>AND(#REF!,"AAAAAA6r+/E=")</f>
        <v>#REF!</v>
      </c>
      <c r="II422" t="e">
        <f>AND(#REF!,"AAAAAA6r+/I=")</f>
        <v>#REF!</v>
      </c>
      <c r="IJ422" t="e">
        <f>AND(#REF!,"AAAAAA6r+/M=")</f>
        <v>#REF!</v>
      </c>
      <c r="IK422" t="e">
        <f>AND(#REF!,"AAAAAA6r+/Q=")</f>
        <v>#REF!</v>
      </c>
      <c r="IL422" t="e">
        <f>AND(#REF!,"AAAAAA6r+/U=")</f>
        <v>#REF!</v>
      </c>
      <c r="IM422" t="e">
        <f>AND(#REF!,"AAAAAA6r+/Y=")</f>
        <v>#REF!</v>
      </c>
      <c r="IN422" t="e">
        <f>AND(#REF!,"AAAAAA6r+/c=")</f>
        <v>#REF!</v>
      </c>
      <c r="IO422" t="e">
        <f>AND(#REF!,"AAAAAA6r+/g=")</f>
        <v>#REF!</v>
      </c>
      <c r="IP422" t="e">
        <f>AND(#REF!,"AAAAAA6r+/k=")</f>
        <v>#REF!</v>
      </c>
      <c r="IQ422" t="e">
        <f>AND(#REF!,"AAAAAA6r+/o=")</f>
        <v>#REF!</v>
      </c>
      <c r="IR422" t="e">
        <f>AND(#REF!,"AAAAAA6r+/s=")</f>
        <v>#REF!</v>
      </c>
      <c r="IS422" t="e">
        <f>AND(#REF!,"AAAAAA6r+/w=")</f>
        <v>#REF!</v>
      </c>
      <c r="IT422" t="e">
        <f>AND(#REF!,"AAAAAA6r+/0=")</f>
        <v>#REF!</v>
      </c>
      <c r="IU422" t="e">
        <f>AND(#REF!,"AAAAAA6r+/4=")</f>
        <v>#REF!</v>
      </c>
      <c r="IV422" t="e">
        <f>AND(#REF!,"AAAAAA6r+/8=")</f>
        <v>#REF!</v>
      </c>
    </row>
    <row r="423" spans="1:256">
      <c r="A423" t="e">
        <f>AND(#REF!,"AAAAABv/vgA=")</f>
        <v>#REF!</v>
      </c>
      <c r="B423" t="e">
        <f>AND(#REF!,"AAAAABv/vgE=")</f>
        <v>#REF!</v>
      </c>
      <c r="C423" t="e">
        <f>AND(#REF!,"AAAAABv/vgI=")</f>
        <v>#REF!</v>
      </c>
      <c r="D423" t="e">
        <f>IF(#REF!,"AAAAABv/vgM=",0)</f>
        <v>#REF!</v>
      </c>
      <c r="E423" t="e">
        <f>AND(#REF!,"AAAAABv/vgQ=")</f>
        <v>#REF!</v>
      </c>
      <c r="F423" t="e">
        <f>AND(#REF!,"AAAAABv/vgU=")</f>
        <v>#REF!</v>
      </c>
      <c r="G423" t="e">
        <f>AND(#REF!,"AAAAABv/vgY=")</f>
        <v>#REF!</v>
      </c>
      <c r="H423" t="e">
        <f>AND(#REF!,"AAAAABv/vgc=")</f>
        <v>#REF!</v>
      </c>
      <c r="I423" t="e">
        <f>AND(#REF!,"AAAAABv/vgg=")</f>
        <v>#REF!</v>
      </c>
      <c r="J423" t="e">
        <f>AND(#REF!,"AAAAABv/vgk=")</f>
        <v>#REF!</v>
      </c>
      <c r="K423" t="e">
        <f>AND(#REF!,"AAAAABv/vgo=")</f>
        <v>#REF!</v>
      </c>
      <c r="L423" t="e">
        <f>AND(#REF!,"AAAAABv/vgs=")</f>
        <v>#REF!</v>
      </c>
      <c r="M423" t="e">
        <f>AND(#REF!,"AAAAABv/vgw=")</f>
        <v>#REF!</v>
      </c>
      <c r="N423" t="e">
        <f>AND(#REF!,"AAAAABv/vg0=")</f>
        <v>#REF!</v>
      </c>
      <c r="O423" t="e">
        <f>AND(#REF!,"AAAAABv/vg4=")</f>
        <v>#REF!</v>
      </c>
      <c r="P423" t="e">
        <f>AND(#REF!,"AAAAABv/vg8=")</f>
        <v>#REF!</v>
      </c>
      <c r="Q423" t="e">
        <f>AND(#REF!,"AAAAABv/vhA=")</f>
        <v>#REF!</v>
      </c>
      <c r="R423" t="e">
        <f>AND(#REF!,"AAAAABv/vhE=")</f>
        <v>#REF!</v>
      </c>
      <c r="S423" t="e">
        <f>AND(#REF!,"AAAAABv/vhI=")</f>
        <v>#REF!</v>
      </c>
      <c r="T423" t="e">
        <f>AND(#REF!,"AAAAABv/vhM=")</f>
        <v>#REF!</v>
      </c>
      <c r="U423" t="e">
        <f>AND(#REF!,"AAAAABv/vhQ=")</f>
        <v>#REF!</v>
      </c>
      <c r="V423" t="e">
        <f>AND(#REF!,"AAAAABv/vhU=")</f>
        <v>#REF!</v>
      </c>
      <c r="W423" t="e">
        <f>AND(#REF!,"AAAAABv/vhY=")</f>
        <v>#REF!</v>
      </c>
      <c r="X423" t="e">
        <f>AND(#REF!,"AAAAABv/vhc=")</f>
        <v>#REF!</v>
      </c>
      <c r="Y423" t="e">
        <f>AND(#REF!,"AAAAABv/vhg=")</f>
        <v>#REF!</v>
      </c>
      <c r="Z423" t="e">
        <f>AND(#REF!,"AAAAABv/vhk=")</f>
        <v>#REF!</v>
      </c>
      <c r="AA423" t="e">
        <f>AND(#REF!,"AAAAABv/vho=")</f>
        <v>#REF!</v>
      </c>
      <c r="AB423" t="e">
        <f>AND(#REF!,"AAAAABv/vhs=")</f>
        <v>#REF!</v>
      </c>
      <c r="AC423" t="e">
        <f>IF(#REF!,"AAAAABv/vhw=",0)</f>
        <v>#REF!</v>
      </c>
      <c r="AD423" t="e">
        <f>AND(#REF!,"AAAAABv/vh0=")</f>
        <v>#REF!</v>
      </c>
      <c r="AE423" t="e">
        <f>AND(#REF!,"AAAAABv/vh4=")</f>
        <v>#REF!</v>
      </c>
      <c r="AF423" t="e">
        <f>AND(#REF!,"AAAAABv/vh8=")</f>
        <v>#REF!</v>
      </c>
      <c r="AG423" t="e">
        <f>AND(#REF!,"AAAAABv/viA=")</f>
        <v>#REF!</v>
      </c>
      <c r="AH423" t="e">
        <f>AND(#REF!,"AAAAABv/viE=")</f>
        <v>#REF!</v>
      </c>
      <c r="AI423" t="e">
        <f>AND(#REF!,"AAAAABv/viI=")</f>
        <v>#REF!</v>
      </c>
      <c r="AJ423" t="e">
        <f>AND(#REF!,"AAAAABv/viM=")</f>
        <v>#REF!</v>
      </c>
      <c r="AK423" t="e">
        <f>AND(#REF!,"AAAAABv/viQ=")</f>
        <v>#REF!</v>
      </c>
      <c r="AL423" t="e">
        <f>AND(#REF!,"AAAAABv/viU=")</f>
        <v>#REF!</v>
      </c>
      <c r="AM423" t="e">
        <f>AND(#REF!,"AAAAABv/viY=")</f>
        <v>#REF!</v>
      </c>
      <c r="AN423" t="e">
        <f>AND(#REF!,"AAAAABv/vic=")</f>
        <v>#REF!</v>
      </c>
      <c r="AO423" t="e">
        <f>AND(#REF!,"AAAAABv/vig=")</f>
        <v>#REF!</v>
      </c>
      <c r="AP423" t="e">
        <f>AND(#REF!,"AAAAABv/vik=")</f>
        <v>#REF!</v>
      </c>
      <c r="AQ423" t="e">
        <f>AND(#REF!,"AAAAABv/vio=")</f>
        <v>#REF!</v>
      </c>
      <c r="AR423" t="e">
        <f>AND(#REF!,"AAAAABv/vis=")</f>
        <v>#REF!</v>
      </c>
      <c r="AS423" t="e">
        <f>AND(#REF!,"AAAAABv/viw=")</f>
        <v>#REF!</v>
      </c>
      <c r="AT423" t="e">
        <f>AND(#REF!,"AAAAABv/vi0=")</f>
        <v>#REF!</v>
      </c>
      <c r="AU423" t="e">
        <f>AND(#REF!,"AAAAABv/vi4=")</f>
        <v>#REF!</v>
      </c>
      <c r="AV423" t="e">
        <f>AND(#REF!,"AAAAABv/vi8=")</f>
        <v>#REF!</v>
      </c>
      <c r="AW423" t="e">
        <f>AND(#REF!,"AAAAABv/vjA=")</f>
        <v>#REF!</v>
      </c>
      <c r="AX423" t="e">
        <f>AND(#REF!,"AAAAABv/vjE=")</f>
        <v>#REF!</v>
      </c>
      <c r="AY423" t="e">
        <f>AND(#REF!,"AAAAABv/vjI=")</f>
        <v>#REF!</v>
      </c>
      <c r="AZ423" t="e">
        <f>AND(#REF!,"AAAAABv/vjM=")</f>
        <v>#REF!</v>
      </c>
      <c r="BA423" t="e">
        <f>AND(#REF!,"AAAAABv/vjQ=")</f>
        <v>#REF!</v>
      </c>
      <c r="BB423" t="e">
        <f>IF(#REF!,"AAAAABv/vjU=",0)</f>
        <v>#REF!</v>
      </c>
      <c r="BC423" t="e">
        <f>AND(#REF!,"AAAAABv/vjY=")</f>
        <v>#REF!</v>
      </c>
      <c r="BD423" t="e">
        <f>AND(#REF!,"AAAAABv/vjc=")</f>
        <v>#REF!</v>
      </c>
      <c r="BE423" t="e">
        <f>AND(#REF!,"AAAAABv/vjg=")</f>
        <v>#REF!</v>
      </c>
      <c r="BF423" t="e">
        <f>AND(#REF!,"AAAAABv/vjk=")</f>
        <v>#REF!</v>
      </c>
      <c r="BG423" t="e">
        <f>AND(#REF!,"AAAAABv/vjo=")</f>
        <v>#REF!</v>
      </c>
      <c r="BH423" t="e">
        <f>AND(#REF!,"AAAAABv/vjs=")</f>
        <v>#REF!</v>
      </c>
      <c r="BI423" t="e">
        <f>AND(#REF!,"AAAAABv/vjw=")</f>
        <v>#REF!</v>
      </c>
      <c r="BJ423" t="e">
        <f>AND(#REF!,"AAAAABv/vj0=")</f>
        <v>#REF!</v>
      </c>
      <c r="BK423" t="e">
        <f>AND(#REF!,"AAAAABv/vj4=")</f>
        <v>#REF!</v>
      </c>
      <c r="BL423" t="e">
        <f>AND(#REF!,"AAAAABv/vj8=")</f>
        <v>#REF!</v>
      </c>
      <c r="BM423" t="e">
        <f>AND(#REF!,"AAAAABv/vkA=")</f>
        <v>#REF!</v>
      </c>
      <c r="BN423" t="e">
        <f>AND(#REF!,"AAAAABv/vkE=")</f>
        <v>#REF!</v>
      </c>
      <c r="BO423" t="e">
        <f>AND(#REF!,"AAAAABv/vkI=")</f>
        <v>#REF!</v>
      </c>
      <c r="BP423" t="e">
        <f>AND(#REF!,"AAAAABv/vkM=")</f>
        <v>#REF!</v>
      </c>
      <c r="BQ423" t="e">
        <f>AND(#REF!,"AAAAABv/vkQ=")</f>
        <v>#REF!</v>
      </c>
      <c r="BR423" t="e">
        <f>AND(#REF!,"AAAAABv/vkU=")</f>
        <v>#REF!</v>
      </c>
      <c r="BS423" t="e">
        <f>AND(#REF!,"AAAAABv/vkY=")</f>
        <v>#REF!</v>
      </c>
      <c r="BT423" t="e">
        <f>AND(#REF!,"AAAAABv/vkc=")</f>
        <v>#REF!</v>
      </c>
      <c r="BU423" t="e">
        <f>AND(#REF!,"AAAAABv/vkg=")</f>
        <v>#REF!</v>
      </c>
      <c r="BV423" t="e">
        <f>AND(#REF!,"AAAAABv/vkk=")</f>
        <v>#REF!</v>
      </c>
      <c r="BW423" t="e">
        <f>AND(#REF!,"AAAAABv/vko=")</f>
        <v>#REF!</v>
      </c>
      <c r="BX423" t="e">
        <f>AND(#REF!,"AAAAABv/vks=")</f>
        <v>#REF!</v>
      </c>
      <c r="BY423" t="e">
        <f>AND(#REF!,"AAAAABv/vkw=")</f>
        <v>#REF!</v>
      </c>
      <c r="BZ423" t="e">
        <f>AND(#REF!,"AAAAABv/vk0=")</f>
        <v>#REF!</v>
      </c>
      <c r="CA423" t="e">
        <f>IF(#REF!,"AAAAABv/vk4=",0)</f>
        <v>#REF!</v>
      </c>
      <c r="CB423" t="e">
        <f>AND(#REF!,"AAAAABv/vk8=")</f>
        <v>#REF!</v>
      </c>
      <c r="CC423" t="e">
        <f>AND(#REF!,"AAAAABv/vlA=")</f>
        <v>#REF!</v>
      </c>
      <c r="CD423" t="e">
        <f>AND(#REF!,"AAAAABv/vlE=")</f>
        <v>#REF!</v>
      </c>
      <c r="CE423" t="e">
        <f>AND(#REF!,"AAAAABv/vlI=")</f>
        <v>#REF!</v>
      </c>
      <c r="CF423" t="e">
        <f>AND(#REF!,"AAAAABv/vlM=")</f>
        <v>#REF!</v>
      </c>
      <c r="CG423" t="e">
        <f>AND(#REF!,"AAAAABv/vlQ=")</f>
        <v>#REF!</v>
      </c>
      <c r="CH423" t="e">
        <f>AND(#REF!,"AAAAABv/vlU=")</f>
        <v>#REF!</v>
      </c>
      <c r="CI423" t="e">
        <f>AND(#REF!,"AAAAABv/vlY=")</f>
        <v>#REF!</v>
      </c>
      <c r="CJ423" t="e">
        <f>AND(#REF!,"AAAAABv/vlc=")</f>
        <v>#REF!</v>
      </c>
      <c r="CK423" t="e">
        <f>AND(#REF!,"AAAAABv/vlg=")</f>
        <v>#REF!</v>
      </c>
      <c r="CL423" t="e">
        <f>AND(#REF!,"AAAAABv/vlk=")</f>
        <v>#REF!</v>
      </c>
      <c r="CM423" t="e">
        <f>AND(#REF!,"AAAAABv/vlo=")</f>
        <v>#REF!</v>
      </c>
      <c r="CN423" t="e">
        <f>AND(#REF!,"AAAAABv/vls=")</f>
        <v>#REF!</v>
      </c>
      <c r="CO423" t="e">
        <f>AND(#REF!,"AAAAABv/vlw=")</f>
        <v>#REF!</v>
      </c>
      <c r="CP423" t="e">
        <f>AND(#REF!,"AAAAABv/vl0=")</f>
        <v>#REF!</v>
      </c>
      <c r="CQ423" t="e">
        <f>AND(#REF!,"AAAAABv/vl4=")</f>
        <v>#REF!</v>
      </c>
      <c r="CR423" t="e">
        <f>AND(#REF!,"AAAAABv/vl8=")</f>
        <v>#REF!</v>
      </c>
      <c r="CS423" t="e">
        <f>AND(#REF!,"AAAAABv/vmA=")</f>
        <v>#REF!</v>
      </c>
      <c r="CT423" t="e">
        <f>AND(#REF!,"AAAAABv/vmE=")</f>
        <v>#REF!</v>
      </c>
      <c r="CU423" t="e">
        <f>AND(#REF!,"AAAAABv/vmI=")</f>
        <v>#REF!</v>
      </c>
      <c r="CV423" t="e">
        <f>AND(#REF!,"AAAAABv/vmM=")</f>
        <v>#REF!</v>
      </c>
      <c r="CW423" t="e">
        <f>AND(#REF!,"AAAAABv/vmQ=")</f>
        <v>#REF!</v>
      </c>
      <c r="CX423" t="e">
        <f>AND(#REF!,"AAAAABv/vmU=")</f>
        <v>#REF!</v>
      </c>
      <c r="CY423" t="e">
        <f>AND(#REF!,"AAAAABv/vmY=")</f>
        <v>#REF!</v>
      </c>
      <c r="CZ423" t="e">
        <f>IF(#REF!,"AAAAABv/vmc=",0)</f>
        <v>#REF!</v>
      </c>
      <c r="DA423" t="e">
        <f>AND(#REF!,"AAAAABv/vmg=")</f>
        <v>#REF!</v>
      </c>
      <c r="DB423" t="e">
        <f>AND(#REF!,"AAAAABv/vmk=")</f>
        <v>#REF!</v>
      </c>
      <c r="DC423" t="e">
        <f>AND(#REF!,"AAAAABv/vmo=")</f>
        <v>#REF!</v>
      </c>
      <c r="DD423" t="e">
        <f>AND(#REF!,"AAAAABv/vms=")</f>
        <v>#REF!</v>
      </c>
      <c r="DE423" t="e">
        <f>AND(#REF!,"AAAAABv/vmw=")</f>
        <v>#REF!</v>
      </c>
      <c r="DF423" t="e">
        <f>AND(#REF!,"AAAAABv/vm0=")</f>
        <v>#REF!</v>
      </c>
      <c r="DG423" t="e">
        <f>AND(#REF!,"AAAAABv/vm4=")</f>
        <v>#REF!</v>
      </c>
      <c r="DH423" t="e">
        <f>AND(#REF!,"AAAAABv/vm8=")</f>
        <v>#REF!</v>
      </c>
      <c r="DI423" t="e">
        <f>AND(#REF!,"AAAAABv/vnA=")</f>
        <v>#REF!</v>
      </c>
      <c r="DJ423" t="e">
        <f>AND(#REF!,"AAAAABv/vnE=")</f>
        <v>#REF!</v>
      </c>
      <c r="DK423" t="e">
        <f>AND(#REF!,"AAAAABv/vnI=")</f>
        <v>#REF!</v>
      </c>
      <c r="DL423" t="e">
        <f>AND(#REF!,"AAAAABv/vnM=")</f>
        <v>#REF!</v>
      </c>
      <c r="DM423" t="e">
        <f>AND(#REF!,"AAAAABv/vnQ=")</f>
        <v>#REF!</v>
      </c>
      <c r="DN423" t="e">
        <f>AND(#REF!,"AAAAABv/vnU=")</f>
        <v>#REF!</v>
      </c>
      <c r="DO423" t="e">
        <f>AND(#REF!,"AAAAABv/vnY=")</f>
        <v>#REF!</v>
      </c>
      <c r="DP423" t="e">
        <f>AND(#REF!,"AAAAABv/vnc=")</f>
        <v>#REF!</v>
      </c>
      <c r="DQ423" t="e">
        <f>AND(#REF!,"AAAAABv/vng=")</f>
        <v>#REF!</v>
      </c>
      <c r="DR423" t="e">
        <f>AND(#REF!,"AAAAABv/vnk=")</f>
        <v>#REF!</v>
      </c>
      <c r="DS423" t="e">
        <f>AND(#REF!,"AAAAABv/vno=")</f>
        <v>#REF!</v>
      </c>
      <c r="DT423" t="e">
        <f>AND(#REF!,"AAAAABv/vns=")</f>
        <v>#REF!</v>
      </c>
      <c r="DU423" t="e">
        <f>AND(#REF!,"AAAAABv/vnw=")</f>
        <v>#REF!</v>
      </c>
      <c r="DV423" t="e">
        <f>AND(#REF!,"AAAAABv/vn0=")</f>
        <v>#REF!</v>
      </c>
      <c r="DW423" t="e">
        <f>AND(#REF!,"AAAAABv/vn4=")</f>
        <v>#REF!</v>
      </c>
      <c r="DX423" t="e">
        <f>AND(#REF!,"AAAAABv/vn8=")</f>
        <v>#REF!</v>
      </c>
      <c r="DY423" t="e">
        <f>IF(#REF!,"AAAAABv/voA=",0)</f>
        <v>#REF!</v>
      </c>
      <c r="DZ423" t="e">
        <f>AND(#REF!,"AAAAABv/voE=")</f>
        <v>#REF!</v>
      </c>
      <c r="EA423" t="e">
        <f>AND(#REF!,"AAAAABv/voI=")</f>
        <v>#REF!</v>
      </c>
      <c r="EB423" t="e">
        <f>AND(#REF!,"AAAAABv/voM=")</f>
        <v>#REF!</v>
      </c>
      <c r="EC423" t="e">
        <f>AND(#REF!,"AAAAABv/voQ=")</f>
        <v>#REF!</v>
      </c>
      <c r="ED423" t="e">
        <f>AND(#REF!,"AAAAABv/voU=")</f>
        <v>#REF!</v>
      </c>
      <c r="EE423" t="e">
        <f>AND(#REF!,"AAAAABv/voY=")</f>
        <v>#REF!</v>
      </c>
      <c r="EF423" t="e">
        <f>AND(#REF!,"AAAAABv/voc=")</f>
        <v>#REF!</v>
      </c>
      <c r="EG423" t="e">
        <f>AND(#REF!,"AAAAABv/vog=")</f>
        <v>#REF!</v>
      </c>
      <c r="EH423" t="e">
        <f>AND(#REF!,"AAAAABv/vok=")</f>
        <v>#REF!</v>
      </c>
      <c r="EI423" t="e">
        <f>AND(#REF!,"AAAAABv/voo=")</f>
        <v>#REF!</v>
      </c>
      <c r="EJ423" t="e">
        <f>AND(#REF!,"AAAAABv/vos=")</f>
        <v>#REF!</v>
      </c>
      <c r="EK423" t="e">
        <f>AND(#REF!,"AAAAABv/vow=")</f>
        <v>#REF!</v>
      </c>
      <c r="EL423" t="e">
        <f>AND(#REF!,"AAAAABv/vo0=")</f>
        <v>#REF!</v>
      </c>
      <c r="EM423" t="e">
        <f>AND(#REF!,"AAAAABv/vo4=")</f>
        <v>#REF!</v>
      </c>
      <c r="EN423" t="e">
        <f>AND(#REF!,"AAAAABv/vo8=")</f>
        <v>#REF!</v>
      </c>
      <c r="EO423" t="e">
        <f>AND(#REF!,"AAAAABv/vpA=")</f>
        <v>#REF!</v>
      </c>
      <c r="EP423" t="e">
        <f>AND(#REF!,"AAAAABv/vpE=")</f>
        <v>#REF!</v>
      </c>
      <c r="EQ423" t="e">
        <f>AND(#REF!,"AAAAABv/vpI=")</f>
        <v>#REF!</v>
      </c>
      <c r="ER423" t="e">
        <f>AND(#REF!,"AAAAABv/vpM=")</f>
        <v>#REF!</v>
      </c>
      <c r="ES423" t="e">
        <f>AND(#REF!,"AAAAABv/vpQ=")</f>
        <v>#REF!</v>
      </c>
      <c r="ET423" t="e">
        <f>AND(#REF!,"AAAAABv/vpU=")</f>
        <v>#REF!</v>
      </c>
      <c r="EU423" t="e">
        <f>AND(#REF!,"AAAAABv/vpY=")</f>
        <v>#REF!</v>
      </c>
      <c r="EV423" t="e">
        <f>AND(#REF!,"AAAAABv/vpc=")</f>
        <v>#REF!</v>
      </c>
      <c r="EW423" t="e">
        <f>AND(#REF!,"AAAAABv/vpg=")</f>
        <v>#REF!</v>
      </c>
      <c r="EX423" t="e">
        <f>IF(#REF!,"AAAAABv/vpk=",0)</f>
        <v>#REF!</v>
      </c>
      <c r="EY423" t="e">
        <f>AND(#REF!,"AAAAABv/vpo=")</f>
        <v>#REF!</v>
      </c>
      <c r="EZ423" t="e">
        <f>AND(#REF!,"AAAAABv/vps=")</f>
        <v>#REF!</v>
      </c>
      <c r="FA423" t="e">
        <f>AND(#REF!,"AAAAABv/vpw=")</f>
        <v>#REF!</v>
      </c>
      <c r="FB423" t="e">
        <f>AND(#REF!,"AAAAABv/vp0=")</f>
        <v>#REF!</v>
      </c>
      <c r="FC423" t="e">
        <f>AND(#REF!,"AAAAABv/vp4=")</f>
        <v>#REF!</v>
      </c>
      <c r="FD423" t="e">
        <f>AND(#REF!,"AAAAABv/vp8=")</f>
        <v>#REF!</v>
      </c>
      <c r="FE423" t="e">
        <f>AND(#REF!,"AAAAABv/vqA=")</f>
        <v>#REF!</v>
      </c>
      <c r="FF423" t="e">
        <f>AND(#REF!,"AAAAABv/vqE=")</f>
        <v>#REF!</v>
      </c>
      <c r="FG423" t="e">
        <f>AND(#REF!,"AAAAABv/vqI=")</f>
        <v>#REF!</v>
      </c>
      <c r="FH423" t="e">
        <f>AND(#REF!,"AAAAABv/vqM=")</f>
        <v>#REF!</v>
      </c>
      <c r="FI423" t="e">
        <f>AND(#REF!,"AAAAABv/vqQ=")</f>
        <v>#REF!</v>
      </c>
      <c r="FJ423" t="e">
        <f>AND(#REF!,"AAAAABv/vqU=")</f>
        <v>#REF!</v>
      </c>
      <c r="FK423" t="e">
        <f>AND(#REF!,"AAAAABv/vqY=")</f>
        <v>#REF!</v>
      </c>
      <c r="FL423" t="e">
        <f>AND(#REF!,"AAAAABv/vqc=")</f>
        <v>#REF!</v>
      </c>
      <c r="FM423" t="e">
        <f>AND(#REF!,"AAAAABv/vqg=")</f>
        <v>#REF!</v>
      </c>
      <c r="FN423" t="e">
        <f>AND(#REF!,"AAAAABv/vqk=")</f>
        <v>#REF!</v>
      </c>
      <c r="FO423" t="e">
        <f>AND(#REF!,"AAAAABv/vqo=")</f>
        <v>#REF!</v>
      </c>
      <c r="FP423" t="e">
        <f>AND(#REF!,"AAAAABv/vqs=")</f>
        <v>#REF!</v>
      </c>
      <c r="FQ423" t="e">
        <f>AND(#REF!,"AAAAABv/vqw=")</f>
        <v>#REF!</v>
      </c>
      <c r="FR423" t="e">
        <f>AND(#REF!,"AAAAABv/vq0=")</f>
        <v>#REF!</v>
      </c>
      <c r="FS423" t="e">
        <f>AND(#REF!,"AAAAABv/vq4=")</f>
        <v>#REF!</v>
      </c>
      <c r="FT423" t="e">
        <f>AND(#REF!,"AAAAABv/vq8=")</f>
        <v>#REF!</v>
      </c>
      <c r="FU423" t="e">
        <f>AND(#REF!,"AAAAABv/vrA=")</f>
        <v>#REF!</v>
      </c>
      <c r="FV423" t="e">
        <f>AND(#REF!,"AAAAABv/vrE=")</f>
        <v>#REF!</v>
      </c>
      <c r="FW423" t="e">
        <f>IF(#REF!,"AAAAABv/vrI=",0)</f>
        <v>#REF!</v>
      </c>
      <c r="FX423" t="e">
        <f>AND(#REF!,"AAAAABv/vrM=")</f>
        <v>#REF!</v>
      </c>
      <c r="FY423" t="e">
        <f>AND(#REF!,"AAAAABv/vrQ=")</f>
        <v>#REF!</v>
      </c>
      <c r="FZ423" t="e">
        <f>AND(#REF!,"AAAAABv/vrU=")</f>
        <v>#REF!</v>
      </c>
      <c r="GA423" t="e">
        <f>AND(#REF!,"AAAAABv/vrY=")</f>
        <v>#REF!</v>
      </c>
      <c r="GB423" t="e">
        <f>AND(#REF!,"AAAAABv/vrc=")</f>
        <v>#REF!</v>
      </c>
      <c r="GC423" t="e">
        <f>AND(#REF!,"AAAAABv/vrg=")</f>
        <v>#REF!</v>
      </c>
      <c r="GD423" t="e">
        <f>AND(#REF!,"AAAAABv/vrk=")</f>
        <v>#REF!</v>
      </c>
      <c r="GE423" t="e">
        <f>AND(#REF!,"AAAAABv/vro=")</f>
        <v>#REF!</v>
      </c>
      <c r="GF423" t="e">
        <f>AND(#REF!,"AAAAABv/vrs=")</f>
        <v>#REF!</v>
      </c>
      <c r="GG423" t="e">
        <f>AND(#REF!,"AAAAABv/vrw=")</f>
        <v>#REF!</v>
      </c>
      <c r="GH423" t="e">
        <f>AND(#REF!,"AAAAABv/vr0=")</f>
        <v>#REF!</v>
      </c>
      <c r="GI423" t="e">
        <f>AND(#REF!,"AAAAABv/vr4=")</f>
        <v>#REF!</v>
      </c>
      <c r="GJ423" t="e">
        <f>AND(#REF!,"AAAAABv/vr8=")</f>
        <v>#REF!</v>
      </c>
      <c r="GK423" t="e">
        <f>AND(#REF!,"AAAAABv/vsA=")</f>
        <v>#REF!</v>
      </c>
      <c r="GL423" t="e">
        <f>AND(#REF!,"AAAAABv/vsE=")</f>
        <v>#REF!</v>
      </c>
      <c r="GM423" t="e">
        <f>AND(#REF!,"AAAAABv/vsI=")</f>
        <v>#REF!</v>
      </c>
      <c r="GN423" t="e">
        <f>AND(#REF!,"AAAAABv/vsM=")</f>
        <v>#REF!</v>
      </c>
      <c r="GO423" t="e">
        <f>AND(#REF!,"AAAAABv/vsQ=")</f>
        <v>#REF!</v>
      </c>
      <c r="GP423" t="e">
        <f>AND(#REF!,"AAAAABv/vsU=")</f>
        <v>#REF!</v>
      </c>
      <c r="GQ423" t="e">
        <f>AND(#REF!,"AAAAABv/vsY=")</f>
        <v>#REF!</v>
      </c>
      <c r="GR423" t="e">
        <f>AND(#REF!,"AAAAABv/vsc=")</f>
        <v>#REF!</v>
      </c>
      <c r="GS423" t="e">
        <f>AND(#REF!,"AAAAABv/vsg=")</f>
        <v>#REF!</v>
      </c>
      <c r="GT423" t="e">
        <f>AND(#REF!,"AAAAABv/vsk=")</f>
        <v>#REF!</v>
      </c>
      <c r="GU423" t="e">
        <f>AND(#REF!,"AAAAABv/vso=")</f>
        <v>#REF!</v>
      </c>
      <c r="GV423" t="e">
        <f>IF(#REF!,"AAAAABv/vss=",0)</f>
        <v>#REF!</v>
      </c>
      <c r="GW423" t="e">
        <f>AND(#REF!,"AAAAABv/vsw=")</f>
        <v>#REF!</v>
      </c>
      <c r="GX423" t="e">
        <f>AND(#REF!,"AAAAABv/vs0=")</f>
        <v>#REF!</v>
      </c>
      <c r="GY423" t="e">
        <f>AND(#REF!,"AAAAABv/vs4=")</f>
        <v>#REF!</v>
      </c>
      <c r="GZ423" t="e">
        <f>AND(#REF!,"AAAAABv/vs8=")</f>
        <v>#REF!</v>
      </c>
      <c r="HA423" t="e">
        <f>AND(#REF!,"AAAAABv/vtA=")</f>
        <v>#REF!</v>
      </c>
      <c r="HB423" t="e">
        <f>AND(#REF!,"AAAAABv/vtE=")</f>
        <v>#REF!</v>
      </c>
      <c r="HC423" t="e">
        <f>AND(#REF!,"AAAAABv/vtI=")</f>
        <v>#REF!</v>
      </c>
      <c r="HD423" t="e">
        <f>AND(#REF!,"AAAAABv/vtM=")</f>
        <v>#REF!</v>
      </c>
      <c r="HE423" t="e">
        <f>AND(#REF!,"AAAAABv/vtQ=")</f>
        <v>#REF!</v>
      </c>
      <c r="HF423" t="e">
        <f>AND(#REF!,"AAAAABv/vtU=")</f>
        <v>#REF!</v>
      </c>
      <c r="HG423" t="e">
        <f>AND(#REF!,"AAAAABv/vtY=")</f>
        <v>#REF!</v>
      </c>
      <c r="HH423" t="e">
        <f>AND(#REF!,"AAAAABv/vtc=")</f>
        <v>#REF!</v>
      </c>
      <c r="HI423" t="e">
        <f>AND(#REF!,"AAAAABv/vtg=")</f>
        <v>#REF!</v>
      </c>
      <c r="HJ423" t="e">
        <f>AND(#REF!,"AAAAABv/vtk=")</f>
        <v>#REF!</v>
      </c>
      <c r="HK423" t="e">
        <f>AND(#REF!,"AAAAABv/vto=")</f>
        <v>#REF!</v>
      </c>
      <c r="HL423" t="e">
        <f>AND(#REF!,"AAAAABv/vts=")</f>
        <v>#REF!</v>
      </c>
      <c r="HM423" t="e">
        <f>AND(#REF!,"AAAAABv/vtw=")</f>
        <v>#REF!</v>
      </c>
      <c r="HN423" t="e">
        <f>AND(#REF!,"AAAAABv/vt0=")</f>
        <v>#REF!</v>
      </c>
      <c r="HO423" t="e">
        <f>AND(#REF!,"AAAAABv/vt4=")</f>
        <v>#REF!</v>
      </c>
      <c r="HP423" t="e">
        <f>AND(#REF!,"AAAAABv/vt8=")</f>
        <v>#REF!</v>
      </c>
      <c r="HQ423" t="e">
        <f>AND(#REF!,"AAAAABv/vuA=")</f>
        <v>#REF!</v>
      </c>
      <c r="HR423" t="e">
        <f>AND(#REF!,"AAAAABv/vuE=")</f>
        <v>#REF!</v>
      </c>
      <c r="HS423" t="e">
        <f>AND(#REF!,"AAAAABv/vuI=")</f>
        <v>#REF!</v>
      </c>
      <c r="HT423" t="e">
        <f>AND(#REF!,"AAAAABv/vuM=")</f>
        <v>#REF!</v>
      </c>
      <c r="HU423" t="e">
        <f>IF(#REF!,"AAAAABv/vuQ=",0)</f>
        <v>#REF!</v>
      </c>
      <c r="HV423" t="e">
        <f>AND(#REF!,"AAAAABv/vuU=")</f>
        <v>#REF!</v>
      </c>
      <c r="HW423" t="e">
        <f>AND(#REF!,"AAAAABv/vuY=")</f>
        <v>#REF!</v>
      </c>
      <c r="HX423" t="e">
        <f>AND(#REF!,"AAAAABv/vuc=")</f>
        <v>#REF!</v>
      </c>
      <c r="HY423" t="e">
        <f>AND(#REF!,"AAAAABv/vug=")</f>
        <v>#REF!</v>
      </c>
      <c r="HZ423" t="e">
        <f>AND(#REF!,"AAAAABv/vuk=")</f>
        <v>#REF!</v>
      </c>
      <c r="IA423" t="e">
        <f>AND(#REF!,"AAAAABv/vuo=")</f>
        <v>#REF!</v>
      </c>
      <c r="IB423" t="e">
        <f>AND(#REF!,"AAAAABv/vus=")</f>
        <v>#REF!</v>
      </c>
      <c r="IC423" t="e">
        <f>AND(#REF!,"AAAAABv/vuw=")</f>
        <v>#REF!</v>
      </c>
      <c r="ID423" t="e">
        <f>AND(#REF!,"AAAAABv/vu0=")</f>
        <v>#REF!</v>
      </c>
      <c r="IE423" t="e">
        <f>AND(#REF!,"AAAAABv/vu4=")</f>
        <v>#REF!</v>
      </c>
      <c r="IF423" t="e">
        <f>AND(#REF!,"AAAAABv/vu8=")</f>
        <v>#REF!</v>
      </c>
      <c r="IG423" t="e">
        <f>AND(#REF!,"AAAAABv/vvA=")</f>
        <v>#REF!</v>
      </c>
      <c r="IH423" t="e">
        <f>AND(#REF!,"AAAAABv/vvE=")</f>
        <v>#REF!</v>
      </c>
      <c r="II423" t="e">
        <f>AND(#REF!,"AAAAABv/vvI=")</f>
        <v>#REF!</v>
      </c>
      <c r="IJ423" t="e">
        <f>AND(#REF!,"AAAAABv/vvM=")</f>
        <v>#REF!</v>
      </c>
      <c r="IK423" t="e">
        <f>AND(#REF!,"AAAAABv/vvQ=")</f>
        <v>#REF!</v>
      </c>
      <c r="IL423" t="e">
        <f>AND(#REF!,"AAAAABv/vvU=")</f>
        <v>#REF!</v>
      </c>
      <c r="IM423" t="e">
        <f>AND(#REF!,"AAAAABv/vvY=")</f>
        <v>#REF!</v>
      </c>
      <c r="IN423" t="e">
        <f>AND(#REF!,"AAAAABv/vvc=")</f>
        <v>#REF!</v>
      </c>
      <c r="IO423" t="e">
        <f>AND(#REF!,"AAAAABv/vvg=")</f>
        <v>#REF!</v>
      </c>
      <c r="IP423" t="e">
        <f>AND(#REF!,"AAAAABv/vvk=")</f>
        <v>#REF!</v>
      </c>
      <c r="IQ423" t="e">
        <f>AND(#REF!,"AAAAABv/vvo=")</f>
        <v>#REF!</v>
      </c>
      <c r="IR423" t="e">
        <f>AND(#REF!,"AAAAABv/vvs=")</f>
        <v>#REF!</v>
      </c>
      <c r="IS423" t="e">
        <f>AND(#REF!,"AAAAABv/vvw=")</f>
        <v>#REF!</v>
      </c>
      <c r="IT423" t="e">
        <f>IF(#REF!,"AAAAABv/vv0=",0)</f>
        <v>#REF!</v>
      </c>
      <c r="IU423" t="e">
        <f>AND(#REF!,"AAAAABv/vv4=")</f>
        <v>#REF!</v>
      </c>
      <c r="IV423" t="e">
        <f>AND(#REF!,"AAAAABv/vv8=")</f>
        <v>#REF!</v>
      </c>
    </row>
    <row r="424" spans="1:256">
      <c r="A424" t="e">
        <f>AND(#REF!,"AAAAAHefvQA=")</f>
        <v>#REF!</v>
      </c>
      <c r="B424" t="e">
        <f>AND(#REF!,"AAAAAHefvQE=")</f>
        <v>#REF!</v>
      </c>
      <c r="C424" t="e">
        <f>AND(#REF!,"AAAAAHefvQI=")</f>
        <v>#REF!</v>
      </c>
      <c r="D424" t="e">
        <f>AND(#REF!,"AAAAAHefvQM=")</f>
        <v>#REF!</v>
      </c>
      <c r="E424" t="e">
        <f>AND(#REF!,"AAAAAHefvQQ=")</f>
        <v>#REF!</v>
      </c>
      <c r="F424" t="e">
        <f>AND(#REF!,"AAAAAHefvQU=")</f>
        <v>#REF!</v>
      </c>
      <c r="G424" t="e">
        <f>AND(#REF!,"AAAAAHefvQY=")</f>
        <v>#REF!</v>
      </c>
      <c r="H424" t="e">
        <f>AND(#REF!,"AAAAAHefvQc=")</f>
        <v>#REF!</v>
      </c>
      <c r="I424" t="e">
        <f>AND(#REF!,"AAAAAHefvQg=")</f>
        <v>#REF!</v>
      </c>
      <c r="J424" t="e">
        <f>AND(#REF!,"AAAAAHefvQk=")</f>
        <v>#REF!</v>
      </c>
      <c r="K424" t="e">
        <f>AND(#REF!,"AAAAAHefvQo=")</f>
        <v>#REF!</v>
      </c>
      <c r="L424" t="e">
        <f>AND(#REF!,"AAAAAHefvQs=")</f>
        <v>#REF!</v>
      </c>
      <c r="M424" t="e">
        <f>AND(#REF!,"AAAAAHefvQw=")</f>
        <v>#REF!</v>
      </c>
      <c r="N424" t="e">
        <f>AND(#REF!,"AAAAAHefvQ0=")</f>
        <v>#REF!</v>
      </c>
      <c r="O424" t="e">
        <f>AND(#REF!,"AAAAAHefvQ4=")</f>
        <v>#REF!</v>
      </c>
      <c r="P424" t="e">
        <f>AND(#REF!,"AAAAAHefvQ8=")</f>
        <v>#REF!</v>
      </c>
      <c r="Q424" t="e">
        <f>AND(#REF!,"AAAAAHefvRA=")</f>
        <v>#REF!</v>
      </c>
      <c r="R424" t="e">
        <f>AND(#REF!,"AAAAAHefvRE=")</f>
        <v>#REF!</v>
      </c>
      <c r="S424" t="e">
        <f>AND(#REF!,"AAAAAHefvRI=")</f>
        <v>#REF!</v>
      </c>
      <c r="T424" t="e">
        <f>AND(#REF!,"AAAAAHefvRM=")</f>
        <v>#REF!</v>
      </c>
      <c r="U424" t="e">
        <f>AND(#REF!,"AAAAAHefvRQ=")</f>
        <v>#REF!</v>
      </c>
      <c r="V424" t="e">
        <f>AND(#REF!,"AAAAAHefvRU=")</f>
        <v>#REF!</v>
      </c>
      <c r="W424" t="e">
        <f>IF(#REF!,"AAAAAHefvRY=",0)</f>
        <v>#REF!</v>
      </c>
      <c r="X424" t="e">
        <f>AND(#REF!,"AAAAAHefvRc=")</f>
        <v>#REF!</v>
      </c>
      <c r="Y424" t="e">
        <f>AND(#REF!,"AAAAAHefvRg=")</f>
        <v>#REF!</v>
      </c>
      <c r="Z424" t="e">
        <f>AND(#REF!,"AAAAAHefvRk=")</f>
        <v>#REF!</v>
      </c>
      <c r="AA424" t="e">
        <f>AND(#REF!,"AAAAAHefvRo=")</f>
        <v>#REF!</v>
      </c>
      <c r="AB424" t="e">
        <f>AND(#REF!,"AAAAAHefvRs=")</f>
        <v>#REF!</v>
      </c>
      <c r="AC424" t="e">
        <f>AND(#REF!,"AAAAAHefvRw=")</f>
        <v>#REF!</v>
      </c>
      <c r="AD424" t="e">
        <f>AND(#REF!,"AAAAAHefvR0=")</f>
        <v>#REF!</v>
      </c>
      <c r="AE424" t="e">
        <f>AND(#REF!,"AAAAAHefvR4=")</f>
        <v>#REF!</v>
      </c>
      <c r="AF424" t="e">
        <f>AND(#REF!,"AAAAAHefvR8=")</f>
        <v>#REF!</v>
      </c>
      <c r="AG424" t="e">
        <f>AND(#REF!,"AAAAAHefvSA=")</f>
        <v>#REF!</v>
      </c>
      <c r="AH424" t="e">
        <f>AND(#REF!,"AAAAAHefvSE=")</f>
        <v>#REF!</v>
      </c>
      <c r="AI424" t="e">
        <f>AND(#REF!,"AAAAAHefvSI=")</f>
        <v>#REF!</v>
      </c>
      <c r="AJ424" t="e">
        <f>AND(#REF!,"AAAAAHefvSM=")</f>
        <v>#REF!</v>
      </c>
      <c r="AK424" t="e">
        <f>AND(#REF!,"AAAAAHefvSQ=")</f>
        <v>#REF!</v>
      </c>
      <c r="AL424" t="e">
        <f>AND(#REF!,"AAAAAHefvSU=")</f>
        <v>#REF!</v>
      </c>
      <c r="AM424" t="e">
        <f>AND(#REF!,"AAAAAHefvSY=")</f>
        <v>#REF!</v>
      </c>
      <c r="AN424" t="e">
        <f>AND(#REF!,"AAAAAHefvSc=")</f>
        <v>#REF!</v>
      </c>
      <c r="AO424" t="e">
        <f>AND(#REF!,"AAAAAHefvSg=")</f>
        <v>#REF!</v>
      </c>
      <c r="AP424" t="e">
        <f>AND(#REF!,"AAAAAHefvSk=")</f>
        <v>#REF!</v>
      </c>
      <c r="AQ424" t="e">
        <f>AND(#REF!,"AAAAAHefvSo=")</f>
        <v>#REF!</v>
      </c>
      <c r="AR424" t="e">
        <f>AND(#REF!,"AAAAAHefvSs=")</f>
        <v>#REF!</v>
      </c>
      <c r="AS424" t="e">
        <f>AND(#REF!,"AAAAAHefvSw=")</f>
        <v>#REF!</v>
      </c>
      <c r="AT424" t="e">
        <f>AND(#REF!,"AAAAAHefvS0=")</f>
        <v>#REF!</v>
      </c>
      <c r="AU424" t="e">
        <f>AND(#REF!,"AAAAAHefvS4=")</f>
        <v>#REF!</v>
      </c>
      <c r="AV424" t="e">
        <f>IF(#REF!,"AAAAAHefvS8=",0)</f>
        <v>#REF!</v>
      </c>
      <c r="AW424" t="e">
        <f>AND(#REF!,"AAAAAHefvTA=")</f>
        <v>#REF!</v>
      </c>
      <c r="AX424" t="e">
        <f>AND(#REF!,"AAAAAHefvTE=")</f>
        <v>#REF!</v>
      </c>
      <c r="AY424" t="e">
        <f>AND(#REF!,"AAAAAHefvTI=")</f>
        <v>#REF!</v>
      </c>
      <c r="AZ424" t="e">
        <f>AND(#REF!,"AAAAAHefvTM=")</f>
        <v>#REF!</v>
      </c>
      <c r="BA424" t="e">
        <f>AND(#REF!,"AAAAAHefvTQ=")</f>
        <v>#REF!</v>
      </c>
      <c r="BB424" t="e">
        <f>AND(#REF!,"AAAAAHefvTU=")</f>
        <v>#REF!</v>
      </c>
      <c r="BC424" t="e">
        <f>AND(#REF!,"AAAAAHefvTY=")</f>
        <v>#REF!</v>
      </c>
      <c r="BD424" t="e">
        <f>AND(#REF!,"AAAAAHefvTc=")</f>
        <v>#REF!</v>
      </c>
      <c r="BE424" t="e">
        <f>AND(#REF!,"AAAAAHefvTg=")</f>
        <v>#REF!</v>
      </c>
      <c r="BF424" t="e">
        <f>AND(#REF!,"AAAAAHefvTk=")</f>
        <v>#REF!</v>
      </c>
      <c r="BG424" t="e">
        <f>AND(#REF!,"AAAAAHefvTo=")</f>
        <v>#REF!</v>
      </c>
      <c r="BH424" t="e">
        <f>AND(#REF!,"AAAAAHefvTs=")</f>
        <v>#REF!</v>
      </c>
      <c r="BI424" t="e">
        <f>AND(#REF!,"AAAAAHefvTw=")</f>
        <v>#REF!</v>
      </c>
      <c r="BJ424" t="e">
        <f>AND(#REF!,"AAAAAHefvT0=")</f>
        <v>#REF!</v>
      </c>
      <c r="BK424" t="e">
        <f>AND(#REF!,"AAAAAHefvT4=")</f>
        <v>#REF!</v>
      </c>
      <c r="BL424" t="e">
        <f>AND(#REF!,"AAAAAHefvT8=")</f>
        <v>#REF!</v>
      </c>
      <c r="BM424" t="e">
        <f>AND(#REF!,"AAAAAHefvUA=")</f>
        <v>#REF!</v>
      </c>
      <c r="BN424" t="e">
        <f>AND(#REF!,"AAAAAHefvUE=")</f>
        <v>#REF!</v>
      </c>
      <c r="BO424" t="e">
        <f>AND(#REF!,"AAAAAHefvUI=")</f>
        <v>#REF!</v>
      </c>
      <c r="BP424" t="e">
        <f>AND(#REF!,"AAAAAHefvUM=")</f>
        <v>#REF!</v>
      </c>
      <c r="BQ424" t="e">
        <f>AND(#REF!,"AAAAAHefvUQ=")</f>
        <v>#REF!</v>
      </c>
      <c r="BR424" t="e">
        <f>AND(#REF!,"AAAAAHefvUU=")</f>
        <v>#REF!</v>
      </c>
      <c r="BS424" t="e">
        <f>AND(#REF!,"AAAAAHefvUY=")</f>
        <v>#REF!</v>
      </c>
      <c r="BT424" t="e">
        <f>AND(#REF!,"AAAAAHefvUc=")</f>
        <v>#REF!</v>
      </c>
      <c r="BU424" t="e">
        <f>IF(#REF!,"AAAAAHefvUg=",0)</f>
        <v>#REF!</v>
      </c>
      <c r="BV424" t="e">
        <f>AND(#REF!,"AAAAAHefvUk=")</f>
        <v>#REF!</v>
      </c>
      <c r="BW424" t="e">
        <f>AND(#REF!,"AAAAAHefvUo=")</f>
        <v>#REF!</v>
      </c>
      <c r="BX424" t="e">
        <f>AND(#REF!,"AAAAAHefvUs=")</f>
        <v>#REF!</v>
      </c>
      <c r="BY424" t="e">
        <f>AND(#REF!,"AAAAAHefvUw=")</f>
        <v>#REF!</v>
      </c>
      <c r="BZ424" t="e">
        <f>AND(#REF!,"AAAAAHefvU0=")</f>
        <v>#REF!</v>
      </c>
      <c r="CA424" t="e">
        <f>AND(#REF!,"AAAAAHefvU4=")</f>
        <v>#REF!</v>
      </c>
      <c r="CB424" t="e">
        <f>AND(#REF!,"AAAAAHefvU8=")</f>
        <v>#REF!</v>
      </c>
      <c r="CC424" t="e">
        <f>AND(#REF!,"AAAAAHefvVA=")</f>
        <v>#REF!</v>
      </c>
      <c r="CD424" t="e">
        <f>AND(#REF!,"AAAAAHefvVE=")</f>
        <v>#REF!</v>
      </c>
      <c r="CE424" t="e">
        <f>AND(#REF!,"AAAAAHefvVI=")</f>
        <v>#REF!</v>
      </c>
      <c r="CF424" t="e">
        <f>AND(#REF!,"AAAAAHefvVM=")</f>
        <v>#REF!</v>
      </c>
      <c r="CG424" t="e">
        <f>AND(#REF!,"AAAAAHefvVQ=")</f>
        <v>#REF!</v>
      </c>
      <c r="CH424" t="e">
        <f>AND(#REF!,"AAAAAHefvVU=")</f>
        <v>#REF!</v>
      </c>
      <c r="CI424" t="e">
        <f>AND(#REF!,"AAAAAHefvVY=")</f>
        <v>#REF!</v>
      </c>
      <c r="CJ424" t="e">
        <f>AND(#REF!,"AAAAAHefvVc=")</f>
        <v>#REF!</v>
      </c>
      <c r="CK424" t="e">
        <f>AND(#REF!,"AAAAAHefvVg=")</f>
        <v>#REF!</v>
      </c>
      <c r="CL424" t="e">
        <f>AND(#REF!,"AAAAAHefvVk=")</f>
        <v>#REF!</v>
      </c>
      <c r="CM424" t="e">
        <f>AND(#REF!,"AAAAAHefvVo=")</f>
        <v>#REF!</v>
      </c>
      <c r="CN424" t="e">
        <f>AND(#REF!,"AAAAAHefvVs=")</f>
        <v>#REF!</v>
      </c>
      <c r="CO424" t="e">
        <f>AND(#REF!,"AAAAAHefvVw=")</f>
        <v>#REF!</v>
      </c>
      <c r="CP424" t="e">
        <f>AND(#REF!,"AAAAAHefvV0=")</f>
        <v>#REF!</v>
      </c>
      <c r="CQ424" t="e">
        <f>AND(#REF!,"AAAAAHefvV4=")</f>
        <v>#REF!</v>
      </c>
      <c r="CR424" t="e">
        <f>AND(#REF!,"AAAAAHefvV8=")</f>
        <v>#REF!</v>
      </c>
      <c r="CS424" t="e">
        <f>AND(#REF!,"AAAAAHefvWA=")</f>
        <v>#REF!</v>
      </c>
      <c r="CT424" t="e">
        <f>IF(#REF!,"AAAAAHefvWE=",0)</f>
        <v>#REF!</v>
      </c>
      <c r="CU424" t="e">
        <f>AND(#REF!,"AAAAAHefvWI=")</f>
        <v>#REF!</v>
      </c>
      <c r="CV424" t="e">
        <f>AND(#REF!,"AAAAAHefvWM=")</f>
        <v>#REF!</v>
      </c>
      <c r="CW424" t="e">
        <f>AND(#REF!,"AAAAAHefvWQ=")</f>
        <v>#REF!</v>
      </c>
      <c r="CX424" t="e">
        <f>AND(#REF!,"AAAAAHefvWU=")</f>
        <v>#REF!</v>
      </c>
      <c r="CY424" t="e">
        <f>AND(#REF!,"AAAAAHefvWY=")</f>
        <v>#REF!</v>
      </c>
      <c r="CZ424" t="e">
        <f>AND(#REF!,"AAAAAHefvWc=")</f>
        <v>#REF!</v>
      </c>
      <c r="DA424" t="e">
        <f>AND(#REF!,"AAAAAHefvWg=")</f>
        <v>#REF!</v>
      </c>
      <c r="DB424" t="e">
        <f>AND(#REF!,"AAAAAHefvWk=")</f>
        <v>#REF!</v>
      </c>
      <c r="DC424" t="e">
        <f>AND(#REF!,"AAAAAHefvWo=")</f>
        <v>#REF!</v>
      </c>
      <c r="DD424" t="e">
        <f>AND(#REF!,"AAAAAHefvWs=")</f>
        <v>#REF!</v>
      </c>
      <c r="DE424" t="e">
        <f>AND(#REF!,"AAAAAHefvWw=")</f>
        <v>#REF!</v>
      </c>
      <c r="DF424" t="e">
        <f>AND(#REF!,"AAAAAHefvW0=")</f>
        <v>#REF!</v>
      </c>
      <c r="DG424" t="e">
        <f>AND(#REF!,"AAAAAHefvW4=")</f>
        <v>#REF!</v>
      </c>
      <c r="DH424" t="e">
        <f>AND(#REF!,"AAAAAHefvW8=")</f>
        <v>#REF!</v>
      </c>
      <c r="DI424" t="e">
        <f>AND(#REF!,"AAAAAHefvXA=")</f>
        <v>#REF!</v>
      </c>
      <c r="DJ424" t="e">
        <f>AND(#REF!,"AAAAAHefvXE=")</f>
        <v>#REF!</v>
      </c>
      <c r="DK424" t="e">
        <f>AND(#REF!,"AAAAAHefvXI=")</f>
        <v>#REF!</v>
      </c>
      <c r="DL424" t="e">
        <f>AND(#REF!,"AAAAAHefvXM=")</f>
        <v>#REF!</v>
      </c>
      <c r="DM424" t="e">
        <f>AND(#REF!,"AAAAAHefvXQ=")</f>
        <v>#REF!</v>
      </c>
      <c r="DN424" t="e">
        <f>AND(#REF!,"AAAAAHefvXU=")</f>
        <v>#REF!</v>
      </c>
      <c r="DO424" t="e">
        <f>AND(#REF!,"AAAAAHefvXY=")</f>
        <v>#REF!</v>
      </c>
      <c r="DP424" t="e">
        <f>AND(#REF!,"AAAAAHefvXc=")</f>
        <v>#REF!</v>
      </c>
      <c r="DQ424" t="e">
        <f>AND(#REF!,"AAAAAHefvXg=")</f>
        <v>#REF!</v>
      </c>
      <c r="DR424" t="e">
        <f>AND(#REF!,"AAAAAHefvXk=")</f>
        <v>#REF!</v>
      </c>
      <c r="DS424" t="e">
        <f>IF(#REF!,"AAAAAHefvXo=",0)</f>
        <v>#REF!</v>
      </c>
      <c r="DT424" t="e">
        <f>AND(#REF!,"AAAAAHefvXs=")</f>
        <v>#REF!</v>
      </c>
      <c r="DU424" t="e">
        <f>AND(#REF!,"AAAAAHefvXw=")</f>
        <v>#REF!</v>
      </c>
      <c r="DV424" t="e">
        <f>AND(#REF!,"AAAAAHefvX0=")</f>
        <v>#REF!</v>
      </c>
      <c r="DW424" t="e">
        <f>AND(#REF!,"AAAAAHefvX4=")</f>
        <v>#REF!</v>
      </c>
      <c r="DX424" t="e">
        <f>AND(#REF!,"AAAAAHefvX8=")</f>
        <v>#REF!</v>
      </c>
      <c r="DY424" t="e">
        <f>AND(#REF!,"AAAAAHefvYA=")</f>
        <v>#REF!</v>
      </c>
      <c r="DZ424" t="e">
        <f>AND(#REF!,"AAAAAHefvYE=")</f>
        <v>#REF!</v>
      </c>
      <c r="EA424" t="e">
        <f>AND(#REF!,"AAAAAHefvYI=")</f>
        <v>#REF!</v>
      </c>
      <c r="EB424" t="e">
        <f>AND(#REF!,"AAAAAHefvYM=")</f>
        <v>#REF!</v>
      </c>
      <c r="EC424" t="e">
        <f>AND(#REF!,"AAAAAHefvYQ=")</f>
        <v>#REF!</v>
      </c>
      <c r="ED424" t="e">
        <f>AND(#REF!,"AAAAAHefvYU=")</f>
        <v>#REF!</v>
      </c>
      <c r="EE424" t="e">
        <f>AND(#REF!,"AAAAAHefvYY=")</f>
        <v>#REF!</v>
      </c>
      <c r="EF424" t="e">
        <f>AND(#REF!,"AAAAAHefvYc=")</f>
        <v>#REF!</v>
      </c>
      <c r="EG424" t="e">
        <f>AND(#REF!,"AAAAAHefvYg=")</f>
        <v>#REF!</v>
      </c>
      <c r="EH424" t="e">
        <f>AND(#REF!,"AAAAAHefvYk=")</f>
        <v>#REF!</v>
      </c>
      <c r="EI424" t="e">
        <f>AND(#REF!,"AAAAAHefvYo=")</f>
        <v>#REF!</v>
      </c>
      <c r="EJ424" t="e">
        <f>AND(#REF!,"AAAAAHefvYs=")</f>
        <v>#REF!</v>
      </c>
      <c r="EK424" t="e">
        <f>AND(#REF!,"AAAAAHefvYw=")</f>
        <v>#REF!</v>
      </c>
      <c r="EL424" t="e">
        <f>AND(#REF!,"AAAAAHefvY0=")</f>
        <v>#REF!</v>
      </c>
      <c r="EM424" t="e">
        <f>AND(#REF!,"AAAAAHefvY4=")</f>
        <v>#REF!</v>
      </c>
      <c r="EN424" t="e">
        <f>AND(#REF!,"AAAAAHefvY8=")</f>
        <v>#REF!</v>
      </c>
      <c r="EO424" t="e">
        <f>AND(#REF!,"AAAAAHefvZA=")</f>
        <v>#REF!</v>
      </c>
      <c r="EP424" t="e">
        <f>AND(#REF!,"AAAAAHefvZE=")</f>
        <v>#REF!</v>
      </c>
      <c r="EQ424" t="e">
        <f>AND(#REF!,"AAAAAHefvZI=")</f>
        <v>#REF!</v>
      </c>
      <c r="ER424" t="e">
        <f>IF(#REF!,"AAAAAHefvZM=",0)</f>
        <v>#REF!</v>
      </c>
      <c r="ES424" t="e">
        <f>AND(#REF!,"AAAAAHefvZQ=")</f>
        <v>#REF!</v>
      </c>
      <c r="ET424" t="e">
        <f>AND(#REF!,"AAAAAHefvZU=")</f>
        <v>#REF!</v>
      </c>
      <c r="EU424" t="e">
        <f>AND(#REF!,"AAAAAHefvZY=")</f>
        <v>#REF!</v>
      </c>
      <c r="EV424" t="e">
        <f>AND(#REF!,"AAAAAHefvZc=")</f>
        <v>#REF!</v>
      </c>
      <c r="EW424" t="e">
        <f>AND(#REF!,"AAAAAHefvZg=")</f>
        <v>#REF!</v>
      </c>
      <c r="EX424" t="e">
        <f>AND(#REF!,"AAAAAHefvZk=")</f>
        <v>#REF!</v>
      </c>
      <c r="EY424" t="e">
        <f>AND(#REF!,"AAAAAHefvZo=")</f>
        <v>#REF!</v>
      </c>
      <c r="EZ424" t="e">
        <f>AND(#REF!,"AAAAAHefvZs=")</f>
        <v>#REF!</v>
      </c>
      <c r="FA424" t="e">
        <f>AND(#REF!,"AAAAAHefvZw=")</f>
        <v>#REF!</v>
      </c>
      <c r="FB424" t="e">
        <f>AND(#REF!,"AAAAAHefvZ0=")</f>
        <v>#REF!</v>
      </c>
      <c r="FC424" t="e">
        <f>AND(#REF!,"AAAAAHefvZ4=")</f>
        <v>#REF!</v>
      </c>
      <c r="FD424" t="e">
        <f>AND(#REF!,"AAAAAHefvZ8=")</f>
        <v>#REF!</v>
      </c>
      <c r="FE424" t="e">
        <f>AND(#REF!,"AAAAAHefvaA=")</f>
        <v>#REF!</v>
      </c>
      <c r="FF424" t="e">
        <f>AND(#REF!,"AAAAAHefvaE=")</f>
        <v>#REF!</v>
      </c>
      <c r="FG424" t="e">
        <f>AND(#REF!,"AAAAAHefvaI=")</f>
        <v>#REF!</v>
      </c>
      <c r="FH424" t="e">
        <f>AND(#REF!,"AAAAAHefvaM=")</f>
        <v>#REF!</v>
      </c>
      <c r="FI424" t="e">
        <f>AND(#REF!,"AAAAAHefvaQ=")</f>
        <v>#REF!</v>
      </c>
      <c r="FJ424" t="e">
        <f>AND(#REF!,"AAAAAHefvaU=")</f>
        <v>#REF!</v>
      </c>
      <c r="FK424" t="e">
        <f>AND(#REF!,"AAAAAHefvaY=")</f>
        <v>#REF!</v>
      </c>
      <c r="FL424" t="e">
        <f>AND(#REF!,"AAAAAHefvac=")</f>
        <v>#REF!</v>
      </c>
      <c r="FM424" t="e">
        <f>AND(#REF!,"AAAAAHefvag=")</f>
        <v>#REF!</v>
      </c>
      <c r="FN424" t="e">
        <f>AND(#REF!,"AAAAAHefvak=")</f>
        <v>#REF!</v>
      </c>
      <c r="FO424" t="e">
        <f>AND(#REF!,"AAAAAHefvao=")</f>
        <v>#REF!</v>
      </c>
      <c r="FP424" t="e">
        <f>AND(#REF!,"AAAAAHefvas=")</f>
        <v>#REF!</v>
      </c>
      <c r="FQ424" t="e">
        <f>IF(#REF!,"AAAAAHefvaw=",0)</f>
        <v>#REF!</v>
      </c>
      <c r="FR424" t="e">
        <f>AND(#REF!,"AAAAAHefva0=")</f>
        <v>#REF!</v>
      </c>
      <c r="FS424" t="e">
        <f>AND(#REF!,"AAAAAHefva4=")</f>
        <v>#REF!</v>
      </c>
      <c r="FT424" t="e">
        <f>AND(#REF!,"AAAAAHefva8=")</f>
        <v>#REF!</v>
      </c>
      <c r="FU424" t="e">
        <f>AND(#REF!,"AAAAAHefvbA=")</f>
        <v>#REF!</v>
      </c>
      <c r="FV424" t="e">
        <f>AND(#REF!,"AAAAAHefvbE=")</f>
        <v>#REF!</v>
      </c>
      <c r="FW424" t="e">
        <f>AND(#REF!,"AAAAAHefvbI=")</f>
        <v>#REF!</v>
      </c>
      <c r="FX424" t="e">
        <f>AND(#REF!,"AAAAAHefvbM=")</f>
        <v>#REF!</v>
      </c>
      <c r="FY424" t="e">
        <f>AND(#REF!,"AAAAAHefvbQ=")</f>
        <v>#REF!</v>
      </c>
      <c r="FZ424" t="e">
        <f>AND(#REF!,"AAAAAHefvbU=")</f>
        <v>#REF!</v>
      </c>
      <c r="GA424" t="e">
        <f>AND(#REF!,"AAAAAHefvbY=")</f>
        <v>#REF!</v>
      </c>
      <c r="GB424" t="e">
        <f>AND(#REF!,"AAAAAHefvbc=")</f>
        <v>#REF!</v>
      </c>
      <c r="GC424" t="e">
        <f>AND(#REF!,"AAAAAHefvbg=")</f>
        <v>#REF!</v>
      </c>
      <c r="GD424" t="e">
        <f>AND(#REF!,"AAAAAHefvbk=")</f>
        <v>#REF!</v>
      </c>
      <c r="GE424" t="e">
        <f>AND(#REF!,"AAAAAHefvbo=")</f>
        <v>#REF!</v>
      </c>
      <c r="GF424" t="e">
        <f>AND(#REF!,"AAAAAHefvbs=")</f>
        <v>#REF!</v>
      </c>
      <c r="GG424" t="e">
        <f>AND(#REF!,"AAAAAHefvbw=")</f>
        <v>#REF!</v>
      </c>
      <c r="GH424" t="e">
        <f>AND(#REF!,"AAAAAHefvb0=")</f>
        <v>#REF!</v>
      </c>
      <c r="GI424" t="e">
        <f>AND(#REF!,"AAAAAHefvb4=")</f>
        <v>#REF!</v>
      </c>
      <c r="GJ424" t="e">
        <f>AND(#REF!,"AAAAAHefvb8=")</f>
        <v>#REF!</v>
      </c>
      <c r="GK424" t="e">
        <f>AND(#REF!,"AAAAAHefvcA=")</f>
        <v>#REF!</v>
      </c>
      <c r="GL424" t="e">
        <f>AND(#REF!,"AAAAAHefvcE=")</f>
        <v>#REF!</v>
      </c>
      <c r="GM424" t="e">
        <f>AND(#REF!,"AAAAAHefvcI=")</f>
        <v>#REF!</v>
      </c>
      <c r="GN424" t="e">
        <f>AND(#REF!,"AAAAAHefvcM=")</f>
        <v>#REF!</v>
      </c>
      <c r="GO424" t="e">
        <f>AND(#REF!,"AAAAAHefvcQ=")</f>
        <v>#REF!</v>
      </c>
      <c r="GP424" t="e">
        <f>IF(#REF!,"AAAAAHefvcU=",0)</f>
        <v>#REF!</v>
      </c>
      <c r="GQ424" t="e">
        <f>AND(#REF!,"AAAAAHefvcY=")</f>
        <v>#REF!</v>
      </c>
      <c r="GR424" t="e">
        <f>AND(#REF!,"AAAAAHefvcc=")</f>
        <v>#REF!</v>
      </c>
      <c r="GS424" t="e">
        <f>AND(#REF!,"AAAAAHefvcg=")</f>
        <v>#REF!</v>
      </c>
      <c r="GT424" t="e">
        <f>AND(#REF!,"AAAAAHefvck=")</f>
        <v>#REF!</v>
      </c>
      <c r="GU424" t="e">
        <f>AND(#REF!,"AAAAAHefvco=")</f>
        <v>#REF!</v>
      </c>
      <c r="GV424" t="e">
        <f>AND(#REF!,"AAAAAHefvcs=")</f>
        <v>#REF!</v>
      </c>
      <c r="GW424" t="e">
        <f>AND(#REF!,"AAAAAHefvcw=")</f>
        <v>#REF!</v>
      </c>
      <c r="GX424" t="e">
        <f>AND(#REF!,"AAAAAHefvc0=")</f>
        <v>#REF!</v>
      </c>
      <c r="GY424" t="e">
        <f>AND(#REF!,"AAAAAHefvc4=")</f>
        <v>#REF!</v>
      </c>
      <c r="GZ424" t="e">
        <f>AND(#REF!,"AAAAAHefvc8=")</f>
        <v>#REF!</v>
      </c>
      <c r="HA424" t="e">
        <f>AND(#REF!,"AAAAAHefvdA=")</f>
        <v>#REF!</v>
      </c>
      <c r="HB424" t="e">
        <f>AND(#REF!,"AAAAAHefvdE=")</f>
        <v>#REF!</v>
      </c>
      <c r="HC424" t="e">
        <f>AND(#REF!,"AAAAAHefvdI=")</f>
        <v>#REF!</v>
      </c>
      <c r="HD424" t="e">
        <f>AND(#REF!,"AAAAAHefvdM=")</f>
        <v>#REF!</v>
      </c>
      <c r="HE424" t="e">
        <f>AND(#REF!,"AAAAAHefvdQ=")</f>
        <v>#REF!</v>
      </c>
      <c r="HF424" t="e">
        <f>AND(#REF!,"AAAAAHefvdU=")</f>
        <v>#REF!</v>
      </c>
      <c r="HG424" t="e">
        <f>AND(#REF!,"AAAAAHefvdY=")</f>
        <v>#REF!</v>
      </c>
      <c r="HH424" t="e">
        <f>AND(#REF!,"AAAAAHefvdc=")</f>
        <v>#REF!</v>
      </c>
      <c r="HI424" t="e">
        <f>AND(#REF!,"AAAAAHefvdg=")</f>
        <v>#REF!</v>
      </c>
      <c r="HJ424" t="e">
        <f>AND(#REF!,"AAAAAHefvdk=")</f>
        <v>#REF!</v>
      </c>
      <c r="HK424" t="e">
        <f>AND(#REF!,"AAAAAHefvdo=")</f>
        <v>#REF!</v>
      </c>
      <c r="HL424" t="e">
        <f>AND(#REF!,"AAAAAHefvds=")</f>
        <v>#REF!</v>
      </c>
      <c r="HM424" t="e">
        <f>AND(#REF!,"AAAAAHefvdw=")</f>
        <v>#REF!</v>
      </c>
      <c r="HN424" t="e">
        <f>AND(#REF!,"AAAAAHefvd0=")</f>
        <v>#REF!</v>
      </c>
      <c r="HO424" t="e">
        <f>IF(#REF!,"AAAAAHefvd4=",0)</f>
        <v>#REF!</v>
      </c>
      <c r="HP424" t="e">
        <f>AND(#REF!,"AAAAAHefvd8=")</f>
        <v>#REF!</v>
      </c>
      <c r="HQ424" t="e">
        <f>AND(#REF!,"AAAAAHefveA=")</f>
        <v>#REF!</v>
      </c>
      <c r="HR424" t="e">
        <f>AND(#REF!,"AAAAAHefveE=")</f>
        <v>#REF!</v>
      </c>
      <c r="HS424" t="e">
        <f>AND(#REF!,"AAAAAHefveI=")</f>
        <v>#REF!</v>
      </c>
      <c r="HT424" t="e">
        <f>AND(#REF!,"AAAAAHefveM=")</f>
        <v>#REF!</v>
      </c>
      <c r="HU424" t="e">
        <f>AND(#REF!,"AAAAAHefveQ=")</f>
        <v>#REF!</v>
      </c>
      <c r="HV424" t="e">
        <f>AND(#REF!,"AAAAAHefveU=")</f>
        <v>#REF!</v>
      </c>
      <c r="HW424" t="e">
        <f>AND(#REF!,"AAAAAHefveY=")</f>
        <v>#REF!</v>
      </c>
      <c r="HX424" t="e">
        <f>AND(#REF!,"AAAAAHefvec=")</f>
        <v>#REF!</v>
      </c>
      <c r="HY424" t="e">
        <f>AND(#REF!,"AAAAAHefveg=")</f>
        <v>#REF!</v>
      </c>
      <c r="HZ424" t="e">
        <f>AND(#REF!,"AAAAAHefvek=")</f>
        <v>#REF!</v>
      </c>
      <c r="IA424" t="e">
        <f>AND(#REF!,"AAAAAHefveo=")</f>
        <v>#REF!</v>
      </c>
      <c r="IB424" t="e">
        <f>AND(#REF!,"AAAAAHefves=")</f>
        <v>#REF!</v>
      </c>
      <c r="IC424" t="e">
        <f>AND(#REF!,"AAAAAHefvew=")</f>
        <v>#REF!</v>
      </c>
      <c r="ID424" t="e">
        <f>AND(#REF!,"AAAAAHefve0=")</f>
        <v>#REF!</v>
      </c>
      <c r="IE424" t="e">
        <f>AND(#REF!,"AAAAAHefve4=")</f>
        <v>#REF!</v>
      </c>
      <c r="IF424" t="e">
        <f>AND(#REF!,"AAAAAHefve8=")</f>
        <v>#REF!</v>
      </c>
      <c r="IG424" t="e">
        <f>AND(#REF!,"AAAAAHefvfA=")</f>
        <v>#REF!</v>
      </c>
      <c r="IH424" t="e">
        <f>AND(#REF!,"AAAAAHefvfE=")</f>
        <v>#REF!</v>
      </c>
      <c r="II424" t="e">
        <f>AND(#REF!,"AAAAAHefvfI=")</f>
        <v>#REF!</v>
      </c>
      <c r="IJ424" t="e">
        <f>AND(#REF!,"AAAAAHefvfM=")</f>
        <v>#REF!</v>
      </c>
      <c r="IK424" t="e">
        <f>AND(#REF!,"AAAAAHefvfQ=")</f>
        <v>#REF!</v>
      </c>
      <c r="IL424" t="e">
        <f>AND(#REF!,"AAAAAHefvfU=")</f>
        <v>#REF!</v>
      </c>
      <c r="IM424" t="e">
        <f>AND(#REF!,"AAAAAHefvfY=")</f>
        <v>#REF!</v>
      </c>
      <c r="IN424" t="e">
        <f>IF(#REF!,"AAAAAHefvfc=",0)</f>
        <v>#REF!</v>
      </c>
      <c r="IO424" t="e">
        <f>AND(#REF!,"AAAAAHefvfg=")</f>
        <v>#REF!</v>
      </c>
      <c r="IP424" t="e">
        <f>AND(#REF!,"AAAAAHefvfk=")</f>
        <v>#REF!</v>
      </c>
      <c r="IQ424" t="e">
        <f>AND(#REF!,"AAAAAHefvfo=")</f>
        <v>#REF!</v>
      </c>
      <c r="IR424" t="e">
        <f>AND(#REF!,"AAAAAHefvfs=")</f>
        <v>#REF!</v>
      </c>
      <c r="IS424" t="e">
        <f>AND(#REF!,"AAAAAHefvfw=")</f>
        <v>#REF!</v>
      </c>
      <c r="IT424" t="e">
        <f>AND(#REF!,"AAAAAHefvf0=")</f>
        <v>#REF!</v>
      </c>
      <c r="IU424" t="e">
        <f>AND(#REF!,"AAAAAHefvf4=")</f>
        <v>#REF!</v>
      </c>
      <c r="IV424" t="e">
        <f>AND(#REF!,"AAAAAHefvf8=")</f>
        <v>#REF!</v>
      </c>
    </row>
    <row r="425" spans="1:256">
      <c r="A425" t="e">
        <f>AND(#REF!,"AAAAAF5g9gA=")</f>
        <v>#REF!</v>
      </c>
      <c r="B425" t="e">
        <f>AND(#REF!,"AAAAAF5g9gE=")</f>
        <v>#REF!</v>
      </c>
      <c r="C425" t="e">
        <f>AND(#REF!,"AAAAAF5g9gI=")</f>
        <v>#REF!</v>
      </c>
      <c r="D425" t="e">
        <f>AND(#REF!,"AAAAAF5g9gM=")</f>
        <v>#REF!</v>
      </c>
      <c r="E425" t="e">
        <f>AND(#REF!,"AAAAAF5g9gQ=")</f>
        <v>#REF!</v>
      </c>
      <c r="F425" t="e">
        <f>AND(#REF!,"AAAAAF5g9gU=")</f>
        <v>#REF!</v>
      </c>
      <c r="G425" t="e">
        <f>AND(#REF!,"AAAAAF5g9gY=")</f>
        <v>#REF!</v>
      </c>
      <c r="H425" t="e">
        <f>AND(#REF!,"AAAAAF5g9gc=")</f>
        <v>#REF!</v>
      </c>
      <c r="I425" t="e">
        <f>AND(#REF!,"AAAAAF5g9gg=")</f>
        <v>#REF!</v>
      </c>
      <c r="J425" t="e">
        <f>AND(#REF!,"AAAAAF5g9gk=")</f>
        <v>#REF!</v>
      </c>
      <c r="K425" t="e">
        <f>AND(#REF!,"AAAAAF5g9go=")</f>
        <v>#REF!</v>
      </c>
      <c r="L425" t="e">
        <f>AND(#REF!,"AAAAAF5g9gs=")</f>
        <v>#REF!</v>
      </c>
      <c r="M425" t="e">
        <f>AND(#REF!,"AAAAAF5g9gw=")</f>
        <v>#REF!</v>
      </c>
      <c r="N425" t="e">
        <f>AND(#REF!,"AAAAAF5g9g0=")</f>
        <v>#REF!</v>
      </c>
      <c r="O425" t="e">
        <f>AND(#REF!,"AAAAAF5g9g4=")</f>
        <v>#REF!</v>
      </c>
      <c r="P425" t="e">
        <f>AND(#REF!,"AAAAAF5g9g8=")</f>
        <v>#REF!</v>
      </c>
      <c r="Q425" t="e">
        <f>IF(#REF!,"AAAAAF5g9hA=",0)</f>
        <v>#REF!</v>
      </c>
      <c r="R425" t="e">
        <f>AND(#REF!,"AAAAAF5g9hE=")</f>
        <v>#REF!</v>
      </c>
      <c r="S425" t="e">
        <f>AND(#REF!,"AAAAAF5g9hI=")</f>
        <v>#REF!</v>
      </c>
      <c r="T425" t="e">
        <f>AND(#REF!,"AAAAAF5g9hM=")</f>
        <v>#REF!</v>
      </c>
      <c r="U425" t="e">
        <f>AND(#REF!,"AAAAAF5g9hQ=")</f>
        <v>#REF!</v>
      </c>
      <c r="V425" t="e">
        <f>AND(#REF!,"AAAAAF5g9hU=")</f>
        <v>#REF!</v>
      </c>
      <c r="W425" t="e">
        <f>AND(#REF!,"AAAAAF5g9hY=")</f>
        <v>#REF!</v>
      </c>
      <c r="X425" t="e">
        <f>AND(#REF!,"AAAAAF5g9hc=")</f>
        <v>#REF!</v>
      </c>
      <c r="Y425" t="e">
        <f>AND(#REF!,"AAAAAF5g9hg=")</f>
        <v>#REF!</v>
      </c>
      <c r="Z425" t="e">
        <f>AND(#REF!,"AAAAAF5g9hk=")</f>
        <v>#REF!</v>
      </c>
      <c r="AA425" t="e">
        <f>AND(#REF!,"AAAAAF5g9ho=")</f>
        <v>#REF!</v>
      </c>
      <c r="AB425" t="e">
        <f>AND(#REF!,"AAAAAF5g9hs=")</f>
        <v>#REF!</v>
      </c>
      <c r="AC425" t="e">
        <f>AND(#REF!,"AAAAAF5g9hw=")</f>
        <v>#REF!</v>
      </c>
      <c r="AD425" t="e">
        <f>AND(#REF!,"AAAAAF5g9h0=")</f>
        <v>#REF!</v>
      </c>
      <c r="AE425" t="e">
        <f>AND(#REF!,"AAAAAF5g9h4=")</f>
        <v>#REF!</v>
      </c>
      <c r="AF425" t="e">
        <f>AND(#REF!,"AAAAAF5g9h8=")</f>
        <v>#REF!</v>
      </c>
      <c r="AG425" t="e">
        <f>AND(#REF!,"AAAAAF5g9iA=")</f>
        <v>#REF!</v>
      </c>
      <c r="AH425" t="e">
        <f>AND(#REF!,"AAAAAF5g9iE=")</f>
        <v>#REF!</v>
      </c>
      <c r="AI425" t="e">
        <f>AND(#REF!,"AAAAAF5g9iI=")</f>
        <v>#REF!</v>
      </c>
      <c r="AJ425" t="e">
        <f>AND(#REF!,"AAAAAF5g9iM=")</f>
        <v>#REF!</v>
      </c>
      <c r="AK425" t="e">
        <f>AND(#REF!,"AAAAAF5g9iQ=")</f>
        <v>#REF!</v>
      </c>
      <c r="AL425" t="e">
        <f>AND(#REF!,"AAAAAF5g9iU=")</f>
        <v>#REF!</v>
      </c>
      <c r="AM425" t="e">
        <f>AND(#REF!,"AAAAAF5g9iY=")</f>
        <v>#REF!</v>
      </c>
      <c r="AN425" t="e">
        <f>AND(#REF!,"AAAAAF5g9ic=")</f>
        <v>#REF!</v>
      </c>
      <c r="AO425" t="e">
        <f>AND(#REF!,"AAAAAF5g9ig=")</f>
        <v>#REF!</v>
      </c>
      <c r="AP425" t="e">
        <f>IF(#REF!,"AAAAAF5g9ik=",0)</f>
        <v>#REF!</v>
      </c>
      <c r="AQ425" t="e">
        <f>AND(#REF!,"AAAAAF5g9io=")</f>
        <v>#REF!</v>
      </c>
      <c r="AR425" t="e">
        <f>AND(#REF!,"AAAAAF5g9is=")</f>
        <v>#REF!</v>
      </c>
      <c r="AS425" t="e">
        <f>AND(#REF!,"AAAAAF5g9iw=")</f>
        <v>#REF!</v>
      </c>
      <c r="AT425" t="e">
        <f>AND(#REF!,"AAAAAF5g9i0=")</f>
        <v>#REF!</v>
      </c>
      <c r="AU425" t="e">
        <f>AND(#REF!,"AAAAAF5g9i4=")</f>
        <v>#REF!</v>
      </c>
      <c r="AV425" t="e">
        <f>AND(#REF!,"AAAAAF5g9i8=")</f>
        <v>#REF!</v>
      </c>
      <c r="AW425" t="e">
        <f>AND(#REF!,"AAAAAF5g9jA=")</f>
        <v>#REF!</v>
      </c>
      <c r="AX425" t="e">
        <f>AND(#REF!,"AAAAAF5g9jE=")</f>
        <v>#REF!</v>
      </c>
      <c r="AY425" t="e">
        <f>AND(#REF!,"AAAAAF5g9jI=")</f>
        <v>#REF!</v>
      </c>
      <c r="AZ425" t="e">
        <f>AND(#REF!,"AAAAAF5g9jM=")</f>
        <v>#REF!</v>
      </c>
      <c r="BA425" t="e">
        <f>AND(#REF!,"AAAAAF5g9jQ=")</f>
        <v>#REF!</v>
      </c>
      <c r="BB425" t="e">
        <f>AND(#REF!,"AAAAAF5g9jU=")</f>
        <v>#REF!</v>
      </c>
      <c r="BC425" t="e">
        <f>AND(#REF!,"AAAAAF5g9jY=")</f>
        <v>#REF!</v>
      </c>
      <c r="BD425" t="e">
        <f>AND(#REF!,"AAAAAF5g9jc=")</f>
        <v>#REF!</v>
      </c>
      <c r="BE425" t="e">
        <f>AND(#REF!,"AAAAAF5g9jg=")</f>
        <v>#REF!</v>
      </c>
      <c r="BF425" t="e">
        <f>AND(#REF!,"AAAAAF5g9jk=")</f>
        <v>#REF!</v>
      </c>
      <c r="BG425" t="e">
        <f>AND(#REF!,"AAAAAF5g9jo=")</f>
        <v>#REF!</v>
      </c>
      <c r="BH425" t="e">
        <f>AND(#REF!,"AAAAAF5g9js=")</f>
        <v>#REF!</v>
      </c>
      <c r="BI425" t="e">
        <f>AND(#REF!,"AAAAAF5g9jw=")</f>
        <v>#REF!</v>
      </c>
      <c r="BJ425" t="e">
        <f>AND(#REF!,"AAAAAF5g9j0=")</f>
        <v>#REF!</v>
      </c>
      <c r="BK425" t="e">
        <f>AND(#REF!,"AAAAAF5g9j4=")</f>
        <v>#REF!</v>
      </c>
      <c r="BL425" t="e">
        <f>AND(#REF!,"AAAAAF5g9j8=")</f>
        <v>#REF!</v>
      </c>
      <c r="BM425" t="e">
        <f>AND(#REF!,"AAAAAF5g9kA=")</f>
        <v>#REF!</v>
      </c>
      <c r="BN425" t="e">
        <f>AND(#REF!,"AAAAAF5g9kE=")</f>
        <v>#REF!</v>
      </c>
      <c r="BO425" t="e">
        <f>IF(#REF!,"AAAAAF5g9kI=",0)</f>
        <v>#REF!</v>
      </c>
      <c r="BP425" t="e">
        <f>AND(#REF!,"AAAAAF5g9kM=")</f>
        <v>#REF!</v>
      </c>
      <c r="BQ425" t="e">
        <f>AND(#REF!,"AAAAAF5g9kQ=")</f>
        <v>#REF!</v>
      </c>
      <c r="BR425" t="e">
        <f>AND(#REF!,"AAAAAF5g9kU=")</f>
        <v>#REF!</v>
      </c>
      <c r="BS425" t="e">
        <f>AND(#REF!,"AAAAAF5g9kY=")</f>
        <v>#REF!</v>
      </c>
      <c r="BT425" t="e">
        <f>AND(#REF!,"AAAAAF5g9kc=")</f>
        <v>#REF!</v>
      </c>
      <c r="BU425" t="e">
        <f>AND(#REF!,"AAAAAF5g9kg=")</f>
        <v>#REF!</v>
      </c>
      <c r="BV425" t="e">
        <f>AND(#REF!,"AAAAAF5g9kk=")</f>
        <v>#REF!</v>
      </c>
      <c r="BW425" t="e">
        <f>AND(#REF!,"AAAAAF5g9ko=")</f>
        <v>#REF!</v>
      </c>
      <c r="BX425" t="e">
        <f>AND(#REF!,"AAAAAF5g9ks=")</f>
        <v>#REF!</v>
      </c>
      <c r="BY425" t="e">
        <f>AND(#REF!,"AAAAAF5g9kw=")</f>
        <v>#REF!</v>
      </c>
      <c r="BZ425" t="e">
        <f>AND(#REF!,"AAAAAF5g9k0=")</f>
        <v>#REF!</v>
      </c>
      <c r="CA425" t="e">
        <f>AND(#REF!,"AAAAAF5g9k4=")</f>
        <v>#REF!</v>
      </c>
      <c r="CB425" t="e">
        <f>AND(#REF!,"AAAAAF5g9k8=")</f>
        <v>#REF!</v>
      </c>
      <c r="CC425" t="e">
        <f>AND(#REF!,"AAAAAF5g9lA=")</f>
        <v>#REF!</v>
      </c>
      <c r="CD425" t="e">
        <f>AND(#REF!,"AAAAAF5g9lE=")</f>
        <v>#REF!</v>
      </c>
      <c r="CE425" t="e">
        <f>AND(#REF!,"AAAAAF5g9lI=")</f>
        <v>#REF!</v>
      </c>
      <c r="CF425" t="e">
        <f>AND(#REF!,"AAAAAF5g9lM=")</f>
        <v>#REF!</v>
      </c>
      <c r="CG425" t="e">
        <f>AND(#REF!,"AAAAAF5g9lQ=")</f>
        <v>#REF!</v>
      </c>
      <c r="CH425" t="e">
        <f>AND(#REF!,"AAAAAF5g9lU=")</f>
        <v>#REF!</v>
      </c>
      <c r="CI425" t="e">
        <f>AND(#REF!,"AAAAAF5g9lY=")</f>
        <v>#REF!</v>
      </c>
      <c r="CJ425" t="e">
        <f>AND(#REF!,"AAAAAF5g9lc=")</f>
        <v>#REF!</v>
      </c>
      <c r="CK425" t="e">
        <f>AND(#REF!,"AAAAAF5g9lg=")</f>
        <v>#REF!</v>
      </c>
      <c r="CL425" t="e">
        <f>AND(#REF!,"AAAAAF5g9lk=")</f>
        <v>#REF!</v>
      </c>
      <c r="CM425" t="e">
        <f>AND(#REF!,"AAAAAF5g9lo=")</f>
        <v>#REF!</v>
      </c>
      <c r="CN425" t="e">
        <f>IF(#REF!,"AAAAAF5g9ls=",0)</f>
        <v>#REF!</v>
      </c>
      <c r="CO425" t="e">
        <f>AND(#REF!,"AAAAAF5g9lw=")</f>
        <v>#REF!</v>
      </c>
      <c r="CP425" t="e">
        <f>AND(#REF!,"AAAAAF5g9l0=")</f>
        <v>#REF!</v>
      </c>
      <c r="CQ425" t="e">
        <f>AND(#REF!,"AAAAAF5g9l4=")</f>
        <v>#REF!</v>
      </c>
      <c r="CR425" t="e">
        <f>AND(#REF!,"AAAAAF5g9l8=")</f>
        <v>#REF!</v>
      </c>
      <c r="CS425" t="e">
        <f>AND(#REF!,"AAAAAF5g9mA=")</f>
        <v>#REF!</v>
      </c>
      <c r="CT425" t="e">
        <f>AND(#REF!,"AAAAAF5g9mE=")</f>
        <v>#REF!</v>
      </c>
      <c r="CU425" t="e">
        <f>AND(#REF!,"AAAAAF5g9mI=")</f>
        <v>#REF!</v>
      </c>
      <c r="CV425" t="e">
        <f>AND(#REF!,"AAAAAF5g9mM=")</f>
        <v>#REF!</v>
      </c>
      <c r="CW425" t="e">
        <f>AND(#REF!,"AAAAAF5g9mQ=")</f>
        <v>#REF!</v>
      </c>
      <c r="CX425" t="e">
        <f>AND(#REF!,"AAAAAF5g9mU=")</f>
        <v>#REF!</v>
      </c>
      <c r="CY425" t="e">
        <f>AND(#REF!,"AAAAAF5g9mY=")</f>
        <v>#REF!</v>
      </c>
      <c r="CZ425" t="e">
        <f>AND(#REF!,"AAAAAF5g9mc=")</f>
        <v>#REF!</v>
      </c>
      <c r="DA425" t="e">
        <f>AND(#REF!,"AAAAAF5g9mg=")</f>
        <v>#REF!</v>
      </c>
      <c r="DB425" t="e">
        <f>AND(#REF!,"AAAAAF5g9mk=")</f>
        <v>#REF!</v>
      </c>
      <c r="DC425" t="e">
        <f>AND(#REF!,"AAAAAF5g9mo=")</f>
        <v>#REF!</v>
      </c>
      <c r="DD425" t="e">
        <f>AND(#REF!,"AAAAAF5g9ms=")</f>
        <v>#REF!</v>
      </c>
      <c r="DE425" t="e">
        <f>AND(#REF!,"AAAAAF5g9mw=")</f>
        <v>#REF!</v>
      </c>
      <c r="DF425" t="e">
        <f>AND(#REF!,"AAAAAF5g9m0=")</f>
        <v>#REF!</v>
      </c>
      <c r="DG425" t="e">
        <f>AND(#REF!,"AAAAAF5g9m4=")</f>
        <v>#REF!</v>
      </c>
      <c r="DH425" t="e">
        <f>AND(#REF!,"AAAAAF5g9m8=")</f>
        <v>#REF!</v>
      </c>
      <c r="DI425" t="e">
        <f>AND(#REF!,"AAAAAF5g9nA=")</f>
        <v>#REF!</v>
      </c>
      <c r="DJ425" t="e">
        <f>AND(#REF!,"AAAAAF5g9nE=")</f>
        <v>#REF!</v>
      </c>
      <c r="DK425" t="e">
        <f>AND(#REF!,"AAAAAF5g9nI=")</f>
        <v>#REF!</v>
      </c>
      <c r="DL425" t="e">
        <f>AND(#REF!,"AAAAAF5g9nM=")</f>
        <v>#REF!</v>
      </c>
      <c r="DM425" t="e">
        <f>IF(#REF!,"AAAAAF5g9nQ=",0)</f>
        <v>#REF!</v>
      </c>
      <c r="DN425" t="e">
        <f>AND(#REF!,"AAAAAF5g9nU=")</f>
        <v>#REF!</v>
      </c>
      <c r="DO425" t="e">
        <f>AND(#REF!,"AAAAAF5g9nY=")</f>
        <v>#REF!</v>
      </c>
      <c r="DP425" t="e">
        <f>AND(#REF!,"AAAAAF5g9nc=")</f>
        <v>#REF!</v>
      </c>
      <c r="DQ425" t="e">
        <f>AND(#REF!,"AAAAAF5g9ng=")</f>
        <v>#REF!</v>
      </c>
      <c r="DR425" t="e">
        <f>AND(#REF!,"AAAAAF5g9nk=")</f>
        <v>#REF!</v>
      </c>
      <c r="DS425" t="e">
        <f>AND(#REF!,"AAAAAF5g9no=")</f>
        <v>#REF!</v>
      </c>
      <c r="DT425" t="e">
        <f>AND(#REF!,"AAAAAF5g9ns=")</f>
        <v>#REF!</v>
      </c>
      <c r="DU425" t="e">
        <f>AND(#REF!,"AAAAAF5g9nw=")</f>
        <v>#REF!</v>
      </c>
      <c r="DV425" t="e">
        <f>AND(#REF!,"AAAAAF5g9n0=")</f>
        <v>#REF!</v>
      </c>
      <c r="DW425" t="e">
        <f>AND(#REF!,"AAAAAF5g9n4=")</f>
        <v>#REF!</v>
      </c>
      <c r="DX425" t="e">
        <f>AND(#REF!,"AAAAAF5g9n8=")</f>
        <v>#REF!</v>
      </c>
      <c r="DY425" t="e">
        <f>AND(#REF!,"AAAAAF5g9oA=")</f>
        <v>#REF!</v>
      </c>
      <c r="DZ425" t="e">
        <f>AND(#REF!,"AAAAAF5g9oE=")</f>
        <v>#REF!</v>
      </c>
      <c r="EA425" t="e">
        <f>AND(#REF!,"AAAAAF5g9oI=")</f>
        <v>#REF!</v>
      </c>
      <c r="EB425" t="e">
        <f>AND(#REF!,"AAAAAF5g9oM=")</f>
        <v>#REF!</v>
      </c>
      <c r="EC425" t="e">
        <f>AND(#REF!,"AAAAAF5g9oQ=")</f>
        <v>#REF!</v>
      </c>
      <c r="ED425" t="e">
        <f>AND(#REF!,"AAAAAF5g9oU=")</f>
        <v>#REF!</v>
      </c>
      <c r="EE425" t="e">
        <f>AND(#REF!,"AAAAAF5g9oY=")</f>
        <v>#REF!</v>
      </c>
      <c r="EF425" t="e">
        <f>AND(#REF!,"AAAAAF5g9oc=")</f>
        <v>#REF!</v>
      </c>
      <c r="EG425" t="e">
        <f>AND(#REF!,"AAAAAF5g9og=")</f>
        <v>#REF!</v>
      </c>
      <c r="EH425" t="e">
        <f>AND(#REF!,"AAAAAF5g9ok=")</f>
        <v>#REF!</v>
      </c>
      <c r="EI425" t="e">
        <f>AND(#REF!,"AAAAAF5g9oo=")</f>
        <v>#REF!</v>
      </c>
      <c r="EJ425" t="e">
        <f>AND(#REF!,"AAAAAF5g9os=")</f>
        <v>#REF!</v>
      </c>
      <c r="EK425" t="e">
        <f>AND(#REF!,"AAAAAF5g9ow=")</f>
        <v>#REF!</v>
      </c>
      <c r="EL425" t="e">
        <f>IF(#REF!,"AAAAAF5g9o0=",0)</f>
        <v>#REF!</v>
      </c>
      <c r="EM425" t="e">
        <f>AND(#REF!,"AAAAAF5g9o4=")</f>
        <v>#REF!</v>
      </c>
      <c r="EN425" t="e">
        <f>AND(#REF!,"AAAAAF5g9o8=")</f>
        <v>#REF!</v>
      </c>
      <c r="EO425" t="e">
        <f>AND(#REF!,"AAAAAF5g9pA=")</f>
        <v>#REF!</v>
      </c>
      <c r="EP425" t="e">
        <f>AND(#REF!,"AAAAAF5g9pE=")</f>
        <v>#REF!</v>
      </c>
      <c r="EQ425" t="e">
        <f>AND(#REF!,"AAAAAF5g9pI=")</f>
        <v>#REF!</v>
      </c>
      <c r="ER425" t="e">
        <f>AND(#REF!,"AAAAAF5g9pM=")</f>
        <v>#REF!</v>
      </c>
      <c r="ES425" t="e">
        <f>AND(#REF!,"AAAAAF5g9pQ=")</f>
        <v>#REF!</v>
      </c>
      <c r="ET425" t="e">
        <f>AND(#REF!,"AAAAAF5g9pU=")</f>
        <v>#REF!</v>
      </c>
      <c r="EU425" t="e">
        <f>AND(#REF!,"AAAAAF5g9pY=")</f>
        <v>#REF!</v>
      </c>
      <c r="EV425" t="e">
        <f>AND(#REF!,"AAAAAF5g9pc=")</f>
        <v>#REF!</v>
      </c>
      <c r="EW425" t="e">
        <f>AND(#REF!,"AAAAAF5g9pg=")</f>
        <v>#REF!</v>
      </c>
      <c r="EX425" t="e">
        <f>AND(#REF!,"AAAAAF5g9pk=")</f>
        <v>#REF!</v>
      </c>
      <c r="EY425" t="e">
        <f>AND(#REF!,"AAAAAF5g9po=")</f>
        <v>#REF!</v>
      </c>
      <c r="EZ425" t="e">
        <f>AND(#REF!,"AAAAAF5g9ps=")</f>
        <v>#REF!</v>
      </c>
      <c r="FA425" t="e">
        <f>AND(#REF!,"AAAAAF5g9pw=")</f>
        <v>#REF!</v>
      </c>
      <c r="FB425" t="e">
        <f>AND(#REF!,"AAAAAF5g9p0=")</f>
        <v>#REF!</v>
      </c>
      <c r="FC425" t="e">
        <f>AND(#REF!,"AAAAAF5g9p4=")</f>
        <v>#REF!</v>
      </c>
      <c r="FD425" t="e">
        <f>AND(#REF!,"AAAAAF5g9p8=")</f>
        <v>#REF!</v>
      </c>
      <c r="FE425" t="e">
        <f>AND(#REF!,"AAAAAF5g9qA=")</f>
        <v>#REF!</v>
      </c>
      <c r="FF425" t="e">
        <f>AND(#REF!,"AAAAAF5g9qE=")</f>
        <v>#REF!</v>
      </c>
      <c r="FG425" t="e">
        <f>AND(#REF!,"AAAAAF5g9qI=")</f>
        <v>#REF!</v>
      </c>
      <c r="FH425" t="e">
        <f>AND(#REF!,"AAAAAF5g9qM=")</f>
        <v>#REF!</v>
      </c>
      <c r="FI425" t="e">
        <f>AND(#REF!,"AAAAAF5g9qQ=")</f>
        <v>#REF!</v>
      </c>
      <c r="FJ425" t="e">
        <f>AND(#REF!,"AAAAAF5g9qU=")</f>
        <v>#REF!</v>
      </c>
      <c r="FK425" t="e">
        <f>IF(#REF!,"AAAAAF5g9qY=",0)</f>
        <v>#REF!</v>
      </c>
      <c r="FL425" t="e">
        <f>AND(#REF!,"AAAAAF5g9qc=")</f>
        <v>#REF!</v>
      </c>
      <c r="FM425" t="e">
        <f>AND(#REF!,"AAAAAF5g9qg=")</f>
        <v>#REF!</v>
      </c>
      <c r="FN425" t="e">
        <f>AND(#REF!,"AAAAAF5g9qk=")</f>
        <v>#REF!</v>
      </c>
      <c r="FO425" t="e">
        <f>AND(#REF!,"AAAAAF5g9qo=")</f>
        <v>#REF!</v>
      </c>
      <c r="FP425" t="e">
        <f>AND(#REF!,"AAAAAF5g9qs=")</f>
        <v>#REF!</v>
      </c>
      <c r="FQ425" t="e">
        <f>AND(#REF!,"AAAAAF5g9qw=")</f>
        <v>#REF!</v>
      </c>
      <c r="FR425" t="e">
        <f>AND(#REF!,"AAAAAF5g9q0=")</f>
        <v>#REF!</v>
      </c>
      <c r="FS425" t="e">
        <f>AND(#REF!,"AAAAAF5g9q4=")</f>
        <v>#REF!</v>
      </c>
      <c r="FT425" t="e">
        <f>AND(#REF!,"AAAAAF5g9q8=")</f>
        <v>#REF!</v>
      </c>
      <c r="FU425" t="e">
        <f>AND(#REF!,"AAAAAF5g9rA=")</f>
        <v>#REF!</v>
      </c>
      <c r="FV425" t="e">
        <f>AND(#REF!,"AAAAAF5g9rE=")</f>
        <v>#REF!</v>
      </c>
      <c r="FW425" t="e">
        <f>AND(#REF!,"AAAAAF5g9rI=")</f>
        <v>#REF!</v>
      </c>
      <c r="FX425" t="e">
        <f>AND(#REF!,"AAAAAF5g9rM=")</f>
        <v>#REF!</v>
      </c>
      <c r="FY425" t="e">
        <f>AND(#REF!,"AAAAAF5g9rQ=")</f>
        <v>#REF!</v>
      </c>
      <c r="FZ425" t="e">
        <f>AND(#REF!,"AAAAAF5g9rU=")</f>
        <v>#REF!</v>
      </c>
      <c r="GA425" t="e">
        <f>AND(#REF!,"AAAAAF5g9rY=")</f>
        <v>#REF!</v>
      </c>
      <c r="GB425" t="e">
        <f>AND(#REF!,"AAAAAF5g9rc=")</f>
        <v>#REF!</v>
      </c>
      <c r="GC425" t="e">
        <f>AND(#REF!,"AAAAAF5g9rg=")</f>
        <v>#REF!</v>
      </c>
      <c r="GD425" t="e">
        <f>AND(#REF!,"AAAAAF5g9rk=")</f>
        <v>#REF!</v>
      </c>
      <c r="GE425" t="e">
        <f>AND(#REF!,"AAAAAF5g9ro=")</f>
        <v>#REF!</v>
      </c>
      <c r="GF425" t="e">
        <f>AND(#REF!,"AAAAAF5g9rs=")</f>
        <v>#REF!</v>
      </c>
      <c r="GG425" t="e">
        <f>AND(#REF!,"AAAAAF5g9rw=")</f>
        <v>#REF!</v>
      </c>
      <c r="GH425" t="e">
        <f>AND(#REF!,"AAAAAF5g9r0=")</f>
        <v>#REF!</v>
      </c>
      <c r="GI425" t="e">
        <f>AND(#REF!,"AAAAAF5g9r4=")</f>
        <v>#REF!</v>
      </c>
      <c r="GJ425" t="e">
        <f>IF(#REF!,"AAAAAF5g9r8=",0)</f>
        <v>#REF!</v>
      </c>
      <c r="GK425" t="e">
        <f>AND(#REF!,"AAAAAF5g9sA=")</f>
        <v>#REF!</v>
      </c>
      <c r="GL425" t="e">
        <f>AND(#REF!,"AAAAAF5g9sE=")</f>
        <v>#REF!</v>
      </c>
      <c r="GM425" t="e">
        <f>AND(#REF!,"AAAAAF5g9sI=")</f>
        <v>#REF!</v>
      </c>
      <c r="GN425" t="e">
        <f>AND(#REF!,"AAAAAF5g9sM=")</f>
        <v>#REF!</v>
      </c>
      <c r="GO425" t="e">
        <f>AND(#REF!,"AAAAAF5g9sQ=")</f>
        <v>#REF!</v>
      </c>
      <c r="GP425" t="e">
        <f>AND(#REF!,"AAAAAF5g9sU=")</f>
        <v>#REF!</v>
      </c>
      <c r="GQ425" t="e">
        <f>AND(#REF!,"AAAAAF5g9sY=")</f>
        <v>#REF!</v>
      </c>
      <c r="GR425" t="e">
        <f>AND(#REF!,"AAAAAF5g9sc=")</f>
        <v>#REF!</v>
      </c>
      <c r="GS425" t="e">
        <f>AND(#REF!,"AAAAAF5g9sg=")</f>
        <v>#REF!</v>
      </c>
      <c r="GT425" t="e">
        <f>AND(#REF!,"AAAAAF5g9sk=")</f>
        <v>#REF!</v>
      </c>
      <c r="GU425" t="e">
        <f>AND(#REF!,"AAAAAF5g9so=")</f>
        <v>#REF!</v>
      </c>
      <c r="GV425" t="e">
        <f>AND(#REF!,"AAAAAF5g9ss=")</f>
        <v>#REF!</v>
      </c>
      <c r="GW425" t="e">
        <f>AND(#REF!,"AAAAAF5g9sw=")</f>
        <v>#REF!</v>
      </c>
      <c r="GX425" t="e">
        <f>AND(#REF!,"AAAAAF5g9s0=")</f>
        <v>#REF!</v>
      </c>
      <c r="GY425" t="e">
        <f>AND(#REF!,"AAAAAF5g9s4=")</f>
        <v>#REF!</v>
      </c>
      <c r="GZ425" t="e">
        <f>AND(#REF!,"AAAAAF5g9s8=")</f>
        <v>#REF!</v>
      </c>
      <c r="HA425" t="e">
        <f>AND(#REF!,"AAAAAF5g9tA=")</f>
        <v>#REF!</v>
      </c>
      <c r="HB425" t="e">
        <f>AND(#REF!,"AAAAAF5g9tE=")</f>
        <v>#REF!</v>
      </c>
      <c r="HC425" t="e">
        <f>AND(#REF!,"AAAAAF5g9tI=")</f>
        <v>#REF!</v>
      </c>
      <c r="HD425" t="e">
        <f>AND(#REF!,"AAAAAF5g9tM=")</f>
        <v>#REF!</v>
      </c>
      <c r="HE425" t="e">
        <f>AND(#REF!,"AAAAAF5g9tQ=")</f>
        <v>#REF!</v>
      </c>
      <c r="HF425" t="e">
        <f>AND(#REF!,"AAAAAF5g9tU=")</f>
        <v>#REF!</v>
      </c>
      <c r="HG425" t="e">
        <f>AND(#REF!,"AAAAAF5g9tY=")</f>
        <v>#REF!</v>
      </c>
      <c r="HH425" t="e">
        <f>AND(#REF!,"AAAAAF5g9tc=")</f>
        <v>#REF!</v>
      </c>
      <c r="HI425" t="e">
        <f>IF(#REF!,"AAAAAF5g9tg=",0)</f>
        <v>#REF!</v>
      </c>
      <c r="HJ425" t="e">
        <f>AND(#REF!,"AAAAAF5g9tk=")</f>
        <v>#REF!</v>
      </c>
      <c r="HK425" t="e">
        <f>AND(#REF!,"AAAAAF5g9to=")</f>
        <v>#REF!</v>
      </c>
      <c r="HL425" t="e">
        <f>AND(#REF!,"AAAAAF5g9ts=")</f>
        <v>#REF!</v>
      </c>
      <c r="HM425" t="e">
        <f>AND(#REF!,"AAAAAF5g9tw=")</f>
        <v>#REF!</v>
      </c>
      <c r="HN425" t="e">
        <f>AND(#REF!,"AAAAAF5g9t0=")</f>
        <v>#REF!</v>
      </c>
      <c r="HO425" t="e">
        <f>AND(#REF!,"AAAAAF5g9t4=")</f>
        <v>#REF!</v>
      </c>
      <c r="HP425" t="e">
        <f>AND(#REF!,"AAAAAF5g9t8=")</f>
        <v>#REF!</v>
      </c>
      <c r="HQ425" t="e">
        <f>AND(#REF!,"AAAAAF5g9uA=")</f>
        <v>#REF!</v>
      </c>
      <c r="HR425" t="e">
        <f>AND(#REF!,"AAAAAF5g9uE=")</f>
        <v>#REF!</v>
      </c>
      <c r="HS425" t="e">
        <f>AND(#REF!,"AAAAAF5g9uI=")</f>
        <v>#REF!</v>
      </c>
      <c r="HT425" t="e">
        <f>AND(#REF!,"AAAAAF5g9uM=")</f>
        <v>#REF!</v>
      </c>
      <c r="HU425" t="e">
        <f>AND(#REF!,"AAAAAF5g9uQ=")</f>
        <v>#REF!</v>
      </c>
      <c r="HV425" t="e">
        <f>AND(#REF!,"AAAAAF5g9uU=")</f>
        <v>#REF!</v>
      </c>
      <c r="HW425" t="e">
        <f>AND(#REF!,"AAAAAF5g9uY=")</f>
        <v>#REF!</v>
      </c>
      <c r="HX425" t="e">
        <f>AND(#REF!,"AAAAAF5g9uc=")</f>
        <v>#REF!</v>
      </c>
      <c r="HY425" t="e">
        <f>AND(#REF!,"AAAAAF5g9ug=")</f>
        <v>#REF!</v>
      </c>
      <c r="HZ425" t="e">
        <f>AND(#REF!,"AAAAAF5g9uk=")</f>
        <v>#REF!</v>
      </c>
      <c r="IA425" t="e">
        <f>AND(#REF!,"AAAAAF5g9uo=")</f>
        <v>#REF!</v>
      </c>
      <c r="IB425" t="e">
        <f>AND(#REF!,"AAAAAF5g9us=")</f>
        <v>#REF!</v>
      </c>
      <c r="IC425" t="e">
        <f>AND(#REF!,"AAAAAF5g9uw=")</f>
        <v>#REF!</v>
      </c>
      <c r="ID425" t="e">
        <f>AND(#REF!,"AAAAAF5g9u0=")</f>
        <v>#REF!</v>
      </c>
      <c r="IE425" t="e">
        <f>AND(#REF!,"AAAAAF5g9u4=")</f>
        <v>#REF!</v>
      </c>
      <c r="IF425" t="e">
        <f>AND(#REF!,"AAAAAF5g9u8=")</f>
        <v>#REF!</v>
      </c>
      <c r="IG425" t="e">
        <f>AND(#REF!,"AAAAAF5g9vA=")</f>
        <v>#REF!</v>
      </c>
      <c r="IH425" t="e">
        <f>IF(#REF!,"AAAAAF5g9vE=",0)</f>
        <v>#REF!</v>
      </c>
      <c r="II425" t="e">
        <f>AND(#REF!,"AAAAAF5g9vI=")</f>
        <v>#REF!</v>
      </c>
      <c r="IJ425" t="e">
        <f>AND(#REF!,"AAAAAF5g9vM=")</f>
        <v>#REF!</v>
      </c>
      <c r="IK425" t="e">
        <f>AND(#REF!,"AAAAAF5g9vQ=")</f>
        <v>#REF!</v>
      </c>
      <c r="IL425" t="e">
        <f>AND(#REF!,"AAAAAF5g9vU=")</f>
        <v>#REF!</v>
      </c>
      <c r="IM425" t="e">
        <f>AND(#REF!,"AAAAAF5g9vY=")</f>
        <v>#REF!</v>
      </c>
      <c r="IN425" t="e">
        <f>AND(#REF!,"AAAAAF5g9vc=")</f>
        <v>#REF!</v>
      </c>
      <c r="IO425" t="e">
        <f>AND(#REF!,"AAAAAF5g9vg=")</f>
        <v>#REF!</v>
      </c>
      <c r="IP425" t="e">
        <f>AND(#REF!,"AAAAAF5g9vk=")</f>
        <v>#REF!</v>
      </c>
      <c r="IQ425" t="e">
        <f>AND(#REF!,"AAAAAF5g9vo=")</f>
        <v>#REF!</v>
      </c>
      <c r="IR425" t="e">
        <f>AND(#REF!,"AAAAAF5g9vs=")</f>
        <v>#REF!</v>
      </c>
      <c r="IS425" t="e">
        <f>AND(#REF!,"AAAAAF5g9vw=")</f>
        <v>#REF!</v>
      </c>
      <c r="IT425" t="e">
        <f>AND(#REF!,"AAAAAF5g9v0=")</f>
        <v>#REF!</v>
      </c>
      <c r="IU425" t="e">
        <f>AND(#REF!,"AAAAAF5g9v4=")</f>
        <v>#REF!</v>
      </c>
      <c r="IV425" t="e">
        <f>AND(#REF!,"AAAAAF5g9v8=")</f>
        <v>#REF!</v>
      </c>
    </row>
    <row r="426" spans="1:256">
      <c r="A426" t="e">
        <f>AND(#REF!,"AAAAAH3f3gA=")</f>
        <v>#REF!</v>
      </c>
      <c r="B426" t="e">
        <f>AND(#REF!,"AAAAAH3f3gE=")</f>
        <v>#REF!</v>
      </c>
      <c r="C426" t="e">
        <f>AND(#REF!,"AAAAAH3f3gI=")</f>
        <v>#REF!</v>
      </c>
      <c r="D426" t="e">
        <f>AND(#REF!,"AAAAAH3f3gM=")</f>
        <v>#REF!</v>
      </c>
      <c r="E426" t="e">
        <f>AND(#REF!,"AAAAAH3f3gQ=")</f>
        <v>#REF!</v>
      </c>
      <c r="F426" t="e">
        <f>AND(#REF!,"AAAAAH3f3gU=")</f>
        <v>#REF!</v>
      </c>
      <c r="G426" t="e">
        <f>AND(#REF!,"AAAAAH3f3gY=")</f>
        <v>#REF!</v>
      </c>
      <c r="H426" t="e">
        <f>AND(#REF!,"AAAAAH3f3gc=")</f>
        <v>#REF!</v>
      </c>
      <c r="I426" t="e">
        <f>AND(#REF!,"AAAAAH3f3gg=")</f>
        <v>#REF!</v>
      </c>
      <c r="J426" t="e">
        <f>AND(#REF!,"AAAAAH3f3gk=")</f>
        <v>#REF!</v>
      </c>
      <c r="K426" t="e">
        <f>IF(#REF!,"AAAAAH3f3go=",0)</f>
        <v>#REF!</v>
      </c>
      <c r="L426" t="e">
        <f>AND(#REF!,"AAAAAH3f3gs=")</f>
        <v>#REF!</v>
      </c>
      <c r="M426" t="e">
        <f>AND(#REF!,"AAAAAH3f3gw=")</f>
        <v>#REF!</v>
      </c>
      <c r="N426" t="e">
        <f>AND(#REF!,"AAAAAH3f3g0=")</f>
        <v>#REF!</v>
      </c>
      <c r="O426" t="e">
        <f>AND(#REF!,"AAAAAH3f3g4=")</f>
        <v>#REF!</v>
      </c>
      <c r="P426" t="e">
        <f>AND(#REF!,"AAAAAH3f3g8=")</f>
        <v>#REF!</v>
      </c>
      <c r="Q426" t="e">
        <f>AND(#REF!,"AAAAAH3f3hA=")</f>
        <v>#REF!</v>
      </c>
      <c r="R426" t="e">
        <f>AND(#REF!,"AAAAAH3f3hE=")</f>
        <v>#REF!</v>
      </c>
      <c r="S426" t="e">
        <f>AND(#REF!,"AAAAAH3f3hI=")</f>
        <v>#REF!</v>
      </c>
      <c r="T426" t="e">
        <f>AND(#REF!,"AAAAAH3f3hM=")</f>
        <v>#REF!</v>
      </c>
      <c r="U426" t="e">
        <f>AND(#REF!,"AAAAAH3f3hQ=")</f>
        <v>#REF!</v>
      </c>
      <c r="V426" t="e">
        <f>AND(#REF!,"AAAAAH3f3hU=")</f>
        <v>#REF!</v>
      </c>
      <c r="W426" t="e">
        <f>AND(#REF!,"AAAAAH3f3hY=")</f>
        <v>#REF!</v>
      </c>
      <c r="X426" t="e">
        <f>AND(#REF!,"AAAAAH3f3hc=")</f>
        <v>#REF!</v>
      </c>
      <c r="Y426" t="e">
        <f>AND(#REF!,"AAAAAH3f3hg=")</f>
        <v>#REF!</v>
      </c>
      <c r="Z426" t="e">
        <f>AND(#REF!,"AAAAAH3f3hk=")</f>
        <v>#REF!</v>
      </c>
      <c r="AA426" t="e">
        <f>AND(#REF!,"AAAAAH3f3ho=")</f>
        <v>#REF!</v>
      </c>
      <c r="AB426" t="e">
        <f>AND(#REF!,"AAAAAH3f3hs=")</f>
        <v>#REF!</v>
      </c>
      <c r="AC426" t="e">
        <f>AND(#REF!,"AAAAAH3f3hw=")</f>
        <v>#REF!</v>
      </c>
      <c r="AD426" t="e">
        <f>AND(#REF!,"AAAAAH3f3h0=")</f>
        <v>#REF!</v>
      </c>
      <c r="AE426" t="e">
        <f>AND(#REF!,"AAAAAH3f3h4=")</f>
        <v>#REF!</v>
      </c>
      <c r="AF426" t="e">
        <f>AND(#REF!,"AAAAAH3f3h8=")</f>
        <v>#REF!</v>
      </c>
      <c r="AG426" t="e">
        <f>AND(#REF!,"AAAAAH3f3iA=")</f>
        <v>#REF!</v>
      </c>
      <c r="AH426" t="e">
        <f>AND(#REF!,"AAAAAH3f3iE=")</f>
        <v>#REF!</v>
      </c>
      <c r="AI426" t="e">
        <f>AND(#REF!,"AAAAAH3f3iI=")</f>
        <v>#REF!</v>
      </c>
      <c r="AJ426" t="e">
        <f>IF(#REF!,"AAAAAH3f3iM=",0)</f>
        <v>#REF!</v>
      </c>
      <c r="AK426" t="e">
        <f>AND(#REF!,"AAAAAH3f3iQ=")</f>
        <v>#REF!</v>
      </c>
      <c r="AL426" t="e">
        <f>AND(#REF!,"AAAAAH3f3iU=")</f>
        <v>#REF!</v>
      </c>
      <c r="AM426" t="e">
        <f>AND(#REF!,"AAAAAH3f3iY=")</f>
        <v>#REF!</v>
      </c>
      <c r="AN426" t="e">
        <f>AND(#REF!,"AAAAAH3f3ic=")</f>
        <v>#REF!</v>
      </c>
      <c r="AO426" t="e">
        <f>AND(#REF!,"AAAAAH3f3ig=")</f>
        <v>#REF!</v>
      </c>
      <c r="AP426" t="e">
        <f>AND(#REF!,"AAAAAH3f3ik=")</f>
        <v>#REF!</v>
      </c>
      <c r="AQ426" t="e">
        <f>AND(#REF!,"AAAAAH3f3io=")</f>
        <v>#REF!</v>
      </c>
      <c r="AR426" t="e">
        <f>AND(#REF!,"AAAAAH3f3is=")</f>
        <v>#REF!</v>
      </c>
      <c r="AS426" t="e">
        <f>AND(#REF!,"AAAAAH3f3iw=")</f>
        <v>#REF!</v>
      </c>
      <c r="AT426" t="e">
        <f>AND(#REF!,"AAAAAH3f3i0=")</f>
        <v>#REF!</v>
      </c>
      <c r="AU426" t="e">
        <f>AND(#REF!,"AAAAAH3f3i4=")</f>
        <v>#REF!</v>
      </c>
      <c r="AV426" t="e">
        <f>AND(#REF!,"AAAAAH3f3i8=")</f>
        <v>#REF!</v>
      </c>
      <c r="AW426" t="e">
        <f>AND(#REF!,"AAAAAH3f3jA=")</f>
        <v>#REF!</v>
      </c>
      <c r="AX426" t="e">
        <f>AND(#REF!,"AAAAAH3f3jE=")</f>
        <v>#REF!</v>
      </c>
      <c r="AY426" t="e">
        <f>AND(#REF!,"AAAAAH3f3jI=")</f>
        <v>#REF!</v>
      </c>
      <c r="AZ426" t="e">
        <f>AND(#REF!,"AAAAAH3f3jM=")</f>
        <v>#REF!</v>
      </c>
      <c r="BA426" t="e">
        <f>AND(#REF!,"AAAAAH3f3jQ=")</f>
        <v>#REF!</v>
      </c>
      <c r="BB426" t="e">
        <f>AND(#REF!,"AAAAAH3f3jU=")</f>
        <v>#REF!</v>
      </c>
      <c r="BC426" t="e">
        <f>AND(#REF!,"AAAAAH3f3jY=")</f>
        <v>#REF!</v>
      </c>
      <c r="BD426" t="e">
        <f>AND(#REF!,"AAAAAH3f3jc=")</f>
        <v>#REF!</v>
      </c>
      <c r="BE426" t="e">
        <f>AND(#REF!,"AAAAAH3f3jg=")</f>
        <v>#REF!</v>
      </c>
      <c r="BF426" t="e">
        <f>AND(#REF!,"AAAAAH3f3jk=")</f>
        <v>#REF!</v>
      </c>
      <c r="BG426" t="e">
        <f>AND(#REF!,"AAAAAH3f3jo=")</f>
        <v>#REF!</v>
      </c>
      <c r="BH426" t="e">
        <f>AND(#REF!,"AAAAAH3f3js=")</f>
        <v>#REF!</v>
      </c>
      <c r="BI426" t="e">
        <f>IF(#REF!,"AAAAAH3f3jw=",0)</f>
        <v>#REF!</v>
      </c>
      <c r="BJ426" t="e">
        <f>AND(#REF!,"AAAAAH3f3j0=")</f>
        <v>#REF!</v>
      </c>
      <c r="BK426" t="e">
        <f>AND(#REF!,"AAAAAH3f3j4=")</f>
        <v>#REF!</v>
      </c>
      <c r="BL426" t="e">
        <f>AND(#REF!,"AAAAAH3f3j8=")</f>
        <v>#REF!</v>
      </c>
      <c r="BM426" t="e">
        <f>AND(#REF!,"AAAAAH3f3kA=")</f>
        <v>#REF!</v>
      </c>
      <c r="BN426" t="e">
        <f>AND(#REF!,"AAAAAH3f3kE=")</f>
        <v>#REF!</v>
      </c>
      <c r="BO426" t="e">
        <f>AND(#REF!,"AAAAAH3f3kI=")</f>
        <v>#REF!</v>
      </c>
      <c r="BP426" t="e">
        <f>AND(#REF!,"AAAAAH3f3kM=")</f>
        <v>#REF!</v>
      </c>
      <c r="BQ426" t="e">
        <f>AND(#REF!,"AAAAAH3f3kQ=")</f>
        <v>#REF!</v>
      </c>
      <c r="BR426" t="e">
        <f>AND(#REF!,"AAAAAH3f3kU=")</f>
        <v>#REF!</v>
      </c>
      <c r="BS426" t="e">
        <f>AND(#REF!,"AAAAAH3f3kY=")</f>
        <v>#REF!</v>
      </c>
      <c r="BT426" t="e">
        <f>AND(#REF!,"AAAAAH3f3kc=")</f>
        <v>#REF!</v>
      </c>
      <c r="BU426" t="e">
        <f>AND(#REF!,"AAAAAH3f3kg=")</f>
        <v>#REF!</v>
      </c>
      <c r="BV426" t="e">
        <f>AND(#REF!,"AAAAAH3f3kk=")</f>
        <v>#REF!</v>
      </c>
      <c r="BW426" t="e">
        <f>AND(#REF!,"AAAAAH3f3ko=")</f>
        <v>#REF!</v>
      </c>
      <c r="BX426" t="e">
        <f>AND(#REF!,"AAAAAH3f3ks=")</f>
        <v>#REF!</v>
      </c>
      <c r="BY426" t="e">
        <f>AND(#REF!,"AAAAAH3f3kw=")</f>
        <v>#REF!</v>
      </c>
      <c r="BZ426" t="e">
        <f>AND(#REF!,"AAAAAH3f3k0=")</f>
        <v>#REF!</v>
      </c>
      <c r="CA426" t="e">
        <f>AND(#REF!,"AAAAAH3f3k4=")</f>
        <v>#REF!</v>
      </c>
      <c r="CB426" t="e">
        <f>AND(#REF!,"AAAAAH3f3k8=")</f>
        <v>#REF!</v>
      </c>
      <c r="CC426" t="e">
        <f>AND(#REF!,"AAAAAH3f3lA=")</f>
        <v>#REF!</v>
      </c>
      <c r="CD426" t="e">
        <f>AND(#REF!,"AAAAAH3f3lE=")</f>
        <v>#REF!</v>
      </c>
      <c r="CE426" t="e">
        <f>AND(#REF!,"AAAAAH3f3lI=")</f>
        <v>#REF!</v>
      </c>
      <c r="CF426" t="e">
        <f>AND(#REF!,"AAAAAH3f3lM=")</f>
        <v>#REF!</v>
      </c>
      <c r="CG426" t="e">
        <f>AND(#REF!,"AAAAAH3f3lQ=")</f>
        <v>#REF!</v>
      </c>
      <c r="CH426" t="e">
        <f>IF(#REF!,"AAAAAH3f3lU=",0)</f>
        <v>#REF!</v>
      </c>
      <c r="CI426" t="e">
        <f>AND(#REF!,"AAAAAH3f3lY=")</f>
        <v>#REF!</v>
      </c>
      <c r="CJ426" t="e">
        <f>AND(#REF!,"AAAAAH3f3lc=")</f>
        <v>#REF!</v>
      </c>
      <c r="CK426" t="e">
        <f>AND(#REF!,"AAAAAH3f3lg=")</f>
        <v>#REF!</v>
      </c>
      <c r="CL426" t="e">
        <f>AND(#REF!,"AAAAAH3f3lk=")</f>
        <v>#REF!</v>
      </c>
      <c r="CM426" t="e">
        <f>AND(#REF!,"AAAAAH3f3lo=")</f>
        <v>#REF!</v>
      </c>
      <c r="CN426" t="e">
        <f>AND(#REF!,"AAAAAH3f3ls=")</f>
        <v>#REF!</v>
      </c>
      <c r="CO426" t="e">
        <f>AND(#REF!,"AAAAAH3f3lw=")</f>
        <v>#REF!</v>
      </c>
      <c r="CP426" t="e">
        <f>AND(#REF!,"AAAAAH3f3l0=")</f>
        <v>#REF!</v>
      </c>
      <c r="CQ426" t="e">
        <f>AND(#REF!,"AAAAAH3f3l4=")</f>
        <v>#REF!</v>
      </c>
      <c r="CR426" t="e">
        <f>AND(#REF!,"AAAAAH3f3l8=")</f>
        <v>#REF!</v>
      </c>
      <c r="CS426" t="e">
        <f>AND(#REF!,"AAAAAH3f3mA=")</f>
        <v>#REF!</v>
      </c>
      <c r="CT426" t="e">
        <f>AND(#REF!,"AAAAAH3f3mE=")</f>
        <v>#REF!</v>
      </c>
      <c r="CU426" t="e">
        <f>AND(#REF!,"AAAAAH3f3mI=")</f>
        <v>#REF!</v>
      </c>
      <c r="CV426" t="e">
        <f>AND(#REF!,"AAAAAH3f3mM=")</f>
        <v>#REF!</v>
      </c>
      <c r="CW426" t="e">
        <f>AND(#REF!,"AAAAAH3f3mQ=")</f>
        <v>#REF!</v>
      </c>
      <c r="CX426" t="e">
        <f>AND(#REF!,"AAAAAH3f3mU=")</f>
        <v>#REF!</v>
      </c>
      <c r="CY426" t="e">
        <f>AND(#REF!,"AAAAAH3f3mY=")</f>
        <v>#REF!</v>
      </c>
      <c r="CZ426" t="e">
        <f>AND(#REF!,"AAAAAH3f3mc=")</f>
        <v>#REF!</v>
      </c>
      <c r="DA426" t="e">
        <f>AND(#REF!,"AAAAAH3f3mg=")</f>
        <v>#REF!</v>
      </c>
      <c r="DB426" t="e">
        <f>AND(#REF!,"AAAAAH3f3mk=")</f>
        <v>#REF!</v>
      </c>
      <c r="DC426" t="e">
        <f>AND(#REF!,"AAAAAH3f3mo=")</f>
        <v>#REF!</v>
      </c>
      <c r="DD426" t="e">
        <f>AND(#REF!,"AAAAAH3f3ms=")</f>
        <v>#REF!</v>
      </c>
      <c r="DE426" t="e">
        <f>AND(#REF!,"AAAAAH3f3mw=")</f>
        <v>#REF!</v>
      </c>
      <c r="DF426" t="e">
        <f>AND(#REF!,"AAAAAH3f3m0=")</f>
        <v>#REF!</v>
      </c>
      <c r="DG426" t="e">
        <f>IF(#REF!,"AAAAAH3f3m4=",0)</f>
        <v>#REF!</v>
      </c>
      <c r="DH426" t="e">
        <f>AND(#REF!,"AAAAAH3f3m8=")</f>
        <v>#REF!</v>
      </c>
      <c r="DI426" t="e">
        <f>AND(#REF!,"AAAAAH3f3nA=")</f>
        <v>#REF!</v>
      </c>
      <c r="DJ426" t="e">
        <f>AND(#REF!,"AAAAAH3f3nE=")</f>
        <v>#REF!</v>
      </c>
      <c r="DK426" t="e">
        <f>AND(#REF!,"AAAAAH3f3nI=")</f>
        <v>#REF!</v>
      </c>
      <c r="DL426" t="e">
        <f>AND(#REF!,"AAAAAH3f3nM=")</f>
        <v>#REF!</v>
      </c>
      <c r="DM426" t="e">
        <f>AND(#REF!,"AAAAAH3f3nQ=")</f>
        <v>#REF!</v>
      </c>
      <c r="DN426" t="e">
        <f>AND(#REF!,"AAAAAH3f3nU=")</f>
        <v>#REF!</v>
      </c>
      <c r="DO426" t="e">
        <f>AND(#REF!,"AAAAAH3f3nY=")</f>
        <v>#REF!</v>
      </c>
      <c r="DP426" t="e">
        <f>AND(#REF!,"AAAAAH3f3nc=")</f>
        <v>#REF!</v>
      </c>
      <c r="DQ426" t="e">
        <f>AND(#REF!,"AAAAAH3f3ng=")</f>
        <v>#REF!</v>
      </c>
      <c r="DR426" t="e">
        <f>AND(#REF!,"AAAAAH3f3nk=")</f>
        <v>#REF!</v>
      </c>
      <c r="DS426" t="e">
        <f>AND(#REF!,"AAAAAH3f3no=")</f>
        <v>#REF!</v>
      </c>
      <c r="DT426" t="e">
        <f>AND(#REF!,"AAAAAH3f3ns=")</f>
        <v>#REF!</v>
      </c>
      <c r="DU426" t="e">
        <f>AND(#REF!,"AAAAAH3f3nw=")</f>
        <v>#REF!</v>
      </c>
      <c r="DV426" t="e">
        <f>AND(#REF!,"AAAAAH3f3n0=")</f>
        <v>#REF!</v>
      </c>
      <c r="DW426" t="e">
        <f>AND(#REF!,"AAAAAH3f3n4=")</f>
        <v>#REF!</v>
      </c>
      <c r="DX426" t="e">
        <f>AND(#REF!,"AAAAAH3f3n8=")</f>
        <v>#REF!</v>
      </c>
      <c r="DY426" t="e">
        <f>AND(#REF!,"AAAAAH3f3oA=")</f>
        <v>#REF!</v>
      </c>
      <c r="DZ426" t="e">
        <f>AND(#REF!,"AAAAAH3f3oE=")</f>
        <v>#REF!</v>
      </c>
      <c r="EA426" t="e">
        <f>AND(#REF!,"AAAAAH3f3oI=")</f>
        <v>#REF!</v>
      </c>
      <c r="EB426" t="e">
        <f>AND(#REF!,"AAAAAH3f3oM=")</f>
        <v>#REF!</v>
      </c>
      <c r="EC426" t="e">
        <f>AND(#REF!,"AAAAAH3f3oQ=")</f>
        <v>#REF!</v>
      </c>
      <c r="ED426" t="e">
        <f>AND(#REF!,"AAAAAH3f3oU=")</f>
        <v>#REF!</v>
      </c>
      <c r="EE426" t="e">
        <f>AND(#REF!,"AAAAAH3f3oY=")</f>
        <v>#REF!</v>
      </c>
      <c r="EF426" t="e">
        <f>IF(#REF!,"AAAAAH3f3oc=",0)</f>
        <v>#REF!</v>
      </c>
      <c r="EG426" t="e">
        <f>AND(#REF!,"AAAAAH3f3og=")</f>
        <v>#REF!</v>
      </c>
      <c r="EH426" t="e">
        <f>AND(#REF!,"AAAAAH3f3ok=")</f>
        <v>#REF!</v>
      </c>
      <c r="EI426" t="e">
        <f>AND(#REF!,"AAAAAH3f3oo=")</f>
        <v>#REF!</v>
      </c>
      <c r="EJ426" t="e">
        <f>AND(#REF!,"AAAAAH3f3os=")</f>
        <v>#REF!</v>
      </c>
      <c r="EK426" t="e">
        <f>AND(#REF!,"AAAAAH3f3ow=")</f>
        <v>#REF!</v>
      </c>
      <c r="EL426" t="e">
        <f>AND(#REF!,"AAAAAH3f3o0=")</f>
        <v>#REF!</v>
      </c>
      <c r="EM426" t="e">
        <f>AND(#REF!,"AAAAAH3f3o4=")</f>
        <v>#REF!</v>
      </c>
      <c r="EN426" t="e">
        <f>AND(#REF!,"AAAAAH3f3o8=")</f>
        <v>#REF!</v>
      </c>
      <c r="EO426" t="e">
        <f>AND(#REF!,"AAAAAH3f3pA=")</f>
        <v>#REF!</v>
      </c>
      <c r="EP426" t="e">
        <f>AND(#REF!,"AAAAAH3f3pE=")</f>
        <v>#REF!</v>
      </c>
      <c r="EQ426" t="e">
        <f>AND(#REF!,"AAAAAH3f3pI=")</f>
        <v>#REF!</v>
      </c>
      <c r="ER426" t="e">
        <f>AND(#REF!,"AAAAAH3f3pM=")</f>
        <v>#REF!</v>
      </c>
      <c r="ES426" t="e">
        <f>AND(#REF!,"AAAAAH3f3pQ=")</f>
        <v>#REF!</v>
      </c>
      <c r="ET426" t="e">
        <f>AND(#REF!,"AAAAAH3f3pU=")</f>
        <v>#REF!</v>
      </c>
      <c r="EU426" t="e">
        <f>AND(#REF!,"AAAAAH3f3pY=")</f>
        <v>#REF!</v>
      </c>
      <c r="EV426" t="e">
        <f>AND(#REF!,"AAAAAH3f3pc=")</f>
        <v>#REF!</v>
      </c>
      <c r="EW426" t="e">
        <f>AND(#REF!,"AAAAAH3f3pg=")</f>
        <v>#REF!</v>
      </c>
      <c r="EX426" t="e">
        <f>AND(#REF!,"AAAAAH3f3pk=")</f>
        <v>#REF!</v>
      </c>
      <c r="EY426" t="e">
        <f>AND(#REF!,"AAAAAH3f3po=")</f>
        <v>#REF!</v>
      </c>
      <c r="EZ426" t="e">
        <f>AND(#REF!,"AAAAAH3f3ps=")</f>
        <v>#REF!</v>
      </c>
      <c r="FA426" t="e">
        <f>AND(#REF!,"AAAAAH3f3pw=")</f>
        <v>#REF!</v>
      </c>
      <c r="FB426" t="e">
        <f>AND(#REF!,"AAAAAH3f3p0=")</f>
        <v>#REF!</v>
      </c>
      <c r="FC426" t="e">
        <f>AND(#REF!,"AAAAAH3f3p4=")</f>
        <v>#REF!</v>
      </c>
      <c r="FD426" t="e">
        <f>AND(#REF!,"AAAAAH3f3p8=")</f>
        <v>#REF!</v>
      </c>
      <c r="FE426" t="e">
        <f>IF(#REF!,"AAAAAH3f3qA=",0)</f>
        <v>#REF!</v>
      </c>
      <c r="FF426" t="e">
        <f>AND(#REF!,"AAAAAH3f3qE=")</f>
        <v>#REF!</v>
      </c>
      <c r="FG426" t="e">
        <f>AND(#REF!,"AAAAAH3f3qI=")</f>
        <v>#REF!</v>
      </c>
      <c r="FH426" t="e">
        <f>AND(#REF!,"AAAAAH3f3qM=")</f>
        <v>#REF!</v>
      </c>
      <c r="FI426" t="e">
        <f>AND(#REF!,"AAAAAH3f3qQ=")</f>
        <v>#REF!</v>
      </c>
      <c r="FJ426" t="e">
        <f>AND(#REF!,"AAAAAH3f3qU=")</f>
        <v>#REF!</v>
      </c>
      <c r="FK426" t="e">
        <f>AND(#REF!,"AAAAAH3f3qY=")</f>
        <v>#REF!</v>
      </c>
      <c r="FL426" t="e">
        <f>AND(#REF!,"AAAAAH3f3qc=")</f>
        <v>#REF!</v>
      </c>
      <c r="FM426" t="e">
        <f>AND(#REF!,"AAAAAH3f3qg=")</f>
        <v>#REF!</v>
      </c>
      <c r="FN426" t="e">
        <f>AND(#REF!,"AAAAAH3f3qk=")</f>
        <v>#REF!</v>
      </c>
      <c r="FO426" t="e">
        <f>AND(#REF!,"AAAAAH3f3qo=")</f>
        <v>#REF!</v>
      </c>
      <c r="FP426" t="e">
        <f>AND(#REF!,"AAAAAH3f3qs=")</f>
        <v>#REF!</v>
      </c>
      <c r="FQ426" t="e">
        <f>AND(#REF!,"AAAAAH3f3qw=")</f>
        <v>#REF!</v>
      </c>
      <c r="FR426" t="e">
        <f>AND(#REF!,"AAAAAH3f3q0=")</f>
        <v>#REF!</v>
      </c>
      <c r="FS426" t="e">
        <f>AND(#REF!,"AAAAAH3f3q4=")</f>
        <v>#REF!</v>
      </c>
      <c r="FT426" t="e">
        <f>AND(#REF!,"AAAAAH3f3q8=")</f>
        <v>#REF!</v>
      </c>
      <c r="FU426" t="e">
        <f>AND(#REF!,"AAAAAH3f3rA=")</f>
        <v>#REF!</v>
      </c>
      <c r="FV426" t="e">
        <f>AND(#REF!,"AAAAAH3f3rE=")</f>
        <v>#REF!</v>
      </c>
      <c r="FW426" t="e">
        <f>AND(#REF!,"AAAAAH3f3rI=")</f>
        <v>#REF!</v>
      </c>
      <c r="FX426" t="e">
        <f>AND(#REF!,"AAAAAH3f3rM=")</f>
        <v>#REF!</v>
      </c>
      <c r="FY426" t="e">
        <f>AND(#REF!,"AAAAAH3f3rQ=")</f>
        <v>#REF!</v>
      </c>
      <c r="FZ426" t="e">
        <f>AND(#REF!,"AAAAAH3f3rU=")</f>
        <v>#REF!</v>
      </c>
      <c r="GA426" t="e">
        <f>AND(#REF!,"AAAAAH3f3rY=")</f>
        <v>#REF!</v>
      </c>
      <c r="GB426" t="e">
        <f>AND(#REF!,"AAAAAH3f3rc=")</f>
        <v>#REF!</v>
      </c>
      <c r="GC426" t="e">
        <f>AND(#REF!,"AAAAAH3f3rg=")</f>
        <v>#REF!</v>
      </c>
      <c r="GD426" t="e">
        <f>IF(#REF!,"AAAAAH3f3rk=",0)</f>
        <v>#REF!</v>
      </c>
      <c r="GE426" t="e">
        <f>AND(#REF!,"AAAAAH3f3ro=")</f>
        <v>#REF!</v>
      </c>
      <c r="GF426" t="e">
        <f>AND(#REF!,"AAAAAH3f3rs=")</f>
        <v>#REF!</v>
      </c>
      <c r="GG426" t="e">
        <f>AND(#REF!,"AAAAAH3f3rw=")</f>
        <v>#REF!</v>
      </c>
      <c r="GH426" t="e">
        <f>AND(#REF!,"AAAAAH3f3r0=")</f>
        <v>#REF!</v>
      </c>
      <c r="GI426" t="e">
        <f>AND(#REF!,"AAAAAH3f3r4=")</f>
        <v>#REF!</v>
      </c>
      <c r="GJ426" t="e">
        <f>AND(#REF!,"AAAAAH3f3r8=")</f>
        <v>#REF!</v>
      </c>
      <c r="GK426" t="e">
        <f>AND(#REF!,"AAAAAH3f3sA=")</f>
        <v>#REF!</v>
      </c>
      <c r="GL426" t="e">
        <f>AND(#REF!,"AAAAAH3f3sE=")</f>
        <v>#REF!</v>
      </c>
      <c r="GM426" t="e">
        <f>AND(#REF!,"AAAAAH3f3sI=")</f>
        <v>#REF!</v>
      </c>
      <c r="GN426" t="e">
        <f>AND(#REF!,"AAAAAH3f3sM=")</f>
        <v>#REF!</v>
      </c>
      <c r="GO426" t="e">
        <f>AND(#REF!,"AAAAAH3f3sQ=")</f>
        <v>#REF!</v>
      </c>
      <c r="GP426" t="e">
        <f>AND(#REF!,"AAAAAH3f3sU=")</f>
        <v>#REF!</v>
      </c>
      <c r="GQ426" t="e">
        <f>AND(#REF!,"AAAAAH3f3sY=")</f>
        <v>#REF!</v>
      </c>
      <c r="GR426" t="e">
        <f>AND(#REF!,"AAAAAH3f3sc=")</f>
        <v>#REF!</v>
      </c>
      <c r="GS426" t="e">
        <f>AND(#REF!,"AAAAAH3f3sg=")</f>
        <v>#REF!</v>
      </c>
      <c r="GT426" t="e">
        <f>AND(#REF!,"AAAAAH3f3sk=")</f>
        <v>#REF!</v>
      </c>
      <c r="GU426" t="e">
        <f>AND(#REF!,"AAAAAH3f3so=")</f>
        <v>#REF!</v>
      </c>
      <c r="GV426" t="e">
        <f>AND(#REF!,"AAAAAH3f3ss=")</f>
        <v>#REF!</v>
      </c>
      <c r="GW426" t="e">
        <f>AND(#REF!,"AAAAAH3f3sw=")</f>
        <v>#REF!</v>
      </c>
      <c r="GX426" t="e">
        <f>AND(#REF!,"AAAAAH3f3s0=")</f>
        <v>#REF!</v>
      </c>
      <c r="GY426" t="e">
        <f>AND(#REF!,"AAAAAH3f3s4=")</f>
        <v>#REF!</v>
      </c>
      <c r="GZ426" t="e">
        <f>AND(#REF!,"AAAAAH3f3s8=")</f>
        <v>#REF!</v>
      </c>
      <c r="HA426" t="e">
        <f>AND(#REF!,"AAAAAH3f3tA=")</f>
        <v>#REF!</v>
      </c>
      <c r="HB426" t="e">
        <f>AND(#REF!,"AAAAAH3f3tE=")</f>
        <v>#REF!</v>
      </c>
      <c r="HC426" t="e">
        <f>IF(#REF!,"AAAAAH3f3tI=",0)</f>
        <v>#REF!</v>
      </c>
      <c r="HD426" t="e">
        <f>AND(#REF!,"AAAAAH3f3tM=")</f>
        <v>#REF!</v>
      </c>
      <c r="HE426" t="e">
        <f>AND(#REF!,"AAAAAH3f3tQ=")</f>
        <v>#REF!</v>
      </c>
      <c r="HF426" t="e">
        <f>AND(#REF!,"AAAAAH3f3tU=")</f>
        <v>#REF!</v>
      </c>
      <c r="HG426" t="e">
        <f>AND(#REF!,"AAAAAH3f3tY=")</f>
        <v>#REF!</v>
      </c>
      <c r="HH426" t="e">
        <f>AND(#REF!,"AAAAAH3f3tc=")</f>
        <v>#REF!</v>
      </c>
      <c r="HI426" t="e">
        <f>AND(#REF!,"AAAAAH3f3tg=")</f>
        <v>#REF!</v>
      </c>
      <c r="HJ426" t="e">
        <f>AND(#REF!,"AAAAAH3f3tk=")</f>
        <v>#REF!</v>
      </c>
      <c r="HK426" t="e">
        <f>AND(#REF!,"AAAAAH3f3to=")</f>
        <v>#REF!</v>
      </c>
      <c r="HL426" t="e">
        <f>AND(#REF!,"AAAAAH3f3ts=")</f>
        <v>#REF!</v>
      </c>
      <c r="HM426" t="e">
        <f>AND(#REF!,"AAAAAH3f3tw=")</f>
        <v>#REF!</v>
      </c>
      <c r="HN426" t="e">
        <f>AND(#REF!,"AAAAAH3f3t0=")</f>
        <v>#REF!</v>
      </c>
      <c r="HO426" t="e">
        <f>AND(#REF!,"AAAAAH3f3t4=")</f>
        <v>#REF!</v>
      </c>
      <c r="HP426" t="e">
        <f>AND(#REF!,"AAAAAH3f3t8=")</f>
        <v>#REF!</v>
      </c>
      <c r="HQ426" t="e">
        <f>AND(#REF!,"AAAAAH3f3uA=")</f>
        <v>#REF!</v>
      </c>
      <c r="HR426" t="e">
        <f>AND(#REF!,"AAAAAH3f3uE=")</f>
        <v>#REF!</v>
      </c>
      <c r="HS426" t="e">
        <f>AND(#REF!,"AAAAAH3f3uI=")</f>
        <v>#REF!</v>
      </c>
      <c r="HT426" t="e">
        <f>AND(#REF!,"AAAAAH3f3uM=")</f>
        <v>#REF!</v>
      </c>
      <c r="HU426" t="e">
        <f>AND(#REF!,"AAAAAH3f3uQ=")</f>
        <v>#REF!</v>
      </c>
      <c r="HV426" t="e">
        <f>AND(#REF!,"AAAAAH3f3uU=")</f>
        <v>#REF!</v>
      </c>
      <c r="HW426" t="e">
        <f>AND(#REF!,"AAAAAH3f3uY=")</f>
        <v>#REF!</v>
      </c>
      <c r="HX426" t="e">
        <f>AND(#REF!,"AAAAAH3f3uc=")</f>
        <v>#REF!</v>
      </c>
      <c r="HY426" t="e">
        <f>AND(#REF!,"AAAAAH3f3ug=")</f>
        <v>#REF!</v>
      </c>
      <c r="HZ426" t="e">
        <f>AND(#REF!,"AAAAAH3f3uk=")</f>
        <v>#REF!</v>
      </c>
      <c r="IA426" t="e">
        <f>AND(#REF!,"AAAAAH3f3uo=")</f>
        <v>#REF!</v>
      </c>
      <c r="IB426" t="e">
        <f>IF(#REF!,"AAAAAH3f3us=",0)</f>
        <v>#REF!</v>
      </c>
      <c r="IC426" t="e">
        <f>AND(#REF!,"AAAAAH3f3uw=")</f>
        <v>#REF!</v>
      </c>
      <c r="ID426" t="e">
        <f>AND(#REF!,"AAAAAH3f3u0=")</f>
        <v>#REF!</v>
      </c>
      <c r="IE426" t="e">
        <f>AND(#REF!,"AAAAAH3f3u4=")</f>
        <v>#REF!</v>
      </c>
      <c r="IF426" t="e">
        <f>AND(#REF!,"AAAAAH3f3u8=")</f>
        <v>#REF!</v>
      </c>
      <c r="IG426" t="e">
        <f>AND(#REF!,"AAAAAH3f3vA=")</f>
        <v>#REF!</v>
      </c>
      <c r="IH426" t="e">
        <f>AND(#REF!,"AAAAAH3f3vE=")</f>
        <v>#REF!</v>
      </c>
      <c r="II426" t="e">
        <f>AND(#REF!,"AAAAAH3f3vI=")</f>
        <v>#REF!</v>
      </c>
      <c r="IJ426" t="e">
        <f>AND(#REF!,"AAAAAH3f3vM=")</f>
        <v>#REF!</v>
      </c>
      <c r="IK426" t="e">
        <f>AND(#REF!,"AAAAAH3f3vQ=")</f>
        <v>#REF!</v>
      </c>
      <c r="IL426" t="e">
        <f>AND(#REF!,"AAAAAH3f3vU=")</f>
        <v>#REF!</v>
      </c>
      <c r="IM426" t="e">
        <f>AND(#REF!,"AAAAAH3f3vY=")</f>
        <v>#REF!</v>
      </c>
      <c r="IN426" t="e">
        <f>AND(#REF!,"AAAAAH3f3vc=")</f>
        <v>#REF!</v>
      </c>
      <c r="IO426" t="e">
        <f>AND(#REF!,"AAAAAH3f3vg=")</f>
        <v>#REF!</v>
      </c>
      <c r="IP426" t="e">
        <f>AND(#REF!,"AAAAAH3f3vk=")</f>
        <v>#REF!</v>
      </c>
      <c r="IQ426" t="e">
        <f>AND(#REF!,"AAAAAH3f3vo=")</f>
        <v>#REF!</v>
      </c>
      <c r="IR426" t="e">
        <f>AND(#REF!,"AAAAAH3f3vs=")</f>
        <v>#REF!</v>
      </c>
      <c r="IS426" t="e">
        <f>AND(#REF!,"AAAAAH3f3vw=")</f>
        <v>#REF!</v>
      </c>
      <c r="IT426" t="e">
        <f>AND(#REF!,"AAAAAH3f3v0=")</f>
        <v>#REF!</v>
      </c>
      <c r="IU426" t="e">
        <f>AND(#REF!,"AAAAAH3f3v4=")</f>
        <v>#REF!</v>
      </c>
      <c r="IV426" t="e">
        <f>AND(#REF!,"AAAAAH3f3v8=")</f>
        <v>#REF!</v>
      </c>
    </row>
    <row r="427" spans="1:256">
      <c r="A427" t="e">
        <f>AND(#REF!,"AAAAAF73/wA=")</f>
        <v>#REF!</v>
      </c>
      <c r="B427" t="e">
        <f>AND(#REF!,"AAAAAF73/wE=")</f>
        <v>#REF!</v>
      </c>
      <c r="C427" t="e">
        <f>AND(#REF!,"AAAAAF73/wI=")</f>
        <v>#REF!</v>
      </c>
      <c r="D427" t="e">
        <f>AND(#REF!,"AAAAAF73/wM=")</f>
        <v>#REF!</v>
      </c>
      <c r="E427" t="e">
        <f>IF(#REF!,"AAAAAF73/wQ=",0)</f>
        <v>#REF!</v>
      </c>
      <c r="F427" t="e">
        <f>AND(#REF!,"AAAAAF73/wU=")</f>
        <v>#REF!</v>
      </c>
      <c r="G427" t="e">
        <f>AND(#REF!,"AAAAAF73/wY=")</f>
        <v>#REF!</v>
      </c>
      <c r="H427" t="e">
        <f>AND(#REF!,"AAAAAF73/wc=")</f>
        <v>#REF!</v>
      </c>
      <c r="I427" t="e">
        <f>AND(#REF!,"AAAAAF73/wg=")</f>
        <v>#REF!</v>
      </c>
      <c r="J427" t="e">
        <f>AND(#REF!,"AAAAAF73/wk=")</f>
        <v>#REF!</v>
      </c>
      <c r="K427" t="e">
        <f>AND(#REF!,"AAAAAF73/wo=")</f>
        <v>#REF!</v>
      </c>
      <c r="L427" t="e">
        <f>AND(#REF!,"AAAAAF73/ws=")</f>
        <v>#REF!</v>
      </c>
      <c r="M427" t="e">
        <f>AND(#REF!,"AAAAAF73/ww=")</f>
        <v>#REF!</v>
      </c>
      <c r="N427" t="e">
        <f>AND(#REF!,"AAAAAF73/w0=")</f>
        <v>#REF!</v>
      </c>
      <c r="O427" t="e">
        <f>AND(#REF!,"AAAAAF73/w4=")</f>
        <v>#REF!</v>
      </c>
      <c r="P427" t="e">
        <f>AND(#REF!,"AAAAAF73/w8=")</f>
        <v>#REF!</v>
      </c>
      <c r="Q427" t="e">
        <f>AND(#REF!,"AAAAAF73/xA=")</f>
        <v>#REF!</v>
      </c>
      <c r="R427" t="e">
        <f>AND(#REF!,"AAAAAF73/xE=")</f>
        <v>#REF!</v>
      </c>
      <c r="S427" t="e">
        <f>AND(#REF!,"AAAAAF73/xI=")</f>
        <v>#REF!</v>
      </c>
      <c r="T427" t="e">
        <f>AND(#REF!,"AAAAAF73/xM=")</f>
        <v>#REF!</v>
      </c>
      <c r="U427" t="e">
        <f>AND(#REF!,"AAAAAF73/xQ=")</f>
        <v>#REF!</v>
      </c>
      <c r="V427" t="e">
        <f>AND(#REF!,"AAAAAF73/xU=")</f>
        <v>#REF!</v>
      </c>
      <c r="W427" t="e">
        <f>AND(#REF!,"AAAAAF73/xY=")</f>
        <v>#REF!</v>
      </c>
      <c r="X427" t="e">
        <f>AND(#REF!,"AAAAAF73/xc=")</f>
        <v>#REF!</v>
      </c>
      <c r="Y427" t="e">
        <f>AND(#REF!,"AAAAAF73/xg=")</f>
        <v>#REF!</v>
      </c>
      <c r="Z427" t="e">
        <f>AND(#REF!,"AAAAAF73/xk=")</f>
        <v>#REF!</v>
      </c>
      <c r="AA427" t="e">
        <f>AND(#REF!,"AAAAAF73/xo=")</f>
        <v>#REF!</v>
      </c>
      <c r="AB427" t="e">
        <f>AND(#REF!,"AAAAAF73/xs=")</f>
        <v>#REF!</v>
      </c>
      <c r="AC427" t="e">
        <f>AND(#REF!,"AAAAAF73/xw=")</f>
        <v>#REF!</v>
      </c>
      <c r="AD427" t="e">
        <f>IF(#REF!,"AAAAAF73/x0=",0)</f>
        <v>#REF!</v>
      </c>
      <c r="AE427" t="e">
        <f>AND(#REF!,"AAAAAF73/x4=")</f>
        <v>#REF!</v>
      </c>
      <c r="AF427" t="e">
        <f>AND(#REF!,"AAAAAF73/x8=")</f>
        <v>#REF!</v>
      </c>
      <c r="AG427" t="e">
        <f>AND(#REF!,"AAAAAF73/yA=")</f>
        <v>#REF!</v>
      </c>
      <c r="AH427" t="e">
        <f>AND(#REF!,"AAAAAF73/yE=")</f>
        <v>#REF!</v>
      </c>
      <c r="AI427" t="e">
        <f>AND(#REF!,"AAAAAF73/yI=")</f>
        <v>#REF!</v>
      </c>
      <c r="AJ427" t="e">
        <f>AND(#REF!,"AAAAAF73/yM=")</f>
        <v>#REF!</v>
      </c>
      <c r="AK427" t="e">
        <f>AND(#REF!,"AAAAAF73/yQ=")</f>
        <v>#REF!</v>
      </c>
      <c r="AL427" t="e">
        <f>AND(#REF!,"AAAAAF73/yU=")</f>
        <v>#REF!</v>
      </c>
      <c r="AM427" t="e">
        <f>AND(#REF!,"AAAAAF73/yY=")</f>
        <v>#REF!</v>
      </c>
      <c r="AN427" t="e">
        <f>AND(#REF!,"AAAAAF73/yc=")</f>
        <v>#REF!</v>
      </c>
      <c r="AO427" t="e">
        <f>AND(#REF!,"AAAAAF73/yg=")</f>
        <v>#REF!</v>
      </c>
      <c r="AP427" t="e">
        <f>AND(#REF!,"AAAAAF73/yk=")</f>
        <v>#REF!</v>
      </c>
      <c r="AQ427" t="e">
        <f>AND(#REF!,"AAAAAF73/yo=")</f>
        <v>#REF!</v>
      </c>
      <c r="AR427" t="e">
        <f>AND(#REF!,"AAAAAF73/ys=")</f>
        <v>#REF!</v>
      </c>
      <c r="AS427" t="e">
        <f>AND(#REF!,"AAAAAF73/yw=")</f>
        <v>#REF!</v>
      </c>
      <c r="AT427" t="e">
        <f>AND(#REF!,"AAAAAF73/y0=")</f>
        <v>#REF!</v>
      </c>
      <c r="AU427" t="e">
        <f>AND(#REF!,"AAAAAF73/y4=")</f>
        <v>#REF!</v>
      </c>
      <c r="AV427" t="e">
        <f>AND(#REF!,"AAAAAF73/y8=")</f>
        <v>#REF!</v>
      </c>
      <c r="AW427" t="e">
        <f>AND(#REF!,"AAAAAF73/zA=")</f>
        <v>#REF!</v>
      </c>
      <c r="AX427" t="e">
        <f>AND(#REF!,"AAAAAF73/zE=")</f>
        <v>#REF!</v>
      </c>
      <c r="AY427" t="e">
        <f>AND(#REF!,"AAAAAF73/zI=")</f>
        <v>#REF!</v>
      </c>
      <c r="AZ427" t="e">
        <f>AND(#REF!,"AAAAAF73/zM=")</f>
        <v>#REF!</v>
      </c>
      <c r="BA427" t="e">
        <f>AND(#REF!,"AAAAAF73/zQ=")</f>
        <v>#REF!</v>
      </c>
      <c r="BB427" t="e">
        <f>AND(#REF!,"AAAAAF73/zU=")</f>
        <v>#REF!</v>
      </c>
      <c r="BC427" t="e">
        <f>IF(#REF!,"AAAAAF73/zY=",0)</f>
        <v>#REF!</v>
      </c>
      <c r="BD427" t="e">
        <f>AND(#REF!,"AAAAAF73/zc=")</f>
        <v>#REF!</v>
      </c>
      <c r="BE427" t="e">
        <f>AND(#REF!,"AAAAAF73/zg=")</f>
        <v>#REF!</v>
      </c>
      <c r="BF427" t="e">
        <f>AND(#REF!,"AAAAAF73/zk=")</f>
        <v>#REF!</v>
      </c>
      <c r="BG427" t="e">
        <f>AND(#REF!,"AAAAAF73/zo=")</f>
        <v>#REF!</v>
      </c>
      <c r="BH427" t="e">
        <f>AND(#REF!,"AAAAAF73/zs=")</f>
        <v>#REF!</v>
      </c>
      <c r="BI427" t="e">
        <f>AND(#REF!,"AAAAAF73/zw=")</f>
        <v>#REF!</v>
      </c>
      <c r="BJ427" t="e">
        <f>AND(#REF!,"AAAAAF73/z0=")</f>
        <v>#REF!</v>
      </c>
      <c r="BK427" t="e">
        <f>AND(#REF!,"AAAAAF73/z4=")</f>
        <v>#REF!</v>
      </c>
      <c r="BL427" t="e">
        <f>AND(#REF!,"AAAAAF73/z8=")</f>
        <v>#REF!</v>
      </c>
      <c r="BM427" t="e">
        <f>AND(#REF!,"AAAAAF73/0A=")</f>
        <v>#REF!</v>
      </c>
      <c r="BN427" t="e">
        <f>AND(#REF!,"AAAAAF73/0E=")</f>
        <v>#REF!</v>
      </c>
      <c r="BO427" t="e">
        <f>AND(#REF!,"AAAAAF73/0I=")</f>
        <v>#REF!</v>
      </c>
      <c r="BP427" t="e">
        <f>AND(#REF!,"AAAAAF73/0M=")</f>
        <v>#REF!</v>
      </c>
      <c r="BQ427" t="e">
        <f>AND(#REF!,"AAAAAF73/0Q=")</f>
        <v>#REF!</v>
      </c>
      <c r="BR427" t="e">
        <f>AND(#REF!,"AAAAAF73/0U=")</f>
        <v>#REF!</v>
      </c>
      <c r="BS427" t="e">
        <f>AND(#REF!,"AAAAAF73/0Y=")</f>
        <v>#REF!</v>
      </c>
      <c r="BT427" t="e">
        <f>AND(#REF!,"AAAAAF73/0c=")</f>
        <v>#REF!</v>
      </c>
      <c r="BU427" t="e">
        <f>AND(#REF!,"AAAAAF73/0g=")</f>
        <v>#REF!</v>
      </c>
      <c r="BV427" t="e">
        <f>AND(#REF!,"AAAAAF73/0k=")</f>
        <v>#REF!</v>
      </c>
      <c r="BW427" t="e">
        <f>AND(#REF!,"AAAAAF73/0o=")</f>
        <v>#REF!</v>
      </c>
      <c r="BX427" t="e">
        <f>AND(#REF!,"AAAAAF73/0s=")</f>
        <v>#REF!</v>
      </c>
      <c r="BY427" t="e">
        <f>AND(#REF!,"AAAAAF73/0w=")</f>
        <v>#REF!</v>
      </c>
      <c r="BZ427" t="e">
        <f>AND(#REF!,"AAAAAF73/00=")</f>
        <v>#REF!</v>
      </c>
      <c r="CA427" t="e">
        <f>AND(#REF!,"AAAAAF73/04=")</f>
        <v>#REF!</v>
      </c>
      <c r="CB427" t="e">
        <f>IF(#REF!,"AAAAAF73/08=",0)</f>
        <v>#REF!</v>
      </c>
      <c r="CC427" t="e">
        <f>AND(#REF!,"AAAAAF73/1A=")</f>
        <v>#REF!</v>
      </c>
      <c r="CD427" t="e">
        <f>AND(#REF!,"AAAAAF73/1E=")</f>
        <v>#REF!</v>
      </c>
      <c r="CE427" t="e">
        <f>AND(#REF!,"AAAAAF73/1I=")</f>
        <v>#REF!</v>
      </c>
      <c r="CF427" t="e">
        <f>AND(#REF!,"AAAAAF73/1M=")</f>
        <v>#REF!</v>
      </c>
      <c r="CG427" t="e">
        <f>AND(#REF!,"AAAAAF73/1Q=")</f>
        <v>#REF!</v>
      </c>
      <c r="CH427" t="e">
        <f>AND(#REF!,"AAAAAF73/1U=")</f>
        <v>#REF!</v>
      </c>
      <c r="CI427" t="e">
        <f>AND(#REF!,"AAAAAF73/1Y=")</f>
        <v>#REF!</v>
      </c>
      <c r="CJ427" t="e">
        <f>AND(#REF!,"AAAAAF73/1c=")</f>
        <v>#REF!</v>
      </c>
      <c r="CK427" t="e">
        <f>AND(#REF!,"AAAAAF73/1g=")</f>
        <v>#REF!</v>
      </c>
      <c r="CL427" t="e">
        <f>AND(#REF!,"AAAAAF73/1k=")</f>
        <v>#REF!</v>
      </c>
      <c r="CM427" t="e">
        <f>AND(#REF!,"AAAAAF73/1o=")</f>
        <v>#REF!</v>
      </c>
      <c r="CN427" t="e">
        <f>AND(#REF!,"AAAAAF73/1s=")</f>
        <v>#REF!</v>
      </c>
      <c r="CO427" t="e">
        <f>AND(#REF!,"AAAAAF73/1w=")</f>
        <v>#REF!</v>
      </c>
      <c r="CP427" t="e">
        <f>AND(#REF!,"AAAAAF73/10=")</f>
        <v>#REF!</v>
      </c>
      <c r="CQ427" t="e">
        <f>AND(#REF!,"AAAAAF73/14=")</f>
        <v>#REF!</v>
      </c>
      <c r="CR427" t="e">
        <f>AND(#REF!,"AAAAAF73/18=")</f>
        <v>#REF!</v>
      </c>
      <c r="CS427" t="e">
        <f>AND(#REF!,"AAAAAF73/2A=")</f>
        <v>#REF!</v>
      </c>
      <c r="CT427" t="e">
        <f>AND(#REF!,"AAAAAF73/2E=")</f>
        <v>#REF!</v>
      </c>
      <c r="CU427" t="e">
        <f>AND(#REF!,"AAAAAF73/2I=")</f>
        <v>#REF!</v>
      </c>
      <c r="CV427" t="e">
        <f>AND(#REF!,"AAAAAF73/2M=")</f>
        <v>#REF!</v>
      </c>
      <c r="CW427" t="e">
        <f>AND(#REF!,"AAAAAF73/2Q=")</f>
        <v>#REF!</v>
      </c>
      <c r="CX427" t="e">
        <f>AND(#REF!,"AAAAAF73/2U=")</f>
        <v>#REF!</v>
      </c>
      <c r="CY427" t="e">
        <f>AND(#REF!,"AAAAAF73/2Y=")</f>
        <v>#REF!</v>
      </c>
      <c r="CZ427" t="e">
        <f>AND(#REF!,"AAAAAF73/2c=")</f>
        <v>#REF!</v>
      </c>
      <c r="DA427" t="e">
        <f>IF(#REF!,"AAAAAF73/2g=",0)</f>
        <v>#REF!</v>
      </c>
      <c r="DB427" t="e">
        <f>AND(#REF!,"AAAAAF73/2k=")</f>
        <v>#REF!</v>
      </c>
      <c r="DC427" t="e">
        <f>AND(#REF!,"AAAAAF73/2o=")</f>
        <v>#REF!</v>
      </c>
      <c r="DD427" t="e">
        <f>AND(#REF!,"AAAAAF73/2s=")</f>
        <v>#REF!</v>
      </c>
      <c r="DE427" t="e">
        <f>AND(#REF!,"AAAAAF73/2w=")</f>
        <v>#REF!</v>
      </c>
      <c r="DF427" t="e">
        <f>AND(#REF!,"AAAAAF73/20=")</f>
        <v>#REF!</v>
      </c>
      <c r="DG427" t="e">
        <f>AND(#REF!,"AAAAAF73/24=")</f>
        <v>#REF!</v>
      </c>
      <c r="DH427" t="e">
        <f>AND(#REF!,"AAAAAF73/28=")</f>
        <v>#REF!</v>
      </c>
      <c r="DI427" t="e">
        <f>AND(#REF!,"AAAAAF73/3A=")</f>
        <v>#REF!</v>
      </c>
      <c r="DJ427" t="e">
        <f>AND(#REF!,"AAAAAF73/3E=")</f>
        <v>#REF!</v>
      </c>
      <c r="DK427" t="e">
        <f>AND(#REF!,"AAAAAF73/3I=")</f>
        <v>#REF!</v>
      </c>
      <c r="DL427" t="e">
        <f>AND(#REF!,"AAAAAF73/3M=")</f>
        <v>#REF!</v>
      </c>
      <c r="DM427" t="e">
        <f>AND(#REF!,"AAAAAF73/3Q=")</f>
        <v>#REF!</v>
      </c>
      <c r="DN427" t="e">
        <f>AND(#REF!,"AAAAAF73/3U=")</f>
        <v>#REF!</v>
      </c>
      <c r="DO427" t="e">
        <f>AND(#REF!,"AAAAAF73/3Y=")</f>
        <v>#REF!</v>
      </c>
      <c r="DP427" t="e">
        <f>AND(#REF!,"AAAAAF73/3c=")</f>
        <v>#REF!</v>
      </c>
      <c r="DQ427" t="e">
        <f>AND(#REF!,"AAAAAF73/3g=")</f>
        <v>#REF!</v>
      </c>
      <c r="DR427" t="e">
        <f>AND(#REF!,"AAAAAF73/3k=")</f>
        <v>#REF!</v>
      </c>
      <c r="DS427" t="e">
        <f>AND(#REF!,"AAAAAF73/3o=")</f>
        <v>#REF!</v>
      </c>
      <c r="DT427" t="e">
        <f>AND(#REF!,"AAAAAF73/3s=")</f>
        <v>#REF!</v>
      </c>
      <c r="DU427" t="e">
        <f>AND(#REF!,"AAAAAF73/3w=")</f>
        <v>#REF!</v>
      </c>
      <c r="DV427" t="e">
        <f>AND(#REF!,"AAAAAF73/30=")</f>
        <v>#REF!</v>
      </c>
      <c r="DW427" t="e">
        <f>AND(#REF!,"AAAAAF73/34=")</f>
        <v>#REF!</v>
      </c>
      <c r="DX427" t="e">
        <f>AND(#REF!,"AAAAAF73/38=")</f>
        <v>#REF!</v>
      </c>
      <c r="DY427" t="e">
        <f>AND(#REF!,"AAAAAF73/4A=")</f>
        <v>#REF!</v>
      </c>
      <c r="DZ427" t="e">
        <f>IF(#REF!,"AAAAAF73/4E=",0)</f>
        <v>#REF!</v>
      </c>
      <c r="EA427" t="e">
        <f>AND(#REF!,"AAAAAF73/4I=")</f>
        <v>#REF!</v>
      </c>
      <c r="EB427" t="e">
        <f>AND(#REF!,"AAAAAF73/4M=")</f>
        <v>#REF!</v>
      </c>
      <c r="EC427" t="e">
        <f>AND(#REF!,"AAAAAF73/4Q=")</f>
        <v>#REF!</v>
      </c>
      <c r="ED427" t="e">
        <f>AND(#REF!,"AAAAAF73/4U=")</f>
        <v>#REF!</v>
      </c>
      <c r="EE427" t="e">
        <f>AND(#REF!,"AAAAAF73/4Y=")</f>
        <v>#REF!</v>
      </c>
      <c r="EF427" t="e">
        <f>AND(#REF!,"AAAAAF73/4c=")</f>
        <v>#REF!</v>
      </c>
      <c r="EG427" t="e">
        <f>AND(#REF!,"AAAAAF73/4g=")</f>
        <v>#REF!</v>
      </c>
      <c r="EH427" t="e">
        <f>AND(#REF!,"AAAAAF73/4k=")</f>
        <v>#REF!</v>
      </c>
      <c r="EI427" t="e">
        <f>AND(#REF!,"AAAAAF73/4o=")</f>
        <v>#REF!</v>
      </c>
      <c r="EJ427" t="e">
        <f>AND(#REF!,"AAAAAF73/4s=")</f>
        <v>#REF!</v>
      </c>
      <c r="EK427" t="e">
        <f>AND(#REF!,"AAAAAF73/4w=")</f>
        <v>#REF!</v>
      </c>
      <c r="EL427" t="e">
        <f>AND(#REF!,"AAAAAF73/40=")</f>
        <v>#REF!</v>
      </c>
      <c r="EM427" t="e">
        <f>AND(#REF!,"AAAAAF73/44=")</f>
        <v>#REF!</v>
      </c>
      <c r="EN427" t="e">
        <f>AND(#REF!,"AAAAAF73/48=")</f>
        <v>#REF!</v>
      </c>
      <c r="EO427" t="e">
        <f>AND(#REF!,"AAAAAF73/5A=")</f>
        <v>#REF!</v>
      </c>
      <c r="EP427" t="e">
        <f>AND(#REF!,"AAAAAF73/5E=")</f>
        <v>#REF!</v>
      </c>
      <c r="EQ427" t="e">
        <f>AND(#REF!,"AAAAAF73/5I=")</f>
        <v>#REF!</v>
      </c>
      <c r="ER427" t="e">
        <f>AND(#REF!,"AAAAAF73/5M=")</f>
        <v>#REF!</v>
      </c>
      <c r="ES427" t="e">
        <f>AND(#REF!,"AAAAAF73/5Q=")</f>
        <v>#REF!</v>
      </c>
      <c r="ET427" t="e">
        <f>AND(#REF!,"AAAAAF73/5U=")</f>
        <v>#REF!</v>
      </c>
      <c r="EU427" t="e">
        <f>AND(#REF!,"AAAAAF73/5Y=")</f>
        <v>#REF!</v>
      </c>
      <c r="EV427" t="e">
        <f>AND(#REF!,"AAAAAF73/5c=")</f>
        <v>#REF!</v>
      </c>
      <c r="EW427" t="e">
        <f>AND(#REF!,"AAAAAF73/5g=")</f>
        <v>#REF!</v>
      </c>
      <c r="EX427" t="e">
        <f>AND(#REF!,"AAAAAF73/5k=")</f>
        <v>#REF!</v>
      </c>
      <c r="EY427" t="e">
        <f>IF(#REF!,"AAAAAF73/5o=",0)</f>
        <v>#REF!</v>
      </c>
      <c r="EZ427" t="e">
        <f>AND(#REF!,"AAAAAF73/5s=")</f>
        <v>#REF!</v>
      </c>
      <c r="FA427" t="e">
        <f>AND(#REF!,"AAAAAF73/5w=")</f>
        <v>#REF!</v>
      </c>
      <c r="FB427" t="e">
        <f>AND(#REF!,"AAAAAF73/50=")</f>
        <v>#REF!</v>
      </c>
      <c r="FC427" t="e">
        <f>AND(#REF!,"AAAAAF73/54=")</f>
        <v>#REF!</v>
      </c>
      <c r="FD427" t="e">
        <f>AND(#REF!,"AAAAAF73/58=")</f>
        <v>#REF!</v>
      </c>
      <c r="FE427" t="e">
        <f>AND(#REF!,"AAAAAF73/6A=")</f>
        <v>#REF!</v>
      </c>
      <c r="FF427" t="e">
        <f>AND(#REF!,"AAAAAF73/6E=")</f>
        <v>#REF!</v>
      </c>
      <c r="FG427" t="e">
        <f>AND(#REF!,"AAAAAF73/6I=")</f>
        <v>#REF!</v>
      </c>
      <c r="FH427" t="e">
        <f>AND(#REF!,"AAAAAF73/6M=")</f>
        <v>#REF!</v>
      </c>
      <c r="FI427" t="e">
        <f>AND(#REF!,"AAAAAF73/6Q=")</f>
        <v>#REF!</v>
      </c>
      <c r="FJ427" t="e">
        <f>AND(#REF!,"AAAAAF73/6U=")</f>
        <v>#REF!</v>
      </c>
      <c r="FK427" t="e">
        <f>AND(#REF!,"AAAAAF73/6Y=")</f>
        <v>#REF!</v>
      </c>
      <c r="FL427" t="e">
        <f>AND(#REF!,"AAAAAF73/6c=")</f>
        <v>#REF!</v>
      </c>
      <c r="FM427" t="e">
        <f>AND(#REF!,"AAAAAF73/6g=")</f>
        <v>#REF!</v>
      </c>
      <c r="FN427" t="e">
        <f>AND(#REF!,"AAAAAF73/6k=")</f>
        <v>#REF!</v>
      </c>
      <c r="FO427" t="e">
        <f>AND(#REF!,"AAAAAF73/6o=")</f>
        <v>#REF!</v>
      </c>
      <c r="FP427" t="e">
        <f>AND(#REF!,"AAAAAF73/6s=")</f>
        <v>#REF!</v>
      </c>
      <c r="FQ427" t="e">
        <f>AND(#REF!,"AAAAAF73/6w=")</f>
        <v>#REF!</v>
      </c>
      <c r="FR427" t="e">
        <f>AND(#REF!,"AAAAAF73/60=")</f>
        <v>#REF!</v>
      </c>
      <c r="FS427" t="e">
        <f>AND(#REF!,"AAAAAF73/64=")</f>
        <v>#REF!</v>
      </c>
      <c r="FT427" t="e">
        <f>AND(#REF!,"AAAAAF73/68=")</f>
        <v>#REF!</v>
      </c>
      <c r="FU427" t="e">
        <f>AND(#REF!,"AAAAAF73/7A=")</f>
        <v>#REF!</v>
      </c>
      <c r="FV427" t="e">
        <f>AND(#REF!,"AAAAAF73/7E=")</f>
        <v>#REF!</v>
      </c>
      <c r="FW427" t="e">
        <f>AND(#REF!,"AAAAAF73/7I=")</f>
        <v>#REF!</v>
      </c>
      <c r="FX427" t="e">
        <f>IF(#REF!,"AAAAAF73/7M=",0)</f>
        <v>#REF!</v>
      </c>
      <c r="FY427" t="e">
        <f>AND(#REF!,"AAAAAF73/7Q=")</f>
        <v>#REF!</v>
      </c>
      <c r="FZ427" t="e">
        <f>AND(#REF!,"AAAAAF73/7U=")</f>
        <v>#REF!</v>
      </c>
      <c r="GA427" t="e">
        <f>AND(#REF!,"AAAAAF73/7Y=")</f>
        <v>#REF!</v>
      </c>
      <c r="GB427" t="e">
        <f>AND(#REF!,"AAAAAF73/7c=")</f>
        <v>#REF!</v>
      </c>
      <c r="GC427" t="e">
        <f>AND(#REF!,"AAAAAF73/7g=")</f>
        <v>#REF!</v>
      </c>
      <c r="GD427" t="e">
        <f>AND(#REF!,"AAAAAF73/7k=")</f>
        <v>#REF!</v>
      </c>
      <c r="GE427" t="e">
        <f>AND(#REF!,"AAAAAF73/7o=")</f>
        <v>#REF!</v>
      </c>
      <c r="GF427" t="e">
        <f>AND(#REF!,"AAAAAF73/7s=")</f>
        <v>#REF!</v>
      </c>
      <c r="GG427" t="e">
        <f>AND(#REF!,"AAAAAF73/7w=")</f>
        <v>#REF!</v>
      </c>
      <c r="GH427" t="e">
        <f>AND(#REF!,"AAAAAF73/70=")</f>
        <v>#REF!</v>
      </c>
      <c r="GI427" t="e">
        <f>AND(#REF!,"AAAAAF73/74=")</f>
        <v>#REF!</v>
      </c>
      <c r="GJ427" t="e">
        <f>AND(#REF!,"AAAAAF73/78=")</f>
        <v>#REF!</v>
      </c>
      <c r="GK427" t="e">
        <f>AND(#REF!,"AAAAAF73/8A=")</f>
        <v>#REF!</v>
      </c>
      <c r="GL427" t="e">
        <f>AND(#REF!,"AAAAAF73/8E=")</f>
        <v>#REF!</v>
      </c>
      <c r="GM427" t="e">
        <f>AND(#REF!,"AAAAAF73/8I=")</f>
        <v>#REF!</v>
      </c>
      <c r="GN427" t="e">
        <f>AND(#REF!,"AAAAAF73/8M=")</f>
        <v>#REF!</v>
      </c>
      <c r="GO427" t="e">
        <f>AND(#REF!,"AAAAAF73/8Q=")</f>
        <v>#REF!</v>
      </c>
      <c r="GP427" t="e">
        <f>AND(#REF!,"AAAAAF73/8U=")</f>
        <v>#REF!</v>
      </c>
      <c r="GQ427" t="e">
        <f>AND(#REF!,"AAAAAF73/8Y=")</f>
        <v>#REF!</v>
      </c>
      <c r="GR427" t="e">
        <f>AND(#REF!,"AAAAAF73/8c=")</f>
        <v>#REF!</v>
      </c>
      <c r="GS427" t="e">
        <f>AND(#REF!,"AAAAAF73/8g=")</f>
        <v>#REF!</v>
      </c>
      <c r="GT427" t="e">
        <f>AND(#REF!,"AAAAAF73/8k=")</f>
        <v>#REF!</v>
      </c>
      <c r="GU427" t="e">
        <f>AND(#REF!,"AAAAAF73/8o=")</f>
        <v>#REF!</v>
      </c>
      <c r="GV427" t="e">
        <f>AND(#REF!,"AAAAAF73/8s=")</f>
        <v>#REF!</v>
      </c>
      <c r="GW427" t="e">
        <f>IF(#REF!,"AAAAAF73/8w=",0)</f>
        <v>#REF!</v>
      </c>
      <c r="GX427" t="e">
        <f>AND(#REF!,"AAAAAF73/80=")</f>
        <v>#REF!</v>
      </c>
      <c r="GY427" t="e">
        <f>AND(#REF!,"AAAAAF73/84=")</f>
        <v>#REF!</v>
      </c>
      <c r="GZ427" t="e">
        <f>AND(#REF!,"AAAAAF73/88=")</f>
        <v>#REF!</v>
      </c>
      <c r="HA427" t="e">
        <f>AND(#REF!,"AAAAAF73/9A=")</f>
        <v>#REF!</v>
      </c>
      <c r="HB427" t="e">
        <f>AND(#REF!,"AAAAAF73/9E=")</f>
        <v>#REF!</v>
      </c>
      <c r="HC427" t="e">
        <f>AND(#REF!,"AAAAAF73/9I=")</f>
        <v>#REF!</v>
      </c>
      <c r="HD427" t="e">
        <f>AND(#REF!,"AAAAAF73/9M=")</f>
        <v>#REF!</v>
      </c>
      <c r="HE427" t="e">
        <f>AND(#REF!,"AAAAAF73/9Q=")</f>
        <v>#REF!</v>
      </c>
      <c r="HF427" t="e">
        <f>AND(#REF!,"AAAAAF73/9U=")</f>
        <v>#REF!</v>
      </c>
      <c r="HG427" t="e">
        <f>AND(#REF!,"AAAAAF73/9Y=")</f>
        <v>#REF!</v>
      </c>
      <c r="HH427" t="e">
        <f>AND(#REF!,"AAAAAF73/9c=")</f>
        <v>#REF!</v>
      </c>
      <c r="HI427" t="e">
        <f>AND(#REF!,"AAAAAF73/9g=")</f>
        <v>#REF!</v>
      </c>
      <c r="HJ427" t="e">
        <f>AND(#REF!,"AAAAAF73/9k=")</f>
        <v>#REF!</v>
      </c>
      <c r="HK427" t="e">
        <f>AND(#REF!,"AAAAAF73/9o=")</f>
        <v>#REF!</v>
      </c>
      <c r="HL427" t="e">
        <f>AND(#REF!,"AAAAAF73/9s=")</f>
        <v>#REF!</v>
      </c>
      <c r="HM427" t="e">
        <f>AND(#REF!,"AAAAAF73/9w=")</f>
        <v>#REF!</v>
      </c>
      <c r="HN427" t="e">
        <f>AND(#REF!,"AAAAAF73/90=")</f>
        <v>#REF!</v>
      </c>
      <c r="HO427" t="e">
        <f>AND(#REF!,"AAAAAF73/94=")</f>
        <v>#REF!</v>
      </c>
      <c r="HP427" t="e">
        <f>AND(#REF!,"AAAAAF73/98=")</f>
        <v>#REF!</v>
      </c>
      <c r="HQ427" t="e">
        <f>AND(#REF!,"AAAAAF73/+A=")</f>
        <v>#REF!</v>
      </c>
      <c r="HR427" t="e">
        <f>AND(#REF!,"AAAAAF73/+E=")</f>
        <v>#REF!</v>
      </c>
      <c r="HS427" t="e">
        <f>AND(#REF!,"AAAAAF73/+I=")</f>
        <v>#REF!</v>
      </c>
      <c r="HT427" t="e">
        <f>AND(#REF!,"AAAAAF73/+M=")</f>
        <v>#REF!</v>
      </c>
      <c r="HU427" t="e">
        <f>AND(#REF!,"AAAAAF73/+Q=")</f>
        <v>#REF!</v>
      </c>
      <c r="HV427" t="e">
        <f>IF(#REF!,"AAAAAF73/+U=",0)</f>
        <v>#REF!</v>
      </c>
      <c r="HW427" t="e">
        <f>AND(#REF!,"AAAAAF73/+Y=")</f>
        <v>#REF!</v>
      </c>
      <c r="HX427" t="e">
        <f>AND(#REF!,"AAAAAF73/+c=")</f>
        <v>#REF!</v>
      </c>
      <c r="HY427" t="e">
        <f>AND(#REF!,"AAAAAF73/+g=")</f>
        <v>#REF!</v>
      </c>
      <c r="HZ427" t="e">
        <f>AND(#REF!,"AAAAAF73/+k=")</f>
        <v>#REF!</v>
      </c>
      <c r="IA427" t="e">
        <f>AND(#REF!,"AAAAAF73/+o=")</f>
        <v>#REF!</v>
      </c>
      <c r="IB427" t="e">
        <f>AND(#REF!,"AAAAAF73/+s=")</f>
        <v>#REF!</v>
      </c>
      <c r="IC427" t="e">
        <f>AND(#REF!,"AAAAAF73/+w=")</f>
        <v>#REF!</v>
      </c>
      <c r="ID427" t="e">
        <f>AND(#REF!,"AAAAAF73/+0=")</f>
        <v>#REF!</v>
      </c>
      <c r="IE427" t="e">
        <f>AND(#REF!,"AAAAAF73/+4=")</f>
        <v>#REF!</v>
      </c>
      <c r="IF427" t="e">
        <f>AND(#REF!,"AAAAAF73/+8=")</f>
        <v>#REF!</v>
      </c>
      <c r="IG427" t="e">
        <f>AND(#REF!,"AAAAAF73//A=")</f>
        <v>#REF!</v>
      </c>
      <c r="IH427" t="e">
        <f>AND(#REF!,"AAAAAF73//E=")</f>
        <v>#REF!</v>
      </c>
      <c r="II427" t="e">
        <f>AND(#REF!,"AAAAAF73//I=")</f>
        <v>#REF!</v>
      </c>
      <c r="IJ427" t="e">
        <f>AND(#REF!,"AAAAAF73//M=")</f>
        <v>#REF!</v>
      </c>
      <c r="IK427" t="e">
        <f>AND(#REF!,"AAAAAF73//Q=")</f>
        <v>#REF!</v>
      </c>
      <c r="IL427" t="e">
        <f>AND(#REF!,"AAAAAF73//U=")</f>
        <v>#REF!</v>
      </c>
      <c r="IM427" t="e">
        <f>AND(#REF!,"AAAAAF73//Y=")</f>
        <v>#REF!</v>
      </c>
      <c r="IN427" t="e">
        <f>AND(#REF!,"AAAAAF73//c=")</f>
        <v>#REF!</v>
      </c>
      <c r="IO427" t="e">
        <f>AND(#REF!,"AAAAAF73//g=")</f>
        <v>#REF!</v>
      </c>
      <c r="IP427" t="e">
        <f>AND(#REF!,"AAAAAF73//k=")</f>
        <v>#REF!</v>
      </c>
      <c r="IQ427" t="e">
        <f>AND(#REF!,"AAAAAF73//o=")</f>
        <v>#REF!</v>
      </c>
      <c r="IR427" t="e">
        <f>AND(#REF!,"AAAAAF73//s=")</f>
        <v>#REF!</v>
      </c>
      <c r="IS427" t="e">
        <f>AND(#REF!,"AAAAAF73//w=")</f>
        <v>#REF!</v>
      </c>
      <c r="IT427" t="e">
        <f>AND(#REF!,"AAAAAF73//0=")</f>
        <v>#REF!</v>
      </c>
      <c r="IU427" t="e">
        <f>IF(#REF!,"AAAAAF73//4=",0)</f>
        <v>#REF!</v>
      </c>
      <c r="IV427" t="e">
        <f>AND(#REF!,"AAAAAF73//8=")</f>
        <v>#REF!</v>
      </c>
    </row>
    <row r="428" spans="1:256">
      <c r="A428" t="e">
        <f>AND(#REF!,"AAAAABv9+wA=")</f>
        <v>#REF!</v>
      </c>
      <c r="B428" t="e">
        <f>AND(#REF!,"AAAAABv9+wE=")</f>
        <v>#REF!</v>
      </c>
      <c r="C428" t="e">
        <f>AND(#REF!,"AAAAABv9+wI=")</f>
        <v>#REF!</v>
      </c>
      <c r="D428" t="e">
        <f>AND(#REF!,"AAAAABv9+wM=")</f>
        <v>#REF!</v>
      </c>
      <c r="E428" t="e">
        <f>AND(#REF!,"AAAAABv9+wQ=")</f>
        <v>#REF!</v>
      </c>
      <c r="F428" t="e">
        <f>AND(#REF!,"AAAAABv9+wU=")</f>
        <v>#REF!</v>
      </c>
      <c r="G428" t="e">
        <f>AND(#REF!,"AAAAABv9+wY=")</f>
        <v>#REF!</v>
      </c>
      <c r="H428" t="e">
        <f>AND(#REF!,"AAAAABv9+wc=")</f>
        <v>#REF!</v>
      </c>
      <c r="I428" t="e">
        <f>AND(#REF!,"AAAAABv9+wg=")</f>
        <v>#REF!</v>
      </c>
      <c r="J428" t="e">
        <f>AND(#REF!,"AAAAABv9+wk=")</f>
        <v>#REF!</v>
      </c>
      <c r="K428" t="e">
        <f>AND(#REF!,"AAAAABv9+wo=")</f>
        <v>#REF!</v>
      </c>
      <c r="L428" t="e">
        <f>AND(#REF!,"AAAAABv9+ws=")</f>
        <v>#REF!</v>
      </c>
      <c r="M428" t="e">
        <f>AND(#REF!,"AAAAABv9+ww=")</f>
        <v>#REF!</v>
      </c>
      <c r="N428" t="e">
        <f>AND(#REF!,"AAAAABv9+w0=")</f>
        <v>#REF!</v>
      </c>
      <c r="O428" t="e">
        <f>AND(#REF!,"AAAAABv9+w4=")</f>
        <v>#REF!</v>
      </c>
      <c r="P428" t="e">
        <f>AND(#REF!,"AAAAABv9+w8=")</f>
        <v>#REF!</v>
      </c>
      <c r="Q428" t="e">
        <f>AND(#REF!,"AAAAABv9+xA=")</f>
        <v>#REF!</v>
      </c>
      <c r="R428" t="e">
        <f>AND(#REF!,"AAAAABv9+xE=")</f>
        <v>#REF!</v>
      </c>
      <c r="S428" t="e">
        <f>AND(#REF!,"AAAAABv9+xI=")</f>
        <v>#REF!</v>
      </c>
      <c r="T428" t="e">
        <f>AND(#REF!,"AAAAABv9+xM=")</f>
        <v>#REF!</v>
      </c>
      <c r="U428" t="e">
        <f>AND(#REF!,"AAAAABv9+xQ=")</f>
        <v>#REF!</v>
      </c>
      <c r="V428" t="e">
        <f>AND(#REF!,"AAAAABv9+xU=")</f>
        <v>#REF!</v>
      </c>
      <c r="W428" t="e">
        <f>AND(#REF!,"AAAAABv9+xY=")</f>
        <v>#REF!</v>
      </c>
      <c r="X428" t="e">
        <f>IF(#REF!,"AAAAABv9+xc=",0)</f>
        <v>#REF!</v>
      </c>
      <c r="Y428" t="e">
        <f>AND(#REF!,"AAAAABv9+xg=")</f>
        <v>#REF!</v>
      </c>
      <c r="Z428" t="e">
        <f>AND(#REF!,"AAAAABv9+xk=")</f>
        <v>#REF!</v>
      </c>
      <c r="AA428" t="e">
        <f>AND(#REF!,"AAAAABv9+xo=")</f>
        <v>#REF!</v>
      </c>
      <c r="AB428" t="e">
        <f>AND(#REF!,"AAAAABv9+xs=")</f>
        <v>#REF!</v>
      </c>
      <c r="AC428" t="e">
        <f>AND(#REF!,"AAAAABv9+xw=")</f>
        <v>#REF!</v>
      </c>
      <c r="AD428" t="e">
        <f>AND(#REF!,"AAAAABv9+x0=")</f>
        <v>#REF!</v>
      </c>
      <c r="AE428" t="e">
        <f>AND(#REF!,"AAAAABv9+x4=")</f>
        <v>#REF!</v>
      </c>
      <c r="AF428" t="e">
        <f>AND(#REF!,"AAAAABv9+x8=")</f>
        <v>#REF!</v>
      </c>
      <c r="AG428" t="e">
        <f>AND(#REF!,"AAAAABv9+yA=")</f>
        <v>#REF!</v>
      </c>
      <c r="AH428" t="e">
        <f>AND(#REF!,"AAAAABv9+yE=")</f>
        <v>#REF!</v>
      </c>
      <c r="AI428" t="e">
        <f>AND(#REF!,"AAAAABv9+yI=")</f>
        <v>#REF!</v>
      </c>
      <c r="AJ428" t="e">
        <f>AND(#REF!,"AAAAABv9+yM=")</f>
        <v>#REF!</v>
      </c>
      <c r="AK428" t="e">
        <f>AND(#REF!,"AAAAABv9+yQ=")</f>
        <v>#REF!</v>
      </c>
      <c r="AL428" t="e">
        <f>AND(#REF!,"AAAAABv9+yU=")</f>
        <v>#REF!</v>
      </c>
      <c r="AM428" t="e">
        <f>AND(#REF!,"AAAAABv9+yY=")</f>
        <v>#REF!</v>
      </c>
      <c r="AN428" t="e">
        <f>AND(#REF!,"AAAAABv9+yc=")</f>
        <v>#REF!</v>
      </c>
      <c r="AO428" t="e">
        <f>AND(#REF!,"AAAAABv9+yg=")</f>
        <v>#REF!</v>
      </c>
      <c r="AP428" t="e">
        <f>AND(#REF!,"AAAAABv9+yk=")</f>
        <v>#REF!</v>
      </c>
      <c r="AQ428" t="e">
        <f>AND(#REF!,"AAAAABv9+yo=")</f>
        <v>#REF!</v>
      </c>
      <c r="AR428" t="e">
        <f>AND(#REF!,"AAAAABv9+ys=")</f>
        <v>#REF!</v>
      </c>
      <c r="AS428" t="e">
        <f>AND(#REF!,"AAAAABv9+yw=")</f>
        <v>#REF!</v>
      </c>
      <c r="AT428" t="e">
        <f>AND(#REF!,"AAAAABv9+y0=")</f>
        <v>#REF!</v>
      </c>
      <c r="AU428" t="e">
        <f>AND(#REF!,"AAAAABv9+y4=")</f>
        <v>#REF!</v>
      </c>
      <c r="AV428" t="e">
        <f>AND(#REF!,"AAAAABv9+y8=")</f>
        <v>#REF!</v>
      </c>
      <c r="AW428" t="e">
        <f>IF(#REF!,"AAAAABv9+zA=",0)</f>
        <v>#REF!</v>
      </c>
      <c r="AX428" t="e">
        <f>AND(#REF!,"AAAAABv9+zE=")</f>
        <v>#REF!</v>
      </c>
      <c r="AY428" t="e">
        <f>AND(#REF!,"AAAAABv9+zI=")</f>
        <v>#REF!</v>
      </c>
      <c r="AZ428" t="e">
        <f>AND(#REF!,"AAAAABv9+zM=")</f>
        <v>#REF!</v>
      </c>
      <c r="BA428" t="e">
        <f>AND(#REF!,"AAAAABv9+zQ=")</f>
        <v>#REF!</v>
      </c>
      <c r="BB428" t="e">
        <f>AND(#REF!,"AAAAABv9+zU=")</f>
        <v>#REF!</v>
      </c>
      <c r="BC428" t="e">
        <f>AND(#REF!,"AAAAABv9+zY=")</f>
        <v>#REF!</v>
      </c>
      <c r="BD428" t="e">
        <f>AND(#REF!,"AAAAABv9+zc=")</f>
        <v>#REF!</v>
      </c>
      <c r="BE428" t="e">
        <f>AND(#REF!,"AAAAABv9+zg=")</f>
        <v>#REF!</v>
      </c>
      <c r="BF428" t="e">
        <f>AND(#REF!,"AAAAABv9+zk=")</f>
        <v>#REF!</v>
      </c>
      <c r="BG428" t="e">
        <f>AND(#REF!,"AAAAABv9+zo=")</f>
        <v>#REF!</v>
      </c>
      <c r="BH428" t="e">
        <f>AND(#REF!,"AAAAABv9+zs=")</f>
        <v>#REF!</v>
      </c>
      <c r="BI428" t="e">
        <f>AND(#REF!,"AAAAABv9+zw=")</f>
        <v>#REF!</v>
      </c>
      <c r="BJ428" t="e">
        <f>AND(#REF!,"AAAAABv9+z0=")</f>
        <v>#REF!</v>
      </c>
      <c r="BK428" t="e">
        <f>AND(#REF!,"AAAAABv9+z4=")</f>
        <v>#REF!</v>
      </c>
      <c r="BL428" t="e">
        <f>AND(#REF!,"AAAAABv9+z8=")</f>
        <v>#REF!</v>
      </c>
      <c r="BM428" t="e">
        <f>AND(#REF!,"AAAAABv9+0A=")</f>
        <v>#REF!</v>
      </c>
      <c r="BN428" t="e">
        <f>AND(#REF!,"AAAAABv9+0E=")</f>
        <v>#REF!</v>
      </c>
      <c r="BO428" t="e">
        <f>AND(#REF!,"AAAAABv9+0I=")</f>
        <v>#REF!</v>
      </c>
      <c r="BP428" t="e">
        <f>AND(#REF!,"AAAAABv9+0M=")</f>
        <v>#REF!</v>
      </c>
      <c r="BQ428" t="e">
        <f>AND(#REF!,"AAAAABv9+0Q=")</f>
        <v>#REF!</v>
      </c>
      <c r="BR428" t="e">
        <f>AND(#REF!,"AAAAABv9+0U=")</f>
        <v>#REF!</v>
      </c>
      <c r="BS428" t="e">
        <f>AND(#REF!,"AAAAABv9+0Y=")</f>
        <v>#REF!</v>
      </c>
      <c r="BT428" t="e">
        <f>AND(#REF!,"AAAAABv9+0c=")</f>
        <v>#REF!</v>
      </c>
      <c r="BU428" t="e">
        <f>AND(#REF!,"AAAAABv9+0g=")</f>
        <v>#REF!</v>
      </c>
      <c r="BV428" t="e">
        <f>IF(#REF!,"AAAAABv9+0k=",0)</f>
        <v>#REF!</v>
      </c>
      <c r="BW428" t="e">
        <f>AND(#REF!,"AAAAABv9+0o=")</f>
        <v>#REF!</v>
      </c>
      <c r="BX428" t="e">
        <f>AND(#REF!,"AAAAABv9+0s=")</f>
        <v>#REF!</v>
      </c>
      <c r="BY428" t="e">
        <f>AND(#REF!,"AAAAABv9+0w=")</f>
        <v>#REF!</v>
      </c>
      <c r="BZ428" t="e">
        <f>AND(#REF!,"AAAAABv9+00=")</f>
        <v>#REF!</v>
      </c>
      <c r="CA428" t="e">
        <f>AND(#REF!,"AAAAABv9+04=")</f>
        <v>#REF!</v>
      </c>
      <c r="CB428" t="e">
        <f>AND(#REF!,"AAAAABv9+08=")</f>
        <v>#REF!</v>
      </c>
      <c r="CC428" t="e">
        <f>AND(#REF!,"AAAAABv9+1A=")</f>
        <v>#REF!</v>
      </c>
      <c r="CD428" t="e">
        <f>AND(#REF!,"AAAAABv9+1E=")</f>
        <v>#REF!</v>
      </c>
      <c r="CE428" t="e">
        <f>AND(#REF!,"AAAAABv9+1I=")</f>
        <v>#REF!</v>
      </c>
      <c r="CF428" t="e">
        <f>AND(#REF!,"AAAAABv9+1M=")</f>
        <v>#REF!</v>
      </c>
      <c r="CG428" t="e">
        <f>AND(#REF!,"AAAAABv9+1Q=")</f>
        <v>#REF!</v>
      </c>
      <c r="CH428" t="e">
        <f>AND(#REF!,"AAAAABv9+1U=")</f>
        <v>#REF!</v>
      </c>
      <c r="CI428" t="e">
        <f>AND(#REF!,"AAAAABv9+1Y=")</f>
        <v>#REF!</v>
      </c>
      <c r="CJ428" t="e">
        <f>AND(#REF!,"AAAAABv9+1c=")</f>
        <v>#REF!</v>
      </c>
      <c r="CK428" t="e">
        <f>AND(#REF!,"AAAAABv9+1g=")</f>
        <v>#REF!</v>
      </c>
      <c r="CL428" t="e">
        <f>AND(#REF!,"AAAAABv9+1k=")</f>
        <v>#REF!</v>
      </c>
      <c r="CM428" t="e">
        <f>AND(#REF!,"AAAAABv9+1o=")</f>
        <v>#REF!</v>
      </c>
      <c r="CN428" t="e">
        <f>AND(#REF!,"AAAAABv9+1s=")</f>
        <v>#REF!</v>
      </c>
      <c r="CO428" t="e">
        <f>AND(#REF!,"AAAAABv9+1w=")</f>
        <v>#REF!</v>
      </c>
      <c r="CP428" t="e">
        <f>AND(#REF!,"AAAAABv9+10=")</f>
        <v>#REF!</v>
      </c>
      <c r="CQ428" t="e">
        <f>AND(#REF!,"AAAAABv9+14=")</f>
        <v>#REF!</v>
      </c>
      <c r="CR428" t="e">
        <f>AND(#REF!,"AAAAABv9+18=")</f>
        <v>#REF!</v>
      </c>
      <c r="CS428" t="e">
        <f>AND(#REF!,"AAAAABv9+2A=")</f>
        <v>#REF!</v>
      </c>
      <c r="CT428" t="e">
        <f>AND(#REF!,"AAAAABv9+2E=")</f>
        <v>#REF!</v>
      </c>
      <c r="CU428" t="e">
        <f>IF(#REF!,"AAAAABv9+2I=",0)</f>
        <v>#REF!</v>
      </c>
      <c r="CV428" t="e">
        <f>AND(#REF!,"AAAAABv9+2M=")</f>
        <v>#REF!</v>
      </c>
      <c r="CW428" t="e">
        <f>AND(#REF!,"AAAAABv9+2Q=")</f>
        <v>#REF!</v>
      </c>
      <c r="CX428" t="e">
        <f>AND(#REF!,"AAAAABv9+2U=")</f>
        <v>#REF!</v>
      </c>
      <c r="CY428" t="e">
        <f>AND(#REF!,"AAAAABv9+2Y=")</f>
        <v>#REF!</v>
      </c>
      <c r="CZ428" t="e">
        <f>AND(#REF!,"AAAAABv9+2c=")</f>
        <v>#REF!</v>
      </c>
      <c r="DA428" t="e">
        <f>AND(#REF!,"AAAAABv9+2g=")</f>
        <v>#REF!</v>
      </c>
      <c r="DB428" t="e">
        <f>AND(#REF!,"AAAAABv9+2k=")</f>
        <v>#REF!</v>
      </c>
      <c r="DC428" t="e">
        <f>AND(#REF!,"AAAAABv9+2o=")</f>
        <v>#REF!</v>
      </c>
      <c r="DD428" t="e">
        <f>AND(#REF!,"AAAAABv9+2s=")</f>
        <v>#REF!</v>
      </c>
      <c r="DE428" t="e">
        <f>AND(#REF!,"AAAAABv9+2w=")</f>
        <v>#REF!</v>
      </c>
      <c r="DF428" t="e">
        <f>AND(#REF!,"AAAAABv9+20=")</f>
        <v>#REF!</v>
      </c>
      <c r="DG428" t="e">
        <f>AND(#REF!,"AAAAABv9+24=")</f>
        <v>#REF!</v>
      </c>
      <c r="DH428" t="e">
        <f>AND(#REF!,"AAAAABv9+28=")</f>
        <v>#REF!</v>
      </c>
      <c r="DI428" t="e">
        <f>AND(#REF!,"AAAAABv9+3A=")</f>
        <v>#REF!</v>
      </c>
      <c r="DJ428" t="e">
        <f>AND(#REF!,"AAAAABv9+3E=")</f>
        <v>#REF!</v>
      </c>
      <c r="DK428" t="e">
        <f>AND(#REF!,"AAAAABv9+3I=")</f>
        <v>#REF!</v>
      </c>
      <c r="DL428" t="e">
        <f>AND(#REF!,"AAAAABv9+3M=")</f>
        <v>#REF!</v>
      </c>
      <c r="DM428" t="e">
        <f>AND(#REF!,"AAAAABv9+3Q=")</f>
        <v>#REF!</v>
      </c>
      <c r="DN428" t="e">
        <f>AND(#REF!,"AAAAABv9+3U=")</f>
        <v>#REF!</v>
      </c>
      <c r="DO428" t="e">
        <f>AND(#REF!,"AAAAABv9+3Y=")</f>
        <v>#REF!</v>
      </c>
      <c r="DP428" t="e">
        <f>AND(#REF!,"AAAAABv9+3c=")</f>
        <v>#REF!</v>
      </c>
      <c r="DQ428" t="e">
        <f>AND(#REF!,"AAAAABv9+3g=")</f>
        <v>#REF!</v>
      </c>
      <c r="DR428" t="e">
        <f>AND(#REF!,"AAAAABv9+3k=")</f>
        <v>#REF!</v>
      </c>
      <c r="DS428" t="e">
        <f>AND(#REF!,"AAAAABv9+3o=")</f>
        <v>#REF!</v>
      </c>
      <c r="DT428" t="e">
        <f>IF(#REF!,"AAAAABv9+3s=",0)</f>
        <v>#REF!</v>
      </c>
      <c r="DU428" t="e">
        <f>AND(#REF!,"AAAAABv9+3w=")</f>
        <v>#REF!</v>
      </c>
      <c r="DV428" t="e">
        <f>AND(#REF!,"AAAAABv9+30=")</f>
        <v>#REF!</v>
      </c>
      <c r="DW428" t="e">
        <f>AND(#REF!,"AAAAABv9+34=")</f>
        <v>#REF!</v>
      </c>
      <c r="DX428" t="e">
        <f>AND(#REF!,"AAAAABv9+38=")</f>
        <v>#REF!</v>
      </c>
      <c r="DY428" t="e">
        <f>AND(#REF!,"AAAAABv9+4A=")</f>
        <v>#REF!</v>
      </c>
      <c r="DZ428" t="e">
        <f>AND(#REF!,"AAAAABv9+4E=")</f>
        <v>#REF!</v>
      </c>
      <c r="EA428" t="e">
        <f>AND(#REF!,"AAAAABv9+4I=")</f>
        <v>#REF!</v>
      </c>
      <c r="EB428" t="e">
        <f>AND(#REF!,"AAAAABv9+4M=")</f>
        <v>#REF!</v>
      </c>
      <c r="EC428" t="e">
        <f>AND(#REF!,"AAAAABv9+4Q=")</f>
        <v>#REF!</v>
      </c>
      <c r="ED428" t="e">
        <f>AND(#REF!,"AAAAABv9+4U=")</f>
        <v>#REF!</v>
      </c>
      <c r="EE428" t="e">
        <f>AND(#REF!,"AAAAABv9+4Y=")</f>
        <v>#REF!</v>
      </c>
      <c r="EF428" t="e">
        <f>AND(#REF!,"AAAAABv9+4c=")</f>
        <v>#REF!</v>
      </c>
      <c r="EG428" t="e">
        <f>AND(#REF!,"AAAAABv9+4g=")</f>
        <v>#REF!</v>
      </c>
      <c r="EH428" t="e">
        <f>AND(#REF!,"AAAAABv9+4k=")</f>
        <v>#REF!</v>
      </c>
      <c r="EI428" t="e">
        <f>AND(#REF!,"AAAAABv9+4o=")</f>
        <v>#REF!</v>
      </c>
      <c r="EJ428" t="e">
        <f>AND(#REF!,"AAAAABv9+4s=")</f>
        <v>#REF!</v>
      </c>
      <c r="EK428" t="e">
        <f>AND(#REF!,"AAAAABv9+4w=")</f>
        <v>#REF!</v>
      </c>
      <c r="EL428" t="e">
        <f>AND(#REF!,"AAAAABv9+40=")</f>
        <v>#REF!</v>
      </c>
      <c r="EM428" t="e">
        <f>AND(#REF!,"AAAAABv9+44=")</f>
        <v>#REF!</v>
      </c>
      <c r="EN428" t="e">
        <f>AND(#REF!,"AAAAABv9+48=")</f>
        <v>#REF!</v>
      </c>
      <c r="EO428" t="e">
        <f>AND(#REF!,"AAAAABv9+5A=")</f>
        <v>#REF!</v>
      </c>
      <c r="EP428" t="e">
        <f>AND(#REF!,"AAAAABv9+5E=")</f>
        <v>#REF!</v>
      </c>
      <c r="EQ428" t="e">
        <f>AND(#REF!,"AAAAABv9+5I=")</f>
        <v>#REF!</v>
      </c>
      <c r="ER428" t="e">
        <f>AND(#REF!,"AAAAABv9+5M=")</f>
        <v>#REF!</v>
      </c>
      <c r="ES428" t="e">
        <f>IF(#REF!,"AAAAABv9+5Q=",0)</f>
        <v>#REF!</v>
      </c>
      <c r="ET428" t="e">
        <f>AND(#REF!,"AAAAABv9+5U=")</f>
        <v>#REF!</v>
      </c>
      <c r="EU428" t="e">
        <f>AND(#REF!,"AAAAABv9+5Y=")</f>
        <v>#REF!</v>
      </c>
      <c r="EV428" t="e">
        <f>AND(#REF!,"AAAAABv9+5c=")</f>
        <v>#REF!</v>
      </c>
      <c r="EW428" t="e">
        <f>AND(#REF!,"AAAAABv9+5g=")</f>
        <v>#REF!</v>
      </c>
      <c r="EX428" t="e">
        <f>AND(#REF!,"AAAAABv9+5k=")</f>
        <v>#REF!</v>
      </c>
      <c r="EY428" t="e">
        <f>AND(#REF!,"AAAAABv9+5o=")</f>
        <v>#REF!</v>
      </c>
      <c r="EZ428" t="e">
        <f>AND(#REF!,"AAAAABv9+5s=")</f>
        <v>#REF!</v>
      </c>
      <c r="FA428" t="e">
        <f>AND(#REF!,"AAAAABv9+5w=")</f>
        <v>#REF!</v>
      </c>
      <c r="FB428" t="e">
        <f>AND(#REF!,"AAAAABv9+50=")</f>
        <v>#REF!</v>
      </c>
      <c r="FC428" t="e">
        <f>AND(#REF!,"AAAAABv9+54=")</f>
        <v>#REF!</v>
      </c>
      <c r="FD428" t="e">
        <f>AND(#REF!,"AAAAABv9+58=")</f>
        <v>#REF!</v>
      </c>
      <c r="FE428" t="e">
        <f>AND(#REF!,"AAAAABv9+6A=")</f>
        <v>#REF!</v>
      </c>
      <c r="FF428" t="e">
        <f>AND(#REF!,"AAAAABv9+6E=")</f>
        <v>#REF!</v>
      </c>
      <c r="FG428" t="e">
        <f>AND(#REF!,"AAAAABv9+6I=")</f>
        <v>#REF!</v>
      </c>
      <c r="FH428" t="e">
        <f>AND(#REF!,"AAAAABv9+6M=")</f>
        <v>#REF!</v>
      </c>
      <c r="FI428" t="e">
        <f>AND(#REF!,"AAAAABv9+6Q=")</f>
        <v>#REF!</v>
      </c>
      <c r="FJ428" t="e">
        <f>AND(#REF!,"AAAAABv9+6U=")</f>
        <v>#REF!</v>
      </c>
      <c r="FK428" t="e">
        <f>AND(#REF!,"AAAAABv9+6Y=")</f>
        <v>#REF!</v>
      </c>
      <c r="FL428" t="e">
        <f>AND(#REF!,"AAAAABv9+6c=")</f>
        <v>#REF!</v>
      </c>
      <c r="FM428" t="e">
        <f>AND(#REF!,"AAAAABv9+6g=")</f>
        <v>#REF!</v>
      </c>
      <c r="FN428" t="e">
        <f>AND(#REF!,"AAAAABv9+6k=")</f>
        <v>#REF!</v>
      </c>
      <c r="FO428" t="e">
        <f>AND(#REF!,"AAAAABv9+6o=")</f>
        <v>#REF!</v>
      </c>
      <c r="FP428" t="e">
        <f>AND(#REF!,"AAAAABv9+6s=")</f>
        <v>#REF!</v>
      </c>
      <c r="FQ428" t="e">
        <f>AND(#REF!,"AAAAABv9+6w=")</f>
        <v>#REF!</v>
      </c>
      <c r="FR428" t="e">
        <f>IF(#REF!,"AAAAABv9+60=",0)</f>
        <v>#REF!</v>
      </c>
      <c r="FS428" t="e">
        <f>AND(#REF!,"AAAAABv9+64=")</f>
        <v>#REF!</v>
      </c>
      <c r="FT428" t="e">
        <f>AND(#REF!,"AAAAABv9+68=")</f>
        <v>#REF!</v>
      </c>
      <c r="FU428" t="e">
        <f>AND(#REF!,"AAAAABv9+7A=")</f>
        <v>#REF!</v>
      </c>
      <c r="FV428" t="e">
        <f>AND(#REF!,"AAAAABv9+7E=")</f>
        <v>#REF!</v>
      </c>
      <c r="FW428" t="e">
        <f>AND(#REF!,"AAAAABv9+7I=")</f>
        <v>#REF!</v>
      </c>
      <c r="FX428" t="e">
        <f>AND(#REF!,"AAAAABv9+7M=")</f>
        <v>#REF!</v>
      </c>
      <c r="FY428" t="e">
        <f>AND(#REF!,"AAAAABv9+7Q=")</f>
        <v>#REF!</v>
      </c>
      <c r="FZ428" t="e">
        <f>AND(#REF!,"AAAAABv9+7U=")</f>
        <v>#REF!</v>
      </c>
      <c r="GA428" t="e">
        <f>AND(#REF!,"AAAAABv9+7Y=")</f>
        <v>#REF!</v>
      </c>
      <c r="GB428" t="e">
        <f>AND(#REF!,"AAAAABv9+7c=")</f>
        <v>#REF!</v>
      </c>
      <c r="GC428" t="e">
        <f>AND(#REF!,"AAAAABv9+7g=")</f>
        <v>#REF!</v>
      </c>
      <c r="GD428" t="e">
        <f>AND(#REF!,"AAAAABv9+7k=")</f>
        <v>#REF!</v>
      </c>
      <c r="GE428" t="e">
        <f>AND(#REF!,"AAAAABv9+7o=")</f>
        <v>#REF!</v>
      </c>
      <c r="GF428" t="e">
        <f>AND(#REF!,"AAAAABv9+7s=")</f>
        <v>#REF!</v>
      </c>
      <c r="GG428" t="e">
        <f>AND(#REF!,"AAAAABv9+7w=")</f>
        <v>#REF!</v>
      </c>
      <c r="GH428" t="e">
        <f>AND(#REF!,"AAAAABv9+70=")</f>
        <v>#REF!</v>
      </c>
      <c r="GI428" t="e">
        <f>AND(#REF!,"AAAAABv9+74=")</f>
        <v>#REF!</v>
      </c>
      <c r="GJ428" t="e">
        <f>AND(#REF!,"AAAAABv9+78=")</f>
        <v>#REF!</v>
      </c>
      <c r="GK428" t="e">
        <f>AND(#REF!,"AAAAABv9+8A=")</f>
        <v>#REF!</v>
      </c>
      <c r="GL428" t="e">
        <f>AND(#REF!,"AAAAABv9+8E=")</f>
        <v>#REF!</v>
      </c>
      <c r="GM428" t="e">
        <f>AND(#REF!,"AAAAABv9+8I=")</f>
        <v>#REF!</v>
      </c>
      <c r="GN428" t="e">
        <f>AND(#REF!,"AAAAABv9+8M=")</f>
        <v>#REF!</v>
      </c>
      <c r="GO428" t="e">
        <f>AND(#REF!,"AAAAABv9+8Q=")</f>
        <v>#REF!</v>
      </c>
      <c r="GP428" t="e">
        <f>AND(#REF!,"AAAAABv9+8U=")</f>
        <v>#REF!</v>
      </c>
      <c r="GQ428" t="e">
        <f>IF(#REF!,"AAAAABv9+8Y=",0)</f>
        <v>#REF!</v>
      </c>
      <c r="GR428" t="e">
        <f>AND(#REF!,"AAAAABv9+8c=")</f>
        <v>#REF!</v>
      </c>
      <c r="GS428" t="e">
        <f>AND(#REF!,"AAAAABv9+8g=")</f>
        <v>#REF!</v>
      </c>
      <c r="GT428" t="e">
        <f>AND(#REF!,"AAAAABv9+8k=")</f>
        <v>#REF!</v>
      </c>
      <c r="GU428" t="e">
        <f>AND(#REF!,"AAAAABv9+8o=")</f>
        <v>#REF!</v>
      </c>
      <c r="GV428" t="e">
        <f>AND(#REF!,"AAAAABv9+8s=")</f>
        <v>#REF!</v>
      </c>
      <c r="GW428" t="e">
        <f>AND(#REF!,"AAAAABv9+8w=")</f>
        <v>#REF!</v>
      </c>
      <c r="GX428" t="e">
        <f>AND(#REF!,"AAAAABv9+80=")</f>
        <v>#REF!</v>
      </c>
      <c r="GY428" t="e">
        <f>AND(#REF!,"AAAAABv9+84=")</f>
        <v>#REF!</v>
      </c>
      <c r="GZ428" t="e">
        <f>AND(#REF!,"AAAAABv9+88=")</f>
        <v>#REF!</v>
      </c>
      <c r="HA428" t="e">
        <f>AND(#REF!,"AAAAABv9+9A=")</f>
        <v>#REF!</v>
      </c>
      <c r="HB428" t="e">
        <f>AND(#REF!,"AAAAABv9+9E=")</f>
        <v>#REF!</v>
      </c>
      <c r="HC428" t="e">
        <f>AND(#REF!,"AAAAABv9+9I=")</f>
        <v>#REF!</v>
      </c>
      <c r="HD428" t="e">
        <f>AND(#REF!,"AAAAABv9+9M=")</f>
        <v>#REF!</v>
      </c>
      <c r="HE428" t="e">
        <f>AND(#REF!,"AAAAABv9+9Q=")</f>
        <v>#REF!</v>
      </c>
      <c r="HF428" t="e">
        <f>AND(#REF!,"AAAAABv9+9U=")</f>
        <v>#REF!</v>
      </c>
      <c r="HG428" t="e">
        <f>AND(#REF!,"AAAAABv9+9Y=")</f>
        <v>#REF!</v>
      </c>
      <c r="HH428" t="e">
        <f>AND(#REF!,"AAAAABv9+9c=")</f>
        <v>#REF!</v>
      </c>
      <c r="HI428" t="e">
        <f>AND(#REF!,"AAAAABv9+9g=")</f>
        <v>#REF!</v>
      </c>
      <c r="HJ428" t="e">
        <f>AND(#REF!,"AAAAABv9+9k=")</f>
        <v>#REF!</v>
      </c>
      <c r="HK428" t="e">
        <f>AND(#REF!,"AAAAABv9+9o=")</f>
        <v>#REF!</v>
      </c>
      <c r="HL428" t="e">
        <f>AND(#REF!,"AAAAABv9+9s=")</f>
        <v>#REF!</v>
      </c>
      <c r="HM428" t="e">
        <f>AND(#REF!,"AAAAABv9+9w=")</f>
        <v>#REF!</v>
      </c>
      <c r="HN428" t="e">
        <f>AND(#REF!,"AAAAABv9+90=")</f>
        <v>#REF!</v>
      </c>
      <c r="HO428" t="e">
        <f>AND(#REF!,"AAAAABv9+94=")</f>
        <v>#REF!</v>
      </c>
      <c r="HP428" t="e">
        <f>IF(#REF!,"AAAAABv9+98=",0)</f>
        <v>#REF!</v>
      </c>
      <c r="HQ428" t="e">
        <f>AND(#REF!,"AAAAABv9++A=")</f>
        <v>#REF!</v>
      </c>
      <c r="HR428" t="e">
        <f>AND(#REF!,"AAAAABv9++E=")</f>
        <v>#REF!</v>
      </c>
      <c r="HS428" t="e">
        <f>AND(#REF!,"AAAAABv9++I=")</f>
        <v>#REF!</v>
      </c>
      <c r="HT428" t="e">
        <f>AND(#REF!,"AAAAABv9++M=")</f>
        <v>#REF!</v>
      </c>
      <c r="HU428" t="e">
        <f>AND(#REF!,"AAAAABv9++Q=")</f>
        <v>#REF!</v>
      </c>
      <c r="HV428" t="e">
        <f>AND(#REF!,"AAAAABv9++U=")</f>
        <v>#REF!</v>
      </c>
      <c r="HW428" t="e">
        <f>AND(#REF!,"AAAAABv9++Y=")</f>
        <v>#REF!</v>
      </c>
      <c r="HX428" t="e">
        <f>AND(#REF!,"AAAAABv9++c=")</f>
        <v>#REF!</v>
      </c>
      <c r="HY428" t="e">
        <f>AND(#REF!,"AAAAABv9++g=")</f>
        <v>#REF!</v>
      </c>
      <c r="HZ428" t="e">
        <f>AND(#REF!,"AAAAABv9++k=")</f>
        <v>#REF!</v>
      </c>
      <c r="IA428" t="e">
        <f>AND(#REF!,"AAAAABv9++o=")</f>
        <v>#REF!</v>
      </c>
      <c r="IB428" t="e">
        <f>AND(#REF!,"AAAAABv9++s=")</f>
        <v>#REF!</v>
      </c>
      <c r="IC428" t="e">
        <f>AND(#REF!,"AAAAABv9++w=")</f>
        <v>#REF!</v>
      </c>
      <c r="ID428" t="e">
        <f>AND(#REF!,"AAAAABv9++0=")</f>
        <v>#REF!</v>
      </c>
      <c r="IE428" t="e">
        <f>AND(#REF!,"AAAAABv9++4=")</f>
        <v>#REF!</v>
      </c>
      <c r="IF428" t="e">
        <f>AND(#REF!,"AAAAABv9++8=")</f>
        <v>#REF!</v>
      </c>
      <c r="IG428" t="e">
        <f>AND(#REF!,"AAAAABv9+/A=")</f>
        <v>#REF!</v>
      </c>
      <c r="IH428" t="e">
        <f>AND(#REF!,"AAAAABv9+/E=")</f>
        <v>#REF!</v>
      </c>
      <c r="II428" t="e">
        <f>AND(#REF!,"AAAAABv9+/I=")</f>
        <v>#REF!</v>
      </c>
      <c r="IJ428" t="e">
        <f>AND(#REF!,"AAAAABv9+/M=")</f>
        <v>#REF!</v>
      </c>
      <c r="IK428" t="e">
        <f>AND(#REF!,"AAAAABv9+/Q=")</f>
        <v>#REF!</v>
      </c>
      <c r="IL428" t="e">
        <f>AND(#REF!,"AAAAABv9+/U=")</f>
        <v>#REF!</v>
      </c>
      <c r="IM428" t="e">
        <f>AND(#REF!,"AAAAABv9+/Y=")</f>
        <v>#REF!</v>
      </c>
      <c r="IN428" t="e">
        <f>AND(#REF!,"AAAAABv9+/c=")</f>
        <v>#REF!</v>
      </c>
      <c r="IO428" t="e">
        <f>IF(#REF!,"AAAAABv9+/g=",0)</f>
        <v>#REF!</v>
      </c>
      <c r="IP428" t="e">
        <f>AND(#REF!,"AAAAABv9+/k=")</f>
        <v>#REF!</v>
      </c>
      <c r="IQ428" t="e">
        <f>AND(#REF!,"AAAAABv9+/o=")</f>
        <v>#REF!</v>
      </c>
      <c r="IR428" t="e">
        <f>AND(#REF!,"AAAAABv9+/s=")</f>
        <v>#REF!</v>
      </c>
      <c r="IS428" t="e">
        <f>AND(#REF!,"AAAAABv9+/w=")</f>
        <v>#REF!</v>
      </c>
      <c r="IT428" t="e">
        <f>AND(#REF!,"AAAAABv9+/0=")</f>
        <v>#REF!</v>
      </c>
      <c r="IU428" t="e">
        <f>AND(#REF!,"AAAAABv9+/4=")</f>
        <v>#REF!</v>
      </c>
      <c r="IV428" t="e">
        <f>AND(#REF!,"AAAAABv9+/8=")</f>
        <v>#REF!</v>
      </c>
    </row>
    <row r="429" spans="1:256">
      <c r="A429" t="e">
        <f>AND(#REF!,"AAAAAH95twA=")</f>
        <v>#REF!</v>
      </c>
      <c r="B429" t="e">
        <f>AND(#REF!,"AAAAAH95twE=")</f>
        <v>#REF!</v>
      </c>
      <c r="C429" t="e">
        <f>AND(#REF!,"AAAAAH95twI=")</f>
        <v>#REF!</v>
      </c>
      <c r="D429" t="e">
        <f>AND(#REF!,"AAAAAH95twM=")</f>
        <v>#REF!</v>
      </c>
      <c r="E429" t="e">
        <f>AND(#REF!,"AAAAAH95twQ=")</f>
        <v>#REF!</v>
      </c>
      <c r="F429" t="e">
        <f>AND(#REF!,"AAAAAH95twU=")</f>
        <v>#REF!</v>
      </c>
      <c r="G429" t="e">
        <f>AND(#REF!,"AAAAAH95twY=")</f>
        <v>#REF!</v>
      </c>
      <c r="H429" t="e">
        <f>AND(#REF!,"AAAAAH95twc=")</f>
        <v>#REF!</v>
      </c>
      <c r="I429" t="e">
        <f>AND(#REF!,"AAAAAH95twg=")</f>
        <v>#REF!</v>
      </c>
      <c r="J429" t="e">
        <f>AND(#REF!,"AAAAAH95twk=")</f>
        <v>#REF!</v>
      </c>
      <c r="K429" t="e">
        <f>AND(#REF!,"AAAAAH95two=")</f>
        <v>#REF!</v>
      </c>
      <c r="L429" t="e">
        <f>AND(#REF!,"AAAAAH95tws=")</f>
        <v>#REF!</v>
      </c>
      <c r="M429" t="e">
        <f>AND(#REF!,"AAAAAH95tww=")</f>
        <v>#REF!</v>
      </c>
      <c r="N429" t="e">
        <f>AND(#REF!,"AAAAAH95tw0=")</f>
        <v>#REF!</v>
      </c>
      <c r="O429" t="e">
        <f>AND(#REF!,"AAAAAH95tw4=")</f>
        <v>#REF!</v>
      </c>
      <c r="P429" t="e">
        <f>AND(#REF!,"AAAAAH95tw8=")</f>
        <v>#REF!</v>
      </c>
      <c r="Q429" t="e">
        <f>AND(#REF!,"AAAAAH95txA=")</f>
        <v>#REF!</v>
      </c>
      <c r="R429" t="e">
        <f>IF(#REF!,"AAAAAH95txE=",0)</f>
        <v>#REF!</v>
      </c>
      <c r="S429" t="e">
        <f>AND(#REF!,"AAAAAH95txI=")</f>
        <v>#REF!</v>
      </c>
      <c r="T429" t="e">
        <f>AND(#REF!,"AAAAAH95txM=")</f>
        <v>#REF!</v>
      </c>
      <c r="U429" t="e">
        <f>AND(#REF!,"AAAAAH95txQ=")</f>
        <v>#REF!</v>
      </c>
      <c r="V429" t="e">
        <f>AND(#REF!,"AAAAAH95txU=")</f>
        <v>#REF!</v>
      </c>
      <c r="W429" t="e">
        <f>AND(#REF!,"AAAAAH95txY=")</f>
        <v>#REF!</v>
      </c>
      <c r="X429" t="e">
        <f>AND(#REF!,"AAAAAH95txc=")</f>
        <v>#REF!</v>
      </c>
      <c r="Y429" t="e">
        <f>AND(#REF!,"AAAAAH95txg=")</f>
        <v>#REF!</v>
      </c>
      <c r="Z429" t="e">
        <f>AND(#REF!,"AAAAAH95txk=")</f>
        <v>#REF!</v>
      </c>
      <c r="AA429" t="e">
        <f>AND(#REF!,"AAAAAH95txo=")</f>
        <v>#REF!</v>
      </c>
      <c r="AB429" t="e">
        <f>AND(#REF!,"AAAAAH95txs=")</f>
        <v>#REF!</v>
      </c>
      <c r="AC429" t="e">
        <f>AND(#REF!,"AAAAAH95txw=")</f>
        <v>#REF!</v>
      </c>
      <c r="AD429" t="e">
        <f>AND(#REF!,"AAAAAH95tx0=")</f>
        <v>#REF!</v>
      </c>
      <c r="AE429" t="e">
        <f>AND(#REF!,"AAAAAH95tx4=")</f>
        <v>#REF!</v>
      </c>
      <c r="AF429" t="e">
        <f>AND(#REF!,"AAAAAH95tx8=")</f>
        <v>#REF!</v>
      </c>
      <c r="AG429" t="e">
        <f>AND(#REF!,"AAAAAH95tyA=")</f>
        <v>#REF!</v>
      </c>
      <c r="AH429" t="e">
        <f>AND(#REF!,"AAAAAH95tyE=")</f>
        <v>#REF!</v>
      </c>
      <c r="AI429" t="e">
        <f>AND(#REF!,"AAAAAH95tyI=")</f>
        <v>#REF!</v>
      </c>
      <c r="AJ429" t="e">
        <f>AND(#REF!,"AAAAAH95tyM=")</f>
        <v>#REF!</v>
      </c>
      <c r="AK429" t="e">
        <f>AND(#REF!,"AAAAAH95tyQ=")</f>
        <v>#REF!</v>
      </c>
      <c r="AL429" t="e">
        <f>AND(#REF!,"AAAAAH95tyU=")</f>
        <v>#REF!</v>
      </c>
      <c r="AM429" t="e">
        <f>AND(#REF!,"AAAAAH95tyY=")</f>
        <v>#REF!</v>
      </c>
      <c r="AN429" t="e">
        <f>AND(#REF!,"AAAAAH95tyc=")</f>
        <v>#REF!</v>
      </c>
      <c r="AO429" t="e">
        <f>AND(#REF!,"AAAAAH95tyg=")</f>
        <v>#REF!</v>
      </c>
      <c r="AP429" t="e">
        <f>AND(#REF!,"AAAAAH95tyk=")</f>
        <v>#REF!</v>
      </c>
      <c r="AQ429" t="e">
        <f>IF(#REF!,"AAAAAH95tyo=",0)</f>
        <v>#REF!</v>
      </c>
      <c r="AR429" t="e">
        <f>AND(#REF!,"AAAAAH95tys=")</f>
        <v>#REF!</v>
      </c>
      <c r="AS429" t="e">
        <f>AND(#REF!,"AAAAAH95tyw=")</f>
        <v>#REF!</v>
      </c>
      <c r="AT429" t="e">
        <f>AND(#REF!,"AAAAAH95ty0=")</f>
        <v>#REF!</v>
      </c>
      <c r="AU429" t="e">
        <f>AND(#REF!,"AAAAAH95ty4=")</f>
        <v>#REF!</v>
      </c>
      <c r="AV429" t="e">
        <f>AND(#REF!,"AAAAAH95ty8=")</f>
        <v>#REF!</v>
      </c>
      <c r="AW429" t="e">
        <f>AND(#REF!,"AAAAAH95tzA=")</f>
        <v>#REF!</v>
      </c>
      <c r="AX429" t="e">
        <f>AND(#REF!,"AAAAAH95tzE=")</f>
        <v>#REF!</v>
      </c>
      <c r="AY429" t="e">
        <f>AND(#REF!,"AAAAAH95tzI=")</f>
        <v>#REF!</v>
      </c>
      <c r="AZ429" t="e">
        <f>AND(#REF!,"AAAAAH95tzM=")</f>
        <v>#REF!</v>
      </c>
      <c r="BA429" t="e">
        <f>AND(#REF!,"AAAAAH95tzQ=")</f>
        <v>#REF!</v>
      </c>
      <c r="BB429" t="e">
        <f>AND(#REF!,"AAAAAH95tzU=")</f>
        <v>#REF!</v>
      </c>
      <c r="BC429" t="e">
        <f>AND(#REF!,"AAAAAH95tzY=")</f>
        <v>#REF!</v>
      </c>
      <c r="BD429" t="e">
        <f>AND(#REF!,"AAAAAH95tzc=")</f>
        <v>#REF!</v>
      </c>
      <c r="BE429" t="e">
        <f>AND(#REF!,"AAAAAH95tzg=")</f>
        <v>#REF!</v>
      </c>
      <c r="BF429" t="e">
        <f>AND(#REF!,"AAAAAH95tzk=")</f>
        <v>#REF!</v>
      </c>
      <c r="BG429" t="e">
        <f>AND(#REF!,"AAAAAH95tzo=")</f>
        <v>#REF!</v>
      </c>
      <c r="BH429" t="e">
        <f>AND(#REF!,"AAAAAH95tzs=")</f>
        <v>#REF!</v>
      </c>
      <c r="BI429" t="e">
        <f>AND(#REF!,"AAAAAH95tzw=")</f>
        <v>#REF!</v>
      </c>
      <c r="BJ429" t="e">
        <f>AND(#REF!,"AAAAAH95tz0=")</f>
        <v>#REF!</v>
      </c>
      <c r="BK429" t="e">
        <f>AND(#REF!,"AAAAAH95tz4=")</f>
        <v>#REF!</v>
      </c>
      <c r="BL429" t="e">
        <f>AND(#REF!,"AAAAAH95tz8=")</f>
        <v>#REF!</v>
      </c>
      <c r="BM429" t="e">
        <f>AND(#REF!,"AAAAAH95t0A=")</f>
        <v>#REF!</v>
      </c>
      <c r="BN429" t="e">
        <f>AND(#REF!,"AAAAAH95t0E=")</f>
        <v>#REF!</v>
      </c>
      <c r="BO429" t="e">
        <f>AND(#REF!,"AAAAAH95t0I=")</f>
        <v>#REF!</v>
      </c>
      <c r="BP429" t="e">
        <f>IF(#REF!,"AAAAAH95t0M=",0)</f>
        <v>#REF!</v>
      </c>
      <c r="BQ429" t="e">
        <f>AND(#REF!,"AAAAAH95t0Q=")</f>
        <v>#REF!</v>
      </c>
      <c r="BR429" t="e">
        <f>AND(#REF!,"AAAAAH95t0U=")</f>
        <v>#REF!</v>
      </c>
      <c r="BS429" t="e">
        <f>AND(#REF!,"AAAAAH95t0Y=")</f>
        <v>#REF!</v>
      </c>
      <c r="BT429" t="e">
        <f>AND(#REF!,"AAAAAH95t0c=")</f>
        <v>#REF!</v>
      </c>
      <c r="BU429" t="e">
        <f>AND(#REF!,"AAAAAH95t0g=")</f>
        <v>#REF!</v>
      </c>
      <c r="BV429" t="e">
        <f>AND(#REF!,"AAAAAH95t0k=")</f>
        <v>#REF!</v>
      </c>
      <c r="BW429" t="e">
        <f>AND(#REF!,"AAAAAH95t0o=")</f>
        <v>#REF!</v>
      </c>
      <c r="BX429" t="e">
        <f>AND(#REF!,"AAAAAH95t0s=")</f>
        <v>#REF!</v>
      </c>
      <c r="BY429" t="e">
        <f>AND(#REF!,"AAAAAH95t0w=")</f>
        <v>#REF!</v>
      </c>
      <c r="BZ429" t="e">
        <f>AND(#REF!,"AAAAAH95t00=")</f>
        <v>#REF!</v>
      </c>
      <c r="CA429" t="e">
        <f>AND(#REF!,"AAAAAH95t04=")</f>
        <v>#REF!</v>
      </c>
      <c r="CB429" t="e">
        <f>AND(#REF!,"AAAAAH95t08=")</f>
        <v>#REF!</v>
      </c>
      <c r="CC429" t="e">
        <f>AND(#REF!,"AAAAAH95t1A=")</f>
        <v>#REF!</v>
      </c>
      <c r="CD429" t="e">
        <f>AND(#REF!,"AAAAAH95t1E=")</f>
        <v>#REF!</v>
      </c>
      <c r="CE429" t="e">
        <f>AND(#REF!,"AAAAAH95t1I=")</f>
        <v>#REF!</v>
      </c>
      <c r="CF429" t="e">
        <f>AND(#REF!,"AAAAAH95t1M=")</f>
        <v>#REF!</v>
      </c>
      <c r="CG429" t="e">
        <f>AND(#REF!,"AAAAAH95t1Q=")</f>
        <v>#REF!</v>
      </c>
      <c r="CH429" t="e">
        <f>AND(#REF!,"AAAAAH95t1U=")</f>
        <v>#REF!</v>
      </c>
      <c r="CI429" t="e">
        <f>AND(#REF!,"AAAAAH95t1Y=")</f>
        <v>#REF!</v>
      </c>
      <c r="CJ429" t="e">
        <f>AND(#REF!,"AAAAAH95t1c=")</f>
        <v>#REF!</v>
      </c>
      <c r="CK429" t="e">
        <f>AND(#REF!,"AAAAAH95t1g=")</f>
        <v>#REF!</v>
      </c>
      <c r="CL429" t="e">
        <f>AND(#REF!,"AAAAAH95t1k=")</f>
        <v>#REF!</v>
      </c>
      <c r="CM429" t="e">
        <f>AND(#REF!,"AAAAAH95t1o=")</f>
        <v>#REF!</v>
      </c>
      <c r="CN429" t="e">
        <f>AND(#REF!,"AAAAAH95t1s=")</f>
        <v>#REF!</v>
      </c>
      <c r="CO429" t="e">
        <f>IF(#REF!,"AAAAAH95t1w=",0)</f>
        <v>#REF!</v>
      </c>
      <c r="CP429" t="e">
        <f>AND(#REF!,"AAAAAH95t10=")</f>
        <v>#REF!</v>
      </c>
      <c r="CQ429" t="e">
        <f>AND(#REF!,"AAAAAH95t14=")</f>
        <v>#REF!</v>
      </c>
      <c r="CR429" t="e">
        <f>AND(#REF!,"AAAAAH95t18=")</f>
        <v>#REF!</v>
      </c>
      <c r="CS429" t="e">
        <f>AND(#REF!,"AAAAAH95t2A=")</f>
        <v>#REF!</v>
      </c>
      <c r="CT429" t="e">
        <f>AND(#REF!,"AAAAAH95t2E=")</f>
        <v>#REF!</v>
      </c>
      <c r="CU429" t="e">
        <f>AND(#REF!,"AAAAAH95t2I=")</f>
        <v>#REF!</v>
      </c>
      <c r="CV429" t="e">
        <f>AND(#REF!,"AAAAAH95t2M=")</f>
        <v>#REF!</v>
      </c>
      <c r="CW429" t="e">
        <f>AND(#REF!,"AAAAAH95t2Q=")</f>
        <v>#REF!</v>
      </c>
      <c r="CX429" t="e">
        <f>AND(#REF!,"AAAAAH95t2U=")</f>
        <v>#REF!</v>
      </c>
      <c r="CY429" t="e">
        <f>AND(#REF!,"AAAAAH95t2Y=")</f>
        <v>#REF!</v>
      </c>
      <c r="CZ429" t="e">
        <f>AND(#REF!,"AAAAAH95t2c=")</f>
        <v>#REF!</v>
      </c>
      <c r="DA429" t="e">
        <f>AND(#REF!,"AAAAAH95t2g=")</f>
        <v>#REF!</v>
      </c>
      <c r="DB429" t="e">
        <f>AND(#REF!,"AAAAAH95t2k=")</f>
        <v>#REF!</v>
      </c>
      <c r="DC429" t="e">
        <f>AND(#REF!,"AAAAAH95t2o=")</f>
        <v>#REF!</v>
      </c>
      <c r="DD429" t="e">
        <f>AND(#REF!,"AAAAAH95t2s=")</f>
        <v>#REF!</v>
      </c>
      <c r="DE429" t="e">
        <f>AND(#REF!,"AAAAAH95t2w=")</f>
        <v>#REF!</v>
      </c>
      <c r="DF429" t="e">
        <f>AND(#REF!,"AAAAAH95t20=")</f>
        <v>#REF!</v>
      </c>
      <c r="DG429" t="e">
        <f>AND(#REF!,"AAAAAH95t24=")</f>
        <v>#REF!</v>
      </c>
      <c r="DH429" t="e">
        <f>AND(#REF!,"AAAAAH95t28=")</f>
        <v>#REF!</v>
      </c>
      <c r="DI429" t="e">
        <f>AND(#REF!,"AAAAAH95t3A=")</f>
        <v>#REF!</v>
      </c>
      <c r="DJ429" t="e">
        <f>AND(#REF!,"AAAAAH95t3E=")</f>
        <v>#REF!</v>
      </c>
      <c r="DK429" t="e">
        <f>AND(#REF!,"AAAAAH95t3I=")</f>
        <v>#REF!</v>
      </c>
      <c r="DL429" t="e">
        <f>AND(#REF!,"AAAAAH95t3M=")</f>
        <v>#REF!</v>
      </c>
      <c r="DM429" t="e">
        <f>AND(#REF!,"AAAAAH95t3Q=")</f>
        <v>#REF!</v>
      </c>
      <c r="DN429" t="e">
        <f>IF(#REF!,"AAAAAH95t3U=",0)</f>
        <v>#REF!</v>
      </c>
      <c r="DO429" t="e">
        <f>AND(#REF!,"AAAAAH95t3Y=")</f>
        <v>#REF!</v>
      </c>
      <c r="DP429" t="e">
        <f>AND(#REF!,"AAAAAH95t3c=")</f>
        <v>#REF!</v>
      </c>
      <c r="DQ429" t="e">
        <f>AND(#REF!,"AAAAAH95t3g=")</f>
        <v>#REF!</v>
      </c>
      <c r="DR429" t="e">
        <f>AND(#REF!,"AAAAAH95t3k=")</f>
        <v>#REF!</v>
      </c>
      <c r="DS429" t="e">
        <f>AND(#REF!,"AAAAAH95t3o=")</f>
        <v>#REF!</v>
      </c>
      <c r="DT429" t="e">
        <f>AND(#REF!,"AAAAAH95t3s=")</f>
        <v>#REF!</v>
      </c>
      <c r="DU429" t="e">
        <f>AND(#REF!,"AAAAAH95t3w=")</f>
        <v>#REF!</v>
      </c>
      <c r="DV429" t="e">
        <f>AND(#REF!,"AAAAAH95t30=")</f>
        <v>#REF!</v>
      </c>
      <c r="DW429" t="e">
        <f>AND(#REF!,"AAAAAH95t34=")</f>
        <v>#REF!</v>
      </c>
      <c r="DX429" t="e">
        <f>AND(#REF!,"AAAAAH95t38=")</f>
        <v>#REF!</v>
      </c>
      <c r="DY429" t="e">
        <f>AND(#REF!,"AAAAAH95t4A=")</f>
        <v>#REF!</v>
      </c>
      <c r="DZ429" t="e">
        <f>AND(#REF!,"AAAAAH95t4E=")</f>
        <v>#REF!</v>
      </c>
      <c r="EA429" t="e">
        <f>AND(#REF!,"AAAAAH95t4I=")</f>
        <v>#REF!</v>
      </c>
      <c r="EB429" t="e">
        <f>AND(#REF!,"AAAAAH95t4M=")</f>
        <v>#REF!</v>
      </c>
      <c r="EC429" t="e">
        <f>AND(#REF!,"AAAAAH95t4Q=")</f>
        <v>#REF!</v>
      </c>
      <c r="ED429" t="e">
        <f>AND(#REF!,"AAAAAH95t4U=")</f>
        <v>#REF!</v>
      </c>
      <c r="EE429" t="e">
        <f>AND(#REF!,"AAAAAH95t4Y=")</f>
        <v>#REF!</v>
      </c>
      <c r="EF429" t="e">
        <f>AND(#REF!,"AAAAAH95t4c=")</f>
        <v>#REF!</v>
      </c>
      <c r="EG429" t="e">
        <f>AND(#REF!,"AAAAAH95t4g=")</f>
        <v>#REF!</v>
      </c>
      <c r="EH429" t="e">
        <f>AND(#REF!,"AAAAAH95t4k=")</f>
        <v>#REF!</v>
      </c>
      <c r="EI429" t="e">
        <f>AND(#REF!,"AAAAAH95t4o=")</f>
        <v>#REF!</v>
      </c>
      <c r="EJ429" t="e">
        <f>AND(#REF!,"AAAAAH95t4s=")</f>
        <v>#REF!</v>
      </c>
      <c r="EK429" t="e">
        <f>AND(#REF!,"AAAAAH95t4w=")</f>
        <v>#REF!</v>
      </c>
      <c r="EL429" t="e">
        <f>AND(#REF!,"AAAAAH95t40=")</f>
        <v>#REF!</v>
      </c>
      <c r="EM429" t="e">
        <f>IF(#REF!,"AAAAAH95t44=",0)</f>
        <v>#REF!</v>
      </c>
      <c r="EN429" t="e">
        <f>AND(#REF!,"AAAAAH95t48=")</f>
        <v>#REF!</v>
      </c>
      <c r="EO429" t="e">
        <f>AND(#REF!,"AAAAAH95t5A=")</f>
        <v>#REF!</v>
      </c>
      <c r="EP429" t="e">
        <f>AND(#REF!,"AAAAAH95t5E=")</f>
        <v>#REF!</v>
      </c>
      <c r="EQ429" t="e">
        <f>AND(#REF!,"AAAAAH95t5I=")</f>
        <v>#REF!</v>
      </c>
      <c r="ER429" t="e">
        <f>AND(#REF!,"AAAAAH95t5M=")</f>
        <v>#REF!</v>
      </c>
      <c r="ES429" t="e">
        <f>AND(#REF!,"AAAAAH95t5Q=")</f>
        <v>#REF!</v>
      </c>
      <c r="ET429" t="e">
        <f>AND(#REF!,"AAAAAH95t5U=")</f>
        <v>#REF!</v>
      </c>
      <c r="EU429" t="e">
        <f>AND(#REF!,"AAAAAH95t5Y=")</f>
        <v>#REF!</v>
      </c>
      <c r="EV429" t="e">
        <f>AND(#REF!,"AAAAAH95t5c=")</f>
        <v>#REF!</v>
      </c>
      <c r="EW429" t="e">
        <f>AND(#REF!,"AAAAAH95t5g=")</f>
        <v>#REF!</v>
      </c>
      <c r="EX429" t="e">
        <f>AND(#REF!,"AAAAAH95t5k=")</f>
        <v>#REF!</v>
      </c>
      <c r="EY429" t="e">
        <f>AND(#REF!,"AAAAAH95t5o=")</f>
        <v>#REF!</v>
      </c>
      <c r="EZ429" t="e">
        <f>AND(#REF!,"AAAAAH95t5s=")</f>
        <v>#REF!</v>
      </c>
      <c r="FA429" t="e">
        <f>AND(#REF!,"AAAAAH95t5w=")</f>
        <v>#REF!</v>
      </c>
      <c r="FB429" t="e">
        <f>AND(#REF!,"AAAAAH95t50=")</f>
        <v>#REF!</v>
      </c>
      <c r="FC429" t="e">
        <f>AND(#REF!,"AAAAAH95t54=")</f>
        <v>#REF!</v>
      </c>
      <c r="FD429" t="e">
        <f>AND(#REF!,"AAAAAH95t58=")</f>
        <v>#REF!</v>
      </c>
      <c r="FE429" t="e">
        <f>AND(#REF!,"AAAAAH95t6A=")</f>
        <v>#REF!</v>
      </c>
      <c r="FF429" t="e">
        <f>AND(#REF!,"AAAAAH95t6E=")</f>
        <v>#REF!</v>
      </c>
      <c r="FG429" t="e">
        <f>AND(#REF!,"AAAAAH95t6I=")</f>
        <v>#REF!</v>
      </c>
      <c r="FH429" t="e">
        <f>AND(#REF!,"AAAAAH95t6M=")</f>
        <v>#REF!</v>
      </c>
      <c r="FI429" t="e">
        <f>AND(#REF!,"AAAAAH95t6Q=")</f>
        <v>#REF!</v>
      </c>
      <c r="FJ429" t="e">
        <f>AND(#REF!,"AAAAAH95t6U=")</f>
        <v>#REF!</v>
      </c>
      <c r="FK429" t="e">
        <f>AND(#REF!,"AAAAAH95t6Y=")</f>
        <v>#REF!</v>
      </c>
      <c r="FL429" t="e">
        <f>IF(#REF!,"AAAAAH95t6c=",0)</f>
        <v>#REF!</v>
      </c>
      <c r="FM429" t="e">
        <f>AND(#REF!,"AAAAAH95t6g=")</f>
        <v>#REF!</v>
      </c>
      <c r="FN429" t="e">
        <f>AND(#REF!,"AAAAAH95t6k=")</f>
        <v>#REF!</v>
      </c>
      <c r="FO429" t="e">
        <f>AND(#REF!,"AAAAAH95t6o=")</f>
        <v>#REF!</v>
      </c>
      <c r="FP429" t="e">
        <f>AND(#REF!,"AAAAAH95t6s=")</f>
        <v>#REF!</v>
      </c>
      <c r="FQ429" t="e">
        <f>AND(#REF!,"AAAAAH95t6w=")</f>
        <v>#REF!</v>
      </c>
      <c r="FR429" t="e">
        <f>AND(#REF!,"AAAAAH95t60=")</f>
        <v>#REF!</v>
      </c>
      <c r="FS429" t="e">
        <f>AND(#REF!,"AAAAAH95t64=")</f>
        <v>#REF!</v>
      </c>
      <c r="FT429" t="e">
        <f>AND(#REF!,"AAAAAH95t68=")</f>
        <v>#REF!</v>
      </c>
      <c r="FU429" t="e">
        <f>AND(#REF!,"AAAAAH95t7A=")</f>
        <v>#REF!</v>
      </c>
      <c r="FV429" t="e">
        <f>AND(#REF!,"AAAAAH95t7E=")</f>
        <v>#REF!</v>
      </c>
      <c r="FW429" t="e">
        <f>AND(#REF!,"AAAAAH95t7I=")</f>
        <v>#REF!</v>
      </c>
      <c r="FX429" t="e">
        <f>AND(#REF!,"AAAAAH95t7M=")</f>
        <v>#REF!</v>
      </c>
      <c r="FY429" t="e">
        <f>AND(#REF!,"AAAAAH95t7Q=")</f>
        <v>#REF!</v>
      </c>
      <c r="FZ429" t="e">
        <f>AND(#REF!,"AAAAAH95t7U=")</f>
        <v>#REF!</v>
      </c>
      <c r="GA429" t="e">
        <f>AND(#REF!,"AAAAAH95t7Y=")</f>
        <v>#REF!</v>
      </c>
      <c r="GB429" t="e">
        <f>AND(#REF!,"AAAAAH95t7c=")</f>
        <v>#REF!</v>
      </c>
      <c r="GC429" t="e">
        <f>AND(#REF!,"AAAAAH95t7g=")</f>
        <v>#REF!</v>
      </c>
      <c r="GD429" t="e">
        <f>AND(#REF!,"AAAAAH95t7k=")</f>
        <v>#REF!</v>
      </c>
      <c r="GE429" t="e">
        <f>AND(#REF!,"AAAAAH95t7o=")</f>
        <v>#REF!</v>
      </c>
      <c r="GF429" t="e">
        <f>AND(#REF!,"AAAAAH95t7s=")</f>
        <v>#REF!</v>
      </c>
      <c r="GG429" t="e">
        <f>AND(#REF!,"AAAAAH95t7w=")</f>
        <v>#REF!</v>
      </c>
      <c r="GH429" t="e">
        <f>AND(#REF!,"AAAAAH95t70=")</f>
        <v>#REF!</v>
      </c>
      <c r="GI429" t="e">
        <f>AND(#REF!,"AAAAAH95t74=")</f>
        <v>#REF!</v>
      </c>
      <c r="GJ429" t="e">
        <f>AND(#REF!,"AAAAAH95t78=")</f>
        <v>#REF!</v>
      </c>
      <c r="GK429" t="e">
        <f>IF(#REF!,"AAAAAH95t8A=",0)</f>
        <v>#REF!</v>
      </c>
      <c r="GL429" t="e">
        <f>AND(#REF!,"AAAAAH95t8E=")</f>
        <v>#REF!</v>
      </c>
      <c r="GM429" t="e">
        <f>AND(#REF!,"AAAAAH95t8I=")</f>
        <v>#REF!</v>
      </c>
      <c r="GN429" t="e">
        <f>AND(#REF!,"AAAAAH95t8M=")</f>
        <v>#REF!</v>
      </c>
      <c r="GO429" t="e">
        <f>AND(#REF!,"AAAAAH95t8Q=")</f>
        <v>#REF!</v>
      </c>
      <c r="GP429" t="e">
        <f>AND(#REF!,"AAAAAH95t8U=")</f>
        <v>#REF!</v>
      </c>
      <c r="GQ429" t="e">
        <f>AND(#REF!,"AAAAAH95t8Y=")</f>
        <v>#REF!</v>
      </c>
      <c r="GR429" t="e">
        <f>AND(#REF!,"AAAAAH95t8c=")</f>
        <v>#REF!</v>
      </c>
      <c r="GS429" t="e">
        <f>AND(#REF!,"AAAAAH95t8g=")</f>
        <v>#REF!</v>
      </c>
      <c r="GT429" t="e">
        <f>AND(#REF!,"AAAAAH95t8k=")</f>
        <v>#REF!</v>
      </c>
      <c r="GU429" t="e">
        <f>AND(#REF!,"AAAAAH95t8o=")</f>
        <v>#REF!</v>
      </c>
      <c r="GV429" t="e">
        <f>AND(#REF!,"AAAAAH95t8s=")</f>
        <v>#REF!</v>
      </c>
      <c r="GW429" t="e">
        <f>AND(#REF!,"AAAAAH95t8w=")</f>
        <v>#REF!</v>
      </c>
      <c r="GX429" t="e">
        <f>AND(#REF!,"AAAAAH95t80=")</f>
        <v>#REF!</v>
      </c>
      <c r="GY429" t="e">
        <f>AND(#REF!,"AAAAAH95t84=")</f>
        <v>#REF!</v>
      </c>
      <c r="GZ429" t="e">
        <f>AND(#REF!,"AAAAAH95t88=")</f>
        <v>#REF!</v>
      </c>
      <c r="HA429" t="e">
        <f>AND(#REF!,"AAAAAH95t9A=")</f>
        <v>#REF!</v>
      </c>
      <c r="HB429" t="e">
        <f>AND(#REF!,"AAAAAH95t9E=")</f>
        <v>#REF!</v>
      </c>
      <c r="HC429" t="e">
        <f>AND(#REF!,"AAAAAH95t9I=")</f>
        <v>#REF!</v>
      </c>
      <c r="HD429" t="e">
        <f>AND(#REF!,"AAAAAH95t9M=")</f>
        <v>#REF!</v>
      </c>
      <c r="HE429" t="e">
        <f>AND(#REF!,"AAAAAH95t9Q=")</f>
        <v>#REF!</v>
      </c>
      <c r="HF429" t="e">
        <f>AND(#REF!,"AAAAAH95t9U=")</f>
        <v>#REF!</v>
      </c>
      <c r="HG429" t="e">
        <f>AND(#REF!,"AAAAAH95t9Y=")</f>
        <v>#REF!</v>
      </c>
      <c r="HH429" t="e">
        <f>AND(#REF!,"AAAAAH95t9c=")</f>
        <v>#REF!</v>
      </c>
      <c r="HI429" t="e">
        <f>AND(#REF!,"AAAAAH95t9g=")</f>
        <v>#REF!</v>
      </c>
      <c r="HJ429" t="e">
        <f>IF(#REF!,"AAAAAH95t9k=",0)</f>
        <v>#REF!</v>
      </c>
      <c r="HK429" t="e">
        <f>AND(#REF!,"AAAAAH95t9o=")</f>
        <v>#REF!</v>
      </c>
      <c r="HL429" t="e">
        <f>AND(#REF!,"AAAAAH95t9s=")</f>
        <v>#REF!</v>
      </c>
      <c r="HM429" t="e">
        <f>AND(#REF!,"AAAAAH95t9w=")</f>
        <v>#REF!</v>
      </c>
      <c r="HN429" t="e">
        <f>AND(#REF!,"AAAAAH95t90=")</f>
        <v>#REF!</v>
      </c>
      <c r="HO429" t="e">
        <f>AND(#REF!,"AAAAAH95t94=")</f>
        <v>#REF!</v>
      </c>
      <c r="HP429" t="e">
        <f>AND(#REF!,"AAAAAH95t98=")</f>
        <v>#REF!</v>
      </c>
      <c r="HQ429" t="e">
        <f>AND(#REF!,"AAAAAH95t+A=")</f>
        <v>#REF!</v>
      </c>
      <c r="HR429" t="e">
        <f>AND(#REF!,"AAAAAH95t+E=")</f>
        <v>#REF!</v>
      </c>
      <c r="HS429" t="e">
        <f>AND(#REF!,"AAAAAH95t+I=")</f>
        <v>#REF!</v>
      </c>
      <c r="HT429" t="e">
        <f>AND(#REF!,"AAAAAH95t+M=")</f>
        <v>#REF!</v>
      </c>
      <c r="HU429" t="e">
        <f>AND(#REF!,"AAAAAH95t+Q=")</f>
        <v>#REF!</v>
      </c>
      <c r="HV429" t="e">
        <f>AND(#REF!,"AAAAAH95t+U=")</f>
        <v>#REF!</v>
      </c>
      <c r="HW429" t="e">
        <f>AND(#REF!,"AAAAAH95t+Y=")</f>
        <v>#REF!</v>
      </c>
      <c r="HX429" t="e">
        <f>AND(#REF!,"AAAAAH95t+c=")</f>
        <v>#REF!</v>
      </c>
      <c r="HY429" t="e">
        <f>AND(#REF!,"AAAAAH95t+g=")</f>
        <v>#REF!</v>
      </c>
      <c r="HZ429" t="e">
        <f>AND(#REF!,"AAAAAH95t+k=")</f>
        <v>#REF!</v>
      </c>
      <c r="IA429" t="e">
        <f>AND(#REF!,"AAAAAH95t+o=")</f>
        <v>#REF!</v>
      </c>
      <c r="IB429" t="e">
        <f>AND(#REF!,"AAAAAH95t+s=")</f>
        <v>#REF!</v>
      </c>
      <c r="IC429" t="e">
        <f>AND(#REF!,"AAAAAH95t+w=")</f>
        <v>#REF!</v>
      </c>
      <c r="ID429" t="e">
        <f>AND(#REF!,"AAAAAH95t+0=")</f>
        <v>#REF!</v>
      </c>
      <c r="IE429" t="e">
        <f>AND(#REF!,"AAAAAH95t+4=")</f>
        <v>#REF!</v>
      </c>
      <c r="IF429" t="e">
        <f>AND(#REF!,"AAAAAH95t+8=")</f>
        <v>#REF!</v>
      </c>
      <c r="IG429" t="e">
        <f>AND(#REF!,"AAAAAH95t/A=")</f>
        <v>#REF!</v>
      </c>
      <c r="IH429" t="e">
        <f>AND(#REF!,"AAAAAH95t/E=")</f>
        <v>#REF!</v>
      </c>
      <c r="II429" t="e">
        <f>IF(#REF!,"AAAAAH95t/I=",0)</f>
        <v>#REF!</v>
      </c>
      <c r="IJ429" t="e">
        <f>AND(#REF!,"AAAAAH95t/M=")</f>
        <v>#REF!</v>
      </c>
      <c r="IK429" t="e">
        <f>AND(#REF!,"AAAAAH95t/Q=")</f>
        <v>#REF!</v>
      </c>
      <c r="IL429" t="e">
        <f>AND(#REF!,"AAAAAH95t/U=")</f>
        <v>#REF!</v>
      </c>
      <c r="IM429" t="e">
        <f>AND(#REF!,"AAAAAH95t/Y=")</f>
        <v>#REF!</v>
      </c>
      <c r="IN429" t="e">
        <f>AND(#REF!,"AAAAAH95t/c=")</f>
        <v>#REF!</v>
      </c>
      <c r="IO429" t="e">
        <f>AND(#REF!,"AAAAAH95t/g=")</f>
        <v>#REF!</v>
      </c>
      <c r="IP429" t="e">
        <f>AND(#REF!,"AAAAAH95t/k=")</f>
        <v>#REF!</v>
      </c>
      <c r="IQ429" t="e">
        <f>AND(#REF!,"AAAAAH95t/o=")</f>
        <v>#REF!</v>
      </c>
      <c r="IR429" t="e">
        <f>AND(#REF!,"AAAAAH95t/s=")</f>
        <v>#REF!</v>
      </c>
      <c r="IS429" t="e">
        <f>AND(#REF!,"AAAAAH95t/w=")</f>
        <v>#REF!</v>
      </c>
      <c r="IT429" t="e">
        <f>AND(#REF!,"AAAAAH95t/0=")</f>
        <v>#REF!</v>
      </c>
      <c r="IU429" t="e">
        <f>AND(#REF!,"AAAAAH95t/4=")</f>
        <v>#REF!</v>
      </c>
      <c r="IV429" t="e">
        <f>AND(#REF!,"AAAAAH95t/8=")</f>
        <v>#REF!</v>
      </c>
    </row>
    <row r="430" spans="1:256">
      <c r="A430" t="e">
        <f>AND(#REF!,"AAAAAF9rXgA=")</f>
        <v>#REF!</v>
      </c>
      <c r="B430" t="e">
        <f>AND(#REF!,"AAAAAF9rXgE=")</f>
        <v>#REF!</v>
      </c>
      <c r="C430" t="e">
        <f>AND(#REF!,"AAAAAF9rXgI=")</f>
        <v>#REF!</v>
      </c>
      <c r="D430" t="e">
        <f>AND(#REF!,"AAAAAF9rXgM=")</f>
        <v>#REF!</v>
      </c>
      <c r="E430" t="e">
        <f>AND(#REF!,"AAAAAF9rXgQ=")</f>
        <v>#REF!</v>
      </c>
      <c r="F430" t="e">
        <f>AND(#REF!,"AAAAAF9rXgU=")</f>
        <v>#REF!</v>
      </c>
      <c r="G430" t="e">
        <f>AND(#REF!,"AAAAAF9rXgY=")</f>
        <v>#REF!</v>
      </c>
      <c r="H430" t="e">
        <f>AND(#REF!,"AAAAAF9rXgc=")</f>
        <v>#REF!</v>
      </c>
      <c r="I430" t="e">
        <f>AND(#REF!,"AAAAAF9rXgg=")</f>
        <v>#REF!</v>
      </c>
      <c r="J430" t="e">
        <f>AND(#REF!,"AAAAAF9rXgk=")</f>
        <v>#REF!</v>
      </c>
      <c r="K430" t="e">
        <f>AND(#REF!,"AAAAAF9rXgo=")</f>
        <v>#REF!</v>
      </c>
      <c r="L430" t="e">
        <f>IF(#REF!,"AAAAAF9rXgs=",0)</f>
        <v>#REF!</v>
      </c>
      <c r="M430" t="e">
        <f>AND(#REF!,"AAAAAF9rXgw=")</f>
        <v>#REF!</v>
      </c>
      <c r="N430" t="e">
        <f>AND(#REF!,"AAAAAF9rXg0=")</f>
        <v>#REF!</v>
      </c>
      <c r="O430" t="e">
        <f>AND(#REF!,"AAAAAF9rXg4=")</f>
        <v>#REF!</v>
      </c>
      <c r="P430" t="e">
        <f>AND(#REF!,"AAAAAF9rXg8=")</f>
        <v>#REF!</v>
      </c>
      <c r="Q430" t="e">
        <f>AND(#REF!,"AAAAAF9rXhA=")</f>
        <v>#REF!</v>
      </c>
      <c r="R430" t="e">
        <f>AND(#REF!,"AAAAAF9rXhE=")</f>
        <v>#REF!</v>
      </c>
      <c r="S430" t="e">
        <f>AND(#REF!,"AAAAAF9rXhI=")</f>
        <v>#REF!</v>
      </c>
      <c r="T430" t="e">
        <f>AND(#REF!,"AAAAAF9rXhM=")</f>
        <v>#REF!</v>
      </c>
      <c r="U430" t="e">
        <f>AND(#REF!,"AAAAAF9rXhQ=")</f>
        <v>#REF!</v>
      </c>
      <c r="V430" t="e">
        <f>AND(#REF!,"AAAAAF9rXhU=")</f>
        <v>#REF!</v>
      </c>
      <c r="W430" t="e">
        <f>AND(#REF!,"AAAAAF9rXhY=")</f>
        <v>#REF!</v>
      </c>
      <c r="X430" t="e">
        <f>AND(#REF!,"AAAAAF9rXhc=")</f>
        <v>#REF!</v>
      </c>
      <c r="Y430" t="e">
        <f>AND(#REF!,"AAAAAF9rXhg=")</f>
        <v>#REF!</v>
      </c>
      <c r="Z430" t="e">
        <f>AND(#REF!,"AAAAAF9rXhk=")</f>
        <v>#REF!</v>
      </c>
      <c r="AA430" t="e">
        <f>AND(#REF!,"AAAAAF9rXho=")</f>
        <v>#REF!</v>
      </c>
      <c r="AB430" t="e">
        <f>AND(#REF!,"AAAAAF9rXhs=")</f>
        <v>#REF!</v>
      </c>
      <c r="AC430" t="e">
        <f>AND(#REF!,"AAAAAF9rXhw=")</f>
        <v>#REF!</v>
      </c>
      <c r="AD430" t="e">
        <f>AND(#REF!,"AAAAAF9rXh0=")</f>
        <v>#REF!</v>
      </c>
      <c r="AE430" t="e">
        <f>AND(#REF!,"AAAAAF9rXh4=")</f>
        <v>#REF!</v>
      </c>
      <c r="AF430" t="e">
        <f>AND(#REF!,"AAAAAF9rXh8=")</f>
        <v>#REF!</v>
      </c>
      <c r="AG430" t="e">
        <f>AND(#REF!,"AAAAAF9rXiA=")</f>
        <v>#REF!</v>
      </c>
      <c r="AH430" t="e">
        <f>AND(#REF!,"AAAAAF9rXiE=")</f>
        <v>#REF!</v>
      </c>
      <c r="AI430" t="e">
        <f>AND(#REF!,"AAAAAF9rXiI=")</f>
        <v>#REF!</v>
      </c>
      <c r="AJ430" t="e">
        <f>AND(#REF!,"AAAAAF9rXiM=")</f>
        <v>#REF!</v>
      </c>
      <c r="AK430" t="e">
        <f>IF(#REF!,"AAAAAF9rXiQ=",0)</f>
        <v>#REF!</v>
      </c>
      <c r="AL430" t="e">
        <f>AND(#REF!,"AAAAAF9rXiU=")</f>
        <v>#REF!</v>
      </c>
      <c r="AM430" t="e">
        <f>AND(#REF!,"AAAAAF9rXiY=")</f>
        <v>#REF!</v>
      </c>
      <c r="AN430" t="e">
        <f>AND(#REF!,"AAAAAF9rXic=")</f>
        <v>#REF!</v>
      </c>
      <c r="AO430" t="e">
        <f>AND(#REF!,"AAAAAF9rXig=")</f>
        <v>#REF!</v>
      </c>
      <c r="AP430" t="e">
        <f>AND(#REF!,"AAAAAF9rXik=")</f>
        <v>#REF!</v>
      </c>
      <c r="AQ430" t="e">
        <f>AND(#REF!,"AAAAAF9rXio=")</f>
        <v>#REF!</v>
      </c>
      <c r="AR430" t="e">
        <f>AND(#REF!,"AAAAAF9rXis=")</f>
        <v>#REF!</v>
      </c>
      <c r="AS430" t="e">
        <f>AND(#REF!,"AAAAAF9rXiw=")</f>
        <v>#REF!</v>
      </c>
      <c r="AT430" t="e">
        <f>AND(#REF!,"AAAAAF9rXi0=")</f>
        <v>#REF!</v>
      </c>
      <c r="AU430" t="e">
        <f>AND(#REF!,"AAAAAF9rXi4=")</f>
        <v>#REF!</v>
      </c>
      <c r="AV430" t="e">
        <f>AND(#REF!,"AAAAAF9rXi8=")</f>
        <v>#REF!</v>
      </c>
      <c r="AW430" t="e">
        <f>AND(#REF!,"AAAAAF9rXjA=")</f>
        <v>#REF!</v>
      </c>
      <c r="AX430" t="e">
        <f>AND(#REF!,"AAAAAF9rXjE=")</f>
        <v>#REF!</v>
      </c>
      <c r="AY430" t="e">
        <f>AND(#REF!,"AAAAAF9rXjI=")</f>
        <v>#REF!</v>
      </c>
      <c r="AZ430" t="e">
        <f>AND(#REF!,"AAAAAF9rXjM=")</f>
        <v>#REF!</v>
      </c>
      <c r="BA430" t="e">
        <f>AND(#REF!,"AAAAAF9rXjQ=")</f>
        <v>#REF!</v>
      </c>
      <c r="BB430" t="e">
        <f>AND(#REF!,"AAAAAF9rXjU=")</f>
        <v>#REF!</v>
      </c>
      <c r="BC430" t="e">
        <f>AND(#REF!,"AAAAAF9rXjY=")</f>
        <v>#REF!</v>
      </c>
      <c r="BD430" t="e">
        <f>AND(#REF!,"AAAAAF9rXjc=")</f>
        <v>#REF!</v>
      </c>
      <c r="BE430" t="e">
        <f>AND(#REF!,"AAAAAF9rXjg=")</f>
        <v>#REF!</v>
      </c>
      <c r="BF430" t="e">
        <f>AND(#REF!,"AAAAAF9rXjk=")</f>
        <v>#REF!</v>
      </c>
      <c r="BG430" t="e">
        <f>AND(#REF!,"AAAAAF9rXjo=")</f>
        <v>#REF!</v>
      </c>
      <c r="BH430" t="e">
        <f>AND(#REF!,"AAAAAF9rXjs=")</f>
        <v>#REF!</v>
      </c>
      <c r="BI430" t="e">
        <f>AND(#REF!,"AAAAAF9rXjw=")</f>
        <v>#REF!</v>
      </c>
      <c r="BJ430" t="e">
        <f>IF(#REF!,"AAAAAF9rXj0=",0)</f>
        <v>#REF!</v>
      </c>
      <c r="BK430" t="e">
        <f>AND(#REF!,"AAAAAF9rXj4=")</f>
        <v>#REF!</v>
      </c>
      <c r="BL430" t="e">
        <f>AND(#REF!,"AAAAAF9rXj8=")</f>
        <v>#REF!</v>
      </c>
      <c r="BM430" t="e">
        <f>AND(#REF!,"AAAAAF9rXkA=")</f>
        <v>#REF!</v>
      </c>
      <c r="BN430" t="e">
        <f>AND(#REF!,"AAAAAF9rXkE=")</f>
        <v>#REF!</v>
      </c>
      <c r="BO430" t="e">
        <f>AND(#REF!,"AAAAAF9rXkI=")</f>
        <v>#REF!</v>
      </c>
      <c r="BP430" t="e">
        <f>AND(#REF!,"AAAAAF9rXkM=")</f>
        <v>#REF!</v>
      </c>
      <c r="BQ430" t="e">
        <f>AND(#REF!,"AAAAAF9rXkQ=")</f>
        <v>#REF!</v>
      </c>
      <c r="BR430" t="e">
        <f>AND(#REF!,"AAAAAF9rXkU=")</f>
        <v>#REF!</v>
      </c>
      <c r="BS430" t="e">
        <f>AND(#REF!,"AAAAAF9rXkY=")</f>
        <v>#REF!</v>
      </c>
      <c r="BT430" t="e">
        <f>AND(#REF!,"AAAAAF9rXkc=")</f>
        <v>#REF!</v>
      </c>
      <c r="BU430" t="e">
        <f>AND(#REF!,"AAAAAF9rXkg=")</f>
        <v>#REF!</v>
      </c>
      <c r="BV430" t="e">
        <f>AND(#REF!,"AAAAAF9rXkk=")</f>
        <v>#REF!</v>
      </c>
      <c r="BW430" t="e">
        <f>AND(#REF!,"AAAAAF9rXko=")</f>
        <v>#REF!</v>
      </c>
      <c r="BX430" t="e">
        <f>AND(#REF!,"AAAAAF9rXks=")</f>
        <v>#REF!</v>
      </c>
      <c r="BY430" t="e">
        <f>AND(#REF!,"AAAAAF9rXkw=")</f>
        <v>#REF!</v>
      </c>
      <c r="BZ430" t="e">
        <f>AND(#REF!,"AAAAAF9rXk0=")</f>
        <v>#REF!</v>
      </c>
      <c r="CA430" t="e">
        <f>AND(#REF!,"AAAAAF9rXk4=")</f>
        <v>#REF!</v>
      </c>
      <c r="CB430" t="e">
        <f>AND(#REF!,"AAAAAF9rXk8=")</f>
        <v>#REF!</v>
      </c>
      <c r="CC430" t="e">
        <f>AND(#REF!,"AAAAAF9rXlA=")</f>
        <v>#REF!</v>
      </c>
      <c r="CD430" t="e">
        <f>AND(#REF!,"AAAAAF9rXlE=")</f>
        <v>#REF!</v>
      </c>
      <c r="CE430" t="e">
        <f>AND(#REF!,"AAAAAF9rXlI=")</f>
        <v>#REF!</v>
      </c>
      <c r="CF430" t="e">
        <f>AND(#REF!,"AAAAAF9rXlM=")</f>
        <v>#REF!</v>
      </c>
      <c r="CG430" t="e">
        <f>AND(#REF!,"AAAAAF9rXlQ=")</f>
        <v>#REF!</v>
      </c>
      <c r="CH430" t="e">
        <f>AND(#REF!,"AAAAAF9rXlU=")</f>
        <v>#REF!</v>
      </c>
      <c r="CI430" t="e">
        <f>IF(#REF!,"AAAAAF9rXlY=",0)</f>
        <v>#REF!</v>
      </c>
      <c r="CJ430" t="e">
        <f>AND(#REF!,"AAAAAF9rXlc=")</f>
        <v>#REF!</v>
      </c>
      <c r="CK430" t="e">
        <f>AND(#REF!,"AAAAAF9rXlg=")</f>
        <v>#REF!</v>
      </c>
      <c r="CL430" t="e">
        <f>AND(#REF!,"AAAAAF9rXlk=")</f>
        <v>#REF!</v>
      </c>
      <c r="CM430" t="e">
        <f>AND(#REF!,"AAAAAF9rXlo=")</f>
        <v>#REF!</v>
      </c>
      <c r="CN430" t="e">
        <f>AND(#REF!,"AAAAAF9rXls=")</f>
        <v>#REF!</v>
      </c>
      <c r="CO430" t="e">
        <f>AND(#REF!,"AAAAAF9rXlw=")</f>
        <v>#REF!</v>
      </c>
      <c r="CP430" t="e">
        <f>AND(#REF!,"AAAAAF9rXl0=")</f>
        <v>#REF!</v>
      </c>
      <c r="CQ430" t="e">
        <f>AND(#REF!,"AAAAAF9rXl4=")</f>
        <v>#REF!</v>
      </c>
      <c r="CR430" t="e">
        <f>AND(#REF!,"AAAAAF9rXl8=")</f>
        <v>#REF!</v>
      </c>
      <c r="CS430" t="e">
        <f>AND(#REF!,"AAAAAF9rXmA=")</f>
        <v>#REF!</v>
      </c>
      <c r="CT430" t="e">
        <f>AND(#REF!,"AAAAAF9rXmE=")</f>
        <v>#REF!</v>
      </c>
      <c r="CU430" t="e">
        <f>AND(#REF!,"AAAAAF9rXmI=")</f>
        <v>#REF!</v>
      </c>
      <c r="CV430" t="e">
        <f>AND(#REF!,"AAAAAF9rXmM=")</f>
        <v>#REF!</v>
      </c>
      <c r="CW430" t="e">
        <f>AND(#REF!,"AAAAAF9rXmQ=")</f>
        <v>#REF!</v>
      </c>
      <c r="CX430" t="e">
        <f>AND(#REF!,"AAAAAF9rXmU=")</f>
        <v>#REF!</v>
      </c>
      <c r="CY430" t="e">
        <f>AND(#REF!,"AAAAAF9rXmY=")</f>
        <v>#REF!</v>
      </c>
      <c r="CZ430" t="e">
        <f>AND(#REF!,"AAAAAF9rXmc=")</f>
        <v>#REF!</v>
      </c>
      <c r="DA430" t="e">
        <f>AND(#REF!,"AAAAAF9rXmg=")</f>
        <v>#REF!</v>
      </c>
      <c r="DB430" t="e">
        <f>AND(#REF!,"AAAAAF9rXmk=")</f>
        <v>#REF!</v>
      </c>
      <c r="DC430" t="e">
        <f>AND(#REF!,"AAAAAF9rXmo=")</f>
        <v>#REF!</v>
      </c>
      <c r="DD430" t="e">
        <f>AND(#REF!,"AAAAAF9rXms=")</f>
        <v>#REF!</v>
      </c>
      <c r="DE430" t="e">
        <f>AND(#REF!,"AAAAAF9rXmw=")</f>
        <v>#REF!</v>
      </c>
      <c r="DF430" t="e">
        <f>AND(#REF!,"AAAAAF9rXm0=")</f>
        <v>#REF!</v>
      </c>
      <c r="DG430" t="e">
        <f>AND(#REF!,"AAAAAF9rXm4=")</f>
        <v>#REF!</v>
      </c>
      <c r="DH430" t="e">
        <f>IF(#REF!,"AAAAAF9rXm8=",0)</f>
        <v>#REF!</v>
      </c>
      <c r="DI430" t="e">
        <f>AND(#REF!,"AAAAAF9rXnA=")</f>
        <v>#REF!</v>
      </c>
      <c r="DJ430" t="e">
        <f>AND(#REF!,"AAAAAF9rXnE=")</f>
        <v>#REF!</v>
      </c>
      <c r="DK430" t="e">
        <f>AND(#REF!,"AAAAAF9rXnI=")</f>
        <v>#REF!</v>
      </c>
      <c r="DL430" t="e">
        <f>AND(#REF!,"AAAAAF9rXnM=")</f>
        <v>#REF!</v>
      </c>
      <c r="DM430" t="e">
        <f>AND(#REF!,"AAAAAF9rXnQ=")</f>
        <v>#REF!</v>
      </c>
      <c r="DN430" t="e">
        <f>AND(#REF!,"AAAAAF9rXnU=")</f>
        <v>#REF!</v>
      </c>
      <c r="DO430" t="e">
        <f>AND(#REF!,"AAAAAF9rXnY=")</f>
        <v>#REF!</v>
      </c>
      <c r="DP430" t="e">
        <f>AND(#REF!,"AAAAAF9rXnc=")</f>
        <v>#REF!</v>
      </c>
      <c r="DQ430" t="e">
        <f>AND(#REF!,"AAAAAF9rXng=")</f>
        <v>#REF!</v>
      </c>
      <c r="DR430" t="e">
        <f>AND(#REF!,"AAAAAF9rXnk=")</f>
        <v>#REF!</v>
      </c>
      <c r="DS430" t="e">
        <f>AND(#REF!,"AAAAAF9rXno=")</f>
        <v>#REF!</v>
      </c>
      <c r="DT430" t="e">
        <f>AND(#REF!,"AAAAAF9rXns=")</f>
        <v>#REF!</v>
      </c>
      <c r="DU430" t="e">
        <f>AND(#REF!,"AAAAAF9rXnw=")</f>
        <v>#REF!</v>
      </c>
      <c r="DV430" t="e">
        <f>AND(#REF!,"AAAAAF9rXn0=")</f>
        <v>#REF!</v>
      </c>
      <c r="DW430" t="e">
        <f>AND(#REF!,"AAAAAF9rXn4=")</f>
        <v>#REF!</v>
      </c>
      <c r="DX430" t="e">
        <f>AND(#REF!,"AAAAAF9rXn8=")</f>
        <v>#REF!</v>
      </c>
      <c r="DY430" t="e">
        <f>AND(#REF!,"AAAAAF9rXoA=")</f>
        <v>#REF!</v>
      </c>
      <c r="DZ430" t="e">
        <f>AND(#REF!,"AAAAAF9rXoE=")</f>
        <v>#REF!</v>
      </c>
      <c r="EA430" t="e">
        <f>AND(#REF!,"AAAAAF9rXoI=")</f>
        <v>#REF!</v>
      </c>
      <c r="EB430" t="e">
        <f>AND(#REF!,"AAAAAF9rXoM=")</f>
        <v>#REF!</v>
      </c>
      <c r="EC430" t="e">
        <f>AND(#REF!,"AAAAAF9rXoQ=")</f>
        <v>#REF!</v>
      </c>
      <c r="ED430" t="e">
        <f>AND(#REF!,"AAAAAF9rXoU=")</f>
        <v>#REF!</v>
      </c>
      <c r="EE430" t="e">
        <f>AND(#REF!,"AAAAAF9rXoY=")</f>
        <v>#REF!</v>
      </c>
      <c r="EF430" t="e">
        <f>AND(#REF!,"AAAAAF9rXoc=")</f>
        <v>#REF!</v>
      </c>
      <c r="EG430" t="e">
        <f>IF(#REF!,"AAAAAF9rXog=",0)</f>
        <v>#REF!</v>
      </c>
      <c r="EH430" t="e">
        <f>AND(#REF!,"AAAAAF9rXok=")</f>
        <v>#REF!</v>
      </c>
      <c r="EI430" t="e">
        <f>AND(#REF!,"AAAAAF9rXoo=")</f>
        <v>#REF!</v>
      </c>
      <c r="EJ430" t="e">
        <f>AND(#REF!,"AAAAAF9rXos=")</f>
        <v>#REF!</v>
      </c>
      <c r="EK430" t="e">
        <f>AND(#REF!,"AAAAAF9rXow=")</f>
        <v>#REF!</v>
      </c>
      <c r="EL430" t="e">
        <f>AND(#REF!,"AAAAAF9rXo0=")</f>
        <v>#REF!</v>
      </c>
      <c r="EM430" t="e">
        <f>AND(#REF!,"AAAAAF9rXo4=")</f>
        <v>#REF!</v>
      </c>
      <c r="EN430" t="e">
        <f>AND(#REF!,"AAAAAF9rXo8=")</f>
        <v>#REF!</v>
      </c>
      <c r="EO430" t="e">
        <f>AND(#REF!,"AAAAAF9rXpA=")</f>
        <v>#REF!</v>
      </c>
      <c r="EP430" t="e">
        <f>AND(#REF!,"AAAAAF9rXpE=")</f>
        <v>#REF!</v>
      </c>
      <c r="EQ430" t="e">
        <f>AND(#REF!,"AAAAAF9rXpI=")</f>
        <v>#REF!</v>
      </c>
      <c r="ER430" t="e">
        <f>AND(#REF!,"AAAAAF9rXpM=")</f>
        <v>#REF!</v>
      </c>
      <c r="ES430" t="e">
        <f>AND(#REF!,"AAAAAF9rXpQ=")</f>
        <v>#REF!</v>
      </c>
      <c r="ET430" t="e">
        <f>AND(#REF!,"AAAAAF9rXpU=")</f>
        <v>#REF!</v>
      </c>
      <c r="EU430" t="e">
        <f>AND(#REF!,"AAAAAF9rXpY=")</f>
        <v>#REF!</v>
      </c>
      <c r="EV430" t="e">
        <f>AND(#REF!,"AAAAAF9rXpc=")</f>
        <v>#REF!</v>
      </c>
      <c r="EW430" t="e">
        <f>AND(#REF!,"AAAAAF9rXpg=")</f>
        <v>#REF!</v>
      </c>
      <c r="EX430" t="e">
        <f>AND(#REF!,"AAAAAF9rXpk=")</f>
        <v>#REF!</v>
      </c>
      <c r="EY430" t="e">
        <f>AND(#REF!,"AAAAAF9rXpo=")</f>
        <v>#REF!</v>
      </c>
      <c r="EZ430" t="e">
        <f>AND(#REF!,"AAAAAF9rXps=")</f>
        <v>#REF!</v>
      </c>
      <c r="FA430" t="e">
        <f>AND(#REF!,"AAAAAF9rXpw=")</f>
        <v>#REF!</v>
      </c>
      <c r="FB430" t="e">
        <f>AND(#REF!,"AAAAAF9rXp0=")</f>
        <v>#REF!</v>
      </c>
      <c r="FC430" t="e">
        <f>AND(#REF!,"AAAAAF9rXp4=")</f>
        <v>#REF!</v>
      </c>
      <c r="FD430" t="e">
        <f>AND(#REF!,"AAAAAF9rXp8=")</f>
        <v>#REF!</v>
      </c>
      <c r="FE430" t="e">
        <f>AND(#REF!,"AAAAAF9rXqA=")</f>
        <v>#REF!</v>
      </c>
      <c r="FF430" t="e">
        <f>IF(#REF!,"AAAAAF9rXqE=",0)</f>
        <v>#REF!</v>
      </c>
      <c r="FG430" t="e">
        <f>AND(#REF!,"AAAAAF9rXqI=")</f>
        <v>#REF!</v>
      </c>
      <c r="FH430" t="e">
        <f>AND(#REF!,"AAAAAF9rXqM=")</f>
        <v>#REF!</v>
      </c>
      <c r="FI430" t="e">
        <f>AND(#REF!,"AAAAAF9rXqQ=")</f>
        <v>#REF!</v>
      </c>
      <c r="FJ430" t="e">
        <f>AND(#REF!,"AAAAAF9rXqU=")</f>
        <v>#REF!</v>
      </c>
      <c r="FK430" t="e">
        <f>AND(#REF!,"AAAAAF9rXqY=")</f>
        <v>#REF!</v>
      </c>
      <c r="FL430" t="e">
        <f>AND(#REF!,"AAAAAF9rXqc=")</f>
        <v>#REF!</v>
      </c>
      <c r="FM430" t="e">
        <f>AND(#REF!,"AAAAAF9rXqg=")</f>
        <v>#REF!</v>
      </c>
      <c r="FN430" t="e">
        <f>AND(#REF!,"AAAAAF9rXqk=")</f>
        <v>#REF!</v>
      </c>
      <c r="FO430" t="e">
        <f>AND(#REF!,"AAAAAF9rXqo=")</f>
        <v>#REF!</v>
      </c>
      <c r="FP430" t="e">
        <f>AND(#REF!,"AAAAAF9rXqs=")</f>
        <v>#REF!</v>
      </c>
      <c r="FQ430" t="e">
        <f>AND(#REF!,"AAAAAF9rXqw=")</f>
        <v>#REF!</v>
      </c>
      <c r="FR430" t="e">
        <f>AND(#REF!,"AAAAAF9rXq0=")</f>
        <v>#REF!</v>
      </c>
      <c r="FS430" t="e">
        <f>AND(#REF!,"AAAAAF9rXq4=")</f>
        <v>#REF!</v>
      </c>
      <c r="FT430" t="e">
        <f>AND(#REF!,"AAAAAF9rXq8=")</f>
        <v>#REF!</v>
      </c>
      <c r="FU430" t="e">
        <f>AND(#REF!,"AAAAAF9rXrA=")</f>
        <v>#REF!</v>
      </c>
      <c r="FV430" t="e">
        <f>AND(#REF!,"AAAAAF9rXrE=")</f>
        <v>#REF!</v>
      </c>
      <c r="FW430" t="e">
        <f>AND(#REF!,"AAAAAF9rXrI=")</f>
        <v>#REF!</v>
      </c>
      <c r="FX430" t="e">
        <f>AND(#REF!,"AAAAAF9rXrM=")</f>
        <v>#REF!</v>
      </c>
      <c r="FY430" t="e">
        <f>AND(#REF!,"AAAAAF9rXrQ=")</f>
        <v>#REF!</v>
      </c>
      <c r="FZ430" t="e">
        <f>AND(#REF!,"AAAAAF9rXrU=")</f>
        <v>#REF!</v>
      </c>
      <c r="GA430" t="e">
        <f>AND(#REF!,"AAAAAF9rXrY=")</f>
        <v>#REF!</v>
      </c>
      <c r="GB430" t="e">
        <f>AND(#REF!,"AAAAAF9rXrc=")</f>
        <v>#REF!</v>
      </c>
      <c r="GC430" t="e">
        <f>AND(#REF!,"AAAAAF9rXrg=")</f>
        <v>#REF!</v>
      </c>
      <c r="GD430" t="e">
        <f>AND(#REF!,"AAAAAF9rXrk=")</f>
        <v>#REF!</v>
      </c>
      <c r="GE430" t="e">
        <f>IF(#REF!,"AAAAAF9rXro=",0)</f>
        <v>#REF!</v>
      </c>
      <c r="GF430" t="e">
        <f>AND(#REF!,"AAAAAF9rXrs=")</f>
        <v>#REF!</v>
      </c>
      <c r="GG430" t="e">
        <f>AND(#REF!,"AAAAAF9rXrw=")</f>
        <v>#REF!</v>
      </c>
      <c r="GH430" t="e">
        <f>AND(#REF!,"AAAAAF9rXr0=")</f>
        <v>#REF!</v>
      </c>
      <c r="GI430" t="e">
        <f>AND(#REF!,"AAAAAF9rXr4=")</f>
        <v>#REF!</v>
      </c>
      <c r="GJ430" t="e">
        <f>AND(#REF!,"AAAAAF9rXr8=")</f>
        <v>#REF!</v>
      </c>
      <c r="GK430" t="e">
        <f>AND(#REF!,"AAAAAF9rXsA=")</f>
        <v>#REF!</v>
      </c>
      <c r="GL430" t="e">
        <f>AND(#REF!,"AAAAAF9rXsE=")</f>
        <v>#REF!</v>
      </c>
      <c r="GM430" t="e">
        <f>AND(#REF!,"AAAAAF9rXsI=")</f>
        <v>#REF!</v>
      </c>
      <c r="GN430" t="e">
        <f>AND(#REF!,"AAAAAF9rXsM=")</f>
        <v>#REF!</v>
      </c>
      <c r="GO430" t="e">
        <f>AND(#REF!,"AAAAAF9rXsQ=")</f>
        <v>#REF!</v>
      </c>
      <c r="GP430" t="e">
        <f>AND(#REF!,"AAAAAF9rXsU=")</f>
        <v>#REF!</v>
      </c>
      <c r="GQ430" t="e">
        <f>AND(#REF!,"AAAAAF9rXsY=")</f>
        <v>#REF!</v>
      </c>
      <c r="GR430" t="e">
        <f>AND(#REF!,"AAAAAF9rXsc=")</f>
        <v>#REF!</v>
      </c>
      <c r="GS430" t="e">
        <f>AND(#REF!,"AAAAAF9rXsg=")</f>
        <v>#REF!</v>
      </c>
      <c r="GT430" t="e">
        <f>AND(#REF!,"AAAAAF9rXsk=")</f>
        <v>#REF!</v>
      </c>
      <c r="GU430" t="e">
        <f>AND(#REF!,"AAAAAF9rXso=")</f>
        <v>#REF!</v>
      </c>
      <c r="GV430" t="e">
        <f>AND(#REF!,"AAAAAF9rXss=")</f>
        <v>#REF!</v>
      </c>
      <c r="GW430" t="e">
        <f>AND(#REF!,"AAAAAF9rXsw=")</f>
        <v>#REF!</v>
      </c>
      <c r="GX430" t="e">
        <f>AND(#REF!,"AAAAAF9rXs0=")</f>
        <v>#REF!</v>
      </c>
      <c r="GY430" t="e">
        <f>AND(#REF!,"AAAAAF9rXs4=")</f>
        <v>#REF!</v>
      </c>
      <c r="GZ430" t="e">
        <f>AND(#REF!,"AAAAAF9rXs8=")</f>
        <v>#REF!</v>
      </c>
      <c r="HA430" t="e">
        <f>AND(#REF!,"AAAAAF9rXtA=")</f>
        <v>#REF!</v>
      </c>
      <c r="HB430" t="e">
        <f>AND(#REF!,"AAAAAF9rXtE=")</f>
        <v>#REF!</v>
      </c>
      <c r="HC430" t="e">
        <f>AND(#REF!,"AAAAAF9rXtI=")</f>
        <v>#REF!</v>
      </c>
      <c r="HD430" t="e">
        <f>IF(#REF!,"AAAAAF9rXtM=",0)</f>
        <v>#REF!</v>
      </c>
      <c r="HE430" t="e">
        <f>AND(#REF!,"AAAAAF9rXtQ=")</f>
        <v>#REF!</v>
      </c>
      <c r="HF430" t="e">
        <f>AND(#REF!,"AAAAAF9rXtU=")</f>
        <v>#REF!</v>
      </c>
      <c r="HG430" t="e">
        <f>AND(#REF!,"AAAAAF9rXtY=")</f>
        <v>#REF!</v>
      </c>
      <c r="HH430" t="e">
        <f>AND(#REF!,"AAAAAF9rXtc=")</f>
        <v>#REF!</v>
      </c>
      <c r="HI430" t="e">
        <f>AND(#REF!,"AAAAAF9rXtg=")</f>
        <v>#REF!</v>
      </c>
      <c r="HJ430" t="e">
        <f>AND(#REF!,"AAAAAF9rXtk=")</f>
        <v>#REF!</v>
      </c>
      <c r="HK430" t="e">
        <f>AND(#REF!,"AAAAAF9rXto=")</f>
        <v>#REF!</v>
      </c>
      <c r="HL430" t="e">
        <f>AND(#REF!,"AAAAAF9rXts=")</f>
        <v>#REF!</v>
      </c>
      <c r="HM430" t="e">
        <f>AND(#REF!,"AAAAAF9rXtw=")</f>
        <v>#REF!</v>
      </c>
      <c r="HN430" t="e">
        <f>AND(#REF!,"AAAAAF9rXt0=")</f>
        <v>#REF!</v>
      </c>
      <c r="HO430" t="e">
        <f>AND(#REF!,"AAAAAF9rXt4=")</f>
        <v>#REF!</v>
      </c>
      <c r="HP430" t="e">
        <f>AND(#REF!,"AAAAAF9rXt8=")</f>
        <v>#REF!</v>
      </c>
      <c r="HQ430" t="e">
        <f>AND(#REF!,"AAAAAF9rXuA=")</f>
        <v>#REF!</v>
      </c>
      <c r="HR430" t="e">
        <f>AND(#REF!,"AAAAAF9rXuE=")</f>
        <v>#REF!</v>
      </c>
      <c r="HS430" t="e">
        <f>AND(#REF!,"AAAAAF9rXuI=")</f>
        <v>#REF!</v>
      </c>
      <c r="HT430" t="e">
        <f>AND(#REF!,"AAAAAF9rXuM=")</f>
        <v>#REF!</v>
      </c>
      <c r="HU430" t="e">
        <f>AND(#REF!,"AAAAAF9rXuQ=")</f>
        <v>#REF!</v>
      </c>
      <c r="HV430" t="e">
        <f>AND(#REF!,"AAAAAF9rXuU=")</f>
        <v>#REF!</v>
      </c>
      <c r="HW430" t="e">
        <f>AND(#REF!,"AAAAAF9rXuY=")</f>
        <v>#REF!</v>
      </c>
      <c r="HX430" t="e">
        <f>AND(#REF!,"AAAAAF9rXuc=")</f>
        <v>#REF!</v>
      </c>
      <c r="HY430" t="e">
        <f>AND(#REF!,"AAAAAF9rXug=")</f>
        <v>#REF!</v>
      </c>
      <c r="HZ430" t="e">
        <f>AND(#REF!,"AAAAAF9rXuk=")</f>
        <v>#REF!</v>
      </c>
      <c r="IA430" t="e">
        <f>AND(#REF!,"AAAAAF9rXuo=")</f>
        <v>#REF!</v>
      </c>
      <c r="IB430" t="e">
        <f>AND(#REF!,"AAAAAF9rXus=")</f>
        <v>#REF!</v>
      </c>
      <c r="IC430" t="e">
        <f>IF(#REF!,"AAAAAF9rXuw=",0)</f>
        <v>#REF!</v>
      </c>
      <c r="ID430" t="e">
        <f>AND(#REF!,"AAAAAF9rXu0=")</f>
        <v>#REF!</v>
      </c>
      <c r="IE430" t="e">
        <f>AND(#REF!,"AAAAAF9rXu4=")</f>
        <v>#REF!</v>
      </c>
      <c r="IF430" t="e">
        <f>AND(#REF!,"AAAAAF9rXu8=")</f>
        <v>#REF!</v>
      </c>
      <c r="IG430" t="e">
        <f>AND(#REF!,"AAAAAF9rXvA=")</f>
        <v>#REF!</v>
      </c>
      <c r="IH430" t="e">
        <f>AND(#REF!,"AAAAAF9rXvE=")</f>
        <v>#REF!</v>
      </c>
      <c r="II430" t="e">
        <f>AND(#REF!,"AAAAAF9rXvI=")</f>
        <v>#REF!</v>
      </c>
      <c r="IJ430" t="e">
        <f>AND(#REF!,"AAAAAF9rXvM=")</f>
        <v>#REF!</v>
      </c>
      <c r="IK430" t="e">
        <f>AND(#REF!,"AAAAAF9rXvQ=")</f>
        <v>#REF!</v>
      </c>
      <c r="IL430" t="e">
        <f>AND(#REF!,"AAAAAF9rXvU=")</f>
        <v>#REF!</v>
      </c>
      <c r="IM430" t="e">
        <f>AND(#REF!,"AAAAAF9rXvY=")</f>
        <v>#REF!</v>
      </c>
      <c r="IN430" t="e">
        <f>AND(#REF!,"AAAAAF9rXvc=")</f>
        <v>#REF!</v>
      </c>
      <c r="IO430" t="e">
        <f>AND(#REF!,"AAAAAF9rXvg=")</f>
        <v>#REF!</v>
      </c>
      <c r="IP430" t="e">
        <f>AND(#REF!,"AAAAAF9rXvk=")</f>
        <v>#REF!</v>
      </c>
      <c r="IQ430" t="e">
        <f>AND(#REF!,"AAAAAF9rXvo=")</f>
        <v>#REF!</v>
      </c>
      <c r="IR430" t="e">
        <f>AND(#REF!,"AAAAAF9rXvs=")</f>
        <v>#REF!</v>
      </c>
      <c r="IS430" t="e">
        <f>AND(#REF!,"AAAAAF9rXvw=")</f>
        <v>#REF!</v>
      </c>
      <c r="IT430" t="e">
        <f>AND(#REF!,"AAAAAF9rXv0=")</f>
        <v>#REF!</v>
      </c>
      <c r="IU430" t="e">
        <f>AND(#REF!,"AAAAAF9rXv4=")</f>
        <v>#REF!</v>
      </c>
      <c r="IV430" t="e">
        <f>AND(#REF!,"AAAAAF9rXv8=")</f>
        <v>#REF!</v>
      </c>
    </row>
    <row r="431" spans="1:256">
      <c r="A431" t="e">
        <f>AND(#REF!,"AAAAAB/uLQA=")</f>
        <v>#REF!</v>
      </c>
      <c r="B431" t="e">
        <f>AND(#REF!,"AAAAAB/uLQE=")</f>
        <v>#REF!</v>
      </c>
      <c r="C431" t="e">
        <f>AND(#REF!,"AAAAAB/uLQI=")</f>
        <v>#REF!</v>
      </c>
      <c r="D431" t="e">
        <f>AND(#REF!,"AAAAAB/uLQM=")</f>
        <v>#REF!</v>
      </c>
      <c r="E431" t="e">
        <f>AND(#REF!,"AAAAAB/uLQQ=")</f>
        <v>#REF!</v>
      </c>
      <c r="F431" t="e">
        <f>IF(#REF!,"AAAAAB/uLQU=",0)</f>
        <v>#REF!</v>
      </c>
      <c r="G431" t="e">
        <f>AND(#REF!,"AAAAAB/uLQY=")</f>
        <v>#REF!</v>
      </c>
      <c r="H431" t="e">
        <f>AND(#REF!,"AAAAAB/uLQc=")</f>
        <v>#REF!</v>
      </c>
      <c r="I431" t="e">
        <f>AND(#REF!,"AAAAAB/uLQg=")</f>
        <v>#REF!</v>
      </c>
      <c r="J431" t="e">
        <f>AND(#REF!,"AAAAAB/uLQk=")</f>
        <v>#REF!</v>
      </c>
      <c r="K431" t="e">
        <f>AND(#REF!,"AAAAAB/uLQo=")</f>
        <v>#REF!</v>
      </c>
      <c r="L431" t="e">
        <f>AND(#REF!,"AAAAAB/uLQs=")</f>
        <v>#REF!</v>
      </c>
      <c r="M431" t="e">
        <f>AND(#REF!,"AAAAAB/uLQw=")</f>
        <v>#REF!</v>
      </c>
      <c r="N431" t="e">
        <f>AND(#REF!,"AAAAAB/uLQ0=")</f>
        <v>#REF!</v>
      </c>
      <c r="O431" t="e">
        <f>AND(#REF!,"AAAAAB/uLQ4=")</f>
        <v>#REF!</v>
      </c>
      <c r="P431" t="e">
        <f>AND(#REF!,"AAAAAB/uLQ8=")</f>
        <v>#REF!</v>
      </c>
      <c r="Q431" t="e">
        <f>AND(#REF!,"AAAAAB/uLRA=")</f>
        <v>#REF!</v>
      </c>
      <c r="R431" t="e">
        <f>AND(#REF!,"AAAAAB/uLRE=")</f>
        <v>#REF!</v>
      </c>
      <c r="S431" t="e">
        <f>AND(#REF!,"AAAAAB/uLRI=")</f>
        <v>#REF!</v>
      </c>
      <c r="T431" t="e">
        <f>AND(#REF!,"AAAAAB/uLRM=")</f>
        <v>#REF!</v>
      </c>
      <c r="U431" t="e">
        <f>AND(#REF!,"AAAAAB/uLRQ=")</f>
        <v>#REF!</v>
      </c>
      <c r="V431" t="e">
        <f>AND(#REF!,"AAAAAB/uLRU=")</f>
        <v>#REF!</v>
      </c>
      <c r="W431" t="e">
        <f>AND(#REF!,"AAAAAB/uLRY=")</f>
        <v>#REF!</v>
      </c>
      <c r="X431" t="e">
        <f>AND(#REF!,"AAAAAB/uLRc=")</f>
        <v>#REF!</v>
      </c>
      <c r="Y431" t="e">
        <f>AND(#REF!,"AAAAAB/uLRg=")</f>
        <v>#REF!</v>
      </c>
      <c r="Z431" t="e">
        <f>AND(#REF!,"AAAAAB/uLRk=")</f>
        <v>#REF!</v>
      </c>
      <c r="AA431" t="e">
        <f>AND(#REF!,"AAAAAB/uLRo=")</f>
        <v>#REF!</v>
      </c>
      <c r="AB431" t="e">
        <f>AND(#REF!,"AAAAAB/uLRs=")</f>
        <v>#REF!</v>
      </c>
      <c r="AC431" t="e">
        <f>AND(#REF!,"AAAAAB/uLRw=")</f>
        <v>#REF!</v>
      </c>
      <c r="AD431" t="e">
        <f>AND(#REF!,"AAAAAB/uLR0=")</f>
        <v>#REF!</v>
      </c>
      <c r="AE431" t="e">
        <f>IF(#REF!,"AAAAAB/uLR4=",0)</f>
        <v>#REF!</v>
      </c>
      <c r="AF431" t="e">
        <f>AND(#REF!,"AAAAAB/uLR8=")</f>
        <v>#REF!</v>
      </c>
      <c r="AG431" t="e">
        <f>AND(#REF!,"AAAAAB/uLSA=")</f>
        <v>#REF!</v>
      </c>
      <c r="AH431" t="e">
        <f>AND(#REF!,"AAAAAB/uLSE=")</f>
        <v>#REF!</v>
      </c>
      <c r="AI431" t="e">
        <f>AND(#REF!,"AAAAAB/uLSI=")</f>
        <v>#REF!</v>
      </c>
      <c r="AJ431" t="e">
        <f>AND(#REF!,"AAAAAB/uLSM=")</f>
        <v>#REF!</v>
      </c>
      <c r="AK431" t="e">
        <f>AND(#REF!,"AAAAAB/uLSQ=")</f>
        <v>#REF!</v>
      </c>
      <c r="AL431" t="e">
        <f>AND(#REF!,"AAAAAB/uLSU=")</f>
        <v>#REF!</v>
      </c>
      <c r="AM431" t="e">
        <f>AND(#REF!,"AAAAAB/uLSY=")</f>
        <v>#REF!</v>
      </c>
      <c r="AN431" t="e">
        <f>AND(#REF!,"AAAAAB/uLSc=")</f>
        <v>#REF!</v>
      </c>
      <c r="AO431" t="e">
        <f>AND(#REF!,"AAAAAB/uLSg=")</f>
        <v>#REF!</v>
      </c>
      <c r="AP431" t="e">
        <f>AND(#REF!,"AAAAAB/uLSk=")</f>
        <v>#REF!</v>
      </c>
      <c r="AQ431" t="e">
        <f>AND(#REF!,"AAAAAB/uLSo=")</f>
        <v>#REF!</v>
      </c>
      <c r="AR431" t="e">
        <f>AND(#REF!,"AAAAAB/uLSs=")</f>
        <v>#REF!</v>
      </c>
      <c r="AS431" t="e">
        <f>AND(#REF!,"AAAAAB/uLSw=")</f>
        <v>#REF!</v>
      </c>
      <c r="AT431" t="e">
        <f>AND(#REF!,"AAAAAB/uLS0=")</f>
        <v>#REF!</v>
      </c>
      <c r="AU431" t="e">
        <f>AND(#REF!,"AAAAAB/uLS4=")</f>
        <v>#REF!</v>
      </c>
      <c r="AV431" t="e">
        <f>AND(#REF!,"AAAAAB/uLS8=")</f>
        <v>#REF!</v>
      </c>
      <c r="AW431" t="e">
        <f>AND(#REF!,"AAAAAB/uLTA=")</f>
        <v>#REF!</v>
      </c>
      <c r="AX431" t="e">
        <f>AND(#REF!,"AAAAAB/uLTE=")</f>
        <v>#REF!</v>
      </c>
      <c r="AY431" t="e">
        <f>AND(#REF!,"AAAAAB/uLTI=")</f>
        <v>#REF!</v>
      </c>
      <c r="AZ431" t="e">
        <f>AND(#REF!,"AAAAAB/uLTM=")</f>
        <v>#REF!</v>
      </c>
      <c r="BA431" t="e">
        <f>AND(#REF!,"AAAAAB/uLTQ=")</f>
        <v>#REF!</v>
      </c>
      <c r="BB431" t="e">
        <f>AND(#REF!,"AAAAAB/uLTU=")</f>
        <v>#REF!</v>
      </c>
      <c r="BC431" t="e">
        <f>AND(#REF!,"AAAAAB/uLTY=")</f>
        <v>#REF!</v>
      </c>
      <c r="BD431" t="e">
        <f>IF(#REF!,"AAAAAB/uLTc=",0)</f>
        <v>#REF!</v>
      </c>
      <c r="BE431" t="e">
        <f>AND(#REF!,"AAAAAB/uLTg=")</f>
        <v>#REF!</v>
      </c>
      <c r="BF431" t="e">
        <f>AND(#REF!,"AAAAAB/uLTk=")</f>
        <v>#REF!</v>
      </c>
      <c r="BG431" t="e">
        <f>AND(#REF!,"AAAAAB/uLTo=")</f>
        <v>#REF!</v>
      </c>
      <c r="BH431" t="e">
        <f>AND(#REF!,"AAAAAB/uLTs=")</f>
        <v>#REF!</v>
      </c>
      <c r="BI431" t="e">
        <f>AND(#REF!,"AAAAAB/uLTw=")</f>
        <v>#REF!</v>
      </c>
      <c r="BJ431" t="e">
        <f>AND(#REF!,"AAAAAB/uLT0=")</f>
        <v>#REF!</v>
      </c>
      <c r="BK431" t="e">
        <f>AND(#REF!,"AAAAAB/uLT4=")</f>
        <v>#REF!</v>
      </c>
      <c r="BL431" t="e">
        <f>AND(#REF!,"AAAAAB/uLT8=")</f>
        <v>#REF!</v>
      </c>
      <c r="BM431" t="e">
        <f>AND(#REF!,"AAAAAB/uLUA=")</f>
        <v>#REF!</v>
      </c>
      <c r="BN431" t="e">
        <f>AND(#REF!,"AAAAAB/uLUE=")</f>
        <v>#REF!</v>
      </c>
      <c r="BO431" t="e">
        <f>AND(#REF!,"AAAAAB/uLUI=")</f>
        <v>#REF!</v>
      </c>
      <c r="BP431" t="e">
        <f>AND(#REF!,"AAAAAB/uLUM=")</f>
        <v>#REF!</v>
      </c>
      <c r="BQ431" t="e">
        <f>AND(#REF!,"AAAAAB/uLUQ=")</f>
        <v>#REF!</v>
      </c>
      <c r="BR431" t="e">
        <f>AND(#REF!,"AAAAAB/uLUU=")</f>
        <v>#REF!</v>
      </c>
      <c r="BS431" t="e">
        <f>AND(#REF!,"AAAAAB/uLUY=")</f>
        <v>#REF!</v>
      </c>
      <c r="BT431" t="e">
        <f>AND(#REF!,"AAAAAB/uLUc=")</f>
        <v>#REF!</v>
      </c>
      <c r="BU431" t="e">
        <f>AND(#REF!,"AAAAAB/uLUg=")</f>
        <v>#REF!</v>
      </c>
      <c r="BV431" t="e">
        <f>AND(#REF!,"AAAAAB/uLUk=")</f>
        <v>#REF!</v>
      </c>
      <c r="BW431" t="e">
        <f>AND(#REF!,"AAAAAB/uLUo=")</f>
        <v>#REF!</v>
      </c>
      <c r="BX431" t="e">
        <f>AND(#REF!,"AAAAAB/uLUs=")</f>
        <v>#REF!</v>
      </c>
      <c r="BY431" t="e">
        <f>AND(#REF!,"AAAAAB/uLUw=")</f>
        <v>#REF!</v>
      </c>
      <c r="BZ431" t="e">
        <f>AND(#REF!,"AAAAAB/uLU0=")</f>
        <v>#REF!</v>
      </c>
      <c r="CA431" t="e">
        <f>AND(#REF!,"AAAAAB/uLU4=")</f>
        <v>#REF!</v>
      </c>
      <c r="CB431" t="e">
        <f>AND(#REF!,"AAAAAB/uLU8=")</f>
        <v>#REF!</v>
      </c>
      <c r="CC431" t="e">
        <f>IF(#REF!,"AAAAAB/uLVA=",0)</f>
        <v>#REF!</v>
      </c>
      <c r="CD431" t="e">
        <f>AND(#REF!,"AAAAAB/uLVE=")</f>
        <v>#REF!</v>
      </c>
      <c r="CE431" t="e">
        <f>AND(#REF!,"AAAAAB/uLVI=")</f>
        <v>#REF!</v>
      </c>
      <c r="CF431" t="e">
        <f>AND(#REF!,"AAAAAB/uLVM=")</f>
        <v>#REF!</v>
      </c>
      <c r="CG431" t="e">
        <f>AND(#REF!,"AAAAAB/uLVQ=")</f>
        <v>#REF!</v>
      </c>
      <c r="CH431" t="e">
        <f>AND(#REF!,"AAAAAB/uLVU=")</f>
        <v>#REF!</v>
      </c>
      <c r="CI431" t="e">
        <f>AND(#REF!,"AAAAAB/uLVY=")</f>
        <v>#REF!</v>
      </c>
      <c r="CJ431" t="e">
        <f>AND(#REF!,"AAAAAB/uLVc=")</f>
        <v>#REF!</v>
      </c>
      <c r="CK431" t="e">
        <f>AND(#REF!,"AAAAAB/uLVg=")</f>
        <v>#REF!</v>
      </c>
      <c r="CL431" t="e">
        <f>AND(#REF!,"AAAAAB/uLVk=")</f>
        <v>#REF!</v>
      </c>
      <c r="CM431" t="e">
        <f>AND(#REF!,"AAAAAB/uLVo=")</f>
        <v>#REF!</v>
      </c>
      <c r="CN431" t="e">
        <f>AND(#REF!,"AAAAAB/uLVs=")</f>
        <v>#REF!</v>
      </c>
      <c r="CO431" t="e">
        <f>AND(#REF!,"AAAAAB/uLVw=")</f>
        <v>#REF!</v>
      </c>
      <c r="CP431" t="e">
        <f>AND(#REF!,"AAAAAB/uLV0=")</f>
        <v>#REF!</v>
      </c>
      <c r="CQ431" t="e">
        <f>AND(#REF!,"AAAAAB/uLV4=")</f>
        <v>#REF!</v>
      </c>
      <c r="CR431" t="e">
        <f>AND(#REF!,"AAAAAB/uLV8=")</f>
        <v>#REF!</v>
      </c>
      <c r="CS431" t="e">
        <f>AND(#REF!,"AAAAAB/uLWA=")</f>
        <v>#REF!</v>
      </c>
      <c r="CT431" t="e">
        <f>AND(#REF!,"AAAAAB/uLWE=")</f>
        <v>#REF!</v>
      </c>
      <c r="CU431" t="e">
        <f>AND(#REF!,"AAAAAB/uLWI=")</f>
        <v>#REF!</v>
      </c>
      <c r="CV431" t="e">
        <f>AND(#REF!,"AAAAAB/uLWM=")</f>
        <v>#REF!</v>
      </c>
      <c r="CW431" t="e">
        <f>AND(#REF!,"AAAAAB/uLWQ=")</f>
        <v>#REF!</v>
      </c>
      <c r="CX431" t="e">
        <f>AND(#REF!,"AAAAAB/uLWU=")</f>
        <v>#REF!</v>
      </c>
      <c r="CY431" t="e">
        <f>AND(#REF!,"AAAAAB/uLWY=")</f>
        <v>#REF!</v>
      </c>
      <c r="CZ431" t="e">
        <f>AND(#REF!,"AAAAAB/uLWc=")</f>
        <v>#REF!</v>
      </c>
      <c r="DA431" t="e">
        <f>AND(#REF!,"AAAAAB/uLWg=")</f>
        <v>#REF!</v>
      </c>
      <c r="DB431" t="e">
        <f>IF(#REF!,"AAAAAB/uLWk=",0)</f>
        <v>#REF!</v>
      </c>
      <c r="DC431" t="e">
        <f>AND(#REF!,"AAAAAB/uLWo=")</f>
        <v>#REF!</v>
      </c>
      <c r="DD431" t="e">
        <f>AND(#REF!,"AAAAAB/uLWs=")</f>
        <v>#REF!</v>
      </c>
      <c r="DE431" t="e">
        <f>AND(#REF!,"AAAAAB/uLWw=")</f>
        <v>#REF!</v>
      </c>
      <c r="DF431" t="e">
        <f>AND(#REF!,"AAAAAB/uLW0=")</f>
        <v>#REF!</v>
      </c>
      <c r="DG431" t="e">
        <f>AND(#REF!,"AAAAAB/uLW4=")</f>
        <v>#REF!</v>
      </c>
      <c r="DH431" t="e">
        <f>AND(#REF!,"AAAAAB/uLW8=")</f>
        <v>#REF!</v>
      </c>
      <c r="DI431" t="e">
        <f>AND(#REF!,"AAAAAB/uLXA=")</f>
        <v>#REF!</v>
      </c>
      <c r="DJ431" t="e">
        <f>AND(#REF!,"AAAAAB/uLXE=")</f>
        <v>#REF!</v>
      </c>
      <c r="DK431" t="e">
        <f>AND(#REF!,"AAAAAB/uLXI=")</f>
        <v>#REF!</v>
      </c>
      <c r="DL431" t="e">
        <f>AND(#REF!,"AAAAAB/uLXM=")</f>
        <v>#REF!</v>
      </c>
      <c r="DM431" t="e">
        <f>AND(#REF!,"AAAAAB/uLXQ=")</f>
        <v>#REF!</v>
      </c>
      <c r="DN431" t="e">
        <f>AND(#REF!,"AAAAAB/uLXU=")</f>
        <v>#REF!</v>
      </c>
      <c r="DO431" t="e">
        <f>AND(#REF!,"AAAAAB/uLXY=")</f>
        <v>#REF!</v>
      </c>
      <c r="DP431" t="e">
        <f>AND(#REF!,"AAAAAB/uLXc=")</f>
        <v>#REF!</v>
      </c>
      <c r="DQ431" t="e">
        <f>AND(#REF!,"AAAAAB/uLXg=")</f>
        <v>#REF!</v>
      </c>
      <c r="DR431" t="e">
        <f>AND(#REF!,"AAAAAB/uLXk=")</f>
        <v>#REF!</v>
      </c>
      <c r="DS431" t="e">
        <f>AND(#REF!,"AAAAAB/uLXo=")</f>
        <v>#REF!</v>
      </c>
      <c r="DT431" t="e">
        <f>AND(#REF!,"AAAAAB/uLXs=")</f>
        <v>#REF!</v>
      </c>
      <c r="DU431" t="e">
        <f>AND(#REF!,"AAAAAB/uLXw=")</f>
        <v>#REF!</v>
      </c>
      <c r="DV431" t="e">
        <f>AND(#REF!,"AAAAAB/uLX0=")</f>
        <v>#REF!</v>
      </c>
      <c r="DW431" t="e">
        <f>AND(#REF!,"AAAAAB/uLX4=")</f>
        <v>#REF!</v>
      </c>
      <c r="DX431" t="e">
        <f>AND(#REF!,"AAAAAB/uLX8=")</f>
        <v>#REF!</v>
      </c>
      <c r="DY431" t="e">
        <f>AND(#REF!,"AAAAAB/uLYA=")</f>
        <v>#REF!</v>
      </c>
      <c r="DZ431" t="e">
        <f>AND(#REF!,"AAAAAB/uLYE=")</f>
        <v>#REF!</v>
      </c>
      <c r="EA431" t="e">
        <f>IF(#REF!,"AAAAAB/uLYI=",0)</f>
        <v>#REF!</v>
      </c>
      <c r="EB431" t="e">
        <f>AND(#REF!,"AAAAAB/uLYM=")</f>
        <v>#REF!</v>
      </c>
      <c r="EC431" t="e">
        <f>AND(#REF!,"AAAAAB/uLYQ=")</f>
        <v>#REF!</v>
      </c>
      <c r="ED431" t="e">
        <f>AND(#REF!,"AAAAAB/uLYU=")</f>
        <v>#REF!</v>
      </c>
      <c r="EE431" t="e">
        <f>AND(#REF!,"AAAAAB/uLYY=")</f>
        <v>#REF!</v>
      </c>
      <c r="EF431" t="e">
        <f>AND(#REF!,"AAAAAB/uLYc=")</f>
        <v>#REF!</v>
      </c>
      <c r="EG431" t="e">
        <f>AND(#REF!,"AAAAAB/uLYg=")</f>
        <v>#REF!</v>
      </c>
      <c r="EH431" t="e">
        <f>AND(#REF!,"AAAAAB/uLYk=")</f>
        <v>#REF!</v>
      </c>
      <c r="EI431" t="e">
        <f>AND(#REF!,"AAAAAB/uLYo=")</f>
        <v>#REF!</v>
      </c>
      <c r="EJ431" t="e">
        <f>AND(#REF!,"AAAAAB/uLYs=")</f>
        <v>#REF!</v>
      </c>
      <c r="EK431" t="e">
        <f>AND(#REF!,"AAAAAB/uLYw=")</f>
        <v>#REF!</v>
      </c>
      <c r="EL431" t="e">
        <f>AND(#REF!,"AAAAAB/uLY0=")</f>
        <v>#REF!</v>
      </c>
      <c r="EM431" t="e">
        <f>AND(#REF!,"AAAAAB/uLY4=")</f>
        <v>#REF!</v>
      </c>
      <c r="EN431" t="e">
        <f>AND(#REF!,"AAAAAB/uLY8=")</f>
        <v>#REF!</v>
      </c>
      <c r="EO431" t="e">
        <f>AND(#REF!,"AAAAAB/uLZA=")</f>
        <v>#REF!</v>
      </c>
      <c r="EP431" t="e">
        <f>AND(#REF!,"AAAAAB/uLZE=")</f>
        <v>#REF!</v>
      </c>
      <c r="EQ431" t="e">
        <f>AND(#REF!,"AAAAAB/uLZI=")</f>
        <v>#REF!</v>
      </c>
      <c r="ER431" t="e">
        <f>AND(#REF!,"AAAAAB/uLZM=")</f>
        <v>#REF!</v>
      </c>
      <c r="ES431" t="e">
        <f>AND(#REF!,"AAAAAB/uLZQ=")</f>
        <v>#REF!</v>
      </c>
      <c r="ET431" t="e">
        <f>AND(#REF!,"AAAAAB/uLZU=")</f>
        <v>#REF!</v>
      </c>
      <c r="EU431" t="e">
        <f>AND(#REF!,"AAAAAB/uLZY=")</f>
        <v>#REF!</v>
      </c>
      <c r="EV431" t="e">
        <f>AND(#REF!,"AAAAAB/uLZc=")</f>
        <v>#REF!</v>
      </c>
      <c r="EW431" t="e">
        <f>AND(#REF!,"AAAAAB/uLZg=")</f>
        <v>#REF!</v>
      </c>
      <c r="EX431" t="e">
        <f>AND(#REF!,"AAAAAB/uLZk=")</f>
        <v>#REF!</v>
      </c>
      <c r="EY431" t="e">
        <f>AND(#REF!,"AAAAAB/uLZo=")</f>
        <v>#REF!</v>
      </c>
      <c r="EZ431" t="e">
        <f>IF(#REF!,"AAAAAB/uLZs=",0)</f>
        <v>#REF!</v>
      </c>
      <c r="FA431" t="e">
        <f>AND(#REF!,"AAAAAB/uLZw=")</f>
        <v>#REF!</v>
      </c>
      <c r="FB431" t="e">
        <f>AND(#REF!,"AAAAAB/uLZ0=")</f>
        <v>#REF!</v>
      </c>
      <c r="FC431" t="e">
        <f>AND(#REF!,"AAAAAB/uLZ4=")</f>
        <v>#REF!</v>
      </c>
      <c r="FD431" t="e">
        <f>AND(#REF!,"AAAAAB/uLZ8=")</f>
        <v>#REF!</v>
      </c>
      <c r="FE431" t="e">
        <f>AND(#REF!,"AAAAAB/uLaA=")</f>
        <v>#REF!</v>
      </c>
      <c r="FF431" t="e">
        <f>AND(#REF!,"AAAAAB/uLaE=")</f>
        <v>#REF!</v>
      </c>
      <c r="FG431" t="e">
        <f>AND(#REF!,"AAAAAB/uLaI=")</f>
        <v>#REF!</v>
      </c>
      <c r="FH431" t="e">
        <f>AND(#REF!,"AAAAAB/uLaM=")</f>
        <v>#REF!</v>
      </c>
      <c r="FI431" t="e">
        <f>AND(#REF!,"AAAAAB/uLaQ=")</f>
        <v>#REF!</v>
      </c>
      <c r="FJ431" t="e">
        <f>AND(#REF!,"AAAAAB/uLaU=")</f>
        <v>#REF!</v>
      </c>
      <c r="FK431" t="e">
        <f>AND(#REF!,"AAAAAB/uLaY=")</f>
        <v>#REF!</v>
      </c>
      <c r="FL431" t="e">
        <f>AND(#REF!,"AAAAAB/uLac=")</f>
        <v>#REF!</v>
      </c>
      <c r="FM431" t="e">
        <f>AND(#REF!,"AAAAAB/uLag=")</f>
        <v>#REF!</v>
      </c>
      <c r="FN431" t="e">
        <f>AND(#REF!,"AAAAAB/uLak=")</f>
        <v>#REF!</v>
      </c>
      <c r="FO431" t="e">
        <f>AND(#REF!,"AAAAAB/uLao=")</f>
        <v>#REF!</v>
      </c>
      <c r="FP431" t="e">
        <f>AND(#REF!,"AAAAAB/uLas=")</f>
        <v>#REF!</v>
      </c>
      <c r="FQ431" t="e">
        <f>AND(#REF!,"AAAAAB/uLaw=")</f>
        <v>#REF!</v>
      </c>
      <c r="FR431" t="e">
        <f>AND(#REF!,"AAAAAB/uLa0=")</f>
        <v>#REF!</v>
      </c>
      <c r="FS431" t="e">
        <f>AND(#REF!,"AAAAAB/uLa4=")</f>
        <v>#REF!</v>
      </c>
      <c r="FT431" t="e">
        <f>AND(#REF!,"AAAAAB/uLa8=")</f>
        <v>#REF!</v>
      </c>
      <c r="FU431" t="e">
        <f>AND(#REF!,"AAAAAB/uLbA=")</f>
        <v>#REF!</v>
      </c>
      <c r="FV431" t="e">
        <f>AND(#REF!,"AAAAAB/uLbE=")</f>
        <v>#REF!</v>
      </c>
      <c r="FW431" t="e">
        <f>AND(#REF!,"AAAAAB/uLbI=")</f>
        <v>#REF!</v>
      </c>
      <c r="FX431" t="e">
        <f>AND(#REF!,"AAAAAB/uLbM=")</f>
        <v>#REF!</v>
      </c>
      <c r="FY431" t="e">
        <f>IF(#REF!,"AAAAAB/uLbQ=",0)</f>
        <v>#REF!</v>
      </c>
      <c r="FZ431" t="e">
        <f>AND(#REF!,"AAAAAB/uLbU=")</f>
        <v>#REF!</v>
      </c>
      <c r="GA431" t="e">
        <f>AND(#REF!,"AAAAAB/uLbY=")</f>
        <v>#REF!</v>
      </c>
      <c r="GB431" t="e">
        <f>AND(#REF!,"AAAAAB/uLbc=")</f>
        <v>#REF!</v>
      </c>
      <c r="GC431" t="e">
        <f>AND(#REF!,"AAAAAB/uLbg=")</f>
        <v>#REF!</v>
      </c>
      <c r="GD431" t="e">
        <f>AND(#REF!,"AAAAAB/uLbk=")</f>
        <v>#REF!</v>
      </c>
      <c r="GE431" t="e">
        <f>AND(#REF!,"AAAAAB/uLbo=")</f>
        <v>#REF!</v>
      </c>
      <c r="GF431" t="e">
        <f>AND(#REF!,"AAAAAB/uLbs=")</f>
        <v>#REF!</v>
      </c>
      <c r="GG431" t="e">
        <f>AND(#REF!,"AAAAAB/uLbw=")</f>
        <v>#REF!</v>
      </c>
      <c r="GH431" t="e">
        <f>AND(#REF!,"AAAAAB/uLb0=")</f>
        <v>#REF!</v>
      </c>
      <c r="GI431" t="e">
        <f>AND(#REF!,"AAAAAB/uLb4=")</f>
        <v>#REF!</v>
      </c>
      <c r="GJ431" t="e">
        <f>AND(#REF!,"AAAAAB/uLb8=")</f>
        <v>#REF!</v>
      </c>
      <c r="GK431" t="e">
        <f>AND(#REF!,"AAAAAB/uLcA=")</f>
        <v>#REF!</v>
      </c>
      <c r="GL431" t="e">
        <f>AND(#REF!,"AAAAAB/uLcE=")</f>
        <v>#REF!</v>
      </c>
      <c r="GM431" t="e">
        <f>AND(#REF!,"AAAAAB/uLcI=")</f>
        <v>#REF!</v>
      </c>
      <c r="GN431" t="e">
        <f>AND(#REF!,"AAAAAB/uLcM=")</f>
        <v>#REF!</v>
      </c>
      <c r="GO431" t="e">
        <f>AND(#REF!,"AAAAAB/uLcQ=")</f>
        <v>#REF!</v>
      </c>
      <c r="GP431" t="e">
        <f>AND(#REF!,"AAAAAB/uLcU=")</f>
        <v>#REF!</v>
      </c>
      <c r="GQ431" t="e">
        <f>AND(#REF!,"AAAAAB/uLcY=")</f>
        <v>#REF!</v>
      </c>
      <c r="GR431" t="e">
        <f>AND(#REF!,"AAAAAB/uLcc=")</f>
        <v>#REF!</v>
      </c>
      <c r="GS431" t="e">
        <f>AND(#REF!,"AAAAAB/uLcg=")</f>
        <v>#REF!</v>
      </c>
      <c r="GT431" t="e">
        <f>AND(#REF!,"AAAAAB/uLck=")</f>
        <v>#REF!</v>
      </c>
      <c r="GU431" t="e">
        <f>AND(#REF!,"AAAAAB/uLco=")</f>
        <v>#REF!</v>
      </c>
      <c r="GV431" t="e">
        <f>AND(#REF!,"AAAAAB/uLcs=")</f>
        <v>#REF!</v>
      </c>
      <c r="GW431" t="e">
        <f>AND(#REF!,"AAAAAB/uLcw=")</f>
        <v>#REF!</v>
      </c>
      <c r="GX431" t="e">
        <f>IF(#REF!,"AAAAAB/uLc0=",0)</f>
        <v>#REF!</v>
      </c>
      <c r="GY431" t="e">
        <f>AND(#REF!,"AAAAAB/uLc4=")</f>
        <v>#REF!</v>
      </c>
      <c r="GZ431" t="e">
        <f>AND(#REF!,"AAAAAB/uLc8=")</f>
        <v>#REF!</v>
      </c>
      <c r="HA431" t="e">
        <f>AND(#REF!,"AAAAAB/uLdA=")</f>
        <v>#REF!</v>
      </c>
      <c r="HB431" t="e">
        <f>AND(#REF!,"AAAAAB/uLdE=")</f>
        <v>#REF!</v>
      </c>
      <c r="HC431" t="e">
        <f>AND(#REF!,"AAAAAB/uLdI=")</f>
        <v>#REF!</v>
      </c>
      <c r="HD431" t="e">
        <f>AND(#REF!,"AAAAAB/uLdM=")</f>
        <v>#REF!</v>
      </c>
      <c r="HE431" t="e">
        <f>AND(#REF!,"AAAAAB/uLdQ=")</f>
        <v>#REF!</v>
      </c>
      <c r="HF431" t="e">
        <f>AND(#REF!,"AAAAAB/uLdU=")</f>
        <v>#REF!</v>
      </c>
      <c r="HG431" t="e">
        <f>AND(#REF!,"AAAAAB/uLdY=")</f>
        <v>#REF!</v>
      </c>
      <c r="HH431" t="e">
        <f>AND(#REF!,"AAAAAB/uLdc=")</f>
        <v>#REF!</v>
      </c>
      <c r="HI431" t="e">
        <f>AND(#REF!,"AAAAAB/uLdg=")</f>
        <v>#REF!</v>
      </c>
      <c r="HJ431" t="e">
        <f>AND(#REF!,"AAAAAB/uLdk=")</f>
        <v>#REF!</v>
      </c>
      <c r="HK431" t="e">
        <f>AND(#REF!,"AAAAAB/uLdo=")</f>
        <v>#REF!</v>
      </c>
      <c r="HL431" t="e">
        <f>AND(#REF!,"AAAAAB/uLds=")</f>
        <v>#REF!</v>
      </c>
      <c r="HM431" t="e">
        <f>AND(#REF!,"AAAAAB/uLdw=")</f>
        <v>#REF!</v>
      </c>
      <c r="HN431" t="e">
        <f>AND(#REF!,"AAAAAB/uLd0=")</f>
        <v>#REF!</v>
      </c>
      <c r="HO431" t="e">
        <f>AND(#REF!,"AAAAAB/uLd4=")</f>
        <v>#REF!</v>
      </c>
      <c r="HP431" t="e">
        <f>AND(#REF!,"AAAAAB/uLd8=")</f>
        <v>#REF!</v>
      </c>
      <c r="HQ431" t="e">
        <f>AND(#REF!,"AAAAAB/uLeA=")</f>
        <v>#REF!</v>
      </c>
      <c r="HR431" t="e">
        <f>AND(#REF!,"AAAAAB/uLeE=")</f>
        <v>#REF!</v>
      </c>
      <c r="HS431" t="e">
        <f>AND(#REF!,"AAAAAB/uLeI=")</f>
        <v>#REF!</v>
      </c>
      <c r="HT431" t="e">
        <f>AND(#REF!,"AAAAAB/uLeM=")</f>
        <v>#REF!</v>
      </c>
      <c r="HU431" t="e">
        <f>AND(#REF!,"AAAAAB/uLeQ=")</f>
        <v>#REF!</v>
      </c>
      <c r="HV431" t="e">
        <f>AND(#REF!,"AAAAAB/uLeU=")</f>
        <v>#REF!</v>
      </c>
      <c r="HW431" t="e">
        <f>IF(#REF!,"AAAAAB/uLeY=",0)</f>
        <v>#REF!</v>
      </c>
      <c r="HX431" t="e">
        <f>AND(#REF!,"AAAAAB/uLec=")</f>
        <v>#REF!</v>
      </c>
      <c r="HY431" t="e">
        <f>AND(#REF!,"AAAAAB/uLeg=")</f>
        <v>#REF!</v>
      </c>
      <c r="HZ431" t="e">
        <f>AND(#REF!,"AAAAAB/uLek=")</f>
        <v>#REF!</v>
      </c>
      <c r="IA431" t="e">
        <f>AND(#REF!,"AAAAAB/uLeo=")</f>
        <v>#REF!</v>
      </c>
      <c r="IB431" t="e">
        <f>AND(#REF!,"AAAAAB/uLes=")</f>
        <v>#REF!</v>
      </c>
      <c r="IC431" t="e">
        <f>AND(#REF!,"AAAAAB/uLew=")</f>
        <v>#REF!</v>
      </c>
      <c r="ID431" t="e">
        <f>AND(#REF!,"AAAAAB/uLe0=")</f>
        <v>#REF!</v>
      </c>
      <c r="IE431" t="e">
        <f>AND(#REF!,"AAAAAB/uLe4=")</f>
        <v>#REF!</v>
      </c>
      <c r="IF431" t="e">
        <f>AND(#REF!,"AAAAAB/uLe8=")</f>
        <v>#REF!</v>
      </c>
      <c r="IG431" t="e">
        <f>AND(#REF!,"AAAAAB/uLfA=")</f>
        <v>#REF!</v>
      </c>
      <c r="IH431" t="e">
        <f>AND(#REF!,"AAAAAB/uLfE=")</f>
        <v>#REF!</v>
      </c>
      <c r="II431" t="e">
        <f>AND(#REF!,"AAAAAB/uLfI=")</f>
        <v>#REF!</v>
      </c>
      <c r="IJ431" t="e">
        <f>AND(#REF!,"AAAAAB/uLfM=")</f>
        <v>#REF!</v>
      </c>
      <c r="IK431" t="e">
        <f>AND(#REF!,"AAAAAB/uLfQ=")</f>
        <v>#REF!</v>
      </c>
      <c r="IL431" t="e">
        <f>AND(#REF!,"AAAAAB/uLfU=")</f>
        <v>#REF!</v>
      </c>
      <c r="IM431" t="e">
        <f>AND(#REF!,"AAAAAB/uLfY=")</f>
        <v>#REF!</v>
      </c>
      <c r="IN431" t="e">
        <f>AND(#REF!,"AAAAAB/uLfc=")</f>
        <v>#REF!</v>
      </c>
      <c r="IO431" t="e">
        <f>AND(#REF!,"AAAAAB/uLfg=")</f>
        <v>#REF!</v>
      </c>
      <c r="IP431" t="e">
        <f>AND(#REF!,"AAAAAB/uLfk=")</f>
        <v>#REF!</v>
      </c>
      <c r="IQ431" t="e">
        <f>AND(#REF!,"AAAAAB/uLfo=")</f>
        <v>#REF!</v>
      </c>
      <c r="IR431" t="e">
        <f>AND(#REF!,"AAAAAB/uLfs=")</f>
        <v>#REF!</v>
      </c>
      <c r="IS431" t="e">
        <f>AND(#REF!,"AAAAAB/uLfw=")</f>
        <v>#REF!</v>
      </c>
      <c r="IT431" t="e">
        <f>AND(#REF!,"AAAAAB/uLf0=")</f>
        <v>#REF!</v>
      </c>
      <c r="IU431" t="e">
        <f>AND(#REF!,"AAAAAB/uLf4=")</f>
        <v>#REF!</v>
      </c>
      <c r="IV431" t="e">
        <f>IF(#REF!,"AAAAAB/uLf8=",0)</f>
        <v>#REF!</v>
      </c>
    </row>
    <row r="432" spans="1:256">
      <c r="A432" t="e">
        <f>AND(#REF!,"AAAAAHZr3wA=")</f>
        <v>#REF!</v>
      </c>
      <c r="B432" t="e">
        <f>AND(#REF!,"AAAAAHZr3wE=")</f>
        <v>#REF!</v>
      </c>
      <c r="C432" t="e">
        <f>AND(#REF!,"AAAAAHZr3wI=")</f>
        <v>#REF!</v>
      </c>
      <c r="D432" t="e">
        <f>AND(#REF!,"AAAAAHZr3wM=")</f>
        <v>#REF!</v>
      </c>
      <c r="E432" t="e">
        <f>AND(#REF!,"AAAAAHZr3wQ=")</f>
        <v>#REF!</v>
      </c>
      <c r="F432" t="e">
        <f>AND(#REF!,"AAAAAHZr3wU=")</f>
        <v>#REF!</v>
      </c>
      <c r="G432" t="e">
        <f>AND(#REF!,"AAAAAHZr3wY=")</f>
        <v>#REF!</v>
      </c>
      <c r="H432" t="e">
        <f>AND(#REF!,"AAAAAHZr3wc=")</f>
        <v>#REF!</v>
      </c>
      <c r="I432" t="e">
        <f>AND(#REF!,"AAAAAHZr3wg=")</f>
        <v>#REF!</v>
      </c>
      <c r="J432" t="e">
        <f>AND(#REF!,"AAAAAHZr3wk=")</f>
        <v>#REF!</v>
      </c>
      <c r="K432" t="e">
        <f>AND(#REF!,"AAAAAHZr3wo=")</f>
        <v>#REF!</v>
      </c>
      <c r="L432" t="e">
        <f>AND(#REF!,"AAAAAHZr3ws=")</f>
        <v>#REF!</v>
      </c>
      <c r="M432" t="e">
        <f>AND(#REF!,"AAAAAHZr3ww=")</f>
        <v>#REF!</v>
      </c>
      <c r="N432" t="e">
        <f>AND(#REF!,"AAAAAHZr3w0=")</f>
        <v>#REF!</v>
      </c>
      <c r="O432" t="e">
        <f>AND(#REF!,"AAAAAHZr3w4=")</f>
        <v>#REF!</v>
      </c>
      <c r="P432" t="e">
        <f>AND(#REF!,"AAAAAHZr3w8=")</f>
        <v>#REF!</v>
      </c>
      <c r="Q432" t="e">
        <f>AND(#REF!,"AAAAAHZr3xA=")</f>
        <v>#REF!</v>
      </c>
      <c r="R432" t="e">
        <f>AND(#REF!,"AAAAAHZr3xE=")</f>
        <v>#REF!</v>
      </c>
      <c r="S432" t="e">
        <f>AND(#REF!,"AAAAAHZr3xI=")</f>
        <v>#REF!</v>
      </c>
      <c r="T432" t="e">
        <f>AND(#REF!,"AAAAAHZr3xM=")</f>
        <v>#REF!</v>
      </c>
      <c r="U432" t="e">
        <f>AND(#REF!,"AAAAAHZr3xQ=")</f>
        <v>#REF!</v>
      </c>
      <c r="V432" t="e">
        <f>AND(#REF!,"AAAAAHZr3xU=")</f>
        <v>#REF!</v>
      </c>
      <c r="W432" t="e">
        <f>AND(#REF!,"AAAAAHZr3xY=")</f>
        <v>#REF!</v>
      </c>
      <c r="X432" t="e">
        <f>AND(#REF!,"AAAAAHZr3xc=")</f>
        <v>#REF!</v>
      </c>
      <c r="Y432" t="e">
        <f>IF(#REF!,"AAAAAHZr3xg=",0)</f>
        <v>#REF!</v>
      </c>
      <c r="Z432" t="e">
        <f>AND(#REF!,"AAAAAHZr3xk=")</f>
        <v>#REF!</v>
      </c>
      <c r="AA432" t="e">
        <f>AND(#REF!,"AAAAAHZr3xo=")</f>
        <v>#REF!</v>
      </c>
      <c r="AB432" t="e">
        <f>AND(#REF!,"AAAAAHZr3xs=")</f>
        <v>#REF!</v>
      </c>
      <c r="AC432" t="e">
        <f>AND(#REF!,"AAAAAHZr3xw=")</f>
        <v>#REF!</v>
      </c>
      <c r="AD432" t="e">
        <f>AND(#REF!,"AAAAAHZr3x0=")</f>
        <v>#REF!</v>
      </c>
      <c r="AE432" t="e">
        <f>AND(#REF!,"AAAAAHZr3x4=")</f>
        <v>#REF!</v>
      </c>
      <c r="AF432" t="e">
        <f>AND(#REF!,"AAAAAHZr3x8=")</f>
        <v>#REF!</v>
      </c>
      <c r="AG432" t="e">
        <f>AND(#REF!,"AAAAAHZr3yA=")</f>
        <v>#REF!</v>
      </c>
      <c r="AH432" t="e">
        <f>AND(#REF!,"AAAAAHZr3yE=")</f>
        <v>#REF!</v>
      </c>
      <c r="AI432" t="e">
        <f>AND(#REF!,"AAAAAHZr3yI=")</f>
        <v>#REF!</v>
      </c>
      <c r="AJ432" t="e">
        <f>AND(#REF!,"AAAAAHZr3yM=")</f>
        <v>#REF!</v>
      </c>
      <c r="AK432" t="e">
        <f>AND(#REF!,"AAAAAHZr3yQ=")</f>
        <v>#REF!</v>
      </c>
      <c r="AL432" t="e">
        <f>AND(#REF!,"AAAAAHZr3yU=")</f>
        <v>#REF!</v>
      </c>
      <c r="AM432" t="e">
        <f>AND(#REF!,"AAAAAHZr3yY=")</f>
        <v>#REF!</v>
      </c>
      <c r="AN432" t="e">
        <f>AND(#REF!,"AAAAAHZr3yc=")</f>
        <v>#REF!</v>
      </c>
      <c r="AO432" t="e">
        <f>AND(#REF!,"AAAAAHZr3yg=")</f>
        <v>#REF!</v>
      </c>
      <c r="AP432" t="e">
        <f>AND(#REF!,"AAAAAHZr3yk=")</f>
        <v>#REF!</v>
      </c>
      <c r="AQ432" t="e">
        <f>AND(#REF!,"AAAAAHZr3yo=")</f>
        <v>#REF!</v>
      </c>
      <c r="AR432" t="e">
        <f>AND(#REF!,"AAAAAHZr3ys=")</f>
        <v>#REF!</v>
      </c>
      <c r="AS432" t="e">
        <f>AND(#REF!,"AAAAAHZr3yw=")</f>
        <v>#REF!</v>
      </c>
      <c r="AT432" t="e">
        <f>AND(#REF!,"AAAAAHZr3y0=")</f>
        <v>#REF!</v>
      </c>
      <c r="AU432" t="e">
        <f>AND(#REF!,"AAAAAHZr3y4=")</f>
        <v>#REF!</v>
      </c>
      <c r="AV432" t="e">
        <f>AND(#REF!,"AAAAAHZr3y8=")</f>
        <v>#REF!</v>
      </c>
      <c r="AW432" t="e">
        <f>AND(#REF!,"AAAAAHZr3zA=")</f>
        <v>#REF!</v>
      </c>
      <c r="AX432" t="e">
        <f>IF(#REF!,"AAAAAHZr3zE=",0)</f>
        <v>#REF!</v>
      </c>
      <c r="AY432" t="e">
        <f>AND(#REF!,"AAAAAHZr3zI=")</f>
        <v>#REF!</v>
      </c>
      <c r="AZ432" t="e">
        <f>AND(#REF!,"AAAAAHZr3zM=")</f>
        <v>#REF!</v>
      </c>
      <c r="BA432" t="e">
        <f>AND(#REF!,"AAAAAHZr3zQ=")</f>
        <v>#REF!</v>
      </c>
      <c r="BB432" t="e">
        <f>AND(#REF!,"AAAAAHZr3zU=")</f>
        <v>#REF!</v>
      </c>
      <c r="BC432" t="e">
        <f>AND(#REF!,"AAAAAHZr3zY=")</f>
        <v>#REF!</v>
      </c>
      <c r="BD432" t="e">
        <f>AND(#REF!,"AAAAAHZr3zc=")</f>
        <v>#REF!</v>
      </c>
      <c r="BE432" t="e">
        <f>AND(#REF!,"AAAAAHZr3zg=")</f>
        <v>#REF!</v>
      </c>
      <c r="BF432" t="e">
        <f>AND(#REF!,"AAAAAHZr3zk=")</f>
        <v>#REF!</v>
      </c>
      <c r="BG432" t="e">
        <f>AND(#REF!,"AAAAAHZr3zo=")</f>
        <v>#REF!</v>
      </c>
      <c r="BH432" t="e">
        <f>AND(#REF!,"AAAAAHZr3zs=")</f>
        <v>#REF!</v>
      </c>
      <c r="BI432" t="e">
        <f>AND(#REF!,"AAAAAHZr3zw=")</f>
        <v>#REF!</v>
      </c>
      <c r="BJ432" t="e">
        <f>AND(#REF!,"AAAAAHZr3z0=")</f>
        <v>#REF!</v>
      </c>
      <c r="BK432" t="e">
        <f>AND(#REF!,"AAAAAHZr3z4=")</f>
        <v>#REF!</v>
      </c>
      <c r="BL432" t="e">
        <f>AND(#REF!,"AAAAAHZr3z8=")</f>
        <v>#REF!</v>
      </c>
      <c r="BM432" t="e">
        <f>AND(#REF!,"AAAAAHZr30A=")</f>
        <v>#REF!</v>
      </c>
      <c r="BN432" t="e">
        <f>AND(#REF!,"AAAAAHZr30E=")</f>
        <v>#REF!</v>
      </c>
      <c r="BO432" t="e">
        <f>AND(#REF!,"AAAAAHZr30I=")</f>
        <v>#REF!</v>
      </c>
      <c r="BP432" t="e">
        <f>AND(#REF!,"AAAAAHZr30M=")</f>
        <v>#REF!</v>
      </c>
      <c r="BQ432" t="e">
        <f>AND(#REF!,"AAAAAHZr30Q=")</f>
        <v>#REF!</v>
      </c>
      <c r="BR432" t="e">
        <f>AND(#REF!,"AAAAAHZr30U=")</f>
        <v>#REF!</v>
      </c>
      <c r="BS432" t="e">
        <f>AND(#REF!,"AAAAAHZr30Y=")</f>
        <v>#REF!</v>
      </c>
      <c r="BT432" t="e">
        <f>AND(#REF!,"AAAAAHZr30c=")</f>
        <v>#REF!</v>
      </c>
      <c r="BU432" t="e">
        <f>AND(#REF!,"AAAAAHZr30g=")</f>
        <v>#REF!</v>
      </c>
      <c r="BV432" t="e">
        <f>AND(#REF!,"AAAAAHZr30k=")</f>
        <v>#REF!</v>
      </c>
      <c r="BW432" t="e">
        <f>IF(#REF!,"AAAAAHZr30o=",0)</f>
        <v>#REF!</v>
      </c>
      <c r="BX432" t="e">
        <f>AND(#REF!,"AAAAAHZr30s=")</f>
        <v>#REF!</v>
      </c>
      <c r="BY432" t="e">
        <f>AND(#REF!,"AAAAAHZr30w=")</f>
        <v>#REF!</v>
      </c>
      <c r="BZ432" t="e">
        <f>AND(#REF!,"AAAAAHZr300=")</f>
        <v>#REF!</v>
      </c>
      <c r="CA432" t="e">
        <f>AND(#REF!,"AAAAAHZr304=")</f>
        <v>#REF!</v>
      </c>
      <c r="CB432" t="e">
        <f>AND(#REF!,"AAAAAHZr308=")</f>
        <v>#REF!</v>
      </c>
      <c r="CC432" t="e">
        <f>AND(#REF!,"AAAAAHZr31A=")</f>
        <v>#REF!</v>
      </c>
      <c r="CD432" t="e">
        <f>AND(#REF!,"AAAAAHZr31E=")</f>
        <v>#REF!</v>
      </c>
      <c r="CE432" t="e">
        <f>AND(#REF!,"AAAAAHZr31I=")</f>
        <v>#REF!</v>
      </c>
      <c r="CF432" t="e">
        <f>AND(#REF!,"AAAAAHZr31M=")</f>
        <v>#REF!</v>
      </c>
      <c r="CG432" t="e">
        <f>AND(#REF!,"AAAAAHZr31Q=")</f>
        <v>#REF!</v>
      </c>
      <c r="CH432" t="e">
        <f>AND(#REF!,"AAAAAHZr31U=")</f>
        <v>#REF!</v>
      </c>
      <c r="CI432" t="e">
        <f>AND(#REF!,"AAAAAHZr31Y=")</f>
        <v>#REF!</v>
      </c>
      <c r="CJ432" t="e">
        <f>AND(#REF!,"AAAAAHZr31c=")</f>
        <v>#REF!</v>
      </c>
      <c r="CK432" t="e">
        <f>AND(#REF!,"AAAAAHZr31g=")</f>
        <v>#REF!</v>
      </c>
      <c r="CL432" t="e">
        <f>AND(#REF!,"AAAAAHZr31k=")</f>
        <v>#REF!</v>
      </c>
      <c r="CM432" t="e">
        <f>AND(#REF!,"AAAAAHZr31o=")</f>
        <v>#REF!</v>
      </c>
      <c r="CN432" t="e">
        <f>AND(#REF!,"AAAAAHZr31s=")</f>
        <v>#REF!</v>
      </c>
      <c r="CO432" t="e">
        <f>AND(#REF!,"AAAAAHZr31w=")</f>
        <v>#REF!</v>
      </c>
      <c r="CP432" t="e">
        <f>AND(#REF!,"AAAAAHZr310=")</f>
        <v>#REF!</v>
      </c>
      <c r="CQ432" t="e">
        <f>AND(#REF!,"AAAAAHZr314=")</f>
        <v>#REF!</v>
      </c>
      <c r="CR432" t="e">
        <f>AND(#REF!,"AAAAAHZr318=")</f>
        <v>#REF!</v>
      </c>
      <c r="CS432" t="e">
        <f>AND(#REF!,"AAAAAHZr32A=")</f>
        <v>#REF!</v>
      </c>
      <c r="CT432" t="e">
        <f>AND(#REF!,"AAAAAHZr32E=")</f>
        <v>#REF!</v>
      </c>
      <c r="CU432" t="e">
        <f>AND(#REF!,"AAAAAHZr32I=")</f>
        <v>#REF!</v>
      </c>
      <c r="CV432" t="e">
        <f>IF(#REF!,"AAAAAHZr32M=",0)</f>
        <v>#REF!</v>
      </c>
      <c r="CW432" t="e">
        <f>AND(#REF!,"AAAAAHZr32Q=")</f>
        <v>#REF!</v>
      </c>
      <c r="CX432" t="e">
        <f>AND(#REF!,"AAAAAHZr32U=")</f>
        <v>#REF!</v>
      </c>
      <c r="CY432" t="e">
        <f>AND(#REF!,"AAAAAHZr32Y=")</f>
        <v>#REF!</v>
      </c>
      <c r="CZ432" t="e">
        <f>AND(#REF!,"AAAAAHZr32c=")</f>
        <v>#REF!</v>
      </c>
      <c r="DA432" t="e">
        <f>AND(#REF!,"AAAAAHZr32g=")</f>
        <v>#REF!</v>
      </c>
      <c r="DB432" t="e">
        <f>AND(#REF!,"AAAAAHZr32k=")</f>
        <v>#REF!</v>
      </c>
      <c r="DC432" t="e">
        <f>AND(#REF!,"AAAAAHZr32o=")</f>
        <v>#REF!</v>
      </c>
      <c r="DD432" t="e">
        <f>AND(#REF!,"AAAAAHZr32s=")</f>
        <v>#REF!</v>
      </c>
      <c r="DE432" t="e">
        <f>AND(#REF!,"AAAAAHZr32w=")</f>
        <v>#REF!</v>
      </c>
      <c r="DF432" t="e">
        <f>AND(#REF!,"AAAAAHZr320=")</f>
        <v>#REF!</v>
      </c>
      <c r="DG432" t="e">
        <f>AND(#REF!,"AAAAAHZr324=")</f>
        <v>#REF!</v>
      </c>
      <c r="DH432" t="e">
        <f>AND(#REF!,"AAAAAHZr328=")</f>
        <v>#REF!</v>
      </c>
      <c r="DI432" t="e">
        <f>AND(#REF!,"AAAAAHZr33A=")</f>
        <v>#REF!</v>
      </c>
      <c r="DJ432" t="e">
        <f>AND(#REF!,"AAAAAHZr33E=")</f>
        <v>#REF!</v>
      </c>
      <c r="DK432" t="e">
        <f>AND(#REF!,"AAAAAHZr33I=")</f>
        <v>#REF!</v>
      </c>
      <c r="DL432" t="e">
        <f>AND(#REF!,"AAAAAHZr33M=")</f>
        <v>#REF!</v>
      </c>
      <c r="DM432" t="e">
        <f>AND(#REF!,"AAAAAHZr33Q=")</f>
        <v>#REF!</v>
      </c>
      <c r="DN432" t="e">
        <f>AND(#REF!,"AAAAAHZr33U=")</f>
        <v>#REF!</v>
      </c>
      <c r="DO432" t="e">
        <f>AND(#REF!,"AAAAAHZr33Y=")</f>
        <v>#REF!</v>
      </c>
      <c r="DP432" t="e">
        <f>AND(#REF!,"AAAAAHZr33c=")</f>
        <v>#REF!</v>
      </c>
      <c r="DQ432" t="e">
        <f>AND(#REF!,"AAAAAHZr33g=")</f>
        <v>#REF!</v>
      </c>
      <c r="DR432" t="e">
        <f>AND(#REF!,"AAAAAHZr33k=")</f>
        <v>#REF!</v>
      </c>
      <c r="DS432" t="e">
        <f>AND(#REF!,"AAAAAHZr33o=")</f>
        <v>#REF!</v>
      </c>
      <c r="DT432" t="e">
        <f>AND(#REF!,"AAAAAHZr33s=")</f>
        <v>#REF!</v>
      </c>
      <c r="DU432" t="e">
        <f>IF(#REF!,"AAAAAHZr33w=",0)</f>
        <v>#REF!</v>
      </c>
      <c r="DV432" t="e">
        <f>AND(#REF!,"AAAAAHZr330=")</f>
        <v>#REF!</v>
      </c>
      <c r="DW432" t="e">
        <f>AND(#REF!,"AAAAAHZr334=")</f>
        <v>#REF!</v>
      </c>
      <c r="DX432" t="e">
        <f>AND(#REF!,"AAAAAHZr338=")</f>
        <v>#REF!</v>
      </c>
      <c r="DY432" t="e">
        <f>AND(#REF!,"AAAAAHZr34A=")</f>
        <v>#REF!</v>
      </c>
      <c r="DZ432" t="e">
        <f>AND(#REF!,"AAAAAHZr34E=")</f>
        <v>#REF!</v>
      </c>
      <c r="EA432" t="e">
        <f>AND(#REF!,"AAAAAHZr34I=")</f>
        <v>#REF!</v>
      </c>
      <c r="EB432" t="e">
        <f>AND(#REF!,"AAAAAHZr34M=")</f>
        <v>#REF!</v>
      </c>
      <c r="EC432" t="e">
        <f>AND(#REF!,"AAAAAHZr34Q=")</f>
        <v>#REF!</v>
      </c>
      <c r="ED432" t="e">
        <f>AND(#REF!,"AAAAAHZr34U=")</f>
        <v>#REF!</v>
      </c>
      <c r="EE432" t="e">
        <f>AND(#REF!,"AAAAAHZr34Y=")</f>
        <v>#REF!</v>
      </c>
      <c r="EF432" t="e">
        <f>AND(#REF!,"AAAAAHZr34c=")</f>
        <v>#REF!</v>
      </c>
      <c r="EG432" t="e">
        <f>AND(#REF!,"AAAAAHZr34g=")</f>
        <v>#REF!</v>
      </c>
      <c r="EH432" t="e">
        <f>AND(#REF!,"AAAAAHZr34k=")</f>
        <v>#REF!</v>
      </c>
      <c r="EI432" t="e">
        <f>AND(#REF!,"AAAAAHZr34o=")</f>
        <v>#REF!</v>
      </c>
      <c r="EJ432" t="e">
        <f>AND(#REF!,"AAAAAHZr34s=")</f>
        <v>#REF!</v>
      </c>
      <c r="EK432" t="e">
        <f>AND(#REF!,"AAAAAHZr34w=")</f>
        <v>#REF!</v>
      </c>
      <c r="EL432" t="e">
        <f>AND(#REF!,"AAAAAHZr340=")</f>
        <v>#REF!</v>
      </c>
      <c r="EM432" t="e">
        <f>AND(#REF!,"AAAAAHZr344=")</f>
        <v>#REF!</v>
      </c>
      <c r="EN432" t="e">
        <f>AND(#REF!,"AAAAAHZr348=")</f>
        <v>#REF!</v>
      </c>
      <c r="EO432" t="e">
        <f>AND(#REF!,"AAAAAHZr35A=")</f>
        <v>#REF!</v>
      </c>
      <c r="EP432" t="e">
        <f>AND(#REF!,"AAAAAHZr35E=")</f>
        <v>#REF!</v>
      </c>
      <c r="EQ432" t="e">
        <f>AND(#REF!,"AAAAAHZr35I=")</f>
        <v>#REF!</v>
      </c>
      <c r="ER432" t="e">
        <f>AND(#REF!,"AAAAAHZr35M=")</f>
        <v>#REF!</v>
      </c>
      <c r="ES432" t="e">
        <f>AND(#REF!,"AAAAAHZr35Q=")</f>
        <v>#REF!</v>
      </c>
      <c r="ET432" t="e">
        <f>IF(#REF!,"AAAAAHZr35U=",0)</f>
        <v>#REF!</v>
      </c>
      <c r="EU432" t="e">
        <f>AND(#REF!,"AAAAAHZr35Y=")</f>
        <v>#REF!</v>
      </c>
      <c r="EV432" t="e">
        <f>AND(#REF!,"AAAAAHZr35c=")</f>
        <v>#REF!</v>
      </c>
      <c r="EW432" t="e">
        <f>AND(#REF!,"AAAAAHZr35g=")</f>
        <v>#REF!</v>
      </c>
      <c r="EX432" t="e">
        <f>AND(#REF!,"AAAAAHZr35k=")</f>
        <v>#REF!</v>
      </c>
      <c r="EY432" t="e">
        <f>AND(#REF!,"AAAAAHZr35o=")</f>
        <v>#REF!</v>
      </c>
      <c r="EZ432" t="e">
        <f>AND(#REF!,"AAAAAHZr35s=")</f>
        <v>#REF!</v>
      </c>
      <c r="FA432" t="e">
        <f>AND(#REF!,"AAAAAHZr35w=")</f>
        <v>#REF!</v>
      </c>
      <c r="FB432" t="e">
        <f>AND(#REF!,"AAAAAHZr350=")</f>
        <v>#REF!</v>
      </c>
      <c r="FC432" t="e">
        <f>AND(#REF!,"AAAAAHZr354=")</f>
        <v>#REF!</v>
      </c>
      <c r="FD432" t="e">
        <f>AND(#REF!,"AAAAAHZr358=")</f>
        <v>#REF!</v>
      </c>
      <c r="FE432" t="e">
        <f>AND(#REF!,"AAAAAHZr36A=")</f>
        <v>#REF!</v>
      </c>
      <c r="FF432" t="e">
        <f>AND(#REF!,"AAAAAHZr36E=")</f>
        <v>#REF!</v>
      </c>
      <c r="FG432" t="e">
        <f>AND(#REF!,"AAAAAHZr36I=")</f>
        <v>#REF!</v>
      </c>
      <c r="FH432" t="e">
        <f>AND(#REF!,"AAAAAHZr36M=")</f>
        <v>#REF!</v>
      </c>
      <c r="FI432" t="e">
        <f>AND(#REF!,"AAAAAHZr36Q=")</f>
        <v>#REF!</v>
      </c>
      <c r="FJ432" t="e">
        <f>AND(#REF!,"AAAAAHZr36U=")</f>
        <v>#REF!</v>
      </c>
      <c r="FK432" t="e">
        <f>AND(#REF!,"AAAAAHZr36Y=")</f>
        <v>#REF!</v>
      </c>
      <c r="FL432" t="e">
        <f>AND(#REF!,"AAAAAHZr36c=")</f>
        <v>#REF!</v>
      </c>
      <c r="FM432" t="e">
        <f>AND(#REF!,"AAAAAHZr36g=")</f>
        <v>#REF!</v>
      </c>
      <c r="FN432" t="e">
        <f>AND(#REF!,"AAAAAHZr36k=")</f>
        <v>#REF!</v>
      </c>
      <c r="FO432" t="e">
        <f>AND(#REF!,"AAAAAHZr36o=")</f>
        <v>#REF!</v>
      </c>
      <c r="FP432" t="e">
        <f>AND(#REF!,"AAAAAHZr36s=")</f>
        <v>#REF!</v>
      </c>
      <c r="FQ432" t="e">
        <f>AND(#REF!,"AAAAAHZr36w=")</f>
        <v>#REF!</v>
      </c>
      <c r="FR432" t="e">
        <f>AND(#REF!,"AAAAAHZr360=")</f>
        <v>#REF!</v>
      </c>
      <c r="FS432" t="e">
        <f>IF(#REF!,"AAAAAHZr364=",0)</f>
        <v>#REF!</v>
      </c>
      <c r="FT432" t="e">
        <f>AND(#REF!,"AAAAAHZr368=")</f>
        <v>#REF!</v>
      </c>
      <c r="FU432" t="e">
        <f>AND(#REF!,"AAAAAHZr37A=")</f>
        <v>#REF!</v>
      </c>
      <c r="FV432" t="e">
        <f>AND(#REF!,"AAAAAHZr37E=")</f>
        <v>#REF!</v>
      </c>
      <c r="FW432" t="e">
        <f>AND(#REF!,"AAAAAHZr37I=")</f>
        <v>#REF!</v>
      </c>
      <c r="FX432" t="e">
        <f>AND(#REF!,"AAAAAHZr37M=")</f>
        <v>#REF!</v>
      </c>
      <c r="FY432" t="e">
        <f>AND(#REF!,"AAAAAHZr37Q=")</f>
        <v>#REF!</v>
      </c>
      <c r="FZ432" t="e">
        <f>AND(#REF!,"AAAAAHZr37U=")</f>
        <v>#REF!</v>
      </c>
      <c r="GA432" t="e">
        <f>AND(#REF!,"AAAAAHZr37Y=")</f>
        <v>#REF!</v>
      </c>
      <c r="GB432" t="e">
        <f>AND(#REF!,"AAAAAHZr37c=")</f>
        <v>#REF!</v>
      </c>
      <c r="GC432" t="e">
        <f>AND(#REF!,"AAAAAHZr37g=")</f>
        <v>#REF!</v>
      </c>
      <c r="GD432" t="e">
        <f>AND(#REF!,"AAAAAHZr37k=")</f>
        <v>#REF!</v>
      </c>
      <c r="GE432" t="e">
        <f>AND(#REF!,"AAAAAHZr37o=")</f>
        <v>#REF!</v>
      </c>
      <c r="GF432" t="e">
        <f>AND(#REF!,"AAAAAHZr37s=")</f>
        <v>#REF!</v>
      </c>
      <c r="GG432" t="e">
        <f>AND(#REF!,"AAAAAHZr37w=")</f>
        <v>#REF!</v>
      </c>
      <c r="GH432" t="e">
        <f>AND(#REF!,"AAAAAHZr370=")</f>
        <v>#REF!</v>
      </c>
      <c r="GI432" t="e">
        <f>AND(#REF!,"AAAAAHZr374=")</f>
        <v>#REF!</v>
      </c>
      <c r="GJ432" t="e">
        <f>AND(#REF!,"AAAAAHZr378=")</f>
        <v>#REF!</v>
      </c>
      <c r="GK432" t="e">
        <f>AND(#REF!,"AAAAAHZr38A=")</f>
        <v>#REF!</v>
      </c>
      <c r="GL432" t="e">
        <f>AND(#REF!,"AAAAAHZr38E=")</f>
        <v>#REF!</v>
      </c>
      <c r="GM432" t="e">
        <f>AND(#REF!,"AAAAAHZr38I=")</f>
        <v>#REF!</v>
      </c>
      <c r="GN432" t="e">
        <f>AND(#REF!,"AAAAAHZr38M=")</f>
        <v>#REF!</v>
      </c>
      <c r="GO432" t="e">
        <f>AND(#REF!,"AAAAAHZr38Q=")</f>
        <v>#REF!</v>
      </c>
      <c r="GP432" t="e">
        <f>AND(#REF!,"AAAAAHZr38U=")</f>
        <v>#REF!</v>
      </c>
      <c r="GQ432" t="e">
        <f>AND(#REF!,"AAAAAHZr38Y=")</f>
        <v>#REF!</v>
      </c>
      <c r="GR432" t="e">
        <f>IF(#REF!,"AAAAAHZr38c=",0)</f>
        <v>#REF!</v>
      </c>
      <c r="GS432" t="e">
        <f>AND(#REF!,"AAAAAHZr38g=")</f>
        <v>#REF!</v>
      </c>
      <c r="GT432" t="e">
        <f>AND(#REF!,"AAAAAHZr38k=")</f>
        <v>#REF!</v>
      </c>
      <c r="GU432" t="e">
        <f>AND(#REF!,"AAAAAHZr38o=")</f>
        <v>#REF!</v>
      </c>
      <c r="GV432" t="e">
        <f>AND(#REF!,"AAAAAHZr38s=")</f>
        <v>#REF!</v>
      </c>
      <c r="GW432" t="e">
        <f>AND(#REF!,"AAAAAHZr38w=")</f>
        <v>#REF!</v>
      </c>
      <c r="GX432" t="e">
        <f>AND(#REF!,"AAAAAHZr380=")</f>
        <v>#REF!</v>
      </c>
      <c r="GY432" t="e">
        <f>AND(#REF!,"AAAAAHZr384=")</f>
        <v>#REF!</v>
      </c>
      <c r="GZ432" t="e">
        <f>AND(#REF!,"AAAAAHZr388=")</f>
        <v>#REF!</v>
      </c>
      <c r="HA432" t="e">
        <f>AND(#REF!,"AAAAAHZr39A=")</f>
        <v>#REF!</v>
      </c>
      <c r="HB432" t="e">
        <f>AND(#REF!,"AAAAAHZr39E=")</f>
        <v>#REF!</v>
      </c>
      <c r="HC432" t="e">
        <f>AND(#REF!,"AAAAAHZr39I=")</f>
        <v>#REF!</v>
      </c>
      <c r="HD432" t="e">
        <f>AND(#REF!,"AAAAAHZr39M=")</f>
        <v>#REF!</v>
      </c>
      <c r="HE432" t="e">
        <f>AND(#REF!,"AAAAAHZr39Q=")</f>
        <v>#REF!</v>
      </c>
      <c r="HF432" t="e">
        <f>AND(#REF!,"AAAAAHZr39U=")</f>
        <v>#REF!</v>
      </c>
      <c r="HG432" t="e">
        <f>AND(#REF!,"AAAAAHZr39Y=")</f>
        <v>#REF!</v>
      </c>
      <c r="HH432" t="e">
        <f>AND(#REF!,"AAAAAHZr39c=")</f>
        <v>#REF!</v>
      </c>
      <c r="HI432" t="e">
        <f>AND(#REF!,"AAAAAHZr39g=")</f>
        <v>#REF!</v>
      </c>
      <c r="HJ432" t="e">
        <f>AND(#REF!,"AAAAAHZr39k=")</f>
        <v>#REF!</v>
      </c>
      <c r="HK432" t="e">
        <f>AND(#REF!,"AAAAAHZr39o=")</f>
        <v>#REF!</v>
      </c>
      <c r="HL432" t="e">
        <f>AND(#REF!,"AAAAAHZr39s=")</f>
        <v>#REF!</v>
      </c>
      <c r="HM432" t="e">
        <f>AND(#REF!,"AAAAAHZr39w=")</f>
        <v>#REF!</v>
      </c>
      <c r="HN432" t="e">
        <f>AND(#REF!,"AAAAAHZr390=")</f>
        <v>#REF!</v>
      </c>
      <c r="HO432" t="e">
        <f>AND(#REF!,"AAAAAHZr394=")</f>
        <v>#REF!</v>
      </c>
      <c r="HP432" t="e">
        <f>AND(#REF!,"AAAAAHZr398=")</f>
        <v>#REF!</v>
      </c>
      <c r="HQ432" t="e">
        <f>IF(#REF!,"AAAAAHZr3+A=",0)</f>
        <v>#REF!</v>
      </c>
      <c r="HR432" t="e">
        <f>AND(#REF!,"AAAAAHZr3+E=")</f>
        <v>#REF!</v>
      </c>
      <c r="HS432" t="e">
        <f>AND(#REF!,"AAAAAHZr3+I=")</f>
        <v>#REF!</v>
      </c>
      <c r="HT432" t="e">
        <f>AND(#REF!,"AAAAAHZr3+M=")</f>
        <v>#REF!</v>
      </c>
      <c r="HU432" t="e">
        <f>AND(#REF!,"AAAAAHZr3+Q=")</f>
        <v>#REF!</v>
      </c>
      <c r="HV432" t="e">
        <f>AND(#REF!,"AAAAAHZr3+U=")</f>
        <v>#REF!</v>
      </c>
      <c r="HW432" t="e">
        <f>AND(#REF!,"AAAAAHZr3+Y=")</f>
        <v>#REF!</v>
      </c>
      <c r="HX432" t="e">
        <f>AND(#REF!,"AAAAAHZr3+c=")</f>
        <v>#REF!</v>
      </c>
      <c r="HY432" t="e">
        <f>AND(#REF!,"AAAAAHZr3+g=")</f>
        <v>#REF!</v>
      </c>
      <c r="HZ432" t="e">
        <f>AND(#REF!,"AAAAAHZr3+k=")</f>
        <v>#REF!</v>
      </c>
      <c r="IA432" t="e">
        <f>AND(#REF!,"AAAAAHZr3+o=")</f>
        <v>#REF!</v>
      </c>
      <c r="IB432" t="e">
        <f>AND(#REF!,"AAAAAHZr3+s=")</f>
        <v>#REF!</v>
      </c>
      <c r="IC432" t="e">
        <f>AND(#REF!,"AAAAAHZr3+w=")</f>
        <v>#REF!</v>
      </c>
      <c r="ID432" t="e">
        <f>AND(#REF!,"AAAAAHZr3+0=")</f>
        <v>#REF!</v>
      </c>
      <c r="IE432" t="e">
        <f>AND(#REF!,"AAAAAHZr3+4=")</f>
        <v>#REF!</v>
      </c>
      <c r="IF432" t="e">
        <f>AND(#REF!,"AAAAAHZr3+8=")</f>
        <v>#REF!</v>
      </c>
      <c r="IG432" t="e">
        <f>AND(#REF!,"AAAAAHZr3/A=")</f>
        <v>#REF!</v>
      </c>
      <c r="IH432" t="e">
        <f>AND(#REF!,"AAAAAHZr3/E=")</f>
        <v>#REF!</v>
      </c>
      <c r="II432" t="e">
        <f>AND(#REF!,"AAAAAHZr3/I=")</f>
        <v>#REF!</v>
      </c>
      <c r="IJ432" t="e">
        <f>AND(#REF!,"AAAAAHZr3/M=")</f>
        <v>#REF!</v>
      </c>
      <c r="IK432" t="e">
        <f>AND(#REF!,"AAAAAHZr3/Q=")</f>
        <v>#REF!</v>
      </c>
      <c r="IL432" t="e">
        <f>AND(#REF!,"AAAAAHZr3/U=")</f>
        <v>#REF!</v>
      </c>
      <c r="IM432" t="e">
        <f>AND(#REF!,"AAAAAHZr3/Y=")</f>
        <v>#REF!</v>
      </c>
      <c r="IN432" t="e">
        <f>AND(#REF!,"AAAAAHZr3/c=")</f>
        <v>#REF!</v>
      </c>
      <c r="IO432" t="e">
        <f>AND(#REF!,"AAAAAHZr3/g=")</f>
        <v>#REF!</v>
      </c>
      <c r="IP432" t="e">
        <f>IF(#REF!,"AAAAAHZr3/k=",0)</f>
        <v>#REF!</v>
      </c>
      <c r="IQ432" t="e">
        <f>AND(#REF!,"AAAAAHZr3/o=")</f>
        <v>#REF!</v>
      </c>
      <c r="IR432" t="e">
        <f>AND(#REF!,"AAAAAHZr3/s=")</f>
        <v>#REF!</v>
      </c>
      <c r="IS432" t="e">
        <f>AND(#REF!,"AAAAAHZr3/w=")</f>
        <v>#REF!</v>
      </c>
      <c r="IT432" t="e">
        <f>AND(#REF!,"AAAAAHZr3/0=")</f>
        <v>#REF!</v>
      </c>
      <c r="IU432" t="e">
        <f>AND(#REF!,"AAAAAHZr3/4=")</f>
        <v>#REF!</v>
      </c>
      <c r="IV432" t="e">
        <f>AND(#REF!,"AAAAAHZr3/8=")</f>
        <v>#REF!</v>
      </c>
    </row>
    <row r="433" spans="1:256">
      <c r="A433" t="e">
        <f>AND(#REF!,"AAAAAGcsHwA=")</f>
        <v>#REF!</v>
      </c>
      <c r="B433" t="e">
        <f>AND(#REF!,"AAAAAGcsHwE=")</f>
        <v>#REF!</v>
      </c>
      <c r="C433" t="e">
        <f>AND(#REF!,"AAAAAGcsHwI=")</f>
        <v>#REF!</v>
      </c>
      <c r="D433" t="e">
        <f>AND(#REF!,"AAAAAGcsHwM=")</f>
        <v>#REF!</v>
      </c>
      <c r="E433" t="e">
        <f>AND(#REF!,"AAAAAGcsHwQ=")</f>
        <v>#REF!</v>
      </c>
      <c r="F433" t="e">
        <f>AND(#REF!,"AAAAAGcsHwU=")</f>
        <v>#REF!</v>
      </c>
      <c r="G433" t="e">
        <f>AND(#REF!,"AAAAAGcsHwY=")</f>
        <v>#REF!</v>
      </c>
      <c r="H433" t="e">
        <f>AND(#REF!,"AAAAAGcsHwc=")</f>
        <v>#REF!</v>
      </c>
      <c r="I433" t="e">
        <f>AND(#REF!,"AAAAAGcsHwg=")</f>
        <v>#REF!</v>
      </c>
      <c r="J433" t="e">
        <f>AND(#REF!,"AAAAAGcsHwk=")</f>
        <v>#REF!</v>
      </c>
      <c r="K433" t="e">
        <f>AND(#REF!,"AAAAAGcsHwo=")</f>
        <v>#REF!</v>
      </c>
      <c r="L433" t="e">
        <f>AND(#REF!,"AAAAAGcsHws=")</f>
        <v>#REF!</v>
      </c>
      <c r="M433" t="e">
        <f>AND(#REF!,"AAAAAGcsHww=")</f>
        <v>#REF!</v>
      </c>
      <c r="N433" t="e">
        <f>AND(#REF!,"AAAAAGcsHw0=")</f>
        <v>#REF!</v>
      </c>
      <c r="O433" t="e">
        <f>AND(#REF!,"AAAAAGcsHw4=")</f>
        <v>#REF!</v>
      </c>
      <c r="P433" t="e">
        <f>AND(#REF!,"AAAAAGcsHw8=")</f>
        <v>#REF!</v>
      </c>
      <c r="Q433" t="e">
        <f>AND(#REF!,"AAAAAGcsHxA=")</f>
        <v>#REF!</v>
      </c>
      <c r="R433" t="e">
        <f>AND(#REF!,"AAAAAGcsHxE=")</f>
        <v>#REF!</v>
      </c>
      <c r="S433" t="e">
        <f>IF(#REF!,"AAAAAGcsHxI=",0)</f>
        <v>#REF!</v>
      </c>
      <c r="T433" t="e">
        <f>AND(#REF!,"AAAAAGcsHxM=")</f>
        <v>#REF!</v>
      </c>
      <c r="U433" t="e">
        <f>AND(#REF!,"AAAAAGcsHxQ=")</f>
        <v>#REF!</v>
      </c>
      <c r="V433" t="e">
        <f>AND(#REF!,"AAAAAGcsHxU=")</f>
        <v>#REF!</v>
      </c>
      <c r="W433" t="e">
        <f>AND(#REF!,"AAAAAGcsHxY=")</f>
        <v>#REF!</v>
      </c>
      <c r="X433" t="e">
        <f>AND(#REF!,"AAAAAGcsHxc=")</f>
        <v>#REF!</v>
      </c>
      <c r="Y433" t="e">
        <f>AND(#REF!,"AAAAAGcsHxg=")</f>
        <v>#REF!</v>
      </c>
      <c r="Z433" t="e">
        <f>AND(#REF!,"AAAAAGcsHxk=")</f>
        <v>#REF!</v>
      </c>
      <c r="AA433" t="e">
        <f>AND(#REF!,"AAAAAGcsHxo=")</f>
        <v>#REF!</v>
      </c>
      <c r="AB433" t="e">
        <f>AND(#REF!,"AAAAAGcsHxs=")</f>
        <v>#REF!</v>
      </c>
      <c r="AC433" t="e">
        <f>AND(#REF!,"AAAAAGcsHxw=")</f>
        <v>#REF!</v>
      </c>
      <c r="AD433" t="e">
        <f>AND(#REF!,"AAAAAGcsHx0=")</f>
        <v>#REF!</v>
      </c>
      <c r="AE433" t="e">
        <f>AND(#REF!,"AAAAAGcsHx4=")</f>
        <v>#REF!</v>
      </c>
      <c r="AF433" t="e">
        <f>AND(#REF!,"AAAAAGcsHx8=")</f>
        <v>#REF!</v>
      </c>
      <c r="AG433" t="e">
        <f>AND(#REF!,"AAAAAGcsHyA=")</f>
        <v>#REF!</v>
      </c>
      <c r="AH433" t="e">
        <f>AND(#REF!,"AAAAAGcsHyE=")</f>
        <v>#REF!</v>
      </c>
      <c r="AI433" t="e">
        <f>AND(#REF!,"AAAAAGcsHyI=")</f>
        <v>#REF!</v>
      </c>
      <c r="AJ433" t="e">
        <f>AND(#REF!,"AAAAAGcsHyM=")</f>
        <v>#REF!</v>
      </c>
      <c r="AK433" t="e">
        <f>AND(#REF!,"AAAAAGcsHyQ=")</f>
        <v>#REF!</v>
      </c>
      <c r="AL433" t="e">
        <f>AND(#REF!,"AAAAAGcsHyU=")</f>
        <v>#REF!</v>
      </c>
      <c r="AM433" t="e">
        <f>AND(#REF!,"AAAAAGcsHyY=")</f>
        <v>#REF!</v>
      </c>
      <c r="AN433" t="e">
        <f>AND(#REF!,"AAAAAGcsHyc=")</f>
        <v>#REF!</v>
      </c>
      <c r="AO433" t="e">
        <f>AND(#REF!,"AAAAAGcsHyg=")</f>
        <v>#REF!</v>
      </c>
      <c r="AP433" t="e">
        <f>AND(#REF!,"AAAAAGcsHyk=")</f>
        <v>#REF!</v>
      </c>
      <c r="AQ433" t="e">
        <f>AND(#REF!,"AAAAAGcsHyo=")</f>
        <v>#REF!</v>
      </c>
      <c r="AR433" t="e">
        <f>IF(#REF!,"AAAAAGcsHys=",0)</f>
        <v>#REF!</v>
      </c>
      <c r="AS433" t="e">
        <f>AND(#REF!,"AAAAAGcsHyw=")</f>
        <v>#REF!</v>
      </c>
      <c r="AT433" t="e">
        <f>AND(#REF!,"AAAAAGcsHy0=")</f>
        <v>#REF!</v>
      </c>
      <c r="AU433" t="e">
        <f>AND(#REF!,"AAAAAGcsHy4=")</f>
        <v>#REF!</v>
      </c>
      <c r="AV433" t="e">
        <f>AND(#REF!,"AAAAAGcsHy8=")</f>
        <v>#REF!</v>
      </c>
      <c r="AW433" t="e">
        <f>AND(#REF!,"AAAAAGcsHzA=")</f>
        <v>#REF!</v>
      </c>
      <c r="AX433" t="e">
        <f>AND(#REF!,"AAAAAGcsHzE=")</f>
        <v>#REF!</v>
      </c>
      <c r="AY433" t="e">
        <f>AND(#REF!,"AAAAAGcsHzI=")</f>
        <v>#REF!</v>
      </c>
      <c r="AZ433" t="e">
        <f>AND(#REF!,"AAAAAGcsHzM=")</f>
        <v>#REF!</v>
      </c>
      <c r="BA433" t="e">
        <f>AND(#REF!,"AAAAAGcsHzQ=")</f>
        <v>#REF!</v>
      </c>
      <c r="BB433" t="e">
        <f>AND(#REF!,"AAAAAGcsHzU=")</f>
        <v>#REF!</v>
      </c>
      <c r="BC433" t="e">
        <f>AND(#REF!,"AAAAAGcsHzY=")</f>
        <v>#REF!</v>
      </c>
      <c r="BD433" t="e">
        <f>AND(#REF!,"AAAAAGcsHzc=")</f>
        <v>#REF!</v>
      </c>
      <c r="BE433" t="e">
        <f>AND(#REF!,"AAAAAGcsHzg=")</f>
        <v>#REF!</v>
      </c>
      <c r="BF433" t="e">
        <f>AND(#REF!,"AAAAAGcsHzk=")</f>
        <v>#REF!</v>
      </c>
      <c r="BG433" t="e">
        <f>AND(#REF!,"AAAAAGcsHzo=")</f>
        <v>#REF!</v>
      </c>
      <c r="BH433" t="e">
        <f>AND(#REF!,"AAAAAGcsHzs=")</f>
        <v>#REF!</v>
      </c>
      <c r="BI433" t="e">
        <f>AND(#REF!,"AAAAAGcsHzw=")</f>
        <v>#REF!</v>
      </c>
      <c r="BJ433" t="e">
        <f>AND(#REF!,"AAAAAGcsHz0=")</f>
        <v>#REF!</v>
      </c>
      <c r="BK433" t="e">
        <f>AND(#REF!,"AAAAAGcsHz4=")</f>
        <v>#REF!</v>
      </c>
      <c r="BL433" t="e">
        <f>AND(#REF!,"AAAAAGcsHz8=")</f>
        <v>#REF!</v>
      </c>
      <c r="BM433" t="e">
        <f>AND(#REF!,"AAAAAGcsH0A=")</f>
        <v>#REF!</v>
      </c>
      <c r="BN433" t="e">
        <f>AND(#REF!,"AAAAAGcsH0E=")</f>
        <v>#REF!</v>
      </c>
      <c r="BO433" t="e">
        <f>AND(#REF!,"AAAAAGcsH0I=")</f>
        <v>#REF!</v>
      </c>
      <c r="BP433" t="e">
        <f>AND(#REF!,"AAAAAGcsH0M=")</f>
        <v>#REF!</v>
      </c>
      <c r="BQ433" t="e">
        <f>IF(#REF!,"AAAAAGcsH0Q=",0)</f>
        <v>#REF!</v>
      </c>
      <c r="BR433" t="e">
        <f>AND(#REF!,"AAAAAGcsH0U=")</f>
        <v>#REF!</v>
      </c>
      <c r="BS433" t="e">
        <f>AND(#REF!,"AAAAAGcsH0Y=")</f>
        <v>#REF!</v>
      </c>
      <c r="BT433" t="e">
        <f>AND(#REF!,"AAAAAGcsH0c=")</f>
        <v>#REF!</v>
      </c>
      <c r="BU433" t="e">
        <f>AND(#REF!,"AAAAAGcsH0g=")</f>
        <v>#REF!</v>
      </c>
      <c r="BV433" t="e">
        <f>AND(#REF!,"AAAAAGcsH0k=")</f>
        <v>#REF!</v>
      </c>
      <c r="BW433" t="e">
        <f>AND(#REF!,"AAAAAGcsH0o=")</f>
        <v>#REF!</v>
      </c>
      <c r="BX433" t="e">
        <f>AND(#REF!,"AAAAAGcsH0s=")</f>
        <v>#REF!</v>
      </c>
      <c r="BY433" t="e">
        <f>AND(#REF!,"AAAAAGcsH0w=")</f>
        <v>#REF!</v>
      </c>
      <c r="BZ433" t="e">
        <f>AND(#REF!,"AAAAAGcsH00=")</f>
        <v>#REF!</v>
      </c>
      <c r="CA433" t="e">
        <f>AND(#REF!,"AAAAAGcsH04=")</f>
        <v>#REF!</v>
      </c>
      <c r="CB433" t="e">
        <f>AND(#REF!,"AAAAAGcsH08=")</f>
        <v>#REF!</v>
      </c>
      <c r="CC433" t="e">
        <f>AND(#REF!,"AAAAAGcsH1A=")</f>
        <v>#REF!</v>
      </c>
      <c r="CD433" t="e">
        <f>AND(#REF!,"AAAAAGcsH1E=")</f>
        <v>#REF!</v>
      </c>
      <c r="CE433" t="e">
        <f>AND(#REF!,"AAAAAGcsH1I=")</f>
        <v>#REF!</v>
      </c>
      <c r="CF433" t="e">
        <f>AND(#REF!,"AAAAAGcsH1M=")</f>
        <v>#REF!</v>
      </c>
      <c r="CG433" t="e">
        <f>AND(#REF!,"AAAAAGcsH1Q=")</f>
        <v>#REF!</v>
      </c>
      <c r="CH433" t="e">
        <f>AND(#REF!,"AAAAAGcsH1U=")</f>
        <v>#REF!</v>
      </c>
      <c r="CI433" t="e">
        <f>AND(#REF!,"AAAAAGcsH1Y=")</f>
        <v>#REF!</v>
      </c>
      <c r="CJ433" t="e">
        <f>AND(#REF!,"AAAAAGcsH1c=")</f>
        <v>#REF!</v>
      </c>
      <c r="CK433" t="e">
        <f>AND(#REF!,"AAAAAGcsH1g=")</f>
        <v>#REF!</v>
      </c>
      <c r="CL433" t="e">
        <f>AND(#REF!,"AAAAAGcsH1k=")</f>
        <v>#REF!</v>
      </c>
      <c r="CM433" t="e">
        <f>AND(#REF!,"AAAAAGcsH1o=")</f>
        <v>#REF!</v>
      </c>
      <c r="CN433" t="e">
        <f>AND(#REF!,"AAAAAGcsH1s=")</f>
        <v>#REF!</v>
      </c>
      <c r="CO433" t="e">
        <f>AND(#REF!,"AAAAAGcsH1w=")</f>
        <v>#REF!</v>
      </c>
      <c r="CP433" t="e">
        <f>IF(#REF!,"AAAAAGcsH10=",0)</f>
        <v>#REF!</v>
      </c>
      <c r="CQ433" t="e">
        <f>AND(#REF!,"AAAAAGcsH14=")</f>
        <v>#REF!</v>
      </c>
      <c r="CR433" t="e">
        <f>AND(#REF!,"AAAAAGcsH18=")</f>
        <v>#REF!</v>
      </c>
      <c r="CS433" t="e">
        <f>AND(#REF!,"AAAAAGcsH2A=")</f>
        <v>#REF!</v>
      </c>
      <c r="CT433" t="e">
        <f>AND(#REF!,"AAAAAGcsH2E=")</f>
        <v>#REF!</v>
      </c>
      <c r="CU433" t="e">
        <f>AND(#REF!,"AAAAAGcsH2I=")</f>
        <v>#REF!</v>
      </c>
      <c r="CV433" t="e">
        <f>AND(#REF!,"AAAAAGcsH2M=")</f>
        <v>#REF!</v>
      </c>
      <c r="CW433" t="e">
        <f>AND(#REF!,"AAAAAGcsH2Q=")</f>
        <v>#REF!</v>
      </c>
      <c r="CX433" t="e">
        <f>AND(#REF!,"AAAAAGcsH2U=")</f>
        <v>#REF!</v>
      </c>
      <c r="CY433" t="e">
        <f>AND(#REF!,"AAAAAGcsH2Y=")</f>
        <v>#REF!</v>
      </c>
      <c r="CZ433" t="e">
        <f>AND(#REF!,"AAAAAGcsH2c=")</f>
        <v>#REF!</v>
      </c>
      <c r="DA433" t="e">
        <f>AND(#REF!,"AAAAAGcsH2g=")</f>
        <v>#REF!</v>
      </c>
      <c r="DB433" t="e">
        <f>AND(#REF!,"AAAAAGcsH2k=")</f>
        <v>#REF!</v>
      </c>
      <c r="DC433" t="e">
        <f>AND(#REF!,"AAAAAGcsH2o=")</f>
        <v>#REF!</v>
      </c>
      <c r="DD433" t="e">
        <f>AND(#REF!,"AAAAAGcsH2s=")</f>
        <v>#REF!</v>
      </c>
      <c r="DE433" t="e">
        <f>AND(#REF!,"AAAAAGcsH2w=")</f>
        <v>#REF!</v>
      </c>
      <c r="DF433" t="e">
        <f>AND(#REF!,"AAAAAGcsH20=")</f>
        <v>#REF!</v>
      </c>
      <c r="DG433" t="e">
        <f>AND(#REF!,"AAAAAGcsH24=")</f>
        <v>#REF!</v>
      </c>
      <c r="DH433" t="e">
        <f>AND(#REF!,"AAAAAGcsH28=")</f>
        <v>#REF!</v>
      </c>
      <c r="DI433" t="e">
        <f>AND(#REF!,"AAAAAGcsH3A=")</f>
        <v>#REF!</v>
      </c>
      <c r="DJ433" t="e">
        <f>AND(#REF!,"AAAAAGcsH3E=")</f>
        <v>#REF!</v>
      </c>
      <c r="DK433" t="e">
        <f>AND(#REF!,"AAAAAGcsH3I=")</f>
        <v>#REF!</v>
      </c>
      <c r="DL433" t="e">
        <f>AND(#REF!,"AAAAAGcsH3M=")</f>
        <v>#REF!</v>
      </c>
      <c r="DM433" t="e">
        <f>AND(#REF!,"AAAAAGcsH3Q=")</f>
        <v>#REF!</v>
      </c>
      <c r="DN433" t="e">
        <f>AND(#REF!,"AAAAAGcsH3U=")</f>
        <v>#REF!</v>
      </c>
      <c r="DO433" t="e">
        <f>IF(#REF!,"AAAAAGcsH3Y=",0)</f>
        <v>#REF!</v>
      </c>
      <c r="DP433" t="e">
        <f>AND(#REF!,"AAAAAGcsH3c=")</f>
        <v>#REF!</v>
      </c>
      <c r="DQ433" t="e">
        <f>AND(#REF!,"AAAAAGcsH3g=")</f>
        <v>#REF!</v>
      </c>
      <c r="DR433" t="e">
        <f>AND(#REF!,"AAAAAGcsH3k=")</f>
        <v>#REF!</v>
      </c>
      <c r="DS433" t="e">
        <f>AND(#REF!,"AAAAAGcsH3o=")</f>
        <v>#REF!</v>
      </c>
      <c r="DT433" t="e">
        <f>AND(#REF!,"AAAAAGcsH3s=")</f>
        <v>#REF!</v>
      </c>
      <c r="DU433" t="e">
        <f>AND(#REF!,"AAAAAGcsH3w=")</f>
        <v>#REF!</v>
      </c>
      <c r="DV433" t="e">
        <f>AND(#REF!,"AAAAAGcsH30=")</f>
        <v>#REF!</v>
      </c>
      <c r="DW433" t="e">
        <f>AND(#REF!,"AAAAAGcsH34=")</f>
        <v>#REF!</v>
      </c>
      <c r="DX433" t="e">
        <f>AND(#REF!,"AAAAAGcsH38=")</f>
        <v>#REF!</v>
      </c>
      <c r="DY433" t="e">
        <f>AND(#REF!,"AAAAAGcsH4A=")</f>
        <v>#REF!</v>
      </c>
      <c r="DZ433" t="e">
        <f>AND(#REF!,"AAAAAGcsH4E=")</f>
        <v>#REF!</v>
      </c>
      <c r="EA433" t="e">
        <f>AND(#REF!,"AAAAAGcsH4I=")</f>
        <v>#REF!</v>
      </c>
      <c r="EB433" t="e">
        <f>AND(#REF!,"AAAAAGcsH4M=")</f>
        <v>#REF!</v>
      </c>
      <c r="EC433" t="e">
        <f>AND(#REF!,"AAAAAGcsH4Q=")</f>
        <v>#REF!</v>
      </c>
      <c r="ED433" t="e">
        <f>AND(#REF!,"AAAAAGcsH4U=")</f>
        <v>#REF!</v>
      </c>
      <c r="EE433" t="e">
        <f>AND(#REF!,"AAAAAGcsH4Y=")</f>
        <v>#REF!</v>
      </c>
      <c r="EF433" t="e">
        <f>AND(#REF!,"AAAAAGcsH4c=")</f>
        <v>#REF!</v>
      </c>
      <c r="EG433" t="e">
        <f>AND(#REF!,"AAAAAGcsH4g=")</f>
        <v>#REF!</v>
      </c>
      <c r="EH433" t="e">
        <f>AND(#REF!,"AAAAAGcsH4k=")</f>
        <v>#REF!</v>
      </c>
      <c r="EI433" t="e">
        <f>AND(#REF!,"AAAAAGcsH4o=")</f>
        <v>#REF!</v>
      </c>
      <c r="EJ433" t="e">
        <f>AND(#REF!,"AAAAAGcsH4s=")</f>
        <v>#REF!</v>
      </c>
      <c r="EK433" t="e">
        <f>AND(#REF!,"AAAAAGcsH4w=")</f>
        <v>#REF!</v>
      </c>
      <c r="EL433" t="e">
        <f>AND(#REF!,"AAAAAGcsH40=")</f>
        <v>#REF!</v>
      </c>
      <c r="EM433" t="e">
        <f>AND(#REF!,"AAAAAGcsH44=")</f>
        <v>#REF!</v>
      </c>
      <c r="EN433" t="e">
        <f>IF(#REF!,"AAAAAGcsH48=",0)</f>
        <v>#REF!</v>
      </c>
      <c r="EO433" t="e">
        <f>AND(#REF!,"AAAAAGcsH5A=")</f>
        <v>#REF!</v>
      </c>
      <c r="EP433" t="e">
        <f>AND(#REF!,"AAAAAGcsH5E=")</f>
        <v>#REF!</v>
      </c>
      <c r="EQ433" t="e">
        <f>AND(#REF!,"AAAAAGcsH5I=")</f>
        <v>#REF!</v>
      </c>
      <c r="ER433" t="e">
        <f>AND(#REF!,"AAAAAGcsH5M=")</f>
        <v>#REF!</v>
      </c>
      <c r="ES433" t="e">
        <f>AND(#REF!,"AAAAAGcsH5Q=")</f>
        <v>#REF!</v>
      </c>
      <c r="ET433" t="e">
        <f>AND(#REF!,"AAAAAGcsH5U=")</f>
        <v>#REF!</v>
      </c>
      <c r="EU433" t="e">
        <f>AND(#REF!,"AAAAAGcsH5Y=")</f>
        <v>#REF!</v>
      </c>
      <c r="EV433" t="e">
        <f>AND(#REF!,"AAAAAGcsH5c=")</f>
        <v>#REF!</v>
      </c>
      <c r="EW433" t="e">
        <f>AND(#REF!,"AAAAAGcsH5g=")</f>
        <v>#REF!</v>
      </c>
      <c r="EX433" t="e">
        <f>AND(#REF!,"AAAAAGcsH5k=")</f>
        <v>#REF!</v>
      </c>
      <c r="EY433" t="e">
        <f>AND(#REF!,"AAAAAGcsH5o=")</f>
        <v>#REF!</v>
      </c>
      <c r="EZ433" t="e">
        <f>AND(#REF!,"AAAAAGcsH5s=")</f>
        <v>#REF!</v>
      </c>
      <c r="FA433" t="e">
        <f>AND(#REF!,"AAAAAGcsH5w=")</f>
        <v>#REF!</v>
      </c>
      <c r="FB433" t="e">
        <f>AND(#REF!,"AAAAAGcsH50=")</f>
        <v>#REF!</v>
      </c>
      <c r="FC433" t="e">
        <f>AND(#REF!,"AAAAAGcsH54=")</f>
        <v>#REF!</v>
      </c>
      <c r="FD433" t="e">
        <f>AND(#REF!,"AAAAAGcsH58=")</f>
        <v>#REF!</v>
      </c>
      <c r="FE433" t="e">
        <f>AND(#REF!,"AAAAAGcsH6A=")</f>
        <v>#REF!</v>
      </c>
      <c r="FF433" t="e">
        <f>AND(#REF!,"AAAAAGcsH6E=")</f>
        <v>#REF!</v>
      </c>
      <c r="FG433" t="e">
        <f>AND(#REF!,"AAAAAGcsH6I=")</f>
        <v>#REF!</v>
      </c>
      <c r="FH433" t="e">
        <f>AND(#REF!,"AAAAAGcsH6M=")</f>
        <v>#REF!</v>
      </c>
      <c r="FI433" t="e">
        <f>AND(#REF!,"AAAAAGcsH6Q=")</f>
        <v>#REF!</v>
      </c>
      <c r="FJ433" t="e">
        <f>AND(#REF!,"AAAAAGcsH6U=")</f>
        <v>#REF!</v>
      </c>
      <c r="FK433" t="e">
        <f>AND(#REF!,"AAAAAGcsH6Y=")</f>
        <v>#REF!</v>
      </c>
      <c r="FL433" t="e">
        <f>AND(#REF!,"AAAAAGcsH6c=")</f>
        <v>#REF!</v>
      </c>
      <c r="FM433" t="e">
        <f>IF(#REF!,"AAAAAGcsH6g=",0)</f>
        <v>#REF!</v>
      </c>
      <c r="FN433" t="e">
        <f>AND(#REF!,"AAAAAGcsH6k=")</f>
        <v>#REF!</v>
      </c>
      <c r="FO433" t="e">
        <f>AND(#REF!,"AAAAAGcsH6o=")</f>
        <v>#REF!</v>
      </c>
      <c r="FP433" t="e">
        <f>AND(#REF!,"AAAAAGcsH6s=")</f>
        <v>#REF!</v>
      </c>
      <c r="FQ433" t="e">
        <f>AND(#REF!,"AAAAAGcsH6w=")</f>
        <v>#REF!</v>
      </c>
      <c r="FR433" t="e">
        <f>AND(#REF!,"AAAAAGcsH60=")</f>
        <v>#REF!</v>
      </c>
      <c r="FS433" t="e">
        <f>AND(#REF!,"AAAAAGcsH64=")</f>
        <v>#REF!</v>
      </c>
      <c r="FT433" t="e">
        <f>AND(#REF!,"AAAAAGcsH68=")</f>
        <v>#REF!</v>
      </c>
      <c r="FU433" t="e">
        <f>AND(#REF!,"AAAAAGcsH7A=")</f>
        <v>#REF!</v>
      </c>
      <c r="FV433" t="e">
        <f>AND(#REF!,"AAAAAGcsH7E=")</f>
        <v>#REF!</v>
      </c>
      <c r="FW433" t="e">
        <f>AND(#REF!,"AAAAAGcsH7I=")</f>
        <v>#REF!</v>
      </c>
      <c r="FX433" t="e">
        <f>AND(#REF!,"AAAAAGcsH7M=")</f>
        <v>#REF!</v>
      </c>
      <c r="FY433" t="e">
        <f>AND(#REF!,"AAAAAGcsH7Q=")</f>
        <v>#REF!</v>
      </c>
      <c r="FZ433" t="e">
        <f>AND(#REF!,"AAAAAGcsH7U=")</f>
        <v>#REF!</v>
      </c>
      <c r="GA433" t="e">
        <f>AND(#REF!,"AAAAAGcsH7Y=")</f>
        <v>#REF!</v>
      </c>
      <c r="GB433" t="e">
        <f>AND(#REF!,"AAAAAGcsH7c=")</f>
        <v>#REF!</v>
      </c>
      <c r="GC433" t="e">
        <f>AND(#REF!,"AAAAAGcsH7g=")</f>
        <v>#REF!</v>
      </c>
      <c r="GD433" t="e">
        <f>AND(#REF!,"AAAAAGcsH7k=")</f>
        <v>#REF!</v>
      </c>
      <c r="GE433" t="e">
        <f>AND(#REF!,"AAAAAGcsH7o=")</f>
        <v>#REF!</v>
      </c>
      <c r="GF433" t="e">
        <f>AND(#REF!,"AAAAAGcsH7s=")</f>
        <v>#REF!</v>
      </c>
      <c r="GG433" t="e">
        <f>AND(#REF!,"AAAAAGcsH7w=")</f>
        <v>#REF!</v>
      </c>
      <c r="GH433" t="e">
        <f>AND(#REF!,"AAAAAGcsH70=")</f>
        <v>#REF!</v>
      </c>
      <c r="GI433" t="e">
        <f>AND(#REF!,"AAAAAGcsH74=")</f>
        <v>#REF!</v>
      </c>
      <c r="GJ433" t="e">
        <f>AND(#REF!,"AAAAAGcsH78=")</f>
        <v>#REF!</v>
      </c>
      <c r="GK433" t="e">
        <f>AND(#REF!,"AAAAAGcsH8A=")</f>
        <v>#REF!</v>
      </c>
      <c r="GL433" t="e">
        <f>IF(#REF!,"AAAAAGcsH8E=",0)</f>
        <v>#REF!</v>
      </c>
      <c r="GM433" t="e">
        <f>AND(#REF!,"AAAAAGcsH8I=")</f>
        <v>#REF!</v>
      </c>
      <c r="GN433" t="e">
        <f>AND(#REF!,"AAAAAGcsH8M=")</f>
        <v>#REF!</v>
      </c>
      <c r="GO433" t="e">
        <f>AND(#REF!,"AAAAAGcsH8Q=")</f>
        <v>#REF!</v>
      </c>
      <c r="GP433" t="e">
        <f>AND(#REF!,"AAAAAGcsH8U=")</f>
        <v>#REF!</v>
      </c>
      <c r="GQ433" t="e">
        <f>AND(#REF!,"AAAAAGcsH8Y=")</f>
        <v>#REF!</v>
      </c>
      <c r="GR433" t="e">
        <f>AND(#REF!,"AAAAAGcsH8c=")</f>
        <v>#REF!</v>
      </c>
      <c r="GS433" t="e">
        <f>AND(#REF!,"AAAAAGcsH8g=")</f>
        <v>#REF!</v>
      </c>
      <c r="GT433" t="e">
        <f>AND(#REF!,"AAAAAGcsH8k=")</f>
        <v>#REF!</v>
      </c>
      <c r="GU433" t="e">
        <f>AND(#REF!,"AAAAAGcsH8o=")</f>
        <v>#REF!</v>
      </c>
      <c r="GV433" t="e">
        <f>AND(#REF!,"AAAAAGcsH8s=")</f>
        <v>#REF!</v>
      </c>
      <c r="GW433" t="e">
        <f>AND(#REF!,"AAAAAGcsH8w=")</f>
        <v>#REF!</v>
      </c>
      <c r="GX433" t="e">
        <f>AND(#REF!,"AAAAAGcsH80=")</f>
        <v>#REF!</v>
      </c>
      <c r="GY433" t="e">
        <f>AND(#REF!,"AAAAAGcsH84=")</f>
        <v>#REF!</v>
      </c>
      <c r="GZ433" t="e">
        <f>AND(#REF!,"AAAAAGcsH88=")</f>
        <v>#REF!</v>
      </c>
      <c r="HA433" t="e">
        <f>AND(#REF!,"AAAAAGcsH9A=")</f>
        <v>#REF!</v>
      </c>
      <c r="HB433" t="e">
        <f>AND(#REF!,"AAAAAGcsH9E=")</f>
        <v>#REF!</v>
      </c>
      <c r="HC433" t="e">
        <f>AND(#REF!,"AAAAAGcsH9I=")</f>
        <v>#REF!</v>
      </c>
      <c r="HD433" t="e">
        <f>AND(#REF!,"AAAAAGcsH9M=")</f>
        <v>#REF!</v>
      </c>
      <c r="HE433" t="e">
        <f>AND(#REF!,"AAAAAGcsH9Q=")</f>
        <v>#REF!</v>
      </c>
      <c r="HF433" t="e">
        <f>AND(#REF!,"AAAAAGcsH9U=")</f>
        <v>#REF!</v>
      </c>
      <c r="HG433" t="e">
        <f>AND(#REF!,"AAAAAGcsH9Y=")</f>
        <v>#REF!</v>
      </c>
      <c r="HH433" t="e">
        <f>AND(#REF!,"AAAAAGcsH9c=")</f>
        <v>#REF!</v>
      </c>
      <c r="HI433" t="e">
        <f>AND(#REF!,"AAAAAGcsH9g=")</f>
        <v>#REF!</v>
      </c>
      <c r="HJ433" t="e">
        <f>AND(#REF!,"AAAAAGcsH9k=")</f>
        <v>#REF!</v>
      </c>
      <c r="HK433" t="e">
        <f>IF(#REF!,"AAAAAGcsH9o=",0)</f>
        <v>#REF!</v>
      </c>
      <c r="HL433" t="e">
        <f>AND(#REF!,"AAAAAGcsH9s=")</f>
        <v>#REF!</v>
      </c>
      <c r="HM433" t="e">
        <f>AND(#REF!,"AAAAAGcsH9w=")</f>
        <v>#REF!</v>
      </c>
      <c r="HN433" t="e">
        <f>AND(#REF!,"AAAAAGcsH90=")</f>
        <v>#REF!</v>
      </c>
      <c r="HO433" t="e">
        <f>AND(#REF!,"AAAAAGcsH94=")</f>
        <v>#REF!</v>
      </c>
      <c r="HP433" t="e">
        <f>AND(#REF!,"AAAAAGcsH98=")</f>
        <v>#REF!</v>
      </c>
      <c r="HQ433" t="e">
        <f>AND(#REF!,"AAAAAGcsH+A=")</f>
        <v>#REF!</v>
      </c>
      <c r="HR433" t="e">
        <f>AND(#REF!,"AAAAAGcsH+E=")</f>
        <v>#REF!</v>
      </c>
      <c r="HS433" t="e">
        <f>AND(#REF!,"AAAAAGcsH+I=")</f>
        <v>#REF!</v>
      </c>
      <c r="HT433" t="e">
        <f>AND(#REF!,"AAAAAGcsH+M=")</f>
        <v>#REF!</v>
      </c>
      <c r="HU433" t="e">
        <f>AND(#REF!,"AAAAAGcsH+Q=")</f>
        <v>#REF!</v>
      </c>
      <c r="HV433" t="e">
        <f>AND(#REF!,"AAAAAGcsH+U=")</f>
        <v>#REF!</v>
      </c>
      <c r="HW433" t="e">
        <f>AND(#REF!,"AAAAAGcsH+Y=")</f>
        <v>#REF!</v>
      </c>
      <c r="HX433" t="e">
        <f>AND(#REF!,"AAAAAGcsH+c=")</f>
        <v>#REF!</v>
      </c>
      <c r="HY433" t="e">
        <f>AND(#REF!,"AAAAAGcsH+g=")</f>
        <v>#REF!</v>
      </c>
      <c r="HZ433" t="e">
        <f>AND(#REF!,"AAAAAGcsH+k=")</f>
        <v>#REF!</v>
      </c>
      <c r="IA433" t="e">
        <f>AND(#REF!,"AAAAAGcsH+o=")</f>
        <v>#REF!</v>
      </c>
      <c r="IB433" t="e">
        <f>AND(#REF!,"AAAAAGcsH+s=")</f>
        <v>#REF!</v>
      </c>
      <c r="IC433" t="e">
        <f>AND(#REF!,"AAAAAGcsH+w=")</f>
        <v>#REF!</v>
      </c>
      <c r="ID433" t="e">
        <f>AND(#REF!,"AAAAAGcsH+0=")</f>
        <v>#REF!</v>
      </c>
      <c r="IE433" t="e">
        <f>AND(#REF!,"AAAAAGcsH+4=")</f>
        <v>#REF!</v>
      </c>
      <c r="IF433" t="e">
        <f>AND(#REF!,"AAAAAGcsH+8=")</f>
        <v>#REF!</v>
      </c>
      <c r="IG433" t="e">
        <f>AND(#REF!,"AAAAAGcsH/A=")</f>
        <v>#REF!</v>
      </c>
      <c r="IH433" t="e">
        <f>AND(#REF!,"AAAAAGcsH/E=")</f>
        <v>#REF!</v>
      </c>
      <c r="II433" t="e">
        <f>AND(#REF!,"AAAAAGcsH/I=")</f>
        <v>#REF!</v>
      </c>
      <c r="IJ433" t="e">
        <f>IF(#REF!,"AAAAAGcsH/M=",0)</f>
        <v>#REF!</v>
      </c>
      <c r="IK433" t="e">
        <f>AND(#REF!,"AAAAAGcsH/Q=")</f>
        <v>#REF!</v>
      </c>
      <c r="IL433" t="e">
        <f>AND(#REF!,"AAAAAGcsH/U=")</f>
        <v>#REF!</v>
      </c>
      <c r="IM433" t="e">
        <f>AND(#REF!,"AAAAAGcsH/Y=")</f>
        <v>#REF!</v>
      </c>
      <c r="IN433" t="e">
        <f>AND(#REF!,"AAAAAGcsH/c=")</f>
        <v>#REF!</v>
      </c>
      <c r="IO433" t="e">
        <f>AND(#REF!,"AAAAAGcsH/g=")</f>
        <v>#REF!</v>
      </c>
      <c r="IP433" t="e">
        <f>AND(#REF!,"AAAAAGcsH/k=")</f>
        <v>#REF!</v>
      </c>
      <c r="IQ433" t="e">
        <f>AND(#REF!,"AAAAAGcsH/o=")</f>
        <v>#REF!</v>
      </c>
      <c r="IR433" t="e">
        <f>AND(#REF!,"AAAAAGcsH/s=")</f>
        <v>#REF!</v>
      </c>
      <c r="IS433" t="e">
        <f>AND(#REF!,"AAAAAGcsH/w=")</f>
        <v>#REF!</v>
      </c>
      <c r="IT433" t="e">
        <f>AND(#REF!,"AAAAAGcsH/0=")</f>
        <v>#REF!</v>
      </c>
      <c r="IU433" t="e">
        <f>AND(#REF!,"AAAAAGcsH/4=")</f>
        <v>#REF!</v>
      </c>
      <c r="IV433" t="e">
        <f>AND(#REF!,"AAAAAGcsH/8=")</f>
        <v>#REF!</v>
      </c>
    </row>
    <row r="434" spans="1:256">
      <c r="A434" t="e">
        <f>AND(#REF!,"AAAAAD/4ywA=")</f>
        <v>#REF!</v>
      </c>
      <c r="B434" t="e">
        <f>AND(#REF!,"AAAAAD/4ywE=")</f>
        <v>#REF!</v>
      </c>
      <c r="C434" t="e">
        <f>AND(#REF!,"AAAAAD/4ywI=")</f>
        <v>#REF!</v>
      </c>
      <c r="D434" t="e">
        <f>AND(#REF!,"AAAAAD/4ywM=")</f>
        <v>#REF!</v>
      </c>
      <c r="E434" t="e">
        <f>AND(#REF!,"AAAAAD/4ywQ=")</f>
        <v>#REF!</v>
      </c>
      <c r="F434" t="e">
        <f>AND(#REF!,"AAAAAD/4ywU=")</f>
        <v>#REF!</v>
      </c>
      <c r="G434" t="e">
        <f>AND(#REF!,"AAAAAD/4ywY=")</f>
        <v>#REF!</v>
      </c>
      <c r="H434" t="e">
        <f>AND(#REF!,"AAAAAD/4ywc=")</f>
        <v>#REF!</v>
      </c>
      <c r="I434" t="e">
        <f>AND(#REF!,"AAAAAD/4ywg=")</f>
        <v>#REF!</v>
      </c>
      <c r="J434" t="e">
        <f>AND(#REF!,"AAAAAD/4ywk=")</f>
        <v>#REF!</v>
      </c>
      <c r="K434" t="e">
        <f>AND(#REF!,"AAAAAD/4ywo=")</f>
        <v>#REF!</v>
      </c>
      <c r="L434" t="e">
        <f>AND(#REF!,"AAAAAD/4yws=")</f>
        <v>#REF!</v>
      </c>
      <c r="M434" t="e">
        <f>IF(#REF!,"AAAAAD/4yww=",0)</f>
        <v>#REF!</v>
      </c>
      <c r="N434" t="e">
        <f>AND(#REF!,"AAAAAD/4yw0=")</f>
        <v>#REF!</v>
      </c>
      <c r="O434" t="e">
        <f>AND(#REF!,"AAAAAD/4yw4=")</f>
        <v>#REF!</v>
      </c>
      <c r="P434" t="e">
        <f>AND(#REF!,"AAAAAD/4yw8=")</f>
        <v>#REF!</v>
      </c>
      <c r="Q434" t="e">
        <f>AND(#REF!,"AAAAAD/4yxA=")</f>
        <v>#REF!</v>
      </c>
      <c r="R434" t="e">
        <f>AND(#REF!,"AAAAAD/4yxE=")</f>
        <v>#REF!</v>
      </c>
      <c r="S434" t="e">
        <f>AND(#REF!,"AAAAAD/4yxI=")</f>
        <v>#REF!</v>
      </c>
      <c r="T434" t="e">
        <f>AND(#REF!,"AAAAAD/4yxM=")</f>
        <v>#REF!</v>
      </c>
      <c r="U434" t="e">
        <f>AND(#REF!,"AAAAAD/4yxQ=")</f>
        <v>#REF!</v>
      </c>
      <c r="V434" t="e">
        <f>AND(#REF!,"AAAAAD/4yxU=")</f>
        <v>#REF!</v>
      </c>
      <c r="W434" t="e">
        <f>AND(#REF!,"AAAAAD/4yxY=")</f>
        <v>#REF!</v>
      </c>
      <c r="X434" t="e">
        <f>AND(#REF!,"AAAAAD/4yxc=")</f>
        <v>#REF!</v>
      </c>
      <c r="Y434" t="e">
        <f>AND(#REF!,"AAAAAD/4yxg=")</f>
        <v>#REF!</v>
      </c>
      <c r="Z434" t="e">
        <f>AND(#REF!,"AAAAAD/4yxk=")</f>
        <v>#REF!</v>
      </c>
      <c r="AA434" t="e">
        <f>AND(#REF!,"AAAAAD/4yxo=")</f>
        <v>#REF!</v>
      </c>
      <c r="AB434" t="e">
        <f>AND(#REF!,"AAAAAD/4yxs=")</f>
        <v>#REF!</v>
      </c>
      <c r="AC434" t="e">
        <f>AND(#REF!,"AAAAAD/4yxw=")</f>
        <v>#REF!</v>
      </c>
      <c r="AD434" t="e">
        <f>AND(#REF!,"AAAAAD/4yx0=")</f>
        <v>#REF!</v>
      </c>
      <c r="AE434" t="e">
        <f>AND(#REF!,"AAAAAD/4yx4=")</f>
        <v>#REF!</v>
      </c>
      <c r="AF434" t="e">
        <f>AND(#REF!,"AAAAAD/4yx8=")</f>
        <v>#REF!</v>
      </c>
      <c r="AG434" t="e">
        <f>AND(#REF!,"AAAAAD/4yyA=")</f>
        <v>#REF!</v>
      </c>
      <c r="AH434" t="e">
        <f>AND(#REF!,"AAAAAD/4yyE=")</f>
        <v>#REF!</v>
      </c>
      <c r="AI434" t="e">
        <f>AND(#REF!,"AAAAAD/4yyI=")</f>
        <v>#REF!</v>
      </c>
      <c r="AJ434" t="e">
        <f>AND(#REF!,"AAAAAD/4yyM=")</f>
        <v>#REF!</v>
      </c>
      <c r="AK434" t="e">
        <f>AND(#REF!,"AAAAAD/4yyQ=")</f>
        <v>#REF!</v>
      </c>
      <c r="AL434" t="e">
        <f>IF(#REF!,"AAAAAD/4yyU=",0)</f>
        <v>#REF!</v>
      </c>
      <c r="AM434" t="e">
        <f>AND(#REF!,"AAAAAD/4yyY=")</f>
        <v>#REF!</v>
      </c>
      <c r="AN434" t="e">
        <f>AND(#REF!,"AAAAAD/4yyc=")</f>
        <v>#REF!</v>
      </c>
      <c r="AO434" t="e">
        <f>AND(#REF!,"AAAAAD/4yyg=")</f>
        <v>#REF!</v>
      </c>
      <c r="AP434" t="e">
        <f>AND(#REF!,"AAAAAD/4yyk=")</f>
        <v>#REF!</v>
      </c>
      <c r="AQ434" t="e">
        <f>AND(#REF!,"AAAAAD/4yyo=")</f>
        <v>#REF!</v>
      </c>
      <c r="AR434" t="e">
        <f>AND(#REF!,"AAAAAD/4yys=")</f>
        <v>#REF!</v>
      </c>
      <c r="AS434" t="e">
        <f>AND(#REF!,"AAAAAD/4yyw=")</f>
        <v>#REF!</v>
      </c>
      <c r="AT434" t="e">
        <f>AND(#REF!,"AAAAAD/4yy0=")</f>
        <v>#REF!</v>
      </c>
      <c r="AU434" t="e">
        <f>AND(#REF!,"AAAAAD/4yy4=")</f>
        <v>#REF!</v>
      </c>
      <c r="AV434" t="e">
        <f>AND(#REF!,"AAAAAD/4yy8=")</f>
        <v>#REF!</v>
      </c>
      <c r="AW434" t="e">
        <f>AND(#REF!,"AAAAAD/4yzA=")</f>
        <v>#REF!</v>
      </c>
      <c r="AX434" t="e">
        <f>AND(#REF!,"AAAAAD/4yzE=")</f>
        <v>#REF!</v>
      </c>
      <c r="AY434" t="e">
        <f>AND(#REF!,"AAAAAD/4yzI=")</f>
        <v>#REF!</v>
      </c>
      <c r="AZ434" t="e">
        <f>AND(#REF!,"AAAAAD/4yzM=")</f>
        <v>#REF!</v>
      </c>
      <c r="BA434" t="e">
        <f>AND(#REF!,"AAAAAD/4yzQ=")</f>
        <v>#REF!</v>
      </c>
      <c r="BB434" t="e">
        <f>AND(#REF!,"AAAAAD/4yzU=")</f>
        <v>#REF!</v>
      </c>
      <c r="BC434" t="e">
        <f>AND(#REF!,"AAAAAD/4yzY=")</f>
        <v>#REF!</v>
      </c>
      <c r="BD434" t="e">
        <f>AND(#REF!,"AAAAAD/4yzc=")</f>
        <v>#REF!</v>
      </c>
      <c r="BE434" t="e">
        <f>AND(#REF!,"AAAAAD/4yzg=")</f>
        <v>#REF!</v>
      </c>
      <c r="BF434" t="e">
        <f>AND(#REF!,"AAAAAD/4yzk=")</f>
        <v>#REF!</v>
      </c>
      <c r="BG434" t="e">
        <f>AND(#REF!,"AAAAAD/4yzo=")</f>
        <v>#REF!</v>
      </c>
      <c r="BH434" t="e">
        <f>AND(#REF!,"AAAAAD/4yzs=")</f>
        <v>#REF!</v>
      </c>
      <c r="BI434" t="e">
        <f>AND(#REF!,"AAAAAD/4yzw=")</f>
        <v>#REF!</v>
      </c>
      <c r="BJ434" t="e">
        <f>AND(#REF!,"AAAAAD/4yz0=")</f>
        <v>#REF!</v>
      </c>
      <c r="BK434" t="e">
        <f>IF(#REF!,"AAAAAD/4yz4=",0)</f>
        <v>#REF!</v>
      </c>
      <c r="BL434" t="e">
        <f>AND(#REF!,"AAAAAD/4yz8=")</f>
        <v>#REF!</v>
      </c>
      <c r="BM434" t="e">
        <f>AND(#REF!,"AAAAAD/4y0A=")</f>
        <v>#REF!</v>
      </c>
      <c r="BN434" t="e">
        <f>AND(#REF!,"AAAAAD/4y0E=")</f>
        <v>#REF!</v>
      </c>
      <c r="BO434" t="e">
        <f>AND(#REF!,"AAAAAD/4y0I=")</f>
        <v>#REF!</v>
      </c>
      <c r="BP434" t="e">
        <f>AND(#REF!,"AAAAAD/4y0M=")</f>
        <v>#REF!</v>
      </c>
      <c r="BQ434" t="e">
        <f>AND(#REF!,"AAAAAD/4y0Q=")</f>
        <v>#REF!</v>
      </c>
      <c r="BR434" t="e">
        <f>AND(#REF!,"AAAAAD/4y0U=")</f>
        <v>#REF!</v>
      </c>
      <c r="BS434" t="e">
        <f>AND(#REF!,"AAAAAD/4y0Y=")</f>
        <v>#REF!</v>
      </c>
      <c r="BT434" t="e">
        <f>AND(#REF!,"AAAAAD/4y0c=")</f>
        <v>#REF!</v>
      </c>
      <c r="BU434" t="e">
        <f>AND(#REF!,"AAAAAD/4y0g=")</f>
        <v>#REF!</v>
      </c>
      <c r="BV434" t="e">
        <f>AND(#REF!,"AAAAAD/4y0k=")</f>
        <v>#REF!</v>
      </c>
      <c r="BW434" t="e">
        <f>AND(#REF!,"AAAAAD/4y0o=")</f>
        <v>#REF!</v>
      </c>
      <c r="BX434" t="e">
        <f>AND(#REF!,"AAAAAD/4y0s=")</f>
        <v>#REF!</v>
      </c>
      <c r="BY434" t="e">
        <f>AND(#REF!,"AAAAAD/4y0w=")</f>
        <v>#REF!</v>
      </c>
      <c r="BZ434" t="e">
        <f>AND(#REF!,"AAAAAD/4y00=")</f>
        <v>#REF!</v>
      </c>
      <c r="CA434" t="e">
        <f>AND(#REF!,"AAAAAD/4y04=")</f>
        <v>#REF!</v>
      </c>
      <c r="CB434" t="e">
        <f>AND(#REF!,"AAAAAD/4y08=")</f>
        <v>#REF!</v>
      </c>
      <c r="CC434" t="e">
        <f>AND(#REF!,"AAAAAD/4y1A=")</f>
        <v>#REF!</v>
      </c>
      <c r="CD434" t="e">
        <f>AND(#REF!,"AAAAAD/4y1E=")</f>
        <v>#REF!</v>
      </c>
      <c r="CE434" t="e">
        <f>AND(#REF!,"AAAAAD/4y1I=")</f>
        <v>#REF!</v>
      </c>
      <c r="CF434" t="e">
        <f>AND(#REF!,"AAAAAD/4y1M=")</f>
        <v>#REF!</v>
      </c>
      <c r="CG434" t="e">
        <f>AND(#REF!,"AAAAAD/4y1Q=")</f>
        <v>#REF!</v>
      </c>
      <c r="CH434" t="e">
        <f>AND(#REF!,"AAAAAD/4y1U=")</f>
        <v>#REF!</v>
      </c>
      <c r="CI434" t="e">
        <f>AND(#REF!,"AAAAAD/4y1Y=")</f>
        <v>#REF!</v>
      </c>
      <c r="CJ434" t="e">
        <f>IF(#REF!,"AAAAAD/4y1c=",0)</f>
        <v>#REF!</v>
      </c>
      <c r="CK434" t="e">
        <f>AND(#REF!,"AAAAAD/4y1g=")</f>
        <v>#REF!</v>
      </c>
      <c r="CL434" t="e">
        <f>AND(#REF!,"AAAAAD/4y1k=")</f>
        <v>#REF!</v>
      </c>
      <c r="CM434" t="e">
        <f>AND(#REF!,"AAAAAD/4y1o=")</f>
        <v>#REF!</v>
      </c>
      <c r="CN434" t="e">
        <f>AND(#REF!,"AAAAAD/4y1s=")</f>
        <v>#REF!</v>
      </c>
      <c r="CO434" t="e">
        <f>AND(#REF!,"AAAAAD/4y1w=")</f>
        <v>#REF!</v>
      </c>
      <c r="CP434" t="e">
        <f>AND(#REF!,"AAAAAD/4y10=")</f>
        <v>#REF!</v>
      </c>
      <c r="CQ434" t="e">
        <f>AND(#REF!,"AAAAAD/4y14=")</f>
        <v>#REF!</v>
      </c>
      <c r="CR434" t="e">
        <f>AND(#REF!,"AAAAAD/4y18=")</f>
        <v>#REF!</v>
      </c>
      <c r="CS434" t="e">
        <f>AND(#REF!,"AAAAAD/4y2A=")</f>
        <v>#REF!</v>
      </c>
      <c r="CT434" t="e">
        <f>AND(#REF!,"AAAAAD/4y2E=")</f>
        <v>#REF!</v>
      </c>
      <c r="CU434" t="e">
        <f>AND(#REF!,"AAAAAD/4y2I=")</f>
        <v>#REF!</v>
      </c>
      <c r="CV434" t="e">
        <f>AND(#REF!,"AAAAAD/4y2M=")</f>
        <v>#REF!</v>
      </c>
      <c r="CW434" t="e">
        <f>AND(#REF!,"AAAAAD/4y2Q=")</f>
        <v>#REF!</v>
      </c>
      <c r="CX434" t="e">
        <f>AND(#REF!,"AAAAAD/4y2U=")</f>
        <v>#REF!</v>
      </c>
      <c r="CY434" t="e">
        <f>AND(#REF!,"AAAAAD/4y2Y=")</f>
        <v>#REF!</v>
      </c>
      <c r="CZ434" t="e">
        <f>AND(#REF!,"AAAAAD/4y2c=")</f>
        <v>#REF!</v>
      </c>
      <c r="DA434" t="e">
        <f>AND(#REF!,"AAAAAD/4y2g=")</f>
        <v>#REF!</v>
      </c>
      <c r="DB434" t="e">
        <f>AND(#REF!,"AAAAAD/4y2k=")</f>
        <v>#REF!</v>
      </c>
      <c r="DC434" t="e">
        <f>AND(#REF!,"AAAAAD/4y2o=")</f>
        <v>#REF!</v>
      </c>
      <c r="DD434" t="e">
        <f>AND(#REF!,"AAAAAD/4y2s=")</f>
        <v>#REF!</v>
      </c>
      <c r="DE434" t="e">
        <f>AND(#REF!,"AAAAAD/4y2w=")</f>
        <v>#REF!</v>
      </c>
      <c r="DF434" t="e">
        <f>AND(#REF!,"AAAAAD/4y20=")</f>
        <v>#REF!</v>
      </c>
      <c r="DG434" t="e">
        <f>AND(#REF!,"AAAAAD/4y24=")</f>
        <v>#REF!</v>
      </c>
      <c r="DH434" t="e">
        <f>AND(#REF!,"AAAAAD/4y28=")</f>
        <v>#REF!</v>
      </c>
      <c r="DI434" t="e">
        <f>IF(#REF!,"AAAAAD/4y3A=",0)</f>
        <v>#REF!</v>
      </c>
      <c r="DJ434" t="e">
        <f>AND(#REF!,"AAAAAD/4y3E=")</f>
        <v>#REF!</v>
      </c>
      <c r="DK434" t="e">
        <f>AND(#REF!,"AAAAAD/4y3I=")</f>
        <v>#REF!</v>
      </c>
      <c r="DL434" t="e">
        <f>AND(#REF!,"AAAAAD/4y3M=")</f>
        <v>#REF!</v>
      </c>
      <c r="DM434" t="e">
        <f>AND(#REF!,"AAAAAD/4y3Q=")</f>
        <v>#REF!</v>
      </c>
      <c r="DN434" t="e">
        <f>AND(#REF!,"AAAAAD/4y3U=")</f>
        <v>#REF!</v>
      </c>
      <c r="DO434" t="e">
        <f>AND(#REF!,"AAAAAD/4y3Y=")</f>
        <v>#REF!</v>
      </c>
      <c r="DP434" t="e">
        <f>AND(#REF!,"AAAAAD/4y3c=")</f>
        <v>#REF!</v>
      </c>
      <c r="DQ434" t="e">
        <f>AND(#REF!,"AAAAAD/4y3g=")</f>
        <v>#REF!</v>
      </c>
      <c r="DR434" t="e">
        <f>AND(#REF!,"AAAAAD/4y3k=")</f>
        <v>#REF!</v>
      </c>
      <c r="DS434" t="e">
        <f>AND(#REF!,"AAAAAD/4y3o=")</f>
        <v>#REF!</v>
      </c>
      <c r="DT434" t="e">
        <f>AND(#REF!,"AAAAAD/4y3s=")</f>
        <v>#REF!</v>
      </c>
      <c r="DU434" t="e">
        <f>AND(#REF!,"AAAAAD/4y3w=")</f>
        <v>#REF!</v>
      </c>
      <c r="DV434" t="e">
        <f>AND(#REF!,"AAAAAD/4y30=")</f>
        <v>#REF!</v>
      </c>
      <c r="DW434" t="e">
        <f>AND(#REF!,"AAAAAD/4y34=")</f>
        <v>#REF!</v>
      </c>
      <c r="DX434" t="e">
        <f>AND(#REF!,"AAAAAD/4y38=")</f>
        <v>#REF!</v>
      </c>
      <c r="DY434" t="e">
        <f>AND(#REF!,"AAAAAD/4y4A=")</f>
        <v>#REF!</v>
      </c>
      <c r="DZ434" t="e">
        <f>AND(#REF!,"AAAAAD/4y4E=")</f>
        <v>#REF!</v>
      </c>
      <c r="EA434" t="e">
        <f>AND(#REF!,"AAAAAD/4y4I=")</f>
        <v>#REF!</v>
      </c>
      <c r="EB434" t="e">
        <f>AND(#REF!,"AAAAAD/4y4M=")</f>
        <v>#REF!</v>
      </c>
      <c r="EC434" t="e">
        <f>AND(#REF!,"AAAAAD/4y4Q=")</f>
        <v>#REF!</v>
      </c>
      <c r="ED434" t="e">
        <f>AND(#REF!,"AAAAAD/4y4U=")</f>
        <v>#REF!</v>
      </c>
      <c r="EE434" t="e">
        <f>AND(#REF!,"AAAAAD/4y4Y=")</f>
        <v>#REF!</v>
      </c>
      <c r="EF434" t="e">
        <f>AND(#REF!,"AAAAAD/4y4c=")</f>
        <v>#REF!</v>
      </c>
      <c r="EG434" t="e">
        <f>AND(#REF!,"AAAAAD/4y4g=")</f>
        <v>#REF!</v>
      </c>
      <c r="EH434" t="e">
        <f>IF(#REF!,"AAAAAD/4y4k=",0)</f>
        <v>#REF!</v>
      </c>
      <c r="EI434" t="e">
        <f>AND(#REF!,"AAAAAD/4y4o=")</f>
        <v>#REF!</v>
      </c>
      <c r="EJ434" t="e">
        <f>AND(#REF!,"AAAAAD/4y4s=")</f>
        <v>#REF!</v>
      </c>
      <c r="EK434" t="e">
        <f>AND(#REF!,"AAAAAD/4y4w=")</f>
        <v>#REF!</v>
      </c>
      <c r="EL434" t="e">
        <f>AND(#REF!,"AAAAAD/4y40=")</f>
        <v>#REF!</v>
      </c>
      <c r="EM434" t="e">
        <f>AND(#REF!,"AAAAAD/4y44=")</f>
        <v>#REF!</v>
      </c>
      <c r="EN434" t="e">
        <f>AND(#REF!,"AAAAAD/4y48=")</f>
        <v>#REF!</v>
      </c>
      <c r="EO434" t="e">
        <f>AND(#REF!,"AAAAAD/4y5A=")</f>
        <v>#REF!</v>
      </c>
      <c r="EP434" t="e">
        <f>AND(#REF!,"AAAAAD/4y5E=")</f>
        <v>#REF!</v>
      </c>
      <c r="EQ434" t="e">
        <f>AND(#REF!,"AAAAAD/4y5I=")</f>
        <v>#REF!</v>
      </c>
      <c r="ER434" t="e">
        <f>AND(#REF!,"AAAAAD/4y5M=")</f>
        <v>#REF!</v>
      </c>
      <c r="ES434" t="e">
        <f>AND(#REF!,"AAAAAD/4y5Q=")</f>
        <v>#REF!</v>
      </c>
      <c r="ET434" t="e">
        <f>AND(#REF!,"AAAAAD/4y5U=")</f>
        <v>#REF!</v>
      </c>
      <c r="EU434" t="e">
        <f>AND(#REF!,"AAAAAD/4y5Y=")</f>
        <v>#REF!</v>
      </c>
      <c r="EV434" t="e">
        <f>AND(#REF!,"AAAAAD/4y5c=")</f>
        <v>#REF!</v>
      </c>
      <c r="EW434" t="e">
        <f>AND(#REF!,"AAAAAD/4y5g=")</f>
        <v>#REF!</v>
      </c>
      <c r="EX434" t="e">
        <f>AND(#REF!,"AAAAAD/4y5k=")</f>
        <v>#REF!</v>
      </c>
      <c r="EY434" t="e">
        <f>AND(#REF!,"AAAAAD/4y5o=")</f>
        <v>#REF!</v>
      </c>
      <c r="EZ434" t="e">
        <f>AND(#REF!,"AAAAAD/4y5s=")</f>
        <v>#REF!</v>
      </c>
      <c r="FA434" t="e">
        <f>AND(#REF!,"AAAAAD/4y5w=")</f>
        <v>#REF!</v>
      </c>
      <c r="FB434" t="e">
        <f>AND(#REF!,"AAAAAD/4y50=")</f>
        <v>#REF!</v>
      </c>
      <c r="FC434" t="e">
        <f>AND(#REF!,"AAAAAD/4y54=")</f>
        <v>#REF!</v>
      </c>
      <c r="FD434" t="e">
        <f>AND(#REF!,"AAAAAD/4y58=")</f>
        <v>#REF!</v>
      </c>
      <c r="FE434" t="e">
        <f>AND(#REF!,"AAAAAD/4y6A=")</f>
        <v>#REF!</v>
      </c>
      <c r="FF434" t="e">
        <f>AND(#REF!,"AAAAAD/4y6E=")</f>
        <v>#REF!</v>
      </c>
      <c r="FG434" t="e">
        <f>IF(#REF!,"AAAAAD/4y6I=",0)</f>
        <v>#REF!</v>
      </c>
      <c r="FH434" t="e">
        <f>AND(#REF!,"AAAAAD/4y6M=")</f>
        <v>#REF!</v>
      </c>
      <c r="FI434" t="e">
        <f>AND(#REF!,"AAAAAD/4y6Q=")</f>
        <v>#REF!</v>
      </c>
      <c r="FJ434" t="e">
        <f>AND(#REF!,"AAAAAD/4y6U=")</f>
        <v>#REF!</v>
      </c>
      <c r="FK434" t="e">
        <f>AND(#REF!,"AAAAAD/4y6Y=")</f>
        <v>#REF!</v>
      </c>
      <c r="FL434" t="e">
        <f>AND(#REF!,"AAAAAD/4y6c=")</f>
        <v>#REF!</v>
      </c>
      <c r="FM434" t="e">
        <f>AND(#REF!,"AAAAAD/4y6g=")</f>
        <v>#REF!</v>
      </c>
      <c r="FN434" t="e">
        <f>AND(#REF!,"AAAAAD/4y6k=")</f>
        <v>#REF!</v>
      </c>
      <c r="FO434" t="e">
        <f>AND(#REF!,"AAAAAD/4y6o=")</f>
        <v>#REF!</v>
      </c>
      <c r="FP434" t="e">
        <f>AND(#REF!,"AAAAAD/4y6s=")</f>
        <v>#REF!</v>
      </c>
      <c r="FQ434" t="e">
        <f>AND(#REF!,"AAAAAD/4y6w=")</f>
        <v>#REF!</v>
      </c>
      <c r="FR434" t="e">
        <f>AND(#REF!,"AAAAAD/4y60=")</f>
        <v>#REF!</v>
      </c>
      <c r="FS434" t="e">
        <f>AND(#REF!,"AAAAAD/4y64=")</f>
        <v>#REF!</v>
      </c>
      <c r="FT434" t="e">
        <f>AND(#REF!,"AAAAAD/4y68=")</f>
        <v>#REF!</v>
      </c>
      <c r="FU434" t="e">
        <f>AND(#REF!,"AAAAAD/4y7A=")</f>
        <v>#REF!</v>
      </c>
      <c r="FV434" t="e">
        <f>AND(#REF!,"AAAAAD/4y7E=")</f>
        <v>#REF!</v>
      </c>
      <c r="FW434" t="e">
        <f>AND(#REF!,"AAAAAD/4y7I=")</f>
        <v>#REF!</v>
      </c>
      <c r="FX434" t="e">
        <f>AND(#REF!,"AAAAAD/4y7M=")</f>
        <v>#REF!</v>
      </c>
      <c r="FY434" t="e">
        <f>AND(#REF!,"AAAAAD/4y7Q=")</f>
        <v>#REF!</v>
      </c>
      <c r="FZ434" t="e">
        <f>AND(#REF!,"AAAAAD/4y7U=")</f>
        <v>#REF!</v>
      </c>
      <c r="GA434" t="e">
        <f>AND(#REF!,"AAAAAD/4y7Y=")</f>
        <v>#REF!</v>
      </c>
      <c r="GB434" t="e">
        <f>AND(#REF!,"AAAAAD/4y7c=")</f>
        <v>#REF!</v>
      </c>
      <c r="GC434" t="e">
        <f>AND(#REF!,"AAAAAD/4y7g=")</f>
        <v>#REF!</v>
      </c>
      <c r="GD434" t="e">
        <f>AND(#REF!,"AAAAAD/4y7k=")</f>
        <v>#REF!</v>
      </c>
      <c r="GE434" t="e">
        <f>AND(#REF!,"AAAAAD/4y7o=")</f>
        <v>#REF!</v>
      </c>
      <c r="GF434" t="e">
        <f>IF(#REF!,"AAAAAD/4y7s=",0)</f>
        <v>#REF!</v>
      </c>
      <c r="GG434" t="e">
        <f>AND(#REF!,"AAAAAD/4y7w=")</f>
        <v>#REF!</v>
      </c>
      <c r="GH434" t="e">
        <f>AND(#REF!,"AAAAAD/4y70=")</f>
        <v>#REF!</v>
      </c>
      <c r="GI434" t="e">
        <f>AND(#REF!,"AAAAAD/4y74=")</f>
        <v>#REF!</v>
      </c>
      <c r="GJ434" t="e">
        <f>AND(#REF!,"AAAAAD/4y78=")</f>
        <v>#REF!</v>
      </c>
      <c r="GK434" t="e">
        <f>AND(#REF!,"AAAAAD/4y8A=")</f>
        <v>#REF!</v>
      </c>
      <c r="GL434" t="e">
        <f>AND(#REF!,"AAAAAD/4y8E=")</f>
        <v>#REF!</v>
      </c>
      <c r="GM434" t="e">
        <f>AND(#REF!,"AAAAAD/4y8I=")</f>
        <v>#REF!</v>
      </c>
      <c r="GN434" t="e">
        <f>AND(#REF!,"AAAAAD/4y8M=")</f>
        <v>#REF!</v>
      </c>
      <c r="GO434" t="e">
        <f>AND(#REF!,"AAAAAD/4y8Q=")</f>
        <v>#REF!</v>
      </c>
      <c r="GP434" t="e">
        <f>AND(#REF!,"AAAAAD/4y8U=")</f>
        <v>#REF!</v>
      </c>
      <c r="GQ434" t="e">
        <f>AND(#REF!,"AAAAAD/4y8Y=")</f>
        <v>#REF!</v>
      </c>
      <c r="GR434" t="e">
        <f>AND(#REF!,"AAAAAD/4y8c=")</f>
        <v>#REF!</v>
      </c>
      <c r="GS434" t="e">
        <f>AND(#REF!,"AAAAAD/4y8g=")</f>
        <v>#REF!</v>
      </c>
      <c r="GT434" t="e">
        <f>AND(#REF!,"AAAAAD/4y8k=")</f>
        <v>#REF!</v>
      </c>
      <c r="GU434" t="e">
        <f>AND(#REF!,"AAAAAD/4y8o=")</f>
        <v>#REF!</v>
      </c>
      <c r="GV434" t="e">
        <f>AND(#REF!,"AAAAAD/4y8s=")</f>
        <v>#REF!</v>
      </c>
      <c r="GW434" t="e">
        <f>AND(#REF!,"AAAAAD/4y8w=")</f>
        <v>#REF!</v>
      </c>
      <c r="GX434" t="e">
        <f>AND(#REF!,"AAAAAD/4y80=")</f>
        <v>#REF!</v>
      </c>
      <c r="GY434" t="e">
        <f>AND(#REF!,"AAAAAD/4y84=")</f>
        <v>#REF!</v>
      </c>
      <c r="GZ434" t="e">
        <f>AND(#REF!,"AAAAAD/4y88=")</f>
        <v>#REF!</v>
      </c>
      <c r="HA434" t="e">
        <f>AND(#REF!,"AAAAAD/4y9A=")</f>
        <v>#REF!</v>
      </c>
      <c r="HB434" t="e">
        <f>AND(#REF!,"AAAAAD/4y9E=")</f>
        <v>#REF!</v>
      </c>
      <c r="HC434" t="e">
        <f>AND(#REF!,"AAAAAD/4y9I=")</f>
        <v>#REF!</v>
      </c>
      <c r="HD434" t="e">
        <f>AND(#REF!,"AAAAAD/4y9M=")</f>
        <v>#REF!</v>
      </c>
      <c r="HE434" t="e">
        <f>IF(#REF!,"AAAAAD/4y9Q=",0)</f>
        <v>#REF!</v>
      </c>
      <c r="HF434" t="e">
        <f>AND(#REF!,"AAAAAD/4y9U=")</f>
        <v>#REF!</v>
      </c>
      <c r="HG434" t="e">
        <f>AND(#REF!,"AAAAAD/4y9Y=")</f>
        <v>#REF!</v>
      </c>
      <c r="HH434" t="e">
        <f>AND(#REF!,"AAAAAD/4y9c=")</f>
        <v>#REF!</v>
      </c>
      <c r="HI434" t="e">
        <f>AND(#REF!,"AAAAAD/4y9g=")</f>
        <v>#REF!</v>
      </c>
      <c r="HJ434" t="e">
        <f>AND(#REF!,"AAAAAD/4y9k=")</f>
        <v>#REF!</v>
      </c>
      <c r="HK434" t="e">
        <f>AND(#REF!,"AAAAAD/4y9o=")</f>
        <v>#REF!</v>
      </c>
      <c r="HL434" t="e">
        <f>AND(#REF!,"AAAAAD/4y9s=")</f>
        <v>#REF!</v>
      </c>
      <c r="HM434" t="e">
        <f>AND(#REF!,"AAAAAD/4y9w=")</f>
        <v>#REF!</v>
      </c>
      <c r="HN434" t="e">
        <f>AND(#REF!,"AAAAAD/4y90=")</f>
        <v>#REF!</v>
      </c>
      <c r="HO434" t="e">
        <f>AND(#REF!,"AAAAAD/4y94=")</f>
        <v>#REF!</v>
      </c>
      <c r="HP434" t="e">
        <f>AND(#REF!,"AAAAAD/4y98=")</f>
        <v>#REF!</v>
      </c>
      <c r="HQ434" t="e">
        <f>AND(#REF!,"AAAAAD/4y+A=")</f>
        <v>#REF!</v>
      </c>
      <c r="HR434" t="e">
        <f>AND(#REF!,"AAAAAD/4y+E=")</f>
        <v>#REF!</v>
      </c>
      <c r="HS434" t="e">
        <f>AND(#REF!,"AAAAAD/4y+I=")</f>
        <v>#REF!</v>
      </c>
      <c r="HT434" t="e">
        <f>AND(#REF!,"AAAAAD/4y+M=")</f>
        <v>#REF!</v>
      </c>
      <c r="HU434" t="e">
        <f>AND(#REF!,"AAAAAD/4y+Q=")</f>
        <v>#REF!</v>
      </c>
      <c r="HV434" t="e">
        <f>AND(#REF!,"AAAAAD/4y+U=")</f>
        <v>#REF!</v>
      </c>
      <c r="HW434" t="e">
        <f>AND(#REF!,"AAAAAD/4y+Y=")</f>
        <v>#REF!</v>
      </c>
      <c r="HX434" t="e">
        <f>AND(#REF!,"AAAAAD/4y+c=")</f>
        <v>#REF!</v>
      </c>
      <c r="HY434" t="e">
        <f>AND(#REF!,"AAAAAD/4y+g=")</f>
        <v>#REF!</v>
      </c>
      <c r="HZ434" t="e">
        <f>AND(#REF!,"AAAAAD/4y+k=")</f>
        <v>#REF!</v>
      </c>
      <c r="IA434" t="e">
        <f>AND(#REF!,"AAAAAD/4y+o=")</f>
        <v>#REF!</v>
      </c>
      <c r="IB434" t="e">
        <f>AND(#REF!,"AAAAAD/4y+s=")</f>
        <v>#REF!</v>
      </c>
      <c r="IC434" t="e">
        <f>AND(#REF!,"AAAAAD/4y+w=")</f>
        <v>#REF!</v>
      </c>
      <c r="ID434" t="e">
        <f>IF(#REF!,"AAAAAD/4y+0=",0)</f>
        <v>#REF!</v>
      </c>
      <c r="IE434" t="e">
        <f>AND(#REF!,"AAAAAD/4y+4=")</f>
        <v>#REF!</v>
      </c>
      <c r="IF434" t="e">
        <f>AND(#REF!,"AAAAAD/4y+8=")</f>
        <v>#REF!</v>
      </c>
      <c r="IG434" t="e">
        <f>AND(#REF!,"AAAAAD/4y/A=")</f>
        <v>#REF!</v>
      </c>
      <c r="IH434" t="e">
        <f>AND(#REF!,"AAAAAD/4y/E=")</f>
        <v>#REF!</v>
      </c>
      <c r="II434" t="e">
        <f>AND(#REF!,"AAAAAD/4y/I=")</f>
        <v>#REF!</v>
      </c>
      <c r="IJ434" t="e">
        <f>AND(#REF!,"AAAAAD/4y/M=")</f>
        <v>#REF!</v>
      </c>
      <c r="IK434" t="e">
        <f>AND(#REF!,"AAAAAD/4y/Q=")</f>
        <v>#REF!</v>
      </c>
      <c r="IL434" t="e">
        <f>AND(#REF!,"AAAAAD/4y/U=")</f>
        <v>#REF!</v>
      </c>
      <c r="IM434" t="e">
        <f>AND(#REF!,"AAAAAD/4y/Y=")</f>
        <v>#REF!</v>
      </c>
      <c r="IN434" t="e">
        <f>AND(#REF!,"AAAAAD/4y/c=")</f>
        <v>#REF!</v>
      </c>
      <c r="IO434" t="e">
        <f>AND(#REF!,"AAAAAD/4y/g=")</f>
        <v>#REF!</v>
      </c>
      <c r="IP434" t="e">
        <f>AND(#REF!,"AAAAAD/4y/k=")</f>
        <v>#REF!</v>
      </c>
      <c r="IQ434" t="e">
        <f>AND(#REF!,"AAAAAD/4y/o=")</f>
        <v>#REF!</v>
      </c>
      <c r="IR434" t="e">
        <f>AND(#REF!,"AAAAAD/4y/s=")</f>
        <v>#REF!</v>
      </c>
      <c r="IS434" t="e">
        <f>AND(#REF!,"AAAAAD/4y/w=")</f>
        <v>#REF!</v>
      </c>
      <c r="IT434" t="e">
        <f>AND(#REF!,"AAAAAD/4y/0=")</f>
        <v>#REF!</v>
      </c>
      <c r="IU434" t="e">
        <f>AND(#REF!,"AAAAAD/4y/4=")</f>
        <v>#REF!</v>
      </c>
      <c r="IV434" t="e">
        <f>AND(#REF!,"AAAAAD/4y/8=")</f>
        <v>#REF!</v>
      </c>
    </row>
    <row r="435" spans="1:256">
      <c r="A435" t="e">
        <f>AND(#REF!,"AAAAAD+/9wA=")</f>
        <v>#REF!</v>
      </c>
      <c r="B435" t="e">
        <f>AND(#REF!,"AAAAAD+/9wE=")</f>
        <v>#REF!</v>
      </c>
      <c r="C435" t="e">
        <f>AND(#REF!,"AAAAAD+/9wI=")</f>
        <v>#REF!</v>
      </c>
      <c r="D435" t="e">
        <f>AND(#REF!,"AAAAAD+/9wM=")</f>
        <v>#REF!</v>
      </c>
      <c r="E435" t="e">
        <f>AND(#REF!,"AAAAAD+/9wQ=")</f>
        <v>#REF!</v>
      </c>
      <c r="F435" t="e">
        <f>AND(#REF!,"AAAAAD+/9wU=")</f>
        <v>#REF!</v>
      </c>
      <c r="G435" t="e">
        <f>IF(#REF!,"AAAAAD+/9wY=",0)</f>
        <v>#REF!</v>
      </c>
      <c r="H435" t="e">
        <f>AND(#REF!,"AAAAAD+/9wc=")</f>
        <v>#REF!</v>
      </c>
      <c r="I435" t="e">
        <f>AND(#REF!,"AAAAAD+/9wg=")</f>
        <v>#REF!</v>
      </c>
      <c r="J435" t="e">
        <f>AND(#REF!,"AAAAAD+/9wk=")</f>
        <v>#REF!</v>
      </c>
      <c r="K435" t="e">
        <f>AND(#REF!,"AAAAAD+/9wo=")</f>
        <v>#REF!</v>
      </c>
      <c r="L435" t="e">
        <f>AND(#REF!,"AAAAAD+/9ws=")</f>
        <v>#REF!</v>
      </c>
      <c r="M435" t="e">
        <f>AND(#REF!,"AAAAAD+/9ww=")</f>
        <v>#REF!</v>
      </c>
      <c r="N435" t="e">
        <f>AND(#REF!,"AAAAAD+/9w0=")</f>
        <v>#REF!</v>
      </c>
      <c r="O435" t="e">
        <f>AND(#REF!,"AAAAAD+/9w4=")</f>
        <v>#REF!</v>
      </c>
      <c r="P435" t="e">
        <f>AND(#REF!,"AAAAAD+/9w8=")</f>
        <v>#REF!</v>
      </c>
      <c r="Q435" t="e">
        <f>AND(#REF!,"AAAAAD+/9xA=")</f>
        <v>#REF!</v>
      </c>
      <c r="R435" t="e">
        <f>AND(#REF!,"AAAAAD+/9xE=")</f>
        <v>#REF!</v>
      </c>
      <c r="S435" t="e">
        <f>AND(#REF!,"AAAAAD+/9xI=")</f>
        <v>#REF!</v>
      </c>
      <c r="T435" t="e">
        <f>AND(#REF!,"AAAAAD+/9xM=")</f>
        <v>#REF!</v>
      </c>
      <c r="U435" t="e">
        <f>AND(#REF!,"AAAAAD+/9xQ=")</f>
        <v>#REF!</v>
      </c>
      <c r="V435" t="e">
        <f>AND(#REF!,"AAAAAD+/9xU=")</f>
        <v>#REF!</v>
      </c>
      <c r="W435" t="e">
        <f>AND(#REF!,"AAAAAD+/9xY=")</f>
        <v>#REF!</v>
      </c>
      <c r="X435" t="e">
        <f>AND(#REF!,"AAAAAD+/9xc=")</f>
        <v>#REF!</v>
      </c>
      <c r="Y435" t="e">
        <f>AND(#REF!,"AAAAAD+/9xg=")</f>
        <v>#REF!</v>
      </c>
      <c r="Z435" t="e">
        <f>AND(#REF!,"AAAAAD+/9xk=")</f>
        <v>#REF!</v>
      </c>
      <c r="AA435" t="e">
        <f>AND(#REF!,"AAAAAD+/9xo=")</f>
        <v>#REF!</v>
      </c>
      <c r="AB435" t="e">
        <f>AND(#REF!,"AAAAAD+/9xs=")</f>
        <v>#REF!</v>
      </c>
      <c r="AC435" t="e">
        <f>AND(#REF!,"AAAAAD+/9xw=")</f>
        <v>#REF!</v>
      </c>
      <c r="AD435" t="e">
        <f>AND(#REF!,"AAAAAD+/9x0=")</f>
        <v>#REF!</v>
      </c>
      <c r="AE435" t="e">
        <f>AND(#REF!,"AAAAAD+/9x4=")</f>
        <v>#REF!</v>
      </c>
      <c r="AF435" t="e">
        <f>IF(#REF!,"AAAAAD+/9x8=",0)</f>
        <v>#REF!</v>
      </c>
      <c r="AG435" t="e">
        <f>AND(#REF!,"AAAAAD+/9yA=")</f>
        <v>#REF!</v>
      </c>
      <c r="AH435" t="e">
        <f>AND(#REF!,"AAAAAD+/9yE=")</f>
        <v>#REF!</v>
      </c>
      <c r="AI435" t="e">
        <f>AND(#REF!,"AAAAAD+/9yI=")</f>
        <v>#REF!</v>
      </c>
      <c r="AJ435" t="e">
        <f>AND(#REF!,"AAAAAD+/9yM=")</f>
        <v>#REF!</v>
      </c>
      <c r="AK435" t="e">
        <f>AND(#REF!,"AAAAAD+/9yQ=")</f>
        <v>#REF!</v>
      </c>
      <c r="AL435" t="e">
        <f>AND(#REF!,"AAAAAD+/9yU=")</f>
        <v>#REF!</v>
      </c>
      <c r="AM435" t="e">
        <f>AND(#REF!,"AAAAAD+/9yY=")</f>
        <v>#REF!</v>
      </c>
      <c r="AN435" t="e">
        <f>AND(#REF!,"AAAAAD+/9yc=")</f>
        <v>#REF!</v>
      </c>
      <c r="AO435" t="e">
        <f>AND(#REF!,"AAAAAD+/9yg=")</f>
        <v>#REF!</v>
      </c>
      <c r="AP435" t="e">
        <f>AND(#REF!,"AAAAAD+/9yk=")</f>
        <v>#REF!</v>
      </c>
      <c r="AQ435" t="e">
        <f>AND(#REF!,"AAAAAD+/9yo=")</f>
        <v>#REF!</v>
      </c>
      <c r="AR435" t="e">
        <f>AND(#REF!,"AAAAAD+/9ys=")</f>
        <v>#REF!</v>
      </c>
      <c r="AS435" t="e">
        <f>AND(#REF!,"AAAAAD+/9yw=")</f>
        <v>#REF!</v>
      </c>
      <c r="AT435" t="e">
        <f>AND(#REF!,"AAAAAD+/9y0=")</f>
        <v>#REF!</v>
      </c>
      <c r="AU435" t="e">
        <f>AND(#REF!,"AAAAAD+/9y4=")</f>
        <v>#REF!</v>
      </c>
      <c r="AV435" t="e">
        <f>AND(#REF!,"AAAAAD+/9y8=")</f>
        <v>#REF!</v>
      </c>
      <c r="AW435" t="e">
        <f>AND(#REF!,"AAAAAD+/9zA=")</f>
        <v>#REF!</v>
      </c>
      <c r="AX435" t="e">
        <f>AND(#REF!,"AAAAAD+/9zE=")</f>
        <v>#REF!</v>
      </c>
      <c r="AY435" t="e">
        <f>AND(#REF!,"AAAAAD+/9zI=")</f>
        <v>#REF!</v>
      </c>
      <c r="AZ435" t="e">
        <f>AND(#REF!,"AAAAAD+/9zM=")</f>
        <v>#REF!</v>
      </c>
      <c r="BA435" t="e">
        <f>AND(#REF!,"AAAAAD+/9zQ=")</f>
        <v>#REF!</v>
      </c>
      <c r="BB435" t="e">
        <f>AND(#REF!,"AAAAAD+/9zU=")</f>
        <v>#REF!</v>
      </c>
      <c r="BC435" t="e">
        <f>AND(#REF!,"AAAAAD+/9zY=")</f>
        <v>#REF!</v>
      </c>
      <c r="BD435" t="e">
        <f>AND(#REF!,"AAAAAD+/9zc=")</f>
        <v>#REF!</v>
      </c>
      <c r="BE435" t="e">
        <f>IF(#REF!,"AAAAAD+/9zg=",0)</f>
        <v>#REF!</v>
      </c>
      <c r="BF435" t="e">
        <f>AND(#REF!,"AAAAAD+/9zk=")</f>
        <v>#REF!</v>
      </c>
      <c r="BG435" t="e">
        <f>AND(#REF!,"AAAAAD+/9zo=")</f>
        <v>#REF!</v>
      </c>
      <c r="BH435" t="e">
        <f>AND(#REF!,"AAAAAD+/9zs=")</f>
        <v>#REF!</v>
      </c>
      <c r="BI435" t="e">
        <f>AND(#REF!,"AAAAAD+/9zw=")</f>
        <v>#REF!</v>
      </c>
      <c r="BJ435" t="e">
        <f>AND(#REF!,"AAAAAD+/9z0=")</f>
        <v>#REF!</v>
      </c>
      <c r="BK435" t="e">
        <f>AND(#REF!,"AAAAAD+/9z4=")</f>
        <v>#REF!</v>
      </c>
      <c r="BL435" t="e">
        <f>AND(#REF!,"AAAAAD+/9z8=")</f>
        <v>#REF!</v>
      </c>
      <c r="BM435" t="e">
        <f>AND(#REF!,"AAAAAD+/90A=")</f>
        <v>#REF!</v>
      </c>
      <c r="BN435" t="e">
        <f>AND(#REF!,"AAAAAD+/90E=")</f>
        <v>#REF!</v>
      </c>
      <c r="BO435" t="e">
        <f>AND(#REF!,"AAAAAD+/90I=")</f>
        <v>#REF!</v>
      </c>
      <c r="BP435" t="e">
        <f>AND(#REF!,"AAAAAD+/90M=")</f>
        <v>#REF!</v>
      </c>
      <c r="BQ435" t="e">
        <f>AND(#REF!,"AAAAAD+/90Q=")</f>
        <v>#REF!</v>
      </c>
      <c r="BR435" t="e">
        <f>AND(#REF!,"AAAAAD+/90U=")</f>
        <v>#REF!</v>
      </c>
      <c r="BS435" t="e">
        <f>AND(#REF!,"AAAAAD+/90Y=")</f>
        <v>#REF!</v>
      </c>
      <c r="BT435" t="e">
        <f>AND(#REF!,"AAAAAD+/90c=")</f>
        <v>#REF!</v>
      </c>
      <c r="BU435" t="e">
        <f>AND(#REF!,"AAAAAD+/90g=")</f>
        <v>#REF!</v>
      </c>
      <c r="BV435" t="e">
        <f>AND(#REF!,"AAAAAD+/90k=")</f>
        <v>#REF!</v>
      </c>
      <c r="BW435" t="e">
        <f>AND(#REF!,"AAAAAD+/90o=")</f>
        <v>#REF!</v>
      </c>
      <c r="BX435" t="e">
        <f>AND(#REF!,"AAAAAD+/90s=")</f>
        <v>#REF!</v>
      </c>
      <c r="BY435" t="e">
        <f>AND(#REF!,"AAAAAD+/90w=")</f>
        <v>#REF!</v>
      </c>
      <c r="BZ435" t="e">
        <f>AND(#REF!,"AAAAAD+/900=")</f>
        <v>#REF!</v>
      </c>
      <c r="CA435" t="e">
        <f>AND(#REF!,"AAAAAD+/904=")</f>
        <v>#REF!</v>
      </c>
      <c r="CB435" t="e">
        <f>AND(#REF!,"AAAAAD+/908=")</f>
        <v>#REF!</v>
      </c>
      <c r="CC435" t="e">
        <f>AND(#REF!,"AAAAAD+/91A=")</f>
        <v>#REF!</v>
      </c>
      <c r="CD435" t="e">
        <f>IF(#REF!,"AAAAAD+/91E=",0)</f>
        <v>#REF!</v>
      </c>
      <c r="CE435" t="e">
        <f>AND(#REF!,"AAAAAD+/91I=")</f>
        <v>#REF!</v>
      </c>
      <c r="CF435" t="e">
        <f>AND(#REF!,"AAAAAD+/91M=")</f>
        <v>#REF!</v>
      </c>
      <c r="CG435" t="e">
        <f>AND(#REF!,"AAAAAD+/91Q=")</f>
        <v>#REF!</v>
      </c>
      <c r="CH435" t="e">
        <f>AND(#REF!,"AAAAAD+/91U=")</f>
        <v>#REF!</v>
      </c>
      <c r="CI435" t="e">
        <f>AND(#REF!,"AAAAAD+/91Y=")</f>
        <v>#REF!</v>
      </c>
      <c r="CJ435" t="e">
        <f>AND(#REF!,"AAAAAD+/91c=")</f>
        <v>#REF!</v>
      </c>
      <c r="CK435" t="e">
        <f>AND(#REF!,"AAAAAD+/91g=")</f>
        <v>#REF!</v>
      </c>
      <c r="CL435" t="e">
        <f>AND(#REF!,"AAAAAD+/91k=")</f>
        <v>#REF!</v>
      </c>
      <c r="CM435" t="e">
        <f>AND(#REF!,"AAAAAD+/91o=")</f>
        <v>#REF!</v>
      </c>
      <c r="CN435" t="e">
        <f>AND(#REF!,"AAAAAD+/91s=")</f>
        <v>#REF!</v>
      </c>
      <c r="CO435" t="e">
        <f>AND(#REF!,"AAAAAD+/91w=")</f>
        <v>#REF!</v>
      </c>
      <c r="CP435" t="e">
        <f>AND(#REF!,"AAAAAD+/910=")</f>
        <v>#REF!</v>
      </c>
      <c r="CQ435" t="e">
        <f>AND(#REF!,"AAAAAD+/914=")</f>
        <v>#REF!</v>
      </c>
      <c r="CR435" t="e">
        <f>AND(#REF!,"AAAAAD+/918=")</f>
        <v>#REF!</v>
      </c>
      <c r="CS435" t="e">
        <f>AND(#REF!,"AAAAAD+/92A=")</f>
        <v>#REF!</v>
      </c>
      <c r="CT435" t="e">
        <f>AND(#REF!,"AAAAAD+/92E=")</f>
        <v>#REF!</v>
      </c>
      <c r="CU435" t="e">
        <f>AND(#REF!,"AAAAAD+/92I=")</f>
        <v>#REF!</v>
      </c>
      <c r="CV435" t="e">
        <f>AND(#REF!,"AAAAAD+/92M=")</f>
        <v>#REF!</v>
      </c>
      <c r="CW435" t="e">
        <f>AND(#REF!,"AAAAAD+/92Q=")</f>
        <v>#REF!</v>
      </c>
      <c r="CX435" t="e">
        <f>AND(#REF!,"AAAAAD+/92U=")</f>
        <v>#REF!</v>
      </c>
      <c r="CY435" t="e">
        <f>AND(#REF!,"AAAAAD+/92Y=")</f>
        <v>#REF!</v>
      </c>
      <c r="CZ435" t="e">
        <f>AND(#REF!,"AAAAAD+/92c=")</f>
        <v>#REF!</v>
      </c>
      <c r="DA435" t="e">
        <f>AND(#REF!,"AAAAAD+/92g=")</f>
        <v>#REF!</v>
      </c>
      <c r="DB435" t="e">
        <f>AND(#REF!,"AAAAAD+/92k=")</f>
        <v>#REF!</v>
      </c>
      <c r="DC435" t="e">
        <f>IF(#REF!,"AAAAAD+/92o=",0)</f>
        <v>#REF!</v>
      </c>
      <c r="DD435" t="e">
        <f>AND(#REF!,"AAAAAD+/92s=")</f>
        <v>#REF!</v>
      </c>
      <c r="DE435" t="e">
        <f>AND(#REF!,"AAAAAD+/92w=")</f>
        <v>#REF!</v>
      </c>
      <c r="DF435" t="e">
        <f>AND(#REF!,"AAAAAD+/920=")</f>
        <v>#REF!</v>
      </c>
      <c r="DG435" t="e">
        <f>AND(#REF!,"AAAAAD+/924=")</f>
        <v>#REF!</v>
      </c>
      <c r="DH435" t="e">
        <f>AND(#REF!,"AAAAAD+/928=")</f>
        <v>#REF!</v>
      </c>
      <c r="DI435" t="e">
        <f>AND(#REF!,"AAAAAD+/93A=")</f>
        <v>#REF!</v>
      </c>
      <c r="DJ435" t="e">
        <f>AND(#REF!,"AAAAAD+/93E=")</f>
        <v>#REF!</v>
      </c>
      <c r="DK435" t="e">
        <f>AND(#REF!,"AAAAAD+/93I=")</f>
        <v>#REF!</v>
      </c>
      <c r="DL435" t="e">
        <f>AND(#REF!,"AAAAAD+/93M=")</f>
        <v>#REF!</v>
      </c>
      <c r="DM435" t="e">
        <f>AND(#REF!,"AAAAAD+/93Q=")</f>
        <v>#REF!</v>
      </c>
      <c r="DN435" t="e">
        <f>AND(#REF!,"AAAAAD+/93U=")</f>
        <v>#REF!</v>
      </c>
      <c r="DO435" t="e">
        <f>AND(#REF!,"AAAAAD+/93Y=")</f>
        <v>#REF!</v>
      </c>
      <c r="DP435" t="e">
        <f>AND(#REF!,"AAAAAD+/93c=")</f>
        <v>#REF!</v>
      </c>
      <c r="DQ435" t="e">
        <f>AND(#REF!,"AAAAAD+/93g=")</f>
        <v>#REF!</v>
      </c>
      <c r="DR435" t="e">
        <f>AND(#REF!,"AAAAAD+/93k=")</f>
        <v>#REF!</v>
      </c>
      <c r="DS435" t="e">
        <f>AND(#REF!,"AAAAAD+/93o=")</f>
        <v>#REF!</v>
      </c>
      <c r="DT435" t="e">
        <f>AND(#REF!,"AAAAAD+/93s=")</f>
        <v>#REF!</v>
      </c>
      <c r="DU435" t="e">
        <f>AND(#REF!,"AAAAAD+/93w=")</f>
        <v>#REF!</v>
      </c>
      <c r="DV435" t="e">
        <f>AND(#REF!,"AAAAAD+/930=")</f>
        <v>#REF!</v>
      </c>
      <c r="DW435" t="e">
        <f>AND(#REF!,"AAAAAD+/934=")</f>
        <v>#REF!</v>
      </c>
      <c r="DX435" t="e">
        <f>AND(#REF!,"AAAAAD+/938=")</f>
        <v>#REF!</v>
      </c>
      <c r="DY435" t="e">
        <f>AND(#REF!,"AAAAAD+/94A=")</f>
        <v>#REF!</v>
      </c>
      <c r="DZ435" t="e">
        <f>AND(#REF!,"AAAAAD+/94E=")</f>
        <v>#REF!</v>
      </c>
      <c r="EA435" t="e">
        <f>AND(#REF!,"AAAAAD+/94I=")</f>
        <v>#REF!</v>
      </c>
      <c r="EB435" t="e">
        <f>IF(#REF!,"AAAAAD+/94M=",0)</f>
        <v>#REF!</v>
      </c>
      <c r="EC435" t="e">
        <f>AND(#REF!,"AAAAAD+/94Q=")</f>
        <v>#REF!</v>
      </c>
      <c r="ED435" t="e">
        <f>AND(#REF!,"AAAAAD+/94U=")</f>
        <v>#REF!</v>
      </c>
      <c r="EE435" t="e">
        <f>AND(#REF!,"AAAAAD+/94Y=")</f>
        <v>#REF!</v>
      </c>
      <c r="EF435" t="e">
        <f>AND(#REF!,"AAAAAD+/94c=")</f>
        <v>#REF!</v>
      </c>
      <c r="EG435" t="e">
        <f>AND(#REF!,"AAAAAD+/94g=")</f>
        <v>#REF!</v>
      </c>
      <c r="EH435" t="e">
        <f>AND(#REF!,"AAAAAD+/94k=")</f>
        <v>#REF!</v>
      </c>
      <c r="EI435" t="e">
        <f>AND(#REF!,"AAAAAD+/94o=")</f>
        <v>#REF!</v>
      </c>
      <c r="EJ435" t="e">
        <f>AND(#REF!,"AAAAAD+/94s=")</f>
        <v>#REF!</v>
      </c>
      <c r="EK435" t="e">
        <f>AND(#REF!,"AAAAAD+/94w=")</f>
        <v>#REF!</v>
      </c>
      <c r="EL435" t="e">
        <f>AND(#REF!,"AAAAAD+/940=")</f>
        <v>#REF!</v>
      </c>
      <c r="EM435" t="e">
        <f>AND(#REF!,"AAAAAD+/944=")</f>
        <v>#REF!</v>
      </c>
      <c r="EN435" t="e">
        <f>AND(#REF!,"AAAAAD+/948=")</f>
        <v>#REF!</v>
      </c>
      <c r="EO435" t="e">
        <f>AND(#REF!,"AAAAAD+/95A=")</f>
        <v>#REF!</v>
      </c>
      <c r="EP435" t="e">
        <f>AND(#REF!,"AAAAAD+/95E=")</f>
        <v>#REF!</v>
      </c>
      <c r="EQ435" t="e">
        <f>AND(#REF!,"AAAAAD+/95I=")</f>
        <v>#REF!</v>
      </c>
      <c r="ER435" t="e">
        <f>AND(#REF!,"AAAAAD+/95M=")</f>
        <v>#REF!</v>
      </c>
      <c r="ES435" t="e">
        <f>AND(#REF!,"AAAAAD+/95Q=")</f>
        <v>#REF!</v>
      </c>
      <c r="ET435" t="e">
        <f>AND(#REF!,"AAAAAD+/95U=")</f>
        <v>#REF!</v>
      </c>
      <c r="EU435" t="e">
        <f>AND(#REF!,"AAAAAD+/95Y=")</f>
        <v>#REF!</v>
      </c>
      <c r="EV435" t="e">
        <f>AND(#REF!,"AAAAAD+/95c=")</f>
        <v>#REF!</v>
      </c>
      <c r="EW435" t="e">
        <f>AND(#REF!,"AAAAAD+/95g=")</f>
        <v>#REF!</v>
      </c>
      <c r="EX435" t="e">
        <f>AND(#REF!,"AAAAAD+/95k=")</f>
        <v>#REF!</v>
      </c>
      <c r="EY435" t="e">
        <f>AND(#REF!,"AAAAAD+/95o=")</f>
        <v>#REF!</v>
      </c>
      <c r="EZ435" t="e">
        <f>AND(#REF!,"AAAAAD+/95s=")</f>
        <v>#REF!</v>
      </c>
      <c r="FA435" t="e">
        <f>IF(#REF!,"AAAAAD+/95w=",0)</f>
        <v>#REF!</v>
      </c>
      <c r="FB435" t="e">
        <f>AND(#REF!,"AAAAAD+/950=")</f>
        <v>#REF!</v>
      </c>
      <c r="FC435" t="e">
        <f>AND(#REF!,"AAAAAD+/954=")</f>
        <v>#REF!</v>
      </c>
      <c r="FD435" t="e">
        <f>AND(#REF!,"AAAAAD+/958=")</f>
        <v>#REF!</v>
      </c>
      <c r="FE435" t="e">
        <f>AND(#REF!,"AAAAAD+/96A=")</f>
        <v>#REF!</v>
      </c>
      <c r="FF435" t="e">
        <f>AND(#REF!,"AAAAAD+/96E=")</f>
        <v>#REF!</v>
      </c>
      <c r="FG435" t="e">
        <f>AND(#REF!,"AAAAAD+/96I=")</f>
        <v>#REF!</v>
      </c>
      <c r="FH435" t="e">
        <f>AND(#REF!,"AAAAAD+/96M=")</f>
        <v>#REF!</v>
      </c>
      <c r="FI435" t="e">
        <f>AND(#REF!,"AAAAAD+/96Q=")</f>
        <v>#REF!</v>
      </c>
      <c r="FJ435" t="e">
        <f>AND(#REF!,"AAAAAD+/96U=")</f>
        <v>#REF!</v>
      </c>
      <c r="FK435" t="e">
        <f>AND(#REF!,"AAAAAD+/96Y=")</f>
        <v>#REF!</v>
      </c>
      <c r="FL435" t="e">
        <f>AND(#REF!,"AAAAAD+/96c=")</f>
        <v>#REF!</v>
      </c>
      <c r="FM435" t="e">
        <f>AND(#REF!,"AAAAAD+/96g=")</f>
        <v>#REF!</v>
      </c>
      <c r="FN435" t="e">
        <f>AND(#REF!,"AAAAAD+/96k=")</f>
        <v>#REF!</v>
      </c>
      <c r="FO435" t="e">
        <f>AND(#REF!,"AAAAAD+/96o=")</f>
        <v>#REF!</v>
      </c>
      <c r="FP435" t="e">
        <f>AND(#REF!,"AAAAAD+/96s=")</f>
        <v>#REF!</v>
      </c>
      <c r="FQ435" t="e">
        <f>AND(#REF!,"AAAAAD+/96w=")</f>
        <v>#REF!</v>
      </c>
      <c r="FR435" t="e">
        <f>AND(#REF!,"AAAAAD+/960=")</f>
        <v>#REF!</v>
      </c>
      <c r="FS435" t="e">
        <f>AND(#REF!,"AAAAAD+/964=")</f>
        <v>#REF!</v>
      </c>
      <c r="FT435" t="e">
        <f>AND(#REF!,"AAAAAD+/968=")</f>
        <v>#REF!</v>
      </c>
      <c r="FU435" t="e">
        <f>AND(#REF!,"AAAAAD+/97A=")</f>
        <v>#REF!</v>
      </c>
      <c r="FV435" t="e">
        <f>AND(#REF!,"AAAAAD+/97E=")</f>
        <v>#REF!</v>
      </c>
      <c r="FW435" t="e">
        <f>AND(#REF!,"AAAAAD+/97I=")</f>
        <v>#REF!</v>
      </c>
      <c r="FX435" t="e">
        <f>AND(#REF!,"AAAAAD+/97M=")</f>
        <v>#REF!</v>
      </c>
      <c r="FY435" t="e">
        <f>AND(#REF!,"AAAAAD+/97Q=")</f>
        <v>#REF!</v>
      </c>
      <c r="FZ435" t="e">
        <f>IF(#REF!,"AAAAAD+/97U=",0)</f>
        <v>#REF!</v>
      </c>
      <c r="GA435" t="e">
        <f>AND(#REF!,"AAAAAD+/97Y=")</f>
        <v>#REF!</v>
      </c>
      <c r="GB435" t="e">
        <f>AND(#REF!,"AAAAAD+/97c=")</f>
        <v>#REF!</v>
      </c>
      <c r="GC435" t="e">
        <f>AND(#REF!,"AAAAAD+/97g=")</f>
        <v>#REF!</v>
      </c>
      <c r="GD435" t="e">
        <f>AND(#REF!,"AAAAAD+/97k=")</f>
        <v>#REF!</v>
      </c>
      <c r="GE435" t="e">
        <f>AND(#REF!,"AAAAAD+/97o=")</f>
        <v>#REF!</v>
      </c>
      <c r="GF435" t="e">
        <f>AND(#REF!,"AAAAAD+/97s=")</f>
        <v>#REF!</v>
      </c>
      <c r="GG435" t="e">
        <f>AND(#REF!,"AAAAAD+/97w=")</f>
        <v>#REF!</v>
      </c>
      <c r="GH435" t="e">
        <f>AND(#REF!,"AAAAAD+/970=")</f>
        <v>#REF!</v>
      </c>
      <c r="GI435" t="e">
        <f>AND(#REF!,"AAAAAD+/974=")</f>
        <v>#REF!</v>
      </c>
      <c r="GJ435" t="e">
        <f>AND(#REF!,"AAAAAD+/978=")</f>
        <v>#REF!</v>
      </c>
      <c r="GK435" t="e">
        <f>AND(#REF!,"AAAAAD+/98A=")</f>
        <v>#REF!</v>
      </c>
      <c r="GL435" t="e">
        <f>AND(#REF!,"AAAAAD+/98E=")</f>
        <v>#REF!</v>
      </c>
      <c r="GM435" t="e">
        <f>AND(#REF!,"AAAAAD+/98I=")</f>
        <v>#REF!</v>
      </c>
      <c r="GN435" t="e">
        <f>AND(#REF!,"AAAAAD+/98M=")</f>
        <v>#REF!</v>
      </c>
      <c r="GO435" t="e">
        <f>AND(#REF!,"AAAAAD+/98Q=")</f>
        <v>#REF!</v>
      </c>
      <c r="GP435" t="e">
        <f>AND(#REF!,"AAAAAD+/98U=")</f>
        <v>#REF!</v>
      </c>
      <c r="GQ435" t="e">
        <f>AND(#REF!,"AAAAAD+/98Y=")</f>
        <v>#REF!</v>
      </c>
      <c r="GR435" t="e">
        <f>AND(#REF!,"AAAAAD+/98c=")</f>
        <v>#REF!</v>
      </c>
      <c r="GS435" t="e">
        <f>AND(#REF!,"AAAAAD+/98g=")</f>
        <v>#REF!</v>
      </c>
      <c r="GT435" t="e">
        <f>AND(#REF!,"AAAAAD+/98k=")</f>
        <v>#REF!</v>
      </c>
      <c r="GU435" t="e">
        <f>AND(#REF!,"AAAAAD+/98o=")</f>
        <v>#REF!</v>
      </c>
      <c r="GV435" t="e">
        <f>AND(#REF!,"AAAAAD+/98s=")</f>
        <v>#REF!</v>
      </c>
      <c r="GW435" t="e">
        <f>AND(#REF!,"AAAAAD+/98w=")</f>
        <v>#REF!</v>
      </c>
      <c r="GX435" t="e">
        <f>AND(#REF!,"AAAAAD+/980=")</f>
        <v>#REF!</v>
      </c>
      <c r="GY435" t="e">
        <f>IF(#REF!,"AAAAAD+/984=",0)</f>
        <v>#REF!</v>
      </c>
      <c r="GZ435" t="e">
        <f>AND(#REF!,"AAAAAD+/988=")</f>
        <v>#REF!</v>
      </c>
      <c r="HA435" t="e">
        <f>AND(#REF!,"AAAAAD+/99A=")</f>
        <v>#REF!</v>
      </c>
      <c r="HB435" t="e">
        <f>AND(#REF!,"AAAAAD+/99E=")</f>
        <v>#REF!</v>
      </c>
      <c r="HC435" t="e">
        <f>AND(#REF!,"AAAAAD+/99I=")</f>
        <v>#REF!</v>
      </c>
      <c r="HD435" t="e">
        <f>AND(#REF!,"AAAAAD+/99M=")</f>
        <v>#REF!</v>
      </c>
      <c r="HE435" t="e">
        <f>AND(#REF!,"AAAAAD+/99Q=")</f>
        <v>#REF!</v>
      </c>
      <c r="HF435" t="e">
        <f>AND(#REF!,"AAAAAD+/99U=")</f>
        <v>#REF!</v>
      </c>
      <c r="HG435" t="e">
        <f>AND(#REF!,"AAAAAD+/99Y=")</f>
        <v>#REF!</v>
      </c>
      <c r="HH435" t="e">
        <f>AND(#REF!,"AAAAAD+/99c=")</f>
        <v>#REF!</v>
      </c>
      <c r="HI435" t="e">
        <f>AND(#REF!,"AAAAAD+/99g=")</f>
        <v>#REF!</v>
      </c>
      <c r="HJ435" t="e">
        <f>AND(#REF!,"AAAAAD+/99k=")</f>
        <v>#REF!</v>
      </c>
      <c r="HK435" t="e">
        <f>AND(#REF!,"AAAAAD+/99o=")</f>
        <v>#REF!</v>
      </c>
      <c r="HL435" t="e">
        <f>AND(#REF!,"AAAAAD+/99s=")</f>
        <v>#REF!</v>
      </c>
      <c r="HM435" t="e">
        <f>AND(#REF!,"AAAAAD+/99w=")</f>
        <v>#REF!</v>
      </c>
      <c r="HN435" t="e">
        <f>AND(#REF!,"AAAAAD+/990=")</f>
        <v>#REF!</v>
      </c>
      <c r="HO435" t="e">
        <f>AND(#REF!,"AAAAAD+/994=")</f>
        <v>#REF!</v>
      </c>
      <c r="HP435" t="e">
        <f>AND(#REF!,"AAAAAD+/998=")</f>
        <v>#REF!</v>
      </c>
      <c r="HQ435" t="e">
        <f>AND(#REF!,"AAAAAD+/9+A=")</f>
        <v>#REF!</v>
      </c>
      <c r="HR435" t="e">
        <f>AND(#REF!,"AAAAAD+/9+E=")</f>
        <v>#REF!</v>
      </c>
      <c r="HS435" t="e">
        <f>AND(#REF!,"AAAAAD+/9+I=")</f>
        <v>#REF!</v>
      </c>
      <c r="HT435" t="e">
        <f>AND(#REF!,"AAAAAD+/9+M=")</f>
        <v>#REF!</v>
      </c>
      <c r="HU435" t="e">
        <f>AND(#REF!,"AAAAAD+/9+Q=")</f>
        <v>#REF!</v>
      </c>
      <c r="HV435" t="e">
        <f>AND(#REF!,"AAAAAD+/9+U=")</f>
        <v>#REF!</v>
      </c>
      <c r="HW435" t="e">
        <f>AND(#REF!,"AAAAAD+/9+Y=")</f>
        <v>#REF!</v>
      </c>
      <c r="HX435" t="e">
        <f>IF(#REF!,"AAAAAD+/9+c=",0)</f>
        <v>#REF!</v>
      </c>
      <c r="HY435" t="e">
        <f>AND(#REF!,"AAAAAD+/9+g=")</f>
        <v>#REF!</v>
      </c>
      <c r="HZ435" t="e">
        <f>AND(#REF!,"AAAAAD+/9+k=")</f>
        <v>#REF!</v>
      </c>
      <c r="IA435" t="e">
        <f>AND(#REF!,"AAAAAD+/9+o=")</f>
        <v>#REF!</v>
      </c>
      <c r="IB435" t="e">
        <f>AND(#REF!,"AAAAAD+/9+s=")</f>
        <v>#REF!</v>
      </c>
      <c r="IC435" t="e">
        <f>AND(#REF!,"AAAAAD+/9+w=")</f>
        <v>#REF!</v>
      </c>
      <c r="ID435" t="e">
        <f>AND(#REF!,"AAAAAD+/9+0=")</f>
        <v>#REF!</v>
      </c>
      <c r="IE435" t="e">
        <f>AND(#REF!,"AAAAAD+/9+4=")</f>
        <v>#REF!</v>
      </c>
      <c r="IF435" t="e">
        <f>AND(#REF!,"AAAAAD+/9+8=")</f>
        <v>#REF!</v>
      </c>
      <c r="IG435" t="e">
        <f>AND(#REF!,"AAAAAD+/9/A=")</f>
        <v>#REF!</v>
      </c>
      <c r="IH435" t="e">
        <f>AND(#REF!,"AAAAAD+/9/E=")</f>
        <v>#REF!</v>
      </c>
      <c r="II435" t="e">
        <f>AND(#REF!,"AAAAAD+/9/I=")</f>
        <v>#REF!</v>
      </c>
      <c r="IJ435" t="e">
        <f>AND(#REF!,"AAAAAD+/9/M=")</f>
        <v>#REF!</v>
      </c>
      <c r="IK435" t="e">
        <f>AND(#REF!,"AAAAAD+/9/Q=")</f>
        <v>#REF!</v>
      </c>
      <c r="IL435" t="e">
        <f>AND(#REF!,"AAAAAD+/9/U=")</f>
        <v>#REF!</v>
      </c>
      <c r="IM435" t="e">
        <f>AND(#REF!,"AAAAAD+/9/Y=")</f>
        <v>#REF!</v>
      </c>
      <c r="IN435" t="e">
        <f>AND(#REF!,"AAAAAD+/9/c=")</f>
        <v>#REF!</v>
      </c>
      <c r="IO435" t="e">
        <f>AND(#REF!,"AAAAAD+/9/g=")</f>
        <v>#REF!</v>
      </c>
      <c r="IP435" t="e">
        <f>AND(#REF!,"AAAAAD+/9/k=")</f>
        <v>#REF!</v>
      </c>
      <c r="IQ435" t="e">
        <f>AND(#REF!,"AAAAAD+/9/o=")</f>
        <v>#REF!</v>
      </c>
      <c r="IR435" t="e">
        <f>AND(#REF!,"AAAAAD+/9/s=")</f>
        <v>#REF!</v>
      </c>
      <c r="IS435" t="e">
        <f>AND(#REF!,"AAAAAD+/9/w=")</f>
        <v>#REF!</v>
      </c>
      <c r="IT435" t="e">
        <f>AND(#REF!,"AAAAAD+/9/0=")</f>
        <v>#REF!</v>
      </c>
      <c r="IU435" t="e">
        <f>AND(#REF!,"AAAAAD+/9/4=")</f>
        <v>#REF!</v>
      </c>
      <c r="IV435" t="e">
        <f>AND(#REF!,"AAAAAD+/9/8=")</f>
        <v>#REF!</v>
      </c>
    </row>
    <row r="436" spans="1:256">
      <c r="A436" t="e">
        <f>IF(#REF!,"AAAAAH95XgA=",0)</f>
        <v>#REF!</v>
      </c>
      <c r="B436" t="e">
        <f>AND(#REF!,"AAAAAH95XgE=")</f>
        <v>#REF!</v>
      </c>
      <c r="C436" t="e">
        <f>AND(#REF!,"AAAAAH95XgI=")</f>
        <v>#REF!</v>
      </c>
      <c r="D436" t="e">
        <f>AND(#REF!,"AAAAAH95XgM=")</f>
        <v>#REF!</v>
      </c>
      <c r="E436" t="e">
        <f>AND(#REF!,"AAAAAH95XgQ=")</f>
        <v>#REF!</v>
      </c>
      <c r="F436" t="e">
        <f>AND(#REF!,"AAAAAH95XgU=")</f>
        <v>#REF!</v>
      </c>
      <c r="G436" t="e">
        <f>AND(#REF!,"AAAAAH95XgY=")</f>
        <v>#REF!</v>
      </c>
      <c r="H436" t="e">
        <f>AND(#REF!,"AAAAAH95Xgc=")</f>
        <v>#REF!</v>
      </c>
      <c r="I436" t="e">
        <f>AND(#REF!,"AAAAAH95Xgg=")</f>
        <v>#REF!</v>
      </c>
      <c r="J436" t="e">
        <f>AND(#REF!,"AAAAAH95Xgk=")</f>
        <v>#REF!</v>
      </c>
      <c r="K436" t="e">
        <f>AND(#REF!,"AAAAAH95Xgo=")</f>
        <v>#REF!</v>
      </c>
      <c r="L436" t="e">
        <f>AND(#REF!,"AAAAAH95Xgs=")</f>
        <v>#REF!</v>
      </c>
      <c r="M436" t="e">
        <f>AND(#REF!,"AAAAAH95Xgw=")</f>
        <v>#REF!</v>
      </c>
      <c r="N436" t="e">
        <f>AND(#REF!,"AAAAAH95Xg0=")</f>
        <v>#REF!</v>
      </c>
      <c r="O436" t="e">
        <f>AND(#REF!,"AAAAAH95Xg4=")</f>
        <v>#REF!</v>
      </c>
      <c r="P436" t="e">
        <f>AND(#REF!,"AAAAAH95Xg8=")</f>
        <v>#REF!</v>
      </c>
      <c r="Q436" t="e">
        <f>AND(#REF!,"AAAAAH95XhA=")</f>
        <v>#REF!</v>
      </c>
      <c r="R436" t="e">
        <f>AND(#REF!,"AAAAAH95XhE=")</f>
        <v>#REF!</v>
      </c>
      <c r="S436" t="e">
        <f>AND(#REF!,"AAAAAH95XhI=")</f>
        <v>#REF!</v>
      </c>
      <c r="T436" t="e">
        <f>AND(#REF!,"AAAAAH95XhM=")</f>
        <v>#REF!</v>
      </c>
      <c r="U436" t="e">
        <f>AND(#REF!,"AAAAAH95XhQ=")</f>
        <v>#REF!</v>
      </c>
      <c r="V436" t="e">
        <f>AND(#REF!,"AAAAAH95XhU=")</f>
        <v>#REF!</v>
      </c>
      <c r="W436" t="e">
        <f>AND(#REF!,"AAAAAH95XhY=")</f>
        <v>#REF!</v>
      </c>
      <c r="X436" t="e">
        <f>AND(#REF!,"AAAAAH95Xhc=")</f>
        <v>#REF!</v>
      </c>
      <c r="Y436" t="e">
        <f>AND(#REF!,"AAAAAH95Xhg=")</f>
        <v>#REF!</v>
      </c>
      <c r="Z436" t="e">
        <f>IF(#REF!,"AAAAAH95Xhk=",0)</f>
        <v>#REF!</v>
      </c>
      <c r="AA436" t="e">
        <f>AND(#REF!,"AAAAAH95Xho=")</f>
        <v>#REF!</v>
      </c>
      <c r="AB436" t="e">
        <f>AND(#REF!,"AAAAAH95Xhs=")</f>
        <v>#REF!</v>
      </c>
      <c r="AC436" t="e">
        <f>AND(#REF!,"AAAAAH95Xhw=")</f>
        <v>#REF!</v>
      </c>
      <c r="AD436" t="e">
        <f>AND(#REF!,"AAAAAH95Xh0=")</f>
        <v>#REF!</v>
      </c>
      <c r="AE436" t="e">
        <f>AND(#REF!,"AAAAAH95Xh4=")</f>
        <v>#REF!</v>
      </c>
      <c r="AF436" t="e">
        <f>AND(#REF!,"AAAAAH95Xh8=")</f>
        <v>#REF!</v>
      </c>
      <c r="AG436" t="e">
        <f>AND(#REF!,"AAAAAH95XiA=")</f>
        <v>#REF!</v>
      </c>
      <c r="AH436" t="e">
        <f>AND(#REF!,"AAAAAH95XiE=")</f>
        <v>#REF!</v>
      </c>
      <c r="AI436" t="e">
        <f>AND(#REF!,"AAAAAH95XiI=")</f>
        <v>#REF!</v>
      </c>
      <c r="AJ436" t="e">
        <f>AND(#REF!,"AAAAAH95XiM=")</f>
        <v>#REF!</v>
      </c>
      <c r="AK436" t="e">
        <f>AND(#REF!,"AAAAAH95XiQ=")</f>
        <v>#REF!</v>
      </c>
      <c r="AL436" t="e">
        <f>AND(#REF!,"AAAAAH95XiU=")</f>
        <v>#REF!</v>
      </c>
      <c r="AM436" t="e">
        <f>AND(#REF!,"AAAAAH95XiY=")</f>
        <v>#REF!</v>
      </c>
      <c r="AN436" t="e">
        <f>AND(#REF!,"AAAAAH95Xic=")</f>
        <v>#REF!</v>
      </c>
      <c r="AO436" t="e">
        <f>AND(#REF!,"AAAAAH95Xig=")</f>
        <v>#REF!</v>
      </c>
      <c r="AP436" t="e">
        <f>AND(#REF!,"AAAAAH95Xik=")</f>
        <v>#REF!</v>
      </c>
      <c r="AQ436" t="e">
        <f>AND(#REF!,"AAAAAH95Xio=")</f>
        <v>#REF!</v>
      </c>
      <c r="AR436" t="e">
        <f>AND(#REF!,"AAAAAH95Xis=")</f>
        <v>#REF!</v>
      </c>
      <c r="AS436" t="e">
        <f>AND(#REF!,"AAAAAH95Xiw=")</f>
        <v>#REF!</v>
      </c>
      <c r="AT436" t="e">
        <f>AND(#REF!,"AAAAAH95Xi0=")</f>
        <v>#REF!</v>
      </c>
      <c r="AU436" t="e">
        <f>AND(#REF!,"AAAAAH95Xi4=")</f>
        <v>#REF!</v>
      </c>
      <c r="AV436" t="e">
        <f>AND(#REF!,"AAAAAH95Xi8=")</f>
        <v>#REF!</v>
      </c>
      <c r="AW436" t="e">
        <f>AND(#REF!,"AAAAAH95XjA=")</f>
        <v>#REF!</v>
      </c>
      <c r="AX436" t="e">
        <f>AND(#REF!,"AAAAAH95XjE=")</f>
        <v>#REF!</v>
      </c>
      <c r="AY436" t="e">
        <f>IF(#REF!,"AAAAAH95XjI=",0)</f>
        <v>#REF!</v>
      </c>
      <c r="AZ436" t="e">
        <f>AND(#REF!,"AAAAAH95XjM=")</f>
        <v>#REF!</v>
      </c>
      <c r="BA436" t="e">
        <f>AND(#REF!,"AAAAAH95XjQ=")</f>
        <v>#REF!</v>
      </c>
      <c r="BB436" t="e">
        <f>AND(#REF!,"AAAAAH95XjU=")</f>
        <v>#REF!</v>
      </c>
      <c r="BC436" t="e">
        <f>AND(#REF!,"AAAAAH95XjY=")</f>
        <v>#REF!</v>
      </c>
      <c r="BD436" t="e">
        <f>AND(#REF!,"AAAAAH95Xjc=")</f>
        <v>#REF!</v>
      </c>
      <c r="BE436" t="e">
        <f>AND(#REF!,"AAAAAH95Xjg=")</f>
        <v>#REF!</v>
      </c>
      <c r="BF436" t="e">
        <f>AND(#REF!,"AAAAAH95Xjk=")</f>
        <v>#REF!</v>
      </c>
      <c r="BG436" t="e">
        <f>AND(#REF!,"AAAAAH95Xjo=")</f>
        <v>#REF!</v>
      </c>
      <c r="BH436" t="e">
        <f>AND(#REF!,"AAAAAH95Xjs=")</f>
        <v>#REF!</v>
      </c>
      <c r="BI436" t="e">
        <f>AND(#REF!,"AAAAAH95Xjw=")</f>
        <v>#REF!</v>
      </c>
      <c r="BJ436" t="e">
        <f>AND(#REF!,"AAAAAH95Xj0=")</f>
        <v>#REF!</v>
      </c>
      <c r="BK436" t="e">
        <f>AND(#REF!,"AAAAAH95Xj4=")</f>
        <v>#REF!</v>
      </c>
      <c r="BL436" t="e">
        <f>AND(#REF!,"AAAAAH95Xj8=")</f>
        <v>#REF!</v>
      </c>
      <c r="BM436" t="e">
        <f>AND(#REF!,"AAAAAH95XkA=")</f>
        <v>#REF!</v>
      </c>
      <c r="BN436" t="e">
        <f>AND(#REF!,"AAAAAH95XkE=")</f>
        <v>#REF!</v>
      </c>
      <c r="BO436" t="e">
        <f>AND(#REF!,"AAAAAH95XkI=")</f>
        <v>#REF!</v>
      </c>
      <c r="BP436" t="e">
        <f>AND(#REF!,"AAAAAH95XkM=")</f>
        <v>#REF!</v>
      </c>
      <c r="BQ436" t="e">
        <f>AND(#REF!,"AAAAAH95XkQ=")</f>
        <v>#REF!</v>
      </c>
      <c r="BR436" t="e">
        <f>AND(#REF!,"AAAAAH95XkU=")</f>
        <v>#REF!</v>
      </c>
      <c r="BS436" t="e">
        <f>AND(#REF!,"AAAAAH95XkY=")</f>
        <v>#REF!</v>
      </c>
      <c r="BT436" t="e">
        <f>AND(#REF!,"AAAAAH95Xkc=")</f>
        <v>#REF!</v>
      </c>
      <c r="BU436" t="e">
        <f>AND(#REF!,"AAAAAH95Xkg=")</f>
        <v>#REF!</v>
      </c>
      <c r="BV436" t="e">
        <f>AND(#REF!,"AAAAAH95Xkk=")</f>
        <v>#REF!</v>
      </c>
      <c r="BW436" t="e">
        <f>AND(#REF!,"AAAAAH95Xko=")</f>
        <v>#REF!</v>
      </c>
      <c r="BX436" t="e">
        <f>IF(#REF!,"AAAAAH95Xks=",0)</f>
        <v>#REF!</v>
      </c>
      <c r="BY436" t="e">
        <f>AND(#REF!,"AAAAAH95Xkw=")</f>
        <v>#REF!</v>
      </c>
      <c r="BZ436" t="e">
        <f>AND(#REF!,"AAAAAH95Xk0=")</f>
        <v>#REF!</v>
      </c>
      <c r="CA436" t="e">
        <f>AND(#REF!,"AAAAAH95Xk4=")</f>
        <v>#REF!</v>
      </c>
      <c r="CB436" t="e">
        <f>AND(#REF!,"AAAAAH95Xk8=")</f>
        <v>#REF!</v>
      </c>
      <c r="CC436" t="e">
        <f>AND(#REF!,"AAAAAH95XlA=")</f>
        <v>#REF!</v>
      </c>
      <c r="CD436" t="e">
        <f>AND(#REF!,"AAAAAH95XlE=")</f>
        <v>#REF!</v>
      </c>
      <c r="CE436" t="e">
        <f>AND(#REF!,"AAAAAH95XlI=")</f>
        <v>#REF!</v>
      </c>
      <c r="CF436" t="e">
        <f>AND(#REF!,"AAAAAH95XlM=")</f>
        <v>#REF!</v>
      </c>
      <c r="CG436" t="e">
        <f>AND(#REF!,"AAAAAH95XlQ=")</f>
        <v>#REF!</v>
      </c>
      <c r="CH436" t="e">
        <f>AND(#REF!,"AAAAAH95XlU=")</f>
        <v>#REF!</v>
      </c>
      <c r="CI436" t="e">
        <f>AND(#REF!,"AAAAAH95XlY=")</f>
        <v>#REF!</v>
      </c>
      <c r="CJ436" t="e">
        <f>AND(#REF!,"AAAAAH95Xlc=")</f>
        <v>#REF!</v>
      </c>
      <c r="CK436" t="e">
        <f>AND(#REF!,"AAAAAH95Xlg=")</f>
        <v>#REF!</v>
      </c>
      <c r="CL436" t="e">
        <f>AND(#REF!,"AAAAAH95Xlk=")</f>
        <v>#REF!</v>
      </c>
      <c r="CM436" t="e">
        <f>AND(#REF!,"AAAAAH95Xlo=")</f>
        <v>#REF!</v>
      </c>
      <c r="CN436" t="e">
        <f>AND(#REF!,"AAAAAH95Xls=")</f>
        <v>#REF!</v>
      </c>
      <c r="CO436" t="e">
        <f>AND(#REF!,"AAAAAH95Xlw=")</f>
        <v>#REF!</v>
      </c>
      <c r="CP436" t="e">
        <f>AND(#REF!,"AAAAAH95Xl0=")</f>
        <v>#REF!</v>
      </c>
      <c r="CQ436" t="e">
        <f>AND(#REF!,"AAAAAH95Xl4=")</f>
        <v>#REF!</v>
      </c>
      <c r="CR436" t="e">
        <f>AND(#REF!,"AAAAAH95Xl8=")</f>
        <v>#REF!</v>
      </c>
      <c r="CS436" t="e">
        <f>AND(#REF!,"AAAAAH95XmA=")</f>
        <v>#REF!</v>
      </c>
      <c r="CT436" t="e">
        <f>AND(#REF!,"AAAAAH95XmE=")</f>
        <v>#REF!</v>
      </c>
      <c r="CU436" t="e">
        <f>AND(#REF!,"AAAAAH95XmI=")</f>
        <v>#REF!</v>
      </c>
      <c r="CV436" t="e">
        <f>AND(#REF!,"AAAAAH95XmM=")</f>
        <v>#REF!</v>
      </c>
      <c r="CW436" t="e">
        <f>IF(#REF!,"AAAAAH95XmQ=",0)</f>
        <v>#REF!</v>
      </c>
      <c r="CX436" t="e">
        <f>AND(#REF!,"AAAAAH95XmU=")</f>
        <v>#REF!</v>
      </c>
      <c r="CY436" t="e">
        <f>AND(#REF!,"AAAAAH95XmY=")</f>
        <v>#REF!</v>
      </c>
      <c r="CZ436" t="e">
        <f>AND(#REF!,"AAAAAH95Xmc=")</f>
        <v>#REF!</v>
      </c>
      <c r="DA436" t="e">
        <f>AND(#REF!,"AAAAAH95Xmg=")</f>
        <v>#REF!</v>
      </c>
      <c r="DB436" t="e">
        <f>AND(#REF!,"AAAAAH95Xmk=")</f>
        <v>#REF!</v>
      </c>
      <c r="DC436" t="e">
        <f>AND(#REF!,"AAAAAH95Xmo=")</f>
        <v>#REF!</v>
      </c>
      <c r="DD436" t="e">
        <f>AND(#REF!,"AAAAAH95Xms=")</f>
        <v>#REF!</v>
      </c>
      <c r="DE436" t="e">
        <f>AND(#REF!,"AAAAAH95Xmw=")</f>
        <v>#REF!</v>
      </c>
      <c r="DF436" t="e">
        <f>AND(#REF!,"AAAAAH95Xm0=")</f>
        <v>#REF!</v>
      </c>
      <c r="DG436" t="e">
        <f>AND(#REF!,"AAAAAH95Xm4=")</f>
        <v>#REF!</v>
      </c>
      <c r="DH436" t="e">
        <f>AND(#REF!,"AAAAAH95Xm8=")</f>
        <v>#REF!</v>
      </c>
      <c r="DI436" t="e">
        <f>AND(#REF!,"AAAAAH95XnA=")</f>
        <v>#REF!</v>
      </c>
      <c r="DJ436" t="e">
        <f>AND(#REF!,"AAAAAH95XnE=")</f>
        <v>#REF!</v>
      </c>
      <c r="DK436" t="e">
        <f>AND(#REF!,"AAAAAH95XnI=")</f>
        <v>#REF!</v>
      </c>
      <c r="DL436" t="e">
        <f>AND(#REF!,"AAAAAH95XnM=")</f>
        <v>#REF!</v>
      </c>
      <c r="DM436" t="e">
        <f>AND(#REF!,"AAAAAH95XnQ=")</f>
        <v>#REF!</v>
      </c>
      <c r="DN436" t="e">
        <f>AND(#REF!,"AAAAAH95XnU=")</f>
        <v>#REF!</v>
      </c>
      <c r="DO436" t="e">
        <f>AND(#REF!,"AAAAAH95XnY=")</f>
        <v>#REF!</v>
      </c>
      <c r="DP436" t="e">
        <f>AND(#REF!,"AAAAAH95Xnc=")</f>
        <v>#REF!</v>
      </c>
      <c r="DQ436" t="e">
        <f>AND(#REF!,"AAAAAH95Xng=")</f>
        <v>#REF!</v>
      </c>
      <c r="DR436" t="e">
        <f>AND(#REF!,"AAAAAH95Xnk=")</f>
        <v>#REF!</v>
      </c>
      <c r="DS436" t="e">
        <f>AND(#REF!,"AAAAAH95Xno=")</f>
        <v>#REF!</v>
      </c>
      <c r="DT436" t="e">
        <f>AND(#REF!,"AAAAAH95Xns=")</f>
        <v>#REF!</v>
      </c>
      <c r="DU436" t="e">
        <f>AND(#REF!,"AAAAAH95Xnw=")</f>
        <v>#REF!</v>
      </c>
      <c r="DV436" t="e">
        <f>IF(#REF!,"AAAAAH95Xn0=",0)</f>
        <v>#REF!</v>
      </c>
      <c r="DW436" t="e">
        <f>AND(#REF!,"AAAAAH95Xn4=")</f>
        <v>#REF!</v>
      </c>
      <c r="DX436" t="e">
        <f>AND(#REF!,"AAAAAH95Xn8=")</f>
        <v>#REF!</v>
      </c>
      <c r="DY436" t="e">
        <f>AND(#REF!,"AAAAAH95XoA=")</f>
        <v>#REF!</v>
      </c>
      <c r="DZ436" t="e">
        <f>AND(#REF!,"AAAAAH95XoE=")</f>
        <v>#REF!</v>
      </c>
      <c r="EA436" t="e">
        <f>AND(#REF!,"AAAAAH95XoI=")</f>
        <v>#REF!</v>
      </c>
      <c r="EB436" t="e">
        <f>AND(#REF!,"AAAAAH95XoM=")</f>
        <v>#REF!</v>
      </c>
      <c r="EC436" t="e">
        <f>AND(#REF!,"AAAAAH95XoQ=")</f>
        <v>#REF!</v>
      </c>
      <c r="ED436" t="e">
        <f>AND(#REF!,"AAAAAH95XoU=")</f>
        <v>#REF!</v>
      </c>
      <c r="EE436" t="e">
        <f>AND(#REF!,"AAAAAH95XoY=")</f>
        <v>#REF!</v>
      </c>
      <c r="EF436" t="e">
        <f>AND(#REF!,"AAAAAH95Xoc=")</f>
        <v>#REF!</v>
      </c>
      <c r="EG436" t="e">
        <f>AND(#REF!,"AAAAAH95Xog=")</f>
        <v>#REF!</v>
      </c>
      <c r="EH436" t="e">
        <f>AND(#REF!,"AAAAAH95Xok=")</f>
        <v>#REF!</v>
      </c>
      <c r="EI436" t="e">
        <f>AND(#REF!,"AAAAAH95Xoo=")</f>
        <v>#REF!</v>
      </c>
      <c r="EJ436" t="e">
        <f>AND(#REF!,"AAAAAH95Xos=")</f>
        <v>#REF!</v>
      </c>
      <c r="EK436" t="e">
        <f>AND(#REF!,"AAAAAH95Xow=")</f>
        <v>#REF!</v>
      </c>
      <c r="EL436" t="e">
        <f>AND(#REF!,"AAAAAH95Xo0=")</f>
        <v>#REF!</v>
      </c>
      <c r="EM436" t="e">
        <f>AND(#REF!,"AAAAAH95Xo4=")</f>
        <v>#REF!</v>
      </c>
      <c r="EN436" t="e">
        <f>AND(#REF!,"AAAAAH95Xo8=")</f>
        <v>#REF!</v>
      </c>
      <c r="EO436" t="e">
        <f>AND(#REF!,"AAAAAH95XpA=")</f>
        <v>#REF!</v>
      </c>
      <c r="EP436" t="e">
        <f>AND(#REF!,"AAAAAH95XpE=")</f>
        <v>#REF!</v>
      </c>
      <c r="EQ436" t="e">
        <f>AND(#REF!,"AAAAAH95XpI=")</f>
        <v>#REF!</v>
      </c>
      <c r="ER436" t="e">
        <f>AND(#REF!,"AAAAAH95XpM=")</f>
        <v>#REF!</v>
      </c>
      <c r="ES436" t="e">
        <f>AND(#REF!,"AAAAAH95XpQ=")</f>
        <v>#REF!</v>
      </c>
      <c r="ET436" t="e">
        <f>AND(#REF!,"AAAAAH95XpU=")</f>
        <v>#REF!</v>
      </c>
      <c r="EU436" t="e">
        <f>IF(#REF!,"AAAAAH95XpY=",0)</f>
        <v>#REF!</v>
      </c>
      <c r="EV436" t="e">
        <f>AND(#REF!,"AAAAAH95Xpc=")</f>
        <v>#REF!</v>
      </c>
      <c r="EW436" t="e">
        <f>AND(#REF!,"AAAAAH95Xpg=")</f>
        <v>#REF!</v>
      </c>
      <c r="EX436" t="e">
        <f>AND(#REF!,"AAAAAH95Xpk=")</f>
        <v>#REF!</v>
      </c>
      <c r="EY436" t="e">
        <f>AND(#REF!,"AAAAAH95Xpo=")</f>
        <v>#REF!</v>
      </c>
      <c r="EZ436" t="e">
        <f>AND(#REF!,"AAAAAH95Xps=")</f>
        <v>#REF!</v>
      </c>
      <c r="FA436" t="e">
        <f>AND(#REF!,"AAAAAH95Xpw=")</f>
        <v>#REF!</v>
      </c>
      <c r="FB436" t="e">
        <f>AND(#REF!,"AAAAAH95Xp0=")</f>
        <v>#REF!</v>
      </c>
      <c r="FC436" t="e">
        <f>AND(#REF!,"AAAAAH95Xp4=")</f>
        <v>#REF!</v>
      </c>
      <c r="FD436" t="e">
        <f>AND(#REF!,"AAAAAH95Xp8=")</f>
        <v>#REF!</v>
      </c>
      <c r="FE436" t="e">
        <f>AND(#REF!,"AAAAAH95XqA=")</f>
        <v>#REF!</v>
      </c>
      <c r="FF436" t="e">
        <f>AND(#REF!,"AAAAAH95XqE=")</f>
        <v>#REF!</v>
      </c>
      <c r="FG436" t="e">
        <f>AND(#REF!,"AAAAAH95XqI=")</f>
        <v>#REF!</v>
      </c>
      <c r="FH436" t="e">
        <f>AND(#REF!,"AAAAAH95XqM=")</f>
        <v>#REF!</v>
      </c>
      <c r="FI436" t="e">
        <f>AND(#REF!,"AAAAAH95XqQ=")</f>
        <v>#REF!</v>
      </c>
      <c r="FJ436" t="e">
        <f>AND(#REF!,"AAAAAH95XqU=")</f>
        <v>#REF!</v>
      </c>
      <c r="FK436" t="e">
        <f>AND(#REF!,"AAAAAH95XqY=")</f>
        <v>#REF!</v>
      </c>
      <c r="FL436" t="e">
        <f>AND(#REF!,"AAAAAH95Xqc=")</f>
        <v>#REF!</v>
      </c>
      <c r="FM436" t="e">
        <f>AND(#REF!,"AAAAAH95Xqg=")</f>
        <v>#REF!</v>
      </c>
      <c r="FN436" t="e">
        <f>AND(#REF!,"AAAAAH95Xqk=")</f>
        <v>#REF!</v>
      </c>
      <c r="FO436" t="e">
        <f>AND(#REF!,"AAAAAH95Xqo=")</f>
        <v>#REF!</v>
      </c>
      <c r="FP436" t="e">
        <f>AND(#REF!,"AAAAAH95Xqs=")</f>
        <v>#REF!</v>
      </c>
      <c r="FQ436" t="e">
        <f>AND(#REF!,"AAAAAH95Xqw=")</f>
        <v>#REF!</v>
      </c>
      <c r="FR436" t="e">
        <f>AND(#REF!,"AAAAAH95Xq0=")</f>
        <v>#REF!</v>
      </c>
      <c r="FS436" t="e">
        <f>AND(#REF!,"AAAAAH95Xq4=")</f>
        <v>#REF!</v>
      </c>
      <c r="FT436" t="e">
        <f>IF(#REF!,"AAAAAH95Xq8=",0)</f>
        <v>#REF!</v>
      </c>
      <c r="FU436" t="e">
        <f>AND(#REF!,"AAAAAH95XrA=")</f>
        <v>#REF!</v>
      </c>
      <c r="FV436" t="e">
        <f>AND(#REF!,"AAAAAH95XrE=")</f>
        <v>#REF!</v>
      </c>
      <c r="FW436" t="e">
        <f>AND(#REF!,"AAAAAH95XrI=")</f>
        <v>#REF!</v>
      </c>
      <c r="FX436" t="e">
        <f>AND(#REF!,"AAAAAH95XrM=")</f>
        <v>#REF!</v>
      </c>
      <c r="FY436" t="e">
        <f>AND(#REF!,"AAAAAH95XrQ=")</f>
        <v>#REF!</v>
      </c>
      <c r="FZ436" t="e">
        <f>AND(#REF!,"AAAAAH95XrU=")</f>
        <v>#REF!</v>
      </c>
      <c r="GA436" t="e">
        <f>AND(#REF!,"AAAAAH95XrY=")</f>
        <v>#REF!</v>
      </c>
      <c r="GB436" t="e">
        <f>AND(#REF!,"AAAAAH95Xrc=")</f>
        <v>#REF!</v>
      </c>
      <c r="GC436" t="e">
        <f>AND(#REF!,"AAAAAH95Xrg=")</f>
        <v>#REF!</v>
      </c>
      <c r="GD436" t="e">
        <f>AND(#REF!,"AAAAAH95Xrk=")</f>
        <v>#REF!</v>
      </c>
      <c r="GE436" t="e">
        <f>AND(#REF!,"AAAAAH95Xro=")</f>
        <v>#REF!</v>
      </c>
      <c r="GF436" t="e">
        <f>AND(#REF!,"AAAAAH95Xrs=")</f>
        <v>#REF!</v>
      </c>
      <c r="GG436" t="e">
        <f>AND(#REF!,"AAAAAH95Xrw=")</f>
        <v>#REF!</v>
      </c>
      <c r="GH436" t="e">
        <f>AND(#REF!,"AAAAAH95Xr0=")</f>
        <v>#REF!</v>
      </c>
      <c r="GI436" t="e">
        <f>AND(#REF!,"AAAAAH95Xr4=")</f>
        <v>#REF!</v>
      </c>
      <c r="GJ436" t="e">
        <f>AND(#REF!,"AAAAAH95Xr8=")</f>
        <v>#REF!</v>
      </c>
      <c r="GK436" t="e">
        <f>AND(#REF!,"AAAAAH95XsA=")</f>
        <v>#REF!</v>
      </c>
      <c r="GL436" t="e">
        <f>AND(#REF!,"AAAAAH95XsE=")</f>
        <v>#REF!</v>
      </c>
      <c r="GM436" t="e">
        <f>AND(#REF!,"AAAAAH95XsI=")</f>
        <v>#REF!</v>
      </c>
      <c r="GN436" t="e">
        <f>AND(#REF!,"AAAAAH95XsM=")</f>
        <v>#REF!</v>
      </c>
      <c r="GO436" t="e">
        <f>AND(#REF!,"AAAAAH95XsQ=")</f>
        <v>#REF!</v>
      </c>
      <c r="GP436" t="e">
        <f>AND(#REF!,"AAAAAH95XsU=")</f>
        <v>#REF!</v>
      </c>
      <c r="GQ436" t="e">
        <f>AND(#REF!,"AAAAAH95XsY=")</f>
        <v>#REF!</v>
      </c>
      <c r="GR436" t="e">
        <f>AND(#REF!,"AAAAAH95Xsc=")</f>
        <v>#REF!</v>
      </c>
      <c r="GS436" t="e">
        <f>IF(#REF!,"AAAAAH95Xsg=",0)</f>
        <v>#REF!</v>
      </c>
      <c r="GT436" t="e">
        <f>AND(#REF!,"AAAAAH95Xsk=")</f>
        <v>#REF!</v>
      </c>
      <c r="GU436" t="e">
        <f>AND(#REF!,"AAAAAH95Xso=")</f>
        <v>#REF!</v>
      </c>
      <c r="GV436" t="e">
        <f>AND(#REF!,"AAAAAH95Xss=")</f>
        <v>#REF!</v>
      </c>
      <c r="GW436" t="e">
        <f>AND(#REF!,"AAAAAH95Xsw=")</f>
        <v>#REF!</v>
      </c>
      <c r="GX436" t="e">
        <f>AND(#REF!,"AAAAAH95Xs0=")</f>
        <v>#REF!</v>
      </c>
      <c r="GY436" t="e">
        <f>AND(#REF!,"AAAAAH95Xs4=")</f>
        <v>#REF!</v>
      </c>
      <c r="GZ436" t="e">
        <f>AND(#REF!,"AAAAAH95Xs8=")</f>
        <v>#REF!</v>
      </c>
      <c r="HA436" t="e">
        <f>AND(#REF!,"AAAAAH95XtA=")</f>
        <v>#REF!</v>
      </c>
      <c r="HB436" t="e">
        <f>AND(#REF!,"AAAAAH95XtE=")</f>
        <v>#REF!</v>
      </c>
      <c r="HC436" t="e">
        <f>AND(#REF!,"AAAAAH95XtI=")</f>
        <v>#REF!</v>
      </c>
      <c r="HD436" t="e">
        <f>AND(#REF!,"AAAAAH95XtM=")</f>
        <v>#REF!</v>
      </c>
      <c r="HE436" t="e">
        <f>AND(#REF!,"AAAAAH95XtQ=")</f>
        <v>#REF!</v>
      </c>
      <c r="HF436" t="e">
        <f>AND(#REF!,"AAAAAH95XtU=")</f>
        <v>#REF!</v>
      </c>
      <c r="HG436" t="e">
        <f>AND(#REF!,"AAAAAH95XtY=")</f>
        <v>#REF!</v>
      </c>
      <c r="HH436" t="e">
        <f>AND(#REF!,"AAAAAH95Xtc=")</f>
        <v>#REF!</v>
      </c>
      <c r="HI436" t="e">
        <f>AND(#REF!,"AAAAAH95Xtg=")</f>
        <v>#REF!</v>
      </c>
      <c r="HJ436" t="e">
        <f>AND(#REF!,"AAAAAH95Xtk=")</f>
        <v>#REF!</v>
      </c>
      <c r="HK436" t="e">
        <f>AND(#REF!,"AAAAAH95Xto=")</f>
        <v>#REF!</v>
      </c>
      <c r="HL436" t="e">
        <f>AND(#REF!,"AAAAAH95Xts=")</f>
        <v>#REF!</v>
      </c>
      <c r="HM436" t="e">
        <f>AND(#REF!,"AAAAAH95Xtw=")</f>
        <v>#REF!</v>
      </c>
      <c r="HN436" t="e">
        <f>AND(#REF!,"AAAAAH95Xt0=")</f>
        <v>#REF!</v>
      </c>
      <c r="HO436" t="e">
        <f>AND(#REF!,"AAAAAH95Xt4=")</f>
        <v>#REF!</v>
      </c>
      <c r="HP436" t="e">
        <f>AND(#REF!,"AAAAAH95Xt8=")</f>
        <v>#REF!</v>
      </c>
      <c r="HQ436" t="e">
        <f>AND(#REF!,"AAAAAH95XuA=")</f>
        <v>#REF!</v>
      </c>
      <c r="HR436" t="e">
        <f>IF(#REF!,"AAAAAH95XuE=",0)</f>
        <v>#REF!</v>
      </c>
      <c r="HS436" t="e">
        <f>AND(#REF!,"AAAAAH95XuI=")</f>
        <v>#REF!</v>
      </c>
      <c r="HT436" t="e">
        <f>AND(#REF!,"AAAAAH95XuM=")</f>
        <v>#REF!</v>
      </c>
      <c r="HU436" t="e">
        <f>AND(#REF!,"AAAAAH95XuQ=")</f>
        <v>#REF!</v>
      </c>
      <c r="HV436" t="e">
        <f>AND(#REF!,"AAAAAH95XuU=")</f>
        <v>#REF!</v>
      </c>
      <c r="HW436" t="e">
        <f>AND(#REF!,"AAAAAH95XuY=")</f>
        <v>#REF!</v>
      </c>
      <c r="HX436" t="e">
        <f>AND(#REF!,"AAAAAH95Xuc=")</f>
        <v>#REF!</v>
      </c>
      <c r="HY436" t="e">
        <f>AND(#REF!,"AAAAAH95Xug=")</f>
        <v>#REF!</v>
      </c>
      <c r="HZ436" t="e">
        <f>AND(#REF!,"AAAAAH95Xuk=")</f>
        <v>#REF!</v>
      </c>
      <c r="IA436" t="e">
        <f>AND(#REF!,"AAAAAH95Xuo=")</f>
        <v>#REF!</v>
      </c>
      <c r="IB436" t="e">
        <f>AND(#REF!,"AAAAAH95Xus=")</f>
        <v>#REF!</v>
      </c>
      <c r="IC436" t="e">
        <f>AND(#REF!,"AAAAAH95Xuw=")</f>
        <v>#REF!</v>
      </c>
      <c r="ID436" t="e">
        <f>AND(#REF!,"AAAAAH95Xu0=")</f>
        <v>#REF!</v>
      </c>
      <c r="IE436" t="e">
        <f>AND(#REF!,"AAAAAH95Xu4=")</f>
        <v>#REF!</v>
      </c>
      <c r="IF436" t="e">
        <f>AND(#REF!,"AAAAAH95Xu8=")</f>
        <v>#REF!</v>
      </c>
      <c r="IG436" t="e">
        <f>AND(#REF!,"AAAAAH95XvA=")</f>
        <v>#REF!</v>
      </c>
      <c r="IH436" t="e">
        <f>AND(#REF!,"AAAAAH95XvE=")</f>
        <v>#REF!</v>
      </c>
      <c r="II436" t="e">
        <f>AND(#REF!,"AAAAAH95XvI=")</f>
        <v>#REF!</v>
      </c>
      <c r="IJ436" t="e">
        <f>AND(#REF!,"AAAAAH95XvM=")</f>
        <v>#REF!</v>
      </c>
      <c r="IK436" t="e">
        <f>AND(#REF!,"AAAAAH95XvQ=")</f>
        <v>#REF!</v>
      </c>
      <c r="IL436" t="e">
        <f>AND(#REF!,"AAAAAH95XvU=")</f>
        <v>#REF!</v>
      </c>
      <c r="IM436" t="e">
        <f>AND(#REF!,"AAAAAH95XvY=")</f>
        <v>#REF!</v>
      </c>
      <c r="IN436" t="e">
        <f>AND(#REF!,"AAAAAH95Xvc=")</f>
        <v>#REF!</v>
      </c>
      <c r="IO436" t="e">
        <f>AND(#REF!,"AAAAAH95Xvg=")</f>
        <v>#REF!</v>
      </c>
      <c r="IP436" t="e">
        <f>AND(#REF!,"AAAAAH95Xvk=")</f>
        <v>#REF!</v>
      </c>
      <c r="IQ436" t="e">
        <f>IF(#REF!,"AAAAAH95Xvo=",0)</f>
        <v>#REF!</v>
      </c>
      <c r="IR436" t="e">
        <f>AND(#REF!,"AAAAAH95Xvs=")</f>
        <v>#REF!</v>
      </c>
      <c r="IS436" t="e">
        <f>AND(#REF!,"AAAAAH95Xvw=")</f>
        <v>#REF!</v>
      </c>
      <c r="IT436" t="e">
        <f>AND(#REF!,"AAAAAH95Xv0=")</f>
        <v>#REF!</v>
      </c>
      <c r="IU436" t="e">
        <f>AND(#REF!,"AAAAAH95Xv4=")</f>
        <v>#REF!</v>
      </c>
      <c r="IV436" t="e">
        <f>AND(#REF!,"AAAAAH95Xv8=")</f>
        <v>#REF!</v>
      </c>
    </row>
    <row r="437" spans="1:256">
      <c r="A437" t="e">
        <f>AND(#REF!,"AAAAAE/+7wA=")</f>
        <v>#REF!</v>
      </c>
      <c r="B437" t="e">
        <f>AND(#REF!,"AAAAAE/+7wE=")</f>
        <v>#REF!</v>
      </c>
      <c r="C437" t="e">
        <f>AND(#REF!,"AAAAAE/+7wI=")</f>
        <v>#REF!</v>
      </c>
      <c r="D437" t="e">
        <f>AND(#REF!,"AAAAAE/+7wM=")</f>
        <v>#REF!</v>
      </c>
      <c r="E437" t="e">
        <f>AND(#REF!,"AAAAAE/+7wQ=")</f>
        <v>#REF!</v>
      </c>
      <c r="F437" t="e">
        <f>AND(#REF!,"AAAAAE/+7wU=")</f>
        <v>#REF!</v>
      </c>
      <c r="G437" t="e">
        <f>AND(#REF!,"AAAAAE/+7wY=")</f>
        <v>#REF!</v>
      </c>
      <c r="H437" t="e">
        <f>AND(#REF!,"AAAAAE/+7wc=")</f>
        <v>#REF!</v>
      </c>
      <c r="I437" t="e">
        <f>AND(#REF!,"AAAAAE/+7wg=")</f>
        <v>#REF!</v>
      </c>
      <c r="J437" t="e">
        <f>AND(#REF!,"AAAAAE/+7wk=")</f>
        <v>#REF!</v>
      </c>
      <c r="K437" t="e">
        <f>AND(#REF!,"AAAAAE/+7wo=")</f>
        <v>#REF!</v>
      </c>
      <c r="L437" t="e">
        <f>AND(#REF!,"AAAAAE/+7ws=")</f>
        <v>#REF!</v>
      </c>
      <c r="M437" t="e">
        <f>AND(#REF!,"AAAAAE/+7ww=")</f>
        <v>#REF!</v>
      </c>
      <c r="N437" t="e">
        <f>AND(#REF!,"AAAAAE/+7w0=")</f>
        <v>#REF!</v>
      </c>
      <c r="O437" t="e">
        <f>AND(#REF!,"AAAAAE/+7w4=")</f>
        <v>#REF!</v>
      </c>
      <c r="P437" t="e">
        <f>AND(#REF!,"AAAAAE/+7w8=")</f>
        <v>#REF!</v>
      </c>
      <c r="Q437" t="e">
        <f>AND(#REF!,"AAAAAE/+7xA=")</f>
        <v>#REF!</v>
      </c>
      <c r="R437" t="e">
        <f>AND(#REF!,"AAAAAE/+7xE=")</f>
        <v>#REF!</v>
      </c>
      <c r="S437" t="e">
        <f>AND(#REF!,"AAAAAE/+7xI=")</f>
        <v>#REF!</v>
      </c>
      <c r="T437" t="e">
        <f>IF(#REF!,"AAAAAE/+7xM=",0)</f>
        <v>#REF!</v>
      </c>
      <c r="U437" t="e">
        <f>AND(#REF!,"AAAAAE/+7xQ=")</f>
        <v>#REF!</v>
      </c>
      <c r="V437" t="e">
        <f>AND(#REF!,"AAAAAE/+7xU=")</f>
        <v>#REF!</v>
      </c>
      <c r="W437" t="e">
        <f>AND(#REF!,"AAAAAE/+7xY=")</f>
        <v>#REF!</v>
      </c>
      <c r="X437" t="e">
        <f>AND(#REF!,"AAAAAE/+7xc=")</f>
        <v>#REF!</v>
      </c>
      <c r="Y437" t="e">
        <f>AND(#REF!,"AAAAAE/+7xg=")</f>
        <v>#REF!</v>
      </c>
      <c r="Z437" t="e">
        <f>AND(#REF!,"AAAAAE/+7xk=")</f>
        <v>#REF!</v>
      </c>
      <c r="AA437" t="e">
        <f>AND(#REF!,"AAAAAE/+7xo=")</f>
        <v>#REF!</v>
      </c>
      <c r="AB437" t="e">
        <f>AND(#REF!,"AAAAAE/+7xs=")</f>
        <v>#REF!</v>
      </c>
      <c r="AC437" t="e">
        <f>AND(#REF!,"AAAAAE/+7xw=")</f>
        <v>#REF!</v>
      </c>
      <c r="AD437" t="e">
        <f>AND(#REF!,"AAAAAE/+7x0=")</f>
        <v>#REF!</v>
      </c>
      <c r="AE437" t="e">
        <f>AND(#REF!,"AAAAAE/+7x4=")</f>
        <v>#REF!</v>
      </c>
      <c r="AF437" t="e">
        <f>AND(#REF!,"AAAAAE/+7x8=")</f>
        <v>#REF!</v>
      </c>
      <c r="AG437" t="e">
        <f>AND(#REF!,"AAAAAE/+7yA=")</f>
        <v>#REF!</v>
      </c>
      <c r="AH437" t="e">
        <f>AND(#REF!,"AAAAAE/+7yE=")</f>
        <v>#REF!</v>
      </c>
      <c r="AI437" t="e">
        <f>AND(#REF!,"AAAAAE/+7yI=")</f>
        <v>#REF!</v>
      </c>
      <c r="AJ437" t="e">
        <f>AND(#REF!,"AAAAAE/+7yM=")</f>
        <v>#REF!</v>
      </c>
      <c r="AK437" t="e">
        <f>AND(#REF!,"AAAAAE/+7yQ=")</f>
        <v>#REF!</v>
      </c>
      <c r="AL437" t="e">
        <f>AND(#REF!,"AAAAAE/+7yU=")</f>
        <v>#REF!</v>
      </c>
      <c r="AM437" t="e">
        <f>AND(#REF!,"AAAAAE/+7yY=")</f>
        <v>#REF!</v>
      </c>
      <c r="AN437" t="e">
        <f>AND(#REF!,"AAAAAE/+7yc=")</f>
        <v>#REF!</v>
      </c>
      <c r="AO437" t="e">
        <f>AND(#REF!,"AAAAAE/+7yg=")</f>
        <v>#REF!</v>
      </c>
      <c r="AP437" t="e">
        <f>AND(#REF!,"AAAAAE/+7yk=")</f>
        <v>#REF!</v>
      </c>
      <c r="AQ437" t="e">
        <f>AND(#REF!,"AAAAAE/+7yo=")</f>
        <v>#REF!</v>
      </c>
      <c r="AR437" t="e">
        <f>AND(#REF!,"AAAAAE/+7ys=")</f>
        <v>#REF!</v>
      </c>
      <c r="AS437" t="e">
        <f>IF(#REF!,"AAAAAE/+7yw=",0)</f>
        <v>#REF!</v>
      </c>
      <c r="AT437" t="e">
        <f>AND(#REF!,"AAAAAE/+7y0=")</f>
        <v>#REF!</v>
      </c>
      <c r="AU437" t="e">
        <f>AND(#REF!,"AAAAAE/+7y4=")</f>
        <v>#REF!</v>
      </c>
      <c r="AV437" t="e">
        <f>AND(#REF!,"AAAAAE/+7y8=")</f>
        <v>#REF!</v>
      </c>
      <c r="AW437" t="e">
        <f>AND(#REF!,"AAAAAE/+7zA=")</f>
        <v>#REF!</v>
      </c>
      <c r="AX437" t="e">
        <f>AND(#REF!,"AAAAAE/+7zE=")</f>
        <v>#REF!</v>
      </c>
      <c r="AY437" t="e">
        <f>AND(#REF!,"AAAAAE/+7zI=")</f>
        <v>#REF!</v>
      </c>
      <c r="AZ437" t="e">
        <f>AND(#REF!,"AAAAAE/+7zM=")</f>
        <v>#REF!</v>
      </c>
      <c r="BA437" t="e">
        <f>AND(#REF!,"AAAAAE/+7zQ=")</f>
        <v>#REF!</v>
      </c>
      <c r="BB437" t="e">
        <f>AND(#REF!,"AAAAAE/+7zU=")</f>
        <v>#REF!</v>
      </c>
      <c r="BC437" t="e">
        <f>AND(#REF!,"AAAAAE/+7zY=")</f>
        <v>#REF!</v>
      </c>
      <c r="BD437" t="e">
        <f>AND(#REF!,"AAAAAE/+7zc=")</f>
        <v>#REF!</v>
      </c>
      <c r="BE437" t="e">
        <f>AND(#REF!,"AAAAAE/+7zg=")</f>
        <v>#REF!</v>
      </c>
      <c r="BF437" t="e">
        <f>AND(#REF!,"AAAAAE/+7zk=")</f>
        <v>#REF!</v>
      </c>
      <c r="BG437" t="e">
        <f>AND(#REF!,"AAAAAE/+7zo=")</f>
        <v>#REF!</v>
      </c>
      <c r="BH437" t="e">
        <f>AND(#REF!,"AAAAAE/+7zs=")</f>
        <v>#REF!</v>
      </c>
      <c r="BI437" t="e">
        <f>AND(#REF!,"AAAAAE/+7zw=")</f>
        <v>#REF!</v>
      </c>
      <c r="BJ437" t="e">
        <f>AND(#REF!,"AAAAAE/+7z0=")</f>
        <v>#REF!</v>
      </c>
      <c r="BK437" t="e">
        <f>AND(#REF!,"AAAAAE/+7z4=")</f>
        <v>#REF!</v>
      </c>
      <c r="BL437" t="e">
        <f>AND(#REF!,"AAAAAE/+7z8=")</f>
        <v>#REF!</v>
      </c>
      <c r="BM437" t="e">
        <f>AND(#REF!,"AAAAAE/+70A=")</f>
        <v>#REF!</v>
      </c>
      <c r="BN437" t="e">
        <f>AND(#REF!,"AAAAAE/+70E=")</f>
        <v>#REF!</v>
      </c>
      <c r="BO437" t="e">
        <f>AND(#REF!,"AAAAAE/+70I=")</f>
        <v>#REF!</v>
      </c>
      <c r="BP437" t="e">
        <f>AND(#REF!,"AAAAAE/+70M=")</f>
        <v>#REF!</v>
      </c>
      <c r="BQ437" t="e">
        <f>AND(#REF!,"AAAAAE/+70Q=")</f>
        <v>#REF!</v>
      </c>
      <c r="BR437" t="e">
        <f>IF(#REF!,"AAAAAE/+70U=",0)</f>
        <v>#REF!</v>
      </c>
      <c r="BS437" t="e">
        <f>AND(#REF!,"AAAAAE/+70Y=")</f>
        <v>#REF!</v>
      </c>
      <c r="BT437" t="e">
        <f>AND(#REF!,"AAAAAE/+70c=")</f>
        <v>#REF!</v>
      </c>
      <c r="BU437" t="e">
        <f>AND(#REF!,"AAAAAE/+70g=")</f>
        <v>#REF!</v>
      </c>
      <c r="BV437" t="e">
        <f>AND(#REF!,"AAAAAE/+70k=")</f>
        <v>#REF!</v>
      </c>
      <c r="BW437" t="e">
        <f>AND(#REF!,"AAAAAE/+70o=")</f>
        <v>#REF!</v>
      </c>
      <c r="BX437" t="e">
        <f>AND(#REF!,"AAAAAE/+70s=")</f>
        <v>#REF!</v>
      </c>
      <c r="BY437" t="e">
        <f>AND(#REF!,"AAAAAE/+70w=")</f>
        <v>#REF!</v>
      </c>
      <c r="BZ437" t="e">
        <f>AND(#REF!,"AAAAAE/+700=")</f>
        <v>#REF!</v>
      </c>
      <c r="CA437" t="e">
        <f>AND(#REF!,"AAAAAE/+704=")</f>
        <v>#REF!</v>
      </c>
      <c r="CB437" t="e">
        <f>AND(#REF!,"AAAAAE/+708=")</f>
        <v>#REF!</v>
      </c>
      <c r="CC437" t="e">
        <f>AND(#REF!,"AAAAAE/+71A=")</f>
        <v>#REF!</v>
      </c>
      <c r="CD437" t="e">
        <f>AND(#REF!,"AAAAAE/+71E=")</f>
        <v>#REF!</v>
      </c>
      <c r="CE437" t="e">
        <f>AND(#REF!,"AAAAAE/+71I=")</f>
        <v>#REF!</v>
      </c>
      <c r="CF437" t="e">
        <f>AND(#REF!,"AAAAAE/+71M=")</f>
        <v>#REF!</v>
      </c>
      <c r="CG437" t="e">
        <f>AND(#REF!,"AAAAAE/+71Q=")</f>
        <v>#REF!</v>
      </c>
      <c r="CH437" t="e">
        <f>AND(#REF!,"AAAAAE/+71U=")</f>
        <v>#REF!</v>
      </c>
      <c r="CI437" t="e">
        <f>AND(#REF!,"AAAAAE/+71Y=")</f>
        <v>#REF!</v>
      </c>
      <c r="CJ437" t="e">
        <f>AND(#REF!,"AAAAAE/+71c=")</f>
        <v>#REF!</v>
      </c>
      <c r="CK437" t="e">
        <f>AND(#REF!,"AAAAAE/+71g=")</f>
        <v>#REF!</v>
      </c>
      <c r="CL437" t="e">
        <f>AND(#REF!,"AAAAAE/+71k=")</f>
        <v>#REF!</v>
      </c>
      <c r="CM437" t="e">
        <f>AND(#REF!,"AAAAAE/+71o=")</f>
        <v>#REF!</v>
      </c>
      <c r="CN437" t="e">
        <f>AND(#REF!,"AAAAAE/+71s=")</f>
        <v>#REF!</v>
      </c>
      <c r="CO437" t="e">
        <f>AND(#REF!,"AAAAAE/+71w=")</f>
        <v>#REF!</v>
      </c>
      <c r="CP437" t="e">
        <f>AND(#REF!,"AAAAAE/+710=")</f>
        <v>#REF!</v>
      </c>
      <c r="CQ437" t="e">
        <f>IF(#REF!,"AAAAAE/+714=",0)</f>
        <v>#REF!</v>
      </c>
      <c r="CR437" t="e">
        <f>AND(#REF!,"AAAAAE/+718=")</f>
        <v>#REF!</v>
      </c>
      <c r="CS437" t="e">
        <f>AND(#REF!,"AAAAAE/+72A=")</f>
        <v>#REF!</v>
      </c>
      <c r="CT437" t="e">
        <f>AND(#REF!,"AAAAAE/+72E=")</f>
        <v>#REF!</v>
      </c>
      <c r="CU437" t="e">
        <f>AND(#REF!,"AAAAAE/+72I=")</f>
        <v>#REF!</v>
      </c>
      <c r="CV437" t="e">
        <f>AND(#REF!,"AAAAAE/+72M=")</f>
        <v>#REF!</v>
      </c>
      <c r="CW437" t="e">
        <f>AND(#REF!,"AAAAAE/+72Q=")</f>
        <v>#REF!</v>
      </c>
      <c r="CX437" t="e">
        <f>AND(#REF!,"AAAAAE/+72U=")</f>
        <v>#REF!</v>
      </c>
      <c r="CY437" t="e">
        <f>AND(#REF!,"AAAAAE/+72Y=")</f>
        <v>#REF!</v>
      </c>
      <c r="CZ437" t="e">
        <f>AND(#REF!,"AAAAAE/+72c=")</f>
        <v>#REF!</v>
      </c>
      <c r="DA437" t="e">
        <f>AND(#REF!,"AAAAAE/+72g=")</f>
        <v>#REF!</v>
      </c>
      <c r="DB437" t="e">
        <f>AND(#REF!,"AAAAAE/+72k=")</f>
        <v>#REF!</v>
      </c>
      <c r="DC437" t="e">
        <f>AND(#REF!,"AAAAAE/+72o=")</f>
        <v>#REF!</v>
      </c>
      <c r="DD437" t="e">
        <f>AND(#REF!,"AAAAAE/+72s=")</f>
        <v>#REF!</v>
      </c>
      <c r="DE437" t="e">
        <f>AND(#REF!,"AAAAAE/+72w=")</f>
        <v>#REF!</v>
      </c>
      <c r="DF437" t="e">
        <f>AND(#REF!,"AAAAAE/+720=")</f>
        <v>#REF!</v>
      </c>
      <c r="DG437" t="e">
        <f>AND(#REF!,"AAAAAE/+724=")</f>
        <v>#REF!</v>
      </c>
      <c r="DH437" t="e">
        <f>AND(#REF!,"AAAAAE/+728=")</f>
        <v>#REF!</v>
      </c>
      <c r="DI437" t="e">
        <f>AND(#REF!,"AAAAAE/+73A=")</f>
        <v>#REF!</v>
      </c>
      <c r="DJ437" t="e">
        <f>AND(#REF!,"AAAAAE/+73E=")</f>
        <v>#REF!</v>
      </c>
      <c r="DK437" t="e">
        <f>AND(#REF!,"AAAAAE/+73I=")</f>
        <v>#REF!</v>
      </c>
      <c r="DL437" t="e">
        <f>AND(#REF!,"AAAAAE/+73M=")</f>
        <v>#REF!</v>
      </c>
      <c r="DM437" t="e">
        <f>AND(#REF!,"AAAAAE/+73Q=")</f>
        <v>#REF!</v>
      </c>
      <c r="DN437" t="e">
        <f>AND(#REF!,"AAAAAE/+73U=")</f>
        <v>#REF!</v>
      </c>
      <c r="DO437" t="e">
        <f>AND(#REF!,"AAAAAE/+73Y=")</f>
        <v>#REF!</v>
      </c>
      <c r="DP437" t="e">
        <f>IF(#REF!,"AAAAAE/+73c=",0)</f>
        <v>#REF!</v>
      </c>
      <c r="DQ437" t="e">
        <f>AND(#REF!,"AAAAAE/+73g=")</f>
        <v>#REF!</v>
      </c>
      <c r="DR437" t="e">
        <f>AND(#REF!,"AAAAAE/+73k=")</f>
        <v>#REF!</v>
      </c>
      <c r="DS437" t="e">
        <f>AND(#REF!,"AAAAAE/+73o=")</f>
        <v>#REF!</v>
      </c>
      <c r="DT437" t="e">
        <f>AND(#REF!,"AAAAAE/+73s=")</f>
        <v>#REF!</v>
      </c>
      <c r="DU437" t="e">
        <f>AND(#REF!,"AAAAAE/+73w=")</f>
        <v>#REF!</v>
      </c>
      <c r="DV437" t="e">
        <f>AND(#REF!,"AAAAAE/+730=")</f>
        <v>#REF!</v>
      </c>
      <c r="DW437" t="e">
        <f>AND(#REF!,"AAAAAE/+734=")</f>
        <v>#REF!</v>
      </c>
      <c r="DX437" t="e">
        <f>AND(#REF!,"AAAAAE/+738=")</f>
        <v>#REF!</v>
      </c>
      <c r="DY437" t="e">
        <f>AND(#REF!,"AAAAAE/+74A=")</f>
        <v>#REF!</v>
      </c>
      <c r="DZ437" t="e">
        <f>AND(#REF!,"AAAAAE/+74E=")</f>
        <v>#REF!</v>
      </c>
      <c r="EA437" t="e">
        <f>AND(#REF!,"AAAAAE/+74I=")</f>
        <v>#REF!</v>
      </c>
      <c r="EB437" t="e">
        <f>AND(#REF!,"AAAAAE/+74M=")</f>
        <v>#REF!</v>
      </c>
      <c r="EC437" t="e">
        <f>AND(#REF!,"AAAAAE/+74Q=")</f>
        <v>#REF!</v>
      </c>
      <c r="ED437" t="e">
        <f>AND(#REF!,"AAAAAE/+74U=")</f>
        <v>#REF!</v>
      </c>
      <c r="EE437" t="e">
        <f>AND(#REF!,"AAAAAE/+74Y=")</f>
        <v>#REF!</v>
      </c>
      <c r="EF437" t="e">
        <f>AND(#REF!,"AAAAAE/+74c=")</f>
        <v>#REF!</v>
      </c>
      <c r="EG437" t="e">
        <f>AND(#REF!,"AAAAAE/+74g=")</f>
        <v>#REF!</v>
      </c>
      <c r="EH437" t="e">
        <f>AND(#REF!,"AAAAAE/+74k=")</f>
        <v>#REF!</v>
      </c>
      <c r="EI437" t="e">
        <f>AND(#REF!,"AAAAAE/+74o=")</f>
        <v>#REF!</v>
      </c>
      <c r="EJ437" t="e">
        <f>AND(#REF!,"AAAAAE/+74s=")</f>
        <v>#REF!</v>
      </c>
      <c r="EK437" t="e">
        <f>AND(#REF!,"AAAAAE/+74w=")</f>
        <v>#REF!</v>
      </c>
      <c r="EL437" t="e">
        <f>AND(#REF!,"AAAAAE/+740=")</f>
        <v>#REF!</v>
      </c>
      <c r="EM437" t="e">
        <f>AND(#REF!,"AAAAAE/+744=")</f>
        <v>#REF!</v>
      </c>
      <c r="EN437" t="e">
        <f>AND(#REF!,"AAAAAE/+748=")</f>
        <v>#REF!</v>
      </c>
      <c r="EO437" t="e">
        <f>IF(#REF!,"AAAAAE/+75A=",0)</f>
        <v>#REF!</v>
      </c>
      <c r="EP437" t="e">
        <f>AND(#REF!,"AAAAAE/+75E=")</f>
        <v>#REF!</v>
      </c>
      <c r="EQ437" t="e">
        <f>AND(#REF!,"AAAAAE/+75I=")</f>
        <v>#REF!</v>
      </c>
      <c r="ER437" t="e">
        <f>AND(#REF!,"AAAAAE/+75M=")</f>
        <v>#REF!</v>
      </c>
      <c r="ES437" t="e">
        <f>AND(#REF!,"AAAAAE/+75Q=")</f>
        <v>#REF!</v>
      </c>
      <c r="ET437" t="e">
        <f>AND(#REF!,"AAAAAE/+75U=")</f>
        <v>#REF!</v>
      </c>
      <c r="EU437" t="e">
        <f>AND(#REF!,"AAAAAE/+75Y=")</f>
        <v>#REF!</v>
      </c>
      <c r="EV437" t="e">
        <f>AND(#REF!,"AAAAAE/+75c=")</f>
        <v>#REF!</v>
      </c>
      <c r="EW437" t="e">
        <f>AND(#REF!,"AAAAAE/+75g=")</f>
        <v>#REF!</v>
      </c>
      <c r="EX437" t="e">
        <f>AND(#REF!,"AAAAAE/+75k=")</f>
        <v>#REF!</v>
      </c>
      <c r="EY437" t="e">
        <f>AND(#REF!,"AAAAAE/+75o=")</f>
        <v>#REF!</v>
      </c>
      <c r="EZ437" t="e">
        <f>AND(#REF!,"AAAAAE/+75s=")</f>
        <v>#REF!</v>
      </c>
      <c r="FA437" t="e">
        <f>AND(#REF!,"AAAAAE/+75w=")</f>
        <v>#REF!</v>
      </c>
      <c r="FB437" t="e">
        <f>AND(#REF!,"AAAAAE/+750=")</f>
        <v>#REF!</v>
      </c>
      <c r="FC437" t="e">
        <f>AND(#REF!,"AAAAAE/+754=")</f>
        <v>#REF!</v>
      </c>
      <c r="FD437" t="e">
        <f>AND(#REF!,"AAAAAE/+758=")</f>
        <v>#REF!</v>
      </c>
      <c r="FE437" t="e">
        <f>AND(#REF!,"AAAAAE/+76A=")</f>
        <v>#REF!</v>
      </c>
      <c r="FF437" t="e">
        <f>AND(#REF!,"AAAAAE/+76E=")</f>
        <v>#REF!</v>
      </c>
      <c r="FG437" t="e">
        <f>AND(#REF!,"AAAAAE/+76I=")</f>
        <v>#REF!</v>
      </c>
      <c r="FH437" t="e">
        <f>AND(#REF!,"AAAAAE/+76M=")</f>
        <v>#REF!</v>
      </c>
      <c r="FI437" t="e">
        <f>AND(#REF!,"AAAAAE/+76Q=")</f>
        <v>#REF!</v>
      </c>
      <c r="FJ437" t="e">
        <f>AND(#REF!,"AAAAAE/+76U=")</f>
        <v>#REF!</v>
      </c>
      <c r="FK437" t="e">
        <f>AND(#REF!,"AAAAAE/+76Y=")</f>
        <v>#REF!</v>
      </c>
      <c r="FL437" t="e">
        <f>AND(#REF!,"AAAAAE/+76c=")</f>
        <v>#REF!</v>
      </c>
      <c r="FM437" t="e">
        <f>AND(#REF!,"AAAAAE/+76g=")</f>
        <v>#REF!</v>
      </c>
      <c r="FN437" t="e">
        <f>IF(#REF!,"AAAAAE/+76k=",0)</f>
        <v>#REF!</v>
      </c>
      <c r="FO437" t="e">
        <f>AND(#REF!,"AAAAAE/+76o=")</f>
        <v>#REF!</v>
      </c>
      <c r="FP437" t="e">
        <f>AND(#REF!,"AAAAAE/+76s=")</f>
        <v>#REF!</v>
      </c>
      <c r="FQ437" t="e">
        <f>AND(#REF!,"AAAAAE/+76w=")</f>
        <v>#REF!</v>
      </c>
      <c r="FR437" t="e">
        <f>AND(#REF!,"AAAAAE/+760=")</f>
        <v>#REF!</v>
      </c>
      <c r="FS437" t="e">
        <f>AND(#REF!,"AAAAAE/+764=")</f>
        <v>#REF!</v>
      </c>
      <c r="FT437" t="e">
        <f>AND(#REF!,"AAAAAE/+768=")</f>
        <v>#REF!</v>
      </c>
      <c r="FU437" t="e">
        <f>AND(#REF!,"AAAAAE/+77A=")</f>
        <v>#REF!</v>
      </c>
      <c r="FV437" t="e">
        <f>AND(#REF!,"AAAAAE/+77E=")</f>
        <v>#REF!</v>
      </c>
      <c r="FW437" t="e">
        <f>AND(#REF!,"AAAAAE/+77I=")</f>
        <v>#REF!</v>
      </c>
      <c r="FX437" t="e">
        <f>AND(#REF!,"AAAAAE/+77M=")</f>
        <v>#REF!</v>
      </c>
      <c r="FY437" t="e">
        <f>AND(#REF!,"AAAAAE/+77Q=")</f>
        <v>#REF!</v>
      </c>
      <c r="FZ437" t="e">
        <f>AND(#REF!,"AAAAAE/+77U=")</f>
        <v>#REF!</v>
      </c>
      <c r="GA437" t="e">
        <f>AND(#REF!,"AAAAAE/+77Y=")</f>
        <v>#REF!</v>
      </c>
      <c r="GB437" t="e">
        <f>AND(#REF!,"AAAAAE/+77c=")</f>
        <v>#REF!</v>
      </c>
      <c r="GC437" t="e">
        <f>AND(#REF!,"AAAAAE/+77g=")</f>
        <v>#REF!</v>
      </c>
      <c r="GD437" t="e">
        <f>AND(#REF!,"AAAAAE/+77k=")</f>
        <v>#REF!</v>
      </c>
      <c r="GE437" t="e">
        <f>AND(#REF!,"AAAAAE/+77o=")</f>
        <v>#REF!</v>
      </c>
      <c r="GF437" t="e">
        <f>AND(#REF!,"AAAAAE/+77s=")</f>
        <v>#REF!</v>
      </c>
      <c r="GG437" t="e">
        <f>AND(#REF!,"AAAAAE/+77w=")</f>
        <v>#REF!</v>
      </c>
      <c r="GH437" t="e">
        <f>AND(#REF!,"AAAAAE/+770=")</f>
        <v>#REF!</v>
      </c>
      <c r="GI437" t="e">
        <f>AND(#REF!,"AAAAAE/+774=")</f>
        <v>#REF!</v>
      </c>
      <c r="GJ437" t="e">
        <f>AND(#REF!,"AAAAAE/+778=")</f>
        <v>#REF!</v>
      </c>
      <c r="GK437" t="e">
        <f>AND(#REF!,"AAAAAE/+78A=")</f>
        <v>#REF!</v>
      </c>
      <c r="GL437" t="e">
        <f>AND(#REF!,"AAAAAE/+78E=")</f>
        <v>#REF!</v>
      </c>
      <c r="GM437" t="e">
        <f>IF(#REF!,"AAAAAE/+78I=",0)</f>
        <v>#REF!</v>
      </c>
      <c r="GN437" t="e">
        <f>AND(#REF!,"AAAAAE/+78M=")</f>
        <v>#REF!</v>
      </c>
      <c r="GO437" t="e">
        <f>AND(#REF!,"AAAAAE/+78Q=")</f>
        <v>#REF!</v>
      </c>
      <c r="GP437" t="e">
        <f>AND(#REF!,"AAAAAE/+78U=")</f>
        <v>#REF!</v>
      </c>
      <c r="GQ437" t="e">
        <f>AND(#REF!,"AAAAAE/+78Y=")</f>
        <v>#REF!</v>
      </c>
      <c r="GR437" t="e">
        <f>AND(#REF!,"AAAAAE/+78c=")</f>
        <v>#REF!</v>
      </c>
      <c r="GS437" t="e">
        <f>AND(#REF!,"AAAAAE/+78g=")</f>
        <v>#REF!</v>
      </c>
      <c r="GT437" t="e">
        <f>AND(#REF!,"AAAAAE/+78k=")</f>
        <v>#REF!</v>
      </c>
      <c r="GU437" t="e">
        <f>AND(#REF!,"AAAAAE/+78o=")</f>
        <v>#REF!</v>
      </c>
      <c r="GV437" t="e">
        <f>AND(#REF!,"AAAAAE/+78s=")</f>
        <v>#REF!</v>
      </c>
      <c r="GW437" t="e">
        <f>AND(#REF!,"AAAAAE/+78w=")</f>
        <v>#REF!</v>
      </c>
      <c r="GX437" t="e">
        <f>AND(#REF!,"AAAAAE/+780=")</f>
        <v>#REF!</v>
      </c>
      <c r="GY437" t="e">
        <f>AND(#REF!,"AAAAAE/+784=")</f>
        <v>#REF!</v>
      </c>
      <c r="GZ437" t="e">
        <f>AND(#REF!,"AAAAAE/+788=")</f>
        <v>#REF!</v>
      </c>
      <c r="HA437" t="e">
        <f>AND(#REF!,"AAAAAE/+79A=")</f>
        <v>#REF!</v>
      </c>
      <c r="HB437" t="e">
        <f>AND(#REF!,"AAAAAE/+79E=")</f>
        <v>#REF!</v>
      </c>
      <c r="HC437" t="e">
        <f>AND(#REF!,"AAAAAE/+79I=")</f>
        <v>#REF!</v>
      </c>
      <c r="HD437" t="e">
        <f>AND(#REF!,"AAAAAE/+79M=")</f>
        <v>#REF!</v>
      </c>
      <c r="HE437" t="e">
        <f>AND(#REF!,"AAAAAE/+79Q=")</f>
        <v>#REF!</v>
      </c>
      <c r="HF437" t="e">
        <f>AND(#REF!,"AAAAAE/+79U=")</f>
        <v>#REF!</v>
      </c>
      <c r="HG437" t="e">
        <f>AND(#REF!,"AAAAAE/+79Y=")</f>
        <v>#REF!</v>
      </c>
      <c r="HH437" t="e">
        <f>AND(#REF!,"AAAAAE/+79c=")</f>
        <v>#REF!</v>
      </c>
      <c r="HI437" t="e">
        <f>AND(#REF!,"AAAAAE/+79g=")</f>
        <v>#REF!</v>
      </c>
      <c r="HJ437" t="e">
        <f>AND(#REF!,"AAAAAE/+79k=")</f>
        <v>#REF!</v>
      </c>
      <c r="HK437" t="e">
        <f>AND(#REF!,"AAAAAE/+79o=")</f>
        <v>#REF!</v>
      </c>
      <c r="HL437" t="e">
        <f>IF(#REF!,"AAAAAE/+79s=",0)</f>
        <v>#REF!</v>
      </c>
      <c r="HM437" t="e">
        <f>AND(#REF!,"AAAAAE/+79w=")</f>
        <v>#REF!</v>
      </c>
      <c r="HN437" t="e">
        <f>AND(#REF!,"AAAAAE/+790=")</f>
        <v>#REF!</v>
      </c>
      <c r="HO437" t="e">
        <f>AND(#REF!,"AAAAAE/+794=")</f>
        <v>#REF!</v>
      </c>
      <c r="HP437" t="e">
        <f>AND(#REF!,"AAAAAE/+798=")</f>
        <v>#REF!</v>
      </c>
      <c r="HQ437" t="e">
        <f>AND(#REF!,"AAAAAE/+7+A=")</f>
        <v>#REF!</v>
      </c>
      <c r="HR437" t="e">
        <f>AND(#REF!,"AAAAAE/+7+E=")</f>
        <v>#REF!</v>
      </c>
      <c r="HS437" t="e">
        <f>AND(#REF!,"AAAAAE/+7+I=")</f>
        <v>#REF!</v>
      </c>
      <c r="HT437" t="e">
        <f>AND(#REF!,"AAAAAE/+7+M=")</f>
        <v>#REF!</v>
      </c>
      <c r="HU437" t="e">
        <f>AND(#REF!,"AAAAAE/+7+Q=")</f>
        <v>#REF!</v>
      </c>
      <c r="HV437" t="e">
        <f>AND(#REF!,"AAAAAE/+7+U=")</f>
        <v>#REF!</v>
      </c>
      <c r="HW437" t="e">
        <f>AND(#REF!,"AAAAAE/+7+Y=")</f>
        <v>#REF!</v>
      </c>
      <c r="HX437" t="e">
        <f>AND(#REF!,"AAAAAE/+7+c=")</f>
        <v>#REF!</v>
      </c>
      <c r="HY437" t="e">
        <f>AND(#REF!,"AAAAAE/+7+g=")</f>
        <v>#REF!</v>
      </c>
      <c r="HZ437" t="e">
        <f>AND(#REF!,"AAAAAE/+7+k=")</f>
        <v>#REF!</v>
      </c>
      <c r="IA437" t="e">
        <f>AND(#REF!,"AAAAAE/+7+o=")</f>
        <v>#REF!</v>
      </c>
      <c r="IB437" t="e">
        <f>AND(#REF!,"AAAAAE/+7+s=")</f>
        <v>#REF!</v>
      </c>
      <c r="IC437" t="e">
        <f>AND(#REF!,"AAAAAE/+7+w=")</f>
        <v>#REF!</v>
      </c>
      <c r="ID437" t="e">
        <f>AND(#REF!,"AAAAAE/+7+0=")</f>
        <v>#REF!</v>
      </c>
      <c r="IE437" t="e">
        <f>AND(#REF!,"AAAAAE/+7+4=")</f>
        <v>#REF!</v>
      </c>
      <c r="IF437" t="e">
        <f>AND(#REF!,"AAAAAE/+7+8=")</f>
        <v>#REF!</v>
      </c>
      <c r="IG437" t="e">
        <f>AND(#REF!,"AAAAAE/+7/A=")</f>
        <v>#REF!</v>
      </c>
      <c r="IH437" t="e">
        <f>AND(#REF!,"AAAAAE/+7/E=")</f>
        <v>#REF!</v>
      </c>
      <c r="II437" t="e">
        <f>AND(#REF!,"AAAAAE/+7/I=")</f>
        <v>#REF!</v>
      </c>
      <c r="IJ437" t="e">
        <f>AND(#REF!,"AAAAAE/+7/M=")</f>
        <v>#REF!</v>
      </c>
      <c r="IK437" t="e">
        <f>IF(#REF!,"AAAAAE/+7/Q=",0)</f>
        <v>#REF!</v>
      </c>
      <c r="IL437" t="e">
        <f>AND(#REF!,"AAAAAE/+7/U=")</f>
        <v>#REF!</v>
      </c>
      <c r="IM437" t="e">
        <f>AND(#REF!,"AAAAAE/+7/Y=")</f>
        <v>#REF!</v>
      </c>
      <c r="IN437" t="e">
        <f>AND(#REF!,"AAAAAE/+7/c=")</f>
        <v>#REF!</v>
      </c>
      <c r="IO437" t="e">
        <f>AND(#REF!,"AAAAAE/+7/g=")</f>
        <v>#REF!</v>
      </c>
      <c r="IP437" t="e">
        <f>AND(#REF!,"AAAAAE/+7/k=")</f>
        <v>#REF!</v>
      </c>
      <c r="IQ437" t="e">
        <f>AND(#REF!,"AAAAAE/+7/o=")</f>
        <v>#REF!</v>
      </c>
      <c r="IR437" t="e">
        <f>AND(#REF!,"AAAAAE/+7/s=")</f>
        <v>#REF!</v>
      </c>
      <c r="IS437" t="e">
        <f>AND(#REF!,"AAAAAE/+7/w=")</f>
        <v>#REF!</v>
      </c>
      <c r="IT437" t="e">
        <f>AND(#REF!,"AAAAAE/+7/0=")</f>
        <v>#REF!</v>
      </c>
      <c r="IU437" t="e">
        <f>AND(#REF!,"AAAAAE/+7/4=")</f>
        <v>#REF!</v>
      </c>
      <c r="IV437" t="e">
        <f>AND(#REF!,"AAAAAE/+7/8=")</f>
        <v>#REF!</v>
      </c>
    </row>
    <row r="438" spans="1:256">
      <c r="A438" t="e">
        <f>AND(#REF!,"AAAAAHvP/QA=")</f>
        <v>#REF!</v>
      </c>
      <c r="B438" t="e">
        <f>AND(#REF!,"AAAAAHvP/QE=")</f>
        <v>#REF!</v>
      </c>
      <c r="C438" t="e">
        <f>AND(#REF!,"AAAAAHvP/QI=")</f>
        <v>#REF!</v>
      </c>
      <c r="D438" t="e">
        <f>AND(#REF!,"AAAAAHvP/QM=")</f>
        <v>#REF!</v>
      </c>
      <c r="E438" t="e">
        <f>AND(#REF!,"AAAAAHvP/QQ=")</f>
        <v>#REF!</v>
      </c>
      <c r="F438" t="e">
        <f>AND(#REF!,"AAAAAHvP/QU=")</f>
        <v>#REF!</v>
      </c>
      <c r="G438" t="e">
        <f>AND(#REF!,"AAAAAHvP/QY=")</f>
        <v>#REF!</v>
      </c>
      <c r="H438" t="e">
        <f>AND(#REF!,"AAAAAHvP/Qc=")</f>
        <v>#REF!</v>
      </c>
      <c r="I438" t="e">
        <f>AND(#REF!,"AAAAAHvP/Qg=")</f>
        <v>#REF!</v>
      </c>
      <c r="J438" t="e">
        <f>AND(#REF!,"AAAAAHvP/Qk=")</f>
        <v>#REF!</v>
      </c>
      <c r="K438" t="e">
        <f>AND(#REF!,"AAAAAHvP/Qo=")</f>
        <v>#REF!</v>
      </c>
      <c r="L438" t="e">
        <f>AND(#REF!,"AAAAAHvP/Qs=")</f>
        <v>#REF!</v>
      </c>
      <c r="M438" t="e">
        <f>AND(#REF!,"AAAAAHvP/Qw=")</f>
        <v>#REF!</v>
      </c>
      <c r="N438" t="e">
        <f>IF(#REF!,"AAAAAHvP/Q0=",0)</f>
        <v>#REF!</v>
      </c>
      <c r="O438" t="e">
        <f>AND(#REF!,"AAAAAHvP/Q4=")</f>
        <v>#REF!</v>
      </c>
      <c r="P438" t="e">
        <f>AND(#REF!,"AAAAAHvP/Q8=")</f>
        <v>#REF!</v>
      </c>
      <c r="Q438" t="e">
        <f>AND(#REF!,"AAAAAHvP/RA=")</f>
        <v>#REF!</v>
      </c>
      <c r="R438" t="e">
        <f>AND(#REF!,"AAAAAHvP/RE=")</f>
        <v>#REF!</v>
      </c>
      <c r="S438" t="e">
        <f>AND(#REF!,"AAAAAHvP/RI=")</f>
        <v>#REF!</v>
      </c>
      <c r="T438" t="e">
        <f>AND(#REF!,"AAAAAHvP/RM=")</f>
        <v>#REF!</v>
      </c>
      <c r="U438" t="e">
        <f>AND(#REF!,"AAAAAHvP/RQ=")</f>
        <v>#REF!</v>
      </c>
      <c r="V438" t="e">
        <f>AND(#REF!,"AAAAAHvP/RU=")</f>
        <v>#REF!</v>
      </c>
      <c r="W438" t="e">
        <f>AND(#REF!,"AAAAAHvP/RY=")</f>
        <v>#REF!</v>
      </c>
      <c r="X438" t="e">
        <f>AND(#REF!,"AAAAAHvP/Rc=")</f>
        <v>#REF!</v>
      </c>
      <c r="Y438" t="e">
        <f>AND(#REF!,"AAAAAHvP/Rg=")</f>
        <v>#REF!</v>
      </c>
      <c r="Z438" t="e">
        <f>AND(#REF!,"AAAAAHvP/Rk=")</f>
        <v>#REF!</v>
      </c>
      <c r="AA438" t="e">
        <f>AND(#REF!,"AAAAAHvP/Ro=")</f>
        <v>#REF!</v>
      </c>
      <c r="AB438" t="e">
        <f>AND(#REF!,"AAAAAHvP/Rs=")</f>
        <v>#REF!</v>
      </c>
      <c r="AC438" t="e">
        <f>AND(#REF!,"AAAAAHvP/Rw=")</f>
        <v>#REF!</v>
      </c>
      <c r="AD438" t="e">
        <f>AND(#REF!,"AAAAAHvP/R0=")</f>
        <v>#REF!</v>
      </c>
      <c r="AE438" t="e">
        <f>AND(#REF!,"AAAAAHvP/R4=")</f>
        <v>#REF!</v>
      </c>
      <c r="AF438" t="e">
        <f>AND(#REF!,"AAAAAHvP/R8=")</f>
        <v>#REF!</v>
      </c>
      <c r="AG438" t="e">
        <f>AND(#REF!,"AAAAAHvP/SA=")</f>
        <v>#REF!</v>
      </c>
      <c r="AH438" t="e">
        <f>AND(#REF!,"AAAAAHvP/SE=")</f>
        <v>#REF!</v>
      </c>
      <c r="AI438" t="e">
        <f>AND(#REF!,"AAAAAHvP/SI=")</f>
        <v>#REF!</v>
      </c>
      <c r="AJ438" t="e">
        <f>AND(#REF!,"AAAAAHvP/SM=")</f>
        <v>#REF!</v>
      </c>
      <c r="AK438" t="e">
        <f>AND(#REF!,"AAAAAHvP/SQ=")</f>
        <v>#REF!</v>
      </c>
      <c r="AL438" t="e">
        <f>AND(#REF!,"AAAAAHvP/SU=")</f>
        <v>#REF!</v>
      </c>
      <c r="AM438" t="e">
        <f>IF(#REF!,"AAAAAHvP/SY=",0)</f>
        <v>#REF!</v>
      </c>
      <c r="AN438" t="e">
        <f>AND(#REF!,"AAAAAHvP/Sc=")</f>
        <v>#REF!</v>
      </c>
      <c r="AO438" t="e">
        <f>AND(#REF!,"AAAAAHvP/Sg=")</f>
        <v>#REF!</v>
      </c>
      <c r="AP438" t="e">
        <f>AND(#REF!,"AAAAAHvP/Sk=")</f>
        <v>#REF!</v>
      </c>
      <c r="AQ438" t="e">
        <f>AND(#REF!,"AAAAAHvP/So=")</f>
        <v>#REF!</v>
      </c>
      <c r="AR438" t="e">
        <f>AND(#REF!,"AAAAAHvP/Ss=")</f>
        <v>#REF!</v>
      </c>
      <c r="AS438" t="e">
        <f>AND(#REF!,"AAAAAHvP/Sw=")</f>
        <v>#REF!</v>
      </c>
      <c r="AT438" t="e">
        <f>AND(#REF!,"AAAAAHvP/S0=")</f>
        <v>#REF!</v>
      </c>
      <c r="AU438" t="e">
        <f>AND(#REF!,"AAAAAHvP/S4=")</f>
        <v>#REF!</v>
      </c>
      <c r="AV438" t="e">
        <f>AND(#REF!,"AAAAAHvP/S8=")</f>
        <v>#REF!</v>
      </c>
      <c r="AW438" t="e">
        <f>AND(#REF!,"AAAAAHvP/TA=")</f>
        <v>#REF!</v>
      </c>
      <c r="AX438" t="e">
        <f>AND(#REF!,"AAAAAHvP/TE=")</f>
        <v>#REF!</v>
      </c>
      <c r="AY438" t="e">
        <f>AND(#REF!,"AAAAAHvP/TI=")</f>
        <v>#REF!</v>
      </c>
      <c r="AZ438" t="e">
        <f>AND(#REF!,"AAAAAHvP/TM=")</f>
        <v>#REF!</v>
      </c>
      <c r="BA438" t="e">
        <f>AND(#REF!,"AAAAAHvP/TQ=")</f>
        <v>#REF!</v>
      </c>
      <c r="BB438" t="e">
        <f>AND(#REF!,"AAAAAHvP/TU=")</f>
        <v>#REF!</v>
      </c>
      <c r="BC438" t="e">
        <f>AND(#REF!,"AAAAAHvP/TY=")</f>
        <v>#REF!</v>
      </c>
      <c r="BD438" t="e">
        <f>AND(#REF!,"AAAAAHvP/Tc=")</f>
        <v>#REF!</v>
      </c>
      <c r="BE438" t="e">
        <f>AND(#REF!,"AAAAAHvP/Tg=")</f>
        <v>#REF!</v>
      </c>
      <c r="BF438" t="e">
        <f>AND(#REF!,"AAAAAHvP/Tk=")</f>
        <v>#REF!</v>
      </c>
      <c r="BG438" t="e">
        <f>AND(#REF!,"AAAAAHvP/To=")</f>
        <v>#REF!</v>
      </c>
      <c r="BH438" t="e">
        <f>AND(#REF!,"AAAAAHvP/Ts=")</f>
        <v>#REF!</v>
      </c>
      <c r="BI438" t="e">
        <f>AND(#REF!,"AAAAAHvP/Tw=")</f>
        <v>#REF!</v>
      </c>
      <c r="BJ438" t="e">
        <f>AND(#REF!,"AAAAAHvP/T0=")</f>
        <v>#REF!</v>
      </c>
      <c r="BK438" t="e">
        <f>AND(#REF!,"AAAAAHvP/T4=")</f>
        <v>#REF!</v>
      </c>
      <c r="BL438" t="e">
        <f>IF(#REF!,"AAAAAHvP/T8=",0)</f>
        <v>#REF!</v>
      </c>
      <c r="BM438" t="e">
        <f>AND(#REF!,"AAAAAHvP/UA=")</f>
        <v>#REF!</v>
      </c>
      <c r="BN438" t="e">
        <f>AND(#REF!,"AAAAAHvP/UE=")</f>
        <v>#REF!</v>
      </c>
      <c r="BO438" t="e">
        <f>AND(#REF!,"AAAAAHvP/UI=")</f>
        <v>#REF!</v>
      </c>
      <c r="BP438" t="e">
        <f>AND(#REF!,"AAAAAHvP/UM=")</f>
        <v>#REF!</v>
      </c>
      <c r="BQ438" t="e">
        <f>AND(#REF!,"AAAAAHvP/UQ=")</f>
        <v>#REF!</v>
      </c>
      <c r="BR438" t="e">
        <f>AND(#REF!,"AAAAAHvP/UU=")</f>
        <v>#REF!</v>
      </c>
      <c r="BS438" t="e">
        <f>AND(#REF!,"AAAAAHvP/UY=")</f>
        <v>#REF!</v>
      </c>
      <c r="BT438" t="e">
        <f>AND(#REF!,"AAAAAHvP/Uc=")</f>
        <v>#REF!</v>
      </c>
      <c r="BU438" t="e">
        <f>AND(#REF!,"AAAAAHvP/Ug=")</f>
        <v>#REF!</v>
      </c>
      <c r="BV438" t="e">
        <f>AND(#REF!,"AAAAAHvP/Uk=")</f>
        <v>#REF!</v>
      </c>
      <c r="BW438" t="e">
        <f>AND(#REF!,"AAAAAHvP/Uo=")</f>
        <v>#REF!</v>
      </c>
      <c r="BX438" t="e">
        <f>AND(#REF!,"AAAAAHvP/Us=")</f>
        <v>#REF!</v>
      </c>
      <c r="BY438" t="e">
        <f>AND(#REF!,"AAAAAHvP/Uw=")</f>
        <v>#REF!</v>
      </c>
      <c r="BZ438" t="e">
        <f>AND(#REF!,"AAAAAHvP/U0=")</f>
        <v>#REF!</v>
      </c>
      <c r="CA438" t="e">
        <f>AND(#REF!,"AAAAAHvP/U4=")</f>
        <v>#REF!</v>
      </c>
      <c r="CB438" t="e">
        <f>AND(#REF!,"AAAAAHvP/U8=")</f>
        <v>#REF!</v>
      </c>
      <c r="CC438" t="e">
        <f>AND(#REF!,"AAAAAHvP/VA=")</f>
        <v>#REF!</v>
      </c>
      <c r="CD438" t="e">
        <f>AND(#REF!,"AAAAAHvP/VE=")</f>
        <v>#REF!</v>
      </c>
      <c r="CE438" t="e">
        <f>AND(#REF!,"AAAAAHvP/VI=")</f>
        <v>#REF!</v>
      </c>
      <c r="CF438" t="e">
        <f>AND(#REF!,"AAAAAHvP/VM=")</f>
        <v>#REF!</v>
      </c>
      <c r="CG438" t="e">
        <f>AND(#REF!,"AAAAAHvP/VQ=")</f>
        <v>#REF!</v>
      </c>
      <c r="CH438" t="e">
        <f>AND(#REF!,"AAAAAHvP/VU=")</f>
        <v>#REF!</v>
      </c>
      <c r="CI438" t="e">
        <f>AND(#REF!,"AAAAAHvP/VY=")</f>
        <v>#REF!</v>
      </c>
      <c r="CJ438" t="e">
        <f>AND(#REF!,"AAAAAHvP/Vc=")</f>
        <v>#REF!</v>
      </c>
      <c r="CK438" t="e">
        <f>IF(#REF!,"AAAAAHvP/Vg=",0)</f>
        <v>#REF!</v>
      </c>
      <c r="CL438" t="e">
        <f>AND(#REF!,"AAAAAHvP/Vk=")</f>
        <v>#REF!</v>
      </c>
      <c r="CM438" t="e">
        <f>AND(#REF!,"AAAAAHvP/Vo=")</f>
        <v>#REF!</v>
      </c>
      <c r="CN438" t="e">
        <f>AND(#REF!,"AAAAAHvP/Vs=")</f>
        <v>#REF!</v>
      </c>
      <c r="CO438" t="e">
        <f>AND(#REF!,"AAAAAHvP/Vw=")</f>
        <v>#REF!</v>
      </c>
      <c r="CP438" t="e">
        <f>AND(#REF!,"AAAAAHvP/V0=")</f>
        <v>#REF!</v>
      </c>
      <c r="CQ438" t="e">
        <f>AND(#REF!,"AAAAAHvP/V4=")</f>
        <v>#REF!</v>
      </c>
      <c r="CR438" t="e">
        <f>AND(#REF!,"AAAAAHvP/V8=")</f>
        <v>#REF!</v>
      </c>
      <c r="CS438" t="e">
        <f>AND(#REF!,"AAAAAHvP/WA=")</f>
        <v>#REF!</v>
      </c>
      <c r="CT438" t="e">
        <f>AND(#REF!,"AAAAAHvP/WE=")</f>
        <v>#REF!</v>
      </c>
      <c r="CU438" t="e">
        <f>AND(#REF!,"AAAAAHvP/WI=")</f>
        <v>#REF!</v>
      </c>
      <c r="CV438" t="e">
        <f>AND(#REF!,"AAAAAHvP/WM=")</f>
        <v>#REF!</v>
      </c>
      <c r="CW438" t="e">
        <f>AND(#REF!,"AAAAAHvP/WQ=")</f>
        <v>#REF!</v>
      </c>
      <c r="CX438" t="e">
        <f>AND(#REF!,"AAAAAHvP/WU=")</f>
        <v>#REF!</v>
      </c>
      <c r="CY438" t="e">
        <f>AND(#REF!,"AAAAAHvP/WY=")</f>
        <v>#REF!</v>
      </c>
      <c r="CZ438" t="e">
        <f>AND(#REF!,"AAAAAHvP/Wc=")</f>
        <v>#REF!</v>
      </c>
      <c r="DA438" t="e">
        <f>AND(#REF!,"AAAAAHvP/Wg=")</f>
        <v>#REF!</v>
      </c>
      <c r="DB438" t="e">
        <f>AND(#REF!,"AAAAAHvP/Wk=")</f>
        <v>#REF!</v>
      </c>
      <c r="DC438" t="e">
        <f>AND(#REF!,"AAAAAHvP/Wo=")</f>
        <v>#REF!</v>
      </c>
      <c r="DD438" t="e">
        <f>AND(#REF!,"AAAAAHvP/Ws=")</f>
        <v>#REF!</v>
      </c>
      <c r="DE438" t="e">
        <f>AND(#REF!,"AAAAAHvP/Ww=")</f>
        <v>#REF!</v>
      </c>
      <c r="DF438" t="e">
        <f>AND(#REF!,"AAAAAHvP/W0=")</f>
        <v>#REF!</v>
      </c>
      <c r="DG438" t="e">
        <f>AND(#REF!,"AAAAAHvP/W4=")</f>
        <v>#REF!</v>
      </c>
      <c r="DH438" t="e">
        <f>AND(#REF!,"AAAAAHvP/W8=")</f>
        <v>#REF!</v>
      </c>
      <c r="DI438" t="e">
        <f>AND(#REF!,"AAAAAHvP/XA=")</f>
        <v>#REF!</v>
      </c>
      <c r="DJ438" t="e">
        <f>IF(#REF!,"AAAAAHvP/XE=",0)</f>
        <v>#REF!</v>
      </c>
      <c r="DK438" t="e">
        <f>AND(#REF!,"AAAAAHvP/XI=")</f>
        <v>#REF!</v>
      </c>
      <c r="DL438" t="e">
        <f>AND(#REF!,"AAAAAHvP/XM=")</f>
        <v>#REF!</v>
      </c>
      <c r="DM438" t="e">
        <f>AND(#REF!,"AAAAAHvP/XQ=")</f>
        <v>#REF!</v>
      </c>
      <c r="DN438" t="e">
        <f>AND(#REF!,"AAAAAHvP/XU=")</f>
        <v>#REF!</v>
      </c>
      <c r="DO438" t="e">
        <f>AND(#REF!,"AAAAAHvP/XY=")</f>
        <v>#REF!</v>
      </c>
      <c r="DP438" t="e">
        <f>AND(#REF!,"AAAAAHvP/Xc=")</f>
        <v>#REF!</v>
      </c>
      <c r="DQ438" t="e">
        <f>AND(#REF!,"AAAAAHvP/Xg=")</f>
        <v>#REF!</v>
      </c>
      <c r="DR438" t="e">
        <f>AND(#REF!,"AAAAAHvP/Xk=")</f>
        <v>#REF!</v>
      </c>
      <c r="DS438" t="e">
        <f>AND(#REF!,"AAAAAHvP/Xo=")</f>
        <v>#REF!</v>
      </c>
      <c r="DT438" t="e">
        <f>AND(#REF!,"AAAAAHvP/Xs=")</f>
        <v>#REF!</v>
      </c>
      <c r="DU438" t="e">
        <f>AND(#REF!,"AAAAAHvP/Xw=")</f>
        <v>#REF!</v>
      </c>
      <c r="DV438" t="e">
        <f>AND(#REF!,"AAAAAHvP/X0=")</f>
        <v>#REF!</v>
      </c>
      <c r="DW438" t="e">
        <f>AND(#REF!,"AAAAAHvP/X4=")</f>
        <v>#REF!</v>
      </c>
      <c r="DX438" t="e">
        <f>AND(#REF!,"AAAAAHvP/X8=")</f>
        <v>#REF!</v>
      </c>
      <c r="DY438" t="e">
        <f>AND(#REF!,"AAAAAHvP/YA=")</f>
        <v>#REF!</v>
      </c>
      <c r="DZ438" t="e">
        <f>AND(#REF!,"AAAAAHvP/YE=")</f>
        <v>#REF!</v>
      </c>
      <c r="EA438" t="e">
        <f>AND(#REF!,"AAAAAHvP/YI=")</f>
        <v>#REF!</v>
      </c>
      <c r="EB438" t="e">
        <f>AND(#REF!,"AAAAAHvP/YM=")</f>
        <v>#REF!</v>
      </c>
      <c r="EC438" t="e">
        <f>AND(#REF!,"AAAAAHvP/YQ=")</f>
        <v>#REF!</v>
      </c>
      <c r="ED438" t="e">
        <f>AND(#REF!,"AAAAAHvP/YU=")</f>
        <v>#REF!</v>
      </c>
      <c r="EE438" t="e">
        <f>AND(#REF!,"AAAAAHvP/YY=")</f>
        <v>#REF!</v>
      </c>
      <c r="EF438" t="e">
        <f>AND(#REF!,"AAAAAHvP/Yc=")</f>
        <v>#REF!</v>
      </c>
      <c r="EG438" t="e">
        <f>AND(#REF!,"AAAAAHvP/Yg=")</f>
        <v>#REF!</v>
      </c>
      <c r="EH438" t="e">
        <f>AND(#REF!,"AAAAAHvP/Yk=")</f>
        <v>#REF!</v>
      </c>
      <c r="EI438" t="e">
        <f>IF(#REF!,"AAAAAHvP/Yo=",0)</f>
        <v>#REF!</v>
      </c>
      <c r="EJ438" t="e">
        <f>AND(#REF!,"AAAAAHvP/Ys=")</f>
        <v>#REF!</v>
      </c>
      <c r="EK438" t="e">
        <f>AND(#REF!,"AAAAAHvP/Yw=")</f>
        <v>#REF!</v>
      </c>
      <c r="EL438" t="e">
        <f>AND(#REF!,"AAAAAHvP/Y0=")</f>
        <v>#REF!</v>
      </c>
      <c r="EM438" t="e">
        <f>AND(#REF!,"AAAAAHvP/Y4=")</f>
        <v>#REF!</v>
      </c>
      <c r="EN438" t="e">
        <f>AND(#REF!,"AAAAAHvP/Y8=")</f>
        <v>#REF!</v>
      </c>
      <c r="EO438" t="e">
        <f>AND(#REF!,"AAAAAHvP/ZA=")</f>
        <v>#REF!</v>
      </c>
      <c r="EP438" t="e">
        <f>AND(#REF!,"AAAAAHvP/ZE=")</f>
        <v>#REF!</v>
      </c>
      <c r="EQ438" t="e">
        <f>AND(#REF!,"AAAAAHvP/ZI=")</f>
        <v>#REF!</v>
      </c>
      <c r="ER438" t="e">
        <f>AND(#REF!,"AAAAAHvP/ZM=")</f>
        <v>#REF!</v>
      </c>
      <c r="ES438" t="e">
        <f>AND(#REF!,"AAAAAHvP/ZQ=")</f>
        <v>#REF!</v>
      </c>
      <c r="ET438" t="e">
        <f>AND(#REF!,"AAAAAHvP/ZU=")</f>
        <v>#REF!</v>
      </c>
      <c r="EU438" t="e">
        <f>AND(#REF!,"AAAAAHvP/ZY=")</f>
        <v>#REF!</v>
      </c>
      <c r="EV438" t="e">
        <f>AND(#REF!,"AAAAAHvP/Zc=")</f>
        <v>#REF!</v>
      </c>
      <c r="EW438" t="e">
        <f>AND(#REF!,"AAAAAHvP/Zg=")</f>
        <v>#REF!</v>
      </c>
      <c r="EX438" t="e">
        <f>AND(#REF!,"AAAAAHvP/Zk=")</f>
        <v>#REF!</v>
      </c>
      <c r="EY438" t="e">
        <f>AND(#REF!,"AAAAAHvP/Zo=")</f>
        <v>#REF!</v>
      </c>
      <c r="EZ438" t="e">
        <f>AND(#REF!,"AAAAAHvP/Zs=")</f>
        <v>#REF!</v>
      </c>
      <c r="FA438" t="e">
        <f>AND(#REF!,"AAAAAHvP/Zw=")</f>
        <v>#REF!</v>
      </c>
      <c r="FB438" t="e">
        <f>AND(#REF!,"AAAAAHvP/Z0=")</f>
        <v>#REF!</v>
      </c>
      <c r="FC438" t="e">
        <f>AND(#REF!,"AAAAAHvP/Z4=")</f>
        <v>#REF!</v>
      </c>
      <c r="FD438" t="e">
        <f>AND(#REF!,"AAAAAHvP/Z8=")</f>
        <v>#REF!</v>
      </c>
      <c r="FE438" t="e">
        <f>AND(#REF!,"AAAAAHvP/aA=")</f>
        <v>#REF!</v>
      </c>
      <c r="FF438" t="e">
        <f>AND(#REF!,"AAAAAHvP/aE=")</f>
        <v>#REF!</v>
      </c>
      <c r="FG438" t="e">
        <f>AND(#REF!,"AAAAAHvP/aI=")</f>
        <v>#REF!</v>
      </c>
      <c r="FH438" t="e">
        <f>IF(#REF!,"AAAAAHvP/aM=",0)</f>
        <v>#REF!</v>
      </c>
      <c r="FI438" t="e">
        <f>AND(#REF!,"AAAAAHvP/aQ=")</f>
        <v>#REF!</v>
      </c>
      <c r="FJ438" t="e">
        <f>AND(#REF!,"AAAAAHvP/aU=")</f>
        <v>#REF!</v>
      </c>
      <c r="FK438" t="e">
        <f>AND(#REF!,"AAAAAHvP/aY=")</f>
        <v>#REF!</v>
      </c>
      <c r="FL438" t="e">
        <f>AND(#REF!,"AAAAAHvP/ac=")</f>
        <v>#REF!</v>
      </c>
      <c r="FM438" t="e">
        <f>AND(#REF!,"AAAAAHvP/ag=")</f>
        <v>#REF!</v>
      </c>
      <c r="FN438" t="e">
        <f>AND(#REF!,"AAAAAHvP/ak=")</f>
        <v>#REF!</v>
      </c>
      <c r="FO438" t="e">
        <f>AND(#REF!,"AAAAAHvP/ao=")</f>
        <v>#REF!</v>
      </c>
      <c r="FP438" t="e">
        <f>AND(#REF!,"AAAAAHvP/as=")</f>
        <v>#REF!</v>
      </c>
      <c r="FQ438" t="e">
        <f>AND(#REF!,"AAAAAHvP/aw=")</f>
        <v>#REF!</v>
      </c>
      <c r="FR438" t="e">
        <f>AND(#REF!,"AAAAAHvP/a0=")</f>
        <v>#REF!</v>
      </c>
      <c r="FS438" t="e">
        <f>AND(#REF!,"AAAAAHvP/a4=")</f>
        <v>#REF!</v>
      </c>
      <c r="FT438" t="e">
        <f>AND(#REF!,"AAAAAHvP/a8=")</f>
        <v>#REF!</v>
      </c>
      <c r="FU438" t="e">
        <f>AND(#REF!,"AAAAAHvP/bA=")</f>
        <v>#REF!</v>
      </c>
      <c r="FV438" t="e">
        <f>AND(#REF!,"AAAAAHvP/bE=")</f>
        <v>#REF!</v>
      </c>
      <c r="FW438" t="e">
        <f>AND(#REF!,"AAAAAHvP/bI=")</f>
        <v>#REF!</v>
      </c>
      <c r="FX438" t="e">
        <f>AND(#REF!,"AAAAAHvP/bM=")</f>
        <v>#REF!</v>
      </c>
      <c r="FY438" t="e">
        <f>AND(#REF!,"AAAAAHvP/bQ=")</f>
        <v>#REF!</v>
      </c>
      <c r="FZ438" t="e">
        <f>AND(#REF!,"AAAAAHvP/bU=")</f>
        <v>#REF!</v>
      </c>
      <c r="GA438" t="e">
        <f>AND(#REF!,"AAAAAHvP/bY=")</f>
        <v>#REF!</v>
      </c>
      <c r="GB438" t="e">
        <f>AND(#REF!,"AAAAAHvP/bc=")</f>
        <v>#REF!</v>
      </c>
      <c r="GC438" t="e">
        <f>AND(#REF!,"AAAAAHvP/bg=")</f>
        <v>#REF!</v>
      </c>
      <c r="GD438" t="e">
        <f>AND(#REF!,"AAAAAHvP/bk=")</f>
        <v>#REF!</v>
      </c>
      <c r="GE438" t="e">
        <f>AND(#REF!,"AAAAAHvP/bo=")</f>
        <v>#REF!</v>
      </c>
      <c r="GF438" t="e">
        <f>AND(#REF!,"AAAAAHvP/bs=")</f>
        <v>#REF!</v>
      </c>
      <c r="GG438" t="e">
        <f>IF(#REF!,"AAAAAHvP/bw=",0)</f>
        <v>#REF!</v>
      </c>
      <c r="GH438" t="e">
        <f>AND(#REF!,"AAAAAHvP/b0=")</f>
        <v>#REF!</v>
      </c>
      <c r="GI438" t="e">
        <f>AND(#REF!,"AAAAAHvP/b4=")</f>
        <v>#REF!</v>
      </c>
      <c r="GJ438" t="e">
        <f>AND(#REF!,"AAAAAHvP/b8=")</f>
        <v>#REF!</v>
      </c>
      <c r="GK438" t="e">
        <f>AND(#REF!,"AAAAAHvP/cA=")</f>
        <v>#REF!</v>
      </c>
      <c r="GL438" t="e">
        <f>AND(#REF!,"AAAAAHvP/cE=")</f>
        <v>#REF!</v>
      </c>
      <c r="GM438" t="e">
        <f>AND(#REF!,"AAAAAHvP/cI=")</f>
        <v>#REF!</v>
      </c>
      <c r="GN438" t="e">
        <f>AND(#REF!,"AAAAAHvP/cM=")</f>
        <v>#REF!</v>
      </c>
      <c r="GO438" t="e">
        <f>AND(#REF!,"AAAAAHvP/cQ=")</f>
        <v>#REF!</v>
      </c>
      <c r="GP438" t="e">
        <f>AND(#REF!,"AAAAAHvP/cU=")</f>
        <v>#REF!</v>
      </c>
      <c r="GQ438" t="e">
        <f>AND(#REF!,"AAAAAHvP/cY=")</f>
        <v>#REF!</v>
      </c>
      <c r="GR438" t="e">
        <f>AND(#REF!,"AAAAAHvP/cc=")</f>
        <v>#REF!</v>
      </c>
      <c r="GS438" t="e">
        <f>AND(#REF!,"AAAAAHvP/cg=")</f>
        <v>#REF!</v>
      </c>
      <c r="GT438" t="e">
        <f>AND(#REF!,"AAAAAHvP/ck=")</f>
        <v>#REF!</v>
      </c>
      <c r="GU438" t="e">
        <f>AND(#REF!,"AAAAAHvP/co=")</f>
        <v>#REF!</v>
      </c>
      <c r="GV438" t="e">
        <f>AND(#REF!,"AAAAAHvP/cs=")</f>
        <v>#REF!</v>
      </c>
      <c r="GW438" t="e">
        <f>AND(#REF!,"AAAAAHvP/cw=")</f>
        <v>#REF!</v>
      </c>
      <c r="GX438" t="e">
        <f>AND(#REF!,"AAAAAHvP/c0=")</f>
        <v>#REF!</v>
      </c>
      <c r="GY438" t="e">
        <f>AND(#REF!,"AAAAAHvP/c4=")</f>
        <v>#REF!</v>
      </c>
      <c r="GZ438" t="e">
        <f>AND(#REF!,"AAAAAHvP/c8=")</f>
        <v>#REF!</v>
      </c>
      <c r="HA438" t="e">
        <f>AND(#REF!,"AAAAAHvP/dA=")</f>
        <v>#REF!</v>
      </c>
      <c r="HB438" t="e">
        <f>AND(#REF!,"AAAAAHvP/dE=")</f>
        <v>#REF!</v>
      </c>
      <c r="HC438" t="e">
        <f>AND(#REF!,"AAAAAHvP/dI=")</f>
        <v>#REF!</v>
      </c>
      <c r="HD438" t="e">
        <f>AND(#REF!,"AAAAAHvP/dM=")</f>
        <v>#REF!</v>
      </c>
      <c r="HE438" t="e">
        <f>AND(#REF!,"AAAAAHvP/dQ=")</f>
        <v>#REF!</v>
      </c>
      <c r="HF438" t="e">
        <f>IF(#REF!,"AAAAAHvP/dU=",0)</f>
        <v>#REF!</v>
      </c>
      <c r="HG438" t="e">
        <f>AND(#REF!,"AAAAAHvP/dY=")</f>
        <v>#REF!</v>
      </c>
      <c r="HH438" t="e">
        <f>AND(#REF!,"AAAAAHvP/dc=")</f>
        <v>#REF!</v>
      </c>
      <c r="HI438" t="e">
        <f>AND(#REF!,"AAAAAHvP/dg=")</f>
        <v>#REF!</v>
      </c>
      <c r="HJ438" t="e">
        <f>AND(#REF!,"AAAAAHvP/dk=")</f>
        <v>#REF!</v>
      </c>
      <c r="HK438" t="e">
        <f>AND(#REF!,"AAAAAHvP/do=")</f>
        <v>#REF!</v>
      </c>
      <c r="HL438" t="e">
        <f>AND(#REF!,"AAAAAHvP/ds=")</f>
        <v>#REF!</v>
      </c>
      <c r="HM438" t="e">
        <f>AND(#REF!,"AAAAAHvP/dw=")</f>
        <v>#REF!</v>
      </c>
      <c r="HN438" t="e">
        <f>AND(#REF!,"AAAAAHvP/d0=")</f>
        <v>#REF!</v>
      </c>
      <c r="HO438" t="e">
        <f>AND(#REF!,"AAAAAHvP/d4=")</f>
        <v>#REF!</v>
      </c>
      <c r="HP438" t="e">
        <f>AND(#REF!,"AAAAAHvP/d8=")</f>
        <v>#REF!</v>
      </c>
      <c r="HQ438" t="e">
        <f>AND(#REF!,"AAAAAHvP/eA=")</f>
        <v>#REF!</v>
      </c>
      <c r="HR438" t="e">
        <f>AND(#REF!,"AAAAAHvP/eE=")</f>
        <v>#REF!</v>
      </c>
      <c r="HS438" t="e">
        <f>AND(#REF!,"AAAAAHvP/eI=")</f>
        <v>#REF!</v>
      </c>
      <c r="HT438" t="e">
        <f>AND(#REF!,"AAAAAHvP/eM=")</f>
        <v>#REF!</v>
      </c>
      <c r="HU438" t="e">
        <f>AND(#REF!,"AAAAAHvP/eQ=")</f>
        <v>#REF!</v>
      </c>
      <c r="HV438" t="e">
        <f>AND(#REF!,"AAAAAHvP/eU=")</f>
        <v>#REF!</v>
      </c>
      <c r="HW438" t="e">
        <f>AND(#REF!,"AAAAAHvP/eY=")</f>
        <v>#REF!</v>
      </c>
      <c r="HX438" t="e">
        <f>AND(#REF!,"AAAAAHvP/ec=")</f>
        <v>#REF!</v>
      </c>
      <c r="HY438" t="e">
        <f>AND(#REF!,"AAAAAHvP/eg=")</f>
        <v>#REF!</v>
      </c>
      <c r="HZ438" t="e">
        <f>AND(#REF!,"AAAAAHvP/ek=")</f>
        <v>#REF!</v>
      </c>
      <c r="IA438" t="e">
        <f>AND(#REF!,"AAAAAHvP/eo=")</f>
        <v>#REF!</v>
      </c>
      <c r="IB438" t="e">
        <f>AND(#REF!,"AAAAAHvP/es=")</f>
        <v>#REF!</v>
      </c>
      <c r="IC438" t="e">
        <f>AND(#REF!,"AAAAAHvP/ew=")</f>
        <v>#REF!</v>
      </c>
      <c r="ID438" t="e">
        <f>AND(#REF!,"AAAAAHvP/e0=")</f>
        <v>#REF!</v>
      </c>
      <c r="IE438" t="e">
        <f>IF(#REF!,"AAAAAHvP/e4=",0)</f>
        <v>#REF!</v>
      </c>
      <c r="IF438" t="e">
        <f>AND(#REF!,"AAAAAHvP/e8=")</f>
        <v>#REF!</v>
      </c>
      <c r="IG438" t="e">
        <f>AND(#REF!,"AAAAAHvP/fA=")</f>
        <v>#REF!</v>
      </c>
      <c r="IH438" t="e">
        <f>AND(#REF!,"AAAAAHvP/fE=")</f>
        <v>#REF!</v>
      </c>
      <c r="II438" t="e">
        <f>AND(#REF!,"AAAAAHvP/fI=")</f>
        <v>#REF!</v>
      </c>
      <c r="IJ438" t="e">
        <f>AND(#REF!,"AAAAAHvP/fM=")</f>
        <v>#REF!</v>
      </c>
      <c r="IK438" t="e">
        <f>AND(#REF!,"AAAAAHvP/fQ=")</f>
        <v>#REF!</v>
      </c>
      <c r="IL438" t="e">
        <f>AND(#REF!,"AAAAAHvP/fU=")</f>
        <v>#REF!</v>
      </c>
      <c r="IM438" t="e">
        <f>AND(#REF!,"AAAAAHvP/fY=")</f>
        <v>#REF!</v>
      </c>
      <c r="IN438" t="e">
        <f>AND(#REF!,"AAAAAHvP/fc=")</f>
        <v>#REF!</v>
      </c>
      <c r="IO438" t="e">
        <f>AND(#REF!,"AAAAAHvP/fg=")</f>
        <v>#REF!</v>
      </c>
      <c r="IP438" t="e">
        <f>AND(#REF!,"AAAAAHvP/fk=")</f>
        <v>#REF!</v>
      </c>
      <c r="IQ438" t="e">
        <f>AND(#REF!,"AAAAAHvP/fo=")</f>
        <v>#REF!</v>
      </c>
      <c r="IR438" t="e">
        <f>AND(#REF!,"AAAAAHvP/fs=")</f>
        <v>#REF!</v>
      </c>
      <c r="IS438" t="e">
        <f>AND(#REF!,"AAAAAHvP/fw=")</f>
        <v>#REF!</v>
      </c>
      <c r="IT438" t="e">
        <f>AND(#REF!,"AAAAAHvP/f0=")</f>
        <v>#REF!</v>
      </c>
      <c r="IU438" t="e">
        <f>AND(#REF!,"AAAAAHvP/f4=")</f>
        <v>#REF!</v>
      </c>
      <c r="IV438" t="e">
        <f>AND(#REF!,"AAAAAHvP/f8=")</f>
        <v>#REF!</v>
      </c>
    </row>
    <row r="439" spans="1:256">
      <c r="A439" t="e">
        <f>AND(#REF!,"AAAAAH/+FwA=")</f>
        <v>#REF!</v>
      </c>
      <c r="B439" t="e">
        <f>AND(#REF!,"AAAAAH/+FwE=")</f>
        <v>#REF!</v>
      </c>
      <c r="C439" t="e">
        <f>AND(#REF!,"AAAAAH/+FwI=")</f>
        <v>#REF!</v>
      </c>
      <c r="D439" t="e">
        <f>AND(#REF!,"AAAAAH/+FwM=")</f>
        <v>#REF!</v>
      </c>
      <c r="E439" t="e">
        <f>AND(#REF!,"AAAAAH/+FwQ=")</f>
        <v>#REF!</v>
      </c>
      <c r="F439" t="e">
        <f>AND(#REF!,"AAAAAH/+FwU=")</f>
        <v>#REF!</v>
      </c>
      <c r="G439" t="e">
        <f>AND(#REF!,"AAAAAH/+FwY=")</f>
        <v>#REF!</v>
      </c>
      <c r="H439" t="e">
        <f>IF(#REF!,"AAAAAH/+Fwc=",0)</f>
        <v>#REF!</v>
      </c>
      <c r="I439" t="e">
        <f>AND(#REF!,"AAAAAH/+Fwg=")</f>
        <v>#REF!</v>
      </c>
      <c r="J439" t="e">
        <f>AND(#REF!,"AAAAAH/+Fwk=")</f>
        <v>#REF!</v>
      </c>
      <c r="K439" t="e">
        <f>AND(#REF!,"AAAAAH/+Fwo=")</f>
        <v>#REF!</v>
      </c>
      <c r="L439" t="e">
        <f>AND(#REF!,"AAAAAH/+Fws=")</f>
        <v>#REF!</v>
      </c>
      <c r="M439" t="e">
        <f>AND(#REF!,"AAAAAH/+Fww=")</f>
        <v>#REF!</v>
      </c>
      <c r="N439" t="e">
        <f>AND(#REF!,"AAAAAH/+Fw0=")</f>
        <v>#REF!</v>
      </c>
      <c r="O439" t="e">
        <f>AND(#REF!,"AAAAAH/+Fw4=")</f>
        <v>#REF!</v>
      </c>
      <c r="P439" t="e">
        <f>AND(#REF!,"AAAAAH/+Fw8=")</f>
        <v>#REF!</v>
      </c>
      <c r="Q439" t="e">
        <f>AND(#REF!,"AAAAAH/+FxA=")</f>
        <v>#REF!</v>
      </c>
      <c r="R439" t="e">
        <f>AND(#REF!,"AAAAAH/+FxE=")</f>
        <v>#REF!</v>
      </c>
      <c r="S439" t="e">
        <f>AND(#REF!,"AAAAAH/+FxI=")</f>
        <v>#REF!</v>
      </c>
      <c r="T439" t="e">
        <f>AND(#REF!,"AAAAAH/+FxM=")</f>
        <v>#REF!</v>
      </c>
      <c r="U439" t="e">
        <f>AND(#REF!,"AAAAAH/+FxQ=")</f>
        <v>#REF!</v>
      </c>
      <c r="V439" t="e">
        <f>AND(#REF!,"AAAAAH/+FxU=")</f>
        <v>#REF!</v>
      </c>
      <c r="W439" t="e">
        <f>AND(#REF!,"AAAAAH/+FxY=")</f>
        <v>#REF!</v>
      </c>
      <c r="X439" t="e">
        <f>AND(#REF!,"AAAAAH/+Fxc=")</f>
        <v>#REF!</v>
      </c>
      <c r="Y439" t="e">
        <f>AND(#REF!,"AAAAAH/+Fxg=")</f>
        <v>#REF!</v>
      </c>
      <c r="Z439" t="e">
        <f>AND(#REF!,"AAAAAH/+Fxk=")</f>
        <v>#REF!</v>
      </c>
      <c r="AA439" t="e">
        <f>AND(#REF!,"AAAAAH/+Fxo=")</f>
        <v>#REF!</v>
      </c>
      <c r="AB439" t="e">
        <f>AND(#REF!,"AAAAAH/+Fxs=")</f>
        <v>#REF!</v>
      </c>
      <c r="AC439" t="e">
        <f>AND(#REF!,"AAAAAH/+Fxw=")</f>
        <v>#REF!</v>
      </c>
      <c r="AD439" t="e">
        <f>AND(#REF!,"AAAAAH/+Fx0=")</f>
        <v>#REF!</v>
      </c>
      <c r="AE439" t="e">
        <f>AND(#REF!,"AAAAAH/+Fx4=")</f>
        <v>#REF!</v>
      </c>
      <c r="AF439" t="e">
        <f>AND(#REF!,"AAAAAH/+Fx8=")</f>
        <v>#REF!</v>
      </c>
      <c r="AG439" t="e">
        <f>IF(#REF!,"AAAAAH/+FyA=",0)</f>
        <v>#REF!</v>
      </c>
      <c r="AH439" t="e">
        <f>AND(#REF!,"AAAAAH/+FyE=")</f>
        <v>#REF!</v>
      </c>
      <c r="AI439" t="e">
        <f>AND(#REF!,"AAAAAH/+FyI=")</f>
        <v>#REF!</v>
      </c>
      <c r="AJ439" t="e">
        <f>AND(#REF!,"AAAAAH/+FyM=")</f>
        <v>#REF!</v>
      </c>
      <c r="AK439" t="e">
        <f>AND(#REF!,"AAAAAH/+FyQ=")</f>
        <v>#REF!</v>
      </c>
      <c r="AL439" t="e">
        <f>AND(#REF!,"AAAAAH/+FyU=")</f>
        <v>#REF!</v>
      </c>
      <c r="AM439" t="e">
        <f>AND(#REF!,"AAAAAH/+FyY=")</f>
        <v>#REF!</v>
      </c>
      <c r="AN439" t="e">
        <f>AND(#REF!,"AAAAAH/+Fyc=")</f>
        <v>#REF!</v>
      </c>
      <c r="AO439" t="e">
        <f>AND(#REF!,"AAAAAH/+Fyg=")</f>
        <v>#REF!</v>
      </c>
      <c r="AP439" t="e">
        <f>AND(#REF!,"AAAAAH/+Fyk=")</f>
        <v>#REF!</v>
      </c>
      <c r="AQ439" t="e">
        <f>AND(#REF!,"AAAAAH/+Fyo=")</f>
        <v>#REF!</v>
      </c>
      <c r="AR439" t="e">
        <f>AND(#REF!,"AAAAAH/+Fys=")</f>
        <v>#REF!</v>
      </c>
      <c r="AS439" t="e">
        <f>AND(#REF!,"AAAAAH/+Fyw=")</f>
        <v>#REF!</v>
      </c>
      <c r="AT439" t="e">
        <f>AND(#REF!,"AAAAAH/+Fy0=")</f>
        <v>#REF!</v>
      </c>
      <c r="AU439" t="e">
        <f>AND(#REF!,"AAAAAH/+Fy4=")</f>
        <v>#REF!</v>
      </c>
      <c r="AV439" t="e">
        <f>AND(#REF!,"AAAAAH/+Fy8=")</f>
        <v>#REF!</v>
      </c>
      <c r="AW439" t="e">
        <f>AND(#REF!,"AAAAAH/+FzA=")</f>
        <v>#REF!</v>
      </c>
      <c r="AX439" t="e">
        <f>AND(#REF!,"AAAAAH/+FzE=")</f>
        <v>#REF!</v>
      </c>
      <c r="AY439" t="e">
        <f>AND(#REF!,"AAAAAH/+FzI=")</f>
        <v>#REF!</v>
      </c>
      <c r="AZ439" t="e">
        <f>AND(#REF!,"AAAAAH/+FzM=")</f>
        <v>#REF!</v>
      </c>
      <c r="BA439" t="e">
        <f>AND(#REF!,"AAAAAH/+FzQ=")</f>
        <v>#REF!</v>
      </c>
      <c r="BB439" t="e">
        <f>AND(#REF!,"AAAAAH/+FzU=")</f>
        <v>#REF!</v>
      </c>
      <c r="BC439" t="e">
        <f>AND(#REF!,"AAAAAH/+FzY=")</f>
        <v>#REF!</v>
      </c>
      <c r="BD439" t="e">
        <f>AND(#REF!,"AAAAAH/+Fzc=")</f>
        <v>#REF!</v>
      </c>
      <c r="BE439" t="e">
        <f>AND(#REF!,"AAAAAH/+Fzg=")</f>
        <v>#REF!</v>
      </c>
      <c r="BF439" t="e">
        <f>IF(#REF!,"AAAAAH/+Fzk=",0)</f>
        <v>#REF!</v>
      </c>
      <c r="BG439" t="e">
        <f>AND(#REF!,"AAAAAH/+Fzo=")</f>
        <v>#REF!</v>
      </c>
      <c r="BH439" t="e">
        <f>AND(#REF!,"AAAAAH/+Fzs=")</f>
        <v>#REF!</v>
      </c>
      <c r="BI439" t="e">
        <f>AND(#REF!,"AAAAAH/+Fzw=")</f>
        <v>#REF!</v>
      </c>
      <c r="BJ439" t="e">
        <f>AND(#REF!,"AAAAAH/+Fz0=")</f>
        <v>#REF!</v>
      </c>
      <c r="BK439" t="e">
        <f>AND(#REF!,"AAAAAH/+Fz4=")</f>
        <v>#REF!</v>
      </c>
      <c r="BL439" t="e">
        <f>AND(#REF!,"AAAAAH/+Fz8=")</f>
        <v>#REF!</v>
      </c>
      <c r="BM439" t="e">
        <f>AND(#REF!,"AAAAAH/+F0A=")</f>
        <v>#REF!</v>
      </c>
      <c r="BN439" t="e">
        <f>AND(#REF!,"AAAAAH/+F0E=")</f>
        <v>#REF!</v>
      </c>
      <c r="BO439" t="e">
        <f>AND(#REF!,"AAAAAH/+F0I=")</f>
        <v>#REF!</v>
      </c>
      <c r="BP439" t="e">
        <f>AND(#REF!,"AAAAAH/+F0M=")</f>
        <v>#REF!</v>
      </c>
      <c r="BQ439" t="e">
        <f>AND(#REF!,"AAAAAH/+F0Q=")</f>
        <v>#REF!</v>
      </c>
      <c r="BR439" t="e">
        <f>AND(#REF!,"AAAAAH/+F0U=")</f>
        <v>#REF!</v>
      </c>
      <c r="BS439" t="e">
        <f>AND(#REF!,"AAAAAH/+F0Y=")</f>
        <v>#REF!</v>
      </c>
      <c r="BT439" t="e">
        <f>AND(#REF!,"AAAAAH/+F0c=")</f>
        <v>#REF!</v>
      </c>
      <c r="BU439" t="e">
        <f>AND(#REF!,"AAAAAH/+F0g=")</f>
        <v>#REF!</v>
      </c>
      <c r="BV439" t="e">
        <f>AND(#REF!,"AAAAAH/+F0k=")</f>
        <v>#REF!</v>
      </c>
      <c r="BW439" t="e">
        <f>AND(#REF!,"AAAAAH/+F0o=")</f>
        <v>#REF!</v>
      </c>
      <c r="BX439" t="e">
        <f>AND(#REF!,"AAAAAH/+F0s=")</f>
        <v>#REF!</v>
      </c>
      <c r="BY439" t="e">
        <f>AND(#REF!,"AAAAAH/+F0w=")</f>
        <v>#REF!</v>
      </c>
      <c r="BZ439" t="e">
        <f>AND(#REF!,"AAAAAH/+F00=")</f>
        <v>#REF!</v>
      </c>
      <c r="CA439" t="e">
        <f>AND(#REF!,"AAAAAH/+F04=")</f>
        <v>#REF!</v>
      </c>
      <c r="CB439" t="e">
        <f>AND(#REF!,"AAAAAH/+F08=")</f>
        <v>#REF!</v>
      </c>
      <c r="CC439" t="e">
        <f>AND(#REF!,"AAAAAH/+F1A=")</f>
        <v>#REF!</v>
      </c>
      <c r="CD439" t="e">
        <f>AND(#REF!,"AAAAAH/+F1E=")</f>
        <v>#REF!</v>
      </c>
      <c r="CE439" t="e">
        <f>IF(#REF!,"AAAAAH/+F1I=",0)</f>
        <v>#REF!</v>
      </c>
      <c r="CF439" t="e">
        <f>AND(#REF!,"AAAAAH/+F1M=")</f>
        <v>#REF!</v>
      </c>
      <c r="CG439" t="e">
        <f>AND(#REF!,"AAAAAH/+F1Q=")</f>
        <v>#REF!</v>
      </c>
      <c r="CH439" t="e">
        <f>AND(#REF!,"AAAAAH/+F1U=")</f>
        <v>#REF!</v>
      </c>
      <c r="CI439" t="e">
        <f>AND(#REF!,"AAAAAH/+F1Y=")</f>
        <v>#REF!</v>
      </c>
      <c r="CJ439" t="e">
        <f>AND(#REF!,"AAAAAH/+F1c=")</f>
        <v>#REF!</v>
      </c>
      <c r="CK439" t="e">
        <f>AND(#REF!,"AAAAAH/+F1g=")</f>
        <v>#REF!</v>
      </c>
      <c r="CL439" t="e">
        <f>AND(#REF!,"AAAAAH/+F1k=")</f>
        <v>#REF!</v>
      </c>
      <c r="CM439" t="e">
        <f>AND(#REF!,"AAAAAH/+F1o=")</f>
        <v>#REF!</v>
      </c>
      <c r="CN439" t="e">
        <f>AND(#REF!,"AAAAAH/+F1s=")</f>
        <v>#REF!</v>
      </c>
      <c r="CO439" t="e">
        <f>AND(#REF!,"AAAAAH/+F1w=")</f>
        <v>#REF!</v>
      </c>
      <c r="CP439" t="e">
        <f>AND(#REF!,"AAAAAH/+F10=")</f>
        <v>#REF!</v>
      </c>
      <c r="CQ439" t="e">
        <f>AND(#REF!,"AAAAAH/+F14=")</f>
        <v>#REF!</v>
      </c>
      <c r="CR439" t="e">
        <f>AND(#REF!,"AAAAAH/+F18=")</f>
        <v>#REF!</v>
      </c>
      <c r="CS439" t="e">
        <f>AND(#REF!,"AAAAAH/+F2A=")</f>
        <v>#REF!</v>
      </c>
      <c r="CT439" t="e">
        <f>AND(#REF!,"AAAAAH/+F2E=")</f>
        <v>#REF!</v>
      </c>
      <c r="CU439" t="e">
        <f>AND(#REF!,"AAAAAH/+F2I=")</f>
        <v>#REF!</v>
      </c>
      <c r="CV439" t="e">
        <f>AND(#REF!,"AAAAAH/+F2M=")</f>
        <v>#REF!</v>
      </c>
      <c r="CW439" t="e">
        <f>AND(#REF!,"AAAAAH/+F2Q=")</f>
        <v>#REF!</v>
      </c>
      <c r="CX439" t="e">
        <f>AND(#REF!,"AAAAAH/+F2U=")</f>
        <v>#REF!</v>
      </c>
      <c r="CY439" t="e">
        <f>AND(#REF!,"AAAAAH/+F2Y=")</f>
        <v>#REF!</v>
      </c>
      <c r="CZ439" t="e">
        <f>AND(#REF!,"AAAAAH/+F2c=")</f>
        <v>#REF!</v>
      </c>
      <c r="DA439" t="e">
        <f>AND(#REF!,"AAAAAH/+F2g=")</f>
        <v>#REF!</v>
      </c>
      <c r="DB439" t="e">
        <f>AND(#REF!,"AAAAAH/+F2k=")</f>
        <v>#REF!</v>
      </c>
      <c r="DC439" t="e">
        <f>AND(#REF!,"AAAAAH/+F2o=")</f>
        <v>#REF!</v>
      </c>
      <c r="DD439" t="e">
        <f>IF(#REF!,"AAAAAH/+F2s=",0)</f>
        <v>#REF!</v>
      </c>
      <c r="DE439" t="e">
        <f>AND(#REF!,"AAAAAH/+F2w=")</f>
        <v>#REF!</v>
      </c>
      <c r="DF439" t="e">
        <f>AND(#REF!,"AAAAAH/+F20=")</f>
        <v>#REF!</v>
      </c>
      <c r="DG439" t="e">
        <f>AND(#REF!,"AAAAAH/+F24=")</f>
        <v>#REF!</v>
      </c>
      <c r="DH439" t="e">
        <f>AND(#REF!,"AAAAAH/+F28=")</f>
        <v>#REF!</v>
      </c>
      <c r="DI439" t="e">
        <f>AND(#REF!,"AAAAAH/+F3A=")</f>
        <v>#REF!</v>
      </c>
      <c r="DJ439" t="e">
        <f>AND(#REF!,"AAAAAH/+F3E=")</f>
        <v>#REF!</v>
      </c>
      <c r="DK439" t="e">
        <f>AND(#REF!,"AAAAAH/+F3I=")</f>
        <v>#REF!</v>
      </c>
      <c r="DL439" t="e">
        <f>AND(#REF!,"AAAAAH/+F3M=")</f>
        <v>#REF!</v>
      </c>
      <c r="DM439" t="e">
        <f>AND(#REF!,"AAAAAH/+F3Q=")</f>
        <v>#REF!</v>
      </c>
      <c r="DN439" t="e">
        <f>AND(#REF!,"AAAAAH/+F3U=")</f>
        <v>#REF!</v>
      </c>
      <c r="DO439" t="e">
        <f>AND(#REF!,"AAAAAH/+F3Y=")</f>
        <v>#REF!</v>
      </c>
      <c r="DP439" t="e">
        <f>AND(#REF!,"AAAAAH/+F3c=")</f>
        <v>#REF!</v>
      </c>
      <c r="DQ439" t="e">
        <f>AND(#REF!,"AAAAAH/+F3g=")</f>
        <v>#REF!</v>
      </c>
      <c r="DR439" t="e">
        <f>AND(#REF!,"AAAAAH/+F3k=")</f>
        <v>#REF!</v>
      </c>
      <c r="DS439" t="e">
        <f>AND(#REF!,"AAAAAH/+F3o=")</f>
        <v>#REF!</v>
      </c>
      <c r="DT439" t="e">
        <f>AND(#REF!,"AAAAAH/+F3s=")</f>
        <v>#REF!</v>
      </c>
      <c r="DU439" t="e">
        <f>AND(#REF!,"AAAAAH/+F3w=")</f>
        <v>#REF!</v>
      </c>
      <c r="DV439" t="e">
        <f>AND(#REF!,"AAAAAH/+F30=")</f>
        <v>#REF!</v>
      </c>
      <c r="DW439" t="e">
        <f>AND(#REF!,"AAAAAH/+F34=")</f>
        <v>#REF!</v>
      </c>
      <c r="DX439" t="e">
        <f>AND(#REF!,"AAAAAH/+F38=")</f>
        <v>#REF!</v>
      </c>
      <c r="DY439" t="e">
        <f>AND(#REF!,"AAAAAH/+F4A=")</f>
        <v>#REF!</v>
      </c>
      <c r="DZ439" t="e">
        <f>AND(#REF!,"AAAAAH/+F4E=")</f>
        <v>#REF!</v>
      </c>
      <c r="EA439" t="e">
        <f>AND(#REF!,"AAAAAH/+F4I=")</f>
        <v>#REF!</v>
      </c>
      <c r="EB439" t="e">
        <f>AND(#REF!,"AAAAAH/+F4M=")</f>
        <v>#REF!</v>
      </c>
      <c r="EC439" t="e">
        <f>IF(#REF!,"AAAAAH/+F4Q=",0)</f>
        <v>#REF!</v>
      </c>
      <c r="ED439" t="e">
        <f>AND(#REF!,"AAAAAH/+F4U=")</f>
        <v>#REF!</v>
      </c>
      <c r="EE439" t="e">
        <f>AND(#REF!,"AAAAAH/+F4Y=")</f>
        <v>#REF!</v>
      </c>
      <c r="EF439" t="e">
        <f>AND(#REF!,"AAAAAH/+F4c=")</f>
        <v>#REF!</v>
      </c>
      <c r="EG439" t="e">
        <f>AND(#REF!,"AAAAAH/+F4g=")</f>
        <v>#REF!</v>
      </c>
      <c r="EH439" t="e">
        <f>AND(#REF!,"AAAAAH/+F4k=")</f>
        <v>#REF!</v>
      </c>
      <c r="EI439" t="e">
        <f>AND(#REF!,"AAAAAH/+F4o=")</f>
        <v>#REF!</v>
      </c>
      <c r="EJ439" t="e">
        <f>AND(#REF!,"AAAAAH/+F4s=")</f>
        <v>#REF!</v>
      </c>
      <c r="EK439" t="e">
        <f>AND(#REF!,"AAAAAH/+F4w=")</f>
        <v>#REF!</v>
      </c>
      <c r="EL439" t="e">
        <f>AND(#REF!,"AAAAAH/+F40=")</f>
        <v>#REF!</v>
      </c>
      <c r="EM439" t="e">
        <f>AND(#REF!,"AAAAAH/+F44=")</f>
        <v>#REF!</v>
      </c>
      <c r="EN439" t="e">
        <f>AND(#REF!,"AAAAAH/+F48=")</f>
        <v>#REF!</v>
      </c>
      <c r="EO439" t="e">
        <f>AND(#REF!,"AAAAAH/+F5A=")</f>
        <v>#REF!</v>
      </c>
      <c r="EP439" t="e">
        <f>AND(#REF!,"AAAAAH/+F5E=")</f>
        <v>#REF!</v>
      </c>
      <c r="EQ439" t="e">
        <f>AND(#REF!,"AAAAAH/+F5I=")</f>
        <v>#REF!</v>
      </c>
      <c r="ER439" t="e">
        <f>AND(#REF!,"AAAAAH/+F5M=")</f>
        <v>#REF!</v>
      </c>
      <c r="ES439" t="e">
        <f>AND(#REF!,"AAAAAH/+F5Q=")</f>
        <v>#REF!</v>
      </c>
      <c r="ET439" t="e">
        <f>AND(#REF!,"AAAAAH/+F5U=")</f>
        <v>#REF!</v>
      </c>
      <c r="EU439" t="e">
        <f>AND(#REF!,"AAAAAH/+F5Y=")</f>
        <v>#REF!</v>
      </c>
      <c r="EV439" t="e">
        <f>AND(#REF!,"AAAAAH/+F5c=")</f>
        <v>#REF!</v>
      </c>
      <c r="EW439" t="e">
        <f>AND(#REF!,"AAAAAH/+F5g=")</f>
        <v>#REF!</v>
      </c>
      <c r="EX439" t="e">
        <f>AND(#REF!,"AAAAAH/+F5k=")</f>
        <v>#REF!</v>
      </c>
      <c r="EY439" t="e">
        <f>AND(#REF!,"AAAAAH/+F5o=")</f>
        <v>#REF!</v>
      </c>
      <c r="EZ439" t="e">
        <f>AND(#REF!,"AAAAAH/+F5s=")</f>
        <v>#REF!</v>
      </c>
      <c r="FA439" t="e">
        <f>AND(#REF!,"AAAAAH/+F5w=")</f>
        <v>#REF!</v>
      </c>
      <c r="FB439" t="e">
        <f>IF(#REF!,"AAAAAH/+F50=",0)</f>
        <v>#REF!</v>
      </c>
      <c r="FC439" t="e">
        <f>AND(#REF!,"AAAAAH/+F54=")</f>
        <v>#REF!</v>
      </c>
      <c r="FD439" t="e">
        <f>AND(#REF!,"AAAAAH/+F58=")</f>
        <v>#REF!</v>
      </c>
      <c r="FE439" t="e">
        <f>AND(#REF!,"AAAAAH/+F6A=")</f>
        <v>#REF!</v>
      </c>
      <c r="FF439" t="e">
        <f>AND(#REF!,"AAAAAH/+F6E=")</f>
        <v>#REF!</v>
      </c>
      <c r="FG439" t="e">
        <f>AND(#REF!,"AAAAAH/+F6I=")</f>
        <v>#REF!</v>
      </c>
      <c r="FH439" t="e">
        <f>AND(#REF!,"AAAAAH/+F6M=")</f>
        <v>#REF!</v>
      </c>
      <c r="FI439" t="e">
        <f>AND(#REF!,"AAAAAH/+F6Q=")</f>
        <v>#REF!</v>
      </c>
      <c r="FJ439" t="e">
        <f>AND(#REF!,"AAAAAH/+F6U=")</f>
        <v>#REF!</v>
      </c>
      <c r="FK439" t="e">
        <f>AND(#REF!,"AAAAAH/+F6Y=")</f>
        <v>#REF!</v>
      </c>
      <c r="FL439" t="e">
        <f>AND(#REF!,"AAAAAH/+F6c=")</f>
        <v>#REF!</v>
      </c>
      <c r="FM439" t="e">
        <f>AND(#REF!,"AAAAAH/+F6g=")</f>
        <v>#REF!</v>
      </c>
      <c r="FN439" t="e">
        <f>AND(#REF!,"AAAAAH/+F6k=")</f>
        <v>#REF!</v>
      </c>
      <c r="FO439" t="e">
        <f>AND(#REF!,"AAAAAH/+F6o=")</f>
        <v>#REF!</v>
      </c>
      <c r="FP439" t="e">
        <f>AND(#REF!,"AAAAAH/+F6s=")</f>
        <v>#REF!</v>
      </c>
      <c r="FQ439" t="e">
        <f>AND(#REF!,"AAAAAH/+F6w=")</f>
        <v>#REF!</v>
      </c>
      <c r="FR439" t="e">
        <f>AND(#REF!,"AAAAAH/+F60=")</f>
        <v>#REF!</v>
      </c>
      <c r="FS439" t="e">
        <f>AND(#REF!,"AAAAAH/+F64=")</f>
        <v>#REF!</v>
      </c>
      <c r="FT439" t="e">
        <f>AND(#REF!,"AAAAAH/+F68=")</f>
        <v>#REF!</v>
      </c>
      <c r="FU439" t="e">
        <f>AND(#REF!,"AAAAAH/+F7A=")</f>
        <v>#REF!</v>
      </c>
      <c r="FV439" t="e">
        <f>AND(#REF!,"AAAAAH/+F7E=")</f>
        <v>#REF!</v>
      </c>
      <c r="FW439" t="e">
        <f>AND(#REF!,"AAAAAH/+F7I=")</f>
        <v>#REF!</v>
      </c>
      <c r="FX439" t="e">
        <f>AND(#REF!,"AAAAAH/+F7M=")</f>
        <v>#REF!</v>
      </c>
      <c r="FY439" t="e">
        <f>AND(#REF!,"AAAAAH/+F7Q=")</f>
        <v>#REF!</v>
      </c>
      <c r="FZ439" t="e">
        <f>AND(#REF!,"AAAAAH/+F7U=")</f>
        <v>#REF!</v>
      </c>
      <c r="GA439" t="e">
        <f>IF(#REF!,"AAAAAH/+F7Y=",0)</f>
        <v>#REF!</v>
      </c>
      <c r="GB439" t="e">
        <f>AND(#REF!,"AAAAAH/+F7c=")</f>
        <v>#REF!</v>
      </c>
      <c r="GC439" t="e">
        <f>AND(#REF!,"AAAAAH/+F7g=")</f>
        <v>#REF!</v>
      </c>
      <c r="GD439" t="e">
        <f>AND(#REF!,"AAAAAH/+F7k=")</f>
        <v>#REF!</v>
      </c>
      <c r="GE439" t="e">
        <f>AND(#REF!,"AAAAAH/+F7o=")</f>
        <v>#REF!</v>
      </c>
      <c r="GF439" t="e">
        <f>AND(#REF!,"AAAAAH/+F7s=")</f>
        <v>#REF!</v>
      </c>
      <c r="GG439" t="e">
        <f>AND(#REF!,"AAAAAH/+F7w=")</f>
        <v>#REF!</v>
      </c>
      <c r="GH439" t="e">
        <f>AND(#REF!,"AAAAAH/+F70=")</f>
        <v>#REF!</v>
      </c>
      <c r="GI439" t="e">
        <f>AND(#REF!,"AAAAAH/+F74=")</f>
        <v>#REF!</v>
      </c>
      <c r="GJ439" t="e">
        <f>AND(#REF!,"AAAAAH/+F78=")</f>
        <v>#REF!</v>
      </c>
      <c r="GK439" t="e">
        <f>AND(#REF!,"AAAAAH/+F8A=")</f>
        <v>#REF!</v>
      </c>
      <c r="GL439" t="e">
        <f>AND(#REF!,"AAAAAH/+F8E=")</f>
        <v>#REF!</v>
      </c>
      <c r="GM439" t="e">
        <f>AND(#REF!,"AAAAAH/+F8I=")</f>
        <v>#REF!</v>
      </c>
      <c r="GN439" t="e">
        <f>AND(#REF!,"AAAAAH/+F8M=")</f>
        <v>#REF!</v>
      </c>
      <c r="GO439" t="e">
        <f>AND(#REF!,"AAAAAH/+F8Q=")</f>
        <v>#REF!</v>
      </c>
      <c r="GP439" t="e">
        <f>AND(#REF!,"AAAAAH/+F8U=")</f>
        <v>#REF!</v>
      </c>
      <c r="GQ439" t="e">
        <f>AND(#REF!,"AAAAAH/+F8Y=")</f>
        <v>#REF!</v>
      </c>
      <c r="GR439" t="e">
        <f>AND(#REF!,"AAAAAH/+F8c=")</f>
        <v>#REF!</v>
      </c>
      <c r="GS439" t="e">
        <f>AND(#REF!,"AAAAAH/+F8g=")</f>
        <v>#REF!</v>
      </c>
      <c r="GT439" t="e">
        <f>AND(#REF!,"AAAAAH/+F8k=")</f>
        <v>#REF!</v>
      </c>
      <c r="GU439" t="e">
        <f>AND(#REF!,"AAAAAH/+F8o=")</f>
        <v>#REF!</v>
      </c>
      <c r="GV439" t="e">
        <f>AND(#REF!,"AAAAAH/+F8s=")</f>
        <v>#REF!</v>
      </c>
      <c r="GW439" t="e">
        <f>AND(#REF!,"AAAAAH/+F8w=")</f>
        <v>#REF!</v>
      </c>
      <c r="GX439" t="e">
        <f>AND(#REF!,"AAAAAH/+F80=")</f>
        <v>#REF!</v>
      </c>
      <c r="GY439" t="e">
        <f>AND(#REF!,"AAAAAH/+F84=")</f>
        <v>#REF!</v>
      </c>
      <c r="GZ439" t="e">
        <f>IF(#REF!,"AAAAAH/+F88=",0)</f>
        <v>#REF!</v>
      </c>
      <c r="HA439" t="e">
        <f>AND(#REF!,"AAAAAH/+F9A=")</f>
        <v>#REF!</v>
      </c>
      <c r="HB439" t="e">
        <f>AND(#REF!,"AAAAAH/+F9E=")</f>
        <v>#REF!</v>
      </c>
      <c r="HC439" t="e">
        <f>AND(#REF!,"AAAAAH/+F9I=")</f>
        <v>#REF!</v>
      </c>
      <c r="HD439" t="e">
        <f>AND(#REF!,"AAAAAH/+F9M=")</f>
        <v>#REF!</v>
      </c>
      <c r="HE439" t="e">
        <f>AND(#REF!,"AAAAAH/+F9Q=")</f>
        <v>#REF!</v>
      </c>
      <c r="HF439" t="e">
        <f>AND(#REF!,"AAAAAH/+F9U=")</f>
        <v>#REF!</v>
      </c>
      <c r="HG439" t="e">
        <f>AND(#REF!,"AAAAAH/+F9Y=")</f>
        <v>#REF!</v>
      </c>
      <c r="HH439" t="e">
        <f>AND(#REF!,"AAAAAH/+F9c=")</f>
        <v>#REF!</v>
      </c>
      <c r="HI439" t="e">
        <f>AND(#REF!,"AAAAAH/+F9g=")</f>
        <v>#REF!</v>
      </c>
      <c r="HJ439" t="e">
        <f>AND(#REF!,"AAAAAH/+F9k=")</f>
        <v>#REF!</v>
      </c>
      <c r="HK439" t="e">
        <f>AND(#REF!,"AAAAAH/+F9o=")</f>
        <v>#REF!</v>
      </c>
      <c r="HL439" t="e">
        <f>AND(#REF!,"AAAAAH/+F9s=")</f>
        <v>#REF!</v>
      </c>
      <c r="HM439" t="e">
        <f>AND(#REF!,"AAAAAH/+F9w=")</f>
        <v>#REF!</v>
      </c>
      <c r="HN439" t="e">
        <f>AND(#REF!,"AAAAAH/+F90=")</f>
        <v>#REF!</v>
      </c>
      <c r="HO439" t="e">
        <f>AND(#REF!,"AAAAAH/+F94=")</f>
        <v>#REF!</v>
      </c>
      <c r="HP439" t="e">
        <f>AND(#REF!,"AAAAAH/+F98=")</f>
        <v>#REF!</v>
      </c>
      <c r="HQ439" t="e">
        <f>AND(#REF!,"AAAAAH/+F+A=")</f>
        <v>#REF!</v>
      </c>
      <c r="HR439" t="e">
        <f>AND(#REF!,"AAAAAH/+F+E=")</f>
        <v>#REF!</v>
      </c>
      <c r="HS439" t="e">
        <f>AND(#REF!,"AAAAAH/+F+I=")</f>
        <v>#REF!</v>
      </c>
      <c r="HT439" t="e">
        <f>AND(#REF!,"AAAAAH/+F+M=")</f>
        <v>#REF!</v>
      </c>
      <c r="HU439" t="e">
        <f>AND(#REF!,"AAAAAH/+F+Q=")</f>
        <v>#REF!</v>
      </c>
      <c r="HV439" t="e">
        <f>AND(#REF!,"AAAAAH/+F+U=")</f>
        <v>#REF!</v>
      </c>
      <c r="HW439" t="e">
        <f>AND(#REF!,"AAAAAH/+F+Y=")</f>
        <v>#REF!</v>
      </c>
      <c r="HX439" t="e">
        <f>AND(#REF!,"AAAAAH/+F+c=")</f>
        <v>#REF!</v>
      </c>
      <c r="HY439" t="e">
        <f>IF(#REF!,"AAAAAH/+F+g=",0)</f>
        <v>#REF!</v>
      </c>
      <c r="HZ439" t="e">
        <f>AND(#REF!,"AAAAAH/+F+k=")</f>
        <v>#REF!</v>
      </c>
      <c r="IA439" t="e">
        <f>AND(#REF!,"AAAAAH/+F+o=")</f>
        <v>#REF!</v>
      </c>
      <c r="IB439" t="e">
        <f>AND(#REF!,"AAAAAH/+F+s=")</f>
        <v>#REF!</v>
      </c>
      <c r="IC439" t="e">
        <f>AND(#REF!,"AAAAAH/+F+w=")</f>
        <v>#REF!</v>
      </c>
      <c r="ID439" t="e">
        <f>AND(#REF!,"AAAAAH/+F+0=")</f>
        <v>#REF!</v>
      </c>
      <c r="IE439" t="e">
        <f>AND(#REF!,"AAAAAH/+F+4=")</f>
        <v>#REF!</v>
      </c>
      <c r="IF439" t="e">
        <f>AND(#REF!,"AAAAAH/+F+8=")</f>
        <v>#REF!</v>
      </c>
      <c r="IG439" t="e">
        <f>AND(#REF!,"AAAAAH/+F/A=")</f>
        <v>#REF!</v>
      </c>
      <c r="IH439" t="e">
        <f>AND(#REF!,"AAAAAH/+F/E=")</f>
        <v>#REF!</v>
      </c>
      <c r="II439" t="e">
        <f>AND(#REF!,"AAAAAH/+F/I=")</f>
        <v>#REF!</v>
      </c>
      <c r="IJ439" t="e">
        <f>AND(#REF!,"AAAAAH/+F/M=")</f>
        <v>#REF!</v>
      </c>
      <c r="IK439" t="e">
        <f>AND(#REF!,"AAAAAH/+F/Q=")</f>
        <v>#REF!</v>
      </c>
      <c r="IL439" t="e">
        <f>AND(#REF!,"AAAAAH/+F/U=")</f>
        <v>#REF!</v>
      </c>
      <c r="IM439" t="e">
        <f>AND(#REF!,"AAAAAH/+F/Y=")</f>
        <v>#REF!</v>
      </c>
      <c r="IN439" t="e">
        <f>AND(#REF!,"AAAAAH/+F/c=")</f>
        <v>#REF!</v>
      </c>
      <c r="IO439" t="e">
        <f>AND(#REF!,"AAAAAH/+F/g=")</f>
        <v>#REF!</v>
      </c>
      <c r="IP439" t="e">
        <f>AND(#REF!,"AAAAAH/+F/k=")</f>
        <v>#REF!</v>
      </c>
      <c r="IQ439" t="e">
        <f>AND(#REF!,"AAAAAH/+F/o=")</f>
        <v>#REF!</v>
      </c>
      <c r="IR439" t="e">
        <f>AND(#REF!,"AAAAAH/+F/s=")</f>
        <v>#REF!</v>
      </c>
      <c r="IS439" t="e">
        <f>AND(#REF!,"AAAAAH/+F/w=")</f>
        <v>#REF!</v>
      </c>
      <c r="IT439" t="e">
        <f>AND(#REF!,"AAAAAH/+F/0=")</f>
        <v>#REF!</v>
      </c>
      <c r="IU439" t="e">
        <f>AND(#REF!,"AAAAAH/+F/4=")</f>
        <v>#REF!</v>
      </c>
      <c r="IV439" t="e">
        <f>AND(#REF!,"AAAAAH/+F/8=")</f>
        <v>#REF!</v>
      </c>
    </row>
    <row r="440" spans="1:256">
      <c r="A440" t="e">
        <f>AND(#REF!,"AAAAAG977wA=")</f>
        <v>#REF!</v>
      </c>
      <c r="B440" t="e">
        <f>IF(#REF!,"AAAAAG977wE=",0)</f>
        <v>#REF!</v>
      </c>
      <c r="C440" t="e">
        <f>AND(#REF!,"AAAAAG977wI=")</f>
        <v>#REF!</v>
      </c>
      <c r="D440" t="e">
        <f>AND(#REF!,"AAAAAG977wM=")</f>
        <v>#REF!</v>
      </c>
      <c r="E440" t="e">
        <f>AND(#REF!,"AAAAAG977wQ=")</f>
        <v>#REF!</v>
      </c>
      <c r="F440" t="e">
        <f>AND(#REF!,"AAAAAG977wU=")</f>
        <v>#REF!</v>
      </c>
      <c r="G440" t="e">
        <f>AND(#REF!,"AAAAAG977wY=")</f>
        <v>#REF!</v>
      </c>
      <c r="H440" t="e">
        <f>AND(#REF!,"AAAAAG977wc=")</f>
        <v>#REF!</v>
      </c>
      <c r="I440" t="e">
        <f>AND(#REF!,"AAAAAG977wg=")</f>
        <v>#REF!</v>
      </c>
      <c r="J440" t="e">
        <f>AND(#REF!,"AAAAAG977wk=")</f>
        <v>#REF!</v>
      </c>
      <c r="K440" t="e">
        <f>AND(#REF!,"AAAAAG977wo=")</f>
        <v>#REF!</v>
      </c>
      <c r="L440" t="e">
        <f>AND(#REF!,"AAAAAG977ws=")</f>
        <v>#REF!</v>
      </c>
      <c r="M440" t="e">
        <f>AND(#REF!,"AAAAAG977ww=")</f>
        <v>#REF!</v>
      </c>
      <c r="N440" t="e">
        <f>AND(#REF!,"AAAAAG977w0=")</f>
        <v>#REF!</v>
      </c>
      <c r="O440" t="e">
        <f>AND(#REF!,"AAAAAG977w4=")</f>
        <v>#REF!</v>
      </c>
      <c r="P440" t="e">
        <f>AND(#REF!,"AAAAAG977w8=")</f>
        <v>#REF!</v>
      </c>
      <c r="Q440" t="e">
        <f>AND(#REF!,"AAAAAG977xA=")</f>
        <v>#REF!</v>
      </c>
      <c r="R440" t="e">
        <f>AND(#REF!,"AAAAAG977xE=")</f>
        <v>#REF!</v>
      </c>
      <c r="S440" t="e">
        <f>AND(#REF!,"AAAAAG977xI=")</f>
        <v>#REF!</v>
      </c>
      <c r="T440" t="e">
        <f>AND(#REF!,"AAAAAG977xM=")</f>
        <v>#REF!</v>
      </c>
      <c r="U440" t="e">
        <f>AND(#REF!,"AAAAAG977xQ=")</f>
        <v>#REF!</v>
      </c>
      <c r="V440" t="e">
        <f>AND(#REF!,"AAAAAG977xU=")</f>
        <v>#REF!</v>
      </c>
      <c r="W440" t="e">
        <f>AND(#REF!,"AAAAAG977xY=")</f>
        <v>#REF!</v>
      </c>
      <c r="X440" t="e">
        <f>AND(#REF!,"AAAAAG977xc=")</f>
        <v>#REF!</v>
      </c>
      <c r="Y440" t="e">
        <f>AND(#REF!,"AAAAAG977xg=")</f>
        <v>#REF!</v>
      </c>
      <c r="Z440" t="e">
        <f>AND(#REF!,"AAAAAG977xk=")</f>
        <v>#REF!</v>
      </c>
      <c r="AA440" t="e">
        <f>IF(#REF!,"AAAAAG977xo=",0)</f>
        <v>#REF!</v>
      </c>
      <c r="AB440" t="e">
        <f>AND(#REF!,"AAAAAG977xs=")</f>
        <v>#REF!</v>
      </c>
      <c r="AC440" t="e">
        <f>AND(#REF!,"AAAAAG977xw=")</f>
        <v>#REF!</v>
      </c>
      <c r="AD440" t="e">
        <f>AND(#REF!,"AAAAAG977x0=")</f>
        <v>#REF!</v>
      </c>
      <c r="AE440" t="e">
        <f>AND(#REF!,"AAAAAG977x4=")</f>
        <v>#REF!</v>
      </c>
      <c r="AF440" t="e">
        <f>AND(#REF!,"AAAAAG977x8=")</f>
        <v>#REF!</v>
      </c>
      <c r="AG440" t="e">
        <f>AND(#REF!,"AAAAAG977yA=")</f>
        <v>#REF!</v>
      </c>
      <c r="AH440" t="e">
        <f>AND(#REF!,"AAAAAG977yE=")</f>
        <v>#REF!</v>
      </c>
      <c r="AI440" t="e">
        <f>AND(#REF!,"AAAAAG977yI=")</f>
        <v>#REF!</v>
      </c>
      <c r="AJ440" t="e">
        <f>AND(#REF!,"AAAAAG977yM=")</f>
        <v>#REF!</v>
      </c>
      <c r="AK440" t="e">
        <f>AND(#REF!,"AAAAAG977yQ=")</f>
        <v>#REF!</v>
      </c>
      <c r="AL440" t="e">
        <f>AND(#REF!,"AAAAAG977yU=")</f>
        <v>#REF!</v>
      </c>
      <c r="AM440" t="e">
        <f>AND(#REF!,"AAAAAG977yY=")</f>
        <v>#REF!</v>
      </c>
      <c r="AN440" t="e">
        <f>AND(#REF!,"AAAAAG977yc=")</f>
        <v>#REF!</v>
      </c>
      <c r="AO440" t="e">
        <f>AND(#REF!,"AAAAAG977yg=")</f>
        <v>#REF!</v>
      </c>
      <c r="AP440" t="e">
        <f>AND(#REF!,"AAAAAG977yk=")</f>
        <v>#REF!</v>
      </c>
      <c r="AQ440" t="e">
        <f>AND(#REF!,"AAAAAG977yo=")</f>
        <v>#REF!</v>
      </c>
      <c r="AR440" t="e">
        <f>AND(#REF!,"AAAAAG977ys=")</f>
        <v>#REF!</v>
      </c>
      <c r="AS440" t="e">
        <f>AND(#REF!,"AAAAAG977yw=")</f>
        <v>#REF!</v>
      </c>
      <c r="AT440" t="e">
        <f>AND(#REF!,"AAAAAG977y0=")</f>
        <v>#REF!</v>
      </c>
      <c r="AU440" t="e">
        <f>AND(#REF!,"AAAAAG977y4=")</f>
        <v>#REF!</v>
      </c>
      <c r="AV440" t="e">
        <f>AND(#REF!,"AAAAAG977y8=")</f>
        <v>#REF!</v>
      </c>
      <c r="AW440" t="e">
        <f>AND(#REF!,"AAAAAG977zA=")</f>
        <v>#REF!</v>
      </c>
      <c r="AX440" t="e">
        <f>AND(#REF!,"AAAAAG977zE=")</f>
        <v>#REF!</v>
      </c>
      <c r="AY440" t="e">
        <f>AND(#REF!,"AAAAAG977zI=")</f>
        <v>#REF!</v>
      </c>
      <c r="AZ440" t="e">
        <f>IF(#REF!,"AAAAAG977zM=",0)</f>
        <v>#REF!</v>
      </c>
      <c r="BA440" t="e">
        <f>AND(#REF!,"AAAAAG977zQ=")</f>
        <v>#REF!</v>
      </c>
      <c r="BB440" t="e">
        <f>AND(#REF!,"AAAAAG977zU=")</f>
        <v>#REF!</v>
      </c>
      <c r="BC440" t="e">
        <f>AND(#REF!,"AAAAAG977zY=")</f>
        <v>#REF!</v>
      </c>
      <c r="BD440" t="e">
        <f>AND(#REF!,"AAAAAG977zc=")</f>
        <v>#REF!</v>
      </c>
      <c r="BE440" t="e">
        <f>AND(#REF!,"AAAAAG977zg=")</f>
        <v>#REF!</v>
      </c>
      <c r="BF440" t="e">
        <f>AND(#REF!,"AAAAAG977zk=")</f>
        <v>#REF!</v>
      </c>
      <c r="BG440" t="e">
        <f>AND(#REF!,"AAAAAG977zo=")</f>
        <v>#REF!</v>
      </c>
      <c r="BH440" t="e">
        <f>AND(#REF!,"AAAAAG977zs=")</f>
        <v>#REF!</v>
      </c>
      <c r="BI440" t="e">
        <f>AND(#REF!,"AAAAAG977zw=")</f>
        <v>#REF!</v>
      </c>
      <c r="BJ440" t="e">
        <f>AND(#REF!,"AAAAAG977z0=")</f>
        <v>#REF!</v>
      </c>
      <c r="BK440" t="e">
        <f>AND(#REF!,"AAAAAG977z4=")</f>
        <v>#REF!</v>
      </c>
      <c r="BL440" t="e">
        <f>AND(#REF!,"AAAAAG977z8=")</f>
        <v>#REF!</v>
      </c>
      <c r="BM440" t="e">
        <f>AND(#REF!,"AAAAAG9770A=")</f>
        <v>#REF!</v>
      </c>
      <c r="BN440" t="e">
        <f>AND(#REF!,"AAAAAG9770E=")</f>
        <v>#REF!</v>
      </c>
      <c r="BO440" t="e">
        <f>AND(#REF!,"AAAAAG9770I=")</f>
        <v>#REF!</v>
      </c>
      <c r="BP440" t="e">
        <f>AND(#REF!,"AAAAAG9770M=")</f>
        <v>#REF!</v>
      </c>
      <c r="BQ440" t="e">
        <f>AND(#REF!,"AAAAAG9770Q=")</f>
        <v>#REF!</v>
      </c>
      <c r="BR440" t="e">
        <f>AND(#REF!,"AAAAAG9770U=")</f>
        <v>#REF!</v>
      </c>
      <c r="BS440" t="e">
        <f>AND(#REF!,"AAAAAG9770Y=")</f>
        <v>#REF!</v>
      </c>
      <c r="BT440" t="e">
        <f>AND(#REF!,"AAAAAG9770c=")</f>
        <v>#REF!</v>
      </c>
      <c r="BU440" t="e">
        <f>AND(#REF!,"AAAAAG9770g=")</f>
        <v>#REF!</v>
      </c>
      <c r="BV440" t="e">
        <f>AND(#REF!,"AAAAAG9770k=")</f>
        <v>#REF!</v>
      </c>
      <c r="BW440" t="e">
        <f>AND(#REF!,"AAAAAG9770o=")</f>
        <v>#REF!</v>
      </c>
      <c r="BX440" t="e">
        <f>AND(#REF!,"AAAAAG9770s=")</f>
        <v>#REF!</v>
      </c>
      <c r="BY440" t="e">
        <f>IF(#REF!,"AAAAAG9770w=",0)</f>
        <v>#REF!</v>
      </c>
      <c r="BZ440" t="e">
        <f>AND(#REF!,"AAAAAG97700=")</f>
        <v>#REF!</v>
      </c>
      <c r="CA440" t="e">
        <f>AND(#REF!,"AAAAAG97704=")</f>
        <v>#REF!</v>
      </c>
      <c r="CB440" t="e">
        <f>AND(#REF!,"AAAAAG97708=")</f>
        <v>#REF!</v>
      </c>
      <c r="CC440" t="e">
        <f>AND(#REF!,"AAAAAG9771A=")</f>
        <v>#REF!</v>
      </c>
      <c r="CD440" t="e">
        <f>AND(#REF!,"AAAAAG9771E=")</f>
        <v>#REF!</v>
      </c>
      <c r="CE440" t="e">
        <f>AND(#REF!,"AAAAAG9771I=")</f>
        <v>#REF!</v>
      </c>
      <c r="CF440" t="e">
        <f>AND(#REF!,"AAAAAG9771M=")</f>
        <v>#REF!</v>
      </c>
      <c r="CG440" t="e">
        <f>AND(#REF!,"AAAAAG9771Q=")</f>
        <v>#REF!</v>
      </c>
      <c r="CH440" t="e">
        <f>AND(#REF!,"AAAAAG9771U=")</f>
        <v>#REF!</v>
      </c>
      <c r="CI440" t="e">
        <f>AND(#REF!,"AAAAAG9771Y=")</f>
        <v>#REF!</v>
      </c>
      <c r="CJ440" t="e">
        <f>AND(#REF!,"AAAAAG9771c=")</f>
        <v>#REF!</v>
      </c>
      <c r="CK440" t="e">
        <f>AND(#REF!,"AAAAAG9771g=")</f>
        <v>#REF!</v>
      </c>
      <c r="CL440" t="e">
        <f>AND(#REF!,"AAAAAG9771k=")</f>
        <v>#REF!</v>
      </c>
      <c r="CM440" t="e">
        <f>AND(#REF!,"AAAAAG9771o=")</f>
        <v>#REF!</v>
      </c>
      <c r="CN440" t="e">
        <f>AND(#REF!,"AAAAAG9771s=")</f>
        <v>#REF!</v>
      </c>
      <c r="CO440" t="e">
        <f>AND(#REF!,"AAAAAG9771w=")</f>
        <v>#REF!</v>
      </c>
      <c r="CP440" t="e">
        <f>AND(#REF!,"AAAAAG97710=")</f>
        <v>#REF!</v>
      </c>
      <c r="CQ440" t="e">
        <f>AND(#REF!,"AAAAAG97714=")</f>
        <v>#REF!</v>
      </c>
      <c r="CR440" t="e">
        <f>AND(#REF!,"AAAAAG97718=")</f>
        <v>#REF!</v>
      </c>
      <c r="CS440" t="e">
        <f>AND(#REF!,"AAAAAG9772A=")</f>
        <v>#REF!</v>
      </c>
      <c r="CT440" t="e">
        <f>AND(#REF!,"AAAAAG9772E=")</f>
        <v>#REF!</v>
      </c>
      <c r="CU440" t="e">
        <f>AND(#REF!,"AAAAAG9772I=")</f>
        <v>#REF!</v>
      </c>
      <c r="CV440" t="e">
        <f>AND(#REF!,"AAAAAG9772M=")</f>
        <v>#REF!</v>
      </c>
      <c r="CW440" t="e">
        <f>AND(#REF!,"AAAAAG9772Q=")</f>
        <v>#REF!</v>
      </c>
      <c r="CX440" t="e">
        <f>IF(#REF!,"AAAAAG9772U=",0)</f>
        <v>#REF!</v>
      </c>
      <c r="CY440" t="e">
        <f>AND(#REF!,"AAAAAG9772Y=")</f>
        <v>#REF!</v>
      </c>
      <c r="CZ440" t="e">
        <f>AND(#REF!,"AAAAAG9772c=")</f>
        <v>#REF!</v>
      </c>
      <c r="DA440" t="e">
        <f>AND(#REF!,"AAAAAG9772g=")</f>
        <v>#REF!</v>
      </c>
      <c r="DB440" t="e">
        <f>AND(#REF!,"AAAAAG9772k=")</f>
        <v>#REF!</v>
      </c>
      <c r="DC440" t="e">
        <f>AND(#REF!,"AAAAAG9772o=")</f>
        <v>#REF!</v>
      </c>
      <c r="DD440" t="e">
        <f>AND(#REF!,"AAAAAG9772s=")</f>
        <v>#REF!</v>
      </c>
      <c r="DE440" t="e">
        <f>AND(#REF!,"AAAAAG9772w=")</f>
        <v>#REF!</v>
      </c>
      <c r="DF440" t="e">
        <f>AND(#REF!,"AAAAAG97720=")</f>
        <v>#REF!</v>
      </c>
      <c r="DG440" t="e">
        <f>AND(#REF!,"AAAAAG97724=")</f>
        <v>#REF!</v>
      </c>
      <c r="DH440" t="e">
        <f>AND(#REF!,"AAAAAG97728=")</f>
        <v>#REF!</v>
      </c>
      <c r="DI440" t="e">
        <f>AND(#REF!,"AAAAAG9773A=")</f>
        <v>#REF!</v>
      </c>
      <c r="DJ440" t="e">
        <f>AND(#REF!,"AAAAAG9773E=")</f>
        <v>#REF!</v>
      </c>
      <c r="DK440" t="e">
        <f>AND(#REF!,"AAAAAG9773I=")</f>
        <v>#REF!</v>
      </c>
      <c r="DL440" t="e">
        <f>AND(#REF!,"AAAAAG9773M=")</f>
        <v>#REF!</v>
      </c>
      <c r="DM440" t="e">
        <f>AND(#REF!,"AAAAAG9773Q=")</f>
        <v>#REF!</v>
      </c>
      <c r="DN440" t="e">
        <f>AND(#REF!,"AAAAAG9773U=")</f>
        <v>#REF!</v>
      </c>
      <c r="DO440" t="e">
        <f>AND(#REF!,"AAAAAG9773Y=")</f>
        <v>#REF!</v>
      </c>
      <c r="DP440" t="e">
        <f>AND(#REF!,"AAAAAG9773c=")</f>
        <v>#REF!</v>
      </c>
      <c r="DQ440" t="e">
        <f>AND(#REF!,"AAAAAG9773g=")</f>
        <v>#REF!</v>
      </c>
      <c r="DR440" t="e">
        <f>AND(#REF!,"AAAAAG9773k=")</f>
        <v>#REF!</v>
      </c>
      <c r="DS440" t="e">
        <f>AND(#REF!,"AAAAAG9773o=")</f>
        <v>#REF!</v>
      </c>
      <c r="DT440" t="e">
        <f>AND(#REF!,"AAAAAG9773s=")</f>
        <v>#REF!</v>
      </c>
      <c r="DU440" t="e">
        <f>AND(#REF!,"AAAAAG9773w=")</f>
        <v>#REF!</v>
      </c>
      <c r="DV440" t="e">
        <f>AND(#REF!,"AAAAAG97730=")</f>
        <v>#REF!</v>
      </c>
      <c r="DW440" t="e">
        <f>IF(#REF!,"AAAAAG97734=",0)</f>
        <v>#REF!</v>
      </c>
      <c r="DX440" t="e">
        <f>AND(#REF!,"AAAAAG97738=")</f>
        <v>#REF!</v>
      </c>
      <c r="DY440" t="e">
        <f>AND(#REF!,"AAAAAG9774A=")</f>
        <v>#REF!</v>
      </c>
      <c r="DZ440" t="e">
        <f>AND(#REF!,"AAAAAG9774E=")</f>
        <v>#REF!</v>
      </c>
      <c r="EA440" t="e">
        <f>AND(#REF!,"AAAAAG9774I=")</f>
        <v>#REF!</v>
      </c>
      <c r="EB440" t="e">
        <f>AND(#REF!,"AAAAAG9774M=")</f>
        <v>#REF!</v>
      </c>
      <c r="EC440" t="e">
        <f>AND(#REF!,"AAAAAG9774Q=")</f>
        <v>#REF!</v>
      </c>
      <c r="ED440" t="e">
        <f>AND(#REF!,"AAAAAG9774U=")</f>
        <v>#REF!</v>
      </c>
      <c r="EE440" t="e">
        <f>AND(#REF!,"AAAAAG9774Y=")</f>
        <v>#REF!</v>
      </c>
      <c r="EF440" t="e">
        <f>AND(#REF!,"AAAAAG9774c=")</f>
        <v>#REF!</v>
      </c>
      <c r="EG440" t="e">
        <f>AND(#REF!,"AAAAAG9774g=")</f>
        <v>#REF!</v>
      </c>
      <c r="EH440" t="e">
        <f>AND(#REF!,"AAAAAG9774k=")</f>
        <v>#REF!</v>
      </c>
      <c r="EI440" t="e">
        <f>AND(#REF!,"AAAAAG9774o=")</f>
        <v>#REF!</v>
      </c>
      <c r="EJ440" t="e">
        <f>AND(#REF!,"AAAAAG9774s=")</f>
        <v>#REF!</v>
      </c>
      <c r="EK440" t="e">
        <f>AND(#REF!,"AAAAAG9774w=")</f>
        <v>#REF!</v>
      </c>
      <c r="EL440" t="e">
        <f>AND(#REF!,"AAAAAG97740=")</f>
        <v>#REF!</v>
      </c>
      <c r="EM440" t="e">
        <f>AND(#REF!,"AAAAAG97744=")</f>
        <v>#REF!</v>
      </c>
      <c r="EN440" t="e">
        <f>AND(#REF!,"AAAAAG97748=")</f>
        <v>#REF!</v>
      </c>
      <c r="EO440" t="e">
        <f>AND(#REF!,"AAAAAG9775A=")</f>
        <v>#REF!</v>
      </c>
      <c r="EP440" t="e">
        <f>AND(#REF!,"AAAAAG9775E=")</f>
        <v>#REF!</v>
      </c>
      <c r="EQ440" t="e">
        <f>AND(#REF!,"AAAAAG9775I=")</f>
        <v>#REF!</v>
      </c>
      <c r="ER440" t="e">
        <f>AND(#REF!,"AAAAAG9775M=")</f>
        <v>#REF!</v>
      </c>
      <c r="ES440" t="e">
        <f>AND(#REF!,"AAAAAG9775Q=")</f>
        <v>#REF!</v>
      </c>
      <c r="ET440" t="e">
        <f>AND(#REF!,"AAAAAG9775U=")</f>
        <v>#REF!</v>
      </c>
      <c r="EU440" t="e">
        <f>AND(#REF!,"AAAAAG9775Y=")</f>
        <v>#REF!</v>
      </c>
      <c r="EV440" t="e">
        <f>IF(#REF!,"AAAAAG9775c=",0)</f>
        <v>#REF!</v>
      </c>
      <c r="EW440" t="e">
        <f>AND(#REF!,"AAAAAG9775g=")</f>
        <v>#REF!</v>
      </c>
      <c r="EX440" t="e">
        <f>AND(#REF!,"AAAAAG9775k=")</f>
        <v>#REF!</v>
      </c>
      <c r="EY440" t="e">
        <f>AND(#REF!,"AAAAAG9775o=")</f>
        <v>#REF!</v>
      </c>
      <c r="EZ440" t="e">
        <f>AND(#REF!,"AAAAAG9775s=")</f>
        <v>#REF!</v>
      </c>
      <c r="FA440" t="e">
        <f>AND(#REF!,"AAAAAG9775w=")</f>
        <v>#REF!</v>
      </c>
      <c r="FB440" t="e">
        <f>AND(#REF!,"AAAAAG97750=")</f>
        <v>#REF!</v>
      </c>
      <c r="FC440" t="e">
        <f>AND(#REF!,"AAAAAG97754=")</f>
        <v>#REF!</v>
      </c>
      <c r="FD440" t="e">
        <f>AND(#REF!,"AAAAAG97758=")</f>
        <v>#REF!</v>
      </c>
      <c r="FE440" t="e">
        <f>AND(#REF!,"AAAAAG9776A=")</f>
        <v>#REF!</v>
      </c>
      <c r="FF440" t="e">
        <f>AND(#REF!,"AAAAAG9776E=")</f>
        <v>#REF!</v>
      </c>
      <c r="FG440" t="e">
        <f>AND(#REF!,"AAAAAG9776I=")</f>
        <v>#REF!</v>
      </c>
      <c r="FH440" t="e">
        <f>AND(#REF!,"AAAAAG9776M=")</f>
        <v>#REF!</v>
      </c>
      <c r="FI440" t="e">
        <f>AND(#REF!,"AAAAAG9776Q=")</f>
        <v>#REF!</v>
      </c>
      <c r="FJ440" t="e">
        <f>AND(#REF!,"AAAAAG9776U=")</f>
        <v>#REF!</v>
      </c>
      <c r="FK440" t="e">
        <f>AND(#REF!,"AAAAAG9776Y=")</f>
        <v>#REF!</v>
      </c>
      <c r="FL440" t="e">
        <f>AND(#REF!,"AAAAAG9776c=")</f>
        <v>#REF!</v>
      </c>
      <c r="FM440" t="e">
        <f>AND(#REF!,"AAAAAG9776g=")</f>
        <v>#REF!</v>
      </c>
      <c r="FN440" t="e">
        <f>AND(#REF!,"AAAAAG9776k=")</f>
        <v>#REF!</v>
      </c>
      <c r="FO440" t="e">
        <f>AND(#REF!,"AAAAAG9776o=")</f>
        <v>#REF!</v>
      </c>
      <c r="FP440" t="e">
        <f>AND(#REF!,"AAAAAG9776s=")</f>
        <v>#REF!</v>
      </c>
      <c r="FQ440" t="e">
        <f>AND(#REF!,"AAAAAG9776w=")</f>
        <v>#REF!</v>
      </c>
      <c r="FR440" t="e">
        <f>AND(#REF!,"AAAAAG97760=")</f>
        <v>#REF!</v>
      </c>
      <c r="FS440" t="e">
        <f>AND(#REF!,"AAAAAG97764=")</f>
        <v>#REF!</v>
      </c>
      <c r="FT440" t="e">
        <f>AND(#REF!,"AAAAAG97768=")</f>
        <v>#REF!</v>
      </c>
      <c r="FU440" t="e">
        <f>IF(#REF!,"AAAAAG9777A=",0)</f>
        <v>#REF!</v>
      </c>
      <c r="FV440" t="e">
        <f>AND(#REF!,"AAAAAG9777E=")</f>
        <v>#REF!</v>
      </c>
      <c r="FW440" t="e">
        <f>AND(#REF!,"AAAAAG9777I=")</f>
        <v>#REF!</v>
      </c>
      <c r="FX440" t="e">
        <f>AND(#REF!,"AAAAAG9777M=")</f>
        <v>#REF!</v>
      </c>
      <c r="FY440" t="e">
        <f>AND(#REF!,"AAAAAG9777Q=")</f>
        <v>#REF!</v>
      </c>
      <c r="FZ440" t="e">
        <f>AND(#REF!,"AAAAAG9777U=")</f>
        <v>#REF!</v>
      </c>
      <c r="GA440" t="e">
        <f>AND(#REF!,"AAAAAG9777Y=")</f>
        <v>#REF!</v>
      </c>
      <c r="GB440" t="e">
        <f>AND(#REF!,"AAAAAG9777c=")</f>
        <v>#REF!</v>
      </c>
      <c r="GC440" t="e">
        <f>AND(#REF!,"AAAAAG9777g=")</f>
        <v>#REF!</v>
      </c>
      <c r="GD440" t="e">
        <f>AND(#REF!,"AAAAAG9777k=")</f>
        <v>#REF!</v>
      </c>
      <c r="GE440" t="e">
        <f>AND(#REF!,"AAAAAG9777o=")</f>
        <v>#REF!</v>
      </c>
      <c r="GF440" t="e">
        <f>AND(#REF!,"AAAAAG9777s=")</f>
        <v>#REF!</v>
      </c>
      <c r="GG440" t="e">
        <f>AND(#REF!,"AAAAAG9777w=")</f>
        <v>#REF!</v>
      </c>
      <c r="GH440" t="e">
        <f>AND(#REF!,"AAAAAG97770=")</f>
        <v>#REF!</v>
      </c>
      <c r="GI440" t="e">
        <f>AND(#REF!,"AAAAAG97774=")</f>
        <v>#REF!</v>
      </c>
      <c r="GJ440" t="e">
        <f>AND(#REF!,"AAAAAG97778=")</f>
        <v>#REF!</v>
      </c>
      <c r="GK440" t="e">
        <f>AND(#REF!,"AAAAAG9778A=")</f>
        <v>#REF!</v>
      </c>
      <c r="GL440" t="e">
        <f>AND(#REF!,"AAAAAG9778E=")</f>
        <v>#REF!</v>
      </c>
      <c r="GM440" t="e">
        <f>AND(#REF!,"AAAAAG9778I=")</f>
        <v>#REF!</v>
      </c>
      <c r="GN440" t="e">
        <f>AND(#REF!,"AAAAAG9778M=")</f>
        <v>#REF!</v>
      </c>
      <c r="GO440" t="e">
        <f>AND(#REF!,"AAAAAG9778Q=")</f>
        <v>#REF!</v>
      </c>
      <c r="GP440" t="e">
        <f>AND(#REF!,"AAAAAG9778U=")</f>
        <v>#REF!</v>
      </c>
      <c r="GQ440" t="e">
        <f>AND(#REF!,"AAAAAG9778Y=")</f>
        <v>#REF!</v>
      </c>
      <c r="GR440" t="e">
        <f>AND(#REF!,"AAAAAG9778c=")</f>
        <v>#REF!</v>
      </c>
      <c r="GS440" t="e">
        <f>AND(#REF!,"AAAAAG9778g=")</f>
        <v>#REF!</v>
      </c>
      <c r="GT440" t="e">
        <f>IF(#REF!,"AAAAAG9778k=",0)</f>
        <v>#REF!</v>
      </c>
      <c r="GU440" t="e">
        <f>AND(#REF!,"AAAAAG9778o=")</f>
        <v>#REF!</v>
      </c>
      <c r="GV440" t="e">
        <f>AND(#REF!,"AAAAAG9778s=")</f>
        <v>#REF!</v>
      </c>
      <c r="GW440" t="e">
        <f>AND(#REF!,"AAAAAG9778w=")</f>
        <v>#REF!</v>
      </c>
      <c r="GX440" t="e">
        <f>AND(#REF!,"AAAAAG97780=")</f>
        <v>#REF!</v>
      </c>
      <c r="GY440" t="e">
        <f>AND(#REF!,"AAAAAG97784=")</f>
        <v>#REF!</v>
      </c>
      <c r="GZ440" t="e">
        <f>AND(#REF!,"AAAAAG97788=")</f>
        <v>#REF!</v>
      </c>
      <c r="HA440" t="e">
        <f>AND(#REF!,"AAAAAG9779A=")</f>
        <v>#REF!</v>
      </c>
      <c r="HB440" t="e">
        <f>AND(#REF!,"AAAAAG9779E=")</f>
        <v>#REF!</v>
      </c>
      <c r="HC440" t="e">
        <f>AND(#REF!,"AAAAAG9779I=")</f>
        <v>#REF!</v>
      </c>
      <c r="HD440" t="e">
        <f>AND(#REF!,"AAAAAG9779M=")</f>
        <v>#REF!</v>
      </c>
      <c r="HE440" t="e">
        <f>AND(#REF!,"AAAAAG9779Q=")</f>
        <v>#REF!</v>
      </c>
      <c r="HF440" t="e">
        <f>AND(#REF!,"AAAAAG9779U=")</f>
        <v>#REF!</v>
      </c>
      <c r="HG440" t="e">
        <f>AND(#REF!,"AAAAAG9779Y=")</f>
        <v>#REF!</v>
      </c>
      <c r="HH440" t="e">
        <f>AND(#REF!,"AAAAAG9779c=")</f>
        <v>#REF!</v>
      </c>
      <c r="HI440" t="e">
        <f>AND(#REF!,"AAAAAG9779g=")</f>
        <v>#REF!</v>
      </c>
      <c r="HJ440" t="e">
        <f>AND(#REF!,"AAAAAG9779k=")</f>
        <v>#REF!</v>
      </c>
      <c r="HK440" t="e">
        <f>AND(#REF!,"AAAAAG9779o=")</f>
        <v>#REF!</v>
      </c>
      <c r="HL440" t="e">
        <f>AND(#REF!,"AAAAAG9779s=")</f>
        <v>#REF!</v>
      </c>
      <c r="HM440" t="e">
        <f>AND(#REF!,"AAAAAG9779w=")</f>
        <v>#REF!</v>
      </c>
      <c r="HN440" t="e">
        <f>AND(#REF!,"AAAAAG97790=")</f>
        <v>#REF!</v>
      </c>
      <c r="HO440" t="e">
        <f>AND(#REF!,"AAAAAG97794=")</f>
        <v>#REF!</v>
      </c>
      <c r="HP440" t="e">
        <f>AND(#REF!,"AAAAAG97798=")</f>
        <v>#REF!</v>
      </c>
      <c r="HQ440" t="e">
        <f>AND(#REF!,"AAAAAG977+A=")</f>
        <v>#REF!</v>
      </c>
      <c r="HR440" t="e">
        <f>AND(#REF!,"AAAAAG977+E=")</f>
        <v>#REF!</v>
      </c>
      <c r="HS440" t="e">
        <f>IF(#REF!,"AAAAAG977+I=",0)</f>
        <v>#REF!</v>
      </c>
      <c r="HT440" t="e">
        <f>AND(#REF!,"AAAAAG977+M=")</f>
        <v>#REF!</v>
      </c>
      <c r="HU440" t="e">
        <f>AND(#REF!,"AAAAAG977+Q=")</f>
        <v>#REF!</v>
      </c>
      <c r="HV440" t="e">
        <f>AND(#REF!,"AAAAAG977+U=")</f>
        <v>#REF!</v>
      </c>
      <c r="HW440" t="e">
        <f>AND(#REF!,"AAAAAG977+Y=")</f>
        <v>#REF!</v>
      </c>
      <c r="HX440" t="e">
        <f>AND(#REF!,"AAAAAG977+c=")</f>
        <v>#REF!</v>
      </c>
      <c r="HY440" t="e">
        <f>AND(#REF!,"AAAAAG977+g=")</f>
        <v>#REF!</v>
      </c>
      <c r="HZ440" t="e">
        <f>AND(#REF!,"AAAAAG977+k=")</f>
        <v>#REF!</v>
      </c>
      <c r="IA440" t="e">
        <f>AND(#REF!,"AAAAAG977+o=")</f>
        <v>#REF!</v>
      </c>
      <c r="IB440" t="e">
        <f>AND(#REF!,"AAAAAG977+s=")</f>
        <v>#REF!</v>
      </c>
      <c r="IC440" t="e">
        <f>AND(#REF!,"AAAAAG977+w=")</f>
        <v>#REF!</v>
      </c>
      <c r="ID440" t="e">
        <f>AND(#REF!,"AAAAAG977+0=")</f>
        <v>#REF!</v>
      </c>
      <c r="IE440" t="e">
        <f>AND(#REF!,"AAAAAG977+4=")</f>
        <v>#REF!</v>
      </c>
      <c r="IF440" t="e">
        <f>AND(#REF!,"AAAAAG977+8=")</f>
        <v>#REF!</v>
      </c>
      <c r="IG440" t="e">
        <f>AND(#REF!,"AAAAAG977/A=")</f>
        <v>#REF!</v>
      </c>
      <c r="IH440" t="e">
        <f>AND(#REF!,"AAAAAG977/E=")</f>
        <v>#REF!</v>
      </c>
      <c r="II440" t="e">
        <f>AND(#REF!,"AAAAAG977/I=")</f>
        <v>#REF!</v>
      </c>
      <c r="IJ440" t="e">
        <f>AND(#REF!,"AAAAAG977/M=")</f>
        <v>#REF!</v>
      </c>
      <c r="IK440" t="e">
        <f>AND(#REF!,"AAAAAG977/Q=")</f>
        <v>#REF!</v>
      </c>
      <c r="IL440" t="e">
        <f>AND(#REF!,"AAAAAG977/U=")</f>
        <v>#REF!</v>
      </c>
      <c r="IM440" t="e">
        <f>AND(#REF!,"AAAAAG977/Y=")</f>
        <v>#REF!</v>
      </c>
      <c r="IN440" t="e">
        <f>AND(#REF!,"AAAAAG977/c=")</f>
        <v>#REF!</v>
      </c>
      <c r="IO440" t="e">
        <f>AND(#REF!,"AAAAAG977/g=")</f>
        <v>#REF!</v>
      </c>
      <c r="IP440" t="e">
        <f>AND(#REF!,"AAAAAG977/k=")</f>
        <v>#REF!</v>
      </c>
      <c r="IQ440" t="e">
        <f>AND(#REF!,"AAAAAG977/o=")</f>
        <v>#REF!</v>
      </c>
      <c r="IR440" t="e">
        <f>IF(#REF!,"AAAAAG977/s=",0)</f>
        <v>#REF!</v>
      </c>
      <c r="IS440" t="e">
        <f>AND(#REF!,"AAAAAG977/w=")</f>
        <v>#REF!</v>
      </c>
      <c r="IT440" t="e">
        <f>AND(#REF!,"AAAAAG977/0=")</f>
        <v>#REF!</v>
      </c>
      <c r="IU440" t="e">
        <f>AND(#REF!,"AAAAAG977/4=")</f>
        <v>#REF!</v>
      </c>
      <c r="IV440" t="e">
        <f>AND(#REF!,"AAAAAG977/8=")</f>
        <v>#REF!</v>
      </c>
    </row>
    <row r="441" spans="1:256">
      <c r="A441" t="e">
        <f>AND(#REF!,"AAAAAG//fQA=")</f>
        <v>#REF!</v>
      </c>
      <c r="B441" t="e">
        <f>AND(#REF!,"AAAAAG//fQE=")</f>
        <v>#REF!</v>
      </c>
      <c r="C441" t="e">
        <f>AND(#REF!,"AAAAAG//fQI=")</f>
        <v>#REF!</v>
      </c>
      <c r="D441" t="e">
        <f>AND(#REF!,"AAAAAG//fQM=")</f>
        <v>#REF!</v>
      </c>
      <c r="E441" t="e">
        <f>AND(#REF!,"AAAAAG//fQQ=")</f>
        <v>#REF!</v>
      </c>
      <c r="F441" t="e">
        <f>AND(#REF!,"AAAAAG//fQU=")</f>
        <v>#REF!</v>
      </c>
      <c r="G441" t="e">
        <f>AND(#REF!,"AAAAAG//fQY=")</f>
        <v>#REF!</v>
      </c>
      <c r="H441" t="e">
        <f>AND(#REF!,"AAAAAG//fQc=")</f>
        <v>#REF!</v>
      </c>
      <c r="I441" t="e">
        <f>AND(#REF!,"AAAAAG//fQg=")</f>
        <v>#REF!</v>
      </c>
      <c r="J441" t="e">
        <f>AND(#REF!,"AAAAAG//fQk=")</f>
        <v>#REF!</v>
      </c>
      <c r="K441" t="e">
        <f>AND(#REF!,"AAAAAG//fQo=")</f>
        <v>#REF!</v>
      </c>
      <c r="L441" t="e">
        <f>AND(#REF!,"AAAAAG//fQs=")</f>
        <v>#REF!</v>
      </c>
      <c r="M441" t="e">
        <f>AND(#REF!,"AAAAAG//fQw=")</f>
        <v>#REF!</v>
      </c>
      <c r="N441" t="e">
        <f>AND(#REF!,"AAAAAG//fQ0=")</f>
        <v>#REF!</v>
      </c>
      <c r="O441" t="e">
        <f>AND(#REF!,"AAAAAG//fQ4=")</f>
        <v>#REF!</v>
      </c>
      <c r="P441" t="e">
        <f>AND(#REF!,"AAAAAG//fQ8=")</f>
        <v>#REF!</v>
      </c>
      <c r="Q441" t="e">
        <f>AND(#REF!,"AAAAAG//fRA=")</f>
        <v>#REF!</v>
      </c>
      <c r="R441" t="e">
        <f>AND(#REF!,"AAAAAG//fRE=")</f>
        <v>#REF!</v>
      </c>
      <c r="S441" t="e">
        <f>AND(#REF!,"AAAAAG//fRI=")</f>
        <v>#REF!</v>
      </c>
      <c r="T441" t="e">
        <f>AND(#REF!,"AAAAAG//fRM=")</f>
        <v>#REF!</v>
      </c>
      <c r="U441" t="e">
        <f>IF(#REF!,"AAAAAG//fRQ=",0)</f>
        <v>#REF!</v>
      </c>
      <c r="V441" t="e">
        <f>AND(#REF!,"AAAAAG//fRU=")</f>
        <v>#REF!</v>
      </c>
      <c r="W441" t="e">
        <f>AND(#REF!,"AAAAAG//fRY=")</f>
        <v>#REF!</v>
      </c>
      <c r="X441" t="e">
        <f>AND(#REF!,"AAAAAG//fRc=")</f>
        <v>#REF!</v>
      </c>
      <c r="Y441" t="e">
        <f>AND(#REF!,"AAAAAG//fRg=")</f>
        <v>#REF!</v>
      </c>
      <c r="Z441" t="e">
        <f>AND(#REF!,"AAAAAG//fRk=")</f>
        <v>#REF!</v>
      </c>
      <c r="AA441" t="e">
        <f>AND(#REF!,"AAAAAG//fRo=")</f>
        <v>#REF!</v>
      </c>
      <c r="AB441" t="e">
        <f>AND(#REF!,"AAAAAG//fRs=")</f>
        <v>#REF!</v>
      </c>
      <c r="AC441" t="e">
        <f>AND(#REF!,"AAAAAG//fRw=")</f>
        <v>#REF!</v>
      </c>
      <c r="AD441" t="e">
        <f>AND(#REF!,"AAAAAG//fR0=")</f>
        <v>#REF!</v>
      </c>
      <c r="AE441" t="e">
        <f>AND(#REF!,"AAAAAG//fR4=")</f>
        <v>#REF!</v>
      </c>
      <c r="AF441" t="e">
        <f>AND(#REF!,"AAAAAG//fR8=")</f>
        <v>#REF!</v>
      </c>
      <c r="AG441" t="e">
        <f>AND(#REF!,"AAAAAG//fSA=")</f>
        <v>#REF!</v>
      </c>
      <c r="AH441" t="e">
        <f>AND(#REF!,"AAAAAG//fSE=")</f>
        <v>#REF!</v>
      </c>
      <c r="AI441" t="e">
        <f>AND(#REF!,"AAAAAG//fSI=")</f>
        <v>#REF!</v>
      </c>
      <c r="AJ441" t="e">
        <f>AND(#REF!,"AAAAAG//fSM=")</f>
        <v>#REF!</v>
      </c>
      <c r="AK441" t="e">
        <f>AND(#REF!,"AAAAAG//fSQ=")</f>
        <v>#REF!</v>
      </c>
      <c r="AL441" t="e">
        <f>AND(#REF!,"AAAAAG//fSU=")</f>
        <v>#REF!</v>
      </c>
      <c r="AM441" t="e">
        <f>AND(#REF!,"AAAAAG//fSY=")</f>
        <v>#REF!</v>
      </c>
      <c r="AN441" t="e">
        <f>AND(#REF!,"AAAAAG//fSc=")</f>
        <v>#REF!</v>
      </c>
      <c r="AO441" t="e">
        <f>AND(#REF!,"AAAAAG//fSg=")</f>
        <v>#REF!</v>
      </c>
      <c r="AP441" t="e">
        <f>AND(#REF!,"AAAAAG//fSk=")</f>
        <v>#REF!</v>
      </c>
      <c r="AQ441" t="e">
        <f>AND(#REF!,"AAAAAG//fSo=")</f>
        <v>#REF!</v>
      </c>
      <c r="AR441" t="e">
        <f>AND(#REF!,"AAAAAG//fSs=")</f>
        <v>#REF!</v>
      </c>
      <c r="AS441" t="e">
        <f>AND(#REF!,"AAAAAG//fSw=")</f>
        <v>#REF!</v>
      </c>
      <c r="AT441" t="e">
        <f>IF(#REF!,"AAAAAG//fS0=",0)</f>
        <v>#REF!</v>
      </c>
      <c r="AU441" t="e">
        <f>AND(#REF!,"AAAAAG//fS4=")</f>
        <v>#REF!</v>
      </c>
      <c r="AV441" t="e">
        <f>AND(#REF!,"AAAAAG//fS8=")</f>
        <v>#REF!</v>
      </c>
      <c r="AW441" t="e">
        <f>AND(#REF!,"AAAAAG//fTA=")</f>
        <v>#REF!</v>
      </c>
      <c r="AX441" t="e">
        <f>AND(#REF!,"AAAAAG//fTE=")</f>
        <v>#REF!</v>
      </c>
      <c r="AY441" t="e">
        <f>AND(#REF!,"AAAAAG//fTI=")</f>
        <v>#REF!</v>
      </c>
      <c r="AZ441" t="e">
        <f>AND(#REF!,"AAAAAG//fTM=")</f>
        <v>#REF!</v>
      </c>
      <c r="BA441" t="e">
        <f>AND(#REF!,"AAAAAG//fTQ=")</f>
        <v>#REF!</v>
      </c>
      <c r="BB441" t="e">
        <f>AND(#REF!,"AAAAAG//fTU=")</f>
        <v>#REF!</v>
      </c>
      <c r="BC441" t="e">
        <f>AND(#REF!,"AAAAAG//fTY=")</f>
        <v>#REF!</v>
      </c>
      <c r="BD441" t="e">
        <f>AND(#REF!,"AAAAAG//fTc=")</f>
        <v>#REF!</v>
      </c>
      <c r="BE441" t="e">
        <f>AND(#REF!,"AAAAAG//fTg=")</f>
        <v>#REF!</v>
      </c>
      <c r="BF441" t="e">
        <f>AND(#REF!,"AAAAAG//fTk=")</f>
        <v>#REF!</v>
      </c>
      <c r="BG441" t="e">
        <f>AND(#REF!,"AAAAAG//fTo=")</f>
        <v>#REF!</v>
      </c>
      <c r="BH441" t="e">
        <f>AND(#REF!,"AAAAAG//fTs=")</f>
        <v>#REF!</v>
      </c>
      <c r="BI441" t="e">
        <f>AND(#REF!,"AAAAAG//fTw=")</f>
        <v>#REF!</v>
      </c>
      <c r="BJ441" t="e">
        <f>AND(#REF!,"AAAAAG//fT0=")</f>
        <v>#REF!</v>
      </c>
      <c r="BK441" t="e">
        <f>AND(#REF!,"AAAAAG//fT4=")</f>
        <v>#REF!</v>
      </c>
      <c r="BL441" t="e">
        <f>AND(#REF!,"AAAAAG//fT8=")</f>
        <v>#REF!</v>
      </c>
      <c r="BM441" t="e">
        <f>AND(#REF!,"AAAAAG//fUA=")</f>
        <v>#REF!</v>
      </c>
      <c r="BN441" t="e">
        <f>AND(#REF!,"AAAAAG//fUE=")</f>
        <v>#REF!</v>
      </c>
      <c r="BO441" t="e">
        <f>AND(#REF!,"AAAAAG//fUI=")</f>
        <v>#REF!</v>
      </c>
      <c r="BP441" t="e">
        <f>AND(#REF!,"AAAAAG//fUM=")</f>
        <v>#REF!</v>
      </c>
      <c r="BQ441" t="e">
        <f>AND(#REF!,"AAAAAG//fUQ=")</f>
        <v>#REF!</v>
      </c>
      <c r="BR441" t="e">
        <f>AND(#REF!,"AAAAAG//fUU=")</f>
        <v>#REF!</v>
      </c>
      <c r="BS441" t="e">
        <f>IF(#REF!,"AAAAAG//fUY=",0)</f>
        <v>#REF!</v>
      </c>
      <c r="BT441" t="e">
        <f>AND(#REF!,"AAAAAG//fUc=")</f>
        <v>#REF!</v>
      </c>
      <c r="BU441" t="e">
        <f>AND(#REF!,"AAAAAG//fUg=")</f>
        <v>#REF!</v>
      </c>
      <c r="BV441" t="e">
        <f>AND(#REF!,"AAAAAG//fUk=")</f>
        <v>#REF!</v>
      </c>
      <c r="BW441" t="e">
        <f>AND(#REF!,"AAAAAG//fUo=")</f>
        <v>#REF!</v>
      </c>
      <c r="BX441" t="e">
        <f>AND(#REF!,"AAAAAG//fUs=")</f>
        <v>#REF!</v>
      </c>
      <c r="BY441" t="e">
        <f>AND(#REF!,"AAAAAG//fUw=")</f>
        <v>#REF!</v>
      </c>
      <c r="BZ441" t="e">
        <f>AND(#REF!,"AAAAAG//fU0=")</f>
        <v>#REF!</v>
      </c>
      <c r="CA441" t="e">
        <f>AND(#REF!,"AAAAAG//fU4=")</f>
        <v>#REF!</v>
      </c>
      <c r="CB441" t="e">
        <f>AND(#REF!,"AAAAAG//fU8=")</f>
        <v>#REF!</v>
      </c>
      <c r="CC441" t="e">
        <f>AND(#REF!,"AAAAAG//fVA=")</f>
        <v>#REF!</v>
      </c>
      <c r="CD441" t="e">
        <f>AND(#REF!,"AAAAAG//fVE=")</f>
        <v>#REF!</v>
      </c>
      <c r="CE441" t="e">
        <f>AND(#REF!,"AAAAAG//fVI=")</f>
        <v>#REF!</v>
      </c>
      <c r="CF441" t="e">
        <f>AND(#REF!,"AAAAAG//fVM=")</f>
        <v>#REF!</v>
      </c>
      <c r="CG441" t="e">
        <f>AND(#REF!,"AAAAAG//fVQ=")</f>
        <v>#REF!</v>
      </c>
      <c r="CH441" t="e">
        <f>AND(#REF!,"AAAAAG//fVU=")</f>
        <v>#REF!</v>
      </c>
      <c r="CI441" t="e">
        <f>AND(#REF!,"AAAAAG//fVY=")</f>
        <v>#REF!</v>
      </c>
      <c r="CJ441" t="e">
        <f>AND(#REF!,"AAAAAG//fVc=")</f>
        <v>#REF!</v>
      </c>
      <c r="CK441" t="e">
        <f>AND(#REF!,"AAAAAG//fVg=")</f>
        <v>#REF!</v>
      </c>
      <c r="CL441" t="e">
        <f>AND(#REF!,"AAAAAG//fVk=")</f>
        <v>#REF!</v>
      </c>
      <c r="CM441" t="e">
        <f>AND(#REF!,"AAAAAG//fVo=")</f>
        <v>#REF!</v>
      </c>
      <c r="CN441" t="e">
        <f>AND(#REF!,"AAAAAG//fVs=")</f>
        <v>#REF!</v>
      </c>
      <c r="CO441" t="e">
        <f>AND(#REF!,"AAAAAG//fVw=")</f>
        <v>#REF!</v>
      </c>
      <c r="CP441" t="e">
        <f>AND(#REF!,"AAAAAG//fV0=")</f>
        <v>#REF!</v>
      </c>
      <c r="CQ441" t="e">
        <f>AND(#REF!,"AAAAAG//fV4=")</f>
        <v>#REF!</v>
      </c>
      <c r="CR441" t="e">
        <f>IF(#REF!,"AAAAAG//fV8=",0)</f>
        <v>#REF!</v>
      </c>
      <c r="CS441" t="e">
        <f>AND(#REF!,"AAAAAG//fWA=")</f>
        <v>#REF!</v>
      </c>
      <c r="CT441" t="e">
        <f>AND(#REF!,"AAAAAG//fWE=")</f>
        <v>#REF!</v>
      </c>
      <c r="CU441" t="e">
        <f>AND(#REF!,"AAAAAG//fWI=")</f>
        <v>#REF!</v>
      </c>
      <c r="CV441" t="e">
        <f>AND(#REF!,"AAAAAG//fWM=")</f>
        <v>#REF!</v>
      </c>
      <c r="CW441" t="e">
        <f>AND(#REF!,"AAAAAG//fWQ=")</f>
        <v>#REF!</v>
      </c>
      <c r="CX441" t="e">
        <f>AND(#REF!,"AAAAAG//fWU=")</f>
        <v>#REF!</v>
      </c>
      <c r="CY441" t="e">
        <f>AND(#REF!,"AAAAAG//fWY=")</f>
        <v>#REF!</v>
      </c>
      <c r="CZ441" t="e">
        <f>AND(#REF!,"AAAAAG//fWc=")</f>
        <v>#REF!</v>
      </c>
      <c r="DA441" t="e">
        <f>AND(#REF!,"AAAAAG//fWg=")</f>
        <v>#REF!</v>
      </c>
      <c r="DB441" t="e">
        <f>AND(#REF!,"AAAAAG//fWk=")</f>
        <v>#REF!</v>
      </c>
      <c r="DC441" t="e">
        <f>AND(#REF!,"AAAAAG//fWo=")</f>
        <v>#REF!</v>
      </c>
      <c r="DD441" t="e">
        <f>AND(#REF!,"AAAAAG//fWs=")</f>
        <v>#REF!</v>
      </c>
      <c r="DE441" t="e">
        <f>AND(#REF!,"AAAAAG//fWw=")</f>
        <v>#REF!</v>
      </c>
      <c r="DF441" t="e">
        <f>AND(#REF!,"AAAAAG//fW0=")</f>
        <v>#REF!</v>
      </c>
      <c r="DG441" t="e">
        <f>AND(#REF!,"AAAAAG//fW4=")</f>
        <v>#REF!</v>
      </c>
      <c r="DH441" t="e">
        <f>AND(#REF!,"AAAAAG//fW8=")</f>
        <v>#REF!</v>
      </c>
      <c r="DI441" t="e">
        <f>AND(#REF!,"AAAAAG//fXA=")</f>
        <v>#REF!</v>
      </c>
      <c r="DJ441" t="e">
        <f>AND(#REF!,"AAAAAG//fXE=")</f>
        <v>#REF!</v>
      </c>
      <c r="DK441" t="e">
        <f>AND(#REF!,"AAAAAG//fXI=")</f>
        <v>#REF!</v>
      </c>
      <c r="DL441" t="e">
        <f>AND(#REF!,"AAAAAG//fXM=")</f>
        <v>#REF!</v>
      </c>
      <c r="DM441" t="e">
        <f>AND(#REF!,"AAAAAG//fXQ=")</f>
        <v>#REF!</v>
      </c>
      <c r="DN441" t="e">
        <f>AND(#REF!,"AAAAAG//fXU=")</f>
        <v>#REF!</v>
      </c>
      <c r="DO441" t="e">
        <f>AND(#REF!,"AAAAAG//fXY=")</f>
        <v>#REF!</v>
      </c>
      <c r="DP441" t="e">
        <f>AND(#REF!,"AAAAAG//fXc=")</f>
        <v>#REF!</v>
      </c>
      <c r="DQ441" t="e">
        <f>IF(#REF!,"AAAAAG//fXg=",0)</f>
        <v>#REF!</v>
      </c>
      <c r="DR441" t="e">
        <f>AND(#REF!,"AAAAAG//fXk=")</f>
        <v>#REF!</v>
      </c>
      <c r="DS441" t="e">
        <f>AND(#REF!,"AAAAAG//fXo=")</f>
        <v>#REF!</v>
      </c>
      <c r="DT441" t="e">
        <f>AND(#REF!,"AAAAAG//fXs=")</f>
        <v>#REF!</v>
      </c>
      <c r="DU441" t="e">
        <f>AND(#REF!,"AAAAAG//fXw=")</f>
        <v>#REF!</v>
      </c>
      <c r="DV441" t="e">
        <f>AND(#REF!,"AAAAAG//fX0=")</f>
        <v>#REF!</v>
      </c>
      <c r="DW441" t="e">
        <f>AND(#REF!,"AAAAAG//fX4=")</f>
        <v>#REF!</v>
      </c>
      <c r="DX441" t="e">
        <f>AND(#REF!,"AAAAAG//fX8=")</f>
        <v>#REF!</v>
      </c>
      <c r="DY441" t="e">
        <f>AND(#REF!,"AAAAAG//fYA=")</f>
        <v>#REF!</v>
      </c>
      <c r="DZ441" t="e">
        <f>AND(#REF!,"AAAAAG//fYE=")</f>
        <v>#REF!</v>
      </c>
      <c r="EA441" t="e">
        <f>AND(#REF!,"AAAAAG//fYI=")</f>
        <v>#REF!</v>
      </c>
      <c r="EB441" t="e">
        <f>AND(#REF!,"AAAAAG//fYM=")</f>
        <v>#REF!</v>
      </c>
      <c r="EC441" t="e">
        <f>AND(#REF!,"AAAAAG//fYQ=")</f>
        <v>#REF!</v>
      </c>
      <c r="ED441" t="e">
        <f>AND(#REF!,"AAAAAG//fYU=")</f>
        <v>#REF!</v>
      </c>
      <c r="EE441" t="e">
        <f>AND(#REF!,"AAAAAG//fYY=")</f>
        <v>#REF!</v>
      </c>
      <c r="EF441" t="e">
        <f>AND(#REF!,"AAAAAG//fYc=")</f>
        <v>#REF!</v>
      </c>
      <c r="EG441" t="e">
        <f>AND(#REF!,"AAAAAG//fYg=")</f>
        <v>#REF!</v>
      </c>
      <c r="EH441" t="e">
        <f>AND(#REF!,"AAAAAG//fYk=")</f>
        <v>#REF!</v>
      </c>
      <c r="EI441" t="e">
        <f>AND(#REF!,"AAAAAG//fYo=")</f>
        <v>#REF!</v>
      </c>
      <c r="EJ441" t="e">
        <f>AND(#REF!,"AAAAAG//fYs=")</f>
        <v>#REF!</v>
      </c>
      <c r="EK441" t="e">
        <f>AND(#REF!,"AAAAAG//fYw=")</f>
        <v>#REF!</v>
      </c>
      <c r="EL441" t="e">
        <f>AND(#REF!,"AAAAAG//fY0=")</f>
        <v>#REF!</v>
      </c>
      <c r="EM441" t="e">
        <f>AND(#REF!,"AAAAAG//fY4=")</f>
        <v>#REF!</v>
      </c>
      <c r="EN441" t="e">
        <f>AND(#REF!,"AAAAAG//fY8=")</f>
        <v>#REF!</v>
      </c>
      <c r="EO441" t="e">
        <f>AND(#REF!,"AAAAAG//fZA=")</f>
        <v>#REF!</v>
      </c>
      <c r="EP441" t="e">
        <f>IF(#REF!,"AAAAAG//fZE=",0)</f>
        <v>#REF!</v>
      </c>
      <c r="EQ441" t="e">
        <f>AND(#REF!,"AAAAAG//fZI=")</f>
        <v>#REF!</v>
      </c>
      <c r="ER441" t="e">
        <f>AND(#REF!,"AAAAAG//fZM=")</f>
        <v>#REF!</v>
      </c>
      <c r="ES441" t="e">
        <f>AND(#REF!,"AAAAAG//fZQ=")</f>
        <v>#REF!</v>
      </c>
      <c r="ET441" t="e">
        <f>AND(#REF!,"AAAAAG//fZU=")</f>
        <v>#REF!</v>
      </c>
      <c r="EU441" t="e">
        <f>AND(#REF!,"AAAAAG//fZY=")</f>
        <v>#REF!</v>
      </c>
      <c r="EV441" t="e">
        <f>AND(#REF!,"AAAAAG//fZc=")</f>
        <v>#REF!</v>
      </c>
      <c r="EW441" t="e">
        <f>AND(#REF!,"AAAAAG//fZg=")</f>
        <v>#REF!</v>
      </c>
      <c r="EX441" t="e">
        <f>AND(#REF!,"AAAAAG//fZk=")</f>
        <v>#REF!</v>
      </c>
      <c r="EY441" t="e">
        <f>AND(#REF!,"AAAAAG//fZo=")</f>
        <v>#REF!</v>
      </c>
      <c r="EZ441" t="e">
        <f>AND(#REF!,"AAAAAG//fZs=")</f>
        <v>#REF!</v>
      </c>
      <c r="FA441" t="e">
        <f>AND(#REF!,"AAAAAG//fZw=")</f>
        <v>#REF!</v>
      </c>
      <c r="FB441" t="e">
        <f>AND(#REF!,"AAAAAG//fZ0=")</f>
        <v>#REF!</v>
      </c>
      <c r="FC441" t="e">
        <f>AND(#REF!,"AAAAAG//fZ4=")</f>
        <v>#REF!</v>
      </c>
      <c r="FD441" t="e">
        <f>AND(#REF!,"AAAAAG//fZ8=")</f>
        <v>#REF!</v>
      </c>
      <c r="FE441" t="e">
        <f>AND(#REF!,"AAAAAG//faA=")</f>
        <v>#REF!</v>
      </c>
      <c r="FF441" t="e">
        <f>AND(#REF!,"AAAAAG//faE=")</f>
        <v>#REF!</v>
      </c>
      <c r="FG441" t="e">
        <f>AND(#REF!,"AAAAAG//faI=")</f>
        <v>#REF!</v>
      </c>
      <c r="FH441" t="e">
        <f>AND(#REF!,"AAAAAG//faM=")</f>
        <v>#REF!</v>
      </c>
      <c r="FI441" t="e">
        <f>AND(#REF!,"AAAAAG//faQ=")</f>
        <v>#REF!</v>
      </c>
      <c r="FJ441" t="e">
        <f>AND(#REF!,"AAAAAG//faU=")</f>
        <v>#REF!</v>
      </c>
      <c r="FK441" t="e">
        <f>AND(#REF!,"AAAAAG//faY=")</f>
        <v>#REF!</v>
      </c>
      <c r="FL441" t="e">
        <f>AND(#REF!,"AAAAAG//fac=")</f>
        <v>#REF!</v>
      </c>
      <c r="FM441" t="e">
        <f>AND(#REF!,"AAAAAG//fag=")</f>
        <v>#REF!</v>
      </c>
      <c r="FN441" t="e">
        <f>AND(#REF!,"AAAAAG//fak=")</f>
        <v>#REF!</v>
      </c>
      <c r="FO441" t="e">
        <f>IF(#REF!,"AAAAAG//fao=",0)</f>
        <v>#REF!</v>
      </c>
      <c r="FP441" t="e">
        <f>AND(#REF!,"AAAAAG//fas=")</f>
        <v>#REF!</v>
      </c>
      <c r="FQ441" t="e">
        <f>AND(#REF!,"AAAAAG//faw=")</f>
        <v>#REF!</v>
      </c>
      <c r="FR441" t="e">
        <f>AND(#REF!,"AAAAAG//fa0=")</f>
        <v>#REF!</v>
      </c>
      <c r="FS441" t="e">
        <f>AND(#REF!,"AAAAAG//fa4=")</f>
        <v>#REF!</v>
      </c>
      <c r="FT441" t="e">
        <f>AND(#REF!,"AAAAAG//fa8=")</f>
        <v>#REF!</v>
      </c>
      <c r="FU441" t="e">
        <f>AND(#REF!,"AAAAAG//fbA=")</f>
        <v>#REF!</v>
      </c>
      <c r="FV441" t="e">
        <f>AND(#REF!,"AAAAAG//fbE=")</f>
        <v>#REF!</v>
      </c>
      <c r="FW441" t="e">
        <f>AND(#REF!,"AAAAAG//fbI=")</f>
        <v>#REF!</v>
      </c>
      <c r="FX441" t="e">
        <f>AND(#REF!,"AAAAAG//fbM=")</f>
        <v>#REF!</v>
      </c>
      <c r="FY441" t="e">
        <f>AND(#REF!,"AAAAAG//fbQ=")</f>
        <v>#REF!</v>
      </c>
      <c r="FZ441" t="e">
        <f>AND(#REF!,"AAAAAG//fbU=")</f>
        <v>#REF!</v>
      </c>
      <c r="GA441" t="e">
        <f>AND(#REF!,"AAAAAG//fbY=")</f>
        <v>#REF!</v>
      </c>
      <c r="GB441" t="e">
        <f>AND(#REF!,"AAAAAG//fbc=")</f>
        <v>#REF!</v>
      </c>
      <c r="GC441" t="e">
        <f>AND(#REF!,"AAAAAG//fbg=")</f>
        <v>#REF!</v>
      </c>
      <c r="GD441" t="e">
        <f>AND(#REF!,"AAAAAG//fbk=")</f>
        <v>#REF!</v>
      </c>
      <c r="GE441" t="e">
        <f>AND(#REF!,"AAAAAG//fbo=")</f>
        <v>#REF!</v>
      </c>
      <c r="GF441" t="e">
        <f>AND(#REF!,"AAAAAG//fbs=")</f>
        <v>#REF!</v>
      </c>
      <c r="GG441" t="e">
        <f>AND(#REF!,"AAAAAG//fbw=")</f>
        <v>#REF!</v>
      </c>
      <c r="GH441" t="e">
        <f>AND(#REF!,"AAAAAG//fb0=")</f>
        <v>#REF!</v>
      </c>
      <c r="GI441" t="e">
        <f>AND(#REF!,"AAAAAG//fb4=")</f>
        <v>#REF!</v>
      </c>
      <c r="GJ441" t="e">
        <f>AND(#REF!,"AAAAAG//fb8=")</f>
        <v>#REF!</v>
      </c>
      <c r="GK441" t="e">
        <f>AND(#REF!,"AAAAAG//fcA=")</f>
        <v>#REF!</v>
      </c>
      <c r="GL441" t="e">
        <f>AND(#REF!,"AAAAAG//fcE=")</f>
        <v>#REF!</v>
      </c>
      <c r="GM441" t="e">
        <f>AND(#REF!,"AAAAAG//fcI=")</f>
        <v>#REF!</v>
      </c>
      <c r="GN441" t="e">
        <f>IF(#REF!,"AAAAAG//fcM=",0)</f>
        <v>#REF!</v>
      </c>
      <c r="GO441" t="e">
        <f>AND(#REF!,"AAAAAG//fcQ=")</f>
        <v>#REF!</v>
      </c>
      <c r="GP441" t="e">
        <f>AND(#REF!,"AAAAAG//fcU=")</f>
        <v>#REF!</v>
      </c>
      <c r="GQ441" t="e">
        <f>AND(#REF!,"AAAAAG//fcY=")</f>
        <v>#REF!</v>
      </c>
      <c r="GR441" t="e">
        <f>AND(#REF!,"AAAAAG//fcc=")</f>
        <v>#REF!</v>
      </c>
      <c r="GS441" t="e">
        <f>AND(#REF!,"AAAAAG//fcg=")</f>
        <v>#REF!</v>
      </c>
      <c r="GT441" t="e">
        <f>AND(#REF!,"AAAAAG//fck=")</f>
        <v>#REF!</v>
      </c>
      <c r="GU441" t="e">
        <f>AND(#REF!,"AAAAAG//fco=")</f>
        <v>#REF!</v>
      </c>
      <c r="GV441" t="e">
        <f>AND(#REF!,"AAAAAG//fcs=")</f>
        <v>#REF!</v>
      </c>
      <c r="GW441" t="e">
        <f>AND(#REF!,"AAAAAG//fcw=")</f>
        <v>#REF!</v>
      </c>
      <c r="GX441" t="e">
        <f>AND(#REF!,"AAAAAG//fc0=")</f>
        <v>#REF!</v>
      </c>
      <c r="GY441" t="e">
        <f>AND(#REF!,"AAAAAG//fc4=")</f>
        <v>#REF!</v>
      </c>
      <c r="GZ441" t="e">
        <f>AND(#REF!,"AAAAAG//fc8=")</f>
        <v>#REF!</v>
      </c>
      <c r="HA441" t="e">
        <f>AND(#REF!,"AAAAAG//fdA=")</f>
        <v>#REF!</v>
      </c>
      <c r="HB441" t="e">
        <f>AND(#REF!,"AAAAAG//fdE=")</f>
        <v>#REF!</v>
      </c>
      <c r="HC441" t="e">
        <f>AND(#REF!,"AAAAAG//fdI=")</f>
        <v>#REF!</v>
      </c>
      <c r="HD441" t="e">
        <f>AND(#REF!,"AAAAAG//fdM=")</f>
        <v>#REF!</v>
      </c>
      <c r="HE441" t="e">
        <f>AND(#REF!,"AAAAAG//fdQ=")</f>
        <v>#REF!</v>
      </c>
      <c r="HF441" t="e">
        <f>AND(#REF!,"AAAAAG//fdU=")</f>
        <v>#REF!</v>
      </c>
      <c r="HG441" t="e">
        <f>AND(#REF!,"AAAAAG//fdY=")</f>
        <v>#REF!</v>
      </c>
      <c r="HH441" t="e">
        <f>AND(#REF!,"AAAAAG//fdc=")</f>
        <v>#REF!</v>
      </c>
      <c r="HI441" t="e">
        <f>AND(#REF!,"AAAAAG//fdg=")</f>
        <v>#REF!</v>
      </c>
      <c r="HJ441" t="e">
        <f>AND(#REF!,"AAAAAG//fdk=")</f>
        <v>#REF!</v>
      </c>
      <c r="HK441" t="e">
        <f>AND(#REF!,"AAAAAG//fdo=")</f>
        <v>#REF!</v>
      </c>
      <c r="HL441" t="e">
        <f>AND(#REF!,"AAAAAG//fds=")</f>
        <v>#REF!</v>
      </c>
      <c r="HM441" t="e">
        <f>IF(#REF!,"AAAAAG//fdw=",0)</f>
        <v>#REF!</v>
      </c>
      <c r="HN441" t="e">
        <f>AND(#REF!,"AAAAAG//fd0=")</f>
        <v>#REF!</v>
      </c>
      <c r="HO441" t="e">
        <f>AND(#REF!,"AAAAAG//fd4=")</f>
        <v>#REF!</v>
      </c>
      <c r="HP441" t="e">
        <f>AND(#REF!,"AAAAAG//fd8=")</f>
        <v>#REF!</v>
      </c>
      <c r="HQ441" t="e">
        <f>AND(#REF!,"AAAAAG//feA=")</f>
        <v>#REF!</v>
      </c>
      <c r="HR441" t="e">
        <f>AND(#REF!,"AAAAAG//feE=")</f>
        <v>#REF!</v>
      </c>
      <c r="HS441" t="e">
        <f>AND(#REF!,"AAAAAG//feI=")</f>
        <v>#REF!</v>
      </c>
      <c r="HT441" t="e">
        <f>AND(#REF!,"AAAAAG//feM=")</f>
        <v>#REF!</v>
      </c>
      <c r="HU441" t="e">
        <f>AND(#REF!,"AAAAAG//feQ=")</f>
        <v>#REF!</v>
      </c>
      <c r="HV441" t="e">
        <f>AND(#REF!,"AAAAAG//feU=")</f>
        <v>#REF!</v>
      </c>
      <c r="HW441" t="e">
        <f>AND(#REF!,"AAAAAG//feY=")</f>
        <v>#REF!</v>
      </c>
      <c r="HX441" t="e">
        <f>AND(#REF!,"AAAAAG//fec=")</f>
        <v>#REF!</v>
      </c>
      <c r="HY441" t="e">
        <f>AND(#REF!,"AAAAAG//feg=")</f>
        <v>#REF!</v>
      </c>
      <c r="HZ441" t="e">
        <f>AND(#REF!,"AAAAAG//fek=")</f>
        <v>#REF!</v>
      </c>
      <c r="IA441" t="e">
        <f>AND(#REF!,"AAAAAG//feo=")</f>
        <v>#REF!</v>
      </c>
      <c r="IB441" t="e">
        <f>AND(#REF!,"AAAAAG//fes=")</f>
        <v>#REF!</v>
      </c>
      <c r="IC441" t="e">
        <f>AND(#REF!,"AAAAAG//few=")</f>
        <v>#REF!</v>
      </c>
      <c r="ID441" t="e">
        <f>AND(#REF!,"AAAAAG//fe0=")</f>
        <v>#REF!</v>
      </c>
      <c r="IE441" t="e">
        <f>AND(#REF!,"AAAAAG//fe4=")</f>
        <v>#REF!</v>
      </c>
      <c r="IF441" t="e">
        <f>AND(#REF!,"AAAAAG//fe8=")</f>
        <v>#REF!</v>
      </c>
      <c r="IG441" t="e">
        <f>AND(#REF!,"AAAAAG//ffA=")</f>
        <v>#REF!</v>
      </c>
      <c r="IH441" t="e">
        <f>AND(#REF!,"AAAAAG//ffE=")</f>
        <v>#REF!</v>
      </c>
      <c r="II441" t="e">
        <f>AND(#REF!,"AAAAAG//ffI=")</f>
        <v>#REF!</v>
      </c>
      <c r="IJ441" t="e">
        <f>AND(#REF!,"AAAAAG//ffM=")</f>
        <v>#REF!</v>
      </c>
      <c r="IK441" t="e">
        <f>AND(#REF!,"AAAAAG//ffQ=")</f>
        <v>#REF!</v>
      </c>
      <c r="IL441" t="e">
        <f>IF(#REF!,"AAAAAG//ffU=",0)</f>
        <v>#REF!</v>
      </c>
      <c r="IM441" t="e">
        <f>AND(#REF!,"AAAAAG//ffY=")</f>
        <v>#REF!</v>
      </c>
      <c r="IN441" t="e">
        <f>AND(#REF!,"AAAAAG//ffc=")</f>
        <v>#REF!</v>
      </c>
      <c r="IO441" t="e">
        <f>AND(#REF!,"AAAAAG//ffg=")</f>
        <v>#REF!</v>
      </c>
      <c r="IP441" t="e">
        <f>AND(#REF!,"AAAAAG//ffk=")</f>
        <v>#REF!</v>
      </c>
      <c r="IQ441" t="e">
        <f>AND(#REF!,"AAAAAG//ffo=")</f>
        <v>#REF!</v>
      </c>
      <c r="IR441" t="e">
        <f>AND(#REF!,"AAAAAG//ffs=")</f>
        <v>#REF!</v>
      </c>
      <c r="IS441" t="e">
        <f>AND(#REF!,"AAAAAG//ffw=")</f>
        <v>#REF!</v>
      </c>
      <c r="IT441" t="e">
        <f>AND(#REF!,"AAAAAG//ff0=")</f>
        <v>#REF!</v>
      </c>
      <c r="IU441" t="e">
        <f>AND(#REF!,"AAAAAG//ff4=")</f>
        <v>#REF!</v>
      </c>
      <c r="IV441" t="e">
        <f>AND(#REF!,"AAAAAG//ff8=")</f>
        <v>#REF!</v>
      </c>
    </row>
    <row r="442" spans="1:256">
      <c r="A442" t="e">
        <f>AND(#REF!,"AAAAAC2efgA=")</f>
        <v>#REF!</v>
      </c>
      <c r="B442" t="e">
        <f>AND(#REF!,"AAAAAC2efgE=")</f>
        <v>#REF!</v>
      </c>
      <c r="C442" t="e">
        <f>AND(#REF!,"AAAAAC2efgI=")</f>
        <v>#REF!</v>
      </c>
      <c r="D442" t="e">
        <f>AND(#REF!,"AAAAAC2efgM=")</f>
        <v>#REF!</v>
      </c>
      <c r="E442" t="e">
        <f>AND(#REF!,"AAAAAC2efgQ=")</f>
        <v>#REF!</v>
      </c>
      <c r="F442" t="e">
        <f>AND(#REF!,"AAAAAC2efgU=")</f>
        <v>#REF!</v>
      </c>
      <c r="G442" t="e">
        <f>AND(#REF!,"AAAAAC2efgY=")</f>
        <v>#REF!</v>
      </c>
      <c r="H442" t="e">
        <f>AND(#REF!,"AAAAAC2efgc=")</f>
        <v>#REF!</v>
      </c>
      <c r="I442" t="e">
        <f>AND(#REF!,"AAAAAC2efgg=")</f>
        <v>#REF!</v>
      </c>
      <c r="J442" t="e">
        <f>AND(#REF!,"AAAAAC2efgk=")</f>
        <v>#REF!</v>
      </c>
      <c r="K442" t="e">
        <f>AND(#REF!,"AAAAAC2efgo=")</f>
        <v>#REF!</v>
      </c>
      <c r="L442" t="e">
        <f>AND(#REF!,"AAAAAC2efgs=")</f>
        <v>#REF!</v>
      </c>
      <c r="M442" t="e">
        <f>AND(#REF!,"AAAAAC2efgw=")</f>
        <v>#REF!</v>
      </c>
      <c r="N442" t="e">
        <f>AND(#REF!,"AAAAAC2efg0=")</f>
        <v>#REF!</v>
      </c>
      <c r="O442" t="e">
        <f>IF(#REF!,"AAAAAC2efg4=",0)</f>
        <v>#REF!</v>
      </c>
      <c r="P442" t="e">
        <f>AND(#REF!,"AAAAAC2efg8=")</f>
        <v>#REF!</v>
      </c>
      <c r="Q442" t="e">
        <f>AND(#REF!,"AAAAAC2efhA=")</f>
        <v>#REF!</v>
      </c>
      <c r="R442" t="e">
        <f>AND(#REF!,"AAAAAC2efhE=")</f>
        <v>#REF!</v>
      </c>
      <c r="S442" t="e">
        <f>AND(#REF!,"AAAAAC2efhI=")</f>
        <v>#REF!</v>
      </c>
      <c r="T442" t="e">
        <f>AND(#REF!,"AAAAAC2efhM=")</f>
        <v>#REF!</v>
      </c>
      <c r="U442" t="e">
        <f>AND(#REF!,"AAAAAC2efhQ=")</f>
        <v>#REF!</v>
      </c>
      <c r="V442" t="e">
        <f>AND(#REF!,"AAAAAC2efhU=")</f>
        <v>#REF!</v>
      </c>
      <c r="W442" t="e">
        <f>AND(#REF!,"AAAAAC2efhY=")</f>
        <v>#REF!</v>
      </c>
      <c r="X442" t="e">
        <f>AND(#REF!,"AAAAAC2efhc=")</f>
        <v>#REF!</v>
      </c>
      <c r="Y442" t="e">
        <f>AND(#REF!,"AAAAAC2efhg=")</f>
        <v>#REF!</v>
      </c>
      <c r="Z442" t="e">
        <f>AND(#REF!,"AAAAAC2efhk=")</f>
        <v>#REF!</v>
      </c>
      <c r="AA442" t="e">
        <f>AND(#REF!,"AAAAAC2efho=")</f>
        <v>#REF!</v>
      </c>
      <c r="AB442" t="e">
        <f>AND(#REF!,"AAAAAC2efhs=")</f>
        <v>#REF!</v>
      </c>
      <c r="AC442" t="e">
        <f>AND(#REF!,"AAAAAC2efhw=")</f>
        <v>#REF!</v>
      </c>
      <c r="AD442" t="e">
        <f>AND(#REF!,"AAAAAC2efh0=")</f>
        <v>#REF!</v>
      </c>
      <c r="AE442" t="e">
        <f>AND(#REF!,"AAAAAC2efh4=")</f>
        <v>#REF!</v>
      </c>
      <c r="AF442" t="e">
        <f>AND(#REF!,"AAAAAC2efh8=")</f>
        <v>#REF!</v>
      </c>
      <c r="AG442" t="e">
        <f>AND(#REF!,"AAAAAC2efiA=")</f>
        <v>#REF!</v>
      </c>
      <c r="AH442" t="e">
        <f>AND(#REF!,"AAAAAC2efiE=")</f>
        <v>#REF!</v>
      </c>
      <c r="AI442" t="e">
        <f>AND(#REF!,"AAAAAC2efiI=")</f>
        <v>#REF!</v>
      </c>
      <c r="AJ442" t="e">
        <f>AND(#REF!,"AAAAAC2efiM=")</f>
        <v>#REF!</v>
      </c>
      <c r="AK442" t="e">
        <f>AND(#REF!,"AAAAAC2efiQ=")</f>
        <v>#REF!</v>
      </c>
      <c r="AL442" t="e">
        <f>AND(#REF!,"AAAAAC2efiU=")</f>
        <v>#REF!</v>
      </c>
      <c r="AM442" t="e">
        <f>AND(#REF!,"AAAAAC2efiY=")</f>
        <v>#REF!</v>
      </c>
      <c r="AN442" t="e">
        <f>IF(#REF!,"AAAAAC2efic=",0)</f>
        <v>#REF!</v>
      </c>
      <c r="AO442" t="e">
        <f>AND(#REF!,"AAAAAC2efig=")</f>
        <v>#REF!</v>
      </c>
      <c r="AP442" t="e">
        <f>AND(#REF!,"AAAAAC2efik=")</f>
        <v>#REF!</v>
      </c>
      <c r="AQ442" t="e">
        <f>AND(#REF!,"AAAAAC2efio=")</f>
        <v>#REF!</v>
      </c>
      <c r="AR442" t="e">
        <f>AND(#REF!,"AAAAAC2efis=")</f>
        <v>#REF!</v>
      </c>
      <c r="AS442" t="e">
        <f>AND(#REF!,"AAAAAC2efiw=")</f>
        <v>#REF!</v>
      </c>
      <c r="AT442" t="e">
        <f>AND(#REF!,"AAAAAC2efi0=")</f>
        <v>#REF!</v>
      </c>
      <c r="AU442" t="e">
        <f>AND(#REF!,"AAAAAC2efi4=")</f>
        <v>#REF!</v>
      </c>
      <c r="AV442" t="e">
        <f>AND(#REF!,"AAAAAC2efi8=")</f>
        <v>#REF!</v>
      </c>
      <c r="AW442" t="e">
        <f>AND(#REF!,"AAAAAC2efjA=")</f>
        <v>#REF!</v>
      </c>
      <c r="AX442" t="e">
        <f>AND(#REF!,"AAAAAC2efjE=")</f>
        <v>#REF!</v>
      </c>
      <c r="AY442" t="e">
        <f>AND(#REF!,"AAAAAC2efjI=")</f>
        <v>#REF!</v>
      </c>
      <c r="AZ442" t="e">
        <f>AND(#REF!,"AAAAAC2efjM=")</f>
        <v>#REF!</v>
      </c>
      <c r="BA442" t="e">
        <f>AND(#REF!,"AAAAAC2efjQ=")</f>
        <v>#REF!</v>
      </c>
      <c r="BB442" t="e">
        <f>AND(#REF!,"AAAAAC2efjU=")</f>
        <v>#REF!</v>
      </c>
      <c r="BC442" t="e">
        <f>AND(#REF!,"AAAAAC2efjY=")</f>
        <v>#REF!</v>
      </c>
      <c r="BD442" t="e">
        <f>AND(#REF!,"AAAAAC2efjc=")</f>
        <v>#REF!</v>
      </c>
      <c r="BE442" t="e">
        <f>AND(#REF!,"AAAAAC2efjg=")</f>
        <v>#REF!</v>
      </c>
      <c r="BF442" t="e">
        <f>AND(#REF!,"AAAAAC2efjk=")</f>
        <v>#REF!</v>
      </c>
      <c r="BG442" t="e">
        <f>AND(#REF!,"AAAAAC2efjo=")</f>
        <v>#REF!</v>
      </c>
      <c r="BH442" t="e">
        <f>AND(#REF!,"AAAAAC2efjs=")</f>
        <v>#REF!</v>
      </c>
      <c r="BI442" t="e">
        <f>AND(#REF!,"AAAAAC2efjw=")</f>
        <v>#REF!</v>
      </c>
      <c r="BJ442" t="e">
        <f>AND(#REF!,"AAAAAC2efj0=")</f>
        <v>#REF!</v>
      </c>
      <c r="BK442" t="e">
        <f>AND(#REF!,"AAAAAC2efj4=")</f>
        <v>#REF!</v>
      </c>
      <c r="BL442" t="e">
        <f>AND(#REF!,"AAAAAC2efj8=")</f>
        <v>#REF!</v>
      </c>
      <c r="BM442" t="e">
        <f>IF(#REF!,"AAAAAC2efkA=",0)</f>
        <v>#REF!</v>
      </c>
      <c r="BN442" t="e">
        <f>AND(#REF!,"AAAAAC2efkE=")</f>
        <v>#REF!</v>
      </c>
      <c r="BO442" t="e">
        <f>AND(#REF!,"AAAAAC2efkI=")</f>
        <v>#REF!</v>
      </c>
      <c r="BP442" t="e">
        <f>AND(#REF!,"AAAAAC2efkM=")</f>
        <v>#REF!</v>
      </c>
      <c r="BQ442" t="e">
        <f>AND(#REF!,"AAAAAC2efkQ=")</f>
        <v>#REF!</v>
      </c>
      <c r="BR442" t="e">
        <f>AND(#REF!,"AAAAAC2efkU=")</f>
        <v>#REF!</v>
      </c>
      <c r="BS442" t="e">
        <f>AND(#REF!,"AAAAAC2efkY=")</f>
        <v>#REF!</v>
      </c>
      <c r="BT442" t="e">
        <f>AND(#REF!,"AAAAAC2efkc=")</f>
        <v>#REF!</v>
      </c>
      <c r="BU442" t="e">
        <f>AND(#REF!,"AAAAAC2efkg=")</f>
        <v>#REF!</v>
      </c>
      <c r="BV442" t="e">
        <f>AND(#REF!,"AAAAAC2efkk=")</f>
        <v>#REF!</v>
      </c>
      <c r="BW442" t="e">
        <f>AND(#REF!,"AAAAAC2efko=")</f>
        <v>#REF!</v>
      </c>
      <c r="BX442" t="e">
        <f>AND(#REF!,"AAAAAC2efks=")</f>
        <v>#REF!</v>
      </c>
      <c r="BY442" t="e">
        <f>AND(#REF!,"AAAAAC2efkw=")</f>
        <v>#REF!</v>
      </c>
      <c r="BZ442" t="e">
        <f>AND(#REF!,"AAAAAC2efk0=")</f>
        <v>#REF!</v>
      </c>
      <c r="CA442" t="e">
        <f>AND(#REF!,"AAAAAC2efk4=")</f>
        <v>#REF!</v>
      </c>
      <c r="CB442" t="e">
        <f>AND(#REF!,"AAAAAC2efk8=")</f>
        <v>#REF!</v>
      </c>
      <c r="CC442" t="e">
        <f>AND(#REF!,"AAAAAC2eflA=")</f>
        <v>#REF!</v>
      </c>
      <c r="CD442" t="e">
        <f>AND(#REF!,"AAAAAC2eflE=")</f>
        <v>#REF!</v>
      </c>
      <c r="CE442" t="e">
        <f>AND(#REF!,"AAAAAC2eflI=")</f>
        <v>#REF!</v>
      </c>
      <c r="CF442" t="e">
        <f>AND(#REF!,"AAAAAC2eflM=")</f>
        <v>#REF!</v>
      </c>
      <c r="CG442" t="e">
        <f>AND(#REF!,"AAAAAC2eflQ=")</f>
        <v>#REF!</v>
      </c>
      <c r="CH442" t="e">
        <f>AND(#REF!,"AAAAAC2eflU=")</f>
        <v>#REF!</v>
      </c>
      <c r="CI442" t="e">
        <f>AND(#REF!,"AAAAAC2eflY=")</f>
        <v>#REF!</v>
      </c>
      <c r="CJ442" t="e">
        <f>AND(#REF!,"AAAAAC2eflc=")</f>
        <v>#REF!</v>
      </c>
      <c r="CK442" t="e">
        <f>AND(#REF!,"AAAAAC2eflg=")</f>
        <v>#REF!</v>
      </c>
      <c r="CL442" t="e">
        <f>IF(#REF!,"AAAAAC2eflk=",0)</f>
        <v>#REF!</v>
      </c>
      <c r="CM442" t="e">
        <f>AND(#REF!,"AAAAAC2eflo=")</f>
        <v>#REF!</v>
      </c>
      <c r="CN442" t="e">
        <f>AND(#REF!,"AAAAAC2efls=")</f>
        <v>#REF!</v>
      </c>
      <c r="CO442" t="e">
        <f>AND(#REF!,"AAAAAC2eflw=")</f>
        <v>#REF!</v>
      </c>
      <c r="CP442" t="e">
        <f>AND(#REF!,"AAAAAC2efl0=")</f>
        <v>#REF!</v>
      </c>
      <c r="CQ442" t="e">
        <f>AND(#REF!,"AAAAAC2efl4=")</f>
        <v>#REF!</v>
      </c>
      <c r="CR442" t="e">
        <f>AND(#REF!,"AAAAAC2efl8=")</f>
        <v>#REF!</v>
      </c>
      <c r="CS442" t="e">
        <f>AND(#REF!,"AAAAAC2efmA=")</f>
        <v>#REF!</v>
      </c>
      <c r="CT442" t="e">
        <f>AND(#REF!,"AAAAAC2efmE=")</f>
        <v>#REF!</v>
      </c>
      <c r="CU442" t="e">
        <f>AND(#REF!,"AAAAAC2efmI=")</f>
        <v>#REF!</v>
      </c>
      <c r="CV442" t="e">
        <f>AND(#REF!,"AAAAAC2efmM=")</f>
        <v>#REF!</v>
      </c>
      <c r="CW442" t="e">
        <f>AND(#REF!,"AAAAAC2efmQ=")</f>
        <v>#REF!</v>
      </c>
      <c r="CX442" t="e">
        <f>AND(#REF!,"AAAAAC2efmU=")</f>
        <v>#REF!</v>
      </c>
      <c r="CY442" t="e">
        <f>AND(#REF!,"AAAAAC2efmY=")</f>
        <v>#REF!</v>
      </c>
      <c r="CZ442" t="e">
        <f>AND(#REF!,"AAAAAC2efmc=")</f>
        <v>#REF!</v>
      </c>
      <c r="DA442" t="e">
        <f>AND(#REF!,"AAAAAC2efmg=")</f>
        <v>#REF!</v>
      </c>
      <c r="DB442" t="e">
        <f>AND(#REF!,"AAAAAC2efmk=")</f>
        <v>#REF!</v>
      </c>
      <c r="DC442" t="e">
        <f>AND(#REF!,"AAAAAC2efmo=")</f>
        <v>#REF!</v>
      </c>
      <c r="DD442" t="e">
        <f>AND(#REF!,"AAAAAC2efms=")</f>
        <v>#REF!</v>
      </c>
      <c r="DE442" t="e">
        <f>AND(#REF!,"AAAAAC2efmw=")</f>
        <v>#REF!</v>
      </c>
      <c r="DF442" t="e">
        <f>AND(#REF!,"AAAAAC2efm0=")</f>
        <v>#REF!</v>
      </c>
      <c r="DG442" t="e">
        <f>AND(#REF!,"AAAAAC2efm4=")</f>
        <v>#REF!</v>
      </c>
      <c r="DH442" t="e">
        <f>AND(#REF!,"AAAAAC2efm8=")</f>
        <v>#REF!</v>
      </c>
      <c r="DI442" t="e">
        <f>AND(#REF!,"AAAAAC2efnA=")</f>
        <v>#REF!</v>
      </c>
      <c r="DJ442" t="e">
        <f>AND(#REF!,"AAAAAC2efnE=")</f>
        <v>#REF!</v>
      </c>
      <c r="DK442" t="e">
        <f>IF(#REF!,"AAAAAC2efnI=",0)</f>
        <v>#REF!</v>
      </c>
      <c r="DL442" t="e">
        <f>AND(#REF!,"AAAAAC2efnM=")</f>
        <v>#REF!</v>
      </c>
      <c r="DM442" t="e">
        <f>AND(#REF!,"AAAAAC2efnQ=")</f>
        <v>#REF!</v>
      </c>
      <c r="DN442" t="e">
        <f>AND(#REF!,"AAAAAC2efnU=")</f>
        <v>#REF!</v>
      </c>
      <c r="DO442" t="e">
        <f>AND(#REF!,"AAAAAC2efnY=")</f>
        <v>#REF!</v>
      </c>
      <c r="DP442" t="e">
        <f>AND(#REF!,"AAAAAC2efnc=")</f>
        <v>#REF!</v>
      </c>
      <c r="DQ442" t="e">
        <f>AND(#REF!,"AAAAAC2efng=")</f>
        <v>#REF!</v>
      </c>
      <c r="DR442" t="e">
        <f>AND(#REF!,"AAAAAC2efnk=")</f>
        <v>#REF!</v>
      </c>
      <c r="DS442" t="e">
        <f>AND(#REF!,"AAAAAC2efno=")</f>
        <v>#REF!</v>
      </c>
      <c r="DT442" t="e">
        <f>AND(#REF!,"AAAAAC2efns=")</f>
        <v>#REF!</v>
      </c>
      <c r="DU442" t="e">
        <f>AND(#REF!,"AAAAAC2efnw=")</f>
        <v>#REF!</v>
      </c>
      <c r="DV442" t="e">
        <f>AND(#REF!,"AAAAAC2efn0=")</f>
        <v>#REF!</v>
      </c>
      <c r="DW442" t="e">
        <f>AND(#REF!,"AAAAAC2efn4=")</f>
        <v>#REF!</v>
      </c>
      <c r="DX442" t="e">
        <f>AND(#REF!,"AAAAAC2efn8=")</f>
        <v>#REF!</v>
      </c>
      <c r="DY442" t="e">
        <f>AND(#REF!,"AAAAAC2efoA=")</f>
        <v>#REF!</v>
      </c>
      <c r="DZ442" t="e">
        <f>AND(#REF!,"AAAAAC2efoE=")</f>
        <v>#REF!</v>
      </c>
      <c r="EA442" t="e">
        <f>AND(#REF!,"AAAAAC2efoI=")</f>
        <v>#REF!</v>
      </c>
      <c r="EB442" t="e">
        <f>AND(#REF!,"AAAAAC2efoM=")</f>
        <v>#REF!</v>
      </c>
      <c r="EC442" t="e">
        <f>AND(#REF!,"AAAAAC2efoQ=")</f>
        <v>#REF!</v>
      </c>
      <c r="ED442" t="e">
        <f>AND(#REF!,"AAAAAC2efoU=")</f>
        <v>#REF!</v>
      </c>
      <c r="EE442" t="e">
        <f>AND(#REF!,"AAAAAC2efoY=")</f>
        <v>#REF!</v>
      </c>
      <c r="EF442" t="e">
        <f>AND(#REF!,"AAAAAC2efoc=")</f>
        <v>#REF!</v>
      </c>
      <c r="EG442" t="e">
        <f>AND(#REF!,"AAAAAC2efog=")</f>
        <v>#REF!</v>
      </c>
      <c r="EH442" t="e">
        <f>AND(#REF!,"AAAAAC2efok=")</f>
        <v>#REF!</v>
      </c>
      <c r="EI442" t="e">
        <f>AND(#REF!,"AAAAAC2efoo=")</f>
        <v>#REF!</v>
      </c>
      <c r="EJ442" t="e">
        <f>IF(#REF!,"AAAAAC2efos=",0)</f>
        <v>#REF!</v>
      </c>
      <c r="EK442" t="e">
        <f>AND(#REF!,"AAAAAC2efow=")</f>
        <v>#REF!</v>
      </c>
      <c r="EL442" t="e">
        <f>AND(#REF!,"AAAAAC2efo0=")</f>
        <v>#REF!</v>
      </c>
      <c r="EM442" t="e">
        <f>AND(#REF!,"AAAAAC2efo4=")</f>
        <v>#REF!</v>
      </c>
      <c r="EN442" t="e">
        <f>AND(#REF!,"AAAAAC2efo8=")</f>
        <v>#REF!</v>
      </c>
      <c r="EO442" t="e">
        <f>AND(#REF!,"AAAAAC2efpA=")</f>
        <v>#REF!</v>
      </c>
      <c r="EP442" t="e">
        <f>AND(#REF!,"AAAAAC2efpE=")</f>
        <v>#REF!</v>
      </c>
      <c r="EQ442" t="e">
        <f>AND(#REF!,"AAAAAC2efpI=")</f>
        <v>#REF!</v>
      </c>
      <c r="ER442" t="e">
        <f>AND(#REF!,"AAAAAC2efpM=")</f>
        <v>#REF!</v>
      </c>
      <c r="ES442" t="e">
        <f>AND(#REF!,"AAAAAC2efpQ=")</f>
        <v>#REF!</v>
      </c>
      <c r="ET442" t="e">
        <f>AND(#REF!,"AAAAAC2efpU=")</f>
        <v>#REF!</v>
      </c>
      <c r="EU442" t="e">
        <f>AND(#REF!,"AAAAAC2efpY=")</f>
        <v>#REF!</v>
      </c>
      <c r="EV442" t="e">
        <f>AND(#REF!,"AAAAAC2efpc=")</f>
        <v>#REF!</v>
      </c>
      <c r="EW442" t="e">
        <f>AND(#REF!,"AAAAAC2efpg=")</f>
        <v>#REF!</v>
      </c>
      <c r="EX442" t="e">
        <f>AND(#REF!,"AAAAAC2efpk=")</f>
        <v>#REF!</v>
      </c>
      <c r="EY442" t="e">
        <f>AND(#REF!,"AAAAAC2efpo=")</f>
        <v>#REF!</v>
      </c>
      <c r="EZ442" t="e">
        <f>AND(#REF!,"AAAAAC2efps=")</f>
        <v>#REF!</v>
      </c>
      <c r="FA442" t="e">
        <f>AND(#REF!,"AAAAAC2efpw=")</f>
        <v>#REF!</v>
      </c>
      <c r="FB442" t="e">
        <f>AND(#REF!,"AAAAAC2efp0=")</f>
        <v>#REF!</v>
      </c>
      <c r="FC442" t="e">
        <f>AND(#REF!,"AAAAAC2efp4=")</f>
        <v>#REF!</v>
      </c>
      <c r="FD442" t="e">
        <f>AND(#REF!,"AAAAAC2efp8=")</f>
        <v>#REF!</v>
      </c>
      <c r="FE442" t="e">
        <f>AND(#REF!,"AAAAAC2efqA=")</f>
        <v>#REF!</v>
      </c>
      <c r="FF442" t="e">
        <f>AND(#REF!,"AAAAAC2efqE=")</f>
        <v>#REF!</v>
      </c>
      <c r="FG442" t="e">
        <f>AND(#REF!,"AAAAAC2efqI=")</f>
        <v>#REF!</v>
      </c>
      <c r="FH442" t="e">
        <f>AND(#REF!,"AAAAAC2efqM=")</f>
        <v>#REF!</v>
      </c>
      <c r="FI442" t="e">
        <f>IF(#REF!,"AAAAAC2efqQ=",0)</f>
        <v>#REF!</v>
      </c>
      <c r="FJ442" t="e">
        <f>AND(#REF!,"AAAAAC2efqU=")</f>
        <v>#REF!</v>
      </c>
      <c r="FK442" t="e">
        <f>AND(#REF!,"AAAAAC2efqY=")</f>
        <v>#REF!</v>
      </c>
      <c r="FL442" t="e">
        <f>AND(#REF!,"AAAAAC2efqc=")</f>
        <v>#REF!</v>
      </c>
      <c r="FM442" t="e">
        <f>AND(#REF!,"AAAAAC2efqg=")</f>
        <v>#REF!</v>
      </c>
      <c r="FN442" t="e">
        <f>AND(#REF!,"AAAAAC2efqk=")</f>
        <v>#REF!</v>
      </c>
      <c r="FO442" t="e">
        <f>AND(#REF!,"AAAAAC2efqo=")</f>
        <v>#REF!</v>
      </c>
      <c r="FP442" t="e">
        <f>AND(#REF!,"AAAAAC2efqs=")</f>
        <v>#REF!</v>
      </c>
      <c r="FQ442" t="e">
        <f>AND(#REF!,"AAAAAC2efqw=")</f>
        <v>#REF!</v>
      </c>
      <c r="FR442" t="e">
        <f>AND(#REF!,"AAAAAC2efq0=")</f>
        <v>#REF!</v>
      </c>
      <c r="FS442" t="e">
        <f>AND(#REF!,"AAAAAC2efq4=")</f>
        <v>#REF!</v>
      </c>
      <c r="FT442" t="e">
        <f>AND(#REF!,"AAAAAC2efq8=")</f>
        <v>#REF!</v>
      </c>
      <c r="FU442" t="e">
        <f>AND(#REF!,"AAAAAC2efrA=")</f>
        <v>#REF!</v>
      </c>
      <c r="FV442" t="e">
        <f>AND(#REF!,"AAAAAC2efrE=")</f>
        <v>#REF!</v>
      </c>
      <c r="FW442" t="e">
        <f>AND(#REF!,"AAAAAC2efrI=")</f>
        <v>#REF!</v>
      </c>
      <c r="FX442" t="e">
        <f>AND(#REF!,"AAAAAC2efrM=")</f>
        <v>#REF!</v>
      </c>
      <c r="FY442" t="e">
        <f>AND(#REF!,"AAAAAC2efrQ=")</f>
        <v>#REF!</v>
      </c>
      <c r="FZ442" t="e">
        <f>AND(#REF!,"AAAAAC2efrU=")</f>
        <v>#REF!</v>
      </c>
      <c r="GA442" t="e">
        <f>AND(#REF!,"AAAAAC2efrY=")</f>
        <v>#REF!</v>
      </c>
      <c r="GB442" t="e">
        <f>AND(#REF!,"AAAAAC2efrc=")</f>
        <v>#REF!</v>
      </c>
      <c r="GC442" t="e">
        <f>AND(#REF!,"AAAAAC2efrg=")</f>
        <v>#REF!</v>
      </c>
      <c r="GD442" t="e">
        <f>AND(#REF!,"AAAAAC2efrk=")</f>
        <v>#REF!</v>
      </c>
      <c r="GE442" t="e">
        <f>AND(#REF!,"AAAAAC2efro=")</f>
        <v>#REF!</v>
      </c>
      <c r="GF442" t="e">
        <f>AND(#REF!,"AAAAAC2efrs=")</f>
        <v>#REF!</v>
      </c>
      <c r="GG442" t="e">
        <f>AND(#REF!,"AAAAAC2efrw=")</f>
        <v>#REF!</v>
      </c>
      <c r="GH442" t="e">
        <f>IF(#REF!,"AAAAAC2efr0=",0)</f>
        <v>#REF!</v>
      </c>
      <c r="GI442" t="e">
        <f>AND(#REF!,"AAAAAC2efr4=")</f>
        <v>#REF!</v>
      </c>
      <c r="GJ442" t="e">
        <f>AND(#REF!,"AAAAAC2efr8=")</f>
        <v>#REF!</v>
      </c>
      <c r="GK442" t="e">
        <f>AND(#REF!,"AAAAAC2efsA=")</f>
        <v>#REF!</v>
      </c>
      <c r="GL442" t="e">
        <f>AND(#REF!,"AAAAAC2efsE=")</f>
        <v>#REF!</v>
      </c>
      <c r="GM442" t="e">
        <f>AND(#REF!,"AAAAAC2efsI=")</f>
        <v>#REF!</v>
      </c>
      <c r="GN442" t="e">
        <f>AND(#REF!,"AAAAAC2efsM=")</f>
        <v>#REF!</v>
      </c>
      <c r="GO442" t="e">
        <f>AND(#REF!,"AAAAAC2efsQ=")</f>
        <v>#REF!</v>
      </c>
      <c r="GP442" t="e">
        <f>AND(#REF!,"AAAAAC2efsU=")</f>
        <v>#REF!</v>
      </c>
      <c r="GQ442" t="e">
        <f>AND(#REF!,"AAAAAC2efsY=")</f>
        <v>#REF!</v>
      </c>
      <c r="GR442" t="e">
        <f>AND(#REF!,"AAAAAC2efsc=")</f>
        <v>#REF!</v>
      </c>
      <c r="GS442" t="e">
        <f>AND(#REF!,"AAAAAC2efsg=")</f>
        <v>#REF!</v>
      </c>
      <c r="GT442" t="e">
        <f>AND(#REF!,"AAAAAC2efsk=")</f>
        <v>#REF!</v>
      </c>
      <c r="GU442" t="e">
        <f>AND(#REF!,"AAAAAC2efso=")</f>
        <v>#REF!</v>
      </c>
      <c r="GV442" t="e">
        <f>AND(#REF!,"AAAAAC2efss=")</f>
        <v>#REF!</v>
      </c>
      <c r="GW442" t="e">
        <f>AND(#REF!,"AAAAAC2efsw=")</f>
        <v>#REF!</v>
      </c>
      <c r="GX442" t="e">
        <f>AND(#REF!,"AAAAAC2efs0=")</f>
        <v>#REF!</v>
      </c>
      <c r="GY442" t="e">
        <f>AND(#REF!,"AAAAAC2efs4=")</f>
        <v>#REF!</v>
      </c>
      <c r="GZ442" t="e">
        <f>AND(#REF!,"AAAAAC2efs8=")</f>
        <v>#REF!</v>
      </c>
      <c r="HA442" t="e">
        <f>AND(#REF!,"AAAAAC2eftA=")</f>
        <v>#REF!</v>
      </c>
      <c r="HB442" t="e">
        <f>AND(#REF!,"AAAAAC2eftE=")</f>
        <v>#REF!</v>
      </c>
      <c r="HC442" t="e">
        <f>AND(#REF!,"AAAAAC2eftI=")</f>
        <v>#REF!</v>
      </c>
      <c r="HD442" t="e">
        <f>AND(#REF!,"AAAAAC2eftM=")</f>
        <v>#REF!</v>
      </c>
      <c r="HE442" t="e">
        <f>AND(#REF!,"AAAAAC2eftQ=")</f>
        <v>#REF!</v>
      </c>
      <c r="HF442" t="e">
        <f>AND(#REF!,"AAAAAC2eftU=")</f>
        <v>#REF!</v>
      </c>
      <c r="HG442" t="e">
        <f>IF(#REF!,"AAAAAC2eftY=",0)</f>
        <v>#REF!</v>
      </c>
      <c r="HH442" t="e">
        <f>AND(#REF!,"AAAAAC2eftc=")</f>
        <v>#REF!</v>
      </c>
      <c r="HI442" t="e">
        <f>AND(#REF!,"AAAAAC2eftg=")</f>
        <v>#REF!</v>
      </c>
      <c r="HJ442" t="e">
        <f>AND(#REF!,"AAAAAC2eftk=")</f>
        <v>#REF!</v>
      </c>
      <c r="HK442" t="e">
        <f>AND(#REF!,"AAAAAC2efto=")</f>
        <v>#REF!</v>
      </c>
      <c r="HL442" t="e">
        <f>AND(#REF!,"AAAAAC2efts=")</f>
        <v>#REF!</v>
      </c>
      <c r="HM442" t="e">
        <f>AND(#REF!,"AAAAAC2eftw=")</f>
        <v>#REF!</v>
      </c>
      <c r="HN442" t="e">
        <f>AND(#REF!,"AAAAAC2eft0=")</f>
        <v>#REF!</v>
      </c>
      <c r="HO442" t="e">
        <f>AND(#REF!,"AAAAAC2eft4=")</f>
        <v>#REF!</v>
      </c>
      <c r="HP442" t="e">
        <f>AND(#REF!,"AAAAAC2eft8=")</f>
        <v>#REF!</v>
      </c>
      <c r="HQ442" t="e">
        <f>AND(#REF!,"AAAAAC2efuA=")</f>
        <v>#REF!</v>
      </c>
      <c r="HR442" t="e">
        <f>AND(#REF!,"AAAAAC2efuE=")</f>
        <v>#REF!</v>
      </c>
      <c r="HS442" t="e">
        <f>AND(#REF!,"AAAAAC2efuI=")</f>
        <v>#REF!</v>
      </c>
      <c r="HT442" t="e">
        <f>AND(#REF!,"AAAAAC2efuM=")</f>
        <v>#REF!</v>
      </c>
      <c r="HU442" t="e">
        <f>AND(#REF!,"AAAAAC2efuQ=")</f>
        <v>#REF!</v>
      </c>
      <c r="HV442" t="e">
        <f>AND(#REF!,"AAAAAC2efuU=")</f>
        <v>#REF!</v>
      </c>
      <c r="HW442" t="e">
        <f>AND(#REF!,"AAAAAC2efuY=")</f>
        <v>#REF!</v>
      </c>
      <c r="HX442" t="e">
        <f>AND(#REF!,"AAAAAC2efuc=")</f>
        <v>#REF!</v>
      </c>
      <c r="HY442" t="e">
        <f>AND(#REF!,"AAAAAC2efug=")</f>
        <v>#REF!</v>
      </c>
      <c r="HZ442" t="e">
        <f>AND(#REF!,"AAAAAC2efuk=")</f>
        <v>#REF!</v>
      </c>
      <c r="IA442" t="e">
        <f>AND(#REF!,"AAAAAC2efuo=")</f>
        <v>#REF!</v>
      </c>
      <c r="IB442" t="e">
        <f>AND(#REF!,"AAAAAC2efus=")</f>
        <v>#REF!</v>
      </c>
      <c r="IC442" t="e">
        <f>AND(#REF!,"AAAAAC2efuw=")</f>
        <v>#REF!</v>
      </c>
      <c r="ID442" t="e">
        <f>AND(#REF!,"AAAAAC2efu0=")</f>
        <v>#REF!</v>
      </c>
      <c r="IE442" t="e">
        <f>AND(#REF!,"AAAAAC2efu4=")</f>
        <v>#REF!</v>
      </c>
      <c r="IF442" t="e">
        <f>IF(#REF!,"AAAAAC2efu8=",0)</f>
        <v>#REF!</v>
      </c>
      <c r="IG442" t="e">
        <f>AND(#REF!,"AAAAAC2efvA=")</f>
        <v>#REF!</v>
      </c>
      <c r="IH442" t="e">
        <f>AND(#REF!,"AAAAAC2efvE=")</f>
        <v>#REF!</v>
      </c>
      <c r="II442" t="e">
        <f>AND(#REF!,"AAAAAC2efvI=")</f>
        <v>#REF!</v>
      </c>
      <c r="IJ442" t="e">
        <f>AND(#REF!,"AAAAAC2efvM=")</f>
        <v>#REF!</v>
      </c>
      <c r="IK442" t="e">
        <f>AND(#REF!,"AAAAAC2efvQ=")</f>
        <v>#REF!</v>
      </c>
      <c r="IL442" t="e">
        <f>AND(#REF!,"AAAAAC2efvU=")</f>
        <v>#REF!</v>
      </c>
      <c r="IM442" t="e">
        <f>AND(#REF!,"AAAAAC2efvY=")</f>
        <v>#REF!</v>
      </c>
      <c r="IN442" t="e">
        <f>AND(#REF!,"AAAAAC2efvc=")</f>
        <v>#REF!</v>
      </c>
      <c r="IO442" t="e">
        <f>AND(#REF!,"AAAAAC2efvg=")</f>
        <v>#REF!</v>
      </c>
      <c r="IP442" t="e">
        <f>AND(#REF!,"AAAAAC2efvk=")</f>
        <v>#REF!</v>
      </c>
      <c r="IQ442" t="e">
        <f>AND(#REF!,"AAAAAC2efvo=")</f>
        <v>#REF!</v>
      </c>
      <c r="IR442" t="e">
        <f>AND(#REF!,"AAAAAC2efvs=")</f>
        <v>#REF!</v>
      </c>
      <c r="IS442" t="e">
        <f>AND(#REF!,"AAAAAC2efvw=")</f>
        <v>#REF!</v>
      </c>
      <c r="IT442" t="e">
        <f>AND(#REF!,"AAAAAC2efv0=")</f>
        <v>#REF!</v>
      </c>
      <c r="IU442" t="e">
        <f>AND(#REF!,"AAAAAC2efv4=")</f>
        <v>#REF!</v>
      </c>
      <c r="IV442" t="e">
        <f>AND(#REF!,"AAAAAC2efv8=")</f>
        <v>#REF!</v>
      </c>
    </row>
    <row r="443" spans="1:256">
      <c r="A443" t="e">
        <f>AND(#REF!,"AAAAAHu2/AA=")</f>
        <v>#REF!</v>
      </c>
      <c r="B443" t="e">
        <f>AND(#REF!,"AAAAAHu2/AE=")</f>
        <v>#REF!</v>
      </c>
      <c r="C443" t="e">
        <f>AND(#REF!,"AAAAAHu2/AI=")</f>
        <v>#REF!</v>
      </c>
      <c r="D443" t="e">
        <f>AND(#REF!,"AAAAAHu2/AM=")</f>
        <v>#REF!</v>
      </c>
      <c r="E443" t="e">
        <f>AND(#REF!,"AAAAAHu2/AQ=")</f>
        <v>#REF!</v>
      </c>
      <c r="F443" t="e">
        <f>AND(#REF!,"AAAAAHu2/AU=")</f>
        <v>#REF!</v>
      </c>
      <c r="G443" t="e">
        <f>AND(#REF!,"AAAAAHu2/AY=")</f>
        <v>#REF!</v>
      </c>
      <c r="H443" t="e">
        <f>AND(#REF!,"AAAAAHu2/Ac=")</f>
        <v>#REF!</v>
      </c>
      <c r="I443" t="e">
        <f>IF(#REF!,"AAAAAHu2/Ag=",0)</f>
        <v>#REF!</v>
      </c>
      <c r="J443" t="e">
        <f>AND(#REF!,"AAAAAHu2/Ak=")</f>
        <v>#REF!</v>
      </c>
      <c r="K443" t="e">
        <f>AND(#REF!,"AAAAAHu2/Ao=")</f>
        <v>#REF!</v>
      </c>
      <c r="L443" t="e">
        <f>AND(#REF!,"AAAAAHu2/As=")</f>
        <v>#REF!</v>
      </c>
      <c r="M443" t="e">
        <f>AND(#REF!,"AAAAAHu2/Aw=")</f>
        <v>#REF!</v>
      </c>
      <c r="N443" t="e">
        <f>AND(#REF!,"AAAAAHu2/A0=")</f>
        <v>#REF!</v>
      </c>
      <c r="O443" t="e">
        <f>AND(#REF!,"AAAAAHu2/A4=")</f>
        <v>#REF!</v>
      </c>
      <c r="P443" t="e">
        <f>AND(#REF!,"AAAAAHu2/A8=")</f>
        <v>#REF!</v>
      </c>
      <c r="Q443" t="e">
        <f>AND(#REF!,"AAAAAHu2/BA=")</f>
        <v>#REF!</v>
      </c>
      <c r="R443" t="e">
        <f>AND(#REF!,"AAAAAHu2/BE=")</f>
        <v>#REF!</v>
      </c>
      <c r="S443" t="e">
        <f>AND(#REF!,"AAAAAHu2/BI=")</f>
        <v>#REF!</v>
      </c>
      <c r="T443" t="e">
        <f>AND(#REF!,"AAAAAHu2/BM=")</f>
        <v>#REF!</v>
      </c>
      <c r="U443" t="e">
        <f>AND(#REF!,"AAAAAHu2/BQ=")</f>
        <v>#REF!</v>
      </c>
      <c r="V443" t="e">
        <f>AND(#REF!,"AAAAAHu2/BU=")</f>
        <v>#REF!</v>
      </c>
      <c r="W443" t="e">
        <f>AND(#REF!,"AAAAAHu2/BY=")</f>
        <v>#REF!</v>
      </c>
      <c r="X443" t="e">
        <f>AND(#REF!,"AAAAAHu2/Bc=")</f>
        <v>#REF!</v>
      </c>
      <c r="Y443" t="e">
        <f>AND(#REF!,"AAAAAHu2/Bg=")</f>
        <v>#REF!</v>
      </c>
      <c r="Z443" t="e">
        <f>AND(#REF!,"AAAAAHu2/Bk=")</f>
        <v>#REF!</v>
      </c>
      <c r="AA443" t="e">
        <f>AND(#REF!,"AAAAAHu2/Bo=")</f>
        <v>#REF!</v>
      </c>
      <c r="AB443" t="e">
        <f>AND(#REF!,"AAAAAHu2/Bs=")</f>
        <v>#REF!</v>
      </c>
      <c r="AC443" t="e">
        <f>AND(#REF!,"AAAAAHu2/Bw=")</f>
        <v>#REF!</v>
      </c>
      <c r="AD443" t="e">
        <f>AND(#REF!,"AAAAAHu2/B0=")</f>
        <v>#REF!</v>
      </c>
      <c r="AE443" t="e">
        <f>AND(#REF!,"AAAAAHu2/B4=")</f>
        <v>#REF!</v>
      </c>
      <c r="AF443" t="e">
        <f>AND(#REF!,"AAAAAHu2/B8=")</f>
        <v>#REF!</v>
      </c>
      <c r="AG443" t="e">
        <f>AND(#REF!,"AAAAAHu2/CA=")</f>
        <v>#REF!</v>
      </c>
      <c r="AH443" t="e">
        <f>IF(#REF!,"AAAAAHu2/CE=",0)</f>
        <v>#REF!</v>
      </c>
      <c r="AI443" t="e">
        <f>AND(#REF!,"AAAAAHu2/CI=")</f>
        <v>#REF!</v>
      </c>
      <c r="AJ443" t="e">
        <f>AND(#REF!,"AAAAAHu2/CM=")</f>
        <v>#REF!</v>
      </c>
      <c r="AK443" t="e">
        <f>AND(#REF!,"AAAAAHu2/CQ=")</f>
        <v>#REF!</v>
      </c>
      <c r="AL443" t="e">
        <f>AND(#REF!,"AAAAAHu2/CU=")</f>
        <v>#REF!</v>
      </c>
      <c r="AM443" t="e">
        <f>AND(#REF!,"AAAAAHu2/CY=")</f>
        <v>#REF!</v>
      </c>
      <c r="AN443" t="e">
        <f>AND(#REF!,"AAAAAHu2/Cc=")</f>
        <v>#REF!</v>
      </c>
      <c r="AO443" t="e">
        <f>AND(#REF!,"AAAAAHu2/Cg=")</f>
        <v>#REF!</v>
      </c>
      <c r="AP443" t="e">
        <f>AND(#REF!,"AAAAAHu2/Ck=")</f>
        <v>#REF!</v>
      </c>
      <c r="AQ443" t="e">
        <f>AND(#REF!,"AAAAAHu2/Co=")</f>
        <v>#REF!</v>
      </c>
      <c r="AR443" t="e">
        <f>AND(#REF!,"AAAAAHu2/Cs=")</f>
        <v>#REF!</v>
      </c>
      <c r="AS443" t="e">
        <f>AND(#REF!,"AAAAAHu2/Cw=")</f>
        <v>#REF!</v>
      </c>
      <c r="AT443" t="e">
        <f>AND(#REF!,"AAAAAHu2/C0=")</f>
        <v>#REF!</v>
      </c>
      <c r="AU443" t="e">
        <f>AND(#REF!,"AAAAAHu2/C4=")</f>
        <v>#REF!</v>
      </c>
      <c r="AV443" t="e">
        <f>AND(#REF!,"AAAAAHu2/C8=")</f>
        <v>#REF!</v>
      </c>
      <c r="AW443" t="e">
        <f>AND(#REF!,"AAAAAHu2/DA=")</f>
        <v>#REF!</v>
      </c>
      <c r="AX443" t="e">
        <f>AND(#REF!,"AAAAAHu2/DE=")</f>
        <v>#REF!</v>
      </c>
      <c r="AY443" t="e">
        <f>AND(#REF!,"AAAAAHu2/DI=")</f>
        <v>#REF!</v>
      </c>
      <c r="AZ443" t="e">
        <f>AND(#REF!,"AAAAAHu2/DM=")</f>
        <v>#REF!</v>
      </c>
      <c r="BA443" t="e">
        <f>AND(#REF!,"AAAAAHu2/DQ=")</f>
        <v>#REF!</v>
      </c>
      <c r="BB443" t="e">
        <f>AND(#REF!,"AAAAAHu2/DU=")</f>
        <v>#REF!</v>
      </c>
      <c r="BC443" t="e">
        <f>AND(#REF!,"AAAAAHu2/DY=")</f>
        <v>#REF!</v>
      </c>
      <c r="BD443" t="e">
        <f>AND(#REF!,"AAAAAHu2/Dc=")</f>
        <v>#REF!</v>
      </c>
      <c r="BE443" t="e">
        <f>AND(#REF!,"AAAAAHu2/Dg=")</f>
        <v>#REF!</v>
      </c>
      <c r="BF443" t="e">
        <f>AND(#REF!,"AAAAAHu2/Dk=")</f>
        <v>#REF!</v>
      </c>
      <c r="BG443" t="e">
        <f>IF(#REF!,"AAAAAHu2/Do=",0)</f>
        <v>#REF!</v>
      </c>
      <c r="BH443" t="e">
        <f>AND(#REF!,"AAAAAHu2/Ds=")</f>
        <v>#REF!</v>
      </c>
      <c r="BI443" t="e">
        <f>AND(#REF!,"AAAAAHu2/Dw=")</f>
        <v>#REF!</v>
      </c>
      <c r="BJ443" t="e">
        <f>AND(#REF!,"AAAAAHu2/D0=")</f>
        <v>#REF!</v>
      </c>
      <c r="BK443" t="e">
        <f>AND(#REF!,"AAAAAHu2/D4=")</f>
        <v>#REF!</v>
      </c>
      <c r="BL443" t="e">
        <f>AND(#REF!,"AAAAAHu2/D8=")</f>
        <v>#REF!</v>
      </c>
      <c r="BM443" t="e">
        <f>AND(#REF!,"AAAAAHu2/EA=")</f>
        <v>#REF!</v>
      </c>
      <c r="BN443" t="e">
        <f>AND(#REF!,"AAAAAHu2/EE=")</f>
        <v>#REF!</v>
      </c>
      <c r="BO443" t="e">
        <f>AND(#REF!,"AAAAAHu2/EI=")</f>
        <v>#REF!</v>
      </c>
      <c r="BP443" t="e">
        <f>AND(#REF!,"AAAAAHu2/EM=")</f>
        <v>#REF!</v>
      </c>
      <c r="BQ443" t="e">
        <f>AND(#REF!,"AAAAAHu2/EQ=")</f>
        <v>#REF!</v>
      </c>
      <c r="BR443" t="e">
        <f>AND(#REF!,"AAAAAHu2/EU=")</f>
        <v>#REF!</v>
      </c>
      <c r="BS443" t="e">
        <f>AND(#REF!,"AAAAAHu2/EY=")</f>
        <v>#REF!</v>
      </c>
      <c r="BT443" t="e">
        <f>AND(#REF!,"AAAAAHu2/Ec=")</f>
        <v>#REF!</v>
      </c>
      <c r="BU443" t="e">
        <f>AND(#REF!,"AAAAAHu2/Eg=")</f>
        <v>#REF!</v>
      </c>
      <c r="BV443" t="e">
        <f>AND(#REF!,"AAAAAHu2/Ek=")</f>
        <v>#REF!</v>
      </c>
      <c r="BW443" t="e">
        <f>AND(#REF!,"AAAAAHu2/Eo=")</f>
        <v>#REF!</v>
      </c>
      <c r="BX443" t="e">
        <f>AND(#REF!,"AAAAAHu2/Es=")</f>
        <v>#REF!</v>
      </c>
      <c r="BY443" t="e">
        <f>AND(#REF!,"AAAAAHu2/Ew=")</f>
        <v>#REF!</v>
      </c>
      <c r="BZ443" t="e">
        <f>AND(#REF!,"AAAAAHu2/E0=")</f>
        <v>#REF!</v>
      </c>
      <c r="CA443" t="e">
        <f>AND(#REF!,"AAAAAHu2/E4=")</f>
        <v>#REF!</v>
      </c>
      <c r="CB443" t="e">
        <f>AND(#REF!,"AAAAAHu2/E8=")</f>
        <v>#REF!</v>
      </c>
      <c r="CC443" t="e">
        <f>AND(#REF!,"AAAAAHu2/FA=")</f>
        <v>#REF!</v>
      </c>
      <c r="CD443" t="e">
        <f>AND(#REF!,"AAAAAHu2/FE=")</f>
        <v>#REF!</v>
      </c>
      <c r="CE443" t="e">
        <f>AND(#REF!,"AAAAAHu2/FI=")</f>
        <v>#REF!</v>
      </c>
      <c r="CF443" t="e">
        <f>IF(#REF!,"AAAAAHu2/FM=",0)</f>
        <v>#REF!</v>
      </c>
      <c r="CG443" t="e">
        <f>AND(#REF!,"AAAAAHu2/FQ=")</f>
        <v>#REF!</v>
      </c>
      <c r="CH443" t="e">
        <f>AND(#REF!,"AAAAAHu2/FU=")</f>
        <v>#REF!</v>
      </c>
      <c r="CI443" t="e">
        <f>AND(#REF!,"AAAAAHu2/FY=")</f>
        <v>#REF!</v>
      </c>
      <c r="CJ443" t="e">
        <f>AND(#REF!,"AAAAAHu2/Fc=")</f>
        <v>#REF!</v>
      </c>
      <c r="CK443" t="e">
        <f>AND(#REF!,"AAAAAHu2/Fg=")</f>
        <v>#REF!</v>
      </c>
      <c r="CL443" t="e">
        <f>AND(#REF!,"AAAAAHu2/Fk=")</f>
        <v>#REF!</v>
      </c>
      <c r="CM443" t="e">
        <f>AND(#REF!,"AAAAAHu2/Fo=")</f>
        <v>#REF!</v>
      </c>
      <c r="CN443" t="e">
        <f>AND(#REF!,"AAAAAHu2/Fs=")</f>
        <v>#REF!</v>
      </c>
      <c r="CO443" t="e">
        <f>AND(#REF!,"AAAAAHu2/Fw=")</f>
        <v>#REF!</v>
      </c>
      <c r="CP443" t="e">
        <f>AND(#REF!,"AAAAAHu2/F0=")</f>
        <v>#REF!</v>
      </c>
      <c r="CQ443" t="e">
        <f>AND(#REF!,"AAAAAHu2/F4=")</f>
        <v>#REF!</v>
      </c>
      <c r="CR443" t="e">
        <f>AND(#REF!,"AAAAAHu2/F8=")</f>
        <v>#REF!</v>
      </c>
      <c r="CS443" t="e">
        <f>AND(#REF!,"AAAAAHu2/GA=")</f>
        <v>#REF!</v>
      </c>
      <c r="CT443" t="e">
        <f>AND(#REF!,"AAAAAHu2/GE=")</f>
        <v>#REF!</v>
      </c>
      <c r="CU443" t="e">
        <f>AND(#REF!,"AAAAAHu2/GI=")</f>
        <v>#REF!</v>
      </c>
      <c r="CV443" t="e">
        <f>AND(#REF!,"AAAAAHu2/GM=")</f>
        <v>#REF!</v>
      </c>
      <c r="CW443" t="e">
        <f>AND(#REF!,"AAAAAHu2/GQ=")</f>
        <v>#REF!</v>
      </c>
      <c r="CX443" t="e">
        <f>AND(#REF!,"AAAAAHu2/GU=")</f>
        <v>#REF!</v>
      </c>
      <c r="CY443" t="e">
        <f>AND(#REF!,"AAAAAHu2/GY=")</f>
        <v>#REF!</v>
      </c>
      <c r="CZ443" t="e">
        <f>AND(#REF!,"AAAAAHu2/Gc=")</f>
        <v>#REF!</v>
      </c>
      <c r="DA443" t="e">
        <f>AND(#REF!,"AAAAAHu2/Gg=")</f>
        <v>#REF!</v>
      </c>
      <c r="DB443" t="e">
        <f>AND(#REF!,"AAAAAHu2/Gk=")</f>
        <v>#REF!</v>
      </c>
      <c r="DC443" t="e">
        <f>AND(#REF!,"AAAAAHu2/Go=")</f>
        <v>#REF!</v>
      </c>
      <c r="DD443" t="e">
        <f>AND(#REF!,"AAAAAHu2/Gs=")</f>
        <v>#REF!</v>
      </c>
      <c r="DE443" t="e">
        <f>IF(#REF!,"AAAAAHu2/Gw=",0)</f>
        <v>#REF!</v>
      </c>
      <c r="DF443" t="e">
        <f>AND(#REF!,"AAAAAHu2/G0=")</f>
        <v>#REF!</v>
      </c>
      <c r="DG443" t="e">
        <f>AND(#REF!,"AAAAAHu2/G4=")</f>
        <v>#REF!</v>
      </c>
      <c r="DH443" t="e">
        <f>AND(#REF!,"AAAAAHu2/G8=")</f>
        <v>#REF!</v>
      </c>
      <c r="DI443" t="e">
        <f>AND(#REF!,"AAAAAHu2/HA=")</f>
        <v>#REF!</v>
      </c>
      <c r="DJ443" t="e">
        <f>AND(#REF!,"AAAAAHu2/HE=")</f>
        <v>#REF!</v>
      </c>
      <c r="DK443" t="e">
        <f>AND(#REF!,"AAAAAHu2/HI=")</f>
        <v>#REF!</v>
      </c>
      <c r="DL443" t="e">
        <f>AND(#REF!,"AAAAAHu2/HM=")</f>
        <v>#REF!</v>
      </c>
      <c r="DM443" t="e">
        <f>AND(#REF!,"AAAAAHu2/HQ=")</f>
        <v>#REF!</v>
      </c>
      <c r="DN443" t="e">
        <f>AND(#REF!,"AAAAAHu2/HU=")</f>
        <v>#REF!</v>
      </c>
      <c r="DO443" t="e">
        <f>AND(#REF!,"AAAAAHu2/HY=")</f>
        <v>#REF!</v>
      </c>
      <c r="DP443" t="e">
        <f>AND(#REF!,"AAAAAHu2/Hc=")</f>
        <v>#REF!</v>
      </c>
      <c r="DQ443" t="e">
        <f>AND(#REF!,"AAAAAHu2/Hg=")</f>
        <v>#REF!</v>
      </c>
      <c r="DR443" t="e">
        <f>AND(#REF!,"AAAAAHu2/Hk=")</f>
        <v>#REF!</v>
      </c>
      <c r="DS443" t="e">
        <f>AND(#REF!,"AAAAAHu2/Ho=")</f>
        <v>#REF!</v>
      </c>
      <c r="DT443" t="e">
        <f>AND(#REF!,"AAAAAHu2/Hs=")</f>
        <v>#REF!</v>
      </c>
      <c r="DU443" t="e">
        <f>AND(#REF!,"AAAAAHu2/Hw=")</f>
        <v>#REF!</v>
      </c>
      <c r="DV443" t="e">
        <f>AND(#REF!,"AAAAAHu2/H0=")</f>
        <v>#REF!</v>
      </c>
      <c r="DW443" t="e">
        <f>AND(#REF!,"AAAAAHu2/H4=")</f>
        <v>#REF!</v>
      </c>
      <c r="DX443" t="e">
        <f>AND(#REF!,"AAAAAHu2/H8=")</f>
        <v>#REF!</v>
      </c>
      <c r="DY443" t="e">
        <f>AND(#REF!,"AAAAAHu2/IA=")</f>
        <v>#REF!</v>
      </c>
      <c r="DZ443" t="e">
        <f>AND(#REF!,"AAAAAHu2/IE=")</f>
        <v>#REF!</v>
      </c>
      <c r="EA443" t="e">
        <f>AND(#REF!,"AAAAAHu2/II=")</f>
        <v>#REF!</v>
      </c>
      <c r="EB443" t="e">
        <f>AND(#REF!,"AAAAAHu2/IM=")</f>
        <v>#REF!</v>
      </c>
      <c r="EC443" t="e">
        <f>AND(#REF!,"AAAAAHu2/IQ=")</f>
        <v>#REF!</v>
      </c>
      <c r="ED443" t="e">
        <f>IF(#REF!,"AAAAAHu2/IU=",0)</f>
        <v>#REF!</v>
      </c>
      <c r="EE443" t="e">
        <f>AND(#REF!,"AAAAAHu2/IY=")</f>
        <v>#REF!</v>
      </c>
      <c r="EF443" t="e">
        <f>AND(#REF!,"AAAAAHu2/Ic=")</f>
        <v>#REF!</v>
      </c>
      <c r="EG443" t="e">
        <f>AND(#REF!,"AAAAAHu2/Ig=")</f>
        <v>#REF!</v>
      </c>
      <c r="EH443" t="e">
        <f>AND(#REF!,"AAAAAHu2/Ik=")</f>
        <v>#REF!</v>
      </c>
      <c r="EI443" t="e">
        <f>AND(#REF!,"AAAAAHu2/Io=")</f>
        <v>#REF!</v>
      </c>
      <c r="EJ443" t="e">
        <f>AND(#REF!,"AAAAAHu2/Is=")</f>
        <v>#REF!</v>
      </c>
      <c r="EK443" t="e">
        <f>AND(#REF!,"AAAAAHu2/Iw=")</f>
        <v>#REF!</v>
      </c>
      <c r="EL443" t="e">
        <f>AND(#REF!,"AAAAAHu2/I0=")</f>
        <v>#REF!</v>
      </c>
      <c r="EM443" t="e">
        <f>AND(#REF!,"AAAAAHu2/I4=")</f>
        <v>#REF!</v>
      </c>
      <c r="EN443" t="e">
        <f>AND(#REF!,"AAAAAHu2/I8=")</f>
        <v>#REF!</v>
      </c>
      <c r="EO443" t="e">
        <f>AND(#REF!,"AAAAAHu2/JA=")</f>
        <v>#REF!</v>
      </c>
      <c r="EP443" t="e">
        <f>AND(#REF!,"AAAAAHu2/JE=")</f>
        <v>#REF!</v>
      </c>
      <c r="EQ443" t="e">
        <f>AND(#REF!,"AAAAAHu2/JI=")</f>
        <v>#REF!</v>
      </c>
      <c r="ER443" t="e">
        <f>AND(#REF!,"AAAAAHu2/JM=")</f>
        <v>#REF!</v>
      </c>
      <c r="ES443" t="e">
        <f>AND(#REF!,"AAAAAHu2/JQ=")</f>
        <v>#REF!</v>
      </c>
      <c r="ET443" t="e">
        <f>AND(#REF!,"AAAAAHu2/JU=")</f>
        <v>#REF!</v>
      </c>
      <c r="EU443" t="e">
        <f>AND(#REF!,"AAAAAHu2/JY=")</f>
        <v>#REF!</v>
      </c>
      <c r="EV443" t="e">
        <f>AND(#REF!,"AAAAAHu2/Jc=")</f>
        <v>#REF!</v>
      </c>
      <c r="EW443" t="e">
        <f>AND(#REF!,"AAAAAHu2/Jg=")</f>
        <v>#REF!</v>
      </c>
      <c r="EX443" t="e">
        <f>AND(#REF!,"AAAAAHu2/Jk=")</f>
        <v>#REF!</v>
      </c>
      <c r="EY443" t="e">
        <f>AND(#REF!,"AAAAAHu2/Jo=")</f>
        <v>#REF!</v>
      </c>
      <c r="EZ443" t="e">
        <f>AND(#REF!,"AAAAAHu2/Js=")</f>
        <v>#REF!</v>
      </c>
      <c r="FA443" t="e">
        <f>AND(#REF!,"AAAAAHu2/Jw=")</f>
        <v>#REF!</v>
      </c>
      <c r="FB443" t="e">
        <f>AND(#REF!,"AAAAAHu2/J0=")</f>
        <v>#REF!</v>
      </c>
      <c r="FC443" t="e">
        <f>IF(#REF!,"AAAAAHu2/J4=",0)</f>
        <v>#REF!</v>
      </c>
      <c r="FD443" t="e">
        <f>AND(#REF!,"AAAAAHu2/J8=")</f>
        <v>#REF!</v>
      </c>
      <c r="FE443" t="e">
        <f>AND(#REF!,"AAAAAHu2/KA=")</f>
        <v>#REF!</v>
      </c>
      <c r="FF443" t="e">
        <f>AND(#REF!,"AAAAAHu2/KE=")</f>
        <v>#REF!</v>
      </c>
      <c r="FG443" t="e">
        <f>AND(#REF!,"AAAAAHu2/KI=")</f>
        <v>#REF!</v>
      </c>
      <c r="FH443" t="e">
        <f>AND(#REF!,"AAAAAHu2/KM=")</f>
        <v>#REF!</v>
      </c>
      <c r="FI443" t="e">
        <f>AND(#REF!,"AAAAAHu2/KQ=")</f>
        <v>#REF!</v>
      </c>
      <c r="FJ443" t="e">
        <f>AND(#REF!,"AAAAAHu2/KU=")</f>
        <v>#REF!</v>
      </c>
      <c r="FK443" t="e">
        <f>AND(#REF!,"AAAAAHu2/KY=")</f>
        <v>#REF!</v>
      </c>
      <c r="FL443" t="e">
        <f>AND(#REF!,"AAAAAHu2/Kc=")</f>
        <v>#REF!</v>
      </c>
      <c r="FM443" t="e">
        <f>AND(#REF!,"AAAAAHu2/Kg=")</f>
        <v>#REF!</v>
      </c>
      <c r="FN443" t="e">
        <f>AND(#REF!,"AAAAAHu2/Kk=")</f>
        <v>#REF!</v>
      </c>
      <c r="FO443" t="e">
        <f>AND(#REF!,"AAAAAHu2/Ko=")</f>
        <v>#REF!</v>
      </c>
      <c r="FP443" t="e">
        <f>AND(#REF!,"AAAAAHu2/Ks=")</f>
        <v>#REF!</v>
      </c>
      <c r="FQ443" t="e">
        <f>AND(#REF!,"AAAAAHu2/Kw=")</f>
        <v>#REF!</v>
      </c>
      <c r="FR443" t="e">
        <f>AND(#REF!,"AAAAAHu2/K0=")</f>
        <v>#REF!</v>
      </c>
      <c r="FS443" t="e">
        <f>AND(#REF!,"AAAAAHu2/K4=")</f>
        <v>#REF!</v>
      </c>
      <c r="FT443" t="e">
        <f>AND(#REF!,"AAAAAHu2/K8=")</f>
        <v>#REF!</v>
      </c>
      <c r="FU443" t="e">
        <f>AND(#REF!,"AAAAAHu2/LA=")</f>
        <v>#REF!</v>
      </c>
      <c r="FV443" t="e">
        <f>AND(#REF!,"AAAAAHu2/LE=")</f>
        <v>#REF!</v>
      </c>
      <c r="FW443" t="e">
        <f>AND(#REF!,"AAAAAHu2/LI=")</f>
        <v>#REF!</v>
      </c>
      <c r="FX443" t="e">
        <f>AND(#REF!,"AAAAAHu2/LM=")</f>
        <v>#REF!</v>
      </c>
      <c r="FY443" t="e">
        <f>AND(#REF!,"AAAAAHu2/LQ=")</f>
        <v>#REF!</v>
      </c>
      <c r="FZ443" t="e">
        <f>AND(#REF!,"AAAAAHu2/LU=")</f>
        <v>#REF!</v>
      </c>
      <c r="GA443" t="e">
        <f>AND(#REF!,"AAAAAHu2/LY=")</f>
        <v>#REF!</v>
      </c>
      <c r="GB443" t="e">
        <f>IF(#REF!,"AAAAAHu2/Lc=",0)</f>
        <v>#REF!</v>
      </c>
      <c r="GC443" t="e">
        <f>AND(#REF!,"AAAAAHu2/Lg=")</f>
        <v>#REF!</v>
      </c>
      <c r="GD443" t="e">
        <f>AND(#REF!,"AAAAAHu2/Lk=")</f>
        <v>#REF!</v>
      </c>
      <c r="GE443" t="e">
        <f>AND(#REF!,"AAAAAHu2/Lo=")</f>
        <v>#REF!</v>
      </c>
      <c r="GF443" t="e">
        <f>AND(#REF!,"AAAAAHu2/Ls=")</f>
        <v>#REF!</v>
      </c>
      <c r="GG443" t="e">
        <f>AND(#REF!,"AAAAAHu2/Lw=")</f>
        <v>#REF!</v>
      </c>
      <c r="GH443" t="e">
        <f>AND(#REF!,"AAAAAHu2/L0=")</f>
        <v>#REF!</v>
      </c>
      <c r="GI443" t="e">
        <f>AND(#REF!,"AAAAAHu2/L4=")</f>
        <v>#REF!</v>
      </c>
      <c r="GJ443" t="e">
        <f>AND(#REF!,"AAAAAHu2/L8=")</f>
        <v>#REF!</v>
      </c>
      <c r="GK443" t="e">
        <f>AND(#REF!,"AAAAAHu2/MA=")</f>
        <v>#REF!</v>
      </c>
      <c r="GL443" t="e">
        <f>AND(#REF!,"AAAAAHu2/ME=")</f>
        <v>#REF!</v>
      </c>
      <c r="GM443" t="e">
        <f>AND(#REF!,"AAAAAHu2/MI=")</f>
        <v>#REF!</v>
      </c>
      <c r="GN443" t="e">
        <f>AND(#REF!,"AAAAAHu2/MM=")</f>
        <v>#REF!</v>
      </c>
      <c r="GO443" t="e">
        <f>AND(#REF!,"AAAAAHu2/MQ=")</f>
        <v>#REF!</v>
      </c>
      <c r="GP443" t="e">
        <f>AND(#REF!,"AAAAAHu2/MU=")</f>
        <v>#REF!</v>
      </c>
      <c r="GQ443" t="e">
        <f>AND(#REF!,"AAAAAHu2/MY=")</f>
        <v>#REF!</v>
      </c>
      <c r="GR443" t="e">
        <f>AND(#REF!,"AAAAAHu2/Mc=")</f>
        <v>#REF!</v>
      </c>
      <c r="GS443" t="e">
        <f>AND(#REF!,"AAAAAHu2/Mg=")</f>
        <v>#REF!</v>
      </c>
      <c r="GT443" t="e">
        <f>AND(#REF!,"AAAAAHu2/Mk=")</f>
        <v>#REF!</v>
      </c>
      <c r="GU443" t="e">
        <f>AND(#REF!,"AAAAAHu2/Mo=")</f>
        <v>#REF!</v>
      </c>
      <c r="GV443" t="e">
        <f>AND(#REF!,"AAAAAHu2/Ms=")</f>
        <v>#REF!</v>
      </c>
      <c r="GW443" t="e">
        <f>AND(#REF!,"AAAAAHu2/Mw=")</f>
        <v>#REF!</v>
      </c>
      <c r="GX443" t="e">
        <f>AND(#REF!,"AAAAAHu2/M0=")</f>
        <v>#REF!</v>
      </c>
      <c r="GY443" t="e">
        <f>AND(#REF!,"AAAAAHu2/M4=")</f>
        <v>#REF!</v>
      </c>
      <c r="GZ443" t="e">
        <f>AND(#REF!,"AAAAAHu2/M8=")</f>
        <v>#REF!</v>
      </c>
      <c r="HA443" t="e">
        <f>IF(#REF!,"AAAAAHu2/NA=",0)</f>
        <v>#REF!</v>
      </c>
      <c r="HB443" t="e">
        <f>AND(#REF!,"AAAAAHu2/NE=")</f>
        <v>#REF!</v>
      </c>
      <c r="HC443" t="e">
        <f>AND(#REF!,"AAAAAHu2/NI=")</f>
        <v>#REF!</v>
      </c>
      <c r="HD443" t="e">
        <f>AND(#REF!,"AAAAAHu2/NM=")</f>
        <v>#REF!</v>
      </c>
      <c r="HE443" t="e">
        <f>AND(#REF!,"AAAAAHu2/NQ=")</f>
        <v>#REF!</v>
      </c>
      <c r="HF443" t="e">
        <f>AND(#REF!,"AAAAAHu2/NU=")</f>
        <v>#REF!</v>
      </c>
      <c r="HG443" t="e">
        <f>AND(#REF!,"AAAAAHu2/NY=")</f>
        <v>#REF!</v>
      </c>
      <c r="HH443" t="e">
        <f>AND(#REF!,"AAAAAHu2/Nc=")</f>
        <v>#REF!</v>
      </c>
      <c r="HI443" t="e">
        <f>AND(#REF!,"AAAAAHu2/Ng=")</f>
        <v>#REF!</v>
      </c>
      <c r="HJ443" t="e">
        <f>AND(#REF!,"AAAAAHu2/Nk=")</f>
        <v>#REF!</v>
      </c>
      <c r="HK443" t="e">
        <f>AND(#REF!,"AAAAAHu2/No=")</f>
        <v>#REF!</v>
      </c>
      <c r="HL443" t="e">
        <f>AND(#REF!,"AAAAAHu2/Ns=")</f>
        <v>#REF!</v>
      </c>
      <c r="HM443" t="e">
        <f>AND(#REF!,"AAAAAHu2/Nw=")</f>
        <v>#REF!</v>
      </c>
      <c r="HN443" t="e">
        <f>AND(#REF!,"AAAAAHu2/N0=")</f>
        <v>#REF!</v>
      </c>
      <c r="HO443" t="e">
        <f>AND(#REF!,"AAAAAHu2/N4=")</f>
        <v>#REF!</v>
      </c>
      <c r="HP443" t="e">
        <f>AND(#REF!,"AAAAAHu2/N8=")</f>
        <v>#REF!</v>
      </c>
      <c r="HQ443" t="e">
        <f>AND(#REF!,"AAAAAHu2/OA=")</f>
        <v>#REF!</v>
      </c>
      <c r="HR443" t="e">
        <f>AND(#REF!,"AAAAAHu2/OE=")</f>
        <v>#REF!</v>
      </c>
      <c r="HS443" t="e">
        <f>AND(#REF!,"AAAAAHu2/OI=")</f>
        <v>#REF!</v>
      </c>
      <c r="HT443" t="e">
        <f>AND(#REF!,"AAAAAHu2/OM=")</f>
        <v>#REF!</v>
      </c>
      <c r="HU443" t="e">
        <f>AND(#REF!,"AAAAAHu2/OQ=")</f>
        <v>#REF!</v>
      </c>
      <c r="HV443" t="e">
        <f>AND(#REF!,"AAAAAHu2/OU=")</f>
        <v>#REF!</v>
      </c>
      <c r="HW443" t="e">
        <f>AND(#REF!,"AAAAAHu2/OY=")</f>
        <v>#REF!</v>
      </c>
      <c r="HX443" t="e">
        <f>AND(#REF!,"AAAAAHu2/Oc=")</f>
        <v>#REF!</v>
      </c>
      <c r="HY443" t="e">
        <f>AND(#REF!,"AAAAAHu2/Og=")</f>
        <v>#REF!</v>
      </c>
      <c r="HZ443" t="e">
        <f>IF(#REF!,"AAAAAHu2/Ok=",0)</f>
        <v>#REF!</v>
      </c>
      <c r="IA443" t="e">
        <f>AND(#REF!,"AAAAAHu2/Oo=")</f>
        <v>#REF!</v>
      </c>
      <c r="IB443" t="e">
        <f>AND(#REF!,"AAAAAHu2/Os=")</f>
        <v>#REF!</v>
      </c>
      <c r="IC443" t="e">
        <f>AND(#REF!,"AAAAAHu2/Ow=")</f>
        <v>#REF!</v>
      </c>
      <c r="ID443" t="e">
        <f>AND(#REF!,"AAAAAHu2/O0=")</f>
        <v>#REF!</v>
      </c>
      <c r="IE443" t="e">
        <f>AND(#REF!,"AAAAAHu2/O4=")</f>
        <v>#REF!</v>
      </c>
      <c r="IF443" t="e">
        <f>AND(#REF!,"AAAAAHu2/O8=")</f>
        <v>#REF!</v>
      </c>
      <c r="IG443" t="e">
        <f>AND(#REF!,"AAAAAHu2/PA=")</f>
        <v>#REF!</v>
      </c>
      <c r="IH443" t="e">
        <f>AND(#REF!,"AAAAAHu2/PE=")</f>
        <v>#REF!</v>
      </c>
      <c r="II443" t="e">
        <f>AND(#REF!,"AAAAAHu2/PI=")</f>
        <v>#REF!</v>
      </c>
      <c r="IJ443" t="e">
        <f>AND(#REF!,"AAAAAHu2/PM=")</f>
        <v>#REF!</v>
      </c>
      <c r="IK443" t="e">
        <f>AND(#REF!,"AAAAAHu2/PQ=")</f>
        <v>#REF!</v>
      </c>
      <c r="IL443" t="e">
        <f>AND(#REF!,"AAAAAHu2/PU=")</f>
        <v>#REF!</v>
      </c>
      <c r="IM443" t="e">
        <f>AND(#REF!,"AAAAAHu2/PY=")</f>
        <v>#REF!</v>
      </c>
      <c r="IN443" t="e">
        <f>AND(#REF!,"AAAAAHu2/Pc=")</f>
        <v>#REF!</v>
      </c>
      <c r="IO443" t="e">
        <f>AND(#REF!,"AAAAAHu2/Pg=")</f>
        <v>#REF!</v>
      </c>
      <c r="IP443" t="e">
        <f>AND(#REF!,"AAAAAHu2/Pk=")</f>
        <v>#REF!</v>
      </c>
      <c r="IQ443" t="e">
        <f>AND(#REF!,"AAAAAHu2/Po=")</f>
        <v>#REF!</v>
      </c>
      <c r="IR443" t="e">
        <f>AND(#REF!,"AAAAAHu2/Ps=")</f>
        <v>#REF!</v>
      </c>
      <c r="IS443" t="e">
        <f>AND(#REF!,"AAAAAHu2/Pw=")</f>
        <v>#REF!</v>
      </c>
      <c r="IT443" t="e">
        <f>AND(#REF!,"AAAAAHu2/P0=")</f>
        <v>#REF!</v>
      </c>
      <c r="IU443" t="e">
        <f>AND(#REF!,"AAAAAHu2/P4=")</f>
        <v>#REF!</v>
      </c>
      <c r="IV443" t="e">
        <f>AND(#REF!,"AAAAAHu2/P8=")</f>
        <v>#REF!</v>
      </c>
    </row>
    <row r="444" spans="1:256">
      <c r="A444" t="e">
        <f>AND(#REF!,"AAAAAGP73wA=")</f>
        <v>#REF!</v>
      </c>
      <c r="B444" t="e">
        <f>AND(#REF!,"AAAAAGP73wE=")</f>
        <v>#REF!</v>
      </c>
      <c r="C444" t="e">
        <f>IF(#REF!,"AAAAAGP73wI=",0)</f>
        <v>#REF!</v>
      </c>
      <c r="D444" t="e">
        <f>AND(#REF!,"AAAAAGP73wM=")</f>
        <v>#REF!</v>
      </c>
      <c r="E444" t="e">
        <f>AND(#REF!,"AAAAAGP73wQ=")</f>
        <v>#REF!</v>
      </c>
      <c r="F444" t="e">
        <f>AND(#REF!,"AAAAAGP73wU=")</f>
        <v>#REF!</v>
      </c>
      <c r="G444" t="e">
        <f>AND(#REF!,"AAAAAGP73wY=")</f>
        <v>#REF!</v>
      </c>
      <c r="H444" t="e">
        <f>AND(#REF!,"AAAAAGP73wc=")</f>
        <v>#REF!</v>
      </c>
      <c r="I444" t="e">
        <f>AND(#REF!,"AAAAAGP73wg=")</f>
        <v>#REF!</v>
      </c>
      <c r="J444" t="e">
        <f>AND(#REF!,"AAAAAGP73wk=")</f>
        <v>#REF!</v>
      </c>
      <c r="K444" t="e">
        <f>AND(#REF!,"AAAAAGP73wo=")</f>
        <v>#REF!</v>
      </c>
      <c r="L444" t="e">
        <f>AND(#REF!,"AAAAAGP73ws=")</f>
        <v>#REF!</v>
      </c>
      <c r="M444" t="e">
        <f>AND(#REF!,"AAAAAGP73ww=")</f>
        <v>#REF!</v>
      </c>
      <c r="N444" t="e">
        <f>AND(#REF!,"AAAAAGP73w0=")</f>
        <v>#REF!</v>
      </c>
      <c r="O444" t="e">
        <f>AND(#REF!,"AAAAAGP73w4=")</f>
        <v>#REF!</v>
      </c>
      <c r="P444" t="e">
        <f>AND(#REF!,"AAAAAGP73w8=")</f>
        <v>#REF!</v>
      </c>
      <c r="Q444" t="e">
        <f>AND(#REF!,"AAAAAGP73xA=")</f>
        <v>#REF!</v>
      </c>
      <c r="R444" t="e">
        <f>AND(#REF!,"AAAAAGP73xE=")</f>
        <v>#REF!</v>
      </c>
      <c r="S444" t="e">
        <f>AND(#REF!,"AAAAAGP73xI=")</f>
        <v>#REF!</v>
      </c>
      <c r="T444" t="e">
        <f>AND(#REF!,"AAAAAGP73xM=")</f>
        <v>#REF!</v>
      </c>
      <c r="U444" t="e">
        <f>AND(#REF!,"AAAAAGP73xQ=")</f>
        <v>#REF!</v>
      </c>
      <c r="V444" t="e">
        <f>AND(#REF!,"AAAAAGP73xU=")</f>
        <v>#REF!</v>
      </c>
      <c r="W444" t="e">
        <f>AND(#REF!,"AAAAAGP73xY=")</f>
        <v>#REF!</v>
      </c>
      <c r="X444" t="e">
        <f>AND(#REF!,"AAAAAGP73xc=")</f>
        <v>#REF!</v>
      </c>
      <c r="Y444" t="e">
        <f>AND(#REF!,"AAAAAGP73xg=")</f>
        <v>#REF!</v>
      </c>
      <c r="Z444" t="e">
        <f>AND(#REF!,"AAAAAGP73xk=")</f>
        <v>#REF!</v>
      </c>
      <c r="AA444" t="e">
        <f>AND(#REF!,"AAAAAGP73xo=")</f>
        <v>#REF!</v>
      </c>
      <c r="AB444" t="e">
        <f>IF(#REF!,"AAAAAGP73xs=",0)</f>
        <v>#REF!</v>
      </c>
      <c r="AC444" t="e">
        <f>AND(#REF!,"AAAAAGP73xw=")</f>
        <v>#REF!</v>
      </c>
      <c r="AD444" t="e">
        <f>AND(#REF!,"AAAAAGP73x0=")</f>
        <v>#REF!</v>
      </c>
      <c r="AE444" t="e">
        <f>AND(#REF!,"AAAAAGP73x4=")</f>
        <v>#REF!</v>
      </c>
      <c r="AF444" t="e">
        <f>AND(#REF!,"AAAAAGP73x8=")</f>
        <v>#REF!</v>
      </c>
      <c r="AG444" t="e">
        <f>AND(#REF!,"AAAAAGP73yA=")</f>
        <v>#REF!</v>
      </c>
      <c r="AH444" t="e">
        <f>AND(#REF!,"AAAAAGP73yE=")</f>
        <v>#REF!</v>
      </c>
      <c r="AI444" t="e">
        <f>AND(#REF!,"AAAAAGP73yI=")</f>
        <v>#REF!</v>
      </c>
      <c r="AJ444" t="e">
        <f>AND(#REF!,"AAAAAGP73yM=")</f>
        <v>#REF!</v>
      </c>
      <c r="AK444" t="e">
        <f>AND(#REF!,"AAAAAGP73yQ=")</f>
        <v>#REF!</v>
      </c>
      <c r="AL444" t="e">
        <f>AND(#REF!,"AAAAAGP73yU=")</f>
        <v>#REF!</v>
      </c>
      <c r="AM444" t="e">
        <f>AND(#REF!,"AAAAAGP73yY=")</f>
        <v>#REF!</v>
      </c>
      <c r="AN444" t="e">
        <f>AND(#REF!,"AAAAAGP73yc=")</f>
        <v>#REF!</v>
      </c>
      <c r="AO444" t="e">
        <f>AND(#REF!,"AAAAAGP73yg=")</f>
        <v>#REF!</v>
      </c>
      <c r="AP444" t="e">
        <f>AND(#REF!,"AAAAAGP73yk=")</f>
        <v>#REF!</v>
      </c>
      <c r="AQ444" t="e">
        <f>AND(#REF!,"AAAAAGP73yo=")</f>
        <v>#REF!</v>
      </c>
      <c r="AR444" t="e">
        <f>AND(#REF!,"AAAAAGP73ys=")</f>
        <v>#REF!</v>
      </c>
      <c r="AS444" t="e">
        <f>AND(#REF!,"AAAAAGP73yw=")</f>
        <v>#REF!</v>
      </c>
      <c r="AT444" t="e">
        <f>AND(#REF!,"AAAAAGP73y0=")</f>
        <v>#REF!</v>
      </c>
      <c r="AU444" t="e">
        <f>AND(#REF!,"AAAAAGP73y4=")</f>
        <v>#REF!</v>
      </c>
      <c r="AV444" t="e">
        <f>AND(#REF!,"AAAAAGP73y8=")</f>
        <v>#REF!</v>
      </c>
      <c r="AW444" t="e">
        <f>AND(#REF!,"AAAAAGP73zA=")</f>
        <v>#REF!</v>
      </c>
      <c r="AX444" t="e">
        <f>AND(#REF!,"AAAAAGP73zE=")</f>
        <v>#REF!</v>
      </c>
      <c r="AY444" t="e">
        <f>AND(#REF!,"AAAAAGP73zI=")</f>
        <v>#REF!</v>
      </c>
      <c r="AZ444" t="e">
        <f>AND(#REF!,"AAAAAGP73zM=")</f>
        <v>#REF!</v>
      </c>
      <c r="BA444" t="e">
        <f>IF(#REF!,"AAAAAGP73zQ=",0)</f>
        <v>#REF!</v>
      </c>
      <c r="BB444" t="e">
        <f>AND(#REF!,"AAAAAGP73zU=")</f>
        <v>#REF!</v>
      </c>
      <c r="BC444" t="e">
        <f>AND(#REF!,"AAAAAGP73zY=")</f>
        <v>#REF!</v>
      </c>
      <c r="BD444" t="e">
        <f>AND(#REF!,"AAAAAGP73zc=")</f>
        <v>#REF!</v>
      </c>
      <c r="BE444" t="e">
        <f>AND(#REF!,"AAAAAGP73zg=")</f>
        <v>#REF!</v>
      </c>
      <c r="BF444" t="e">
        <f>AND(#REF!,"AAAAAGP73zk=")</f>
        <v>#REF!</v>
      </c>
      <c r="BG444" t="e">
        <f>AND(#REF!,"AAAAAGP73zo=")</f>
        <v>#REF!</v>
      </c>
      <c r="BH444" t="e">
        <f>AND(#REF!,"AAAAAGP73zs=")</f>
        <v>#REF!</v>
      </c>
      <c r="BI444" t="e">
        <f>AND(#REF!,"AAAAAGP73zw=")</f>
        <v>#REF!</v>
      </c>
      <c r="BJ444" t="e">
        <f>AND(#REF!,"AAAAAGP73z0=")</f>
        <v>#REF!</v>
      </c>
      <c r="BK444" t="e">
        <f>AND(#REF!,"AAAAAGP73z4=")</f>
        <v>#REF!</v>
      </c>
      <c r="BL444" t="e">
        <f>AND(#REF!,"AAAAAGP73z8=")</f>
        <v>#REF!</v>
      </c>
      <c r="BM444" t="e">
        <f>AND(#REF!,"AAAAAGP730A=")</f>
        <v>#REF!</v>
      </c>
      <c r="BN444" t="e">
        <f>AND(#REF!,"AAAAAGP730E=")</f>
        <v>#REF!</v>
      </c>
      <c r="BO444" t="e">
        <f>AND(#REF!,"AAAAAGP730I=")</f>
        <v>#REF!</v>
      </c>
      <c r="BP444" t="e">
        <f>AND(#REF!,"AAAAAGP730M=")</f>
        <v>#REF!</v>
      </c>
      <c r="BQ444" t="e">
        <f>AND(#REF!,"AAAAAGP730Q=")</f>
        <v>#REF!</v>
      </c>
      <c r="BR444" t="e">
        <f>AND(#REF!,"AAAAAGP730U=")</f>
        <v>#REF!</v>
      </c>
      <c r="BS444" t="e">
        <f>AND(#REF!,"AAAAAGP730Y=")</f>
        <v>#REF!</v>
      </c>
      <c r="BT444" t="e">
        <f>AND(#REF!,"AAAAAGP730c=")</f>
        <v>#REF!</v>
      </c>
      <c r="BU444" t="e">
        <f>AND(#REF!,"AAAAAGP730g=")</f>
        <v>#REF!</v>
      </c>
      <c r="BV444" t="e">
        <f>AND(#REF!,"AAAAAGP730k=")</f>
        <v>#REF!</v>
      </c>
      <c r="BW444" t="e">
        <f>AND(#REF!,"AAAAAGP730o=")</f>
        <v>#REF!</v>
      </c>
      <c r="BX444" t="e">
        <f>AND(#REF!,"AAAAAGP730s=")</f>
        <v>#REF!</v>
      </c>
      <c r="BY444" t="e">
        <f>AND(#REF!,"AAAAAGP730w=")</f>
        <v>#REF!</v>
      </c>
      <c r="BZ444" t="e">
        <f>IF(#REF!,"AAAAAGP7300=",0)</f>
        <v>#REF!</v>
      </c>
      <c r="CA444" t="e">
        <f>AND(#REF!,"AAAAAGP7304=")</f>
        <v>#REF!</v>
      </c>
      <c r="CB444" t="e">
        <f>AND(#REF!,"AAAAAGP7308=")</f>
        <v>#REF!</v>
      </c>
      <c r="CC444" t="e">
        <f>AND(#REF!,"AAAAAGP731A=")</f>
        <v>#REF!</v>
      </c>
      <c r="CD444" t="e">
        <f>AND(#REF!,"AAAAAGP731E=")</f>
        <v>#REF!</v>
      </c>
      <c r="CE444" t="e">
        <f>AND(#REF!,"AAAAAGP731I=")</f>
        <v>#REF!</v>
      </c>
      <c r="CF444" t="e">
        <f>AND(#REF!,"AAAAAGP731M=")</f>
        <v>#REF!</v>
      </c>
      <c r="CG444" t="e">
        <f>AND(#REF!,"AAAAAGP731Q=")</f>
        <v>#REF!</v>
      </c>
      <c r="CH444" t="e">
        <f>AND(#REF!,"AAAAAGP731U=")</f>
        <v>#REF!</v>
      </c>
      <c r="CI444" t="e">
        <f>AND(#REF!,"AAAAAGP731Y=")</f>
        <v>#REF!</v>
      </c>
      <c r="CJ444" t="e">
        <f>AND(#REF!,"AAAAAGP731c=")</f>
        <v>#REF!</v>
      </c>
      <c r="CK444" t="e">
        <f>AND(#REF!,"AAAAAGP731g=")</f>
        <v>#REF!</v>
      </c>
      <c r="CL444" t="e">
        <f>AND(#REF!,"AAAAAGP731k=")</f>
        <v>#REF!</v>
      </c>
      <c r="CM444" t="e">
        <f>AND(#REF!,"AAAAAGP731o=")</f>
        <v>#REF!</v>
      </c>
      <c r="CN444" t="e">
        <f>AND(#REF!,"AAAAAGP731s=")</f>
        <v>#REF!</v>
      </c>
      <c r="CO444" t="e">
        <f>AND(#REF!,"AAAAAGP731w=")</f>
        <v>#REF!</v>
      </c>
      <c r="CP444" t="e">
        <f>AND(#REF!,"AAAAAGP7310=")</f>
        <v>#REF!</v>
      </c>
      <c r="CQ444" t="e">
        <f>AND(#REF!,"AAAAAGP7314=")</f>
        <v>#REF!</v>
      </c>
      <c r="CR444" t="e">
        <f>AND(#REF!,"AAAAAGP7318=")</f>
        <v>#REF!</v>
      </c>
      <c r="CS444" t="e">
        <f>AND(#REF!,"AAAAAGP732A=")</f>
        <v>#REF!</v>
      </c>
      <c r="CT444" t="e">
        <f>AND(#REF!,"AAAAAGP732E=")</f>
        <v>#REF!</v>
      </c>
      <c r="CU444" t="e">
        <f>AND(#REF!,"AAAAAGP732I=")</f>
        <v>#REF!</v>
      </c>
      <c r="CV444" t="e">
        <f>AND(#REF!,"AAAAAGP732M=")</f>
        <v>#REF!</v>
      </c>
      <c r="CW444" t="e">
        <f>AND(#REF!,"AAAAAGP732Q=")</f>
        <v>#REF!</v>
      </c>
      <c r="CX444" t="e">
        <f>AND(#REF!,"AAAAAGP732U=")</f>
        <v>#REF!</v>
      </c>
      <c r="CY444" t="e">
        <f>IF(#REF!,"AAAAAGP732Y=",0)</f>
        <v>#REF!</v>
      </c>
      <c r="CZ444" t="e">
        <f>AND(#REF!,"AAAAAGP732c=")</f>
        <v>#REF!</v>
      </c>
      <c r="DA444" t="e">
        <f>AND(#REF!,"AAAAAGP732g=")</f>
        <v>#REF!</v>
      </c>
      <c r="DB444" t="e">
        <f>AND(#REF!,"AAAAAGP732k=")</f>
        <v>#REF!</v>
      </c>
      <c r="DC444" t="e">
        <f>AND(#REF!,"AAAAAGP732o=")</f>
        <v>#REF!</v>
      </c>
      <c r="DD444" t="e">
        <f>AND(#REF!,"AAAAAGP732s=")</f>
        <v>#REF!</v>
      </c>
      <c r="DE444" t="e">
        <f>AND(#REF!,"AAAAAGP732w=")</f>
        <v>#REF!</v>
      </c>
      <c r="DF444" t="e">
        <f>AND(#REF!,"AAAAAGP7320=")</f>
        <v>#REF!</v>
      </c>
      <c r="DG444" t="e">
        <f>AND(#REF!,"AAAAAGP7324=")</f>
        <v>#REF!</v>
      </c>
      <c r="DH444" t="e">
        <f>AND(#REF!,"AAAAAGP7328=")</f>
        <v>#REF!</v>
      </c>
      <c r="DI444" t="e">
        <f>AND(#REF!,"AAAAAGP733A=")</f>
        <v>#REF!</v>
      </c>
      <c r="DJ444" t="e">
        <f>AND(#REF!,"AAAAAGP733E=")</f>
        <v>#REF!</v>
      </c>
      <c r="DK444" t="e">
        <f>AND(#REF!,"AAAAAGP733I=")</f>
        <v>#REF!</v>
      </c>
      <c r="DL444" t="e">
        <f>AND(#REF!,"AAAAAGP733M=")</f>
        <v>#REF!</v>
      </c>
      <c r="DM444" t="e">
        <f>AND(#REF!,"AAAAAGP733Q=")</f>
        <v>#REF!</v>
      </c>
      <c r="DN444" t="e">
        <f>AND(#REF!,"AAAAAGP733U=")</f>
        <v>#REF!</v>
      </c>
      <c r="DO444" t="e">
        <f>AND(#REF!,"AAAAAGP733Y=")</f>
        <v>#REF!</v>
      </c>
      <c r="DP444" t="e">
        <f>AND(#REF!,"AAAAAGP733c=")</f>
        <v>#REF!</v>
      </c>
      <c r="DQ444" t="e">
        <f>AND(#REF!,"AAAAAGP733g=")</f>
        <v>#REF!</v>
      </c>
      <c r="DR444" t="e">
        <f>AND(#REF!,"AAAAAGP733k=")</f>
        <v>#REF!</v>
      </c>
      <c r="DS444" t="e">
        <f>AND(#REF!,"AAAAAGP733o=")</f>
        <v>#REF!</v>
      </c>
      <c r="DT444" t="e">
        <f>AND(#REF!,"AAAAAGP733s=")</f>
        <v>#REF!</v>
      </c>
      <c r="DU444" t="e">
        <f>AND(#REF!,"AAAAAGP733w=")</f>
        <v>#REF!</v>
      </c>
      <c r="DV444" t="e">
        <f>AND(#REF!,"AAAAAGP7330=")</f>
        <v>#REF!</v>
      </c>
      <c r="DW444" t="e">
        <f>AND(#REF!,"AAAAAGP7334=")</f>
        <v>#REF!</v>
      </c>
      <c r="DX444" t="e">
        <f>IF(#REF!,"AAAAAGP7338=",0)</f>
        <v>#REF!</v>
      </c>
      <c r="DY444" t="e">
        <f>AND(#REF!,"AAAAAGP734A=")</f>
        <v>#REF!</v>
      </c>
      <c r="DZ444" t="e">
        <f>AND(#REF!,"AAAAAGP734E=")</f>
        <v>#REF!</v>
      </c>
      <c r="EA444" t="e">
        <f>AND(#REF!,"AAAAAGP734I=")</f>
        <v>#REF!</v>
      </c>
      <c r="EB444" t="e">
        <f>AND(#REF!,"AAAAAGP734M=")</f>
        <v>#REF!</v>
      </c>
      <c r="EC444" t="e">
        <f>AND(#REF!,"AAAAAGP734Q=")</f>
        <v>#REF!</v>
      </c>
      <c r="ED444" t="e">
        <f>AND(#REF!,"AAAAAGP734U=")</f>
        <v>#REF!</v>
      </c>
      <c r="EE444" t="e">
        <f>AND(#REF!,"AAAAAGP734Y=")</f>
        <v>#REF!</v>
      </c>
      <c r="EF444" t="e">
        <f>AND(#REF!,"AAAAAGP734c=")</f>
        <v>#REF!</v>
      </c>
      <c r="EG444" t="e">
        <f>AND(#REF!,"AAAAAGP734g=")</f>
        <v>#REF!</v>
      </c>
      <c r="EH444" t="e">
        <f>AND(#REF!,"AAAAAGP734k=")</f>
        <v>#REF!</v>
      </c>
      <c r="EI444" t="e">
        <f>AND(#REF!,"AAAAAGP734o=")</f>
        <v>#REF!</v>
      </c>
      <c r="EJ444" t="e">
        <f>AND(#REF!,"AAAAAGP734s=")</f>
        <v>#REF!</v>
      </c>
      <c r="EK444" t="e">
        <f>AND(#REF!,"AAAAAGP734w=")</f>
        <v>#REF!</v>
      </c>
      <c r="EL444" t="e">
        <f>AND(#REF!,"AAAAAGP7340=")</f>
        <v>#REF!</v>
      </c>
      <c r="EM444" t="e">
        <f>AND(#REF!,"AAAAAGP7344=")</f>
        <v>#REF!</v>
      </c>
      <c r="EN444" t="e">
        <f>AND(#REF!,"AAAAAGP7348=")</f>
        <v>#REF!</v>
      </c>
      <c r="EO444" t="e">
        <f>AND(#REF!,"AAAAAGP735A=")</f>
        <v>#REF!</v>
      </c>
      <c r="EP444" t="e">
        <f>AND(#REF!,"AAAAAGP735E=")</f>
        <v>#REF!</v>
      </c>
      <c r="EQ444" t="e">
        <f>AND(#REF!,"AAAAAGP735I=")</f>
        <v>#REF!</v>
      </c>
      <c r="ER444" t="e">
        <f>AND(#REF!,"AAAAAGP735M=")</f>
        <v>#REF!</v>
      </c>
      <c r="ES444" t="e">
        <f>AND(#REF!,"AAAAAGP735Q=")</f>
        <v>#REF!</v>
      </c>
      <c r="ET444" t="e">
        <f>AND(#REF!,"AAAAAGP735U=")</f>
        <v>#REF!</v>
      </c>
      <c r="EU444" t="e">
        <f>AND(#REF!,"AAAAAGP735Y=")</f>
        <v>#REF!</v>
      </c>
      <c r="EV444" t="e">
        <f>AND(#REF!,"AAAAAGP735c=")</f>
        <v>#REF!</v>
      </c>
      <c r="EW444" t="e">
        <f>IF(#REF!,"AAAAAGP735g=",0)</f>
        <v>#REF!</v>
      </c>
      <c r="EX444" t="e">
        <f>AND(#REF!,"AAAAAGP735k=")</f>
        <v>#REF!</v>
      </c>
      <c r="EY444" t="e">
        <f>AND(#REF!,"AAAAAGP735o=")</f>
        <v>#REF!</v>
      </c>
      <c r="EZ444" t="e">
        <f>AND(#REF!,"AAAAAGP735s=")</f>
        <v>#REF!</v>
      </c>
      <c r="FA444" t="e">
        <f>AND(#REF!,"AAAAAGP735w=")</f>
        <v>#REF!</v>
      </c>
      <c r="FB444" t="e">
        <f>AND(#REF!,"AAAAAGP7350=")</f>
        <v>#REF!</v>
      </c>
      <c r="FC444" t="e">
        <f>AND(#REF!,"AAAAAGP7354=")</f>
        <v>#REF!</v>
      </c>
      <c r="FD444" t="e">
        <f>AND(#REF!,"AAAAAGP7358=")</f>
        <v>#REF!</v>
      </c>
      <c r="FE444" t="e">
        <f>AND(#REF!,"AAAAAGP736A=")</f>
        <v>#REF!</v>
      </c>
      <c r="FF444" t="e">
        <f>AND(#REF!,"AAAAAGP736E=")</f>
        <v>#REF!</v>
      </c>
      <c r="FG444" t="e">
        <f>AND(#REF!,"AAAAAGP736I=")</f>
        <v>#REF!</v>
      </c>
      <c r="FH444" t="e">
        <f>AND(#REF!,"AAAAAGP736M=")</f>
        <v>#REF!</v>
      </c>
      <c r="FI444" t="e">
        <f>AND(#REF!,"AAAAAGP736Q=")</f>
        <v>#REF!</v>
      </c>
      <c r="FJ444" t="e">
        <f>AND(#REF!,"AAAAAGP736U=")</f>
        <v>#REF!</v>
      </c>
      <c r="FK444" t="e">
        <f>AND(#REF!,"AAAAAGP736Y=")</f>
        <v>#REF!</v>
      </c>
      <c r="FL444" t="e">
        <f>AND(#REF!,"AAAAAGP736c=")</f>
        <v>#REF!</v>
      </c>
      <c r="FM444" t="e">
        <f>AND(#REF!,"AAAAAGP736g=")</f>
        <v>#REF!</v>
      </c>
      <c r="FN444" t="e">
        <f>AND(#REF!,"AAAAAGP736k=")</f>
        <v>#REF!</v>
      </c>
      <c r="FO444" t="e">
        <f>AND(#REF!,"AAAAAGP736o=")</f>
        <v>#REF!</v>
      </c>
      <c r="FP444" t="e">
        <f>AND(#REF!,"AAAAAGP736s=")</f>
        <v>#REF!</v>
      </c>
      <c r="FQ444" t="e">
        <f>AND(#REF!,"AAAAAGP736w=")</f>
        <v>#REF!</v>
      </c>
      <c r="FR444" t="e">
        <f>AND(#REF!,"AAAAAGP7360=")</f>
        <v>#REF!</v>
      </c>
      <c r="FS444" t="e">
        <f>AND(#REF!,"AAAAAGP7364=")</f>
        <v>#REF!</v>
      </c>
      <c r="FT444" t="e">
        <f>AND(#REF!,"AAAAAGP7368=")</f>
        <v>#REF!</v>
      </c>
      <c r="FU444" t="e">
        <f>AND(#REF!,"AAAAAGP737A=")</f>
        <v>#REF!</v>
      </c>
      <c r="FV444" t="e">
        <f>IF(#REF!,"AAAAAGP737E=",0)</f>
        <v>#REF!</v>
      </c>
      <c r="FW444" t="e">
        <f>AND(#REF!,"AAAAAGP737I=")</f>
        <v>#REF!</v>
      </c>
      <c r="FX444" t="e">
        <f>AND(#REF!,"AAAAAGP737M=")</f>
        <v>#REF!</v>
      </c>
      <c r="FY444" t="e">
        <f>AND(#REF!,"AAAAAGP737Q=")</f>
        <v>#REF!</v>
      </c>
      <c r="FZ444" t="e">
        <f>AND(#REF!,"AAAAAGP737U=")</f>
        <v>#REF!</v>
      </c>
      <c r="GA444" t="e">
        <f>AND(#REF!,"AAAAAGP737Y=")</f>
        <v>#REF!</v>
      </c>
      <c r="GB444" t="e">
        <f>AND(#REF!,"AAAAAGP737c=")</f>
        <v>#REF!</v>
      </c>
      <c r="GC444" t="e">
        <f>AND(#REF!,"AAAAAGP737g=")</f>
        <v>#REF!</v>
      </c>
      <c r="GD444" t="e">
        <f>AND(#REF!,"AAAAAGP737k=")</f>
        <v>#REF!</v>
      </c>
      <c r="GE444" t="e">
        <f>AND(#REF!,"AAAAAGP737o=")</f>
        <v>#REF!</v>
      </c>
      <c r="GF444" t="e">
        <f>AND(#REF!,"AAAAAGP737s=")</f>
        <v>#REF!</v>
      </c>
      <c r="GG444" t="e">
        <f>AND(#REF!,"AAAAAGP737w=")</f>
        <v>#REF!</v>
      </c>
      <c r="GH444" t="e">
        <f>AND(#REF!,"AAAAAGP7370=")</f>
        <v>#REF!</v>
      </c>
      <c r="GI444" t="e">
        <f>AND(#REF!,"AAAAAGP7374=")</f>
        <v>#REF!</v>
      </c>
      <c r="GJ444" t="e">
        <f>AND(#REF!,"AAAAAGP7378=")</f>
        <v>#REF!</v>
      </c>
      <c r="GK444" t="e">
        <f>AND(#REF!,"AAAAAGP738A=")</f>
        <v>#REF!</v>
      </c>
      <c r="GL444" t="e">
        <f>AND(#REF!,"AAAAAGP738E=")</f>
        <v>#REF!</v>
      </c>
      <c r="GM444" t="e">
        <f>AND(#REF!,"AAAAAGP738I=")</f>
        <v>#REF!</v>
      </c>
      <c r="GN444" t="e">
        <f>AND(#REF!,"AAAAAGP738M=")</f>
        <v>#REF!</v>
      </c>
      <c r="GO444" t="e">
        <f>AND(#REF!,"AAAAAGP738Q=")</f>
        <v>#REF!</v>
      </c>
      <c r="GP444" t="e">
        <f>AND(#REF!,"AAAAAGP738U=")</f>
        <v>#REF!</v>
      </c>
      <c r="GQ444" t="e">
        <f>AND(#REF!,"AAAAAGP738Y=")</f>
        <v>#REF!</v>
      </c>
      <c r="GR444" t="e">
        <f>AND(#REF!,"AAAAAGP738c=")</f>
        <v>#REF!</v>
      </c>
      <c r="GS444" t="e">
        <f>AND(#REF!,"AAAAAGP738g=")</f>
        <v>#REF!</v>
      </c>
      <c r="GT444" t="e">
        <f>AND(#REF!,"AAAAAGP738k=")</f>
        <v>#REF!</v>
      </c>
      <c r="GU444" t="e">
        <f>IF(#REF!,"AAAAAGP738o=",0)</f>
        <v>#REF!</v>
      </c>
      <c r="GV444" t="e">
        <f>AND(#REF!,"AAAAAGP738s=")</f>
        <v>#REF!</v>
      </c>
      <c r="GW444" t="e">
        <f>AND(#REF!,"AAAAAGP738w=")</f>
        <v>#REF!</v>
      </c>
      <c r="GX444" t="e">
        <f>AND(#REF!,"AAAAAGP7380=")</f>
        <v>#REF!</v>
      </c>
      <c r="GY444" t="e">
        <f>AND(#REF!,"AAAAAGP7384=")</f>
        <v>#REF!</v>
      </c>
      <c r="GZ444" t="e">
        <f>AND(#REF!,"AAAAAGP7388=")</f>
        <v>#REF!</v>
      </c>
      <c r="HA444" t="e">
        <f>AND(#REF!,"AAAAAGP739A=")</f>
        <v>#REF!</v>
      </c>
      <c r="HB444" t="e">
        <f>AND(#REF!,"AAAAAGP739E=")</f>
        <v>#REF!</v>
      </c>
      <c r="HC444" t="e">
        <f>AND(#REF!,"AAAAAGP739I=")</f>
        <v>#REF!</v>
      </c>
      <c r="HD444" t="e">
        <f>AND(#REF!,"AAAAAGP739M=")</f>
        <v>#REF!</v>
      </c>
      <c r="HE444" t="e">
        <f>AND(#REF!,"AAAAAGP739Q=")</f>
        <v>#REF!</v>
      </c>
      <c r="HF444" t="e">
        <f>AND(#REF!,"AAAAAGP739U=")</f>
        <v>#REF!</v>
      </c>
      <c r="HG444" t="e">
        <f>AND(#REF!,"AAAAAGP739Y=")</f>
        <v>#REF!</v>
      </c>
      <c r="HH444" t="e">
        <f>AND(#REF!,"AAAAAGP739c=")</f>
        <v>#REF!</v>
      </c>
      <c r="HI444" t="e">
        <f>AND(#REF!,"AAAAAGP739g=")</f>
        <v>#REF!</v>
      </c>
      <c r="HJ444" t="e">
        <f>AND(#REF!,"AAAAAGP739k=")</f>
        <v>#REF!</v>
      </c>
      <c r="HK444" t="e">
        <f>AND(#REF!,"AAAAAGP739o=")</f>
        <v>#REF!</v>
      </c>
      <c r="HL444" t="e">
        <f>AND(#REF!,"AAAAAGP739s=")</f>
        <v>#REF!</v>
      </c>
      <c r="HM444" t="e">
        <f>AND(#REF!,"AAAAAGP739w=")</f>
        <v>#REF!</v>
      </c>
      <c r="HN444" t="e">
        <f>AND(#REF!,"AAAAAGP7390=")</f>
        <v>#REF!</v>
      </c>
      <c r="HO444" t="e">
        <f>AND(#REF!,"AAAAAGP7394=")</f>
        <v>#REF!</v>
      </c>
      <c r="HP444" t="e">
        <f>AND(#REF!,"AAAAAGP7398=")</f>
        <v>#REF!</v>
      </c>
      <c r="HQ444" t="e">
        <f>AND(#REF!,"AAAAAGP73+A=")</f>
        <v>#REF!</v>
      </c>
      <c r="HR444" t="e">
        <f>AND(#REF!,"AAAAAGP73+E=")</f>
        <v>#REF!</v>
      </c>
      <c r="HS444" t="e">
        <f>AND(#REF!,"AAAAAGP73+I=")</f>
        <v>#REF!</v>
      </c>
      <c r="HT444" t="e">
        <f>IF(#REF!,"AAAAAGP73+M=",0)</f>
        <v>#REF!</v>
      </c>
      <c r="HU444" t="e">
        <f>AND(#REF!,"AAAAAGP73+Q=")</f>
        <v>#REF!</v>
      </c>
      <c r="HV444" t="e">
        <f>AND(#REF!,"AAAAAGP73+U=")</f>
        <v>#REF!</v>
      </c>
      <c r="HW444" t="e">
        <f>AND(#REF!,"AAAAAGP73+Y=")</f>
        <v>#REF!</v>
      </c>
      <c r="HX444" t="e">
        <f>AND(#REF!,"AAAAAGP73+c=")</f>
        <v>#REF!</v>
      </c>
      <c r="HY444" t="e">
        <f>AND(#REF!,"AAAAAGP73+g=")</f>
        <v>#REF!</v>
      </c>
      <c r="HZ444" t="e">
        <f>AND(#REF!,"AAAAAGP73+k=")</f>
        <v>#REF!</v>
      </c>
      <c r="IA444" t="e">
        <f>AND(#REF!,"AAAAAGP73+o=")</f>
        <v>#REF!</v>
      </c>
      <c r="IB444" t="e">
        <f>AND(#REF!,"AAAAAGP73+s=")</f>
        <v>#REF!</v>
      </c>
      <c r="IC444" t="e">
        <f>AND(#REF!,"AAAAAGP73+w=")</f>
        <v>#REF!</v>
      </c>
      <c r="ID444" t="e">
        <f>AND(#REF!,"AAAAAGP73+0=")</f>
        <v>#REF!</v>
      </c>
      <c r="IE444" t="e">
        <f>AND(#REF!,"AAAAAGP73+4=")</f>
        <v>#REF!</v>
      </c>
      <c r="IF444" t="e">
        <f>AND(#REF!,"AAAAAGP73+8=")</f>
        <v>#REF!</v>
      </c>
      <c r="IG444" t="e">
        <f>AND(#REF!,"AAAAAGP73/A=")</f>
        <v>#REF!</v>
      </c>
      <c r="IH444" t="e">
        <f>AND(#REF!,"AAAAAGP73/E=")</f>
        <v>#REF!</v>
      </c>
      <c r="II444" t="e">
        <f>AND(#REF!,"AAAAAGP73/I=")</f>
        <v>#REF!</v>
      </c>
      <c r="IJ444" t="e">
        <f>AND(#REF!,"AAAAAGP73/M=")</f>
        <v>#REF!</v>
      </c>
      <c r="IK444" t="e">
        <f>AND(#REF!,"AAAAAGP73/Q=")</f>
        <v>#REF!</v>
      </c>
      <c r="IL444" t="e">
        <f>AND(#REF!,"AAAAAGP73/U=")</f>
        <v>#REF!</v>
      </c>
      <c r="IM444" t="e">
        <f>AND(#REF!,"AAAAAGP73/Y=")</f>
        <v>#REF!</v>
      </c>
      <c r="IN444" t="e">
        <f>AND(#REF!,"AAAAAGP73/c=")</f>
        <v>#REF!</v>
      </c>
      <c r="IO444" t="e">
        <f>AND(#REF!,"AAAAAGP73/g=")</f>
        <v>#REF!</v>
      </c>
      <c r="IP444" t="e">
        <f>AND(#REF!,"AAAAAGP73/k=")</f>
        <v>#REF!</v>
      </c>
      <c r="IQ444" t="e">
        <f>AND(#REF!,"AAAAAGP73/o=")</f>
        <v>#REF!</v>
      </c>
      <c r="IR444" t="e">
        <f>AND(#REF!,"AAAAAGP73/s=")</f>
        <v>#REF!</v>
      </c>
      <c r="IS444" t="e">
        <f>IF(#REF!,"AAAAAGP73/w=",0)</f>
        <v>#REF!</v>
      </c>
      <c r="IT444" t="e">
        <f>AND(#REF!,"AAAAAGP73/0=")</f>
        <v>#REF!</v>
      </c>
      <c r="IU444" t="e">
        <f>AND(#REF!,"AAAAAGP73/4=")</f>
        <v>#REF!</v>
      </c>
      <c r="IV444" t="e">
        <f>AND(#REF!,"AAAAAGP73/8=")</f>
        <v>#REF!</v>
      </c>
    </row>
    <row r="445" spans="1:256">
      <c r="A445" t="e">
        <f>AND(#REF!,"AAAAADb9eAA=")</f>
        <v>#REF!</v>
      </c>
      <c r="B445" t="e">
        <f>AND(#REF!,"AAAAADb9eAE=")</f>
        <v>#REF!</v>
      </c>
      <c r="C445" t="e">
        <f>AND(#REF!,"AAAAADb9eAI=")</f>
        <v>#REF!</v>
      </c>
      <c r="D445" t="e">
        <f>AND(#REF!,"AAAAADb9eAM=")</f>
        <v>#REF!</v>
      </c>
      <c r="E445" t="e">
        <f>AND(#REF!,"AAAAADb9eAQ=")</f>
        <v>#REF!</v>
      </c>
      <c r="F445" t="e">
        <f>AND(#REF!,"AAAAADb9eAU=")</f>
        <v>#REF!</v>
      </c>
      <c r="G445" t="e">
        <f>AND(#REF!,"AAAAADb9eAY=")</f>
        <v>#REF!</v>
      </c>
      <c r="H445" t="e">
        <f>AND(#REF!,"AAAAADb9eAc=")</f>
        <v>#REF!</v>
      </c>
      <c r="I445" t="e">
        <f>AND(#REF!,"AAAAADb9eAg=")</f>
        <v>#REF!</v>
      </c>
      <c r="J445" t="e">
        <f>AND(#REF!,"AAAAADb9eAk=")</f>
        <v>#REF!</v>
      </c>
      <c r="K445" t="e">
        <f>AND(#REF!,"AAAAADb9eAo=")</f>
        <v>#REF!</v>
      </c>
      <c r="L445" t="e">
        <f>AND(#REF!,"AAAAADb9eAs=")</f>
        <v>#REF!</v>
      </c>
      <c r="M445" t="e">
        <f>AND(#REF!,"AAAAADb9eAw=")</f>
        <v>#REF!</v>
      </c>
      <c r="N445" t="e">
        <f>AND(#REF!,"AAAAADb9eA0=")</f>
        <v>#REF!</v>
      </c>
      <c r="O445" t="e">
        <f>AND(#REF!,"AAAAADb9eA4=")</f>
        <v>#REF!</v>
      </c>
      <c r="P445" t="e">
        <f>AND(#REF!,"AAAAADb9eA8=")</f>
        <v>#REF!</v>
      </c>
      <c r="Q445" t="e">
        <f>AND(#REF!,"AAAAADb9eBA=")</f>
        <v>#REF!</v>
      </c>
      <c r="R445" t="e">
        <f>AND(#REF!,"AAAAADb9eBE=")</f>
        <v>#REF!</v>
      </c>
      <c r="S445" t="e">
        <f>AND(#REF!,"AAAAADb9eBI=")</f>
        <v>#REF!</v>
      </c>
      <c r="T445" t="e">
        <f>AND(#REF!,"AAAAADb9eBM=")</f>
        <v>#REF!</v>
      </c>
      <c r="U445" t="e">
        <f>AND(#REF!,"AAAAADb9eBQ=")</f>
        <v>#REF!</v>
      </c>
      <c r="V445" t="e">
        <f>IF(#REF!,"AAAAADb9eBU=",0)</f>
        <v>#REF!</v>
      </c>
      <c r="W445" t="e">
        <f>AND(#REF!,"AAAAADb9eBY=")</f>
        <v>#REF!</v>
      </c>
      <c r="X445" t="e">
        <f>AND(#REF!,"AAAAADb9eBc=")</f>
        <v>#REF!</v>
      </c>
      <c r="Y445" t="e">
        <f>AND(#REF!,"AAAAADb9eBg=")</f>
        <v>#REF!</v>
      </c>
      <c r="Z445" t="e">
        <f>AND(#REF!,"AAAAADb9eBk=")</f>
        <v>#REF!</v>
      </c>
      <c r="AA445" t="e">
        <f>AND(#REF!,"AAAAADb9eBo=")</f>
        <v>#REF!</v>
      </c>
      <c r="AB445" t="e">
        <f>AND(#REF!,"AAAAADb9eBs=")</f>
        <v>#REF!</v>
      </c>
      <c r="AC445" t="e">
        <f>AND(#REF!,"AAAAADb9eBw=")</f>
        <v>#REF!</v>
      </c>
      <c r="AD445" t="e">
        <f>AND(#REF!,"AAAAADb9eB0=")</f>
        <v>#REF!</v>
      </c>
      <c r="AE445" t="e">
        <f>AND(#REF!,"AAAAADb9eB4=")</f>
        <v>#REF!</v>
      </c>
      <c r="AF445" t="e">
        <f>AND(#REF!,"AAAAADb9eB8=")</f>
        <v>#REF!</v>
      </c>
      <c r="AG445" t="e">
        <f>AND(#REF!,"AAAAADb9eCA=")</f>
        <v>#REF!</v>
      </c>
      <c r="AH445" t="e">
        <f>AND(#REF!,"AAAAADb9eCE=")</f>
        <v>#REF!</v>
      </c>
      <c r="AI445" t="e">
        <f>AND(#REF!,"AAAAADb9eCI=")</f>
        <v>#REF!</v>
      </c>
      <c r="AJ445" t="e">
        <f>AND(#REF!,"AAAAADb9eCM=")</f>
        <v>#REF!</v>
      </c>
      <c r="AK445" t="e">
        <f>AND(#REF!,"AAAAADb9eCQ=")</f>
        <v>#REF!</v>
      </c>
      <c r="AL445" t="e">
        <f>AND(#REF!,"AAAAADb9eCU=")</f>
        <v>#REF!</v>
      </c>
      <c r="AM445" t="e">
        <f>AND(#REF!,"AAAAADb9eCY=")</f>
        <v>#REF!</v>
      </c>
      <c r="AN445" t="e">
        <f>AND(#REF!,"AAAAADb9eCc=")</f>
        <v>#REF!</v>
      </c>
      <c r="AO445" t="e">
        <f>AND(#REF!,"AAAAADb9eCg=")</f>
        <v>#REF!</v>
      </c>
      <c r="AP445" t="e">
        <f>AND(#REF!,"AAAAADb9eCk=")</f>
        <v>#REF!</v>
      </c>
      <c r="AQ445" t="e">
        <f>AND(#REF!,"AAAAADb9eCo=")</f>
        <v>#REF!</v>
      </c>
      <c r="AR445" t="e">
        <f>AND(#REF!,"AAAAADb9eCs=")</f>
        <v>#REF!</v>
      </c>
      <c r="AS445" t="e">
        <f>AND(#REF!,"AAAAADb9eCw=")</f>
        <v>#REF!</v>
      </c>
      <c r="AT445" t="e">
        <f>AND(#REF!,"AAAAADb9eC0=")</f>
        <v>#REF!</v>
      </c>
      <c r="AU445" t="e">
        <f>IF(#REF!,"AAAAADb9eC4=",0)</f>
        <v>#REF!</v>
      </c>
      <c r="AV445" t="e">
        <f>AND(#REF!,"AAAAADb9eC8=")</f>
        <v>#REF!</v>
      </c>
      <c r="AW445" t="e">
        <f>AND(#REF!,"AAAAADb9eDA=")</f>
        <v>#REF!</v>
      </c>
      <c r="AX445" t="e">
        <f>AND(#REF!,"AAAAADb9eDE=")</f>
        <v>#REF!</v>
      </c>
      <c r="AY445" t="e">
        <f>AND(#REF!,"AAAAADb9eDI=")</f>
        <v>#REF!</v>
      </c>
      <c r="AZ445" t="e">
        <f>AND(#REF!,"AAAAADb9eDM=")</f>
        <v>#REF!</v>
      </c>
      <c r="BA445" t="e">
        <f>AND(#REF!,"AAAAADb9eDQ=")</f>
        <v>#REF!</v>
      </c>
      <c r="BB445" t="e">
        <f>AND(#REF!,"AAAAADb9eDU=")</f>
        <v>#REF!</v>
      </c>
      <c r="BC445" t="e">
        <f>AND(#REF!,"AAAAADb9eDY=")</f>
        <v>#REF!</v>
      </c>
      <c r="BD445" t="e">
        <f>AND(#REF!,"AAAAADb9eDc=")</f>
        <v>#REF!</v>
      </c>
      <c r="BE445" t="e">
        <f>AND(#REF!,"AAAAADb9eDg=")</f>
        <v>#REF!</v>
      </c>
      <c r="BF445" t="e">
        <f>AND(#REF!,"AAAAADb9eDk=")</f>
        <v>#REF!</v>
      </c>
      <c r="BG445" t="e">
        <f>AND(#REF!,"AAAAADb9eDo=")</f>
        <v>#REF!</v>
      </c>
      <c r="BH445" t="e">
        <f>AND(#REF!,"AAAAADb9eDs=")</f>
        <v>#REF!</v>
      </c>
      <c r="BI445" t="e">
        <f>AND(#REF!,"AAAAADb9eDw=")</f>
        <v>#REF!</v>
      </c>
      <c r="BJ445" t="e">
        <f>AND(#REF!,"AAAAADb9eD0=")</f>
        <v>#REF!</v>
      </c>
      <c r="BK445" t="e">
        <f>AND(#REF!,"AAAAADb9eD4=")</f>
        <v>#REF!</v>
      </c>
      <c r="BL445" t="e">
        <f>AND(#REF!,"AAAAADb9eD8=")</f>
        <v>#REF!</v>
      </c>
      <c r="BM445" t="e">
        <f>AND(#REF!,"AAAAADb9eEA=")</f>
        <v>#REF!</v>
      </c>
      <c r="BN445" t="e">
        <f>AND(#REF!,"AAAAADb9eEE=")</f>
        <v>#REF!</v>
      </c>
      <c r="BO445" t="e">
        <f>AND(#REF!,"AAAAADb9eEI=")</f>
        <v>#REF!</v>
      </c>
      <c r="BP445" t="e">
        <f>AND(#REF!,"AAAAADb9eEM=")</f>
        <v>#REF!</v>
      </c>
      <c r="BQ445" t="e">
        <f>AND(#REF!,"AAAAADb9eEQ=")</f>
        <v>#REF!</v>
      </c>
      <c r="BR445" t="e">
        <f>AND(#REF!,"AAAAADb9eEU=")</f>
        <v>#REF!</v>
      </c>
      <c r="BS445" t="e">
        <f>AND(#REF!,"AAAAADb9eEY=")</f>
        <v>#REF!</v>
      </c>
      <c r="BT445" t="e">
        <f>IF(#REF!,"AAAAADb9eEc=",0)</f>
        <v>#REF!</v>
      </c>
      <c r="BU445" t="e">
        <f>AND(#REF!,"AAAAADb9eEg=")</f>
        <v>#REF!</v>
      </c>
      <c r="BV445" t="e">
        <f>AND(#REF!,"AAAAADb9eEk=")</f>
        <v>#REF!</v>
      </c>
      <c r="BW445" t="e">
        <f>AND(#REF!,"AAAAADb9eEo=")</f>
        <v>#REF!</v>
      </c>
      <c r="BX445" t="e">
        <f>AND(#REF!,"AAAAADb9eEs=")</f>
        <v>#REF!</v>
      </c>
      <c r="BY445" t="e">
        <f>AND(#REF!,"AAAAADb9eEw=")</f>
        <v>#REF!</v>
      </c>
      <c r="BZ445" t="e">
        <f>AND(#REF!,"AAAAADb9eE0=")</f>
        <v>#REF!</v>
      </c>
      <c r="CA445" t="e">
        <f>AND(#REF!,"AAAAADb9eE4=")</f>
        <v>#REF!</v>
      </c>
      <c r="CB445" t="e">
        <f>AND(#REF!,"AAAAADb9eE8=")</f>
        <v>#REF!</v>
      </c>
      <c r="CC445" t="e">
        <f>AND(#REF!,"AAAAADb9eFA=")</f>
        <v>#REF!</v>
      </c>
      <c r="CD445" t="e">
        <f>AND(#REF!,"AAAAADb9eFE=")</f>
        <v>#REF!</v>
      </c>
      <c r="CE445" t="e">
        <f>AND(#REF!,"AAAAADb9eFI=")</f>
        <v>#REF!</v>
      </c>
      <c r="CF445" t="e">
        <f>AND(#REF!,"AAAAADb9eFM=")</f>
        <v>#REF!</v>
      </c>
      <c r="CG445" t="e">
        <f>AND(#REF!,"AAAAADb9eFQ=")</f>
        <v>#REF!</v>
      </c>
      <c r="CH445" t="e">
        <f>AND(#REF!,"AAAAADb9eFU=")</f>
        <v>#REF!</v>
      </c>
      <c r="CI445" t="e">
        <f>AND(#REF!,"AAAAADb9eFY=")</f>
        <v>#REF!</v>
      </c>
      <c r="CJ445" t="e">
        <f>AND(#REF!,"AAAAADb9eFc=")</f>
        <v>#REF!</v>
      </c>
      <c r="CK445" t="e">
        <f>AND(#REF!,"AAAAADb9eFg=")</f>
        <v>#REF!</v>
      </c>
      <c r="CL445" t="e">
        <f>AND(#REF!,"AAAAADb9eFk=")</f>
        <v>#REF!</v>
      </c>
      <c r="CM445" t="e">
        <f>AND(#REF!,"AAAAADb9eFo=")</f>
        <v>#REF!</v>
      </c>
      <c r="CN445" t="e">
        <f>AND(#REF!,"AAAAADb9eFs=")</f>
        <v>#REF!</v>
      </c>
      <c r="CO445" t="e">
        <f>AND(#REF!,"AAAAADb9eFw=")</f>
        <v>#REF!</v>
      </c>
      <c r="CP445" t="e">
        <f>AND(#REF!,"AAAAADb9eF0=")</f>
        <v>#REF!</v>
      </c>
      <c r="CQ445" t="e">
        <f>AND(#REF!,"AAAAADb9eF4=")</f>
        <v>#REF!</v>
      </c>
      <c r="CR445" t="e">
        <f>AND(#REF!,"AAAAADb9eF8=")</f>
        <v>#REF!</v>
      </c>
      <c r="CS445" t="e">
        <f>IF(#REF!,"AAAAADb9eGA=",0)</f>
        <v>#REF!</v>
      </c>
      <c r="CT445" t="e">
        <f>AND(#REF!,"AAAAADb9eGE=")</f>
        <v>#REF!</v>
      </c>
      <c r="CU445" t="e">
        <f>AND(#REF!,"AAAAADb9eGI=")</f>
        <v>#REF!</v>
      </c>
      <c r="CV445" t="e">
        <f>AND(#REF!,"AAAAADb9eGM=")</f>
        <v>#REF!</v>
      </c>
      <c r="CW445" t="e">
        <f>AND(#REF!,"AAAAADb9eGQ=")</f>
        <v>#REF!</v>
      </c>
      <c r="CX445" t="e">
        <f>AND(#REF!,"AAAAADb9eGU=")</f>
        <v>#REF!</v>
      </c>
      <c r="CY445" t="e">
        <f>AND(#REF!,"AAAAADb9eGY=")</f>
        <v>#REF!</v>
      </c>
      <c r="CZ445" t="e">
        <f>AND(#REF!,"AAAAADb9eGc=")</f>
        <v>#REF!</v>
      </c>
      <c r="DA445" t="e">
        <f>AND(#REF!,"AAAAADb9eGg=")</f>
        <v>#REF!</v>
      </c>
      <c r="DB445" t="e">
        <f>AND(#REF!,"AAAAADb9eGk=")</f>
        <v>#REF!</v>
      </c>
      <c r="DC445" t="e">
        <f>AND(#REF!,"AAAAADb9eGo=")</f>
        <v>#REF!</v>
      </c>
      <c r="DD445" t="e">
        <f>AND(#REF!,"AAAAADb9eGs=")</f>
        <v>#REF!</v>
      </c>
      <c r="DE445" t="e">
        <f>AND(#REF!,"AAAAADb9eGw=")</f>
        <v>#REF!</v>
      </c>
      <c r="DF445" t="e">
        <f>AND(#REF!,"AAAAADb9eG0=")</f>
        <v>#REF!</v>
      </c>
      <c r="DG445" t="e">
        <f>AND(#REF!,"AAAAADb9eG4=")</f>
        <v>#REF!</v>
      </c>
      <c r="DH445" t="e">
        <f>AND(#REF!,"AAAAADb9eG8=")</f>
        <v>#REF!</v>
      </c>
      <c r="DI445" t="e">
        <f>AND(#REF!,"AAAAADb9eHA=")</f>
        <v>#REF!</v>
      </c>
      <c r="DJ445" t="e">
        <f>AND(#REF!,"AAAAADb9eHE=")</f>
        <v>#REF!</v>
      </c>
      <c r="DK445" t="e">
        <f>AND(#REF!,"AAAAADb9eHI=")</f>
        <v>#REF!</v>
      </c>
      <c r="DL445" t="e">
        <f>AND(#REF!,"AAAAADb9eHM=")</f>
        <v>#REF!</v>
      </c>
      <c r="DM445" t="e">
        <f>AND(#REF!,"AAAAADb9eHQ=")</f>
        <v>#REF!</v>
      </c>
      <c r="DN445" t="e">
        <f>AND(#REF!,"AAAAADb9eHU=")</f>
        <v>#REF!</v>
      </c>
      <c r="DO445" t="e">
        <f>AND(#REF!,"AAAAADb9eHY=")</f>
        <v>#REF!</v>
      </c>
      <c r="DP445" t="e">
        <f>AND(#REF!,"AAAAADb9eHc=")</f>
        <v>#REF!</v>
      </c>
      <c r="DQ445" t="e">
        <f>AND(#REF!,"AAAAADb9eHg=")</f>
        <v>#REF!</v>
      </c>
      <c r="DR445" t="e">
        <f>IF(#REF!,"AAAAADb9eHk=",0)</f>
        <v>#REF!</v>
      </c>
      <c r="DS445" t="e">
        <f>AND(#REF!,"AAAAADb9eHo=")</f>
        <v>#REF!</v>
      </c>
      <c r="DT445" t="e">
        <f>AND(#REF!,"AAAAADb9eHs=")</f>
        <v>#REF!</v>
      </c>
      <c r="DU445" t="e">
        <f>AND(#REF!,"AAAAADb9eHw=")</f>
        <v>#REF!</v>
      </c>
      <c r="DV445" t="e">
        <f>AND(#REF!,"AAAAADb9eH0=")</f>
        <v>#REF!</v>
      </c>
      <c r="DW445" t="e">
        <f>AND(#REF!,"AAAAADb9eH4=")</f>
        <v>#REF!</v>
      </c>
      <c r="DX445" t="e">
        <f>AND(#REF!,"AAAAADb9eH8=")</f>
        <v>#REF!</v>
      </c>
      <c r="DY445" t="e">
        <f>AND(#REF!,"AAAAADb9eIA=")</f>
        <v>#REF!</v>
      </c>
      <c r="DZ445" t="e">
        <f>AND(#REF!,"AAAAADb9eIE=")</f>
        <v>#REF!</v>
      </c>
      <c r="EA445" t="e">
        <f>AND(#REF!,"AAAAADb9eII=")</f>
        <v>#REF!</v>
      </c>
      <c r="EB445" t="e">
        <f>AND(#REF!,"AAAAADb9eIM=")</f>
        <v>#REF!</v>
      </c>
      <c r="EC445" t="e">
        <f>AND(#REF!,"AAAAADb9eIQ=")</f>
        <v>#REF!</v>
      </c>
      <c r="ED445" t="e">
        <f>AND(#REF!,"AAAAADb9eIU=")</f>
        <v>#REF!</v>
      </c>
      <c r="EE445" t="e">
        <f>AND(#REF!,"AAAAADb9eIY=")</f>
        <v>#REF!</v>
      </c>
      <c r="EF445" t="e">
        <f>AND(#REF!,"AAAAADb9eIc=")</f>
        <v>#REF!</v>
      </c>
      <c r="EG445" t="e">
        <f>AND(#REF!,"AAAAADb9eIg=")</f>
        <v>#REF!</v>
      </c>
      <c r="EH445" t="e">
        <f>AND(#REF!,"AAAAADb9eIk=")</f>
        <v>#REF!</v>
      </c>
      <c r="EI445" t="e">
        <f>AND(#REF!,"AAAAADb9eIo=")</f>
        <v>#REF!</v>
      </c>
      <c r="EJ445" t="e">
        <f>AND(#REF!,"AAAAADb9eIs=")</f>
        <v>#REF!</v>
      </c>
      <c r="EK445" t="e">
        <f>AND(#REF!,"AAAAADb9eIw=")</f>
        <v>#REF!</v>
      </c>
      <c r="EL445" t="e">
        <f>AND(#REF!,"AAAAADb9eI0=")</f>
        <v>#REF!</v>
      </c>
      <c r="EM445" t="e">
        <f>AND(#REF!,"AAAAADb9eI4=")</f>
        <v>#REF!</v>
      </c>
      <c r="EN445" t="e">
        <f>AND(#REF!,"AAAAADb9eI8=")</f>
        <v>#REF!</v>
      </c>
      <c r="EO445" t="e">
        <f>AND(#REF!,"AAAAADb9eJA=")</f>
        <v>#REF!</v>
      </c>
      <c r="EP445" t="e">
        <f>AND(#REF!,"AAAAADb9eJE=")</f>
        <v>#REF!</v>
      </c>
      <c r="EQ445" t="e">
        <f>IF(#REF!,"AAAAADb9eJI=",0)</f>
        <v>#REF!</v>
      </c>
      <c r="ER445" t="e">
        <f>AND(#REF!,"AAAAADb9eJM=")</f>
        <v>#REF!</v>
      </c>
      <c r="ES445" t="e">
        <f>AND(#REF!,"AAAAADb9eJQ=")</f>
        <v>#REF!</v>
      </c>
      <c r="ET445" t="e">
        <f>AND(#REF!,"AAAAADb9eJU=")</f>
        <v>#REF!</v>
      </c>
      <c r="EU445" t="e">
        <f>AND(#REF!,"AAAAADb9eJY=")</f>
        <v>#REF!</v>
      </c>
      <c r="EV445" t="e">
        <f>AND(#REF!,"AAAAADb9eJc=")</f>
        <v>#REF!</v>
      </c>
      <c r="EW445" t="e">
        <f>AND(#REF!,"AAAAADb9eJg=")</f>
        <v>#REF!</v>
      </c>
      <c r="EX445" t="e">
        <f>AND(#REF!,"AAAAADb9eJk=")</f>
        <v>#REF!</v>
      </c>
      <c r="EY445" t="e">
        <f>AND(#REF!,"AAAAADb9eJo=")</f>
        <v>#REF!</v>
      </c>
      <c r="EZ445" t="e">
        <f>AND(#REF!,"AAAAADb9eJs=")</f>
        <v>#REF!</v>
      </c>
      <c r="FA445" t="e">
        <f>AND(#REF!,"AAAAADb9eJw=")</f>
        <v>#REF!</v>
      </c>
      <c r="FB445" t="e">
        <f>AND(#REF!,"AAAAADb9eJ0=")</f>
        <v>#REF!</v>
      </c>
      <c r="FC445" t="e">
        <f>AND(#REF!,"AAAAADb9eJ4=")</f>
        <v>#REF!</v>
      </c>
      <c r="FD445" t="e">
        <f>AND(#REF!,"AAAAADb9eJ8=")</f>
        <v>#REF!</v>
      </c>
      <c r="FE445" t="e">
        <f>AND(#REF!,"AAAAADb9eKA=")</f>
        <v>#REF!</v>
      </c>
      <c r="FF445" t="e">
        <f>AND(#REF!,"AAAAADb9eKE=")</f>
        <v>#REF!</v>
      </c>
      <c r="FG445" t="e">
        <f>AND(#REF!,"AAAAADb9eKI=")</f>
        <v>#REF!</v>
      </c>
      <c r="FH445" t="e">
        <f>AND(#REF!,"AAAAADb9eKM=")</f>
        <v>#REF!</v>
      </c>
      <c r="FI445" t="e">
        <f>AND(#REF!,"AAAAADb9eKQ=")</f>
        <v>#REF!</v>
      </c>
      <c r="FJ445" t="e">
        <f>AND(#REF!,"AAAAADb9eKU=")</f>
        <v>#REF!</v>
      </c>
      <c r="FK445" t="e">
        <f>AND(#REF!,"AAAAADb9eKY=")</f>
        <v>#REF!</v>
      </c>
      <c r="FL445" t="e">
        <f>AND(#REF!,"AAAAADb9eKc=")</f>
        <v>#REF!</v>
      </c>
      <c r="FM445" t="e">
        <f>AND(#REF!,"AAAAADb9eKg=")</f>
        <v>#REF!</v>
      </c>
      <c r="FN445" t="e">
        <f>AND(#REF!,"AAAAADb9eKk=")</f>
        <v>#REF!</v>
      </c>
      <c r="FO445" t="e">
        <f>AND(#REF!,"AAAAADb9eKo=")</f>
        <v>#REF!</v>
      </c>
      <c r="FP445" t="e">
        <f>IF(#REF!,"AAAAADb9eKs=",0)</f>
        <v>#REF!</v>
      </c>
      <c r="FQ445" t="e">
        <f>AND(#REF!,"AAAAADb9eKw=")</f>
        <v>#REF!</v>
      </c>
      <c r="FR445" t="e">
        <f>AND(#REF!,"AAAAADb9eK0=")</f>
        <v>#REF!</v>
      </c>
      <c r="FS445" t="e">
        <f>AND(#REF!,"AAAAADb9eK4=")</f>
        <v>#REF!</v>
      </c>
      <c r="FT445" t="e">
        <f>AND(#REF!,"AAAAADb9eK8=")</f>
        <v>#REF!</v>
      </c>
      <c r="FU445" t="e">
        <f>AND(#REF!,"AAAAADb9eLA=")</f>
        <v>#REF!</v>
      </c>
      <c r="FV445" t="e">
        <f>AND(#REF!,"AAAAADb9eLE=")</f>
        <v>#REF!</v>
      </c>
      <c r="FW445" t="e">
        <f>AND(#REF!,"AAAAADb9eLI=")</f>
        <v>#REF!</v>
      </c>
      <c r="FX445" t="e">
        <f>AND(#REF!,"AAAAADb9eLM=")</f>
        <v>#REF!</v>
      </c>
      <c r="FY445" t="e">
        <f>AND(#REF!,"AAAAADb9eLQ=")</f>
        <v>#REF!</v>
      </c>
      <c r="FZ445" t="e">
        <f>AND(#REF!,"AAAAADb9eLU=")</f>
        <v>#REF!</v>
      </c>
      <c r="GA445" t="e">
        <f>AND(#REF!,"AAAAADb9eLY=")</f>
        <v>#REF!</v>
      </c>
      <c r="GB445" t="e">
        <f>AND(#REF!,"AAAAADb9eLc=")</f>
        <v>#REF!</v>
      </c>
      <c r="GC445" t="e">
        <f>AND(#REF!,"AAAAADb9eLg=")</f>
        <v>#REF!</v>
      </c>
      <c r="GD445" t="e">
        <f>AND(#REF!,"AAAAADb9eLk=")</f>
        <v>#REF!</v>
      </c>
      <c r="GE445" t="e">
        <f>AND(#REF!,"AAAAADb9eLo=")</f>
        <v>#REF!</v>
      </c>
      <c r="GF445" t="e">
        <f>AND(#REF!,"AAAAADb9eLs=")</f>
        <v>#REF!</v>
      </c>
      <c r="GG445" t="e">
        <f>AND(#REF!,"AAAAADb9eLw=")</f>
        <v>#REF!</v>
      </c>
      <c r="GH445" t="e">
        <f>AND(#REF!,"AAAAADb9eL0=")</f>
        <v>#REF!</v>
      </c>
      <c r="GI445" t="e">
        <f>AND(#REF!,"AAAAADb9eL4=")</f>
        <v>#REF!</v>
      </c>
      <c r="GJ445" t="e">
        <f>AND(#REF!,"AAAAADb9eL8=")</f>
        <v>#REF!</v>
      </c>
      <c r="GK445" t="e">
        <f>AND(#REF!,"AAAAADb9eMA=")</f>
        <v>#REF!</v>
      </c>
      <c r="GL445" t="e">
        <f>AND(#REF!,"AAAAADb9eME=")</f>
        <v>#REF!</v>
      </c>
      <c r="GM445" t="e">
        <f>AND(#REF!,"AAAAADb9eMI=")</f>
        <v>#REF!</v>
      </c>
      <c r="GN445" t="e">
        <f>AND(#REF!,"AAAAADb9eMM=")</f>
        <v>#REF!</v>
      </c>
      <c r="GO445" t="e">
        <f>IF(#REF!,"AAAAADb9eMQ=",0)</f>
        <v>#REF!</v>
      </c>
      <c r="GP445" t="e">
        <f>AND(#REF!,"AAAAADb9eMU=")</f>
        <v>#REF!</v>
      </c>
      <c r="GQ445" t="e">
        <f>AND(#REF!,"AAAAADb9eMY=")</f>
        <v>#REF!</v>
      </c>
      <c r="GR445" t="e">
        <f>AND(#REF!,"AAAAADb9eMc=")</f>
        <v>#REF!</v>
      </c>
      <c r="GS445" t="e">
        <f>AND(#REF!,"AAAAADb9eMg=")</f>
        <v>#REF!</v>
      </c>
      <c r="GT445" t="e">
        <f>AND(#REF!,"AAAAADb9eMk=")</f>
        <v>#REF!</v>
      </c>
      <c r="GU445" t="e">
        <f>AND(#REF!,"AAAAADb9eMo=")</f>
        <v>#REF!</v>
      </c>
      <c r="GV445" t="e">
        <f>AND(#REF!,"AAAAADb9eMs=")</f>
        <v>#REF!</v>
      </c>
      <c r="GW445" t="e">
        <f>AND(#REF!,"AAAAADb9eMw=")</f>
        <v>#REF!</v>
      </c>
      <c r="GX445" t="e">
        <f>AND(#REF!,"AAAAADb9eM0=")</f>
        <v>#REF!</v>
      </c>
      <c r="GY445" t="e">
        <f>AND(#REF!,"AAAAADb9eM4=")</f>
        <v>#REF!</v>
      </c>
      <c r="GZ445" t="e">
        <f>AND(#REF!,"AAAAADb9eM8=")</f>
        <v>#REF!</v>
      </c>
      <c r="HA445" t="e">
        <f>AND(#REF!,"AAAAADb9eNA=")</f>
        <v>#REF!</v>
      </c>
      <c r="HB445" t="e">
        <f>AND(#REF!,"AAAAADb9eNE=")</f>
        <v>#REF!</v>
      </c>
      <c r="HC445" t="e">
        <f>AND(#REF!,"AAAAADb9eNI=")</f>
        <v>#REF!</v>
      </c>
      <c r="HD445" t="e">
        <f>AND(#REF!,"AAAAADb9eNM=")</f>
        <v>#REF!</v>
      </c>
      <c r="HE445" t="e">
        <f>AND(#REF!,"AAAAADb9eNQ=")</f>
        <v>#REF!</v>
      </c>
      <c r="HF445" t="e">
        <f>AND(#REF!,"AAAAADb9eNU=")</f>
        <v>#REF!</v>
      </c>
      <c r="HG445" t="e">
        <f>AND(#REF!,"AAAAADb9eNY=")</f>
        <v>#REF!</v>
      </c>
      <c r="HH445" t="e">
        <f>AND(#REF!,"AAAAADb9eNc=")</f>
        <v>#REF!</v>
      </c>
      <c r="HI445" t="e">
        <f>AND(#REF!,"AAAAADb9eNg=")</f>
        <v>#REF!</v>
      </c>
      <c r="HJ445" t="e">
        <f>AND(#REF!,"AAAAADb9eNk=")</f>
        <v>#REF!</v>
      </c>
      <c r="HK445" t="e">
        <f>AND(#REF!,"AAAAADb9eNo=")</f>
        <v>#REF!</v>
      </c>
      <c r="HL445" t="e">
        <f>AND(#REF!,"AAAAADb9eNs=")</f>
        <v>#REF!</v>
      </c>
      <c r="HM445" t="e">
        <f>AND(#REF!,"AAAAADb9eNw=")</f>
        <v>#REF!</v>
      </c>
      <c r="HN445" t="e">
        <f>IF(#REF!,"AAAAADb9eN0=",0)</f>
        <v>#REF!</v>
      </c>
      <c r="HO445" t="e">
        <f>AND(#REF!,"AAAAADb9eN4=")</f>
        <v>#REF!</v>
      </c>
      <c r="HP445" t="e">
        <f>AND(#REF!,"AAAAADb9eN8=")</f>
        <v>#REF!</v>
      </c>
      <c r="HQ445" t="e">
        <f>AND(#REF!,"AAAAADb9eOA=")</f>
        <v>#REF!</v>
      </c>
      <c r="HR445" t="e">
        <f>AND(#REF!,"AAAAADb9eOE=")</f>
        <v>#REF!</v>
      </c>
      <c r="HS445" t="e">
        <f>AND(#REF!,"AAAAADb9eOI=")</f>
        <v>#REF!</v>
      </c>
      <c r="HT445" t="e">
        <f>AND(#REF!,"AAAAADb9eOM=")</f>
        <v>#REF!</v>
      </c>
      <c r="HU445" t="e">
        <f>AND(#REF!,"AAAAADb9eOQ=")</f>
        <v>#REF!</v>
      </c>
      <c r="HV445" t="e">
        <f>AND(#REF!,"AAAAADb9eOU=")</f>
        <v>#REF!</v>
      </c>
      <c r="HW445" t="e">
        <f>AND(#REF!,"AAAAADb9eOY=")</f>
        <v>#REF!</v>
      </c>
      <c r="HX445" t="e">
        <f>AND(#REF!,"AAAAADb9eOc=")</f>
        <v>#REF!</v>
      </c>
      <c r="HY445" t="e">
        <f>AND(#REF!,"AAAAADb9eOg=")</f>
        <v>#REF!</v>
      </c>
      <c r="HZ445" t="e">
        <f>AND(#REF!,"AAAAADb9eOk=")</f>
        <v>#REF!</v>
      </c>
      <c r="IA445" t="e">
        <f>AND(#REF!,"AAAAADb9eOo=")</f>
        <v>#REF!</v>
      </c>
      <c r="IB445" t="e">
        <f>AND(#REF!,"AAAAADb9eOs=")</f>
        <v>#REF!</v>
      </c>
      <c r="IC445" t="e">
        <f>AND(#REF!,"AAAAADb9eOw=")</f>
        <v>#REF!</v>
      </c>
      <c r="ID445" t="e">
        <f>AND(#REF!,"AAAAADb9eO0=")</f>
        <v>#REF!</v>
      </c>
      <c r="IE445" t="e">
        <f>AND(#REF!,"AAAAADb9eO4=")</f>
        <v>#REF!</v>
      </c>
      <c r="IF445" t="e">
        <f>AND(#REF!,"AAAAADb9eO8=")</f>
        <v>#REF!</v>
      </c>
      <c r="IG445" t="e">
        <f>AND(#REF!,"AAAAADb9ePA=")</f>
        <v>#REF!</v>
      </c>
      <c r="IH445" t="e">
        <f>AND(#REF!,"AAAAADb9ePE=")</f>
        <v>#REF!</v>
      </c>
      <c r="II445" t="e">
        <f>AND(#REF!,"AAAAADb9ePI=")</f>
        <v>#REF!</v>
      </c>
      <c r="IJ445" t="e">
        <f>AND(#REF!,"AAAAADb9ePM=")</f>
        <v>#REF!</v>
      </c>
      <c r="IK445" t="e">
        <f>AND(#REF!,"AAAAADb9ePQ=")</f>
        <v>#REF!</v>
      </c>
      <c r="IL445" t="e">
        <f>AND(#REF!,"AAAAADb9ePU=")</f>
        <v>#REF!</v>
      </c>
      <c r="IM445" t="e">
        <f>IF(#REF!,"AAAAADb9ePY=",0)</f>
        <v>#REF!</v>
      </c>
      <c r="IN445" t="e">
        <f>AND(#REF!,"AAAAADb9ePc=")</f>
        <v>#REF!</v>
      </c>
      <c r="IO445" t="e">
        <f>AND(#REF!,"AAAAADb9ePg=")</f>
        <v>#REF!</v>
      </c>
      <c r="IP445" t="e">
        <f>AND(#REF!,"AAAAADb9ePk=")</f>
        <v>#REF!</v>
      </c>
      <c r="IQ445" t="e">
        <f>AND(#REF!,"AAAAADb9ePo=")</f>
        <v>#REF!</v>
      </c>
      <c r="IR445" t="e">
        <f>AND(#REF!,"AAAAADb9ePs=")</f>
        <v>#REF!</v>
      </c>
      <c r="IS445" t="e">
        <f>AND(#REF!,"AAAAADb9ePw=")</f>
        <v>#REF!</v>
      </c>
      <c r="IT445" t="e">
        <f>AND(#REF!,"AAAAADb9eP0=")</f>
        <v>#REF!</v>
      </c>
      <c r="IU445" t="e">
        <f>AND(#REF!,"AAAAADb9eP4=")</f>
        <v>#REF!</v>
      </c>
      <c r="IV445" t="e">
        <f>AND(#REF!,"AAAAADb9eP8=")</f>
        <v>#REF!</v>
      </c>
    </row>
    <row r="446" spans="1:256">
      <c r="A446" t="e">
        <f>AND(#REF!,"AAAAAC/+zQA=")</f>
        <v>#REF!</v>
      </c>
      <c r="B446" t="e">
        <f>AND(#REF!,"AAAAAC/+zQE=")</f>
        <v>#REF!</v>
      </c>
      <c r="C446" t="e">
        <f>AND(#REF!,"AAAAAC/+zQI=")</f>
        <v>#REF!</v>
      </c>
      <c r="D446" t="e">
        <f>AND(#REF!,"AAAAAC/+zQM=")</f>
        <v>#REF!</v>
      </c>
      <c r="E446" t="e">
        <f>AND(#REF!,"AAAAAC/+zQQ=")</f>
        <v>#REF!</v>
      </c>
      <c r="F446" t="e">
        <f>AND(#REF!,"AAAAAC/+zQU=")</f>
        <v>#REF!</v>
      </c>
      <c r="G446" t="e">
        <f>AND(#REF!,"AAAAAC/+zQY=")</f>
        <v>#REF!</v>
      </c>
      <c r="H446" t="e">
        <f>AND(#REF!,"AAAAAC/+zQc=")</f>
        <v>#REF!</v>
      </c>
      <c r="I446" t="e">
        <f>AND(#REF!,"AAAAAC/+zQg=")</f>
        <v>#REF!</v>
      </c>
      <c r="J446" t="e">
        <f>AND(#REF!,"AAAAAC/+zQk=")</f>
        <v>#REF!</v>
      </c>
      <c r="K446" t="e">
        <f>AND(#REF!,"AAAAAC/+zQo=")</f>
        <v>#REF!</v>
      </c>
      <c r="L446" t="e">
        <f>AND(#REF!,"AAAAAC/+zQs=")</f>
        <v>#REF!</v>
      </c>
      <c r="M446" t="e">
        <f>AND(#REF!,"AAAAAC/+zQw=")</f>
        <v>#REF!</v>
      </c>
      <c r="N446" t="e">
        <f>AND(#REF!,"AAAAAC/+zQ0=")</f>
        <v>#REF!</v>
      </c>
      <c r="O446" t="e">
        <f>AND(#REF!,"AAAAAC/+zQ4=")</f>
        <v>#REF!</v>
      </c>
      <c r="P446" t="e">
        <f>IF(#REF!,"AAAAAC/+zQ8=",0)</f>
        <v>#REF!</v>
      </c>
      <c r="Q446" t="e">
        <f>AND(#REF!,"AAAAAC/+zRA=")</f>
        <v>#REF!</v>
      </c>
      <c r="R446" t="e">
        <f>AND(#REF!,"AAAAAC/+zRE=")</f>
        <v>#REF!</v>
      </c>
      <c r="S446" t="e">
        <f>AND(#REF!,"AAAAAC/+zRI=")</f>
        <v>#REF!</v>
      </c>
      <c r="T446" t="e">
        <f>AND(#REF!,"AAAAAC/+zRM=")</f>
        <v>#REF!</v>
      </c>
      <c r="U446" t="e">
        <f>AND(#REF!,"AAAAAC/+zRQ=")</f>
        <v>#REF!</v>
      </c>
      <c r="V446" t="e">
        <f>AND(#REF!,"AAAAAC/+zRU=")</f>
        <v>#REF!</v>
      </c>
      <c r="W446" t="e">
        <f>AND(#REF!,"AAAAAC/+zRY=")</f>
        <v>#REF!</v>
      </c>
      <c r="X446" t="e">
        <f>AND(#REF!,"AAAAAC/+zRc=")</f>
        <v>#REF!</v>
      </c>
      <c r="Y446" t="e">
        <f>AND(#REF!,"AAAAAC/+zRg=")</f>
        <v>#REF!</v>
      </c>
      <c r="Z446" t="e">
        <f>AND(#REF!,"AAAAAC/+zRk=")</f>
        <v>#REF!</v>
      </c>
      <c r="AA446" t="e">
        <f>AND(#REF!,"AAAAAC/+zRo=")</f>
        <v>#REF!</v>
      </c>
      <c r="AB446" t="e">
        <f>AND(#REF!,"AAAAAC/+zRs=")</f>
        <v>#REF!</v>
      </c>
      <c r="AC446" t="e">
        <f>AND(#REF!,"AAAAAC/+zRw=")</f>
        <v>#REF!</v>
      </c>
      <c r="AD446" t="e">
        <f>AND(#REF!,"AAAAAC/+zR0=")</f>
        <v>#REF!</v>
      </c>
      <c r="AE446" t="e">
        <f>AND(#REF!,"AAAAAC/+zR4=")</f>
        <v>#REF!</v>
      </c>
      <c r="AF446" t="e">
        <f>AND(#REF!,"AAAAAC/+zR8=")</f>
        <v>#REF!</v>
      </c>
      <c r="AG446" t="e">
        <f>AND(#REF!,"AAAAAC/+zSA=")</f>
        <v>#REF!</v>
      </c>
      <c r="AH446" t="e">
        <f>AND(#REF!,"AAAAAC/+zSE=")</f>
        <v>#REF!</v>
      </c>
      <c r="AI446" t="e">
        <f>AND(#REF!,"AAAAAC/+zSI=")</f>
        <v>#REF!</v>
      </c>
      <c r="AJ446" t="e">
        <f>AND(#REF!,"AAAAAC/+zSM=")</f>
        <v>#REF!</v>
      </c>
      <c r="AK446" t="e">
        <f>AND(#REF!,"AAAAAC/+zSQ=")</f>
        <v>#REF!</v>
      </c>
      <c r="AL446" t="e">
        <f>AND(#REF!,"AAAAAC/+zSU=")</f>
        <v>#REF!</v>
      </c>
      <c r="AM446" t="e">
        <f>AND(#REF!,"AAAAAC/+zSY=")</f>
        <v>#REF!</v>
      </c>
      <c r="AN446" t="e">
        <f>AND(#REF!,"AAAAAC/+zSc=")</f>
        <v>#REF!</v>
      </c>
      <c r="AO446" t="e">
        <f>IF(#REF!,"AAAAAC/+zSg=",0)</f>
        <v>#REF!</v>
      </c>
      <c r="AP446" t="e">
        <f>AND(#REF!,"AAAAAC/+zSk=")</f>
        <v>#REF!</v>
      </c>
      <c r="AQ446" t="e">
        <f>AND(#REF!,"AAAAAC/+zSo=")</f>
        <v>#REF!</v>
      </c>
      <c r="AR446" t="e">
        <f>AND(#REF!,"AAAAAC/+zSs=")</f>
        <v>#REF!</v>
      </c>
      <c r="AS446" t="e">
        <f>AND(#REF!,"AAAAAC/+zSw=")</f>
        <v>#REF!</v>
      </c>
      <c r="AT446" t="e">
        <f>AND(#REF!,"AAAAAC/+zS0=")</f>
        <v>#REF!</v>
      </c>
      <c r="AU446" t="e">
        <f>AND(#REF!,"AAAAAC/+zS4=")</f>
        <v>#REF!</v>
      </c>
      <c r="AV446" t="e">
        <f>AND(#REF!,"AAAAAC/+zS8=")</f>
        <v>#REF!</v>
      </c>
      <c r="AW446" t="e">
        <f>AND(#REF!,"AAAAAC/+zTA=")</f>
        <v>#REF!</v>
      </c>
      <c r="AX446" t="e">
        <f>AND(#REF!,"AAAAAC/+zTE=")</f>
        <v>#REF!</v>
      </c>
      <c r="AY446" t="e">
        <f>AND(#REF!,"AAAAAC/+zTI=")</f>
        <v>#REF!</v>
      </c>
      <c r="AZ446" t="e">
        <f>AND(#REF!,"AAAAAC/+zTM=")</f>
        <v>#REF!</v>
      </c>
      <c r="BA446" t="e">
        <f>AND(#REF!,"AAAAAC/+zTQ=")</f>
        <v>#REF!</v>
      </c>
      <c r="BB446" t="e">
        <f>AND(#REF!,"AAAAAC/+zTU=")</f>
        <v>#REF!</v>
      </c>
      <c r="BC446" t="e">
        <f>AND(#REF!,"AAAAAC/+zTY=")</f>
        <v>#REF!</v>
      </c>
      <c r="BD446" t="e">
        <f>AND(#REF!,"AAAAAC/+zTc=")</f>
        <v>#REF!</v>
      </c>
      <c r="BE446" t="e">
        <f>AND(#REF!,"AAAAAC/+zTg=")</f>
        <v>#REF!</v>
      </c>
      <c r="BF446" t="e">
        <f>AND(#REF!,"AAAAAC/+zTk=")</f>
        <v>#REF!</v>
      </c>
      <c r="BG446" t="e">
        <f>AND(#REF!,"AAAAAC/+zTo=")</f>
        <v>#REF!</v>
      </c>
      <c r="BH446" t="e">
        <f>AND(#REF!,"AAAAAC/+zTs=")</f>
        <v>#REF!</v>
      </c>
      <c r="BI446" t="e">
        <f>AND(#REF!,"AAAAAC/+zTw=")</f>
        <v>#REF!</v>
      </c>
      <c r="BJ446" t="e">
        <f>AND(#REF!,"AAAAAC/+zT0=")</f>
        <v>#REF!</v>
      </c>
      <c r="BK446" t="e">
        <f>AND(#REF!,"AAAAAC/+zT4=")</f>
        <v>#REF!</v>
      </c>
      <c r="BL446" t="e">
        <f>AND(#REF!,"AAAAAC/+zT8=")</f>
        <v>#REF!</v>
      </c>
      <c r="BM446" t="e">
        <f>AND(#REF!,"AAAAAC/+zUA=")</f>
        <v>#REF!</v>
      </c>
      <c r="BN446" t="e">
        <f>IF(#REF!,"AAAAAC/+zUE=",0)</f>
        <v>#REF!</v>
      </c>
      <c r="BO446" t="e">
        <f>AND(#REF!,"AAAAAC/+zUI=")</f>
        <v>#REF!</v>
      </c>
      <c r="BP446" t="e">
        <f>AND(#REF!,"AAAAAC/+zUM=")</f>
        <v>#REF!</v>
      </c>
      <c r="BQ446" t="e">
        <f>AND(#REF!,"AAAAAC/+zUQ=")</f>
        <v>#REF!</v>
      </c>
      <c r="BR446" t="e">
        <f>AND(#REF!,"AAAAAC/+zUU=")</f>
        <v>#REF!</v>
      </c>
      <c r="BS446" t="e">
        <f>AND(#REF!,"AAAAAC/+zUY=")</f>
        <v>#REF!</v>
      </c>
      <c r="BT446" t="e">
        <f>AND(#REF!,"AAAAAC/+zUc=")</f>
        <v>#REF!</v>
      </c>
      <c r="BU446" t="e">
        <f>AND(#REF!,"AAAAAC/+zUg=")</f>
        <v>#REF!</v>
      </c>
      <c r="BV446" t="e">
        <f>AND(#REF!,"AAAAAC/+zUk=")</f>
        <v>#REF!</v>
      </c>
      <c r="BW446" t="e">
        <f>AND(#REF!,"AAAAAC/+zUo=")</f>
        <v>#REF!</v>
      </c>
      <c r="BX446" t="e">
        <f>AND(#REF!,"AAAAAC/+zUs=")</f>
        <v>#REF!</v>
      </c>
      <c r="BY446" t="e">
        <f>AND(#REF!,"AAAAAC/+zUw=")</f>
        <v>#REF!</v>
      </c>
      <c r="BZ446" t="e">
        <f>AND(#REF!,"AAAAAC/+zU0=")</f>
        <v>#REF!</v>
      </c>
      <c r="CA446" t="e">
        <f>AND(#REF!,"AAAAAC/+zU4=")</f>
        <v>#REF!</v>
      </c>
      <c r="CB446" t="e">
        <f>AND(#REF!,"AAAAAC/+zU8=")</f>
        <v>#REF!</v>
      </c>
      <c r="CC446" t="e">
        <f>AND(#REF!,"AAAAAC/+zVA=")</f>
        <v>#REF!</v>
      </c>
      <c r="CD446" t="e">
        <f>AND(#REF!,"AAAAAC/+zVE=")</f>
        <v>#REF!</v>
      </c>
      <c r="CE446" t="e">
        <f>AND(#REF!,"AAAAAC/+zVI=")</f>
        <v>#REF!</v>
      </c>
      <c r="CF446" t="e">
        <f>AND(#REF!,"AAAAAC/+zVM=")</f>
        <v>#REF!</v>
      </c>
      <c r="CG446" t="e">
        <f>AND(#REF!,"AAAAAC/+zVQ=")</f>
        <v>#REF!</v>
      </c>
      <c r="CH446" t="e">
        <f>AND(#REF!,"AAAAAC/+zVU=")</f>
        <v>#REF!</v>
      </c>
      <c r="CI446" t="e">
        <f>AND(#REF!,"AAAAAC/+zVY=")</f>
        <v>#REF!</v>
      </c>
      <c r="CJ446" t="e">
        <f>AND(#REF!,"AAAAAC/+zVc=")</f>
        <v>#REF!</v>
      </c>
      <c r="CK446" t="e">
        <f>AND(#REF!,"AAAAAC/+zVg=")</f>
        <v>#REF!</v>
      </c>
      <c r="CL446" t="e">
        <f>AND(#REF!,"AAAAAC/+zVk=")</f>
        <v>#REF!</v>
      </c>
      <c r="CM446" t="e">
        <f>IF(#REF!,"AAAAAC/+zVo=",0)</f>
        <v>#REF!</v>
      </c>
      <c r="CN446" t="e">
        <f>AND(#REF!,"AAAAAC/+zVs=")</f>
        <v>#REF!</v>
      </c>
      <c r="CO446" t="e">
        <f>AND(#REF!,"AAAAAC/+zVw=")</f>
        <v>#REF!</v>
      </c>
      <c r="CP446" t="e">
        <f>AND(#REF!,"AAAAAC/+zV0=")</f>
        <v>#REF!</v>
      </c>
      <c r="CQ446" t="e">
        <f>AND(#REF!,"AAAAAC/+zV4=")</f>
        <v>#REF!</v>
      </c>
      <c r="CR446" t="e">
        <f>AND(#REF!,"AAAAAC/+zV8=")</f>
        <v>#REF!</v>
      </c>
      <c r="CS446" t="e">
        <f>AND(#REF!,"AAAAAC/+zWA=")</f>
        <v>#REF!</v>
      </c>
      <c r="CT446" t="e">
        <f>AND(#REF!,"AAAAAC/+zWE=")</f>
        <v>#REF!</v>
      </c>
      <c r="CU446" t="e">
        <f>AND(#REF!,"AAAAAC/+zWI=")</f>
        <v>#REF!</v>
      </c>
      <c r="CV446" t="e">
        <f>AND(#REF!,"AAAAAC/+zWM=")</f>
        <v>#REF!</v>
      </c>
      <c r="CW446" t="e">
        <f>AND(#REF!,"AAAAAC/+zWQ=")</f>
        <v>#REF!</v>
      </c>
      <c r="CX446" t="e">
        <f>AND(#REF!,"AAAAAC/+zWU=")</f>
        <v>#REF!</v>
      </c>
      <c r="CY446" t="e">
        <f>AND(#REF!,"AAAAAC/+zWY=")</f>
        <v>#REF!</v>
      </c>
      <c r="CZ446" t="e">
        <f>AND(#REF!,"AAAAAC/+zWc=")</f>
        <v>#REF!</v>
      </c>
      <c r="DA446" t="e">
        <f>AND(#REF!,"AAAAAC/+zWg=")</f>
        <v>#REF!</v>
      </c>
      <c r="DB446" t="e">
        <f>AND(#REF!,"AAAAAC/+zWk=")</f>
        <v>#REF!</v>
      </c>
      <c r="DC446" t="e">
        <f>AND(#REF!,"AAAAAC/+zWo=")</f>
        <v>#REF!</v>
      </c>
      <c r="DD446" t="e">
        <f>AND(#REF!,"AAAAAC/+zWs=")</f>
        <v>#REF!</v>
      </c>
      <c r="DE446" t="e">
        <f>AND(#REF!,"AAAAAC/+zWw=")</f>
        <v>#REF!</v>
      </c>
      <c r="DF446" t="e">
        <f>AND(#REF!,"AAAAAC/+zW0=")</f>
        <v>#REF!</v>
      </c>
      <c r="DG446" t="e">
        <f>AND(#REF!,"AAAAAC/+zW4=")</f>
        <v>#REF!</v>
      </c>
      <c r="DH446" t="e">
        <f>AND(#REF!,"AAAAAC/+zW8=")</f>
        <v>#REF!</v>
      </c>
      <c r="DI446" t="e">
        <f>AND(#REF!,"AAAAAC/+zXA=")</f>
        <v>#REF!</v>
      </c>
      <c r="DJ446" t="e">
        <f>AND(#REF!,"AAAAAC/+zXE=")</f>
        <v>#REF!</v>
      </c>
      <c r="DK446" t="e">
        <f>AND(#REF!,"AAAAAC/+zXI=")</f>
        <v>#REF!</v>
      </c>
      <c r="DL446" t="e">
        <f>IF(#REF!,"AAAAAC/+zXM=",0)</f>
        <v>#REF!</v>
      </c>
      <c r="DM446" t="e">
        <f>AND(#REF!,"AAAAAC/+zXQ=")</f>
        <v>#REF!</v>
      </c>
      <c r="DN446" t="e">
        <f>AND(#REF!,"AAAAAC/+zXU=")</f>
        <v>#REF!</v>
      </c>
      <c r="DO446" t="e">
        <f>AND(#REF!,"AAAAAC/+zXY=")</f>
        <v>#REF!</v>
      </c>
      <c r="DP446" t="e">
        <f>AND(#REF!,"AAAAAC/+zXc=")</f>
        <v>#REF!</v>
      </c>
      <c r="DQ446" t="e">
        <f>AND(#REF!,"AAAAAC/+zXg=")</f>
        <v>#REF!</v>
      </c>
      <c r="DR446" t="e">
        <f>AND(#REF!,"AAAAAC/+zXk=")</f>
        <v>#REF!</v>
      </c>
      <c r="DS446" t="e">
        <f>AND(#REF!,"AAAAAC/+zXo=")</f>
        <v>#REF!</v>
      </c>
      <c r="DT446" t="e">
        <f>AND(#REF!,"AAAAAC/+zXs=")</f>
        <v>#REF!</v>
      </c>
      <c r="DU446" t="e">
        <f>AND(#REF!,"AAAAAC/+zXw=")</f>
        <v>#REF!</v>
      </c>
      <c r="DV446" t="e">
        <f>AND(#REF!,"AAAAAC/+zX0=")</f>
        <v>#REF!</v>
      </c>
      <c r="DW446" t="e">
        <f>AND(#REF!,"AAAAAC/+zX4=")</f>
        <v>#REF!</v>
      </c>
      <c r="DX446" t="e">
        <f>AND(#REF!,"AAAAAC/+zX8=")</f>
        <v>#REF!</v>
      </c>
      <c r="DY446" t="e">
        <f>AND(#REF!,"AAAAAC/+zYA=")</f>
        <v>#REF!</v>
      </c>
      <c r="DZ446" t="e">
        <f>AND(#REF!,"AAAAAC/+zYE=")</f>
        <v>#REF!</v>
      </c>
      <c r="EA446" t="e">
        <f>AND(#REF!,"AAAAAC/+zYI=")</f>
        <v>#REF!</v>
      </c>
      <c r="EB446" t="e">
        <f>AND(#REF!,"AAAAAC/+zYM=")</f>
        <v>#REF!</v>
      </c>
      <c r="EC446" t="e">
        <f>AND(#REF!,"AAAAAC/+zYQ=")</f>
        <v>#REF!</v>
      </c>
      <c r="ED446" t="e">
        <f>AND(#REF!,"AAAAAC/+zYU=")</f>
        <v>#REF!</v>
      </c>
      <c r="EE446" t="e">
        <f>AND(#REF!,"AAAAAC/+zYY=")</f>
        <v>#REF!</v>
      </c>
      <c r="EF446" t="e">
        <f>AND(#REF!,"AAAAAC/+zYc=")</f>
        <v>#REF!</v>
      </c>
      <c r="EG446" t="e">
        <f>AND(#REF!,"AAAAAC/+zYg=")</f>
        <v>#REF!</v>
      </c>
      <c r="EH446" t="e">
        <f>AND(#REF!,"AAAAAC/+zYk=")</f>
        <v>#REF!</v>
      </c>
      <c r="EI446" t="e">
        <f>AND(#REF!,"AAAAAC/+zYo=")</f>
        <v>#REF!</v>
      </c>
      <c r="EJ446" t="e">
        <f>AND(#REF!,"AAAAAC/+zYs=")</f>
        <v>#REF!</v>
      </c>
      <c r="EK446" t="e">
        <f>IF(#REF!,"AAAAAC/+zYw=",0)</f>
        <v>#REF!</v>
      </c>
      <c r="EL446" t="e">
        <f>AND(#REF!,"AAAAAC/+zY0=")</f>
        <v>#REF!</v>
      </c>
      <c r="EM446" t="e">
        <f>AND(#REF!,"AAAAAC/+zY4=")</f>
        <v>#REF!</v>
      </c>
      <c r="EN446" t="e">
        <f>AND(#REF!,"AAAAAC/+zY8=")</f>
        <v>#REF!</v>
      </c>
      <c r="EO446" t="e">
        <f>AND(#REF!,"AAAAAC/+zZA=")</f>
        <v>#REF!</v>
      </c>
      <c r="EP446" t="e">
        <f>AND(#REF!,"AAAAAC/+zZE=")</f>
        <v>#REF!</v>
      </c>
      <c r="EQ446" t="e">
        <f>AND(#REF!,"AAAAAC/+zZI=")</f>
        <v>#REF!</v>
      </c>
      <c r="ER446" t="e">
        <f>AND(#REF!,"AAAAAC/+zZM=")</f>
        <v>#REF!</v>
      </c>
      <c r="ES446" t="e">
        <f>AND(#REF!,"AAAAAC/+zZQ=")</f>
        <v>#REF!</v>
      </c>
      <c r="ET446" t="e">
        <f>AND(#REF!,"AAAAAC/+zZU=")</f>
        <v>#REF!</v>
      </c>
      <c r="EU446" t="e">
        <f>AND(#REF!,"AAAAAC/+zZY=")</f>
        <v>#REF!</v>
      </c>
      <c r="EV446" t="e">
        <f>AND(#REF!,"AAAAAC/+zZc=")</f>
        <v>#REF!</v>
      </c>
      <c r="EW446" t="e">
        <f>AND(#REF!,"AAAAAC/+zZg=")</f>
        <v>#REF!</v>
      </c>
      <c r="EX446" t="e">
        <f>AND(#REF!,"AAAAAC/+zZk=")</f>
        <v>#REF!</v>
      </c>
      <c r="EY446" t="e">
        <f>AND(#REF!,"AAAAAC/+zZo=")</f>
        <v>#REF!</v>
      </c>
      <c r="EZ446" t="e">
        <f>AND(#REF!,"AAAAAC/+zZs=")</f>
        <v>#REF!</v>
      </c>
      <c r="FA446" t="e">
        <f>AND(#REF!,"AAAAAC/+zZw=")</f>
        <v>#REF!</v>
      </c>
      <c r="FB446" t="e">
        <f>AND(#REF!,"AAAAAC/+zZ0=")</f>
        <v>#REF!</v>
      </c>
      <c r="FC446" t="e">
        <f>AND(#REF!,"AAAAAC/+zZ4=")</f>
        <v>#REF!</v>
      </c>
      <c r="FD446" t="e">
        <f>AND(#REF!,"AAAAAC/+zZ8=")</f>
        <v>#REF!</v>
      </c>
      <c r="FE446" t="e">
        <f>AND(#REF!,"AAAAAC/+zaA=")</f>
        <v>#REF!</v>
      </c>
      <c r="FF446" t="e">
        <f>AND(#REF!,"AAAAAC/+zaE=")</f>
        <v>#REF!</v>
      </c>
      <c r="FG446" t="e">
        <f>AND(#REF!,"AAAAAC/+zaI=")</f>
        <v>#REF!</v>
      </c>
      <c r="FH446" t="e">
        <f>AND(#REF!,"AAAAAC/+zaM=")</f>
        <v>#REF!</v>
      </c>
      <c r="FI446" t="e">
        <f>AND(#REF!,"AAAAAC/+zaQ=")</f>
        <v>#REF!</v>
      </c>
      <c r="FJ446" t="e">
        <f>IF(#REF!,"AAAAAC/+zaU=",0)</f>
        <v>#REF!</v>
      </c>
      <c r="FK446" t="e">
        <f>AND(#REF!,"AAAAAC/+zaY=")</f>
        <v>#REF!</v>
      </c>
      <c r="FL446" t="e">
        <f>AND(#REF!,"AAAAAC/+zac=")</f>
        <v>#REF!</v>
      </c>
      <c r="FM446" t="e">
        <f>AND(#REF!,"AAAAAC/+zag=")</f>
        <v>#REF!</v>
      </c>
      <c r="FN446" t="e">
        <f>AND(#REF!,"AAAAAC/+zak=")</f>
        <v>#REF!</v>
      </c>
      <c r="FO446" t="e">
        <f>AND(#REF!,"AAAAAC/+zao=")</f>
        <v>#REF!</v>
      </c>
      <c r="FP446" t="e">
        <f>AND(#REF!,"AAAAAC/+zas=")</f>
        <v>#REF!</v>
      </c>
      <c r="FQ446" t="e">
        <f>AND(#REF!,"AAAAAC/+zaw=")</f>
        <v>#REF!</v>
      </c>
      <c r="FR446" t="e">
        <f>AND(#REF!,"AAAAAC/+za0=")</f>
        <v>#REF!</v>
      </c>
      <c r="FS446" t="e">
        <f>AND(#REF!,"AAAAAC/+za4=")</f>
        <v>#REF!</v>
      </c>
      <c r="FT446" t="e">
        <f>AND(#REF!,"AAAAAC/+za8=")</f>
        <v>#REF!</v>
      </c>
      <c r="FU446" t="e">
        <f>AND(#REF!,"AAAAAC/+zbA=")</f>
        <v>#REF!</v>
      </c>
      <c r="FV446" t="e">
        <f>AND(#REF!,"AAAAAC/+zbE=")</f>
        <v>#REF!</v>
      </c>
      <c r="FW446" t="e">
        <f>AND(#REF!,"AAAAAC/+zbI=")</f>
        <v>#REF!</v>
      </c>
      <c r="FX446" t="e">
        <f>AND(#REF!,"AAAAAC/+zbM=")</f>
        <v>#REF!</v>
      </c>
      <c r="FY446" t="e">
        <f>AND(#REF!,"AAAAAC/+zbQ=")</f>
        <v>#REF!</v>
      </c>
      <c r="FZ446" t="e">
        <f>AND(#REF!,"AAAAAC/+zbU=")</f>
        <v>#REF!</v>
      </c>
      <c r="GA446" t="e">
        <f>AND(#REF!,"AAAAAC/+zbY=")</f>
        <v>#REF!</v>
      </c>
      <c r="GB446" t="e">
        <f>AND(#REF!,"AAAAAC/+zbc=")</f>
        <v>#REF!</v>
      </c>
      <c r="GC446" t="e">
        <f>AND(#REF!,"AAAAAC/+zbg=")</f>
        <v>#REF!</v>
      </c>
      <c r="GD446" t="e">
        <f>AND(#REF!,"AAAAAC/+zbk=")</f>
        <v>#REF!</v>
      </c>
      <c r="GE446" t="e">
        <f>AND(#REF!,"AAAAAC/+zbo=")</f>
        <v>#REF!</v>
      </c>
      <c r="GF446" t="e">
        <f>AND(#REF!,"AAAAAC/+zbs=")</f>
        <v>#REF!</v>
      </c>
      <c r="GG446" t="e">
        <f>AND(#REF!,"AAAAAC/+zbw=")</f>
        <v>#REF!</v>
      </c>
      <c r="GH446" t="e">
        <f>AND(#REF!,"AAAAAC/+zb0=")</f>
        <v>#REF!</v>
      </c>
      <c r="GI446" t="e">
        <f>IF(#REF!,"AAAAAC/+zb4=",0)</f>
        <v>#REF!</v>
      </c>
      <c r="GJ446" t="e">
        <f>AND(#REF!,"AAAAAC/+zb8=")</f>
        <v>#REF!</v>
      </c>
      <c r="GK446" t="e">
        <f>AND(#REF!,"AAAAAC/+zcA=")</f>
        <v>#REF!</v>
      </c>
      <c r="GL446" t="e">
        <f>AND(#REF!,"AAAAAC/+zcE=")</f>
        <v>#REF!</v>
      </c>
      <c r="GM446" t="e">
        <f>AND(#REF!,"AAAAAC/+zcI=")</f>
        <v>#REF!</v>
      </c>
      <c r="GN446" t="e">
        <f>AND(#REF!,"AAAAAC/+zcM=")</f>
        <v>#REF!</v>
      </c>
      <c r="GO446" t="e">
        <f>AND(#REF!,"AAAAAC/+zcQ=")</f>
        <v>#REF!</v>
      </c>
      <c r="GP446" t="e">
        <f>AND(#REF!,"AAAAAC/+zcU=")</f>
        <v>#REF!</v>
      </c>
      <c r="GQ446" t="e">
        <f>AND(#REF!,"AAAAAC/+zcY=")</f>
        <v>#REF!</v>
      </c>
      <c r="GR446" t="e">
        <f>AND(#REF!,"AAAAAC/+zcc=")</f>
        <v>#REF!</v>
      </c>
      <c r="GS446" t="e">
        <f>AND(#REF!,"AAAAAC/+zcg=")</f>
        <v>#REF!</v>
      </c>
      <c r="GT446" t="e">
        <f>AND(#REF!,"AAAAAC/+zck=")</f>
        <v>#REF!</v>
      </c>
      <c r="GU446" t="e">
        <f>AND(#REF!,"AAAAAC/+zco=")</f>
        <v>#REF!</v>
      </c>
      <c r="GV446" t="e">
        <f>AND(#REF!,"AAAAAC/+zcs=")</f>
        <v>#REF!</v>
      </c>
      <c r="GW446" t="e">
        <f>AND(#REF!,"AAAAAC/+zcw=")</f>
        <v>#REF!</v>
      </c>
      <c r="GX446" t="e">
        <f>AND(#REF!,"AAAAAC/+zc0=")</f>
        <v>#REF!</v>
      </c>
      <c r="GY446" t="e">
        <f>AND(#REF!,"AAAAAC/+zc4=")</f>
        <v>#REF!</v>
      </c>
      <c r="GZ446" t="e">
        <f>AND(#REF!,"AAAAAC/+zc8=")</f>
        <v>#REF!</v>
      </c>
      <c r="HA446" t="e">
        <f>AND(#REF!,"AAAAAC/+zdA=")</f>
        <v>#REF!</v>
      </c>
      <c r="HB446" t="e">
        <f>AND(#REF!,"AAAAAC/+zdE=")</f>
        <v>#REF!</v>
      </c>
      <c r="HC446" t="e">
        <f>AND(#REF!,"AAAAAC/+zdI=")</f>
        <v>#REF!</v>
      </c>
      <c r="HD446" t="e">
        <f>AND(#REF!,"AAAAAC/+zdM=")</f>
        <v>#REF!</v>
      </c>
      <c r="HE446" t="e">
        <f>AND(#REF!,"AAAAAC/+zdQ=")</f>
        <v>#REF!</v>
      </c>
      <c r="HF446" t="e">
        <f>AND(#REF!,"AAAAAC/+zdU=")</f>
        <v>#REF!</v>
      </c>
      <c r="HG446" t="e">
        <f>AND(#REF!,"AAAAAC/+zdY=")</f>
        <v>#REF!</v>
      </c>
      <c r="HH446" t="e">
        <f>IF(#REF!,"AAAAAC/+zdc=",0)</f>
        <v>#REF!</v>
      </c>
      <c r="HI446" t="e">
        <f>AND(#REF!,"AAAAAC/+zdg=")</f>
        <v>#REF!</v>
      </c>
      <c r="HJ446" t="e">
        <f>AND(#REF!,"AAAAAC/+zdk=")</f>
        <v>#REF!</v>
      </c>
      <c r="HK446" t="e">
        <f>AND(#REF!,"AAAAAC/+zdo=")</f>
        <v>#REF!</v>
      </c>
      <c r="HL446" t="e">
        <f>AND(#REF!,"AAAAAC/+zds=")</f>
        <v>#REF!</v>
      </c>
      <c r="HM446" t="e">
        <f>AND(#REF!,"AAAAAC/+zdw=")</f>
        <v>#REF!</v>
      </c>
      <c r="HN446" t="e">
        <f>AND(#REF!,"AAAAAC/+zd0=")</f>
        <v>#REF!</v>
      </c>
      <c r="HO446" t="e">
        <f>AND(#REF!,"AAAAAC/+zd4=")</f>
        <v>#REF!</v>
      </c>
      <c r="HP446" t="e">
        <f>AND(#REF!,"AAAAAC/+zd8=")</f>
        <v>#REF!</v>
      </c>
      <c r="HQ446" t="e">
        <f>AND(#REF!,"AAAAAC/+zeA=")</f>
        <v>#REF!</v>
      </c>
      <c r="HR446" t="e">
        <f>AND(#REF!,"AAAAAC/+zeE=")</f>
        <v>#REF!</v>
      </c>
      <c r="HS446" t="e">
        <f>AND(#REF!,"AAAAAC/+zeI=")</f>
        <v>#REF!</v>
      </c>
      <c r="HT446" t="e">
        <f>AND(#REF!,"AAAAAC/+zeM=")</f>
        <v>#REF!</v>
      </c>
      <c r="HU446" t="e">
        <f>AND(#REF!,"AAAAAC/+zeQ=")</f>
        <v>#REF!</v>
      </c>
      <c r="HV446" t="e">
        <f>AND(#REF!,"AAAAAC/+zeU=")</f>
        <v>#REF!</v>
      </c>
      <c r="HW446" t="e">
        <f>AND(#REF!,"AAAAAC/+zeY=")</f>
        <v>#REF!</v>
      </c>
      <c r="HX446" t="e">
        <f>AND(#REF!,"AAAAAC/+zec=")</f>
        <v>#REF!</v>
      </c>
      <c r="HY446" t="e">
        <f>AND(#REF!,"AAAAAC/+zeg=")</f>
        <v>#REF!</v>
      </c>
      <c r="HZ446" t="e">
        <f>AND(#REF!,"AAAAAC/+zek=")</f>
        <v>#REF!</v>
      </c>
      <c r="IA446" t="e">
        <f>AND(#REF!,"AAAAAC/+zeo=")</f>
        <v>#REF!</v>
      </c>
      <c r="IB446" t="e">
        <f>AND(#REF!,"AAAAAC/+zes=")</f>
        <v>#REF!</v>
      </c>
      <c r="IC446" t="e">
        <f>AND(#REF!,"AAAAAC/+zew=")</f>
        <v>#REF!</v>
      </c>
      <c r="ID446" t="e">
        <f>AND(#REF!,"AAAAAC/+ze0=")</f>
        <v>#REF!</v>
      </c>
      <c r="IE446" t="e">
        <f>AND(#REF!,"AAAAAC/+ze4=")</f>
        <v>#REF!</v>
      </c>
      <c r="IF446" t="e">
        <f>AND(#REF!,"AAAAAC/+ze8=")</f>
        <v>#REF!</v>
      </c>
      <c r="IG446" t="e">
        <f>IF(#REF!,"AAAAAC/+zfA=",0)</f>
        <v>#REF!</v>
      </c>
      <c r="IH446" t="e">
        <f>AND(#REF!,"AAAAAC/+zfE=")</f>
        <v>#REF!</v>
      </c>
      <c r="II446" t="e">
        <f>AND(#REF!,"AAAAAC/+zfI=")</f>
        <v>#REF!</v>
      </c>
      <c r="IJ446" t="e">
        <f>AND(#REF!,"AAAAAC/+zfM=")</f>
        <v>#REF!</v>
      </c>
      <c r="IK446" t="e">
        <f>AND(#REF!,"AAAAAC/+zfQ=")</f>
        <v>#REF!</v>
      </c>
      <c r="IL446" t="e">
        <f>AND(#REF!,"AAAAAC/+zfU=")</f>
        <v>#REF!</v>
      </c>
      <c r="IM446" t="e">
        <f>AND(#REF!,"AAAAAC/+zfY=")</f>
        <v>#REF!</v>
      </c>
      <c r="IN446" t="e">
        <f>AND(#REF!,"AAAAAC/+zfc=")</f>
        <v>#REF!</v>
      </c>
      <c r="IO446" t="e">
        <f>AND(#REF!,"AAAAAC/+zfg=")</f>
        <v>#REF!</v>
      </c>
      <c r="IP446" t="e">
        <f>AND(#REF!,"AAAAAC/+zfk=")</f>
        <v>#REF!</v>
      </c>
      <c r="IQ446" t="e">
        <f>AND(#REF!,"AAAAAC/+zfo=")</f>
        <v>#REF!</v>
      </c>
      <c r="IR446" t="e">
        <f>AND(#REF!,"AAAAAC/+zfs=")</f>
        <v>#REF!</v>
      </c>
      <c r="IS446" t="e">
        <f>AND(#REF!,"AAAAAC/+zfw=")</f>
        <v>#REF!</v>
      </c>
      <c r="IT446" t="e">
        <f>AND(#REF!,"AAAAAC/+zf0=")</f>
        <v>#REF!</v>
      </c>
      <c r="IU446" t="e">
        <f>AND(#REF!,"AAAAAC/+zf4=")</f>
        <v>#REF!</v>
      </c>
      <c r="IV446" t="e">
        <f>AND(#REF!,"AAAAAC/+zf8=")</f>
        <v>#REF!</v>
      </c>
    </row>
    <row r="447" spans="1:256">
      <c r="A447" t="e">
        <f>AND(#REF!,"AAAAAFzvfwA=")</f>
        <v>#REF!</v>
      </c>
      <c r="B447" t="e">
        <f>AND(#REF!,"AAAAAFzvfwE=")</f>
        <v>#REF!</v>
      </c>
      <c r="C447" t="e">
        <f>AND(#REF!,"AAAAAFzvfwI=")</f>
        <v>#REF!</v>
      </c>
      <c r="D447" t="e">
        <f>AND(#REF!,"AAAAAFzvfwM=")</f>
        <v>#REF!</v>
      </c>
      <c r="E447" t="e">
        <f>AND(#REF!,"AAAAAFzvfwQ=")</f>
        <v>#REF!</v>
      </c>
      <c r="F447" t="e">
        <f>AND(#REF!,"AAAAAFzvfwU=")</f>
        <v>#REF!</v>
      </c>
      <c r="G447" t="e">
        <f>AND(#REF!,"AAAAAFzvfwY=")</f>
        <v>#REF!</v>
      </c>
      <c r="H447" t="e">
        <f>AND(#REF!,"AAAAAFzvfwc=")</f>
        <v>#REF!</v>
      </c>
      <c r="I447" t="e">
        <f>AND(#REF!,"AAAAAFzvfwg=")</f>
        <v>#REF!</v>
      </c>
      <c r="J447" t="e">
        <f>IF(#REF!,"AAAAAFzvfwk=",0)</f>
        <v>#REF!</v>
      </c>
      <c r="K447" t="e">
        <f>AND(#REF!,"AAAAAFzvfwo=")</f>
        <v>#REF!</v>
      </c>
      <c r="L447" t="e">
        <f>AND(#REF!,"AAAAAFzvfws=")</f>
        <v>#REF!</v>
      </c>
      <c r="M447" t="e">
        <f>AND(#REF!,"AAAAAFzvfww=")</f>
        <v>#REF!</v>
      </c>
      <c r="N447" t="e">
        <f>AND(#REF!,"AAAAAFzvfw0=")</f>
        <v>#REF!</v>
      </c>
      <c r="O447" t="e">
        <f>AND(#REF!,"AAAAAFzvfw4=")</f>
        <v>#REF!</v>
      </c>
      <c r="P447" t="e">
        <f>AND(#REF!,"AAAAAFzvfw8=")</f>
        <v>#REF!</v>
      </c>
      <c r="Q447" t="e">
        <f>AND(#REF!,"AAAAAFzvfxA=")</f>
        <v>#REF!</v>
      </c>
      <c r="R447" t="e">
        <f>AND(#REF!,"AAAAAFzvfxE=")</f>
        <v>#REF!</v>
      </c>
      <c r="S447" t="e">
        <f>AND(#REF!,"AAAAAFzvfxI=")</f>
        <v>#REF!</v>
      </c>
      <c r="T447" t="e">
        <f>AND(#REF!,"AAAAAFzvfxM=")</f>
        <v>#REF!</v>
      </c>
      <c r="U447" t="e">
        <f>AND(#REF!,"AAAAAFzvfxQ=")</f>
        <v>#REF!</v>
      </c>
      <c r="V447" t="e">
        <f>AND(#REF!,"AAAAAFzvfxU=")</f>
        <v>#REF!</v>
      </c>
      <c r="W447" t="e">
        <f>AND(#REF!,"AAAAAFzvfxY=")</f>
        <v>#REF!</v>
      </c>
      <c r="X447" t="e">
        <f>AND(#REF!,"AAAAAFzvfxc=")</f>
        <v>#REF!</v>
      </c>
      <c r="Y447" t="e">
        <f>AND(#REF!,"AAAAAFzvfxg=")</f>
        <v>#REF!</v>
      </c>
      <c r="Z447" t="e">
        <f>AND(#REF!,"AAAAAFzvfxk=")</f>
        <v>#REF!</v>
      </c>
      <c r="AA447" t="e">
        <f>AND(#REF!,"AAAAAFzvfxo=")</f>
        <v>#REF!</v>
      </c>
      <c r="AB447" t="e">
        <f>AND(#REF!,"AAAAAFzvfxs=")</f>
        <v>#REF!</v>
      </c>
      <c r="AC447" t="e">
        <f>AND(#REF!,"AAAAAFzvfxw=")</f>
        <v>#REF!</v>
      </c>
      <c r="AD447" t="e">
        <f>AND(#REF!,"AAAAAFzvfx0=")</f>
        <v>#REF!</v>
      </c>
      <c r="AE447" t="e">
        <f>AND(#REF!,"AAAAAFzvfx4=")</f>
        <v>#REF!</v>
      </c>
      <c r="AF447" t="e">
        <f>AND(#REF!,"AAAAAFzvfx8=")</f>
        <v>#REF!</v>
      </c>
      <c r="AG447" t="e">
        <f>AND(#REF!,"AAAAAFzvfyA=")</f>
        <v>#REF!</v>
      </c>
      <c r="AH447" t="e">
        <f>AND(#REF!,"AAAAAFzvfyE=")</f>
        <v>#REF!</v>
      </c>
      <c r="AI447" t="e">
        <f>IF(#REF!,"AAAAAFzvfyI=",0)</f>
        <v>#REF!</v>
      </c>
      <c r="AJ447" t="e">
        <f>AND(#REF!,"AAAAAFzvfyM=")</f>
        <v>#REF!</v>
      </c>
      <c r="AK447" t="e">
        <f>AND(#REF!,"AAAAAFzvfyQ=")</f>
        <v>#REF!</v>
      </c>
      <c r="AL447" t="e">
        <f>AND(#REF!,"AAAAAFzvfyU=")</f>
        <v>#REF!</v>
      </c>
      <c r="AM447" t="e">
        <f>AND(#REF!,"AAAAAFzvfyY=")</f>
        <v>#REF!</v>
      </c>
      <c r="AN447" t="e">
        <f>AND(#REF!,"AAAAAFzvfyc=")</f>
        <v>#REF!</v>
      </c>
      <c r="AO447" t="e">
        <f>AND(#REF!,"AAAAAFzvfyg=")</f>
        <v>#REF!</v>
      </c>
      <c r="AP447" t="e">
        <f>AND(#REF!,"AAAAAFzvfyk=")</f>
        <v>#REF!</v>
      </c>
      <c r="AQ447" t="e">
        <f>AND(#REF!,"AAAAAFzvfyo=")</f>
        <v>#REF!</v>
      </c>
      <c r="AR447" t="e">
        <f>AND(#REF!,"AAAAAFzvfys=")</f>
        <v>#REF!</v>
      </c>
      <c r="AS447" t="e">
        <f>AND(#REF!,"AAAAAFzvfyw=")</f>
        <v>#REF!</v>
      </c>
      <c r="AT447" t="e">
        <f>AND(#REF!,"AAAAAFzvfy0=")</f>
        <v>#REF!</v>
      </c>
      <c r="AU447" t="e">
        <f>AND(#REF!,"AAAAAFzvfy4=")</f>
        <v>#REF!</v>
      </c>
      <c r="AV447" t="e">
        <f>AND(#REF!,"AAAAAFzvfy8=")</f>
        <v>#REF!</v>
      </c>
      <c r="AW447" t="e">
        <f>AND(#REF!,"AAAAAFzvfzA=")</f>
        <v>#REF!</v>
      </c>
      <c r="AX447" t="e">
        <f>AND(#REF!,"AAAAAFzvfzE=")</f>
        <v>#REF!</v>
      </c>
      <c r="AY447" t="e">
        <f>AND(#REF!,"AAAAAFzvfzI=")</f>
        <v>#REF!</v>
      </c>
      <c r="AZ447" t="e">
        <f>AND(#REF!,"AAAAAFzvfzM=")</f>
        <v>#REF!</v>
      </c>
      <c r="BA447" t="e">
        <f>AND(#REF!,"AAAAAFzvfzQ=")</f>
        <v>#REF!</v>
      </c>
      <c r="BB447" t="e">
        <f>AND(#REF!,"AAAAAFzvfzU=")</f>
        <v>#REF!</v>
      </c>
      <c r="BC447" t="e">
        <f>AND(#REF!,"AAAAAFzvfzY=")</f>
        <v>#REF!</v>
      </c>
      <c r="BD447" t="e">
        <f>AND(#REF!,"AAAAAFzvfzc=")</f>
        <v>#REF!</v>
      </c>
      <c r="BE447" t="e">
        <f>AND(#REF!,"AAAAAFzvfzg=")</f>
        <v>#REF!</v>
      </c>
      <c r="BF447" t="e">
        <f>AND(#REF!,"AAAAAFzvfzk=")</f>
        <v>#REF!</v>
      </c>
      <c r="BG447" t="e">
        <f>AND(#REF!,"AAAAAFzvfzo=")</f>
        <v>#REF!</v>
      </c>
      <c r="BH447" t="e">
        <f>IF(#REF!,"AAAAAFzvfzs=",0)</f>
        <v>#REF!</v>
      </c>
      <c r="BI447" t="e">
        <f>AND(#REF!,"AAAAAFzvfzw=")</f>
        <v>#REF!</v>
      </c>
      <c r="BJ447" t="e">
        <f>AND(#REF!,"AAAAAFzvfz0=")</f>
        <v>#REF!</v>
      </c>
      <c r="BK447" t="e">
        <f>AND(#REF!,"AAAAAFzvfz4=")</f>
        <v>#REF!</v>
      </c>
      <c r="BL447" t="e">
        <f>AND(#REF!,"AAAAAFzvfz8=")</f>
        <v>#REF!</v>
      </c>
      <c r="BM447" t="e">
        <f>AND(#REF!,"AAAAAFzvf0A=")</f>
        <v>#REF!</v>
      </c>
      <c r="BN447" t="e">
        <f>AND(#REF!,"AAAAAFzvf0E=")</f>
        <v>#REF!</v>
      </c>
      <c r="BO447" t="e">
        <f>AND(#REF!,"AAAAAFzvf0I=")</f>
        <v>#REF!</v>
      </c>
      <c r="BP447" t="e">
        <f>AND(#REF!,"AAAAAFzvf0M=")</f>
        <v>#REF!</v>
      </c>
      <c r="BQ447" t="e">
        <f>AND(#REF!,"AAAAAFzvf0Q=")</f>
        <v>#REF!</v>
      </c>
      <c r="BR447" t="e">
        <f>AND(#REF!,"AAAAAFzvf0U=")</f>
        <v>#REF!</v>
      </c>
      <c r="BS447" t="e">
        <f>AND(#REF!,"AAAAAFzvf0Y=")</f>
        <v>#REF!</v>
      </c>
      <c r="BT447" t="e">
        <f>AND(#REF!,"AAAAAFzvf0c=")</f>
        <v>#REF!</v>
      </c>
      <c r="BU447" t="e">
        <f>AND(#REF!,"AAAAAFzvf0g=")</f>
        <v>#REF!</v>
      </c>
      <c r="BV447" t="e">
        <f>AND(#REF!,"AAAAAFzvf0k=")</f>
        <v>#REF!</v>
      </c>
      <c r="BW447" t="e">
        <f>AND(#REF!,"AAAAAFzvf0o=")</f>
        <v>#REF!</v>
      </c>
      <c r="BX447" t="e">
        <f>AND(#REF!,"AAAAAFzvf0s=")</f>
        <v>#REF!</v>
      </c>
      <c r="BY447" t="e">
        <f>AND(#REF!,"AAAAAFzvf0w=")</f>
        <v>#REF!</v>
      </c>
      <c r="BZ447" t="e">
        <f>AND(#REF!,"AAAAAFzvf00=")</f>
        <v>#REF!</v>
      </c>
      <c r="CA447" t="e">
        <f>AND(#REF!,"AAAAAFzvf04=")</f>
        <v>#REF!</v>
      </c>
      <c r="CB447" t="e">
        <f>AND(#REF!,"AAAAAFzvf08=")</f>
        <v>#REF!</v>
      </c>
      <c r="CC447" t="e">
        <f>AND(#REF!,"AAAAAFzvf1A=")</f>
        <v>#REF!</v>
      </c>
      <c r="CD447" t="e">
        <f>AND(#REF!,"AAAAAFzvf1E=")</f>
        <v>#REF!</v>
      </c>
      <c r="CE447" t="e">
        <f>AND(#REF!,"AAAAAFzvf1I=")</f>
        <v>#REF!</v>
      </c>
      <c r="CF447" t="e">
        <f>AND(#REF!,"AAAAAFzvf1M=")</f>
        <v>#REF!</v>
      </c>
      <c r="CG447" t="e">
        <f>IF(#REF!,"AAAAAFzvf1Q=",0)</f>
        <v>#REF!</v>
      </c>
      <c r="CH447" t="e">
        <f>AND(#REF!,"AAAAAFzvf1U=")</f>
        <v>#REF!</v>
      </c>
      <c r="CI447" t="e">
        <f>AND(#REF!,"AAAAAFzvf1Y=")</f>
        <v>#REF!</v>
      </c>
      <c r="CJ447" t="e">
        <f>AND(#REF!,"AAAAAFzvf1c=")</f>
        <v>#REF!</v>
      </c>
      <c r="CK447" t="e">
        <f>AND(#REF!,"AAAAAFzvf1g=")</f>
        <v>#REF!</v>
      </c>
      <c r="CL447" t="e">
        <f>AND(#REF!,"AAAAAFzvf1k=")</f>
        <v>#REF!</v>
      </c>
      <c r="CM447" t="e">
        <f>AND(#REF!,"AAAAAFzvf1o=")</f>
        <v>#REF!</v>
      </c>
      <c r="CN447" t="e">
        <f>AND(#REF!,"AAAAAFzvf1s=")</f>
        <v>#REF!</v>
      </c>
      <c r="CO447" t="e">
        <f>AND(#REF!,"AAAAAFzvf1w=")</f>
        <v>#REF!</v>
      </c>
      <c r="CP447" t="e">
        <f>AND(#REF!,"AAAAAFzvf10=")</f>
        <v>#REF!</v>
      </c>
      <c r="CQ447" t="e">
        <f>AND(#REF!,"AAAAAFzvf14=")</f>
        <v>#REF!</v>
      </c>
      <c r="CR447" t="e">
        <f>AND(#REF!,"AAAAAFzvf18=")</f>
        <v>#REF!</v>
      </c>
      <c r="CS447" t="e">
        <f>AND(#REF!,"AAAAAFzvf2A=")</f>
        <v>#REF!</v>
      </c>
      <c r="CT447" t="e">
        <f>AND(#REF!,"AAAAAFzvf2E=")</f>
        <v>#REF!</v>
      </c>
      <c r="CU447" t="e">
        <f>AND(#REF!,"AAAAAFzvf2I=")</f>
        <v>#REF!</v>
      </c>
      <c r="CV447" t="e">
        <f>AND(#REF!,"AAAAAFzvf2M=")</f>
        <v>#REF!</v>
      </c>
      <c r="CW447" t="e">
        <f>AND(#REF!,"AAAAAFzvf2Q=")</f>
        <v>#REF!</v>
      </c>
      <c r="CX447" t="e">
        <f>AND(#REF!,"AAAAAFzvf2U=")</f>
        <v>#REF!</v>
      </c>
      <c r="CY447" t="e">
        <f>AND(#REF!,"AAAAAFzvf2Y=")</f>
        <v>#REF!</v>
      </c>
      <c r="CZ447" t="e">
        <f>AND(#REF!,"AAAAAFzvf2c=")</f>
        <v>#REF!</v>
      </c>
      <c r="DA447" t="e">
        <f>AND(#REF!,"AAAAAFzvf2g=")</f>
        <v>#REF!</v>
      </c>
      <c r="DB447" t="e">
        <f>AND(#REF!,"AAAAAFzvf2k=")</f>
        <v>#REF!</v>
      </c>
      <c r="DC447" t="e">
        <f>AND(#REF!,"AAAAAFzvf2o=")</f>
        <v>#REF!</v>
      </c>
      <c r="DD447" t="e">
        <f>AND(#REF!,"AAAAAFzvf2s=")</f>
        <v>#REF!</v>
      </c>
      <c r="DE447" t="e">
        <f>AND(#REF!,"AAAAAFzvf2w=")</f>
        <v>#REF!</v>
      </c>
      <c r="DF447" t="e">
        <f>IF(#REF!,"AAAAAFzvf20=",0)</f>
        <v>#REF!</v>
      </c>
      <c r="DG447" t="e">
        <f>AND(#REF!,"AAAAAFzvf24=")</f>
        <v>#REF!</v>
      </c>
      <c r="DH447" t="e">
        <f>AND(#REF!,"AAAAAFzvf28=")</f>
        <v>#REF!</v>
      </c>
      <c r="DI447" t="e">
        <f>AND(#REF!,"AAAAAFzvf3A=")</f>
        <v>#REF!</v>
      </c>
      <c r="DJ447" t="e">
        <f>AND(#REF!,"AAAAAFzvf3E=")</f>
        <v>#REF!</v>
      </c>
      <c r="DK447" t="e">
        <f>AND(#REF!,"AAAAAFzvf3I=")</f>
        <v>#REF!</v>
      </c>
      <c r="DL447" t="e">
        <f>AND(#REF!,"AAAAAFzvf3M=")</f>
        <v>#REF!</v>
      </c>
      <c r="DM447" t="e">
        <f>AND(#REF!,"AAAAAFzvf3Q=")</f>
        <v>#REF!</v>
      </c>
      <c r="DN447" t="e">
        <f>AND(#REF!,"AAAAAFzvf3U=")</f>
        <v>#REF!</v>
      </c>
      <c r="DO447" t="e">
        <f>AND(#REF!,"AAAAAFzvf3Y=")</f>
        <v>#REF!</v>
      </c>
      <c r="DP447" t="e">
        <f>AND(#REF!,"AAAAAFzvf3c=")</f>
        <v>#REF!</v>
      </c>
      <c r="DQ447" t="e">
        <f>AND(#REF!,"AAAAAFzvf3g=")</f>
        <v>#REF!</v>
      </c>
      <c r="DR447" t="e">
        <f>AND(#REF!,"AAAAAFzvf3k=")</f>
        <v>#REF!</v>
      </c>
      <c r="DS447" t="e">
        <f>AND(#REF!,"AAAAAFzvf3o=")</f>
        <v>#REF!</v>
      </c>
      <c r="DT447" t="e">
        <f>AND(#REF!,"AAAAAFzvf3s=")</f>
        <v>#REF!</v>
      </c>
      <c r="DU447" t="e">
        <f>AND(#REF!,"AAAAAFzvf3w=")</f>
        <v>#REF!</v>
      </c>
      <c r="DV447" t="e">
        <f>AND(#REF!,"AAAAAFzvf30=")</f>
        <v>#REF!</v>
      </c>
      <c r="DW447" t="e">
        <f>AND(#REF!,"AAAAAFzvf34=")</f>
        <v>#REF!</v>
      </c>
      <c r="DX447" t="e">
        <f>AND(#REF!,"AAAAAFzvf38=")</f>
        <v>#REF!</v>
      </c>
      <c r="DY447" t="e">
        <f>AND(#REF!,"AAAAAFzvf4A=")</f>
        <v>#REF!</v>
      </c>
      <c r="DZ447" t="e">
        <f>AND(#REF!,"AAAAAFzvf4E=")</f>
        <v>#REF!</v>
      </c>
      <c r="EA447" t="e">
        <f>AND(#REF!,"AAAAAFzvf4I=")</f>
        <v>#REF!</v>
      </c>
      <c r="EB447" t="e">
        <f>AND(#REF!,"AAAAAFzvf4M=")</f>
        <v>#REF!</v>
      </c>
      <c r="EC447" t="e">
        <f>AND(#REF!,"AAAAAFzvf4Q=")</f>
        <v>#REF!</v>
      </c>
      <c r="ED447" t="e">
        <f>AND(#REF!,"AAAAAFzvf4U=")</f>
        <v>#REF!</v>
      </c>
      <c r="EE447" t="e">
        <f>IF(#REF!,"AAAAAFzvf4Y=",0)</f>
        <v>#REF!</v>
      </c>
      <c r="EF447" t="e">
        <f>AND(#REF!,"AAAAAFzvf4c=")</f>
        <v>#REF!</v>
      </c>
      <c r="EG447" t="e">
        <f>AND(#REF!,"AAAAAFzvf4g=")</f>
        <v>#REF!</v>
      </c>
      <c r="EH447" t="e">
        <f>AND(#REF!,"AAAAAFzvf4k=")</f>
        <v>#REF!</v>
      </c>
      <c r="EI447" t="e">
        <f>AND(#REF!,"AAAAAFzvf4o=")</f>
        <v>#REF!</v>
      </c>
      <c r="EJ447" t="e">
        <f>AND(#REF!,"AAAAAFzvf4s=")</f>
        <v>#REF!</v>
      </c>
      <c r="EK447" t="e">
        <f>AND(#REF!,"AAAAAFzvf4w=")</f>
        <v>#REF!</v>
      </c>
      <c r="EL447" t="e">
        <f>AND(#REF!,"AAAAAFzvf40=")</f>
        <v>#REF!</v>
      </c>
      <c r="EM447" t="e">
        <f>AND(#REF!,"AAAAAFzvf44=")</f>
        <v>#REF!</v>
      </c>
      <c r="EN447" t="e">
        <f>AND(#REF!,"AAAAAFzvf48=")</f>
        <v>#REF!</v>
      </c>
      <c r="EO447" t="e">
        <f>AND(#REF!,"AAAAAFzvf5A=")</f>
        <v>#REF!</v>
      </c>
      <c r="EP447" t="e">
        <f>AND(#REF!,"AAAAAFzvf5E=")</f>
        <v>#REF!</v>
      </c>
      <c r="EQ447" t="e">
        <f>AND(#REF!,"AAAAAFzvf5I=")</f>
        <v>#REF!</v>
      </c>
      <c r="ER447" t="e">
        <f>AND(#REF!,"AAAAAFzvf5M=")</f>
        <v>#REF!</v>
      </c>
      <c r="ES447" t="e">
        <f>AND(#REF!,"AAAAAFzvf5Q=")</f>
        <v>#REF!</v>
      </c>
      <c r="ET447" t="e">
        <f>AND(#REF!,"AAAAAFzvf5U=")</f>
        <v>#REF!</v>
      </c>
      <c r="EU447" t="e">
        <f>AND(#REF!,"AAAAAFzvf5Y=")</f>
        <v>#REF!</v>
      </c>
      <c r="EV447" t="e">
        <f>AND(#REF!,"AAAAAFzvf5c=")</f>
        <v>#REF!</v>
      </c>
      <c r="EW447" t="e">
        <f>AND(#REF!,"AAAAAFzvf5g=")</f>
        <v>#REF!</v>
      </c>
      <c r="EX447" t="e">
        <f>AND(#REF!,"AAAAAFzvf5k=")</f>
        <v>#REF!</v>
      </c>
      <c r="EY447" t="e">
        <f>AND(#REF!,"AAAAAFzvf5o=")</f>
        <v>#REF!</v>
      </c>
      <c r="EZ447" t="e">
        <f>AND(#REF!,"AAAAAFzvf5s=")</f>
        <v>#REF!</v>
      </c>
      <c r="FA447" t="e">
        <f>AND(#REF!,"AAAAAFzvf5w=")</f>
        <v>#REF!</v>
      </c>
      <c r="FB447" t="e">
        <f>AND(#REF!,"AAAAAFzvf50=")</f>
        <v>#REF!</v>
      </c>
      <c r="FC447" t="e">
        <f>AND(#REF!,"AAAAAFzvf54=")</f>
        <v>#REF!</v>
      </c>
      <c r="FD447" t="e">
        <f>IF(#REF!,"AAAAAFzvf58=",0)</f>
        <v>#REF!</v>
      </c>
      <c r="FE447" t="e">
        <f>AND(#REF!,"AAAAAFzvf6A=")</f>
        <v>#REF!</v>
      </c>
      <c r="FF447" t="e">
        <f>AND(#REF!,"AAAAAFzvf6E=")</f>
        <v>#REF!</v>
      </c>
      <c r="FG447" t="e">
        <f>AND(#REF!,"AAAAAFzvf6I=")</f>
        <v>#REF!</v>
      </c>
      <c r="FH447" t="e">
        <f>AND(#REF!,"AAAAAFzvf6M=")</f>
        <v>#REF!</v>
      </c>
      <c r="FI447" t="e">
        <f>AND(#REF!,"AAAAAFzvf6Q=")</f>
        <v>#REF!</v>
      </c>
      <c r="FJ447" t="e">
        <f>AND(#REF!,"AAAAAFzvf6U=")</f>
        <v>#REF!</v>
      </c>
      <c r="FK447" t="e">
        <f>AND(#REF!,"AAAAAFzvf6Y=")</f>
        <v>#REF!</v>
      </c>
      <c r="FL447" t="e">
        <f>AND(#REF!,"AAAAAFzvf6c=")</f>
        <v>#REF!</v>
      </c>
      <c r="FM447" t="e">
        <f>AND(#REF!,"AAAAAFzvf6g=")</f>
        <v>#REF!</v>
      </c>
      <c r="FN447" t="e">
        <f>AND(#REF!,"AAAAAFzvf6k=")</f>
        <v>#REF!</v>
      </c>
      <c r="FO447" t="e">
        <f>AND(#REF!,"AAAAAFzvf6o=")</f>
        <v>#REF!</v>
      </c>
      <c r="FP447" t="e">
        <f>AND(#REF!,"AAAAAFzvf6s=")</f>
        <v>#REF!</v>
      </c>
      <c r="FQ447" t="e">
        <f>AND(#REF!,"AAAAAFzvf6w=")</f>
        <v>#REF!</v>
      </c>
      <c r="FR447" t="e">
        <f>AND(#REF!,"AAAAAFzvf60=")</f>
        <v>#REF!</v>
      </c>
      <c r="FS447" t="e">
        <f>AND(#REF!,"AAAAAFzvf64=")</f>
        <v>#REF!</v>
      </c>
      <c r="FT447" t="e">
        <f>AND(#REF!,"AAAAAFzvf68=")</f>
        <v>#REF!</v>
      </c>
      <c r="FU447" t="e">
        <f>AND(#REF!,"AAAAAFzvf7A=")</f>
        <v>#REF!</v>
      </c>
      <c r="FV447" t="e">
        <f>AND(#REF!,"AAAAAFzvf7E=")</f>
        <v>#REF!</v>
      </c>
      <c r="FW447" t="e">
        <f>AND(#REF!,"AAAAAFzvf7I=")</f>
        <v>#REF!</v>
      </c>
      <c r="FX447" t="e">
        <f>AND(#REF!,"AAAAAFzvf7M=")</f>
        <v>#REF!</v>
      </c>
      <c r="FY447" t="e">
        <f>AND(#REF!,"AAAAAFzvf7Q=")</f>
        <v>#REF!</v>
      </c>
      <c r="FZ447" t="e">
        <f>AND(#REF!,"AAAAAFzvf7U=")</f>
        <v>#REF!</v>
      </c>
      <c r="GA447" t="e">
        <f>AND(#REF!,"AAAAAFzvf7Y=")</f>
        <v>#REF!</v>
      </c>
      <c r="GB447" t="e">
        <f>AND(#REF!,"AAAAAFzvf7c=")</f>
        <v>#REF!</v>
      </c>
      <c r="GC447" t="e">
        <f>IF(#REF!,"AAAAAFzvf7g=",0)</f>
        <v>#REF!</v>
      </c>
      <c r="GD447" t="e">
        <f>AND(#REF!,"AAAAAFzvf7k=")</f>
        <v>#REF!</v>
      </c>
      <c r="GE447" t="e">
        <f>AND(#REF!,"AAAAAFzvf7o=")</f>
        <v>#REF!</v>
      </c>
      <c r="GF447" t="e">
        <f>AND(#REF!,"AAAAAFzvf7s=")</f>
        <v>#REF!</v>
      </c>
      <c r="GG447" t="e">
        <f>AND(#REF!,"AAAAAFzvf7w=")</f>
        <v>#REF!</v>
      </c>
      <c r="GH447" t="e">
        <f>AND(#REF!,"AAAAAFzvf70=")</f>
        <v>#REF!</v>
      </c>
      <c r="GI447" t="e">
        <f>AND(#REF!,"AAAAAFzvf74=")</f>
        <v>#REF!</v>
      </c>
      <c r="GJ447" t="e">
        <f>AND(#REF!,"AAAAAFzvf78=")</f>
        <v>#REF!</v>
      </c>
      <c r="GK447" t="e">
        <f>AND(#REF!,"AAAAAFzvf8A=")</f>
        <v>#REF!</v>
      </c>
      <c r="GL447" t="e">
        <f>AND(#REF!,"AAAAAFzvf8E=")</f>
        <v>#REF!</v>
      </c>
      <c r="GM447" t="e">
        <f>AND(#REF!,"AAAAAFzvf8I=")</f>
        <v>#REF!</v>
      </c>
      <c r="GN447" t="e">
        <f>AND(#REF!,"AAAAAFzvf8M=")</f>
        <v>#REF!</v>
      </c>
      <c r="GO447" t="e">
        <f>AND(#REF!,"AAAAAFzvf8Q=")</f>
        <v>#REF!</v>
      </c>
      <c r="GP447" t="e">
        <f>AND(#REF!,"AAAAAFzvf8U=")</f>
        <v>#REF!</v>
      </c>
      <c r="GQ447" t="e">
        <f>AND(#REF!,"AAAAAFzvf8Y=")</f>
        <v>#REF!</v>
      </c>
      <c r="GR447" t="e">
        <f>AND(#REF!,"AAAAAFzvf8c=")</f>
        <v>#REF!</v>
      </c>
      <c r="GS447" t="e">
        <f>AND(#REF!,"AAAAAFzvf8g=")</f>
        <v>#REF!</v>
      </c>
      <c r="GT447" t="e">
        <f>AND(#REF!,"AAAAAFzvf8k=")</f>
        <v>#REF!</v>
      </c>
      <c r="GU447" t="e">
        <f>AND(#REF!,"AAAAAFzvf8o=")</f>
        <v>#REF!</v>
      </c>
      <c r="GV447" t="e">
        <f>AND(#REF!,"AAAAAFzvf8s=")</f>
        <v>#REF!</v>
      </c>
      <c r="GW447" t="e">
        <f>AND(#REF!,"AAAAAFzvf8w=")</f>
        <v>#REF!</v>
      </c>
      <c r="GX447" t="e">
        <f>AND(#REF!,"AAAAAFzvf80=")</f>
        <v>#REF!</v>
      </c>
      <c r="GY447" t="e">
        <f>AND(#REF!,"AAAAAFzvf84=")</f>
        <v>#REF!</v>
      </c>
      <c r="GZ447" t="e">
        <f>AND(#REF!,"AAAAAFzvf88=")</f>
        <v>#REF!</v>
      </c>
      <c r="HA447" t="e">
        <f>AND(#REF!,"AAAAAFzvf9A=")</f>
        <v>#REF!</v>
      </c>
      <c r="HB447" t="e">
        <f>IF(#REF!,"AAAAAFzvf9E=",0)</f>
        <v>#REF!</v>
      </c>
      <c r="HC447" t="e">
        <f>AND(#REF!,"AAAAAFzvf9I=")</f>
        <v>#REF!</v>
      </c>
      <c r="HD447" t="e">
        <f>AND(#REF!,"AAAAAFzvf9M=")</f>
        <v>#REF!</v>
      </c>
      <c r="HE447" t="e">
        <f>AND(#REF!,"AAAAAFzvf9Q=")</f>
        <v>#REF!</v>
      </c>
      <c r="HF447" t="e">
        <f>AND(#REF!,"AAAAAFzvf9U=")</f>
        <v>#REF!</v>
      </c>
      <c r="HG447" t="e">
        <f>AND(#REF!,"AAAAAFzvf9Y=")</f>
        <v>#REF!</v>
      </c>
      <c r="HH447" t="e">
        <f>AND(#REF!,"AAAAAFzvf9c=")</f>
        <v>#REF!</v>
      </c>
      <c r="HI447" t="e">
        <f>AND(#REF!,"AAAAAFzvf9g=")</f>
        <v>#REF!</v>
      </c>
      <c r="HJ447" t="e">
        <f>AND(#REF!,"AAAAAFzvf9k=")</f>
        <v>#REF!</v>
      </c>
      <c r="HK447" t="e">
        <f>AND(#REF!,"AAAAAFzvf9o=")</f>
        <v>#REF!</v>
      </c>
      <c r="HL447" t="e">
        <f>AND(#REF!,"AAAAAFzvf9s=")</f>
        <v>#REF!</v>
      </c>
      <c r="HM447" t="e">
        <f>AND(#REF!,"AAAAAFzvf9w=")</f>
        <v>#REF!</v>
      </c>
      <c r="HN447" t="e">
        <f>AND(#REF!,"AAAAAFzvf90=")</f>
        <v>#REF!</v>
      </c>
      <c r="HO447" t="e">
        <f>AND(#REF!,"AAAAAFzvf94=")</f>
        <v>#REF!</v>
      </c>
      <c r="HP447" t="e">
        <f>AND(#REF!,"AAAAAFzvf98=")</f>
        <v>#REF!</v>
      </c>
      <c r="HQ447" t="e">
        <f>AND(#REF!,"AAAAAFzvf+A=")</f>
        <v>#REF!</v>
      </c>
      <c r="HR447" t="e">
        <f>AND(#REF!,"AAAAAFzvf+E=")</f>
        <v>#REF!</v>
      </c>
      <c r="HS447" t="e">
        <f>AND(#REF!,"AAAAAFzvf+I=")</f>
        <v>#REF!</v>
      </c>
      <c r="HT447" t="e">
        <f>AND(#REF!,"AAAAAFzvf+M=")</f>
        <v>#REF!</v>
      </c>
      <c r="HU447" t="e">
        <f>AND(#REF!,"AAAAAFzvf+Q=")</f>
        <v>#REF!</v>
      </c>
      <c r="HV447" t="e">
        <f>AND(#REF!,"AAAAAFzvf+U=")</f>
        <v>#REF!</v>
      </c>
      <c r="HW447" t="e">
        <f>AND(#REF!,"AAAAAFzvf+Y=")</f>
        <v>#REF!</v>
      </c>
      <c r="HX447" t="e">
        <f>AND(#REF!,"AAAAAFzvf+c=")</f>
        <v>#REF!</v>
      </c>
      <c r="HY447" t="e">
        <f>AND(#REF!,"AAAAAFzvf+g=")</f>
        <v>#REF!</v>
      </c>
      <c r="HZ447" t="e">
        <f>AND(#REF!,"AAAAAFzvf+k=")</f>
        <v>#REF!</v>
      </c>
      <c r="IA447" t="e">
        <f>IF(#REF!,"AAAAAFzvf+o=",0)</f>
        <v>#REF!</v>
      </c>
      <c r="IB447" t="e">
        <f>AND(#REF!,"AAAAAFzvf+s=")</f>
        <v>#REF!</v>
      </c>
      <c r="IC447" t="e">
        <f>AND(#REF!,"AAAAAFzvf+w=")</f>
        <v>#REF!</v>
      </c>
      <c r="ID447" t="e">
        <f>AND(#REF!,"AAAAAFzvf+0=")</f>
        <v>#REF!</v>
      </c>
      <c r="IE447" t="e">
        <f>AND(#REF!,"AAAAAFzvf+4=")</f>
        <v>#REF!</v>
      </c>
      <c r="IF447" t="e">
        <f>AND(#REF!,"AAAAAFzvf+8=")</f>
        <v>#REF!</v>
      </c>
      <c r="IG447" t="e">
        <f>AND(#REF!,"AAAAAFzvf/A=")</f>
        <v>#REF!</v>
      </c>
      <c r="IH447" t="e">
        <f>AND(#REF!,"AAAAAFzvf/E=")</f>
        <v>#REF!</v>
      </c>
      <c r="II447" t="e">
        <f>AND(#REF!,"AAAAAFzvf/I=")</f>
        <v>#REF!</v>
      </c>
      <c r="IJ447" t="e">
        <f>AND(#REF!,"AAAAAFzvf/M=")</f>
        <v>#REF!</v>
      </c>
      <c r="IK447" t="e">
        <f>AND(#REF!,"AAAAAFzvf/Q=")</f>
        <v>#REF!</v>
      </c>
      <c r="IL447" t="e">
        <f>AND(#REF!,"AAAAAFzvf/U=")</f>
        <v>#REF!</v>
      </c>
      <c r="IM447" t="e">
        <f>AND(#REF!,"AAAAAFzvf/Y=")</f>
        <v>#REF!</v>
      </c>
      <c r="IN447" t="e">
        <f>AND(#REF!,"AAAAAFzvf/c=")</f>
        <v>#REF!</v>
      </c>
      <c r="IO447" t="e">
        <f>AND(#REF!,"AAAAAFzvf/g=")</f>
        <v>#REF!</v>
      </c>
      <c r="IP447" t="e">
        <f>AND(#REF!,"AAAAAFzvf/k=")</f>
        <v>#REF!</v>
      </c>
      <c r="IQ447" t="e">
        <f>AND(#REF!,"AAAAAFzvf/o=")</f>
        <v>#REF!</v>
      </c>
      <c r="IR447" t="e">
        <f>AND(#REF!,"AAAAAFzvf/s=")</f>
        <v>#REF!</v>
      </c>
      <c r="IS447" t="e">
        <f>AND(#REF!,"AAAAAFzvf/w=")</f>
        <v>#REF!</v>
      </c>
      <c r="IT447" t="e">
        <f>AND(#REF!,"AAAAAFzvf/0=")</f>
        <v>#REF!</v>
      </c>
      <c r="IU447" t="e">
        <f>AND(#REF!,"AAAAAFzvf/4=")</f>
        <v>#REF!</v>
      </c>
      <c r="IV447" t="e">
        <f>AND(#REF!,"AAAAAFzvf/8=")</f>
        <v>#REF!</v>
      </c>
    </row>
    <row r="448" spans="1:256">
      <c r="A448" t="e">
        <f>AND(#REF!,"AAAAAHX5+wA=")</f>
        <v>#REF!</v>
      </c>
      <c r="B448" t="e">
        <f>AND(#REF!,"AAAAAHX5+wE=")</f>
        <v>#REF!</v>
      </c>
      <c r="C448" t="e">
        <f>AND(#REF!,"AAAAAHX5+wI=")</f>
        <v>#REF!</v>
      </c>
      <c r="D448" t="e">
        <f>IF(#REF!,"AAAAAHX5+wM=",0)</f>
        <v>#REF!</v>
      </c>
      <c r="E448" t="e">
        <f>AND(#REF!,"AAAAAHX5+wQ=")</f>
        <v>#REF!</v>
      </c>
      <c r="F448" t="e">
        <f>AND(#REF!,"AAAAAHX5+wU=")</f>
        <v>#REF!</v>
      </c>
      <c r="G448" t="e">
        <f>AND(#REF!,"AAAAAHX5+wY=")</f>
        <v>#REF!</v>
      </c>
      <c r="H448" t="e">
        <f>AND(#REF!,"AAAAAHX5+wc=")</f>
        <v>#REF!</v>
      </c>
      <c r="I448" t="e">
        <f>AND(#REF!,"AAAAAHX5+wg=")</f>
        <v>#REF!</v>
      </c>
      <c r="J448" t="e">
        <f>AND(#REF!,"AAAAAHX5+wk=")</f>
        <v>#REF!</v>
      </c>
      <c r="K448" t="e">
        <f>AND(#REF!,"AAAAAHX5+wo=")</f>
        <v>#REF!</v>
      </c>
      <c r="L448" t="e">
        <f>AND(#REF!,"AAAAAHX5+ws=")</f>
        <v>#REF!</v>
      </c>
      <c r="M448" t="e">
        <f>AND(#REF!,"AAAAAHX5+ww=")</f>
        <v>#REF!</v>
      </c>
      <c r="N448" t="e">
        <f>AND(#REF!,"AAAAAHX5+w0=")</f>
        <v>#REF!</v>
      </c>
      <c r="O448" t="e">
        <f>AND(#REF!,"AAAAAHX5+w4=")</f>
        <v>#REF!</v>
      </c>
      <c r="P448" t="e">
        <f>AND(#REF!,"AAAAAHX5+w8=")</f>
        <v>#REF!</v>
      </c>
      <c r="Q448" t="e">
        <f>AND(#REF!,"AAAAAHX5+xA=")</f>
        <v>#REF!</v>
      </c>
      <c r="R448" t="e">
        <f>AND(#REF!,"AAAAAHX5+xE=")</f>
        <v>#REF!</v>
      </c>
      <c r="S448" t="e">
        <f>AND(#REF!,"AAAAAHX5+xI=")</f>
        <v>#REF!</v>
      </c>
      <c r="T448" t="e">
        <f>AND(#REF!,"AAAAAHX5+xM=")</f>
        <v>#REF!</v>
      </c>
      <c r="U448" t="e">
        <f>AND(#REF!,"AAAAAHX5+xQ=")</f>
        <v>#REF!</v>
      </c>
      <c r="V448" t="e">
        <f>AND(#REF!,"AAAAAHX5+xU=")</f>
        <v>#REF!</v>
      </c>
      <c r="W448" t="e">
        <f>AND(#REF!,"AAAAAHX5+xY=")</f>
        <v>#REF!</v>
      </c>
      <c r="X448" t="e">
        <f>AND(#REF!,"AAAAAHX5+xc=")</f>
        <v>#REF!</v>
      </c>
      <c r="Y448" t="e">
        <f>AND(#REF!,"AAAAAHX5+xg=")</f>
        <v>#REF!</v>
      </c>
      <c r="Z448" t="e">
        <f>AND(#REF!,"AAAAAHX5+xk=")</f>
        <v>#REF!</v>
      </c>
      <c r="AA448" t="e">
        <f>AND(#REF!,"AAAAAHX5+xo=")</f>
        <v>#REF!</v>
      </c>
      <c r="AB448" t="e">
        <f>AND(#REF!,"AAAAAHX5+xs=")</f>
        <v>#REF!</v>
      </c>
      <c r="AC448" t="e">
        <f>IF(#REF!,"AAAAAHX5+xw=",0)</f>
        <v>#REF!</v>
      </c>
      <c r="AD448" t="e">
        <f>AND(#REF!,"AAAAAHX5+x0=")</f>
        <v>#REF!</v>
      </c>
      <c r="AE448" t="e">
        <f>AND(#REF!,"AAAAAHX5+x4=")</f>
        <v>#REF!</v>
      </c>
      <c r="AF448" t="e">
        <f>AND(#REF!,"AAAAAHX5+x8=")</f>
        <v>#REF!</v>
      </c>
      <c r="AG448" t="e">
        <f>AND(#REF!,"AAAAAHX5+yA=")</f>
        <v>#REF!</v>
      </c>
      <c r="AH448" t="e">
        <f>AND(#REF!,"AAAAAHX5+yE=")</f>
        <v>#REF!</v>
      </c>
      <c r="AI448" t="e">
        <f>AND(#REF!,"AAAAAHX5+yI=")</f>
        <v>#REF!</v>
      </c>
      <c r="AJ448" t="e">
        <f>AND(#REF!,"AAAAAHX5+yM=")</f>
        <v>#REF!</v>
      </c>
      <c r="AK448" t="e">
        <f>AND(#REF!,"AAAAAHX5+yQ=")</f>
        <v>#REF!</v>
      </c>
      <c r="AL448" t="e">
        <f>AND(#REF!,"AAAAAHX5+yU=")</f>
        <v>#REF!</v>
      </c>
      <c r="AM448" t="e">
        <f>AND(#REF!,"AAAAAHX5+yY=")</f>
        <v>#REF!</v>
      </c>
      <c r="AN448" t="e">
        <f>AND(#REF!,"AAAAAHX5+yc=")</f>
        <v>#REF!</v>
      </c>
      <c r="AO448" t="e">
        <f>AND(#REF!,"AAAAAHX5+yg=")</f>
        <v>#REF!</v>
      </c>
      <c r="AP448" t="e">
        <f>AND(#REF!,"AAAAAHX5+yk=")</f>
        <v>#REF!</v>
      </c>
      <c r="AQ448" t="e">
        <f>AND(#REF!,"AAAAAHX5+yo=")</f>
        <v>#REF!</v>
      </c>
      <c r="AR448" t="e">
        <f>AND(#REF!,"AAAAAHX5+ys=")</f>
        <v>#REF!</v>
      </c>
      <c r="AS448" t="e">
        <f>AND(#REF!,"AAAAAHX5+yw=")</f>
        <v>#REF!</v>
      </c>
      <c r="AT448" t="e">
        <f>AND(#REF!,"AAAAAHX5+y0=")</f>
        <v>#REF!</v>
      </c>
      <c r="AU448" t="e">
        <f>AND(#REF!,"AAAAAHX5+y4=")</f>
        <v>#REF!</v>
      </c>
      <c r="AV448" t="e">
        <f>AND(#REF!,"AAAAAHX5+y8=")</f>
        <v>#REF!</v>
      </c>
      <c r="AW448" t="e">
        <f>AND(#REF!,"AAAAAHX5+zA=")</f>
        <v>#REF!</v>
      </c>
      <c r="AX448" t="e">
        <f>AND(#REF!,"AAAAAHX5+zE=")</f>
        <v>#REF!</v>
      </c>
      <c r="AY448" t="e">
        <f>AND(#REF!,"AAAAAHX5+zI=")</f>
        <v>#REF!</v>
      </c>
      <c r="AZ448" t="e">
        <f>AND(#REF!,"AAAAAHX5+zM=")</f>
        <v>#REF!</v>
      </c>
      <c r="BA448" t="e">
        <f>AND(#REF!,"AAAAAHX5+zQ=")</f>
        <v>#REF!</v>
      </c>
      <c r="BB448" t="e">
        <f>IF(#REF!,"AAAAAHX5+zU=",0)</f>
        <v>#REF!</v>
      </c>
      <c r="BC448" t="e">
        <f>AND(#REF!,"AAAAAHX5+zY=")</f>
        <v>#REF!</v>
      </c>
      <c r="BD448" t="e">
        <f>AND(#REF!,"AAAAAHX5+zc=")</f>
        <v>#REF!</v>
      </c>
      <c r="BE448" t="e">
        <f>AND(#REF!,"AAAAAHX5+zg=")</f>
        <v>#REF!</v>
      </c>
      <c r="BF448" t="e">
        <f>AND(#REF!,"AAAAAHX5+zk=")</f>
        <v>#REF!</v>
      </c>
      <c r="BG448" t="e">
        <f>AND(#REF!,"AAAAAHX5+zo=")</f>
        <v>#REF!</v>
      </c>
      <c r="BH448" t="e">
        <f>AND(#REF!,"AAAAAHX5+zs=")</f>
        <v>#REF!</v>
      </c>
      <c r="BI448" t="e">
        <f>AND(#REF!,"AAAAAHX5+zw=")</f>
        <v>#REF!</v>
      </c>
      <c r="BJ448" t="e">
        <f>AND(#REF!,"AAAAAHX5+z0=")</f>
        <v>#REF!</v>
      </c>
      <c r="BK448" t="e">
        <f>AND(#REF!,"AAAAAHX5+z4=")</f>
        <v>#REF!</v>
      </c>
      <c r="BL448" t="e">
        <f>AND(#REF!,"AAAAAHX5+z8=")</f>
        <v>#REF!</v>
      </c>
      <c r="BM448" t="e">
        <f>AND(#REF!,"AAAAAHX5+0A=")</f>
        <v>#REF!</v>
      </c>
      <c r="BN448" t="e">
        <f>AND(#REF!,"AAAAAHX5+0E=")</f>
        <v>#REF!</v>
      </c>
      <c r="BO448" t="e">
        <f>AND(#REF!,"AAAAAHX5+0I=")</f>
        <v>#REF!</v>
      </c>
      <c r="BP448" t="e">
        <f>AND(#REF!,"AAAAAHX5+0M=")</f>
        <v>#REF!</v>
      </c>
      <c r="BQ448" t="e">
        <f>AND(#REF!,"AAAAAHX5+0Q=")</f>
        <v>#REF!</v>
      </c>
      <c r="BR448" t="e">
        <f>AND(#REF!,"AAAAAHX5+0U=")</f>
        <v>#REF!</v>
      </c>
      <c r="BS448" t="e">
        <f>AND(#REF!,"AAAAAHX5+0Y=")</f>
        <v>#REF!</v>
      </c>
      <c r="BT448" t="e">
        <f>AND(#REF!,"AAAAAHX5+0c=")</f>
        <v>#REF!</v>
      </c>
      <c r="BU448" t="e">
        <f>AND(#REF!,"AAAAAHX5+0g=")</f>
        <v>#REF!</v>
      </c>
      <c r="BV448" t="e">
        <f>AND(#REF!,"AAAAAHX5+0k=")</f>
        <v>#REF!</v>
      </c>
      <c r="BW448" t="e">
        <f>AND(#REF!,"AAAAAHX5+0o=")</f>
        <v>#REF!</v>
      </c>
      <c r="BX448" t="e">
        <f>AND(#REF!,"AAAAAHX5+0s=")</f>
        <v>#REF!</v>
      </c>
      <c r="BY448" t="e">
        <f>AND(#REF!,"AAAAAHX5+0w=")</f>
        <v>#REF!</v>
      </c>
      <c r="BZ448" t="e">
        <f>AND(#REF!,"AAAAAHX5+00=")</f>
        <v>#REF!</v>
      </c>
      <c r="CA448" t="e">
        <f>IF(#REF!,"AAAAAHX5+04=",0)</f>
        <v>#REF!</v>
      </c>
      <c r="CB448" t="e">
        <f>AND(#REF!,"AAAAAHX5+08=")</f>
        <v>#REF!</v>
      </c>
      <c r="CC448" t="e">
        <f>AND(#REF!,"AAAAAHX5+1A=")</f>
        <v>#REF!</v>
      </c>
      <c r="CD448" t="e">
        <f>AND(#REF!,"AAAAAHX5+1E=")</f>
        <v>#REF!</v>
      </c>
      <c r="CE448" t="e">
        <f>AND(#REF!,"AAAAAHX5+1I=")</f>
        <v>#REF!</v>
      </c>
      <c r="CF448" t="e">
        <f>AND(#REF!,"AAAAAHX5+1M=")</f>
        <v>#REF!</v>
      </c>
      <c r="CG448" t="e">
        <f>AND(#REF!,"AAAAAHX5+1Q=")</f>
        <v>#REF!</v>
      </c>
      <c r="CH448" t="e">
        <f>AND(#REF!,"AAAAAHX5+1U=")</f>
        <v>#REF!</v>
      </c>
      <c r="CI448" t="e">
        <f>AND(#REF!,"AAAAAHX5+1Y=")</f>
        <v>#REF!</v>
      </c>
      <c r="CJ448" t="e">
        <f>AND(#REF!,"AAAAAHX5+1c=")</f>
        <v>#REF!</v>
      </c>
      <c r="CK448" t="e">
        <f>AND(#REF!,"AAAAAHX5+1g=")</f>
        <v>#REF!</v>
      </c>
      <c r="CL448" t="e">
        <f>AND(#REF!,"AAAAAHX5+1k=")</f>
        <v>#REF!</v>
      </c>
      <c r="CM448" t="e">
        <f>AND(#REF!,"AAAAAHX5+1o=")</f>
        <v>#REF!</v>
      </c>
      <c r="CN448" t="e">
        <f>AND(#REF!,"AAAAAHX5+1s=")</f>
        <v>#REF!</v>
      </c>
      <c r="CO448" t="e">
        <f>AND(#REF!,"AAAAAHX5+1w=")</f>
        <v>#REF!</v>
      </c>
      <c r="CP448" t="e">
        <f>AND(#REF!,"AAAAAHX5+10=")</f>
        <v>#REF!</v>
      </c>
      <c r="CQ448" t="e">
        <f>AND(#REF!,"AAAAAHX5+14=")</f>
        <v>#REF!</v>
      </c>
      <c r="CR448" t="e">
        <f>AND(#REF!,"AAAAAHX5+18=")</f>
        <v>#REF!</v>
      </c>
      <c r="CS448" t="e">
        <f>AND(#REF!,"AAAAAHX5+2A=")</f>
        <v>#REF!</v>
      </c>
      <c r="CT448" t="e">
        <f>AND(#REF!,"AAAAAHX5+2E=")</f>
        <v>#REF!</v>
      </c>
      <c r="CU448" t="e">
        <f>AND(#REF!,"AAAAAHX5+2I=")</f>
        <v>#REF!</v>
      </c>
      <c r="CV448" t="e">
        <f>AND(#REF!,"AAAAAHX5+2M=")</f>
        <v>#REF!</v>
      </c>
      <c r="CW448" t="e">
        <f>AND(#REF!,"AAAAAHX5+2Q=")</f>
        <v>#REF!</v>
      </c>
      <c r="CX448" t="e">
        <f>AND(#REF!,"AAAAAHX5+2U=")</f>
        <v>#REF!</v>
      </c>
      <c r="CY448" t="e">
        <f>AND(#REF!,"AAAAAHX5+2Y=")</f>
        <v>#REF!</v>
      </c>
      <c r="CZ448" t="e">
        <f>IF(#REF!,"AAAAAHX5+2c=",0)</f>
        <v>#REF!</v>
      </c>
      <c r="DA448" t="e">
        <f>AND(#REF!,"AAAAAHX5+2g=")</f>
        <v>#REF!</v>
      </c>
      <c r="DB448" t="e">
        <f>AND(#REF!,"AAAAAHX5+2k=")</f>
        <v>#REF!</v>
      </c>
      <c r="DC448" t="e">
        <f>AND(#REF!,"AAAAAHX5+2o=")</f>
        <v>#REF!</v>
      </c>
      <c r="DD448" t="e">
        <f>AND(#REF!,"AAAAAHX5+2s=")</f>
        <v>#REF!</v>
      </c>
      <c r="DE448" t="e">
        <f>AND(#REF!,"AAAAAHX5+2w=")</f>
        <v>#REF!</v>
      </c>
      <c r="DF448" t="e">
        <f>AND(#REF!,"AAAAAHX5+20=")</f>
        <v>#REF!</v>
      </c>
      <c r="DG448" t="e">
        <f>AND(#REF!,"AAAAAHX5+24=")</f>
        <v>#REF!</v>
      </c>
      <c r="DH448" t="e">
        <f>AND(#REF!,"AAAAAHX5+28=")</f>
        <v>#REF!</v>
      </c>
      <c r="DI448" t="e">
        <f>AND(#REF!,"AAAAAHX5+3A=")</f>
        <v>#REF!</v>
      </c>
      <c r="DJ448" t="e">
        <f>AND(#REF!,"AAAAAHX5+3E=")</f>
        <v>#REF!</v>
      </c>
      <c r="DK448" t="e">
        <f>AND(#REF!,"AAAAAHX5+3I=")</f>
        <v>#REF!</v>
      </c>
      <c r="DL448" t="e">
        <f>AND(#REF!,"AAAAAHX5+3M=")</f>
        <v>#REF!</v>
      </c>
      <c r="DM448" t="e">
        <f>AND(#REF!,"AAAAAHX5+3Q=")</f>
        <v>#REF!</v>
      </c>
      <c r="DN448" t="e">
        <f>AND(#REF!,"AAAAAHX5+3U=")</f>
        <v>#REF!</v>
      </c>
      <c r="DO448" t="e">
        <f>AND(#REF!,"AAAAAHX5+3Y=")</f>
        <v>#REF!</v>
      </c>
      <c r="DP448" t="e">
        <f>AND(#REF!,"AAAAAHX5+3c=")</f>
        <v>#REF!</v>
      </c>
      <c r="DQ448" t="e">
        <f>AND(#REF!,"AAAAAHX5+3g=")</f>
        <v>#REF!</v>
      </c>
      <c r="DR448" t="e">
        <f>AND(#REF!,"AAAAAHX5+3k=")</f>
        <v>#REF!</v>
      </c>
      <c r="DS448" t="e">
        <f>AND(#REF!,"AAAAAHX5+3o=")</f>
        <v>#REF!</v>
      </c>
      <c r="DT448" t="e">
        <f>AND(#REF!,"AAAAAHX5+3s=")</f>
        <v>#REF!</v>
      </c>
      <c r="DU448" t="e">
        <f>AND(#REF!,"AAAAAHX5+3w=")</f>
        <v>#REF!</v>
      </c>
      <c r="DV448" t="e">
        <f>AND(#REF!,"AAAAAHX5+30=")</f>
        <v>#REF!</v>
      </c>
      <c r="DW448" t="e">
        <f>AND(#REF!,"AAAAAHX5+34=")</f>
        <v>#REF!</v>
      </c>
      <c r="DX448" t="e">
        <f>AND(#REF!,"AAAAAHX5+38=")</f>
        <v>#REF!</v>
      </c>
      <c r="DY448" t="e">
        <f>IF(#REF!,"AAAAAHX5+4A=",0)</f>
        <v>#REF!</v>
      </c>
      <c r="DZ448" t="e">
        <f>AND(#REF!,"AAAAAHX5+4E=")</f>
        <v>#REF!</v>
      </c>
      <c r="EA448" t="e">
        <f>AND(#REF!,"AAAAAHX5+4I=")</f>
        <v>#REF!</v>
      </c>
      <c r="EB448" t="e">
        <f>AND(#REF!,"AAAAAHX5+4M=")</f>
        <v>#REF!</v>
      </c>
      <c r="EC448" t="e">
        <f>AND(#REF!,"AAAAAHX5+4Q=")</f>
        <v>#REF!</v>
      </c>
      <c r="ED448" t="e">
        <f>AND(#REF!,"AAAAAHX5+4U=")</f>
        <v>#REF!</v>
      </c>
      <c r="EE448" t="e">
        <f>AND(#REF!,"AAAAAHX5+4Y=")</f>
        <v>#REF!</v>
      </c>
      <c r="EF448" t="e">
        <f>AND(#REF!,"AAAAAHX5+4c=")</f>
        <v>#REF!</v>
      </c>
      <c r="EG448" t="e">
        <f>AND(#REF!,"AAAAAHX5+4g=")</f>
        <v>#REF!</v>
      </c>
      <c r="EH448" t="e">
        <f>AND(#REF!,"AAAAAHX5+4k=")</f>
        <v>#REF!</v>
      </c>
      <c r="EI448" t="e">
        <f>AND(#REF!,"AAAAAHX5+4o=")</f>
        <v>#REF!</v>
      </c>
      <c r="EJ448" t="e">
        <f>AND(#REF!,"AAAAAHX5+4s=")</f>
        <v>#REF!</v>
      </c>
      <c r="EK448" t="e">
        <f>AND(#REF!,"AAAAAHX5+4w=")</f>
        <v>#REF!</v>
      </c>
      <c r="EL448" t="e">
        <f>AND(#REF!,"AAAAAHX5+40=")</f>
        <v>#REF!</v>
      </c>
      <c r="EM448" t="e">
        <f>AND(#REF!,"AAAAAHX5+44=")</f>
        <v>#REF!</v>
      </c>
      <c r="EN448" t="e">
        <f>AND(#REF!,"AAAAAHX5+48=")</f>
        <v>#REF!</v>
      </c>
      <c r="EO448" t="e">
        <f>AND(#REF!,"AAAAAHX5+5A=")</f>
        <v>#REF!</v>
      </c>
      <c r="EP448" t="e">
        <f>AND(#REF!,"AAAAAHX5+5E=")</f>
        <v>#REF!</v>
      </c>
      <c r="EQ448" t="e">
        <f>AND(#REF!,"AAAAAHX5+5I=")</f>
        <v>#REF!</v>
      </c>
      <c r="ER448" t="e">
        <f>AND(#REF!,"AAAAAHX5+5M=")</f>
        <v>#REF!</v>
      </c>
      <c r="ES448" t="e">
        <f>AND(#REF!,"AAAAAHX5+5Q=")</f>
        <v>#REF!</v>
      </c>
      <c r="ET448" t="e">
        <f>AND(#REF!,"AAAAAHX5+5U=")</f>
        <v>#REF!</v>
      </c>
      <c r="EU448" t="e">
        <f>AND(#REF!,"AAAAAHX5+5Y=")</f>
        <v>#REF!</v>
      </c>
      <c r="EV448" t="e">
        <f>AND(#REF!,"AAAAAHX5+5c=")</f>
        <v>#REF!</v>
      </c>
      <c r="EW448" t="e">
        <f>AND(#REF!,"AAAAAHX5+5g=")</f>
        <v>#REF!</v>
      </c>
      <c r="EX448" t="e">
        <f>IF(#REF!,"AAAAAHX5+5k=",0)</f>
        <v>#REF!</v>
      </c>
      <c r="EY448" t="e">
        <f>AND(#REF!,"AAAAAHX5+5o=")</f>
        <v>#REF!</v>
      </c>
      <c r="EZ448" t="e">
        <f>AND(#REF!,"AAAAAHX5+5s=")</f>
        <v>#REF!</v>
      </c>
      <c r="FA448" t="e">
        <f>AND(#REF!,"AAAAAHX5+5w=")</f>
        <v>#REF!</v>
      </c>
      <c r="FB448" t="e">
        <f>AND(#REF!,"AAAAAHX5+50=")</f>
        <v>#REF!</v>
      </c>
      <c r="FC448" t="e">
        <f>AND(#REF!,"AAAAAHX5+54=")</f>
        <v>#REF!</v>
      </c>
      <c r="FD448" t="e">
        <f>AND(#REF!,"AAAAAHX5+58=")</f>
        <v>#REF!</v>
      </c>
      <c r="FE448" t="e">
        <f>AND(#REF!,"AAAAAHX5+6A=")</f>
        <v>#REF!</v>
      </c>
      <c r="FF448" t="e">
        <f>AND(#REF!,"AAAAAHX5+6E=")</f>
        <v>#REF!</v>
      </c>
      <c r="FG448" t="e">
        <f>AND(#REF!,"AAAAAHX5+6I=")</f>
        <v>#REF!</v>
      </c>
      <c r="FH448" t="e">
        <f>AND(#REF!,"AAAAAHX5+6M=")</f>
        <v>#REF!</v>
      </c>
      <c r="FI448" t="e">
        <f>AND(#REF!,"AAAAAHX5+6Q=")</f>
        <v>#REF!</v>
      </c>
      <c r="FJ448" t="e">
        <f>AND(#REF!,"AAAAAHX5+6U=")</f>
        <v>#REF!</v>
      </c>
      <c r="FK448" t="e">
        <f>AND(#REF!,"AAAAAHX5+6Y=")</f>
        <v>#REF!</v>
      </c>
      <c r="FL448" t="e">
        <f>AND(#REF!,"AAAAAHX5+6c=")</f>
        <v>#REF!</v>
      </c>
      <c r="FM448" t="e">
        <f>AND(#REF!,"AAAAAHX5+6g=")</f>
        <v>#REF!</v>
      </c>
      <c r="FN448" t="e">
        <f>AND(#REF!,"AAAAAHX5+6k=")</f>
        <v>#REF!</v>
      </c>
      <c r="FO448" t="e">
        <f>AND(#REF!,"AAAAAHX5+6o=")</f>
        <v>#REF!</v>
      </c>
      <c r="FP448" t="e">
        <f>AND(#REF!,"AAAAAHX5+6s=")</f>
        <v>#REF!</v>
      </c>
      <c r="FQ448" t="e">
        <f>AND(#REF!,"AAAAAHX5+6w=")</f>
        <v>#REF!</v>
      </c>
      <c r="FR448" t="e">
        <f>AND(#REF!,"AAAAAHX5+60=")</f>
        <v>#REF!</v>
      </c>
      <c r="FS448" t="e">
        <f>AND(#REF!,"AAAAAHX5+64=")</f>
        <v>#REF!</v>
      </c>
      <c r="FT448" t="e">
        <f>AND(#REF!,"AAAAAHX5+68=")</f>
        <v>#REF!</v>
      </c>
      <c r="FU448" t="e">
        <f>AND(#REF!,"AAAAAHX5+7A=")</f>
        <v>#REF!</v>
      </c>
      <c r="FV448" t="e">
        <f>AND(#REF!,"AAAAAHX5+7E=")</f>
        <v>#REF!</v>
      </c>
      <c r="FW448" t="e">
        <f>IF(#REF!,"AAAAAHX5+7I=",0)</f>
        <v>#REF!</v>
      </c>
      <c r="FX448" t="e">
        <f>AND(#REF!,"AAAAAHX5+7M=")</f>
        <v>#REF!</v>
      </c>
      <c r="FY448" t="e">
        <f>AND(#REF!,"AAAAAHX5+7Q=")</f>
        <v>#REF!</v>
      </c>
      <c r="FZ448" t="e">
        <f>AND(#REF!,"AAAAAHX5+7U=")</f>
        <v>#REF!</v>
      </c>
      <c r="GA448" t="e">
        <f>AND(#REF!,"AAAAAHX5+7Y=")</f>
        <v>#REF!</v>
      </c>
      <c r="GB448" t="e">
        <f>AND(#REF!,"AAAAAHX5+7c=")</f>
        <v>#REF!</v>
      </c>
      <c r="GC448" t="e">
        <f>AND(#REF!,"AAAAAHX5+7g=")</f>
        <v>#REF!</v>
      </c>
      <c r="GD448" t="e">
        <f>AND(#REF!,"AAAAAHX5+7k=")</f>
        <v>#REF!</v>
      </c>
      <c r="GE448" t="e">
        <f>AND(#REF!,"AAAAAHX5+7o=")</f>
        <v>#REF!</v>
      </c>
      <c r="GF448" t="e">
        <f>AND(#REF!,"AAAAAHX5+7s=")</f>
        <v>#REF!</v>
      </c>
      <c r="GG448" t="e">
        <f>AND(#REF!,"AAAAAHX5+7w=")</f>
        <v>#REF!</v>
      </c>
      <c r="GH448" t="e">
        <f>AND(#REF!,"AAAAAHX5+70=")</f>
        <v>#REF!</v>
      </c>
      <c r="GI448" t="e">
        <f>AND(#REF!,"AAAAAHX5+74=")</f>
        <v>#REF!</v>
      </c>
      <c r="GJ448" t="e">
        <f>AND(#REF!,"AAAAAHX5+78=")</f>
        <v>#REF!</v>
      </c>
      <c r="GK448" t="e">
        <f>AND(#REF!,"AAAAAHX5+8A=")</f>
        <v>#REF!</v>
      </c>
      <c r="GL448" t="e">
        <f>AND(#REF!,"AAAAAHX5+8E=")</f>
        <v>#REF!</v>
      </c>
      <c r="GM448" t="e">
        <f>AND(#REF!,"AAAAAHX5+8I=")</f>
        <v>#REF!</v>
      </c>
      <c r="GN448" t="e">
        <f>AND(#REF!,"AAAAAHX5+8M=")</f>
        <v>#REF!</v>
      </c>
      <c r="GO448" t="e">
        <f>AND(#REF!,"AAAAAHX5+8Q=")</f>
        <v>#REF!</v>
      </c>
      <c r="GP448" t="e">
        <f>AND(#REF!,"AAAAAHX5+8U=")</f>
        <v>#REF!</v>
      </c>
      <c r="GQ448" t="e">
        <f>AND(#REF!,"AAAAAHX5+8Y=")</f>
        <v>#REF!</v>
      </c>
      <c r="GR448" t="e">
        <f>AND(#REF!,"AAAAAHX5+8c=")</f>
        <v>#REF!</v>
      </c>
      <c r="GS448" t="e">
        <f>AND(#REF!,"AAAAAHX5+8g=")</f>
        <v>#REF!</v>
      </c>
      <c r="GT448" t="e">
        <f>AND(#REF!,"AAAAAHX5+8k=")</f>
        <v>#REF!</v>
      </c>
      <c r="GU448" t="e">
        <f>AND(#REF!,"AAAAAHX5+8o=")</f>
        <v>#REF!</v>
      </c>
      <c r="GV448" t="e">
        <f>IF(#REF!,"AAAAAHX5+8s=",0)</f>
        <v>#REF!</v>
      </c>
      <c r="GW448" t="e">
        <f>AND(#REF!,"AAAAAHX5+8w=")</f>
        <v>#REF!</v>
      </c>
      <c r="GX448" t="e">
        <f>AND(#REF!,"AAAAAHX5+80=")</f>
        <v>#REF!</v>
      </c>
      <c r="GY448" t="e">
        <f>AND(#REF!,"AAAAAHX5+84=")</f>
        <v>#REF!</v>
      </c>
      <c r="GZ448" t="e">
        <f>AND(#REF!,"AAAAAHX5+88=")</f>
        <v>#REF!</v>
      </c>
      <c r="HA448" t="e">
        <f>AND(#REF!,"AAAAAHX5+9A=")</f>
        <v>#REF!</v>
      </c>
      <c r="HB448" t="e">
        <f>AND(#REF!,"AAAAAHX5+9E=")</f>
        <v>#REF!</v>
      </c>
      <c r="HC448" t="e">
        <f>AND(#REF!,"AAAAAHX5+9I=")</f>
        <v>#REF!</v>
      </c>
      <c r="HD448" t="e">
        <f>AND(#REF!,"AAAAAHX5+9M=")</f>
        <v>#REF!</v>
      </c>
      <c r="HE448" t="e">
        <f>AND(#REF!,"AAAAAHX5+9Q=")</f>
        <v>#REF!</v>
      </c>
      <c r="HF448" t="e">
        <f>AND(#REF!,"AAAAAHX5+9U=")</f>
        <v>#REF!</v>
      </c>
      <c r="HG448" t="e">
        <f>AND(#REF!,"AAAAAHX5+9Y=")</f>
        <v>#REF!</v>
      </c>
      <c r="HH448" t="e">
        <f>AND(#REF!,"AAAAAHX5+9c=")</f>
        <v>#REF!</v>
      </c>
      <c r="HI448" t="e">
        <f>AND(#REF!,"AAAAAHX5+9g=")</f>
        <v>#REF!</v>
      </c>
      <c r="HJ448" t="e">
        <f>AND(#REF!,"AAAAAHX5+9k=")</f>
        <v>#REF!</v>
      </c>
      <c r="HK448" t="e">
        <f>AND(#REF!,"AAAAAHX5+9o=")</f>
        <v>#REF!</v>
      </c>
      <c r="HL448" t="e">
        <f>AND(#REF!,"AAAAAHX5+9s=")</f>
        <v>#REF!</v>
      </c>
      <c r="HM448" t="e">
        <f>AND(#REF!,"AAAAAHX5+9w=")</f>
        <v>#REF!</v>
      </c>
      <c r="HN448" t="e">
        <f>AND(#REF!,"AAAAAHX5+90=")</f>
        <v>#REF!</v>
      </c>
      <c r="HO448" t="e">
        <f>AND(#REF!,"AAAAAHX5+94=")</f>
        <v>#REF!</v>
      </c>
      <c r="HP448" t="e">
        <f>AND(#REF!,"AAAAAHX5+98=")</f>
        <v>#REF!</v>
      </c>
      <c r="HQ448" t="e">
        <f>AND(#REF!,"AAAAAHX5++A=")</f>
        <v>#REF!</v>
      </c>
      <c r="HR448" t="e">
        <f>AND(#REF!,"AAAAAHX5++E=")</f>
        <v>#REF!</v>
      </c>
      <c r="HS448" t="e">
        <f>AND(#REF!,"AAAAAHX5++I=")</f>
        <v>#REF!</v>
      </c>
      <c r="HT448" t="e">
        <f>AND(#REF!,"AAAAAHX5++M=")</f>
        <v>#REF!</v>
      </c>
      <c r="HU448" t="e">
        <f>IF(#REF!,"AAAAAHX5++Q=",0)</f>
        <v>#REF!</v>
      </c>
      <c r="HV448" t="e">
        <f>AND(#REF!,"AAAAAHX5++U=")</f>
        <v>#REF!</v>
      </c>
      <c r="HW448" t="e">
        <f>AND(#REF!,"AAAAAHX5++Y=")</f>
        <v>#REF!</v>
      </c>
      <c r="HX448" t="e">
        <f>AND(#REF!,"AAAAAHX5++c=")</f>
        <v>#REF!</v>
      </c>
      <c r="HY448" t="e">
        <f>AND(#REF!,"AAAAAHX5++g=")</f>
        <v>#REF!</v>
      </c>
      <c r="HZ448" t="e">
        <f>AND(#REF!,"AAAAAHX5++k=")</f>
        <v>#REF!</v>
      </c>
      <c r="IA448" t="e">
        <f>AND(#REF!,"AAAAAHX5++o=")</f>
        <v>#REF!</v>
      </c>
      <c r="IB448" t="e">
        <f>AND(#REF!,"AAAAAHX5++s=")</f>
        <v>#REF!</v>
      </c>
      <c r="IC448" t="e">
        <f>AND(#REF!,"AAAAAHX5++w=")</f>
        <v>#REF!</v>
      </c>
      <c r="ID448" t="e">
        <f>AND(#REF!,"AAAAAHX5++0=")</f>
        <v>#REF!</v>
      </c>
      <c r="IE448" t="e">
        <f>AND(#REF!,"AAAAAHX5++4=")</f>
        <v>#REF!</v>
      </c>
      <c r="IF448" t="e">
        <f>AND(#REF!,"AAAAAHX5++8=")</f>
        <v>#REF!</v>
      </c>
      <c r="IG448" t="e">
        <f>AND(#REF!,"AAAAAHX5+/A=")</f>
        <v>#REF!</v>
      </c>
      <c r="IH448" t="e">
        <f>AND(#REF!,"AAAAAHX5+/E=")</f>
        <v>#REF!</v>
      </c>
      <c r="II448" t="e">
        <f>AND(#REF!,"AAAAAHX5+/I=")</f>
        <v>#REF!</v>
      </c>
      <c r="IJ448" t="e">
        <f>AND(#REF!,"AAAAAHX5+/M=")</f>
        <v>#REF!</v>
      </c>
      <c r="IK448" t="e">
        <f>AND(#REF!,"AAAAAHX5+/Q=")</f>
        <v>#REF!</v>
      </c>
      <c r="IL448" t="e">
        <f>AND(#REF!,"AAAAAHX5+/U=")</f>
        <v>#REF!</v>
      </c>
      <c r="IM448" t="e">
        <f>AND(#REF!,"AAAAAHX5+/Y=")</f>
        <v>#REF!</v>
      </c>
      <c r="IN448" t="e">
        <f>AND(#REF!,"AAAAAHX5+/c=")</f>
        <v>#REF!</v>
      </c>
      <c r="IO448" t="e">
        <f>AND(#REF!,"AAAAAHX5+/g=")</f>
        <v>#REF!</v>
      </c>
      <c r="IP448" t="e">
        <f>AND(#REF!,"AAAAAHX5+/k=")</f>
        <v>#REF!</v>
      </c>
      <c r="IQ448" t="e">
        <f>AND(#REF!,"AAAAAHX5+/o=")</f>
        <v>#REF!</v>
      </c>
      <c r="IR448" t="e">
        <f>AND(#REF!,"AAAAAHX5+/s=")</f>
        <v>#REF!</v>
      </c>
      <c r="IS448" t="e">
        <f>AND(#REF!,"AAAAAHX5+/w=")</f>
        <v>#REF!</v>
      </c>
      <c r="IT448" t="e">
        <f>IF(#REF!,"AAAAAHX5+/0=",0)</f>
        <v>#REF!</v>
      </c>
      <c r="IU448" t="e">
        <f>AND(#REF!,"AAAAAHX5+/4=")</f>
        <v>#REF!</v>
      </c>
      <c r="IV448" t="e">
        <f>AND(#REF!,"AAAAAHX5+/8=")</f>
        <v>#REF!</v>
      </c>
    </row>
    <row r="449" spans="1:256">
      <c r="A449" t="e">
        <f>AND(#REF!,"AAAAAG1fOwA=")</f>
        <v>#REF!</v>
      </c>
      <c r="B449" t="e">
        <f>AND(#REF!,"AAAAAG1fOwE=")</f>
        <v>#REF!</v>
      </c>
      <c r="C449" t="e">
        <f>AND(#REF!,"AAAAAG1fOwI=")</f>
        <v>#REF!</v>
      </c>
      <c r="D449" t="e">
        <f>AND(#REF!,"AAAAAG1fOwM=")</f>
        <v>#REF!</v>
      </c>
      <c r="E449" t="e">
        <f>AND(#REF!,"AAAAAG1fOwQ=")</f>
        <v>#REF!</v>
      </c>
      <c r="F449" t="e">
        <f>AND(#REF!,"AAAAAG1fOwU=")</f>
        <v>#REF!</v>
      </c>
      <c r="G449" t="e">
        <f>AND(#REF!,"AAAAAG1fOwY=")</f>
        <v>#REF!</v>
      </c>
      <c r="H449" t="e">
        <f>AND(#REF!,"AAAAAG1fOwc=")</f>
        <v>#REF!</v>
      </c>
      <c r="I449" t="e">
        <f>AND(#REF!,"AAAAAG1fOwg=")</f>
        <v>#REF!</v>
      </c>
      <c r="J449" t="e">
        <f>AND(#REF!,"AAAAAG1fOwk=")</f>
        <v>#REF!</v>
      </c>
      <c r="K449" t="e">
        <f>AND(#REF!,"AAAAAG1fOwo=")</f>
        <v>#REF!</v>
      </c>
      <c r="L449" t="e">
        <f>AND(#REF!,"AAAAAG1fOws=")</f>
        <v>#REF!</v>
      </c>
      <c r="M449" t="e">
        <f>AND(#REF!,"AAAAAG1fOww=")</f>
        <v>#REF!</v>
      </c>
      <c r="N449" t="e">
        <f>AND(#REF!,"AAAAAG1fOw0=")</f>
        <v>#REF!</v>
      </c>
      <c r="O449" t="e">
        <f>AND(#REF!,"AAAAAG1fOw4=")</f>
        <v>#REF!</v>
      </c>
      <c r="P449" t="e">
        <f>AND(#REF!,"AAAAAG1fOw8=")</f>
        <v>#REF!</v>
      </c>
      <c r="Q449" t="e">
        <f>AND(#REF!,"AAAAAG1fOxA=")</f>
        <v>#REF!</v>
      </c>
      <c r="R449" t="e">
        <f>AND(#REF!,"AAAAAG1fOxE=")</f>
        <v>#REF!</v>
      </c>
      <c r="S449" t="e">
        <f>AND(#REF!,"AAAAAG1fOxI=")</f>
        <v>#REF!</v>
      </c>
      <c r="T449" t="e">
        <f>AND(#REF!,"AAAAAG1fOxM=")</f>
        <v>#REF!</v>
      </c>
      <c r="U449" t="e">
        <f>AND(#REF!,"AAAAAG1fOxQ=")</f>
        <v>#REF!</v>
      </c>
      <c r="V449" t="e">
        <f>AND(#REF!,"AAAAAG1fOxU=")</f>
        <v>#REF!</v>
      </c>
      <c r="W449" t="e">
        <f>IF(#REF!,"AAAAAG1fOxY=",0)</f>
        <v>#REF!</v>
      </c>
      <c r="X449" t="e">
        <f>AND(#REF!,"AAAAAG1fOxc=")</f>
        <v>#REF!</v>
      </c>
      <c r="Y449" t="e">
        <f>AND(#REF!,"AAAAAG1fOxg=")</f>
        <v>#REF!</v>
      </c>
      <c r="Z449" t="e">
        <f>AND(#REF!,"AAAAAG1fOxk=")</f>
        <v>#REF!</v>
      </c>
      <c r="AA449" t="e">
        <f>AND(#REF!,"AAAAAG1fOxo=")</f>
        <v>#REF!</v>
      </c>
      <c r="AB449" t="e">
        <f>AND(#REF!,"AAAAAG1fOxs=")</f>
        <v>#REF!</v>
      </c>
      <c r="AC449" t="e">
        <f>AND(#REF!,"AAAAAG1fOxw=")</f>
        <v>#REF!</v>
      </c>
      <c r="AD449" t="e">
        <f>AND(#REF!,"AAAAAG1fOx0=")</f>
        <v>#REF!</v>
      </c>
      <c r="AE449" t="e">
        <f>AND(#REF!,"AAAAAG1fOx4=")</f>
        <v>#REF!</v>
      </c>
      <c r="AF449" t="e">
        <f>AND(#REF!,"AAAAAG1fOx8=")</f>
        <v>#REF!</v>
      </c>
      <c r="AG449" t="e">
        <f>AND(#REF!,"AAAAAG1fOyA=")</f>
        <v>#REF!</v>
      </c>
      <c r="AH449" t="e">
        <f>AND(#REF!,"AAAAAG1fOyE=")</f>
        <v>#REF!</v>
      </c>
      <c r="AI449" t="e">
        <f>AND(#REF!,"AAAAAG1fOyI=")</f>
        <v>#REF!</v>
      </c>
      <c r="AJ449" t="e">
        <f>AND(#REF!,"AAAAAG1fOyM=")</f>
        <v>#REF!</v>
      </c>
      <c r="AK449" t="e">
        <f>AND(#REF!,"AAAAAG1fOyQ=")</f>
        <v>#REF!</v>
      </c>
      <c r="AL449" t="e">
        <f>AND(#REF!,"AAAAAG1fOyU=")</f>
        <v>#REF!</v>
      </c>
      <c r="AM449" t="e">
        <f>AND(#REF!,"AAAAAG1fOyY=")</f>
        <v>#REF!</v>
      </c>
      <c r="AN449" t="e">
        <f>AND(#REF!,"AAAAAG1fOyc=")</f>
        <v>#REF!</v>
      </c>
      <c r="AO449" t="e">
        <f>AND(#REF!,"AAAAAG1fOyg=")</f>
        <v>#REF!</v>
      </c>
      <c r="AP449" t="e">
        <f>AND(#REF!,"AAAAAG1fOyk=")</f>
        <v>#REF!</v>
      </c>
      <c r="AQ449" t="e">
        <f>AND(#REF!,"AAAAAG1fOyo=")</f>
        <v>#REF!</v>
      </c>
      <c r="AR449" t="e">
        <f>AND(#REF!,"AAAAAG1fOys=")</f>
        <v>#REF!</v>
      </c>
      <c r="AS449" t="e">
        <f>AND(#REF!,"AAAAAG1fOyw=")</f>
        <v>#REF!</v>
      </c>
      <c r="AT449" t="e">
        <f>AND(#REF!,"AAAAAG1fOy0=")</f>
        <v>#REF!</v>
      </c>
      <c r="AU449" t="e">
        <f>AND(#REF!,"AAAAAG1fOy4=")</f>
        <v>#REF!</v>
      </c>
      <c r="AV449" t="e">
        <f>IF(#REF!,"AAAAAG1fOy8=",0)</f>
        <v>#REF!</v>
      </c>
      <c r="AW449" t="e">
        <f>AND(#REF!,"AAAAAG1fOzA=")</f>
        <v>#REF!</v>
      </c>
      <c r="AX449" t="e">
        <f>AND(#REF!,"AAAAAG1fOzE=")</f>
        <v>#REF!</v>
      </c>
      <c r="AY449" t="e">
        <f>AND(#REF!,"AAAAAG1fOzI=")</f>
        <v>#REF!</v>
      </c>
      <c r="AZ449" t="e">
        <f>AND(#REF!,"AAAAAG1fOzM=")</f>
        <v>#REF!</v>
      </c>
      <c r="BA449" t="e">
        <f>AND(#REF!,"AAAAAG1fOzQ=")</f>
        <v>#REF!</v>
      </c>
      <c r="BB449" t="e">
        <f>AND(#REF!,"AAAAAG1fOzU=")</f>
        <v>#REF!</v>
      </c>
      <c r="BC449" t="e">
        <f>AND(#REF!,"AAAAAG1fOzY=")</f>
        <v>#REF!</v>
      </c>
      <c r="BD449" t="e">
        <f>AND(#REF!,"AAAAAG1fOzc=")</f>
        <v>#REF!</v>
      </c>
      <c r="BE449" t="e">
        <f>AND(#REF!,"AAAAAG1fOzg=")</f>
        <v>#REF!</v>
      </c>
      <c r="BF449" t="e">
        <f>AND(#REF!,"AAAAAG1fOzk=")</f>
        <v>#REF!</v>
      </c>
      <c r="BG449" t="e">
        <f>AND(#REF!,"AAAAAG1fOzo=")</f>
        <v>#REF!</v>
      </c>
      <c r="BH449" t="e">
        <f>AND(#REF!,"AAAAAG1fOzs=")</f>
        <v>#REF!</v>
      </c>
      <c r="BI449" t="e">
        <f>AND(#REF!,"AAAAAG1fOzw=")</f>
        <v>#REF!</v>
      </c>
      <c r="BJ449" t="e">
        <f>AND(#REF!,"AAAAAG1fOz0=")</f>
        <v>#REF!</v>
      </c>
      <c r="BK449" t="e">
        <f>AND(#REF!,"AAAAAG1fOz4=")</f>
        <v>#REF!</v>
      </c>
      <c r="BL449" t="e">
        <f>AND(#REF!,"AAAAAG1fOz8=")</f>
        <v>#REF!</v>
      </c>
      <c r="BM449" t="e">
        <f>AND(#REF!,"AAAAAG1fO0A=")</f>
        <v>#REF!</v>
      </c>
      <c r="BN449" t="e">
        <f>AND(#REF!,"AAAAAG1fO0E=")</f>
        <v>#REF!</v>
      </c>
      <c r="BO449" t="e">
        <f>AND(#REF!,"AAAAAG1fO0I=")</f>
        <v>#REF!</v>
      </c>
      <c r="BP449" t="e">
        <f>AND(#REF!,"AAAAAG1fO0M=")</f>
        <v>#REF!</v>
      </c>
      <c r="BQ449" t="e">
        <f>AND(#REF!,"AAAAAG1fO0Q=")</f>
        <v>#REF!</v>
      </c>
      <c r="BR449" t="e">
        <f>AND(#REF!,"AAAAAG1fO0U=")</f>
        <v>#REF!</v>
      </c>
      <c r="BS449" t="e">
        <f>AND(#REF!,"AAAAAG1fO0Y=")</f>
        <v>#REF!</v>
      </c>
      <c r="BT449" t="e">
        <f>AND(#REF!,"AAAAAG1fO0c=")</f>
        <v>#REF!</v>
      </c>
      <c r="BU449" t="e">
        <f>IF(#REF!,"AAAAAG1fO0g=",0)</f>
        <v>#REF!</v>
      </c>
      <c r="BV449" t="e">
        <f>AND(#REF!,"AAAAAG1fO0k=")</f>
        <v>#REF!</v>
      </c>
      <c r="BW449" t="e">
        <f>AND(#REF!,"AAAAAG1fO0o=")</f>
        <v>#REF!</v>
      </c>
      <c r="BX449" t="e">
        <f>AND(#REF!,"AAAAAG1fO0s=")</f>
        <v>#REF!</v>
      </c>
      <c r="BY449" t="e">
        <f>AND(#REF!,"AAAAAG1fO0w=")</f>
        <v>#REF!</v>
      </c>
      <c r="BZ449" t="e">
        <f>AND(#REF!,"AAAAAG1fO00=")</f>
        <v>#REF!</v>
      </c>
      <c r="CA449" t="e">
        <f>AND(#REF!,"AAAAAG1fO04=")</f>
        <v>#REF!</v>
      </c>
      <c r="CB449" t="e">
        <f>AND(#REF!,"AAAAAG1fO08=")</f>
        <v>#REF!</v>
      </c>
      <c r="CC449" t="e">
        <f>AND(#REF!,"AAAAAG1fO1A=")</f>
        <v>#REF!</v>
      </c>
      <c r="CD449" t="e">
        <f>AND(#REF!,"AAAAAG1fO1E=")</f>
        <v>#REF!</v>
      </c>
      <c r="CE449" t="e">
        <f>AND(#REF!,"AAAAAG1fO1I=")</f>
        <v>#REF!</v>
      </c>
      <c r="CF449" t="e">
        <f>AND(#REF!,"AAAAAG1fO1M=")</f>
        <v>#REF!</v>
      </c>
      <c r="CG449" t="e">
        <f>AND(#REF!,"AAAAAG1fO1Q=")</f>
        <v>#REF!</v>
      </c>
      <c r="CH449" t="e">
        <f>AND(#REF!,"AAAAAG1fO1U=")</f>
        <v>#REF!</v>
      </c>
      <c r="CI449" t="e">
        <f>AND(#REF!,"AAAAAG1fO1Y=")</f>
        <v>#REF!</v>
      </c>
      <c r="CJ449" t="e">
        <f>AND(#REF!,"AAAAAG1fO1c=")</f>
        <v>#REF!</v>
      </c>
      <c r="CK449" t="e">
        <f>AND(#REF!,"AAAAAG1fO1g=")</f>
        <v>#REF!</v>
      </c>
      <c r="CL449" t="e">
        <f>AND(#REF!,"AAAAAG1fO1k=")</f>
        <v>#REF!</v>
      </c>
      <c r="CM449" t="e">
        <f>AND(#REF!,"AAAAAG1fO1o=")</f>
        <v>#REF!</v>
      </c>
      <c r="CN449" t="e">
        <f>AND(#REF!,"AAAAAG1fO1s=")</f>
        <v>#REF!</v>
      </c>
      <c r="CO449" t="e">
        <f>AND(#REF!,"AAAAAG1fO1w=")</f>
        <v>#REF!</v>
      </c>
      <c r="CP449" t="e">
        <f>AND(#REF!,"AAAAAG1fO10=")</f>
        <v>#REF!</v>
      </c>
      <c r="CQ449" t="e">
        <f>AND(#REF!,"AAAAAG1fO14=")</f>
        <v>#REF!</v>
      </c>
      <c r="CR449" t="e">
        <f>AND(#REF!,"AAAAAG1fO18=")</f>
        <v>#REF!</v>
      </c>
      <c r="CS449" t="e">
        <f>AND(#REF!,"AAAAAG1fO2A=")</f>
        <v>#REF!</v>
      </c>
      <c r="CT449" t="e">
        <f>IF(#REF!,"AAAAAG1fO2E=",0)</f>
        <v>#REF!</v>
      </c>
      <c r="CU449" t="e">
        <f>AND(#REF!,"AAAAAG1fO2I=")</f>
        <v>#REF!</v>
      </c>
      <c r="CV449" t="e">
        <f>AND(#REF!,"AAAAAG1fO2M=")</f>
        <v>#REF!</v>
      </c>
      <c r="CW449" t="e">
        <f>AND(#REF!,"AAAAAG1fO2Q=")</f>
        <v>#REF!</v>
      </c>
      <c r="CX449" t="e">
        <f>AND(#REF!,"AAAAAG1fO2U=")</f>
        <v>#REF!</v>
      </c>
      <c r="CY449" t="e">
        <f>AND(#REF!,"AAAAAG1fO2Y=")</f>
        <v>#REF!</v>
      </c>
      <c r="CZ449" t="e">
        <f>AND(#REF!,"AAAAAG1fO2c=")</f>
        <v>#REF!</v>
      </c>
      <c r="DA449" t="e">
        <f>AND(#REF!,"AAAAAG1fO2g=")</f>
        <v>#REF!</v>
      </c>
      <c r="DB449" t="e">
        <f>AND(#REF!,"AAAAAG1fO2k=")</f>
        <v>#REF!</v>
      </c>
      <c r="DC449" t="e">
        <f>AND(#REF!,"AAAAAG1fO2o=")</f>
        <v>#REF!</v>
      </c>
      <c r="DD449" t="e">
        <f>AND(#REF!,"AAAAAG1fO2s=")</f>
        <v>#REF!</v>
      </c>
      <c r="DE449" t="e">
        <f>AND(#REF!,"AAAAAG1fO2w=")</f>
        <v>#REF!</v>
      </c>
      <c r="DF449" t="e">
        <f>AND(#REF!,"AAAAAG1fO20=")</f>
        <v>#REF!</v>
      </c>
      <c r="DG449" t="e">
        <f>AND(#REF!,"AAAAAG1fO24=")</f>
        <v>#REF!</v>
      </c>
      <c r="DH449" t="e">
        <f>AND(#REF!,"AAAAAG1fO28=")</f>
        <v>#REF!</v>
      </c>
      <c r="DI449" t="e">
        <f>AND(#REF!,"AAAAAG1fO3A=")</f>
        <v>#REF!</v>
      </c>
      <c r="DJ449" t="e">
        <f>AND(#REF!,"AAAAAG1fO3E=")</f>
        <v>#REF!</v>
      </c>
      <c r="DK449" t="e">
        <f>AND(#REF!,"AAAAAG1fO3I=")</f>
        <v>#REF!</v>
      </c>
      <c r="DL449" t="e">
        <f>AND(#REF!,"AAAAAG1fO3M=")</f>
        <v>#REF!</v>
      </c>
      <c r="DM449" t="e">
        <f>AND(#REF!,"AAAAAG1fO3Q=")</f>
        <v>#REF!</v>
      </c>
      <c r="DN449" t="e">
        <f>AND(#REF!,"AAAAAG1fO3U=")</f>
        <v>#REF!</v>
      </c>
      <c r="DO449" t="e">
        <f>AND(#REF!,"AAAAAG1fO3Y=")</f>
        <v>#REF!</v>
      </c>
      <c r="DP449" t="e">
        <f>AND(#REF!,"AAAAAG1fO3c=")</f>
        <v>#REF!</v>
      </c>
      <c r="DQ449" t="e">
        <f>AND(#REF!,"AAAAAG1fO3g=")</f>
        <v>#REF!</v>
      </c>
      <c r="DR449" t="e">
        <f>AND(#REF!,"AAAAAG1fO3k=")</f>
        <v>#REF!</v>
      </c>
      <c r="DS449" t="e">
        <f>IF(#REF!,"AAAAAG1fO3o=",0)</f>
        <v>#REF!</v>
      </c>
      <c r="DT449" t="e">
        <f>AND(#REF!,"AAAAAG1fO3s=")</f>
        <v>#REF!</v>
      </c>
      <c r="DU449" t="e">
        <f>AND(#REF!,"AAAAAG1fO3w=")</f>
        <v>#REF!</v>
      </c>
      <c r="DV449" t="e">
        <f>AND(#REF!,"AAAAAG1fO30=")</f>
        <v>#REF!</v>
      </c>
      <c r="DW449" t="e">
        <f>AND(#REF!,"AAAAAG1fO34=")</f>
        <v>#REF!</v>
      </c>
      <c r="DX449" t="e">
        <f>AND(#REF!,"AAAAAG1fO38=")</f>
        <v>#REF!</v>
      </c>
      <c r="DY449" t="e">
        <f>AND(#REF!,"AAAAAG1fO4A=")</f>
        <v>#REF!</v>
      </c>
      <c r="DZ449" t="e">
        <f>AND(#REF!,"AAAAAG1fO4E=")</f>
        <v>#REF!</v>
      </c>
      <c r="EA449" t="e">
        <f>AND(#REF!,"AAAAAG1fO4I=")</f>
        <v>#REF!</v>
      </c>
      <c r="EB449" t="e">
        <f>AND(#REF!,"AAAAAG1fO4M=")</f>
        <v>#REF!</v>
      </c>
      <c r="EC449" t="e">
        <f>AND(#REF!,"AAAAAG1fO4Q=")</f>
        <v>#REF!</v>
      </c>
      <c r="ED449" t="e">
        <f>AND(#REF!,"AAAAAG1fO4U=")</f>
        <v>#REF!</v>
      </c>
      <c r="EE449" t="e">
        <f>AND(#REF!,"AAAAAG1fO4Y=")</f>
        <v>#REF!</v>
      </c>
      <c r="EF449" t="e">
        <f>AND(#REF!,"AAAAAG1fO4c=")</f>
        <v>#REF!</v>
      </c>
      <c r="EG449" t="e">
        <f>AND(#REF!,"AAAAAG1fO4g=")</f>
        <v>#REF!</v>
      </c>
      <c r="EH449" t="e">
        <f>AND(#REF!,"AAAAAG1fO4k=")</f>
        <v>#REF!</v>
      </c>
      <c r="EI449" t="e">
        <f>AND(#REF!,"AAAAAG1fO4o=")</f>
        <v>#REF!</v>
      </c>
      <c r="EJ449" t="e">
        <f>AND(#REF!,"AAAAAG1fO4s=")</f>
        <v>#REF!</v>
      </c>
      <c r="EK449" t="e">
        <f>AND(#REF!,"AAAAAG1fO4w=")</f>
        <v>#REF!</v>
      </c>
      <c r="EL449" t="e">
        <f>AND(#REF!,"AAAAAG1fO40=")</f>
        <v>#REF!</v>
      </c>
      <c r="EM449" t="e">
        <f>AND(#REF!,"AAAAAG1fO44=")</f>
        <v>#REF!</v>
      </c>
      <c r="EN449" t="e">
        <f>AND(#REF!,"AAAAAG1fO48=")</f>
        <v>#REF!</v>
      </c>
      <c r="EO449" t="e">
        <f>AND(#REF!,"AAAAAG1fO5A=")</f>
        <v>#REF!</v>
      </c>
      <c r="EP449" t="e">
        <f>AND(#REF!,"AAAAAG1fO5E=")</f>
        <v>#REF!</v>
      </c>
      <c r="EQ449" t="e">
        <f>AND(#REF!,"AAAAAG1fO5I=")</f>
        <v>#REF!</v>
      </c>
      <c r="ER449" t="e">
        <f>IF(#REF!,"AAAAAG1fO5M=",0)</f>
        <v>#REF!</v>
      </c>
      <c r="ES449" t="e">
        <f>AND(#REF!,"AAAAAG1fO5Q=")</f>
        <v>#REF!</v>
      </c>
      <c r="ET449" t="e">
        <f>AND(#REF!,"AAAAAG1fO5U=")</f>
        <v>#REF!</v>
      </c>
      <c r="EU449" t="e">
        <f>AND(#REF!,"AAAAAG1fO5Y=")</f>
        <v>#REF!</v>
      </c>
      <c r="EV449" t="e">
        <f>AND(#REF!,"AAAAAG1fO5c=")</f>
        <v>#REF!</v>
      </c>
      <c r="EW449" t="e">
        <f>AND(#REF!,"AAAAAG1fO5g=")</f>
        <v>#REF!</v>
      </c>
      <c r="EX449" t="e">
        <f>AND(#REF!,"AAAAAG1fO5k=")</f>
        <v>#REF!</v>
      </c>
      <c r="EY449" t="e">
        <f>AND(#REF!,"AAAAAG1fO5o=")</f>
        <v>#REF!</v>
      </c>
      <c r="EZ449" t="e">
        <f>AND(#REF!,"AAAAAG1fO5s=")</f>
        <v>#REF!</v>
      </c>
      <c r="FA449" t="e">
        <f>AND(#REF!,"AAAAAG1fO5w=")</f>
        <v>#REF!</v>
      </c>
      <c r="FB449" t="e">
        <f>AND(#REF!,"AAAAAG1fO50=")</f>
        <v>#REF!</v>
      </c>
      <c r="FC449" t="e">
        <f>AND(#REF!,"AAAAAG1fO54=")</f>
        <v>#REF!</v>
      </c>
      <c r="FD449" t="e">
        <f>AND(#REF!,"AAAAAG1fO58=")</f>
        <v>#REF!</v>
      </c>
      <c r="FE449" t="e">
        <f>AND(#REF!,"AAAAAG1fO6A=")</f>
        <v>#REF!</v>
      </c>
      <c r="FF449" t="e">
        <f>AND(#REF!,"AAAAAG1fO6E=")</f>
        <v>#REF!</v>
      </c>
      <c r="FG449" t="e">
        <f>AND(#REF!,"AAAAAG1fO6I=")</f>
        <v>#REF!</v>
      </c>
      <c r="FH449" t="e">
        <f>AND(#REF!,"AAAAAG1fO6M=")</f>
        <v>#REF!</v>
      </c>
      <c r="FI449" t="e">
        <f>AND(#REF!,"AAAAAG1fO6Q=")</f>
        <v>#REF!</v>
      </c>
      <c r="FJ449" t="e">
        <f>AND(#REF!,"AAAAAG1fO6U=")</f>
        <v>#REF!</v>
      </c>
      <c r="FK449" t="e">
        <f>AND(#REF!,"AAAAAG1fO6Y=")</f>
        <v>#REF!</v>
      </c>
      <c r="FL449" t="e">
        <f>AND(#REF!,"AAAAAG1fO6c=")</f>
        <v>#REF!</v>
      </c>
      <c r="FM449" t="e">
        <f>AND(#REF!,"AAAAAG1fO6g=")</f>
        <v>#REF!</v>
      </c>
      <c r="FN449" t="e">
        <f>AND(#REF!,"AAAAAG1fO6k=")</f>
        <v>#REF!</v>
      </c>
      <c r="FO449" t="e">
        <f>AND(#REF!,"AAAAAG1fO6o=")</f>
        <v>#REF!</v>
      </c>
      <c r="FP449" t="e">
        <f>AND(#REF!,"AAAAAG1fO6s=")</f>
        <v>#REF!</v>
      </c>
      <c r="FQ449" t="e">
        <f>IF(#REF!,"AAAAAG1fO6w=",0)</f>
        <v>#REF!</v>
      </c>
      <c r="FR449" t="e">
        <f>AND(#REF!,"AAAAAG1fO60=")</f>
        <v>#REF!</v>
      </c>
      <c r="FS449" t="e">
        <f>AND(#REF!,"AAAAAG1fO64=")</f>
        <v>#REF!</v>
      </c>
      <c r="FT449" t="e">
        <f>AND(#REF!,"AAAAAG1fO68=")</f>
        <v>#REF!</v>
      </c>
      <c r="FU449" t="e">
        <f>AND(#REF!,"AAAAAG1fO7A=")</f>
        <v>#REF!</v>
      </c>
      <c r="FV449" t="e">
        <f>AND(#REF!,"AAAAAG1fO7E=")</f>
        <v>#REF!</v>
      </c>
      <c r="FW449" t="e">
        <f>AND(#REF!,"AAAAAG1fO7I=")</f>
        <v>#REF!</v>
      </c>
      <c r="FX449" t="e">
        <f>AND(#REF!,"AAAAAG1fO7M=")</f>
        <v>#REF!</v>
      </c>
      <c r="FY449" t="e">
        <f>AND(#REF!,"AAAAAG1fO7Q=")</f>
        <v>#REF!</v>
      </c>
      <c r="FZ449" t="e">
        <f>AND(#REF!,"AAAAAG1fO7U=")</f>
        <v>#REF!</v>
      </c>
      <c r="GA449" t="e">
        <f>AND(#REF!,"AAAAAG1fO7Y=")</f>
        <v>#REF!</v>
      </c>
      <c r="GB449" t="e">
        <f>AND(#REF!,"AAAAAG1fO7c=")</f>
        <v>#REF!</v>
      </c>
      <c r="GC449" t="e">
        <f>AND(#REF!,"AAAAAG1fO7g=")</f>
        <v>#REF!</v>
      </c>
      <c r="GD449" t="e">
        <f>AND(#REF!,"AAAAAG1fO7k=")</f>
        <v>#REF!</v>
      </c>
      <c r="GE449" t="e">
        <f>AND(#REF!,"AAAAAG1fO7o=")</f>
        <v>#REF!</v>
      </c>
      <c r="GF449" t="e">
        <f>AND(#REF!,"AAAAAG1fO7s=")</f>
        <v>#REF!</v>
      </c>
      <c r="GG449" t="e">
        <f>AND(#REF!,"AAAAAG1fO7w=")</f>
        <v>#REF!</v>
      </c>
      <c r="GH449" t="e">
        <f>AND(#REF!,"AAAAAG1fO70=")</f>
        <v>#REF!</v>
      </c>
      <c r="GI449" t="e">
        <f>AND(#REF!,"AAAAAG1fO74=")</f>
        <v>#REF!</v>
      </c>
      <c r="GJ449" t="e">
        <f>AND(#REF!,"AAAAAG1fO78=")</f>
        <v>#REF!</v>
      </c>
      <c r="GK449" t="e">
        <f>AND(#REF!,"AAAAAG1fO8A=")</f>
        <v>#REF!</v>
      </c>
      <c r="GL449" t="e">
        <f>AND(#REF!,"AAAAAG1fO8E=")</f>
        <v>#REF!</v>
      </c>
      <c r="GM449" t="e">
        <f>AND(#REF!,"AAAAAG1fO8I=")</f>
        <v>#REF!</v>
      </c>
      <c r="GN449" t="e">
        <f>AND(#REF!,"AAAAAG1fO8M=")</f>
        <v>#REF!</v>
      </c>
      <c r="GO449" t="e">
        <f>AND(#REF!,"AAAAAG1fO8Q=")</f>
        <v>#REF!</v>
      </c>
      <c r="GP449" t="e">
        <f>IF(#REF!,"AAAAAG1fO8U=",0)</f>
        <v>#REF!</v>
      </c>
      <c r="GQ449" t="e">
        <f>AND(#REF!,"AAAAAG1fO8Y=")</f>
        <v>#REF!</v>
      </c>
      <c r="GR449" t="e">
        <f>AND(#REF!,"AAAAAG1fO8c=")</f>
        <v>#REF!</v>
      </c>
      <c r="GS449" t="e">
        <f>AND(#REF!,"AAAAAG1fO8g=")</f>
        <v>#REF!</v>
      </c>
      <c r="GT449" t="e">
        <f>AND(#REF!,"AAAAAG1fO8k=")</f>
        <v>#REF!</v>
      </c>
      <c r="GU449" t="e">
        <f>AND(#REF!,"AAAAAG1fO8o=")</f>
        <v>#REF!</v>
      </c>
      <c r="GV449" t="e">
        <f>AND(#REF!,"AAAAAG1fO8s=")</f>
        <v>#REF!</v>
      </c>
      <c r="GW449" t="e">
        <f>AND(#REF!,"AAAAAG1fO8w=")</f>
        <v>#REF!</v>
      </c>
      <c r="GX449" t="e">
        <f>AND(#REF!,"AAAAAG1fO80=")</f>
        <v>#REF!</v>
      </c>
      <c r="GY449" t="e">
        <f>AND(#REF!,"AAAAAG1fO84=")</f>
        <v>#REF!</v>
      </c>
      <c r="GZ449" t="e">
        <f>AND(#REF!,"AAAAAG1fO88=")</f>
        <v>#REF!</v>
      </c>
      <c r="HA449" t="e">
        <f>AND(#REF!,"AAAAAG1fO9A=")</f>
        <v>#REF!</v>
      </c>
      <c r="HB449" t="e">
        <f>AND(#REF!,"AAAAAG1fO9E=")</f>
        <v>#REF!</v>
      </c>
      <c r="HC449" t="e">
        <f>AND(#REF!,"AAAAAG1fO9I=")</f>
        <v>#REF!</v>
      </c>
      <c r="HD449" t="e">
        <f>AND(#REF!,"AAAAAG1fO9M=")</f>
        <v>#REF!</v>
      </c>
      <c r="HE449" t="e">
        <f>AND(#REF!,"AAAAAG1fO9Q=")</f>
        <v>#REF!</v>
      </c>
      <c r="HF449" t="e">
        <f>AND(#REF!,"AAAAAG1fO9U=")</f>
        <v>#REF!</v>
      </c>
      <c r="HG449" t="e">
        <f>AND(#REF!,"AAAAAG1fO9Y=")</f>
        <v>#REF!</v>
      </c>
      <c r="HH449" t="e">
        <f>AND(#REF!,"AAAAAG1fO9c=")</f>
        <v>#REF!</v>
      </c>
      <c r="HI449" t="e">
        <f>AND(#REF!,"AAAAAG1fO9g=")</f>
        <v>#REF!</v>
      </c>
      <c r="HJ449" t="e">
        <f>AND(#REF!,"AAAAAG1fO9k=")</f>
        <v>#REF!</v>
      </c>
      <c r="HK449" t="e">
        <f>AND(#REF!,"AAAAAG1fO9o=")</f>
        <v>#REF!</v>
      </c>
      <c r="HL449" t="e">
        <f>AND(#REF!,"AAAAAG1fO9s=")</f>
        <v>#REF!</v>
      </c>
      <c r="HM449" t="e">
        <f>AND(#REF!,"AAAAAG1fO9w=")</f>
        <v>#REF!</v>
      </c>
      <c r="HN449" t="e">
        <f>AND(#REF!,"AAAAAG1fO90=")</f>
        <v>#REF!</v>
      </c>
      <c r="HO449" t="e">
        <f>IF(#REF!,"AAAAAG1fO94=",0)</f>
        <v>#REF!</v>
      </c>
      <c r="HP449" t="e">
        <f>AND(#REF!,"AAAAAG1fO98=")</f>
        <v>#REF!</v>
      </c>
      <c r="HQ449" t="e">
        <f>AND(#REF!,"AAAAAG1fO+A=")</f>
        <v>#REF!</v>
      </c>
      <c r="HR449" t="e">
        <f>AND(#REF!,"AAAAAG1fO+E=")</f>
        <v>#REF!</v>
      </c>
      <c r="HS449" t="e">
        <f>AND(#REF!,"AAAAAG1fO+I=")</f>
        <v>#REF!</v>
      </c>
      <c r="HT449" t="e">
        <f>AND(#REF!,"AAAAAG1fO+M=")</f>
        <v>#REF!</v>
      </c>
      <c r="HU449" t="e">
        <f>AND(#REF!,"AAAAAG1fO+Q=")</f>
        <v>#REF!</v>
      </c>
      <c r="HV449" t="e">
        <f>AND(#REF!,"AAAAAG1fO+U=")</f>
        <v>#REF!</v>
      </c>
      <c r="HW449" t="e">
        <f>AND(#REF!,"AAAAAG1fO+Y=")</f>
        <v>#REF!</v>
      </c>
      <c r="HX449" t="e">
        <f>AND(#REF!,"AAAAAG1fO+c=")</f>
        <v>#REF!</v>
      </c>
      <c r="HY449" t="e">
        <f>AND(#REF!,"AAAAAG1fO+g=")</f>
        <v>#REF!</v>
      </c>
      <c r="HZ449" t="e">
        <f>AND(#REF!,"AAAAAG1fO+k=")</f>
        <v>#REF!</v>
      </c>
      <c r="IA449" t="e">
        <f>AND(#REF!,"AAAAAG1fO+o=")</f>
        <v>#REF!</v>
      </c>
      <c r="IB449" t="e">
        <f>AND(#REF!,"AAAAAG1fO+s=")</f>
        <v>#REF!</v>
      </c>
      <c r="IC449" t="e">
        <f>AND(#REF!,"AAAAAG1fO+w=")</f>
        <v>#REF!</v>
      </c>
      <c r="ID449" t="e">
        <f>AND(#REF!,"AAAAAG1fO+0=")</f>
        <v>#REF!</v>
      </c>
      <c r="IE449" t="e">
        <f>AND(#REF!,"AAAAAG1fO+4=")</f>
        <v>#REF!</v>
      </c>
      <c r="IF449" t="e">
        <f>AND(#REF!,"AAAAAG1fO+8=")</f>
        <v>#REF!</v>
      </c>
      <c r="IG449" t="e">
        <f>AND(#REF!,"AAAAAG1fO/A=")</f>
        <v>#REF!</v>
      </c>
      <c r="IH449" t="e">
        <f>AND(#REF!,"AAAAAG1fO/E=")</f>
        <v>#REF!</v>
      </c>
      <c r="II449" t="e">
        <f>AND(#REF!,"AAAAAG1fO/I=")</f>
        <v>#REF!</v>
      </c>
      <c r="IJ449" t="e">
        <f>AND(#REF!,"AAAAAG1fO/M=")</f>
        <v>#REF!</v>
      </c>
      <c r="IK449" t="e">
        <f>AND(#REF!,"AAAAAG1fO/Q=")</f>
        <v>#REF!</v>
      </c>
      <c r="IL449" t="e">
        <f>AND(#REF!,"AAAAAG1fO/U=")</f>
        <v>#REF!</v>
      </c>
      <c r="IM449" t="e">
        <f>AND(#REF!,"AAAAAG1fO/Y=")</f>
        <v>#REF!</v>
      </c>
      <c r="IN449" t="e">
        <f>IF(#REF!,"AAAAAG1fO/c=",0)</f>
        <v>#REF!</v>
      </c>
      <c r="IO449" t="e">
        <f>AND(#REF!,"AAAAAG1fO/g=")</f>
        <v>#REF!</v>
      </c>
      <c r="IP449" t="e">
        <f>AND(#REF!,"AAAAAG1fO/k=")</f>
        <v>#REF!</v>
      </c>
      <c r="IQ449" t="e">
        <f>AND(#REF!,"AAAAAG1fO/o=")</f>
        <v>#REF!</v>
      </c>
      <c r="IR449" t="e">
        <f>AND(#REF!,"AAAAAG1fO/s=")</f>
        <v>#REF!</v>
      </c>
      <c r="IS449" t="e">
        <f>AND(#REF!,"AAAAAG1fO/w=")</f>
        <v>#REF!</v>
      </c>
      <c r="IT449" t="e">
        <f>AND(#REF!,"AAAAAG1fO/0=")</f>
        <v>#REF!</v>
      </c>
      <c r="IU449" t="e">
        <f>AND(#REF!,"AAAAAG1fO/4=")</f>
        <v>#REF!</v>
      </c>
      <c r="IV449" t="e">
        <f>AND(#REF!,"AAAAAG1fO/8=")</f>
        <v>#REF!</v>
      </c>
    </row>
    <row r="450" spans="1:256">
      <c r="A450" t="e">
        <f>AND(#REF!,"AAAAAH+7fwA=")</f>
        <v>#REF!</v>
      </c>
      <c r="B450" t="e">
        <f>AND(#REF!,"AAAAAH+7fwE=")</f>
        <v>#REF!</v>
      </c>
      <c r="C450" t="e">
        <f>AND(#REF!,"AAAAAH+7fwI=")</f>
        <v>#REF!</v>
      </c>
      <c r="D450" t="e">
        <f>AND(#REF!,"AAAAAH+7fwM=")</f>
        <v>#REF!</v>
      </c>
      <c r="E450" t="e">
        <f>AND(#REF!,"AAAAAH+7fwQ=")</f>
        <v>#REF!</v>
      </c>
      <c r="F450" t="e">
        <f>AND(#REF!,"AAAAAH+7fwU=")</f>
        <v>#REF!</v>
      </c>
      <c r="G450" t="e">
        <f>AND(#REF!,"AAAAAH+7fwY=")</f>
        <v>#REF!</v>
      </c>
      <c r="H450" t="e">
        <f>AND(#REF!,"AAAAAH+7fwc=")</f>
        <v>#REF!</v>
      </c>
      <c r="I450" t="e">
        <f>AND(#REF!,"AAAAAH+7fwg=")</f>
        <v>#REF!</v>
      </c>
      <c r="J450" t="e">
        <f>AND(#REF!,"AAAAAH+7fwk=")</f>
        <v>#REF!</v>
      </c>
      <c r="K450" t="e">
        <f>AND(#REF!,"AAAAAH+7fwo=")</f>
        <v>#REF!</v>
      </c>
      <c r="L450" t="e">
        <f>AND(#REF!,"AAAAAH+7fws=")</f>
        <v>#REF!</v>
      </c>
      <c r="M450" t="e">
        <f>AND(#REF!,"AAAAAH+7fww=")</f>
        <v>#REF!</v>
      </c>
      <c r="N450" t="e">
        <f>AND(#REF!,"AAAAAH+7fw0=")</f>
        <v>#REF!</v>
      </c>
      <c r="O450" t="e">
        <f>AND(#REF!,"AAAAAH+7fw4=")</f>
        <v>#REF!</v>
      </c>
      <c r="P450" t="e">
        <f>AND(#REF!,"AAAAAH+7fw8=")</f>
        <v>#REF!</v>
      </c>
      <c r="Q450" t="e">
        <f>IF(#REF!,"AAAAAH+7fxA=",0)</f>
        <v>#REF!</v>
      </c>
      <c r="R450" t="e">
        <f>AND(#REF!,"AAAAAH+7fxE=")</f>
        <v>#REF!</v>
      </c>
      <c r="S450" t="e">
        <f>AND(#REF!,"AAAAAH+7fxI=")</f>
        <v>#REF!</v>
      </c>
      <c r="T450" t="e">
        <f>AND(#REF!,"AAAAAH+7fxM=")</f>
        <v>#REF!</v>
      </c>
      <c r="U450" t="e">
        <f>AND(#REF!,"AAAAAH+7fxQ=")</f>
        <v>#REF!</v>
      </c>
      <c r="V450" t="e">
        <f>AND(#REF!,"AAAAAH+7fxU=")</f>
        <v>#REF!</v>
      </c>
      <c r="W450" t="e">
        <f>AND(#REF!,"AAAAAH+7fxY=")</f>
        <v>#REF!</v>
      </c>
      <c r="X450" t="e">
        <f>AND(#REF!,"AAAAAH+7fxc=")</f>
        <v>#REF!</v>
      </c>
      <c r="Y450" t="e">
        <f>AND(#REF!,"AAAAAH+7fxg=")</f>
        <v>#REF!</v>
      </c>
      <c r="Z450" t="e">
        <f>AND(#REF!,"AAAAAH+7fxk=")</f>
        <v>#REF!</v>
      </c>
      <c r="AA450" t="e">
        <f>AND(#REF!,"AAAAAH+7fxo=")</f>
        <v>#REF!</v>
      </c>
      <c r="AB450" t="e">
        <f>AND(#REF!,"AAAAAH+7fxs=")</f>
        <v>#REF!</v>
      </c>
      <c r="AC450" t="e">
        <f>AND(#REF!,"AAAAAH+7fxw=")</f>
        <v>#REF!</v>
      </c>
      <c r="AD450" t="e">
        <f>AND(#REF!,"AAAAAH+7fx0=")</f>
        <v>#REF!</v>
      </c>
      <c r="AE450" t="e">
        <f>AND(#REF!,"AAAAAH+7fx4=")</f>
        <v>#REF!</v>
      </c>
      <c r="AF450" t="e">
        <f>AND(#REF!,"AAAAAH+7fx8=")</f>
        <v>#REF!</v>
      </c>
      <c r="AG450" t="e">
        <f>AND(#REF!,"AAAAAH+7fyA=")</f>
        <v>#REF!</v>
      </c>
      <c r="AH450" t="e">
        <f>AND(#REF!,"AAAAAH+7fyE=")</f>
        <v>#REF!</v>
      </c>
      <c r="AI450" t="e">
        <f>AND(#REF!,"AAAAAH+7fyI=")</f>
        <v>#REF!</v>
      </c>
      <c r="AJ450" t="e">
        <f>AND(#REF!,"AAAAAH+7fyM=")</f>
        <v>#REF!</v>
      </c>
      <c r="AK450" t="e">
        <f>AND(#REF!,"AAAAAH+7fyQ=")</f>
        <v>#REF!</v>
      </c>
      <c r="AL450" t="e">
        <f>AND(#REF!,"AAAAAH+7fyU=")</f>
        <v>#REF!</v>
      </c>
      <c r="AM450" t="e">
        <f>AND(#REF!,"AAAAAH+7fyY=")</f>
        <v>#REF!</v>
      </c>
      <c r="AN450" t="e">
        <f>AND(#REF!,"AAAAAH+7fyc=")</f>
        <v>#REF!</v>
      </c>
      <c r="AO450" t="e">
        <f>AND(#REF!,"AAAAAH+7fyg=")</f>
        <v>#REF!</v>
      </c>
      <c r="AP450" t="e">
        <f>IF(#REF!,"AAAAAH+7fyk=",0)</f>
        <v>#REF!</v>
      </c>
      <c r="AQ450" t="e">
        <f>AND(#REF!,"AAAAAH+7fyo=")</f>
        <v>#REF!</v>
      </c>
      <c r="AR450" t="e">
        <f>AND(#REF!,"AAAAAH+7fys=")</f>
        <v>#REF!</v>
      </c>
      <c r="AS450" t="e">
        <f>AND(#REF!,"AAAAAH+7fyw=")</f>
        <v>#REF!</v>
      </c>
      <c r="AT450" t="e">
        <f>AND(#REF!,"AAAAAH+7fy0=")</f>
        <v>#REF!</v>
      </c>
      <c r="AU450" t="e">
        <f>AND(#REF!,"AAAAAH+7fy4=")</f>
        <v>#REF!</v>
      </c>
      <c r="AV450" t="e">
        <f>AND(#REF!,"AAAAAH+7fy8=")</f>
        <v>#REF!</v>
      </c>
      <c r="AW450" t="e">
        <f>AND(#REF!,"AAAAAH+7fzA=")</f>
        <v>#REF!</v>
      </c>
      <c r="AX450" t="e">
        <f>AND(#REF!,"AAAAAH+7fzE=")</f>
        <v>#REF!</v>
      </c>
      <c r="AY450" t="e">
        <f>AND(#REF!,"AAAAAH+7fzI=")</f>
        <v>#REF!</v>
      </c>
      <c r="AZ450" t="e">
        <f>AND(#REF!,"AAAAAH+7fzM=")</f>
        <v>#REF!</v>
      </c>
      <c r="BA450" t="e">
        <f>AND(#REF!,"AAAAAH+7fzQ=")</f>
        <v>#REF!</v>
      </c>
      <c r="BB450" t="e">
        <f>AND(#REF!,"AAAAAH+7fzU=")</f>
        <v>#REF!</v>
      </c>
      <c r="BC450" t="e">
        <f>AND(#REF!,"AAAAAH+7fzY=")</f>
        <v>#REF!</v>
      </c>
      <c r="BD450" t="e">
        <f>AND(#REF!,"AAAAAH+7fzc=")</f>
        <v>#REF!</v>
      </c>
      <c r="BE450" t="e">
        <f>AND(#REF!,"AAAAAH+7fzg=")</f>
        <v>#REF!</v>
      </c>
      <c r="BF450" t="e">
        <f>AND(#REF!,"AAAAAH+7fzk=")</f>
        <v>#REF!</v>
      </c>
      <c r="BG450" t="e">
        <f>AND(#REF!,"AAAAAH+7fzo=")</f>
        <v>#REF!</v>
      </c>
      <c r="BH450" t="e">
        <f>AND(#REF!,"AAAAAH+7fzs=")</f>
        <v>#REF!</v>
      </c>
      <c r="BI450" t="e">
        <f>AND(#REF!,"AAAAAH+7fzw=")</f>
        <v>#REF!</v>
      </c>
      <c r="BJ450" t="e">
        <f>AND(#REF!,"AAAAAH+7fz0=")</f>
        <v>#REF!</v>
      </c>
      <c r="BK450" t="e">
        <f>AND(#REF!,"AAAAAH+7fz4=")</f>
        <v>#REF!</v>
      </c>
      <c r="BL450" t="e">
        <f>AND(#REF!,"AAAAAH+7fz8=")</f>
        <v>#REF!</v>
      </c>
      <c r="BM450" t="e">
        <f>AND(#REF!,"AAAAAH+7f0A=")</f>
        <v>#REF!</v>
      </c>
      <c r="BN450" t="e">
        <f>AND(#REF!,"AAAAAH+7f0E=")</f>
        <v>#REF!</v>
      </c>
      <c r="BO450" t="e">
        <f>IF(#REF!,"AAAAAH+7f0I=",0)</f>
        <v>#REF!</v>
      </c>
      <c r="BP450" t="e">
        <f>AND(#REF!,"AAAAAH+7f0M=")</f>
        <v>#REF!</v>
      </c>
      <c r="BQ450" t="e">
        <f>AND(#REF!,"AAAAAH+7f0Q=")</f>
        <v>#REF!</v>
      </c>
      <c r="BR450" t="e">
        <f>AND(#REF!,"AAAAAH+7f0U=")</f>
        <v>#REF!</v>
      </c>
      <c r="BS450" t="e">
        <f>AND(#REF!,"AAAAAH+7f0Y=")</f>
        <v>#REF!</v>
      </c>
      <c r="BT450" t="e">
        <f>AND(#REF!,"AAAAAH+7f0c=")</f>
        <v>#REF!</v>
      </c>
      <c r="BU450" t="e">
        <f>AND(#REF!,"AAAAAH+7f0g=")</f>
        <v>#REF!</v>
      </c>
      <c r="BV450" t="e">
        <f>AND(#REF!,"AAAAAH+7f0k=")</f>
        <v>#REF!</v>
      </c>
      <c r="BW450" t="e">
        <f>AND(#REF!,"AAAAAH+7f0o=")</f>
        <v>#REF!</v>
      </c>
      <c r="BX450" t="e">
        <f>AND(#REF!,"AAAAAH+7f0s=")</f>
        <v>#REF!</v>
      </c>
      <c r="BY450" t="e">
        <f>AND(#REF!,"AAAAAH+7f0w=")</f>
        <v>#REF!</v>
      </c>
      <c r="BZ450" t="e">
        <f>AND(#REF!,"AAAAAH+7f00=")</f>
        <v>#REF!</v>
      </c>
      <c r="CA450" t="e">
        <f>AND(#REF!,"AAAAAH+7f04=")</f>
        <v>#REF!</v>
      </c>
      <c r="CB450" t="e">
        <f>AND(#REF!,"AAAAAH+7f08=")</f>
        <v>#REF!</v>
      </c>
      <c r="CC450" t="e">
        <f>AND(#REF!,"AAAAAH+7f1A=")</f>
        <v>#REF!</v>
      </c>
      <c r="CD450" t="e">
        <f>AND(#REF!,"AAAAAH+7f1E=")</f>
        <v>#REF!</v>
      </c>
      <c r="CE450" t="e">
        <f>AND(#REF!,"AAAAAH+7f1I=")</f>
        <v>#REF!</v>
      </c>
      <c r="CF450" t="e">
        <f>AND(#REF!,"AAAAAH+7f1M=")</f>
        <v>#REF!</v>
      </c>
      <c r="CG450" t="e">
        <f>AND(#REF!,"AAAAAH+7f1Q=")</f>
        <v>#REF!</v>
      </c>
      <c r="CH450" t="e">
        <f>AND(#REF!,"AAAAAH+7f1U=")</f>
        <v>#REF!</v>
      </c>
      <c r="CI450" t="e">
        <f>AND(#REF!,"AAAAAH+7f1Y=")</f>
        <v>#REF!</v>
      </c>
      <c r="CJ450" t="e">
        <f>AND(#REF!,"AAAAAH+7f1c=")</f>
        <v>#REF!</v>
      </c>
      <c r="CK450" t="e">
        <f>AND(#REF!,"AAAAAH+7f1g=")</f>
        <v>#REF!</v>
      </c>
      <c r="CL450" t="e">
        <f>AND(#REF!,"AAAAAH+7f1k=")</f>
        <v>#REF!</v>
      </c>
      <c r="CM450" t="e">
        <f>AND(#REF!,"AAAAAH+7f1o=")</f>
        <v>#REF!</v>
      </c>
      <c r="CN450" t="e">
        <f>IF(#REF!,"AAAAAH+7f1s=",0)</f>
        <v>#REF!</v>
      </c>
      <c r="CO450" t="e">
        <f>AND(#REF!,"AAAAAH+7f1w=")</f>
        <v>#REF!</v>
      </c>
      <c r="CP450" t="e">
        <f>AND(#REF!,"AAAAAH+7f10=")</f>
        <v>#REF!</v>
      </c>
      <c r="CQ450" t="e">
        <f>AND(#REF!,"AAAAAH+7f14=")</f>
        <v>#REF!</v>
      </c>
      <c r="CR450" t="e">
        <f>AND(#REF!,"AAAAAH+7f18=")</f>
        <v>#REF!</v>
      </c>
      <c r="CS450" t="e">
        <f>AND(#REF!,"AAAAAH+7f2A=")</f>
        <v>#REF!</v>
      </c>
      <c r="CT450" t="e">
        <f>AND(#REF!,"AAAAAH+7f2E=")</f>
        <v>#REF!</v>
      </c>
      <c r="CU450" t="e">
        <f>AND(#REF!,"AAAAAH+7f2I=")</f>
        <v>#REF!</v>
      </c>
      <c r="CV450" t="e">
        <f>AND(#REF!,"AAAAAH+7f2M=")</f>
        <v>#REF!</v>
      </c>
      <c r="CW450" t="e">
        <f>AND(#REF!,"AAAAAH+7f2Q=")</f>
        <v>#REF!</v>
      </c>
      <c r="CX450" t="e">
        <f>AND(#REF!,"AAAAAH+7f2U=")</f>
        <v>#REF!</v>
      </c>
      <c r="CY450" t="e">
        <f>AND(#REF!,"AAAAAH+7f2Y=")</f>
        <v>#REF!</v>
      </c>
      <c r="CZ450" t="e">
        <f>AND(#REF!,"AAAAAH+7f2c=")</f>
        <v>#REF!</v>
      </c>
      <c r="DA450" t="e">
        <f>AND(#REF!,"AAAAAH+7f2g=")</f>
        <v>#REF!</v>
      </c>
      <c r="DB450" t="e">
        <f>AND(#REF!,"AAAAAH+7f2k=")</f>
        <v>#REF!</v>
      </c>
      <c r="DC450" t="e">
        <f>AND(#REF!,"AAAAAH+7f2o=")</f>
        <v>#REF!</v>
      </c>
      <c r="DD450" t="e">
        <f>AND(#REF!,"AAAAAH+7f2s=")</f>
        <v>#REF!</v>
      </c>
      <c r="DE450" t="e">
        <f>AND(#REF!,"AAAAAH+7f2w=")</f>
        <v>#REF!</v>
      </c>
      <c r="DF450" t="e">
        <f>AND(#REF!,"AAAAAH+7f20=")</f>
        <v>#REF!</v>
      </c>
      <c r="DG450" t="e">
        <f>AND(#REF!,"AAAAAH+7f24=")</f>
        <v>#REF!</v>
      </c>
      <c r="DH450" t="e">
        <f>AND(#REF!,"AAAAAH+7f28=")</f>
        <v>#REF!</v>
      </c>
      <c r="DI450" t="e">
        <f>AND(#REF!,"AAAAAH+7f3A=")</f>
        <v>#REF!</v>
      </c>
      <c r="DJ450" t="e">
        <f>AND(#REF!,"AAAAAH+7f3E=")</f>
        <v>#REF!</v>
      </c>
      <c r="DK450" t="e">
        <f>AND(#REF!,"AAAAAH+7f3I=")</f>
        <v>#REF!</v>
      </c>
      <c r="DL450" t="e">
        <f>AND(#REF!,"AAAAAH+7f3M=")</f>
        <v>#REF!</v>
      </c>
      <c r="DM450" t="e">
        <f>IF(#REF!,"AAAAAH+7f3Q=",0)</f>
        <v>#REF!</v>
      </c>
      <c r="DN450" t="e">
        <f>AND(#REF!,"AAAAAH+7f3U=")</f>
        <v>#REF!</v>
      </c>
      <c r="DO450" t="e">
        <f>AND(#REF!,"AAAAAH+7f3Y=")</f>
        <v>#REF!</v>
      </c>
      <c r="DP450" t="e">
        <f>AND(#REF!,"AAAAAH+7f3c=")</f>
        <v>#REF!</v>
      </c>
      <c r="DQ450" t="e">
        <f>AND(#REF!,"AAAAAH+7f3g=")</f>
        <v>#REF!</v>
      </c>
      <c r="DR450" t="e">
        <f>AND(#REF!,"AAAAAH+7f3k=")</f>
        <v>#REF!</v>
      </c>
      <c r="DS450" t="e">
        <f>AND(#REF!,"AAAAAH+7f3o=")</f>
        <v>#REF!</v>
      </c>
      <c r="DT450" t="e">
        <f>AND(#REF!,"AAAAAH+7f3s=")</f>
        <v>#REF!</v>
      </c>
      <c r="DU450" t="e">
        <f>AND(#REF!,"AAAAAH+7f3w=")</f>
        <v>#REF!</v>
      </c>
      <c r="DV450" t="e">
        <f>AND(#REF!,"AAAAAH+7f30=")</f>
        <v>#REF!</v>
      </c>
      <c r="DW450" t="e">
        <f>AND(#REF!,"AAAAAH+7f34=")</f>
        <v>#REF!</v>
      </c>
      <c r="DX450" t="e">
        <f>AND(#REF!,"AAAAAH+7f38=")</f>
        <v>#REF!</v>
      </c>
      <c r="DY450" t="e">
        <f>AND(#REF!,"AAAAAH+7f4A=")</f>
        <v>#REF!</v>
      </c>
      <c r="DZ450" t="e">
        <f>AND(#REF!,"AAAAAH+7f4E=")</f>
        <v>#REF!</v>
      </c>
      <c r="EA450" t="e">
        <f>AND(#REF!,"AAAAAH+7f4I=")</f>
        <v>#REF!</v>
      </c>
      <c r="EB450" t="e">
        <f>AND(#REF!,"AAAAAH+7f4M=")</f>
        <v>#REF!</v>
      </c>
      <c r="EC450" t="e">
        <f>AND(#REF!,"AAAAAH+7f4Q=")</f>
        <v>#REF!</v>
      </c>
      <c r="ED450" t="e">
        <f>AND(#REF!,"AAAAAH+7f4U=")</f>
        <v>#REF!</v>
      </c>
      <c r="EE450" t="e">
        <f>AND(#REF!,"AAAAAH+7f4Y=")</f>
        <v>#REF!</v>
      </c>
      <c r="EF450" t="e">
        <f>AND(#REF!,"AAAAAH+7f4c=")</f>
        <v>#REF!</v>
      </c>
      <c r="EG450" t="e">
        <f>AND(#REF!,"AAAAAH+7f4g=")</f>
        <v>#REF!</v>
      </c>
      <c r="EH450" t="e">
        <f>AND(#REF!,"AAAAAH+7f4k=")</f>
        <v>#REF!</v>
      </c>
      <c r="EI450" t="e">
        <f>AND(#REF!,"AAAAAH+7f4o=")</f>
        <v>#REF!</v>
      </c>
      <c r="EJ450" t="e">
        <f>AND(#REF!,"AAAAAH+7f4s=")</f>
        <v>#REF!</v>
      </c>
      <c r="EK450" t="e">
        <f>AND(#REF!,"AAAAAH+7f4w=")</f>
        <v>#REF!</v>
      </c>
      <c r="EL450" t="e">
        <f>IF(#REF!,"AAAAAH+7f40=",0)</f>
        <v>#REF!</v>
      </c>
      <c r="EM450" t="e">
        <f>AND(#REF!,"AAAAAH+7f44=")</f>
        <v>#REF!</v>
      </c>
      <c r="EN450" t="e">
        <f>AND(#REF!,"AAAAAH+7f48=")</f>
        <v>#REF!</v>
      </c>
      <c r="EO450" t="e">
        <f>AND(#REF!,"AAAAAH+7f5A=")</f>
        <v>#REF!</v>
      </c>
      <c r="EP450" t="e">
        <f>AND(#REF!,"AAAAAH+7f5E=")</f>
        <v>#REF!</v>
      </c>
      <c r="EQ450" t="e">
        <f>AND(#REF!,"AAAAAH+7f5I=")</f>
        <v>#REF!</v>
      </c>
      <c r="ER450" t="e">
        <f>AND(#REF!,"AAAAAH+7f5M=")</f>
        <v>#REF!</v>
      </c>
      <c r="ES450" t="e">
        <f>AND(#REF!,"AAAAAH+7f5Q=")</f>
        <v>#REF!</v>
      </c>
      <c r="ET450" t="e">
        <f>AND(#REF!,"AAAAAH+7f5U=")</f>
        <v>#REF!</v>
      </c>
      <c r="EU450" t="e">
        <f>AND(#REF!,"AAAAAH+7f5Y=")</f>
        <v>#REF!</v>
      </c>
      <c r="EV450" t="e">
        <f>AND(#REF!,"AAAAAH+7f5c=")</f>
        <v>#REF!</v>
      </c>
      <c r="EW450" t="e">
        <f>AND(#REF!,"AAAAAH+7f5g=")</f>
        <v>#REF!</v>
      </c>
      <c r="EX450" t="e">
        <f>AND(#REF!,"AAAAAH+7f5k=")</f>
        <v>#REF!</v>
      </c>
      <c r="EY450" t="e">
        <f>AND(#REF!,"AAAAAH+7f5o=")</f>
        <v>#REF!</v>
      </c>
      <c r="EZ450" t="e">
        <f>AND(#REF!,"AAAAAH+7f5s=")</f>
        <v>#REF!</v>
      </c>
      <c r="FA450" t="e">
        <f>AND(#REF!,"AAAAAH+7f5w=")</f>
        <v>#REF!</v>
      </c>
      <c r="FB450" t="e">
        <f>AND(#REF!,"AAAAAH+7f50=")</f>
        <v>#REF!</v>
      </c>
      <c r="FC450" t="e">
        <f>AND(#REF!,"AAAAAH+7f54=")</f>
        <v>#REF!</v>
      </c>
      <c r="FD450" t="e">
        <f>AND(#REF!,"AAAAAH+7f58=")</f>
        <v>#REF!</v>
      </c>
      <c r="FE450" t="e">
        <f>AND(#REF!,"AAAAAH+7f6A=")</f>
        <v>#REF!</v>
      </c>
      <c r="FF450" t="e">
        <f>AND(#REF!,"AAAAAH+7f6E=")</f>
        <v>#REF!</v>
      </c>
      <c r="FG450" t="e">
        <f>AND(#REF!,"AAAAAH+7f6I=")</f>
        <v>#REF!</v>
      </c>
      <c r="FH450" t="e">
        <f>AND(#REF!,"AAAAAH+7f6M=")</f>
        <v>#REF!</v>
      </c>
      <c r="FI450" t="e">
        <f>AND(#REF!,"AAAAAH+7f6Q=")</f>
        <v>#REF!</v>
      </c>
      <c r="FJ450" t="e">
        <f>AND(#REF!,"AAAAAH+7f6U=")</f>
        <v>#REF!</v>
      </c>
      <c r="FK450" t="e">
        <f>IF(#REF!,"AAAAAH+7f6Y=",0)</f>
        <v>#REF!</v>
      </c>
      <c r="FL450" t="e">
        <f>AND(#REF!,"AAAAAH+7f6c=")</f>
        <v>#REF!</v>
      </c>
      <c r="FM450" t="e">
        <f>AND(#REF!,"AAAAAH+7f6g=")</f>
        <v>#REF!</v>
      </c>
      <c r="FN450" t="e">
        <f>AND(#REF!,"AAAAAH+7f6k=")</f>
        <v>#REF!</v>
      </c>
      <c r="FO450" t="e">
        <f>AND(#REF!,"AAAAAH+7f6o=")</f>
        <v>#REF!</v>
      </c>
      <c r="FP450" t="e">
        <f>AND(#REF!,"AAAAAH+7f6s=")</f>
        <v>#REF!</v>
      </c>
      <c r="FQ450" t="e">
        <f>AND(#REF!,"AAAAAH+7f6w=")</f>
        <v>#REF!</v>
      </c>
      <c r="FR450" t="e">
        <f>AND(#REF!,"AAAAAH+7f60=")</f>
        <v>#REF!</v>
      </c>
      <c r="FS450" t="e">
        <f>AND(#REF!,"AAAAAH+7f64=")</f>
        <v>#REF!</v>
      </c>
      <c r="FT450" t="e">
        <f>AND(#REF!,"AAAAAH+7f68=")</f>
        <v>#REF!</v>
      </c>
      <c r="FU450" t="e">
        <f>AND(#REF!,"AAAAAH+7f7A=")</f>
        <v>#REF!</v>
      </c>
      <c r="FV450" t="e">
        <f>AND(#REF!,"AAAAAH+7f7E=")</f>
        <v>#REF!</v>
      </c>
      <c r="FW450" t="e">
        <f>AND(#REF!,"AAAAAH+7f7I=")</f>
        <v>#REF!</v>
      </c>
      <c r="FX450" t="e">
        <f>AND(#REF!,"AAAAAH+7f7M=")</f>
        <v>#REF!</v>
      </c>
      <c r="FY450" t="e">
        <f>AND(#REF!,"AAAAAH+7f7Q=")</f>
        <v>#REF!</v>
      </c>
      <c r="FZ450" t="e">
        <f>AND(#REF!,"AAAAAH+7f7U=")</f>
        <v>#REF!</v>
      </c>
      <c r="GA450" t="e">
        <f>AND(#REF!,"AAAAAH+7f7Y=")</f>
        <v>#REF!</v>
      </c>
      <c r="GB450" t="e">
        <f>AND(#REF!,"AAAAAH+7f7c=")</f>
        <v>#REF!</v>
      </c>
      <c r="GC450" t="e">
        <f>AND(#REF!,"AAAAAH+7f7g=")</f>
        <v>#REF!</v>
      </c>
      <c r="GD450" t="e">
        <f>AND(#REF!,"AAAAAH+7f7k=")</f>
        <v>#REF!</v>
      </c>
      <c r="GE450" t="e">
        <f>AND(#REF!,"AAAAAH+7f7o=")</f>
        <v>#REF!</v>
      </c>
      <c r="GF450" t="e">
        <f>AND(#REF!,"AAAAAH+7f7s=")</f>
        <v>#REF!</v>
      </c>
      <c r="GG450" t="e">
        <f>AND(#REF!,"AAAAAH+7f7w=")</f>
        <v>#REF!</v>
      </c>
      <c r="GH450" t="e">
        <f>AND(#REF!,"AAAAAH+7f70=")</f>
        <v>#REF!</v>
      </c>
      <c r="GI450" t="e">
        <f>AND(#REF!,"AAAAAH+7f74=")</f>
        <v>#REF!</v>
      </c>
      <c r="GJ450" t="e">
        <f>IF(#REF!,"AAAAAH+7f78=",0)</f>
        <v>#REF!</v>
      </c>
      <c r="GK450" t="e">
        <f>AND(#REF!,"AAAAAH+7f8A=")</f>
        <v>#REF!</v>
      </c>
      <c r="GL450" t="e">
        <f>AND(#REF!,"AAAAAH+7f8E=")</f>
        <v>#REF!</v>
      </c>
      <c r="GM450" t="e">
        <f>AND(#REF!,"AAAAAH+7f8I=")</f>
        <v>#REF!</v>
      </c>
      <c r="GN450" t="e">
        <f>AND(#REF!,"AAAAAH+7f8M=")</f>
        <v>#REF!</v>
      </c>
      <c r="GO450" t="e">
        <f>AND(#REF!,"AAAAAH+7f8Q=")</f>
        <v>#REF!</v>
      </c>
      <c r="GP450" t="e">
        <f>AND(#REF!,"AAAAAH+7f8U=")</f>
        <v>#REF!</v>
      </c>
      <c r="GQ450" t="e">
        <f>AND(#REF!,"AAAAAH+7f8Y=")</f>
        <v>#REF!</v>
      </c>
      <c r="GR450" t="e">
        <f>AND(#REF!,"AAAAAH+7f8c=")</f>
        <v>#REF!</v>
      </c>
      <c r="GS450" t="e">
        <f>AND(#REF!,"AAAAAH+7f8g=")</f>
        <v>#REF!</v>
      </c>
      <c r="GT450" t="e">
        <f>AND(#REF!,"AAAAAH+7f8k=")</f>
        <v>#REF!</v>
      </c>
      <c r="GU450" t="e">
        <f>AND(#REF!,"AAAAAH+7f8o=")</f>
        <v>#REF!</v>
      </c>
      <c r="GV450" t="e">
        <f>AND(#REF!,"AAAAAH+7f8s=")</f>
        <v>#REF!</v>
      </c>
      <c r="GW450" t="e">
        <f>AND(#REF!,"AAAAAH+7f8w=")</f>
        <v>#REF!</v>
      </c>
      <c r="GX450" t="e">
        <f>AND(#REF!,"AAAAAH+7f80=")</f>
        <v>#REF!</v>
      </c>
      <c r="GY450" t="e">
        <f>AND(#REF!,"AAAAAH+7f84=")</f>
        <v>#REF!</v>
      </c>
      <c r="GZ450" t="e">
        <f>AND(#REF!,"AAAAAH+7f88=")</f>
        <v>#REF!</v>
      </c>
      <c r="HA450" t="e">
        <f>AND(#REF!,"AAAAAH+7f9A=")</f>
        <v>#REF!</v>
      </c>
      <c r="HB450" t="e">
        <f>AND(#REF!,"AAAAAH+7f9E=")</f>
        <v>#REF!</v>
      </c>
      <c r="HC450" t="e">
        <f>AND(#REF!,"AAAAAH+7f9I=")</f>
        <v>#REF!</v>
      </c>
      <c r="HD450" t="e">
        <f>AND(#REF!,"AAAAAH+7f9M=")</f>
        <v>#REF!</v>
      </c>
      <c r="HE450" t="e">
        <f>AND(#REF!,"AAAAAH+7f9Q=")</f>
        <v>#REF!</v>
      </c>
      <c r="HF450" t="e">
        <f>AND(#REF!,"AAAAAH+7f9U=")</f>
        <v>#REF!</v>
      </c>
      <c r="HG450" t="e">
        <f>AND(#REF!,"AAAAAH+7f9Y=")</f>
        <v>#REF!</v>
      </c>
      <c r="HH450" t="e">
        <f>AND(#REF!,"AAAAAH+7f9c=")</f>
        <v>#REF!</v>
      </c>
      <c r="HI450" t="e">
        <f>IF(#REF!,"AAAAAH+7f9g=",0)</f>
        <v>#REF!</v>
      </c>
      <c r="HJ450" t="e">
        <f>AND(#REF!,"AAAAAH+7f9k=")</f>
        <v>#REF!</v>
      </c>
      <c r="HK450" t="e">
        <f>AND(#REF!,"AAAAAH+7f9o=")</f>
        <v>#REF!</v>
      </c>
      <c r="HL450" t="e">
        <f>AND(#REF!,"AAAAAH+7f9s=")</f>
        <v>#REF!</v>
      </c>
      <c r="HM450" t="e">
        <f>AND(#REF!,"AAAAAH+7f9w=")</f>
        <v>#REF!</v>
      </c>
      <c r="HN450" t="e">
        <f>AND(#REF!,"AAAAAH+7f90=")</f>
        <v>#REF!</v>
      </c>
      <c r="HO450" t="e">
        <f>AND(#REF!,"AAAAAH+7f94=")</f>
        <v>#REF!</v>
      </c>
      <c r="HP450" t="e">
        <f>AND(#REF!,"AAAAAH+7f98=")</f>
        <v>#REF!</v>
      </c>
      <c r="HQ450" t="e">
        <f>AND(#REF!,"AAAAAH+7f+A=")</f>
        <v>#REF!</v>
      </c>
      <c r="HR450" t="e">
        <f>AND(#REF!,"AAAAAH+7f+E=")</f>
        <v>#REF!</v>
      </c>
      <c r="HS450" t="e">
        <f>AND(#REF!,"AAAAAH+7f+I=")</f>
        <v>#REF!</v>
      </c>
      <c r="HT450" t="e">
        <f>AND(#REF!,"AAAAAH+7f+M=")</f>
        <v>#REF!</v>
      </c>
      <c r="HU450" t="e">
        <f>AND(#REF!,"AAAAAH+7f+Q=")</f>
        <v>#REF!</v>
      </c>
      <c r="HV450" t="e">
        <f>AND(#REF!,"AAAAAH+7f+U=")</f>
        <v>#REF!</v>
      </c>
      <c r="HW450" t="e">
        <f>AND(#REF!,"AAAAAH+7f+Y=")</f>
        <v>#REF!</v>
      </c>
      <c r="HX450" t="e">
        <f>AND(#REF!,"AAAAAH+7f+c=")</f>
        <v>#REF!</v>
      </c>
      <c r="HY450" t="e">
        <f>AND(#REF!,"AAAAAH+7f+g=")</f>
        <v>#REF!</v>
      </c>
      <c r="HZ450" t="e">
        <f>AND(#REF!,"AAAAAH+7f+k=")</f>
        <v>#REF!</v>
      </c>
      <c r="IA450" t="e">
        <f>AND(#REF!,"AAAAAH+7f+o=")</f>
        <v>#REF!</v>
      </c>
      <c r="IB450" t="e">
        <f>AND(#REF!,"AAAAAH+7f+s=")</f>
        <v>#REF!</v>
      </c>
      <c r="IC450" t="e">
        <f>AND(#REF!,"AAAAAH+7f+w=")</f>
        <v>#REF!</v>
      </c>
      <c r="ID450" t="e">
        <f>AND(#REF!,"AAAAAH+7f+0=")</f>
        <v>#REF!</v>
      </c>
      <c r="IE450" t="e">
        <f>AND(#REF!,"AAAAAH+7f+4=")</f>
        <v>#REF!</v>
      </c>
      <c r="IF450" t="e">
        <f>AND(#REF!,"AAAAAH+7f+8=")</f>
        <v>#REF!</v>
      </c>
      <c r="IG450" t="e">
        <f>AND(#REF!,"AAAAAH+7f/A=")</f>
        <v>#REF!</v>
      </c>
      <c r="IH450" t="e">
        <f>IF(#REF!,"AAAAAH+7f/E=",0)</f>
        <v>#REF!</v>
      </c>
      <c r="II450" t="e">
        <f>AND(#REF!,"AAAAAH+7f/I=")</f>
        <v>#REF!</v>
      </c>
      <c r="IJ450" t="e">
        <f>AND(#REF!,"AAAAAH+7f/M=")</f>
        <v>#REF!</v>
      </c>
      <c r="IK450" t="e">
        <f>AND(#REF!,"AAAAAH+7f/Q=")</f>
        <v>#REF!</v>
      </c>
      <c r="IL450" t="e">
        <f>AND(#REF!,"AAAAAH+7f/U=")</f>
        <v>#REF!</v>
      </c>
      <c r="IM450" t="e">
        <f>AND(#REF!,"AAAAAH+7f/Y=")</f>
        <v>#REF!</v>
      </c>
      <c r="IN450" t="e">
        <f>AND(#REF!,"AAAAAH+7f/c=")</f>
        <v>#REF!</v>
      </c>
      <c r="IO450" t="e">
        <f>AND(#REF!,"AAAAAH+7f/g=")</f>
        <v>#REF!</v>
      </c>
      <c r="IP450" t="e">
        <f>AND(#REF!,"AAAAAH+7f/k=")</f>
        <v>#REF!</v>
      </c>
      <c r="IQ450" t="e">
        <f>AND(#REF!,"AAAAAH+7f/o=")</f>
        <v>#REF!</v>
      </c>
      <c r="IR450" t="e">
        <f>AND(#REF!,"AAAAAH+7f/s=")</f>
        <v>#REF!</v>
      </c>
      <c r="IS450" t="e">
        <f>AND(#REF!,"AAAAAH+7f/w=")</f>
        <v>#REF!</v>
      </c>
      <c r="IT450" t="e">
        <f>AND(#REF!,"AAAAAH+7f/0=")</f>
        <v>#REF!</v>
      </c>
      <c r="IU450" t="e">
        <f>AND(#REF!,"AAAAAH+7f/4=")</f>
        <v>#REF!</v>
      </c>
      <c r="IV450" t="e">
        <f>AND(#REF!,"AAAAAH+7f/8=")</f>
        <v>#REF!</v>
      </c>
    </row>
    <row r="451" spans="1:256">
      <c r="A451" t="e">
        <f>AND(#REF!,"AAAAAH19vwA=")</f>
        <v>#REF!</v>
      </c>
      <c r="B451" t="e">
        <f>AND(#REF!,"AAAAAH19vwE=")</f>
        <v>#REF!</v>
      </c>
      <c r="C451" t="e">
        <f>AND(#REF!,"AAAAAH19vwI=")</f>
        <v>#REF!</v>
      </c>
      <c r="D451" t="e">
        <f>AND(#REF!,"AAAAAH19vwM=")</f>
        <v>#REF!</v>
      </c>
      <c r="E451" t="e">
        <f>AND(#REF!,"AAAAAH19vwQ=")</f>
        <v>#REF!</v>
      </c>
      <c r="F451" t="e">
        <f>AND(#REF!,"AAAAAH19vwU=")</f>
        <v>#REF!</v>
      </c>
      <c r="G451" t="e">
        <f>AND(#REF!,"AAAAAH19vwY=")</f>
        <v>#REF!</v>
      </c>
      <c r="H451" t="e">
        <f>AND(#REF!,"AAAAAH19vwc=")</f>
        <v>#REF!</v>
      </c>
      <c r="I451" t="e">
        <f>AND(#REF!,"AAAAAH19vwg=")</f>
        <v>#REF!</v>
      </c>
      <c r="J451" t="e">
        <f>AND(#REF!,"AAAAAH19vwk=")</f>
        <v>#REF!</v>
      </c>
      <c r="K451" t="e">
        <f>IF(#REF!,"AAAAAH19vwo=",0)</f>
        <v>#REF!</v>
      </c>
      <c r="L451" t="e">
        <f>AND(#REF!,"AAAAAH19vws=")</f>
        <v>#REF!</v>
      </c>
      <c r="M451" t="e">
        <f>AND(#REF!,"AAAAAH19vww=")</f>
        <v>#REF!</v>
      </c>
      <c r="N451" t="e">
        <f>AND(#REF!,"AAAAAH19vw0=")</f>
        <v>#REF!</v>
      </c>
      <c r="O451" t="e">
        <f>AND(#REF!,"AAAAAH19vw4=")</f>
        <v>#REF!</v>
      </c>
      <c r="P451" t="e">
        <f>AND(#REF!,"AAAAAH19vw8=")</f>
        <v>#REF!</v>
      </c>
      <c r="Q451" t="e">
        <f>AND(#REF!,"AAAAAH19vxA=")</f>
        <v>#REF!</v>
      </c>
      <c r="R451" t="e">
        <f>AND(#REF!,"AAAAAH19vxE=")</f>
        <v>#REF!</v>
      </c>
      <c r="S451" t="e">
        <f>AND(#REF!,"AAAAAH19vxI=")</f>
        <v>#REF!</v>
      </c>
      <c r="T451" t="e">
        <f>AND(#REF!,"AAAAAH19vxM=")</f>
        <v>#REF!</v>
      </c>
      <c r="U451" t="e">
        <f>AND(#REF!,"AAAAAH19vxQ=")</f>
        <v>#REF!</v>
      </c>
      <c r="V451" t="e">
        <f>AND(#REF!,"AAAAAH19vxU=")</f>
        <v>#REF!</v>
      </c>
      <c r="W451" t="e">
        <f>AND(#REF!,"AAAAAH19vxY=")</f>
        <v>#REF!</v>
      </c>
      <c r="X451" t="e">
        <f>AND(#REF!,"AAAAAH19vxc=")</f>
        <v>#REF!</v>
      </c>
      <c r="Y451" t="e">
        <f>AND(#REF!,"AAAAAH19vxg=")</f>
        <v>#REF!</v>
      </c>
      <c r="Z451" t="e">
        <f>AND(#REF!,"AAAAAH19vxk=")</f>
        <v>#REF!</v>
      </c>
      <c r="AA451" t="e">
        <f>AND(#REF!,"AAAAAH19vxo=")</f>
        <v>#REF!</v>
      </c>
      <c r="AB451" t="e">
        <f>AND(#REF!,"AAAAAH19vxs=")</f>
        <v>#REF!</v>
      </c>
      <c r="AC451" t="e">
        <f>AND(#REF!,"AAAAAH19vxw=")</f>
        <v>#REF!</v>
      </c>
      <c r="AD451" t="e">
        <f>AND(#REF!,"AAAAAH19vx0=")</f>
        <v>#REF!</v>
      </c>
      <c r="AE451" t="e">
        <f>AND(#REF!,"AAAAAH19vx4=")</f>
        <v>#REF!</v>
      </c>
      <c r="AF451" t="e">
        <f>AND(#REF!,"AAAAAH19vx8=")</f>
        <v>#REF!</v>
      </c>
      <c r="AG451" t="e">
        <f>AND(#REF!,"AAAAAH19vyA=")</f>
        <v>#REF!</v>
      </c>
      <c r="AH451" t="e">
        <f>AND(#REF!,"AAAAAH19vyE=")</f>
        <v>#REF!</v>
      </c>
      <c r="AI451" t="e">
        <f>AND(#REF!,"AAAAAH19vyI=")</f>
        <v>#REF!</v>
      </c>
      <c r="AJ451" t="e">
        <f>IF(#REF!,"AAAAAH19vyM=",0)</f>
        <v>#REF!</v>
      </c>
      <c r="AK451" t="e">
        <f>AND(#REF!,"AAAAAH19vyQ=")</f>
        <v>#REF!</v>
      </c>
      <c r="AL451" t="e">
        <f>AND(#REF!,"AAAAAH19vyU=")</f>
        <v>#REF!</v>
      </c>
      <c r="AM451" t="e">
        <f>AND(#REF!,"AAAAAH19vyY=")</f>
        <v>#REF!</v>
      </c>
      <c r="AN451" t="e">
        <f>AND(#REF!,"AAAAAH19vyc=")</f>
        <v>#REF!</v>
      </c>
      <c r="AO451" t="e">
        <f>AND(#REF!,"AAAAAH19vyg=")</f>
        <v>#REF!</v>
      </c>
      <c r="AP451" t="e">
        <f>AND(#REF!,"AAAAAH19vyk=")</f>
        <v>#REF!</v>
      </c>
      <c r="AQ451" t="e">
        <f>AND(#REF!,"AAAAAH19vyo=")</f>
        <v>#REF!</v>
      </c>
      <c r="AR451" t="e">
        <f>AND(#REF!,"AAAAAH19vys=")</f>
        <v>#REF!</v>
      </c>
      <c r="AS451" t="e">
        <f>AND(#REF!,"AAAAAH19vyw=")</f>
        <v>#REF!</v>
      </c>
      <c r="AT451" t="e">
        <f>AND(#REF!,"AAAAAH19vy0=")</f>
        <v>#REF!</v>
      </c>
      <c r="AU451" t="e">
        <f>AND(#REF!,"AAAAAH19vy4=")</f>
        <v>#REF!</v>
      </c>
      <c r="AV451" t="e">
        <f>AND(#REF!,"AAAAAH19vy8=")</f>
        <v>#REF!</v>
      </c>
      <c r="AW451" t="e">
        <f>AND(#REF!,"AAAAAH19vzA=")</f>
        <v>#REF!</v>
      </c>
      <c r="AX451" t="e">
        <f>AND(#REF!,"AAAAAH19vzE=")</f>
        <v>#REF!</v>
      </c>
      <c r="AY451" t="e">
        <f>AND(#REF!,"AAAAAH19vzI=")</f>
        <v>#REF!</v>
      </c>
      <c r="AZ451" t="e">
        <f>AND(#REF!,"AAAAAH19vzM=")</f>
        <v>#REF!</v>
      </c>
      <c r="BA451" t="e">
        <f>AND(#REF!,"AAAAAH19vzQ=")</f>
        <v>#REF!</v>
      </c>
      <c r="BB451" t="e">
        <f>AND(#REF!,"AAAAAH19vzU=")</f>
        <v>#REF!</v>
      </c>
      <c r="BC451" t="e">
        <f>AND(#REF!,"AAAAAH19vzY=")</f>
        <v>#REF!</v>
      </c>
      <c r="BD451" t="e">
        <f>AND(#REF!,"AAAAAH19vzc=")</f>
        <v>#REF!</v>
      </c>
      <c r="BE451" t="e">
        <f>AND(#REF!,"AAAAAH19vzg=")</f>
        <v>#REF!</v>
      </c>
      <c r="BF451" t="e">
        <f>AND(#REF!,"AAAAAH19vzk=")</f>
        <v>#REF!</v>
      </c>
      <c r="BG451" t="e">
        <f>AND(#REF!,"AAAAAH19vzo=")</f>
        <v>#REF!</v>
      </c>
      <c r="BH451" t="e">
        <f>AND(#REF!,"AAAAAH19vzs=")</f>
        <v>#REF!</v>
      </c>
      <c r="BI451" t="e">
        <f>IF(#REF!,"AAAAAH19vzw=",0)</f>
        <v>#REF!</v>
      </c>
      <c r="BJ451" t="e">
        <f>AND(#REF!,"AAAAAH19vz0=")</f>
        <v>#REF!</v>
      </c>
      <c r="BK451" t="e">
        <f>AND(#REF!,"AAAAAH19vz4=")</f>
        <v>#REF!</v>
      </c>
      <c r="BL451" t="e">
        <f>AND(#REF!,"AAAAAH19vz8=")</f>
        <v>#REF!</v>
      </c>
      <c r="BM451" t="e">
        <f>AND(#REF!,"AAAAAH19v0A=")</f>
        <v>#REF!</v>
      </c>
      <c r="BN451" t="e">
        <f>AND(#REF!,"AAAAAH19v0E=")</f>
        <v>#REF!</v>
      </c>
      <c r="BO451" t="e">
        <f>AND(#REF!,"AAAAAH19v0I=")</f>
        <v>#REF!</v>
      </c>
      <c r="BP451" t="e">
        <f>AND(#REF!,"AAAAAH19v0M=")</f>
        <v>#REF!</v>
      </c>
      <c r="BQ451" t="e">
        <f>AND(#REF!,"AAAAAH19v0Q=")</f>
        <v>#REF!</v>
      </c>
      <c r="BR451" t="e">
        <f>AND(#REF!,"AAAAAH19v0U=")</f>
        <v>#REF!</v>
      </c>
      <c r="BS451" t="e">
        <f>AND(#REF!,"AAAAAH19v0Y=")</f>
        <v>#REF!</v>
      </c>
      <c r="BT451" t="e">
        <f>AND(#REF!,"AAAAAH19v0c=")</f>
        <v>#REF!</v>
      </c>
      <c r="BU451" t="e">
        <f>AND(#REF!,"AAAAAH19v0g=")</f>
        <v>#REF!</v>
      </c>
      <c r="BV451" t="e">
        <f>AND(#REF!,"AAAAAH19v0k=")</f>
        <v>#REF!</v>
      </c>
      <c r="BW451" t="e">
        <f>AND(#REF!,"AAAAAH19v0o=")</f>
        <v>#REF!</v>
      </c>
      <c r="BX451" t="e">
        <f>AND(#REF!,"AAAAAH19v0s=")</f>
        <v>#REF!</v>
      </c>
      <c r="BY451" t="e">
        <f>AND(#REF!,"AAAAAH19v0w=")</f>
        <v>#REF!</v>
      </c>
      <c r="BZ451" t="e">
        <f>AND(#REF!,"AAAAAH19v00=")</f>
        <v>#REF!</v>
      </c>
      <c r="CA451" t="e">
        <f>AND(#REF!,"AAAAAH19v04=")</f>
        <v>#REF!</v>
      </c>
      <c r="CB451" t="e">
        <f>AND(#REF!,"AAAAAH19v08=")</f>
        <v>#REF!</v>
      </c>
      <c r="CC451" t="e">
        <f>AND(#REF!,"AAAAAH19v1A=")</f>
        <v>#REF!</v>
      </c>
      <c r="CD451" t="e">
        <f>AND(#REF!,"AAAAAH19v1E=")</f>
        <v>#REF!</v>
      </c>
      <c r="CE451" t="e">
        <f>AND(#REF!,"AAAAAH19v1I=")</f>
        <v>#REF!</v>
      </c>
      <c r="CF451" t="e">
        <f>AND(#REF!,"AAAAAH19v1M=")</f>
        <v>#REF!</v>
      </c>
      <c r="CG451" t="e">
        <f>AND(#REF!,"AAAAAH19v1Q=")</f>
        <v>#REF!</v>
      </c>
      <c r="CH451" t="e">
        <f>IF(#REF!,"AAAAAH19v1U=",0)</f>
        <v>#REF!</v>
      </c>
      <c r="CI451" t="e">
        <f>AND(#REF!,"AAAAAH19v1Y=")</f>
        <v>#REF!</v>
      </c>
      <c r="CJ451" t="e">
        <f>AND(#REF!,"AAAAAH19v1c=")</f>
        <v>#REF!</v>
      </c>
      <c r="CK451" t="e">
        <f>AND(#REF!,"AAAAAH19v1g=")</f>
        <v>#REF!</v>
      </c>
      <c r="CL451" t="e">
        <f>AND(#REF!,"AAAAAH19v1k=")</f>
        <v>#REF!</v>
      </c>
      <c r="CM451" t="e">
        <f>AND(#REF!,"AAAAAH19v1o=")</f>
        <v>#REF!</v>
      </c>
      <c r="CN451" t="e">
        <f>AND(#REF!,"AAAAAH19v1s=")</f>
        <v>#REF!</v>
      </c>
      <c r="CO451" t="e">
        <f>AND(#REF!,"AAAAAH19v1w=")</f>
        <v>#REF!</v>
      </c>
      <c r="CP451" t="e">
        <f>AND(#REF!,"AAAAAH19v10=")</f>
        <v>#REF!</v>
      </c>
      <c r="CQ451" t="e">
        <f>AND(#REF!,"AAAAAH19v14=")</f>
        <v>#REF!</v>
      </c>
      <c r="CR451" t="e">
        <f>AND(#REF!,"AAAAAH19v18=")</f>
        <v>#REF!</v>
      </c>
      <c r="CS451" t="e">
        <f>AND(#REF!,"AAAAAH19v2A=")</f>
        <v>#REF!</v>
      </c>
      <c r="CT451" t="e">
        <f>AND(#REF!,"AAAAAH19v2E=")</f>
        <v>#REF!</v>
      </c>
      <c r="CU451" t="e">
        <f>AND(#REF!,"AAAAAH19v2I=")</f>
        <v>#REF!</v>
      </c>
      <c r="CV451" t="e">
        <f>AND(#REF!,"AAAAAH19v2M=")</f>
        <v>#REF!</v>
      </c>
      <c r="CW451" t="e">
        <f>AND(#REF!,"AAAAAH19v2Q=")</f>
        <v>#REF!</v>
      </c>
      <c r="CX451" t="e">
        <f>AND(#REF!,"AAAAAH19v2U=")</f>
        <v>#REF!</v>
      </c>
      <c r="CY451" t="e">
        <f>AND(#REF!,"AAAAAH19v2Y=")</f>
        <v>#REF!</v>
      </c>
      <c r="CZ451" t="e">
        <f>AND(#REF!,"AAAAAH19v2c=")</f>
        <v>#REF!</v>
      </c>
      <c r="DA451" t="e">
        <f>AND(#REF!,"AAAAAH19v2g=")</f>
        <v>#REF!</v>
      </c>
      <c r="DB451" t="e">
        <f>AND(#REF!,"AAAAAH19v2k=")</f>
        <v>#REF!</v>
      </c>
      <c r="DC451" t="e">
        <f>AND(#REF!,"AAAAAH19v2o=")</f>
        <v>#REF!</v>
      </c>
      <c r="DD451" t="e">
        <f>AND(#REF!,"AAAAAH19v2s=")</f>
        <v>#REF!</v>
      </c>
      <c r="DE451" t="e">
        <f>AND(#REF!,"AAAAAH19v2w=")</f>
        <v>#REF!</v>
      </c>
      <c r="DF451" t="e">
        <f>AND(#REF!,"AAAAAH19v20=")</f>
        <v>#REF!</v>
      </c>
      <c r="DG451" t="e">
        <f>IF(#REF!,"AAAAAH19v24=",0)</f>
        <v>#REF!</v>
      </c>
      <c r="DH451" t="e">
        <f>AND(#REF!,"AAAAAH19v28=")</f>
        <v>#REF!</v>
      </c>
      <c r="DI451" t="e">
        <f>AND(#REF!,"AAAAAH19v3A=")</f>
        <v>#REF!</v>
      </c>
      <c r="DJ451" t="e">
        <f>AND(#REF!,"AAAAAH19v3E=")</f>
        <v>#REF!</v>
      </c>
      <c r="DK451" t="e">
        <f>AND(#REF!,"AAAAAH19v3I=")</f>
        <v>#REF!</v>
      </c>
      <c r="DL451" t="e">
        <f>AND(#REF!,"AAAAAH19v3M=")</f>
        <v>#REF!</v>
      </c>
      <c r="DM451" t="e">
        <f>AND(#REF!,"AAAAAH19v3Q=")</f>
        <v>#REF!</v>
      </c>
      <c r="DN451" t="e">
        <f>AND(#REF!,"AAAAAH19v3U=")</f>
        <v>#REF!</v>
      </c>
      <c r="DO451" t="e">
        <f>AND(#REF!,"AAAAAH19v3Y=")</f>
        <v>#REF!</v>
      </c>
      <c r="DP451" t="e">
        <f>AND(#REF!,"AAAAAH19v3c=")</f>
        <v>#REF!</v>
      </c>
      <c r="DQ451" t="e">
        <f>AND(#REF!,"AAAAAH19v3g=")</f>
        <v>#REF!</v>
      </c>
      <c r="DR451" t="e">
        <f>AND(#REF!,"AAAAAH19v3k=")</f>
        <v>#REF!</v>
      </c>
      <c r="DS451" t="e">
        <f>AND(#REF!,"AAAAAH19v3o=")</f>
        <v>#REF!</v>
      </c>
      <c r="DT451" t="e">
        <f>AND(#REF!,"AAAAAH19v3s=")</f>
        <v>#REF!</v>
      </c>
      <c r="DU451" t="e">
        <f>AND(#REF!,"AAAAAH19v3w=")</f>
        <v>#REF!</v>
      </c>
      <c r="DV451" t="e">
        <f>AND(#REF!,"AAAAAH19v30=")</f>
        <v>#REF!</v>
      </c>
      <c r="DW451" t="e">
        <f>AND(#REF!,"AAAAAH19v34=")</f>
        <v>#REF!</v>
      </c>
      <c r="DX451" t="e">
        <f>AND(#REF!,"AAAAAH19v38=")</f>
        <v>#REF!</v>
      </c>
      <c r="DY451" t="e">
        <f>AND(#REF!,"AAAAAH19v4A=")</f>
        <v>#REF!</v>
      </c>
      <c r="DZ451" t="e">
        <f>AND(#REF!,"AAAAAH19v4E=")</f>
        <v>#REF!</v>
      </c>
      <c r="EA451" t="e">
        <f>AND(#REF!,"AAAAAH19v4I=")</f>
        <v>#REF!</v>
      </c>
      <c r="EB451" t="e">
        <f>AND(#REF!,"AAAAAH19v4M=")</f>
        <v>#REF!</v>
      </c>
      <c r="EC451" t="e">
        <f>AND(#REF!,"AAAAAH19v4Q=")</f>
        <v>#REF!</v>
      </c>
      <c r="ED451" t="e">
        <f>AND(#REF!,"AAAAAH19v4U=")</f>
        <v>#REF!</v>
      </c>
      <c r="EE451" t="e">
        <f>AND(#REF!,"AAAAAH19v4Y=")</f>
        <v>#REF!</v>
      </c>
      <c r="EF451" t="e">
        <f>IF(#REF!,"AAAAAH19v4c=",0)</f>
        <v>#REF!</v>
      </c>
      <c r="EG451" t="e">
        <f>AND(#REF!,"AAAAAH19v4g=")</f>
        <v>#REF!</v>
      </c>
      <c r="EH451" t="e">
        <f>AND(#REF!,"AAAAAH19v4k=")</f>
        <v>#REF!</v>
      </c>
      <c r="EI451" t="e">
        <f>AND(#REF!,"AAAAAH19v4o=")</f>
        <v>#REF!</v>
      </c>
      <c r="EJ451" t="e">
        <f>AND(#REF!,"AAAAAH19v4s=")</f>
        <v>#REF!</v>
      </c>
      <c r="EK451" t="e">
        <f>AND(#REF!,"AAAAAH19v4w=")</f>
        <v>#REF!</v>
      </c>
      <c r="EL451" t="e">
        <f>AND(#REF!,"AAAAAH19v40=")</f>
        <v>#REF!</v>
      </c>
      <c r="EM451" t="e">
        <f>AND(#REF!,"AAAAAH19v44=")</f>
        <v>#REF!</v>
      </c>
      <c r="EN451" t="e">
        <f>AND(#REF!,"AAAAAH19v48=")</f>
        <v>#REF!</v>
      </c>
      <c r="EO451" t="e">
        <f>AND(#REF!,"AAAAAH19v5A=")</f>
        <v>#REF!</v>
      </c>
      <c r="EP451" t="e">
        <f>AND(#REF!,"AAAAAH19v5E=")</f>
        <v>#REF!</v>
      </c>
      <c r="EQ451" t="e">
        <f>AND(#REF!,"AAAAAH19v5I=")</f>
        <v>#REF!</v>
      </c>
      <c r="ER451" t="e">
        <f>AND(#REF!,"AAAAAH19v5M=")</f>
        <v>#REF!</v>
      </c>
      <c r="ES451" t="e">
        <f>AND(#REF!,"AAAAAH19v5Q=")</f>
        <v>#REF!</v>
      </c>
      <c r="ET451" t="e">
        <f>AND(#REF!,"AAAAAH19v5U=")</f>
        <v>#REF!</v>
      </c>
      <c r="EU451" t="e">
        <f>AND(#REF!,"AAAAAH19v5Y=")</f>
        <v>#REF!</v>
      </c>
      <c r="EV451" t="e">
        <f>AND(#REF!,"AAAAAH19v5c=")</f>
        <v>#REF!</v>
      </c>
      <c r="EW451" t="e">
        <f>AND(#REF!,"AAAAAH19v5g=")</f>
        <v>#REF!</v>
      </c>
      <c r="EX451" t="e">
        <f>AND(#REF!,"AAAAAH19v5k=")</f>
        <v>#REF!</v>
      </c>
      <c r="EY451" t="e">
        <f>AND(#REF!,"AAAAAH19v5o=")</f>
        <v>#REF!</v>
      </c>
      <c r="EZ451" t="e">
        <f>AND(#REF!,"AAAAAH19v5s=")</f>
        <v>#REF!</v>
      </c>
      <c r="FA451" t="e">
        <f>AND(#REF!,"AAAAAH19v5w=")</f>
        <v>#REF!</v>
      </c>
      <c r="FB451" t="e">
        <f>AND(#REF!,"AAAAAH19v50=")</f>
        <v>#REF!</v>
      </c>
      <c r="FC451" t="e">
        <f>AND(#REF!,"AAAAAH19v54=")</f>
        <v>#REF!</v>
      </c>
      <c r="FD451" t="e">
        <f>AND(#REF!,"AAAAAH19v58=")</f>
        <v>#REF!</v>
      </c>
      <c r="FE451" t="e">
        <f>IF(#REF!,"AAAAAH19v6A=",0)</f>
        <v>#REF!</v>
      </c>
      <c r="FF451" t="e">
        <f>AND(#REF!,"AAAAAH19v6E=")</f>
        <v>#REF!</v>
      </c>
      <c r="FG451" t="e">
        <f>AND(#REF!,"AAAAAH19v6I=")</f>
        <v>#REF!</v>
      </c>
      <c r="FH451" t="e">
        <f>AND(#REF!,"AAAAAH19v6M=")</f>
        <v>#REF!</v>
      </c>
      <c r="FI451" t="e">
        <f>AND(#REF!,"AAAAAH19v6Q=")</f>
        <v>#REF!</v>
      </c>
      <c r="FJ451" t="e">
        <f>AND(#REF!,"AAAAAH19v6U=")</f>
        <v>#REF!</v>
      </c>
      <c r="FK451" t="e">
        <f>AND(#REF!,"AAAAAH19v6Y=")</f>
        <v>#REF!</v>
      </c>
      <c r="FL451" t="e">
        <f>AND(#REF!,"AAAAAH19v6c=")</f>
        <v>#REF!</v>
      </c>
      <c r="FM451" t="e">
        <f>AND(#REF!,"AAAAAH19v6g=")</f>
        <v>#REF!</v>
      </c>
      <c r="FN451" t="e">
        <f>AND(#REF!,"AAAAAH19v6k=")</f>
        <v>#REF!</v>
      </c>
      <c r="FO451" t="e">
        <f>AND(#REF!,"AAAAAH19v6o=")</f>
        <v>#REF!</v>
      </c>
      <c r="FP451" t="e">
        <f>AND(#REF!,"AAAAAH19v6s=")</f>
        <v>#REF!</v>
      </c>
      <c r="FQ451" t="e">
        <f>AND(#REF!,"AAAAAH19v6w=")</f>
        <v>#REF!</v>
      </c>
      <c r="FR451" t="e">
        <f>AND(#REF!,"AAAAAH19v60=")</f>
        <v>#REF!</v>
      </c>
      <c r="FS451" t="e">
        <f>AND(#REF!,"AAAAAH19v64=")</f>
        <v>#REF!</v>
      </c>
      <c r="FT451" t="e">
        <f>AND(#REF!,"AAAAAH19v68=")</f>
        <v>#REF!</v>
      </c>
      <c r="FU451" t="e">
        <f>AND(#REF!,"AAAAAH19v7A=")</f>
        <v>#REF!</v>
      </c>
      <c r="FV451" t="e">
        <f>AND(#REF!,"AAAAAH19v7E=")</f>
        <v>#REF!</v>
      </c>
      <c r="FW451" t="e">
        <f>AND(#REF!,"AAAAAH19v7I=")</f>
        <v>#REF!</v>
      </c>
      <c r="FX451" t="e">
        <f>AND(#REF!,"AAAAAH19v7M=")</f>
        <v>#REF!</v>
      </c>
      <c r="FY451" t="e">
        <f>AND(#REF!,"AAAAAH19v7Q=")</f>
        <v>#REF!</v>
      </c>
      <c r="FZ451" t="e">
        <f>AND(#REF!,"AAAAAH19v7U=")</f>
        <v>#REF!</v>
      </c>
      <c r="GA451" t="e">
        <f>AND(#REF!,"AAAAAH19v7Y=")</f>
        <v>#REF!</v>
      </c>
      <c r="GB451" t="e">
        <f>AND(#REF!,"AAAAAH19v7c=")</f>
        <v>#REF!</v>
      </c>
      <c r="GC451" t="e">
        <f>AND(#REF!,"AAAAAH19v7g=")</f>
        <v>#REF!</v>
      </c>
      <c r="GD451" t="e">
        <f>IF(#REF!,"AAAAAH19v7k=",0)</f>
        <v>#REF!</v>
      </c>
      <c r="GE451" t="e">
        <f>AND(#REF!,"AAAAAH19v7o=")</f>
        <v>#REF!</v>
      </c>
      <c r="GF451" t="e">
        <f>AND(#REF!,"AAAAAH19v7s=")</f>
        <v>#REF!</v>
      </c>
      <c r="GG451" t="e">
        <f>AND(#REF!,"AAAAAH19v7w=")</f>
        <v>#REF!</v>
      </c>
      <c r="GH451" t="e">
        <f>AND(#REF!,"AAAAAH19v70=")</f>
        <v>#REF!</v>
      </c>
      <c r="GI451" t="e">
        <f>AND(#REF!,"AAAAAH19v74=")</f>
        <v>#REF!</v>
      </c>
      <c r="GJ451" t="e">
        <f>AND(#REF!,"AAAAAH19v78=")</f>
        <v>#REF!</v>
      </c>
      <c r="GK451" t="e">
        <f>AND(#REF!,"AAAAAH19v8A=")</f>
        <v>#REF!</v>
      </c>
      <c r="GL451" t="e">
        <f>AND(#REF!,"AAAAAH19v8E=")</f>
        <v>#REF!</v>
      </c>
      <c r="GM451" t="e">
        <f>AND(#REF!,"AAAAAH19v8I=")</f>
        <v>#REF!</v>
      </c>
      <c r="GN451" t="e">
        <f>AND(#REF!,"AAAAAH19v8M=")</f>
        <v>#REF!</v>
      </c>
      <c r="GO451" t="e">
        <f>AND(#REF!,"AAAAAH19v8Q=")</f>
        <v>#REF!</v>
      </c>
      <c r="GP451" t="e">
        <f>AND(#REF!,"AAAAAH19v8U=")</f>
        <v>#REF!</v>
      </c>
      <c r="GQ451" t="e">
        <f>AND(#REF!,"AAAAAH19v8Y=")</f>
        <v>#REF!</v>
      </c>
      <c r="GR451" t="e">
        <f>AND(#REF!,"AAAAAH19v8c=")</f>
        <v>#REF!</v>
      </c>
      <c r="GS451" t="e">
        <f>AND(#REF!,"AAAAAH19v8g=")</f>
        <v>#REF!</v>
      </c>
      <c r="GT451" t="e">
        <f>AND(#REF!,"AAAAAH19v8k=")</f>
        <v>#REF!</v>
      </c>
      <c r="GU451" t="e">
        <f>AND(#REF!,"AAAAAH19v8o=")</f>
        <v>#REF!</v>
      </c>
      <c r="GV451" t="e">
        <f>AND(#REF!,"AAAAAH19v8s=")</f>
        <v>#REF!</v>
      </c>
      <c r="GW451" t="e">
        <f>AND(#REF!,"AAAAAH19v8w=")</f>
        <v>#REF!</v>
      </c>
      <c r="GX451" t="e">
        <f>AND(#REF!,"AAAAAH19v80=")</f>
        <v>#REF!</v>
      </c>
      <c r="GY451" t="e">
        <f>AND(#REF!,"AAAAAH19v84=")</f>
        <v>#REF!</v>
      </c>
      <c r="GZ451" t="e">
        <f>AND(#REF!,"AAAAAH19v88=")</f>
        <v>#REF!</v>
      </c>
      <c r="HA451" t="e">
        <f>AND(#REF!,"AAAAAH19v9A=")</f>
        <v>#REF!</v>
      </c>
      <c r="HB451" t="e">
        <f>AND(#REF!,"AAAAAH19v9E=")</f>
        <v>#REF!</v>
      </c>
      <c r="HC451" t="e">
        <f>IF(#REF!,"AAAAAH19v9I=",0)</f>
        <v>#REF!</v>
      </c>
      <c r="HD451" t="e">
        <f>AND(#REF!,"AAAAAH19v9M=")</f>
        <v>#REF!</v>
      </c>
      <c r="HE451" t="e">
        <f>AND(#REF!,"AAAAAH19v9Q=")</f>
        <v>#REF!</v>
      </c>
      <c r="HF451" t="e">
        <f>AND(#REF!,"AAAAAH19v9U=")</f>
        <v>#REF!</v>
      </c>
      <c r="HG451" t="e">
        <f>AND(#REF!,"AAAAAH19v9Y=")</f>
        <v>#REF!</v>
      </c>
      <c r="HH451" t="e">
        <f>AND(#REF!,"AAAAAH19v9c=")</f>
        <v>#REF!</v>
      </c>
      <c r="HI451" t="e">
        <f>AND(#REF!,"AAAAAH19v9g=")</f>
        <v>#REF!</v>
      </c>
      <c r="HJ451" t="e">
        <f>AND(#REF!,"AAAAAH19v9k=")</f>
        <v>#REF!</v>
      </c>
      <c r="HK451" t="e">
        <f>AND(#REF!,"AAAAAH19v9o=")</f>
        <v>#REF!</v>
      </c>
      <c r="HL451" t="e">
        <f>AND(#REF!,"AAAAAH19v9s=")</f>
        <v>#REF!</v>
      </c>
      <c r="HM451" t="e">
        <f>AND(#REF!,"AAAAAH19v9w=")</f>
        <v>#REF!</v>
      </c>
      <c r="HN451" t="e">
        <f>AND(#REF!,"AAAAAH19v90=")</f>
        <v>#REF!</v>
      </c>
      <c r="HO451" t="e">
        <f>AND(#REF!,"AAAAAH19v94=")</f>
        <v>#REF!</v>
      </c>
      <c r="HP451" t="e">
        <f>AND(#REF!,"AAAAAH19v98=")</f>
        <v>#REF!</v>
      </c>
      <c r="HQ451" t="e">
        <f>AND(#REF!,"AAAAAH19v+A=")</f>
        <v>#REF!</v>
      </c>
      <c r="HR451" t="e">
        <f>AND(#REF!,"AAAAAH19v+E=")</f>
        <v>#REF!</v>
      </c>
      <c r="HS451" t="e">
        <f>AND(#REF!,"AAAAAH19v+I=")</f>
        <v>#REF!</v>
      </c>
      <c r="HT451" t="e">
        <f>AND(#REF!,"AAAAAH19v+M=")</f>
        <v>#REF!</v>
      </c>
      <c r="HU451" t="e">
        <f>AND(#REF!,"AAAAAH19v+Q=")</f>
        <v>#REF!</v>
      </c>
      <c r="HV451" t="e">
        <f>AND(#REF!,"AAAAAH19v+U=")</f>
        <v>#REF!</v>
      </c>
      <c r="HW451" t="e">
        <f>AND(#REF!,"AAAAAH19v+Y=")</f>
        <v>#REF!</v>
      </c>
      <c r="HX451" t="e">
        <f>AND(#REF!,"AAAAAH19v+c=")</f>
        <v>#REF!</v>
      </c>
      <c r="HY451" t="e">
        <f>AND(#REF!,"AAAAAH19v+g=")</f>
        <v>#REF!</v>
      </c>
      <c r="HZ451" t="e">
        <f>AND(#REF!,"AAAAAH19v+k=")</f>
        <v>#REF!</v>
      </c>
      <c r="IA451" t="e">
        <f>AND(#REF!,"AAAAAH19v+o=")</f>
        <v>#REF!</v>
      </c>
      <c r="IB451" t="e">
        <f>IF(#REF!,"AAAAAH19v+s=",0)</f>
        <v>#REF!</v>
      </c>
      <c r="IC451" t="e">
        <f>AND(#REF!,"AAAAAH19v+w=")</f>
        <v>#REF!</v>
      </c>
      <c r="ID451" t="e">
        <f>AND(#REF!,"AAAAAH19v+0=")</f>
        <v>#REF!</v>
      </c>
      <c r="IE451" t="e">
        <f>AND(#REF!,"AAAAAH19v+4=")</f>
        <v>#REF!</v>
      </c>
      <c r="IF451" t="e">
        <f>AND(#REF!,"AAAAAH19v+8=")</f>
        <v>#REF!</v>
      </c>
      <c r="IG451" t="e">
        <f>AND(#REF!,"AAAAAH19v/A=")</f>
        <v>#REF!</v>
      </c>
      <c r="IH451" t="e">
        <f>AND(#REF!,"AAAAAH19v/E=")</f>
        <v>#REF!</v>
      </c>
      <c r="II451" t="e">
        <f>AND(#REF!,"AAAAAH19v/I=")</f>
        <v>#REF!</v>
      </c>
      <c r="IJ451" t="e">
        <f>AND(#REF!,"AAAAAH19v/M=")</f>
        <v>#REF!</v>
      </c>
      <c r="IK451" t="e">
        <f>AND(#REF!,"AAAAAH19v/Q=")</f>
        <v>#REF!</v>
      </c>
      <c r="IL451" t="e">
        <f>AND(#REF!,"AAAAAH19v/U=")</f>
        <v>#REF!</v>
      </c>
      <c r="IM451" t="e">
        <f>AND(#REF!,"AAAAAH19v/Y=")</f>
        <v>#REF!</v>
      </c>
      <c r="IN451" t="e">
        <f>AND(#REF!,"AAAAAH19v/c=")</f>
        <v>#REF!</v>
      </c>
      <c r="IO451" t="e">
        <f>AND(#REF!,"AAAAAH19v/g=")</f>
        <v>#REF!</v>
      </c>
      <c r="IP451" t="e">
        <f>AND(#REF!,"AAAAAH19v/k=")</f>
        <v>#REF!</v>
      </c>
      <c r="IQ451" t="e">
        <f>AND(#REF!,"AAAAAH19v/o=")</f>
        <v>#REF!</v>
      </c>
      <c r="IR451" t="e">
        <f>AND(#REF!,"AAAAAH19v/s=")</f>
        <v>#REF!</v>
      </c>
      <c r="IS451" t="e">
        <f>AND(#REF!,"AAAAAH19v/w=")</f>
        <v>#REF!</v>
      </c>
      <c r="IT451" t="e">
        <f>AND(#REF!,"AAAAAH19v/0=")</f>
        <v>#REF!</v>
      </c>
      <c r="IU451" t="e">
        <f>AND(#REF!,"AAAAAH19v/4=")</f>
        <v>#REF!</v>
      </c>
      <c r="IV451" t="e">
        <f>AND(#REF!,"AAAAAH19v/8=")</f>
        <v>#REF!</v>
      </c>
    </row>
    <row r="452" spans="1:256">
      <c r="A452" t="e">
        <f>AND(#REF!,"AAAAAG/0/wA=")</f>
        <v>#REF!</v>
      </c>
      <c r="B452" t="e">
        <f>AND(#REF!,"AAAAAG/0/wE=")</f>
        <v>#REF!</v>
      </c>
      <c r="C452" t="e">
        <f>AND(#REF!,"AAAAAG/0/wI=")</f>
        <v>#REF!</v>
      </c>
      <c r="D452" t="e">
        <f>AND(#REF!,"AAAAAG/0/wM=")</f>
        <v>#REF!</v>
      </c>
      <c r="E452" t="e">
        <f>IF(#REF!,"AAAAAG/0/wQ=",0)</f>
        <v>#REF!</v>
      </c>
      <c r="F452" t="e">
        <f>AND(#REF!,"AAAAAG/0/wU=")</f>
        <v>#REF!</v>
      </c>
      <c r="G452" t="e">
        <f>AND(#REF!,"AAAAAG/0/wY=")</f>
        <v>#REF!</v>
      </c>
      <c r="H452" t="e">
        <f>AND(#REF!,"AAAAAG/0/wc=")</f>
        <v>#REF!</v>
      </c>
      <c r="I452" t="e">
        <f>AND(#REF!,"AAAAAG/0/wg=")</f>
        <v>#REF!</v>
      </c>
      <c r="J452" t="e">
        <f>AND(#REF!,"AAAAAG/0/wk=")</f>
        <v>#REF!</v>
      </c>
      <c r="K452" t="e">
        <f>AND(#REF!,"AAAAAG/0/wo=")</f>
        <v>#REF!</v>
      </c>
      <c r="L452" t="e">
        <f>AND(#REF!,"AAAAAG/0/ws=")</f>
        <v>#REF!</v>
      </c>
      <c r="M452" t="e">
        <f>AND(#REF!,"AAAAAG/0/ww=")</f>
        <v>#REF!</v>
      </c>
      <c r="N452" t="e">
        <f>AND(#REF!,"AAAAAG/0/w0=")</f>
        <v>#REF!</v>
      </c>
      <c r="O452" t="e">
        <f>AND(#REF!,"AAAAAG/0/w4=")</f>
        <v>#REF!</v>
      </c>
      <c r="P452" t="e">
        <f>AND(#REF!,"AAAAAG/0/w8=")</f>
        <v>#REF!</v>
      </c>
      <c r="Q452" t="e">
        <f>AND(#REF!,"AAAAAG/0/xA=")</f>
        <v>#REF!</v>
      </c>
      <c r="R452" t="e">
        <f>AND(#REF!,"AAAAAG/0/xE=")</f>
        <v>#REF!</v>
      </c>
      <c r="S452" t="e">
        <f>AND(#REF!,"AAAAAG/0/xI=")</f>
        <v>#REF!</v>
      </c>
      <c r="T452" t="e">
        <f>AND(#REF!,"AAAAAG/0/xM=")</f>
        <v>#REF!</v>
      </c>
      <c r="U452" t="e">
        <f>AND(#REF!,"AAAAAG/0/xQ=")</f>
        <v>#REF!</v>
      </c>
      <c r="V452" t="e">
        <f>AND(#REF!,"AAAAAG/0/xU=")</f>
        <v>#REF!</v>
      </c>
      <c r="W452" t="e">
        <f>AND(#REF!,"AAAAAG/0/xY=")</f>
        <v>#REF!</v>
      </c>
      <c r="X452" t="e">
        <f>AND(#REF!,"AAAAAG/0/xc=")</f>
        <v>#REF!</v>
      </c>
      <c r="Y452" t="e">
        <f>AND(#REF!,"AAAAAG/0/xg=")</f>
        <v>#REF!</v>
      </c>
      <c r="Z452" t="e">
        <f>AND(#REF!,"AAAAAG/0/xk=")</f>
        <v>#REF!</v>
      </c>
      <c r="AA452" t="e">
        <f>AND(#REF!,"AAAAAG/0/xo=")</f>
        <v>#REF!</v>
      </c>
      <c r="AB452" t="e">
        <f>AND(#REF!,"AAAAAG/0/xs=")</f>
        <v>#REF!</v>
      </c>
      <c r="AC452" t="e">
        <f>AND(#REF!,"AAAAAG/0/xw=")</f>
        <v>#REF!</v>
      </c>
      <c r="AD452" t="e">
        <f>IF(#REF!,"AAAAAG/0/x0=",0)</f>
        <v>#REF!</v>
      </c>
      <c r="AE452" t="e">
        <f>AND(#REF!,"AAAAAG/0/x4=")</f>
        <v>#REF!</v>
      </c>
      <c r="AF452" t="e">
        <f>AND(#REF!,"AAAAAG/0/x8=")</f>
        <v>#REF!</v>
      </c>
      <c r="AG452" t="e">
        <f>AND(#REF!,"AAAAAG/0/yA=")</f>
        <v>#REF!</v>
      </c>
      <c r="AH452" t="e">
        <f>AND(#REF!,"AAAAAG/0/yE=")</f>
        <v>#REF!</v>
      </c>
      <c r="AI452" t="e">
        <f>AND(#REF!,"AAAAAG/0/yI=")</f>
        <v>#REF!</v>
      </c>
      <c r="AJ452" t="e">
        <f>AND(#REF!,"AAAAAG/0/yM=")</f>
        <v>#REF!</v>
      </c>
      <c r="AK452" t="e">
        <f>AND(#REF!,"AAAAAG/0/yQ=")</f>
        <v>#REF!</v>
      </c>
      <c r="AL452" t="e">
        <f>AND(#REF!,"AAAAAG/0/yU=")</f>
        <v>#REF!</v>
      </c>
      <c r="AM452" t="e">
        <f>AND(#REF!,"AAAAAG/0/yY=")</f>
        <v>#REF!</v>
      </c>
      <c r="AN452" t="e">
        <f>AND(#REF!,"AAAAAG/0/yc=")</f>
        <v>#REF!</v>
      </c>
      <c r="AO452" t="e">
        <f>AND(#REF!,"AAAAAG/0/yg=")</f>
        <v>#REF!</v>
      </c>
      <c r="AP452" t="e">
        <f>AND(#REF!,"AAAAAG/0/yk=")</f>
        <v>#REF!</v>
      </c>
      <c r="AQ452" t="e">
        <f>AND(#REF!,"AAAAAG/0/yo=")</f>
        <v>#REF!</v>
      </c>
      <c r="AR452" t="e">
        <f>AND(#REF!,"AAAAAG/0/ys=")</f>
        <v>#REF!</v>
      </c>
      <c r="AS452" t="e">
        <f>AND(#REF!,"AAAAAG/0/yw=")</f>
        <v>#REF!</v>
      </c>
      <c r="AT452" t="e">
        <f>AND(#REF!,"AAAAAG/0/y0=")</f>
        <v>#REF!</v>
      </c>
      <c r="AU452" t="e">
        <f>AND(#REF!,"AAAAAG/0/y4=")</f>
        <v>#REF!</v>
      </c>
      <c r="AV452" t="e">
        <f>AND(#REF!,"AAAAAG/0/y8=")</f>
        <v>#REF!</v>
      </c>
      <c r="AW452" t="e">
        <f>AND(#REF!,"AAAAAG/0/zA=")</f>
        <v>#REF!</v>
      </c>
      <c r="AX452" t="e">
        <f>AND(#REF!,"AAAAAG/0/zE=")</f>
        <v>#REF!</v>
      </c>
      <c r="AY452" t="e">
        <f>AND(#REF!,"AAAAAG/0/zI=")</f>
        <v>#REF!</v>
      </c>
      <c r="AZ452" t="e">
        <f>AND(#REF!,"AAAAAG/0/zM=")</f>
        <v>#REF!</v>
      </c>
      <c r="BA452" t="e">
        <f>AND(#REF!,"AAAAAG/0/zQ=")</f>
        <v>#REF!</v>
      </c>
      <c r="BB452" t="e">
        <f>AND(#REF!,"AAAAAG/0/zU=")</f>
        <v>#REF!</v>
      </c>
      <c r="BC452" t="e">
        <f>IF(#REF!,"AAAAAG/0/zY=",0)</f>
        <v>#REF!</v>
      </c>
      <c r="BD452" t="e">
        <f>AND(#REF!,"AAAAAG/0/zc=")</f>
        <v>#REF!</v>
      </c>
      <c r="BE452" t="e">
        <f>AND(#REF!,"AAAAAG/0/zg=")</f>
        <v>#REF!</v>
      </c>
      <c r="BF452" t="e">
        <f>AND(#REF!,"AAAAAG/0/zk=")</f>
        <v>#REF!</v>
      </c>
      <c r="BG452" t="e">
        <f>AND(#REF!,"AAAAAG/0/zo=")</f>
        <v>#REF!</v>
      </c>
      <c r="BH452" t="e">
        <f>AND(#REF!,"AAAAAG/0/zs=")</f>
        <v>#REF!</v>
      </c>
      <c r="BI452" t="e">
        <f>AND(#REF!,"AAAAAG/0/zw=")</f>
        <v>#REF!</v>
      </c>
      <c r="BJ452" t="e">
        <f>AND(#REF!,"AAAAAG/0/z0=")</f>
        <v>#REF!</v>
      </c>
      <c r="BK452" t="e">
        <f>AND(#REF!,"AAAAAG/0/z4=")</f>
        <v>#REF!</v>
      </c>
      <c r="BL452" t="e">
        <f>AND(#REF!,"AAAAAG/0/z8=")</f>
        <v>#REF!</v>
      </c>
      <c r="BM452" t="e">
        <f>AND(#REF!,"AAAAAG/0/0A=")</f>
        <v>#REF!</v>
      </c>
      <c r="BN452" t="e">
        <f>AND(#REF!,"AAAAAG/0/0E=")</f>
        <v>#REF!</v>
      </c>
      <c r="BO452" t="e">
        <f>AND(#REF!,"AAAAAG/0/0I=")</f>
        <v>#REF!</v>
      </c>
      <c r="BP452" t="e">
        <f>AND(#REF!,"AAAAAG/0/0M=")</f>
        <v>#REF!</v>
      </c>
      <c r="BQ452" t="e">
        <f>AND(#REF!,"AAAAAG/0/0Q=")</f>
        <v>#REF!</v>
      </c>
      <c r="BR452" t="e">
        <f>AND(#REF!,"AAAAAG/0/0U=")</f>
        <v>#REF!</v>
      </c>
      <c r="BS452" t="e">
        <f>AND(#REF!,"AAAAAG/0/0Y=")</f>
        <v>#REF!</v>
      </c>
      <c r="BT452" t="e">
        <f>AND(#REF!,"AAAAAG/0/0c=")</f>
        <v>#REF!</v>
      </c>
      <c r="BU452" t="e">
        <f>AND(#REF!,"AAAAAG/0/0g=")</f>
        <v>#REF!</v>
      </c>
      <c r="BV452" t="e">
        <f>AND(#REF!,"AAAAAG/0/0k=")</f>
        <v>#REF!</v>
      </c>
      <c r="BW452" t="e">
        <f>AND(#REF!,"AAAAAG/0/0o=")</f>
        <v>#REF!</v>
      </c>
      <c r="BX452" t="e">
        <f>AND(#REF!,"AAAAAG/0/0s=")</f>
        <v>#REF!</v>
      </c>
      <c r="BY452" t="e">
        <f>AND(#REF!,"AAAAAG/0/0w=")</f>
        <v>#REF!</v>
      </c>
      <c r="BZ452" t="e">
        <f>AND(#REF!,"AAAAAG/0/00=")</f>
        <v>#REF!</v>
      </c>
      <c r="CA452" t="e">
        <f>AND(#REF!,"AAAAAG/0/04=")</f>
        <v>#REF!</v>
      </c>
      <c r="CB452" t="e">
        <f>IF(#REF!,"AAAAAG/0/08=",0)</f>
        <v>#REF!</v>
      </c>
      <c r="CC452" t="e">
        <f>AND(#REF!,"AAAAAG/0/1A=")</f>
        <v>#REF!</v>
      </c>
      <c r="CD452" t="e">
        <f>AND(#REF!,"AAAAAG/0/1E=")</f>
        <v>#REF!</v>
      </c>
      <c r="CE452" t="e">
        <f>AND(#REF!,"AAAAAG/0/1I=")</f>
        <v>#REF!</v>
      </c>
      <c r="CF452" t="e">
        <f>AND(#REF!,"AAAAAG/0/1M=")</f>
        <v>#REF!</v>
      </c>
      <c r="CG452" t="e">
        <f>AND(#REF!,"AAAAAG/0/1Q=")</f>
        <v>#REF!</v>
      </c>
      <c r="CH452" t="e">
        <f>AND(#REF!,"AAAAAG/0/1U=")</f>
        <v>#REF!</v>
      </c>
      <c r="CI452" t="e">
        <f>AND(#REF!,"AAAAAG/0/1Y=")</f>
        <v>#REF!</v>
      </c>
      <c r="CJ452" t="e">
        <f>AND(#REF!,"AAAAAG/0/1c=")</f>
        <v>#REF!</v>
      </c>
      <c r="CK452" t="e">
        <f>AND(#REF!,"AAAAAG/0/1g=")</f>
        <v>#REF!</v>
      </c>
      <c r="CL452" t="e">
        <f>AND(#REF!,"AAAAAG/0/1k=")</f>
        <v>#REF!</v>
      </c>
      <c r="CM452" t="e">
        <f>AND(#REF!,"AAAAAG/0/1o=")</f>
        <v>#REF!</v>
      </c>
      <c r="CN452" t="e">
        <f>AND(#REF!,"AAAAAG/0/1s=")</f>
        <v>#REF!</v>
      </c>
      <c r="CO452" t="e">
        <f>AND(#REF!,"AAAAAG/0/1w=")</f>
        <v>#REF!</v>
      </c>
      <c r="CP452" t="e">
        <f>AND(#REF!,"AAAAAG/0/10=")</f>
        <v>#REF!</v>
      </c>
      <c r="CQ452" t="e">
        <f>AND(#REF!,"AAAAAG/0/14=")</f>
        <v>#REF!</v>
      </c>
      <c r="CR452" t="e">
        <f>AND(#REF!,"AAAAAG/0/18=")</f>
        <v>#REF!</v>
      </c>
      <c r="CS452" t="e">
        <f>AND(#REF!,"AAAAAG/0/2A=")</f>
        <v>#REF!</v>
      </c>
      <c r="CT452" t="e">
        <f>AND(#REF!,"AAAAAG/0/2E=")</f>
        <v>#REF!</v>
      </c>
      <c r="CU452" t="e">
        <f>AND(#REF!,"AAAAAG/0/2I=")</f>
        <v>#REF!</v>
      </c>
      <c r="CV452" t="e">
        <f>AND(#REF!,"AAAAAG/0/2M=")</f>
        <v>#REF!</v>
      </c>
      <c r="CW452" t="e">
        <f>AND(#REF!,"AAAAAG/0/2Q=")</f>
        <v>#REF!</v>
      </c>
      <c r="CX452" t="e">
        <f>AND(#REF!,"AAAAAG/0/2U=")</f>
        <v>#REF!</v>
      </c>
      <c r="CY452" t="e">
        <f>AND(#REF!,"AAAAAG/0/2Y=")</f>
        <v>#REF!</v>
      </c>
      <c r="CZ452" t="e">
        <f>AND(#REF!,"AAAAAG/0/2c=")</f>
        <v>#REF!</v>
      </c>
      <c r="DA452" t="e">
        <f>IF(#REF!,"AAAAAG/0/2g=",0)</f>
        <v>#REF!</v>
      </c>
      <c r="DB452" t="e">
        <f>AND(#REF!,"AAAAAG/0/2k=")</f>
        <v>#REF!</v>
      </c>
      <c r="DC452" t="e">
        <f>AND(#REF!,"AAAAAG/0/2o=")</f>
        <v>#REF!</v>
      </c>
      <c r="DD452" t="e">
        <f>AND(#REF!,"AAAAAG/0/2s=")</f>
        <v>#REF!</v>
      </c>
      <c r="DE452" t="e">
        <f>AND(#REF!,"AAAAAG/0/2w=")</f>
        <v>#REF!</v>
      </c>
      <c r="DF452" t="e">
        <f>AND(#REF!,"AAAAAG/0/20=")</f>
        <v>#REF!</v>
      </c>
      <c r="DG452" t="e">
        <f>AND(#REF!,"AAAAAG/0/24=")</f>
        <v>#REF!</v>
      </c>
      <c r="DH452" t="e">
        <f>AND(#REF!,"AAAAAG/0/28=")</f>
        <v>#REF!</v>
      </c>
      <c r="DI452" t="e">
        <f>AND(#REF!,"AAAAAG/0/3A=")</f>
        <v>#REF!</v>
      </c>
      <c r="DJ452" t="e">
        <f>AND(#REF!,"AAAAAG/0/3E=")</f>
        <v>#REF!</v>
      </c>
      <c r="DK452" t="e">
        <f>AND(#REF!,"AAAAAG/0/3I=")</f>
        <v>#REF!</v>
      </c>
      <c r="DL452" t="e">
        <f>AND(#REF!,"AAAAAG/0/3M=")</f>
        <v>#REF!</v>
      </c>
      <c r="DM452" t="e">
        <f>AND(#REF!,"AAAAAG/0/3Q=")</f>
        <v>#REF!</v>
      </c>
      <c r="DN452" t="e">
        <f>AND(#REF!,"AAAAAG/0/3U=")</f>
        <v>#REF!</v>
      </c>
      <c r="DO452" t="e">
        <f>AND(#REF!,"AAAAAG/0/3Y=")</f>
        <v>#REF!</v>
      </c>
      <c r="DP452" t="e">
        <f>AND(#REF!,"AAAAAG/0/3c=")</f>
        <v>#REF!</v>
      </c>
      <c r="DQ452" t="e">
        <f>AND(#REF!,"AAAAAG/0/3g=")</f>
        <v>#REF!</v>
      </c>
      <c r="DR452" t="e">
        <f>AND(#REF!,"AAAAAG/0/3k=")</f>
        <v>#REF!</v>
      </c>
      <c r="DS452" t="e">
        <f>AND(#REF!,"AAAAAG/0/3o=")</f>
        <v>#REF!</v>
      </c>
      <c r="DT452" t="e">
        <f>AND(#REF!,"AAAAAG/0/3s=")</f>
        <v>#REF!</v>
      </c>
      <c r="DU452" t="e">
        <f>AND(#REF!,"AAAAAG/0/3w=")</f>
        <v>#REF!</v>
      </c>
      <c r="DV452" t="e">
        <f>AND(#REF!,"AAAAAG/0/30=")</f>
        <v>#REF!</v>
      </c>
      <c r="DW452" t="e">
        <f>AND(#REF!,"AAAAAG/0/34=")</f>
        <v>#REF!</v>
      </c>
      <c r="DX452" t="e">
        <f>AND(#REF!,"AAAAAG/0/38=")</f>
        <v>#REF!</v>
      </c>
      <c r="DY452" t="e">
        <f>AND(#REF!,"AAAAAG/0/4A=")</f>
        <v>#REF!</v>
      </c>
      <c r="DZ452" t="e">
        <f>IF(#REF!,"AAAAAG/0/4E=",0)</f>
        <v>#REF!</v>
      </c>
      <c r="EA452" t="e">
        <f>AND(#REF!,"AAAAAG/0/4I=")</f>
        <v>#REF!</v>
      </c>
      <c r="EB452" t="e">
        <f>AND(#REF!,"AAAAAG/0/4M=")</f>
        <v>#REF!</v>
      </c>
      <c r="EC452" t="e">
        <f>AND(#REF!,"AAAAAG/0/4Q=")</f>
        <v>#REF!</v>
      </c>
      <c r="ED452" t="e">
        <f>AND(#REF!,"AAAAAG/0/4U=")</f>
        <v>#REF!</v>
      </c>
      <c r="EE452" t="e">
        <f>AND(#REF!,"AAAAAG/0/4Y=")</f>
        <v>#REF!</v>
      </c>
      <c r="EF452" t="e">
        <f>AND(#REF!,"AAAAAG/0/4c=")</f>
        <v>#REF!</v>
      </c>
      <c r="EG452" t="e">
        <f>AND(#REF!,"AAAAAG/0/4g=")</f>
        <v>#REF!</v>
      </c>
      <c r="EH452" t="e">
        <f>AND(#REF!,"AAAAAG/0/4k=")</f>
        <v>#REF!</v>
      </c>
      <c r="EI452" t="e">
        <f>AND(#REF!,"AAAAAG/0/4o=")</f>
        <v>#REF!</v>
      </c>
      <c r="EJ452" t="e">
        <f>AND(#REF!,"AAAAAG/0/4s=")</f>
        <v>#REF!</v>
      </c>
      <c r="EK452" t="e">
        <f>AND(#REF!,"AAAAAG/0/4w=")</f>
        <v>#REF!</v>
      </c>
      <c r="EL452" t="e">
        <f>AND(#REF!,"AAAAAG/0/40=")</f>
        <v>#REF!</v>
      </c>
      <c r="EM452" t="e">
        <f>AND(#REF!,"AAAAAG/0/44=")</f>
        <v>#REF!</v>
      </c>
      <c r="EN452" t="e">
        <f>AND(#REF!,"AAAAAG/0/48=")</f>
        <v>#REF!</v>
      </c>
      <c r="EO452" t="e">
        <f>AND(#REF!,"AAAAAG/0/5A=")</f>
        <v>#REF!</v>
      </c>
      <c r="EP452" t="e">
        <f>AND(#REF!,"AAAAAG/0/5E=")</f>
        <v>#REF!</v>
      </c>
      <c r="EQ452" t="e">
        <f>AND(#REF!,"AAAAAG/0/5I=")</f>
        <v>#REF!</v>
      </c>
      <c r="ER452" t="e">
        <f>AND(#REF!,"AAAAAG/0/5M=")</f>
        <v>#REF!</v>
      </c>
      <c r="ES452" t="e">
        <f>AND(#REF!,"AAAAAG/0/5Q=")</f>
        <v>#REF!</v>
      </c>
      <c r="ET452" t="e">
        <f>AND(#REF!,"AAAAAG/0/5U=")</f>
        <v>#REF!</v>
      </c>
      <c r="EU452" t="e">
        <f>AND(#REF!,"AAAAAG/0/5Y=")</f>
        <v>#REF!</v>
      </c>
      <c r="EV452" t="e">
        <f>AND(#REF!,"AAAAAG/0/5c=")</f>
        <v>#REF!</v>
      </c>
      <c r="EW452" t="e">
        <f>AND(#REF!,"AAAAAG/0/5g=")</f>
        <v>#REF!</v>
      </c>
      <c r="EX452" t="e">
        <f>AND(#REF!,"AAAAAG/0/5k=")</f>
        <v>#REF!</v>
      </c>
      <c r="EY452" t="e">
        <f>IF(#REF!,"AAAAAG/0/5o=",0)</f>
        <v>#REF!</v>
      </c>
      <c r="EZ452" t="e">
        <f>AND(#REF!,"AAAAAG/0/5s=")</f>
        <v>#REF!</v>
      </c>
      <c r="FA452" t="e">
        <f>AND(#REF!,"AAAAAG/0/5w=")</f>
        <v>#REF!</v>
      </c>
      <c r="FB452" t="e">
        <f>AND(#REF!,"AAAAAG/0/50=")</f>
        <v>#REF!</v>
      </c>
      <c r="FC452" t="e">
        <f>AND(#REF!,"AAAAAG/0/54=")</f>
        <v>#REF!</v>
      </c>
      <c r="FD452" t="e">
        <f>AND(#REF!,"AAAAAG/0/58=")</f>
        <v>#REF!</v>
      </c>
      <c r="FE452" t="e">
        <f>AND(#REF!,"AAAAAG/0/6A=")</f>
        <v>#REF!</v>
      </c>
      <c r="FF452" t="e">
        <f>AND(#REF!,"AAAAAG/0/6E=")</f>
        <v>#REF!</v>
      </c>
      <c r="FG452" t="e">
        <f>AND(#REF!,"AAAAAG/0/6I=")</f>
        <v>#REF!</v>
      </c>
      <c r="FH452" t="e">
        <f>AND(#REF!,"AAAAAG/0/6M=")</f>
        <v>#REF!</v>
      </c>
      <c r="FI452" t="e">
        <f>AND(#REF!,"AAAAAG/0/6Q=")</f>
        <v>#REF!</v>
      </c>
      <c r="FJ452" t="e">
        <f>AND(#REF!,"AAAAAG/0/6U=")</f>
        <v>#REF!</v>
      </c>
      <c r="FK452" t="e">
        <f>AND(#REF!,"AAAAAG/0/6Y=")</f>
        <v>#REF!</v>
      </c>
      <c r="FL452" t="e">
        <f>AND(#REF!,"AAAAAG/0/6c=")</f>
        <v>#REF!</v>
      </c>
      <c r="FM452" t="e">
        <f>AND(#REF!,"AAAAAG/0/6g=")</f>
        <v>#REF!</v>
      </c>
      <c r="FN452" t="e">
        <f>AND(#REF!,"AAAAAG/0/6k=")</f>
        <v>#REF!</v>
      </c>
      <c r="FO452" t="e">
        <f>AND(#REF!,"AAAAAG/0/6o=")</f>
        <v>#REF!</v>
      </c>
      <c r="FP452" t="e">
        <f>AND(#REF!,"AAAAAG/0/6s=")</f>
        <v>#REF!</v>
      </c>
      <c r="FQ452" t="e">
        <f>AND(#REF!,"AAAAAG/0/6w=")</f>
        <v>#REF!</v>
      </c>
      <c r="FR452" t="e">
        <f>AND(#REF!,"AAAAAG/0/60=")</f>
        <v>#REF!</v>
      </c>
      <c r="FS452" t="e">
        <f>AND(#REF!,"AAAAAG/0/64=")</f>
        <v>#REF!</v>
      </c>
      <c r="FT452" t="e">
        <f>AND(#REF!,"AAAAAG/0/68=")</f>
        <v>#REF!</v>
      </c>
      <c r="FU452" t="e">
        <f>AND(#REF!,"AAAAAG/0/7A=")</f>
        <v>#REF!</v>
      </c>
      <c r="FV452" t="e">
        <f>AND(#REF!,"AAAAAG/0/7E=")</f>
        <v>#REF!</v>
      </c>
      <c r="FW452" t="e">
        <f>AND(#REF!,"AAAAAG/0/7I=")</f>
        <v>#REF!</v>
      </c>
      <c r="FX452" t="e">
        <f>IF(#REF!,"AAAAAG/0/7M=",0)</f>
        <v>#REF!</v>
      </c>
      <c r="FY452" t="e">
        <f>AND(#REF!,"AAAAAG/0/7Q=")</f>
        <v>#REF!</v>
      </c>
      <c r="FZ452" t="e">
        <f>AND(#REF!,"AAAAAG/0/7U=")</f>
        <v>#REF!</v>
      </c>
      <c r="GA452" t="e">
        <f>AND(#REF!,"AAAAAG/0/7Y=")</f>
        <v>#REF!</v>
      </c>
      <c r="GB452" t="e">
        <f>AND(#REF!,"AAAAAG/0/7c=")</f>
        <v>#REF!</v>
      </c>
      <c r="GC452" t="e">
        <f>AND(#REF!,"AAAAAG/0/7g=")</f>
        <v>#REF!</v>
      </c>
      <c r="GD452" t="e">
        <f>AND(#REF!,"AAAAAG/0/7k=")</f>
        <v>#REF!</v>
      </c>
      <c r="GE452" t="e">
        <f>AND(#REF!,"AAAAAG/0/7o=")</f>
        <v>#REF!</v>
      </c>
      <c r="GF452" t="e">
        <f>AND(#REF!,"AAAAAG/0/7s=")</f>
        <v>#REF!</v>
      </c>
      <c r="GG452" t="e">
        <f>AND(#REF!,"AAAAAG/0/7w=")</f>
        <v>#REF!</v>
      </c>
      <c r="GH452" t="e">
        <f>AND(#REF!,"AAAAAG/0/70=")</f>
        <v>#REF!</v>
      </c>
      <c r="GI452" t="e">
        <f>AND(#REF!,"AAAAAG/0/74=")</f>
        <v>#REF!</v>
      </c>
      <c r="GJ452" t="e">
        <f>AND(#REF!,"AAAAAG/0/78=")</f>
        <v>#REF!</v>
      </c>
      <c r="GK452" t="e">
        <f>AND(#REF!,"AAAAAG/0/8A=")</f>
        <v>#REF!</v>
      </c>
      <c r="GL452" t="e">
        <f>AND(#REF!,"AAAAAG/0/8E=")</f>
        <v>#REF!</v>
      </c>
      <c r="GM452" t="e">
        <f>AND(#REF!,"AAAAAG/0/8I=")</f>
        <v>#REF!</v>
      </c>
      <c r="GN452" t="e">
        <f>AND(#REF!,"AAAAAG/0/8M=")</f>
        <v>#REF!</v>
      </c>
      <c r="GO452" t="e">
        <f>AND(#REF!,"AAAAAG/0/8Q=")</f>
        <v>#REF!</v>
      </c>
      <c r="GP452" t="e">
        <f>AND(#REF!,"AAAAAG/0/8U=")</f>
        <v>#REF!</v>
      </c>
      <c r="GQ452" t="e">
        <f>AND(#REF!,"AAAAAG/0/8Y=")</f>
        <v>#REF!</v>
      </c>
      <c r="GR452" t="e">
        <f>AND(#REF!,"AAAAAG/0/8c=")</f>
        <v>#REF!</v>
      </c>
      <c r="GS452" t="e">
        <f>AND(#REF!,"AAAAAG/0/8g=")</f>
        <v>#REF!</v>
      </c>
      <c r="GT452" t="e">
        <f>AND(#REF!,"AAAAAG/0/8k=")</f>
        <v>#REF!</v>
      </c>
      <c r="GU452" t="e">
        <f>AND(#REF!,"AAAAAG/0/8o=")</f>
        <v>#REF!</v>
      </c>
      <c r="GV452" t="e">
        <f>AND(#REF!,"AAAAAG/0/8s=")</f>
        <v>#REF!</v>
      </c>
      <c r="GW452" t="e">
        <f>IF(#REF!,"AAAAAG/0/8w=",0)</f>
        <v>#REF!</v>
      </c>
      <c r="GX452" t="e">
        <f>AND(#REF!,"AAAAAG/0/80=")</f>
        <v>#REF!</v>
      </c>
      <c r="GY452" t="e">
        <f>AND(#REF!,"AAAAAG/0/84=")</f>
        <v>#REF!</v>
      </c>
      <c r="GZ452" t="e">
        <f>AND(#REF!,"AAAAAG/0/88=")</f>
        <v>#REF!</v>
      </c>
      <c r="HA452" t="e">
        <f>AND(#REF!,"AAAAAG/0/9A=")</f>
        <v>#REF!</v>
      </c>
      <c r="HB452" t="e">
        <f>AND(#REF!,"AAAAAG/0/9E=")</f>
        <v>#REF!</v>
      </c>
      <c r="HC452" t="e">
        <f>AND(#REF!,"AAAAAG/0/9I=")</f>
        <v>#REF!</v>
      </c>
      <c r="HD452" t="e">
        <f>AND(#REF!,"AAAAAG/0/9M=")</f>
        <v>#REF!</v>
      </c>
      <c r="HE452" t="e">
        <f>AND(#REF!,"AAAAAG/0/9Q=")</f>
        <v>#REF!</v>
      </c>
      <c r="HF452" t="e">
        <f>AND(#REF!,"AAAAAG/0/9U=")</f>
        <v>#REF!</v>
      </c>
      <c r="HG452" t="e">
        <f>AND(#REF!,"AAAAAG/0/9Y=")</f>
        <v>#REF!</v>
      </c>
      <c r="HH452" t="e">
        <f>AND(#REF!,"AAAAAG/0/9c=")</f>
        <v>#REF!</v>
      </c>
      <c r="HI452" t="e">
        <f>AND(#REF!,"AAAAAG/0/9g=")</f>
        <v>#REF!</v>
      </c>
      <c r="HJ452" t="e">
        <f>AND(#REF!,"AAAAAG/0/9k=")</f>
        <v>#REF!</v>
      </c>
      <c r="HK452" t="e">
        <f>AND(#REF!,"AAAAAG/0/9o=")</f>
        <v>#REF!</v>
      </c>
      <c r="HL452" t="e">
        <f>AND(#REF!,"AAAAAG/0/9s=")</f>
        <v>#REF!</v>
      </c>
      <c r="HM452" t="e">
        <f>AND(#REF!,"AAAAAG/0/9w=")</f>
        <v>#REF!</v>
      </c>
      <c r="HN452" t="e">
        <f>AND(#REF!,"AAAAAG/0/90=")</f>
        <v>#REF!</v>
      </c>
      <c r="HO452" t="e">
        <f>AND(#REF!,"AAAAAG/0/94=")</f>
        <v>#REF!</v>
      </c>
      <c r="HP452" t="e">
        <f>AND(#REF!,"AAAAAG/0/98=")</f>
        <v>#REF!</v>
      </c>
      <c r="HQ452" t="e">
        <f>AND(#REF!,"AAAAAG/0/+A=")</f>
        <v>#REF!</v>
      </c>
      <c r="HR452" t="e">
        <f>AND(#REF!,"AAAAAG/0/+E=")</f>
        <v>#REF!</v>
      </c>
      <c r="HS452" t="e">
        <f>AND(#REF!,"AAAAAG/0/+I=")</f>
        <v>#REF!</v>
      </c>
      <c r="HT452" t="e">
        <f>AND(#REF!,"AAAAAG/0/+M=")</f>
        <v>#REF!</v>
      </c>
      <c r="HU452" t="e">
        <f>AND(#REF!,"AAAAAG/0/+Q=")</f>
        <v>#REF!</v>
      </c>
      <c r="HV452" t="e">
        <f>IF(#REF!,"AAAAAG/0/+U=",0)</f>
        <v>#REF!</v>
      </c>
      <c r="HW452" t="e">
        <f>AND(#REF!,"AAAAAG/0/+Y=")</f>
        <v>#REF!</v>
      </c>
      <c r="HX452" t="e">
        <f>AND(#REF!,"AAAAAG/0/+c=")</f>
        <v>#REF!</v>
      </c>
      <c r="HY452" t="e">
        <f>AND(#REF!,"AAAAAG/0/+g=")</f>
        <v>#REF!</v>
      </c>
      <c r="HZ452" t="e">
        <f>AND(#REF!,"AAAAAG/0/+k=")</f>
        <v>#REF!</v>
      </c>
      <c r="IA452" t="e">
        <f>AND(#REF!,"AAAAAG/0/+o=")</f>
        <v>#REF!</v>
      </c>
      <c r="IB452" t="e">
        <f>AND(#REF!,"AAAAAG/0/+s=")</f>
        <v>#REF!</v>
      </c>
      <c r="IC452" t="e">
        <f>AND(#REF!,"AAAAAG/0/+w=")</f>
        <v>#REF!</v>
      </c>
      <c r="ID452" t="e">
        <f>AND(#REF!,"AAAAAG/0/+0=")</f>
        <v>#REF!</v>
      </c>
      <c r="IE452" t="e">
        <f>AND(#REF!,"AAAAAG/0/+4=")</f>
        <v>#REF!</v>
      </c>
      <c r="IF452" t="e">
        <f>AND(#REF!,"AAAAAG/0/+8=")</f>
        <v>#REF!</v>
      </c>
      <c r="IG452" t="e">
        <f>AND(#REF!,"AAAAAG/0//A=")</f>
        <v>#REF!</v>
      </c>
      <c r="IH452" t="e">
        <f>AND(#REF!,"AAAAAG/0//E=")</f>
        <v>#REF!</v>
      </c>
      <c r="II452" t="e">
        <f>AND(#REF!,"AAAAAG/0//I=")</f>
        <v>#REF!</v>
      </c>
      <c r="IJ452" t="e">
        <f>AND(#REF!,"AAAAAG/0//M=")</f>
        <v>#REF!</v>
      </c>
      <c r="IK452" t="e">
        <f>AND(#REF!,"AAAAAG/0//Q=")</f>
        <v>#REF!</v>
      </c>
      <c r="IL452" t="e">
        <f>AND(#REF!,"AAAAAG/0//U=")</f>
        <v>#REF!</v>
      </c>
      <c r="IM452" t="e">
        <f>AND(#REF!,"AAAAAG/0//Y=")</f>
        <v>#REF!</v>
      </c>
      <c r="IN452" t="e">
        <f>AND(#REF!,"AAAAAG/0//c=")</f>
        <v>#REF!</v>
      </c>
      <c r="IO452" t="e">
        <f>AND(#REF!,"AAAAAG/0//g=")</f>
        <v>#REF!</v>
      </c>
      <c r="IP452" t="e">
        <f>AND(#REF!,"AAAAAG/0//k=")</f>
        <v>#REF!</v>
      </c>
      <c r="IQ452" t="e">
        <f>AND(#REF!,"AAAAAG/0//o=")</f>
        <v>#REF!</v>
      </c>
      <c r="IR452" t="e">
        <f>AND(#REF!,"AAAAAG/0//s=")</f>
        <v>#REF!</v>
      </c>
      <c r="IS452" t="e">
        <f>AND(#REF!,"AAAAAG/0//w=")</f>
        <v>#REF!</v>
      </c>
      <c r="IT452" t="e">
        <f>AND(#REF!,"AAAAAG/0//0=")</f>
        <v>#REF!</v>
      </c>
      <c r="IU452" t="e">
        <f>IF(#REF!,"AAAAAG/0//4=",0)</f>
        <v>#REF!</v>
      </c>
      <c r="IV452" t="e">
        <f>AND(#REF!,"AAAAAG/0//8=")</f>
        <v>#REF!</v>
      </c>
    </row>
    <row r="453" spans="1:256">
      <c r="A453" t="e">
        <f>AND(#REF!,"AAAAAF98tgA=")</f>
        <v>#REF!</v>
      </c>
      <c r="B453" t="e">
        <f>AND(#REF!,"AAAAAF98tgE=")</f>
        <v>#REF!</v>
      </c>
      <c r="C453" t="e">
        <f>AND(#REF!,"AAAAAF98tgI=")</f>
        <v>#REF!</v>
      </c>
      <c r="D453" t="e">
        <f>AND(#REF!,"AAAAAF98tgM=")</f>
        <v>#REF!</v>
      </c>
      <c r="E453" t="e">
        <f>AND(#REF!,"AAAAAF98tgQ=")</f>
        <v>#REF!</v>
      </c>
      <c r="F453" t="e">
        <f>AND(#REF!,"AAAAAF98tgU=")</f>
        <v>#REF!</v>
      </c>
      <c r="G453" t="e">
        <f>AND(#REF!,"AAAAAF98tgY=")</f>
        <v>#REF!</v>
      </c>
      <c r="H453" t="e">
        <f>AND(#REF!,"AAAAAF98tgc=")</f>
        <v>#REF!</v>
      </c>
      <c r="I453" t="e">
        <f>AND(#REF!,"AAAAAF98tgg=")</f>
        <v>#REF!</v>
      </c>
      <c r="J453" t="e">
        <f>AND(#REF!,"AAAAAF98tgk=")</f>
        <v>#REF!</v>
      </c>
      <c r="K453" t="e">
        <f>AND(#REF!,"AAAAAF98tgo=")</f>
        <v>#REF!</v>
      </c>
      <c r="L453" t="e">
        <f>AND(#REF!,"AAAAAF98tgs=")</f>
        <v>#REF!</v>
      </c>
      <c r="M453" t="e">
        <f>AND(#REF!,"AAAAAF98tgw=")</f>
        <v>#REF!</v>
      </c>
      <c r="N453" t="e">
        <f>AND(#REF!,"AAAAAF98tg0=")</f>
        <v>#REF!</v>
      </c>
      <c r="O453" t="e">
        <f>AND(#REF!,"AAAAAF98tg4=")</f>
        <v>#REF!</v>
      </c>
      <c r="P453" t="e">
        <f>AND(#REF!,"AAAAAF98tg8=")</f>
        <v>#REF!</v>
      </c>
      <c r="Q453" t="e">
        <f>AND(#REF!,"AAAAAF98thA=")</f>
        <v>#REF!</v>
      </c>
      <c r="R453" t="e">
        <f>AND(#REF!,"AAAAAF98thE=")</f>
        <v>#REF!</v>
      </c>
      <c r="S453" t="e">
        <f>AND(#REF!,"AAAAAF98thI=")</f>
        <v>#REF!</v>
      </c>
      <c r="T453" t="e">
        <f>AND(#REF!,"AAAAAF98thM=")</f>
        <v>#REF!</v>
      </c>
      <c r="U453" t="e">
        <f>AND(#REF!,"AAAAAF98thQ=")</f>
        <v>#REF!</v>
      </c>
      <c r="V453" t="e">
        <f>AND(#REF!,"AAAAAF98thU=")</f>
        <v>#REF!</v>
      </c>
      <c r="W453" t="e">
        <f>AND(#REF!,"AAAAAF98thY=")</f>
        <v>#REF!</v>
      </c>
      <c r="X453" t="e">
        <f>IF(#REF!,"AAAAAF98thc=",0)</f>
        <v>#REF!</v>
      </c>
      <c r="Y453" t="e">
        <f>AND(#REF!,"AAAAAF98thg=")</f>
        <v>#REF!</v>
      </c>
      <c r="Z453" t="e">
        <f>AND(#REF!,"AAAAAF98thk=")</f>
        <v>#REF!</v>
      </c>
      <c r="AA453" t="e">
        <f>AND(#REF!,"AAAAAF98tho=")</f>
        <v>#REF!</v>
      </c>
      <c r="AB453" t="e">
        <f>AND(#REF!,"AAAAAF98ths=")</f>
        <v>#REF!</v>
      </c>
      <c r="AC453" t="e">
        <f>AND(#REF!,"AAAAAF98thw=")</f>
        <v>#REF!</v>
      </c>
      <c r="AD453" t="e">
        <f>AND(#REF!,"AAAAAF98th0=")</f>
        <v>#REF!</v>
      </c>
      <c r="AE453" t="e">
        <f>AND(#REF!,"AAAAAF98th4=")</f>
        <v>#REF!</v>
      </c>
      <c r="AF453" t="e">
        <f>AND(#REF!,"AAAAAF98th8=")</f>
        <v>#REF!</v>
      </c>
      <c r="AG453" t="e">
        <f>AND(#REF!,"AAAAAF98tiA=")</f>
        <v>#REF!</v>
      </c>
      <c r="AH453" t="e">
        <f>AND(#REF!,"AAAAAF98tiE=")</f>
        <v>#REF!</v>
      </c>
      <c r="AI453" t="e">
        <f>AND(#REF!,"AAAAAF98tiI=")</f>
        <v>#REF!</v>
      </c>
      <c r="AJ453" t="e">
        <f>AND(#REF!,"AAAAAF98tiM=")</f>
        <v>#REF!</v>
      </c>
      <c r="AK453" t="e">
        <f>AND(#REF!,"AAAAAF98tiQ=")</f>
        <v>#REF!</v>
      </c>
      <c r="AL453" t="e">
        <f>AND(#REF!,"AAAAAF98tiU=")</f>
        <v>#REF!</v>
      </c>
      <c r="AM453" t="e">
        <f>AND(#REF!,"AAAAAF98tiY=")</f>
        <v>#REF!</v>
      </c>
      <c r="AN453" t="e">
        <f>AND(#REF!,"AAAAAF98tic=")</f>
        <v>#REF!</v>
      </c>
      <c r="AO453" t="e">
        <f>AND(#REF!,"AAAAAF98tig=")</f>
        <v>#REF!</v>
      </c>
      <c r="AP453" t="e">
        <f>AND(#REF!,"AAAAAF98tik=")</f>
        <v>#REF!</v>
      </c>
      <c r="AQ453" t="e">
        <f>AND(#REF!,"AAAAAF98tio=")</f>
        <v>#REF!</v>
      </c>
      <c r="AR453" t="e">
        <f>AND(#REF!,"AAAAAF98tis=")</f>
        <v>#REF!</v>
      </c>
      <c r="AS453" t="e">
        <f>AND(#REF!,"AAAAAF98tiw=")</f>
        <v>#REF!</v>
      </c>
      <c r="AT453" t="e">
        <f>AND(#REF!,"AAAAAF98ti0=")</f>
        <v>#REF!</v>
      </c>
      <c r="AU453" t="e">
        <f>AND(#REF!,"AAAAAF98ti4=")</f>
        <v>#REF!</v>
      </c>
      <c r="AV453" t="e">
        <f>AND(#REF!,"AAAAAF98ti8=")</f>
        <v>#REF!</v>
      </c>
      <c r="AW453" t="e">
        <f>IF(#REF!,"AAAAAF98tjA=",0)</f>
        <v>#REF!</v>
      </c>
      <c r="AX453" t="e">
        <f>AND(#REF!,"AAAAAF98tjE=")</f>
        <v>#REF!</v>
      </c>
      <c r="AY453" t="e">
        <f>AND(#REF!,"AAAAAF98tjI=")</f>
        <v>#REF!</v>
      </c>
      <c r="AZ453" t="e">
        <f>AND(#REF!,"AAAAAF98tjM=")</f>
        <v>#REF!</v>
      </c>
      <c r="BA453" t="e">
        <f>AND(#REF!,"AAAAAF98tjQ=")</f>
        <v>#REF!</v>
      </c>
      <c r="BB453" t="e">
        <f>AND(#REF!,"AAAAAF98tjU=")</f>
        <v>#REF!</v>
      </c>
      <c r="BC453" t="e">
        <f>AND(#REF!,"AAAAAF98tjY=")</f>
        <v>#REF!</v>
      </c>
      <c r="BD453" t="e">
        <f>AND(#REF!,"AAAAAF98tjc=")</f>
        <v>#REF!</v>
      </c>
      <c r="BE453" t="e">
        <f>AND(#REF!,"AAAAAF98tjg=")</f>
        <v>#REF!</v>
      </c>
      <c r="BF453" t="e">
        <f>AND(#REF!,"AAAAAF98tjk=")</f>
        <v>#REF!</v>
      </c>
      <c r="BG453" t="e">
        <f>AND(#REF!,"AAAAAF98tjo=")</f>
        <v>#REF!</v>
      </c>
      <c r="BH453" t="e">
        <f>AND(#REF!,"AAAAAF98tjs=")</f>
        <v>#REF!</v>
      </c>
      <c r="BI453" t="e">
        <f>AND(#REF!,"AAAAAF98tjw=")</f>
        <v>#REF!</v>
      </c>
      <c r="BJ453" t="e">
        <f>AND(#REF!,"AAAAAF98tj0=")</f>
        <v>#REF!</v>
      </c>
      <c r="BK453" t="e">
        <f>AND(#REF!,"AAAAAF98tj4=")</f>
        <v>#REF!</v>
      </c>
      <c r="BL453" t="e">
        <f>AND(#REF!,"AAAAAF98tj8=")</f>
        <v>#REF!</v>
      </c>
      <c r="BM453" t="e">
        <f>AND(#REF!,"AAAAAF98tkA=")</f>
        <v>#REF!</v>
      </c>
      <c r="BN453" t="e">
        <f>AND(#REF!,"AAAAAF98tkE=")</f>
        <v>#REF!</v>
      </c>
      <c r="BO453" t="e">
        <f>AND(#REF!,"AAAAAF98tkI=")</f>
        <v>#REF!</v>
      </c>
      <c r="BP453" t="e">
        <f>AND(#REF!,"AAAAAF98tkM=")</f>
        <v>#REF!</v>
      </c>
      <c r="BQ453" t="e">
        <f>AND(#REF!,"AAAAAF98tkQ=")</f>
        <v>#REF!</v>
      </c>
      <c r="BR453" t="e">
        <f>AND(#REF!,"AAAAAF98tkU=")</f>
        <v>#REF!</v>
      </c>
      <c r="BS453" t="e">
        <f>AND(#REF!,"AAAAAF98tkY=")</f>
        <v>#REF!</v>
      </c>
      <c r="BT453" t="e">
        <f>AND(#REF!,"AAAAAF98tkc=")</f>
        <v>#REF!</v>
      </c>
      <c r="BU453" t="e">
        <f>AND(#REF!,"AAAAAF98tkg=")</f>
        <v>#REF!</v>
      </c>
      <c r="BV453" t="e">
        <f>IF(#REF!,"AAAAAF98tkk=",0)</f>
        <v>#REF!</v>
      </c>
      <c r="BW453" t="e">
        <f>AND(#REF!,"AAAAAF98tko=")</f>
        <v>#REF!</v>
      </c>
      <c r="BX453" t="e">
        <f>AND(#REF!,"AAAAAF98tks=")</f>
        <v>#REF!</v>
      </c>
      <c r="BY453" t="e">
        <f>AND(#REF!,"AAAAAF98tkw=")</f>
        <v>#REF!</v>
      </c>
      <c r="BZ453" t="e">
        <f>AND(#REF!,"AAAAAF98tk0=")</f>
        <v>#REF!</v>
      </c>
      <c r="CA453" t="e">
        <f>AND(#REF!,"AAAAAF98tk4=")</f>
        <v>#REF!</v>
      </c>
      <c r="CB453" t="e">
        <f>AND(#REF!,"AAAAAF98tk8=")</f>
        <v>#REF!</v>
      </c>
      <c r="CC453" t="e">
        <f>AND(#REF!,"AAAAAF98tlA=")</f>
        <v>#REF!</v>
      </c>
      <c r="CD453" t="e">
        <f>AND(#REF!,"AAAAAF98tlE=")</f>
        <v>#REF!</v>
      </c>
      <c r="CE453" t="e">
        <f>AND(#REF!,"AAAAAF98tlI=")</f>
        <v>#REF!</v>
      </c>
      <c r="CF453" t="e">
        <f>AND(#REF!,"AAAAAF98tlM=")</f>
        <v>#REF!</v>
      </c>
      <c r="CG453" t="e">
        <f>AND(#REF!,"AAAAAF98tlQ=")</f>
        <v>#REF!</v>
      </c>
      <c r="CH453" t="e">
        <f>AND(#REF!,"AAAAAF98tlU=")</f>
        <v>#REF!</v>
      </c>
      <c r="CI453" t="e">
        <f>AND(#REF!,"AAAAAF98tlY=")</f>
        <v>#REF!</v>
      </c>
      <c r="CJ453" t="e">
        <f>AND(#REF!,"AAAAAF98tlc=")</f>
        <v>#REF!</v>
      </c>
      <c r="CK453" t="e">
        <f>AND(#REF!,"AAAAAF98tlg=")</f>
        <v>#REF!</v>
      </c>
      <c r="CL453" t="e">
        <f>AND(#REF!,"AAAAAF98tlk=")</f>
        <v>#REF!</v>
      </c>
      <c r="CM453" t="e">
        <f>AND(#REF!,"AAAAAF98tlo=")</f>
        <v>#REF!</v>
      </c>
      <c r="CN453" t="e">
        <f>AND(#REF!,"AAAAAF98tls=")</f>
        <v>#REF!</v>
      </c>
      <c r="CO453" t="e">
        <f>AND(#REF!,"AAAAAF98tlw=")</f>
        <v>#REF!</v>
      </c>
      <c r="CP453" t="e">
        <f>AND(#REF!,"AAAAAF98tl0=")</f>
        <v>#REF!</v>
      </c>
      <c r="CQ453" t="e">
        <f>AND(#REF!,"AAAAAF98tl4=")</f>
        <v>#REF!</v>
      </c>
      <c r="CR453" t="e">
        <f>AND(#REF!,"AAAAAF98tl8=")</f>
        <v>#REF!</v>
      </c>
      <c r="CS453" t="e">
        <f>AND(#REF!,"AAAAAF98tmA=")</f>
        <v>#REF!</v>
      </c>
      <c r="CT453" t="e">
        <f>AND(#REF!,"AAAAAF98tmE=")</f>
        <v>#REF!</v>
      </c>
      <c r="CU453" t="e">
        <f>IF(#REF!,"AAAAAF98tmI=",0)</f>
        <v>#REF!</v>
      </c>
      <c r="CV453" t="e">
        <f>AND(#REF!,"AAAAAF98tmM=")</f>
        <v>#REF!</v>
      </c>
      <c r="CW453" t="e">
        <f>AND(#REF!,"AAAAAF98tmQ=")</f>
        <v>#REF!</v>
      </c>
      <c r="CX453" t="e">
        <f>AND(#REF!,"AAAAAF98tmU=")</f>
        <v>#REF!</v>
      </c>
      <c r="CY453" t="e">
        <f>AND(#REF!,"AAAAAF98tmY=")</f>
        <v>#REF!</v>
      </c>
      <c r="CZ453" t="e">
        <f>AND(#REF!,"AAAAAF98tmc=")</f>
        <v>#REF!</v>
      </c>
      <c r="DA453" t="e">
        <f>AND(#REF!,"AAAAAF98tmg=")</f>
        <v>#REF!</v>
      </c>
      <c r="DB453" t="e">
        <f>AND(#REF!,"AAAAAF98tmk=")</f>
        <v>#REF!</v>
      </c>
      <c r="DC453" t="e">
        <f>AND(#REF!,"AAAAAF98tmo=")</f>
        <v>#REF!</v>
      </c>
      <c r="DD453" t="e">
        <f>AND(#REF!,"AAAAAF98tms=")</f>
        <v>#REF!</v>
      </c>
      <c r="DE453" t="e">
        <f>AND(#REF!,"AAAAAF98tmw=")</f>
        <v>#REF!</v>
      </c>
      <c r="DF453" t="e">
        <f>AND(#REF!,"AAAAAF98tm0=")</f>
        <v>#REF!</v>
      </c>
      <c r="DG453" t="e">
        <f>AND(#REF!,"AAAAAF98tm4=")</f>
        <v>#REF!</v>
      </c>
      <c r="DH453" t="e">
        <f>AND(#REF!,"AAAAAF98tm8=")</f>
        <v>#REF!</v>
      </c>
      <c r="DI453" t="e">
        <f>AND(#REF!,"AAAAAF98tnA=")</f>
        <v>#REF!</v>
      </c>
      <c r="DJ453" t="e">
        <f>AND(#REF!,"AAAAAF98tnE=")</f>
        <v>#REF!</v>
      </c>
      <c r="DK453" t="e">
        <f>AND(#REF!,"AAAAAF98tnI=")</f>
        <v>#REF!</v>
      </c>
      <c r="DL453" t="e">
        <f>AND(#REF!,"AAAAAF98tnM=")</f>
        <v>#REF!</v>
      </c>
      <c r="DM453" t="e">
        <f>AND(#REF!,"AAAAAF98tnQ=")</f>
        <v>#REF!</v>
      </c>
      <c r="DN453" t="e">
        <f>AND(#REF!,"AAAAAF98tnU=")</f>
        <v>#REF!</v>
      </c>
      <c r="DO453" t="e">
        <f>AND(#REF!,"AAAAAF98tnY=")</f>
        <v>#REF!</v>
      </c>
      <c r="DP453" t="e">
        <f>AND(#REF!,"AAAAAF98tnc=")</f>
        <v>#REF!</v>
      </c>
      <c r="DQ453" t="e">
        <f>AND(#REF!,"AAAAAF98tng=")</f>
        <v>#REF!</v>
      </c>
      <c r="DR453" t="e">
        <f>AND(#REF!,"AAAAAF98tnk=")</f>
        <v>#REF!</v>
      </c>
      <c r="DS453" t="e">
        <f>AND(#REF!,"AAAAAF98tno=")</f>
        <v>#REF!</v>
      </c>
      <c r="DT453" t="e">
        <f>IF(#REF!,"AAAAAF98tns=",0)</f>
        <v>#REF!</v>
      </c>
      <c r="DU453" t="e">
        <f>AND(#REF!,"AAAAAF98tnw=")</f>
        <v>#REF!</v>
      </c>
      <c r="DV453" t="e">
        <f>AND(#REF!,"AAAAAF98tn0=")</f>
        <v>#REF!</v>
      </c>
      <c r="DW453" t="e">
        <f>AND(#REF!,"AAAAAF98tn4=")</f>
        <v>#REF!</v>
      </c>
      <c r="DX453" t="e">
        <f>AND(#REF!,"AAAAAF98tn8=")</f>
        <v>#REF!</v>
      </c>
      <c r="DY453" t="e">
        <f>AND(#REF!,"AAAAAF98toA=")</f>
        <v>#REF!</v>
      </c>
      <c r="DZ453" t="e">
        <f>AND(#REF!,"AAAAAF98toE=")</f>
        <v>#REF!</v>
      </c>
      <c r="EA453" t="e">
        <f>AND(#REF!,"AAAAAF98toI=")</f>
        <v>#REF!</v>
      </c>
      <c r="EB453" t="e">
        <f>AND(#REF!,"AAAAAF98toM=")</f>
        <v>#REF!</v>
      </c>
      <c r="EC453" t="e">
        <f>AND(#REF!,"AAAAAF98toQ=")</f>
        <v>#REF!</v>
      </c>
      <c r="ED453" t="e">
        <f>AND(#REF!,"AAAAAF98toU=")</f>
        <v>#REF!</v>
      </c>
      <c r="EE453" t="e">
        <f>AND(#REF!,"AAAAAF98toY=")</f>
        <v>#REF!</v>
      </c>
      <c r="EF453" t="e">
        <f>AND(#REF!,"AAAAAF98toc=")</f>
        <v>#REF!</v>
      </c>
      <c r="EG453" t="e">
        <f>AND(#REF!,"AAAAAF98tog=")</f>
        <v>#REF!</v>
      </c>
      <c r="EH453" t="e">
        <f>AND(#REF!,"AAAAAF98tok=")</f>
        <v>#REF!</v>
      </c>
      <c r="EI453" t="e">
        <f>AND(#REF!,"AAAAAF98too=")</f>
        <v>#REF!</v>
      </c>
      <c r="EJ453" t="e">
        <f>AND(#REF!,"AAAAAF98tos=")</f>
        <v>#REF!</v>
      </c>
      <c r="EK453" t="e">
        <f>AND(#REF!,"AAAAAF98tow=")</f>
        <v>#REF!</v>
      </c>
      <c r="EL453" t="e">
        <f>AND(#REF!,"AAAAAF98to0=")</f>
        <v>#REF!</v>
      </c>
      <c r="EM453" t="e">
        <f>AND(#REF!,"AAAAAF98to4=")</f>
        <v>#REF!</v>
      </c>
      <c r="EN453" t="e">
        <f>AND(#REF!,"AAAAAF98to8=")</f>
        <v>#REF!</v>
      </c>
      <c r="EO453" t="e">
        <f>AND(#REF!,"AAAAAF98tpA=")</f>
        <v>#REF!</v>
      </c>
      <c r="EP453" t="e">
        <f>AND(#REF!,"AAAAAF98tpE=")</f>
        <v>#REF!</v>
      </c>
      <c r="EQ453" t="e">
        <f>AND(#REF!,"AAAAAF98tpI=")</f>
        <v>#REF!</v>
      </c>
      <c r="ER453" t="e">
        <f>AND(#REF!,"AAAAAF98tpM=")</f>
        <v>#REF!</v>
      </c>
      <c r="ES453" t="e">
        <f>IF(#REF!,"AAAAAF98tpQ=",0)</f>
        <v>#REF!</v>
      </c>
      <c r="ET453" t="e">
        <f>AND(#REF!,"AAAAAF98tpU=")</f>
        <v>#REF!</v>
      </c>
      <c r="EU453" t="e">
        <f>AND(#REF!,"AAAAAF98tpY=")</f>
        <v>#REF!</v>
      </c>
      <c r="EV453" t="e">
        <f>AND(#REF!,"AAAAAF98tpc=")</f>
        <v>#REF!</v>
      </c>
      <c r="EW453" t="e">
        <f>AND(#REF!,"AAAAAF98tpg=")</f>
        <v>#REF!</v>
      </c>
      <c r="EX453" t="e">
        <f>AND(#REF!,"AAAAAF98tpk=")</f>
        <v>#REF!</v>
      </c>
      <c r="EY453" t="e">
        <f>AND(#REF!,"AAAAAF98tpo=")</f>
        <v>#REF!</v>
      </c>
      <c r="EZ453" t="e">
        <f>AND(#REF!,"AAAAAF98tps=")</f>
        <v>#REF!</v>
      </c>
      <c r="FA453" t="e">
        <f>AND(#REF!,"AAAAAF98tpw=")</f>
        <v>#REF!</v>
      </c>
      <c r="FB453" t="e">
        <f>AND(#REF!,"AAAAAF98tp0=")</f>
        <v>#REF!</v>
      </c>
      <c r="FC453" t="e">
        <f>AND(#REF!,"AAAAAF98tp4=")</f>
        <v>#REF!</v>
      </c>
      <c r="FD453" t="e">
        <f>AND(#REF!,"AAAAAF98tp8=")</f>
        <v>#REF!</v>
      </c>
      <c r="FE453" t="e">
        <f>AND(#REF!,"AAAAAF98tqA=")</f>
        <v>#REF!</v>
      </c>
      <c r="FF453" t="e">
        <f>AND(#REF!,"AAAAAF98tqE=")</f>
        <v>#REF!</v>
      </c>
      <c r="FG453" t="e">
        <f>AND(#REF!,"AAAAAF98tqI=")</f>
        <v>#REF!</v>
      </c>
      <c r="FH453" t="e">
        <f>AND(#REF!,"AAAAAF98tqM=")</f>
        <v>#REF!</v>
      </c>
      <c r="FI453" t="e">
        <f>AND(#REF!,"AAAAAF98tqQ=")</f>
        <v>#REF!</v>
      </c>
      <c r="FJ453" t="e">
        <f>AND(#REF!,"AAAAAF98tqU=")</f>
        <v>#REF!</v>
      </c>
      <c r="FK453" t="e">
        <f>AND(#REF!,"AAAAAF98tqY=")</f>
        <v>#REF!</v>
      </c>
      <c r="FL453" t="e">
        <f>AND(#REF!,"AAAAAF98tqc=")</f>
        <v>#REF!</v>
      </c>
      <c r="FM453" t="e">
        <f>AND(#REF!,"AAAAAF98tqg=")</f>
        <v>#REF!</v>
      </c>
      <c r="FN453" t="e">
        <f>AND(#REF!,"AAAAAF98tqk=")</f>
        <v>#REF!</v>
      </c>
      <c r="FO453" t="e">
        <f>AND(#REF!,"AAAAAF98tqo=")</f>
        <v>#REF!</v>
      </c>
      <c r="FP453" t="e">
        <f>AND(#REF!,"AAAAAF98tqs=")</f>
        <v>#REF!</v>
      </c>
      <c r="FQ453" t="e">
        <f>AND(#REF!,"AAAAAF98tqw=")</f>
        <v>#REF!</v>
      </c>
      <c r="FR453" t="e">
        <f>IF(#REF!,"AAAAAF98tq0=",0)</f>
        <v>#REF!</v>
      </c>
      <c r="FS453" t="e">
        <f>AND(#REF!,"AAAAAF98tq4=")</f>
        <v>#REF!</v>
      </c>
      <c r="FT453" t="e">
        <f>AND(#REF!,"AAAAAF98tq8=")</f>
        <v>#REF!</v>
      </c>
      <c r="FU453" t="e">
        <f>AND(#REF!,"AAAAAF98trA=")</f>
        <v>#REF!</v>
      </c>
      <c r="FV453" t="e">
        <f>AND(#REF!,"AAAAAF98trE=")</f>
        <v>#REF!</v>
      </c>
      <c r="FW453" t="e">
        <f>AND(#REF!,"AAAAAF98trI=")</f>
        <v>#REF!</v>
      </c>
      <c r="FX453" t="e">
        <f>AND(#REF!,"AAAAAF98trM=")</f>
        <v>#REF!</v>
      </c>
      <c r="FY453" t="e">
        <f>AND(#REF!,"AAAAAF98trQ=")</f>
        <v>#REF!</v>
      </c>
      <c r="FZ453" t="e">
        <f>AND(#REF!,"AAAAAF98trU=")</f>
        <v>#REF!</v>
      </c>
      <c r="GA453" t="e">
        <f>AND(#REF!,"AAAAAF98trY=")</f>
        <v>#REF!</v>
      </c>
      <c r="GB453" t="e">
        <f>AND(#REF!,"AAAAAF98trc=")</f>
        <v>#REF!</v>
      </c>
      <c r="GC453" t="e">
        <f>AND(#REF!,"AAAAAF98trg=")</f>
        <v>#REF!</v>
      </c>
      <c r="GD453" t="e">
        <f>AND(#REF!,"AAAAAF98trk=")</f>
        <v>#REF!</v>
      </c>
      <c r="GE453" t="e">
        <f>AND(#REF!,"AAAAAF98tro=")</f>
        <v>#REF!</v>
      </c>
      <c r="GF453" t="e">
        <f>AND(#REF!,"AAAAAF98trs=")</f>
        <v>#REF!</v>
      </c>
      <c r="GG453" t="e">
        <f>AND(#REF!,"AAAAAF98trw=")</f>
        <v>#REF!</v>
      </c>
      <c r="GH453" t="e">
        <f>AND(#REF!,"AAAAAF98tr0=")</f>
        <v>#REF!</v>
      </c>
      <c r="GI453" t="e">
        <f>AND(#REF!,"AAAAAF98tr4=")</f>
        <v>#REF!</v>
      </c>
      <c r="GJ453" t="e">
        <f>AND(#REF!,"AAAAAF98tr8=")</f>
        <v>#REF!</v>
      </c>
      <c r="GK453" t="e">
        <f>AND(#REF!,"AAAAAF98tsA=")</f>
        <v>#REF!</v>
      </c>
      <c r="GL453" t="e">
        <f>AND(#REF!,"AAAAAF98tsE=")</f>
        <v>#REF!</v>
      </c>
      <c r="GM453" t="e">
        <f>AND(#REF!,"AAAAAF98tsI=")</f>
        <v>#REF!</v>
      </c>
      <c r="GN453" t="e">
        <f>AND(#REF!,"AAAAAF98tsM=")</f>
        <v>#REF!</v>
      </c>
      <c r="GO453" t="e">
        <f>AND(#REF!,"AAAAAF98tsQ=")</f>
        <v>#REF!</v>
      </c>
      <c r="GP453" t="e">
        <f>AND(#REF!,"AAAAAF98tsU=")</f>
        <v>#REF!</v>
      </c>
      <c r="GQ453" t="e">
        <f>IF(#REF!,"AAAAAF98tsY=",0)</f>
        <v>#REF!</v>
      </c>
      <c r="GR453" t="e">
        <f>AND(#REF!,"AAAAAF98tsc=")</f>
        <v>#REF!</v>
      </c>
      <c r="GS453" t="e">
        <f>AND(#REF!,"AAAAAF98tsg=")</f>
        <v>#REF!</v>
      </c>
      <c r="GT453" t="e">
        <f>AND(#REF!,"AAAAAF98tsk=")</f>
        <v>#REF!</v>
      </c>
      <c r="GU453" t="e">
        <f>AND(#REF!,"AAAAAF98tso=")</f>
        <v>#REF!</v>
      </c>
      <c r="GV453" t="e">
        <f>AND(#REF!,"AAAAAF98tss=")</f>
        <v>#REF!</v>
      </c>
      <c r="GW453" t="e">
        <f>AND(#REF!,"AAAAAF98tsw=")</f>
        <v>#REF!</v>
      </c>
      <c r="GX453" t="e">
        <f>AND(#REF!,"AAAAAF98ts0=")</f>
        <v>#REF!</v>
      </c>
      <c r="GY453" t="e">
        <f>AND(#REF!,"AAAAAF98ts4=")</f>
        <v>#REF!</v>
      </c>
      <c r="GZ453" t="e">
        <f>AND(#REF!,"AAAAAF98ts8=")</f>
        <v>#REF!</v>
      </c>
      <c r="HA453" t="e">
        <f>AND(#REF!,"AAAAAF98ttA=")</f>
        <v>#REF!</v>
      </c>
      <c r="HB453" t="e">
        <f>AND(#REF!,"AAAAAF98ttE=")</f>
        <v>#REF!</v>
      </c>
      <c r="HC453" t="e">
        <f>AND(#REF!,"AAAAAF98ttI=")</f>
        <v>#REF!</v>
      </c>
      <c r="HD453" t="e">
        <f>AND(#REF!,"AAAAAF98ttM=")</f>
        <v>#REF!</v>
      </c>
      <c r="HE453" t="e">
        <f>AND(#REF!,"AAAAAF98ttQ=")</f>
        <v>#REF!</v>
      </c>
      <c r="HF453" t="e">
        <f>AND(#REF!,"AAAAAF98ttU=")</f>
        <v>#REF!</v>
      </c>
      <c r="HG453" t="e">
        <f>AND(#REF!,"AAAAAF98ttY=")</f>
        <v>#REF!</v>
      </c>
      <c r="HH453" t="e">
        <f>AND(#REF!,"AAAAAF98ttc=")</f>
        <v>#REF!</v>
      </c>
      <c r="HI453" t="e">
        <f>AND(#REF!,"AAAAAF98ttg=")</f>
        <v>#REF!</v>
      </c>
      <c r="HJ453" t="e">
        <f>AND(#REF!,"AAAAAF98ttk=")</f>
        <v>#REF!</v>
      </c>
      <c r="HK453" t="e">
        <f>AND(#REF!,"AAAAAF98tto=")</f>
        <v>#REF!</v>
      </c>
      <c r="HL453" t="e">
        <f>AND(#REF!,"AAAAAF98tts=")</f>
        <v>#REF!</v>
      </c>
      <c r="HM453" t="e">
        <f>AND(#REF!,"AAAAAF98ttw=")</f>
        <v>#REF!</v>
      </c>
      <c r="HN453" t="e">
        <f>AND(#REF!,"AAAAAF98tt0=")</f>
        <v>#REF!</v>
      </c>
      <c r="HO453" t="e">
        <f>AND(#REF!,"AAAAAF98tt4=")</f>
        <v>#REF!</v>
      </c>
      <c r="HP453" t="e">
        <f>IF(#REF!,"AAAAAF98tt8=",0)</f>
        <v>#REF!</v>
      </c>
      <c r="HQ453" t="e">
        <f>AND(#REF!,"AAAAAF98tuA=")</f>
        <v>#REF!</v>
      </c>
      <c r="HR453" t="e">
        <f>AND(#REF!,"AAAAAF98tuE=")</f>
        <v>#REF!</v>
      </c>
      <c r="HS453" t="e">
        <f>AND(#REF!,"AAAAAF98tuI=")</f>
        <v>#REF!</v>
      </c>
      <c r="HT453" t="e">
        <f>AND(#REF!,"AAAAAF98tuM=")</f>
        <v>#REF!</v>
      </c>
      <c r="HU453" t="e">
        <f>AND(#REF!,"AAAAAF98tuQ=")</f>
        <v>#REF!</v>
      </c>
      <c r="HV453" t="e">
        <f>AND(#REF!,"AAAAAF98tuU=")</f>
        <v>#REF!</v>
      </c>
      <c r="HW453" t="e">
        <f>AND(#REF!,"AAAAAF98tuY=")</f>
        <v>#REF!</v>
      </c>
      <c r="HX453" t="e">
        <f>AND(#REF!,"AAAAAF98tuc=")</f>
        <v>#REF!</v>
      </c>
      <c r="HY453" t="e">
        <f>AND(#REF!,"AAAAAF98tug=")</f>
        <v>#REF!</v>
      </c>
      <c r="HZ453" t="e">
        <f>AND(#REF!,"AAAAAF98tuk=")</f>
        <v>#REF!</v>
      </c>
      <c r="IA453" t="e">
        <f>AND(#REF!,"AAAAAF98tuo=")</f>
        <v>#REF!</v>
      </c>
      <c r="IB453" t="e">
        <f>AND(#REF!,"AAAAAF98tus=")</f>
        <v>#REF!</v>
      </c>
      <c r="IC453" t="e">
        <f>AND(#REF!,"AAAAAF98tuw=")</f>
        <v>#REF!</v>
      </c>
      <c r="ID453" t="e">
        <f>AND(#REF!,"AAAAAF98tu0=")</f>
        <v>#REF!</v>
      </c>
      <c r="IE453" t="e">
        <f>AND(#REF!,"AAAAAF98tu4=")</f>
        <v>#REF!</v>
      </c>
      <c r="IF453" t="e">
        <f>AND(#REF!,"AAAAAF98tu8=")</f>
        <v>#REF!</v>
      </c>
      <c r="IG453" t="e">
        <f>AND(#REF!,"AAAAAF98tvA=")</f>
        <v>#REF!</v>
      </c>
      <c r="IH453" t="e">
        <f>AND(#REF!,"AAAAAF98tvE=")</f>
        <v>#REF!</v>
      </c>
      <c r="II453" t="e">
        <f>AND(#REF!,"AAAAAF98tvI=")</f>
        <v>#REF!</v>
      </c>
      <c r="IJ453" t="e">
        <f>AND(#REF!,"AAAAAF98tvM=")</f>
        <v>#REF!</v>
      </c>
      <c r="IK453" t="e">
        <f>AND(#REF!,"AAAAAF98tvQ=")</f>
        <v>#REF!</v>
      </c>
      <c r="IL453" t="e">
        <f>AND(#REF!,"AAAAAF98tvU=")</f>
        <v>#REF!</v>
      </c>
      <c r="IM453" t="e">
        <f>AND(#REF!,"AAAAAF98tvY=")</f>
        <v>#REF!</v>
      </c>
      <c r="IN453" t="e">
        <f>AND(#REF!,"AAAAAF98tvc=")</f>
        <v>#REF!</v>
      </c>
      <c r="IO453" t="e">
        <f>IF(#REF!,"AAAAAF98tvg=",0)</f>
        <v>#REF!</v>
      </c>
      <c r="IP453" t="e">
        <f>AND(#REF!,"AAAAAF98tvk=")</f>
        <v>#REF!</v>
      </c>
      <c r="IQ453" t="e">
        <f>AND(#REF!,"AAAAAF98tvo=")</f>
        <v>#REF!</v>
      </c>
      <c r="IR453" t="e">
        <f>AND(#REF!,"AAAAAF98tvs=")</f>
        <v>#REF!</v>
      </c>
      <c r="IS453" t="e">
        <f>AND(#REF!,"AAAAAF98tvw=")</f>
        <v>#REF!</v>
      </c>
      <c r="IT453" t="e">
        <f>AND(#REF!,"AAAAAF98tv0=")</f>
        <v>#REF!</v>
      </c>
      <c r="IU453" t="e">
        <f>AND(#REF!,"AAAAAF98tv4=")</f>
        <v>#REF!</v>
      </c>
      <c r="IV453" t="e">
        <f>AND(#REF!,"AAAAAF98tv8=")</f>
        <v>#REF!</v>
      </c>
    </row>
    <row r="454" spans="1:256">
      <c r="A454" t="e">
        <f>AND(#REF!,"AAAAAH7/MwA=")</f>
        <v>#REF!</v>
      </c>
      <c r="B454" t="e">
        <f>AND(#REF!,"AAAAAH7/MwE=")</f>
        <v>#REF!</v>
      </c>
      <c r="C454" t="e">
        <f>AND(#REF!,"AAAAAH7/MwI=")</f>
        <v>#REF!</v>
      </c>
      <c r="D454" t="e">
        <f>AND(#REF!,"AAAAAH7/MwM=")</f>
        <v>#REF!</v>
      </c>
      <c r="E454" t="e">
        <f>AND(#REF!,"AAAAAH7/MwQ=")</f>
        <v>#REF!</v>
      </c>
      <c r="F454" t="e">
        <f>AND(#REF!,"AAAAAH7/MwU=")</f>
        <v>#REF!</v>
      </c>
      <c r="G454" t="e">
        <f>AND(#REF!,"AAAAAH7/MwY=")</f>
        <v>#REF!</v>
      </c>
      <c r="H454" t="e">
        <f>AND(#REF!,"AAAAAH7/Mwc=")</f>
        <v>#REF!</v>
      </c>
      <c r="I454" t="e">
        <f>AND(#REF!,"AAAAAH7/Mwg=")</f>
        <v>#REF!</v>
      </c>
      <c r="J454" t="e">
        <f>AND(#REF!,"AAAAAH7/Mwk=")</f>
        <v>#REF!</v>
      </c>
      <c r="K454" t="e">
        <f>AND(#REF!,"AAAAAH7/Mwo=")</f>
        <v>#REF!</v>
      </c>
      <c r="L454" t="e">
        <f>AND(#REF!,"AAAAAH7/Mws=")</f>
        <v>#REF!</v>
      </c>
      <c r="M454" t="e">
        <f>AND(#REF!,"AAAAAH7/Mww=")</f>
        <v>#REF!</v>
      </c>
      <c r="N454" t="e">
        <f>AND(#REF!,"AAAAAH7/Mw0=")</f>
        <v>#REF!</v>
      </c>
      <c r="O454" t="e">
        <f>AND(#REF!,"AAAAAH7/Mw4=")</f>
        <v>#REF!</v>
      </c>
      <c r="P454" t="e">
        <f>AND(#REF!,"AAAAAH7/Mw8=")</f>
        <v>#REF!</v>
      </c>
      <c r="Q454" t="e">
        <f>AND(#REF!,"AAAAAH7/MxA=")</f>
        <v>#REF!</v>
      </c>
      <c r="R454" t="e">
        <f>IF(#REF!,"AAAAAH7/MxE=",0)</f>
        <v>#REF!</v>
      </c>
      <c r="S454" t="e">
        <f>AND(#REF!,"AAAAAH7/MxI=")</f>
        <v>#REF!</v>
      </c>
      <c r="T454" t="e">
        <f>AND(#REF!,"AAAAAH7/MxM=")</f>
        <v>#REF!</v>
      </c>
      <c r="U454" t="e">
        <f>AND(#REF!,"AAAAAH7/MxQ=")</f>
        <v>#REF!</v>
      </c>
      <c r="V454" t="e">
        <f>AND(#REF!,"AAAAAH7/MxU=")</f>
        <v>#REF!</v>
      </c>
      <c r="W454" t="e">
        <f>AND(#REF!,"AAAAAH7/MxY=")</f>
        <v>#REF!</v>
      </c>
      <c r="X454" t="e">
        <f>AND(#REF!,"AAAAAH7/Mxc=")</f>
        <v>#REF!</v>
      </c>
      <c r="Y454" t="e">
        <f>AND(#REF!,"AAAAAH7/Mxg=")</f>
        <v>#REF!</v>
      </c>
      <c r="Z454" t="e">
        <f>AND(#REF!,"AAAAAH7/Mxk=")</f>
        <v>#REF!</v>
      </c>
      <c r="AA454" t="e">
        <f>AND(#REF!,"AAAAAH7/Mxo=")</f>
        <v>#REF!</v>
      </c>
      <c r="AB454" t="e">
        <f>AND(#REF!,"AAAAAH7/Mxs=")</f>
        <v>#REF!</v>
      </c>
      <c r="AC454" t="e">
        <f>AND(#REF!,"AAAAAH7/Mxw=")</f>
        <v>#REF!</v>
      </c>
      <c r="AD454" t="e">
        <f>AND(#REF!,"AAAAAH7/Mx0=")</f>
        <v>#REF!</v>
      </c>
      <c r="AE454" t="e">
        <f>AND(#REF!,"AAAAAH7/Mx4=")</f>
        <v>#REF!</v>
      </c>
      <c r="AF454" t="e">
        <f>AND(#REF!,"AAAAAH7/Mx8=")</f>
        <v>#REF!</v>
      </c>
      <c r="AG454" t="e">
        <f>AND(#REF!,"AAAAAH7/MyA=")</f>
        <v>#REF!</v>
      </c>
      <c r="AH454" t="e">
        <f>AND(#REF!,"AAAAAH7/MyE=")</f>
        <v>#REF!</v>
      </c>
      <c r="AI454" t="e">
        <f>AND(#REF!,"AAAAAH7/MyI=")</f>
        <v>#REF!</v>
      </c>
      <c r="AJ454" t="e">
        <f>AND(#REF!,"AAAAAH7/MyM=")</f>
        <v>#REF!</v>
      </c>
      <c r="AK454" t="e">
        <f>AND(#REF!,"AAAAAH7/MyQ=")</f>
        <v>#REF!</v>
      </c>
      <c r="AL454" t="e">
        <f>AND(#REF!,"AAAAAH7/MyU=")</f>
        <v>#REF!</v>
      </c>
      <c r="AM454" t="e">
        <f>AND(#REF!,"AAAAAH7/MyY=")</f>
        <v>#REF!</v>
      </c>
      <c r="AN454" t="e">
        <f>AND(#REF!,"AAAAAH7/Myc=")</f>
        <v>#REF!</v>
      </c>
      <c r="AO454" t="e">
        <f>AND(#REF!,"AAAAAH7/Myg=")</f>
        <v>#REF!</v>
      </c>
      <c r="AP454" t="e">
        <f>AND(#REF!,"AAAAAH7/Myk=")</f>
        <v>#REF!</v>
      </c>
      <c r="AQ454" t="e">
        <f>IF(#REF!,"AAAAAH7/Myo=",0)</f>
        <v>#REF!</v>
      </c>
      <c r="AR454" t="e">
        <f>AND(#REF!,"AAAAAH7/Mys=")</f>
        <v>#REF!</v>
      </c>
      <c r="AS454" t="e">
        <f>AND(#REF!,"AAAAAH7/Myw=")</f>
        <v>#REF!</v>
      </c>
      <c r="AT454" t="e">
        <f>AND(#REF!,"AAAAAH7/My0=")</f>
        <v>#REF!</v>
      </c>
      <c r="AU454" t="e">
        <f>AND(#REF!,"AAAAAH7/My4=")</f>
        <v>#REF!</v>
      </c>
      <c r="AV454" t="e">
        <f>AND(#REF!,"AAAAAH7/My8=")</f>
        <v>#REF!</v>
      </c>
      <c r="AW454" t="e">
        <f>AND(#REF!,"AAAAAH7/MzA=")</f>
        <v>#REF!</v>
      </c>
      <c r="AX454" t="e">
        <f>AND(#REF!,"AAAAAH7/MzE=")</f>
        <v>#REF!</v>
      </c>
      <c r="AY454" t="e">
        <f>AND(#REF!,"AAAAAH7/MzI=")</f>
        <v>#REF!</v>
      </c>
      <c r="AZ454" t="e">
        <f>AND(#REF!,"AAAAAH7/MzM=")</f>
        <v>#REF!</v>
      </c>
      <c r="BA454" t="e">
        <f>AND(#REF!,"AAAAAH7/MzQ=")</f>
        <v>#REF!</v>
      </c>
      <c r="BB454" t="e">
        <f>AND(#REF!,"AAAAAH7/MzU=")</f>
        <v>#REF!</v>
      </c>
      <c r="BC454" t="e">
        <f>AND(#REF!,"AAAAAH7/MzY=")</f>
        <v>#REF!</v>
      </c>
      <c r="BD454" t="e">
        <f>AND(#REF!,"AAAAAH7/Mzc=")</f>
        <v>#REF!</v>
      </c>
      <c r="BE454" t="e">
        <f>AND(#REF!,"AAAAAH7/Mzg=")</f>
        <v>#REF!</v>
      </c>
      <c r="BF454" t="e">
        <f>AND(#REF!,"AAAAAH7/Mzk=")</f>
        <v>#REF!</v>
      </c>
      <c r="BG454" t="e">
        <f>AND(#REF!,"AAAAAH7/Mzo=")</f>
        <v>#REF!</v>
      </c>
      <c r="BH454" t="e">
        <f>AND(#REF!,"AAAAAH7/Mzs=")</f>
        <v>#REF!</v>
      </c>
      <c r="BI454" t="e">
        <f>AND(#REF!,"AAAAAH7/Mzw=")</f>
        <v>#REF!</v>
      </c>
      <c r="BJ454" t="e">
        <f>AND(#REF!,"AAAAAH7/Mz0=")</f>
        <v>#REF!</v>
      </c>
      <c r="BK454" t="e">
        <f>AND(#REF!,"AAAAAH7/Mz4=")</f>
        <v>#REF!</v>
      </c>
      <c r="BL454" t="e">
        <f>AND(#REF!,"AAAAAH7/Mz8=")</f>
        <v>#REF!</v>
      </c>
      <c r="BM454" t="e">
        <f>AND(#REF!,"AAAAAH7/M0A=")</f>
        <v>#REF!</v>
      </c>
      <c r="BN454" t="e">
        <f>AND(#REF!,"AAAAAH7/M0E=")</f>
        <v>#REF!</v>
      </c>
      <c r="BO454" t="e">
        <f>AND(#REF!,"AAAAAH7/M0I=")</f>
        <v>#REF!</v>
      </c>
      <c r="BP454" t="e">
        <f>IF(#REF!,"AAAAAH7/M0M=",0)</f>
        <v>#REF!</v>
      </c>
      <c r="BQ454" t="e">
        <f>AND(#REF!,"AAAAAH7/M0Q=")</f>
        <v>#REF!</v>
      </c>
      <c r="BR454" t="e">
        <f>AND(#REF!,"AAAAAH7/M0U=")</f>
        <v>#REF!</v>
      </c>
      <c r="BS454" t="e">
        <f>AND(#REF!,"AAAAAH7/M0Y=")</f>
        <v>#REF!</v>
      </c>
      <c r="BT454" t="e">
        <f>AND(#REF!,"AAAAAH7/M0c=")</f>
        <v>#REF!</v>
      </c>
      <c r="BU454" t="e">
        <f>AND(#REF!,"AAAAAH7/M0g=")</f>
        <v>#REF!</v>
      </c>
      <c r="BV454" t="e">
        <f>AND(#REF!,"AAAAAH7/M0k=")</f>
        <v>#REF!</v>
      </c>
      <c r="BW454" t="e">
        <f>AND(#REF!,"AAAAAH7/M0o=")</f>
        <v>#REF!</v>
      </c>
      <c r="BX454" t="e">
        <f>AND(#REF!,"AAAAAH7/M0s=")</f>
        <v>#REF!</v>
      </c>
      <c r="BY454" t="e">
        <f>AND(#REF!,"AAAAAH7/M0w=")</f>
        <v>#REF!</v>
      </c>
      <c r="BZ454" t="e">
        <f>AND(#REF!,"AAAAAH7/M00=")</f>
        <v>#REF!</v>
      </c>
      <c r="CA454" t="e">
        <f>AND(#REF!,"AAAAAH7/M04=")</f>
        <v>#REF!</v>
      </c>
      <c r="CB454" t="e">
        <f>AND(#REF!,"AAAAAH7/M08=")</f>
        <v>#REF!</v>
      </c>
      <c r="CC454" t="e">
        <f>AND(#REF!,"AAAAAH7/M1A=")</f>
        <v>#REF!</v>
      </c>
      <c r="CD454" t="e">
        <f>AND(#REF!,"AAAAAH7/M1E=")</f>
        <v>#REF!</v>
      </c>
      <c r="CE454" t="e">
        <f>AND(#REF!,"AAAAAH7/M1I=")</f>
        <v>#REF!</v>
      </c>
      <c r="CF454" t="e">
        <f>AND(#REF!,"AAAAAH7/M1M=")</f>
        <v>#REF!</v>
      </c>
      <c r="CG454" t="e">
        <f>AND(#REF!,"AAAAAH7/M1Q=")</f>
        <v>#REF!</v>
      </c>
      <c r="CH454" t="e">
        <f>AND(#REF!,"AAAAAH7/M1U=")</f>
        <v>#REF!</v>
      </c>
      <c r="CI454" t="e">
        <f>AND(#REF!,"AAAAAH7/M1Y=")</f>
        <v>#REF!</v>
      </c>
      <c r="CJ454" t="e">
        <f>AND(#REF!,"AAAAAH7/M1c=")</f>
        <v>#REF!</v>
      </c>
      <c r="CK454" t="e">
        <f>AND(#REF!,"AAAAAH7/M1g=")</f>
        <v>#REF!</v>
      </c>
      <c r="CL454" t="e">
        <f>AND(#REF!,"AAAAAH7/M1k=")</f>
        <v>#REF!</v>
      </c>
      <c r="CM454" t="e">
        <f>AND(#REF!,"AAAAAH7/M1o=")</f>
        <v>#REF!</v>
      </c>
      <c r="CN454" t="e">
        <f>AND(#REF!,"AAAAAH7/M1s=")</f>
        <v>#REF!</v>
      </c>
      <c r="CO454" t="e">
        <f>IF(#REF!,"AAAAAH7/M1w=",0)</f>
        <v>#REF!</v>
      </c>
      <c r="CP454" t="e">
        <f>AND(#REF!,"AAAAAH7/M10=")</f>
        <v>#REF!</v>
      </c>
      <c r="CQ454" t="e">
        <f>AND(#REF!,"AAAAAH7/M14=")</f>
        <v>#REF!</v>
      </c>
      <c r="CR454" t="e">
        <f>AND(#REF!,"AAAAAH7/M18=")</f>
        <v>#REF!</v>
      </c>
      <c r="CS454" t="e">
        <f>AND(#REF!,"AAAAAH7/M2A=")</f>
        <v>#REF!</v>
      </c>
      <c r="CT454" t="e">
        <f>AND(#REF!,"AAAAAH7/M2E=")</f>
        <v>#REF!</v>
      </c>
      <c r="CU454" t="e">
        <f>AND(#REF!,"AAAAAH7/M2I=")</f>
        <v>#REF!</v>
      </c>
      <c r="CV454" t="e">
        <f>AND(#REF!,"AAAAAH7/M2M=")</f>
        <v>#REF!</v>
      </c>
      <c r="CW454" t="e">
        <f>AND(#REF!,"AAAAAH7/M2Q=")</f>
        <v>#REF!</v>
      </c>
      <c r="CX454" t="e">
        <f>AND(#REF!,"AAAAAH7/M2U=")</f>
        <v>#REF!</v>
      </c>
      <c r="CY454" t="e">
        <f>AND(#REF!,"AAAAAH7/M2Y=")</f>
        <v>#REF!</v>
      </c>
      <c r="CZ454" t="e">
        <f>AND(#REF!,"AAAAAH7/M2c=")</f>
        <v>#REF!</v>
      </c>
      <c r="DA454" t="e">
        <f>AND(#REF!,"AAAAAH7/M2g=")</f>
        <v>#REF!</v>
      </c>
      <c r="DB454" t="e">
        <f>AND(#REF!,"AAAAAH7/M2k=")</f>
        <v>#REF!</v>
      </c>
      <c r="DC454" t="e">
        <f>AND(#REF!,"AAAAAH7/M2o=")</f>
        <v>#REF!</v>
      </c>
      <c r="DD454" t="e">
        <f>AND(#REF!,"AAAAAH7/M2s=")</f>
        <v>#REF!</v>
      </c>
      <c r="DE454" t="e">
        <f>AND(#REF!,"AAAAAH7/M2w=")</f>
        <v>#REF!</v>
      </c>
      <c r="DF454" t="e">
        <f>AND(#REF!,"AAAAAH7/M20=")</f>
        <v>#REF!</v>
      </c>
      <c r="DG454" t="e">
        <f>AND(#REF!,"AAAAAH7/M24=")</f>
        <v>#REF!</v>
      </c>
      <c r="DH454" t="e">
        <f>AND(#REF!,"AAAAAH7/M28=")</f>
        <v>#REF!</v>
      </c>
      <c r="DI454" t="e">
        <f>AND(#REF!,"AAAAAH7/M3A=")</f>
        <v>#REF!</v>
      </c>
      <c r="DJ454" t="e">
        <f>AND(#REF!,"AAAAAH7/M3E=")</f>
        <v>#REF!</v>
      </c>
      <c r="DK454" t="e">
        <f>AND(#REF!,"AAAAAH7/M3I=")</f>
        <v>#REF!</v>
      </c>
      <c r="DL454" t="e">
        <f>AND(#REF!,"AAAAAH7/M3M=")</f>
        <v>#REF!</v>
      </c>
      <c r="DM454" t="e">
        <f>AND(#REF!,"AAAAAH7/M3Q=")</f>
        <v>#REF!</v>
      </c>
      <c r="DN454" t="e">
        <f>IF(#REF!,"AAAAAH7/M3U=",0)</f>
        <v>#REF!</v>
      </c>
      <c r="DO454" t="e">
        <f>AND(#REF!,"AAAAAH7/M3Y=")</f>
        <v>#REF!</v>
      </c>
      <c r="DP454" t="e">
        <f>AND(#REF!,"AAAAAH7/M3c=")</f>
        <v>#REF!</v>
      </c>
      <c r="DQ454" t="e">
        <f>AND(#REF!,"AAAAAH7/M3g=")</f>
        <v>#REF!</v>
      </c>
      <c r="DR454" t="e">
        <f>AND(#REF!,"AAAAAH7/M3k=")</f>
        <v>#REF!</v>
      </c>
      <c r="DS454" t="e">
        <f>AND(#REF!,"AAAAAH7/M3o=")</f>
        <v>#REF!</v>
      </c>
      <c r="DT454" t="e">
        <f>AND(#REF!,"AAAAAH7/M3s=")</f>
        <v>#REF!</v>
      </c>
      <c r="DU454" t="e">
        <f>AND(#REF!,"AAAAAH7/M3w=")</f>
        <v>#REF!</v>
      </c>
      <c r="DV454" t="e">
        <f>AND(#REF!,"AAAAAH7/M30=")</f>
        <v>#REF!</v>
      </c>
      <c r="DW454" t="e">
        <f>AND(#REF!,"AAAAAH7/M34=")</f>
        <v>#REF!</v>
      </c>
      <c r="DX454" t="e">
        <f>AND(#REF!,"AAAAAH7/M38=")</f>
        <v>#REF!</v>
      </c>
      <c r="DY454" t="e">
        <f>AND(#REF!,"AAAAAH7/M4A=")</f>
        <v>#REF!</v>
      </c>
      <c r="DZ454" t="e">
        <f>AND(#REF!,"AAAAAH7/M4E=")</f>
        <v>#REF!</v>
      </c>
      <c r="EA454" t="e">
        <f>AND(#REF!,"AAAAAH7/M4I=")</f>
        <v>#REF!</v>
      </c>
      <c r="EB454" t="e">
        <f>AND(#REF!,"AAAAAH7/M4M=")</f>
        <v>#REF!</v>
      </c>
      <c r="EC454" t="e">
        <f>AND(#REF!,"AAAAAH7/M4Q=")</f>
        <v>#REF!</v>
      </c>
      <c r="ED454" t="e">
        <f>AND(#REF!,"AAAAAH7/M4U=")</f>
        <v>#REF!</v>
      </c>
      <c r="EE454" t="e">
        <f>AND(#REF!,"AAAAAH7/M4Y=")</f>
        <v>#REF!</v>
      </c>
      <c r="EF454" t="e">
        <f>AND(#REF!,"AAAAAH7/M4c=")</f>
        <v>#REF!</v>
      </c>
      <c r="EG454" t="e">
        <f>AND(#REF!,"AAAAAH7/M4g=")</f>
        <v>#REF!</v>
      </c>
      <c r="EH454" t="e">
        <f>AND(#REF!,"AAAAAH7/M4k=")</f>
        <v>#REF!</v>
      </c>
      <c r="EI454" t="e">
        <f>AND(#REF!,"AAAAAH7/M4o=")</f>
        <v>#REF!</v>
      </c>
      <c r="EJ454" t="e">
        <f>AND(#REF!,"AAAAAH7/M4s=")</f>
        <v>#REF!</v>
      </c>
      <c r="EK454" t="e">
        <f>AND(#REF!,"AAAAAH7/M4w=")</f>
        <v>#REF!</v>
      </c>
      <c r="EL454" t="e">
        <f>AND(#REF!,"AAAAAH7/M40=")</f>
        <v>#REF!</v>
      </c>
      <c r="EM454" t="e">
        <f>IF(#REF!,"AAAAAH7/M44=",0)</f>
        <v>#REF!</v>
      </c>
      <c r="EN454" t="e">
        <f>AND(#REF!,"AAAAAH7/M48=")</f>
        <v>#REF!</v>
      </c>
      <c r="EO454" t="e">
        <f>AND(#REF!,"AAAAAH7/M5A=")</f>
        <v>#REF!</v>
      </c>
      <c r="EP454" t="e">
        <f>AND(#REF!,"AAAAAH7/M5E=")</f>
        <v>#REF!</v>
      </c>
      <c r="EQ454" t="e">
        <f>AND(#REF!,"AAAAAH7/M5I=")</f>
        <v>#REF!</v>
      </c>
      <c r="ER454" t="e">
        <f>AND(#REF!,"AAAAAH7/M5M=")</f>
        <v>#REF!</v>
      </c>
      <c r="ES454" t="e">
        <f>AND(#REF!,"AAAAAH7/M5Q=")</f>
        <v>#REF!</v>
      </c>
      <c r="ET454" t="e">
        <f>AND(#REF!,"AAAAAH7/M5U=")</f>
        <v>#REF!</v>
      </c>
      <c r="EU454" t="e">
        <f>AND(#REF!,"AAAAAH7/M5Y=")</f>
        <v>#REF!</v>
      </c>
      <c r="EV454" t="e">
        <f>AND(#REF!,"AAAAAH7/M5c=")</f>
        <v>#REF!</v>
      </c>
      <c r="EW454" t="e">
        <f>AND(#REF!,"AAAAAH7/M5g=")</f>
        <v>#REF!</v>
      </c>
      <c r="EX454" t="e">
        <f>AND(#REF!,"AAAAAH7/M5k=")</f>
        <v>#REF!</v>
      </c>
      <c r="EY454" t="e">
        <f>AND(#REF!,"AAAAAH7/M5o=")</f>
        <v>#REF!</v>
      </c>
      <c r="EZ454" t="e">
        <f>AND(#REF!,"AAAAAH7/M5s=")</f>
        <v>#REF!</v>
      </c>
      <c r="FA454" t="e">
        <f>AND(#REF!,"AAAAAH7/M5w=")</f>
        <v>#REF!</v>
      </c>
      <c r="FB454" t="e">
        <f>AND(#REF!,"AAAAAH7/M50=")</f>
        <v>#REF!</v>
      </c>
      <c r="FC454" t="e">
        <f>AND(#REF!,"AAAAAH7/M54=")</f>
        <v>#REF!</v>
      </c>
      <c r="FD454" t="e">
        <f>AND(#REF!,"AAAAAH7/M58=")</f>
        <v>#REF!</v>
      </c>
      <c r="FE454" t="e">
        <f>AND(#REF!,"AAAAAH7/M6A=")</f>
        <v>#REF!</v>
      </c>
      <c r="FF454" t="e">
        <f>AND(#REF!,"AAAAAH7/M6E=")</f>
        <v>#REF!</v>
      </c>
      <c r="FG454" t="e">
        <f>AND(#REF!,"AAAAAH7/M6I=")</f>
        <v>#REF!</v>
      </c>
      <c r="FH454" t="e">
        <f>AND(#REF!,"AAAAAH7/M6M=")</f>
        <v>#REF!</v>
      </c>
      <c r="FI454" t="e">
        <f>AND(#REF!,"AAAAAH7/M6Q=")</f>
        <v>#REF!</v>
      </c>
      <c r="FJ454" t="e">
        <f>AND(#REF!,"AAAAAH7/M6U=")</f>
        <v>#REF!</v>
      </c>
      <c r="FK454" t="e">
        <f>AND(#REF!,"AAAAAH7/M6Y=")</f>
        <v>#REF!</v>
      </c>
      <c r="FL454" t="e">
        <f>IF(#REF!,"AAAAAH7/M6c=",0)</f>
        <v>#REF!</v>
      </c>
      <c r="FM454" t="e">
        <f>AND(#REF!,"AAAAAH7/M6g=")</f>
        <v>#REF!</v>
      </c>
      <c r="FN454" t="e">
        <f>AND(#REF!,"AAAAAH7/M6k=")</f>
        <v>#REF!</v>
      </c>
      <c r="FO454" t="e">
        <f>AND(#REF!,"AAAAAH7/M6o=")</f>
        <v>#REF!</v>
      </c>
      <c r="FP454" t="e">
        <f>AND(#REF!,"AAAAAH7/M6s=")</f>
        <v>#REF!</v>
      </c>
      <c r="FQ454" t="e">
        <f>AND(#REF!,"AAAAAH7/M6w=")</f>
        <v>#REF!</v>
      </c>
      <c r="FR454" t="e">
        <f>AND(#REF!,"AAAAAH7/M60=")</f>
        <v>#REF!</v>
      </c>
      <c r="FS454" t="e">
        <f>AND(#REF!,"AAAAAH7/M64=")</f>
        <v>#REF!</v>
      </c>
      <c r="FT454" t="e">
        <f>AND(#REF!,"AAAAAH7/M68=")</f>
        <v>#REF!</v>
      </c>
      <c r="FU454" t="e">
        <f>AND(#REF!,"AAAAAH7/M7A=")</f>
        <v>#REF!</v>
      </c>
      <c r="FV454" t="e">
        <f>AND(#REF!,"AAAAAH7/M7E=")</f>
        <v>#REF!</v>
      </c>
      <c r="FW454" t="e">
        <f>AND(#REF!,"AAAAAH7/M7I=")</f>
        <v>#REF!</v>
      </c>
      <c r="FX454" t="e">
        <f>AND(#REF!,"AAAAAH7/M7M=")</f>
        <v>#REF!</v>
      </c>
      <c r="FY454" t="e">
        <f>AND(#REF!,"AAAAAH7/M7Q=")</f>
        <v>#REF!</v>
      </c>
      <c r="FZ454" t="e">
        <f>AND(#REF!,"AAAAAH7/M7U=")</f>
        <v>#REF!</v>
      </c>
      <c r="GA454" t="e">
        <f>AND(#REF!,"AAAAAH7/M7Y=")</f>
        <v>#REF!</v>
      </c>
      <c r="GB454" t="e">
        <f>AND(#REF!,"AAAAAH7/M7c=")</f>
        <v>#REF!</v>
      </c>
      <c r="GC454" t="e">
        <f>AND(#REF!,"AAAAAH7/M7g=")</f>
        <v>#REF!</v>
      </c>
      <c r="GD454" t="e">
        <f>AND(#REF!,"AAAAAH7/M7k=")</f>
        <v>#REF!</v>
      </c>
      <c r="GE454" t="e">
        <f>AND(#REF!,"AAAAAH7/M7o=")</f>
        <v>#REF!</v>
      </c>
      <c r="GF454" t="e">
        <f>AND(#REF!,"AAAAAH7/M7s=")</f>
        <v>#REF!</v>
      </c>
      <c r="GG454" t="e">
        <f>AND(#REF!,"AAAAAH7/M7w=")</f>
        <v>#REF!</v>
      </c>
      <c r="GH454" t="e">
        <f>AND(#REF!,"AAAAAH7/M70=")</f>
        <v>#REF!</v>
      </c>
      <c r="GI454" t="e">
        <f>AND(#REF!,"AAAAAH7/M74=")</f>
        <v>#REF!</v>
      </c>
      <c r="GJ454" t="e">
        <f>AND(#REF!,"AAAAAH7/M78=")</f>
        <v>#REF!</v>
      </c>
      <c r="GK454" t="e">
        <f>IF(#REF!,"AAAAAH7/M8A=",0)</f>
        <v>#REF!</v>
      </c>
      <c r="GL454" t="e">
        <f>AND(#REF!,"AAAAAH7/M8E=")</f>
        <v>#REF!</v>
      </c>
      <c r="GM454" t="e">
        <f>AND(#REF!,"AAAAAH7/M8I=")</f>
        <v>#REF!</v>
      </c>
      <c r="GN454" t="e">
        <f>AND(#REF!,"AAAAAH7/M8M=")</f>
        <v>#REF!</v>
      </c>
      <c r="GO454" t="e">
        <f>AND(#REF!,"AAAAAH7/M8Q=")</f>
        <v>#REF!</v>
      </c>
      <c r="GP454" t="e">
        <f>AND(#REF!,"AAAAAH7/M8U=")</f>
        <v>#REF!</v>
      </c>
      <c r="GQ454" t="e">
        <f>AND(#REF!,"AAAAAH7/M8Y=")</f>
        <v>#REF!</v>
      </c>
      <c r="GR454" t="e">
        <f>AND(#REF!,"AAAAAH7/M8c=")</f>
        <v>#REF!</v>
      </c>
      <c r="GS454" t="e">
        <f>AND(#REF!,"AAAAAH7/M8g=")</f>
        <v>#REF!</v>
      </c>
      <c r="GT454" t="e">
        <f>AND(#REF!,"AAAAAH7/M8k=")</f>
        <v>#REF!</v>
      </c>
      <c r="GU454" t="e">
        <f>AND(#REF!,"AAAAAH7/M8o=")</f>
        <v>#REF!</v>
      </c>
      <c r="GV454" t="e">
        <f>AND(#REF!,"AAAAAH7/M8s=")</f>
        <v>#REF!</v>
      </c>
      <c r="GW454" t="e">
        <f>AND(#REF!,"AAAAAH7/M8w=")</f>
        <v>#REF!</v>
      </c>
      <c r="GX454" t="e">
        <f>AND(#REF!,"AAAAAH7/M80=")</f>
        <v>#REF!</v>
      </c>
      <c r="GY454" t="e">
        <f>AND(#REF!,"AAAAAH7/M84=")</f>
        <v>#REF!</v>
      </c>
      <c r="GZ454" t="e">
        <f>AND(#REF!,"AAAAAH7/M88=")</f>
        <v>#REF!</v>
      </c>
      <c r="HA454" t="e">
        <f>AND(#REF!,"AAAAAH7/M9A=")</f>
        <v>#REF!</v>
      </c>
      <c r="HB454" t="e">
        <f>AND(#REF!,"AAAAAH7/M9E=")</f>
        <v>#REF!</v>
      </c>
      <c r="HC454" t="e">
        <f>AND(#REF!,"AAAAAH7/M9I=")</f>
        <v>#REF!</v>
      </c>
      <c r="HD454" t="e">
        <f>AND(#REF!,"AAAAAH7/M9M=")</f>
        <v>#REF!</v>
      </c>
      <c r="HE454" t="e">
        <f>AND(#REF!,"AAAAAH7/M9Q=")</f>
        <v>#REF!</v>
      </c>
      <c r="HF454" t="e">
        <f>AND(#REF!,"AAAAAH7/M9U=")</f>
        <v>#REF!</v>
      </c>
      <c r="HG454" t="e">
        <f>AND(#REF!,"AAAAAH7/M9Y=")</f>
        <v>#REF!</v>
      </c>
      <c r="HH454" t="e">
        <f>AND(#REF!,"AAAAAH7/M9c=")</f>
        <v>#REF!</v>
      </c>
      <c r="HI454" t="e">
        <f>AND(#REF!,"AAAAAH7/M9g=")</f>
        <v>#REF!</v>
      </c>
      <c r="HJ454" t="e">
        <f>IF(#REF!,"AAAAAH7/M9k=",0)</f>
        <v>#REF!</v>
      </c>
      <c r="HK454" t="e">
        <f>AND(#REF!,"AAAAAH7/M9o=")</f>
        <v>#REF!</v>
      </c>
      <c r="HL454" t="e">
        <f>AND(#REF!,"AAAAAH7/M9s=")</f>
        <v>#REF!</v>
      </c>
      <c r="HM454" t="e">
        <f>AND(#REF!,"AAAAAH7/M9w=")</f>
        <v>#REF!</v>
      </c>
      <c r="HN454" t="e">
        <f>AND(#REF!,"AAAAAH7/M90=")</f>
        <v>#REF!</v>
      </c>
      <c r="HO454" t="e">
        <f>AND(#REF!,"AAAAAH7/M94=")</f>
        <v>#REF!</v>
      </c>
      <c r="HP454" t="e">
        <f>AND(#REF!,"AAAAAH7/M98=")</f>
        <v>#REF!</v>
      </c>
      <c r="HQ454" t="e">
        <f>AND(#REF!,"AAAAAH7/M+A=")</f>
        <v>#REF!</v>
      </c>
      <c r="HR454" t="e">
        <f>AND(#REF!,"AAAAAH7/M+E=")</f>
        <v>#REF!</v>
      </c>
      <c r="HS454" t="e">
        <f>AND(#REF!,"AAAAAH7/M+I=")</f>
        <v>#REF!</v>
      </c>
      <c r="HT454" t="e">
        <f>AND(#REF!,"AAAAAH7/M+M=")</f>
        <v>#REF!</v>
      </c>
      <c r="HU454" t="e">
        <f>AND(#REF!,"AAAAAH7/M+Q=")</f>
        <v>#REF!</v>
      </c>
      <c r="HV454" t="e">
        <f>AND(#REF!,"AAAAAH7/M+U=")</f>
        <v>#REF!</v>
      </c>
      <c r="HW454" t="e">
        <f>AND(#REF!,"AAAAAH7/M+Y=")</f>
        <v>#REF!</v>
      </c>
      <c r="HX454" t="e">
        <f>AND(#REF!,"AAAAAH7/M+c=")</f>
        <v>#REF!</v>
      </c>
      <c r="HY454" t="e">
        <f>AND(#REF!,"AAAAAH7/M+g=")</f>
        <v>#REF!</v>
      </c>
      <c r="HZ454" t="e">
        <f>AND(#REF!,"AAAAAH7/M+k=")</f>
        <v>#REF!</v>
      </c>
      <c r="IA454" t="e">
        <f>AND(#REF!,"AAAAAH7/M+o=")</f>
        <v>#REF!</v>
      </c>
      <c r="IB454" t="e">
        <f>AND(#REF!,"AAAAAH7/M+s=")</f>
        <v>#REF!</v>
      </c>
      <c r="IC454" t="e">
        <f>AND(#REF!,"AAAAAH7/M+w=")</f>
        <v>#REF!</v>
      </c>
      <c r="ID454" t="e">
        <f>AND(#REF!,"AAAAAH7/M+0=")</f>
        <v>#REF!</v>
      </c>
      <c r="IE454" t="e">
        <f>AND(#REF!,"AAAAAH7/M+4=")</f>
        <v>#REF!</v>
      </c>
      <c r="IF454" t="e">
        <f>AND(#REF!,"AAAAAH7/M+8=")</f>
        <v>#REF!</v>
      </c>
      <c r="IG454" t="e">
        <f>AND(#REF!,"AAAAAH7/M/A=")</f>
        <v>#REF!</v>
      </c>
      <c r="IH454" t="e">
        <f>AND(#REF!,"AAAAAH7/M/E=")</f>
        <v>#REF!</v>
      </c>
      <c r="II454" t="e">
        <f>IF(#REF!,"AAAAAH7/M/I=",0)</f>
        <v>#REF!</v>
      </c>
      <c r="IJ454" t="e">
        <f>AND(#REF!,"AAAAAH7/M/M=")</f>
        <v>#REF!</v>
      </c>
      <c r="IK454" t="e">
        <f>AND(#REF!,"AAAAAH7/M/Q=")</f>
        <v>#REF!</v>
      </c>
      <c r="IL454" t="e">
        <f>AND(#REF!,"AAAAAH7/M/U=")</f>
        <v>#REF!</v>
      </c>
      <c r="IM454" t="e">
        <f>AND(#REF!,"AAAAAH7/M/Y=")</f>
        <v>#REF!</v>
      </c>
      <c r="IN454" t="e">
        <f>AND(#REF!,"AAAAAH7/M/c=")</f>
        <v>#REF!</v>
      </c>
      <c r="IO454" t="e">
        <f>AND(#REF!,"AAAAAH7/M/g=")</f>
        <v>#REF!</v>
      </c>
      <c r="IP454" t="e">
        <f>AND(#REF!,"AAAAAH7/M/k=")</f>
        <v>#REF!</v>
      </c>
      <c r="IQ454" t="e">
        <f>AND(#REF!,"AAAAAH7/M/o=")</f>
        <v>#REF!</v>
      </c>
      <c r="IR454" t="e">
        <f>AND(#REF!,"AAAAAH7/M/s=")</f>
        <v>#REF!</v>
      </c>
      <c r="IS454" t="e">
        <f>AND(#REF!,"AAAAAH7/M/w=")</f>
        <v>#REF!</v>
      </c>
      <c r="IT454" t="e">
        <f>AND(#REF!,"AAAAAH7/M/0=")</f>
        <v>#REF!</v>
      </c>
      <c r="IU454" t="e">
        <f>AND(#REF!,"AAAAAH7/M/4=")</f>
        <v>#REF!</v>
      </c>
      <c r="IV454" t="e">
        <f>AND(#REF!,"AAAAAH7/M/8=")</f>
        <v>#REF!</v>
      </c>
    </row>
    <row r="455" spans="1:256">
      <c r="A455" t="e">
        <f>AND(#REF!,"AAAAAAX5OwA=")</f>
        <v>#REF!</v>
      </c>
      <c r="B455" t="e">
        <f>AND(#REF!,"AAAAAAX5OwE=")</f>
        <v>#REF!</v>
      </c>
      <c r="C455" t="e">
        <f>AND(#REF!,"AAAAAAX5OwI=")</f>
        <v>#REF!</v>
      </c>
      <c r="D455" t="e">
        <f>AND(#REF!,"AAAAAAX5OwM=")</f>
        <v>#REF!</v>
      </c>
      <c r="E455" t="e">
        <f>AND(#REF!,"AAAAAAX5OwQ=")</f>
        <v>#REF!</v>
      </c>
      <c r="F455" t="e">
        <f>AND(#REF!,"AAAAAAX5OwU=")</f>
        <v>#REF!</v>
      </c>
      <c r="G455" t="e">
        <f>AND(#REF!,"AAAAAAX5OwY=")</f>
        <v>#REF!</v>
      </c>
      <c r="H455" t="e">
        <f>AND(#REF!,"AAAAAAX5Owc=")</f>
        <v>#REF!</v>
      </c>
      <c r="I455" t="e">
        <f>AND(#REF!,"AAAAAAX5Owg=")</f>
        <v>#REF!</v>
      </c>
      <c r="J455" t="e">
        <f>AND(#REF!,"AAAAAAX5Owk=")</f>
        <v>#REF!</v>
      </c>
      <c r="K455" t="e">
        <f>AND(#REF!,"AAAAAAX5Owo=")</f>
        <v>#REF!</v>
      </c>
      <c r="L455" t="e">
        <f>IF(#REF!,"AAAAAAX5Ows=",0)</f>
        <v>#REF!</v>
      </c>
      <c r="M455" t="e">
        <f>AND(#REF!,"AAAAAAX5Oww=")</f>
        <v>#REF!</v>
      </c>
      <c r="N455" t="e">
        <f>AND(#REF!,"AAAAAAX5Ow0=")</f>
        <v>#REF!</v>
      </c>
      <c r="O455" t="e">
        <f>AND(#REF!,"AAAAAAX5Ow4=")</f>
        <v>#REF!</v>
      </c>
      <c r="P455" t="e">
        <f>AND(#REF!,"AAAAAAX5Ow8=")</f>
        <v>#REF!</v>
      </c>
      <c r="Q455" t="e">
        <f>AND(#REF!,"AAAAAAX5OxA=")</f>
        <v>#REF!</v>
      </c>
      <c r="R455" t="e">
        <f>AND(#REF!,"AAAAAAX5OxE=")</f>
        <v>#REF!</v>
      </c>
      <c r="S455" t="e">
        <f>AND(#REF!,"AAAAAAX5OxI=")</f>
        <v>#REF!</v>
      </c>
      <c r="T455" t="e">
        <f>AND(#REF!,"AAAAAAX5OxM=")</f>
        <v>#REF!</v>
      </c>
      <c r="U455" t="e">
        <f>AND(#REF!,"AAAAAAX5OxQ=")</f>
        <v>#REF!</v>
      </c>
      <c r="V455" t="e">
        <f>AND(#REF!,"AAAAAAX5OxU=")</f>
        <v>#REF!</v>
      </c>
      <c r="W455" t="e">
        <f>AND(#REF!,"AAAAAAX5OxY=")</f>
        <v>#REF!</v>
      </c>
      <c r="X455" t="e">
        <f>AND(#REF!,"AAAAAAX5Oxc=")</f>
        <v>#REF!</v>
      </c>
      <c r="Y455" t="e">
        <f>AND(#REF!,"AAAAAAX5Oxg=")</f>
        <v>#REF!</v>
      </c>
      <c r="Z455" t="e">
        <f>AND(#REF!,"AAAAAAX5Oxk=")</f>
        <v>#REF!</v>
      </c>
      <c r="AA455" t="e">
        <f>AND(#REF!,"AAAAAAX5Oxo=")</f>
        <v>#REF!</v>
      </c>
      <c r="AB455" t="e">
        <f>AND(#REF!,"AAAAAAX5Oxs=")</f>
        <v>#REF!</v>
      </c>
      <c r="AC455" t="e">
        <f>AND(#REF!,"AAAAAAX5Oxw=")</f>
        <v>#REF!</v>
      </c>
      <c r="AD455" t="e">
        <f>AND(#REF!,"AAAAAAX5Ox0=")</f>
        <v>#REF!</v>
      </c>
      <c r="AE455" t="e">
        <f>AND(#REF!,"AAAAAAX5Ox4=")</f>
        <v>#REF!</v>
      </c>
      <c r="AF455" t="e">
        <f>AND(#REF!,"AAAAAAX5Ox8=")</f>
        <v>#REF!</v>
      </c>
      <c r="AG455" t="e">
        <f>AND(#REF!,"AAAAAAX5OyA=")</f>
        <v>#REF!</v>
      </c>
      <c r="AH455" t="e">
        <f>AND(#REF!,"AAAAAAX5OyE=")</f>
        <v>#REF!</v>
      </c>
      <c r="AI455" t="e">
        <f>AND(#REF!,"AAAAAAX5OyI=")</f>
        <v>#REF!</v>
      </c>
      <c r="AJ455" t="e">
        <f>AND(#REF!,"AAAAAAX5OyM=")</f>
        <v>#REF!</v>
      </c>
      <c r="AK455" t="e">
        <f>IF(#REF!,"AAAAAAX5OyQ=",0)</f>
        <v>#REF!</v>
      </c>
      <c r="AL455" t="e">
        <f>AND(#REF!,"AAAAAAX5OyU=")</f>
        <v>#REF!</v>
      </c>
      <c r="AM455" t="e">
        <f>AND(#REF!,"AAAAAAX5OyY=")</f>
        <v>#REF!</v>
      </c>
      <c r="AN455" t="e">
        <f>AND(#REF!,"AAAAAAX5Oyc=")</f>
        <v>#REF!</v>
      </c>
      <c r="AO455" t="e">
        <f>AND(#REF!,"AAAAAAX5Oyg=")</f>
        <v>#REF!</v>
      </c>
      <c r="AP455" t="e">
        <f>AND(#REF!,"AAAAAAX5Oyk=")</f>
        <v>#REF!</v>
      </c>
      <c r="AQ455" t="e">
        <f>AND(#REF!,"AAAAAAX5Oyo=")</f>
        <v>#REF!</v>
      </c>
      <c r="AR455" t="e">
        <f>AND(#REF!,"AAAAAAX5Oys=")</f>
        <v>#REF!</v>
      </c>
      <c r="AS455" t="e">
        <f>AND(#REF!,"AAAAAAX5Oyw=")</f>
        <v>#REF!</v>
      </c>
      <c r="AT455" t="e">
        <f>AND(#REF!,"AAAAAAX5Oy0=")</f>
        <v>#REF!</v>
      </c>
      <c r="AU455" t="e">
        <f>AND(#REF!,"AAAAAAX5Oy4=")</f>
        <v>#REF!</v>
      </c>
      <c r="AV455" t="e">
        <f>AND(#REF!,"AAAAAAX5Oy8=")</f>
        <v>#REF!</v>
      </c>
      <c r="AW455" t="e">
        <f>AND(#REF!,"AAAAAAX5OzA=")</f>
        <v>#REF!</v>
      </c>
      <c r="AX455" t="e">
        <f>AND(#REF!,"AAAAAAX5OzE=")</f>
        <v>#REF!</v>
      </c>
      <c r="AY455" t="e">
        <f>AND(#REF!,"AAAAAAX5OzI=")</f>
        <v>#REF!</v>
      </c>
      <c r="AZ455" t="e">
        <f>AND(#REF!,"AAAAAAX5OzM=")</f>
        <v>#REF!</v>
      </c>
      <c r="BA455" t="e">
        <f>AND(#REF!,"AAAAAAX5OzQ=")</f>
        <v>#REF!</v>
      </c>
      <c r="BB455" t="e">
        <f>AND(#REF!,"AAAAAAX5OzU=")</f>
        <v>#REF!</v>
      </c>
      <c r="BC455" t="e">
        <f>AND(#REF!,"AAAAAAX5OzY=")</f>
        <v>#REF!</v>
      </c>
      <c r="BD455" t="e">
        <f>AND(#REF!,"AAAAAAX5Ozc=")</f>
        <v>#REF!</v>
      </c>
      <c r="BE455" t="e">
        <f>AND(#REF!,"AAAAAAX5Ozg=")</f>
        <v>#REF!</v>
      </c>
      <c r="BF455" t="e">
        <f>AND(#REF!,"AAAAAAX5Ozk=")</f>
        <v>#REF!</v>
      </c>
      <c r="BG455" t="e">
        <f>AND(#REF!,"AAAAAAX5Ozo=")</f>
        <v>#REF!</v>
      </c>
      <c r="BH455" t="e">
        <f>AND(#REF!,"AAAAAAX5Ozs=")</f>
        <v>#REF!</v>
      </c>
      <c r="BI455" t="e">
        <f>AND(#REF!,"AAAAAAX5Ozw=")</f>
        <v>#REF!</v>
      </c>
      <c r="BJ455" t="e">
        <f>IF(#REF!,"AAAAAAX5Oz0=",0)</f>
        <v>#REF!</v>
      </c>
      <c r="BK455" t="e">
        <f>AND(#REF!,"AAAAAAX5Oz4=")</f>
        <v>#REF!</v>
      </c>
      <c r="BL455" t="e">
        <f>AND(#REF!,"AAAAAAX5Oz8=")</f>
        <v>#REF!</v>
      </c>
      <c r="BM455" t="e">
        <f>AND(#REF!,"AAAAAAX5O0A=")</f>
        <v>#REF!</v>
      </c>
      <c r="BN455" t="e">
        <f>AND(#REF!,"AAAAAAX5O0E=")</f>
        <v>#REF!</v>
      </c>
      <c r="BO455" t="e">
        <f>AND(#REF!,"AAAAAAX5O0I=")</f>
        <v>#REF!</v>
      </c>
      <c r="BP455" t="e">
        <f>AND(#REF!,"AAAAAAX5O0M=")</f>
        <v>#REF!</v>
      </c>
      <c r="BQ455" t="e">
        <f>AND(#REF!,"AAAAAAX5O0Q=")</f>
        <v>#REF!</v>
      </c>
      <c r="BR455" t="e">
        <f>AND(#REF!,"AAAAAAX5O0U=")</f>
        <v>#REF!</v>
      </c>
      <c r="BS455" t="e">
        <f>AND(#REF!,"AAAAAAX5O0Y=")</f>
        <v>#REF!</v>
      </c>
      <c r="BT455" t="e">
        <f>AND(#REF!,"AAAAAAX5O0c=")</f>
        <v>#REF!</v>
      </c>
      <c r="BU455" t="e">
        <f>AND(#REF!,"AAAAAAX5O0g=")</f>
        <v>#REF!</v>
      </c>
      <c r="BV455" t="e">
        <f>AND(#REF!,"AAAAAAX5O0k=")</f>
        <v>#REF!</v>
      </c>
      <c r="BW455" t="e">
        <f>AND(#REF!,"AAAAAAX5O0o=")</f>
        <v>#REF!</v>
      </c>
      <c r="BX455" t="e">
        <f>AND(#REF!,"AAAAAAX5O0s=")</f>
        <v>#REF!</v>
      </c>
      <c r="BY455" t="e">
        <f>AND(#REF!,"AAAAAAX5O0w=")</f>
        <v>#REF!</v>
      </c>
      <c r="BZ455" t="e">
        <f>AND(#REF!,"AAAAAAX5O00=")</f>
        <v>#REF!</v>
      </c>
      <c r="CA455" t="e">
        <f>AND(#REF!,"AAAAAAX5O04=")</f>
        <v>#REF!</v>
      </c>
      <c r="CB455" t="e">
        <f>AND(#REF!,"AAAAAAX5O08=")</f>
        <v>#REF!</v>
      </c>
      <c r="CC455" t="e">
        <f>AND(#REF!,"AAAAAAX5O1A=")</f>
        <v>#REF!</v>
      </c>
      <c r="CD455" t="e">
        <f>AND(#REF!,"AAAAAAX5O1E=")</f>
        <v>#REF!</v>
      </c>
      <c r="CE455" t="e">
        <f>AND(#REF!,"AAAAAAX5O1I=")</f>
        <v>#REF!</v>
      </c>
      <c r="CF455" t="e">
        <f>AND(#REF!,"AAAAAAX5O1M=")</f>
        <v>#REF!</v>
      </c>
      <c r="CG455" t="e">
        <f>AND(#REF!,"AAAAAAX5O1Q=")</f>
        <v>#REF!</v>
      </c>
      <c r="CH455" t="e">
        <f>AND(#REF!,"AAAAAAX5O1U=")</f>
        <v>#REF!</v>
      </c>
      <c r="CI455" t="e">
        <f>IF(#REF!,"AAAAAAX5O1Y=",0)</f>
        <v>#REF!</v>
      </c>
      <c r="CJ455" t="e">
        <f>AND(#REF!,"AAAAAAX5O1c=")</f>
        <v>#REF!</v>
      </c>
      <c r="CK455" t="e">
        <f>AND(#REF!,"AAAAAAX5O1g=")</f>
        <v>#REF!</v>
      </c>
      <c r="CL455" t="e">
        <f>AND(#REF!,"AAAAAAX5O1k=")</f>
        <v>#REF!</v>
      </c>
      <c r="CM455" t="e">
        <f>AND(#REF!,"AAAAAAX5O1o=")</f>
        <v>#REF!</v>
      </c>
      <c r="CN455" t="e">
        <f>AND(#REF!,"AAAAAAX5O1s=")</f>
        <v>#REF!</v>
      </c>
      <c r="CO455" t="e">
        <f>AND(#REF!,"AAAAAAX5O1w=")</f>
        <v>#REF!</v>
      </c>
      <c r="CP455" t="e">
        <f>AND(#REF!,"AAAAAAX5O10=")</f>
        <v>#REF!</v>
      </c>
      <c r="CQ455" t="e">
        <f>AND(#REF!,"AAAAAAX5O14=")</f>
        <v>#REF!</v>
      </c>
      <c r="CR455" t="e">
        <f>AND(#REF!,"AAAAAAX5O18=")</f>
        <v>#REF!</v>
      </c>
      <c r="CS455" t="e">
        <f>AND(#REF!,"AAAAAAX5O2A=")</f>
        <v>#REF!</v>
      </c>
      <c r="CT455" t="e">
        <f>AND(#REF!,"AAAAAAX5O2E=")</f>
        <v>#REF!</v>
      </c>
      <c r="CU455" t="e">
        <f>AND(#REF!,"AAAAAAX5O2I=")</f>
        <v>#REF!</v>
      </c>
      <c r="CV455" t="e">
        <f>AND(#REF!,"AAAAAAX5O2M=")</f>
        <v>#REF!</v>
      </c>
      <c r="CW455" t="e">
        <f>AND(#REF!,"AAAAAAX5O2Q=")</f>
        <v>#REF!</v>
      </c>
      <c r="CX455" t="e">
        <f>AND(#REF!,"AAAAAAX5O2U=")</f>
        <v>#REF!</v>
      </c>
      <c r="CY455" t="e">
        <f>AND(#REF!,"AAAAAAX5O2Y=")</f>
        <v>#REF!</v>
      </c>
      <c r="CZ455" t="e">
        <f>AND(#REF!,"AAAAAAX5O2c=")</f>
        <v>#REF!</v>
      </c>
      <c r="DA455" t="e">
        <f>AND(#REF!,"AAAAAAX5O2g=")</f>
        <v>#REF!</v>
      </c>
      <c r="DB455" t="e">
        <f>AND(#REF!,"AAAAAAX5O2k=")</f>
        <v>#REF!</v>
      </c>
      <c r="DC455" t="e">
        <f>AND(#REF!,"AAAAAAX5O2o=")</f>
        <v>#REF!</v>
      </c>
      <c r="DD455" t="e">
        <f>AND(#REF!,"AAAAAAX5O2s=")</f>
        <v>#REF!</v>
      </c>
      <c r="DE455" t="e">
        <f>AND(#REF!,"AAAAAAX5O2w=")</f>
        <v>#REF!</v>
      </c>
      <c r="DF455" t="e">
        <f>AND(#REF!,"AAAAAAX5O20=")</f>
        <v>#REF!</v>
      </c>
      <c r="DG455" t="e">
        <f>AND(#REF!,"AAAAAAX5O24=")</f>
        <v>#REF!</v>
      </c>
      <c r="DH455" t="e">
        <f>IF(#REF!,"AAAAAAX5O28=",0)</f>
        <v>#REF!</v>
      </c>
      <c r="DI455" t="e">
        <f>AND(#REF!,"AAAAAAX5O3A=")</f>
        <v>#REF!</v>
      </c>
      <c r="DJ455" t="e">
        <f>AND(#REF!,"AAAAAAX5O3E=")</f>
        <v>#REF!</v>
      </c>
      <c r="DK455" t="e">
        <f>AND(#REF!,"AAAAAAX5O3I=")</f>
        <v>#REF!</v>
      </c>
      <c r="DL455" t="e">
        <f>AND(#REF!,"AAAAAAX5O3M=")</f>
        <v>#REF!</v>
      </c>
      <c r="DM455" t="e">
        <f>AND(#REF!,"AAAAAAX5O3Q=")</f>
        <v>#REF!</v>
      </c>
      <c r="DN455" t="e">
        <f>AND(#REF!,"AAAAAAX5O3U=")</f>
        <v>#REF!</v>
      </c>
      <c r="DO455" t="e">
        <f>AND(#REF!,"AAAAAAX5O3Y=")</f>
        <v>#REF!</v>
      </c>
      <c r="DP455" t="e">
        <f>AND(#REF!,"AAAAAAX5O3c=")</f>
        <v>#REF!</v>
      </c>
      <c r="DQ455" t="e">
        <f>AND(#REF!,"AAAAAAX5O3g=")</f>
        <v>#REF!</v>
      </c>
      <c r="DR455" t="e">
        <f>AND(#REF!,"AAAAAAX5O3k=")</f>
        <v>#REF!</v>
      </c>
      <c r="DS455" t="e">
        <f>AND(#REF!,"AAAAAAX5O3o=")</f>
        <v>#REF!</v>
      </c>
      <c r="DT455" t="e">
        <f>AND(#REF!,"AAAAAAX5O3s=")</f>
        <v>#REF!</v>
      </c>
      <c r="DU455" t="e">
        <f>AND(#REF!,"AAAAAAX5O3w=")</f>
        <v>#REF!</v>
      </c>
      <c r="DV455" t="e">
        <f>AND(#REF!,"AAAAAAX5O30=")</f>
        <v>#REF!</v>
      </c>
      <c r="DW455" t="e">
        <f>AND(#REF!,"AAAAAAX5O34=")</f>
        <v>#REF!</v>
      </c>
      <c r="DX455" t="e">
        <f>AND(#REF!,"AAAAAAX5O38=")</f>
        <v>#REF!</v>
      </c>
      <c r="DY455" t="e">
        <f>AND(#REF!,"AAAAAAX5O4A=")</f>
        <v>#REF!</v>
      </c>
      <c r="DZ455" t="e">
        <f>AND(#REF!,"AAAAAAX5O4E=")</f>
        <v>#REF!</v>
      </c>
      <c r="EA455" t="e">
        <f>AND(#REF!,"AAAAAAX5O4I=")</f>
        <v>#REF!</v>
      </c>
      <c r="EB455" t="e">
        <f>AND(#REF!,"AAAAAAX5O4M=")</f>
        <v>#REF!</v>
      </c>
      <c r="EC455" t="e">
        <f>AND(#REF!,"AAAAAAX5O4Q=")</f>
        <v>#REF!</v>
      </c>
      <c r="ED455" t="e">
        <f>AND(#REF!,"AAAAAAX5O4U=")</f>
        <v>#REF!</v>
      </c>
      <c r="EE455" t="e">
        <f>AND(#REF!,"AAAAAAX5O4Y=")</f>
        <v>#REF!</v>
      </c>
      <c r="EF455" t="e">
        <f>AND(#REF!,"AAAAAAX5O4c=")</f>
        <v>#REF!</v>
      </c>
      <c r="EG455" t="e">
        <f>IF(#REF!,"AAAAAAX5O4g=",0)</f>
        <v>#REF!</v>
      </c>
      <c r="EH455" t="e">
        <f>AND(#REF!,"AAAAAAX5O4k=")</f>
        <v>#REF!</v>
      </c>
      <c r="EI455" t="e">
        <f>AND(#REF!,"AAAAAAX5O4o=")</f>
        <v>#REF!</v>
      </c>
      <c r="EJ455" t="e">
        <f>AND(#REF!,"AAAAAAX5O4s=")</f>
        <v>#REF!</v>
      </c>
      <c r="EK455" t="e">
        <f>AND(#REF!,"AAAAAAX5O4w=")</f>
        <v>#REF!</v>
      </c>
      <c r="EL455" t="e">
        <f>AND(#REF!,"AAAAAAX5O40=")</f>
        <v>#REF!</v>
      </c>
      <c r="EM455" t="e">
        <f>AND(#REF!,"AAAAAAX5O44=")</f>
        <v>#REF!</v>
      </c>
      <c r="EN455" t="e">
        <f>AND(#REF!,"AAAAAAX5O48=")</f>
        <v>#REF!</v>
      </c>
      <c r="EO455" t="e">
        <f>AND(#REF!,"AAAAAAX5O5A=")</f>
        <v>#REF!</v>
      </c>
      <c r="EP455" t="e">
        <f>AND(#REF!,"AAAAAAX5O5E=")</f>
        <v>#REF!</v>
      </c>
      <c r="EQ455" t="e">
        <f>AND(#REF!,"AAAAAAX5O5I=")</f>
        <v>#REF!</v>
      </c>
      <c r="ER455" t="e">
        <f>AND(#REF!,"AAAAAAX5O5M=")</f>
        <v>#REF!</v>
      </c>
      <c r="ES455" t="e">
        <f>AND(#REF!,"AAAAAAX5O5Q=")</f>
        <v>#REF!</v>
      </c>
      <c r="ET455" t="e">
        <f>AND(#REF!,"AAAAAAX5O5U=")</f>
        <v>#REF!</v>
      </c>
      <c r="EU455" t="e">
        <f>AND(#REF!,"AAAAAAX5O5Y=")</f>
        <v>#REF!</v>
      </c>
      <c r="EV455" t="e">
        <f>AND(#REF!,"AAAAAAX5O5c=")</f>
        <v>#REF!</v>
      </c>
      <c r="EW455" t="e">
        <f>AND(#REF!,"AAAAAAX5O5g=")</f>
        <v>#REF!</v>
      </c>
      <c r="EX455" t="e">
        <f>AND(#REF!,"AAAAAAX5O5k=")</f>
        <v>#REF!</v>
      </c>
      <c r="EY455" t="e">
        <f>AND(#REF!,"AAAAAAX5O5o=")</f>
        <v>#REF!</v>
      </c>
      <c r="EZ455" t="e">
        <f>AND(#REF!,"AAAAAAX5O5s=")</f>
        <v>#REF!</v>
      </c>
      <c r="FA455" t="e">
        <f>AND(#REF!,"AAAAAAX5O5w=")</f>
        <v>#REF!</v>
      </c>
      <c r="FB455" t="e">
        <f>AND(#REF!,"AAAAAAX5O50=")</f>
        <v>#REF!</v>
      </c>
      <c r="FC455" t="e">
        <f>AND(#REF!,"AAAAAAX5O54=")</f>
        <v>#REF!</v>
      </c>
      <c r="FD455" t="e">
        <f>AND(#REF!,"AAAAAAX5O58=")</f>
        <v>#REF!</v>
      </c>
      <c r="FE455" t="e">
        <f>AND(#REF!,"AAAAAAX5O6A=")</f>
        <v>#REF!</v>
      </c>
      <c r="FF455" t="e">
        <f>IF(#REF!,"AAAAAAX5O6E=",0)</f>
        <v>#REF!</v>
      </c>
      <c r="FG455" t="e">
        <f>AND(#REF!,"AAAAAAX5O6I=")</f>
        <v>#REF!</v>
      </c>
      <c r="FH455" t="e">
        <f>AND(#REF!,"AAAAAAX5O6M=")</f>
        <v>#REF!</v>
      </c>
      <c r="FI455" t="e">
        <f>AND(#REF!,"AAAAAAX5O6Q=")</f>
        <v>#REF!</v>
      </c>
      <c r="FJ455" t="e">
        <f>AND(#REF!,"AAAAAAX5O6U=")</f>
        <v>#REF!</v>
      </c>
      <c r="FK455" t="e">
        <f>AND(#REF!,"AAAAAAX5O6Y=")</f>
        <v>#REF!</v>
      </c>
      <c r="FL455" t="e">
        <f>AND(#REF!,"AAAAAAX5O6c=")</f>
        <v>#REF!</v>
      </c>
      <c r="FM455" t="e">
        <f>AND(#REF!,"AAAAAAX5O6g=")</f>
        <v>#REF!</v>
      </c>
      <c r="FN455" t="e">
        <f>AND(#REF!,"AAAAAAX5O6k=")</f>
        <v>#REF!</v>
      </c>
      <c r="FO455" t="e">
        <f>AND(#REF!,"AAAAAAX5O6o=")</f>
        <v>#REF!</v>
      </c>
      <c r="FP455" t="e">
        <f>AND(#REF!,"AAAAAAX5O6s=")</f>
        <v>#REF!</v>
      </c>
      <c r="FQ455" t="e">
        <f>AND(#REF!,"AAAAAAX5O6w=")</f>
        <v>#REF!</v>
      </c>
      <c r="FR455" t="e">
        <f>AND(#REF!,"AAAAAAX5O60=")</f>
        <v>#REF!</v>
      </c>
      <c r="FS455" t="e">
        <f>AND(#REF!,"AAAAAAX5O64=")</f>
        <v>#REF!</v>
      </c>
      <c r="FT455" t="e">
        <f>AND(#REF!,"AAAAAAX5O68=")</f>
        <v>#REF!</v>
      </c>
      <c r="FU455" t="e">
        <f>AND(#REF!,"AAAAAAX5O7A=")</f>
        <v>#REF!</v>
      </c>
      <c r="FV455" t="e">
        <f>AND(#REF!,"AAAAAAX5O7E=")</f>
        <v>#REF!</v>
      </c>
      <c r="FW455" t="e">
        <f>AND(#REF!,"AAAAAAX5O7I=")</f>
        <v>#REF!</v>
      </c>
      <c r="FX455" t="e">
        <f>AND(#REF!,"AAAAAAX5O7M=")</f>
        <v>#REF!</v>
      </c>
      <c r="FY455" t="e">
        <f>AND(#REF!,"AAAAAAX5O7Q=")</f>
        <v>#REF!</v>
      </c>
      <c r="FZ455" t="e">
        <f>AND(#REF!,"AAAAAAX5O7U=")</f>
        <v>#REF!</v>
      </c>
      <c r="GA455" t="e">
        <f>AND(#REF!,"AAAAAAX5O7Y=")</f>
        <v>#REF!</v>
      </c>
      <c r="GB455" t="e">
        <f>AND(#REF!,"AAAAAAX5O7c=")</f>
        <v>#REF!</v>
      </c>
      <c r="GC455" t="e">
        <f>AND(#REF!,"AAAAAAX5O7g=")</f>
        <v>#REF!</v>
      </c>
      <c r="GD455" t="e">
        <f>AND(#REF!,"AAAAAAX5O7k=")</f>
        <v>#REF!</v>
      </c>
      <c r="GE455" t="e">
        <f>IF(#REF!,"AAAAAAX5O7o=",0)</f>
        <v>#REF!</v>
      </c>
      <c r="GF455" t="e">
        <f>AND(#REF!,"AAAAAAX5O7s=")</f>
        <v>#REF!</v>
      </c>
      <c r="GG455" t="e">
        <f>AND(#REF!,"AAAAAAX5O7w=")</f>
        <v>#REF!</v>
      </c>
      <c r="GH455" t="e">
        <f>AND(#REF!,"AAAAAAX5O70=")</f>
        <v>#REF!</v>
      </c>
      <c r="GI455" t="e">
        <f>AND(#REF!,"AAAAAAX5O74=")</f>
        <v>#REF!</v>
      </c>
      <c r="GJ455" t="e">
        <f>AND(#REF!,"AAAAAAX5O78=")</f>
        <v>#REF!</v>
      </c>
      <c r="GK455" t="e">
        <f>AND(#REF!,"AAAAAAX5O8A=")</f>
        <v>#REF!</v>
      </c>
      <c r="GL455" t="e">
        <f>AND(#REF!,"AAAAAAX5O8E=")</f>
        <v>#REF!</v>
      </c>
      <c r="GM455" t="e">
        <f>AND(#REF!,"AAAAAAX5O8I=")</f>
        <v>#REF!</v>
      </c>
      <c r="GN455" t="e">
        <f>AND(#REF!,"AAAAAAX5O8M=")</f>
        <v>#REF!</v>
      </c>
      <c r="GO455" t="e">
        <f>AND(#REF!,"AAAAAAX5O8Q=")</f>
        <v>#REF!</v>
      </c>
      <c r="GP455" t="e">
        <f>AND(#REF!,"AAAAAAX5O8U=")</f>
        <v>#REF!</v>
      </c>
      <c r="GQ455" t="e">
        <f>AND(#REF!,"AAAAAAX5O8Y=")</f>
        <v>#REF!</v>
      </c>
      <c r="GR455" t="e">
        <f>AND(#REF!,"AAAAAAX5O8c=")</f>
        <v>#REF!</v>
      </c>
      <c r="GS455" t="e">
        <f>AND(#REF!,"AAAAAAX5O8g=")</f>
        <v>#REF!</v>
      </c>
      <c r="GT455" t="e">
        <f>AND(#REF!,"AAAAAAX5O8k=")</f>
        <v>#REF!</v>
      </c>
      <c r="GU455" t="e">
        <f>AND(#REF!,"AAAAAAX5O8o=")</f>
        <v>#REF!</v>
      </c>
      <c r="GV455" t="e">
        <f>AND(#REF!,"AAAAAAX5O8s=")</f>
        <v>#REF!</v>
      </c>
      <c r="GW455" t="e">
        <f>AND(#REF!,"AAAAAAX5O8w=")</f>
        <v>#REF!</v>
      </c>
      <c r="GX455" t="e">
        <f>AND(#REF!,"AAAAAAX5O80=")</f>
        <v>#REF!</v>
      </c>
      <c r="GY455" t="e">
        <f>AND(#REF!,"AAAAAAX5O84=")</f>
        <v>#REF!</v>
      </c>
      <c r="GZ455" t="e">
        <f>AND(#REF!,"AAAAAAX5O88=")</f>
        <v>#REF!</v>
      </c>
      <c r="HA455" t="e">
        <f>AND(#REF!,"AAAAAAX5O9A=")</f>
        <v>#REF!</v>
      </c>
      <c r="HB455" t="e">
        <f>AND(#REF!,"AAAAAAX5O9E=")</f>
        <v>#REF!</v>
      </c>
      <c r="HC455" t="e">
        <f>AND(#REF!,"AAAAAAX5O9I=")</f>
        <v>#REF!</v>
      </c>
      <c r="HD455" t="e">
        <f>IF(#REF!,"AAAAAAX5O9M=",0)</f>
        <v>#REF!</v>
      </c>
      <c r="HE455" t="e">
        <f>AND(#REF!,"AAAAAAX5O9Q=")</f>
        <v>#REF!</v>
      </c>
      <c r="HF455" t="e">
        <f>AND(#REF!,"AAAAAAX5O9U=")</f>
        <v>#REF!</v>
      </c>
      <c r="HG455" t="e">
        <f>AND(#REF!,"AAAAAAX5O9Y=")</f>
        <v>#REF!</v>
      </c>
      <c r="HH455" t="e">
        <f>AND(#REF!,"AAAAAAX5O9c=")</f>
        <v>#REF!</v>
      </c>
      <c r="HI455" t="e">
        <f>AND(#REF!,"AAAAAAX5O9g=")</f>
        <v>#REF!</v>
      </c>
      <c r="HJ455" t="e">
        <f>AND(#REF!,"AAAAAAX5O9k=")</f>
        <v>#REF!</v>
      </c>
      <c r="HK455" t="e">
        <f>AND(#REF!,"AAAAAAX5O9o=")</f>
        <v>#REF!</v>
      </c>
      <c r="HL455" t="e">
        <f>AND(#REF!,"AAAAAAX5O9s=")</f>
        <v>#REF!</v>
      </c>
      <c r="HM455" t="e">
        <f>AND(#REF!,"AAAAAAX5O9w=")</f>
        <v>#REF!</v>
      </c>
      <c r="HN455" t="e">
        <f>AND(#REF!,"AAAAAAX5O90=")</f>
        <v>#REF!</v>
      </c>
      <c r="HO455" t="e">
        <f>AND(#REF!,"AAAAAAX5O94=")</f>
        <v>#REF!</v>
      </c>
      <c r="HP455" t="e">
        <f>AND(#REF!,"AAAAAAX5O98=")</f>
        <v>#REF!</v>
      </c>
      <c r="HQ455" t="e">
        <f>AND(#REF!,"AAAAAAX5O+A=")</f>
        <v>#REF!</v>
      </c>
      <c r="HR455" t="e">
        <f>AND(#REF!,"AAAAAAX5O+E=")</f>
        <v>#REF!</v>
      </c>
      <c r="HS455" t="e">
        <f>AND(#REF!,"AAAAAAX5O+I=")</f>
        <v>#REF!</v>
      </c>
      <c r="HT455" t="e">
        <f>AND(#REF!,"AAAAAAX5O+M=")</f>
        <v>#REF!</v>
      </c>
      <c r="HU455" t="e">
        <f>AND(#REF!,"AAAAAAX5O+Q=")</f>
        <v>#REF!</v>
      </c>
      <c r="HV455" t="e">
        <f>AND(#REF!,"AAAAAAX5O+U=")</f>
        <v>#REF!</v>
      </c>
      <c r="HW455" t="e">
        <f>AND(#REF!,"AAAAAAX5O+Y=")</f>
        <v>#REF!</v>
      </c>
      <c r="HX455" t="e">
        <f>AND(#REF!,"AAAAAAX5O+c=")</f>
        <v>#REF!</v>
      </c>
      <c r="HY455" t="e">
        <f>AND(#REF!,"AAAAAAX5O+g=")</f>
        <v>#REF!</v>
      </c>
      <c r="HZ455" t="e">
        <f>AND(#REF!,"AAAAAAX5O+k=")</f>
        <v>#REF!</v>
      </c>
      <c r="IA455" t="e">
        <f>AND(#REF!,"AAAAAAX5O+o=")</f>
        <v>#REF!</v>
      </c>
      <c r="IB455" t="e">
        <f>AND(#REF!,"AAAAAAX5O+s=")</f>
        <v>#REF!</v>
      </c>
      <c r="IC455" t="e">
        <f>IF(#REF!,"AAAAAAX5O+w=",0)</f>
        <v>#REF!</v>
      </c>
      <c r="ID455" t="e">
        <f>AND(#REF!,"AAAAAAX5O+0=")</f>
        <v>#REF!</v>
      </c>
      <c r="IE455" t="e">
        <f>AND(#REF!,"AAAAAAX5O+4=")</f>
        <v>#REF!</v>
      </c>
      <c r="IF455" t="e">
        <f>AND(#REF!,"AAAAAAX5O+8=")</f>
        <v>#REF!</v>
      </c>
      <c r="IG455" t="e">
        <f>AND(#REF!,"AAAAAAX5O/A=")</f>
        <v>#REF!</v>
      </c>
      <c r="IH455" t="e">
        <f>AND(#REF!,"AAAAAAX5O/E=")</f>
        <v>#REF!</v>
      </c>
      <c r="II455" t="e">
        <f>AND(#REF!,"AAAAAAX5O/I=")</f>
        <v>#REF!</v>
      </c>
      <c r="IJ455" t="e">
        <f>AND(#REF!,"AAAAAAX5O/M=")</f>
        <v>#REF!</v>
      </c>
      <c r="IK455" t="e">
        <f>AND(#REF!,"AAAAAAX5O/Q=")</f>
        <v>#REF!</v>
      </c>
      <c r="IL455" t="e">
        <f>AND(#REF!,"AAAAAAX5O/U=")</f>
        <v>#REF!</v>
      </c>
      <c r="IM455" t="e">
        <f>AND(#REF!,"AAAAAAX5O/Y=")</f>
        <v>#REF!</v>
      </c>
      <c r="IN455" t="e">
        <f>AND(#REF!,"AAAAAAX5O/c=")</f>
        <v>#REF!</v>
      </c>
      <c r="IO455" t="e">
        <f>AND(#REF!,"AAAAAAX5O/g=")</f>
        <v>#REF!</v>
      </c>
      <c r="IP455" t="e">
        <f>AND(#REF!,"AAAAAAX5O/k=")</f>
        <v>#REF!</v>
      </c>
      <c r="IQ455" t="e">
        <f>AND(#REF!,"AAAAAAX5O/o=")</f>
        <v>#REF!</v>
      </c>
      <c r="IR455" t="e">
        <f>AND(#REF!,"AAAAAAX5O/s=")</f>
        <v>#REF!</v>
      </c>
      <c r="IS455" t="e">
        <f>AND(#REF!,"AAAAAAX5O/w=")</f>
        <v>#REF!</v>
      </c>
      <c r="IT455" t="e">
        <f>AND(#REF!,"AAAAAAX5O/0=")</f>
        <v>#REF!</v>
      </c>
      <c r="IU455" t="e">
        <f>AND(#REF!,"AAAAAAX5O/4=")</f>
        <v>#REF!</v>
      </c>
      <c r="IV455" t="e">
        <f>AND(#REF!,"AAAAAAX5O/8=")</f>
        <v>#REF!</v>
      </c>
    </row>
    <row r="456" spans="1:256">
      <c r="A456" t="e">
        <f>AND(#REF!,"AAAAAHP7zwA=")</f>
        <v>#REF!</v>
      </c>
      <c r="B456" t="e">
        <f>AND(#REF!,"AAAAAHP7zwE=")</f>
        <v>#REF!</v>
      </c>
      <c r="C456" t="e">
        <f>AND(#REF!,"AAAAAHP7zwI=")</f>
        <v>#REF!</v>
      </c>
      <c r="D456" t="e">
        <f>AND(#REF!,"AAAAAHP7zwM=")</f>
        <v>#REF!</v>
      </c>
      <c r="E456" t="e">
        <f>AND(#REF!,"AAAAAHP7zwQ=")</f>
        <v>#REF!</v>
      </c>
      <c r="F456" t="e">
        <f>IF(#REF!,"AAAAAHP7zwU=",0)</f>
        <v>#REF!</v>
      </c>
      <c r="G456" t="e">
        <f>AND(#REF!,"AAAAAHP7zwY=")</f>
        <v>#REF!</v>
      </c>
      <c r="H456" t="e">
        <f>AND(#REF!,"AAAAAHP7zwc=")</f>
        <v>#REF!</v>
      </c>
      <c r="I456" t="e">
        <f>AND(#REF!,"AAAAAHP7zwg=")</f>
        <v>#REF!</v>
      </c>
      <c r="J456" t="e">
        <f>AND(#REF!,"AAAAAHP7zwk=")</f>
        <v>#REF!</v>
      </c>
      <c r="K456" t="e">
        <f>AND(#REF!,"AAAAAHP7zwo=")</f>
        <v>#REF!</v>
      </c>
      <c r="L456" t="e">
        <f>AND(#REF!,"AAAAAHP7zws=")</f>
        <v>#REF!</v>
      </c>
      <c r="M456" t="e">
        <f>AND(#REF!,"AAAAAHP7zww=")</f>
        <v>#REF!</v>
      </c>
      <c r="N456" t="e">
        <f>AND(#REF!,"AAAAAHP7zw0=")</f>
        <v>#REF!</v>
      </c>
      <c r="O456" t="e">
        <f>AND(#REF!,"AAAAAHP7zw4=")</f>
        <v>#REF!</v>
      </c>
      <c r="P456" t="e">
        <f>AND(#REF!,"AAAAAHP7zw8=")</f>
        <v>#REF!</v>
      </c>
      <c r="Q456" t="e">
        <f>AND(#REF!,"AAAAAHP7zxA=")</f>
        <v>#REF!</v>
      </c>
      <c r="R456" t="e">
        <f>AND(#REF!,"AAAAAHP7zxE=")</f>
        <v>#REF!</v>
      </c>
      <c r="S456" t="e">
        <f>AND(#REF!,"AAAAAHP7zxI=")</f>
        <v>#REF!</v>
      </c>
      <c r="T456" t="e">
        <f>AND(#REF!,"AAAAAHP7zxM=")</f>
        <v>#REF!</v>
      </c>
      <c r="U456" t="e">
        <f>AND(#REF!,"AAAAAHP7zxQ=")</f>
        <v>#REF!</v>
      </c>
      <c r="V456" t="e">
        <f>AND(#REF!,"AAAAAHP7zxU=")</f>
        <v>#REF!</v>
      </c>
      <c r="W456" t="e">
        <f>AND(#REF!,"AAAAAHP7zxY=")</f>
        <v>#REF!</v>
      </c>
      <c r="X456" t="e">
        <f>AND(#REF!,"AAAAAHP7zxc=")</f>
        <v>#REF!</v>
      </c>
      <c r="Y456" t="e">
        <f>AND(#REF!,"AAAAAHP7zxg=")</f>
        <v>#REF!</v>
      </c>
      <c r="Z456" t="e">
        <f>AND(#REF!,"AAAAAHP7zxk=")</f>
        <v>#REF!</v>
      </c>
      <c r="AA456" t="e">
        <f>AND(#REF!,"AAAAAHP7zxo=")</f>
        <v>#REF!</v>
      </c>
      <c r="AB456" t="e">
        <f>AND(#REF!,"AAAAAHP7zxs=")</f>
        <v>#REF!</v>
      </c>
      <c r="AC456" t="e">
        <f>AND(#REF!,"AAAAAHP7zxw=")</f>
        <v>#REF!</v>
      </c>
      <c r="AD456" t="e">
        <f>AND(#REF!,"AAAAAHP7zx0=")</f>
        <v>#REF!</v>
      </c>
      <c r="AE456" t="e">
        <f>IF(#REF!,"AAAAAHP7zx4=",0)</f>
        <v>#REF!</v>
      </c>
      <c r="AF456" t="e">
        <f>AND(#REF!,"AAAAAHP7zx8=")</f>
        <v>#REF!</v>
      </c>
      <c r="AG456" t="e">
        <f>AND(#REF!,"AAAAAHP7zyA=")</f>
        <v>#REF!</v>
      </c>
      <c r="AH456" t="e">
        <f>AND(#REF!,"AAAAAHP7zyE=")</f>
        <v>#REF!</v>
      </c>
      <c r="AI456" t="e">
        <f>AND(#REF!,"AAAAAHP7zyI=")</f>
        <v>#REF!</v>
      </c>
      <c r="AJ456" t="e">
        <f>AND(#REF!,"AAAAAHP7zyM=")</f>
        <v>#REF!</v>
      </c>
      <c r="AK456" t="e">
        <f>AND(#REF!,"AAAAAHP7zyQ=")</f>
        <v>#REF!</v>
      </c>
      <c r="AL456" t="e">
        <f>AND(#REF!,"AAAAAHP7zyU=")</f>
        <v>#REF!</v>
      </c>
      <c r="AM456" t="e">
        <f>AND(#REF!,"AAAAAHP7zyY=")</f>
        <v>#REF!</v>
      </c>
      <c r="AN456" t="e">
        <f>AND(#REF!,"AAAAAHP7zyc=")</f>
        <v>#REF!</v>
      </c>
      <c r="AO456" t="e">
        <f>AND(#REF!,"AAAAAHP7zyg=")</f>
        <v>#REF!</v>
      </c>
      <c r="AP456" t="e">
        <f>AND(#REF!,"AAAAAHP7zyk=")</f>
        <v>#REF!</v>
      </c>
      <c r="AQ456" t="e">
        <f>AND(#REF!,"AAAAAHP7zyo=")</f>
        <v>#REF!</v>
      </c>
      <c r="AR456" t="e">
        <f>AND(#REF!,"AAAAAHP7zys=")</f>
        <v>#REF!</v>
      </c>
      <c r="AS456" t="e">
        <f>AND(#REF!,"AAAAAHP7zyw=")</f>
        <v>#REF!</v>
      </c>
      <c r="AT456" t="e">
        <f>AND(#REF!,"AAAAAHP7zy0=")</f>
        <v>#REF!</v>
      </c>
      <c r="AU456" t="e">
        <f>AND(#REF!,"AAAAAHP7zy4=")</f>
        <v>#REF!</v>
      </c>
      <c r="AV456" t="e">
        <f>AND(#REF!,"AAAAAHP7zy8=")</f>
        <v>#REF!</v>
      </c>
      <c r="AW456" t="e">
        <f>AND(#REF!,"AAAAAHP7zzA=")</f>
        <v>#REF!</v>
      </c>
      <c r="AX456" t="e">
        <f>AND(#REF!,"AAAAAHP7zzE=")</f>
        <v>#REF!</v>
      </c>
      <c r="AY456" t="e">
        <f>AND(#REF!,"AAAAAHP7zzI=")</f>
        <v>#REF!</v>
      </c>
      <c r="AZ456" t="e">
        <f>AND(#REF!,"AAAAAHP7zzM=")</f>
        <v>#REF!</v>
      </c>
      <c r="BA456" t="e">
        <f>AND(#REF!,"AAAAAHP7zzQ=")</f>
        <v>#REF!</v>
      </c>
      <c r="BB456" t="e">
        <f>AND(#REF!,"AAAAAHP7zzU=")</f>
        <v>#REF!</v>
      </c>
      <c r="BC456" t="e">
        <f>AND(#REF!,"AAAAAHP7zzY=")</f>
        <v>#REF!</v>
      </c>
      <c r="BD456" t="e">
        <f>IF(#REF!,"AAAAAHP7zzc=",0)</f>
        <v>#REF!</v>
      </c>
      <c r="BE456" t="e">
        <f>AND(#REF!,"AAAAAHP7zzg=")</f>
        <v>#REF!</v>
      </c>
      <c r="BF456" t="e">
        <f>AND(#REF!,"AAAAAHP7zzk=")</f>
        <v>#REF!</v>
      </c>
      <c r="BG456" t="e">
        <f>AND(#REF!,"AAAAAHP7zzo=")</f>
        <v>#REF!</v>
      </c>
      <c r="BH456" t="e">
        <f>AND(#REF!,"AAAAAHP7zzs=")</f>
        <v>#REF!</v>
      </c>
      <c r="BI456" t="e">
        <f>AND(#REF!,"AAAAAHP7zzw=")</f>
        <v>#REF!</v>
      </c>
      <c r="BJ456" t="e">
        <f>AND(#REF!,"AAAAAHP7zz0=")</f>
        <v>#REF!</v>
      </c>
      <c r="BK456" t="e">
        <f>AND(#REF!,"AAAAAHP7zz4=")</f>
        <v>#REF!</v>
      </c>
      <c r="BL456" t="e">
        <f>AND(#REF!,"AAAAAHP7zz8=")</f>
        <v>#REF!</v>
      </c>
      <c r="BM456" t="e">
        <f>AND(#REF!,"AAAAAHP7z0A=")</f>
        <v>#REF!</v>
      </c>
      <c r="BN456" t="e">
        <f>AND(#REF!,"AAAAAHP7z0E=")</f>
        <v>#REF!</v>
      </c>
      <c r="BO456" t="e">
        <f>AND(#REF!,"AAAAAHP7z0I=")</f>
        <v>#REF!</v>
      </c>
      <c r="BP456" t="e">
        <f>AND(#REF!,"AAAAAHP7z0M=")</f>
        <v>#REF!</v>
      </c>
      <c r="BQ456" t="e">
        <f>AND(#REF!,"AAAAAHP7z0Q=")</f>
        <v>#REF!</v>
      </c>
      <c r="BR456" t="e">
        <f>AND(#REF!,"AAAAAHP7z0U=")</f>
        <v>#REF!</v>
      </c>
      <c r="BS456" t="e">
        <f>AND(#REF!,"AAAAAHP7z0Y=")</f>
        <v>#REF!</v>
      </c>
      <c r="BT456" t="e">
        <f>AND(#REF!,"AAAAAHP7z0c=")</f>
        <v>#REF!</v>
      </c>
      <c r="BU456" t="e">
        <f>AND(#REF!,"AAAAAHP7z0g=")</f>
        <v>#REF!</v>
      </c>
      <c r="BV456" t="e">
        <f>AND(#REF!,"AAAAAHP7z0k=")</f>
        <v>#REF!</v>
      </c>
      <c r="BW456" t="e">
        <f>AND(#REF!,"AAAAAHP7z0o=")</f>
        <v>#REF!</v>
      </c>
      <c r="BX456" t="e">
        <f>AND(#REF!,"AAAAAHP7z0s=")</f>
        <v>#REF!</v>
      </c>
      <c r="BY456" t="e">
        <f>AND(#REF!,"AAAAAHP7z0w=")</f>
        <v>#REF!</v>
      </c>
      <c r="BZ456" t="e">
        <f>AND(#REF!,"AAAAAHP7z00=")</f>
        <v>#REF!</v>
      </c>
      <c r="CA456" t="e">
        <f>AND(#REF!,"AAAAAHP7z04=")</f>
        <v>#REF!</v>
      </c>
      <c r="CB456" t="e">
        <f>AND(#REF!,"AAAAAHP7z08=")</f>
        <v>#REF!</v>
      </c>
      <c r="CC456" t="e">
        <f>IF(#REF!,"AAAAAHP7z1A=",0)</f>
        <v>#REF!</v>
      </c>
      <c r="CD456" t="e">
        <f>AND(#REF!,"AAAAAHP7z1E=")</f>
        <v>#REF!</v>
      </c>
      <c r="CE456" t="e">
        <f>AND(#REF!,"AAAAAHP7z1I=")</f>
        <v>#REF!</v>
      </c>
      <c r="CF456" t="e">
        <f>AND(#REF!,"AAAAAHP7z1M=")</f>
        <v>#REF!</v>
      </c>
      <c r="CG456" t="e">
        <f>AND(#REF!,"AAAAAHP7z1Q=")</f>
        <v>#REF!</v>
      </c>
      <c r="CH456" t="e">
        <f>AND(#REF!,"AAAAAHP7z1U=")</f>
        <v>#REF!</v>
      </c>
      <c r="CI456" t="e">
        <f>AND(#REF!,"AAAAAHP7z1Y=")</f>
        <v>#REF!</v>
      </c>
      <c r="CJ456" t="e">
        <f>AND(#REF!,"AAAAAHP7z1c=")</f>
        <v>#REF!</v>
      </c>
      <c r="CK456" t="e">
        <f>AND(#REF!,"AAAAAHP7z1g=")</f>
        <v>#REF!</v>
      </c>
      <c r="CL456" t="e">
        <f>AND(#REF!,"AAAAAHP7z1k=")</f>
        <v>#REF!</v>
      </c>
      <c r="CM456" t="e">
        <f>AND(#REF!,"AAAAAHP7z1o=")</f>
        <v>#REF!</v>
      </c>
      <c r="CN456" t="e">
        <f>AND(#REF!,"AAAAAHP7z1s=")</f>
        <v>#REF!</v>
      </c>
      <c r="CO456" t="e">
        <f>AND(#REF!,"AAAAAHP7z1w=")</f>
        <v>#REF!</v>
      </c>
      <c r="CP456" t="e">
        <f>AND(#REF!,"AAAAAHP7z10=")</f>
        <v>#REF!</v>
      </c>
      <c r="CQ456" t="e">
        <f>AND(#REF!,"AAAAAHP7z14=")</f>
        <v>#REF!</v>
      </c>
      <c r="CR456" t="e">
        <f>AND(#REF!,"AAAAAHP7z18=")</f>
        <v>#REF!</v>
      </c>
      <c r="CS456" t="e">
        <f>AND(#REF!,"AAAAAHP7z2A=")</f>
        <v>#REF!</v>
      </c>
      <c r="CT456" t="e">
        <f>AND(#REF!,"AAAAAHP7z2E=")</f>
        <v>#REF!</v>
      </c>
      <c r="CU456" t="e">
        <f>AND(#REF!,"AAAAAHP7z2I=")</f>
        <v>#REF!</v>
      </c>
      <c r="CV456" t="e">
        <f>AND(#REF!,"AAAAAHP7z2M=")</f>
        <v>#REF!</v>
      </c>
      <c r="CW456" t="e">
        <f>AND(#REF!,"AAAAAHP7z2Q=")</f>
        <v>#REF!</v>
      </c>
      <c r="CX456" t="e">
        <f>AND(#REF!,"AAAAAHP7z2U=")</f>
        <v>#REF!</v>
      </c>
      <c r="CY456" t="e">
        <f>AND(#REF!,"AAAAAHP7z2Y=")</f>
        <v>#REF!</v>
      </c>
      <c r="CZ456" t="e">
        <f>AND(#REF!,"AAAAAHP7z2c=")</f>
        <v>#REF!</v>
      </c>
      <c r="DA456" t="e">
        <f>AND(#REF!,"AAAAAHP7z2g=")</f>
        <v>#REF!</v>
      </c>
      <c r="DB456" t="e">
        <f>IF(#REF!,"AAAAAHP7z2k=",0)</f>
        <v>#REF!</v>
      </c>
      <c r="DC456" t="e">
        <f>AND(#REF!,"AAAAAHP7z2o=")</f>
        <v>#REF!</v>
      </c>
      <c r="DD456" t="e">
        <f>AND(#REF!,"AAAAAHP7z2s=")</f>
        <v>#REF!</v>
      </c>
      <c r="DE456" t="e">
        <f>AND(#REF!,"AAAAAHP7z2w=")</f>
        <v>#REF!</v>
      </c>
      <c r="DF456" t="e">
        <f>AND(#REF!,"AAAAAHP7z20=")</f>
        <v>#REF!</v>
      </c>
      <c r="DG456" t="e">
        <f>AND(#REF!,"AAAAAHP7z24=")</f>
        <v>#REF!</v>
      </c>
      <c r="DH456" t="e">
        <f>AND(#REF!,"AAAAAHP7z28=")</f>
        <v>#REF!</v>
      </c>
      <c r="DI456" t="e">
        <f>AND(#REF!,"AAAAAHP7z3A=")</f>
        <v>#REF!</v>
      </c>
      <c r="DJ456" t="e">
        <f>AND(#REF!,"AAAAAHP7z3E=")</f>
        <v>#REF!</v>
      </c>
      <c r="DK456" t="e">
        <f>AND(#REF!,"AAAAAHP7z3I=")</f>
        <v>#REF!</v>
      </c>
      <c r="DL456" t="e">
        <f>AND(#REF!,"AAAAAHP7z3M=")</f>
        <v>#REF!</v>
      </c>
      <c r="DM456" t="e">
        <f>AND(#REF!,"AAAAAHP7z3Q=")</f>
        <v>#REF!</v>
      </c>
      <c r="DN456" t="e">
        <f>AND(#REF!,"AAAAAHP7z3U=")</f>
        <v>#REF!</v>
      </c>
      <c r="DO456" t="e">
        <f>AND(#REF!,"AAAAAHP7z3Y=")</f>
        <v>#REF!</v>
      </c>
      <c r="DP456" t="e">
        <f>AND(#REF!,"AAAAAHP7z3c=")</f>
        <v>#REF!</v>
      </c>
      <c r="DQ456" t="e">
        <f>AND(#REF!,"AAAAAHP7z3g=")</f>
        <v>#REF!</v>
      </c>
      <c r="DR456" t="e">
        <f>AND(#REF!,"AAAAAHP7z3k=")</f>
        <v>#REF!</v>
      </c>
      <c r="DS456" t="e">
        <f>AND(#REF!,"AAAAAHP7z3o=")</f>
        <v>#REF!</v>
      </c>
      <c r="DT456" t="e">
        <f>AND(#REF!,"AAAAAHP7z3s=")</f>
        <v>#REF!</v>
      </c>
      <c r="DU456" t="e">
        <f>AND(#REF!,"AAAAAHP7z3w=")</f>
        <v>#REF!</v>
      </c>
      <c r="DV456" t="e">
        <f>AND(#REF!,"AAAAAHP7z30=")</f>
        <v>#REF!</v>
      </c>
      <c r="DW456" t="e">
        <f>AND(#REF!,"AAAAAHP7z34=")</f>
        <v>#REF!</v>
      </c>
      <c r="DX456" t="e">
        <f>AND(#REF!,"AAAAAHP7z38=")</f>
        <v>#REF!</v>
      </c>
      <c r="DY456" t="e">
        <f>AND(#REF!,"AAAAAHP7z4A=")</f>
        <v>#REF!</v>
      </c>
      <c r="DZ456" t="e">
        <f>AND(#REF!,"AAAAAHP7z4E=")</f>
        <v>#REF!</v>
      </c>
      <c r="EA456" t="e">
        <f>IF(#REF!,"AAAAAHP7z4I=",0)</f>
        <v>#REF!</v>
      </c>
      <c r="EB456" t="e">
        <f>AND(#REF!,"AAAAAHP7z4M=")</f>
        <v>#REF!</v>
      </c>
      <c r="EC456" t="e">
        <f>AND(#REF!,"AAAAAHP7z4Q=")</f>
        <v>#REF!</v>
      </c>
      <c r="ED456" t="e">
        <f>AND(#REF!,"AAAAAHP7z4U=")</f>
        <v>#REF!</v>
      </c>
      <c r="EE456" t="e">
        <f>AND(#REF!,"AAAAAHP7z4Y=")</f>
        <v>#REF!</v>
      </c>
      <c r="EF456" t="e">
        <f>AND(#REF!,"AAAAAHP7z4c=")</f>
        <v>#REF!</v>
      </c>
      <c r="EG456" t="e">
        <f>AND(#REF!,"AAAAAHP7z4g=")</f>
        <v>#REF!</v>
      </c>
      <c r="EH456" t="e">
        <f>AND(#REF!,"AAAAAHP7z4k=")</f>
        <v>#REF!</v>
      </c>
      <c r="EI456" t="e">
        <f>AND(#REF!,"AAAAAHP7z4o=")</f>
        <v>#REF!</v>
      </c>
      <c r="EJ456" t="e">
        <f>AND(#REF!,"AAAAAHP7z4s=")</f>
        <v>#REF!</v>
      </c>
      <c r="EK456" t="e">
        <f>AND(#REF!,"AAAAAHP7z4w=")</f>
        <v>#REF!</v>
      </c>
      <c r="EL456" t="e">
        <f>AND(#REF!,"AAAAAHP7z40=")</f>
        <v>#REF!</v>
      </c>
      <c r="EM456" t="e">
        <f>AND(#REF!,"AAAAAHP7z44=")</f>
        <v>#REF!</v>
      </c>
      <c r="EN456" t="e">
        <f>AND(#REF!,"AAAAAHP7z48=")</f>
        <v>#REF!</v>
      </c>
      <c r="EO456" t="e">
        <f>AND(#REF!,"AAAAAHP7z5A=")</f>
        <v>#REF!</v>
      </c>
      <c r="EP456" t="e">
        <f>AND(#REF!,"AAAAAHP7z5E=")</f>
        <v>#REF!</v>
      </c>
      <c r="EQ456" t="e">
        <f>AND(#REF!,"AAAAAHP7z5I=")</f>
        <v>#REF!</v>
      </c>
      <c r="ER456" t="e">
        <f>AND(#REF!,"AAAAAHP7z5M=")</f>
        <v>#REF!</v>
      </c>
      <c r="ES456" t="e">
        <f>AND(#REF!,"AAAAAHP7z5Q=")</f>
        <v>#REF!</v>
      </c>
      <c r="ET456" t="e">
        <f>AND(#REF!,"AAAAAHP7z5U=")</f>
        <v>#REF!</v>
      </c>
      <c r="EU456" t="e">
        <f>AND(#REF!,"AAAAAHP7z5Y=")</f>
        <v>#REF!</v>
      </c>
      <c r="EV456" t="e">
        <f>AND(#REF!,"AAAAAHP7z5c=")</f>
        <v>#REF!</v>
      </c>
      <c r="EW456" t="e">
        <f>AND(#REF!,"AAAAAHP7z5g=")</f>
        <v>#REF!</v>
      </c>
      <c r="EX456" t="e">
        <f>AND(#REF!,"AAAAAHP7z5k=")</f>
        <v>#REF!</v>
      </c>
      <c r="EY456" t="e">
        <f>AND(#REF!,"AAAAAHP7z5o=")</f>
        <v>#REF!</v>
      </c>
      <c r="EZ456" t="e">
        <f>IF(#REF!,"AAAAAHP7z5s=",0)</f>
        <v>#REF!</v>
      </c>
      <c r="FA456" t="e">
        <f>AND(#REF!,"AAAAAHP7z5w=")</f>
        <v>#REF!</v>
      </c>
      <c r="FB456" t="e">
        <f>AND(#REF!,"AAAAAHP7z50=")</f>
        <v>#REF!</v>
      </c>
      <c r="FC456" t="e">
        <f>AND(#REF!,"AAAAAHP7z54=")</f>
        <v>#REF!</v>
      </c>
      <c r="FD456" t="e">
        <f>AND(#REF!,"AAAAAHP7z58=")</f>
        <v>#REF!</v>
      </c>
      <c r="FE456" t="e">
        <f>AND(#REF!,"AAAAAHP7z6A=")</f>
        <v>#REF!</v>
      </c>
      <c r="FF456" t="e">
        <f>AND(#REF!,"AAAAAHP7z6E=")</f>
        <v>#REF!</v>
      </c>
      <c r="FG456" t="e">
        <f>AND(#REF!,"AAAAAHP7z6I=")</f>
        <v>#REF!</v>
      </c>
      <c r="FH456" t="e">
        <f>AND(#REF!,"AAAAAHP7z6M=")</f>
        <v>#REF!</v>
      </c>
      <c r="FI456" t="e">
        <f>AND(#REF!,"AAAAAHP7z6Q=")</f>
        <v>#REF!</v>
      </c>
      <c r="FJ456" t="e">
        <f>AND(#REF!,"AAAAAHP7z6U=")</f>
        <v>#REF!</v>
      </c>
      <c r="FK456" t="e">
        <f>AND(#REF!,"AAAAAHP7z6Y=")</f>
        <v>#REF!</v>
      </c>
      <c r="FL456" t="e">
        <f>AND(#REF!,"AAAAAHP7z6c=")</f>
        <v>#REF!</v>
      </c>
      <c r="FM456" t="e">
        <f>AND(#REF!,"AAAAAHP7z6g=")</f>
        <v>#REF!</v>
      </c>
      <c r="FN456" t="e">
        <f>AND(#REF!,"AAAAAHP7z6k=")</f>
        <v>#REF!</v>
      </c>
      <c r="FO456" t="e">
        <f>AND(#REF!,"AAAAAHP7z6o=")</f>
        <v>#REF!</v>
      </c>
      <c r="FP456" t="e">
        <f>AND(#REF!,"AAAAAHP7z6s=")</f>
        <v>#REF!</v>
      </c>
      <c r="FQ456" t="e">
        <f>AND(#REF!,"AAAAAHP7z6w=")</f>
        <v>#REF!</v>
      </c>
      <c r="FR456" t="e">
        <f>AND(#REF!,"AAAAAHP7z60=")</f>
        <v>#REF!</v>
      </c>
      <c r="FS456" t="e">
        <f>AND(#REF!,"AAAAAHP7z64=")</f>
        <v>#REF!</v>
      </c>
      <c r="FT456" t="e">
        <f>AND(#REF!,"AAAAAHP7z68=")</f>
        <v>#REF!</v>
      </c>
      <c r="FU456" t="e">
        <f>AND(#REF!,"AAAAAHP7z7A=")</f>
        <v>#REF!</v>
      </c>
      <c r="FV456" t="e">
        <f>AND(#REF!,"AAAAAHP7z7E=")</f>
        <v>#REF!</v>
      </c>
      <c r="FW456" t="e">
        <f>AND(#REF!,"AAAAAHP7z7I=")</f>
        <v>#REF!</v>
      </c>
      <c r="FX456" t="e">
        <f>AND(#REF!,"AAAAAHP7z7M=")</f>
        <v>#REF!</v>
      </c>
      <c r="FY456" t="e">
        <f>IF(#REF!,"AAAAAHP7z7Q=",0)</f>
        <v>#REF!</v>
      </c>
      <c r="FZ456" t="e">
        <f>AND(#REF!,"AAAAAHP7z7U=")</f>
        <v>#REF!</v>
      </c>
      <c r="GA456" t="e">
        <f>AND(#REF!,"AAAAAHP7z7Y=")</f>
        <v>#REF!</v>
      </c>
      <c r="GB456" t="e">
        <f>AND(#REF!,"AAAAAHP7z7c=")</f>
        <v>#REF!</v>
      </c>
      <c r="GC456" t="e">
        <f>AND(#REF!,"AAAAAHP7z7g=")</f>
        <v>#REF!</v>
      </c>
      <c r="GD456" t="e">
        <f>AND(#REF!,"AAAAAHP7z7k=")</f>
        <v>#REF!</v>
      </c>
      <c r="GE456" t="e">
        <f>AND(#REF!,"AAAAAHP7z7o=")</f>
        <v>#REF!</v>
      </c>
      <c r="GF456" t="e">
        <f>AND(#REF!,"AAAAAHP7z7s=")</f>
        <v>#REF!</v>
      </c>
      <c r="GG456" t="e">
        <f>AND(#REF!,"AAAAAHP7z7w=")</f>
        <v>#REF!</v>
      </c>
      <c r="GH456" t="e">
        <f>AND(#REF!,"AAAAAHP7z70=")</f>
        <v>#REF!</v>
      </c>
      <c r="GI456" t="e">
        <f>AND(#REF!,"AAAAAHP7z74=")</f>
        <v>#REF!</v>
      </c>
      <c r="GJ456" t="e">
        <f>AND(#REF!,"AAAAAHP7z78=")</f>
        <v>#REF!</v>
      </c>
      <c r="GK456" t="e">
        <f>AND(#REF!,"AAAAAHP7z8A=")</f>
        <v>#REF!</v>
      </c>
      <c r="GL456" t="e">
        <f>AND(#REF!,"AAAAAHP7z8E=")</f>
        <v>#REF!</v>
      </c>
      <c r="GM456" t="e">
        <f>AND(#REF!,"AAAAAHP7z8I=")</f>
        <v>#REF!</v>
      </c>
      <c r="GN456" t="e">
        <f>AND(#REF!,"AAAAAHP7z8M=")</f>
        <v>#REF!</v>
      </c>
      <c r="GO456" t="e">
        <f>AND(#REF!,"AAAAAHP7z8Q=")</f>
        <v>#REF!</v>
      </c>
      <c r="GP456" t="e">
        <f>AND(#REF!,"AAAAAHP7z8U=")</f>
        <v>#REF!</v>
      </c>
      <c r="GQ456" t="e">
        <f>AND(#REF!,"AAAAAHP7z8Y=")</f>
        <v>#REF!</v>
      </c>
      <c r="GR456" t="e">
        <f>AND(#REF!,"AAAAAHP7z8c=")</f>
        <v>#REF!</v>
      </c>
      <c r="GS456" t="e">
        <f>AND(#REF!,"AAAAAHP7z8g=")</f>
        <v>#REF!</v>
      </c>
      <c r="GT456" t="e">
        <f>AND(#REF!,"AAAAAHP7z8k=")</f>
        <v>#REF!</v>
      </c>
      <c r="GU456" t="e">
        <f>AND(#REF!,"AAAAAHP7z8o=")</f>
        <v>#REF!</v>
      </c>
      <c r="GV456" t="e">
        <f>AND(#REF!,"AAAAAHP7z8s=")</f>
        <v>#REF!</v>
      </c>
      <c r="GW456" t="e">
        <f>AND(#REF!,"AAAAAHP7z8w=")</f>
        <v>#REF!</v>
      </c>
      <c r="GX456" t="e">
        <f>IF(#REF!,"AAAAAHP7z80=",0)</f>
        <v>#REF!</v>
      </c>
      <c r="GY456" t="e">
        <f>AND(#REF!,"AAAAAHP7z84=")</f>
        <v>#REF!</v>
      </c>
      <c r="GZ456" t="e">
        <f>AND(#REF!,"AAAAAHP7z88=")</f>
        <v>#REF!</v>
      </c>
      <c r="HA456" t="e">
        <f>AND(#REF!,"AAAAAHP7z9A=")</f>
        <v>#REF!</v>
      </c>
      <c r="HB456" t="e">
        <f>AND(#REF!,"AAAAAHP7z9E=")</f>
        <v>#REF!</v>
      </c>
      <c r="HC456" t="e">
        <f>AND(#REF!,"AAAAAHP7z9I=")</f>
        <v>#REF!</v>
      </c>
      <c r="HD456" t="e">
        <f>AND(#REF!,"AAAAAHP7z9M=")</f>
        <v>#REF!</v>
      </c>
      <c r="HE456" t="e">
        <f>AND(#REF!,"AAAAAHP7z9Q=")</f>
        <v>#REF!</v>
      </c>
      <c r="HF456" t="e">
        <f>AND(#REF!,"AAAAAHP7z9U=")</f>
        <v>#REF!</v>
      </c>
      <c r="HG456" t="e">
        <f>AND(#REF!,"AAAAAHP7z9Y=")</f>
        <v>#REF!</v>
      </c>
      <c r="HH456" t="e">
        <f>AND(#REF!,"AAAAAHP7z9c=")</f>
        <v>#REF!</v>
      </c>
      <c r="HI456" t="e">
        <f>AND(#REF!,"AAAAAHP7z9g=")</f>
        <v>#REF!</v>
      </c>
      <c r="HJ456" t="e">
        <f>AND(#REF!,"AAAAAHP7z9k=")</f>
        <v>#REF!</v>
      </c>
      <c r="HK456" t="e">
        <f>AND(#REF!,"AAAAAHP7z9o=")</f>
        <v>#REF!</v>
      </c>
      <c r="HL456" t="e">
        <f>AND(#REF!,"AAAAAHP7z9s=")</f>
        <v>#REF!</v>
      </c>
      <c r="HM456" t="e">
        <f>AND(#REF!,"AAAAAHP7z9w=")</f>
        <v>#REF!</v>
      </c>
      <c r="HN456" t="e">
        <f>AND(#REF!,"AAAAAHP7z90=")</f>
        <v>#REF!</v>
      </c>
      <c r="HO456" t="e">
        <f>AND(#REF!,"AAAAAHP7z94=")</f>
        <v>#REF!</v>
      </c>
      <c r="HP456" t="e">
        <f>AND(#REF!,"AAAAAHP7z98=")</f>
        <v>#REF!</v>
      </c>
      <c r="HQ456" t="e">
        <f>AND(#REF!,"AAAAAHP7z+A=")</f>
        <v>#REF!</v>
      </c>
      <c r="HR456" t="e">
        <f>AND(#REF!,"AAAAAHP7z+E=")</f>
        <v>#REF!</v>
      </c>
      <c r="HS456" t="e">
        <f>AND(#REF!,"AAAAAHP7z+I=")</f>
        <v>#REF!</v>
      </c>
      <c r="HT456" t="e">
        <f>AND(#REF!,"AAAAAHP7z+M=")</f>
        <v>#REF!</v>
      </c>
      <c r="HU456" t="e">
        <f>AND(#REF!,"AAAAAHP7z+Q=")</f>
        <v>#REF!</v>
      </c>
      <c r="HV456" t="e">
        <f>AND(#REF!,"AAAAAHP7z+U=")</f>
        <v>#REF!</v>
      </c>
      <c r="HW456" t="e">
        <f>IF(#REF!,"AAAAAHP7z+Y=",0)</f>
        <v>#REF!</v>
      </c>
      <c r="HX456" t="e">
        <f>AND(#REF!,"AAAAAHP7z+c=")</f>
        <v>#REF!</v>
      </c>
      <c r="HY456" t="e">
        <f>AND(#REF!,"AAAAAHP7z+g=")</f>
        <v>#REF!</v>
      </c>
      <c r="HZ456" t="e">
        <f>AND(#REF!,"AAAAAHP7z+k=")</f>
        <v>#REF!</v>
      </c>
      <c r="IA456" t="e">
        <f>AND(#REF!,"AAAAAHP7z+o=")</f>
        <v>#REF!</v>
      </c>
      <c r="IB456" t="e">
        <f>AND(#REF!,"AAAAAHP7z+s=")</f>
        <v>#REF!</v>
      </c>
      <c r="IC456" t="e">
        <f>AND(#REF!,"AAAAAHP7z+w=")</f>
        <v>#REF!</v>
      </c>
      <c r="ID456" t="e">
        <f>AND(#REF!,"AAAAAHP7z+0=")</f>
        <v>#REF!</v>
      </c>
      <c r="IE456" t="e">
        <f>AND(#REF!,"AAAAAHP7z+4=")</f>
        <v>#REF!</v>
      </c>
      <c r="IF456" t="e">
        <f>AND(#REF!,"AAAAAHP7z+8=")</f>
        <v>#REF!</v>
      </c>
      <c r="IG456" t="e">
        <f>AND(#REF!,"AAAAAHP7z/A=")</f>
        <v>#REF!</v>
      </c>
      <c r="IH456" t="e">
        <f>AND(#REF!,"AAAAAHP7z/E=")</f>
        <v>#REF!</v>
      </c>
      <c r="II456" t="e">
        <f>AND(#REF!,"AAAAAHP7z/I=")</f>
        <v>#REF!</v>
      </c>
      <c r="IJ456" t="e">
        <f>AND(#REF!,"AAAAAHP7z/M=")</f>
        <v>#REF!</v>
      </c>
      <c r="IK456" t="e">
        <f>AND(#REF!,"AAAAAHP7z/Q=")</f>
        <v>#REF!</v>
      </c>
      <c r="IL456" t="e">
        <f>AND(#REF!,"AAAAAHP7z/U=")</f>
        <v>#REF!</v>
      </c>
      <c r="IM456" t="e">
        <f>AND(#REF!,"AAAAAHP7z/Y=")</f>
        <v>#REF!</v>
      </c>
      <c r="IN456" t="e">
        <f>AND(#REF!,"AAAAAHP7z/c=")</f>
        <v>#REF!</v>
      </c>
      <c r="IO456" t="e">
        <f>AND(#REF!,"AAAAAHP7z/g=")</f>
        <v>#REF!</v>
      </c>
      <c r="IP456" t="e">
        <f>AND(#REF!,"AAAAAHP7z/k=")</f>
        <v>#REF!</v>
      </c>
      <c r="IQ456" t="e">
        <f>AND(#REF!,"AAAAAHP7z/o=")</f>
        <v>#REF!</v>
      </c>
      <c r="IR456" t="e">
        <f>AND(#REF!,"AAAAAHP7z/s=")</f>
        <v>#REF!</v>
      </c>
      <c r="IS456" t="e">
        <f>AND(#REF!,"AAAAAHP7z/w=")</f>
        <v>#REF!</v>
      </c>
      <c r="IT456" t="e">
        <f>AND(#REF!,"AAAAAHP7z/0=")</f>
        <v>#REF!</v>
      </c>
      <c r="IU456" t="e">
        <f>AND(#REF!,"AAAAAHP7z/4=")</f>
        <v>#REF!</v>
      </c>
      <c r="IV456" t="e">
        <f>IF(#REF!,"AAAAAHP7z/8=",0)</f>
        <v>#REF!</v>
      </c>
    </row>
    <row r="457" spans="1:256">
      <c r="A457" t="e">
        <f>AND(#REF!,"AAAAAG+P/gA=")</f>
        <v>#REF!</v>
      </c>
      <c r="B457" t="e">
        <f>AND(#REF!,"AAAAAG+P/gE=")</f>
        <v>#REF!</v>
      </c>
      <c r="C457" t="e">
        <f>AND(#REF!,"AAAAAG+P/gI=")</f>
        <v>#REF!</v>
      </c>
      <c r="D457" t="e">
        <f>AND(#REF!,"AAAAAG+P/gM=")</f>
        <v>#REF!</v>
      </c>
      <c r="E457" t="e">
        <f>AND(#REF!,"AAAAAG+P/gQ=")</f>
        <v>#REF!</v>
      </c>
      <c r="F457" t="e">
        <f>AND(#REF!,"AAAAAG+P/gU=")</f>
        <v>#REF!</v>
      </c>
      <c r="G457" t="e">
        <f>AND(#REF!,"AAAAAG+P/gY=")</f>
        <v>#REF!</v>
      </c>
      <c r="H457" t="e">
        <f>AND(#REF!,"AAAAAG+P/gc=")</f>
        <v>#REF!</v>
      </c>
      <c r="I457" t="e">
        <f>AND(#REF!,"AAAAAG+P/gg=")</f>
        <v>#REF!</v>
      </c>
      <c r="J457" t="e">
        <f>AND(#REF!,"AAAAAG+P/gk=")</f>
        <v>#REF!</v>
      </c>
      <c r="K457" t="e">
        <f>AND(#REF!,"AAAAAG+P/go=")</f>
        <v>#REF!</v>
      </c>
      <c r="L457" t="e">
        <f>AND(#REF!,"AAAAAG+P/gs=")</f>
        <v>#REF!</v>
      </c>
      <c r="M457" t="e">
        <f>AND(#REF!,"AAAAAG+P/gw=")</f>
        <v>#REF!</v>
      </c>
      <c r="N457" t="e">
        <f>AND(#REF!,"AAAAAG+P/g0=")</f>
        <v>#REF!</v>
      </c>
      <c r="O457" t="e">
        <f>AND(#REF!,"AAAAAG+P/g4=")</f>
        <v>#REF!</v>
      </c>
      <c r="P457" t="e">
        <f>AND(#REF!,"AAAAAG+P/g8=")</f>
        <v>#REF!</v>
      </c>
      <c r="Q457" t="e">
        <f>AND(#REF!,"AAAAAG+P/hA=")</f>
        <v>#REF!</v>
      </c>
      <c r="R457" t="e">
        <f>AND(#REF!,"AAAAAG+P/hE=")</f>
        <v>#REF!</v>
      </c>
      <c r="S457" t="e">
        <f>AND(#REF!,"AAAAAG+P/hI=")</f>
        <v>#REF!</v>
      </c>
      <c r="T457" t="e">
        <f>AND(#REF!,"AAAAAG+P/hM=")</f>
        <v>#REF!</v>
      </c>
      <c r="U457" t="e">
        <f>AND(#REF!,"AAAAAG+P/hQ=")</f>
        <v>#REF!</v>
      </c>
      <c r="V457" t="e">
        <f>AND(#REF!,"AAAAAG+P/hU=")</f>
        <v>#REF!</v>
      </c>
      <c r="W457" t="e">
        <f>AND(#REF!,"AAAAAG+P/hY=")</f>
        <v>#REF!</v>
      </c>
      <c r="X457" t="e">
        <f>AND(#REF!,"AAAAAG+P/hc=")</f>
        <v>#REF!</v>
      </c>
      <c r="Y457" t="e">
        <f>IF(#REF!,"AAAAAG+P/hg=",0)</f>
        <v>#REF!</v>
      </c>
      <c r="Z457" t="e">
        <f>AND(#REF!,"AAAAAG+P/hk=")</f>
        <v>#REF!</v>
      </c>
      <c r="AA457" t="e">
        <f>AND(#REF!,"AAAAAG+P/ho=")</f>
        <v>#REF!</v>
      </c>
      <c r="AB457" t="e">
        <f>AND(#REF!,"AAAAAG+P/hs=")</f>
        <v>#REF!</v>
      </c>
      <c r="AC457" t="e">
        <f>AND(#REF!,"AAAAAG+P/hw=")</f>
        <v>#REF!</v>
      </c>
      <c r="AD457" t="e">
        <f>AND(#REF!,"AAAAAG+P/h0=")</f>
        <v>#REF!</v>
      </c>
      <c r="AE457" t="e">
        <f>AND(#REF!,"AAAAAG+P/h4=")</f>
        <v>#REF!</v>
      </c>
      <c r="AF457" t="e">
        <f>AND(#REF!,"AAAAAG+P/h8=")</f>
        <v>#REF!</v>
      </c>
      <c r="AG457" t="e">
        <f>AND(#REF!,"AAAAAG+P/iA=")</f>
        <v>#REF!</v>
      </c>
      <c r="AH457" t="e">
        <f>AND(#REF!,"AAAAAG+P/iE=")</f>
        <v>#REF!</v>
      </c>
      <c r="AI457" t="e">
        <f>AND(#REF!,"AAAAAG+P/iI=")</f>
        <v>#REF!</v>
      </c>
      <c r="AJ457" t="e">
        <f>AND(#REF!,"AAAAAG+P/iM=")</f>
        <v>#REF!</v>
      </c>
      <c r="AK457" t="e">
        <f>AND(#REF!,"AAAAAG+P/iQ=")</f>
        <v>#REF!</v>
      </c>
      <c r="AL457" t="e">
        <f>AND(#REF!,"AAAAAG+P/iU=")</f>
        <v>#REF!</v>
      </c>
      <c r="AM457" t="e">
        <f>AND(#REF!,"AAAAAG+P/iY=")</f>
        <v>#REF!</v>
      </c>
      <c r="AN457" t="e">
        <f>AND(#REF!,"AAAAAG+P/ic=")</f>
        <v>#REF!</v>
      </c>
      <c r="AO457" t="e">
        <f>AND(#REF!,"AAAAAG+P/ig=")</f>
        <v>#REF!</v>
      </c>
      <c r="AP457" t="e">
        <f>AND(#REF!,"AAAAAG+P/ik=")</f>
        <v>#REF!</v>
      </c>
      <c r="AQ457" t="e">
        <f>AND(#REF!,"AAAAAG+P/io=")</f>
        <v>#REF!</v>
      </c>
      <c r="AR457" t="e">
        <f>AND(#REF!,"AAAAAG+P/is=")</f>
        <v>#REF!</v>
      </c>
      <c r="AS457" t="e">
        <f>AND(#REF!,"AAAAAG+P/iw=")</f>
        <v>#REF!</v>
      </c>
      <c r="AT457" t="e">
        <f>AND(#REF!,"AAAAAG+P/i0=")</f>
        <v>#REF!</v>
      </c>
      <c r="AU457" t="e">
        <f>AND(#REF!,"AAAAAG+P/i4=")</f>
        <v>#REF!</v>
      </c>
      <c r="AV457" t="e">
        <f>AND(#REF!,"AAAAAG+P/i8=")</f>
        <v>#REF!</v>
      </c>
      <c r="AW457" t="e">
        <f>AND(#REF!,"AAAAAG+P/jA=")</f>
        <v>#REF!</v>
      </c>
      <c r="AX457" t="e">
        <f>IF(#REF!,"AAAAAG+P/jE=",0)</f>
        <v>#REF!</v>
      </c>
      <c r="AY457" t="e">
        <f>AND(#REF!,"AAAAAG+P/jI=")</f>
        <v>#REF!</v>
      </c>
      <c r="AZ457" t="e">
        <f>AND(#REF!,"AAAAAG+P/jM=")</f>
        <v>#REF!</v>
      </c>
      <c r="BA457" t="e">
        <f>AND(#REF!,"AAAAAG+P/jQ=")</f>
        <v>#REF!</v>
      </c>
      <c r="BB457" t="e">
        <f>AND(#REF!,"AAAAAG+P/jU=")</f>
        <v>#REF!</v>
      </c>
      <c r="BC457" t="e">
        <f>AND(#REF!,"AAAAAG+P/jY=")</f>
        <v>#REF!</v>
      </c>
      <c r="BD457" t="e">
        <f>AND(#REF!,"AAAAAG+P/jc=")</f>
        <v>#REF!</v>
      </c>
      <c r="BE457" t="e">
        <f>AND(#REF!,"AAAAAG+P/jg=")</f>
        <v>#REF!</v>
      </c>
      <c r="BF457" t="e">
        <f>AND(#REF!,"AAAAAG+P/jk=")</f>
        <v>#REF!</v>
      </c>
      <c r="BG457" t="e">
        <f>AND(#REF!,"AAAAAG+P/jo=")</f>
        <v>#REF!</v>
      </c>
      <c r="BH457" t="e">
        <f>AND(#REF!,"AAAAAG+P/js=")</f>
        <v>#REF!</v>
      </c>
      <c r="BI457" t="e">
        <f>AND(#REF!,"AAAAAG+P/jw=")</f>
        <v>#REF!</v>
      </c>
      <c r="BJ457" t="e">
        <f>AND(#REF!,"AAAAAG+P/j0=")</f>
        <v>#REF!</v>
      </c>
      <c r="BK457" t="e">
        <f>AND(#REF!,"AAAAAG+P/j4=")</f>
        <v>#REF!</v>
      </c>
      <c r="BL457" t="e">
        <f>AND(#REF!,"AAAAAG+P/j8=")</f>
        <v>#REF!</v>
      </c>
      <c r="BM457" t="e">
        <f>AND(#REF!,"AAAAAG+P/kA=")</f>
        <v>#REF!</v>
      </c>
      <c r="BN457" t="e">
        <f>AND(#REF!,"AAAAAG+P/kE=")</f>
        <v>#REF!</v>
      </c>
      <c r="BO457" t="e">
        <f>AND(#REF!,"AAAAAG+P/kI=")</f>
        <v>#REF!</v>
      </c>
      <c r="BP457" t="e">
        <f>AND(#REF!,"AAAAAG+P/kM=")</f>
        <v>#REF!</v>
      </c>
      <c r="BQ457" t="e">
        <f>AND(#REF!,"AAAAAG+P/kQ=")</f>
        <v>#REF!</v>
      </c>
      <c r="BR457" t="e">
        <f>AND(#REF!,"AAAAAG+P/kU=")</f>
        <v>#REF!</v>
      </c>
      <c r="BS457" t="e">
        <f>AND(#REF!,"AAAAAG+P/kY=")</f>
        <v>#REF!</v>
      </c>
      <c r="BT457" t="e">
        <f>AND(#REF!,"AAAAAG+P/kc=")</f>
        <v>#REF!</v>
      </c>
      <c r="BU457" t="e">
        <f>AND(#REF!,"AAAAAG+P/kg=")</f>
        <v>#REF!</v>
      </c>
      <c r="BV457" t="e">
        <f>AND(#REF!,"AAAAAG+P/kk=")</f>
        <v>#REF!</v>
      </c>
      <c r="BW457" t="e">
        <f>IF(#REF!,"AAAAAG+P/ko=",0)</f>
        <v>#REF!</v>
      </c>
      <c r="BX457" t="e">
        <f>AND(#REF!,"AAAAAG+P/ks=")</f>
        <v>#REF!</v>
      </c>
      <c r="BY457" t="e">
        <f>AND(#REF!,"AAAAAG+P/kw=")</f>
        <v>#REF!</v>
      </c>
      <c r="BZ457" t="e">
        <f>AND(#REF!,"AAAAAG+P/k0=")</f>
        <v>#REF!</v>
      </c>
      <c r="CA457" t="e">
        <f>AND(#REF!,"AAAAAG+P/k4=")</f>
        <v>#REF!</v>
      </c>
      <c r="CB457" t="e">
        <f>AND(#REF!,"AAAAAG+P/k8=")</f>
        <v>#REF!</v>
      </c>
      <c r="CC457" t="e">
        <f>AND(#REF!,"AAAAAG+P/lA=")</f>
        <v>#REF!</v>
      </c>
      <c r="CD457" t="e">
        <f>AND(#REF!,"AAAAAG+P/lE=")</f>
        <v>#REF!</v>
      </c>
      <c r="CE457" t="e">
        <f>AND(#REF!,"AAAAAG+P/lI=")</f>
        <v>#REF!</v>
      </c>
      <c r="CF457" t="e">
        <f>AND(#REF!,"AAAAAG+P/lM=")</f>
        <v>#REF!</v>
      </c>
      <c r="CG457" t="e">
        <f>AND(#REF!,"AAAAAG+P/lQ=")</f>
        <v>#REF!</v>
      </c>
      <c r="CH457" t="e">
        <f>AND(#REF!,"AAAAAG+P/lU=")</f>
        <v>#REF!</v>
      </c>
      <c r="CI457" t="e">
        <f>AND(#REF!,"AAAAAG+P/lY=")</f>
        <v>#REF!</v>
      </c>
      <c r="CJ457" t="e">
        <f>AND(#REF!,"AAAAAG+P/lc=")</f>
        <v>#REF!</v>
      </c>
      <c r="CK457" t="e">
        <f>AND(#REF!,"AAAAAG+P/lg=")</f>
        <v>#REF!</v>
      </c>
      <c r="CL457" t="e">
        <f>AND(#REF!,"AAAAAG+P/lk=")</f>
        <v>#REF!</v>
      </c>
      <c r="CM457" t="e">
        <f>AND(#REF!,"AAAAAG+P/lo=")</f>
        <v>#REF!</v>
      </c>
      <c r="CN457" t="e">
        <f>AND(#REF!,"AAAAAG+P/ls=")</f>
        <v>#REF!</v>
      </c>
      <c r="CO457" t="e">
        <f>AND(#REF!,"AAAAAG+P/lw=")</f>
        <v>#REF!</v>
      </c>
      <c r="CP457" t="e">
        <f>AND(#REF!,"AAAAAG+P/l0=")</f>
        <v>#REF!</v>
      </c>
      <c r="CQ457" t="e">
        <f>AND(#REF!,"AAAAAG+P/l4=")</f>
        <v>#REF!</v>
      </c>
      <c r="CR457" t="e">
        <f>AND(#REF!,"AAAAAG+P/l8=")</f>
        <v>#REF!</v>
      </c>
      <c r="CS457" t="e">
        <f>AND(#REF!,"AAAAAG+P/mA=")</f>
        <v>#REF!</v>
      </c>
      <c r="CT457" t="e">
        <f>AND(#REF!,"AAAAAG+P/mE=")</f>
        <v>#REF!</v>
      </c>
      <c r="CU457" t="e">
        <f>AND(#REF!,"AAAAAG+P/mI=")</f>
        <v>#REF!</v>
      </c>
      <c r="CV457" t="e">
        <f>IF(#REF!,"AAAAAG+P/mM=",0)</f>
        <v>#REF!</v>
      </c>
      <c r="CW457" t="e">
        <f>AND(#REF!,"AAAAAG+P/mQ=")</f>
        <v>#REF!</v>
      </c>
      <c r="CX457" t="e">
        <f>AND(#REF!,"AAAAAG+P/mU=")</f>
        <v>#REF!</v>
      </c>
      <c r="CY457" t="e">
        <f>AND(#REF!,"AAAAAG+P/mY=")</f>
        <v>#REF!</v>
      </c>
      <c r="CZ457" t="e">
        <f>AND(#REF!,"AAAAAG+P/mc=")</f>
        <v>#REF!</v>
      </c>
      <c r="DA457" t="e">
        <f>AND(#REF!,"AAAAAG+P/mg=")</f>
        <v>#REF!</v>
      </c>
      <c r="DB457" t="e">
        <f>AND(#REF!,"AAAAAG+P/mk=")</f>
        <v>#REF!</v>
      </c>
      <c r="DC457" t="e">
        <f>AND(#REF!,"AAAAAG+P/mo=")</f>
        <v>#REF!</v>
      </c>
      <c r="DD457" t="e">
        <f>AND(#REF!,"AAAAAG+P/ms=")</f>
        <v>#REF!</v>
      </c>
      <c r="DE457" t="e">
        <f>AND(#REF!,"AAAAAG+P/mw=")</f>
        <v>#REF!</v>
      </c>
      <c r="DF457" t="e">
        <f>AND(#REF!,"AAAAAG+P/m0=")</f>
        <v>#REF!</v>
      </c>
      <c r="DG457" t="e">
        <f>AND(#REF!,"AAAAAG+P/m4=")</f>
        <v>#REF!</v>
      </c>
      <c r="DH457" t="e">
        <f>AND(#REF!,"AAAAAG+P/m8=")</f>
        <v>#REF!</v>
      </c>
      <c r="DI457" t="e">
        <f>AND(#REF!,"AAAAAG+P/nA=")</f>
        <v>#REF!</v>
      </c>
      <c r="DJ457" t="e">
        <f>AND(#REF!,"AAAAAG+P/nE=")</f>
        <v>#REF!</v>
      </c>
      <c r="DK457" t="e">
        <f>AND(#REF!,"AAAAAG+P/nI=")</f>
        <v>#REF!</v>
      </c>
      <c r="DL457" t="e">
        <f>AND(#REF!,"AAAAAG+P/nM=")</f>
        <v>#REF!</v>
      </c>
      <c r="DM457" t="e">
        <f>AND(#REF!,"AAAAAG+P/nQ=")</f>
        <v>#REF!</v>
      </c>
      <c r="DN457" t="e">
        <f>AND(#REF!,"AAAAAG+P/nU=")</f>
        <v>#REF!</v>
      </c>
      <c r="DO457" t="e">
        <f>AND(#REF!,"AAAAAG+P/nY=")</f>
        <v>#REF!</v>
      </c>
      <c r="DP457" t="e">
        <f>AND(#REF!,"AAAAAG+P/nc=")</f>
        <v>#REF!</v>
      </c>
      <c r="DQ457" t="e">
        <f>AND(#REF!,"AAAAAG+P/ng=")</f>
        <v>#REF!</v>
      </c>
      <c r="DR457" t="e">
        <f>AND(#REF!,"AAAAAG+P/nk=")</f>
        <v>#REF!</v>
      </c>
      <c r="DS457" t="e">
        <f>AND(#REF!,"AAAAAG+P/no=")</f>
        <v>#REF!</v>
      </c>
      <c r="DT457" t="e">
        <f>AND(#REF!,"AAAAAG+P/ns=")</f>
        <v>#REF!</v>
      </c>
      <c r="DU457" t="e">
        <f>IF(#REF!,"AAAAAG+P/nw=",0)</f>
        <v>#REF!</v>
      </c>
      <c r="DV457" t="e">
        <f>AND(#REF!,"AAAAAG+P/n0=")</f>
        <v>#REF!</v>
      </c>
      <c r="DW457" t="e">
        <f>AND(#REF!,"AAAAAG+P/n4=")</f>
        <v>#REF!</v>
      </c>
      <c r="DX457" t="e">
        <f>AND(#REF!,"AAAAAG+P/n8=")</f>
        <v>#REF!</v>
      </c>
      <c r="DY457" t="e">
        <f>AND(#REF!,"AAAAAG+P/oA=")</f>
        <v>#REF!</v>
      </c>
      <c r="DZ457" t="e">
        <f>AND(#REF!,"AAAAAG+P/oE=")</f>
        <v>#REF!</v>
      </c>
      <c r="EA457" t="e">
        <f>AND(#REF!,"AAAAAG+P/oI=")</f>
        <v>#REF!</v>
      </c>
      <c r="EB457" t="e">
        <f>AND(#REF!,"AAAAAG+P/oM=")</f>
        <v>#REF!</v>
      </c>
      <c r="EC457" t="e">
        <f>AND(#REF!,"AAAAAG+P/oQ=")</f>
        <v>#REF!</v>
      </c>
      <c r="ED457" t="e">
        <f>AND(#REF!,"AAAAAG+P/oU=")</f>
        <v>#REF!</v>
      </c>
      <c r="EE457" t="e">
        <f>AND(#REF!,"AAAAAG+P/oY=")</f>
        <v>#REF!</v>
      </c>
      <c r="EF457" t="e">
        <f>AND(#REF!,"AAAAAG+P/oc=")</f>
        <v>#REF!</v>
      </c>
      <c r="EG457" t="e">
        <f>AND(#REF!,"AAAAAG+P/og=")</f>
        <v>#REF!</v>
      </c>
      <c r="EH457" t="e">
        <f>AND(#REF!,"AAAAAG+P/ok=")</f>
        <v>#REF!</v>
      </c>
      <c r="EI457" t="e">
        <f>AND(#REF!,"AAAAAG+P/oo=")</f>
        <v>#REF!</v>
      </c>
      <c r="EJ457" t="e">
        <f>AND(#REF!,"AAAAAG+P/os=")</f>
        <v>#REF!</v>
      </c>
      <c r="EK457" t="e">
        <f>AND(#REF!,"AAAAAG+P/ow=")</f>
        <v>#REF!</v>
      </c>
      <c r="EL457" t="e">
        <f>AND(#REF!,"AAAAAG+P/o0=")</f>
        <v>#REF!</v>
      </c>
      <c r="EM457" t="e">
        <f>AND(#REF!,"AAAAAG+P/o4=")</f>
        <v>#REF!</v>
      </c>
      <c r="EN457" t="e">
        <f>AND(#REF!,"AAAAAG+P/o8=")</f>
        <v>#REF!</v>
      </c>
      <c r="EO457" t="e">
        <f>AND(#REF!,"AAAAAG+P/pA=")</f>
        <v>#REF!</v>
      </c>
      <c r="EP457" t="e">
        <f>AND(#REF!,"AAAAAG+P/pE=")</f>
        <v>#REF!</v>
      </c>
      <c r="EQ457" t="e">
        <f>AND(#REF!,"AAAAAG+P/pI=")</f>
        <v>#REF!</v>
      </c>
      <c r="ER457" t="e">
        <f>AND(#REF!,"AAAAAG+P/pM=")</f>
        <v>#REF!</v>
      </c>
      <c r="ES457" t="e">
        <f>AND(#REF!,"AAAAAG+P/pQ=")</f>
        <v>#REF!</v>
      </c>
      <c r="ET457" t="e">
        <f>IF(#REF!,"AAAAAG+P/pU=",0)</f>
        <v>#REF!</v>
      </c>
      <c r="EU457" t="e">
        <f>AND(#REF!,"AAAAAG+P/pY=")</f>
        <v>#REF!</v>
      </c>
      <c r="EV457" t="e">
        <f>AND(#REF!,"AAAAAG+P/pc=")</f>
        <v>#REF!</v>
      </c>
      <c r="EW457" t="e">
        <f>AND(#REF!,"AAAAAG+P/pg=")</f>
        <v>#REF!</v>
      </c>
      <c r="EX457" t="e">
        <f>AND(#REF!,"AAAAAG+P/pk=")</f>
        <v>#REF!</v>
      </c>
      <c r="EY457" t="e">
        <f>AND(#REF!,"AAAAAG+P/po=")</f>
        <v>#REF!</v>
      </c>
      <c r="EZ457" t="e">
        <f>AND(#REF!,"AAAAAG+P/ps=")</f>
        <v>#REF!</v>
      </c>
      <c r="FA457" t="e">
        <f>AND(#REF!,"AAAAAG+P/pw=")</f>
        <v>#REF!</v>
      </c>
      <c r="FB457" t="e">
        <f>AND(#REF!,"AAAAAG+P/p0=")</f>
        <v>#REF!</v>
      </c>
      <c r="FC457" t="e">
        <f>AND(#REF!,"AAAAAG+P/p4=")</f>
        <v>#REF!</v>
      </c>
      <c r="FD457" t="e">
        <f>AND(#REF!,"AAAAAG+P/p8=")</f>
        <v>#REF!</v>
      </c>
      <c r="FE457" t="e">
        <f>AND(#REF!,"AAAAAG+P/qA=")</f>
        <v>#REF!</v>
      </c>
      <c r="FF457" t="e">
        <f>AND(#REF!,"AAAAAG+P/qE=")</f>
        <v>#REF!</v>
      </c>
      <c r="FG457" t="e">
        <f>AND(#REF!,"AAAAAG+P/qI=")</f>
        <v>#REF!</v>
      </c>
      <c r="FH457" t="e">
        <f>AND(#REF!,"AAAAAG+P/qM=")</f>
        <v>#REF!</v>
      </c>
      <c r="FI457" t="e">
        <f>AND(#REF!,"AAAAAG+P/qQ=")</f>
        <v>#REF!</v>
      </c>
      <c r="FJ457" t="e">
        <f>AND(#REF!,"AAAAAG+P/qU=")</f>
        <v>#REF!</v>
      </c>
      <c r="FK457" t="e">
        <f>AND(#REF!,"AAAAAG+P/qY=")</f>
        <v>#REF!</v>
      </c>
      <c r="FL457" t="e">
        <f>AND(#REF!,"AAAAAG+P/qc=")</f>
        <v>#REF!</v>
      </c>
      <c r="FM457" t="e">
        <f>AND(#REF!,"AAAAAG+P/qg=")</f>
        <v>#REF!</v>
      </c>
      <c r="FN457" t="e">
        <f>AND(#REF!,"AAAAAG+P/qk=")</f>
        <v>#REF!</v>
      </c>
      <c r="FO457" t="e">
        <f>AND(#REF!,"AAAAAG+P/qo=")</f>
        <v>#REF!</v>
      </c>
      <c r="FP457" t="e">
        <f>AND(#REF!,"AAAAAG+P/qs=")</f>
        <v>#REF!</v>
      </c>
      <c r="FQ457" t="e">
        <f>AND(#REF!,"AAAAAG+P/qw=")</f>
        <v>#REF!</v>
      </c>
      <c r="FR457" t="e">
        <f>AND(#REF!,"AAAAAG+P/q0=")</f>
        <v>#REF!</v>
      </c>
      <c r="FS457" t="e">
        <f>IF(#REF!,"AAAAAG+P/q4=",0)</f>
        <v>#REF!</v>
      </c>
      <c r="FT457" t="e">
        <f>AND(#REF!,"AAAAAG+P/q8=")</f>
        <v>#REF!</v>
      </c>
      <c r="FU457" t="e">
        <f>AND(#REF!,"AAAAAG+P/rA=")</f>
        <v>#REF!</v>
      </c>
      <c r="FV457" t="e">
        <f>AND(#REF!,"AAAAAG+P/rE=")</f>
        <v>#REF!</v>
      </c>
      <c r="FW457" t="e">
        <f>AND(#REF!,"AAAAAG+P/rI=")</f>
        <v>#REF!</v>
      </c>
      <c r="FX457" t="e">
        <f>AND(#REF!,"AAAAAG+P/rM=")</f>
        <v>#REF!</v>
      </c>
      <c r="FY457" t="e">
        <f>AND(#REF!,"AAAAAG+P/rQ=")</f>
        <v>#REF!</v>
      </c>
      <c r="FZ457" t="e">
        <f>AND(#REF!,"AAAAAG+P/rU=")</f>
        <v>#REF!</v>
      </c>
      <c r="GA457" t="e">
        <f>AND(#REF!,"AAAAAG+P/rY=")</f>
        <v>#REF!</v>
      </c>
      <c r="GB457" t="e">
        <f>AND(#REF!,"AAAAAG+P/rc=")</f>
        <v>#REF!</v>
      </c>
      <c r="GC457" t="e">
        <f>AND(#REF!,"AAAAAG+P/rg=")</f>
        <v>#REF!</v>
      </c>
      <c r="GD457" t="e">
        <f>AND(#REF!,"AAAAAG+P/rk=")</f>
        <v>#REF!</v>
      </c>
      <c r="GE457" t="e">
        <f>AND(#REF!,"AAAAAG+P/ro=")</f>
        <v>#REF!</v>
      </c>
      <c r="GF457" t="e">
        <f>AND(#REF!,"AAAAAG+P/rs=")</f>
        <v>#REF!</v>
      </c>
      <c r="GG457" t="e">
        <f>AND(#REF!,"AAAAAG+P/rw=")</f>
        <v>#REF!</v>
      </c>
      <c r="GH457" t="e">
        <f>AND(#REF!,"AAAAAG+P/r0=")</f>
        <v>#REF!</v>
      </c>
      <c r="GI457" t="e">
        <f>AND(#REF!,"AAAAAG+P/r4=")</f>
        <v>#REF!</v>
      </c>
      <c r="GJ457" t="e">
        <f>AND(#REF!,"AAAAAG+P/r8=")</f>
        <v>#REF!</v>
      </c>
      <c r="GK457" t="e">
        <f>AND(#REF!,"AAAAAG+P/sA=")</f>
        <v>#REF!</v>
      </c>
      <c r="GL457" t="e">
        <f>AND(#REF!,"AAAAAG+P/sE=")</f>
        <v>#REF!</v>
      </c>
      <c r="GM457" t="e">
        <f>AND(#REF!,"AAAAAG+P/sI=")</f>
        <v>#REF!</v>
      </c>
      <c r="GN457" t="e">
        <f>AND(#REF!,"AAAAAG+P/sM=")</f>
        <v>#REF!</v>
      </c>
      <c r="GO457" t="e">
        <f>AND(#REF!,"AAAAAG+P/sQ=")</f>
        <v>#REF!</v>
      </c>
      <c r="GP457" t="e">
        <f>AND(#REF!,"AAAAAG+P/sU=")</f>
        <v>#REF!</v>
      </c>
      <c r="GQ457" t="e">
        <f>AND(#REF!,"AAAAAG+P/sY=")</f>
        <v>#REF!</v>
      </c>
      <c r="GR457" t="e">
        <f>IF(#REF!,"AAAAAG+P/sc=",0)</f>
        <v>#REF!</v>
      </c>
      <c r="GS457" t="e">
        <f>AND(#REF!,"AAAAAG+P/sg=")</f>
        <v>#REF!</v>
      </c>
      <c r="GT457" t="e">
        <f>AND(#REF!,"AAAAAG+P/sk=")</f>
        <v>#REF!</v>
      </c>
      <c r="GU457" t="e">
        <f>AND(#REF!,"AAAAAG+P/so=")</f>
        <v>#REF!</v>
      </c>
      <c r="GV457" t="e">
        <f>AND(#REF!,"AAAAAG+P/ss=")</f>
        <v>#REF!</v>
      </c>
      <c r="GW457" t="e">
        <f>AND(#REF!,"AAAAAG+P/sw=")</f>
        <v>#REF!</v>
      </c>
      <c r="GX457" t="e">
        <f>AND(#REF!,"AAAAAG+P/s0=")</f>
        <v>#REF!</v>
      </c>
      <c r="GY457" t="e">
        <f>AND(#REF!,"AAAAAG+P/s4=")</f>
        <v>#REF!</v>
      </c>
      <c r="GZ457" t="e">
        <f>AND(#REF!,"AAAAAG+P/s8=")</f>
        <v>#REF!</v>
      </c>
      <c r="HA457" t="e">
        <f>AND(#REF!,"AAAAAG+P/tA=")</f>
        <v>#REF!</v>
      </c>
      <c r="HB457" t="e">
        <f>AND(#REF!,"AAAAAG+P/tE=")</f>
        <v>#REF!</v>
      </c>
      <c r="HC457" t="e">
        <f>AND(#REF!,"AAAAAG+P/tI=")</f>
        <v>#REF!</v>
      </c>
      <c r="HD457" t="e">
        <f>AND(#REF!,"AAAAAG+P/tM=")</f>
        <v>#REF!</v>
      </c>
      <c r="HE457" t="e">
        <f>AND(#REF!,"AAAAAG+P/tQ=")</f>
        <v>#REF!</v>
      </c>
      <c r="HF457" t="e">
        <f>AND(#REF!,"AAAAAG+P/tU=")</f>
        <v>#REF!</v>
      </c>
      <c r="HG457" t="e">
        <f>AND(#REF!,"AAAAAG+P/tY=")</f>
        <v>#REF!</v>
      </c>
      <c r="HH457" t="e">
        <f>AND(#REF!,"AAAAAG+P/tc=")</f>
        <v>#REF!</v>
      </c>
      <c r="HI457" t="e">
        <f>AND(#REF!,"AAAAAG+P/tg=")</f>
        <v>#REF!</v>
      </c>
      <c r="HJ457" t="e">
        <f>AND(#REF!,"AAAAAG+P/tk=")</f>
        <v>#REF!</v>
      </c>
      <c r="HK457" t="e">
        <f>AND(#REF!,"AAAAAG+P/to=")</f>
        <v>#REF!</v>
      </c>
      <c r="HL457" t="e">
        <f>AND(#REF!,"AAAAAG+P/ts=")</f>
        <v>#REF!</v>
      </c>
      <c r="HM457" t="e">
        <f>AND(#REF!,"AAAAAG+P/tw=")</f>
        <v>#REF!</v>
      </c>
      <c r="HN457" t="e">
        <f>AND(#REF!,"AAAAAG+P/t0=")</f>
        <v>#REF!</v>
      </c>
      <c r="HO457" t="e">
        <f>AND(#REF!,"AAAAAG+P/t4=")</f>
        <v>#REF!</v>
      </c>
      <c r="HP457" t="e">
        <f>AND(#REF!,"AAAAAG+P/t8=")</f>
        <v>#REF!</v>
      </c>
      <c r="HQ457" t="e">
        <f>IF(#REF!,"AAAAAG+P/uA=",0)</f>
        <v>#REF!</v>
      </c>
      <c r="HR457" t="e">
        <f>AND(#REF!,"AAAAAG+P/uE=")</f>
        <v>#REF!</v>
      </c>
      <c r="HS457" t="e">
        <f>AND(#REF!,"AAAAAG+P/uI=")</f>
        <v>#REF!</v>
      </c>
      <c r="HT457" t="e">
        <f>AND(#REF!,"AAAAAG+P/uM=")</f>
        <v>#REF!</v>
      </c>
      <c r="HU457" t="e">
        <f>AND(#REF!,"AAAAAG+P/uQ=")</f>
        <v>#REF!</v>
      </c>
      <c r="HV457" t="e">
        <f>AND(#REF!,"AAAAAG+P/uU=")</f>
        <v>#REF!</v>
      </c>
      <c r="HW457" t="e">
        <f>AND(#REF!,"AAAAAG+P/uY=")</f>
        <v>#REF!</v>
      </c>
      <c r="HX457" t="e">
        <f>AND(#REF!,"AAAAAG+P/uc=")</f>
        <v>#REF!</v>
      </c>
      <c r="HY457" t="e">
        <f>AND(#REF!,"AAAAAG+P/ug=")</f>
        <v>#REF!</v>
      </c>
      <c r="HZ457" t="e">
        <f>AND(#REF!,"AAAAAG+P/uk=")</f>
        <v>#REF!</v>
      </c>
      <c r="IA457" t="e">
        <f>AND(#REF!,"AAAAAG+P/uo=")</f>
        <v>#REF!</v>
      </c>
      <c r="IB457" t="e">
        <f>AND(#REF!,"AAAAAG+P/us=")</f>
        <v>#REF!</v>
      </c>
      <c r="IC457" t="e">
        <f>AND(#REF!,"AAAAAG+P/uw=")</f>
        <v>#REF!</v>
      </c>
      <c r="ID457" t="e">
        <f>AND(#REF!,"AAAAAG+P/u0=")</f>
        <v>#REF!</v>
      </c>
      <c r="IE457" t="e">
        <f>AND(#REF!,"AAAAAG+P/u4=")</f>
        <v>#REF!</v>
      </c>
      <c r="IF457" t="e">
        <f>AND(#REF!,"AAAAAG+P/u8=")</f>
        <v>#REF!</v>
      </c>
      <c r="IG457" t="e">
        <f>AND(#REF!,"AAAAAG+P/vA=")</f>
        <v>#REF!</v>
      </c>
      <c r="IH457" t="e">
        <f>AND(#REF!,"AAAAAG+P/vE=")</f>
        <v>#REF!</v>
      </c>
      <c r="II457" t="e">
        <f>AND(#REF!,"AAAAAG+P/vI=")</f>
        <v>#REF!</v>
      </c>
      <c r="IJ457" t="e">
        <f>AND(#REF!,"AAAAAG+P/vM=")</f>
        <v>#REF!</v>
      </c>
      <c r="IK457" t="e">
        <f>AND(#REF!,"AAAAAG+P/vQ=")</f>
        <v>#REF!</v>
      </c>
      <c r="IL457" t="e">
        <f>AND(#REF!,"AAAAAG+P/vU=")</f>
        <v>#REF!</v>
      </c>
      <c r="IM457" t="e">
        <f>AND(#REF!,"AAAAAG+P/vY=")</f>
        <v>#REF!</v>
      </c>
      <c r="IN457" t="e">
        <f>AND(#REF!,"AAAAAG+P/vc=")</f>
        <v>#REF!</v>
      </c>
      <c r="IO457" t="e">
        <f>AND(#REF!,"AAAAAG+P/vg=")</f>
        <v>#REF!</v>
      </c>
      <c r="IP457" t="e">
        <f>IF(#REF!,"AAAAAG+P/vk=",0)</f>
        <v>#REF!</v>
      </c>
      <c r="IQ457" t="e">
        <f>AND(#REF!,"AAAAAG+P/vo=")</f>
        <v>#REF!</v>
      </c>
      <c r="IR457" t="e">
        <f>AND(#REF!,"AAAAAG+P/vs=")</f>
        <v>#REF!</v>
      </c>
      <c r="IS457" t="e">
        <f>AND(#REF!,"AAAAAG+P/vw=")</f>
        <v>#REF!</v>
      </c>
      <c r="IT457" t="e">
        <f>AND(#REF!,"AAAAAG+P/v0=")</f>
        <v>#REF!</v>
      </c>
      <c r="IU457" t="e">
        <f>AND(#REF!,"AAAAAG+P/v4=")</f>
        <v>#REF!</v>
      </c>
      <c r="IV457" t="e">
        <f>AND(#REF!,"AAAAAG+P/v8=")</f>
        <v>#REF!</v>
      </c>
    </row>
    <row r="458" spans="1:256">
      <c r="A458" t="e">
        <f>AND(#REF!,"AAAAAH/42QA=")</f>
        <v>#REF!</v>
      </c>
      <c r="B458" t="e">
        <f>AND(#REF!,"AAAAAH/42QE=")</f>
        <v>#REF!</v>
      </c>
      <c r="C458" t="e">
        <f>AND(#REF!,"AAAAAH/42QI=")</f>
        <v>#REF!</v>
      </c>
      <c r="D458" t="e">
        <f>AND(#REF!,"AAAAAH/42QM=")</f>
        <v>#REF!</v>
      </c>
      <c r="E458" t="e">
        <f>AND(#REF!,"AAAAAH/42QQ=")</f>
        <v>#REF!</v>
      </c>
      <c r="F458" t="e">
        <f>AND(#REF!,"AAAAAH/42QU=")</f>
        <v>#REF!</v>
      </c>
      <c r="G458" t="e">
        <f>AND(#REF!,"AAAAAH/42QY=")</f>
        <v>#REF!</v>
      </c>
      <c r="H458" t="e">
        <f>AND(#REF!,"AAAAAH/42Qc=")</f>
        <v>#REF!</v>
      </c>
      <c r="I458" t="e">
        <f>AND(#REF!,"AAAAAH/42Qg=")</f>
        <v>#REF!</v>
      </c>
      <c r="J458" t="e">
        <f>AND(#REF!,"AAAAAH/42Qk=")</f>
        <v>#REF!</v>
      </c>
      <c r="K458" t="e">
        <f>AND(#REF!,"AAAAAH/42Qo=")</f>
        <v>#REF!</v>
      </c>
      <c r="L458" t="e">
        <f>AND(#REF!,"AAAAAH/42Qs=")</f>
        <v>#REF!</v>
      </c>
      <c r="M458" t="e">
        <f>AND(#REF!,"AAAAAH/42Qw=")</f>
        <v>#REF!</v>
      </c>
      <c r="N458" t="e">
        <f>AND(#REF!,"AAAAAH/42Q0=")</f>
        <v>#REF!</v>
      </c>
      <c r="O458" t="e">
        <f>AND(#REF!,"AAAAAH/42Q4=")</f>
        <v>#REF!</v>
      </c>
      <c r="P458" t="e">
        <f>AND(#REF!,"AAAAAH/42Q8=")</f>
        <v>#REF!</v>
      </c>
      <c r="Q458" t="e">
        <f>AND(#REF!,"AAAAAH/42RA=")</f>
        <v>#REF!</v>
      </c>
      <c r="R458" t="e">
        <f>AND(#REF!,"AAAAAH/42RE=")</f>
        <v>#REF!</v>
      </c>
      <c r="S458" t="e">
        <f>IF(#REF!,"AAAAAH/42RI=",0)</f>
        <v>#REF!</v>
      </c>
      <c r="T458" t="e">
        <f>AND(#REF!,"AAAAAH/42RM=")</f>
        <v>#REF!</v>
      </c>
      <c r="U458" t="e">
        <f>AND(#REF!,"AAAAAH/42RQ=")</f>
        <v>#REF!</v>
      </c>
      <c r="V458" t="e">
        <f>AND(#REF!,"AAAAAH/42RU=")</f>
        <v>#REF!</v>
      </c>
      <c r="W458" t="e">
        <f>AND(#REF!,"AAAAAH/42RY=")</f>
        <v>#REF!</v>
      </c>
      <c r="X458" t="e">
        <f>AND(#REF!,"AAAAAH/42Rc=")</f>
        <v>#REF!</v>
      </c>
      <c r="Y458" t="e">
        <f>AND(#REF!,"AAAAAH/42Rg=")</f>
        <v>#REF!</v>
      </c>
      <c r="Z458" t="e">
        <f>AND(#REF!,"AAAAAH/42Rk=")</f>
        <v>#REF!</v>
      </c>
      <c r="AA458" t="e">
        <f>AND(#REF!,"AAAAAH/42Ro=")</f>
        <v>#REF!</v>
      </c>
      <c r="AB458" t="e">
        <f>AND(#REF!,"AAAAAH/42Rs=")</f>
        <v>#REF!</v>
      </c>
      <c r="AC458" t="e">
        <f>AND(#REF!,"AAAAAH/42Rw=")</f>
        <v>#REF!</v>
      </c>
      <c r="AD458" t="e">
        <f>AND(#REF!,"AAAAAH/42R0=")</f>
        <v>#REF!</v>
      </c>
      <c r="AE458" t="e">
        <f>AND(#REF!,"AAAAAH/42R4=")</f>
        <v>#REF!</v>
      </c>
      <c r="AF458" t="e">
        <f>AND(#REF!,"AAAAAH/42R8=")</f>
        <v>#REF!</v>
      </c>
      <c r="AG458" t="e">
        <f>AND(#REF!,"AAAAAH/42SA=")</f>
        <v>#REF!</v>
      </c>
      <c r="AH458" t="e">
        <f>AND(#REF!,"AAAAAH/42SE=")</f>
        <v>#REF!</v>
      </c>
      <c r="AI458" t="e">
        <f>AND(#REF!,"AAAAAH/42SI=")</f>
        <v>#REF!</v>
      </c>
      <c r="AJ458" t="e">
        <f>AND(#REF!,"AAAAAH/42SM=")</f>
        <v>#REF!</v>
      </c>
      <c r="AK458" t="e">
        <f>AND(#REF!,"AAAAAH/42SQ=")</f>
        <v>#REF!</v>
      </c>
      <c r="AL458" t="e">
        <f>AND(#REF!,"AAAAAH/42SU=")</f>
        <v>#REF!</v>
      </c>
      <c r="AM458" t="e">
        <f>AND(#REF!,"AAAAAH/42SY=")</f>
        <v>#REF!</v>
      </c>
      <c r="AN458" t="e">
        <f>AND(#REF!,"AAAAAH/42Sc=")</f>
        <v>#REF!</v>
      </c>
      <c r="AO458" t="e">
        <f>AND(#REF!,"AAAAAH/42Sg=")</f>
        <v>#REF!</v>
      </c>
      <c r="AP458" t="e">
        <f>AND(#REF!,"AAAAAH/42Sk=")</f>
        <v>#REF!</v>
      </c>
      <c r="AQ458" t="e">
        <f>AND(#REF!,"AAAAAH/42So=")</f>
        <v>#REF!</v>
      </c>
      <c r="AR458" t="e">
        <f>IF(#REF!,"AAAAAH/42Ss=",0)</f>
        <v>#REF!</v>
      </c>
      <c r="AS458" t="e">
        <f>AND(#REF!,"AAAAAH/42Sw=")</f>
        <v>#REF!</v>
      </c>
      <c r="AT458" t="e">
        <f>AND(#REF!,"AAAAAH/42S0=")</f>
        <v>#REF!</v>
      </c>
      <c r="AU458" t="e">
        <f>AND(#REF!,"AAAAAH/42S4=")</f>
        <v>#REF!</v>
      </c>
      <c r="AV458" t="e">
        <f>AND(#REF!,"AAAAAH/42S8=")</f>
        <v>#REF!</v>
      </c>
      <c r="AW458" t="e">
        <f>AND(#REF!,"AAAAAH/42TA=")</f>
        <v>#REF!</v>
      </c>
      <c r="AX458" t="e">
        <f>AND(#REF!,"AAAAAH/42TE=")</f>
        <v>#REF!</v>
      </c>
      <c r="AY458" t="e">
        <f>AND(#REF!,"AAAAAH/42TI=")</f>
        <v>#REF!</v>
      </c>
      <c r="AZ458" t="e">
        <f>AND(#REF!,"AAAAAH/42TM=")</f>
        <v>#REF!</v>
      </c>
      <c r="BA458" t="e">
        <f>AND(#REF!,"AAAAAH/42TQ=")</f>
        <v>#REF!</v>
      </c>
      <c r="BB458" t="e">
        <f>AND(#REF!,"AAAAAH/42TU=")</f>
        <v>#REF!</v>
      </c>
      <c r="BC458" t="e">
        <f>AND(#REF!,"AAAAAH/42TY=")</f>
        <v>#REF!</v>
      </c>
      <c r="BD458" t="e">
        <f>AND(#REF!,"AAAAAH/42Tc=")</f>
        <v>#REF!</v>
      </c>
      <c r="BE458" t="e">
        <f>AND(#REF!,"AAAAAH/42Tg=")</f>
        <v>#REF!</v>
      </c>
      <c r="BF458" t="e">
        <f>AND(#REF!,"AAAAAH/42Tk=")</f>
        <v>#REF!</v>
      </c>
      <c r="BG458" t="e">
        <f>AND(#REF!,"AAAAAH/42To=")</f>
        <v>#REF!</v>
      </c>
      <c r="BH458" t="e">
        <f>AND(#REF!,"AAAAAH/42Ts=")</f>
        <v>#REF!</v>
      </c>
      <c r="BI458" t="e">
        <f>AND(#REF!,"AAAAAH/42Tw=")</f>
        <v>#REF!</v>
      </c>
      <c r="BJ458" t="e">
        <f>AND(#REF!,"AAAAAH/42T0=")</f>
        <v>#REF!</v>
      </c>
      <c r="BK458" t="e">
        <f>AND(#REF!,"AAAAAH/42T4=")</f>
        <v>#REF!</v>
      </c>
      <c r="BL458" t="e">
        <f>AND(#REF!,"AAAAAH/42T8=")</f>
        <v>#REF!</v>
      </c>
      <c r="BM458" t="e">
        <f>AND(#REF!,"AAAAAH/42UA=")</f>
        <v>#REF!</v>
      </c>
      <c r="BN458" t="e">
        <f>AND(#REF!,"AAAAAH/42UE=")</f>
        <v>#REF!</v>
      </c>
      <c r="BO458" t="e">
        <f>AND(#REF!,"AAAAAH/42UI=")</f>
        <v>#REF!</v>
      </c>
      <c r="BP458" t="e">
        <f>AND(#REF!,"AAAAAH/42UM=")</f>
        <v>#REF!</v>
      </c>
      <c r="BQ458" t="e">
        <f>IF(#REF!,"AAAAAH/42UQ=",0)</f>
        <v>#REF!</v>
      </c>
      <c r="BR458" t="e">
        <f>AND(#REF!,"AAAAAH/42UU=")</f>
        <v>#REF!</v>
      </c>
      <c r="BS458" t="e">
        <f>AND(#REF!,"AAAAAH/42UY=")</f>
        <v>#REF!</v>
      </c>
      <c r="BT458" t="e">
        <f>AND(#REF!,"AAAAAH/42Uc=")</f>
        <v>#REF!</v>
      </c>
      <c r="BU458" t="e">
        <f>AND(#REF!,"AAAAAH/42Ug=")</f>
        <v>#REF!</v>
      </c>
      <c r="BV458" t="e">
        <f>AND(#REF!,"AAAAAH/42Uk=")</f>
        <v>#REF!</v>
      </c>
      <c r="BW458" t="e">
        <f>AND(#REF!,"AAAAAH/42Uo=")</f>
        <v>#REF!</v>
      </c>
      <c r="BX458" t="e">
        <f>AND(#REF!,"AAAAAH/42Us=")</f>
        <v>#REF!</v>
      </c>
      <c r="BY458" t="e">
        <f>AND(#REF!,"AAAAAH/42Uw=")</f>
        <v>#REF!</v>
      </c>
      <c r="BZ458" t="e">
        <f>AND(#REF!,"AAAAAH/42U0=")</f>
        <v>#REF!</v>
      </c>
      <c r="CA458" t="e">
        <f>AND(#REF!,"AAAAAH/42U4=")</f>
        <v>#REF!</v>
      </c>
      <c r="CB458" t="e">
        <f>AND(#REF!,"AAAAAH/42U8=")</f>
        <v>#REF!</v>
      </c>
      <c r="CC458" t="e">
        <f>AND(#REF!,"AAAAAH/42VA=")</f>
        <v>#REF!</v>
      </c>
      <c r="CD458" t="e">
        <f>AND(#REF!,"AAAAAH/42VE=")</f>
        <v>#REF!</v>
      </c>
      <c r="CE458" t="e">
        <f>AND(#REF!,"AAAAAH/42VI=")</f>
        <v>#REF!</v>
      </c>
      <c r="CF458" t="e">
        <f>AND(#REF!,"AAAAAH/42VM=")</f>
        <v>#REF!</v>
      </c>
      <c r="CG458" t="e">
        <f>AND(#REF!,"AAAAAH/42VQ=")</f>
        <v>#REF!</v>
      </c>
      <c r="CH458" t="e">
        <f>AND(#REF!,"AAAAAH/42VU=")</f>
        <v>#REF!</v>
      </c>
      <c r="CI458" t="e">
        <f>AND(#REF!,"AAAAAH/42VY=")</f>
        <v>#REF!</v>
      </c>
      <c r="CJ458" t="e">
        <f>AND(#REF!,"AAAAAH/42Vc=")</f>
        <v>#REF!</v>
      </c>
      <c r="CK458" t="e">
        <f>AND(#REF!,"AAAAAH/42Vg=")</f>
        <v>#REF!</v>
      </c>
      <c r="CL458" t="e">
        <f>AND(#REF!,"AAAAAH/42Vk=")</f>
        <v>#REF!</v>
      </c>
      <c r="CM458" t="e">
        <f>AND(#REF!,"AAAAAH/42Vo=")</f>
        <v>#REF!</v>
      </c>
      <c r="CN458" t="e">
        <f>AND(#REF!,"AAAAAH/42Vs=")</f>
        <v>#REF!</v>
      </c>
      <c r="CO458" t="e">
        <f>AND(#REF!,"AAAAAH/42Vw=")</f>
        <v>#REF!</v>
      </c>
      <c r="CP458" t="e">
        <f>IF(#REF!,"AAAAAH/42V0=",0)</f>
        <v>#REF!</v>
      </c>
      <c r="CQ458" t="e">
        <f>AND(#REF!,"AAAAAH/42V4=")</f>
        <v>#REF!</v>
      </c>
      <c r="CR458" t="e">
        <f>AND(#REF!,"AAAAAH/42V8=")</f>
        <v>#REF!</v>
      </c>
      <c r="CS458" t="e">
        <f>AND(#REF!,"AAAAAH/42WA=")</f>
        <v>#REF!</v>
      </c>
      <c r="CT458" t="e">
        <f>AND(#REF!,"AAAAAH/42WE=")</f>
        <v>#REF!</v>
      </c>
      <c r="CU458" t="e">
        <f>AND(#REF!,"AAAAAH/42WI=")</f>
        <v>#REF!</v>
      </c>
      <c r="CV458" t="e">
        <f>AND(#REF!,"AAAAAH/42WM=")</f>
        <v>#REF!</v>
      </c>
      <c r="CW458" t="e">
        <f>AND(#REF!,"AAAAAH/42WQ=")</f>
        <v>#REF!</v>
      </c>
      <c r="CX458" t="e">
        <f>AND(#REF!,"AAAAAH/42WU=")</f>
        <v>#REF!</v>
      </c>
      <c r="CY458" t="e">
        <f>AND(#REF!,"AAAAAH/42WY=")</f>
        <v>#REF!</v>
      </c>
      <c r="CZ458" t="e">
        <f>AND(#REF!,"AAAAAH/42Wc=")</f>
        <v>#REF!</v>
      </c>
      <c r="DA458" t="e">
        <f>AND(#REF!,"AAAAAH/42Wg=")</f>
        <v>#REF!</v>
      </c>
      <c r="DB458" t="e">
        <f>AND(#REF!,"AAAAAH/42Wk=")</f>
        <v>#REF!</v>
      </c>
      <c r="DC458" t="e">
        <f>AND(#REF!,"AAAAAH/42Wo=")</f>
        <v>#REF!</v>
      </c>
      <c r="DD458" t="e">
        <f>AND(#REF!,"AAAAAH/42Ws=")</f>
        <v>#REF!</v>
      </c>
      <c r="DE458" t="e">
        <f>AND(#REF!,"AAAAAH/42Ww=")</f>
        <v>#REF!</v>
      </c>
      <c r="DF458" t="e">
        <f>AND(#REF!,"AAAAAH/42W0=")</f>
        <v>#REF!</v>
      </c>
      <c r="DG458" t="e">
        <f>AND(#REF!,"AAAAAH/42W4=")</f>
        <v>#REF!</v>
      </c>
      <c r="DH458" t="e">
        <f>AND(#REF!,"AAAAAH/42W8=")</f>
        <v>#REF!</v>
      </c>
      <c r="DI458" t="e">
        <f>AND(#REF!,"AAAAAH/42XA=")</f>
        <v>#REF!</v>
      </c>
      <c r="DJ458" t="e">
        <f>AND(#REF!,"AAAAAH/42XE=")</f>
        <v>#REF!</v>
      </c>
      <c r="DK458" t="e">
        <f>AND(#REF!,"AAAAAH/42XI=")</f>
        <v>#REF!</v>
      </c>
      <c r="DL458" t="e">
        <f>AND(#REF!,"AAAAAH/42XM=")</f>
        <v>#REF!</v>
      </c>
      <c r="DM458" t="e">
        <f>AND(#REF!,"AAAAAH/42XQ=")</f>
        <v>#REF!</v>
      </c>
      <c r="DN458" t="e">
        <f>AND(#REF!,"AAAAAH/42XU=")</f>
        <v>#REF!</v>
      </c>
      <c r="DO458" t="e">
        <f>IF(#REF!,"AAAAAH/42XY=",0)</f>
        <v>#REF!</v>
      </c>
      <c r="DP458" t="e">
        <f>AND(#REF!,"AAAAAH/42Xc=")</f>
        <v>#REF!</v>
      </c>
      <c r="DQ458" t="e">
        <f>AND(#REF!,"AAAAAH/42Xg=")</f>
        <v>#REF!</v>
      </c>
      <c r="DR458" t="e">
        <f>AND(#REF!,"AAAAAH/42Xk=")</f>
        <v>#REF!</v>
      </c>
      <c r="DS458" t="e">
        <f>AND(#REF!,"AAAAAH/42Xo=")</f>
        <v>#REF!</v>
      </c>
      <c r="DT458" t="e">
        <f>AND(#REF!,"AAAAAH/42Xs=")</f>
        <v>#REF!</v>
      </c>
      <c r="DU458" t="e">
        <f>AND(#REF!,"AAAAAH/42Xw=")</f>
        <v>#REF!</v>
      </c>
      <c r="DV458" t="e">
        <f>AND(#REF!,"AAAAAH/42X0=")</f>
        <v>#REF!</v>
      </c>
      <c r="DW458" t="e">
        <f>AND(#REF!,"AAAAAH/42X4=")</f>
        <v>#REF!</v>
      </c>
      <c r="DX458" t="e">
        <f>AND(#REF!,"AAAAAH/42X8=")</f>
        <v>#REF!</v>
      </c>
      <c r="DY458" t="e">
        <f>AND(#REF!,"AAAAAH/42YA=")</f>
        <v>#REF!</v>
      </c>
      <c r="DZ458" t="e">
        <f>AND(#REF!,"AAAAAH/42YE=")</f>
        <v>#REF!</v>
      </c>
      <c r="EA458" t="e">
        <f>AND(#REF!,"AAAAAH/42YI=")</f>
        <v>#REF!</v>
      </c>
      <c r="EB458" t="e">
        <f>AND(#REF!,"AAAAAH/42YM=")</f>
        <v>#REF!</v>
      </c>
      <c r="EC458" t="e">
        <f>AND(#REF!,"AAAAAH/42YQ=")</f>
        <v>#REF!</v>
      </c>
      <c r="ED458" t="e">
        <f>AND(#REF!,"AAAAAH/42YU=")</f>
        <v>#REF!</v>
      </c>
      <c r="EE458" t="e">
        <f>AND(#REF!,"AAAAAH/42YY=")</f>
        <v>#REF!</v>
      </c>
      <c r="EF458" t="e">
        <f>AND(#REF!,"AAAAAH/42Yc=")</f>
        <v>#REF!</v>
      </c>
      <c r="EG458" t="e">
        <f>AND(#REF!,"AAAAAH/42Yg=")</f>
        <v>#REF!</v>
      </c>
      <c r="EH458" t="e">
        <f>AND(#REF!,"AAAAAH/42Yk=")</f>
        <v>#REF!</v>
      </c>
      <c r="EI458" t="e">
        <f>AND(#REF!,"AAAAAH/42Yo=")</f>
        <v>#REF!</v>
      </c>
      <c r="EJ458" t="e">
        <f>AND(#REF!,"AAAAAH/42Ys=")</f>
        <v>#REF!</v>
      </c>
      <c r="EK458" t="e">
        <f>AND(#REF!,"AAAAAH/42Yw=")</f>
        <v>#REF!</v>
      </c>
      <c r="EL458" t="e">
        <f>AND(#REF!,"AAAAAH/42Y0=")</f>
        <v>#REF!</v>
      </c>
      <c r="EM458" t="e">
        <f>AND(#REF!,"AAAAAH/42Y4=")</f>
        <v>#REF!</v>
      </c>
      <c r="EN458" t="e">
        <f>IF(#REF!,"AAAAAH/42Y8=",0)</f>
        <v>#REF!</v>
      </c>
      <c r="EO458" t="e">
        <f>AND(#REF!,"AAAAAH/42ZA=")</f>
        <v>#REF!</v>
      </c>
      <c r="EP458" t="e">
        <f>AND(#REF!,"AAAAAH/42ZE=")</f>
        <v>#REF!</v>
      </c>
      <c r="EQ458" t="e">
        <f>AND(#REF!,"AAAAAH/42ZI=")</f>
        <v>#REF!</v>
      </c>
      <c r="ER458" t="e">
        <f>AND(#REF!,"AAAAAH/42ZM=")</f>
        <v>#REF!</v>
      </c>
      <c r="ES458" t="e">
        <f>AND(#REF!,"AAAAAH/42ZQ=")</f>
        <v>#REF!</v>
      </c>
      <c r="ET458" t="e">
        <f>AND(#REF!,"AAAAAH/42ZU=")</f>
        <v>#REF!</v>
      </c>
      <c r="EU458" t="e">
        <f>AND(#REF!,"AAAAAH/42ZY=")</f>
        <v>#REF!</v>
      </c>
      <c r="EV458" t="e">
        <f>AND(#REF!,"AAAAAH/42Zc=")</f>
        <v>#REF!</v>
      </c>
      <c r="EW458" t="e">
        <f>AND(#REF!,"AAAAAH/42Zg=")</f>
        <v>#REF!</v>
      </c>
      <c r="EX458" t="e">
        <f>AND(#REF!,"AAAAAH/42Zk=")</f>
        <v>#REF!</v>
      </c>
      <c r="EY458" t="e">
        <f>AND(#REF!,"AAAAAH/42Zo=")</f>
        <v>#REF!</v>
      </c>
      <c r="EZ458" t="e">
        <f>AND(#REF!,"AAAAAH/42Zs=")</f>
        <v>#REF!</v>
      </c>
      <c r="FA458" t="e">
        <f>AND(#REF!,"AAAAAH/42Zw=")</f>
        <v>#REF!</v>
      </c>
      <c r="FB458" t="e">
        <f>AND(#REF!,"AAAAAH/42Z0=")</f>
        <v>#REF!</v>
      </c>
      <c r="FC458" t="e">
        <f>AND(#REF!,"AAAAAH/42Z4=")</f>
        <v>#REF!</v>
      </c>
      <c r="FD458" t="e">
        <f>AND(#REF!,"AAAAAH/42Z8=")</f>
        <v>#REF!</v>
      </c>
      <c r="FE458" t="e">
        <f>AND(#REF!,"AAAAAH/42aA=")</f>
        <v>#REF!</v>
      </c>
      <c r="FF458" t="e">
        <f>AND(#REF!,"AAAAAH/42aE=")</f>
        <v>#REF!</v>
      </c>
      <c r="FG458" t="e">
        <f>AND(#REF!,"AAAAAH/42aI=")</f>
        <v>#REF!</v>
      </c>
      <c r="FH458" t="e">
        <f>AND(#REF!,"AAAAAH/42aM=")</f>
        <v>#REF!</v>
      </c>
      <c r="FI458" t="e">
        <f>AND(#REF!,"AAAAAH/42aQ=")</f>
        <v>#REF!</v>
      </c>
      <c r="FJ458" t="e">
        <f>AND(#REF!,"AAAAAH/42aU=")</f>
        <v>#REF!</v>
      </c>
      <c r="FK458" t="e">
        <f>AND(#REF!,"AAAAAH/42aY=")</f>
        <v>#REF!</v>
      </c>
      <c r="FL458" t="e">
        <f>AND(#REF!,"AAAAAH/42ac=")</f>
        <v>#REF!</v>
      </c>
      <c r="FM458" t="e">
        <f>IF(#REF!,"AAAAAH/42ag=",0)</f>
        <v>#REF!</v>
      </c>
      <c r="FN458" t="e">
        <f>AND(#REF!,"AAAAAH/42ak=")</f>
        <v>#REF!</v>
      </c>
      <c r="FO458" t="e">
        <f>AND(#REF!,"AAAAAH/42ao=")</f>
        <v>#REF!</v>
      </c>
      <c r="FP458" t="e">
        <f>AND(#REF!,"AAAAAH/42as=")</f>
        <v>#REF!</v>
      </c>
      <c r="FQ458" t="e">
        <f>AND(#REF!,"AAAAAH/42aw=")</f>
        <v>#REF!</v>
      </c>
      <c r="FR458" t="e">
        <f>AND(#REF!,"AAAAAH/42a0=")</f>
        <v>#REF!</v>
      </c>
      <c r="FS458" t="e">
        <f>AND(#REF!,"AAAAAH/42a4=")</f>
        <v>#REF!</v>
      </c>
      <c r="FT458" t="e">
        <f>AND(#REF!,"AAAAAH/42a8=")</f>
        <v>#REF!</v>
      </c>
      <c r="FU458" t="e">
        <f>AND(#REF!,"AAAAAH/42bA=")</f>
        <v>#REF!</v>
      </c>
      <c r="FV458" t="e">
        <f>AND(#REF!,"AAAAAH/42bE=")</f>
        <v>#REF!</v>
      </c>
      <c r="FW458" t="e">
        <f>AND(#REF!,"AAAAAH/42bI=")</f>
        <v>#REF!</v>
      </c>
      <c r="FX458" t="e">
        <f>AND(#REF!,"AAAAAH/42bM=")</f>
        <v>#REF!</v>
      </c>
      <c r="FY458" t="e">
        <f>AND(#REF!,"AAAAAH/42bQ=")</f>
        <v>#REF!</v>
      </c>
      <c r="FZ458" t="e">
        <f>AND(#REF!,"AAAAAH/42bU=")</f>
        <v>#REF!</v>
      </c>
      <c r="GA458" t="e">
        <f>AND(#REF!,"AAAAAH/42bY=")</f>
        <v>#REF!</v>
      </c>
      <c r="GB458" t="e">
        <f>AND(#REF!,"AAAAAH/42bc=")</f>
        <v>#REF!</v>
      </c>
      <c r="GC458" t="e">
        <f>AND(#REF!,"AAAAAH/42bg=")</f>
        <v>#REF!</v>
      </c>
      <c r="GD458" t="e">
        <f>AND(#REF!,"AAAAAH/42bk=")</f>
        <v>#REF!</v>
      </c>
      <c r="GE458" t="e">
        <f>AND(#REF!,"AAAAAH/42bo=")</f>
        <v>#REF!</v>
      </c>
      <c r="GF458" t="e">
        <f>AND(#REF!,"AAAAAH/42bs=")</f>
        <v>#REF!</v>
      </c>
      <c r="GG458" t="e">
        <f>AND(#REF!,"AAAAAH/42bw=")</f>
        <v>#REF!</v>
      </c>
      <c r="GH458" t="e">
        <f>AND(#REF!,"AAAAAH/42b0=")</f>
        <v>#REF!</v>
      </c>
      <c r="GI458" t="e">
        <f>AND(#REF!,"AAAAAH/42b4=")</f>
        <v>#REF!</v>
      </c>
      <c r="GJ458" t="e">
        <f>AND(#REF!,"AAAAAH/42b8=")</f>
        <v>#REF!</v>
      </c>
      <c r="GK458" t="e">
        <f>AND(#REF!,"AAAAAH/42cA=")</f>
        <v>#REF!</v>
      </c>
      <c r="GL458" t="e">
        <f>IF(#REF!,"AAAAAH/42cE=",0)</f>
        <v>#REF!</v>
      </c>
      <c r="GM458" t="e">
        <f>AND(#REF!,"AAAAAH/42cI=")</f>
        <v>#REF!</v>
      </c>
      <c r="GN458" t="e">
        <f>AND(#REF!,"AAAAAH/42cM=")</f>
        <v>#REF!</v>
      </c>
      <c r="GO458" t="e">
        <f>AND(#REF!,"AAAAAH/42cQ=")</f>
        <v>#REF!</v>
      </c>
      <c r="GP458" t="e">
        <f>AND(#REF!,"AAAAAH/42cU=")</f>
        <v>#REF!</v>
      </c>
      <c r="GQ458" t="e">
        <f>AND(#REF!,"AAAAAH/42cY=")</f>
        <v>#REF!</v>
      </c>
      <c r="GR458" t="e">
        <f>AND(#REF!,"AAAAAH/42cc=")</f>
        <v>#REF!</v>
      </c>
      <c r="GS458" t="e">
        <f>AND(#REF!,"AAAAAH/42cg=")</f>
        <v>#REF!</v>
      </c>
      <c r="GT458" t="e">
        <f>AND(#REF!,"AAAAAH/42ck=")</f>
        <v>#REF!</v>
      </c>
      <c r="GU458" t="e">
        <f>AND(#REF!,"AAAAAH/42co=")</f>
        <v>#REF!</v>
      </c>
      <c r="GV458" t="e">
        <f>AND(#REF!,"AAAAAH/42cs=")</f>
        <v>#REF!</v>
      </c>
      <c r="GW458" t="e">
        <f>AND(#REF!,"AAAAAH/42cw=")</f>
        <v>#REF!</v>
      </c>
      <c r="GX458" t="e">
        <f>AND(#REF!,"AAAAAH/42c0=")</f>
        <v>#REF!</v>
      </c>
      <c r="GY458" t="e">
        <f>AND(#REF!,"AAAAAH/42c4=")</f>
        <v>#REF!</v>
      </c>
      <c r="GZ458" t="e">
        <f>AND(#REF!,"AAAAAH/42c8=")</f>
        <v>#REF!</v>
      </c>
      <c r="HA458" t="e">
        <f>AND(#REF!,"AAAAAH/42dA=")</f>
        <v>#REF!</v>
      </c>
      <c r="HB458" t="e">
        <f>AND(#REF!,"AAAAAH/42dE=")</f>
        <v>#REF!</v>
      </c>
      <c r="HC458" t="e">
        <f>AND(#REF!,"AAAAAH/42dI=")</f>
        <v>#REF!</v>
      </c>
      <c r="HD458" t="e">
        <f>AND(#REF!,"AAAAAH/42dM=")</f>
        <v>#REF!</v>
      </c>
      <c r="HE458" t="e">
        <f>AND(#REF!,"AAAAAH/42dQ=")</f>
        <v>#REF!</v>
      </c>
      <c r="HF458" t="e">
        <f>AND(#REF!,"AAAAAH/42dU=")</f>
        <v>#REF!</v>
      </c>
      <c r="HG458" t="e">
        <f>AND(#REF!,"AAAAAH/42dY=")</f>
        <v>#REF!</v>
      </c>
      <c r="HH458" t="e">
        <f>AND(#REF!,"AAAAAH/42dc=")</f>
        <v>#REF!</v>
      </c>
      <c r="HI458" t="e">
        <f>AND(#REF!,"AAAAAH/42dg=")</f>
        <v>#REF!</v>
      </c>
      <c r="HJ458" t="e">
        <f>AND(#REF!,"AAAAAH/42dk=")</f>
        <v>#REF!</v>
      </c>
      <c r="HK458" t="e">
        <f>IF(#REF!,"AAAAAH/42do=",0)</f>
        <v>#REF!</v>
      </c>
      <c r="HL458" t="e">
        <f>AND(#REF!,"AAAAAH/42ds=")</f>
        <v>#REF!</v>
      </c>
      <c r="HM458" t="e">
        <f>AND(#REF!,"AAAAAH/42dw=")</f>
        <v>#REF!</v>
      </c>
      <c r="HN458" t="e">
        <f>AND(#REF!,"AAAAAH/42d0=")</f>
        <v>#REF!</v>
      </c>
      <c r="HO458" t="e">
        <f>AND(#REF!,"AAAAAH/42d4=")</f>
        <v>#REF!</v>
      </c>
      <c r="HP458" t="e">
        <f>AND(#REF!,"AAAAAH/42d8=")</f>
        <v>#REF!</v>
      </c>
      <c r="HQ458" t="e">
        <f>AND(#REF!,"AAAAAH/42eA=")</f>
        <v>#REF!</v>
      </c>
      <c r="HR458" t="e">
        <f>AND(#REF!,"AAAAAH/42eE=")</f>
        <v>#REF!</v>
      </c>
      <c r="HS458" t="e">
        <f>AND(#REF!,"AAAAAH/42eI=")</f>
        <v>#REF!</v>
      </c>
      <c r="HT458" t="e">
        <f>AND(#REF!,"AAAAAH/42eM=")</f>
        <v>#REF!</v>
      </c>
      <c r="HU458" t="e">
        <f>AND(#REF!,"AAAAAH/42eQ=")</f>
        <v>#REF!</v>
      </c>
      <c r="HV458" t="e">
        <f>AND(#REF!,"AAAAAH/42eU=")</f>
        <v>#REF!</v>
      </c>
      <c r="HW458" t="e">
        <f>AND(#REF!,"AAAAAH/42eY=")</f>
        <v>#REF!</v>
      </c>
      <c r="HX458" t="e">
        <f>AND(#REF!,"AAAAAH/42ec=")</f>
        <v>#REF!</v>
      </c>
      <c r="HY458" t="e">
        <f>AND(#REF!,"AAAAAH/42eg=")</f>
        <v>#REF!</v>
      </c>
      <c r="HZ458" t="e">
        <f>AND(#REF!,"AAAAAH/42ek=")</f>
        <v>#REF!</v>
      </c>
      <c r="IA458" t="e">
        <f>AND(#REF!,"AAAAAH/42eo=")</f>
        <v>#REF!</v>
      </c>
      <c r="IB458" t="e">
        <f>AND(#REF!,"AAAAAH/42es=")</f>
        <v>#REF!</v>
      </c>
      <c r="IC458" t="e">
        <f>AND(#REF!,"AAAAAH/42ew=")</f>
        <v>#REF!</v>
      </c>
      <c r="ID458" t="e">
        <f>AND(#REF!,"AAAAAH/42e0=")</f>
        <v>#REF!</v>
      </c>
      <c r="IE458" t="e">
        <f>AND(#REF!,"AAAAAH/42e4=")</f>
        <v>#REF!</v>
      </c>
      <c r="IF458" t="e">
        <f>AND(#REF!,"AAAAAH/42e8=")</f>
        <v>#REF!</v>
      </c>
      <c r="IG458" t="e">
        <f>AND(#REF!,"AAAAAH/42fA=")</f>
        <v>#REF!</v>
      </c>
      <c r="IH458" t="e">
        <f>AND(#REF!,"AAAAAH/42fE=")</f>
        <v>#REF!</v>
      </c>
      <c r="II458" t="e">
        <f>AND(#REF!,"AAAAAH/42fI=")</f>
        <v>#REF!</v>
      </c>
      <c r="IJ458" t="e">
        <f>IF(#REF!,"AAAAAH/42fM=",0)</f>
        <v>#REF!</v>
      </c>
      <c r="IK458" t="e">
        <f>AND(#REF!,"AAAAAH/42fQ=")</f>
        <v>#REF!</v>
      </c>
      <c r="IL458" t="e">
        <f>AND(#REF!,"AAAAAH/42fU=")</f>
        <v>#REF!</v>
      </c>
      <c r="IM458" t="e">
        <f>AND(#REF!,"AAAAAH/42fY=")</f>
        <v>#REF!</v>
      </c>
      <c r="IN458" t="e">
        <f>AND(#REF!,"AAAAAH/42fc=")</f>
        <v>#REF!</v>
      </c>
      <c r="IO458" t="e">
        <f>AND(#REF!,"AAAAAH/42fg=")</f>
        <v>#REF!</v>
      </c>
      <c r="IP458" t="e">
        <f>AND(#REF!,"AAAAAH/42fk=")</f>
        <v>#REF!</v>
      </c>
      <c r="IQ458" t="e">
        <f>AND(#REF!,"AAAAAH/42fo=")</f>
        <v>#REF!</v>
      </c>
      <c r="IR458" t="e">
        <f>AND(#REF!,"AAAAAH/42fs=")</f>
        <v>#REF!</v>
      </c>
      <c r="IS458" t="e">
        <f>AND(#REF!,"AAAAAH/42fw=")</f>
        <v>#REF!</v>
      </c>
      <c r="IT458" t="e">
        <f>AND(#REF!,"AAAAAH/42f0=")</f>
        <v>#REF!</v>
      </c>
      <c r="IU458" t="e">
        <f>AND(#REF!,"AAAAAH/42f4=")</f>
        <v>#REF!</v>
      </c>
      <c r="IV458" t="e">
        <f>AND(#REF!,"AAAAAH/42f8=")</f>
        <v>#REF!</v>
      </c>
    </row>
    <row r="459" spans="1:256">
      <c r="A459" t="e">
        <f>AND(#REF!,"AAAAAH/n2wA=")</f>
        <v>#REF!</v>
      </c>
      <c r="B459" t="e">
        <f>AND(#REF!,"AAAAAH/n2wE=")</f>
        <v>#REF!</v>
      </c>
      <c r="C459" t="e">
        <f>AND(#REF!,"AAAAAH/n2wI=")</f>
        <v>#REF!</v>
      </c>
      <c r="D459" t="e">
        <f>AND(#REF!,"AAAAAH/n2wM=")</f>
        <v>#REF!</v>
      </c>
      <c r="E459" t="e">
        <f>AND(#REF!,"AAAAAH/n2wQ=")</f>
        <v>#REF!</v>
      </c>
      <c r="F459" t="e">
        <f>AND(#REF!,"AAAAAH/n2wU=")</f>
        <v>#REF!</v>
      </c>
      <c r="G459" t="e">
        <f>AND(#REF!,"AAAAAH/n2wY=")</f>
        <v>#REF!</v>
      </c>
      <c r="H459" t="e">
        <f>AND(#REF!,"AAAAAH/n2wc=")</f>
        <v>#REF!</v>
      </c>
      <c r="I459" t="e">
        <f>AND(#REF!,"AAAAAH/n2wg=")</f>
        <v>#REF!</v>
      </c>
      <c r="J459" t="e">
        <f>AND(#REF!,"AAAAAH/n2wk=")</f>
        <v>#REF!</v>
      </c>
      <c r="K459" t="e">
        <f>AND(#REF!,"AAAAAH/n2wo=")</f>
        <v>#REF!</v>
      </c>
      <c r="L459" t="e">
        <f>AND(#REF!,"AAAAAH/n2ws=")</f>
        <v>#REF!</v>
      </c>
      <c r="M459" t="e">
        <f>IF(#REF!,"AAAAAH/n2ww=",0)</f>
        <v>#REF!</v>
      </c>
      <c r="N459" t="e">
        <f>AND(#REF!,"AAAAAH/n2w0=")</f>
        <v>#REF!</v>
      </c>
      <c r="O459" t="e">
        <f>AND(#REF!,"AAAAAH/n2w4=")</f>
        <v>#REF!</v>
      </c>
      <c r="P459" t="e">
        <f>AND(#REF!,"AAAAAH/n2w8=")</f>
        <v>#REF!</v>
      </c>
      <c r="Q459" t="e">
        <f>AND(#REF!,"AAAAAH/n2xA=")</f>
        <v>#REF!</v>
      </c>
      <c r="R459" t="e">
        <f>AND(#REF!,"AAAAAH/n2xE=")</f>
        <v>#REF!</v>
      </c>
      <c r="S459" t="e">
        <f>AND(#REF!,"AAAAAH/n2xI=")</f>
        <v>#REF!</v>
      </c>
      <c r="T459" t="e">
        <f>AND(#REF!,"AAAAAH/n2xM=")</f>
        <v>#REF!</v>
      </c>
      <c r="U459" t="e">
        <f>AND(#REF!,"AAAAAH/n2xQ=")</f>
        <v>#REF!</v>
      </c>
      <c r="V459" t="e">
        <f>AND(#REF!,"AAAAAH/n2xU=")</f>
        <v>#REF!</v>
      </c>
      <c r="W459" t="e">
        <f>AND(#REF!,"AAAAAH/n2xY=")</f>
        <v>#REF!</v>
      </c>
      <c r="X459" t="e">
        <f>AND(#REF!,"AAAAAH/n2xc=")</f>
        <v>#REF!</v>
      </c>
      <c r="Y459" t="e">
        <f>AND(#REF!,"AAAAAH/n2xg=")</f>
        <v>#REF!</v>
      </c>
      <c r="Z459" t="e">
        <f>AND(#REF!,"AAAAAH/n2xk=")</f>
        <v>#REF!</v>
      </c>
      <c r="AA459" t="e">
        <f>AND(#REF!,"AAAAAH/n2xo=")</f>
        <v>#REF!</v>
      </c>
      <c r="AB459" t="e">
        <f>AND(#REF!,"AAAAAH/n2xs=")</f>
        <v>#REF!</v>
      </c>
      <c r="AC459" t="e">
        <f>AND(#REF!,"AAAAAH/n2xw=")</f>
        <v>#REF!</v>
      </c>
      <c r="AD459" t="e">
        <f>AND(#REF!,"AAAAAH/n2x0=")</f>
        <v>#REF!</v>
      </c>
      <c r="AE459" t="e">
        <f>AND(#REF!,"AAAAAH/n2x4=")</f>
        <v>#REF!</v>
      </c>
      <c r="AF459" t="e">
        <f>AND(#REF!,"AAAAAH/n2x8=")</f>
        <v>#REF!</v>
      </c>
      <c r="AG459" t="e">
        <f>AND(#REF!,"AAAAAH/n2yA=")</f>
        <v>#REF!</v>
      </c>
      <c r="AH459" t="e">
        <f>AND(#REF!,"AAAAAH/n2yE=")</f>
        <v>#REF!</v>
      </c>
      <c r="AI459" t="e">
        <f>AND(#REF!,"AAAAAH/n2yI=")</f>
        <v>#REF!</v>
      </c>
      <c r="AJ459" t="e">
        <f>AND(#REF!,"AAAAAH/n2yM=")</f>
        <v>#REF!</v>
      </c>
      <c r="AK459" t="e">
        <f>AND(#REF!,"AAAAAH/n2yQ=")</f>
        <v>#REF!</v>
      </c>
      <c r="AL459" t="e">
        <f>IF(#REF!,"AAAAAH/n2yU=",0)</f>
        <v>#REF!</v>
      </c>
      <c r="AM459" t="e">
        <f>AND(#REF!,"AAAAAH/n2yY=")</f>
        <v>#REF!</v>
      </c>
      <c r="AN459" t="e">
        <f>AND(#REF!,"AAAAAH/n2yc=")</f>
        <v>#REF!</v>
      </c>
      <c r="AO459" t="e">
        <f>AND(#REF!,"AAAAAH/n2yg=")</f>
        <v>#REF!</v>
      </c>
      <c r="AP459" t="e">
        <f>AND(#REF!,"AAAAAH/n2yk=")</f>
        <v>#REF!</v>
      </c>
      <c r="AQ459" t="e">
        <f>AND(#REF!,"AAAAAH/n2yo=")</f>
        <v>#REF!</v>
      </c>
      <c r="AR459" t="e">
        <f>AND(#REF!,"AAAAAH/n2ys=")</f>
        <v>#REF!</v>
      </c>
      <c r="AS459" t="e">
        <f>AND(#REF!,"AAAAAH/n2yw=")</f>
        <v>#REF!</v>
      </c>
      <c r="AT459" t="e">
        <f>AND(#REF!,"AAAAAH/n2y0=")</f>
        <v>#REF!</v>
      </c>
      <c r="AU459" t="e">
        <f>AND(#REF!,"AAAAAH/n2y4=")</f>
        <v>#REF!</v>
      </c>
      <c r="AV459" t="e">
        <f>AND(#REF!,"AAAAAH/n2y8=")</f>
        <v>#REF!</v>
      </c>
      <c r="AW459" t="e">
        <f>AND(#REF!,"AAAAAH/n2zA=")</f>
        <v>#REF!</v>
      </c>
      <c r="AX459" t="e">
        <f>AND(#REF!,"AAAAAH/n2zE=")</f>
        <v>#REF!</v>
      </c>
      <c r="AY459" t="e">
        <f>AND(#REF!,"AAAAAH/n2zI=")</f>
        <v>#REF!</v>
      </c>
      <c r="AZ459" t="e">
        <f>AND(#REF!,"AAAAAH/n2zM=")</f>
        <v>#REF!</v>
      </c>
      <c r="BA459" t="e">
        <f>AND(#REF!,"AAAAAH/n2zQ=")</f>
        <v>#REF!</v>
      </c>
      <c r="BB459" t="e">
        <f>AND(#REF!,"AAAAAH/n2zU=")</f>
        <v>#REF!</v>
      </c>
      <c r="BC459" t="e">
        <f>AND(#REF!,"AAAAAH/n2zY=")</f>
        <v>#REF!</v>
      </c>
      <c r="BD459" t="e">
        <f>AND(#REF!,"AAAAAH/n2zc=")</f>
        <v>#REF!</v>
      </c>
      <c r="BE459" t="e">
        <f>AND(#REF!,"AAAAAH/n2zg=")</f>
        <v>#REF!</v>
      </c>
      <c r="BF459" t="e">
        <f>AND(#REF!,"AAAAAH/n2zk=")</f>
        <v>#REF!</v>
      </c>
      <c r="BG459" t="e">
        <f>AND(#REF!,"AAAAAH/n2zo=")</f>
        <v>#REF!</v>
      </c>
      <c r="BH459" t="e">
        <f>AND(#REF!,"AAAAAH/n2zs=")</f>
        <v>#REF!</v>
      </c>
      <c r="BI459" t="e">
        <f>AND(#REF!,"AAAAAH/n2zw=")</f>
        <v>#REF!</v>
      </c>
      <c r="BJ459" t="e">
        <f>AND(#REF!,"AAAAAH/n2z0=")</f>
        <v>#REF!</v>
      </c>
      <c r="BK459" t="e">
        <f>IF(#REF!,"AAAAAH/n2z4=",0)</f>
        <v>#REF!</v>
      </c>
      <c r="BL459" t="e">
        <f>AND(#REF!,"AAAAAH/n2z8=")</f>
        <v>#REF!</v>
      </c>
      <c r="BM459" t="e">
        <f>AND(#REF!,"AAAAAH/n20A=")</f>
        <v>#REF!</v>
      </c>
      <c r="BN459" t="e">
        <f>AND(#REF!,"AAAAAH/n20E=")</f>
        <v>#REF!</v>
      </c>
      <c r="BO459" t="e">
        <f>AND(#REF!,"AAAAAH/n20I=")</f>
        <v>#REF!</v>
      </c>
      <c r="BP459" t="e">
        <f>AND(#REF!,"AAAAAH/n20M=")</f>
        <v>#REF!</v>
      </c>
      <c r="BQ459" t="e">
        <f>AND(#REF!,"AAAAAH/n20Q=")</f>
        <v>#REF!</v>
      </c>
      <c r="BR459" t="e">
        <f>AND(#REF!,"AAAAAH/n20U=")</f>
        <v>#REF!</v>
      </c>
      <c r="BS459" t="e">
        <f>AND(#REF!,"AAAAAH/n20Y=")</f>
        <v>#REF!</v>
      </c>
      <c r="BT459" t="e">
        <f>AND(#REF!,"AAAAAH/n20c=")</f>
        <v>#REF!</v>
      </c>
      <c r="BU459" t="e">
        <f>AND(#REF!,"AAAAAH/n20g=")</f>
        <v>#REF!</v>
      </c>
      <c r="BV459" t="e">
        <f>AND(#REF!,"AAAAAH/n20k=")</f>
        <v>#REF!</v>
      </c>
      <c r="BW459" t="e">
        <f>AND(#REF!,"AAAAAH/n20o=")</f>
        <v>#REF!</v>
      </c>
      <c r="BX459" t="e">
        <f>AND(#REF!,"AAAAAH/n20s=")</f>
        <v>#REF!</v>
      </c>
      <c r="BY459" t="e">
        <f>AND(#REF!,"AAAAAH/n20w=")</f>
        <v>#REF!</v>
      </c>
      <c r="BZ459" t="e">
        <f>AND(#REF!,"AAAAAH/n200=")</f>
        <v>#REF!</v>
      </c>
      <c r="CA459" t="e">
        <f>AND(#REF!,"AAAAAH/n204=")</f>
        <v>#REF!</v>
      </c>
      <c r="CB459" t="e">
        <f>AND(#REF!,"AAAAAH/n208=")</f>
        <v>#REF!</v>
      </c>
      <c r="CC459" t="e">
        <f>AND(#REF!,"AAAAAH/n21A=")</f>
        <v>#REF!</v>
      </c>
      <c r="CD459" t="e">
        <f>AND(#REF!,"AAAAAH/n21E=")</f>
        <v>#REF!</v>
      </c>
      <c r="CE459" t="e">
        <f>AND(#REF!,"AAAAAH/n21I=")</f>
        <v>#REF!</v>
      </c>
      <c r="CF459" t="e">
        <f>AND(#REF!,"AAAAAH/n21M=")</f>
        <v>#REF!</v>
      </c>
      <c r="CG459" t="e">
        <f>AND(#REF!,"AAAAAH/n21Q=")</f>
        <v>#REF!</v>
      </c>
      <c r="CH459" t="e">
        <f>AND(#REF!,"AAAAAH/n21U=")</f>
        <v>#REF!</v>
      </c>
      <c r="CI459" t="e">
        <f>AND(#REF!,"AAAAAH/n21Y=")</f>
        <v>#REF!</v>
      </c>
      <c r="CJ459" t="e">
        <f>IF(#REF!,"AAAAAH/n21c=",0)</f>
        <v>#REF!</v>
      </c>
      <c r="CK459" t="e">
        <f>AND(#REF!,"AAAAAH/n21g=")</f>
        <v>#REF!</v>
      </c>
      <c r="CL459" t="e">
        <f>AND(#REF!,"AAAAAH/n21k=")</f>
        <v>#REF!</v>
      </c>
      <c r="CM459" t="e">
        <f>AND(#REF!,"AAAAAH/n21o=")</f>
        <v>#REF!</v>
      </c>
      <c r="CN459" t="e">
        <f>AND(#REF!,"AAAAAH/n21s=")</f>
        <v>#REF!</v>
      </c>
      <c r="CO459" t="e">
        <f>AND(#REF!,"AAAAAH/n21w=")</f>
        <v>#REF!</v>
      </c>
      <c r="CP459" t="e">
        <f>AND(#REF!,"AAAAAH/n210=")</f>
        <v>#REF!</v>
      </c>
      <c r="CQ459" t="e">
        <f>AND(#REF!,"AAAAAH/n214=")</f>
        <v>#REF!</v>
      </c>
      <c r="CR459" t="e">
        <f>AND(#REF!,"AAAAAH/n218=")</f>
        <v>#REF!</v>
      </c>
      <c r="CS459" t="e">
        <f>AND(#REF!,"AAAAAH/n22A=")</f>
        <v>#REF!</v>
      </c>
      <c r="CT459" t="e">
        <f>AND(#REF!,"AAAAAH/n22E=")</f>
        <v>#REF!</v>
      </c>
      <c r="CU459" t="e">
        <f>AND(#REF!,"AAAAAH/n22I=")</f>
        <v>#REF!</v>
      </c>
      <c r="CV459" t="e">
        <f>AND(#REF!,"AAAAAH/n22M=")</f>
        <v>#REF!</v>
      </c>
      <c r="CW459" t="e">
        <f>AND(#REF!,"AAAAAH/n22Q=")</f>
        <v>#REF!</v>
      </c>
      <c r="CX459" t="e">
        <f>AND(#REF!,"AAAAAH/n22U=")</f>
        <v>#REF!</v>
      </c>
      <c r="CY459" t="e">
        <f>AND(#REF!,"AAAAAH/n22Y=")</f>
        <v>#REF!</v>
      </c>
      <c r="CZ459" t="e">
        <f>AND(#REF!,"AAAAAH/n22c=")</f>
        <v>#REF!</v>
      </c>
      <c r="DA459" t="e">
        <f>AND(#REF!,"AAAAAH/n22g=")</f>
        <v>#REF!</v>
      </c>
      <c r="DB459" t="e">
        <f>AND(#REF!,"AAAAAH/n22k=")</f>
        <v>#REF!</v>
      </c>
      <c r="DC459" t="e">
        <f>AND(#REF!,"AAAAAH/n22o=")</f>
        <v>#REF!</v>
      </c>
      <c r="DD459" t="e">
        <f>AND(#REF!,"AAAAAH/n22s=")</f>
        <v>#REF!</v>
      </c>
      <c r="DE459" t="e">
        <f>AND(#REF!,"AAAAAH/n22w=")</f>
        <v>#REF!</v>
      </c>
      <c r="DF459" t="e">
        <f>AND(#REF!,"AAAAAH/n220=")</f>
        <v>#REF!</v>
      </c>
      <c r="DG459" t="e">
        <f>AND(#REF!,"AAAAAH/n224=")</f>
        <v>#REF!</v>
      </c>
      <c r="DH459" t="e">
        <f>AND(#REF!,"AAAAAH/n228=")</f>
        <v>#REF!</v>
      </c>
      <c r="DI459" t="e">
        <f>IF(#REF!,"AAAAAH/n23A=",0)</f>
        <v>#REF!</v>
      </c>
      <c r="DJ459" t="e">
        <f>AND(#REF!,"AAAAAH/n23E=")</f>
        <v>#REF!</v>
      </c>
      <c r="DK459" t="e">
        <f>AND(#REF!,"AAAAAH/n23I=")</f>
        <v>#REF!</v>
      </c>
      <c r="DL459" t="e">
        <f>AND(#REF!,"AAAAAH/n23M=")</f>
        <v>#REF!</v>
      </c>
      <c r="DM459" t="e">
        <f>AND(#REF!,"AAAAAH/n23Q=")</f>
        <v>#REF!</v>
      </c>
      <c r="DN459" t="e">
        <f>AND(#REF!,"AAAAAH/n23U=")</f>
        <v>#REF!</v>
      </c>
      <c r="DO459" t="e">
        <f>AND(#REF!,"AAAAAH/n23Y=")</f>
        <v>#REF!</v>
      </c>
      <c r="DP459" t="e">
        <f>AND(#REF!,"AAAAAH/n23c=")</f>
        <v>#REF!</v>
      </c>
      <c r="DQ459" t="e">
        <f>AND(#REF!,"AAAAAH/n23g=")</f>
        <v>#REF!</v>
      </c>
      <c r="DR459" t="e">
        <f>AND(#REF!,"AAAAAH/n23k=")</f>
        <v>#REF!</v>
      </c>
      <c r="DS459" t="e">
        <f>AND(#REF!,"AAAAAH/n23o=")</f>
        <v>#REF!</v>
      </c>
      <c r="DT459" t="e">
        <f>AND(#REF!,"AAAAAH/n23s=")</f>
        <v>#REF!</v>
      </c>
      <c r="DU459" t="e">
        <f>AND(#REF!,"AAAAAH/n23w=")</f>
        <v>#REF!</v>
      </c>
      <c r="DV459" t="e">
        <f>AND(#REF!,"AAAAAH/n230=")</f>
        <v>#REF!</v>
      </c>
      <c r="DW459" t="e">
        <f>AND(#REF!,"AAAAAH/n234=")</f>
        <v>#REF!</v>
      </c>
      <c r="DX459" t="e">
        <f>AND(#REF!,"AAAAAH/n238=")</f>
        <v>#REF!</v>
      </c>
      <c r="DY459" t="e">
        <f>AND(#REF!,"AAAAAH/n24A=")</f>
        <v>#REF!</v>
      </c>
      <c r="DZ459" t="e">
        <f>AND(#REF!,"AAAAAH/n24E=")</f>
        <v>#REF!</v>
      </c>
      <c r="EA459" t="e">
        <f>AND(#REF!,"AAAAAH/n24I=")</f>
        <v>#REF!</v>
      </c>
      <c r="EB459" t="e">
        <f>AND(#REF!,"AAAAAH/n24M=")</f>
        <v>#REF!</v>
      </c>
      <c r="EC459" t="e">
        <f>AND(#REF!,"AAAAAH/n24Q=")</f>
        <v>#REF!</v>
      </c>
      <c r="ED459" t="e">
        <f>AND(#REF!,"AAAAAH/n24U=")</f>
        <v>#REF!</v>
      </c>
      <c r="EE459" t="e">
        <f>AND(#REF!,"AAAAAH/n24Y=")</f>
        <v>#REF!</v>
      </c>
      <c r="EF459" t="e">
        <f>AND(#REF!,"AAAAAH/n24c=")</f>
        <v>#REF!</v>
      </c>
      <c r="EG459" t="e">
        <f>AND(#REF!,"AAAAAH/n24g=")</f>
        <v>#REF!</v>
      </c>
      <c r="EH459" t="e">
        <f>IF(#REF!,"AAAAAH/n24k=",0)</f>
        <v>#REF!</v>
      </c>
      <c r="EI459" t="e">
        <f>AND(#REF!,"AAAAAH/n24o=")</f>
        <v>#REF!</v>
      </c>
      <c r="EJ459" t="e">
        <f>AND(#REF!,"AAAAAH/n24s=")</f>
        <v>#REF!</v>
      </c>
      <c r="EK459" t="e">
        <f>AND(#REF!,"AAAAAH/n24w=")</f>
        <v>#REF!</v>
      </c>
      <c r="EL459" t="e">
        <f>AND(#REF!,"AAAAAH/n240=")</f>
        <v>#REF!</v>
      </c>
      <c r="EM459" t="e">
        <f>AND(#REF!,"AAAAAH/n244=")</f>
        <v>#REF!</v>
      </c>
      <c r="EN459" t="e">
        <f>AND(#REF!,"AAAAAH/n248=")</f>
        <v>#REF!</v>
      </c>
      <c r="EO459" t="e">
        <f>AND(#REF!,"AAAAAH/n25A=")</f>
        <v>#REF!</v>
      </c>
      <c r="EP459" t="e">
        <f>AND(#REF!,"AAAAAH/n25E=")</f>
        <v>#REF!</v>
      </c>
      <c r="EQ459" t="e">
        <f>AND(#REF!,"AAAAAH/n25I=")</f>
        <v>#REF!</v>
      </c>
      <c r="ER459" t="e">
        <f>AND(#REF!,"AAAAAH/n25M=")</f>
        <v>#REF!</v>
      </c>
      <c r="ES459" t="e">
        <f>AND(#REF!,"AAAAAH/n25Q=")</f>
        <v>#REF!</v>
      </c>
      <c r="ET459" t="e">
        <f>AND(#REF!,"AAAAAH/n25U=")</f>
        <v>#REF!</v>
      </c>
      <c r="EU459" t="e">
        <f>AND(#REF!,"AAAAAH/n25Y=")</f>
        <v>#REF!</v>
      </c>
      <c r="EV459" t="e">
        <f>AND(#REF!,"AAAAAH/n25c=")</f>
        <v>#REF!</v>
      </c>
      <c r="EW459" t="e">
        <f>AND(#REF!,"AAAAAH/n25g=")</f>
        <v>#REF!</v>
      </c>
      <c r="EX459" t="e">
        <f>AND(#REF!,"AAAAAH/n25k=")</f>
        <v>#REF!</v>
      </c>
      <c r="EY459" t="e">
        <f>AND(#REF!,"AAAAAH/n25o=")</f>
        <v>#REF!</v>
      </c>
      <c r="EZ459" t="e">
        <f>AND(#REF!,"AAAAAH/n25s=")</f>
        <v>#REF!</v>
      </c>
      <c r="FA459" t="e">
        <f>AND(#REF!,"AAAAAH/n25w=")</f>
        <v>#REF!</v>
      </c>
      <c r="FB459" t="e">
        <f>AND(#REF!,"AAAAAH/n250=")</f>
        <v>#REF!</v>
      </c>
      <c r="FC459" t="e">
        <f>AND(#REF!,"AAAAAH/n254=")</f>
        <v>#REF!</v>
      </c>
      <c r="FD459" t="e">
        <f>AND(#REF!,"AAAAAH/n258=")</f>
        <v>#REF!</v>
      </c>
      <c r="FE459" t="e">
        <f>AND(#REF!,"AAAAAH/n26A=")</f>
        <v>#REF!</v>
      </c>
      <c r="FF459" t="e">
        <f>AND(#REF!,"AAAAAH/n26E=")</f>
        <v>#REF!</v>
      </c>
      <c r="FG459" t="e">
        <f>IF(#REF!,"AAAAAH/n26I=",0)</f>
        <v>#REF!</v>
      </c>
      <c r="FH459" t="e">
        <f>AND(#REF!,"AAAAAH/n26M=")</f>
        <v>#REF!</v>
      </c>
      <c r="FI459" t="e">
        <f>AND(#REF!,"AAAAAH/n26Q=")</f>
        <v>#REF!</v>
      </c>
      <c r="FJ459" t="e">
        <f>AND(#REF!,"AAAAAH/n26U=")</f>
        <v>#REF!</v>
      </c>
      <c r="FK459" t="e">
        <f>AND(#REF!,"AAAAAH/n26Y=")</f>
        <v>#REF!</v>
      </c>
      <c r="FL459" t="e">
        <f>AND(#REF!,"AAAAAH/n26c=")</f>
        <v>#REF!</v>
      </c>
      <c r="FM459" t="e">
        <f>AND(#REF!,"AAAAAH/n26g=")</f>
        <v>#REF!</v>
      </c>
      <c r="FN459" t="e">
        <f>AND(#REF!,"AAAAAH/n26k=")</f>
        <v>#REF!</v>
      </c>
      <c r="FO459" t="e">
        <f>AND(#REF!,"AAAAAH/n26o=")</f>
        <v>#REF!</v>
      </c>
      <c r="FP459" t="e">
        <f>AND(#REF!,"AAAAAH/n26s=")</f>
        <v>#REF!</v>
      </c>
      <c r="FQ459" t="e">
        <f>AND(#REF!,"AAAAAH/n26w=")</f>
        <v>#REF!</v>
      </c>
      <c r="FR459" t="e">
        <f>AND(#REF!,"AAAAAH/n260=")</f>
        <v>#REF!</v>
      </c>
      <c r="FS459" t="e">
        <f>AND(#REF!,"AAAAAH/n264=")</f>
        <v>#REF!</v>
      </c>
      <c r="FT459" t="e">
        <f>AND(#REF!,"AAAAAH/n268=")</f>
        <v>#REF!</v>
      </c>
      <c r="FU459" t="e">
        <f>AND(#REF!,"AAAAAH/n27A=")</f>
        <v>#REF!</v>
      </c>
      <c r="FV459" t="e">
        <f>AND(#REF!,"AAAAAH/n27E=")</f>
        <v>#REF!</v>
      </c>
      <c r="FW459" t="e">
        <f>AND(#REF!,"AAAAAH/n27I=")</f>
        <v>#REF!</v>
      </c>
      <c r="FX459" t="e">
        <f>AND(#REF!,"AAAAAH/n27M=")</f>
        <v>#REF!</v>
      </c>
      <c r="FY459" t="e">
        <f>AND(#REF!,"AAAAAH/n27Q=")</f>
        <v>#REF!</v>
      </c>
      <c r="FZ459" t="e">
        <f>AND(#REF!,"AAAAAH/n27U=")</f>
        <v>#REF!</v>
      </c>
      <c r="GA459" t="e">
        <f>AND(#REF!,"AAAAAH/n27Y=")</f>
        <v>#REF!</v>
      </c>
      <c r="GB459" t="e">
        <f>AND(#REF!,"AAAAAH/n27c=")</f>
        <v>#REF!</v>
      </c>
      <c r="GC459" t="e">
        <f>AND(#REF!,"AAAAAH/n27g=")</f>
        <v>#REF!</v>
      </c>
      <c r="GD459" t="e">
        <f>AND(#REF!,"AAAAAH/n27k=")</f>
        <v>#REF!</v>
      </c>
      <c r="GE459" t="e">
        <f>AND(#REF!,"AAAAAH/n27o=")</f>
        <v>#REF!</v>
      </c>
      <c r="GF459" t="e">
        <f>IF(#REF!,"AAAAAH/n27s=",0)</f>
        <v>#REF!</v>
      </c>
      <c r="GG459" t="e">
        <f>AND(#REF!,"AAAAAH/n27w=")</f>
        <v>#REF!</v>
      </c>
      <c r="GH459" t="e">
        <f>AND(#REF!,"AAAAAH/n270=")</f>
        <v>#REF!</v>
      </c>
      <c r="GI459" t="e">
        <f>AND(#REF!,"AAAAAH/n274=")</f>
        <v>#REF!</v>
      </c>
      <c r="GJ459" t="e">
        <f>AND(#REF!,"AAAAAH/n278=")</f>
        <v>#REF!</v>
      </c>
      <c r="GK459" t="e">
        <f>AND(#REF!,"AAAAAH/n28A=")</f>
        <v>#REF!</v>
      </c>
      <c r="GL459" t="e">
        <f>AND(#REF!,"AAAAAH/n28E=")</f>
        <v>#REF!</v>
      </c>
      <c r="GM459" t="e">
        <f>AND(#REF!,"AAAAAH/n28I=")</f>
        <v>#REF!</v>
      </c>
      <c r="GN459" t="e">
        <f>AND(#REF!,"AAAAAH/n28M=")</f>
        <v>#REF!</v>
      </c>
      <c r="GO459" t="e">
        <f>AND(#REF!,"AAAAAH/n28Q=")</f>
        <v>#REF!</v>
      </c>
      <c r="GP459" t="e">
        <f>AND(#REF!,"AAAAAH/n28U=")</f>
        <v>#REF!</v>
      </c>
      <c r="GQ459" t="e">
        <f>AND(#REF!,"AAAAAH/n28Y=")</f>
        <v>#REF!</v>
      </c>
      <c r="GR459" t="e">
        <f>AND(#REF!,"AAAAAH/n28c=")</f>
        <v>#REF!</v>
      </c>
      <c r="GS459" t="e">
        <f>AND(#REF!,"AAAAAH/n28g=")</f>
        <v>#REF!</v>
      </c>
      <c r="GT459" t="e">
        <f>AND(#REF!,"AAAAAH/n28k=")</f>
        <v>#REF!</v>
      </c>
      <c r="GU459" t="e">
        <f>AND(#REF!,"AAAAAH/n28o=")</f>
        <v>#REF!</v>
      </c>
      <c r="GV459" t="e">
        <f>AND(#REF!,"AAAAAH/n28s=")</f>
        <v>#REF!</v>
      </c>
      <c r="GW459" t="e">
        <f>AND(#REF!,"AAAAAH/n28w=")</f>
        <v>#REF!</v>
      </c>
      <c r="GX459" t="e">
        <f>AND(#REF!,"AAAAAH/n280=")</f>
        <v>#REF!</v>
      </c>
      <c r="GY459" t="e">
        <f>AND(#REF!,"AAAAAH/n284=")</f>
        <v>#REF!</v>
      </c>
      <c r="GZ459" t="e">
        <f>AND(#REF!,"AAAAAH/n288=")</f>
        <v>#REF!</v>
      </c>
      <c r="HA459" t="e">
        <f>AND(#REF!,"AAAAAH/n29A=")</f>
        <v>#REF!</v>
      </c>
      <c r="HB459" t="e">
        <f>AND(#REF!,"AAAAAH/n29E=")</f>
        <v>#REF!</v>
      </c>
      <c r="HC459" t="e">
        <f>AND(#REF!,"AAAAAH/n29I=")</f>
        <v>#REF!</v>
      </c>
      <c r="HD459" t="e">
        <f>AND(#REF!,"AAAAAH/n29M=")</f>
        <v>#REF!</v>
      </c>
      <c r="HE459" t="e">
        <f>IF(#REF!,"AAAAAH/n29Q=",0)</f>
        <v>#REF!</v>
      </c>
      <c r="HF459" t="e">
        <f>AND(#REF!,"AAAAAH/n29U=")</f>
        <v>#REF!</v>
      </c>
      <c r="HG459" t="e">
        <f>AND(#REF!,"AAAAAH/n29Y=")</f>
        <v>#REF!</v>
      </c>
      <c r="HH459" t="e">
        <f>AND(#REF!,"AAAAAH/n29c=")</f>
        <v>#REF!</v>
      </c>
      <c r="HI459" t="e">
        <f>AND(#REF!,"AAAAAH/n29g=")</f>
        <v>#REF!</v>
      </c>
      <c r="HJ459" t="e">
        <f>AND(#REF!,"AAAAAH/n29k=")</f>
        <v>#REF!</v>
      </c>
      <c r="HK459" t="e">
        <f>AND(#REF!,"AAAAAH/n29o=")</f>
        <v>#REF!</v>
      </c>
      <c r="HL459" t="e">
        <f>AND(#REF!,"AAAAAH/n29s=")</f>
        <v>#REF!</v>
      </c>
      <c r="HM459" t="e">
        <f>AND(#REF!,"AAAAAH/n29w=")</f>
        <v>#REF!</v>
      </c>
      <c r="HN459" t="e">
        <f>AND(#REF!,"AAAAAH/n290=")</f>
        <v>#REF!</v>
      </c>
      <c r="HO459" t="e">
        <f>AND(#REF!,"AAAAAH/n294=")</f>
        <v>#REF!</v>
      </c>
      <c r="HP459" t="e">
        <f>AND(#REF!,"AAAAAH/n298=")</f>
        <v>#REF!</v>
      </c>
      <c r="HQ459" t="e">
        <f>AND(#REF!,"AAAAAH/n2+A=")</f>
        <v>#REF!</v>
      </c>
      <c r="HR459" t="e">
        <f>AND(#REF!,"AAAAAH/n2+E=")</f>
        <v>#REF!</v>
      </c>
      <c r="HS459" t="e">
        <f>AND(#REF!,"AAAAAH/n2+I=")</f>
        <v>#REF!</v>
      </c>
      <c r="HT459" t="e">
        <f>AND(#REF!,"AAAAAH/n2+M=")</f>
        <v>#REF!</v>
      </c>
      <c r="HU459" t="e">
        <f>AND(#REF!,"AAAAAH/n2+Q=")</f>
        <v>#REF!</v>
      </c>
      <c r="HV459" t="e">
        <f>AND(#REF!,"AAAAAH/n2+U=")</f>
        <v>#REF!</v>
      </c>
      <c r="HW459" t="e">
        <f>AND(#REF!,"AAAAAH/n2+Y=")</f>
        <v>#REF!</v>
      </c>
      <c r="HX459" t="e">
        <f>AND(#REF!,"AAAAAH/n2+c=")</f>
        <v>#REF!</v>
      </c>
      <c r="HY459" t="e">
        <f>AND(#REF!,"AAAAAH/n2+g=")</f>
        <v>#REF!</v>
      </c>
      <c r="HZ459" t="e">
        <f>AND(#REF!,"AAAAAH/n2+k=")</f>
        <v>#REF!</v>
      </c>
      <c r="IA459" t="e">
        <f>AND(#REF!,"AAAAAH/n2+o=")</f>
        <v>#REF!</v>
      </c>
      <c r="IB459" t="e">
        <f>AND(#REF!,"AAAAAH/n2+s=")</f>
        <v>#REF!</v>
      </c>
      <c r="IC459" t="e">
        <f>AND(#REF!,"AAAAAH/n2+w=")</f>
        <v>#REF!</v>
      </c>
      <c r="ID459" t="e">
        <f>IF(#REF!,"AAAAAH/n2+0=",0)</f>
        <v>#REF!</v>
      </c>
      <c r="IE459" t="e">
        <f>AND(#REF!,"AAAAAH/n2+4=")</f>
        <v>#REF!</v>
      </c>
      <c r="IF459" t="e">
        <f>AND(#REF!,"AAAAAH/n2+8=")</f>
        <v>#REF!</v>
      </c>
      <c r="IG459" t="e">
        <f>AND(#REF!,"AAAAAH/n2/A=")</f>
        <v>#REF!</v>
      </c>
      <c r="IH459" t="e">
        <f>AND(#REF!,"AAAAAH/n2/E=")</f>
        <v>#REF!</v>
      </c>
      <c r="II459" t="e">
        <f>AND(#REF!,"AAAAAH/n2/I=")</f>
        <v>#REF!</v>
      </c>
      <c r="IJ459" t="e">
        <f>AND(#REF!,"AAAAAH/n2/M=")</f>
        <v>#REF!</v>
      </c>
      <c r="IK459" t="e">
        <f>AND(#REF!,"AAAAAH/n2/Q=")</f>
        <v>#REF!</v>
      </c>
      <c r="IL459" t="e">
        <f>AND(#REF!,"AAAAAH/n2/U=")</f>
        <v>#REF!</v>
      </c>
      <c r="IM459" t="e">
        <f>AND(#REF!,"AAAAAH/n2/Y=")</f>
        <v>#REF!</v>
      </c>
      <c r="IN459" t="e">
        <f>AND(#REF!,"AAAAAH/n2/c=")</f>
        <v>#REF!</v>
      </c>
      <c r="IO459" t="e">
        <f>AND(#REF!,"AAAAAH/n2/g=")</f>
        <v>#REF!</v>
      </c>
      <c r="IP459" t="e">
        <f>AND(#REF!,"AAAAAH/n2/k=")</f>
        <v>#REF!</v>
      </c>
      <c r="IQ459" t="e">
        <f>AND(#REF!,"AAAAAH/n2/o=")</f>
        <v>#REF!</v>
      </c>
      <c r="IR459" t="e">
        <f>AND(#REF!,"AAAAAH/n2/s=")</f>
        <v>#REF!</v>
      </c>
      <c r="IS459" t="e">
        <f>AND(#REF!,"AAAAAH/n2/w=")</f>
        <v>#REF!</v>
      </c>
      <c r="IT459" t="e">
        <f>AND(#REF!,"AAAAAH/n2/0=")</f>
        <v>#REF!</v>
      </c>
      <c r="IU459" t="e">
        <f>AND(#REF!,"AAAAAH/n2/4=")</f>
        <v>#REF!</v>
      </c>
      <c r="IV459" t="e">
        <f>AND(#REF!,"AAAAAH/n2/8=")</f>
        <v>#REF!</v>
      </c>
    </row>
    <row r="460" spans="1:256">
      <c r="A460" t="e">
        <f>AND(#REF!,"AAAAAG9dfwA=")</f>
        <v>#REF!</v>
      </c>
      <c r="B460" t="e">
        <f>AND(#REF!,"AAAAAG9dfwE=")</f>
        <v>#REF!</v>
      </c>
      <c r="C460" t="e">
        <f>AND(#REF!,"AAAAAG9dfwI=")</f>
        <v>#REF!</v>
      </c>
      <c r="D460" t="e">
        <f>AND(#REF!,"AAAAAG9dfwM=")</f>
        <v>#REF!</v>
      </c>
      <c r="E460" t="e">
        <f>AND(#REF!,"AAAAAG9dfwQ=")</f>
        <v>#REF!</v>
      </c>
      <c r="F460" t="e">
        <f>AND(#REF!,"AAAAAG9dfwU=")</f>
        <v>#REF!</v>
      </c>
      <c r="G460" t="e">
        <f>IF(#REF!,"AAAAAG9dfwY=",0)</f>
        <v>#REF!</v>
      </c>
      <c r="H460" t="e">
        <f>AND(#REF!,"AAAAAG9dfwc=")</f>
        <v>#REF!</v>
      </c>
      <c r="I460" t="e">
        <f>AND(#REF!,"AAAAAG9dfwg=")</f>
        <v>#REF!</v>
      </c>
      <c r="J460" t="e">
        <f>AND(#REF!,"AAAAAG9dfwk=")</f>
        <v>#REF!</v>
      </c>
      <c r="K460" t="e">
        <f>AND(#REF!,"AAAAAG9dfwo=")</f>
        <v>#REF!</v>
      </c>
      <c r="L460" t="e">
        <f>AND(#REF!,"AAAAAG9dfws=")</f>
        <v>#REF!</v>
      </c>
      <c r="M460" t="e">
        <f>AND(#REF!,"AAAAAG9dfww=")</f>
        <v>#REF!</v>
      </c>
      <c r="N460" t="e">
        <f>AND(#REF!,"AAAAAG9dfw0=")</f>
        <v>#REF!</v>
      </c>
      <c r="O460" t="e">
        <f>AND(#REF!,"AAAAAG9dfw4=")</f>
        <v>#REF!</v>
      </c>
      <c r="P460" t="e">
        <f>AND(#REF!,"AAAAAG9dfw8=")</f>
        <v>#REF!</v>
      </c>
      <c r="Q460" t="e">
        <f>AND(#REF!,"AAAAAG9dfxA=")</f>
        <v>#REF!</v>
      </c>
      <c r="R460" t="e">
        <f>AND(#REF!,"AAAAAG9dfxE=")</f>
        <v>#REF!</v>
      </c>
      <c r="S460" t="e">
        <f>AND(#REF!,"AAAAAG9dfxI=")</f>
        <v>#REF!</v>
      </c>
      <c r="T460" t="e">
        <f>AND(#REF!,"AAAAAG9dfxM=")</f>
        <v>#REF!</v>
      </c>
      <c r="U460" t="e">
        <f>AND(#REF!,"AAAAAG9dfxQ=")</f>
        <v>#REF!</v>
      </c>
      <c r="V460" t="e">
        <f>AND(#REF!,"AAAAAG9dfxU=")</f>
        <v>#REF!</v>
      </c>
      <c r="W460" t="e">
        <f>AND(#REF!,"AAAAAG9dfxY=")</f>
        <v>#REF!</v>
      </c>
      <c r="X460" t="e">
        <f>AND(#REF!,"AAAAAG9dfxc=")</f>
        <v>#REF!</v>
      </c>
      <c r="Y460" t="e">
        <f>AND(#REF!,"AAAAAG9dfxg=")</f>
        <v>#REF!</v>
      </c>
      <c r="Z460" t="e">
        <f>AND(#REF!,"AAAAAG9dfxk=")</f>
        <v>#REF!</v>
      </c>
      <c r="AA460" t="e">
        <f>AND(#REF!,"AAAAAG9dfxo=")</f>
        <v>#REF!</v>
      </c>
      <c r="AB460" t="e">
        <f>AND(#REF!,"AAAAAG9dfxs=")</f>
        <v>#REF!</v>
      </c>
      <c r="AC460" t="e">
        <f>AND(#REF!,"AAAAAG9dfxw=")</f>
        <v>#REF!</v>
      </c>
      <c r="AD460" t="e">
        <f>AND(#REF!,"AAAAAG9dfx0=")</f>
        <v>#REF!</v>
      </c>
      <c r="AE460" t="e">
        <f>AND(#REF!,"AAAAAG9dfx4=")</f>
        <v>#REF!</v>
      </c>
      <c r="AF460" t="e">
        <f>IF(#REF!,"AAAAAG9dfx8=",0)</f>
        <v>#REF!</v>
      </c>
      <c r="AG460" t="e">
        <f>AND(#REF!,"AAAAAG9dfyA=")</f>
        <v>#REF!</v>
      </c>
      <c r="AH460" t="e">
        <f>AND(#REF!,"AAAAAG9dfyE=")</f>
        <v>#REF!</v>
      </c>
      <c r="AI460" t="e">
        <f>AND(#REF!,"AAAAAG9dfyI=")</f>
        <v>#REF!</v>
      </c>
      <c r="AJ460" t="e">
        <f>AND(#REF!,"AAAAAG9dfyM=")</f>
        <v>#REF!</v>
      </c>
      <c r="AK460" t="e">
        <f>AND(#REF!,"AAAAAG9dfyQ=")</f>
        <v>#REF!</v>
      </c>
      <c r="AL460" t="e">
        <f>AND(#REF!,"AAAAAG9dfyU=")</f>
        <v>#REF!</v>
      </c>
      <c r="AM460" t="e">
        <f>AND(#REF!,"AAAAAG9dfyY=")</f>
        <v>#REF!</v>
      </c>
      <c r="AN460" t="e">
        <f>AND(#REF!,"AAAAAG9dfyc=")</f>
        <v>#REF!</v>
      </c>
      <c r="AO460" t="e">
        <f>AND(#REF!,"AAAAAG9dfyg=")</f>
        <v>#REF!</v>
      </c>
      <c r="AP460" t="e">
        <f>AND(#REF!,"AAAAAG9dfyk=")</f>
        <v>#REF!</v>
      </c>
      <c r="AQ460" t="e">
        <f>AND(#REF!,"AAAAAG9dfyo=")</f>
        <v>#REF!</v>
      </c>
      <c r="AR460" t="e">
        <f>AND(#REF!,"AAAAAG9dfys=")</f>
        <v>#REF!</v>
      </c>
      <c r="AS460" t="e">
        <f>AND(#REF!,"AAAAAG9dfyw=")</f>
        <v>#REF!</v>
      </c>
      <c r="AT460" t="e">
        <f>AND(#REF!,"AAAAAG9dfy0=")</f>
        <v>#REF!</v>
      </c>
      <c r="AU460" t="e">
        <f>AND(#REF!,"AAAAAG9dfy4=")</f>
        <v>#REF!</v>
      </c>
      <c r="AV460" t="e">
        <f>AND(#REF!,"AAAAAG9dfy8=")</f>
        <v>#REF!</v>
      </c>
      <c r="AW460" t="e">
        <f>AND(#REF!,"AAAAAG9dfzA=")</f>
        <v>#REF!</v>
      </c>
      <c r="AX460" t="e">
        <f>AND(#REF!,"AAAAAG9dfzE=")</f>
        <v>#REF!</v>
      </c>
      <c r="AY460" t="e">
        <f>AND(#REF!,"AAAAAG9dfzI=")</f>
        <v>#REF!</v>
      </c>
      <c r="AZ460" t="e">
        <f>AND(#REF!,"AAAAAG9dfzM=")</f>
        <v>#REF!</v>
      </c>
      <c r="BA460" t="e">
        <f>AND(#REF!,"AAAAAG9dfzQ=")</f>
        <v>#REF!</v>
      </c>
      <c r="BB460" t="e">
        <f>AND(#REF!,"AAAAAG9dfzU=")</f>
        <v>#REF!</v>
      </c>
      <c r="BC460" t="e">
        <f>AND(#REF!,"AAAAAG9dfzY=")</f>
        <v>#REF!</v>
      </c>
      <c r="BD460" t="e">
        <f>AND(#REF!,"AAAAAG9dfzc=")</f>
        <v>#REF!</v>
      </c>
      <c r="BE460" t="e">
        <f>IF(#REF!,"AAAAAG9dfzg=",0)</f>
        <v>#REF!</v>
      </c>
      <c r="BF460" t="e">
        <f>AND(#REF!,"AAAAAG9dfzk=")</f>
        <v>#REF!</v>
      </c>
      <c r="BG460" t="e">
        <f>AND(#REF!,"AAAAAG9dfzo=")</f>
        <v>#REF!</v>
      </c>
      <c r="BH460" t="e">
        <f>AND(#REF!,"AAAAAG9dfzs=")</f>
        <v>#REF!</v>
      </c>
      <c r="BI460" t="e">
        <f>AND(#REF!,"AAAAAG9dfzw=")</f>
        <v>#REF!</v>
      </c>
      <c r="BJ460" t="e">
        <f>AND(#REF!,"AAAAAG9dfz0=")</f>
        <v>#REF!</v>
      </c>
      <c r="BK460" t="e">
        <f>AND(#REF!,"AAAAAG9dfz4=")</f>
        <v>#REF!</v>
      </c>
      <c r="BL460" t="e">
        <f>AND(#REF!,"AAAAAG9dfz8=")</f>
        <v>#REF!</v>
      </c>
      <c r="BM460" t="e">
        <f>AND(#REF!,"AAAAAG9df0A=")</f>
        <v>#REF!</v>
      </c>
      <c r="BN460" t="e">
        <f>AND(#REF!,"AAAAAG9df0E=")</f>
        <v>#REF!</v>
      </c>
      <c r="BO460" t="e">
        <f>AND(#REF!,"AAAAAG9df0I=")</f>
        <v>#REF!</v>
      </c>
      <c r="BP460" t="e">
        <f>AND(#REF!,"AAAAAG9df0M=")</f>
        <v>#REF!</v>
      </c>
      <c r="BQ460" t="e">
        <f>AND(#REF!,"AAAAAG9df0Q=")</f>
        <v>#REF!</v>
      </c>
      <c r="BR460" t="e">
        <f>AND(#REF!,"AAAAAG9df0U=")</f>
        <v>#REF!</v>
      </c>
      <c r="BS460" t="e">
        <f>AND(#REF!,"AAAAAG9df0Y=")</f>
        <v>#REF!</v>
      </c>
      <c r="BT460" t="e">
        <f>AND(#REF!,"AAAAAG9df0c=")</f>
        <v>#REF!</v>
      </c>
      <c r="BU460" t="e">
        <f>AND(#REF!,"AAAAAG9df0g=")</f>
        <v>#REF!</v>
      </c>
      <c r="BV460" t="e">
        <f>AND(#REF!,"AAAAAG9df0k=")</f>
        <v>#REF!</v>
      </c>
      <c r="BW460" t="e">
        <f>AND(#REF!,"AAAAAG9df0o=")</f>
        <v>#REF!</v>
      </c>
      <c r="BX460" t="e">
        <f>AND(#REF!,"AAAAAG9df0s=")</f>
        <v>#REF!</v>
      </c>
      <c r="BY460" t="e">
        <f>AND(#REF!,"AAAAAG9df0w=")</f>
        <v>#REF!</v>
      </c>
      <c r="BZ460" t="e">
        <f>AND(#REF!,"AAAAAG9df00=")</f>
        <v>#REF!</v>
      </c>
      <c r="CA460" t="e">
        <f>AND(#REF!,"AAAAAG9df04=")</f>
        <v>#REF!</v>
      </c>
      <c r="CB460" t="e">
        <f>AND(#REF!,"AAAAAG9df08=")</f>
        <v>#REF!</v>
      </c>
      <c r="CC460" t="e">
        <f>AND(#REF!,"AAAAAG9df1A=")</f>
        <v>#REF!</v>
      </c>
      <c r="CD460" t="e">
        <f>IF(#REF!,"AAAAAG9df1E=",0)</f>
        <v>#REF!</v>
      </c>
      <c r="CE460" t="e">
        <f>AND(#REF!,"AAAAAG9df1I=")</f>
        <v>#REF!</v>
      </c>
      <c r="CF460" t="e">
        <f>AND(#REF!,"AAAAAG9df1M=")</f>
        <v>#REF!</v>
      </c>
      <c r="CG460" t="e">
        <f>AND(#REF!,"AAAAAG9df1Q=")</f>
        <v>#REF!</v>
      </c>
      <c r="CH460" t="e">
        <f>AND(#REF!,"AAAAAG9df1U=")</f>
        <v>#REF!</v>
      </c>
      <c r="CI460" t="e">
        <f>AND(#REF!,"AAAAAG9df1Y=")</f>
        <v>#REF!</v>
      </c>
      <c r="CJ460" t="e">
        <f>AND(#REF!,"AAAAAG9df1c=")</f>
        <v>#REF!</v>
      </c>
      <c r="CK460" t="e">
        <f>AND(#REF!,"AAAAAG9df1g=")</f>
        <v>#REF!</v>
      </c>
      <c r="CL460" t="e">
        <f>AND(#REF!,"AAAAAG9df1k=")</f>
        <v>#REF!</v>
      </c>
      <c r="CM460" t="e">
        <f>AND(#REF!,"AAAAAG9df1o=")</f>
        <v>#REF!</v>
      </c>
      <c r="CN460" t="e">
        <f>AND(#REF!,"AAAAAG9df1s=")</f>
        <v>#REF!</v>
      </c>
      <c r="CO460" t="e">
        <f>AND(#REF!,"AAAAAG9df1w=")</f>
        <v>#REF!</v>
      </c>
      <c r="CP460" t="e">
        <f>AND(#REF!,"AAAAAG9df10=")</f>
        <v>#REF!</v>
      </c>
      <c r="CQ460" t="e">
        <f>AND(#REF!,"AAAAAG9df14=")</f>
        <v>#REF!</v>
      </c>
      <c r="CR460" t="e">
        <f>AND(#REF!,"AAAAAG9df18=")</f>
        <v>#REF!</v>
      </c>
      <c r="CS460" t="e">
        <f>AND(#REF!,"AAAAAG9df2A=")</f>
        <v>#REF!</v>
      </c>
      <c r="CT460" t="e">
        <f>AND(#REF!,"AAAAAG9df2E=")</f>
        <v>#REF!</v>
      </c>
      <c r="CU460" t="e">
        <f>AND(#REF!,"AAAAAG9df2I=")</f>
        <v>#REF!</v>
      </c>
      <c r="CV460" t="e">
        <f>AND(#REF!,"AAAAAG9df2M=")</f>
        <v>#REF!</v>
      </c>
      <c r="CW460" t="e">
        <f>AND(#REF!,"AAAAAG9df2Q=")</f>
        <v>#REF!</v>
      </c>
      <c r="CX460" t="e">
        <f>AND(#REF!,"AAAAAG9df2U=")</f>
        <v>#REF!</v>
      </c>
      <c r="CY460" t="e">
        <f>AND(#REF!,"AAAAAG9df2Y=")</f>
        <v>#REF!</v>
      </c>
      <c r="CZ460" t="e">
        <f>AND(#REF!,"AAAAAG9df2c=")</f>
        <v>#REF!</v>
      </c>
      <c r="DA460" t="e">
        <f>AND(#REF!,"AAAAAG9df2g=")</f>
        <v>#REF!</v>
      </c>
      <c r="DB460" t="e">
        <f>AND(#REF!,"AAAAAG9df2k=")</f>
        <v>#REF!</v>
      </c>
      <c r="DC460" t="e">
        <f>IF(#REF!,"AAAAAG9df2o=",0)</f>
        <v>#REF!</v>
      </c>
      <c r="DD460" t="e">
        <f>AND(#REF!,"AAAAAG9df2s=")</f>
        <v>#REF!</v>
      </c>
      <c r="DE460" t="e">
        <f>AND(#REF!,"AAAAAG9df2w=")</f>
        <v>#REF!</v>
      </c>
      <c r="DF460" t="e">
        <f>AND(#REF!,"AAAAAG9df20=")</f>
        <v>#REF!</v>
      </c>
      <c r="DG460" t="e">
        <f>AND(#REF!,"AAAAAG9df24=")</f>
        <v>#REF!</v>
      </c>
      <c r="DH460" t="e">
        <f>AND(#REF!,"AAAAAG9df28=")</f>
        <v>#REF!</v>
      </c>
      <c r="DI460" t="e">
        <f>AND(#REF!,"AAAAAG9df3A=")</f>
        <v>#REF!</v>
      </c>
      <c r="DJ460" t="e">
        <f>AND(#REF!,"AAAAAG9df3E=")</f>
        <v>#REF!</v>
      </c>
      <c r="DK460" t="e">
        <f>AND(#REF!,"AAAAAG9df3I=")</f>
        <v>#REF!</v>
      </c>
      <c r="DL460" t="e">
        <f>AND(#REF!,"AAAAAG9df3M=")</f>
        <v>#REF!</v>
      </c>
      <c r="DM460" t="e">
        <f>AND(#REF!,"AAAAAG9df3Q=")</f>
        <v>#REF!</v>
      </c>
      <c r="DN460" t="e">
        <f>AND(#REF!,"AAAAAG9df3U=")</f>
        <v>#REF!</v>
      </c>
      <c r="DO460" t="e">
        <f>AND(#REF!,"AAAAAG9df3Y=")</f>
        <v>#REF!</v>
      </c>
      <c r="DP460" t="e">
        <f>AND(#REF!,"AAAAAG9df3c=")</f>
        <v>#REF!</v>
      </c>
      <c r="DQ460" t="e">
        <f>AND(#REF!,"AAAAAG9df3g=")</f>
        <v>#REF!</v>
      </c>
      <c r="DR460" t="e">
        <f>AND(#REF!,"AAAAAG9df3k=")</f>
        <v>#REF!</v>
      </c>
      <c r="DS460" t="e">
        <f>AND(#REF!,"AAAAAG9df3o=")</f>
        <v>#REF!</v>
      </c>
      <c r="DT460" t="e">
        <f>AND(#REF!,"AAAAAG9df3s=")</f>
        <v>#REF!</v>
      </c>
      <c r="DU460" t="e">
        <f>AND(#REF!,"AAAAAG9df3w=")</f>
        <v>#REF!</v>
      </c>
      <c r="DV460" t="e">
        <f>AND(#REF!,"AAAAAG9df30=")</f>
        <v>#REF!</v>
      </c>
      <c r="DW460" t="e">
        <f>AND(#REF!,"AAAAAG9df34=")</f>
        <v>#REF!</v>
      </c>
      <c r="DX460" t="e">
        <f>AND(#REF!,"AAAAAG9df38=")</f>
        <v>#REF!</v>
      </c>
      <c r="DY460" t="e">
        <f>AND(#REF!,"AAAAAG9df4A=")</f>
        <v>#REF!</v>
      </c>
      <c r="DZ460" t="e">
        <f>AND(#REF!,"AAAAAG9df4E=")</f>
        <v>#REF!</v>
      </c>
      <c r="EA460" t="e">
        <f>AND(#REF!,"AAAAAG9df4I=")</f>
        <v>#REF!</v>
      </c>
      <c r="EB460" t="e">
        <f>IF(#REF!,"AAAAAG9df4M=",0)</f>
        <v>#REF!</v>
      </c>
      <c r="EC460" t="e">
        <f>AND(#REF!,"AAAAAG9df4Q=")</f>
        <v>#REF!</v>
      </c>
      <c r="ED460" t="e">
        <f>AND(#REF!,"AAAAAG9df4U=")</f>
        <v>#REF!</v>
      </c>
      <c r="EE460" t="e">
        <f>AND(#REF!,"AAAAAG9df4Y=")</f>
        <v>#REF!</v>
      </c>
      <c r="EF460" t="e">
        <f>AND(#REF!,"AAAAAG9df4c=")</f>
        <v>#REF!</v>
      </c>
      <c r="EG460" t="e">
        <f>AND(#REF!,"AAAAAG9df4g=")</f>
        <v>#REF!</v>
      </c>
      <c r="EH460" t="e">
        <f>AND(#REF!,"AAAAAG9df4k=")</f>
        <v>#REF!</v>
      </c>
      <c r="EI460" t="e">
        <f>AND(#REF!,"AAAAAG9df4o=")</f>
        <v>#REF!</v>
      </c>
      <c r="EJ460" t="e">
        <f>AND(#REF!,"AAAAAG9df4s=")</f>
        <v>#REF!</v>
      </c>
      <c r="EK460" t="e">
        <f>AND(#REF!,"AAAAAG9df4w=")</f>
        <v>#REF!</v>
      </c>
      <c r="EL460" t="e">
        <f>AND(#REF!,"AAAAAG9df40=")</f>
        <v>#REF!</v>
      </c>
      <c r="EM460" t="e">
        <f>AND(#REF!,"AAAAAG9df44=")</f>
        <v>#REF!</v>
      </c>
      <c r="EN460" t="e">
        <f>AND(#REF!,"AAAAAG9df48=")</f>
        <v>#REF!</v>
      </c>
      <c r="EO460" t="e">
        <f>AND(#REF!,"AAAAAG9df5A=")</f>
        <v>#REF!</v>
      </c>
      <c r="EP460" t="e">
        <f>AND(#REF!,"AAAAAG9df5E=")</f>
        <v>#REF!</v>
      </c>
      <c r="EQ460" t="e">
        <f>AND(#REF!,"AAAAAG9df5I=")</f>
        <v>#REF!</v>
      </c>
      <c r="ER460" t="e">
        <f>AND(#REF!,"AAAAAG9df5M=")</f>
        <v>#REF!</v>
      </c>
      <c r="ES460" t="e">
        <f>AND(#REF!,"AAAAAG9df5Q=")</f>
        <v>#REF!</v>
      </c>
      <c r="ET460" t="e">
        <f>AND(#REF!,"AAAAAG9df5U=")</f>
        <v>#REF!</v>
      </c>
      <c r="EU460" t="e">
        <f>AND(#REF!,"AAAAAG9df5Y=")</f>
        <v>#REF!</v>
      </c>
      <c r="EV460" t="e">
        <f>AND(#REF!,"AAAAAG9df5c=")</f>
        <v>#REF!</v>
      </c>
      <c r="EW460" t="e">
        <f>AND(#REF!,"AAAAAG9df5g=")</f>
        <v>#REF!</v>
      </c>
      <c r="EX460" t="e">
        <f>AND(#REF!,"AAAAAG9df5k=")</f>
        <v>#REF!</v>
      </c>
      <c r="EY460" t="e">
        <f>AND(#REF!,"AAAAAG9df5o=")</f>
        <v>#REF!</v>
      </c>
      <c r="EZ460" t="e">
        <f>AND(#REF!,"AAAAAG9df5s=")</f>
        <v>#REF!</v>
      </c>
      <c r="FA460" t="e">
        <f>IF(#REF!,"AAAAAG9df5w=",0)</f>
        <v>#REF!</v>
      </c>
      <c r="FB460" t="e">
        <f>AND(#REF!,"AAAAAG9df50=")</f>
        <v>#REF!</v>
      </c>
      <c r="FC460" t="e">
        <f>AND(#REF!,"AAAAAG9df54=")</f>
        <v>#REF!</v>
      </c>
      <c r="FD460" t="e">
        <f>AND(#REF!,"AAAAAG9df58=")</f>
        <v>#REF!</v>
      </c>
      <c r="FE460" t="e">
        <f>AND(#REF!,"AAAAAG9df6A=")</f>
        <v>#REF!</v>
      </c>
      <c r="FF460" t="e">
        <f>AND(#REF!,"AAAAAG9df6E=")</f>
        <v>#REF!</v>
      </c>
      <c r="FG460" t="e">
        <f>AND(#REF!,"AAAAAG9df6I=")</f>
        <v>#REF!</v>
      </c>
      <c r="FH460" t="e">
        <f>AND(#REF!,"AAAAAG9df6M=")</f>
        <v>#REF!</v>
      </c>
      <c r="FI460" t="e">
        <f>AND(#REF!,"AAAAAG9df6Q=")</f>
        <v>#REF!</v>
      </c>
      <c r="FJ460" t="e">
        <f>AND(#REF!,"AAAAAG9df6U=")</f>
        <v>#REF!</v>
      </c>
      <c r="FK460" t="e">
        <f>AND(#REF!,"AAAAAG9df6Y=")</f>
        <v>#REF!</v>
      </c>
      <c r="FL460" t="e">
        <f>AND(#REF!,"AAAAAG9df6c=")</f>
        <v>#REF!</v>
      </c>
      <c r="FM460" t="e">
        <f>AND(#REF!,"AAAAAG9df6g=")</f>
        <v>#REF!</v>
      </c>
      <c r="FN460" t="e">
        <f>AND(#REF!,"AAAAAG9df6k=")</f>
        <v>#REF!</v>
      </c>
      <c r="FO460" t="e">
        <f>AND(#REF!,"AAAAAG9df6o=")</f>
        <v>#REF!</v>
      </c>
      <c r="FP460" t="e">
        <f>AND(#REF!,"AAAAAG9df6s=")</f>
        <v>#REF!</v>
      </c>
      <c r="FQ460" t="e">
        <f>AND(#REF!,"AAAAAG9df6w=")</f>
        <v>#REF!</v>
      </c>
      <c r="FR460" t="e">
        <f>AND(#REF!,"AAAAAG9df60=")</f>
        <v>#REF!</v>
      </c>
      <c r="FS460" t="e">
        <f>AND(#REF!,"AAAAAG9df64=")</f>
        <v>#REF!</v>
      </c>
      <c r="FT460" t="e">
        <f>AND(#REF!,"AAAAAG9df68=")</f>
        <v>#REF!</v>
      </c>
      <c r="FU460" t="e">
        <f>AND(#REF!,"AAAAAG9df7A=")</f>
        <v>#REF!</v>
      </c>
      <c r="FV460" t="e">
        <f>AND(#REF!,"AAAAAG9df7E=")</f>
        <v>#REF!</v>
      </c>
      <c r="FW460" t="e">
        <f>AND(#REF!,"AAAAAG9df7I=")</f>
        <v>#REF!</v>
      </c>
      <c r="FX460" t="e">
        <f>AND(#REF!,"AAAAAG9df7M=")</f>
        <v>#REF!</v>
      </c>
      <c r="FY460" t="e">
        <f>AND(#REF!,"AAAAAG9df7Q=")</f>
        <v>#REF!</v>
      </c>
      <c r="FZ460" t="e">
        <f>IF(#REF!,"AAAAAG9df7U=",0)</f>
        <v>#REF!</v>
      </c>
      <c r="GA460" t="e">
        <f>AND(#REF!,"AAAAAG9df7Y=")</f>
        <v>#REF!</v>
      </c>
      <c r="GB460" t="e">
        <f>AND(#REF!,"AAAAAG9df7c=")</f>
        <v>#REF!</v>
      </c>
      <c r="GC460" t="e">
        <f>AND(#REF!,"AAAAAG9df7g=")</f>
        <v>#REF!</v>
      </c>
      <c r="GD460" t="e">
        <f>AND(#REF!,"AAAAAG9df7k=")</f>
        <v>#REF!</v>
      </c>
      <c r="GE460" t="e">
        <f>AND(#REF!,"AAAAAG9df7o=")</f>
        <v>#REF!</v>
      </c>
      <c r="GF460" t="e">
        <f>AND(#REF!,"AAAAAG9df7s=")</f>
        <v>#REF!</v>
      </c>
      <c r="GG460" t="e">
        <f>AND(#REF!,"AAAAAG9df7w=")</f>
        <v>#REF!</v>
      </c>
      <c r="GH460" t="e">
        <f>AND(#REF!,"AAAAAG9df70=")</f>
        <v>#REF!</v>
      </c>
      <c r="GI460" t="e">
        <f>AND(#REF!,"AAAAAG9df74=")</f>
        <v>#REF!</v>
      </c>
      <c r="GJ460" t="e">
        <f>AND(#REF!,"AAAAAG9df78=")</f>
        <v>#REF!</v>
      </c>
      <c r="GK460" t="e">
        <f>AND(#REF!,"AAAAAG9df8A=")</f>
        <v>#REF!</v>
      </c>
      <c r="GL460" t="e">
        <f>AND(#REF!,"AAAAAG9df8E=")</f>
        <v>#REF!</v>
      </c>
      <c r="GM460" t="e">
        <f>AND(#REF!,"AAAAAG9df8I=")</f>
        <v>#REF!</v>
      </c>
      <c r="GN460" t="e">
        <f>AND(#REF!,"AAAAAG9df8M=")</f>
        <v>#REF!</v>
      </c>
      <c r="GO460" t="e">
        <f>AND(#REF!,"AAAAAG9df8Q=")</f>
        <v>#REF!</v>
      </c>
      <c r="GP460" t="e">
        <f>AND(#REF!,"AAAAAG9df8U=")</f>
        <v>#REF!</v>
      </c>
      <c r="GQ460" t="e">
        <f>AND(#REF!,"AAAAAG9df8Y=")</f>
        <v>#REF!</v>
      </c>
      <c r="GR460" t="e">
        <f>AND(#REF!,"AAAAAG9df8c=")</f>
        <v>#REF!</v>
      </c>
      <c r="GS460" t="e">
        <f>AND(#REF!,"AAAAAG9df8g=")</f>
        <v>#REF!</v>
      </c>
      <c r="GT460" t="e">
        <f>AND(#REF!,"AAAAAG9df8k=")</f>
        <v>#REF!</v>
      </c>
      <c r="GU460" t="e">
        <f>AND(#REF!,"AAAAAG9df8o=")</f>
        <v>#REF!</v>
      </c>
      <c r="GV460" t="e">
        <f>AND(#REF!,"AAAAAG9df8s=")</f>
        <v>#REF!</v>
      </c>
      <c r="GW460" t="e">
        <f>AND(#REF!,"AAAAAG9df8w=")</f>
        <v>#REF!</v>
      </c>
      <c r="GX460" t="e">
        <f>AND(#REF!,"AAAAAG9df80=")</f>
        <v>#REF!</v>
      </c>
      <c r="GY460" t="e">
        <f>IF(#REF!,"AAAAAG9df84=",0)</f>
        <v>#REF!</v>
      </c>
      <c r="GZ460" t="e">
        <f>AND(#REF!,"AAAAAG9df88=")</f>
        <v>#REF!</v>
      </c>
      <c r="HA460" t="e">
        <f>AND(#REF!,"AAAAAG9df9A=")</f>
        <v>#REF!</v>
      </c>
      <c r="HB460" t="e">
        <f>AND(#REF!,"AAAAAG9df9E=")</f>
        <v>#REF!</v>
      </c>
      <c r="HC460" t="e">
        <f>AND(#REF!,"AAAAAG9df9I=")</f>
        <v>#REF!</v>
      </c>
      <c r="HD460" t="e">
        <f>AND(#REF!,"AAAAAG9df9M=")</f>
        <v>#REF!</v>
      </c>
      <c r="HE460" t="e">
        <f>AND(#REF!,"AAAAAG9df9Q=")</f>
        <v>#REF!</v>
      </c>
      <c r="HF460" t="e">
        <f>AND(#REF!,"AAAAAG9df9U=")</f>
        <v>#REF!</v>
      </c>
      <c r="HG460" t="e">
        <f>AND(#REF!,"AAAAAG9df9Y=")</f>
        <v>#REF!</v>
      </c>
      <c r="HH460" t="e">
        <f>AND(#REF!,"AAAAAG9df9c=")</f>
        <v>#REF!</v>
      </c>
      <c r="HI460" t="e">
        <f>AND(#REF!,"AAAAAG9df9g=")</f>
        <v>#REF!</v>
      </c>
      <c r="HJ460" t="e">
        <f>AND(#REF!,"AAAAAG9df9k=")</f>
        <v>#REF!</v>
      </c>
      <c r="HK460" t="e">
        <f>AND(#REF!,"AAAAAG9df9o=")</f>
        <v>#REF!</v>
      </c>
      <c r="HL460" t="e">
        <f>AND(#REF!,"AAAAAG9df9s=")</f>
        <v>#REF!</v>
      </c>
      <c r="HM460" t="e">
        <f>AND(#REF!,"AAAAAG9df9w=")</f>
        <v>#REF!</v>
      </c>
      <c r="HN460" t="e">
        <f>AND(#REF!,"AAAAAG9df90=")</f>
        <v>#REF!</v>
      </c>
      <c r="HO460" t="e">
        <f>AND(#REF!,"AAAAAG9df94=")</f>
        <v>#REF!</v>
      </c>
      <c r="HP460" t="e">
        <f>AND(#REF!,"AAAAAG9df98=")</f>
        <v>#REF!</v>
      </c>
      <c r="HQ460" t="e">
        <f>AND(#REF!,"AAAAAG9df+A=")</f>
        <v>#REF!</v>
      </c>
      <c r="HR460" t="e">
        <f>AND(#REF!,"AAAAAG9df+E=")</f>
        <v>#REF!</v>
      </c>
      <c r="HS460" t="e">
        <f>AND(#REF!,"AAAAAG9df+I=")</f>
        <v>#REF!</v>
      </c>
      <c r="HT460" t="e">
        <f>AND(#REF!,"AAAAAG9df+M=")</f>
        <v>#REF!</v>
      </c>
      <c r="HU460" t="e">
        <f>AND(#REF!,"AAAAAG9df+Q=")</f>
        <v>#REF!</v>
      </c>
      <c r="HV460" t="e">
        <f>AND(#REF!,"AAAAAG9df+U=")</f>
        <v>#REF!</v>
      </c>
      <c r="HW460" t="e">
        <f>AND(#REF!,"AAAAAG9df+Y=")</f>
        <v>#REF!</v>
      </c>
      <c r="HX460" t="e">
        <f>IF(#REF!,"AAAAAG9df+c=",0)</f>
        <v>#REF!</v>
      </c>
      <c r="HY460" t="e">
        <f>AND(#REF!,"AAAAAG9df+g=")</f>
        <v>#REF!</v>
      </c>
      <c r="HZ460" t="e">
        <f>AND(#REF!,"AAAAAG9df+k=")</f>
        <v>#REF!</v>
      </c>
      <c r="IA460" t="e">
        <f>AND(#REF!,"AAAAAG9df+o=")</f>
        <v>#REF!</v>
      </c>
      <c r="IB460" t="e">
        <f>AND(#REF!,"AAAAAG9df+s=")</f>
        <v>#REF!</v>
      </c>
      <c r="IC460" t="e">
        <f>AND(#REF!,"AAAAAG9df+w=")</f>
        <v>#REF!</v>
      </c>
      <c r="ID460" t="e">
        <f>AND(#REF!,"AAAAAG9df+0=")</f>
        <v>#REF!</v>
      </c>
      <c r="IE460" t="e">
        <f>AND(#REF!,"AAAAAG9df+4=")</f>
        <v>#REF!</v>
      </c>
      <c r="IF460" t="e">
        <f>AND(#REF!,"AAAAAG9df+8=")</f>
        <v>#REF!</v>
      </c>
      <c r="IG460" t="e">
        <f>AND(#REF!,"AAAAAG9df/A=")</f>
        <v>#REF!</v>
      </c>
      <c r="IH460" t="e">
        <f>AND(#REF!,"AAAAAG9df/E=")</f>
        <v>#REF!</v>
      </c>
      <c r="II460" t="e">
        <f>AND(#REF!,"AAAAAG9df/I=")</f>
        <v>#REF!</v>
      </c>
      <c r="IJ460" t="e">
        <f>AND(#REF!,"AAAAAG9df/M=")</f>
        <v>#REF!</v>
      </c>
      <c r="IK460" t="e">
        <f>AND(#REF!,"AAAAAG9df/Q=")</f>
        <v>#REF!</v>
      </c>
      <c r="IL460" t="e">
        <f>AND(#REF!,"AAAAAG9df/U=")</f>
        <v>#REF!</v>
      </c>
      <c r="IM460" t="e">
        <f>AND(#REF!,"AAAAAG9df/Y=")</f>
        <v>#REF!</v>
      </c>
      <c r="IN460" t="e">
        <f>AND(#REF!,"AAAAAG9df/c=")</f>
        <v>#REF!</v>
      </c>
      <c r="IO460" t="e">
        <f>AND(#REF!,"AAAAAG9df/g=")</f>
        <v>#REF!</v>
      </c>
      <c r="IP460" t="e">
        <f>AND(#REF!,"AAAAAG9df/k=")</f>
        <v>#REF!</v>
      </c>
      <c r="IQ460" t="e">
        <f>AND(#REF!,"AAAAAG9df/o=")</f>
        <v>#REF!</v>
      </c>
      <c r="IR460" t="e">
        <f>AND(#REF!,"AAAAAG9df/s=")</f>
        <v>#REF!</v>
      </c>
      <c r="IS460" t="e">
        <f>AND(#REF!,"AAAAAG9df/w=")</f>
        <v>#REF!</v>
      </c>
      <c r="IT460" t="e">
        <f>AND(#REF!,"AAAAAG9df/0=")</f>
        <v>#REF!</v>
      </c>
      <c r="IU460" t="e">
        <f>AND(#REF!,"AAAAAG9df/4=")</f>
        <v>#REF!</v>
      </c>
      <c r="IV460" t="e">
        <f>AND(#REF!,"AAAAAG9df/8=")</f>
        <v>#REF!</v>
      </c>
    </row>
    <row r="461" spans="1:256">
      <c r="A461" t="e">
        <f>IF(#REF!,"AAAAADcmPwA=",0)</f>
        <v>#REF!</v>
      </c>
      <c r="B461" t="e">
        <f>AND(#REF!,"AAAAADcmPwE=")</f>
        <v>#REF!</v>
      </c>
      <c r="C461" t="e">
        <f>AND(#REF!,"AAAAADcmPwI=")</f>
        <v>#REF!</v>
      </c>
      <c r="D461" t="e">
        <f>AND(#REF!,"AAAAADcmPwM=")</f>
        <v>#REF!</v>
      </c>
      <c r="E461" t="e">
        <f>AND(#REF!,"AAAAADcmPwQ=")</f>
        <v>#REF!</v>
      </c>
      <c r="F461" t="e">
        <f>AND(#REF!,"AAAAADcmPwU=")</f>
        <v>#REF!</v>
      </c>
      <c r="G461" t="e">
        <f>AND(#REF!,"AAAAADcmPwY=")</f>
        <v>#REF!</v>
      </c>
      <c r="H461" t="e">
        <f>AND(#REF!,"AAAAADcmPwc=")</f>
        <v>#REF!</v>
      </c>
      <c r="I461" t="e">
        <f>AND(#REF!,"AAAAADcmPwg=")</f>
        <v>#REF!</v>
      </c>
      <c r="J461" t="e">
        <f>AND(#REF!,"AAAAADcmPwk=")</f>
        <v>#REF!</v>
      </c>
      <c r="K461" t="e">
        <f>AND(#REF!,"AAAAADcmPwo=")</f>
        <v>#REF!</v>
      </c>
      <c r="L461" t="e">
        <f>AND(#REF!,"AAAAADcmPws=")</f>
        <v>#REF!</v>
      </c>
      <c r="M461" t="e">
        <f>AND(#REF!,"AAAAADcmPww=")</f>
        <v>#REF!</v>
      </c>
      <c r="N461" t="e">
        <f>AND(#REF!,"AAAAADcmPw0=")</f>
        <v>#REF!</v>
      </c>
      <c r="O461" t="e">
        <f>AND(#REF!,"AAAAADcmPw4=")</f>
        <v>#REF!</v>
      </c>
      <c r="P461" t="e">
        <f>AND(#REF!,"AAAAADcmPw8=")</f>
        <v>#REF!</v>
      </c>
      <c r="Q461" t="e">
        <f>AND(#REF!,"AAAAADcmPxA=")</f>
        <v>#REF!</v>
      </c>
      <c r="R461" t="e">
        <f>AND(#REF!,"AAAAADcmPxE=")</f>
        <v>#REF!</v>
      </c>
      <c r="S461" t="e">
        <f>AND(#REF!,"AAAAADcmPxI=")</f>
        <v>#REF!</v>
      </c>
      <c r="T461" t="e">
        <f>AND(#REF!,"AAAAADcmPxM=")</f>
        <v>#REF!</v>
      </c>
      <c r="U461" t="e">
        <f>AND(#REF!,"AAAAADcmPxQ=")</f>
        <v>#REF!</v>
      </c>
      <c r="V461" t="e">
        <f>AND(#REF!,"AAAAADcmPxU=")</f>
        <v>#REF!</v>
      </c>
      <c r="W461" t="e">
        <f>AND(#REF!,"AAAAADcmPxY=")</f>
        <v>#REF!</v>
      </c>
      <c r="X461" t="e">
        <f>AND(#REF!,"AAAAADcmPxc=")</f>
        <v>#REF!</v>
      </c>
      <c r="Y461" t="e">
        <f>AND(#REF!,"AAAAADcmPxg=")</f>
        <v>#REF!</v>
      </c>
      <c r="Z461" t="e">
        <f>IF(#REF!,"AAAAADcmPxk=",0)</f>
        <v>#REF!</v>
      </c>
      <c r="AA461" t="e">
        <f>AND(#REF!,"AAAAADcmPxo=")</f>
        <v>#REF!</v>
      </c>
      <c r="AB461" t="e">
        <f>AND(#REF!,"AAAAADcmPxs=")</f>
        <v>#REF!</v>
      </c>
      <c r="AC461" t="e">
        <f>AND(#REF!,"AAAAADcmPxw=")</f>
        <v>#REF!</v>
      </c>
      <c r="AD461" t="e">
        <f>AND(#REF!,"AAAAADcmPx0=")</f>
        <v>#REF!</v>
      </c>
      <c r="AE461" t="e">
        <f>AND(#REF!,"AAAAADcmPx4=")</f>
        <v>#REF!</v>
      </c>
      <c r="AF461" t="e">
        <f>AND(#REF!,"AAAAADcmPx8=")</f>
        <v>#REF!</v>
      </c>
      <c r="AG461" t="e">
        <f>AND(#REF!,"AAAAADcmPyA=")</f>
        <v>#REF!</v>
      </c>
      <c r="AH461" t="e">
        <f>AND(#REF!,"AAAAADcmPyE=")</f>
        <v>#REF!</v>
      </c>
      <c r="AI461" t="e">
        <f>AND(#REF!,"AAAAADcmPyI=")</f>
        <v>#REF!</v>
      </c>
      <c r="AJ461" t="e">
        <f>AND(#REF!,"AAAAADcmPyM=")</f>
        <v>#REF!</v>
      </c>
      <c r="AK461" t="e">
        <f>AND(#REF!,"AAAAADcmPyQ=")</f>
        <v>#REF!</v>
      </c>
      <c r="AL461" t="e">
        <f>AND(#REF!,"AAAAADcmPyU=")</f>
        <v>#REF!</v>
      </c>
      <c r="AM461" t="e">
        <f>AND(#REF!,"AAAAADcmPyY=")</f>
        <v>#REF!</v>
      </c>
      <c r="AN461" t="e">
        <f>AND(#REF!,"AAAAADcmPyc=")</f>
        <v>#REF!</v>
      </c>
      <c r="AO461" t="e">
        <f>AND(#REF!,"AAAAADcmPyg=")</f>
        <v>#REF!</v>
      </c>
      <c r="AP461" t="e">
        <f>AND(#REF!,"AAAAADcmPyk=")</f>
        <v>#REF!</v>
      </c>
      <c r="AQ461" t="e">
        <f>AND(#REF!,"AAAAADcmPyo=")</f>
        <v>#REF!</v>
      </c>
      <c r="AR461" t="e">
        <f>AND(#REF!,"AAAAADcmPys=")</f>
        <v>#REF!</v>
      </c>
      <c r="AS461" t="e">
        <f>AND(#REF!,"AAAAADcmPyw=")</f>
        <v>#REF!</v>
      </c>
      <c r="AT461" t="e">
        <f>AND(#REF!,"AAAAADcmPy0=")</f>
        <v>#REF!</v>
      </c>
      <c r="AU461" t="e">
        <f>AND(#REF!,"AAAAADcmPy4=")</f>
        <v>#REF!</v>
      </c>
      <c r="AV461" t="e">
        <f>AND(#REF!,"AAAAADcmPy8=")</f>
        <v>#REF!</v>
      </c>
      <c r="AW461" t="e">
        <f>AND(#REF!,"AAAAADcmPzA=")</f>
        <v>#REF!</v>
      </c>
      <c r="AX461" t="e">
        <f>AND(#REF!,"AAAAADcmPzE=")</f>
        <v>#REF!</v>
      </c>
      <c r="AY461" t="e">
        <f>IF(#REF!,"AAAAADcmPzI=",0)</f>
        <v>#REF!</v>
      </c>
      <c r="AZ461" t="e">
        <f>AND(#REF!,"AAAAADcmPzM=")</f>
        <v>#REF!</v>
      </c>
      <c r="BA461" t="e">
        <f>AND(#REF!,"AAAAADcmPzQ=")</f>
        <v>#REF!</v>
      </c>
      <c r="BB461" t="e">
        <f>AND(#REF!,"AAAAADcmPzU=")</f>
        <v>#REF!</v>
      </c>
      <c r="BC461" t="e">
        <f>AND(#REF!,"AAAAADcmPzY=")</f>
        <v>#REF!</v>
      </c>
      <c r="BD461" t="e">
        <f>AND(#REF!,"AAAAADcmPzc=")</f>
        <v>#REF!</v>
      </c>
      <c r="BE461" t="e">
        <f>AND(#REF!,"AAAAADcmPzg=")</f>
        <v>#REF!</v>
      </c>
      <c r="BF461" t="e">
        <f>AND(#REF!,"AAAAADcmPzk=")</f>
        <v>#REF!</v>
      </c>
      <c r="BG461" t="e">
        <f>AND(#REF!,"AAAAADcmPzo=")</f>
        <v>#REF!</v>
      </c>
      <c r="BH461" t="e">
        <f>AND(#REF!,"AAAAADcmPzs=")</f>
        <v>#REF!</v>
      </c>
      <c r="BI461" t="e">
        <f>AND(#REF!,"AAAAADcmPzw=")</f>
        <v>#REF!</v>
      </c>
      <c r="BJ461" t="e">
        <f>AND(#REF!,"AAAAADcmPz0=")</f>
        <v>#REF!</v>
      </c>
      <c r="BK461" t="e">
        <f>AND(#REF!,"AAAAADcmPz4=")</f>
        <v>#REF!</v>
      </c>
      <c r="BL461" t="e">
        <f>AND(#REF!,"AAAAADcmPz8=")</f>
        <v>#REF!</v>
      </c>
      <c r="BM461" t="e">
        <f>AND(#REF!,"AAAAADcmP0A=")</f>
        <v>#REF!</v>
      </c>
      <c r="BN461" t="e">
        <f>AND(#REF!,"AAAAADcmP0E=")</f>
        <v>#REF!</v>
      </c>
      <c r="BO461" t="e">
        <f>AND(#REF!,"AAAAADcmP0I=")</f>
        <v>#REF!</v>
      </c>
      <c r="BP461" t="e">
        <f>AND(#REF!,"AAAAADcmP0M=")</f>
        <v>#REF!</v>
      </c>
      <c r="BQ461" t="e">
        <f>AND(#REF!,"AAAAADcmP0Q=")</f>
        <v>#REF!</v>
      </c>
      <c r="BR461" t="e">
        <f>AND(#REF!,"AAAAADcmP0U=")</f>
        <v>#REF!</v>
      </c>
      <c r="BS461" t="e">
        <f>AND(#REF!,"AAAAADcmP0Y=")</f>
        <v>#REF!</v>
      </c>
      <c r="BT461" t="e">
        <f>AND(#REF!,"AAAAADcmP0c=")</f>
        <v>#REF!</v>
      </c>
      <c r="BU461" t="e">
        <f>AND(#REF!,"AAAAADcmP0g=")</f>
        <v>#REF!</v>
      </c>
      <c r="BV461" t="e">
        <f>AND(#REF!,"AAAAADcmP0k=")</f>
        <v>#REF!</v>
      </c>
      <c r="BW461" t="e">
        <f>AND(#REF!,"AAAAADcmP0o=")</f>
        <v>#REF!</v>
      </c>
      <c r="BX461" t="e">
        <f>IF(#REF!,"AAAAADcmP0s=",0)</f>
        <v>#REF!</v>
      </c>
      <c r="BY461" t="e">
        <f>AND(#REF!,"AAAAADcmP0w=")</f>
        <v>#REF!</v>
      </c>
      <c r="BZ461" t="e">
        <f>AND(#REF!,"AAAAADcmP00=")</f>
        <v>#REF!</v>
      </c>
      <c r="CA461" t="e">
        <f>AND(#REF!,"AAAAADcmP04=")</f>
        <v>#REF!</v>
      </c>
      <c r="CB461" t="e">
        <f>AND(#REF!,"AAAAADcmP08=")</f>
        <v>#REF!</v>
      </c>
      <c r="CC461" t="e">
        <f>AND(#REF!,"AAAAADcmP1A=")</f>
        <v>#REF!</v>
      </c>
      <c r="CD461" t="e">
        <f>AND(#REF!,"AAAAADcmP1E=")</f>
        <v>#REF!</v>
      </c>
      <c r="CE461" t="e">
        <f>AND(#REF!,"AAAAADcmP1I=")</f>
        <v>#REF!</v>
      </c>
      <c r="CF461" t="e">
        <f>AND(#REF!,"AAAAADcmP1M=")</f>
        <v>#REF!</v>
      </c>
      <c r="CG461" t="e">
        <f>AND(#REF!,"AAAAADcmP1Q=")</f>
        <v>#REF!</v>
      </c>
      <c r="CH461" t="e">
        <f>AND(#REF!,"AAAAADcmP1U=")</f>
        <v>#REF!</v>
      </c>
      <c r="CI461" t="e">
        <f>AND(#REF!,"AAAAADcmP1Y=")</f>
        <v>#REF!</v>
      </c>
      <c r="CJ461" t="e">
        <f>AND(#REF!,"AAAAADcmP1c=")</f>
        <v>#REF!</v>
      </c>
      <c r="CK461" t="e">
        <f>AND(#REF!,"AAAAADcmP1g=")</f>
        <v>#REF!</v>
      </c>
      <c r="CL461" t="e">
        <f>AND(#REF!,"AAAAADcmP1k=")</f>
        <v>#REF!</v>
      </c>
      <c r="CM461" t="e">
        <f>AND(#REF!,"AAAAADcmP1o=")</f>
        <v>#REF!</v>
      </c>
      <c r="CN461" t="e">
        <f>AND(#REF!,"AAAAADcmP1s=")</f>
        <v>#REF!</v>
      </c>
      <c r="CO461" t="e">
        <f>AND(#REF!,"AAAAADcmP1w=")</f>
        <v>#REF!</v>
      </c>
      <c r="CP461" t="e">
        <f>AND(#REF!,"AAAAADcmP10=")</f>
        <v>#REF!</v>
      </c>
      <c r="CQ461" t="e">
        <f>AND(#REF!,"AAAAADcmP14=")</f>
        <v>#REF!</v>
      </c>
      <c r="CR461" t="e">
        <f>AND(#REF!,"AAAAADcmP18=")</f>
        <v>#REF!</v>
      </c>
      <c r="CS461" t="e">
        <f>AND(#REF!,"AAAAADcmP2A=")</f>
        <v>#REF!</v>
      </c>
      <c r="CT461" t="e">
        <f>AND(#REF!,"AAAAADcmP2E=")</f>
        <v>#REF!</v>
      </c>
      <c r="CU461" t="e">
        <f>AND(#REF!,"AAAAADcmP2I=")</f>
        <v>#REF!</v>
      </c>
      <c r="CV461" t="e">
        <f>AND(#REF!,"AAAAADcmP2M=")</f>
        <v>#REF!</v>
      </c>
      <c r="CW461" t="e">
        <f>IF(#REF!,"AAAAADcmP2Q=",0)</f>
        <v>#REF!</v>
      </c>
      <c r="CX461" t="e">
        <f>AND(#REF!,"AAAAADcmP2U=")</f>
        <v>#REF!</v>
      </c>
      <c r="CY461" t="e">
        <f>AND(#REF!,"AAAAADcmP2Y=")</f>
        <v>#REF!</v>
      </c>
      <c r="CZ461" t="e">
        <f>AND(#REF!,"AAAAADcmP2c=")</f>
        <v>#REF!</v>
      </c>
      <c r="DA461" t="e">
        <f>AND(#REF!,"AAAAADcmP2g=")</f>
        <v>#REF!</v>
      </c>
      <c r="DB461" t="e">
        <f>AND(#REF!,"AAAAADcmP2k=")</f>
        <v>#REF!</v>
      </c>
      <c r="DC461" t="e">
        <f>AND(#REF!,"AAAAADcmP2o=")</f>
        <v>#REF!</v>
      </c>
      <c r="DD461" t="e">
        <f>AND(#REF!,"AAAAADcmP2s=")</f>
        <v>#REF!</v>
      </c>
      <c r="DE461" t="e">
        <f>AND(#REF!,"AAAAADcmP2w=")</f>
        <v>#REF!</v>
      </c>
      <c r="DF461" t="e">
        <f>AND(#REF!,"AAAAADcmP20=")</f>
        <v>#REF!</v>
      </c>
      <c r="DG461" t="e">
        <f>AND(#REF!,"AAAAADcmP24=")</f>
        <v>#REF!</v>
      </c>
      <c r="DH461" t="e">
        <f>AND(#REF!,"AAAAADcmP28=")</f>
        <v>#REF!</v>
      </c>
      <c r="DI461" t="e">
        <f>AND(#REF!,"AAAAADcmP3A=")</f>
        <v>#REF!</v>
      </c>
      <c r="DJ461" t="e">
        <f>AND(#REF!,"AAAAADcmP3E=")</f>
        <v>#REF!</v>
      </c>
      <c r="DK461" t="e">
        <f>AND(#REF!,"AAAAADcmP3I=")</f>
        <v>#REF!</v>
      </c>
      <c r="DL461" t="e">
        <f>AND(#REF!,"AAAAADcmP3M=")</f>
        <v>#REF!</v>
      </c>
      <c r="DM461" t="e">
        <f>AND(#REF!,"AAAAADcmP3Q=")</f>
        <v>#REF!</v>
      </c>
      <c r="DN461" t="e">
        <f>AND(#REF!,"AAAAADcmP3U=")</f>
        <v>#REF!</v>
      </c>
      <c r="DO461" t="e">
        <f>AND(#REF!,"AAAAADcmP3Y=")</f>
        <v>#REF!</v>
      </c>
      <c r="DP461" t="e">
        <f>AND(#REF!,"AAAAADcmP3c=")</f>
        <v>#REF!</v>
      </c>
      <c r="DQ461" t="e">
        <f>AND(#REF!,"AAAAADcmP3g=")</f>
        <v>#REF!</v>
      </c>
      <c r="DR461" t="e">
        <f>AND(#REF!,"AAAAADcmP3k=")</f>
        <v>#REF!</v>
      </c>
      <c r="DS461" t="e">
        <f>AND(#REF!,"AAAAADcmP3o=")</f>
        <v>#REF!</v>
      </c>
      <c r="DT461" t="e">
        <f>AND(#REF!,"AAAAADcmP3s=")</f>
        <v>#REF!</v>
      </c>
      <c r="DU461" t="e">
        <f>AND(#REF!,"AAAAADcmP3w=")</f>
        <v>#REF!</v>
      </c>
      <c r="DV461" t="e">
        <f>IF(#REF!,"AAAAADcmP30=",0)</f>
        <v>#REF!</v>
      </c>
      <c r="DW461" t="e">
        <f>AND(#REF!,"AAAAADcmP34=")</f>
        <v>#REF!</v>
      </c>
      <c r="DX461" t="e">
        <f>AND(#REF!,"AAAAADcmP38=")</f>
        <v>#REF!</v>
      </c>
      <c r="DY461" t="e">
        <f>AND(#REF!,"AAAAADcmP4A=")</f>
        <v>#REF!</v>
      </c>
      <c r="DZ461" t="e">
        <f>AND(#REF!,"AAAAADcmP4E=")</f>
        <v>#REF!</v>
      </c>
      <c r="EA461" t="e">
        <f>AND(#REF!,"AAAAADcmP4I=")</f>
        <v>#REF!</v>
      </c>
      <c r="EB461" t="e">
        <f>AND(#REF!,"AAAAADcmP4M=")</f>
        <v>#REF!</v>
      </c>
      <c r="EC461" t="e">
        <f>AND(#REF!,"AAAAADcmP4Q=")</f>
        <v>#REF!</v>
      </c>
      <c r="ED461" t="e">
        <f>AND(#REF!,"AAAAADcmP4U=")</f>
        <v>#REF!</v>
      </c>
      <c r="EE461" t="e">
        <f>AND(#REF!,"AAAAADcmP4Y=")</f>
        <v>#REF!</v>
      </c>
      <c r="EF461" t="e">
        <f>AND(#REF!,"AAAAADcmP4c=")</f>
        <v>#REF!</v>
      </c>
      <c r="EG461" t="e">
        <f>AND(#REF!,"AAAAADcmP4g=")</f>
        <v>#REF!</v>
      </c>
      <c r="EH461" t="e">
        <f>AND(#REF!,"AAAAADcmP4k=")</f>
        <v>#REF!</v>
      </c>
      <c r="EI461" t="e">
        <f>AND(#REF!,"AAAAADcmP4o=")</f>
        <v>#REF!</v>
      </c>
      <c r="EJ461" t="e">
        <f>AND(#REF!,"AAAAADcmP4s=")</f>
        <v>#REF!</v>
      </c>
      <c r="EK461" t="e">
        <f>AND(#REF!,"AAAAADcmP4w=")</f>
        <v>#REF!</v>
      </c>
      <c r="EL461" t="e">
        <f>AND(#REF!,"AAAAADcmP40=")</f>
        <v>#REF!</v>
      </c>
      <c r="EM461" t="e">
        <f>AND(#REF!,"AAAAADcmP44=")</f>
        <v>#REF!</v>
      </c>
      <c r="EN461" t="e">
        <f>AND(#REF!,"AAAAADcmP48=")</f>
        <v>#REF!</v>
      </c>
      <c r="EO461" t="e">
        <f>AND(#REF!,"AAAAADcmP5A=")</f>
        <v>#REF!</v>
      </c>
      <c r="EP461" t="e">
        <f>AND(#REF!,"AAAAADcmP5E=")</f>
        <v>#REF!</v>
      </c>
      <c r="EQ461" t="e">
        <f>AND(#REF!,"AAAAADcmP5I=")</f>
        <v>#REF!</v>
      </c>
      <c r="ER461" t="e">
        <f>AND(#REF!,"AAAAADcmP5M=")</f>
        <v>#REF!</v>
      </c>
      <c r="ES461" t="e">
        <f>AND(#REF!,"AAAAADcmP5Q=")</f>
        <v>#REF!</v>
      </c>
      <c r="ET461" t="e">
        <f>AND(#REF!,"AAAAADcmP5U=")</f>
        <v>#REF!</v>
      </c>
      <c r="EU461" t="e">
        <f>IF(#REF!,"AAAAADcmP5Y=",0)</f>
        <v>#REF!</v>
      </c>
      <c r="EV461" t="e">
        <f>AND(#REF!,"AAAAADcmP5c=")</f>
        <v>#REF!</v>
      </c>
      <c r="EW461" t="e">
        <f>AND(#REF!,"AAAAADcmP5g=")</f>
        <v>#REF!</v>
      </c>
      <c r="EX461" t="e">
        <f>AND(#REF!,"AAAAADcmP5k=")</f>
        <v>#REF!</v>
      </c>
      <c r="EY461" t="e">
        <f>AND(#REF!,"AAAAADcmP5o=")</f>
        <v>#REF!</v>
      </c>
      <c r="EZ461" t="e">
        <f>AND(#REF!,"AAAAADcmP5s=")</f>
        <v>#REF!</v>
      </c>
      <c r="FA461" t="e">
        <f>AND(#REF!,"AAAAADcmP5w=")</f>
        <v>#REF!</v>
      </c>
      <c r="FB461" t="e">
        <f>AND(#REF!,"AAAAADcmP50=")</f>
        <v>#REF!</v>
      </c>
      <c r="FC461" t="e">
        <f>AND(#REF!,"AAAAADcmP54=")</f>
        <v>#REF!</v>
      </c>
      <c r="FD461" t="e">
        <f>AND(#REF!,"AAAAADcmP58=")</f>
        <v>#REF!</v>
      </c>
      <c r="FE461" t="e">
        <f>AND(#REF!,"AAAAADcmP6A=")</f>
        <v>#REF!</v>
      </c>
      <c r="FF461" t="e">
        <f>AND(#REF!,"AAAAADcmP6E=")</f>
        <v>#REF!</v>
      </c>
      <c r="FG461" t="e">
        <f>AND(#REF!,"AAAAADcmP6I=")</f>
        <v>#REF!</v>
      </c>
      <c r="FH461" t="e">
        <f>AND(#REF!,"AAAAADcmP6M=")</f>
        <v>#REF!</v>
      </c>
      <c r="FI461" t="e">
        <f>AND(#REF!,"AAAAADcmP6Q=")</f>
        <v>#REF!</v>
      </c>
      <c r="FJ461" t="e">
        <f>AND(#REF!,"AAAAADcmP6U=")</f>
        <v>#REF!</v>
      </c>
      <c r="FK461" t="e">
        <f>AND(#REF!,"AAAAADcmP6Y=")</f>
        <v>#REF!</v>
      </c>
      <c r="FL461" t="e">
        <f>AND(#REF!,"AAAAADcmP6c=")</f>
        <v>#REF!</v>
      </c>
      <c r="FM461" t="e">
        <f>AND(#REF!,"AAAAADcmP6g=")</f>
        <v>#REF!</v>
      </c>
      <c r="FN461" t="e">
        <f>AND(#REF!,"AAAAADcmP6k=")</f>
        <v>#REF!</v>
      </c>
      <c r="FO461" t="e">
        <f>AND(#REF!,"AAAAADcmP6o=")</f>
        <v>#REF!</v>
      </c>
      <c r="FP461" t="e">
        <f>AND(#REF!,"AAAAADcmP6s=")</f>
        <v>#REF!</v>
      </c>
      <c r="FQ461" t="e">
        <f>AND(#REF!,"AAAAADcmP6w=")</f>
        <v>#REF!</v>
      </c>
      <c r="FR461" t="e">
        <f>AND(#REF!,"AAAAADcmP60=")</f>
        <v>#REF!</v>
      </c>
      <c r="FS461" t="e">
        <f>AND(#REF!,"AAAAADcmP64=")</f>
        <v>#REF!</v>
      </c>
      <c r="FT461" t="e">
        <f>IF(#REF!,"AAAAADcmP68=",0)</f>
        <v>#REF!</v>
      </c>
      <c r="FU461" t="e">
        <f>AND(#REF!,"AAAAADcmP7A=")</f>
        <v>#REF!</v>
      </c>
      <c r="FV461" t="e">
        <f>AND(#REF!,"AAAAADcmP7E=")</f>
        <v>#REF!</v>
      </c>
      <c r="FW461" t="e">
        <f>AND(#REF!,"AAAAADcmP7I=")</f>
        <v>#REF!</v>
      </c>
      <c r="FX461" t="e">
        <f>AND(#REF!,"AAAAADcmP7M=")</f>
        <v>#REF!</v>
      </c>
      <c r="FY461" t="e">
        <f>AND(#REF!,"AAAAADcmP7Q=")</f>
        <v>#REF!</v>
      </c>
      <c r="FZ461" t="e">
        <f>AND(#REF!,"AAAAADcmP7U=")</f>
        <v>#REF!</v>
      </c>
      <c r="GA461" t="e">
        <f>AND(#REF!,"AAAAADcmP7Y=")</f>
        <v>#REF!</v>
      </c>
      <c r="GB461" t="e">
        <f>AND(#REF!,"AAAAADcmP7c=")</f>
        <v>#REF!</v>
      </c>
      <c r="GC461" t="e">
        <f>AND(#REF!,"AAAAADcmP7g=")</f>
        <v>#REF!</v>
      </c>
      <c r="GD461" t="e">
        <f>AND(#REF!,"AAAAADcmP7k=")</f>
        <v>#REF!</v>
      </c>
      <c r="GE461" t="e">
        <f>AND(#REF!,"AAAAADcmP7o=")</f>
        <v>#REF!</v>
      </c>
      <c r="GF461" t="e">
        <f>AND(#REF!,"AAAAADcmP7s=")</f>
        <v>#REF!</v>
      </c>
      <c r="GG461" t="e">
        <f>AND(#REF!,"AAAAADcmP7w=")</f>
        <v>#REF!</v>
      </c>
      <c r="GH461" t="e">
        <f>AND(#REF!,"AAAAADcmP70=")</f>
        <v>#REF!</v>
      </c>
      <c r="GI461" t="e">
        <f>AND(#REF!,"AAAAADcmP74=")</f>
        <v>#REF!</v>
      </c>
      <c r="GJ461" t="e">
        <f>AND(#REF!,"AAAAADcmP78=")</f>
        <v>#REF!</v>
      </c>
      <c r="GK461" t="e">
        <f>AND(#REF!,"AAAAADcmP8A=")</f>
        <v>#REF!</v>
      </c>
      <c r="GL461" t="e">
        <f>AND(#REF!,"AAAAADcmP8E=")</f>
        <v>#REF!</v>
      </c>
      <c r="GM461" t="e">
        <f>AND(#REF!,"AAAAADcmP8I=")</f>
        <v>#REF!</v>
      </c>
      <c r="GN461" t="e">
        <f>AND(#REF!,"AAAAADcmP8M=")</f>
        <v>#REF!</v>
      </c>
      <c r="GO461" t="e">
        <f>AND(#REF!,"AAAAADcmP8Q=")</f>
        <v>#REF!</v>
      </c>
      <c r="GP461" t="e">
        <f>AND(#REF!,"AAAAADcmP8U=")</f>
        <v>#REF!</v>
      </c>
      <c r="GQ461" t="e">
        <f>AND(#REF!,"AAAAADcmP8Y=")</f>
        <v>#REF!</v>
      </c>
      <c r="GR461" t="e">
        <f>AND(#REF!,"AAAAADcmP8c=")</f>
        <v>#REF!</v>
      </c>
      <c r="GS461" t="e">
        <f>IF(#REF!,"AAAAADcmP8g=",0)</f>
        <v>#REF!</v>
      </c>
      <c r="GT461" t="e">
        <f>AND(#REF!,"AAAAADcmP8k=")</f>
        <v>#REF!</v>
      </c>
      <c r="GU461" t="e">
        <f>AND(#REF!,"AAAAADcmP8o=")</f>
        <v>#REF!</v>
      </c>
      <c r="GV461" t="e">
        <f>AND(#REF!,"AAAAADcmP8s=")</f>
        <v>#REF!</v>
      </c>
      <c r="GW461" t="e">
        <f>AND(#REF!,"AAAAADcmP8w=")</f>
        <v>#REF!</v>
      </c>
      <c r="GX461" t="e">
        <f>AND(#REF!,"AAAAADcmP80=")</f>
        <v>#REF!</v>
      </c>
      <c r="GY461" t="e">
        <f>AND(#REF!,"AAAAADcmP84=")</f>
        <v>#REF!</v>
      </c>
      <c r="GZ461" t="e">
        <f>AND(#REF!,"AAAAADcmP88=")</f>
        <v>#REF!</v>
      </c>
      <c r="HA461" t="e">
        <f>AND(#REF!,"AAAAADcmP9A=")</f>
        <v>#REF!</v>
      </c>
      <c r="HB461" t="e">
        <f>AND(#REF!,"AAAAADcmP9E=")</f>
        <v>#REF!</v>
      </c>
      <c r="HC461" t="e">
        <f>AND(#REF!,"AAAAADcmP9I=")</f>
        <v>#REF!</v>
      </c>
      <c r="HD461" t="e">
        <f>AND(#REF!,"AAAAADcmP9M=")</f>
        <v>#REF!</v>
      </c>
      <c r="HE461" t="e">
        <f>AND(#REF!,"AAAAADcmP9Q=")</f>
        <v>#REF!</v>
      </c>
      <c r="HF461" t="e">
        <f>AND(#REF!,"AAAAADcmP9U=")</f>
        <v>#REF!</v>
      </c>
      <c r="HG461" t="e">
        <f>AND(#REF!,"AAAAADcmP9Y=")</f>
        <v>#REF!</v>
      </c>
      <c r="HH461" t="e">
        <f>AND(#REF!,"AAAAADcmP9c=")</f>
        <v>#REF!</v>
      </c>
      <c r="HI461" t="e">
        <f>AND(#REF!,"AAAAADcmP9g=")</f>
        <v>#REF!</v>
      </c>
      <c r="HJ461" t="e">
        <f>AND(#REF!,"AAAAADcmP9k=")</f>
        <v>#REF!</v>
      </c>
      <c r="HK461" t="e">
        <f>AND(#REF!,"AAAAADcmP9o=")</f>
        <v>#REF!</v>
      </c>
      <c r="HL461" t="e">
        <f>AND(#REF!,"AAAAADcmP9s=")</f>
        <v>#REF!</v>
      </c>
      <c r="HM461" t="e">
        <f>AND(#REF!,"AAAAADcmP9w=")</f>
        <v>#REF!</v>
      </c>
      <c r="HN461" t="e">
        <f>AND(#REF!,"AAAAADcmP90=")</f>
        <v>#REF!</v>
      </c>
      <c r="HO461" t="e">
        <f>AND(#REF!,"AAAAADcmP94=")</f>
        <v>#REF!</v>
      </c>
      <c r="HP461" t="e">
        <f>AND(#REF!,"AAAAADcmP98=")</f>
        <v>#REF!</v>
      </c>
      <c r="HQ461" t="e">
        <f>AND(#REF!,"AAAAADcmP+A=")</f>
        <v>#REF!</v>
      </c>
      <c r="HR461" t="e">
        <f>IF(#REF!,"AAAAADcmP+E=",0)</f>
        <v>#REF!</v>
      </c>
      <c r="HS461" t="e">
        <f>AND(#REF!,"AAAAADcmP+I=")</f>
        <v>#REF!</v>
      </c>
      <c r="HT461" t="e">
        <f>AND(#REF!,"AAAAADcmP+M=")</f>
        <v>#REF!</v>
      </c>
      <c r="HU461" t="e">
        <f>AND(#REF!,"AAAAADcmP+Q=")</f>
        <v>#REF!</v>
      </c>
      <c r="HV461" t="e">
        <f>AND(#REF!,"AAAAADcmP+U=")</f>
        <v>#REF!</v>
      </c>
      <c r="HW461" t="e">
        <f>AND(#REF!,"AAAAADcmP+Y=")</f>
        <v>#REF!</v>
      </c>
      <c r="HX461" t="e">
        <f>AND(#REF!,"AAAAADcmP+c=")</f>
        <v>#REF!</v>
      </c>
      <c r="HY461" t="e">
        <f>AND(#REF!,"AAAAADcmP+g=")</f>
        <v>#REF!</v>
      </c>
      <c r="HZ461" t="e">
        <f>AND(#REF!,"AAAAADcmP+k=")</f>
        <v>#REF!</v>
      </c>
      <c r="IA461" t="e">
        <f>AND(#REF!,"AAAAADcmP+o=")</f>
        <v>#REF!</v>
      </c>
      <c r="IB461" t="e">
        <f>AND(#REF!,"AAAAADcmP+s=")</f>
        <v>#REF!</v>
      </c>
      <c r="IC461" t="e">
        <f>AND(#REF!,"AAAAADcmP+w=")</f>
        <v>#REF!</v>
      </c>
      <c r="ID461" t="e">
        <f>AND(#REF!,"AAAAADcmP+0=")</f>
        <v>#REF!</v>
      </c>
      <c r="IE461" t="e">
        <f>AND(#REF!,"AAAAADcmP+4=")</f>
        <v>#REF!</v>
      </c>
      <c r="IF461" t="e">
        <f>AND(#REF!,"AAAAADcmP+8=")</f>
        <v>#REF!</v>
      </c>
      <c r="IG461" t="e">
        <f>AND(#REF!,"AAAAADcmP/A=")</f>
        <v>#REF!</v>
      </c>
      <c r="IH461" t="e">
        <f>AND(#REF!,"AAAAADcmP/E=")</f>
        <v>#REF!</v>
      </c>
      <c r="II461" t="e">
        <f>AND(#REF!,"AAAAADcmP/I=")</f>
        <v>#REF!</v>
      </c>
      <c r="IJ461" t="e">
        <f>AND(#REF!,"AAAAADcmP/M=")</f>
        <v>#REF!</v>
      </c>
      <c r="IK461" t="e">
        <f>AND(#REF!,"AAAAADcmP/Q=")</f>
        <v>#REF!</v>
      </c>
      <c r="IL461" t="e">
        <f>AND(#REF!,"AAAAADcmP/U=")</f>
        <v>#REF!</v>
      </c>
      <c r="IM461" t="e">
        <f>AND(#REF!,"AAAAADcmP/Y=")</f>
        <v>#REF!</v>
      </c>
      <c r="IN461" t="e">
        <f>AND(#REF!,"AAAAADcmP/c=")</f>
        <v>#REF!</v>
      </c>
      <c r="IO461" t="e">
        <f>AND(#REF!,"AAAAADcmP/g=")</f>
        <v>#REF!</v>
      </c>
      <c r="IP461" t="e">
        <f>AND(#REF!,"AAAAADcmP/k=")</f>
        <v>#REF!</v>
      </c>
      <c r="IQ461" t="e">
        <f>IF(#REF!,"AAAAADcmP/o=",0)</f>
        <v>#REF!</v>
      </c>
      <c r="IR461" t="e">
        <f>AND(#REF!,"AAAAADcmP/s=")</f>
        <v>#REF!</v>
      </c>
      <c r="IS461" t="e">
        <f>AND(#REF!,"AAAAADcmP/w=")</f>
        <v>#REF!</v>
      </c>
      <c r="IT461" t="e">
        <f>AND(#REF!,"AAAAADcmP/0=")</f>
        <v>#REF!</v>
      </c>
      <c r="IU461" t="e">
        <f>AND(#REF!,"AAAAADcmP/4=")</f>
        <v>#REF!</v>
      </c>
      <c r="IV461" t="e">
        <f>AND(#REF!,"AAAAADcmP/8=")</f>
        <v>#REF!</v>
      </c>
    </row>
    <row r="462" spans="1:256">
      <c r="A462" t="e">
        <f>AND(#REF!,"AAAAAH7W9gA=")</f>
        <v>#REF!</v>
      </c>
      <c r="B462" t="e">
        <f>AND(#REF!,"AAAAAH7W9gE=")</f>
        <v>#REF!</v>
      </c>
      <c r="C462" t="e">
        <f>AND(#REF!,"AAAAAH7W9gI=")</f>
        <v>#REF!</v>
      </c>
      <c r="D462" t="e">
        <f>AND(#REF!,"AAAAAH7W9gM=")</f>
        <v>#REF!</v>
      </c>
      <c r="E462" t="e">
        <f>AND(#REF!,"AAAAAH7W9gQ=")</f>
        <v>#REF!</v>
      </c>
      <c r="F462" t="e">
        <f>AND(#REF!,"AAAAAH7W9gU=")</f>
        <v>#REF!</v>
      </c>
      <c r="G462" t="e">
        <f>AND(#REF!,"AAAAAH7W9gY=")</f>
        <v>#REF!</v>
      </c>
      <c r="H462" t="e">
        <f>AND(#REF!,"AAAAAH7W9gc=")</f>
        <v>#REF!</v>
      </c>
      <c r="I462" t="e">
        <f>AND(#REF!,"AAAAAH7W9gg=")</f>
        <v>#REF!</v>
      </c>
      <c r="J462" t="e">
        <f>AND(#REF!,"AAAAAH7W9gk=")</f>
        <v>#REF!</v>
      </c>
      <c r="K462" t="e">
        <f>AND(#REF!,"AAAAAH7W9go=")</f>
        <v>#REF!</v>
      </c>
      <c r="L462" t="e">
        <f>AND(#REF!,"AAAAAH7W9gs=")</f>
        <v>#REF!</v>
      </c>
      <c r="M462" t="e">
        <f>AND(#REF!,"AAAAAH7W9gw=")</f>
        <v>#REF!</v>
      </c>
      <c r="N462" t="e">
        <f>AND(#REF!,"AAAAAH7W9g0=")</f>
        <v>#REF!</v>
      </c>
      <c r="O462" t="e">
        <f>AND(#REF!,"AAAAAH7W9g4=")</f>
        <v>#REF!</v>
      </c>
      <c r="P462" t="e">
        <f>AND(#REF!,"AAAAAH7W9g8=")</f>
        <v>#REF!</v>
      </c>
      <c r="Q462" t="e">
        <f>AND(#REF!,"AAAAAH7W9hA=")</f>
        <v>#REF!</v>
      </c>
      <c r="R462" t="e">
        <f>AND(#REF!,"AAAAAH7W9hE=")</f>
        <v>#REF!</v>
      </c>
      <c r="S462" t="e">
        <f>AND(#REF!,"AAAAAH7W9hI=")</f>
        <v>#REF!</v>
      </c>
      <c r="T462" t="e">
        <f>IF(#REF!,"AAAAAH7W9hM=",0)</f>
        <v>#REF!</v>
      </c>
      <c r="U462" t="e">
        <f>AND(#REF!,"AAAAAH7W9hQ=")</f>
        <v>#REF!</v>
      </c>
      <c r="V462" t="e">
        <f>AND(#REF!,"AAAAAH7W9hU=")</f>
        <v>#REF!</v>
      </c>
      <c r="W462" t="e">
        <f>AND(#REF!,"AAAAAH7W9hY=")</f>
        <v>#REF!</v>
      </c>
      <c r="X462" t="e">
        <f>AND(#REF!,"AAAAAH7W9hc=")</f>
        <v>#REF!</v>
      </c>
      <c r="Y462" t="e">
        <f>AND(#REF!,"AAAAAH7W9hg=")</f>
        <v>#REF!</v>
      </c>
      <c r="Z462" t="e">
        <f>AND(#REF!,"AAAAAH7W9hk=")</f>
        <v>#REF!</v>
      </c>
      <c r="AA462" t="e">
        <f>AND(#REF!,"AAAAAH7W9ho=")</f>
        <v>#REF!</v>
      </c>
      <c r="AB462" t="e">
        <f>AND(#REF!,"AAAAAH7W9hs=")</f>
        <v>#REF!</v>
      </c>
      <c r="AC462" t="e">
        <f>AND(#REF!,"AAAAAH7W9hw=")</f>
        <v>#REF!</v>
      </c>
      <c r="AD462" t="e">
        <f>AND(#REF!,"AAAAAH7W9h0=")</f>
        <v>#REF!</v>
      </c>
      <c r="AE462" t="e">
        <f>AND(#REF!,"AAAAAH7W9h4=")</f>
        <v>#REF!</v>
      </c>
      <c r="AF462" t="e">
        <f>AND(#REF!,"AAAAAH7W9h8=")</f>
        <v>#REF!</v>
      </c>
      <c r="AG462" t="e">
        <f>AND(#REF!,"AAAAAH7W9iA=")</f>
        <v>#REF!</v>
      </c>
      <c r="AH462" t="e">
        <f>AND(#REF!,"AAAAAH7W9iE=")</f>
        <v>#REF!</v>
      </c>
      <c r="AI462" t="e">
        <f>AND(#REF!,"AAAAAH7W9iI=")</f>
        <v>#REF!</v>
      </c>
      <c r="AJ462" t="e">
        <f>AND(#REF!,"AAAAAH7W9iM=")</f>
        <v>#REF!</v>
      </c>
      <c r="AK462" t="e">
        <f>AND(#REF!,"AAAAAH7W9iQ=")</f>
        <v>#REF!</v>
      </c>
      <c r="AL462" t="e">
        <f>AND(#REF!,"AAAAAH7W9iU=")</f>
        <v>#REF!</v>
      </c>
      <c r="AM462" t="e">
        <f>AND(#REF!,"AAAAAH7W9iY=")</f>
        <v>#REF!</v>
      </c>
      <c r="AN462" t="e">
        <f>AND(#REF!,"AAAAAH7W9ic=")</f>
        <v>#REF!</v>
      </c>
      <c r="AO462" t="e">
        <f>AND(#REF!,"AAAAAH7W9ig=")</f>
        <v>#REF!</v>
      </c>
      <c r="AP462" t="e">
        <f>AND(#REF!,"AAAAAH7W9ik=")</f>
        <v>#REF!</v>
      </c>
      <c r="AQ462" t="e">
        <f>AND(#REF!,"AAAAAH7W9io=")</f>
        <v>#REF!</v>
      </c>
      <c r="AR462" t="e">
        <f>AND(#REF!,"AAAAAH7W9is=")</f>
        <v>#REF!</v>
      </c>
      <c r="AS462" t="e">
        <f>IF(#REF!,"AAAAAH7W9iw=",0)</f>
        <v>#REF!</v>
      </c>
      <c r="AT462" t="e">
        <f>AND(#REF!,"AAAAAH7W9i0=")</f>
        <v>#REF!</v>
      </c>
      <c r="AU462" t="e">
        <f>AND(#REF!,"AAAAAH7W9i4=")</f>
        <v>#REF!</v>
      </c>
      <c r="AV462" t="e">
        <f>AND(#REF!,"AAAAAH7W9i8=")</f>
        <v>#REF!</v>
      </c>
      <c r="AW462" t="e">
        <f>AND(#REF!,"AAAAAH7W9jA=")</f>
        <v>#REF!</v>
      </c>
      <c r="AX462" t="e">
        <f>AND(#REF!,"AAAAAH7W9jE=")</f>
        <v>#REF!</v>
      </c>
      <c r="AY462" t="e">
        <f>AND(#REF!,"AAAAAH7W9jI=")</f>
        <v>#REF!</v>
      </c>
      <c r="AZ462" t="e">
        <f>AND(#REF!,"AAAAAH7W9jM=")</f>
        <v>#REF!</v>
      </c>
      <c r="BA462" t="e">
        <f>AND(#REF!,"AAAAAH7W9jQ=")</f>
        <v>#REF!</v>
      </c>
      <c r="BB462" t="e">
        <f>AND(#REF!,"AAAAAH7W9jU=")</f>
        <v>#REF!</v>
      </c>
      <c r="BC462" t="e">
        <f>AND(#REF!,"AAAAAH7W9jY=")</f>
        <v>#REF!</v>
      </c>
      <c r="BD462" t="e">
        <f>AND(#REF!,"AAAAAH7W9jc=")</f>
        <v>#REF!</v>
      </c>
      <c r="BE462" t="e">
        <f>AND(#REF!,"AAAAAH7W9jg=")</f>
        <v>#REF!</v>
      </c>
      <c r="BF462" t="e">
        <f>AND(#REF!,"AAAAAH7W9jk=")</f>
        <v>#REF!</v>
      </c>
      <c r="BG462" t="e">
        <f>AND(#REF!,"AAAAAH7W9jo=")</f>
        <v>#REF!</v>
      </c>
      <c r="BH462" t="e">
        <f>AND(#REF!,"AAAAAH7W9js=")</f>
        <v>#REF!</v>
      </c>
      <c r="BI462" t="e">
        <f>AND(#REF!,"AAAAAH7W9jw=")</f>
        <v>#REF!</v>
      </c>
      <c r="BJ462" t="e">
        <f>AND(#REF!,"AAAAAH7W9j0=")</f>
        <v>#REF!</v>
      </c>
      <c r="BK462" t="e">
        <f>AND(#REF!,"AAAAAH7W9j4=")</f>
        <v>#REF!</v>
      </c>
      <c r="BL462" t="e">
        <f>AND(#REF!,"AAAAAH7W9j8=")</f>
        <v>#REF!</v>
      </c>
      <c r="BM462" t="e">
        <f>AND(#REF!,"AAAAAH7W9kA=")</f>
        <v>#REF!</v>
      </c>
      <c r="BN462" t="e">
        <f>AND(#REF!,"AAAAAH7W9kE=")</f>
        <v>#REF!</v>
      </c>
      <c r="BO462" t="e">
        <f>AND(#REF!,"AAAAAH7W9kI=")</f>
        <v>#REF!</v>
      </c>
      <c r="BP462" t="e">
        <f>AND(#REF!,"AAAAAH7W9kM=")</f>
        <v>#REF!</v>
      </c>
      <c r="BQ462" t="e">
        <f>AND(#REF!,"AAAAAH7W9kQ=")</f>
        <v>#REF!</v>
      </c>
      <c r="BR462" t="e">
        <f>IF(#REF!,"AAAAAH7W9kU=",0)</f>
        <v>#REF!</v>
      </c>
      <c r="BS462" t="e">
        <f>AND(#REF!,"AAAAAH7W9kY=")</f>
        <v>#REF!</v>
      </c>
      <c r="BT462" t="e">
        <f>AND(#REF!,"AAAAAH7W9kc=")</f>
        <v>#REF!</v>
      </c>
      <c r="BU462" t="e">
        <f>AND(#REF!,"AAAAAH7W9kg=")</f>
        <v>#REF!</v>
      </c>
      <c r="BV462" t="e">
        <f>AND(#REF!,"AAAAAH7W9kk=")</f>
        <v>#REF!</v>
      </c>
      <c r="BW462" t="e">
        <f>AND(#REF!,"AAAAAH7W9ko=")</f>
        <v>#REF!</v>
      </c>
      <c r="BX462" t="e">
        <f>AND(#REF!,"AAAAAH7W9ks=")</f>
        <v>#REF!</v>
      </c>
      <c r="BY462" t="e">
        <f>AND(#REF!,"AAAAAH7W9kw=")</f>
        <v>#REF!</v>
      </c>
      <c r="BZ462" t="e">
        <f>AND(#REF!,"AAAAAH7W9k0=")</f>
        <v>#REF!</v>
      </c>
      <c r="CA462" t="e">
        <f>AND(#REF!,"AAAAAH7W9k4=")</f>
        <v>#REF!</v>
      </c>
      <c r="CB462" t="e">
        <f>AND(#REF!,"AAAAAH7W9k8=")</f>
        <v>#REF!</v>
      </c>
      <c r="CC462" t="e">
        <f>AND(#REF!,"AAAAAH7W9lA=")</f>
        <v>#REF!</v>
      </c>
      <c r="CD462" t="e">
        <f>AND(#REF!,"AAAAAH7W9lE=")</f>
        <v>#REF!</v>
      </c>
      <c r="CE462" t="e">
        <f>AND(#REF!,"AAAAAH7W9lI=")</f>
        <v>#REF!</v>
      </c>
      <c r="CF462" t="e">
        <f>AND(#REF!,"AAAAAH7W9lM=")</f>
        <v>#REF!</v>
      </c>
      <c r="CG462" t="e">
        <f>AND(#REF!,"AAAAAH7W9lQ=")</f>
        <v>#REF!</v>
      </c>
      <c r="CH462" t="e">
        <f>AND(#REF!,"AAAAAH7W9lU=")</f>
        <v>#REF!</v>
      </c>
      <c r="CI462" t="e">
        <f>AND(#REF!,"AAAAAH7W9lY=")</f>
        <v>#REF!</v>
      </c>
      <c r="CJ462" t="e">
        <f>AND(#REF!,"AAAAAH7W9lc=")</f>
        <v>#REF!</v>
      </c>
      <c r="CK462" t="e">
        <f>AND(#REF!,"AAAAAH7W9lg=")</f>
        <v>#REF!</v>
      </c>
      <c r="CL462" t="e">
        <f>AND(#REF!,"AAAAAH7W9lk=")</f>
        <v>#REF!</v>
      </c>
      <c r="CM462" t="e">
        <f>AND(#REF!,"AAAAAH7W9lo=")</f>
        <v>#REF!</v>
      </c>
      <c r="CN462" t="e">
        <f>AND(#REF!,"AAAAAH7W9ls=")</f>
        <v>#REF!</v>
      </c>
      <c r="CO462" t="e">
        <f>AND(#REF!,"AAAAAH7W9lw=")</f>
        <v>#REF!</v>
      </c>
      <c r="CP462" t="e">
        <f>AND(#REF!,"AAAAAH7W9l0=")</f>
        <v>#REF!</v>
      </c>
      <c r="CQ462" t="e">
        <f>IF(#REF!,"AAAAAH7W9l4=",0)</f>
        <v>#REF!</v>
      </c>
      <c r="CR462" t="e">
        <f>AND(#REF!,"AAAAAH7W9l8=")</f>
        <v>#REF!</v>
      </c>
      <c r="CS462" t="e">
        <f>AND(#REF!,"AAAAAH7W9mA=")</f>
        <v>#REF!</v>
      </c>
      <c r="CT462" t="e">
        <f>AND(#REF!,"AAAAAH7W9mE=")</f>
        <v>#REF!</v>
      </c>
      <c r="CU462" t="e">
        <f>AND(#REF!,"AAAAAH7W9mI=")</f>
        <v>#REF!</v>
      </c>
      <c r="CV462" t="e">
        <f>AND(#REF!,"AAAAAH7W9mM=")</f>
        <v>#REF!</v>
      </c>
      <c r="CW462" t="e">
        <f>AND(#REF!,"AAAAAH7W9mQ=")</f>
        <v>#REF!</v>
      </c>
      <c r="CX462" t="e">
        <f>AND(#REF!,"AAAAAH7W9mU=")</f>
        <v>#REF!</v>
      </c>
      <c r="CY462" t="e">
        <f>AND(#REF!,"AAAAAH7W9mY=")</f>
        <v>#REF!</v>
      </c>
      <c r="CZ462" t="e">
        <f>AND(#REF!,"AAAAAH7W9mc=")</f>
        <v>#REF!</v>
      </c>
      <c r="DA462" t="e">
        <f>AND(#REF!,"AAAAAH7W9mg=")</f>
        <v>#REF!</v>
      </c>
      <c r="DB462" t="e">
        <f>AND(#REF!,"AAAAAH7W9mk=")</f>
        <v>#REF!</v>
      </c>
      <c r="DC462" t="e">
        <f>AND(#REF!,"AAAAAH7W9mo=")</f>
        <v>#REF!</v>
      </c>
      <c r="DD462" t="e">
        <f>AND(#REF!,"AAAAAH7W9ms=")</f>
        <v>#REF!</v>
      </c>
      <c r="DE462" t="e">
        <f>AND(#REF!,"AAAAAH7W9mw=")</f>
        <v>#REF!</v>
      </c>
      <c r="DF462" t="e">
        <f>AND(#REF!,"AAAAAH7W9m0=")</f>
        <v>#REF!</v>
      </c>
      <c r="DG462" t="e">
        <f>AND(#REF!,"AAAAAH7W9m4=")</f>
        <v>#REF!</v>
      </c>
      <c r="DH462" t="e">
        <f>AND(#REF!,"AAAAAH7W9m8=")</f>
        <v>#REF!</v>
      </c>
      <c r="DI462" t="e">
        <f>AND(#REF!,"AAAAAH7W9nA=")</f>
        <v>#REF!</v>
      </c>
      <c r="DJ462" t="e">
        <f>AND(#REF!,"AAAAAH7W9nE=")</f>
        <v>#REF!</v>
      </c>
      <c r="DK462" t="e">
        <f>AND(#REF!,"AAAAAH7W9nI=")</f>
        <v>#REF!</v>
      </c>
      <c r="DL462" t="e">
        <f>AND(#REF!,"AAAAAH7W9nM=")</f>
        <v>#REF!</v>
      </c>
      <c r="DM462" t="e">
        <f>AND(#REF!,"AAAAAH7W9nQ=")</f>
        <v>#REF!</v>
      </c>
      <c r="DN462" t="e">
        <f>AND(#REF!,"AAAAAH7W9nU=")</f>
        <v>#REF!</v>
      </c>
      <c r="DO462" t="e">
        <f>AND(#REF!,"AAAAAH7W9nY=")</f>
        <v>#REF!</v>
      </c>
      <c r="DP462" t="e">
        <f>IF(#REF!,"AAAAAH7W9nc=",0)</f>
        <v>#REF!</v>
      </c>
      <c r="DQ462" t="e">
        <f>AND(#REF!,"AAAAAH7W9ng=")</f>
        <v>#REF!</v>
      </c>
      <c r="DR462" t="e">
        <f>AND(#REF!,"AAAAAH7W9nk=")</f>
        <v>#REF!</v>
      </c>
      <c r="DS462" t="e">
        <f>AND(#REF!,"AAAAAH7W9no=")</f>
        <v>#REF!</v>
      </c>
      <c r="DT462" t="e">
        <f>AND(#REF!,"AAAAAH7W9ns=")</f>
        <v>#REF!</v>
      </c>
      <c r="DU462" t="e">
        <f>AND(#REF!,"AAAAAH7W9nw=")</f>
        <v>#REF!</v>
      </c>
      <c r="DV462" t="e">
        <f>AND(#REF!,"AAAAAH7W9n0=")</f>
        <v>#REF!</v>
      </c>
      <c r="DW462" t="e">
        <f>AND(#REF!,"AAAAAH7W9n4=")</f>
        <v>#REF!</v>
      </c>
      <c r="DX462" t="e">
        <f>AND(#REF!,"AAAAAH7W9n8=")</f>
        <v>#REF!</v>
      </c>
      <c r="DY462" t="e">
        <f>AND(#REF!,"AAAAAH7W9oA=")</f>
        <v>#REF!</v>
      </c>
      <c r="DZ462" t="e">
        <f>AND(#REF!,"AAAAAH7W9oE=")</f>
        <v>#REF!</v>
      </c>
      <c r="EA462" t="e">
        <f>AND(#REF!,"AAAAAH7W9oI=")</f>
        <v>#REF!</v>
      </c>
      <c r="EB462" t="e">
        <f>AND(#REF!,"AAAAAH7W9oM=")</f>
        <v>#REF!</v>
      </c>
      <c r="EC462" t="e">
        <f>AND(#REF!,"AAAAAH7W9oQ=")</f>
        <v>#REF!</v>
      </c>
      <c r="ED462" t="e">
        <f>AND(#REF!,"AAAAAH7W9oU=")</f>
        <v>#REF!</v>
      </c>
      <c r="EE462" t="e">
        <f>AND(#REF!,"AAAAAH7W9oY=")</f>
        <v>#REF!</v>
      </c>
      <c r="EF462" t="e">
        <f>AND(#REF!,"AAAAAH7W9oc=")</f>
        <v>#REF!</v>
      </c>
      <c r="EG462" t="e">
        <f>AND(#REF!,"AAAAAH7W9og=")</f>
        <v>#REF!</v>
      </c>
      <c r="EH462" t="e">
        <f>AND(#REF!,"AAAAAH7W9ok=")</f>
        <v>#REF!</v>
      </c>
      <c r="EI462" t="e">
        <f>AND(#REF!,"AAAAAH7W9oo=")</f>
        <v>#REF!</v>
      </c>
      <c r="EJ462" t="e">
        <f>AND(#REF!,"AAAAAH7W9os=")</f>
        <v>#REF!</v>
      </c>
      <c r="EK462" t="e">
        <f>AND(#REF!,"AAAAAH7W9ow=")</f>
        <v>#REF!</v>
      </c>
      <c r="EL462" t="e">
        <f>AND(#REF!,"AAAAAH7W9o0=")</f>
        <v>#REF!</v>
      </c>
      <c r="EM462" t="e">
        <f>AND(#REF!,"AAAAAH7W9o4=")</f>
        <v>#REF!</v>
      </c>
      <c r="EN462" t="e">
        <f>AND(#REF!,"AAAAAH7W9o8=")</f>
        <v>#REF!</v>
      </c>
      <c r="EO462" t="e">
        <f>IF(#REF!,"AAAAAH7W9pA=",0)</f>
        <v>#REF!</v>
      </c>
      <c r="EP462" t="e">
        <f>AND(#REF!,"AAAAAH7W9pE=")</f>
        <v>#REF!</v>
      </c>
      <c r="EQ462" t="e">
        <f>AND(#REF!,"AAAAAH7W9pI=")</f>
        <v>#REF!</v>
      </c>
      <c r="ER462" t="e">
        <f>AND(#REF!,"AAAAAH7W9pM=")</f>
        <v>#REF!</v>
      </c>
      <c r="ES462" t="e">
        <f>AND(#REF!,"AAAAAH7W9pQ=")</f>
        <v>#REF!</v>
      </c>
      <c r="ET462" t="e">
        <f>AND(#REF!,"AAAAAH7W9pU=")</f>
        <v>#REF!</v>
      </c>
      <c r="EU462" t="e">
        <f>AND(#REF!,"AAAAAH7W9pY=")</f>
        <v>#REF!</v>
      </c>
      <c r="EV462" t="e">
        <f>AND(#REF!,"AAAAAH7W9pc=")</f>
        <v>#REF!</v>
      </c>
      <c r="EW462" t="e">
        <f>AND(#REF!,"AAAAAH7W9pg=")</f>
        <v>#REF!</v>
      </c>
      <c r="EX462" t="e">
        <f>AND(#REF!,"AAAAAH7W9pk=")</f>
        <v>#REF!</v>
      </c>
      <c r="EY462" t="e">
        <f>AND(#REF!,"AAAAAH7W9po=")</f>
        <v>#REF!</v>
      </c>
      <c r="EZ462" t="e">
        <f>AND(#REF!,"AAAAAH7W9ps=")</f>
        <v>#REF!</v>
      </c>
      <c r="FA462" t="e">
        <f>AND(#REF!,"AAAAAH7W9pw=")</f>
        <v>#REF!</v>
      </c>
      <c r="FB462" t="e">
        <f>AND(#REF!,"AAAAAH7W9p0=")</f>
        <v>#REF!</v>
      </c>
      <c r="FC462" t="e">
        <f>AND(#REF!,"AAAAAH7W9p4=")</f>
        <v>#REF!</v>
      </c>
      <c r="FD462" t="e">
        <f>AND(#REF!,"AAAAAH7W9p8=")</f>
        <v>#REF!</v>
      </c>
      <c r="FE462" t="e">
        <f>AND(#REF!,"AAAAAH7W9qA=")</f>
        <v>#REF!</v>
      </c>
      <c r="FF462" t="e">
        <f>AND(#REF!,"AAAAAH7W9qE=")</f>
        <v>#REF!</v>
      </c>
      <c r="FG462" t="e">
        <f>AND(#REF!,"AAAAAH7W9qI=")</f>
        <v>#REF!</v>
      </c>
      <c r="FH462" t="e">
        <f>AND(#REF!,"AAAAAH7W9qM=")</f>
        <v>#REF!</v>
      </c>
      <c r="FI462" t="e">
        <f>AND(#REF!,"AAAAAH7W9qQ=")</f>
        <v>#REF!</v>
      </c>
      <c r="FJ462" t="e">
        <f>AND(#REF!,"AAAAAH7W9qU=")</f>
        <v>#REF!</v>
      </c>
      <c r="FK462" t="e">
        <f>AND(#REF!,"AAAAAH7W9qY=")</f>
        <v>#REF!</v>
      </c>
      <c r="FL462" t="e">
        <f>AND(#REF!,"AAAAAH7W9qc=")</f>
        <v>#REF!</v>
      </c>
      <c r="FM462" t="e">
        <f>AND(#REF!,"AAAAAH7W9qg=")</f>
        <v>#REF!</v>
      </c>
      <c r="FN462" t="e">
        <f>IF(#REF!,"AAAAAH7W9qk=",0)</f>
        <v>#REF!</v>
      </c>
      <c r="FO462" t="e">
        <f>AND(#REF!,"AAAAAH7W9qo=")</f>
        <v>#REF!</v>
      </c>
      <c r="FP462" t="e">
        <f>AND(#REF!,"AAAAAH7W9qs=")</f>
        <v>#REF!</v>
      </c>
      <c r="FQ462" t="e">
        <f>AND(#REF!,"AAAAAH7W9qw=")</f>
        <v>#REF!</v>
      </c>
      <c r="FR462" t="e">
        <f>AND(#REF!,"AAAAAH7W9q0=")</f>
        <v>#REF!</v>
      </c>
      <c r="FS462" t="e">
        <f>AND(#REF!,"AAAAAH7W9q4=")</f>
        <v>#REF!</v>
      </c>
      <c r="FT462" t="e">
        <f>AND(#REF!,"AAAAAH7W9q8=")</f>
        <v>#REF!</v>
      </c>
      <c r="FU462" t="e">
        <f>AND(#REF!,"AAAAAH7W9rA=")</f>
        <v>#REF!</v>
      </c>
      <c r="FV462" t="e">
        <f>AND(#REF!,"AAAAAH7W9rE=")</f>
        <v>#REF!</v>
      </c>
      <c r="FW462" t="e">
        <f>AND(#REF!,"AAAAAH7W9rI=")</f>
        <v>#REF!</v>
      </c>
      <c r="FX462" t="e">
        <f>AND(#REF!,"AAAAAH7W9rM=")</f>
        <v>#REF!</v>
      </c>
      <c r="FY462" t="e">
        <f>AND(#REF!,"AAAAAH7W9rQ=")</f>
        <v>#REF!</v>
      </c>
      <c r="FZ462" t="e">
        <f>AND(#REF!,"AAAAAH7W9rU=")</f>
        <v>#REF!</v>
      </c>
      <c r="GA462" t="e">
        <f>AND(#REF!,"AAAAAH7W9rY=")</f>
        <v>#REF!</v>
      </c>
      <c r="GB462" t="e">
        <f>AND(#REF!,"AAAAAH7W9rc=")</f>
        <v>#REF!</v>
      </c>
      <c r="GC462" t="e">
        <f>AND(#REF!,"AAAAAH7W9rg=")</f>
        <v>#REF!</v>
      </c>
      <c r="GD462" t="e">
        <f>AND(#REF!,"AAAAAH7W9rk=")</f>
        <v>#REF!</v>
      </c>
      <c r="GE462" t="e">
        <f>AND(#REF!,"AAAAAH7W9ro=")</f>
        <v>#REF!</v>
      </c>
      <c r="GF462" t="e">
        <f>AND(#REF!,"AAAAAH7W9rs=")</f>
        <v>#REF!</v>
      </c>
      <c r="GG462" t="e">
        <f>AND(#REF!,"AAAAAH7W9rw=")</f>
        <v>#REF!</v>
      </c>
      <c r="GH462" t="e">
        <f>AND(#REF!,"AAAAAH7W9r0=")</f>
        <v>#REF!</v>
      </c>
      <c r="GI462" t="e">
        <f>AND(#REF!,"AAAAAH7W9r4=")</f>
        <v>#REF!</v>
      </c>
      <c r="GJ462" t="e">
        <f>AND(#REF!,"AAAAAH7W9r8=")</f>
        <v>#REF!</v>
      </c>
      <c r="GK462" t="e">
        <f>AND(#REF!,"AAAAAH7W9sA=")</f>
        <v>#REF!</v>
      </c>
      <c r="GL462" t="e">
        <f>AND(#REF!,"AAAAAH7W9sE=")</f>
        <v>#REF!</v>
      </c>
      <c r="GM462" t="e">
        <f>IF(#REF!,"AAAAAH7W9sI=",0)</f>
        <v>#REF!</v>
      </c>
      <c r="GN462" t="e">
        <f>AND(#REF!,"AAAAAH7W9sM=")</f>
        <v>#REF!</v>
      </c>
      <c r="GO462" t="e">
        <f>AND(#REF!,"AAAAAH7W9sQ=")</f>
        <v>#REF!</v>
      </c>
      <c r="GP462" t="e">
        <f>AND(#REF!,"AAAAAH7W9sU=")</f>
        <v>#REF!</v>
      </c>
      <c r="GQ462" t="e">
        <f>AND(#REF!,"AAAAAH7W9sY=")</f>
        <v>#REF!</v>
      </c>
      <c r="GR462" t="e">
        <f>AND(#REF!,"AAAAAH7W9sc=")</f>
        <v>#REF!</v>
      </c>
      <c r="GS462" t="e">
        <f>AND(#REF!,"AAAAAH7W9sg=")</f>
        <v>#REF!</v>
      </c>
      <c r="GT462" t="e">
        <f>AND(#REF!,"AAAAAH7W9sk=")</f>
        <v>#REF!</v>
      </c>
      <c r="GU462" t="e">
        <f>AND(#REF!,"AAAAAH7W9so=")</f>
        <v>#REF!</v>
      </c>
      <c r="GV462" t="e">
        <f>AND(#REF!,"AAAAAH7W9ss=")</f>
        <v>#REF!</v>
      </c>
      <c r="GW462" t="e">
        <f>AND(#REF!,"AAAAAH7W9sw=")</f>
        <v>#REF!</v>
      </c>
      <c r="GX462" t="e">
        <f>AND(#REF!,"AAAAAH7W9s0=")</f>
        <v>#REF!</v>
      </c>
      <c r="GY462" t="e">
        <f>AND(#REF!,"AAAAAH7W9s4=")</f>
        <v>#REF!</v>
      </c>
      <c r="GZ462" t="e">
        <f>AND(#REF!,"AAAAAH7W9s8=")</f>
        <v>#REF!</v>
      </c>
      <c r="HA462" t="e">
        <f>AND(#REF!,"AAAAAH7W9tA=")</f>
        <v>#REF!</v>
      </c>
      <c r="HB462" t="e">
        <f>AND(#REF!,"AAAAAH7W9tE=")</f>
        <v>#REF!</v>
      </c>
      <c r="HC462" t="e">
        <f>AND(#REF!,"AAAAAH7W9tI=")</f>
        <v>#REF!</v>
      </c>
      <c r="HD462" t="e">
        <f>AND(#REF!,"AAAAAH7W9tM=")</f>
        <v>#REF!</v>
      </c>
      <c r="HE462" t="e">
        <f>AND(#REF!,"AAAAAH7W9tQ=")</f>
        <v>#REF!</v>
      </c>
      <c r="HF462" t="e">
        <f>AND(#REF!,"AAAAAH7W9tU=")</f>
        <v>#REF!</v>
      </c>
      <c r="HG462" t="e">
        <f>AND(#REF!,"AAAAAH7W9tY=")</f>
        <v>#REF!</v>
      </c>
      <c r="HH462" t="e">
        <f>AND(#REF!,"AAAAAH7W9tc=")</f>
        <v>#REF!</v>
      </c>
      <c r="HI462" t="e">
        <f>AND(#REF!,"AAAAAH7W9tg=")</f>
        <v>#REF!</v>
      </c>
      <c r="HJ462" t="e">
        <f>AND(#REF!,"AAAAAH7W9tk=")</f>
        <v>#REF!</v>
      </c>
      <c r="HK462" t="e">
        <f>AND(#REF!,"AAAAAH7W9to=")</f>
        <v>#REF!</v>
      </c>
      <c r="HL462" t="e">
        <f>IF(#REF!,"AAAAAH7W9ts=",0)</f>
        <v>#REF!</v>
      </c>
      <c r="HM462" t="e">
        <f>AND(#REF!,"AAAAAH7W9tw=")</f>
        <v>#REF!</v>
      </c>
      <c r="HN462" t="e">
        <f>AND(#REF!,"AAAAAH7W9t0=")</f>
        <v>#REF!</v>
      </c>
      <c r="HO462" t="e">
        <f>AND(#REF!,"AAAAAH7W9t4=")</f>
        <v>#REF!</v>
      </c>
      <c r="HP462" t="e">
        <f>AND(#REF!,"AAAAAH7W9t8=")</f>
        <v>#REF!</v>
      </c>
      <c r="HQ462" t="e">
        <f>AND(#REF!,"AAAAAH7W9uA=")</f>
        <v>#REF!</v>
      </c>
      <c r="HR462" t="e">
        <f>AND(#REF!,"AAAAAH7W9uE=")</f>
        <v>#REF!</v>
      </c>
      <c r="HS462" t="e">
        <f>AND(#REF!,"AAAAAH7W9uI=")</f>
        <v>#REF!</v>
      </c>
      <c r="HT462" t="e">
        <f>AND(#REF!,"AAAAAH7W9uM=")</f>
        <v>#REF!</v>
      </c>
      <c r="HU462" t="e">
        <f>AND(#REF!,"AAAAAH7W9uQ=")</f>
        <v>#REF!</v>
      </c>
      <c r="HV462" t="e">
        <f>AND(#REF!,"AAAAAH7W9uU=")</f>
        <v>#REF!</v>
      </c>
      <c r="HW462" t="e">
        <f>AND(#REF!,"AAAAAH7W9uY=")</f>
        <v>#REF!</v>
      </c>
      <c r="HX462" t="e">
        <f>AND(#REF!,"AAAAAH7W9uc=")</f>
        <v>#REF!</v>
      </c>
      <c r="HY462" t="e">
        <f>AND(#REF!,"AAAAAH7W9ug=")</f>
        <v>#REF!</v>
      </c>
      <c r="HZ462" t="e">
        <f>AND(#REF!,"AAAAAH7W9uk=")</f>
        <v>#REF!</v>
      </c>
      <c r="IA462" t="e">
        <f>AND(#REF!,"AAAAAH7W9uo=")</f>
        <v>#REF!</v>
      </c>
      <c r="IB462" t="e">
        <f>AND(#REF!,"AAAAAH7W9us=")</f>
        <v>#REF!</v>
      </c>
      <c r="IC462" t="e">
        <f>AND(#REF!,"AAAAAH7W9uw=")</f>
        <v>#REF!</v>
      </c>
      <c r="ID462" t="e">
        <f>AND(#REF!,"AAAAAH7W9u0=")</f>
        <v>#REF!</v>
      </c>
      <c r="IE462" t="e">
        <f>AND(#REF!,"AAAAAH7W9u4=")</f>
        <v>#REF!</v>
      </c>
      <c r="IF462" t="e">
        <f>AND(#REF!,"AAAAAH7W9u8=")</f>
        <v>#REF!</v>
      </c>
      <c r="IG462" t="e">
        <f>AND(#REF!,"AAAAAH7W9vA=")</f>
        <v>#REF!</v>
      </c>
      <c r="IH462" t="e">
        <f>AND(#REF!,"AAAAAH7W9vE=")</f>
        <v>#REF!</v>
      </c>
      <c r="II462" t="e">
        <f>AND(#REF!,"AAAAAH7W9vI=")</f>
        <v>#REF!</v>
      </c>
      <c r="IJ462" t="e">
        <f>AND(#REF!,"AAAAAH7W9vM=")</f>
        <v>#REF!</v>
      </c>
      <c r="IK462" t="e">
        <f>IF(#REF!,"AAAAAH7W9vQ=",0)</f>
        <v>#REF!</v>
      </c>
      <c r="IL462" t="e">
        <f>AND(#REF!,"AAAAAH7W9vU=")</f>
        <v>#REF!</v>
      </c>
      <c r="IM462" t="e">
        <f>AND(#REF!,"AAAAAH7W9vY=")</f>
        <v>#REF!</v>
      </c>
      <c r="IN462" t="e">
        <f>AND(#REF!,"AAAAAH7W9vc=")</f>
        <v>#REF!</v>
      </c>
      <c r="IO462" t="e">
        <f>AND(#REF!,"AAAAAH7W9vg=")</f>
        <v>#REF!</v>
      </c>
      <c r="IP462" t="e">
        <f>AND(#REF!,"AAAAAH7W9vk=")</f>
        <v>#REF!</v>
      </c>
      <c r="IQ462" t="e">
        <f>AND(#REF!,"AAAAAH7W9vo=")</f>
        <v>#REF!</v>
      </c>
      <c r="IR462" t="e">
        <f>AND(#REF!,"AAAAAH7W9vs=")</f>
        <v>#REF!</v>
      </c>
      <c r="IS462" t="e">
        <f>AND(#REF!,"AAAAAH7W9vw=")</f>
        <v>#REF!</v>
      </c>
      <c r="IT462" t="e">
        <f>AND(#REF!,"AAAAAH7W9v0=")</f>
        <v>#REF!</v>
      </c>
      <c r="IU462" t="e">
        <f>AND(#REF!,"AAAAAH7W9v4=")</f>
        <v>#REF!</v>
      </c>
      <c r="IV462" t="e">
        <f>AND(#REF!,"AAAAAH7W9v8=")</f>
        <v>#REF!</v>
      </c>
    </row>
    <row r="463" spans="1:256">
      <c r="A463" t="e">
        <f>AND(#REF!,"AAAAAH+1nwA=")</f>
        <v>#REF!</v>
      </c>
      <c r="B463" t="e">
        <f>AND(#REF!,"AAAAAH+1nwE=")</f>
        <v>#REF!</v>
      </c>
      <c r="C463" t="e">
        <f>AND(#REF!,"AAAAAH+1nwI=")</f>
        <v>#REF!</v>
      </c>
      <c r="D463" t="e">
        <f>AND(#REF!,"AAAAAH+1nwM=")</f>
        <v>#REF!</v>
      </c>
      <c r="E463" t="e">
        <f>AND(#REF!,"AAAAAH+1nwQ=")</f>
        <v>#REF!</v>
      </c>
      <c r="F463" t="e">
        <f>AND(#REF!,"AAAAAH+1nwU=")</f>
        <v>#REF!</v>
      </c>
      <c r="G463" t="e">
        <f>AND(#REF!,"AAAAAH+1nwY=")</f>
        <v>#REF!</v>
      </c>
      <c r="H463" t="e">
        <f>AND(#REF!,"AAAAAH+1nwc=")</f>
        <v>#REF!</v>
      </c>
      <c r="I463" t="e">
        <f>AND(#REF!,"AAAAAH+1nwg=")</f>
        <v>#REF!</v>
      </c>
      <c r="J463" t="e">
        <f>AND(#REF!,"AAAAAH+1nwk=")</f>
        <v>#REF!</v>
      </c>
      <c r="K463" t="e">
        <f>AND(#REF!,"AAAAAH+1nwo=")</f>
        <v>#REF!</v>
      </c>
      <c r="L463" t="e">
        <f>AND(#REF!,"AAAAAH+1nws=")</f>
        <v>#REF!</v>
      </c>
      <c r="M463" t="e">
        <f>AND(#REF!,"AAAAAH+1nww=")</f>
        <v>#REF!</v>
      </c>
      <c r="N463" t="e">
        <f>IF(#REF!,"AAAAAH+1nw0=",0)</f>
        <v>#REF!</v>
      </c>
      <c r="O463" t="e">
        <f>AND(#REF!,"AAAAAH+1nw4=")</f>
        <v>#REF!</v>
      </c>
      <c r="P463" t="e">
        <f>AND(#REF!,"AAAAAH+1nw8=")</f>
        <v>#REF!</v>
      </c>
      <c r="Q463" t="e">
        <f>AND(#REF!,"AAAAAH+1nxA=")</f>
        <v>#REF!</v>
      </c>
      <c r="R463" t="e">
        <f>AND(#REF!,"AAAAAH+1nxE=")</f>
        <v>#REF!</v>
      </c>
      <c r="S463" t="e">
        <f>AND(#REF!,"AAAAAH+1nxI=")</f>
        <v>#REF!</v>
      </c>
      <c r="T463" t="e">
        <f>AND(#REF!,"AAAAAH+1nxM=")</f>
        <v>#REF!</v>
      </c>
      <c r="U463" t="e">
        <f>AND(#REF!,"AAAAAH+1nxQ=")</f>
        <v>#REF!</v>
      </c>
      <c r="V463" t="e">
        <f>AND(#REF!,"AAAAAH+1nxU=")</f>
        <v>#REF!</v>
      </c>
      <c r="W463" t="e">
        <f>AND(#REF!,"AAAAAH+1nxY=")</f>
        <v>#REF!</v>
      </c>
      <c r="X463" t="e">
        <f>AND(#REF!,"AAAAAH+1nxc=")</f>
        <v>#REF!</v>
      </c>
      <c r="Y463" t="e">
        <f>AND(#REF!,"AAAAAH+1nxg=")</f>
        <v>#REF!</v>
      </c>
      <c r="Z463" t="e">
        <f>AND(#REF!,"AAAAAH+1nxk=")</f>
        <v>#REF!</v>
      </c>
      <c r="AA463" t="e">
        <f>AND(#REF!,"AAAAAH+1nxo=")</f>
        <v>#REF!</v>
      </c>
      <c r="AB463" t="e">
        <f>AND(#REF!,"AAAAAH+1nxs=")</f>
        <v>#REF!</v>
      </c>
      <c r="AC463" t="e">
        <f>AND(#REF!,"AAAAAH+1nxw=")</f>
        <v>#REF!</v>
      </c>
      <c r="AD463" t="e">
        <f>AND(#REF!,"AAAAAH+1nx0=")</f>
        <v>#REF!</v>
      </c>
      <c r="AE463" t="e">
        <f>AND(#REF!,"AAAAAH+1nx4=")</f>
        <v>#REF!</v>
      </c>
      <c r="AF463" t="e">
        <f>AND(#REF!,"AAAAAH+1nx8=")</f>
        <v>#REF!</v>
      </c>
      <c r="AG463" t="e">
        <f>AND(#REF!,"AAAAAH+1nyA=")</f>
        <v>#REF!</v>
      </c>
      <c r="AH463" t="e">
        <f>AND(#REF!,"AAAAAH+1nyE=")</f>
        <v>#REF!</v>
      </c>
      <c r="AI463" t="e">
        <f>AND(#REF!,"AAAAAH+1nyI=")</f>
        <v>#REF!</v>
      </c>
      <c r="AJ463" t="e">
        <f>AND(#REF!,"AAAAAH+1nyM=")</f>
        <v>#REF!</v>
      </c>
      <c r="AK463" t="e">
        <f>AND(#REF!,"AAAAAH+1nyQ=")</f>
        <v>#REF!</v>
      </c>
      <c r="AL463" t="e">
        <f>AND(#REF!,"AAAAAH+1nyU=")</f>
        <v>#REF!</v>
      </c>
      <c r="AM463" t="e">
        <f>IF(#REF!,"AAAAAH+1nyY=",0)</f>
        <v>#REF!</v>
      </c>
      <c r="AN463" t="e">
        <f>AND(#REF!,"AAAAAH+1nyc=")</f>
        <v>#REF!</v>
      </c>
      <c r="AO463" t="e">
        <f>AND(#REF!,"AAAAAH+1nyg=")</f>
        <v>#REF!</v>
      </c>
      <c r="AP463" t="e">
        <f>AND(#REF!,"AAAAAH+1nyk=")</f>
        <v>#REF!</v>
      </c>
      <c r="AQ463" t="e">
        <f>AND(#REF!,"AAAAAH+1nyo=")</f>
        <v>#REF!</v>
      </c>
      <c r="AR463" t="e">
        <f>AND(#REF!,"AAAAAH+1nys=")</f>
        <v>#REF!</v>
      </c>
      <c r="AS463" t="e">
        <f>AND(#REF!,"AAAAAH+1nyw=")</f>
        <v>#REF!</v>
      </c>
      <c r="AT463" t="e">
        <f>AND(#REF!,"AAAAAH+1ny0=")</f>
        <v>#REF!</v>
      </c>
      <c r="AU463" t="e">
        <f>AND(#REF!,"AAAAAH+1ny4=")</f>
        <v>#REF!</v>
      </c>
      <c r="AV463" t="e">
        <f>AND(#REF!,"AAAAAH+1ny8=")</f>
        <v>#REF!</v>
      </c>
      <c r="AW463" t="e">
        <f>AND(#REF!,"AAAAAH+1nzA=")</f>
        <v>#REF!</v>
      </c>
      <c r="AX463" t="e">
        <f>AND(#REF!,"AAAAAH+1nzE=")</f>
        <v>#REF!</v>
      </c>
      <c r="AY463" t="e">
        <f>AND(#REF!,"AAAAAH+1nzI=")</f>
        <v>#REF!</v>
      </c>
      <c r="AZ463" t="e">
        <f>AND(#REF!,"AAAAAH+1nzM=")</f>
        <v>#REF!</v>
      </c>
      <c r="BA463" t="e">
        <f>AND(#REF!,"AAAAAH+1nzQ=")</f>
        <v>#REF!</v>
      </c>
      <c r="BB463" t="e">
        <f>AND(#REF!,"AAAAAH+1nzU=")</f>
        <v>#REF!</v>
      </c>
      <c r="BC463" t="e">
        <f>AND(#REF!,"AAAAAH+1nzY=")</f>
        <v>#REF!</v>
      </c>
      <c r="BD463" t="e">
        <f>AND(#REF!,"AAAAAH+1nzc=")</f>
        <v>#REF!</v>
      </c>
      <c r="BE463" t="e">
        <f>AND(#REF!,"AAAAAH+1nzg=")</f>
        <v>#REF!</v>
      </c>
      <c r="BF463" t="e">
        <f>AND(#REF!,"AAAAAH+1nzk=")</f>
        <v>#REF!</v>
      </c>
      <c r="BG463" t="e">
        <f>AND(#REF!,"AAAAAH+1nzo=")</f>
        <v>#REF!</v>
      </c>
      <c r="BH463" t="e">
        <f>AND(#REF!,"AAAAAH+1nzs=")</f>
        <v>#REF!</v>
      </c>
      <c r="BI463" t="e">
        <f>AND(#REF!,"AAAAAH+1nzw=")</f>
        <v>#REF!</v>
      </c>
      <c r="BJ463" t="e">
        <f>AND(#REF!,"AAAAAH+1nz0=")</f>
        <v>#REF!</v>
      </c>
      <c r="BK463" t="e">
        <f>AND(#REF!,"AAAAAH+1nz4=")</f>
        <v>#REF!</v>
      </c>
      <c r="BL463" t="e">
        <f>IF(#REF!,"AAAAAH+1nz8=",0)</f>
        <v>#REF!</v>
      </c>
      <c r="BM463" t="e">
        <f>AND(#REF!,"AAAAAH+1n0A=")</f>
        <v>#REF!</v>
      </c>
      <c r="BN463" t="e">
        <f>AND(#REF!,"AAAAAH+1n0E=")</f>
        <v>#REF!</v>
      </c>
      <c r="BO463" t="e">
        <f>AND(#REF!,"AAAAAH+1n0I=")</f>
        <v>#REF!</v>
      </c>
      <c r="BP463" t="e">
        <f>AND(#REF!,"AAAAAH+1n0M=")</f>
        <v>#REF!</v>
      </c>
      <c r="BQ463" t="e">
        <f>AND(#REF!,"AAAAAH+1n0Q=")</f>
        <v>#REF!</v>
      </c>
      <c r="BR463" t="e">
        <f>AND(#REF!,"AAAAAH+1n0U=")</f>
        <v>#REF!</v>
      </c>
      <c r="BS463" t="e">
        <f>AND(#REF!,"AAAAAH+1n0Y=")</f>
        <v>#REF!</v>
      </c>
      <c r="BT463" t="e">
        <f>AND(#REF!,"AAAAAH+1n0c=")</f>
        <v>#REF!</v>
      </c>
      <c r="BU463" t="e">
        <f>AND(#REF!,"AAAAAH+1n0g=")</f>
        <v>#REF!</v>
      </c>
      <c r="BV463" t="e">
        <f>AND(#REF!,"AAAAAH+1n0k=")</f>
        <v>#REF!</v>
      </c>
      <c r="BW463" t="e">
        <f>AND(#REF!,"AAAAAH+1n0o=")</f>
        <v>#REF!</v>
      </c>
      <c r="BX463" t="e">
        <f>AND(#REF!,"AAAAAH+1n0s=")</f>
        <v>#REF!</v>
      </c>
      <c r="BY463" t="e">
        <f>AND(#REF!,"AAAAAH+1n0w=")</f>
        <v>#REF!</v>
      </c>
      <c r="BZ463" t="e">
        <f>AND(#REF!,"AAAAAH+1n00=")</f>
        <v>#REF!</v>
      </c>
      <c r="CA463" t="e">
        <f>AND(#REF!,"AAAAAH+1n04=")</f>
        <v>#REF!</v>
      </c>
      <c r="CB463" t="e">
        <f>AND(#REF!,"AAAAAH+1n08=")</f>
        <v>#REF!</v>
      </c>
      <c r="CC463" t="e">
        <f>AND(#REF!,"AAAAAH+1n1A=")</f>
        <v>#REF!</v>
      </c>
      <c r="CD463" t="e">
        <f>AND(#REF!,"AAAAAH+1n1E=")</f>
        <v>#REF!</v>
      </c>
      <c r="CE463" t="e">
        <f>AND(#REF!,"AAAAAH+1n1I=")</f>
        <v>#REF!</v>
      </c>
      <c r="CF463" t="e">
        <f>AND(#REF!,"AAAAAH+1n1M=")</f>
        <v>#REF!</v>
      </c>
      <c r="CG463" t="e">
        <f>AND(#REF!,"AAAAAH+1n1Q=")</f>
        <v>#REF!</v>
      </c>
      <c r="CH463" t="e">
        <f>AND(#REF!,"AAAAAH+1n1U=")</f>
        <v>#REF!</v>
      </c>
      <c r="CI463" t="e">
        <f>AND(#REF!,"AAAAAH+1n1Y=")</f>
        <v>#REF!</v>
      </c>
      <c r="CJ463" t="e">
        <f>AND(#REF!,"AAAAAH+1n1c=")</f>
        <v>#REF!</v>
      </c>
      <c r="CK463" t="e">
        <f>IF(#REF!,"AAAAAH+1n1g=",0)</f>
        <v>#REF!</v>
      </c>
      <c r="CL463" t="e">
        <f>AND(#REF!,"AAAAAH+1n1k=")</f>
        <v>#REF!</v>
      </c>
      <c r="CM463" t="e">
        <f>AND(#REF!,"AAAAAH+1n1o=")</f>
        <v>#REF!</v>
      </c>
      <c r="CN463" t="e">
        <f>AND(#REF!,"AAAAAH+1n1s=")</f>
        <v>#REF!</v>
      </c>
      <c r="CO463" t="e">
        <f>AND(#REF!,"AAAAAH+1n1w=")</f>
        <v>#REF!</v>
      </c>
      <c r="CP463" t="e">
        <f>AND(#REF!,"AAAAAH+1n10=")</f>
        <v>#REF!</v>
      </c>
      <c r="CQ463" t="e">
        <f>AND(#REF!,"AAAAAH+1n14=")</f>
        <v>#REF!</v>
      </c>
      <c r="CR463" t="e">
        <f>AND(#REF!,"AAAAAH+1n18=")</f>
        <v>#REF!</v>
      </c>
      <c r="CS463" t="e">
        <f>AND(#REF!,"AAAAAH+1n2A=")</f>
        <v>#REF!</v>
      </c>
      <c r="CT463" t="e">
        <f>AND(#REF!,"AAAAAH+1n2E=")</f>
        <v>#REF!</v>
      </c>
      <c r="CU463" t="e">
        <f>AND(#REF!,"AAAAAH+1n2I=")</f>
        <v>#REF!</v>
      </c>
      <c r="CV463" t="e">
        <f>AND(#REF!,"AAAAAH+1n2M=")</f>
        <v>#REF!</v>
      </c>
      <c r="CW463" t="e">
        <f>AND(#REF!,"AAAAAH+1n2Q=")</f>
        <v>#REF!</v>
      </c>
      <c r="CX463" t="e">
        <f>AND(#REF!,"AAAAAH+1n2U=")</f>
        <v>#REF!</v>
      </c>
      <c r="CY463" t="e">
        <f>AND(#REF!,"AAAAAH+1n2Y=")</f>
        <v>#REF!</v>
      </c>
      <c r="CZ463" t="e">
        <f>AND(#REF!,"AAAAAH+1n2c=")</f>
        <v>#REF!</v>
      </c>
      <c r="DA463" t="e">
        <f>AND(#REF!,"AAAAAH+1n2g=")</f>
        <v>#REF!</v>
      </c>
      <c r="DB463" t="e">
        <f>AND(#REF!,"AAAAAH+1n2k=")</f>
        <v>#REF!</v>
      </c>
      <c r="DC463" t="e">
        <f>AND(#REF!,"AAAAAH+1n2o=")</f>
        <v>#REF!</v>
      </c>
      <c r="DD463" t="e">
        <f>AND(#REF!,"AAAAAH+1n2s=")</f>
        <v>#REF!</v>
      </c>
      <c r="DE463" t="e">
        <f>AND(#REF!,"AAAAAH+1n2w=")</f>
        <v>#REF!</v>
      </c>
      <c r="DF463" t="e">
        <f>AND(#REF!,"AAAAAH+1n20=")</f>
        <v>#REF!</v>
      </c>
      <c r="DG463" t="e">
        <f>AND(#REF!,"AAAAAH+1n24=")</f>
        <v>#REF!</v>
      </c>
      <c r="DH463" t="e">
        <f>AND(#REF!,"AAAAAH+1n28=")</f>
        <v>#REF!</v>
      </c>
      <c r="DI463" t="e">
        <f>AND(#REF!,"AAAAAH+1n3A=")</f>
        <v>#REF!</v>
      </c>
      <c r="DJ463" t="e">
        <f>IF(#REF!,"AAAAAH+1n3E=",0)</f>
        <v>#REF!</v>
      </c>
      <c r="DK463" t="e">
        <f>AND(#REF!,"AAAAAH+1n3I=")</f>
        <v>#REF!</v>
      </c>
      <c r="DL463" t="e">
        <f>AND(#REF!,"AAAAAH+1n3M=")</f>
        <v>#REF!</v>
      </c>
      <c r="DM463" t="e">
        <f>AND(#REF!,"AAAAAH+1n3Q=")</f>
        <v>#REF!</v>
      </c>
      <c r="DN463" t="e">
        <f>AND(#REF!,"AAAAAH+1n3U=")</f>
        <v>#REF!</v>
      </c>
      <c r="DO463" t="e">
        <f>AND(#REF!,"AAAAAH+1n3Y=")</f>
        <v>#REF!</v>
      </c>
      <c r="DP463" t="e">
        <f>AND(#REF!,"AAAAAH+1n3c=")</f>
        <v>#REF!</v>
      </c>
      <c r="DQ463" t="e">
        <f>AND(#REF!,"AAAAAH+1n3g=")</f>
        <v>#REF!</v>
      </c>
      <c r="DR463" t="e">
        <f>AND(#REF!,"AAAAAH+1n3k=")</f>
        <v>#REF!</v>
      </c>
      <c r="DS463" t="e">
        <f>AND(#REF!,"AAAAAH+1n3o=")</f>
        <v>#REF!</v>
      </c>
      <c r="DT463" t="e">
        <f>AND(#REF!,"AAAAAH+1n3s=")</f>
        <v>#REF!</v>
      </c>
      <c r="DU463" t="e">
        <f>AND(#REF!,"AAAAAH+1n3w=")</f>
        <v>#REF!</v>
      </c>
      <c r="DV463" t="e">
        <f>AND(#REF!,"AAAAAH+1n30=")</f>
        <v>#REF!</v>
      </c>
      <c r="DW463" t="e">
        <f>AND(#REF!,"AAAAAH+1n34=")</f>
        <v>#REF!</v>
      </c>
      <c r="DX463" t="e">
        <f>AND(#REF!,"AAAAAH+1n38=")</f>
        <v>#REF!</v>
      </c>
      <c r="DY463" t="e">
        <f>AND(#REF!,"AAAAAH+1n4A=")</f>
        <v>#REF!</v>
      </c>
      <c r="DZ463" t="e">
        <f>AND(#REF!,"AAAAAH+1n4E=")</f>
        <v>#REF!</v>
      </c>
      <c r="EA463" t="e">
        <f>AND(#REF!,"AAAAAH+1n4I=")</f>
        <v>#REF!</v>
      </c>
      <c r="EB463" t="e">
        <f>AND(#REF!,"AAAAAH+1n4M=")</f>
        <v>#REF!</v>
      </c>
      <c r="EC463" t="e">
        <f>AND(#REF!,"AAAAAH+1n4Q=")</f>
        <v>#REF!</v>
      </c>
      <c r="ED463" t="e">
        <f>AND(#REF!,"AAAAAH+1n4U=")</f>
        <v>#REF!</v>
      </c>
      <c r="EE463" t="e">
        <f>AND(#REF!,"AAAAAH+1n4Y=")</f>
        <v>#REF!</v>
      </c>
      <c r="EF463" t="e">
        <f>AND(#REF!,"AAAAAH+1n4c=")</f>
        <v>#REF!</v>
      </c>
      <c r="EG463" t="e">
        <f>AND(#REF!,"AAAAAH+1n4g=")</f>
        <v>#REF!</v>
      </c>
      <c r="EH463" t="e">
        <f>AND(#REF!,"AAAAAH+1n4k=")</f>
        <v>#REF!</v>
      </c>
      <c r="EI463" t="e">
        <f>IF(#REF!,"AAAAAH+1n4o=",0)</f>
        <v>#REF!</v>
      </c>
      <c r="EJ463" t="e">
        <f>AND(#REF!,"AAAAAH+1n4s=")</f>
        <v>#REF!</v>
      </c>
      <c r="EK463" t="e">
        <f>AND(#REF!,"AAAAAH+1n4w=")</f>
        <v>#REF!</v>
      </c>
      <c r="EL463" t="e">
        <f>AND(#REF!,"AAAAAH+1n40=")</f>
        <v>#REF!</v>
      </c>
      <c r="EM463" t="e">
        <f>AND(#REF!,"AAAAAH+1n44=")</f>
        <v>#REF!</v>
      </c>
      <c r="EN463" t="e">
        <f>AND(#REF!,"AAAAAH+1n48=")</f>
        <v>#REF!</v>
      </c>
      <c r="EO463" t="e">
        <f>AND(#REF!,"AAAAAH+1n5A=")</f>
        <v>#REF!</v>
      </c>
      <c r="EP463" t="e">
        <f>AND(#REF!,"AAAAAH+1n5E=")</f>
        <v>#REF!</v>
      </c>
      <c r="EQ463" t="e">
        <f>AND(#REF!,"AAAAAH+1n5I=")</f>
        <v>#REF!</v>
      </c>
      <c r="ER463" t="e">
        <f>AND(#REF!,"AAAAAH+1n5M=")</f>
        <v>#REF!</v>
      </c>
      <c r="ES463" t="e">
        <f>AND(#REF!,"AAAAAH+1n5Q=")</f>
        <v>#REF!</v>
      </c>
      <c r="ET463" t="e">
        <f>AND(#REF!,"AAAAAH+1n5U=")</f>
        <v>#REF!</v>
      </c>
      <c r="EU463" t="e">
        <f>AND(#REF!,"AAAAAH+1n5Y=")</f>
        <v>#REF!</v>
      </c>
      <c r="EV463" t="e">
        <f>AND(#REF!,"AAAAAH+1n5c=")</f>
        <v>#REF!</v>
      </c>
      <c r="EW463" t="e">
        <f>AND(#REF!,"AAAAAH+1n5g=")</f>
        <v>#REF!</v>
      </c>
      <c r="EX463" t="e">
        <f>AND(#REF!,"AAAAAH+1n5k=")</f>
        <v>#REF!</v>
      </c>
      <c r="EY463" t="e">
        <f>AND(#REF!,"AAAAAH+1n5o=")</f>
        <v>#REF!</v>
      </c>
      <c r="EZ463" t="e">
        <f>AND(#REF!,"AAAAAH+1n5s=")</f>
        <v>#REF!</v>
      </c>
      <c r="FA463" t="e">
        <f>AND(#REF!,"AAAAAH+1n5w=")</f>
        <v>#REF!</v>
      </c>
      <c r="FB463" t="e">
        <f>AND(#REF!,"AAAAAH+1n50=")</f>
        <v>#REF!</v>
      </c>
      <c r="FC463" t="e">
        <f>AND(#REF!,"AAAAAH+1n54=")</f>
        <v>#REF!</v>
      </c>
      <c r="FD463" t="e">
        <f>AND(#REF!,"AAAAAH+1n58=")</f>
        <v>#REF!</v>
      </c>
      <c r="FE463" t="e">
        <f>AND(#REF!,"AAAAAH+1n6A=")</f>
        <v>#REF!</v>
      </c>
      <c r="FF463" t="e">
        <f>AND(#REF!,"AAAAAH+1n6E=")</f>
        <v>#REF!</v>
      </c>
      <c r="FG463" t="e">
        <f>AND(#REF!,"AAAAAH+1n6I=")</f>
        <v>#REF!</v>
      </c>
      <c r="FH463" t="e">
        <f>IF(#REF!,"AAAAAH+1n6M=",0)</f>
        <v>#REF!</v>
      </c>
      <c r="FI463" t="e">
        <f>AND(#REF!,"AAAAAH+1n6Q=")</f>
        <v>#REF!</v>
      </c>
      <c r="FJ463" t="e">
        <f>AND(#REF!,"AAAAAH+1n6U=")</f>
        <v>#REF!</v>
      </c>
      <c r="FK463" t="e">
        <f>AND(#REF!,"AAAAAH+1n6Y=")</f>
        <v>#REF!</v>
      </c>
      <c r="FL463" t="e">
        <f>AND(#REF!,"AAAAAH+1n6c=")</f>
        <v>#REF!</v>
      </c>
      <c r="FM463" t="e">
        <f>AND(#REF!,"AAAAAH+1n6g=")</f>
        <v>#REF!</v>
      </c>
      <c r="FN463" t="e">
        <f>AND(#REF!,"AAAAAH+1n6k=")</f>
        <v>#REF!</v>
      </c>
      <c r="FO463" t="e">
        <f>AND(#REF!,"AAAAAH+1n6o=")</f>
        <v>#REF!</v>
      </c>
      <c r="FP463" t="e">
        <f>AND(#REF!,"AAAAAH+1n6s=")</f>
        <v>#REF!</v>
      </c>
      <c r="FQ463" t="e">
        <f>AND(#REF!,"AAAAAH+1n6w=")</f>
        <v>#REF!</v>
      </c>
      <c r="FR463" t="e">
        <f>AND(#REF!,"AAAAAH+1n60=")</f>
        <v>#REF!</v>
      </c>
      <c r="FS463" t="e">
        <f>AND(#REF!,"AAAAAH+1n64=")</f>
        <v>#REF!</v>
      </c>
      <c r="FT463" t="e">
        <f>AND(#REF!,"AAAAAH+1n68=")</f>
        <v>#REF!</v>
      </c>
      <c r="FU463" t="e">
        <f>AND(#REF!,"AAAAAH+1n7A=")</f>
        <v>#REF!</v>
      </c>
      <c r="FV463" t="e">
        <f>AND(#REF!,"AAAAAH+1n7E=")</f>
        <v>#REF!</v>
      </c>
      <c r="FW463" t="e">
        <f>AND(#REF!,"AAAAAH+1n7I=")</f>
        <v>#REF!</v>
      </c>
      <c r="FX463" t="e">
        <f>AND(#REF!,"AAAAAH+1n7M=")</f>
        <v>#REF!</v>
      </c>
      <c r="FY463" t="e">
        <f>AND(#REF!,"AAAAAH+1n7Q=")</f>
        <v>#REF!</v>
      </c>
      <c r="FZ463" t="e">
        <f>AND(#REF!,"AAAAAH+1n7U=")</f>
        <v>#REF!</v>
      </c>
      <c r="GA463" t="e">
        <f>AND(#REF!,"AAAAAH+1n7Y=")</f>
        <v>#REF!</v>
      </c>
      <c r="GB463" t="e">
        <f>AND(#REF!,"AAAAAH+1n7c=")</f>
        <v>#REF!</v>
      </c>
      <c r="GC463" t="e">
        <f>AND(#REF!,"AAAAAH+1n7g=")</f>
        <v>#REF!</v>
      </c>
      <c r="GD463" t="e">
        <f>AND(#REF!,"AAAAAH+1n7k=")</f>
        <v>#REF!</v>
      </c>
      <c r="GE463" t="e">
        <f>AND(#REF!,"AAAAAH+1n7o=")</f>
        <v>#REF!</v>
      </c>
      <c r="GF463" t="e">
        <f>AND(#REF!,"AAAAAH+1n7s=")</f>
        <v>#REF!</v>
      </c>
      <c r="GG463" t="e">
        <f>IF(#REF!,"AAAAAH+1n7w=",0)</f>
        <v>#REF!</v>
      </c>
      <c r="GH463" t="e">
        <f>AND(#REF!,"AAAAAH+1n70=")</f>
        <v>#REF!</v>
      </c>
      <c r="GI463" t="e">
        <f>AND(#REF!,"AAAAAH+1n74=")</f>
        <v>#REF!</v>
      </c>
      <c r="GJ463" t="e">
        <f>AND(#REF!,"AAAAAH+1n78=")</f>
        <v>#REF!</v>
      </c>
      <c r="GK463" t="e">
        <f>AND(#REF!,"AAAAAH+1n8A=")</f>
        <v>#REF!</v>
      </c>
      <c r="GL463" t="e">
        <f>AND(#REF!,"AAAAAH+1n8E=")</f>
        <v>#REF!</v>
      </c>
      <c r="GM463" t="e">
        <f>AND(#REF!,"AAAAAH+1n8I=")</f>
        <v>#REF!</v>
      </c>
      <c r="GN463" t="e">
        <f>AND(#REF!,"AAAAAH+1n8M=")</f>
        <v>#REF!</v>
      </c>
      <c r="GO463" t="e">
        <f>AND(#REF!,"AAAAAH+1n8Q=")</f>
        <v>#REF!</v>
      </c>
      <c r="GP463" t="e">
        <f>AND(#REF!,"AAAAAH+1n8U=")</f>
        <v>#REF!</v>
      </c>
      <c r="GQ463" t="e">
        <f>AND(#REF!,"AAAAAH+1n8Y=")</f>
        <v>#REF!</v>
      </c>
      <c r="GR463" t="e">
        <f>AND(#REF!,"AAAAAH+1n8c=")</f>
        <v>#REF!</v>
      </c>
      <c r="GS463" t="e">
        <f>AND(#REF!,"AAAAAH+1n8g=")</f>
        <v>#REF!</v>
      </c>
      <c r="GT463" t="e">
        <f>AND(#REF!,"AAAAAH+1n8k=")</f>
        <v>#REF!</v>
      </c>
      <c r="GU463" t="e">
        <f>AND(#REF!,"AAAAAH+1n8o=")</f>
        <v>#REF!</v>
      </c>
      <c r="GV463" t="e">
        <f>AND(#REF!,"AAAAAH+1n8s=")</f>
        <v>#REF!</v>
      </c>
      <c r="GW463" t="e">
        <f>AND(#REF!,"AAAAAH+1n8w=")</f>
        <v>#REF!</v>
      </c>
      <c r="GX463" t="e">
        <f>AND(#REF!,"AAAAAH+1n80=")</f>
        <v>#REF!</v>
      </c>
      <c r="GY463" t="e">
        <f>AND(#REF!,"AAAAAH+1n84=")</f>
        <v>#REF!</v>
      </c>
      <c r="GZ463" t="e">
        <f>AND(#REF!,"AAAAAH+1n88=")</f>
        <v>#REF!</v>
      </c>
      <c r="HA463" t="e">
        <f>AND(#REF!,"AAAAAH+1n9A=")</f>
        <v>#REF!</v>
      </c>
      <c r="HB463" t="e">
        <f>AND(#REF!,"AAAAAH+1n9E=")</f>
        <v>#REF!</v>
      </c>
      <c r="HC463" t="e">
        <f>AND(#REF!,"AAAAAH+1n9I=")</f>
        <v>#REF!</v>
      </c>
      <c r="HD463" t="e">
        <f>AND(#REF!,"AAAAAH+1n9M=")</f>
        <v>#REF!</v>
      </c>
      <c r="HE463" t="e">
        <f>AND(#REF!,"AAAAAH+1n9Q=")</f>
        <v>#REF!</v>
      </c>
      <c r="HF463" t="e">
        <f>IF(#REF!,"AAAAAH+1n9U=",0)</f>
        <v>#REF!</v>
      </c>
      <c r="HG463" t="e">
        <f>AND(#REF!,"AAAAAH+1n9Y=")</f>
        <v>#REF!</v>
      </c>
      <c r="HH463" t="e">
        <f>AND(#REF!,"AAAAAH+1n9c=")</f>
        <v>#REF!</v>
      </c>
      <c r="HI463" t="e">
        <f>AND(#REF!,"AAAAAH+1n9g=")</f>
        <v>#REF!</v>
      </c>
      <c r="HJ463" t="e">
        <f>AND(#REF!,"AAAAAH+1n9k=")</f>
        <v>#REF!</v>
      </c>
      <c r="HK463" t="e">
        <f>AND(#REF!,"AAAAAH+1n9o=")</f>
        <v>#REF!</v>
      </c>
      <c r="HL463" t="e">
        <f>AND(#REF!,"AAAAAH+1n9s=")</f>
        <v>#REF!</v>
      </c>
      <c r="HM463" t="e">
        <f>AND(#REF!,"AAAAAH+1n9w=")</f>
        <v>#REF!</v>
      </c>
      <c r="HN463" t="e">
        <f>AND(#REF!,"AAAAAH+1n90=")</f>
        <v>#REF!</v>
      </c>
      <c r="HO463" t="e">
        <f>AND(#REF!,"AAAAAH+1n94=")</f>
        <v>#REF!</v>
      </c>
      <c r="HP463" t="e">
        <f>AND(#REF!,"AAAAAH+1n98=")</f>
        <v>#REF!</v>
      </c>
      <c r="HQ463" t="e">
        <f>AND(#REF!,"AAAAAH+1n+A=")</f>
        <v>#REF!</v>
      </c>
      <c r="HR463" t="e">
        <f>AND(#REF!,"AAAAAH+1n+E=")</f>
        <v>#REF!</v>
      </c>
      <c r="HS463" t="e">
        <f>AND(#REF!,"AAAAAH+1n+I=")</f>
        <v>#REF!</v>
      </c>
      <c r="HT463" t="e">
        <f>AND(#REF!,"AAAAAH+1n+M=")</f>
        <v>#REF!</v>
      </c>
      <c r="HU463" t="e">
        <f>AND(#REF!,"AAAAAH+1n+Q=")</f>
        <v>#REF!</v>
      </c>
      <c r="HV463" t="e">
        <f>AND(#REF!,"AAAAAH+1n+U=")</f>
        <v>#REF!</v>
      </c>
      <c r="HW463" t="e">
        <f>AND(#REF!,"AAAAAH+1n+Y=")</f>
        <v>#REF!</v>
      </c>
      <c r="HX463" t="e">
        <f>AND(#REF!,"AAAAAH+1n+c=")</f>
        <v>#REF!</v>
      </c>
      <c r="HY463" t="e">
        <f>AND(#REF!,"AAAAAH+1n+g=")</f>
        <v>#REF!</v>
      </c>
      <c r="HZ463" t="e">
        <f>AND(#REF!,"AAAAAH+1n+k=")</f>
        <v>#REF!</v>
      </c>
      <c r="IA463" t="e">
        <f>AND(#REF!,"AAAAAH+1n+o=")</f>
        <v>#REF!</v>
      </c>
      <c r="IB463" t="e">
        <f>AND(#REF!,"AAAAAH+1n+s=")</f>
        <v>#REF!</v>
      </c>
      <c r="IC463" t="e">
        <f>AND(#REF!,"AAAAAH+1n+w=")</f>
        <v>#REF!</v>
      </c>
      <c r="ID463" t="e">
        <f>AND(#REF!,"AAAAAH+1n+0=")</f>
        <v>#REF!</v>
      </c>
      <c r="IE463" t="e">
        <f>IF(#REF!,"AAAAAH+1n+4=",0)</f>
        <v>#REF!</v>
      </c>
      <c r="IF463" t="e">
        <f>AND(#REF!,"AAAAAH+1n+8=")</f>
        <v>#REF!</v>
      </c>
      <c r="IG463" t="e">
        <f>AND(#REF!,"AAAAAH+1n/A=")</f>
        <v>#REF!</v>
      </c>
      <c r="IH463" t="e">
        <f>AND(#REF!,"AAAAAH+1n/E=")</f>
        <v>#REF!</v>
      </c>
      <c r="II463" t="e">
        <f>AND(#REF!,"AAAAAH+1n/I=")</f>
        <v>#REF!</v>
      </c>
      <c r="IJ463" t="e">
        <f>AND(#REF!,"AAAAAH+1n/M=")</f>
        <v>#REF!</v>
      </c>
      <c r="IK463" t="e">
        <f>AND(#REF!,"AAAAAH+1n/Q=")</f>
        <v>#REF!</v>
      </c>
      <c r="IL463" t="e">
        <f>AND(#REF!,"AAAAAH+1n/U=")</f>
        <v>#REF!</v>
      </c>
      <c r="IM463" t="e">
        <f>AND(#REF!,"AAAAAH+1n/Y=")</f>
        <v>#REF!</v>
      </c>
      <c r="IN463" t="e">
        <f>AND(#REF!,"AAAAAH+1n/c=")</f>
        <v>#REF!</v>
      </c>
      <c r="IO463" t="e">
        <f>AND(#REF!,"AAAAAH+1n/g=")</f>
        <v>#REF!</v>
      </c>
      <c r="IP463" t="e">
        <f>AND(#REF!,"AAAAAH+1n/k=")</f>
        <v>#REF!</v>
      </c>
      <c r="IQ463" t="e">
        <f>AND(#REF!,"AAAAAH+1n/o=")</f>
        <v>#REF!</v>
      </c>
      <c r="IR463" t="e">
        <f>AND(#REF!,"AAAAAH+1n/s=")</f>
        <v>#REF!</v>
      </c>
      <c r="IS463" t="e">
        <f>AND(#REF!,"AAAAAH+1n/w=")</f>
        <v>#REF!</v>
      </c>
      <c r="IT463" t="e">
        <f>AND(#REF!,"AAAAAH+1n/0=")</f>
        <v>#REF!</v>
      </c>
      <c r="IU463" t="e">
        <f>AND(#REF!,"AAAAAH+1n/4=")</f>
        <v>#REF!</v>
      </c>
      <c r="IV463" t="e">
        <f>AND(#REF!,"AAAAAH+1n/8=")</f>
        <v>#REF!</v>
      </c>
    </row>
    <row r="464" spans="1:256">
      <c r="A464" t="e">
        <f>AND(#REF!,"AAAAAHf/dwA=")</f>
        <v>#REF!</v>
      </c>
      <c r="B464" t="e">
        <f>AND(#REF!,"AAAAAHf/dwE=")</f>
        <v>#REF!</v>
      </c>
      <c r="C464" t="e">
        <f>AND(#REF!,"AAAAAHf/dwI=")</f>
        <v>#REF!</v>
      </c>
      <c r="D464" t="e">
        <f>AND(#REF!,"AAAAAHf/dwM=")</f>
        <v>#REF!</v>
      </c>
      <c r="E464" t="e">
        <f>AND(#REF!,"AAAAAHf/dwQ=")</f>
        <v>#REF!</v>
      </c>
      <c r="F464" t="e">
        <f>AND(#REF!,"AAAAAHf/dwU=")</f>
        <v>#REF!</v>
      </c>
      <c r="G464" t="e">
        <f>AND(#REF!,"AAAAAHf/dwY=")</f>
        <v>#REF!</v>
      </c>
      <c r="H464" t="e">
        <f>IF(#REF!,"AAAAAHf/dwc=",0)</f>
        <v>#REF!</v>
      </c>
      <c r="I464" t="e">
        <f>AND(#REF!,"AAAAAHf/dwg=")</f>
        <v>#REF!</v>
      </c>
      <c r="J464" t="e">
        <f>AND(#REF!,"AAAAAHf/dwk=")</f>
        <v>#REF!</v>
      </c>
      <c r="K464" t="e">
        <f>AND(#REF!,"AAAAAHf/dwo=")</f>
        <v>#REF!</v>
      </c>
      <c r="L464" t="e">
        <f>AND(#REF!,"AAAAAHf/dws=")</f>
        <v>#REF!</v>
      </c>
      <c r="M464" t="e">
        <f>AND(#REF!,"AAAAAHf/dww=")</f>
        <v>#REF!</v>
      </c>
      <c r="N464" t="e">
        <f>AND(#REF!,"AAAAAHf/dw0=")</f>
        <v>#REF!</v>
      </c>
      <c r="O464" t="e">
        <f>AND(#REF!,"AAAAAHf/dw4=")</f>
        <v>#REF!</v>
      </c>
      <c r="P464" t="e">
        <f>AND(#REF!,"AAAAAHf/dw8=")</f>
        <v>#REF!</v>
      </c>
      <c r="Q464" t="e">
        <f>AND(#REF!,"AAAAAHf/dxA=")</f>
        <v>#REF!</v>
      </c>
      <c r="R464" t="e">
        <f>AND(#REF!,"AAAAAHf/dxE=")</f>
        <v>#REF!</v>
      </c>
      <c r="S464" t="e">
        <f>AND(#REF!,"AAAAAHf/dxI=")</f>
        <v>#REF!</v>
      </c>
      <c r="T464" t="e">
        <f>AND(#REF!,"AAAAAHf/dxM=")</f>
        <v>#REF!</v>
      </c>
      <c r="U464" t="e">
        <f>AND(#REF!,"AAAAAHf/dxQ=")</f>
        <v>#REF!</v>
      </c>
      <c r="V464" t="e">
        <f>AND(#REF!,"AAAAAHf/dxU=")</f>
        <v>#REF!</v>
      </c>
      <c r="W464" t="e">
        <f>AND(#REF!,"AAAAAHf/dxY=")</f>
        <v>#REF!</v>
      </c>
      <c r="X464" t="e">
        <f>AND(#REF!,"AAAAAHf/dxc=")</f>
        <v>#REF!</v>
      </c>
      <c r="Y464" t="e">
        <f>AND(#REF!,"AAAAAHf/dxg=")</f>
        <v>#REF!</v>
      </c>
      <c r="Z464" t="e">
        <f>AND(#REF!,"AAAAAHf/dxk=")</f>
        <v>#REF!</v>
      </c>
      <c r="AA464" t="e">
        <f>AND(#REF!,"AAAAAHf/dxo=")</f>
        <v>#REF!</v>
      </c>
      <c r="AB464" t="e">
        <f>AND(#REF!,"AAAAAHf/dxs=")</f>
        <v>#REF!</v>
      </c>
      <c r="AC464" t="e">
        <f>AND(#REF!,"AAAAAHf/dxw=")</f>
        <v>#REF!</v>
      </c>
      <c r="AD464" t="e">
        <f>AND(#REF!,"AAAAAHf/dx0=")</f>
        <v>#REF!</v>
      </c>
      <c r="AE464" t="e">
        <f>AND(#REF!,"AAAAAHf/dx4=")</f>
        <v>#REF!</v>
      </c>
      <c r="AF464" t="e">
        <f>AND(#REF!,"AAAAAHf/dx8=")</f>
        <v>#REF!</v>
      </c>
      <c r="AG464" t="e">
        <f>IF(#REF!,"AAAAAHf/dyA=",0)</f>
        <v>#REF!</v>
      </c>
      <c r="AH464" t="e">
        <f>AND(#REF!,"AAAAAHf/dyE=")</f>
        <v>#REF!</v>
      </c>
      <c r="AI464" t="e">
        <f>AND(#REF!,"AAAAAHf/dyI=")</f>
        <v>#REF!</v>
      </c>
      <c r="AJ464" t="e">
        <f>AND(#REF!,"AAAAAHf/dyM=")</f>
        <v>#REF!</v>
      </c>
      <c r="AK464" t="e">
        <f>AND(#REF!,"AAAAAHf/dyQ=")</f>
        <v>#REF!</v>
      </c>
      <c r="AL464" t="e">
        <f>AND(#REF!,"AAAAAHf/dyU=")</f>
        <v>#REF!</v>
      </c>
      <c r="AM464" t="e">
        <f>AND(#REF!,"AAAAAHf/dyY=")</f>
        <v>#REF!</v>
      </c>
      <c r="AN464" t="e">
        <f>AND(#REF!,"AAAAAHf/dyc=")</f>
        <v>#REF!</v>
      </c>
      <c r="AO464" t="e">
        <f>AND(#REF!,"AAAAAHf/dyg=")</f>
        <v>#REF!</v>
      </c>
      <c r="AP464" t="e">
        <f>AND(#REF!,"AAAAAHf/dyk=")</f>
        <v>#REF!</v>
      </c>
      <c r="AQ464" t="e">
        <f>AND(#REF!,"AAAAAHf/dyo=")</f>
        <v>#REF!</v>
      </c>
      <c r="AR464" t="e">
        <f>AND(#REF!,"AAAAAHf/dys=")</f>
        <v>#REF!</v>
      </c>
      <c r="AS464" t="e">
        <f>AND(#REF!,"AAAAAHf/dyw=")</f>
        <v>#REF!</v>
      </c>
      <c r="AT464" t="e">
        <f>AND(#REF!,"AAAAAHf/dy0=")</f>
        <v>#REF!</v>
      </c>
      <c r="AU464" t="e">
        <f>AND(#REF!,"AAAAAHf/dy4=")</f>
        <v>#REF!</v>
      </c>
      <c r="AV464" t="e">
        <f>AND(#REF!,"AAAAAHf/dy8=")</f>
        <v>#REF!</v>
      </c>
      <c r="AW464" t="e">
        <f>AND(#REF!,"AAAAAHf/dzA=")</f>
        <v>#REF!</v>
      </c>
      <c r="AX464" t="e">
        <f>AND(#REF!,"AAAAAHf/dzE=")</f>
        <v>#REF!</v>
      </c>
      <c r="AY464" t="e">
        <f>AND(#REF!,"AAAAAHf/dzI=")</f>
        <v>#REF!</v>
      </c>
      <c r="AZ464" t="e">
        <f>AND(#REF!,"AAAAAHf/dzM=")</f>
        <v>#REF!</v>
      </c>
      <c r="BA464" t="e">
        <f>AND(#REF!,"AAAAAHf/dzQ=")</f>
        <v>#REF!</v>
      </c>
      <c r="BB464" t="e">
        <f>AND(#REF!,"AAAAAHf/dzU=")</f>
        <v>#REF!</v>
      </c>
      <c r="BC464" t="e">
        <f>AND(#REF!,"AAAAAHf/dzY=")</f>
        <v>#REF!</v>
      </c>
      <c r="BD464" t="e">
        <f>AND(#REF!,"AAAAAHf/dzc=")</f>
        <v>#REF!</v>
      </c>
      <c r="BE464" t="e">
        <f>AND(#REF!,"AAAAAHf/dzg=")</f>
        <v>#REF!</v>
      </c>
      <c r="BF464" t="e">
        <f>IF(#REF!,"AAAAAHf/dzk=",0)</f>
        <v>#REF!</v>
      </c>
      <c r="BG464" t="e">
        <f>AND(#REF!,"AAAAAHf/dzo=")</f>
        <v>#REF!</v>
      </c>
      <c r="BH464" t="e">
        <f>AND(#REF!,"AAAAAHf/dzs=")</f>
        <v>#REF!</v>
      </c>
      <c r="BI464" t="e">
        <f>AND(#REF!,"AAAAAHf/dzw=")</f>
        <v>#REF!</v>
      </c>
      <c r="BJ464" t="e">
        <f>AND(#REF!,"AAAAAHf/dz0=")</f>
        <v>#REF!</v>
      </c>
      <c r="BK464" t="e">
        <f>AND(#REF!,"AAAAAHf/dz4=")</f>
        <v>#REF!</v>
      </c>
      <c r="BL464" t="e">
        <f>AND(#REF!,"AAAAAHf/dz8=")</f>
        <v>#REF!</v>
      </c>
      <c r="BM464" t="e">
        <f>AND(#REF!,"AAAAAHf/d0A=")</f>
        <v>#REF!</v>
      </c>
      <c r="BN464" t="e">
        <f>AND(#REF!,"AAAAAHf/d0E=")</f>
        <v>#REF!</v>
      </c>
      <c r="BO464" t="e">
        <f>AND(#REF!,"AAAAAHf/d0I=")</f>
        <v>#REF!</v>
      </c>
      <c r="BP464" t="e">
        <f>AND(#REF!,"AAAAAHf/d0M=")</f>
        <v>#REF!</v>
      </c>
      <c r="BQ464" t="e">
        <f>AND(#REF!,"AAAAAHf/d0Q=")</f>
        <v>#REF!</v>
      </c>
      <c r="BR464" t="e">
        <f>AND(#REF!,"AAAAAHf/d0U=")</f>
        <v>#REF!</v>
      </c>
      <c r="BS464" t="e">
        <f>AND(#REF!,"AAAAAHf/d0Y=")</f>
        <v>#REF!</v>
      </c>
      <c r="BT464" t="e">
        <f>AND(#REF!,"AAAAAHf/d0c=")</f>
        <v>#REF!</v>
      </c>
      <c r="BU464" t="e">
        <f>AND(#REF!,"AAAAAHf/d0g=")</f>
        <v>#REF!</v>
      </c>
      <c r="BV464" t="e">
        <f>AND(#REF!,"AAAAAHf/d0k=")</f>
        <v>#REF!</v>
      </c>
      <c r="BW464" t="e">
        <f>AND(#REF!,"AAAAAHf/d0o=")</f>
        <v>#REF!</v>
      </c>
      <c r="BX464" t="e">
        <f>AND(#REF!,"AAAAAHf/d0s=")</f>
        <v>#REF!</v>
      </c>
      <c r="BY464" t="e">
        <f>AND(#REF!,"AAAAAHf/d0w=")</f>
        <v>#REF!</v>
      </c>
      <c r="BZ464" t="e">
        <f>AND(#REF!,"AAAAAHf/d00=")</f>
        <v>#REF!</v>
      </c>
      <c r="CA464" t="e">
        <f>AND(#REF!,"AAAAAHf/d04=")</f>
        <v>#REF!</v>
      </c>
      <c r="CB464" t="e">
        <f>AND(#REF!,"AAAAAHf/d08=")</f>
        <v>#REF!</v>
      </c>
      <c r="CC464" t="e">
        <f>AND(#REF!,"AAAAAHf/d1A=")</f>
        <v>#REF!</v>
      </c>
      <c r="CD464" t="e">
        <f>AND(#REF!,"AAAAAHf/d1E=")</f>
        <v>#REF!</v>
      </c>
      <c r="CE464" t="e">
        <f>IF(#REF!,"AAAAAHf/d1I=",0)</f>
        <v>#REF!</v>
      </c>
      <c r="CF464" t="e">
        <f>AND(#REF!,"AAAAAHf/d1M=")</f>
        <v>#REF!</v>
      </c>
      <c r="CG464" t="e">
        <f>AND(#REF!,"AAAAAHf/d1Q=")</f>
        <v>#REF!</v>
      </c>
      <c r="CH464" t="e">
        <f>AND(#REF!,"AAAAAHf/d1U=")</f>
        <v>#REF!</v>
      </c>
      <c r="CI464" t="e">
        <f>AND(#REF!,"AAAAAHf/d1Y=")</f>
        <v>#REF!</v>
      </c>
      <c r="CJ464" t="e">
        <f>AND(#REF!,"AAAAAHf/d1c=")</f>
        <v>#REF!</v>
      </c>
      <c r="CK464" t="e">
        <f>AND(#REF!,"AAAAAHf/d1g=")</f>
        <v>#REF!</v>
      </c>
      <c r="CL464" t="e">
        <f>AND(#REF!,"AAAAAHf/d1k=")</f>
        <v>#REF!</v>
      </c>
      <c r="CM464" t="e">
        <f>AND(#REF!,"AAAAAHf/d1o=")</f>
        <v>#REF!</v>
      </c>
      <c r="CN464" t="e">
        <f>AND(#REF!,"AAAAAHf/d1s=")</f>
        <v>#REF!</v>
      </c>
      <c r="CO464" t="e">
        <f>AND(#REF!,"AAAAAHf/d1w=")</f>
        <v>#REF!</v>
      </c>
      <c r="CP464" t="e">
        <f>AND(#REF!,"AAAAAHf/d10=")</f>
        <v>#REF!</v>
      </c>
      <c r="CQ464" t="e">
        <f>AND(#REF!,"AAAAAHf/d14=")</f>
        <v>#REF!</v>
      </c>
      <c r="CR464" t="e">
        <f>AND(#REF!,"AAAAAHf/d18=")</f>
        <v>#REF!</v>
      </c>
      <c r="CS464" t="e">
        <f>AND(#REF!,"AAAAAHf/d2A=")</f>
        <v>#REF!</v>
      </c>
      <c r="CT464" t="e">
        <f>AND(#REF!,"AAAAAHf/d2E=")</f>
        <v>#REF!</v>
      </c>
      <c r="CU464" t="e">
        <f>AND(#REF!,"AAAAAHf/d2I=")</f>
        <v>#REF!</v>
      </c>
      <c r="CV464" t="e">
        <f>AND(#REF!,"AAAAAHf/d2M=")</f>
        <v>#REF!</v>
      </c>
      <c r="CW464" t="e">
        <f>AND(#REF!,"AAAAAHf/d2Q=")</f>
        <v>#REF!</v>
      </c>
      <c r="CX464" t="e">
        <f>AND(#REF!,"AAAAAHf/d2U=")</f>
        <v>#REF!</v>
      </c>
      <c r="CY464" t="e">
        <f>AND(#REF!,"AAAAAHf/d2Y=")</f>
        <v>#REF!</v>
      </c>
      <c r="CZ464" t="e">
        <f>AND(#REF!,"AAAAAHf/d2c=")</f>
        <v>#REF!</v>
      </c>
      <c r="DA464" t="e">
        <f>AND(#REF!,"AAAAAHf/d2g=")</f>
        <v>#REF!</v>
      </c>
      <c r="DB464" t="e">
        <f>AND(#REF!,"AAAAAHf/d2k=")</f>
        <v>#REF!</v>
      </c>
      <c r="DC464" t="e">
        <f>AND(#REF!,"AAAAAHf/d2o=")</f>
        <v>#REF!</v>
      </c>
      <c r="DD464" t="e">
        <f>IF(#REF!,"AAAAAHf/d2s=",0)</f>
        <v>#REF!</v>
      </c>
      <c r="DE464" t="e">
        <f>AND(#REF!,"AAAAAHf/d2w=")</f>
        <v>#REF!</v>
      </c>
      <c r="DF464" t="e">
        <f>AND(#REF!,"AAAAAHf/d20=")</f>
        <v>#REF!</v>
      </c>
      <c r="DG464" t="e">
        <f>AND(#REF!,"AAAAAHf/d24=")</f>
        <v>#REF!</v>
      </c>
      <c r="DH464" t="e">
        <f>AND(#REF!,"AAAAAHf/d28=")</f>
        <v>#REF!</v>
      </c>
      <c r="DI464" t="e">
        <f>AND(#REF!,"AAAAAHf/d3A=")</f>
        <v>#REF!</v>
      </c>
      <c r="DJ464" t="e">
        <f>AND(#REF!,"AAAAAHf/d3E=")</f>
        <v>#REF!</v>
      </c>
      <c r="DK464" t="e">
        <f>AND(#REF!,"AAAAAHf/d3I=")</f>
        <v>#REF!</v>
      </c>
      <c r="DL464" t="e">
        <f>AND(#REF!,"AAAAAHf/d3M=")</f>
        <v>#REF!</v>
      </c>
      <c r="DM464" t="e">
        <f>AND(#REF!,"AAAAAHf/d3Q=")</f>
        <v>#REF!</v>
      </c>
      <c r="DN464" t="e">
        <f>AND(#REF!,"AAAAAHf/d3U=")</f>
        <v>#REF!</v>
      </c>
      <c r="DO464" t="e">
        <f>AND(#REF!,"AAAAAHf/d3Y=")</f>
        <v>#REF!</v>
      </c>
      <c r="DP464" t="e">
        <f>AND(#REF!,"AAAAAHf/d3c=")</f>
        <v>#REF!</v>
      </c>
      <c r="DQ464" t="e">
        <f>AND(#REF!,"AAAAAHf/d3g=")</f>
        <v>#REF!</v>
      </c>
      <c r="DR464" t="e">
        <f>AND(#REF!,"AAAAAHf/d3k=")</f>
        <v>#REF!</v>
      </c>
      <c r="DS464" t="e">
        <f>AND(#REF!,"AAAAAHf/d3o=")</f>
        <v>#REF!</v>
      </c>
      <c r="DT464" t="e">
        <f>AND(#REF!,"AAAAAHf/d3s=")</f>
        <v>#REF!</v>
      </c>
      <c r="DU464" t="e">
        <f>AND(#REF!,"AAAAAHf/d3w=")</f>
        <v>#REF!</v>
      </c>
      <c r="DV464" t="e">
        <f>AND(#REF!,"AAAAAHf/d30=")</f>
        <v>#REF!</v>
      </c>
      <c r="DW464" t="e">
        <f>AND(#REF!,"AAAAAHf/d34=")</f>
        <v>#REF!</v>
      </c>
      <c r="DX464" t="e">
        <f>AND(#REF!,"AAAAAHf/d38=")</f>
        <v>#REF!</v>
      </c>
      <c r="DY464" t="e">
        <f>AND(#REF!,"AAAAAHf/d4A=")</f>
        <v>#REF!</v>
      </c>
      <c r="DZ464" t="e">
        <f>AND(#REF!,"AAAAAHf/d4E=")</f>
        <v>#REF!</v>
      </c>
      <c r="EA464" t="e">
        <f>AND(#REF!,"AAAAAHf/d4I=")</f>
        <v>#REF!</v>
      </c>
      <c r="EB464" t="e">
        <f>AND(#REF!,"AAAAAHf/d4M=")</f>
        <v>#REF!</v>
      </c>
      <c r="EC464" t="e">
        <f>IF(#REF!,"AAAAAHf/d4Q=",0)</f>
        <v>#REF!</v>
      </c>
      <c r="ED464" t="e">
        <f>AND(#REF!,"AAAAAHf/d4U=")</f>
        <v>#REF!</v>
      </c>
      <c r="EE464" t="e">
        <f>AND(#REF!,"AAAAAHf/d4Y=")</f>
        <v>#REF!</v>
      </c>
      <c r="EF464" t="e">
        <f>AND(#REF!,"AAAAAHf/d4c=")</f>
        <v>#REF!</v>
      </c>
      <c r="EG464" t="e">
        <f>AND(#REF!,"AAAAAHf/d4g=")</f>
        <v>#REF!</v>
      </c>
      <c r="EH464" t="e">
        <f>AND(#REF!,"AAAAAHf/d4k=")</f>
        <v>#REF!</v>
      </c>
      <c r="EI464" t="e">
        <f>AND(#REF!,"AAAAAHf/d4o=")</f>
        <v>#REF!</v>
      </c>
      <c r="EJ464" t="e">
        <f>AND(#REF!,"AAAAAHf/d4s=")</f>
        <v>#REF!</v>
      </c>
      <c r="EK464" t="e">
        <f>AND(#REF!,"AAAAAHf/d4w=")</f>
        <v>#REF!</v>
      </c>
      <c r="EL464" t="e">
        <f>AND(#REF!,"AAAAAHf/d40=")</f>
        <v>#REF!</v>
      </c>
      <c r="EM464" t="e">
        <f>AND(#REF!,"AAAAAHf/d44=")</f>
        <v>#REF!</v>
      </c>
      <c r="EN464" t="e">
        <f>AND(#REF!,"AAAAAHf/d48=")</f>
        <v>#REF!</v>
      </c>
      <c r="EO464" t="e">
        <f>AND(#REF!,"AAAAAHf/d5A=")</f>
        <v>#REF!</v>
      </c>
      <c r="EP464" t="e">
        <f>AND(#REF!,"AAAAAHf/d5E=")</f>
        <v>#REF!</v>
      </c>
      <c r="EQ464" t="e">
        <f>AND(#REF!,"AAAAAHf/d5I=")</f>
        <v>#REF!</v>
      </c>
      <c r="ER464" t="e">
        <f>AND(#REF!,"AAAAAHf/d5M=")</f>
        <v>#REF!</v>
      </c>
      <c r="ES464" t="e">
        <f>AND(#REF!,"AAAAAHf/d5Q=")</f>
        <v>#REF!</v>
      </c>
      <c r="ET464" t="e">
        <f>AND(#REF!,"AAAAAHf/d5U=")</f>
        <v>#REF!</v>
      </c>
      <c r="EU464" t="e">
        <f>AND(#REF!,"AAAAAHf/d5Y=")</f>
        <v>#REF!</v>
      </c>
      <c r="EV464" t="e">
        <f>AND(#REF!,"AAAAAHf/d5c=")</f>
        <v>#REF!</v>
      </c>
      <c r="EW464" t="e">
        <f>AND(#REF!,"AAAAAHf/d5g=")</f>
        <v>#REF!</v>
      </c>
      <c r="EX464" t="e">
        <f>AND(#REF!,"AAAAAHf/d5k=")</f>
        <v>#REF!</v>
      </c>
      <c r="EY464" t="e">
        <f>AND(#REF!,"AAAAAHf/d5o=")</f>
        <v>#REF!</v>
      </c>
      <c r="EZ464" t="e">
        <f>AND(#REF!,"AAAAAHf/d5s=")</f>
        <v>#REF!</v>
      </c>
      <c r="FA464" t="e">
        <f>AND(#REF!,"AAAAAHf/d5w=")</f>
        <v>#REF!</v>
      </c>
      <c r="FB464" t="e">
        <f>IF(#REF!,"AAAAAHf/d50=",0)</f>
        <v>#REF!</v>
      </c>
      <c r="FC464" t="e">
        <f>AND(#REF!,"AAAAAHf/d54=")</f>
        <v>#REF!</v>
      </c>
      <c r="FD464" t="e">
        <f>AND(#REF!,"AAAAAHf/d58=")</f>
        <v>#REF!</v>
      </c>
      <c r="FE464" t="e">
        <f>AND(#REF!,"AAAAAHf/d6A=")</f>
        <v>#REF!</v>
      </c>
      <c r="FF464" t="e">
        <f>AND(#REF!,"AAAAAHf/d6E=")</f>
        <v>#REF!</v>
      </c>
      <c r="FG464" t="e">
        <f>AND(#REF!,"AAAAAHf/d6I=")</f>
        <v>#REF!</v>
      </c>
      <c r="FH464" t="e">
        <f>AND(#REF!,"AAAAAHf/d6M=")</f>
        <v>#REF!</v>
      </c>
      <c r="FI464" t="e">
        <f>AND(#REF!,"AAAAAHf/d6Q=")</f>
        <v>#REF!</v>
      </c>
      <c r="FJ464" t="e">
        <f>AND(#REF!,"AAAAAHf/d6U=")</f>
        <v>#REF!</v>
      </c>
      <c r="FK464" t="e">
        <f>AND(#REF!,"AAAAAHf/d6Y=")</f>
        <v>#REF!</v>
      </c>
      <c r="FL464" t="e">
        <f>AND(#REF!,"AAAAAHf/d6c=")</f>
        <v>#REF!</v>
      </c>
      <c r="FM464" t="e">
        <f>AND(#REF!,"AAAAAHf/d6g=")</f>
        <v>#REF!</v>
      </c>
      <c r="FN464" t="e">
        <f>AND(#REF!,"AAAAAHf/d6k=")</f>
        <v>#REF!</v>
      </c>
      <c r="FO464" t="e">
        <f>AND(#REF!,"AAAAAHf/d6o=")</f>
        <v>#REF!</v>
      </c>
      <c r="FP464" t="e">
        <f>AND(#REF!,"AAAAAHf/d6s=")</f>
        <v>#REF!</v>
      </c>
      <c r="FQ464" t="e">
        <f>AND(#REF!,"AAAAAHf/d6w=")</f>
        <v>#REF!</v>
      </c>
      <c r="FR464" t="e">
        <f>AND(#REF!,"AAAAAHf/d60=")</f>
        <v>#REF!</v>
      </c>
      <c r="FS464" t="e">
        <f>AND(#REF!,"AAAAAHf/d64=")</f>
        <v>#REF!</v>
      </c>
      <c r="FT464" t="e">
        <f>AND(#REF!,"AAAAAHf/d68=")</f>
        <v>#REF!</v>
      </c>
      <c r="FU464" t="e">
        <f>AND(#REF!,"AAAAAHf/d7A=")</f>
        <v>#REF!</v>
      </c>
      <c r="FV464" t="e">
        <f>AND(#REF!,"AAAAAHf/d7E=")</f>
        <v>#REF!</v>
      </c>
      <c r="FW464" t="e">
        <f>AND(#REF!,"AAAAAHf/d7I=")</f>
        <v>#REF!</v>
      </c>
      <c r="FX464" t="e">
        <f>AND(#REF!,"AAAAAHf/d7M=")</f>
        <v>#REF!</v>
      </c>
      <c r="FY464" t="e">
        <f>AND(#REF!,"AAAAAHf/d7Q=")</f>
        <v>#REF!</v>
      </c>
      <c r="FZ464" t="e">
        <f>AND(#REF!,"AAAAAHf/d7U=")</f>
        <v>#REF!</v>
      </c>
      <c r="GA464" t="e">
        <f>IF(#REF!,"AAAAAHf/d7Y=",0)</f>
        <v>#REF!</v>
      </c>
      <c r="GB464" t="e">
        <f>AND(#REF!,"AAAAAHf/d7c=")</f>
        <v>#REF!</v>
      </c>
      <c r="GC464" t="e">
        <f>AND(#REF!,"AAAAAHf/d7g=")</f>
        <v>#REF!</v>
      </c>
      <c r="GD464" t="e">
        <f>AND(#REF!,"AAAAAHf/d7k=")</f>
        <v>#REF!</v>
      </c>
      <c r="GE464" t="e">
        <f>AND(#REF!,"AAAAAHf/d7o=")</f>
        <v>#REF!</v>
      </c>
      <c r="GF464" t="e">
        <f>AND(#REF!,"AAAAAHf/d7s=")</f>
        <v>#REF!</v>
      </c>
      <c r="GG464" t="e">
        <f>AND(#REF!,"AAAAAHf/d7w=")</f>
        <v>#REF!</v>
      </c>
      <c r="GH464" t="e">
        <f>AND(#REF!,"AAAAAHf/d70=")</f>
        <v>#REF!</v>
      </c>
      <c r="GI464" t="e">
        <f>AND(#REF!,"AAAAAHf/d74=")</f>
        <v>#REF!</v>
      </c>
      <c r="GJ464" t="e">
        <f>AND(#REF!,"AAAAAHf/d78=")</f>
        <v>#REF!</v>
      </c>
      <c r="GK464" t="e">
        <f>AND(#REF!,"AAAAAHf/d8A=")</f>
        <v>#REF!</v>
      </c>
      <c r="GL464" t="e">
        <f>AND(#REF!,"AAAAAHf/d8E=")</f>
        <v>#REF!</v>
      </c>
      <c r="GM464" t="e">
        <f>AND(#REF!,"AAAAAHf/d8I=")</f>
        <v>#REF!</v>
      </c>
      <c r="GN464" t="e">
        <f>AND(#REF!,"AAAAAHf/d8M=")</f>
        <v>#REF!</v>
      </c>
      <c r="GO464" t="e">
        <f>AND(#REF!,"AAAAAHf/d8Q=")</f>
        <v>#REF!</v>
      </c>
      <c r="GP464" t="e">
        <f>AND(#REF!,"AAAAAHf/d8U=")</f>
        <v>#REF!</v>
      </c>
      <c r="GQ464" t="e">
        <f>AND(#REF!,"AAAAAHf/d8Y=")</f>
        <v>#REF!</v>
      </c>
      <c r="GR464" t="e">
        <f>AND(#REF!,"AAAAAHf/d8c=")</f>
        <v>#REF!</v>
      </c>
      <c r="GS464" t="e">
        <f>AND(#REF!,"AAAAAHf/d8g=")</f>
        <v>#REF!</v>
      </c>
      <c r="GT464" t="e">
        <f>AND(#REF!,"AAAAAHf/d8k=")</f>
        <v>#REF!</v>
      </c>
      <c r="GU464" t="e">
        <f>AND(#REF!,"AAAAAHf/d8o=")</f>
        <v>#REF!</v>
      </c>
      <c r="GV464" t="e">
        <f>AND(#REF!,"AAAAAHf/d8s=")</f>
        <v>#REF!</v>
      </c>
      <c r="GW464" t="e">
        <f>AND(#REF!,"AAAAAHf/d8w=")</f>
        <v>#REF!</v>
      </c>
      <c r="GX464" t="e">
        <f>AND(#REF!,"AAAAAHf/d80=")</f>
        <v>#REF!</v>
      </c>
      <c r="GY464" t="e">
        <f>AND(#REF!,"AAAAAHf/d84=")</f>
        <v>#REF!</v>
      </c>
      <c r="GZ464" t="e">
        <f>IF(#REF!,"AAAAAHf/d88=",0)</f>
        <v>#REF!</v>
      </c>
      <c r="HA464" t="e">
        <f>AND(#REF!,"AAAAAHf/d9A=")</f>
        <v>#REF!</v>
      </c>
      <c r="HB464" t="e">
        <f>AND(#REF!,"AAAAAHf/d9E=")</f>
        <v>#REF!</v>
      </c>
      <c r="HC464" t="e">
        <f>AND(#REF!,"AAAAAHf/d9I=")</f>
        <v>#REF!</v>
      </c>
      <c r="HD464" t="e">
        <f>AND(#REF!,"AAAAAHf/d9M=")</f>
        <v>#REF!</v>
      </c>
      <c r="HE464" t="e">
        <f>AND(#REF!,"AAAAAHf/d9Q=")</f>
        <v>#REF!</v>
      </c>
      <c r="HF464" t="e">
        <f>AND(#REF!,"AAAAAHf/d9U=")</f>
        <v>#REF!</v>
      </c>
      <c r="HG464" t="e">
        <f>AND(#REF!,"AAAAAHf/d9Y=")</f>
        <v>#REF!</v>
      </c>
      <c r="HH464" t="e">
        <f>AND(#REF!,"AAAAAHf/d9c=")</f>
        <v>#REF!</v>
      </c>
      <c r="HI464" t="e">
        <f>AND(#REF!,"AAAAAHf/d9g=")</f>
        <v>#REF!</v>
      </c>
      <c r="HJ464" t="e">
        <f>AND(#REF!,"AAAAAHf/d9k=")</f>
        <v>#REF!</v>
      </c>
      <c r="HK464" t="e">
        <f>AND(#REF!,"AAAAAHf/d9o=")</f>
        <v>#REF!</v>
      </c>
      <c r="HL464" t="e">
        <f>AND(#REF!,"AAAAAHf/d9s=")</f>
        <v>#REF!</v>
      </c>
      <c r="HM464" t="e">
        <f>AND(#REF!,"AAAAAHf/d9w=")</f>
        <v>#REF!</v>
      </c>
      <c r="HN464" t="e">
        <f>AND(#REF!,"AAAAAHf/d90=")</f>
        <v>#REF!</v>
      </c>
      <c r="HO464" t="e">
        <f>AND(#REF!,"AAAAAHf/d94=")</f>
        <v>#REF!</v>
      </c>
      <c r="HP464" t="e">
        <f>AND(#REF!,"AAAAAHf/d98=")</f>
        <v>#REF!</v>
      </c>
      <c r="HQ464" t="e">
        <f>AND(#REF!,"AAAAAHf/d+A=")</f>
        <v>#REF!</v>
      </c>
      <c r="HR464" t="e">
        <f>AND(#REF!,"AAAAAHf/d+E=")</f>
        <v>#REF!</v>
      </c>
      <c r="HS464" t="e">
        <f>AND(#REF!,"AAAAAHf/d+I=")</f>
        <v>#REF!</v>
      </c>
      <c r="HT464" t="e">
        <f>AND(#REF!,"AAAAAHf/d+M=")</f>
        <v>#REF!</v>
      </c>
      <c r="HU464" t="e">
        <f>AND(#REF!,"AAAAAHf/d+Q=")</f>
        <v>#REF!</v>
      </c>
      <c r="HV464" t="e">
        <f>AND(#REF!,"AAAAAHf/d+U=")</f>
        <v>#REF!</v>
      </c>
      <c r="HW464" t="e">
        <f>AND(#REF!,"AAAAAHf/d+Y=")</f>
        <v>#REF!</v>
      </c>
      <c r="HX464" t="e">
        <f>AND(#REF!,"AAAAAHf/d+c=")</f>
        <v>#REF!</v>
      </c>
      <c r="HY464" t="e">
        <f>IF(#REF!,"AAAAAHf/d+g=",0)</f>
        <v>#REF!</v>
      </c>
      <c r="HZ464" t="e">
        <f>AND(#REF!,"AAAAAHf/d+k=")</f>
        <v>#REF!</v>
      </c>
      <c r="IA464" t="e">
        <f>AND(#REF!,"AAAAAHf/d+o=")</f>
        <v>#REF!</v>
      </c>
      <c r="IB464" t="e">
        <f>AND(#REF!,"AAAAAHf/d+s=")</f>
        <v>#REF!</v>
      </c>
      <c r="IC464" t="e">
        <f>AND(#REF!,"AAAAAHf/d+w=")</f>
        <v>#REF!</v>
      </c>
      <c r="ID464" t="e">
        <f>AND(#REF!,"AAAAAHf/d+0=")</f>
        <v>#REF!</v>
      </c>
      <c r="IE464" t="e">
        <f>AND(#REF!,"AAAAAHf/d+4=")</f>
        <v>#REF!</v>
      </c>
      <c r="IF464" t="e">
        <f>AND(#REF!,"AAAAAHf/d+8=")</f>
        <v>#REF!</v>
      </c>
      <c r="IG464" t="e">
        <f>AND(#REF!,"AAAAAHf/d/A=")</f>
        <v>#REF!</v>
      </c>
      <c r="IH464" t="e">
        <f>AND(#REF!,"AAAAAHf/d/E=")</f>
        <v>#REF!</v>
      </c>
      <c r="II464" t="e">
        <f>AND(#REF!,"AAAAAHf/d/I=")</f>
        <v>#REF!</v>
      </c>
      <c r="IJ464" t="e">
        <f>AND(#REF!,"AAAAAHf/d/M=")</f>
        <v>#REF!</v>
      </c>
      <c r="IK464" t="e">
        <f>AND(#REF!,"AAAAAHf/d/Q=")</f>
        <v>#REF!</v>
      </c>
      <c r="IL464" t="e">
        <f>AND(#REF!,"AAAAAHf/d/U=")</f>
        <v>#REF!</v>
      </c>
      <c r="IM464" t="e">
        <f>AND(#REF!,"AAAAAHf/d/Y=")</f>
        <v>#REF!</v>
      </c>
      <c r="IN464" t="e">
        <f>AND(#REF!,"AAAAAHf/d/c=")</f>
        <v>#REF!</v>
      </c>
      <c r="IO464" t="e">
        <f>AND(#REF!,"AAAAAHf/d/g=")</f>
        <v>#REF!</v>
      </c>
      <c r="IP464" t="e">
        <f>AND(#REF!,"AAAAAHf/d/k=")</f>
        <v>#REF!</v>
      </c>
      <c r="IQ464" t="e">
        <f>AND(#REF!,"AAAAAHf/d/o=")</f>
        <v>#REF!</v>
      </c>
      <c r="IR464" t="e">
        <f>AND(#REF!,"AAAAAHf/d/s=")</f>
        <v>#REF!</v>
      </c>
      <c r="IS464" t="e">
        <f>AND(#REF!,"AAAAAHf/d/w=")</f>
        <v>#REF!</v>
      </c>
      <c r="IT464" t="e">
        <f>AND(#REF!,"AAAAAHf/d/0=")</f>
        <v>#REF!</v>
      </c>
      <c r="IU464" t="e">
        <f>AND(#REF!,"AAAAAHf/d/4=")</f>
        <v>#REF!</v>
      </c>
      <c r="IV464" t="e">
        <f>AND(#REF!,"AAAAAHf/d/8=")</f>
        <v>#REF!</v>
      </c>
    </row>
    <row r="465" spans="1:256">
      <c r="A465" t="e">
        <f>AND(#REF!,"AAAAAHvH1wA=")</f>
        <v>#REF!</v>
      </c>
      <c r="B465" t="e">
        <f>IF(#REF!,"AAAAAHvH1wE=",0)</f>
        <v>#REF!</v>
      </c>
      <c r="C465" t="e">
        <f>AND(#REF!,"AAAAAHvH1wI=")</f>
        <v>#REF!</v>
      </c>
      <c r="D465" t="e">
        <f>AND(#REF!,"AAAAAHvH1wM=")</f>
        <v>#REF!</v>
      </c>
      <c r="E465" t="e">
        <f>AND(#REF!,"AAAAAHvH1wQ=")</f>
        <v>#REF!</v>
      </c>
      <c r="F465" t="e">
        <f>AND(#REF!,"AAAAAHvH1wU=")</f>
        <v>#REF!</v>
      </c>
      <c r="G465" t="e">
        <f>AND(#REF!,"AAAAAHvH1wY=")</f>
        <v>#REF!</v>
      </c>
      <c r="H465" t="e">
        <f>AND(#REF!,"AAAAAHvH1wc=")</f>
        <v>#REF!</v>
      </c>
      <c r="I465" t="e">
        <f>AND(#REF!,"AAAAAHvH1wg=")</f>
        <v>#REF!</v>
      </c>
      <c r="J465" t="e">
        <f>AND(#REF!,"AAAAAHvH1wk=")</f>
        <v>#REF!</v>
      </c>
      <c r="K465" t="e">
        <f>AND(#REF!,"AAAAAHvH1wo=")</f>
        <v>#REF!</v>
      </c>
      <c r="L465" t="e">
        <f>AND(#REF!,"AAAAAHvH1ws=")</f>
        <v>#REF!</v>
      </c>
      <c r="M465" t="e">
        <f>AND(#REF!,"AAAAAHvH1ww=")</f>
        <v>#REF!</v>
      </c>
      <c r="N465" t="e">
        <f>AND(#REF!,"AAAAAHvH1w0=")</f>
        <v>#REF!</v>
      </c>
      <c r="O465" t="e">
        <f>AND(#REF!,"AAAAAHvH1w4=")</f>
        <v>#REF!</v>
      </c>
      <c r="P465" t="e">
        <f>AND(#REF!,"AAAAAHvH1w8=")</f>
        <v>#REF!</v>
      </c>
      <c r="Q465" t="e">
        <f>AND(#REF!,"AAAAAHvH1xA=")</f>
        <v>#REF!</v>
      </c>
      <c r="R465" t="e">
        <f>AND(#REF!,"AAAAAHvH1xE=")</f>
        <v>#REF!</v>
      </c>
      <c r="S465" t="e">
        <f>AND(#REF!,"AAAAAHvH1xI=")</f>
        <v>#REF!</v>
      </c>
      <c r="T465" t="e">
        <f>AND(#REF!,"AAAAAHvH1xM=")</f>
        <v>#REF!</v>
      </c>
      <c r="U465" t="e">
        <f>AND(#REF!,"AAAAAHvH1xQ=")</f>
        <v>#REF!</v>
      </c>
      <c r="V465" t="e">
        <f>AND(#REF!,"AAAAAHvH1xU=")</f>
        <v>#REF!</v>
      </c>
      <c r="W465" t="e">
        <f>AND(#REF!,"AAAAAHvH1xY=")</f>
        <v>#REF!</v>
      </c>
      <c r="X465" t="e">
        <f>AND(#REF!,"AAAAAHvH1xc=")</f>
        <v>#REF!</v>
      </c>
      <c r="Y465" t="e">
        <f>AND(#REF!,"AAAAAHvH1xg=")</f>
        <v>#REF!</v>
      </c>
      <c r="Z465" t="e">
        <f>AND(#REF!,"AAAAAHvH1xk=")</f>
        <v>#REF!</v>
      </c>
      <c r="AA465" t="e">
        <f>IF(#REF!,"AAAAAHvH1xo=",0)</f>
        <v>#REF!</v>
      </c>
      <c r="AB465" t="e">
        <f>AND(#REF!,"AAAAAHvH1xs=")</f>
        <v>#REF!</v>
      </c>
      <c r="AC465" t="e">
        <f>AND(#REF!,"AAAAAHvH1xw=")</f>
        <v>#REF!</v>
      </c>
      <c r="AD465" t="e">
        <f>AND(#REF!,"AAAAAHvH1x0=")</f>
        <v>#REF!</v>
      </c>
      <c r="AE465" t="e">
        <f>AND(#REF!,"AAAAAHvH1x4=")</f>
        <v>#REF!</v>
      </c>
      <c r="AF465" t="e">
        <f>AND(#REF!,"AAAAAHvH1x8=")</f>
        <v>#REF!</v>
      </c>
      <c r="AG465" t="e">
        <f>AND(#REF!,"AAAAAHvH1yA=")</f>
        <v>#REF!</v>
      </c>
      <c r="AH465" t="e">
        <f>AND(#REF!,"AAAAAHvH1yE=")</f>
        <v>#REF!</v>
      </c>
      <c r="AI465" t="e">
        <f>AND(#REF!,"AAAAAHvH1yI=")</f>
        <v>#REF!</v>
      </c>
      <c r="AJ465" t="e">
        <f>AND(#REF!,"AAAAAHvH1yM=")</f>
        <v>#REF!</v>
      </c>
      <c r="AK465" t="e">
        <f>AND(#REF!,"AAAAAHvH1yQ=")</f>
        <v>#REF!</v>
      </c>
      <c r="AL465" t="e">
        <f>AND(#REF!,"AAAAAHvH1yU=")</f>
        <v>#REF!</v>
      </c>
      <c r="AM465" t="e">
        <f>AND(#REF!,"AAAAAHvH1yY=")</f>
        <v>#REF!</v>
      </c>
      <c r="AN465" t="e">
        <f>AND(#REF!,"AAAAAHvH1yc=")</f>
        <v>#REF!</v>
      </c>
      <c r="AO465" t="e">
        <f>AND(#REF!,"AAAAAHvH1yg=")</f>
        <v>#REF!</v>
      </c>
      <c r="AP465" t="e">
        <f>AND(#REF!,"AAAAAHvH1yk=")</f>
        <v>#REF!</v>
      </c>
      <c r="AQ465" t="e">
        <f>AND(#REF!,"AAAAAHvH1yo=")</f>
        <v>#REF!</v>
      </c>
      <c r="AR465" t="e">
        <f>AND(#REF!,"AAAAAHvH1ys=")</f>
        <v>#REF!</v>
      </c>
      <c r="AS465" t="e">
        <f>AND(#REF!,"AAAAAHvH1yw=")</f>
        <v>#REF!</v>
      </c>
      <c r="AT465" t="e">
        <f>AND(#REF!,"AAAAAHvH1y0=")</f>
        <v>#REF!</v>
      </c>
      <c r="AU465" t="e">
        <f>AND(#REF!,"AAAAAHvH1y4=")</f>
        <v>#REF!</v>
      </c>
      <c r="AV465" t="e">
        <f>AND(#REF!,"AAAAAHvH1y8=")</f>
        <v>#REF!</v>
      </c>
      <c r="AW465" t="e">
        <f>AND(#REF!,"AAAAAHvH1zA=")</f>
        <v>#REF!</v>
      </c>
      <c r="AX465" t="e">
        <f>AND(#REF!,"AAAAAHvH1zE=")</f>
        <v>#REF!</v>
      </c>
      <c r="AY465" t="e">
        <f>AND(#REF!,"AAAAAHvH1zI=")</f>
        <v>#REF!</v>
      </c>
      <c r="AZ465" t="e">
        <f>IF(#REF!,"AAAAAHvH1zM=",0)</f>
        <v>#REF!</v>
      </c>
      <c r="BA465" t="e">
        <f>AND(#REF!,"AAAAAHvH1zQ=")</f>
        <v>#REF!</v>
      </c>
      <c r="BB465" t="e">
        <f>AND(#REF!,"AAAAAHvH1zU=")</f>
        <v>#REF!</v>
      </c>
      <c r="BC465" t="e">
        <f>AND(#REF!,"AAAAAHvH1zY=")</f>
        <v>#REF!</v>
      </c>
      <c r="BD465" t="e">
        <f>AND(#REF!,"AAAAAHvH1zc=")</f>
        <v>#REF!</v>
      </c>
      <c r="BE465" t="e">
        <f>AND(#REF!,"AAAAAHvH1zg=")</f>
        <v>#REF!</v>
      </c>
      <c r="BF465" t="e">
        <f>AND(#REF!,"AAAAAHvH1zk=")</f>
        <v>#REF!</v>
      </c>
      <c r="BG465" t="e">
        <f>AND(#REF!,"AAAAAHvH1zo=")</f>
        <v>#REF!</v>
      </c>
      <c r="BH465" t="e">
        <f>AND(#REF!,"AAAAAHvH1zs=")</f>
        <v>#REF!</v>
      </c>
      <c r="BI465" t="e">
        <f>AND(#REF!,"AAAAAHvH1zw=")</f>
        <v>#REF!</v>
      </c>
      <c r="BJ465" t="e">
        <f>AND(#REF!,"AAAAAHvH1z0=")</f>
        <v>#REF!</v>
      </c>
      <c r="BK465" t="e">
        <f>AND(#REF!,"AAAAAHvH1z4=")</f>
        <v>#REF!</v>
      </c>
      <c r="BL465" t="e">
        <f>AND(#REF!,"AAAAAHvH1z8=")</f>
        <v>#REF!</v>
      </c>
      <c r="BM465" t="e">
        <f>AND(#REF!,"AAAAAHvH10A=")</f>
        <v>#REF!</v>
      </c>
      <c r="BN465" t="e">
        <f>AND(#REF!,"AAAAAHvH10E=")</f>
        <v>#REF!</v>
      </c>
      <c r="BO465" t="e">
        <f>AND(#REF!,"AAAAAHvH10I=")</f>
        <v>#REF!</v>
      </c>
      <c r="BP465" t="e">
        <f>AND(#REF!,"AAAAAHvH10M=")</f>
        <v>#REF!</v>
      </c>
      <c r="BQ465" t="e">
        <f>AND(#REF!,"AAAAAHvH10Q=")</f>
        <v>#REF!</v>
      </c>
      <c r="BR465" t="e">
        <f>AND(#REF!,"AAAAAHvH10U=")</f>
        <v>#REF!</v>
      </c>
      <c r="BS465" t="e">
        <f>AND(#REF!,"AAAAAHvH10Y=")</f>
        <v>#REF!</v>
      </c>
      <c r="BT465" t="e">
        <f>AND(#REF!,"AAAAAHvH10c=")</f>
        <v>#REF!</v>
      </c>
      <c r="BU465" t="e">
        <f>AND(#REF!,"AAAAAHvH10g=")</f>
        <v>#REF!</v>
      </c>
      <c r="BV465" t="e">
        <f>AND(#REF!,"AAAAAHvH10k=")</f>
        <v>#REF!</v>
      </c>
      <c r="BW465" t="e">
        <f>AND(#REF!,"AAAAAHvH10o=")</f>
        <v>#REF!</v>
      </c>
      <c r="BX465" t="e">
        <f>AND(#REF!,"AAAAAHvH10s=")</f>
        <v>#REF!</v>
      </c>
      <c r="BY465" t="e">
        <f>IF(#REF!,"AAAAAHvH10w=",0)</f>
        <v>#REF!</v>
      </c>
      <c r="BZ465" t="e">
        <f>AND(#REF!,"AAAAAHvH100=")</f>
        <v>#REF!</v>
      </c>
      <c r="CA465" t="e">
        <f>AND(#REF!,"AAAAAHvH104=")</f>
        <v>#REF!</v>
      </c>
      <c r="CB465" t="e">
        <f>AND(#REF!,"AAAAAHvH108=")</f>
        <v>#REF!</v>
      </c>
      <c r="CC465" t="e">
        <f>AND(#REF!,"AAAAAHvH11A=")</f>
        <v>#REF!</v>
      </c>
      <c r="CD465" t="e">
        <f>AND(#REF!,"AAAAAHvH11E=")</f>
        <v>#REF!</v>
      </c>
      <c r="CE465" t="e">
        <f>AND(#REF!,"AAAAAHvH11I=")</f>
        <v>#REF!</v>
      </c>
      <c r="CF465" t="e">
        <f>AND(#REF!,"AAAAAHvH11M=")</f>
        <v>#REF!</v>
      </c>
      <c r="CG465" t="e">
        <f>AND(#REF!,"AAAAAHvH11Q=")</f>
        <v>#REF!</v>
      </c>
      <c r="CH465" t="e">
        <f>AND(#REF!,"AAAAAHvH11U=")</f>
        <v>#REF!</v>
      </c>
      <c r="CI465" t="e">
        <f>AND(#REF!,"AAAAAHvH11Y=")</f>
        <v>#REF!</v>
      </c>
      <c r="CJ465" t="e">
        <f>AND(#REF!,"AAAAAHvH11c=")</f>
        <v>#REF!</v>
      </c>
      <c r="CK465" t="e">
        <f>AND(#REF!,"AAAAAHvH11g=")</f>
        <v>#REF!</v>
      </c>
      <c r="CL465" t="e">
        <f>AND(#REF!,"AAAAAHvH11k=")</f>
        <v>#REF!</v>
      </c>
      <c r="CM465" t="e">
        <f>AND(#REF!,"AAAAAHvH11o=")</f>
        <v>#REF!</v>
      </c>
      <c r="CN465" t="e">
        <f>AND(#REF!,"AAAAAHvH11s=")</f>
        <v>#REF!</v>
      </c>
      <c r="CO465" t="e">
        <f>AND(#REF!,"AAAAAHvH11w=")</f>
        <v>#REF!</v>
      </c>
      <c r="CP465" t="e">
        <f>AND(#REF!,"AAAAAHvH110=")</f>
        <v>#REF!</v>
      </c>
      <c r="CQ465" t="e">
        <f>AND(#REF!,"AAAAAHvH114=")</f>
        <v>#REF!</v>
      </c>
      <c r="CR465" t="e">
        <f>AND(#REF!,"AAAAAHvH118=")</f>
        <v>#REF!</v>
      </c>
      <c r="CS465" t="e">
        <f>AND(#REF!,"AAAAAHvH12A=")</f>
        <v>#REF!</v>
      </c>
      <c r="CT465" t="e">
        <f>AND(#REF!,"AAAAAHvH12E=")</f>
        <v>#REF!</v>
      </c>
      <c r="CU465" t="e">
        <f>AND(#REF!,"AAAAAHvH12I=")</f>
        <v>#REF!</v>
      </c>
      <c r="CV465" t="e">
        <f>AND(#REF!,"AAAAAHvH12M=")</f>
        <v>#REF!</v>
      </c>
      <c r="CW465" t="e">
        <f>AND(#REF!,"AAAAAHvH12Q=")</f>
        <v>#REF!</v>
      </c>
      <c r="CX465" t="e">
        <f>IF(#REF!,"AAAAAHvH12U=",0)</f>
        <v>#REF!</v>
      </c>
      <c r="CY465" t="e">
        <f>AND(#REF!,"AAAAAHvH12Y=")</f>
        <v>#REF!</v>
      </c>
      <c r="CZ465" t="e">
        <f>AND(#REF!,"AAAAAHvH12c=")</f>
        <v>#REF!</v>
      </c>
      <c r="DA465" t="e">
        <f>AND(#REF!,"AAAAAHvH12g=")</f>
        <v>#REF!</v>
      </c>
      <c r="DB465" t="e">
        <f>AND(#REF!,"AAAAAHvH12k=")</f>
        <v>#REF!</v>
      </c>
      <c r="DC465" t="e">
        <f>AND(#REF!,"AAAAAHvH12o=")</f>
        <v>#REF!</v>
      </c>
      <c r="DD465" t="e">
        <f>AND(#REF!,"AAAAAHvH12s=")</f>
        <v>#REF!</v>
      </c>
      <c r="DE465" t="e">
        <f>AND(#REF!,"AAAAAHvH12w=")</f>
        <v>#REF!</v>
      </c>
      <c r="DF465" t="e">
        <f>AND(#REF!,"AAAAAHvH120=")</f>
        <v>#REF!</v>
      </c>
      <c r="DG465" t="e">
        <f>AND(#REF!,"AAAAAHvH124=")</f>
        <v>#REF!</v>
      </c>
      <c r="DH465" t="e">
        <f>AND(#REF!,"AAAAAHvH128=")</f>
        <v>#REF!</v>
      </c>
      <c r="DI465" t="e">
        <f>AND(#REF!,"AAAAAHvH13A=")</f>
        <v>#REF!</v>
      </c>
      <c r="DJ465" t="e">
        <f>AND(#REF!,"AAAAAHvH13E=")</f>
        <v>#REF!</v>
      </c>
      <c r="DK465" t="e">
        <f>AND(#REF!,"AAAAAHvH13I=")</f>
        <v>#REF!</v>
      </c>
      <c r="DL465" t="e">
        <f>AND(#REF!,"AAAAAHvH13M=")</f>
        <v>#REF!</v>
      </c>
      <c r="DM465" t="e">
        <f>AND(#REF!,"AAAAAHvH13Q=")</f>
        <v>#REF!</v>
      </c>
      <c r="DN465" t="e">
        <f>AND(#REF!,"AAAAAHvH13U=")</f>
        <v>#REF!</v>
      </c>
      <c r="DO465" t="e">
        <f>AND(#REF!,"AAAAAHvH13Y=")</f>
        <v>#REF!</v>
      </c>
      <c r="DP465" t="e">
        <f>AND(#REF!,"AAAAAHvH13c=")</f>
        <v>#REF!</v>
      </c>
      <c r="DQ465" t="e">
        <f>AND(#REF!,"AAAAAHvH13g=")</f>
        <v>#REF!</v>
      </c>
      <c r="DR465" t="e">
        <f>AND(#REF!,"AAAAAHvH13k=")</f>
        <v>#REF!</v>
      </c>
      <c r="DS465" t="e">
        <f>AND(#REF!,"AAAAAHvH13o=")</f>
        <v>#REF!</v>
      </c>
      <c r="DT465" t="e">
        <f>AND(#REF!,"AAAAAHvH13s=")</f>
        <v>#REF!</v>
      </c>
      <c r="DU465" t="e">
        <f>AND(#REF!,"AAAAAHvH13w=")</f>
        <v>#REF!</v>
      </c>
      <c r="DV465" t="e">
        <f>AND(#REF!,"AAAAAHvH130=")</f>
        <v>#REF!</v>
      </c>
      <c r="DW465" t="e">
        <f>IF(#REF!,"AAAAAHvH134=",0)</f>
        <v>#REF!</v>
      </c>
      <c r="DX465" t="e">
        <f>AND(#REF!,"AAAAAHvH138=")</f>
        <v>#REF!</v>
      </c>
      <c r="DY465" t="e">
        <f>AND(#REF!,"AAAAAHvH14A=")</f>
        <v>#REF!</v>
      </c>
      <c r="DZ465" t="e">
        <f>AND(#REF!,"AAAAAHvH14E=")</f>
        <v>#REF!</v>
      </c>
      <c r="EA465" t="e">
        <f>AND(#REF!,"AAAAAHvH14I=")</f>
        <v>#REF!</v>
      </c>
      <c r="EB465" t="e">
        <f>AND(#REF!,"AAAAAHvH14M=")</f>
        <v>#REF!</v>
      </c>
      <c r="EC465" t="e">
        <f>AND(#REF!,"AAAAAHvH14Q=")</f>
        <v>#REF!</v>
      </c>
      <c r="ED465" t="e">
        <f>AND(#REF!,"AAAAAHvH14U=")</f>
        <v>#REF!</v>
      </c>
      <c r="EE465" t="e">
        <f>AND(#REF!,"AAAAAHvH14Y=")</f>
        <v>#REF!</v>
      </c>
      <c r="EF465" t="e">
        <f>AND(#REF!,"AAAAAHvH14c=")</f>
        <v>#REF!</v>
      </c>
      <c r="EG465" t="e">
        <f>AND(#REF!,"AAAAAHvH14g=")</f>
        <v>#REF!</v>
      </c>
      <c r="EH465" t="e">
        <f>AND(#REF!,"AAAAAHvH14k=")</f>
        <v>#REF!</v>
      </c>
      <c r="EI465" t="e">
        <f>AND(#REF!,"AAAAAHvH14o=")</f>
        <v>#REF!</v>
      </c>
      <c r="EJ465" t="e">
        <f>AND(#REF!,"AAAAAHvH14s=")</f>
        <v>#REF!</v>
      </c>
      <c r="EK465" t="e">
        <f>AND(#REF!,"AAAAAHvH14w=")</f>
        <v>#REF!</v>
      </c>
      <c r="EL465" t="e">
        <f>AND(#REF!,"AAAAAHvH140=")</f>
        <v>#REF!</v>
      </c>
      <c r="EM465" t="e">
        <f>AND(#REF!,"AAAAAHvH144=")</f>
        <v>#REF!</v>
      </c>
      <c r="EN465" t="e">
        <f>AND(#REF!,"AAAAAHvH148=")</f>
        <v>#REF!</v>
      </c>
      <c r="EO465" t="e">
        <f>AND(#REF!,"AAAAAHvH15A=")</f>
        <v>#REF!</v>
      </c>
      <c r="EP465" t="e">
        <f>AND(#REF!,"AAAAAHvH15E=")</f>
        <v>#REF!</v>
      </c>
      <c r="EQ465" t="e">
        <f>AND(#REF!,"AAAAAHvH15I=")</f>
        <v>#REF!</v>
      </c>
      <c r="ER465" t="e">
        <f>AND(#REF!,"AAAAAHvH15M=")</f>
        <v>#REF!</v>
      </c>
      <c r="ES465" t="e">
        <f>AND(#REF!,"AAAAAHvH15Q=")</f>
        <v>#REF!</v>
      </c>
      <c r="ET465" t="e">
        <f>AND(#REF!,"AAAAAHvH15U=")</f>
        <v>#REF!</v>
      </c>
      <c r="EU465" t="e">
        <f>AND(#REF!,"AAAAAHvH15Y=")</f>
        <v>#REF!</v>
      </c>
      <c r="EV465" t="e">
        <f>IF(#REF!,"AAAAAHvH15c=",0)</f>
        <v>#REF!</v>
      </c>
      <c r="EW465" t="e">
        <f>AND(#REF!,"AAAAAHvH15g=")</f>
        <v>#REF!</v>
      </c>
      <c r="EX465" t="e">
        <f>AND(#REF!,"AAAAAHvH15k=")</f>
        <v>#REF!</v>
      </c>
      <c r="EY465" t="e">
        <f>AND(#REF!,"AAAAAHvH15o=")</f>
        <v>#REF!</v>
      </c>
      <c r="EZ465" t="e">
        <f>AND(#REF!,"AAAAAHvH15s=")</f>
        <v>#REF!</v>
      </c>
      <c r="FA465" t="e">
        <f>AND(#REF!,"AAAAAHvH15w=")</f>
        <v>#REF!</v>
      </c>
      <c r="FB465" t="e">
        <f>AND(#REF!,"AAAAAHvH150=")</f>
        <v>#REF!</v>
      </c>
      <c r="FC465" t="e">
        <f>AND(#REF!,"AAAAAHvH154=")</f>
        <v>#REF!</v>
      </c>
      <c r="FD465" t="e">
        <f>AND(#REF!,"AAAAAHvH158=")</f>
        <v>#REF!</v>
      </c>
      <c r="FE465" t="e">
        <f>AND(#REF!,"AAAAAHvH16A=")</f>
        <v>#REF!</v>
      </c>
      <c r="FF465" t="e">
        <f>AND(#REF!,"AAAAAHvH16E=")</f>
        <v>#REF!</v>
      </c>
      <c r="FG465" t="e">
        <f>AND(#REF!,"AAAAAHvH16I=")</f>
        <v>#REF!</v>
      </c>
      <c r="FH465" t="e">
        <f>AND(#REF!,"AAAAAHvH16M=")</f>
        <v>#REF!</v>
      </c>
      <c r="FI465" t="e">
        <f>AND(#REF!,"AAAAAHvH16Q=")</f>
        <v>#REF!</v>
      </c>
      <c r="FJ465" t="e">
        <f>AND(#REF!,"AAAAAHvH16U=")</f>
        <v>#REF!</v>
      </c>
      <c r="FK465" t="e">
        <f>AND(#REF!,"AAAAAHvH16Y=")</f>
        <v>#REF!</v>
      </c>
      <c r="FL465" t="e">
        <f>AND(#REF!,"AAAAAHvH16c=")</f>
        <v>#REF!</v>
      </c>
      <c r="FM465" t="e">
        <f>AND(#REF!,"AAAAAHvH16g=")</f>
        <v>#REF!</v>
      </c>
      <c r="FN465" t="e">
        <f>AND(#REF!,"AAAAAHvH16k=")</f>
        <v>#REF!</v>
      </c>
      <c r="FO465" t="e">
        <f>AND(#REF!,"AAAAAHvH16o=")</f>
        <v>#REF!</v>
      </c>
      <c r="FP465" t="e">
        <f>AND(#REF!,"AAAAAHvH16s=")</f>
        <v>#REF!</v>
      </c>
      <c r="FQ465" t="e">
        <f>AND(#REF!,"AAAAAHvH16w=")</f>
        <v>#REF!</v>
      </c>
      <c r="FR465" t="e">
        <f>AND(#REF!,"AAAAAHvH160=")</f>
        <v>#REF!</v>
      </c>
      <c r="FS465" t="e">
        <f>AND(#REF!,"AAAAAHvH164=")</f>
        <v>#REF!</v>
      </c>
      <c r="FT465" t="e">
        <f>AND(#REF!,"AAAAAHvH168=")</f>
        <v>#REF!</v>
      </c>
      <c r="FU465" t="e">
        <f>IF(#REF!,"AAAAAHvH17A=",0)</f>
        <v>#REF!</v>
      </c>
      <c r="FV465" t="e">
        <f>AND(#REF!,"AAAAAHvH17E=")</f>
        <v>#REF!</v>
      </c>
      <c r="FW465" t="e">
        <f>AND(#REF!,"AAAAAHvH17I=")</f>
        <v>#REF!</v>
      </c>
      <c r="FX465" t="e">
        <f>AND(#REF!,"AAAAAHvH17M=")</f>
        <v>#REF!</v>
      </c>
      <c r="FY465" t="e">
        <f>AND(#REF!,"AAAAAHvH17Q=")</f>
        <v>#REF!</v>
      </c>
      <c r="FZ465" t="e">
        <f>AND(#REF!,"AAAAAHvH17U=")</f>
        <v>#REF!</v>
      </c>
      <c r="GA465" t="e">
        <f>AND(#REF!,"AAAAAHvH17Y=")</f>
        <v>#REF!</v>
      </c>
      <c r="GB465" t="e">
        <f>AND(#REF!,"AAAAAHvH17c=")</f>
        <v>#REF!</v>
      </c>
      <c r="GC465" t="e">
        <f>AND(#REF!,"AAAAAHvH17g=")</f>
        <v>#REF!</v>
      </c>
      <c r="GD465" t="e">
        <f>AND(#REF!,"AAAAAHvH17k=")</f>
        <v>#REF!</v>
      </c>
      <c r="GE465" t="e">
        <f>AND(#REF!,"AAAAAHvH17o=")</f>
        <v>#REF!</v>
      </c>
      <c r="GF465" t="e">
        <f>AND(#REF!,"AAAAAHvH17s=")</f>
        <v>#REF!</v>
      </c>
      <c r="GG465" t="e">
        <f>AND(#REF!,"AAAAAHvH17w=")</f>
        <v>#REF!</v>
      </c>
      <c r="GH465" t="e">
        <f>AND(#REF!,"AAAAAHvH170=")</f>
        <v>#REF!</v>
      </c>
      <c r="GI465" t="e">
        <f>AND(#REF!,"AAAAAHvH174=")</f>
        <v>#REF!</v>
      </c>
      <c r="GJ465" t="e">
        <f>AND(#REF!,"AAAAAHvH178=")</f>
        <v>#REF!</v>
      </c>
      <c r="GK465" t="e">
        <f>AND(#REF!,"AAAAAHvH18A=")</f>
        <v>#REF!</v>
      </c>
      <c r="GL465" t="e">
        <f>AND(#REF!,"AAAAAHvH18E=")</f>
        <v>#REF!</v>
      </c>
      <c r="GM465" t="e">
        <f>AND(#REF!,"AAAAAHvH18I=")</f>
        <v>#REF!</v>
      </c>
      <c r="GN465" t="e">
        <f>AND(#REF!,"AAAAAHvH18M=")</f>
        <v>#REF!</v>
      </c>
      <c r="GO465" t="e">
        <f>AND(#REF!,"AAAAAHvH18Q=")</f>
        <v>#REF!</v>
      </c>
      <c r="GP465" t="e">
        <f>AND(#REF!,"AAAAAHvH18U=")</f>
        <v>#REF!</v>
      </c>
      <c r="GQ465" t="e">
        <f>AND(#REF!,"AAAAAHvH18Y=")</f>
        <v>#REF!</v>
      </c>
      <c r="GR465" t="e">
        <f>AND(#REF!,"AAAAAHvH18c=")</f>
        <v>#REF!</v>
      </c>
      <c r="GS465" t="e">
        <f>AND(#REF!,"AAAAAHvH18g=")</f>
        <v>#REF!</v>
      </c>
      <c r="GT465" t="e">
        <f>IF(#REF!,"AAAAAHvH18k=",0)</f>
        <v>#REF!</v>
      </c>
      <c r="GU465" t="e">
        <f>AND(#REF!,"AAAAAHvH18o=")</f>
        <v>#REF!</v>
      </c>
      <c r="GV465" t="e">
        <f>AND(#REF!,"AAAAAHvH18s=")</f>
        <v>#REF!</v>
      </c>
      <c r="GW465" t="e">
        <f>AND(#REF!,"AAAAAHvH18w=")</f>
        <v>#REF!</v>
      </c>
      <c r="GX465" t="e">
        <f>AND(#REF!,"AAAAAHvH180=")</f>
        <v>#REF!</v>
      </c>
      <c r="GY465" t="e">
        <f>AND(#REF!,"AAAAAHvH184=")</f>
        <v>#REF!</v>
      </c>
      <c r="GZ465" t="e">
        <f>AND(#REF!,"AAAAAHvH188=")</f>
        <v>#REF!</v>
      </c>
      <c r="HA465" t="e">
        <f>AND(#REF!,"AAAAAHvH19A=")</f>
        <v>#REF!</v>
      </c>
      <c r="HB465" t="e">
        <f>AND(#REF!,"AAAAAHvH19E=")</f>
        <v>#REF!</v>
      </c>
      <c r="HC465" t="e">
        <f>AND(#REF!,"AAAAAHvH19I=")</f>
        <v>#REF!</v>
      </c>
      <c r="HD465" t="e">
        <f>AND(#REF!,"AAAAAHvH19M=")</f>
        <v>#REF!</v>
      </c>
      <c r="HE465" t="e">
        <f>AND(#REF!,"AAAAAHvH19Q=")</f>
        <v>#REF!</v>
      </c>
      <c r="HF465" t="e">
        <f>AND(#REF!,"AAAAAHvH19U=")</f>
        <v>#REF!</v>
      </c>
      <c r="HG465" t="e">
        <f>AND(#REF!,"AAAAAHvH19Y=")</f>
        <v>#REF!</v>
      </c>
      <c r="HH465" t="e">
        <f>AND(#REF!,"AAAAAHvH19c=")</f>
        <v>#REF!</v>
      </c>
      <c r="HI465" t="e">
        <f>AND(#REF!,"AAAAAHvH19g=")</f>
        <v>#REF!</v>
      </c>
      <c r="HJ465" t="e">
        <f>AND(#REF!,"AAAAAHvH19k=")</f>
        <v>#REF!</v>
      </c>
      <c r="HK465" t="e">
        <f>AND(#REF!,"AAAAAHvH19o=")</f>
        <v>#REF!</v>
      </c>
      <c r="HL465" t="e">
        <f>AND(#REF!,"AAAAAHvH19s=")</f>
        <v>#REF!</v>
      </c>
      <c r="HM465" t="e">
        <f>AND(#REF!,"AAAAAHvH19w=")</f>
        <v>#REF!</v>
      </c>
      <c r="HN465" t="e">
        <f>AND(#REF!,"AAAAAHvH190=")</f>
        <v>#REF!</v>
      </c>
      <c r="HO465" t="e">
        <f>AND(#REF!,"AAAAAHvH194=")</f>
        <v>#REF!</v>
      </c>
      <c r="HP465" t="e">
        <f>AND(#REF!,"AAAAAHvH198=")</f>
        <v>#REF!</v>
      </c>
      <c r="HQ465" t="e">
        <f>AND(#REF!,"AAAAAHvH1+A=")</f>
        <v>#REF!</v>
      </c>
      <c r="HR465" t="e">
        <f>AND(#REF!,"AAAAAHvH1+E=")</f>
        <v>#REF!</v>
      </c>
      <c r="HS465" t="e">
        <f>IF(#REF!,"AAAAAHvH1+I=",0)</f>
        <v>#REF!</v>
      </c>
      <c r="HT465" t="e">
        <f>AND(#REF!,"AAAAAHvH1+M=")</f>
        <v>#REF!</v>
      </c>
      <c r="HU465" t="e">
        <f>AND(#REF!,"AAAAAHvH1+Q=")</f>
        <v>#REF!</v>
      </c>
      <c r="HV465" t="e">
        <f>AND(#REF!,"AAAAAHvH1+U=")</f>
        <v>#REF!</v>
      </c>
      <c r="HW465" t="e">
        <f>AND(#REF!,"AAAAAHvH1+Y=")</f>
        <v>#REF!</v>
      </c>
      <c r="HX465" t="e">
        <f>AND(#REF!,"AAAAAHvH1+c=")</f>
        <v>#REF!</v>
      </c>
      <c r="HY465" t="e">
        <f>AND(#REF!,"AAAAAHvH1+g=")</f>
        <v>#REF!</v>
      </c>
      <c r="HZ465" t="e">
        <f>AND(#REF!,"AAAAAHvH1+k=")</f>
        <v>#REF!</v>
      </c>
      <c r="IA465" t="e">
        <f>AND(#REF!,"AAAAAHvH1+o=")</f>
        <v>#REF!</v>
      </c>
      <c r="IB465" t="e">
        <f>AND(#REF!,"AAAAAHvH1+s=")</f>
        <v>#REF!</v>
      </c>
      <c r="IC465" t="e">
        <f>AND(#REF!,"AAAAAHvH1+w=")</f>
        <v>#REF!</v>
      </c>
      <c r="ID465" t="e">
        <f>AND(#REF!,"AAAAAHvH1+0=")</f>
        <v>#REF!</v>
      </c>
      <c r="IE465" t="e">
        <f>AND(#REF!,"AAAAAHvH1+4=")</f>
        <v>#REF!</v>
      </c>
      <c r="IF465" t="e">
        <f>AND(#REF!,"AAAAAHvH1+8=")</f>
        <v>#REF!</v>
      </c>
      <c r="IG465" t="e">
        <f>AND(#REF!,"AAAAAHvH1/A=")</f>
        <v>#REF!</v>
      </c>
      <c r="IH465" t="e">
        <f>AND(#REF!,"AAAAAHvH1/E=")</f>
        <v>#REF!</v>
      </c>
      <c r="II465" t="e">
        <f>AND(#REF!,"AAAAAHvH1/I=")</f>
        <v>#REF!</v>
      </c>
      <c r="IJ465" t="e">
        <f>AND(#REF!,"AAAAAHvH1/M=")</f>
        <v>#REF!</v>
      </c>
      <c r="IK465" t="e">
        <f>AND(#REF!,"AAAAAHvH1/Q=")</f>
        <v>#REF!</v>
      </c>
      <c r="IL465" t="e">
        <f>AND(#REF!,"AAAAAHvH1/U=")</f>
        <v>#REF!</v>
      </c>
      <c r="IM465" t="e">
        <f>AND(#REF!,"AAAAAHvH1/Y=")</f>
        <v>#REF!</v>
      </c>
      <c r="IN465" t="e">
        <f>AND(#REF!,"AAAAAHvH1/c=")</f>
        <v>#REF!</v>
      </c>
      <c r="IO465" t="e">
        <f>AND(#REF!,"AAAAAHvH1/g=")</f>
        <v>#REF!</v>
      </c>
      <c r="IP465" t="e">
        <f>AND(#REF!,"AAAAAHvH1/k=")</f>
        <v>#REF!</v>
      </c>
      <c r="IQ465" t="e">
        <f>AND(#REF!,"AAAAAHvH1/o=")</f>
        <v>#REF!</v>
      </c>
      <c r="IR465" t="e">
        <f>IF(#REF!,"AAAAAHvH1/s=",0)</f>
        <v>#REF!</v>
      </c>
      <c r="IS465" t="e">
        <f>AND(#REF!,"AAAAAHvH1/w=")</f>
        <v>#REF!</v>
      </c>
      <c r="IT465" t="e">
        <f>AND(#REF!,"AAAAAHvH1/0=")</f>
        <v>#REF!</v>
      </c>
      <c r="IU465" t="e">
        <f>AND(#REF!,"AAAAAHvH1/4=")</f>
        <v>#REF!</v>
      </c>
      <c r="IV465" t="e">
        <f>AND(#REF!,"AAAAAHvH1/8=")</f>
        <v>#REF!</v>
      </c>
    </row>
    <row r="466" spans="1:256">
      <c r="A466" t="e">
        <f>AND(#REF!,"AAAAAH7ptQA=")</f>
        <v>#REF!</v>
      </c>
      <c r="B466" t="e">
        <f>AND(#REF!,"AAAAAH7ptQE=")</f>
        <v>#REF!</v>
      </c>
      <c r="C466" t="e">
        <f>AND(#REF!,"AAAAAH7ptQI=")</f>
        <v>#REF!</v>
      </c>
      <c r="D466" t="e">
        <f>AND(#REF!,"AAAAAH7ptQM=")</f>
        <v>#REF!</v>
      </c>
      <c r="E466" t="e">
        <f>AND(#REF!,"AAAAAH7ptQQ=")</f>
        <v>#REF!</v>
      </c>
      <c r="F466" t="e">
        <f>AND(#REF!,"AAAAAH7ptQU=")</f>
        <v>#REF!</v>
      </c>
      <c r="G466" t="e">
        <f>AND(#REF!,"AAAAAH7ptQY=")</f>
        <v>#REF!</v>
      </c>
      <c r="H466" t="e">
        <f>AND(#REF!,"AAAAAH7ptQc=")</f>
        <v>#REF!</v>
      </c>
      <c r="I466" t="e">
        <f>AND(#REF!,"AAAAAH7ptQg=")</f>
        <v>#REF!</v>
      </c>
      <c r="J466" t="e">
        <f>AND(#REF!,"AAAAAH7ptQk=")</f>
        <v>#REF!</v>
      </c>
      <c r="K466" t="e">
        <f>AND(#REF!,"AAAAAH7ptQo=")</f>
        <v>#REF!</v>
      </c>
      <c r="L466" t="e">
        <f>AND(#REF!,"AAAAAH7ptQs=")</f>
        <v>#REF!</v>
      </c>
      <c r="M466" t="e">
        <f>AND(#REF!,"AAAAAH7ptQw=")</f>
        <v>#REF!</v>
      </c>
      <c r="N466" t="e">
        <f>AND(#REF!,"AAAAAH7ptQ0=")</f>
        <v>#REF!</v>
      </c>
      <c r="O466" t="e">
        <f>AND(#REF!,"AAAAAH7ptQ4=")</f>
        <v>#REF!</v>
      </c>
      <c r="P466" t="e">
        <f>AND(#REF!,"AAAAAH7ptQ8=")</f>
        <v>#REF!</v>
      </c>
      <c r="Q466" t="e">
        <f>AND(#REF!,"AAAAAH7ptRA=")</f>
        <v>#REF!</v>
      </c>
      <c r="R466" t="e">
        <f>AND(#REF!,"AAAAAH7ptRE=")</f>
        <v>#REF!</v>
      </c>
      <c r="S466" t="e">
        <f>AND(#REF!,"AAAAAH7ptRI=")</f>
        <v>#REF!</v>
      </c>
      <c r="T466" t="e">
        <f>AND(#REF!,"AAAAAH7ptRM=")</f>
        <v>#REF!</v>
      </c>
      <c r="U466" t="e">
        <f>IF(#REF!,"AAAAAH7ptRQ=",0)</f>
        <v>#REF!</v>
      </c>
      <c r="V466" t="e">
        <f>AND(#REF!,"AAAAAH7ptRU=")</f>
        <v>#REF!</v>
      </c>
      <c r="W466" t="e">
        <f>AND(#REF!,"AAAAAH7ptRY=")</f>
        <v>#REF!</v>
      </c>
      <c r="X466" t="e">
        <f>AND(#REF!,"AAAAAH7ptRc=")</f>
        <v>#REF!</v>
      </c>
      <c r="Y466" t="e">
        <f>AND(#REF!,"AAAAAH7ptRg=")</f>
        <v>#REF!</v>
      </c>
      <c r="Z466" t="e">
        <f>AND(#REF!,"AAAAAH7ptRk=")</f>
        <v>#REF!</v>
      </c>
      <c r="AA466" t="e">
        <f>AND(#REF!,"AAAAAH7ptRo=")</f>
        <v>#REF!</v>
      </c>
      <c r="AB466" t="e">
        <f>AND(#REF!,"AAAAAH7ptRs=")</f>
        <v>#REF!</v>
      </c>
      <c r="AC466" t="e">
        <f>AND(#REF!,"AAAAAH7ptRw=")</f>
        <v>#REF!</v>
      </c>
      <c r="AD466" t="e">
        <f>AND(#REF!,"AAAAAH7ptR0=")</f>
        <v>#REF!</v>
      </c>
      <c r="AE466" t="e">
        <f>AND(#REF!,"AAAAAH7ptR4=")</f>
        <v>#REF!</v>
      </c>
      <c r="AF466" t="e">
        <f>AND(#REF!,"AAAAAH7ptR8=")</f>
        <v>#REF!</v>
      </c>
      <c r="AG466" t="e">
        <f>AND(#REF!,"AAAAAH7ptSA=")</f>
        <v>#REF!</v>
      </c>
      <c r="AH466" t="e">
        <f>AND(#REF!,"AAAAAH7ptSE=")</f>
        <v>#REF!</v>
      </c>
      <c r="AI466" t="e">
        <f>AND(#REF!,"AAAAAH7ptSI=")</f>
        <v>#REF!</v>
      </c>
      <c r="AJ466" t="e">
        <f>AND(#REF!,"AAAAAH7ptSM=")</f>
        <v>#REF!</v>
      </c>
      <c r="AK466" t="e">
        <f>AND(#REF!,"AAAAAH7ptSQ=")</f>
        <v>#REF!</v>
      </c>
      <c r="AL466" t="e">
        <f>AND(#REF!,"AAAAAH7ptSU=")</f>
        <v>#REF!</v>
      </c>
      <c r="AM466" t="e">
        <f>AND(#REF!,"AAAAAH7ptSY=")</f>
        <v>#REF!</v>
      </c>
      <c r="AN466" t="e">
        <f>AND(#REF!,"AAAAAH7ptSc=")</f>
        <v>#REF!</v>
      </c>
      <c r="AO466" t="e">
        <f>AND(#REF!,"AAAAAH7ptSg=")</f>
        <v>#REF!</v>
      </c>
      <c r="AP466" t="e">
        <f>AND(#REF!,"AAAAAH7ptSk=")</f>
        <v>#REF!</v>
      </c>
      <c r="AQ466" t="e">
        <f>AND(#REF!,"AAAAAH7ptSo=")</f>
        <v>#REF!</v>
      </c>
      <c r="AR466" t="e">
        <f>AND(#REF!,"AAAAAH7ptSs=")</f>
        <v>#REF!</v>
      </c>
      <c r="AS466" t="e">
        <f>AND(#REF!,"AAAAAH7ptSw=")</f>
        <v>#REF!</v>
      </c>
      <c r="AT466" t="e">
        <f>IF(#REF!,"AAAAAH7ptS0=",0)</f>
        <v>#REF!</v>
      </c>
      <c r="AU466" t="e">
        <f>AND(#REF!,"AAAAAH7ptS4=")</f>
        <v>#REF!</v>
      </c>
      <c r="AV466" t="e">
        <f>AND(#REF!,"AAAAAH7ptS8=")</f>
        <v>#REF!</v>
      </c>
      <c r="AW466" t="e">
        <f>AND(#REF!,"AAAAAH7ptTA=")</f>
        <v>#REF!</v>
      </c>
      <c r="AX466" t="e">
        <f>AND(#REF!,"AAAAAH7ptTE=")</f>
        <v>#REF!</v>
      </c>
      <c r="AY466" t="e">
        <f>AND(#REF!,"AAAAAH7ptTI=")</f>
        <v>#REF!</v>
      </c>
      <c r="AZ466" t="e">
        <f>AND(#REF!,"AAAAAH7ptTM=")</f>
        <v>#REF!</v>
      </c>
      <c r="BA466" t="e">
        <f>AND(#REF!,"AAAAAH7ptTQ=")</f>
        <v>#REF!</v>
      </c>
      <c r="BB466" t="e">
        <f>AND(#REF!,"AAAAAH7ptTU=")</f>
        <v>#REF!</v>
      </c>
      <c r="BC466" t="e">
        <f>AND(#REF!,"AAAAAH7ptTY=")</f>
        <v>#REF!</v>
      </c>
      <c r="BD466" t="e">
        <f>AND(#REF!,"AAAAAH7ptTc=")</f>
        <v>#REF!</v>
      </c>
      <c r="BE466" t="e">
        <f>AND(#REF!,"AAAAAH7ptTg=")</f>
        <v>#REF!</v>
      </c>
      <c r="BF466" t="e">
        <f>AND(#REF!,"AAAAAH7ptTk=")</f>
        <v>#REF!</v>
      </c>
      <c r="BG466" t="e">
        <f>AND(#REF!,"AAAAAH7ptTo=")</f>
        <v>#REF!</v>
      </c>
      <c r="BH466" t="e">
        <f>AND(#REF!,"AAAAAH7ptTs=")</f>
        <v>#REF!</v>
      </c>
      <c r="BI466" t="e">
        <f>AND(#REF!,"AAAAAH7ptTw=")</f>
        <v>#REF!</v>
      </c>
      <c r="BJ466" t="e">
        <f>AND(#REF!,"AAAAAH7ptT0=")</f>
        <v>#REF!</v>
      </c>
      <c r="BK466" t="e">
        <f>AND(#REF!,"AAAAAH7ptT4=")</f>
        <v>#REF!</v>
      </c>
      <c r="BL466" t="e">
        <f>AND(#REF!,"AAAAAH7ptT8=")</f>
        <v>#REF!</v>
      </c>
      <c r="BM466" t="e">
        <f>AND(#REF!,"AAAAAH7ptUA=")</f>
        <v>#REF!</v>
      </c>
      <c r="BN466" t="e">
        <f>AND(#REF!,"AAAAAH7ptUE=")</f>
        <v>#REF!</v>
      </c>
      <c r="BO466" t="e">
        <f>AND(#REF!,"AAAAAH7ptUI=")</f>
        <v>#REF!</v>
      </c>
      <c r="BP466" t="e">
        <f>AND(#REF!,"AAAAAH7ptUM=")</f>
        <v>#REF!</v>
      </c>
      <c r="BQ466" t="e">
        <f>AND(#REF!,"AAAAAH7ptUQ=")</f>
        <v>#REF!</v>
      </c>
      <c r="BR466" t="e">
        <f>AND(#REF!,"AAAAAH7ptUU=")</f>
        <v>#REF!</v>
      </c>
      <c r="BS466" t="e">
        <f>IF(#REF!,"AAAAAH7ptUY=",0)</f>
        <v>#REF!</v>
      </c>
      <c r="BT466" t="e">
        <f>AND(#REF!,"AAAAAH7ptUc=")</f>
        <v>#REF!</v>
      </c>
      <c r="BU466" t="e">
        <f>AND(#REF!,"AAAAAH7ptUg=")</f>
        <v>#REF!</v>
      </c>
      <c r="BV466" t="e">
        <f>AND(#REF!,"AAAAAH7ptUk=")</f>
        <v>#REF!</v>
      </c>
      <c r="BW466" t="e">
        <f>AND(#REF!,"AAAAAH7ptUo=")</f>
        <v>#REF!</v>
      </c>
      <c r="BX466" t="e">
        <f>AND(#REF!,"AAAAAH7ptUs=")</f>
        <v>#REF!</v>
      </c>
      <c r="BY466" t="e">
        <f>AND(#REF!,"AAAAAH7ptUw=")</f>
        <v>#REF!</v>
      </c>
      <c r="BZ466" t="e">
        <f>AND(#REF!,"AAAAAH7ptU0=")</f>
        <v>#REF!</v>
      </c>
      <c r="CA466" t="e">
        <f>AND(#REF!,"AAAAAH7ptU4=")</f>
        <v>#REF!</v>
      </c>
      <c r="CB466" t="e">
        <f>AND(#REF!,"AAAAAH7ptU8=")</f>
        <v>#REF!</v>
      </c>
      <c r="CC466" t="e">
        <f>AND(#REF!,"AAAAAH7ptVA=")</f>
        <v>#REF!</v>
      </c>
      <c r="CD466" t="e">
        <f>AND(#REF!,"AAAAAH7ptVE=")</f>
        <v>#REF!</v>
      </c>
      <c r="CE466" t="e">
        <f>AND(#REF!,"AAAAAH7ptVI=")</f>
        <v>#REF!</v>
      </c>
      <c r="CF466" t="e">
        <f>AND(#REF!,"AAAAAH7ptVM=")</f>
        <v>#REF!</v>
      </c>
      <c r="CG466" t="e">
        <f>AND(#REF!,"AAAAAH7ptVQ=")</f>
        <v>#REF!</v>
      </c>
      <c r="CH466" t="e">
        <f>AND(#REF!,"AAAAAH7ptVU=")</f>
        <v>#REF!</v>
      </c>
      <c r="CI466" t="e">
        <f>AND(#REF!,"AAAAAH7ptVY=")</f>
        <v>#REF!</v>
      </c>
      <c r="CJ466" t="e">
        <f>AND(#REF!,"AAAAAH7ptVc=")</f>
        <v>#REF!</v>
      </c>
      <c r="CK466" t="e">
        <f>AND(#REF!,"AAAAAH7ptVg=")</f>
        <v>#REF!</v>
      </c>
      <c r="CL466" t="e">
        <f>AND(#REF!,"AAAAAH7ptVk=")</f>
        <v>#REF!</v>
      </c>
      <c r="CM466" t="e">
        <f>AND(#REF!,"AAAAAH7ptVo=")</f>
        <v>#REF!</v>
      </c>
      <c r="CN466" t="e">
        <f>AND(#REF!,"AAAAAH7ptVs=")</f>
        <v>#REF!</v>
      </c>
      <c r="CO466" t="e">
        <f>AND(#REF!,"AAAAAH7ptVw=")</f>
        <v>#REF!</v>
      </c>
      <c r="CP466" t="e">
        <f>AND(#REF!,"AAAAAH7ptV0=")</f>
        <v>#REF!</v>
      </c>
      <c r="CQ466" t="e">
        <f>AND(#REF!,"AAAAAH7ptV4=")</f>
        <v>#REF!</v>
      </c>
      <c r="CR466" t="e">
        <f>IF(#REF!,"AAAAAH7ptV8=",0)</f>
        <v>#REF!</v>
      </c>
      <c r="CS466" t="e">
        <f>AND(#REF!,"AAAAAH7ptWA=")</f>
        <v>#REF!</v>
      </c>
      <c r="CT466" t="e">
        <f>AND(#REF!,"AAAAAH7ptWE=")</f>
        <v>#REF!</v>
      </c>
      <c r="CU466" t="e">
        <f>AND(#REF!,"AAAAAH7ptWI=")</f>
        <v>#REF!</v>
      </c>
      <c r="CV466" t="e">
        <f>AND(#REF!,"AAAAAH7ptWM=")</f>
        <v>#REF!</v>
      </c>
      <c r="CW466" t="e">
        <f>AND(#REF!,"AAAAAH7ptWQ=")</f>
        <v>#REF!</v>
      </c>
      <c r="CX466" t="e">
        <f>AND(#REF!,"AAAAAH7ptWU=")</f>
        <v>#REF!</v>
      </c>
      <c r="CY466" t="e">
        <f>AND(#REF!,"AAAAAH7ptWY=")</f>
        <v>#REF!</v>
      </c>
      <c r="CZ466" t="e">
        <f>AND(#REF!,"AAAAAH7ptWc=")</f>
        <v>#REF!</v>
      </c>
      <c r="DA466" t="e">
        <f>AND(#REF!,"AAAAAH7ptWg=")</f>
        <v>#REF!</v>
      </c>
      <c r="DB466" t="e">
        <f>AND(#REF!,"AAAAAH7ptWk=")</f>
        <v>#REF!</v>
      </c>
      <c r="DC466" t="e">
        <f>AND(#REF!,"AAAAAH7ptWo=")</f>
        <v>#REF!</v>
      </c>
      <c r="DD466" t="e">
        <f>AND(#REF!,"AAAAAH7ptWs=")</f>
        <v>#REF!</v>
      </c>
      <c r="DE466" t="e">
        <f>AND(#REF!,"AAAAAH7ptWw=")</f>
        <v>#REF!</v>
      </c>
      <c r="DF466" t="e">
        <f>AND(#REF!,"AAAAAH7ptW0=")</f>
        <v>#REF!</v>
      </c>
      <c r="DG466" t="e">
        <f>AND(#REF!,"AAAAAH7ptW4=")</f>
        <v>#REF!</v>
      </c>
      <c r="DH466" t="e">
        <f>AND(#REF!,"AAAAAH7ptW8=")</f>
        <v>#REF!</v>
      </c>
      <c r="DI466" t="e">
        <f>AND(#REF!,"AAAAAH7ptXA=")</f>
        <v>#REF!</v>
      </c>
      <c r="DJ466" t="e">
        <f>AND(#REF!,"AAAAAH7ptXE=")</f>
        <v>#REF!</v>
      </c>
      <c r="DK466" t="e">
        <f>AND(#REF!,"AAAAAH7ptXI=")</f>
        <v>#REF!</v>
      </c>
      <c r="DL466" t="e">
        <f>AND(#REF!,"AAAAAH7ptXM=")</f>
        <v>#REF!</v>
      </c>
      <c r="DM466" t="e">
        <f>AND(#REF!,"AAAAAH7ptXQ=")</f>
        <v>#REF!</v>
      </c>
      <c r="DN466" t="e">
        <f>AND(#REF!,"AAAAAH7ptXU=")</f>
        <v>#REF!</v>
      </c>
      <c r="DO466" t="e">
        <f>AND(#REF!,"AAAAAH7ptXY=")</f>
        <v>#REF!</v>
      </c>
      <c r="DP466" t="e">
        <f>AND(#REF!,"AAAAAH7ptXc=")</f>
        <v>#REF!</v>
      </c>
      <c r="DQ466" t="e">
        <f>IF(#REF!,"AAAAAH7ptXg=",0)</f>
        <v>#REF!</v>
      </c>
      <c r="DR466" t="e">
        <f>AND(#REF!,"AAAAAH7ptXk=")</f>
        <v>#REF!</v>
      </c>
      <c r="DS466" t="e">
        <f>AND(#REF!,"AAAAAH7ptXo=")</f>
        <v>#REF!</v>
      </c>
      <c r="DT466" t="e">
        <f>AND(#REF!,"AAAAAH7ptXs=")</f>
        <v>#REF!</v>
      </c>
      <c r="DU466" t="e">
        <f>AND(#REF!,"AAAAAH7ptXw=")</f>
        <v>#REF!</v>
      </c>
      <c r="DV466" t="e">
        <f>AND(#REF!,"AAAAAH7ptX0=")</f>
        <v>#REF!</v>
      </c>
      <c r="DW466" t="e">
        <f>AND(#REF!,"AAAAAH7ptX4=")</f>
        <v>#REF!</v>
      </c>
      <c r="DX466" t="e">
        <f>AND(#REF!,"AAAAAH7ptX8=")</f>
        <v>#REF!</v>
      </c>
      <c r="DY466" t="e">
        <f>AND(#REF!,"AAAAAH7ptYA=")</f>
        <v>#REF!</v>
      </c>
      <c r="DZ466" t="e">
        <f>AND(#REF!,"AAAAAH7ptYE=")</f>
        <v>#REF!</v>
      </c>
      <c r="EA466" t="e">
        <f>AND(#REF!,"AAAAAH7ptYI=")</f>
        <v>#REF!</v>
      </c>
      <c r="EB466" t="e">
        <f>AND(#REF!,"AAAAAH7ptYM=")</f>
        <v>#REF!</v>
      </c>
      <c r="EC466" t="e">
        <f>AND(#REF!,"AAAAAH7ptYQ=")</f>
        <v>#REF!</v>
      </c>
      <c r="ED466" t="e">
        <f>AND(#REF!,"AAAAAH7ptYU=")</f>
        <v>#REF!</v>
      </c>
      <c r="EE466" t="e">
        <f>AND(#REF!,"AAAAAH7ptYY=")</f>
        <v>#REF!</v>
      </c>
      <c r="EF466" t="e">
        <f>AND(#REF!,"AAAAAH7ptYc=")</f>
        <v>#REF!</v>
      </c>
      <c r="EG466" t="e">
        <f>AND(#REF!,"AAAAAH7ptYg=")</f>
        <v>#REF!</v>
      </c>
      <c r="EH466" t="e">
        <f>AND(#REF!,"AAAAAH7ptYk=")</f>
        <v>#REF!</v>
      </c>
      <c r="EI466" t="e">
        <f>AND(#REF!,"AAAAAH7ptYo=")</f>
        <v>#REF!</v>
      </c>
      <c r="EJ466" t="e">
        <f>AND(#REF!,"AAAAAH7ptYs=")</f>
        <v>#REF!</v>
      </c>
      <c r="EK466" t="e">
        <f>AND(#REF!,"AAAAAH7ptYw=")</f>
        <v>#REF!</v>
      </c>
      <c r="EL466" t="e">
        <f>AND(#REF!,"AAAAAH7ptY0=")</f>
        <v>#REF!</v>
      </c>
      <c r="EM466" t="e">
        <f>AND(#REF!,"AAAAAH7ptY4=")</f>
        <v>#REF!</v>
      </c>
      <c r="EN466" t="e">
        <f>AND(#REF!,"AAAAAH7ptY8=")</f>
        <v>#REF!</v>
      </c>
      <c r="EO466" t="e">
        <f>AND(#REF!,"AAAAAH7ptZA=")</f>
        <v>#REF!</v>
      </c>
      <c r="EP466" t="e">
        <f>IF(#REF!,"AAAAAH7ptZE=",0)</f>
        <v>#REF!</v>
      </c>
      <c r="EQ466" t="e">
        <f>AND(#REF!,"AAAAAH7ptZI=")</f>
        <v>#REF!</v>
      </c>
      <c r="ER466" t="e">
        <f>AND(#REF!,"AAAAAH7ptZM=")</f>
        <v>#REF!</v>
      </c>
      <c r="ES466" t="e">
        <f>AND(#REF!,"AAAAAH7ptZQ=")</f>
        <v>#REF!</v>
      </c>
      <c r="ET466" t="e">
        <f>AND(#REF!,"AAAAAH7ptZU=")</f>
        <v>#REF!</v>
      </c>
      <c r="EU466" t="e">
        <f>AND(#REF!,"AAAAAH7ptZY=")</f>
        <v>#REF!</v>
      </c>
      <c r="EV466" t="e">
        <f>AND(#REF!,"AAAAAH7ptZc=")</f>
        <v>#REF!</v>
      </c>
      <c r="EW466" t="e">
        <f>AND(#REF!,"AAAAAH7ptZg=")</f>
        <v>#REF!</v>
      </c>
      <c r="EX466" t="e">
        <f>AND(#REF!,"AAAAAH7ptZk=")</f>
        <v>#REF!</v>
      </c>
      <c r="EY466" t="e">
        <f>AND(#REF!,"AAAAAH7ptZo=")</f>
        <v>#REF!</v>
      </c>
      <c r="EZ466" t="e">
        <f>AND(#REF!,"AAAAAH7ptZs=")</f>
        <v>#REF!</v>
      </c>
      <c r="FA466" t="e">
        <f>AND(#REF!,"AAAAAH7ptZw=")</f>
        <v>#REF!</v>
      </c>
      <c r="FB466" t="e">
        <f>AND(#REF!,"AAAAAH7ptZ0=")</f>
        <v>#REF!</v>
      </c>
      <c r="FC466" t="e">
        <f>AND(#REF!,"AAAAAH7ptZ4=")</f>
        <v>#REF!</v>
      </c>
      <c r="FD466" t="e">
        <f>AND(#REF!,"AAAAAH7ptZ8=")</f>
        <v>#REF!</v>
      </c>
      <c r="FE466" t="e">
        <f>AND(#REF!,"AAAAAH7ptaA=")</f>
        <v>#REF!</v>
      </c>
      <c r="FF466" t="e">
        <f>AND(#REF!,"AAAAAH7ptaE=")</f>
        <v>#REF!</v>
      </c>
      <c r="FG466" t="e">
        <f>AND(#REF!,"AAAAAH7ptaI=")</f>
        <v>#REF!</v>
      </c>
      <c r="FH466" t="e">
        <f>AND(#REF!,"AAAAAH7ptaM=")</f>
        <v>#REF!</v>
      </c>
      <c r="FI466" t="e">
        <f>AND(#REF!,"AAAAAH7ptaQ=")</f>
        <v>#REF!</v>
      </c>
      <c r="FJ466" t="e">
        <f>AND(#REF!,"AAAAAH7ptaU=")</f>
        <v>#REF!</v>
      </c>
      <c r="FK466" t="e">
        <f>AND(#REF!,"AAAAAH7ptaY=")</f>
        <v>#REF!</v>
      </c>
      <c r="FL466" t="e">
        <f>AND(#REF!,"AAAAAH7ptac=")</f>
        <v>#REF!</v>
      </c>
      <c r="FM466" t="e">
        <f>AND(#REF!,"AAAAAH7ptag=")</f>
        <v>#REF!</v>
      </c>
      <c r="FN466" t="e">
        <f>AND(#REF!,"AAAAAH7ptak=")</f>
        <v>#REF!</v>
      </c>
      <c r="FO466" t="e">
        <f>IF(#REF!,"AAAAAH7ptao=",0)</f>
        <v>#REF!</v>
      </c>
      <c r="FP466" t="e">
        <f>AND(#REF!,"AAAAAH7ptas=")</f>
        <v>#REF!</v>
      </c>
      <c r="FQ466" t="e">
        <f>AND(#REF!,"AAAAAH7ptaw=")</f>
        <v>#REF!</v>
      </c>
      <c r="FR466" t="e">
        <f>AND(#REF!,"AAAAAH7pta0=")</f>
        <v>#REF!</v>
      </c>
      <c r="FS466" t="e">
        <f>AND(#REF!,"AAAAAH7pta4=")</f>
        <v>#REF!</v>
      </c>
      <c r="FT466" t="e">
        <f>AND(#REF!,"AAAAAH7pta8=")</f>
        <v>#REF!</v>
      </c>
      <c r="FU466" t="e">
        <f>AND(#REF!,"AAAAAH7ptbA=")</f>
        <v>#REF!</v>
      </c>
      <c r="FV466" t="e">
        <f>AND(#REF!,"AAAAAH7ptbE=")</f>
        <v>#REF!</v>
      </c>
      <c r="FW466" t="e">
        <f>AND(#REF!,"AAAAAH7ptbI=")</f>
        <v>#REF!</v>
      </c>
      <c r="FX466" t="e">
        <f>AND(#REF!,"AAAAAH7ptbM=")</f>
        <v>#REF!</v>
      </c>
      <c r="FY466" t="e">
        <f>AND(#REF!,"AAAAAH7ptbQ=")</f>
        <v>#REF!</v>
      </c>
      <c r="FZ466" t="e">
        <f>AND(#REF!,"AAAAAH7ptbU=")</f>
        <v>#REF!</v>
      </c>
      <c r="GA466" t="e">
        <f>AND(#REF!,"AAAAAH7ptbY=")</f>
        <v>#REF!</v>
      </c>
      <c r="GB466" t="e">
        <f>AND(#REF!,"AAAAAH7ptbc=")</f>
        <v>#REF!</v>
      </c>
      <c r="GC466" t="e">
        <f>AND(#REF!,"AAAAAH7ptbg=")</f>
        <v>#REF!</v>
      </c>
      <c r="GD466" t="e">
        <f>AND(#REF!,"AAAAAH7ptbk=")</f>
        <v>#REF!</v>
      </c>
      <c r="GE466" t="e">
        <f>AND(#REF!,"AAAAAH7ptbo=")</f>
        <v>#REF!</v>
      </c>
      <c r="GF466" t="e">
        <f>AND(#REF!,"AAAAAH7ptbs=")</f>
        <v>#REF!</v>
      </c>
      <c r="GG466" t="e">
        <f>AND(#REF!,"AAAAAH7ptbw=")</f>
        <v>#REF!</v>
      </c>
      <c r="GH466" t="e">
        <f>AND(#REF!,"AAAAAH7ptb0=")</f>
        <v>#REF!</v>
      </c>
      <c r="GI466" t="e">
        <f>AND(#REF!,"AAAAAH7ptb4=")</f>
        <v>#REF!</v>
      </c>
      <c r="GJ466" t="e">
        <f>AND(#REF!,"AAAAAH7ptb8=")</f>
        <v>#REF!</v>
      </c>
      <c r="GK466" t="e">
        <f>AND(#REF!,"AAAAAH7ptcA=")</f>
        <v>#REF!</v>
      </c>
      <c r="GL466" t="e">
        <f>AND(#REF!,"AAAAAH7ptcE=")</f>
        <v>#REF!</v>
      </c>
      <c r="GM466" t="e">
        <f>AND(#REF!,"AAAAAH7ptcI=")</f>
        <v>#REF!</v>
      </c>
      <c r="GN466" t="e">
        <f>IF(#REF!,"AAAAAH7ptcM=",0)</f>
        <v>#REF!</v>
      </c>
      <c r="GO466" t="e">
        <f>AND(#REF!,"AAAAAH7ptcQ=")</f>
        <v>#REF!</v>
      </c>
      <c r="GP466" t="e">
        <f>AND(#REF!,"AAAAAH7ptcU=")</f>
        <v>#REF!</v>
      </c>
      <c r="GQ466" t="e">
        <f>AND(#REF!,"AAAAAH7ptcY=")</f>
        <v>#REF!</v>
      </c>
      <c r="GR466" t="e">
        <f>AND(#REF!,"AAAAAH7ptcc=")</f>
        <v>#REF!</v>
      </c>
      <c r="GS466" t="e">
        <f>AND(#REF!,"AAAAAH7ptcg=")</f>
        <v>#REF!</v>
      </c>
      <c r="GT466" t="e">
        <f>AND(#REF!,"AAAAAH7ptck=")</f>
        <v>#REF!</v>
      </c>
      <c r="GU466" t="e">
        <f>AND(#REF!,"AAAAAH7ptco=")</f>
        <v>#REF!</v>
      </c>
      <c r="GV466" t="e">
        <f>AND(#REF!,"AAAAAH7ptcs=")</f>
        <v>#REF!</v>
      </c>
      <c r="GW466" t="e">
        <f>AND(#REF!,"AAAAAH7ptcw=")</f>
        <v>#REF!</v>
      </c>
      <c r="GX466" t="e">
        <f>AND(#REF!,"AAAAAH7ptc0=")</f>
        <v>#REF!</v>
      </c>
      <c r="GY466" t="e">
        <f>AND(#REF!,"AAAAAH7ptc4=")</f>
        <v>#REF!</v>
      </c>
      <c r="GZ466" t="e">
        <f>AND(#REF!,"AAAAAH7ptc8=")</f>
        <v>#REF!</v>
      </c>
      <c r="HA466" t="e">
        <f>AND(#REF!,"AAAAAH7ptdA=")</f>
        <v>#REF!</v>
      </c>
      <c r="HB466" t="e">
        <f>AND(#REF!,"AAAAAH7ptdE=")</f>
        <v>#REF!</v>
      </c>
      <c r="HC466" t="e">
        <f>AND(#REF!,"AAAAAH7ptdI=")</f>
        <v>#REF!</v>
      </c>
      <c r="HD466" t="e">
        <f>AND(#REF!,"AAAAAH7ptdM=")</f>
        <v>#REF!</v>
      </c>
      <c r="HE466" t="e">
        <f>AND(#REF!,"AAAAAH7ptdQ=")</f>
        <v>#REF!</v>
      </c>
      <c r="HF466" t="e">
        <f>AND(#REF!,"AAAAAH7ptdU=")</f>
        <v>#REF!</v>
      </c>
      <c r="HG466" t="e">
        <f>AND(#REF!,"AAAAAH7ptdY=")</f>
        <v>#REF!</v>
      </c>
      <c r="HH466" t="e">
        <f>AND(#REF!,"AAAAAH7ptdc=")</f>
        <v>#REF!</v>
      </c>
      <c r="HI466" t="e">
        <f>AND(#REF!,"AAAAAH7ptdg=")</f>
        <v>#REF!</v>
      </c>
      <c r="HJ466" t="e">
        <f>AND(#REF!,"AAAAAH7ptdk=")</f>
        <v>#REF!</v>
      </c>
      <c r="HK466" t="e">
        <f>AND(#REF!,"AAAAAH7ptdo=")</f>
        <v>#REF!</v>
      </c>
      <c r="HL466" t="e">
        <f>AND(#REF!,"AAAAAH7ptds=")</f>
        <v>#REF!</v>
      </c>
      <c r="HM466" t="e">
        <f>IF(#REF!,"AAAAAH7ptdw=",0)</f>
        <v>#REF!</v>
      </c>
      <c r="HN466" t="e">
        <f>AND(#REF!,"AAAAAH7ptd0=")</f>
        <v>#REF!</v>
      </c>
      <c r="HO466" t="e">
        <f>AND(#REF!,"AAAAAH7ptd4=")</f>
        <v>#REF!</v>
      </c>
      <c r="HP466" t="e">
        <f>AND(#REF!,"AAAAAH7ptd8=")</f>
        <v>#REF!</v>
      </c>
      <c r="HQ466" t="e">
        <f>AND(#REF!,"AAAAAH7pteA=")</f>
        <v>#REF!</v>
      </c>
      <c r="HR466" t="e">
        <f>AND(#REF!,"AAAAAH7pteE=")</f>
        <v>#REF!</v>
      </c>
      <c r="HS466" t="e">
        <f>AND(#REF!,"AAAAAH7pteI=")</f>
        <v>#REF!</v>
      </c>
      <c r="HT466" t="e">
        <f>AND(#REF!,"AAAAAH7pteM=")</f>
        <v>#REF!</v>
      </c>
      <c r="HU466" t="e">
        <f>AND(#REF!,"AAAAAH7pteQ=")</f>
        <v>#REF!</v>
      </c>
      <c r="HV466" t="e">
        <f>AND(#REF!,"AAAAAH7pteU=")</f>
        <v>#REF!</v>
      </c>
      <c r="HW466" t="e">
        <f>AND(#REF!,"AAAAAH7pteY=")</f>
        <v>#REF!</v>
      </c>
      <c r="HX466" t="e">
        <f>AND(#REF!,"AAAAAH7ptec=")</f>
        <v>#REF!</v>
      </c>
      <c r="HY466" t="e">
        <f>AND(#REF!,"AAAAAH7pteg=")</f>
        <v>#REF!</v>
      </c>
      <c r="HZ466" t="e">
        <f>AND(#REF!,"AAAAAH7ptek=")</f>
        <v>#REF!</v>
      </c>
      <c r="IA466" t="e">
        <f>AND(#REF!,"AAAAAH7pteo=")</f>
        <v>#REF!</v>
      </c>
      <c r="IB466" t="e">
        <f>AND(#REF!,"AAAAAH7ptes=")</f>
        <v>#REF!</v>
      </c>
      <c r="IC466" t="e">
        <f>AND(#REF!,"AAAAAH7ptew=")</f>
        <v>#REF!</v>
      </c>
      <c r="ID466" t="e">
        <f>AND(#REF!,"AAAAAH7pte0=")</f>
        <v>#REF!</v>
      </c>
      <c r="IE466" t="e">
        <f>AND(#REF!,"AAAAAH7pte4=")</f>
        <v>#REF!</v>
      </c>
      <c r="IF466" t="e">
        <f>AND(#REF!,"AAAAAH7pte8=")</f>
        <v>#REF!</v>
      </c>
      <c r="IG466" t="e">
        <f>AND(#REF!,"AAAAAH7ptfA=")</f>
        <v>#REF!</v>
      </c>
      <c r="IH466" t="e">
        <f>AND(#REF!,"AAAAAH7ptfE=")</f>
        <v>#REF!</v>
      </c>
      <c r="II466" t="e">
        <f>AND(#REF!,"AAAAAH7ptfI=")</f>
        <v>#REF!</v>
      </c>
      <c r="IJ466" t="e">
        <f>AND(#REF!,"AAAAAH7ptfM=")</f>
        <v>#REF!</v>
      </c>
      <c r="IK466" t="e">
        <f>AND(#REF!,"AAAAAH7ptfQ=")</f>
        <v>#REF!</v>
      </c>
      <c r="IL466" t="e">
        <f>IF(#REF!,"AAAAAH7ptfU=",0)</f>
        <v>#REF!</v>
      </c>
      <c r="IM466" t="e">
        <f>AND(#REF!,"AAAAAH7ptfY=")</f>
        <v>#REF!</v>
      </c>
      <c r="IN466" t="e">
        <f>AND(#REF!,"AAAAAH7ptfc=")</f>
        <v>#REF!</v>
      </c>
      <c r="IO466" t="e">
        <f>AND(#REF!,"AAAAAH7ptfg=")</f>
        <v>#REF!</v>
      </c>
      <c r="IP466" t="e">
        <f>AND(#REF!,"AAAAAH7ptfk=")</f>
        <v>#REF!</v>
      </c>
      <c r="IQ466" t="e">
        <f>AND(#REF!,"AAAAAH7ptfo=")</f>
        <v>#REF!</v>
      </c>
      <c r="IR466" t="e">
        <f>AND(#REF!,"AAAAAH7ptfs=")</f>
        <v>#REF!</v>
      </c>
      <c r="IS466" t="e">
        <f>AND(#REF!,"AAAAAH7ptfw=")</f>
        <v>#REF!</v>
      </c>
      <c r="IT466" t="e">
        <f>AND(#REF!,"AAAAAH7ptf0=")</f>
        <v>#REF!</v>
      </c>
      <c r="IU466" t="e">
        <f>AND(#REF!,"AAAAAH7ptf4=")</f>
        <v>#REF!</v>
      </c>
      <c r="IV466" t="e">
        <f>AND(#REF!,"AAAAAH7ptf8=")</f>
        <v>#REF!</v>
      </c>
    </row>
    <row r="467" spans="1:256">
      <c r="A467" t="e">
        <f>AND(#REF!,"AAAAAA++/gA=")</f>
        <v>#REF!</v>
      </c>
      <c r="B467" t="e">
        <f>AND(#REF!,"AAAAAA++/gE=")</f>
        <v>#REF!</v>
      </c>
      <c r="C467" t="e">
        <f>AND(#REF!,"AAAAAA++/gI=")</f>
        <v>#REF!</v>
      </c>
      <c r="D467" t="e">
        <f>AND(#REF!,"AAAAAA++/gM=")</f>
        <v>#REF!</v>
      </c>
      <c r="E467" t="e">
        <f>AND(#REF!,"AAAAAA++/gQ=")</f>
        <v>#REF!</v>
      </c>
      <c r="F467" t="e">
        <f>AND(#REF!,"AAAAAA++/gU=")</f>
        <v>#REF!</v>
      </c>
      <c r="G467" t="e">
        <f>AND(#REF!,"AAAAAA++/gY=")</f>
        <v>#REF!</v>
      </c>
      <c r="H467" t="e">
        <f>AND(#REF!,"AAAAAA++/gc=")</f>
        <v>#REF!</v>
      </c>
      <c r="I467" t="e">
        <f>AND(#REF!,"AAAAAA++/gg=")</f>
        <v>#REF!</v>
      </c>
      <c r="J467" t="e">
        <f>AND(#REF!,"AAAAAA++/gk=")</f>
        <v>#REF!</v>
      </c>
      <c r="K467" t="e">
        <f>AND(#REF!,"AAAAAA++/go=")</f>
        <v>#REF!</v>
      </c>
      <c r="L467" t="e">
        <f>AND(#REF!,"AAAAAA++/gs=")</f>
        <v>#REF!</v>
      </c>
      <c r="M467" t="e">
        <f>AND(#REF!,"AAAAAA++/gw=")</f>
        <v>#REF!</v>
      </c>
      <c r="N467" t="e">
        <f>AND(#REF!,"AAAAAA++/g0=")</f>
        <v>#REF!</v>
      </c>
      <c r="O467" t="e">
        <f>IF(#REF!,"AAAAAA++/g4=",0)</f>
        <v>#REF!</v>
      </c>
      <c r="P467" t="e">
        <f>AND(#REF!,"AAAAAA++/g8=")</f>
        <v>#REF!</v>
      </c>
      <c r="Q467" t="e">
        <f>AND(#REF!,"AAAAAA++/hA=")</f>
        <v>#REF!</v>
      </c>
      <c r="R467" t="e">
        <f>AND(#REF!,"AAAAAA++/hE=")</f>
        <v>#REF!</v>
      </c>
      <c r="S467" t="e">
        <f>AND(#REF!,"AAAAAA++/hI=")</f>
        <v>#REF!</v>
      </c>
      <c r="T467" t="e">
        <f>AND(#REF!,"AAAAAA++/hM=")</f>
        <v>#REF!</v>
      </c>
      <c r="U467" t="e">
        <f>AND(#REF!,"AAAAAA++/hQ=")</f>
        <v>#REF!</v>
      </c>
      <c r="V467" t="e">
        <f>AND(#REF!,"AAAAAA++/hU=")</f>
        <v>#REF!</v>
      </c>
      <c r="W467" t="e">
        <f>AND(#REF!,"AAAAAA++/hY=")</f>
        <v>#REF!</v>
      </c>
      <c r="X467" t="e">
        <f>AND(#REF!,"AAAAAA++/hc=")</f>
        <v>#REF!</v>
      </c>
      <c r="Y467" t="e">
        <f>AND(#REF!,"AAAAAA++/hg=")</f>
        <v>#REF!</v>
      </c>
      <c r="Z467" t="e">
        <f>AND(#REF!,"AAAAAA++/hk=")</f>
        <v>#REF!</v>
      </c>
      <c r="AA467" t="e">
        <f>AND(#REF!,"AAAAAA++/ho=")</f>
        <v>#REF!</v>
      </c>
      <c r="AB467" t="e">
        <f>AND(#REF!,"AAAAAA++/hs=")</f>
        <v>#REF!</v>
      </c>
      <c r="AC467" t="e">
        <f>AND(#REF!,"AAAAAA++/hw=")</f>
        <v>#REF!</v>
      </c>
      <c r="AD467" t="e">
        <f>AND(#REF!,"AAAAAA++/h0=")</f>
        <v>#REF!</v>
      </c>
      <c r="AE467" t="e">
        <f>AND(#REF!,"AAAAAA++/h4=")</f>
        <v>#REF!</v>
      </c>
      <c r="AF467" t="e">
        <f>AND(#REF!,"AAAAAA++/h8=")</f>
        <v>#REF!</v>
      </c>
      <c r="AG467" t="e">
        <f>AND(#REF!,"AAAAAA++/iA=")</f>
        <v>#REF!</v>
      </c>
      <c r="AH467" t="e">
        <f>AND(#REF!,"AAAAAA++/iE=")</f>
        <v>#REF!</v>
      </c>
      <c r="AI467" t="e">
        <f>AND(#REF!,"AAAAAA++/iI=")</f>
        <v>#REF!</v>
      </c>
      <c r="AJ467" t="e">
        <f>AND(#REF!,"AAAAAA++/iM=")</f>
        <v>#REF!</v>
      </c>
      <c r="AK467" t="e">
        <f>AND(#REF!,"AAAAAA++/iQ=")</f>
        <v>#REF!</v>
      </c>
      <c r="AL467" t="e">
        <f>AND(#REF!,"AAAAAA++/iU=")</f>
        <v>#REF!</v>
      </c>
      <c r="AM467" t="e">
        <f>AND(#REF!,"AAAAAA++/iY=")</f>
        <v>#REF!</v>
      </c>
      <c r="AN467" t="e">
        <f>IF(#REF!,"AAAAAA++/ic=",0)</f>
        <v>#REF!</v>
      </c>
      <c r="AO467" t="e">
        <f>AND(#REF!,"AAAAAA++/ig=")</f>
        <v>#REF!</v>
      </c>
      <c r="AP467" t="e">
        <f>AND(#REF!,"AAAAAA++/ik=")</f>
        <v>#REF!</v>
      </c>
      <c r="AQ467" t="e">
        <f>AND(#REF!,"AAAAAA++/io=")</f>
        <v>#REF!</v>
      </c>
      <c r="AR467" t="e">
        <f>AND(#REF!,"AAAAAA++/is=")</f>
        <v>#REF!</v>
      </c>
      <c r="AS467" t="e">
        <f>AND(#REF!,"AAAAAA++/iw=")</f>
        <v>#REF!</v>
      </c>
      <c r="AT467" t="e">
        <f>AND(#REF!,"AAAAAA++/i0=")</f>
        <v>#REF!</v>
      </c>
      <c r="AU467" t="e">
        <f>AND(#REF!,"AAAAAA++/i4=")</f>
        <v>#REF!</v>
      </c>
      <c r="AV467" t="e">
        <f>AND(#REF!,"AAAAAA++/i8=")</f>
        <v>#REF!</v>
      </c>
      <c r="AW467" t="e">
        <f>AND(#REF!,"AAAAAA++/jA=")</f>
        <v>#REF!</v>
      </c>
      <c r="AX467" t="e">
        <f>AND(#REF!,"AAAAAA++/jE=")</f>
        <v>#REF!</v>
      </c>
      <c r="AY467" t="e">
        <f>AND(#REF!,"AAAAAA++/jI=")</f>
        <v>#REF!</v>
      </c>
      <c r="AZ467" t="e">
        <f>AND(#REF!,"AAAAAA++/jM=")</f>
        <v>#REF!</v>
      </c>
      <c r="BA467" t="e">
        <f>AND(#REF!,"AAAAAA++/jQ=")</f>
        <v>#REF!</v>
      </c>
      <c r="BB467" t="e">
        <f>AND(#REF!,"AAAAAA++/jU=")</f>
        <v>#REF!</v>
      </c>
      <c r="BC467" t="e">
        <f>AND(#REF!,"AAAAAA++/jY=")</f>
        <v>#REF!</v>
      </c>
      <c r="BD467" t="e">
        <f>AND(#REF!,"AAAAAA++/jc=")</f>
        <v>#REF!</v>
      </c>
      <c r="BE467" t="e">
        <f>AND(#REF!,"AAAAAA++/jg=")</f>
        <v>#REF!</v>
      </c>
      <c r="BF467" t="e">
        <f>AND(#REF!,"AAAAAA++/jk=")</f>
        <v>#REF!</v>
      </c>
      <c r="BG467" t="e">
        <f>AND(#REF!,"AAAAAA++/jo=")</f>
        <v>#REF!</v>
      </c>
      <c r="BH467" t="e">
        <f>AND(#REF!,"AAAAAA++/js=")</f>
        <v>#REF!</v>
      </c>
      <c r="BI467" t="e">
        <f>AND(#REF!,"AAAAAA++/jw=")</f>
        <v>#REF!</v>
      </c>
      <c r="BJ467" t="e">
        <f>AND(#REF!,"AAAAAA++/j0=")</f>
        <v>#REF!</v>
      </c>
      <c r="BK467" t="e">
        <f>AND(#REF!,"AAAAAA++/j4=")</f>
        <v>#REF!</v>
      </c>
      <c r="BL467" t="e">
        <f>AND(#REF!,"AAAAAA++/j8=")</f>
        <v>#REF!</v>
      </c>
      <c r="BM467" t="e">
        <f>IF(#REF!,"AAAAAA++/kA=",0)</f>
        <v>#REF!</v>
      </c>
      <c r="BN467" t="e">
        <f>AND(#REF!,"AAAAAA++/kE=")</f>
        <v>#REF!</v>
      </c>
      <c r="BO467" t="e">
        <f>AND(#REF!,"AAAAAA++/kI=")</f>
        <v>#REF!</v>
      </c>
      <c r="BP467" t="e">
        <f>AND(#REF!,"AAAAAA++/kM=")</f>
        <v>#REF!</v>
      </c>
      <c r="BQ467" t="e">
        <f>AND(#REF!,"AAAAAA++/kQ=")</f>
        <v>#REF!</v>
      </c>
      <c r="BR467" t="e">
        <f>AND(#REF!,"AAAAAA++/kU=")</f>
        <v>#REF!</v>
      </c>
      <c r="BS467" t="e">
        <f>AND(#REF!,"AAAAAA++/kY=")</f>
        <v>#REF!</v>
      </c>
      <c r="BT467" t="e">
        <f>AND(#REF!,"AAAAAA++/kc=")</f>
        <v>#REF!</v>
      </c>
      <c r="BU467" t="e">
        <f>AND(#REF!,"AAAAAA++/kg=")</f>
        <v>#REF!</v>
      </c>
      <c r="BV467" t="e">
        <f>AND(#REF!,"AAAAAA++/kk=")</f>
        <v>#REF!</v>
      </c>
      <c r="BW467" t="e">
        <f>AND(#REF!,"AAAAAA++/ko=")</f>
        <v>#REF!</v>
      </c>
      <c r="BX467" t="e">
        <f>AND(#REF!,"AAAAAA++/ks=")</f>
        <v>#REF!</v>
      </c>
      <c r="BY467" t="e">
        <f>AND(#REF!,"AAAAAA++/kw=")</f>
        <v>#REF!</v>
      </c>
      <c r="BZ467" t="e">
        <f>AND(#REF!,"AAAAAA++/k0=")</f>
        <v>#REF!</v>
      </c>
      <c r="CA467" t="e">
        <f>AND(#REF!,"AAAAAA++/k4=")</f>
        <v>#REF!</v>
      </c>
      <c r="CB467" t="e">
        <f>AND(#REF!,"AAAAAA++/k8=")</f>
        <v>#REF!</v>
      </c>
      <c r="CC467" t="e">
        <f>AND(#REF!,"AAAAAA++/lA=")</f>
        <v>#REF!</v>
      </c>
      <c r="CD467" t="e">
        <f>AND(#REF!,"AAAAAA++/lE=")</f>
        <v>#REF!</v>
      </c>
      <c r="CE467" t="e">
        <f>AND(#REF!,"AAAAAA++/lI=")</f>
        <v>#REF!</v>
      </c>
      <c r="CF467" t="e">
        <f>AND(#REF!,"AAAAAA++/lM=")</f>
        <v>#REF!</v>
      </c>
      <c r="CG467" t="e">
        <f>AND(#REF!,"AAAAAA++/lQ=")</f>
        <v>#REF!</v>
      </c>
      <c r="CH467" t="e">
        <f>AND(#REF!,"AAAAAA++/lU=")</f>
        <v>#REF!</v>
      </c>
      <c r="CI467" t="e">
        <f>AND(#REF!,"AAAAAA++/lY=")</f>
        <v>#REF!</v>
      </c>
      <c r="CJ467" t="e">
        <f>AND(#REF!,"AAAAAA++/lc=")</f>
        <v>#REF!</v>
      </c>
      <c r="CK467" t="e">
        <f>AND(#REF!,"AAAAAA++/lg=")</f>
        <v>#REF!</v>
      </c>
      <c r="CL467" t="e">
        <f>IF(#REF!,"AAAAAA++/lk=",0)</f>
        <v>#REF!</v>
      </c>
      <c r="CM467" t="e">
        <f>AND(#REF!,"AAAAAA++/lo=")</f>
        <v>#REF!</v>
      </c>
      <c r="CN467" t="e">
        <f>AND(#REF!,"AAAAAA++/ls=")</f>
        <v>#REF!</v>
      </c>
      <c r="CO467" t="e">
        <f>AND(#REF!,"AAAAAA++/lw=")</f>
        <v>#REF!</v>
      </c>
      <c r="CP467" t="e">
        <f>AND(#REF!,"AAAAAA++/l0=")</f>
        <v>#REF!</v>
      </c>
      <c r="CQ467" t="e">
        <f>AND(#REF!,"AAAAAA++/l4=")</f>
        <v>#REF!</v>
      </c>
      <c r="CR467" t="e">
        <f>AND(#REF!,"AAAAAA++/l8=")</f>
        <v>#REF!</v>
      </c>
      <c r="CS467" t="e">
        <f>AND(#REF!,"AAAAAA++/mA=")</f>
        <v>#REF!</v>
      </c>
      <c r="CT467" t="e">
        <f>AND(#REF!,"AAAAAA++/mE=")</f>
        <v>#REF!</v>
      </c>
      <c r="CU467" t="e">
        <f>AND(#REF!,"AAAAAA++/mI=")</f>
        <v>#REF!</v>
      </c>
      <c r="CV467" t="e">
        <f>AND(#REF!,"AAAAAA++/mM=")</f>
        <v>#REF!</v>
      </c>
      <c r="CW467" t="e">
        <f>AND(#REF!,"AAAAAA++/mQ=")</f>
        <v>#REF!</v>
      </c>
      <c r="CX467" t="e">
        <f>AND(#REF!,"AAAAAA++/mU=")</f>
        <v>#REF!</v>
      </c>
      <c r="CY467" t="e">
        <f>AND(#REF!,"AAAAAA++/mY=")</f>
        <v>#REF!</v>
      </c>
      <c r="CZ467" t="e">
        <f>AND(#REF!,"AAAAAA++/mc=")</f>
        <v>#REF!</v>
      </c>
      <c r="DA467" t="e">
        <f>AND(#REF!,"AAAAAA++/mg=")</f>
        <v>#REF!</v>
      </c>
      <c r="DB467" t="e">
        <f>AND(#REF!,"AAAAAA++/mk=")</f>
        <v>#REF!</v>
      </c>
      <c r="DC467" t="e">
        <f>AND(#REF!,"AAAAAA++/mo=")</f>
        <v>#REF!</v>
      </c>
      <c r="DD467" t="e">
        <f>AND(#REF!,"AAAAAA++/ms=")</f>
        <v>#REF!</v>
      </c>
      <c r="DE467" t="e">
        <f>AND(#REF!,"AAAAAA++/mw=")</f>
        <v>#REF!</v>
      </c>
      <c r="DF467" t="e">
        <f>AND(#REF!,"AAAAAA++/m0=")</f>
        <v>#REF!</v>
      </c>
      <c r="DG467" t="e">
        <f>AND(#REF!,"AAAAAA++/m4=")</f>
        <v>#REF!</v>
      </c>
      <c r="DH467" t="e">
        <f>AND(#REF!,"AAAAAA++/m8=")</f>
        <v>#REF!</v>
      </c>
      <c r="DI467" t="e">
        <f>AND(#REF!,"AAAAAA++/nA=")</f>
        <v>#REF!</v>
      </c>
      <c r="DJ467" t="e">
        <f>AND(#REF!,"AAAAAA++/nE=")</f>
        <v>#REF!</v>
      </c>
      <c r="DK467" t="e">
        <f>IF(#REF!,"AAAAAA++/nI=",0)</f>
        <v>#REF!</v>
      </c>
      <c r="DL467" t="e">
        <f>AND(#REF!,"AAAAAA++/nM=")</f>
        <v>#REF!</v>
      </c>
      <c r="DM467" t="e">
        <f>AND(#REF!,"AAAAAA++/nQ=")</f>
        <v>#REF!</v>
      </c>
      <c r="DN467" t="e">
        <f>AND(#REF!,"AAAAAA++/nU=")</f>
        <v>#REF!</v>
      </c>
      <c r="DO467" t="e">
        <f>AND(#REF!,"AAAAAA++/nY=")</f>
        <v>#REF!</v>
      </c>
      <c r="DP467" t="e">
        <f>AND(#REF!,"AAAAAA++/nc=")</f>
        <v>#REF!</v>
      </c>
      <c r="DQ467" t="e">
        <f>AND(#REF!,"AAAAAA++/ng=")</f>
        <v>#REF!</v>
      </c>
      <c r="DR467" t="e">
        <f>AND(#REF!,"AAAAAA++/nk=")</f>
        <v>#REF!</v>
      </c>
      <c r="DS467" t="e">
        <f>AND(#REF!,"AAAAAA++/no=")</f>
        <v>#REF!</v>
      </c>
      <c r="DT467" t="e">
        <f>AND(#REF!,"AAAAAA++/ns=")</f>
        <v>#REF!</v>
      </c>
      <c r="DU467" t="e">
        <f>AND(#REF!,"AAAAAA++/nw=")</f>
        <v>#REF!</v>
      </c>
      <c r="DV467" t="e">
        <f>AND(#REF!,"AAAAAA++/n0=")</f>
        <v>#REF!</v>
      </c>
      <c r="DW467" t="e">
        <f>AND(#REF!,"AAAAAA++/n4=")</f>
        <v>#REF!</v>
      </c>
      <c r="DX467" t="e">
        <f>AND(#REF!,"AAAAAA++/n8=")</f>
        <v>#REF!</v>
      </c>
      <c r="DY467" t="e">
        <f>AND(#REF!,"AAAAAA++/oA=")</f>
        <v>#REF!</v>
      </c>
      <c r="DZ467" t="e">
        <f>AND(#REF!,"AAAAAA++/oE=")</f>
        <v>#REF!</v>
      </c>
      <c r="EA467" t="e">
        <f>AND(#REF!,"AAAAAA++/oI=")</f>
        <v>#REF!</v>
      </c>
      <c r="EB467" t="e">
        <f>AND(#REF!,"AAAAAA++/oM=")</f>
        <v>#REF!</v>
      </c>
      <c r="EC467" t="e">
        <f>AND(#REF!,"AAAAAA++/oQ=")</f>
        <v>#REF!</v>
      </c>
      <c r="ED467" t="e">
        <f>AND(#REF!,"AAAAAA++/oU=")</f>
        <v>#REF!</v>
      </c>
      <c r="EE467" t="e">
        <f>AND(#REF!,"AAAAAA++/oY=")</f>
        <v>#REF!</v>
      </c>
      <c r="EF467" t="e">
        <f>AND(#REF!,"AAAAAA++/oc=")</f>
        <v>#REF!</v>
      </c>
      <c r="EG467" t="e">
        <f>AND(#REF!,"AAAAAA++/og=")</f>
        <v>#REF!</v>
      </c>
      <c r="EH467" t="e">
        <f>AND(#REF!,"AAAAAA++/ok=")</f>
        <v>#REF!</v>
      </c>
      <c r="EI467" t="e">
        <f>AND(#REF!,"AAAAAA++/oo=")</f>
        <v>#REF!</v>
      </c>
      <c r="EJ467" t="e">
        <f>IF(#REF!,"AAAAAA++/os=",0)</f>
        <v>#REF!</v>
      </c>
      <c r="EK467" t="e">
        <f>AND(#REF!,"AAAAAA++/ow=")</f>
        <v>#REF!</v>
      </c>
      <c r="EL467" t="e">
        <f>AND(#REF!,"AAAAAA++/o0=")</f>
        <v>#REF!</v>
      </c>
      <c r="EM467" t="e">
        <f>AND(#REF!,"AAAAAA++/o4=")</f>
        <v>#REF!</v>
      </c>
      <c r="EN467" t="e">
        <f>AND(#REF!,"AAAAAA++/o8=")</f>
        <v>#REF!</v>
      </c>
      <c r="EO467" t="e">
        <f>AND(#REF!,"AAAAAA++/pA=")</f>
        <v>#REF!</v>
      </c>
      <c r="EP467" t="e">
        <f>AND(#REF!,"AAAAAA++/pE=")</f>
        <v>#REF!</v>
      </c>
      <c r="EQ467" t="e">
        <f>AND(#REF!,"AAAAAA++/pI=")</f>
        <v>#REF!</v>
      </c>
      <c r="ER467" t="e">
        <f>AND(#REF!,"AAAAAA++/pM=")</f>
        <v>#REF!</v>
      </c>
      <c r="ES467" t="e">
        <f>AND(#REF!,"AAAAAA++/pQ=")</f>
        <v>#REF!</v>
      </c>
      <c r="ET467" t="e">
        <f>AND(#REF!,"AAAAAA++/pU=")</f>
        <v>#REF!</v>
      </c>
      <c r="EU467" t="e">
        <f>AND(#REF!,"AAAAAA++/pY=")</f>
        <v>#REF!</v>
      </c>
      <c r="EV467" t="e">
        <f>AND(#REF!,"AAAAAA++/pc=")</f>
        <v>#REF!</v>
      </c>
      <c r="EW467" t="e">
        <f>AND(#REF!,"AAAAAA++/pg=")</f>
        <v>#REF!</v>
      </c>
      <c r="EX467" t="e">
        <f>AND(#REF!,"AAAAAA++/pk=")</f>
        <v>#REF!</v>
      </c>
      <c r="EY467" t="e">
        <f>AND(#REF!,"AAAAAA++/po=")</f>
        <v>#REF!</v>
      </c>
      <c r="EZ467" t="e">
        <f>AND(#REF!,"AAAAAA++/ps=")</f>
        <v>#REF!</v>
      </c>
      <c r="FA467" t="e">
        <f>AND(#REF!,"AAAAAA++/pw=")</f>
        <v>#REF!</v>
      </c>
      <c r="FB467" t="e">
        <f>AND(#REF!,"AAAAAA++/p0=")</f>
        <v>#REF!</v>
      </c>
      <c r="FC467" t="e">
        <f>AND(#REF!,"AAAAAA++/p4=")</f>
        <v>#REF!</v>
      </c>
      <c r="FD467" t="e">
        <f>AND(#REF!,"AAAAAA++/p8=")</f>
        <v>#REF!</v>
      </c>
      <c r="FE467" t="e">
        <f>AND(#REF!,"AAAAAA++/qA=")</f>
        <v>#REF!</v>
      </c>
      <c r="FF467" t="e">
        <f>AND(#REF!,"AAAAAA++/qE=")</f>
        <v>#REF!</v>
      </c>
      <c r="FG467" t="e">
        <f>AND(#REF!,"AAAAAA++/qI=")</f>
        <v>#REF!</v>
      </c>
      <c r="FH467" t="e">
        <f>AND(#REF!,"AAAAAA++/qM=")</f>
        <v>#REF!</v>
      </c>
      <c r="FI467" t="e">
        <f>IF(#REF!,"AAAAAA++/qQ=",0)</f>
        <v>#REF!</v>
      </c>
      <c r="FJ467" t="e">
        <f>AND(#REF!,"AAAAAA++/qU=")</f>
        <v>#REF!</v>
      </c>
      <c r="FK467" t="e">
        <f>AND(#REF!,"AAAAAA++/qY=")</f>
        <v>#REF!</v>
      </c>
      <c r="FL467" t="e">
        <f>AND(#REF!,"AAAAAA++/qc=")</f>
        <v>#REF!</v>
      </c>
      <c r="FM467" t="e">
        <f>AND(#REF!,"AAAAAA++/qg=")</f>
        <v>#REF!</v>
      </c>
      <c r="FN467" t="e">
        <f>AND(#REF!,"AAAAAA++/qk=")</f>
        <v>#REF!</v>
      </c>
      <c r="FO467" t="e">
        <f>AND(#REF!,"AAAAAA++/qo=")</f>
        <v>#REF!</v>
      </c>
      <c r="FP467" t="e">
        <f>AND(#REF!,"AAAAAA++/qs=")</f>
        <v>#REF!</v>
      </c>
      <c r="FQ467" t="e">
        <f>AND(#REF!,"AAAAAA++/qw=")</f>
        <v>#REF!</v>
      </c>
      <c r="FR467" t="e">
        <f>AND(#REF!,"AAAAAA++/q0=")</f>
        <v>#REF!</v>
      </c>
      <c r="FS467" t="e">
        <f>AND(#REF!,"AAAAAA++/q4=")</f>
        <v>#REF!</v>
      </c>
      <c r="FT467" t="e">
        <f>AND(#REF!,"AAAAAA++/q8=")</f>
        <v>#REF!</v>
      </c>
      <c r="FU467" t="e">
        <f>AND(#REF!,"AAAAAA++/rA=")</f>
        <v>#REF!</v>
      </c>
      <c r="FV467" t="e">
        <f>AND(#REF!,"AAAAAA++/rE=")</f>
        <v>#REF!</v>
      </c>
      <c r="FW467" t="e">
        <f>AND(#REF!,"AAAAAA++/rI=")</f>
        <v>#REF!</v>
      </c>
      <c r="FX467" t="e">
        <f>AND(#REF!,"AAAAAA++/rM=")</f>
        <v>#REF!</v>
      </c>
      <c r="FY467" t="e">
        <f>AND(#REF!,"AAAAAA++/rQ=")</f>
        <v>#REF!</v>
      </c>
      <c r="FZ467" t="e">
        <f>AND(#REF!,"AAAAAA++/rU=")</f>
        <v>#REF!</v>
      </c>
      <c r="GA467" t="e">
        <f>AND(#REF!,"AAAAAA++/rY=")</f>
        <v>#REF!</v>
      </c>
      <c r="GB467" t="e">
        <f>AND(#REF!,"AAAAAA++/rc=")</f>
        <v>#REF!</v>
      </c>
      <c r="GC467" t="e">
        <f>AND(#REF!,"AAAAAA++/rg=")</f>
        <v>#REF!</v>
      </c>
      <c r="GD467" t="e">
        <f>AND(#REF!,"AAAAAA++/rk=")</f>
        <v>#REF!</v>
      </c>
      <c r="GE467" t="e">
        <f>AND(#REF!,"AAAAAA++/ro=")</f>
        <v>#REF!</v>
      </c>
      <c r="GF467" t="e">
        <f>AND(#REF!,"AAAAAA++/rs=")</f>
        <v>#REF!</v>
      </c>
      <c r="GG467" t="e">
        <f>AND(#REF!,"AAAAAA++/rw=")</f>
        <v>#REF!</v>
      </c>
      <c r="GH467" t="e">
        <f>IF(#REF!,"AAAAAA++/r0=",0)</f>
        <v>#REF!</v>
      </c>
      <c r="GI467" t="e">
        <f>AND(#REF!,"AAAAAA++/r4=")</f>
        <v>#REF!</v>
      </c>
      <c r="GJ467" t="e">
        <f>AND(#REF!,"AAAAAA++/r8=")</f>
        <v>#REF!</v>
      </c>
      <c r="GK467" t="e">
        <f>AND(#REF!,"AAAAAA++/sA=")</f>
        <v>#REF!</v>
      </c>
      <c r="GL467" t="e">
        <f>AND(#REF!,"AAAAAA++/sE=")</f>
        <v>#REF!</v>
      </c>
      <c r="GM467" t="e">
        <f>AND(#REF!,"AAAAAA++/sI=")</f>
        <v>#REF!</v>
      </c>
      <c r="GN467" t="e">
        <f>AND(#REF!,"AAAAAA++/sM=")</f>
        <v>#REF!</v>
      </c>
      <c r="GO467" t="e">
        <f>AND(#REF!,"AAAAAA++/sQ=")</f>
        <v>#REF!</v>
      </c>
      <c r="GP467" t="e">
        <f>AND(#REF!,"AAAAAA++/sU=")</f>
        <v>#REF!</v>
      </c>
      <c r="GQ467" t="e">
        <f>AND(#REF!,"AAAAAA++/sY=")</f>
        <v>#REF!</v>
      </c>
      <c r="GR467" t="e">
        <f>AND(#REF!,"AAAAAA++/sc=")</f>
        <v>#REF!</v>
      </c>
      <c r="GS467" t="e">
        <f>AND(#REF!,"AAAAAA++/sg=")</f>
        <v>#REF!</v>
      </c>
      <c r="GT467" t="e">
        <f>AND(#REF!,"AAAAAA++/sk=")</f>
        <v>#REF!</v>
      </c>
      <c r="GU467" t="e">
        <f>AND(#REF!,"AAAAAA++/so=")</f>
        <v>#REF!</v>
      </c>
      <c r="GV467" t="e">
        <f>AND(#REF!,"AAAAAA++/ss=")</f>
        <v>#REF!</v>
      </c>
      <c r="GW467" t="e">
        <f>AND(#REF!,"AAAAAA++/sw=")</f>
        <v>#REF!</v>
      </c>
      <c r="GX467" t="e">
        <f>AND(#REF!,"AAAAAA++/s0=")</f>
        <v>#REF!</v>
      </c>
      <c r="GY467" t="e">
        <f>AND(#REF!,"AAAAAA++/s4=")</f>
        <v>#REF!</v>
      </c>
      <c r="GZ467" t="e">
        <f>AND(#REF!,"AAAAAA++/s8=")</f>
        <v>#REF!</v>
      </c>
      <c r="HA467" t="e">
        <f>AND(#REF!,"AAAAAA++/tA=")</f>
        <v>#REF!</v>
      </c>
      <c r="HB467" t="e">
        <f>AND(#REF!,"AAAAAA++/tE=")</f>
        <v>#REF!</v>
      </c>
      <c r="HC467" t="e">
        <f>AND(#REF!,"AAAAAA++/tI=")</f>
        <v>#REF!</v>
      </c>
      <c r="HD467" t="e">
        <f>AND(#REF!,"AAAAAA++/tM=")</f>
        <v>#REF!</v>
      </c>
      <c r="HE467" t="e">
        <f>AND(#REF!,"AAAAAA++/tQ=")</f>
        <v>#REF!</v>
      </c>
      <c r="HF467" t="e">
        <f>AND(#REF!,"AAAAAA++/tU=")</f>
        <v>#REF!</v>
      </c>
      <c r="HG467" t="e">
        <f>IF(#REF!,"AAAAAA++/tY=",0)</f>
        <v>#REF!</v>
      </c>
      <c r="HH467" t="e">
        <f>AND(#REF!,"AAAAAA++/tc=")</f>
        <v>#REF!</v>
      </c>
      <c r="HI467" t="e">
        <f>AND(#REF!,"AAAAAA++/tg=")</f>
        <v>#REF!</v>
      </c>
      <c r="HJ467" t="e">
        <f>AND(#REF!,"AAAAAA++/tk=")</f>
        <v>#REF!</v>
      </c>
      <c r="HK467" t="e">
        <f>AND(#REF!,"AAAAAA++/to=")</f>
        <v>#REF!</v>
      </c>
      <c r="HL467" t="e">
        <f>AND(#REF!,"AAAAAA++/ts=")</f>
        <v>#REF!</v>
      </c>
      <c r="HM467" t="e">
        <f>AND(#REF!,"AAAAAA++/tw=")</f>
        <v>#REF!</v>
      </c>
      <c r="HN467" t="e">
        <f>AND(#REF!,"AAAAAA++/t0=")</f>
        <v>#REF!</v>
      </c>
      <c r="HO467" t="e">
        <f>AND(#REF!,"AAAAAA++/t4=")</f>
        <v>#REF!</v>
      </c>
      <c r="HP467" t="e">
        <f>AND(#REF!,"AAAAAA++/t8=")</f>
        <v>#REF!</v>
      </c>
      <c r="HQ467" t="e">
        <f>AND(#REF!,"AAAAAA++/uA=")</f>
        <v>#REF!</v>
      </c>
      <c r="HR467" t="e">
        <f>AND(#REF!,"AAAAAA++/uE=")</f>
        <v>#REF!</v>
      </c>
      <c r="HS467" t="e">
        <f>AND(#REF!,"AAAAAA++/uI=")</f>
        <v>#REF!</v>
      </c>
      <c r="HT467" t="e">
        <f>AND(#REF!,"AAAAAA++/uM=")</f>
        <v>#REF!</v>
      </c>
      <c r="HU467" t="e">
        <f>AND(#REF!,"AAAAAA++/uQ=")</f>
        <v>#REF!</v>
      </c>
      <c r="HV467" t="e">
        <f>AND(#REF!,"AAAAAA++/uU=")</f>
        <v>#REF!</v>
      </c>
      <c r="HW467" t="e">
        <f>AND(#REF!,"AAAAAA++/uY=")</f>
        <v>#REF!</v>
      </c>
      <c r="HX467" t="e">
        <f>AND(#REF!,"AAAAAA++/uc=")</f>
        <v>#REF!</v>
      </c>
      <c r="HY467" t="e">
        <f>AND(#REF!,"AAAAAA++/ug=")</f>
        <v>#REF!</v>
      </c>
      <c r="HZ467" t="e">
        <f>AND(#REF!,"AAAAAA++/uk=")</f>
        <v>#REF!</v>
      </c>
      <c r="IA467" t="e">
        <f>AND(#REF!,"AAAAAA++/uo=")</f>
        <v>#REF!</v>
      </c>
      <c r="IB467" t="e">
        <f>AND(#REF!,"AAAAAA++/us=")</f>
        <v>#REF!</v>
      </c>
      <c r="IC467" t="e">
        <f>AND(#REF!,"AAAAAA++/uw=")</f>
        <v>#REF!</v>
      </c>
      <c r="ID467" t="e">
        <f>AND(#REF!,"AAAAAA++/u0=")</f>
        <v>#REF!</v>
      </c>
      <c r="IE467" t="e">
        <f>AND(#REF!,"AAAAAA++/u4=")</f>
        <v>#REF!</v>
      </c>
      <c r="IF467" t="e">
        <f>IF(#REF!,"AAAAAA++/u8=",0)</f>
        <v>#REF!</v>
      </c>
      <c r="IG467" t="e">
        <f>AND(#REF!,"AAAAAA++/vA=")</f>
        <v>#REF!</v>
      </c>
      <c r="IH467" t="e">
        <f>AND(#REF!,"AAAAAA++/vE=")</f>
        <v>#REF!</v>
      </c>
      <c r="II467" t="e">
        <f>AND(#REF!,"AAAAAA++/vI=")</f>
        <v>#REF!</v>
      </c>
      <c r="IJ467" t="e">
        <f>AND(#REF!,"AAAAAA++/vM=")</f>
        <v>#REF!</v>
      </c>
      <c r="IK467" t="e">
        <f>AND(#REF!,"AAAAAA++/vQ=")</f>
        <v>#REF!</v>
      </c>
      <c r="IL467" t="e">
        <f>AND(#REF!,"AAAAAA++/vU=")</f>
        <v>#REF!</v>
      </c>
      <c r="IM467" t="e">
        <f>AND(#REF!,"AAAAAA++/vY=")</f>
        <v>#REF!</v>
      </c>
      <c r="IN467" t="e">
        <f>AND(#REF!,"AAAAAA++/vc=")</f>
        <v>#REF!</v>
      </c>
      <c r="IO467" t="e">
        <f>AND(#REF!,"AAAAAA++/vg=")</f>
        <v>#REF!</v>
      </c>
      <c r="IP467" t="e">
        <f>AND(#REF!,"AAAAAA++/vk=")</f>
        <v>#REF!</v>
      </c>
      <c r="IQ467" t="e">
        <f>AND(#REF!,"AAAAAA++/vo=")</f>
        <v>#REF!</v>
      </c>
      <c r="IR467" t="e">
        <f>AND(#REF!,"AAAAAA++/vs=")</f>
        <v>#REF!</v>
      </c>
      <c r="IS467" t="e">
        <f>AND(#REF!,"AAAAAA++/vw=")</f>
        <v>#REF!</v>
      </c>
      <c r="IT467" t="e">
        <f>AND(#REF!,"AAAAAA++/v0=")</f>
        <v>#REF!</v>
      </c>
      <c r="IU467" t="e">
        <f>AND(#REF!,"AAAAAA++/v4=")</f>
        <v>#REF!</v>
      </c>
      <c r="IV467" t="e">
        <f>AND(#REF!,"AAAAAA++/v8=")</f>
        <v>#REF!</v>
      </c>
    </row>
    <row r="468" spans="1:256">
      <c r="A468" t="e">
        <f>AND(#REF!,"AAAAAHX8/QA=")</f>
        <v>#REF!</v>
      </c>
      <c r="B468" t="e">
        <f>AND(#REF!,"AAAAAHX8/QE=")</f>
        <v>#REF!</v>
      </c>
      <c r="C468" t="e">
        <f>AND(#REF!,"AAAAAHX8/QI=")</f>
        <v>#REF!</v>
      </c>
      <c r="D468" t="e">
        <f>AND(#REF!,"AAAAAHX8/QM=")</f>
        <v>#REF!</v>
      </c>
      <c r="E468" t="e">
        <f>AND(#REF!,"AAAAAHX8/QQ=")</f>
        <v>#REF!</v>
      </c>
      <c r="F468" t="e">
        <f>AND(#REF!,"AAAAAHX8/QU=")</f>
        <v>#REF!</v>
      </c>
      <c r="G468" t="e">
        <f>AND(#REF!,"AAAAAHX8/QY=")</f>
        <v>#REF!</v>
      </c>
      <c r="H468" t="e">
        <f>AND(#REF!,"AAAAAHX8/Qc=")</f>
        <v>#REF!</v>
      </c>
      <c r="I468" t="e">
        <f>IF(#REF!,"AAAAAHX8/Qg=",0)</f>
        <v>#REF!</v>
      </c>
      <c r="J468" t="e">
        <f>AND(#REF!,"AAAAAHX8/Qk=")</f>
        <v>#REF!</v>
      </c>
      <c r="K468" t="e">
        <f>AND(#REF!,"AAAAAHX8/Qo=")</f>
        <v>#REF!</v>
      </c>
      <c r="L468" t="e">
        <f>AND(#REF!,"AAAAAHX8/Qs=")</f>
        <v>#REF!</v>
      </c>
      <c r="M468" t="e">
        <f>AND(#REF!,"AAAAAHX8/Qw=")</f>
        <v>#REF!</v>
      </c>
      <c r="N468" t="e">
        <f>AND(#REF!,"AAAAAHX8/Q0=")</f>
        <v>#REF!</v>
      </c>
      <c r="O468" t="e">
        <f>AND(#REF!,"AAAAAHX8/Q4=")</f>
        <v>#REF!</v>
      </c>
      <c r="P468" t="e">
        <f>AND(#REF!,"AAAAAHX8/Q8=")</f>
        <v>#REF!</v>
      </c>
      <c r="Q468" t="e">
        <f>AND(#REF!,"AAAAAHX8/RA=")</f>
        <v>#REF!</v>
      </c>
      <c r="R468" t="e">
        <f>AND(#REF!,"AAAAAHX8/RE=")</f>
        <v>#REF!</v>
      </c>
      <c r="S468" t="e">
        <f>AND(#REF!,"AAAAAHX8/RI=")</f>
        <v>#REF!</v>
      </c>
      <c r="T468" t="e">
        <f>AND(#REF!,"AAAAAHX8/RM=")</f>
        <v>#REF!</v>
      </c>
      <c r="U468" t="e">
        <f>AND(#REF!,"AAAAAHX8/RQ=")</f>
        <v>#REF!</v>
      </c>
      <c r="V468" t="e">
        <f>AND(#REF!,"AAAAAHX8/RU=")</f>
        <v>#REF!</v>
      </c>
      <c r="W468" t="e">
        <f>AND(#REF!,"AAAAAHX8/RY=")</f>
        <v>#REF!</v>
      </c>
      <c r="X468" t="e">
        <f>AND(#REF!,"AAAAAHX8/Rc=")</f>
        <v>#REF!</v>
      </c>
      <c r="Y468" t="e">
        <f>AND(#REF!,"AAAAAHX8/Rg=")</f>
        <v>#REF!</v>
      </c>
      <c r="Z468" t="e">
        <f>AND(#REF!,"AAAAAHX8/Rk=")</f>
        <v>#REF!</v>
      </c>
      <c r="AA468" t="e">
        <f>AND(#REF!,"AAAAAHX8/Ro=")</f>
        <v>#REF!</v>
      </c>
      <c r="AB468" t="e">
        <f>AND(#REF!,"AAAAAHX8/Rs=")</f>
        <v>#REF!</v>
      </c>
      <c r="AC468" t="e">
        <f>AND(#REF!,"AAAAAHX8/Rw=")</f>
        <v>#REF!</v>
      </c>
      <c r="AD468" t="e">
        <f>AND(#REF!,"AAAAAHX8/R0=")</f>
        <v>#REF!</v>
      </c>
      <c r="AE468" t="e">
        <f>AND(#REF!,"AAAAAHX8/R4=")</f>
        <v>#REF!</v>
      </c>
      <c r="AF468" t="e">
        <f>AND(#REF!,"AAAAAHX8/R8=")</f>
        <v>#REF!</v>
      </c>
      <c r="AG468" t="e">
        <f>AND(#REF!,"AAAAAHX8/SA=")</f>
        <v>#REF!</v>
      </c>
      <c r="AH468" t="e">
        <f>IF(#REF!,"AAAAAHX8/SE=",0)</f>
        <v>#REF!</v>
      </c>
      <c r="AI468" t="e">
        <f>AND(#REF!,"AAAAAHX8/SI=")</f>
        <v>#REF!</v>
      </c>
      <c r="AJ468" t="e">
        <f>AND(#REF!,"AAAAAHX8/SM=")</f>
        <v>#REF!</v>
      </c>
      <c r="AK468" t="e">
        <f>AND(#REF!,"AAAAAHX8/SQ=")</f>
        <v>#REF!</v>
      </c>
      <c r="AL468" t="e">
        <f>AND(#REF!,"AAAAAHX8/SU=")</f>
        <v>#REF!</v>
      </c>
      <c r="AM468" t="e">
        <f>AND(#REF!,"AAAAAHX8/SY=")</f>
        <v>#REF!</v>
      </c>
      <c r="AN468" t="e">
        <f>AND(#REF!,"AAAAAHX8/Sc=")</f>
        <v>#REF!</v>
      </c>
      <c r="AO468" t="e">
        <f>AND(#REF!,"AAAAAHX8/Sg=")</f>
        <v>#REF!</v>
      </c>
      <c r="AP468" t="e">
        <f>AND(#REF!,"AAAAAHX8/Sk=")</f>
        <v>#REF!</v>
      </c>
      <c r="AQ468" t="e">
        <f>AND(#REF!,"AAAAAHX8/So=")</f>
        <v>#REF!</v>
      </c>
      <c r="AR468" t="e">
        <f>AND(#REF!,"AAAAAHX8/Ss=")</f>
        <v>#REF!</v>
      </c>
      <c r="AS468" t="e">
        <f>AND(#REF!,"AAAAAHX8/Sw=")</f>
        <v>#REF!</v>
      </c>
      <c r="AT468" t="e">
        <f>AND(#REF!,"AAAAAHX8/S0=")</f>
        <v>#REF!</v>
      </c>
      <c r="AU468" t="e">
        <f>AND(#REF!,"AAAAAHX8/S4=")</f>
        <v>#REF!</v>
      </c>
      <c r="AV468" t="e">
        <f>AND(#REF!,"AAAAAHX8/S8=")</f>
        <v>#REF!</v>
      </c>
      <c r="AW468" t="e">
        <f>AND(#REF!,"AAAAAHX8/TA=")</f>
        <v>#REF!</v>
      </c>
      <c r="AX468" t="e">
        <f>AND(#REF!,"AAAAAHX8/TE=")</f>
        <v>#REF!</v>
      </c>
      <c r="AY468" t="e">
        <f>AND(#REF!,"AAAAAHX8/TI=")</f>
        <v>#REF!</v>
      </c>
      <c r="AZ468" t="e">
        <f>AND(#REF!,"AAAAAHX8/TM=")</f>
        <v>#REF!</v>
      </c>
      <c r="BA468" t="e">
        <f>AND(#REF!,"AAAAAHX8/TQ=")</f>
        <v>#REF!</v>
      </c>
      <c r="BB468" t="e">
        <f>AND(#REF!,"AAAAAHX8/TU=")</f>
        <v>#REF!</v>
      </c>
      <c r="BC468" t="e">
        <f>AND(#REF!,"AAAAAHX8/TY=")</f>
        <v>#REF!</v>
      </c>
      <c r="BD468" t="e">
        <f>AND(#REF!,"AAAAAHX8/Tc=")</f>
        <v>#REF!</v>
      </c>
      <c r="BE468" t="e">
        <f>AND(#REF!,"AAAAAHX8/Tg=")</f>
        <v>#REF!</v>
      </c>
      <c r="BF468" t="e">
        <f>AND(#REF!,"AAAAAHX8/Tk=")</f>
        <v>#REF!</v>
      </c>
      <c r="BG468" t="e">
        <f>IF(#REF!,"AAAAAHX8/To=",0)</f>
        <v>#REF!</v>
      </c>
      <c r="BH468" t="e">
        <f>AND(#REF!,"AAAAAHX8/Ts=")</f>
        <v>#REF!</v>
      </c>
      <c r="BI468" t="e">
        <f>AND(#REF!,"AAAAAHX8/Tw=")</f>
        <v>#REF!</v>
      </c>
      <c r="BJ468" t="e">
        <f>AND(#REF!,"AAAAAHX8/T0=")</f>
        <v>#REF!</v>
      </c>
      <c r="BK468" t="e">
        <f>AND(#REF!,"AAAAAHX8/T4=")</f>
        <v>#REF!</v>
      </c>
      <c r="BL468" t="e">
        <f>AND(#REF!,"AAAAAHX8/T8=")</f>
        <v>#REF!</v>
      </c>
      <c r="BM468" t="e">
        <f>AND(#REF!,"AAAAAHX8/UA=")</f>
        <v>#REF!</v>
      </c>
      <c r="BN468" t="e">
        <f>AND(#REF!,"AAAAAHX8/UE=")</f>
        <v>#REF!</v>
      </c>
      <c r="BO468" t="e">
        <f>AND(#REF!,"AAAAAHX8/UI=")</f>
        <v>#REF!</v>
      </c>
      <c r="BP468" t="e">
        <f>AND(#REF!,"AAAAAHX8/UM=")</f>
        <v>#REF!</v>
      </c>
      <c r="BQ468" t="e">
        <f>AND(#REF!,"AAAAAHX8/UQ=")</f>
        <v>#REF!</v>
      </c>
      <c r="BR468" t="e">
        <f>AND(#REF!,"AAAAAHX8/UU=")</f>
        <v>#REF!</v>
      </c>
      <c r="BS468" t="e">
        <f>AND(#REF!,"AAAAAHX8/UY=")</f>
        <v>#REF!</v>
      </c>
      <c r="BT468" t="e">
        <f>AND(#REF!,"AAAAAHX8/Uc=")</f>
        <v>#REF!</v>
      </c>
      <c r="BU468" t="e">
        <f>AND(#REF!,"AAAAAHX8/Ug=")</f>
        <v>#REF!</v>
      </c>
      <c r="BV468" t="e">
        <f>AND(#REF!,"AAAAAHX8/Uk=")</f>
        <v>#REF!</v>
      </c>
      <c r="BW468" t="e">
        <f>AND(#REF!,"AAAAAHX8/Uo=")</f>
        <v>#REF!</v>
      </c>
      <c r="BX468" t="e">
        <f>AND(#REF!,"AAAAAHX8/Us=")</f>
        <v>#REF!</v>
      </c>
      <c r="BY468" t="e">
        <f>AND(#REF!,"AAAAAHX8/Uw=")</f>
        <v>#REF!</v>
      </c>
      <c r="BZ468" t="e">
        <f>AND(#REF!,"AAAAAHX8/U0=")</f>
        <v>#REF!</v>
      </c>
      <c r="CA468" t="e">
        <f>AND(#REF!,"AAAAAHX8/U4=")</f>
        <v>#REF!</v>
      </c>
      <c r="CB468" t="e">
        <f>AND(#REF!,"AAAAAHX8/U8=")</f>
        <v>#REF!</v>
      </c>
      <c r="CC468" t="e">
        <f>AND(#REF!,"AAAAAHX8/VA=")</f>
        <v>#REF!</v>
      </c>
      <c r="CD468" t="e">
        <f>AND(#REF!,"AAAAAHX8/VE=")</f>
        <v>#REF!</v>
      </c>
      <c r="CE468" t="e">
        <f>AND(#REF!,"AAAAAHX8/VI=")</f>
        <v>#REF!</v>
      </c>
      <c r="CF468" t="e">
        <f>IF(#REF!,"AAAAAHX8/VM=",0)</f>
        <v>#REF!</v>
      </c>
      <c r="CG468" t="e">
        <f>AND(#REF!,"AAAAAHX8/VQ=")</f>
        <v>#REF!</v>
      </c>
      <c r="CH468" t="e">
        <f>AND(#REF!,"AAAAAHX8/VU=")</f>
        <v>#REF!</v>
      </c>
      <c r="CI468" t="e">
        <f>AND(#REF!,"AAAAAHX8/VY=")</f>
        <v>#REF!</v>
      </c>
      <c r="CJ468" t="e">
        <f>AND(#REF!,"AAAAAHX8/Vc=")</f>
        <v>#REF!</v>
      </c>
      <c r="CK468" t="e">
        <f>AND(#REF!,"AAAAAHX8/Vg=")</f>
        <v>#REF!</v>
      </c>
      <c r="CL468" t="e">
        <f>AND(#REF!,"AAAAAHX8/Vk=")</f>
        <v>#REF!</v>
      </c>
      <c r="CM468" t="e">
        <f>AND(#REF!,"AAAAAHX8/Vo=")</f>
        <v>#REF!</v>
      </c>
      <c r="CN468" t="e">
        <f>AND(#REF!,"AAAAAHX8/Vs=")</f>
        <v>#REF!</v>
      </c>
      <c r="CO468" t="e">
        <f>AND(#REF!,"AAAAAHX8/Vw=")</f>
        <v>#REF!</v>
      </c>
      <c r="CP468" t="e">
        <f>AND(#REF!,"AAAAAHX8/V0=")</f>
        <v>#REF!</v>
      </c>
      <c r="CQ468" t="e">
        <f>AND(#REF!,"AAAAAHX8/V4=")</f>
        <v>#REF!</v>
      </c>
      <c r="CR468" t="e">
        <f>AND(#REF!,"AAAAAHX8/V8=")</f>
        <v>#REF!</v>
      </c>
      <c r="CS468" t="e">
        <f>AND(#REF!,"AAAAAHX8/WA=")</f>
        <v>#REF!</v>
      </c>
      <c r="CT468" t="e">
        <f>AND(#REF!,"AAAAAHX8/WE=")</f>
        <v>#REF!</v>
      </c>
      <c r="CU468" t="e">
        <f>AND(#REF!,"AAAAAHX8/WI=")</f>
        <v>#REF!</v>
      </c>
      <c r="CV468" t="e">
        <f>AND(#REF!,"AAAAAHX8/WM=")</f>
        <v>#REF!</v>
      </c>
      <c r="CW468" t="e">
        <f>AND(#REF!,"AAAAAHX8/WQ=")</f>
        <v>#REF!</v>
      </c>
      <c r="CX468" t="e">
        <f>AND(#REF!,"AAAAAHX8/WU=")</f>
        <v>#REF!</v>
      </c>
      <c r="CY468" t="e">
        <f>AND(#REF!,"AAAAAHX8/WY=")</f>
        <v>#REF!</v>
      </c>
      <c r="CZ468" t="e">
        <f>AND(#REF!,"AAAAAHX8/Wc=")</f>
        <v>#REF!</v>
      </c>
      <c r="DA468" t="e">
        <f>AND(#REF!,"AAAAAHX8/Wg=")</f>
        <v>#REF!</v>
      </c>
      <c r="DB468" t="e">
        <f>AND(#REF!,"AAAAAHX8/Wk=")</f>
        <v>#REF!</v>
      </c>
      <c r="DC468" t="e">
        <f>AND(#REF!,"AAAAAHX8/Wo=")</f>
        <v>#REF!</v>
      </c>
      <c r="DD468" t="e">
        <f>AND(#REF!,"AAAAAHX8/Ws=")</f>
        <v>#REF!</v>
      </c>
      <c r="DE468" t="e">
        <f>IF(#REF!,"AAAAAHX8/Ww=",0)</f>
        <v>#REF!</v>
      </c>
      <c r="DF468" t="e">
        <f>AND(#REF!,"AAAAAHX8/W0=")</f>
        <v>#REF!</v>
      </c>
      <c r="DG468" t="e">
        <f>AND(#REF!,"AAAAAHX8/W4=")</f>
        <v>#REF!</v>
      </c>
      <c r="DH468" t="e">
        <f>AND(#REF!,"AAAAAHX8/W8=")</f>
        <v>#REF!</v>
      </c>
      <c r="DI468" t="e">
        <f>AND(#REF!,"AAAAAHX8/XA=")</f>
        <v>#REF!</v>
      </c>
      <c r="DJ468" t="e">
        <f>AND(#REF!,"AAAAAHX8/XE=")</f>
        <v>#REF!</v>
      </c>
      <c r="DK468" t="e">
        <f>AND(#REF!,"AAAAAHX8/XI=")</f>
        <v>#REF!</v>
      </c>
      <c r="DL468" t="e">
        <f>AND(#REF!,"AAAAAHX8/XM=")</f>
        <v>#REF!</v>
      </c>
      <c r="DM468" t="e">
        <f>AND(#REF!,"AAAAAHX8/XQ=")</f>
        <v>#REF!</v>
      </c>
      <c r="DN468" t="e">
        <f>AND(#REF!,"AAAAAHX8/XU=")</f>
        <v>#REF!</v>
      </c>
      <c r="DO468" t="e">
        <f>AND(#REF!,"AAAAAHX8/XY=")</f>
        <v>#REF!</v>
      </c>
      <c r="DP468" t="e">
        <f>AND(#REF!,"AAAAAHX8/Xc=")</f>
        <v>#REF!</v>
      </c>
      <c r="DQ468" t="e">
        <f>AND(#REF!,"AAAAAHX8/Xg=")</f>
        <v>#REF!</v>
      </c>
      <c r="DR468" t="e">
        <f>AND(#REF!,"AAAAAHX8/Xk=")</f>
        <v>#REF!</v>
      </c>
      <c r="DS468" t="e">
        <f>AND(#REF!,"AAAAAHX8/Xo=")</f>
        <v>#REF!</v>
      </c>
      <c r="DT468" t="e">
        <f>AND(#REF!,"AAAAAHX8/Xs=")</f>
        <v>#REF!</v>
      </c>
      <c r="DU468" t="e">
        <f>AND(#REF!,"AAAAAHX8/Xw=")</f>
        <v>#REF!</v>
      </c>
      <c r="DV468" t="e">
        <f>AND(#REF!,"AAAAAHX8/X0=")</f>
        <v>#REF!</v>
      </c>
      <c r="DW468" t="e">
        <f>AND(#REF!,"AAAAAHX8/X4=")</f>
        <v>#REF!</v>
      </c>
      <c r="DX468" t="e">
        <f>AND(#REF!,"AAAAAHX8/X8=")</f>
        <v>#REF!</v>
      </c>
      <c r="DY468" t="e">
        <f>AND(#REF!,"AAAAAHX8/YA=")</f>
        <v>#REF!</v>
      </c>
      <c r="DZ468" t="e">
        <f>AND(#REF!,"AAAAAHX8/YE=")</f>
        <v>#REF!</v>
      </c>
      <c r="EA468" t="e">
        <f>AND(#REF!,"AAAAAHX8/YI=")</f>
        <v>#REF!</v>
      </c>
      <c r="EB468" t="e">
        <f>AND(#REF!,"AAAAAHX8/YM=")</f>
        <v>#REF!</v>
      </c>
      <c r="EC468" t="e">
        <f>AND(#REF!,"AAAAAHX8/YQ=")</f>
        <v>#REF!</v>
      </c>
      <c r="ED468" t="e">
        <f>IF(#REF!,"AAAAAHX8/YU=",0)</f>
        <v>#REF!</v>
      </c>
      <c r="EE468" t="e">
        <f>AND(#REF!,"AAAAAHX8/YY=")</f>
        <v>#REF!</v>
      </c>
      <c r="EF468" t="e">
        <f>AND(#REF!,"AAAAAHX8/Yc=")</f>
        <v>#REF!</v>
      </c>
      <c r="EG468" t="e">
        <f>AND(#REF!,"AAAAAHX8/Yg=")</f>
        <v>#REF!</v>
      </c>
      <c r="EH468" t="e">
        <f>AND(#REF!,"AAAAAHX8/Yk=")</f>
        <v>#REF!</v>
      </c>
      <c r="EI468" t="e">
        <f>AND(#REF!,"AAAAAHX8/Yo=")</f>
        <v>#REF!</v>
      </c>
      <c r="EJ468" t="e">
        <f>AND(#REF!,"AAAAAHX8/Ys=")</f>
        <v>#REF!</v>
      </c>
      <c r="EK468" t="e">
        <f>AND(#REF!,"AAAAAHX8/Yw=")</f>
        <v>#REF!</v>
      </c>
      <c r="EL468" t="e">
        <f>AND(#REF!,"AAAAAHX8/Y0=")</f>
        <v>#REF!</v>
      </c>
      <c r="EM468" t="e">
        <f>AND(#REF!,"AAAAAHX8/Y4=")</f>
        <v>#REF!</v>
      </c>
      <c r="EN468" t="e">
        <f>AND(#REF!,"AAAAAHX8/Y8=")</f>
        <v>#REF!</v>
      </c>
      <c r="EO468" t="e">
        <f>AND(#REF!,"AAAAAHX8/ZA=")</f>
        <v>#REF!</v>
      </c>
      <c r="EP468" t="e">
        <f>AND(#REF!,"AAAAAHX8/ZE=")</f>
        <v>#REF!</v>
      </c>
      <c r="EQ468" t="e">
        <f>AND(#REF!,"AAAAAHX8/ZI=")</f>
        <v>#REF!</v>
      </c>
      <c r="ER468" t="e">
        <f>AND(#REF!,"AAAAAHX8/ZM=")</f>
        <v>#REF!</v>
      </c>
      <c r="ES468" t="e">
        <f>AND(#REF!,"AAAAAHX8/ZQ=")</f>
        <v>#REF!</v>
      </c>
      <c r="ET468" t="e">
        <f>AND(#REF!,"AAAAAHX8/ZU=")</f>
        <v>#REF!</v>
      </c>
      <c r="EU468" t="e">
        <f>AND(#REF!,"AAAAAHX8/ZY=")</f>
        <v>#REF!</v>
      </c>
      <c r="EV468" t="e">
        <f>AND(#REF!,"AAAAAHX8/Zc=")</f>
        <v>#REF!</v>
      </c>
      <c r="EW468" t="e">
        <f>AND(#REF!,"AAAAAHX8/Zg=")</f>
        <v>#REF!</v>
      </c>
      <c r="EX468" t="e">
        <f>AND(#REF!,"AAAAAHX8/Zk=")</f>
        <v>#REF!</v>
      </c>
      <c r="EY468" t="e">
        <f>AND(#REF!,"AAAAAHX8/Zo=")</f>
        <v>#REF!</v>
      </c>
      <c r="EZ468" t="e">
        <f>AND(#REF!,"AAAAAHX8/Zs=")</f>
        <v>#REF!</v>
      </c>
      <c r="FA468" t="e">
        <f>AND(#REF!,"AAAAAHX8/Zw=")</f>
        <v>#REF!</v>
      </c>
      <c r="FB468" t="e">
        <f>AND(#REF!,"AAAAAHX8/Z0=")</f>
        <v>#REF!</v>
      </c>
      <c r="FC468" t="e">
        <f>IF(#REF!,"AAAAAHX8/Z4=",0)</f>
        <v>#REF!</v>
      </c>
      <c r="FD468" t="e">
        <f>AND(#REF!,"AAAAAHX8/Z8=")</f>
        <v>#REF!</v>
      </c>
      <c r="FE468" t="e">
        <f>AND(#REF!,"AAAAAHX8/aA=")</f>
        <v>#REF!</v>
      </c>
      <c r="FF468" t="e">
        <f>AND(#REF!,"AAAAAHX8/aE=")</f>
        <v>#REF!</v>
      </c>
      <c r="FG468" t="e">
        <f>AND(#REF!,"AAAAAHX8/aI=")</f>
        <v>#REF!</v>
      </c>
      <c r="FH468" t="e">
        <f>AND(#REF!,"AAAAAHX8/aM=")</f>
        <v>#REF!</v>
      </c>
      <c r="FI468" t="e">
        <f>AND(#REF!,"AAAAAHX8/aQ=")</f>
        <v>#REF!</v>
      </c>
      <c r="FJ468" t="e">
        <f>AND(#REF!,"AAAAAHX8/aU=")</f>
        <v>#REF!</v>
      </c>
      <c r="FK468" t="e">
        <f>AND(#REF!,"AAAAAHX8/aY=")</f>
        <v>#REF!</v>
      </c>
      <c r="FL468" t="e">
        <f>AND(#REF!,"AAAAAHX8/ac=")</f>
        <v>#REF!</v>
      </c>
      <c r="FM468" t="e">
        <f>AND(#REF!,"AAAAAHX8/ag=")</f>
        <v>#REF!</v>
      </c>
      <c r="FN468" t="e">
        <f>AND(#REF!,"AAAAAHX8/ak=")</f>
        <v>#REF!</v>
      </c>
      <c r="FO468" t="e">
        <f>AND(#REF!,"AAAAAHX8/ao=")</f>
        <v>#REF!</v>
      </c>
      <c r="FP468" t="e">
        <f>AND(#REF!,"AAAAAHX8/as=")</f>
        <v>#REF!</v>
      </c>
      <c r="FQ468" t="e">
        <f>AND(#REF!,"AAAAAHX8/aw=")</f>
        <v>#REF!</v>
      </c>
      <c r="FR468" t="e">
        <f>AND(#REF!,"AAAAAHX8/a0=")</f>
        <v>#REF!</v>
      </c>
      <c r="FS468" t="e">
        <f>AND(#REF!,"AAAAAHX8/a4=")</f>
        <v>#REF!</v>
      </c>
      <c r="FT468" t="e">
        <f>AND(#REF!,"AAAAAHX8/a8=")</f>
        <v>#REF!</v>
      </c>
      <c r="FU468" t="e">
        <f>AND(#REF!,"AAAAAHX8/bA=")</f>
        <v>#REF!</v>
      </c>
      <c r="FV468" t="e">
        <f>AND(#REF!,"AAAAAHX8/bE=")</f>
        <v>#REF!</v>
      </c>
      <c r="FW468" t="e">
        <f>AND(#REF!,"AAAAAHX8/bI=")</f>
        <v>#REF!</v>
      </c>
      <c r="FX468" t="e">
        <f>AND(#REF!,"AAAAAHX8/bM=")</f>
        <v>#REF!</v>
      </c>
      <c r="FY468" t="e">
        <f>AND(#REF!,"AAAAAHX8/bQ=")</f>
        <v>#REF!</v>
      </c>
      <c r="FZ468" t="e">
        <f>AND(#REF!,"AAAAAHX8/bU=")</f>
        <v>#REF!</v>
      </c>
      <c r="GA468" t="e">
        <f>AND(#REF!,"AAAAAHX8/bY=")</f>
        <v>#REF!</v>
      </c>
      <c r="GB468" t="e">
        <f>IF(#REF!,"AAAAAHX8/bc=",0)</f>
        <v>#REF!</v>
      </c>
      <c r="GC468" t="e">
        <f>AND(#REF!,"AAAAAHX8/bg=")</f>
        <v>#REF!</v>
      </c>
      <c r="GD468" t="e">
        <f>AND(#REF!,"AAAAAHX8/bk=")</f>
        <v>#REF!</v>
      </c>
      <c r="GE468" t="e">
        <f>AND(#REF!,"AAAAAHX8/bo=")</f>
        <v>#REF!</v>
      </c>
      <c r="GF468" t="e">
        <f>AND(#REF!,"AAAAAHX8/bs=")</f>
        <v>#REF!</v>
      </c>
      <c r="GG468" t="e">
        <f>AND(#REF!,"AAAAAHX8/bw=")</f>
        <v>#REF!</v>
      </c>
      <c r="GH468" t="e">
        <f>AND(#REF!,"AAAAAHX8/b0=")</f>
        <v>#REF!</v>
      </c>
      <c r="GI468" t="e">
        <f>AND(#REF!,"AAAAAHX8/b4=")</f>
        <v>#REF!</v>
      </c>
      <c r="GJ468" t="e">
        <f>AND(#REF!,"AAAAAHX8/b8=")</f>
        <v>#REF!</v>
      </c>
      <c r="GK468" t="e">
        <f>AND(#REF!,"AAAAAHX8/cA=")</f>
        <v>#REF!</v>
      </c>
      <c r="GL468" t="e">
        <f>AND(#REF!,"AAAAAHX8/cE=")</f>
        <v>#REF!</v>
      </c>
      <c r="GM468" t="e">
        <f>AND(#REF!,"AAAAAHX8/cI=")</f>
        <v>#REF!</v>
      </c>
      <c r="GN468" t="e">
        <f>AND(#REF!,"AAAAAHX8/cM=")</f>
        <v>#REF!</v>
      </c>
      <c r="GO468" t="e">
        <f>AND(#REF!,"AAAAAHX8/cQ=")</f>
        <v>#REF!</v>
      </c>
      <c r="GP468" t="e">
        <f>AND(#REF!,"AAAAAHX8/cU=")</f>
        <v>#REF!</v>
      </c>
      <c r="GQ468" t="e">
        <f>AND(#REF!,"AAAAAHX8/cY=")</f>
        <v>#REF!</v>
      </c>
      <c r="GR468" t="e">
        <f>AND(#REF!,"AAAAAHX8/cc=")</f>
        <v>#REF!</v>
      </c>
      <c r="GS468" t="e">
        <f>AND(#REF!,"AAAAAHX8/cg=")</f>
        <v>#REF!</v>
      </c>
      <c r="GT468" t="e">
        <f>AND(#REF!,"AAAAAHX8/ck=")</f>
        <v>#REF!</v>
      </c>
      <c r="GU468" t="e">
        <f>AND(#REF!,"AAAAAHX8/co=")</f>
        <v>#REF!</v>
      </c>
      <c r="GV468" t="e">
        <f>AND(#REF!,"AAAAAHX8/cs=")</f>
        <v>#REF!</v>
      </c>
      <c r="GW468" t="e">
        <f>AND(#REF!,"AAAAAHX8/cw=")</f>
        <v>#REF!</v>
      </c>
      <c r="GX468" t="e">
        <f>AND(#REF!,"AAAAAHX8/c0=")</f>
        <v>#REF!</v>
      </c>
      <c r="GY468" t="e">
        <f>AND(#REF!,"AAAAAHX8/c4=")</f>
        <v>#REF!</v>
      </c>
      <c r="GZ468" t="e">
        <f>AND(#REF!,"AAAAAHX8/c8=")</f>
        <v>#REF!</v>
      </c>
      <c r="HA468" t="e">
        <f>IF(#REF!,"AAAAAHX8/dA=",0)</f>
        <v>#REF!</v>
      </c>
      <c r="HB468" t="e">
        <f>AND(#REF!,"AAAAAHX8/dE=")</f>
        <v>#REF!</v>
      </c>
      <c r="HC468" t="e">
        <f>AND(#REF!,"AAAAAHX8/dI=")</f>
        <v>#REF!</v>
      </c>
      <c r="HD468" t="e">
        <f>AND(#REF!,"AAAAAHX8/dM=")</f>
        <v>#REF!</v>
      </c>
      <c r="HE468" t="e">
        <f>AND(#REF!,"AAAAAHX8/dQ=")</f>
        <v>#REF!</v>
      </c>
      <c r="HF468" t="e">
        <f>AND(#REF!,"AAAAAHX8/dU=")</f>
        <v>#REF!</v>
      </c>
      <c r="HG468" t="e">
        <f>AND(#REF!,"AAAAAHX8/dY=")</f>
        <v>#REF!</v>
      </c>
      <c r="HH468" t="e">
        <f>AND(#REF!,"AAAAAHX8/dc=")</f>
        <v>#REF!</v>
      </c>
      <c r="HI468" t="e">
        <f>AND(#REF!,"AAAAAHX8/dg=")</f>
        <v>#REF!</v>
      </c>
      <c r="HJ468" t="e">
        <f>AND(#REF!,"AAAAAHX8/dk=")</f>
        <v>#REF!</v>
      </c>
      <c r="HK468" t="e">
        <f>AND(#REF!,"AAAAAHX8/do=")</f>
        <v>#REF!</v>
      </c>
      <c r="HL468" t="e">
        <f>AND(#REF!,"AAAAAHX8/ds=")</f>
        <v>#REF!</v>
      </c>
      <c r="HM468" t="e">
        <f>AND(#REF!,"AAAAAHX8/dw=")</f>
        <v>#REF!</v>
      </c>
      <c r="HN468" t="e">
        <f>AND(#REF!,"AAAAAHX8/d0=")</f>
        <v>#REF!</v>
      </c>
      <c r="HO468" t="e">
        <f>AND(#REF!,"AAAAAHX8/d4=")</f>
        <v>#REF!</v>
      </c>
      <c r="HP468" t="e">
        <f>AND(#REF!,"AAAAAHX8/d8=")</f>
        <v>#REF!</v>
      </c>
      <c r="HQ468" t="e">
        <f>AND(#REF!,"AAAAAHX8/eA=")</f>
        <v>#REF!</v>
      </c>
      <c r="HR468" t="e">
        <f>AND(#REF!,"AAAAAHX8/eE=")</f>
        <v>#REF!</v>
      </c>
      <c r="HS468" t="e">
        <f>AND(#REF!,"AAAAAHX8/eI=")</f>
        <v>#REF!</v>
      </c>
      <c r="HT468" t="e">
        <f>AND(#REF!,"AAAAAHX8/eM=")</f>
        <v>#REF!</v>
      </c>
      <c r="HU468" t="e">
        <f>AND(#REF!,"AAAAAHX8/eQ=")</f>
        <v>#REF!</v>
      </c>
      <c r="HV468" t="e">
        <f>AND(#REF!,"AAAAAHX8/eU=")</f>
        <v>#REF!</v>
      </c>
      <c r="HW468" t="e">
        <f>AND(#REF!,"AAAAAHX8/eY=")</f>
        <v>#REF!</v>
      </c>
      <c r="HX468" t="e">
        <f>AND(#REF!,"AAAAAHX8/ec=")</f>
        <v>#REF!</v>
      </c>
      <c r="HY468" t="e">
        <f>AND(#REF!,"AAAAAHX8/eg=")</f>
        <v>#REF!</v>
      </c>
      <c r="HZ468" t="e">
        <f>IF(#REF!,"AAAAAHX8/ek=",0)</f>
        <v>#REF!</v>
      </c>
      <c r="IA468" t="e">
        <f>AND(#REF!,"AAAAAHX8/eo=")</f>
        <v>#REF!</v>
      </c>
      <c r="IB468" t="e">
        <f>AND(#REF!,"AAAAAHX8/es=")</f>
        <v>#REF!</v>
      </c>
      <c r="IC468" t="e">
        <f>AND(#REF!,"AAAAAHX8/ew=")</f>
        <v>#REF!</v>
      </c>
      <c r="ID468" t="e">
        <f>AND(#REF!,"AAAAAHX8/e0=")</f>
        <v>#REF!</v>
      </c>
      <c r="IE468" t="e">
        <f>AND(#REF!,"AAAAAHX8/e4=")</f>
        <v>#REF!</v>
      </c>
      <c r="IF468" t="e">
        <f>AND(#REF!,"AAAAAHX8/e8=")</f>
        <v>#REF!</v>
      </c>
      <c r="IG468" t="e">
        <f>AND(#REF!,"AAAAAHX8/fA=")</f>
        <v>#REF!</v>
      </c>
      <c r="IH468" t="e">
        <f>AND(#REF!,"AAAAAHX8/fE=")</f>
        <v>#REF!</v>
      </c>
      <c r="II468" t="e">
        <f>AND(#REF!,"AAAAAHX8/fI=")</f>
        <v>#REF!</v>
      </c>
      <c r="IJ468" t="e">
        <f>AND(#REF!,"AAAAAHX8/fM=")</f>
        <v>#REF!</v>
      </c>
      <c r="IK468" t="e">
        <f>AND(#REF!,"AAAAAHX8/fQ=")</f>
        <v>#REF!</v>
      </c>
      <c r="IL468" t="e">
        <f>AND(#REF!,"AAAAAHX8/fU=")</f>
        <v>#REF!</v>
      </c>
      <c r="IM468" t="e">
        <f>AND(#REF!,"AAAAAHX8/fY=")</f>
        <v>#REF!</v>
      </c>
      <c r="IN468" t="e">
        <f>AND(#REF!,"AAAAAHX8/fc=")</f>
        <v>#REF!</v>
      </c>
      <c r="IO468" t="e">
        <f>AND(#REF!,"AAAAAHX8/fg=")</f>
        <v>#REF!</v>
      </c>
      <c r="IP468" t="e">
        <f>AND(#REF!,"AAAAAHX8/fk=")</f>
        <v>#REF!</v>
      </c>
      <c r="IQ468" t="e">
        <f>AND(#REF!,"AAAAAHX8/fo=")</f>
        <v>#REF!</v>
      </c>
      <c r="IR468" t="e">
        <f>AND(#REF!,"AAAAAHX8/fs=")</f>
        <v>#REF!</v>
      </c>
      <c r="IS468" t="e">
        <f>AND(#REF!,"AAAAAHX8/fw=")</f>
        <v>#REF!</v>
      </c>
      <c r="IT468" t="e">
        <f>AND(#REF!,"AAAAAHX8/f0=")</f>
        <v>#REF!</v>
      </c>
      <c r="IU468" t="e">
        <f>AND(#REF!,"AAAAAHX8/f4=")</f>
        <v>#REF!</v>
      </c>
      <c r="IV468" t="e">
        <f>AND(#REF!,"AAAAAHX8/f8=")</f>
        <v>#REF!</v>
      </c>
    </row>
    <row r="469" spans="1:256">
      <c r="A469" t="e">
        <f>AND(#REF!,"AAAAAF5HvwA=")</f>
        <v>#REF!</v>
      </c>
      <c r="B469" t="e">
        <f>AND(#REF!,"AAAAAF5HvwE=")</f>
        <v>#REF!</v>
      </c>
      <c r="C469" t="e">
        <f>IF(#REF!,"AAAAAF5HvwI=",0)</f>
        <v>#REF!</v>
      </c>
      <c r="D469" t="e">
        <f>AND(#REF!,"AAAAAF5HvwM=")</f>
        <v>#REF!</v>
      </c>
      <c r="E469" t="e">
        <f>AND(#REF!,"AAAAAF5HvwQ=")</f>
        <v>#REF!</v>
      </c>
      <c r="F469" t="e">
        <f>AND(#REF!,"AAAAAF5HvwU=")</f>
        <v>#REF!</v>
      </c>
      <c r="G469" t="e">
        <f>AND(#REF!,"AAAAAF5HvwY=")</f>
        <v>#REF!</v>
      </c>
      <c r="H469" t="e">
        <f>AND(#REF!,"AAAAAF5Hvwc=")</f>
        <v>#REF!</v>
      </c>
      <c r="I469" t="e">
        <f>AND(#REF!,"AAAAAF5Hvwg=")</f>
        <v>#REF!</v>
      </c>
      <c r="J469" t="e">
        <f>AND(#REF!,"AAAAAF5Hvwk=")</f>
        <v>#REF!</v>
      </c>
      <c r="K469" t="e">
        <f>AND(#REF!,"AAAAAF5Hvwo=")</f>
        <v>#REF!</v>
      </c>
      <c r="L469" t="e">
        <f>AND(#REF!,"AAAAAF5Hvws=")</f>
        <v>#REF!</v>
      </c>
      <c r="M469" t="e">
        <f>AND(#REF!,"AAAAAF5Hvww=")</f>
        <v>#REF!</v>
      </c>
      <c r="N469" t="e">
        <f>AND(#REF!,"AAAAAF5Hvw0=")</f>
        <v>#REF!</v>
      </c>
      <c r="O469" t="e">
        <f>AND(#REF!,"AAAAAF5Hvw4=")</f>
        <v>#REF!</v>
      </c>
      <c r="P469" t="e">
        <f>AND(#REF!,"AAAAAF5Hvw8=")</f>
        <v>#REF!</v>
      </c>
      <c r="Q469" t="e">
        <f>AND(#REF!,"AAAAAF5HvxA=")</f>
        <v>#REF!</v>
      </c>
      <c r="R469" t="e">
        <f>AND(#REF!,"AAAAAF5HvxE=")</f>
        <v>#REF!</v>
      </c>
      <c r="S469" t="e">
        <f>AND(#REF!,"AAAAAF5HvxI=")</f>
        <v>#REF!</v>
      </c>
      <c r="T469" t="e">
        <f>AND(#REF!,"AAAAAF5HvxM=")</f>
        <v>#REF!</v>
      </c>
      <c r="U469" t="e">
        <f>AND(#REF!,"AAAAAF5HvxQ=")</f>
        <v>#REF!</v>
      </c>
      <c r="V469" t="e">
        <f>AND(#REF!,"AAAAAF5HvxU=")</f>
        <v>#REF!</v>
      </c>
      <c r="W469" t="e">
        <f>AND(#REF!,"AAAAAF5HvxY=")</f>
        <v>#REF!</v>
      </c>
      <c r="X469" t="e">
        <f>AND(#REF!,"AAAAAF5Hvxc=")</f>
        <v>#REF!</v>
      </c>
      <c r="Y469" t="e">
        <f>AND(#REF!,"AAAAAF5Hvxg=")</f>
        <v>#REF!</v>
      </c>
      <c r="Z469" t="e">
        <f>AND(#REF!,"AAAAAF5Hvxk=")</f>
        <v>#REF!</v>
      </c>
      <c r="AA469" t="e">
        <f>AND(#REF!,"AAAAAF5Hvxo=")</f>
        <v>#REF!</v>
      </c>
      <c r="AB469" t="e">
        <f>IF(#REF!,"AAAAAF5Hvxs=",0)</f>
        <v>#REF!</v>
      </c>
      <c r="AC469" t="e">
        <f>AND(#REF!,"AAAAAF5Hvxw=")</f>
        <v>#REF!</v>
      </c>
      <c r="AD469" t="e">
        <f>AND(#REF!,"AAAAAF5Hvx0=")</f>
        <v>#REF!</v>
      </c>
      <c r="AE469" t="e">
        <f>AND(#REF!,"AAAAAF5Hvx4=")</f>
        <v>#REF!</v>
      </c>
      <c r="AF469" t="e">
        <f>AND(#REF!,"AAAAAF5Hvx8=")</f>
        <v>#REF!</v>
      </c>
      <c r="AG469" t="e">
        <f>AND(#REF!,"AAAAAF5HvyA=")</f>
        <v>#REF!</v>
      </c>
      <c r="AH469" t="e">
        <f>AND(#REF!,"AAAAAF5HvyE=")</f>
        <v>#REF!</v>
      </c>
      <c r="AI469" t="e">
        <f>AND(#REF!,"AAAAAF5HvyI=")</f>
        <v>#REF!</v>
      </c>
      <c r="AJ469" t="e">
        <f>AND(#REF!,"AAAAAF5HvyM=")</f>
        <v>#REF!</v>
      </c>
      <c r="AK469" t="e">
        <f>AND(#REF!,"AAAAAF5HvyQ=")</f>
        <v>#REF!</v>
      </c>
      <c r="AL469" t="e">
        <f>AND(#REF!,"AAAAAF5HvyU=")</f>
        <v>#REF!</v>
      </c>
      <c r="AM469" t="e">
        <f>AND(#REF!,"AAAAAF5HvyY=")</f>
        <v>#REF!</v>
      </c>
      <c r="AN469" t="e">
        <f>AND(#REF!,"AAAAAF5Hvyc=")</f>
        <v>#REF!</v>
      </c>
      <c r="AO469" t="e">
        <f>AND(#REF!,"AAAAAF5Hvyg=")</f>
        <v>#REF!</v>
      </c>
      <c r="AP469" t="e">
        <f>AND(#REF!,"AAAAAF5Hvyk=")</f>
        <v>#REF!</v>
      </c>
      <c r="AQ469" t="e">
        <f>AND(#REF!,"AAAAAF5Hvyo=")</f>
        <v>#REF!</v>
      </c>
      <c r="AR469" t="e">
        <f>AND(#REF!,"AAAAAF5Hvys=")</f>
        <v>#REF!</v>
      </c>
      <c r="AS469" t="e">
        <f>AND(#REF!,"AAAAAF5Hvyw=")</f>
        <v>#REF!</v>
      </c>
      <c r="AT469" t="e">
        <f>AND(#REF!,"AAAAAF5Hvy0=")</f>
        <v>#REF!</v>
      </c>
      <c r="AU469" t="e">
        <f>AND(#REF!,"AAAAAF5Hvy4=")</f>
        <v>#REF!</v>
      </c>
      <c r="AV469" t="e">
        <f>AND(#REF!,"AAAAAF5Hvy8=")</f>
        <v>#REF!</v>
      </c>
      <c r="AW469" t="e">
        <f>AND(#REF!,"AAAAAF5HvzA=")</f>
        <v>#REF!</v>
      </c>
      <c r="AX469" t="e">
        <f>AND(#REF!,"AAAAAF5HvzE=")</f>
        <v>#REF!</v>
      </c>
      <c r="AY469" t="e">
        <f>AND(#REF!,"AAAAAF5HvzI=")</f>
        <v>#REF!</v>
      </c>
      <c r="AZ469" t="e">
        <f>AND(#REF!,"AAAAAF5HvzM=")</f>
        <v>#REF!</v>
      </c>
      <c r="BA469" t="e">
        <f>IF(#REF!,"AAAAAF5HvzQ=",0)</f>
        <v>#REF!</v>
      </c>
      <c r="BB469" t="e">
        <f>AND(#REF!,"AAAAAF5HvzU=")</f>
        <v>#REF!</v>
      </c>
      <c r="BC469" t="e">
        <f>AND(#REF!,"AAAAAF5HvzY=")</f>
        <v>#REF!</v>
      </c>
      <c r="BD469" t="e">
        <f>AND(#REF!,"AAAAAF5Hvzc=")</f>
        <v>#REF!</v>
      </c>
      <c r="BE469" t="e">
        <f>AND(#REF!,"AAAAAF5Hvzg=")</f>
        <v>#REF!</v>
      </c>
      <c r="BF469" t="e">
        <f>AND(#REF!,"AAAAAF5Hvzk=")</f>
        <v>#REF!</v>
      </c>
      <c r="BG469" t="e">
        <f>AND(#REF!,"AAAAAF5Hvzo=")</f>
        <v>#REF!</v>
      </c>
      <c r="BH469" t="e">
        <f>AND(#REF!,"AAAAAF5Hvzs=")</f>
        <v>#REF!</v>
      </c>
      <c r="BI469" t="e">
        <f>AND(#REF!,"AAAAAF5Hvzw=")</f>
        <v>#REF!</v>
      </c>
      <c r="BJ469" t="e">
        <f>AND(#REF!,"AAAAAF5Hvz0=")</f>
        <v>#REF!</v>
      </c>
      <c r="BK469" t="e">
        <f>AND(#REF!,"AAAAAF5Hvz4=")</f>
        <v>#REF!</v>
      </c>
      <c r="BL469" t="e">
        <f>AND(#REF!,"AAAAAF5Hvz8=")</f>
        <v>#REF!</v>
      </c>
      <c r="BM469" t="e">
        <f>AND(#REF!,"AAAAAF5Hv0A=")</f>
        <v>#REF!</v>
      </c>
      <c r="BN469" t="e">
        <f>AND(#REF!,"AAAAAF5Hv0E=")</f>
        <v>#REF!</v>
      </c>
      <c r="BO469" t="e">
        <f>AND(#REF!,"AAAAAF5Hv0I=")</f>
        <v>#REF!</v>
      </c>
      <c r="BP469" t="e">
        <f>AND(#REF!,"AAAAAF5Hv0M=")</f>
        <v>#REF!</v>
      </c>
      <c r="BQ469" t="e">
        <f>AND(#REF!,"AAAAAF5Hv0Q=")</f>
        <v>#REF!</v>
      </c>
      <c r="BR469" t="e">
        <f>AND(#REF!,"AAAAAF5Hv0U=")</f>
        <v>#REF!</v>
      </c>
      <c r="BS469" t="e">
        <f>AND(#REF!,"AAAAAF5Hv0Y=")</f>
        <v>#REF!</v>
      </c>
      <c r="BT469" t="e">
        <f>AND(#REF!,"AAAAAF5Hv0c=")</f>
        <v>#REF!</v>
      </c>
      <c r="BU469" t="e">
        <f>AND(#REF!,"AAAAAF5Hv0g=")</f>
        <v>#REF!</v>
      </c>
      <c r="BV469" t="e">
        <f>AND(#REF!,"AAAAAF5Hv0k=")</f>
        <v>#REF!</v>
      </c>
      <c r="BW469" t="e">
        <f>AND(#REF!,"AAAAAF5Hv0o=")</f>
        <v>#REF!</v>
      </c>
      <c r="BX469" t="e">
        <f>AND(#REF!,"AAAAAF5Hv0s=")</f>
        <v>#REF!</v>
      </c>
      <c r="BY469" t="e">
        <f>AND(#REF!,"AAAAAF5Hv0w=")</f>
        <v>#REF!</v>
      </c>
      <c r="BZ469" t="e">
        <f>IF(#REF!,"AAAAAF5Hv00=",0)</f>
        <v>#REF!</v>
      </c>
      <c r="CA469" t="e">
        <f>AND(#REF!,"AAAAAF5Hv04=")</f>
        <v>#REF!</v>
      </c>
      <c r="CB469" t="e">
        <f>AND(#REF!,"AAAAAF5Hv08=")</f>
        <v>#REF!</v>
      </c>
      <c r="CC469" t="e">
        <f>AND(#REF!,"AAAAAF5Hv1A=")</f>
        <v>#REF!</v>
      </c>
      <c r="CD469" t="e">
        <f>AND(#REF!,"AAAAAF5Hv1E=")</f>
        <v>#REF!</v>
      </c>
      <c r="CE469" t="e">
        <f>AND(#REF!,"AAAAAF5Hv1I=")</f>
        <v>#REF!</v>
      </c>
      <c r="CF469" t="e">
        <f>AND(#REF!,"AAAAAF5Hv1M=")</f>
        <v>#REF!</v>
      </c>
      <c r="CG469" t="e">
        <f>AND(#REF!,"AAAAAF5Hv1Q=")</f>
        <v>#REF!</v>
      </c>
      <c r="CH469" t="e">
        <f>AND(#REF!,"AAAAAF5Hv1U=")</f>
        <v>#REF!</v>
      </c>
      <c r="CI469" t="e">
        <f>AND(#REF!,"AAAAAF5Hv1Y=")</f>
        <v>#REF!</v>
      </c>
      <c r="CJ469" t="e">
        <f>AND(#REF!,"AAAAAF5Hv1c=")</f>
        <v>#REF!</v>
      </c>
      <c r="CK469" t="e">
        <f>AND(#REF!,"AAAAAF5Hv1g=")</f>
        <v>#REF!</v>
      </c>
      <c r="CL469" t="e">
        <f>AND(#REF!,"AAAAAF5Hv1k=")</f>
        <v>#REF!</v>
      </c>
      <c r="CM469" t="e">
        <f>AND(#REF!,"AAAAAF5Hv1o=")</f>
        <v>#REF!</v>
      </c>
      <c r="CN469" t="e">
        <f>AND(#REF!,"AAAAAF5Hv1s=")</f>
        <v>#REF!</v>
      </c>
      <c r="CO469" t="e">
        <f>AND(#REF!,"AAAAAF5Hv1w=")</f>
        <v>#REF!</v>
      </c>
      <c r="CP469" t="e">
        <f>AND(#REF!,"AAAAAF5Hv10=")</f>
        <v>#REF!</v>
      </c>
      <c r="CQ469" t="e">
        <f>AND(#REF!,"AAAAAF5Hv14=")</f>
        <v>#REF!</v>
      </c>
      <c r="CR469" t="e">
        <f>AND(#REF!,"AAAAAF5Hv18=")</f>
        <v>#REF!</v>
      </c>
      <c r="CS469" t="e">
        <f>AND(#REF!,"AAAAAF5Hv2A=")</f>
        <v>#REF!</v>
      </c>
      <c r="CT469" t="e">
        <f>AND(#REF!,"AAAAAF5Hv2E=")</f>
        <v>#REF!</v>
      </c>
      <c r="CU469" t="e">
        <f>AND(#REF!,"AAAAAF5Hv2I=")</f>
        <v>#REF!</v>
      </c>
      <c r="CV469" t="e">
        <f>AND(#REF!,"AAAAAF5Hv2M=")</f>
        <v>#REF!</v>
      </c>
      <c r="CW469" t="e">
        <f>AND(#REF!,"AAAAAF5Hv2Q=")</f>
        <v>#REF!</v>
      </c>
      <c r="CX469" t="e">
        <f>AND(#REF!,"AAAAAF5Hv2U=")</f>
        <v>#REF!</v>
      </c>
      <c r="CY469" t="e">
        <f>IF(#REF!,"AAAAAF5Hv2Y=",0)</f>
        <v>#REF!</v>
      </c>
      <c r="CZ469" t="e">
        <f>AND(#REF!,"AAAAAF5Hv2c=")</f>
        <v>#REF!</v>
      </c>
      <c r="DA469" t="e">
        <f>AND(#REF!,"AAAAAF5Hv2g=")</f>
        <v>#REF!</v>
      </c>
      <c r="DB469" t="e">
        <f>AND(#REF!,"AAAAAF5Hv2k=")</f>
        <v>#REF!</v>
      </c>
      <c r="DC469" t="e">
        <f>AND(#REF!,"AAAAAF5Hv2o=")</f>
        <v>#REF!</v>
      </c>
      <c r="DD469" t="e">
        <f>AND(#REF!,"AAAAAF5Hv2s=")</f>
        <v>#REF!</v>
      </c>
      <c r="DE469" t="e">
        <f>AND(#REF!,"AAAAAF5Hv2w=")</f>
        <v>#REF!</v>
      </c>
      <c r="DF469" t="e">
        <f>AND(#REF!,"AAAAAF5Hv20=")</f>
        <v>#REF!</v>
      </c>
      <c r="DG469" t="e">
        <f>AND(#REF!,"AAAAAF5Hv24=")</f>
        <v>#REF!</v>
      </c>
      <c r="DH469" t="e">
        <f>AND(#REF!,"AAAAAF5Hv28=")</f>
        <v>#REF!</v>
      </c>
      <c r="DI469" t="e">
        <f>AND(#REF!,"AAAAAF5Hv3A=")</f>
        <v>#REF!</v>
      </c>
      <c r="DJ469" t="e">
        <f>AND(#REF!,"AAAAAF5Hv3E=")</f>
        <v>#REF!</v>
      </c>
      <c r="DK469" t="e">
        <f>AND(#REF!,"AAAAAF5Hv3I=")</f>
        <v>#REF!</v>
      </c>
      <c r="DL469" t="e">
        <f>AND(#REF!,"AAAAAF5Hv3M=")</f>
        <v>#REF!</v>
      </c>
      <c r="DM469" t="e">
        <f>AND(#REF!,"AAAAAF5Hv3Q=")</f>
        <v>#REF!</v>
      </c>
      <c r="DN469" t="e">
        <f>AND(#REF!,"AAAAAF5Hv3U=")</f>
        <v>#REF!</v>
      </c>
      <c r="DO469" t="e">
        <f>AND(#REF!,"AAAAAF5Hv3Y=")</f>
        <v>#REF!</v>
      </c>
      <c r="DP469" t="e">
        <f>AND(#REF!,"AAAAAF5Hv3c=")</f>
        <v>#REF!</v>
      </c>
      <c r="DQ469" t="e">
        <f>AND(#REF!,"AAAAAF5Hv3g=")</f>
        <v>#REF!</v>
      </c>
      <c r="DR469" t="e">
        <f>AND(#REF!,"AAAAAF5Hv3k=")</f>
        <v>#REF!</v>
      </c>
      <c r="DS469" t="e">
        <f>AND(#REF!,"AAAAAF5Hv3o=")</f>
        <v>#REF!</v>
      </c>
      <c r="DT469" t="e">
        <f>AND(#REF!,"AAAAAF5Hv3s=")</f>
        <v>#REF!</v>
      </c>
      <c r="DU469" t="e">
        <f>AND(#REF!,"AAAAAF5Hv3w=")</f>
        <v>#REF!</v>
      </c>
      <c r="DV469" t="e">
        <f>AND(#REF!,"AAAAAF5Hv30=")</f>
        <v>#REF!</v>
      </c>
      <c r="DW469" t="e">
        <f>AND(#REF!,"AAAAAF5Hv34=")</f>
        <v>#REF!</v>
      </c>
      <c r="DX469" t="e">
        <f>IF(#REF!,"AAAAAF5Hv38=",0)</f>
        <v>#REF!</v>
      </c>
      <c r="DY469" t="e">
        <f>AND(#REF!,"AAAAAF5Hv4A=")</f>
        <v>#REF!</v>
      </c>
      <c r="DZ469" t="e">
        <f>AND(#REF!,"AAAAAF5Hv4E=")</f>
        <v>#REF!</v>
      </c>
      <c r="EA469" t="e">
        <f>AND(#REF!,"AAAAAF5Hv4I=")</f>
        <v>#REF!</v>
      </c>
      <c r="EB469" t="e">
        <f>AND(#REF!,"AAAAAF5Hv4M=")</f>
        <v>#REF!</v>
      </c>
      <c r="EC469" t="e">
        <f>AND(#REF!,"AAAAAF5Hv4Q=")</f>
        <v>#REF!</v>
      </c>
      <c r="ED469" t="e">
        <f>AND(#REF!,"AAAAAF5Hv4U=")</f>
        <v>#REF!</v>
      </c>
      <c r="EE469" t="e">
        <f>AND(#REF!,"AAAAAF5Hv4Y=")</f>
        <v>#REF!</v>
      </c>
      <c r="EF469" t="e">
        <f>AND(#REF!,"AAAAAF5Hv4c=")</f>
        <v>#REF!</v>
      </c>
      <c r="EG469" t="e">
        <f>AND(#REF!,"AAAAAF5Hv4g=")</f>
        <v>#REF!</v>
      </c>
      <c r="EH469" t="e">
        <f>AND(#REF!,"AAAAAF5Hv4k=")</f>
        <v>#REF!</v>
      </c>
      <c r="EI469" t="e">
        <f>AND(#REF!,"AAAAAF5Hv4o=")</f>
        <v>#REF!</v>
      </c>
      <c r="EJ469" t="e">
        <f>AND(#REF!,"AAAAAF5Hv4s=")</f>
        <v>#REF!</v>
      </c>
      <c r="EK469" t="e">
        <f>AND(#REF!,"AAAAAF5Hv4w=")</f>
        <v>#REF!</v>
      </c>
      <c r="EL469" t="e">
        <f>AND(#REF!,"AAAAAF5Hv40=")</f>
        <v>#REF!</v>
      </c>
      <c r="EM469" t="e">
        <f>AND(#REF!,"AAAAAF5Hv44=")</f>
        <v>#REF!</v>
      </c>
      <c r="EN469" t="e">
        <f>AND(#REF!,"AAAAAF5Hv48=")</f>
        <v>#REF!</v>
      </c>
      <c r="EO469" t="e">
        <f>AND(#REF!,"AAAAAF5Hv5A=")</f>
        <v>#REF!</v>
      </c>
      <c r="EP469" t="e">
        <f>AND(#REF!,"AAAAAF5Hv5E=")</f>
        <v>#REF!</v>
      </c>
      <c r="EQ469" t="e">
        <f>AND(#REF!,"AAAAAF5Hv5I=")</f>
        <v>#REF!</v>
      </c>
      <c r="ER469" t="e">
        <f>AND(#REF!,"AAAAAF5Hv5M=")</f>
        <v>#REF!</v>
      </c>
      <c r="ES469" t="e">
        <f>AND(#REF!,"AAAAAF5Hv5Q=")</f>
        <v>#REF!</v>
      </c>
      <c r="ET469" t="e">
        <f>AND(#REF!,"AAAAAF5Hv5U=")</f>
        <v>#REF!</v>
      </c>
      <c r="EU469" t="e">
        <f>AND(#REF!,"AAAAAF5Hv5Y=")</f>
        <v>#REF!</v>
      </c>
      <c r="EV469" t="e">
        <f>AND(#REF!,"AAAAAF5Hv5c=")</f>
        <v>#REF!</v>
      </c>
      <c r="EW469" t="e">
        <f>IF(#REF!,"AAAAAF5Hv5g=",0)</f>
        <v>#REF!</v>
      </c>
      <c r="EX469" t="e">
        <f>AND(#REF!,"AAAAAF5Hv5k=")</f>
        <v>#REF!</v>
      </c>
      <c r="EY469" t="e">
        <f>AND(#REF!,"AAAAAF5Hv5o=")</f>
        <v>#REF!</v>
      </c>
      <c r="EZ469" t="e">
        <f>AND(#REF!,"AAAAAF5Hv5s=")</f>
        <v>#REF!</v>
      </c>
      <c r="FA469" t="e">
        <f>AND(#REF!,"AAAAAF5Hv5w=")</f>
        <v>#REF!</v>
      </c>
      <c r="FB469" t="e">
        <f>AND(#REF!,"AAAAAF5Hv50=")</f>
        <v>#REF!</v>
      </c>
      <c r="FC469" t="e">
        <f>AND(#REF!,"AAAAAF5Hv54=")</f>
        <v>#REF!</v>
      </c>
      <c r="FD469" t="e">
        <f>AND(#REF!,"AAAAAF5Hv58=")</f>
        <v>#REF!</v>
      </c>
      <c r="FE469" t="e">
        <f>AND(#REF!,"AAAAAF5Hv6A=")</f>
        <v>#REF!</v>
      </c>
      <c r="FF469" t="e">
        <f>AND(#REF!,"AAAAAF5Hv6E=")</f>
        <v>#REF!</v>
      </c>
      <c r="FG469" t="e">
        <f>AND(#REF!,"AAAAAF5Hv6I=")</f>
        <v>#REF!</v>
      </c>
      <c r="FH469" t="e">
        <f>AND(#REF!,"AAAAAF5Hv6M=")</f>
        <v>#REF!</v>
      </c>
      <c r="FI469" t="e">
        <f>AND(#REF!,"AAAAAF5Hv6Q=")</f>
        <v>#REF!</v>
      </c>
      <c r="FJ469" t="e">
        <f>AND(#REF!,"AAAAAF5Hv6U=")</f>
        <v>#REF!</v>
      </c>
      <c r="FK469" t="e">
        <f>AND(#REF!,"AAAAAF5Hv6Y=")</f>
        <v>#REF!</v>
      </c>
      <c r="FL469" t="e">
        <f>AND(#REF!,"AAAAAF5Hv6c=")</f>
        <v>#REF!</v>
      </c>
      <c r="FM469" t="e">
        <f>AND(#REF!,"AAAAAF5Hv6g=")</f>
        <v>#REF!</v>
      </c>
      <c r="FN469" t="e">
        <f>AND(#REF!,"AAAAAF5Hv6k=")</f>
        <v>#REF!</v>
      </c>
      <c r="FO469" t="e">
        <f>AND(#REF!,"AAAAAF5Hv6o=")</f>
        <v>#REF!</v>
      </c>
      <c r="FP469" t="e">
        <f>AND(#REF!,"AAAAAF5Hv6s=")</f>
        <v>#REF!</v>
      </c>
      <c r="FQ469" t="e">
        <f>AND(#REF!,"AAAAAF5Hv6w=")</f>
        <v>#REF!</v>
      </c>
      <c r="FR469" t="e">
        <f>AND(#REF!,"AAAAAF5Hv60=")</f>
        <v>#REF!</v>
      </c>
      <c r="FS469" t="e">
        <f>AND(#REF!,"AAAAAF5Hv64=")</f>
        <v>#REF!</v>
      </c>
      <c r="FT469" t="e">
        <f>AND(#REF!,"AAAAAF5Hv68=")</f>
        <v>#REF!</v>
      </c>
      <c r="FU469" t="e">
        <f>AND(#REF!,"AAAAAF5Hv7A=")</f>
        <v>#REF!</v>
      </c>
      <c r="FV469" t="e">
        <f>IF(#REF!,"AAAAAF5Hv7E=",0)</f>
        <v>#REF!</v>
      </c>
      <c r="FW469" t="e">
        <f>AND(#REF!,"AAAAAF5Hv7I=")</f>
        <v>#REF!</v>
      </c>
      <c r="FX469" t="e">
        <f>AND(#REF!,"AAAAAF5Hv7M=")</f>
        <v>#REF!</v>
      </c>
      <c r="FY469" t="e">
        <f>AND(#REF!,"AAAAAF5Hv7Q=")</f>
        <v>#REF!</v>
      </c>
      <c r="FZ469" t="e">
        <f>AND(#REF!,"AAAAAF5Hv7U=")</f>
        <v>#REF!</v>
      </c>
      <c r="GA469" t="e">
        <f>AND(#REF!,"AAAAAF5Hv7Y=")</f>
        <v>#REF!</v>
      </c>
      <c r="GB469" t="e">
        <f>AND(#REF!,"AAAAAF5Hv7c=")</f>
        <v>#REF!</v>
      </c>
      <c r="GC469" t="e">
        <f>AND(#REF!,"AAAAAF5Hv7g=")</f>
        <v>#REF!</v>
      </c>
      <c r="GD469" t="e">
        <f>AND(#REF!,"AAAAAF5Hv7k=")</f>
        <v>#REF!</v>
      </c>
      <c r="GE469" t="e">
        <f>AND(#REF!,"AAAAAF5Hv7o=")</f>
        <v>#REF!</v>
      </c>
      <c r="GF469" t="e">
        <f>AND(#REF!,"AAAAAF5Hv7s=")</f>
        <v>#REF!</v>
      </c>
      <c r="GG469" t="e">
        <f>AND(#REF!,"AAAAAF5Hv7w=")</f>
        <v>#REF!</v>
      </c>
      <c r="GH469" t="e">
        <f>AND(#REF!,"AAAAAF5Hv70=")</f>
        <v>#REF!</v>
      </c>
      <c r="GI469" t="e">
        <f>AND(#REF!,"AAAAAF5Hv74=")</f>
        <v>#REF!</v>
      </c>
      <c r="GJ469" t="e">
        <f>AND(#REF!,"AAAAAF5Hv78=")</f>
        <v>#REF!</v>
      </c>
      <c r="GK469" t="e">
        <f>AND(#REF!,"AAAAAF5Hv8A=")</f>
        <v>#REF!</v>
      </c>
      <c r="GL469" t="e">
        <f>AND(#REF!,"AAAAAF5Hv8E=")</f>
        <v>#REF!</v>
      </c>
      <c r="GM469" t="e">
        <f>AND(#REF!,"AAAAAF5Hv8I=")</f>
        <v>#REF!</v>
      </c>
      <c r="GN469" t="e">
        <f>AND(#REF!,"AAAAAF5Hv8M=")</f>
        <v>#REF!</v>
      </c>
      <c r="GO469" t="e">
        <f>AND(#REF!,"AAAAAF5Hv8Q=")</f>
        <v>#REF!</v>
      </c>
      <c r="GP469" t="e">
        <f>AND(#REF!,"AAAAAF5Hv8U=")</f>
        <v>#REF!</v>
      </c>
      <c r="GQ469" t="e">
        <f>AND(#REF!,"AAAAAF5Hv8Y=")</f>
        <v>#REF!</v>
      </c>
      <c r="GR469" t="e">
        <f>AND(#REF!,"AAAAAF5Hv8c=")</f>
        <v>#REF!</v>
      </c>
      <c r="GS469" t="e">
        <f>AND(#REF!,"AAAAAF5Hv8g=")</f>
        <v>#REF!</v>
      </c>
      <c r="GT469" t="e">
        <f>AND(#REF!,"AAAAAF5Hv8k=")</f>
        <v>#REF!</v>
      </c>
      <c r="GU469" t="e">
        <f>IF(#REF!,"AAAAAF5Hv8o=",0)</f>
        <v>#REF!</v>
      </c>
      <c r="GV469" t="e">
        <f>AND(#REF!,"AAAAAF5Hv8s=")</f>
        <v>#REF!</v>
      </c>
      <c r="GW469" t="e">
        <f>AND(#REF!,"AAAAAF5Hv8w=")</f>
        <v>#REF!</v>
      </c>
      <c r="GX469" t="e">
        <f>AND(#REF!,"AAAAAF5Hv80=")</f>
        <v>#REF!</v>
      </c>
      <c r="GY469" t="e">
        <f>AND(#REF!,"AAAAAF5Hv84=")</f>
        <v>#REF!</v>
      </c>
      <c r="GZ469" t="e">
        <f>AND(#REF!,"AAAAAF5Hv88=")</f>
        <v>#REF!</v>
      </c>
      <c r="HA469" t="e">
        <f>AND(#REF!,"AAAAAF5Hv9A=")</f>
        <v>#REF!</v>
      </c>
      <c r="HB469" t="e">
        <f>AND(#REF!,"AAAAAF5Hv9E=")</f>
        <v>#REF!</v>
      </c>
      <c r="HC469" t="e">
        <f>AND(#REF!,"AAAAAF5Hv9I=")</f>
        <v>#REF!</v>
      </c>
      <c r="HD469" t="e">
        <f>AND(#REF!,"AAAAAF5Hv9M=")</f>
        <v>#REF!</v>
      </c>
      <c r="HE469" t="e">
        <f>AND(#REF!,"AAAAAF5Hv9Q=")</f>
        <v>#REF!</v>
      </c>
      <c r="HF469" t="e">
        <f>AND(#REF!,"AAAAAF5Hv9U=")</f>
        <v>#REF!</v>
      </c>
      <c r="HG469" t="e">
        <f>AND(#REF!,"AAAAAF5Hv9Y=")</f>
        <v>#REF!</v>
      </c>
      <c r="HH469" t="e">
        <f>AND(#REF!,"AAAAAF5Hv9c=")</f>
        <v>#REF!</v>
      </c>
      <c r="HI469" t="e">
        <f>AND(#REF!,"AAAAAF5Hv9g=")</f>
        <v>#REF!</v>
      </c>
      <c r="HJ469" t="e">
        <f>AND(#REF!,"AAAAAF5Hv9k=")</f>
        <v>#REF!</v>
      </c>
      <c r="HK469" t="e">
        <f>AND(#REF!,"AAAAAF5Hv9o=")</f>
        <v>#REF!</v>
      </c>
      <c r="HL469" t="e">
        <f>AND(#REF!,"AAAAAF5Hv9s=")</f>
        <v>#REF!</v>
      </c>
      <c r="HM469" t="e">
        <f>AND(#REF!,"AAAAAF5Hv9w=")</f>
        <v>#REF!</v>
      </c>
      <c r="HN469" t="e">
        <f>AND(#REF!,"AAAAAF5Hv90=")</f>
        <v>#REF!</v>
      </c>
      <c r="HO469" t="e">
        <f>AND(#REF!,"AAAAAF5Hv94=")</f>
        <v>#REF!</v>
      </c>
      <c r="HP469" t="e">
        <f>AND(#REF!,"AAAAAF5Hv98=")</f>
        <v>#REF!</v>
      </c>
      <c r="HQ469" t="e">
        <f>AND(#REF!,"AAAAAF5Hv+A=")</f>
        <v>#REF!</v>
      </c>
      <c r="HR469" t="e">
        <f>AND(#REF!,"AAAAAF5Hv+E=")</f>
        <v>#REF!</v>
      </c>
      <c r="HS469" t="e">
        <f>AND(#REF!,"AAAAAF5Hv+I=")</f>
        <v>#REF!</v>
      </c>
      <c r="HT469" t="e">
        <f>IF(#REF!,"AAAAAF5Hv+M=",0)</f>
        <v>#REF!</v>
      </c>
      <c r="HU469" t="e">
        <f>AND(#REF!,"AAAAAF5Hv+Q=")</f>
        <v>#REF!</v>
      </c>
      <c r="HV469" t="e">
        <f>AND(#REF!,"AAAAAF5Hv+U=")</f>
        <v>#REF!</v>
      </c>
      <c r="HW469" t="e">
        <f>AND(#REF!,"AAAAAF5Hv+Y=")</f>
        <v>#REF!</v>
      </c>
      <c r="HX469" t="e">
        <f>AND(#REF!,"AAAAAF5Hv+c=")</f>
        <v>#REF!</v>
      </c>
      <c r="HY469" t="e">
        <f>AND(#REF!,"AAAAAF5Hv+g=")</f>
        <v>#REF!</v>
      </c>
      <c r="HZ469" t="e">
        <f>AND(#REF!,"AAAAAF5Hv+k=")</f>
        <v>#REF!</v>
      </c>
      <c r="IA469" t="e">
        <f>AND(#REF!,"AAAAAF5Hv+o=")</f>
        <v>#REF!</v>
      </c>
      <c r="IB469" t="e">
        <f>AND(#REF!,"AAAAAF5Hv+s=")</f>
        <v>#REF!</v>
      </c>
      <c r="IC469" t="e">
        <f>AND(#REF!,"AAAAAF5Hv+w=")</f>
        <v>#REF!</v>
      </c>
      <c r="ID469" t="e">
        <f>AND(#REF!,"AAAAAF5Hv+0=")</f>
        <v>#REF!</v>
      </c>
      <c r="IE469" t="e">
        <f>AND(#REF!,"AAAAAF5Hv+4=")</f>
        <v>#REF!</v>
      </c>
      <c r="IF469" t="e">
        <f>AND(#REF!,"AAAAAF5Hv+8=")</f>
        <v>#REF!</v>
      </c>
      <c r="IG469" t="e">
        <f>AND(#REF!,"AAAAAF5Hv/A=")</f>
        <v>#REF!</v>
      </c>
      <c r="IH469" t="e">
        <f>AND(#REF!,"AAAAAF5Hv/E=")</f>
        <v>#REF!</v>
      </c>
      <c r="II469" t="e">
        <f>AND(#REF!,"AAAAAF5Hv/I=")</f>
        <v>#REF!</v>
      </c>
      <c r="IJ469" t="e">
        <f>AND(#REF!,"AAAAAF5Hv/M=")</f>
        <v>#REF!</v>
      </c>
      <c r="IK469" t="e">
        <f>AND(#REF!,"AAAAAF5Hv/Q=")</f>
        <v>#REF!</v>
      </c>
      <c r="IL469" t="e">
        <f>AND(#REF!,"AAAAAF5Hv/U=")</f>
        <v>#REF!</v>
      </c>
      <c r="IM469" t="e">
        <f>AND(#REF!,"AAAAAF5Hv/Y=")</f>
        <v>#REF!</v>
      </c>
      <c r="IN469" t="e">
        <f>AND(#REF!,"AAAAAF5Hv/c=")</f>
        <v>#REF!</v>
      </c>
      <c r="IO469" t="e">
        <f>AND(#REF!,"AAAAAF5Hv/g=")</f>
        <v>#REF!</v>
      </c>
      <c r="IP469" t="e">
        <f>AND(#REF!,"AAAAAF5Hv/k=")</f>
        <v>#REF!</v>
      </c>
      <c r="IQ469" t="e">
        <f>AND(#REF!,"AAAAAF5Hv/o=")</f>
        <v>#REF!</v>
      </c>
      <c r="IR469" t="e">
        <f>AND(#REF!,"AAAAAF5Hv/s=")</f>
        <v>#REF!</v>
      </c>
      <c r="IS469" t="e">
        <f>IF(#REF!,"AAAAAF5Hv/w=",0)</f>
        <v>#REF!</v>
      </c>
      <c r="IT469" t="e">
        <f>AND(#REF!,"AAAAAF5Hv/0=")</f>
        <v>#REF!</v>
      </c>
      <c r="IU469" t="e">
        <f>AND(#REF!,"AAAAAF5Hv/4=")</f>
        <v>#REF!</v>
      </c>
      <c r="IV469" t="e">
        <f>AND(#REF!,"AAAAAF5Hv/8=")</f>
        <v>#REF!</v>
      </c>
    </row>
    <row r="470" spans="1:256">
      <c r="A470" t="e">
        <f>AND(#REF!,"AAAAAH/+fwA=")</f>
        <v>#REF!</v>
      </c>
      <c r="B470" t="e">
        <f>AND(#REF!,"AAAAAH/+fwE=")</f>
        <v>#REF!</v>
      </c>
      <c r="C470" t="e">
        <f>AND(#REF!,"AAAAAH/+fwI=")</f>
        <v>#REF!</v>
      </c>
      <c r="D470" t="e">
        <f>AND(#REF!,"AAAAAH/+fwM=")</f>
        <v>#REF!</v>
      </c>
      <c r="E470" t="e">
        <f>AND(#REF!,"AAAAAH/+fwQ=")</f>
        <v>#REF!</v>
      </c>
      <c r="F470" t="e">
        <f>AND(#REF!,"AAAAAH/+fwU=")</f>
        <v>#REF!</v>
      </c>
      <c r="G470" t="e">
        <f>AND(#REF!,"AAAAAH/+fwY=")</f>
        <v>#REF!</v>
      </c>
      <c r="H470" t="e">
        <f>AND(#REF!,"AAAAAH/+fwc=")</f>
        <v>#REF!</v>
      </c>
      <c r="I470" t="e">
        <f>AND(#REF!,"AAAAAH/+fwg=")</f>
        <v>#REF!</v>
      </c>
      <c r="J470" t="e">
        <f>AND(#REF!,"AAAAAH/+fwk=")</f>
        <v>#REF!</v>
      </c>
      <c r="K470" t="e">
        <f>AND(#REF!,"AAAAAH/+fwo=")</f>
        <v>#REF!</v>
      </c>
      <c r="L470" t="e">
        <f>AND(#REF!,"AAAAAH/+fws=")</f>
        <v>#REF!</v>
      </c>
      <c r="M470" t="e">
        <f>AND(#REF!,"AAAAAH/+fww=")</f>
        <v>#REF!</v>
      </c>
      <c r="N470" t="e">
        <f>AND(#REF!,"AAAAAH/+fw0=")</f>
        <v>#REF!</v>
      </c>
      <c r="O470" t="e">
        <f>AND(#REF!,"AAAAAH/+fw4=")</f>
        <v>#REF!</v>
      </c>
      <c r="P470" t="e">
        <f>AND(#REF!,"AAAAAH/+fw8=")</f>
        <v>#REF!</v>
      </c>
      <c r="Q470" t="e">
        <f>AND(#REF!,"AAAAAH/+fxA=")</f>
        <v>#REF!</v>
      </c>
      <c r="R470" t="e">
        <f>AND(#REF!,"AAAAAH/+fxE=")</f>
        <v>#REF!</v>
      </c>
      <c r="S470" t="e">
        <f>AND(#REF!,"AAAAAH/+fxI=")</f>
        <v>#REF!</v>
      </c>
      <c r="T470" t="e">
        <f>AND(#REF!,"AAAAAH/+fxM=")</f>
        <v>#REF!</v>
      </c>
      <c r="U470" t="e">
        <f>AND(#REF!,"AAAAAH/+fxQ=")</f>
        <v>#REF!</v>
      </c>
      <c r="V470" t="e">
        <f>IF(#REF!,"AAAAAH/+fxU=",0)</f>
        <v>#REF!</v>
      </c>
      <c r="W470" t="e">
        <f>AND(#REF!,"AAAAAH/+fxY=")</f>
        <v>#REF!</v>
      </c>
      <c r="X470" t="e">
        <f>AND(#REF!,"AAAAAH/+fxc=")</f>
        <v>#REF!</v>
      </c>
      <c r="Y470" t="e">
        <f>AND(#REF!,"AAAAAH/+fxg=")</f>
        <v>#REF!</v>
      </c>
      <c r="Z470" t="e">
        <f>AND(#REF!,"AAAAAH/+fxk=")</f>
        <v>#REF!</v>
      </c>
      <c r="AA470" t="e">
        <f>AND(#REF!,"AAAAAH/+fxo=")</f>
        <v>#REF!</v>
      </c>
      <c r="AB470" t="e">
        <f>AND(#REF!,"AAAAAH/+fxs=")</f>
        <v>#REF!</v>
      </c>
      <c r="AC470" t="e">
        <f>AND(#REF!,"AAAAAH/+fxw=")</f>
        <v>#REF!</v>
      </c>
      <c r="AD470" t="e">
        <f>AND(#REF!,"AAAAAH/+fx0=")</f>
        <v>#REF!</v>
      </c>
      <c r="AE470" t="e">
        <f>AND(#REF!,"AAAAAH/+fx4=")</f>
        <v>#REF!</v>
      </c>
      <c r="AF470" t="e">
        <f>AND(#REF!,"AAAAAH/+fx8=")</f>
        <v>#REF!</v>
      </c>
      <c r="AG470" t="e">
        <f>AND(#REF!,"AAAAAH/+fyA=")</f>
        <v>#REF!</v>
      </c>
      <c r="AH470" t="e">
        <f>AND(#REF!,"AAAAAH/+fyE=")</f>
        <v>#REF!</v>
      </c>
      <c r="AI470" t="e">
        <f>AND(#REF!,"AAAAAH/+fyI=")</f>
        <v>#REF!</v>
      </c>
      <c r="AJ470" t="e">
        <f>AND(#REF!,"AAAAAH/+fyM=")</f>
        <v>#REF!</v>
      </c>
      <c r="AK470" t="e">
        <f>AND(#REF!,"AAAAAH/+fyQ=")</f>
        <v>#REF!</v>
      </c>
      <c r="AL470" t="e">
        <f>AND(#REF!,"AAAAAH/+fyU=")</f>
        <v>#REF!</v>
      </c>
      <c r="AM470" t="e">
        <f>AND(#REF!,"AAAAAH/+fyY=")</f>
        <v>#REF!</v>
      </c>
      <c r="AN470" t="e">
        <f>AND(#REF!,"AAAAAH/+fyc=")</f>
        <v>#REF!</v>
      </c>
      <c r="AO470" t="e">
        <f>AND(#REF!,"AAAAAH/+fyg=")</f>
        <v>#REF!</v>
      </c>
      <c r="AP470" t="e">
        <f>AND(#REF!,"AAAAAH/+fyk=")</f>
        <v>#REF!</v>
      </c>
      <c r="AQ470" t="e">
        <f>AND(#REF!,"AAAAAH/+fyo=")</f>
        <v>#REF!</v>
      </c>
      <c r="AR470" t="e">
        <f>AND(#REF!,"AAAAAH/+fys=")</f>
        <v>#REF!</v>
      </c>
      <c r="AS470" t="e">
        <f>AND(#REF!,"AAAAAH/+fyw=")</f>
        <v>#REF!</v>
      </c>
      <c r="AT470" t="e">
        <f>AND(#REF!,"AAAAAH/+fy0=")</f>
        <v>#REF!</v>
      </c>
      <c r="AU470" t="e">
        <f>IF(#REF!,"AAAAAH/+fy4=",0)</f>
        <v>#REF!</v>
      </c>
      <c r="AV470" t="e">
        <f>AND(#REF!,"AAAAAH/+fy8=")</f>
        <v>#REF!</v>
      </c>
      <c r="AW470" t="e">
        <f>AND(#REF!,"AAAAAH/+fzA=")</f>
        <v>#REF!</v>
      </c>
      <c r="AX470" t="e">
        <f>AND(#REF!,"AAAAAH/+fzE=")</f>
        <v>#REF!</v>
      </c>
      <c r="AY470" t="e">
        <f>AND(#REF!,"AAAAAH/+fzI=")</f>
        <v>#REF!</v>
      </c>
      <c r="AZ470" t="e">
        <f>AND(#REF!,"AAAAAH/+fzM=")</f>
        <v>#REF!</v>
      </c>
      <c r="BA470" t="e">
        <f>AND(#REF!,"AAAAAH/+fzQ=")</f>
        <v>#REF!</v>
      </c>
      <c r="BB470" t="e">
        <f>AND(#REF!,"AAAAAH/+fzU=")</f>
        <v>#REF!</v>
      </c>
      <c r="BC470" t="e">
        <f>AND(#REF!,"AAAAAH/+fzY=")</f>
        <v>#REF!</v>
      </c>
      <c r="BD470" t="e">
        <f>AND(#REF!,"AAAAAH/+fzc=")</f>
        <v>#REF!</v>
      </c>
      <c r="BE470" t="e">
        <f>AND(#REF!,"AAAAAH/+fzg=")</f>
        <v>#REF!</v>
      </c>
      <c r="BF470" t="e">
        <f>AND(#REF!,"AAAAAH/+fzk=")</f>
        <v>#REF!</v>
      </c>
      <c r="BG470" t="e">
        <f>AND(#REF!,"AAAAAH/+fzo=")</f>
        <v>#REF!</v>
      </c>
      <c r="BH470" t="e">
        <f>AND(#REF!,"AAAAAH/+fzs=")</f>
        <v>#REF!</v>
      </c>
      <c r="BI470" t="e">
        <f>AND(#REF!,"AAAAAH/+fzw=")</f>
        <v>#REF!</v>
      </c>
      <c r="BJ470" t="e">
        <f>AND(#REF!,"AAAAAH/+fz0=")</f>
        <v>#REF!</v>
      </c>
      <c r="BK470" t="e">
        <f>AND(#REF!,"AAAAAH/+fz4=")</f>
        <v>#REF!</v>
      </c>
      <c r="BL470" t="e">
        <f>AND(#REF!,"AAAAAH/+fz8=")</f>
        <v>#REF!</v>
      </c>
      <c r="BM470" t="e">
        <f>AND(#REF!,"AAAAAH/+f0A=")</f>
        <v>#REF!</v>
      </c>
      <c r="BN470" t="e">
        <f>AND(#REF!,"AAAAAH/+f0E=")</f>
        <v>#REF!</v>
      </c>
      <c r="BO470" t="e">
        <f>AND(#REF!,"AAAAAH/+f0I=")</f>
        <v>#REF!</v>
      </c>
      <c r="BP470" t="e">
        <f>AND(#REF!,"AAAAAH/+f0M=")</f>
        <v>#REF!</v>
      </c>
      <c r="BQ470" t="e">
        <f>AND(#REF!,"AAAAAH/+f0Q=")</f>
        <v>#REF!</v>
      </c>
      <c r="BR470" t="e">
        <f>AND(#REF!,"AAAAAH/+f0U=")</f>
        <v>#REF!</v>
      </c>
      <c r="BS470" t="e">
        <f>AND(#REF!,"AAAAAH/+f0Y=")</f>
        <v>#REF!</v>
      </c>
      <c r="BT470" t="e">
        <f>IF(#REF!,"AAAAAH/+f0c=",0)</f>
        <v>#REF!</v>
      </c>
      <c r="BU470" t="e">
        <f>AND(#REF!,"AAAAAH/+f0g=")</f>
        <v>#REF!</v>
      </c>
      <c r="BV470" t="e">
        <f>AND(#REF!,"AAAAAH/+f0k=")</f>
        <v>#REF!</v>
      </c>
      <c r="BW470" t="e">
        <f>AND(#REF!,"AAAAAH/+f0o=")</f>
        <v>#REF!</v>
      </c>
      <c r="BX470" t="e">
        <f>AND(#REF!,"AAAAAH/+f0s=")</f>
        <v>#REF!</v>
      </c>
      <c r="BY470" t="e">
        <f>AND(#REF!,"AAAAAH/+f0w=")</f>
        <v>#REF!</v>
      </c>
      <c r="BZ470" t="e">
        <f>AND(#REF!,"AAAAAH/+f00=")</f>
        <v>#REF!</v>
      </c>
      <c r="CA470" t="e">
        <f>AND(#REF!,"AAAAAH/+f04=")</f>
        <v>#REF!</v>
      </c>
      <c r="CB470" t="e">
        <f>AND(#REF!,"AAAAAH/+f08=")</f>
        <v>#REF!</v>
      </c>
      <c r="CC470" t="e">
        <f>AND(#REF!,"AAAAAH/+f1A=")</f>
        <v>#REF!</v>
      </c>
      <c r="CD470" t="e">
        <f>AND(#REF!,"AAAAAH/+f1E=")</f>
        <v>#REF!</v>
      </c>
      <c r="CE470" t="e">
        <f>AND(#REF!,"AAAAAH/+f1I=")</f>
        <v>#REF!</v>
      </c>
      <c r="CF470" t="e">
        <f>AND(#REF!,"AAAAAH/+f1M=")</f>
        <v>#REF!</v>
      </c>
      <c r="CG470" t="e">
        <f>AND(#REF!,"AAAAAH/+f1Q=")</f>
        <v>#REF!</v>
      </c>
      <c r="CH470" t="e">
        <f>AND(#REF!,"AAAAAH/+f1U=")</f>
        <v>#REF!</v>
      </c>
      <c r="CI470" t="e">
        <f>AND(#REF!,"AAAAAH/+f1Y=")</f>
        <v>#REF!</v>
      </c>
      <c r="CJ470" t="e">
        <f>AND(#REF!,"AAAAAH/+f1c=")</f>
        <v>#REF!</v>
      </c>
      <c r="CK470" t="e">
        <f>AND(#REF!,"AAAAAH/+f1g=")</f>
        <v>#REF!</v>
      </c>
      <c r="CL470" t="e">
        <f>AND(#REF!,"AAAAAH/+f1k=")</f>
        <v>#REF!</v>
      </c>
      <c r="CM470" t="e">
        <f>AND(#REF!,"AAAAAH/+f1o=")</f>
        <v>#REF!</v>
      </c>
      <c r="CN470" t="e">
        <f>AND(#REF!,"AAAAAH/+f1s=")</f>
        <v>#REF!</v>
      </c>
      <c r="CO470" t="e">
        <f>AND(#REF!,"AAAAAH/+f1w=")</f>
        <v>#REF!</v>
      </c>
      <c r="CP470" t="e">
        <f>AND(#REF!,"AAAAAH/+f10=")</f>
        <v>#REF!</v>
      </c>
      <c r="CQ470" t="e">
        <f>AND(#REF!,"AAAAAH/+f14=")</f>
        <v>#REF!</v>
      </c>
      <c r="CR470" t="e">
        <f>AND(#REF!,"AAAAAH/+f18=")</f>
        <v>#REF!</v>
      </c>
      <c r="CS470" t="e">
        <f>IF(#REF!,"AAAAAH/+f2A=",0)</f>
        <v>#REF!</v>
      </c>
      <c r="CT470" t="e">
        <f>AND(#REF!,"AAAAAH/+f2E=")</f>
        <v>#REF!</v>
      </c>
      <c r="CU470" t="e">
        <f>AND(#REF!,"AAAAAH/+f2I=")</f>
        <v>#REF!</v>
      </c>
      <c r="CV470" t="e">
        <f>AND(#REF!,"AAAAAH/+f2M=")</f>
        <v>#REF!</v>
      </c>
      <c r="CW470" t="e">
        <f>AND(#REF!,"AAAAAH/+f2Q=")</f>
        <v>#REF!</v>
      </c>
      <c r="CX470" t="e">
        <f>AND(#REF!,"AAAAAH/+f2U=")</f>
        <v>#REF!</v>
      </c>
      <c r="CY470" t="e">
        <f>AND(#REF!,"AAAAAH/+f2Y=")</f>
        <v>#REF!</v>
      </c>
      <c r="CZ470" t="e">
        <f>AND(#REF!,"AAAAAH/+f2c=")</f>
        <v>#REF!</v>
      </c>
      <c r="DA470" t="e">
        <f>AND(#REF!,"AAAAAH/+f2g=")</f>
        <v>#REF!</v>
      </c>
      <c r="DB470" t="e">
        <f>AND(#REF!,"AAAAAH/+f2k=")</f>
        <v>#REF!</v>
      </c>
      <c r="DC470" t="e">
        <f>AND(#REF!,"AAAAAH/+f2o=")</f>
        <v>#REF!</v>
      </c>
      <c r="DD470" t="e">
        <f>AND(#REF!,"AAAAAH/+f2s=")</f>
        <v>#REF!</v>
      </c>
      <c r="DE470" t="e">
        <f>AND(#REF!,"AAAAAH/+f2w=")</f>
        <v>#REF!</v>
      </c>
      <c r="DF470" t="e">
        <f>AND(#REF!,"AAAAAH/+f20=")</f>
        <v>#REF!</v>
      </c>
      <c r="DG470" t="e">
        <f>AND(#REF!,"AAAAAH/+f24=")</f>
        <v>#REF!</v>
      </c>
      <c r="DH470" t="e">
        <f>AND(#REF!,"AAAAAH/+f28=")</f>
        <v>#REF!</v>
      </c>
      <c r="DI470" t="e">
        <f>AND(#REF!,"AAAAAH/+f3A=")</f>
        <v>#REF!</v>
      </c>
      <c r="DJ470" t="e">
        <f>AND(#REF!,"AAAAAH/+f3E=")</f>
        <v>#REF!</v>
      </c>
      <c r="DK470" t="e">
        <f>AND(#REF!,"AAAAAH/+f3I=")</f>
        <v>#REF!</v>
      </c>
      <c r="DL470" t="e">
        <f>AND(#REF!,"AAAAAH/+f3M=")</f>
        <v>#REF!</v>
      </c>
      <c r="DM470" t="e">
        <f>AND(#REF!,"AAAAAH/+f3Q=")</f>
        <v>#REF!</v>
      </c>
      <c r="DN470" t="e">
        <f>AND(#REF!,"AAAAAH/+f3U=")</f>
        <v>#REF!</v>
      </c>
      <c r="DO470" t="e">
        <f>AND(#REF!,"AAAAAH/+f3Y=")</f>
        <v>#REF!</v>
      </c>
      <c r="DP470" t="e">
        <f>AND(#REF!,"AAAAAH/+f3c=")</f>
        <v>#REF!</v>
      </c>
      <c r="DQ470" t="e">
        <f>AND(#REF!,"AAAAAH/+f3g=")</f>
        <v>#REF!</v>
      </c>
      <c r="DR470" t="e">
        <f>IF(#REF!,"AAAAAH/+f3k=",0)</f>
        <v>#REF!</v>
      </c>
      <c r="DS470" t="e">
        <f>AND(#REF!,"AAAAAH/+f3o=")</f>
        <v>#REF!</v>
      </c>
      <c r="DT470" t="e">
        <f>AND(#REF!,"AAAAAH/+f3s=")</f>
        <v>#REF!</v>
      </c>
      <c r="DU470" t="e">
        <f>AND(#REF!,"AAAAAH/+f3w=")</f>
        <v>#REF!</v>
      </c>
      <c r="DV470" t="e">
        <f>AND(#REF!,"AAAAAH/+f30=")</f>
        <v>#REF!</v>
      </c>
      <c r="DW470" t="e">
        <f>AND(#REF!,"AAAAAH/+f34=")</f>
        <v>#REF!</v>
      </c>
      <c r="DX470" t="e">
        <f>AND(#REF!,"AAAAAH/+f38=")</f>
        <v>#REF!</v>
      </c>
      <c r="DY470" t="e">
        <f>AND(#REF!,"AAAAAH/+f4A=")</f>
        <v>#REF!</v>
      </c>
      <c r="DZ470" t="e">
        <f>AND(#REF!,"AAAAAH/+f4E=")</f>
        <v>#REF!</v>
      </c>
      <c r="EA470" t="e">
        <f>AND(#REF!,"AAAAAH/+f4I=")</f>
        <v>#REF!</v>
      </c>
      <c r="EB470" t="e">
        <f>AND(#REF!,"AAAAAH/+f4M=")</f>
        <v>#REF!</v>
      </c>
      <c r="EC470" t="e">
        <f>AND(#REF!,"AAAAAH/+f4Q=")</f>
        <v>#REF!</v>
      </c>
      <c r="ED470" t="e">
        <f>AND(#REF!,"AAAAAH/+f4U=")</f>
        <v>#REF!</v>
      </c>
      <c r="EE470" t="e">
        <f>AND(#REF!,"AAAAAH/+f4Y=")</f>
        <v>#REF!</v>
      </c>
      <c r="EF470" t="e">
        <f>AND(#REF!,"AAAAAH/+f4c=")</f>
        <v>#REF!</v>
      </c>
      <c r="EG470" t="e">
        <f>AND(#REF!,"AAAAAH/+f4g=")</f>
        <v>#REF!</v>
      </c>
      <c r="EH470" t="e">
        <f>AND(#REF!,"AAAAAH/+f4k=")</f>
        <v>#REF!</v>
      </c>
      <c r="EI470" t="e">
        <f>AND(#REF!,"AAAAAH/+f4o=")</f>
        <v>#REF!</v>
      </c>
      <c r="EJ470" t="e">
        <f>AND(#REF!,"AAAAAH/+f4s=")</f>
        <v>#REF!</v>
      </c>
      <c r="EK470" t="e">
        <f>AND(#REF!,"AAAAAH/+f4w=")</f>
        <v>#REF!</v>
      </c>
      <c r="EL470" t="e">
        <f>AND(#REF!,"AAAAAH/+f40=")</f>
        <v>#REF!</v>
      </c>
      <c r="EM470" t="e">
        <f>AND(#REF!,"AAAAAH/+f44=")</f>
        <v>#REF!</v>
      </c>
      <c r="EN470" t="e">
        <f>AND(#REF!,"AAAAAH/+f48=")</f>
        <v>#REF!</v>
      </c>
      <c r="EO470" t="e">
        <f>AND(#REF!,"AAAAAH/+f5A=")</f>
        <v>#REF!</v>
      </c>
      <c r="EP470" t="e">
        <f>AND(#REF!,"AAAAAH/+f5E=")</f>
        <v>#REF!</v>
      </c>
      <c r="EQ470" t="e">
        <f>IF(#REF!,"AAAAAH/+f5I=",0)</f>
        <v>#REF!</v>
      </c>
      <c r="ER470" t="e">
        <f>AND(#REF!,"AAAAAH/+f5M=")</f>
        <v>#REF!</v>
      </c>
      <c r="ES470" t="e">
        <f>AND(#REF!,"AAAAAH/+f5Q=")</f>
        <v>#REF!</v>
      </c>
      <c r="ET470" t="e">
        <f>AND(#REF!,"AAAAAH/+f5U=")</f>
        <v>#REF!</v>
      </c>
      <c r="EU470" t="e">
        <f>AND(#REF!,"AAAAAH/+f5Y=")</f>
        <v>#REF!</v>
      </c>
      <c r="EV470" t="e">
        <f>AND(#REF!,"AAAAAH/+f5c=")</f>
        <v>#REF!</v>
      </c>
      <c r="EW470" t="e">
        <f>AND(#REF!,"AAAAAH/+f5g=")</f>
        <v>#REF!</v>
      </c>
      <c r="EX470" t="e">
        <f>AND(#REF!,"AAAAAH/+f5k=")</f>
        <v>#REF!</v>
      </c>
      <c r="EY470" t="e">
        <f>AND(#REF!,"AAAAAH/+f5o=")</f>
        <v>#REF!</v>
      </c>
      <c r="EZ470" t="e">
        <f>AND(#REF!,"AAAAAH/+f5s=")</f>
        <v>#REF!</v>
      </c>
      <c r="FA470" t="e">
        <f>AND(#REF!,"AAAAAH/+f5w=")</f>
        <v>#REF!</v>
      </c>
      <c r="FB470" t="e">
        <f>AND(#REF!,"AAAAAH/+f50=")</f>
        <v>#REF!</v>
      </c>
      <c r="FC470" t="e">
        <f>AND(#REF!,"AAAAAH/+f54=")</f>
        <v>#REF!</v>
      </c>
      <c r="FD470" t="e">
        <f>AND(#REF!,"AAAAAH/+f58=")</f>
        <v>#REF!</v>
      </c>
      <c r="FE470" t="e">
        <f>AND(#REF!,"AAAAAH/+f6A=")</f>
        <v>#REF!</v>
      </c>
      <c r="FF470" t="e">
        <f>AND(#REF!,"AAAAAH/+f6E=")</f>
        <v>#REF!</v>
      </c>
      <c r="FG470" t="e">
        <f>AND(#REF!,"AAAAAH/+f6I=")</f>
        <v>#REF!</v>
      </c>
      <c r="FH470" t="e">
        <f>AND(#REF!,"AAAAAH/+f6M=")</f>
        <v>#REF!</v>
      </c>
      <c r="FI470" t="e">
        <f>AND(#REF!,"AAAAAH/+f6Q=")</f>
        <v>#REF!</v>
      </c>
      <c r="FJ470" t="e">
        <f>AND(#REF!,"AAAAAH/+f6U=")</f>
        <v>#REF!</v>
      </c>
      <c r="FK470" t="e">
        <f>AND(#REF!,"AAAAAH/+f6Y=")</f>
        <v>#REF!</v>
      </c>
      <c r="FL470" t="e">
        <f>AND(#REF!,"AAAAAH/+f6c=")</f>
        <v>#REF!</v>
      </c>
      <c r="FM470" t="e">
        <f>AND(#REF!,"AAAAAH/+f6g=")</f>
        <v>#REF!</v>
      </c>
      <c r="FN470" t="e">
        <f>AND(#REF!,"AAAAAH/+f6k=")</f>
        <v>#REF!</v>
      </c>
      <c r="FO470" t="e">
        <f>AND(#REF!,"AAAAAH/+f6o=")</f>
        <v>#REF!</v>
      </c>
      <c r="FP470" t="e">
        <f>IF(#REF!,"AAAAAH/+f6s=",0)</f>
        <v>#REF!</v>
      </c>
      <c r="FQ470" t="e">
        <f>AND(#REF!,"AAAAAH/+f6w=")</f>
        <v>#REF!</v>
      </c>
      <c r="FR470" t="e">
        <f>AND(#REF!,"AAAAAH/+f60=")</f>
        <v>#REF!</v>
      </c>
      <c r="FS470" t="e">
        <f>AND(#REF!,"AAAAAH/+f64=")</f>
        <v>#REF!</v>
      </c>
      <c r="FT470" t="e">
        <f>AND(#REF!,"AAAAAH/+f68=")</f>
        <v>#REF!</v>
      </c>
      <c r="FU470" t="e">
        <f>AND(#REF!,"AAAAAH/+f7A=")</f>
        <v>#REF!</v>
      </c>
      <c r="FV470" t="e">
        <f>AND(#REF!,"AAAAAH/+f7E=")</f>
        <v>#REF!</v>
      </c>
      <c r="FW470" t="e">
        <f>AND(#REF!,"AAAAAH/+f7I=")</f>
        <v>#REF!</v>
      </c>
      <c r="FX470" t="e">
        <f>AND(#REF!,"AAAAAH/+f7M=")</f>
        <v>#REF!</v>
      </c>
      <c r="FY470" t="e">
        <f>AND(#REF!,"AAAAAH/+f7Q=")</f>
        <v>#REF!</v>
      </c>
      <c r="FZ470" t="e">
        <f>AND(#REF!,"AAAAAH/+f7U=")</f>
        <v>#REF!</v>
      </c>
      <c r="GA470" t="e">
        <f>AND(#REF!,"AAAAAH/+f7Y=")</f>
        <v>#REF!</v>
      </c>
      <c r="GB470" t="e">
        <f>AND(#REF!,"AAAAAH/+f7c=")</f>
        <v>#REF!</v>
      </c>
      <c r="GC470" t="e">
        <f>AND(#REF!,"AAAAAH/+f7g=")</f>
        <v>#REF!</v>
      </c>
      <c r="GD470" t="e">
        <f>AND(#REF!,"AAAAAH/+f7k=")</f>
        <v>#REF!</v>
      </c>
      <c r="GE470" t="e">
        <f>AND(#REF!,"AAAAAH/+f7o=")</f>
        <v>#REF!</v>
      </c>
      <c r="GF470" t="e">
        <f>AND(#REF!,"AAAAAH/+f7s=")</f>
        <v>#REF!</v>
      </c>
      <c r="GG470" t="e">
        <f>AND(#REF!,"AAAAAH/+f7w=")</f>
        <v>#REF!</v>
      </c>
      <c r="GH470" t="e">
        <f>AND(#REF!,"AAAAAH/+f70=")</f>
        <v>#REF!</v>
      </c>
      <c r="GI470" t="e">
        <f>AND(#REF!,"AAAAAH/+f74=")</f>
        <v>#REF!</v>
      </c>
      <c r="GJ470" t="e">
        <f>AND(#REF!,"AAAAAH/+f78=")</f>
        <v>#REF!</v>
      </c>
      <c r="GK470" t="e">
        <f>AND(#REF!,"AAAAAH/+f8A=")</f>
        <v>#REF!</v>
      </c>
      <c r="GL470" t="e">
        <f>AND(#REF!,"AAAAAH/+f8E=")</f>
        <v>#REF!</v>
      </c>
      <c r="GM470" t="e">
        <f>AND(#REF!,"AAAAAH/+f8I=")</f>
        <v>#REF!</v>
      </c>
      <c r="GN470" t="e">
        <f>AND(#REF!,"AAAAAH/+f8M=")</f>
        <v>#REF!</v>
      </c>
      <c r="GO470" t="e">
        <f>IF(#REF!,"AAAAAH/+f8Q=",0)</f>
        <v>#REF!</v>
      </c>
      <c r="GP470" t="e">
        <f>AND(#REF!,"AAAAAH/+f8U=")</f>
        <v>#REF!</v>
      </c>
      <c r="GQ470" t="e">
        <f>AND(#REF!,"AAAAAH/+f8Y=")</f>
        <v>#REF!</v>
      </c>
      <c r="GR470" t="e">
        <f>AND(#REF!,"AAAAAH/+f8c=")</f>
        <v>#REF!</v>
      </c>
      <c r="GS470" t="e">
        <f>AND(#REF!,"AAAAAH/+f8g=")</f>
        <v>#REF!</v>
      </c>
      <c r="GT470" t="e">
        <f>AND(#REF!,"AAAAAH/+f8k=")</f>
        <v>#REF!</v>
      </c>
      <c r="GU470" t="e">
        <f>AND(#REF!,"AAAAAH/+f8o=")</f>
        <v>#REF!</v>
      </c>
      <c r="GV470" t="e">
        <f>AND(#REF!,"AAAAAH/+f8s=")</f>
        <v>#REF!</v>
      </c>
      <c r="GW470" t="e">
        <f>AND(#REF!,"AAAAAH/+f8w=")</f>
        <v>#REF!</v>
      </c>
      <c r="GX470" t="e">
        <f>AND(#REF!,"AAAAAH/+f80=")</f>
        <v>#REF!</v>
      </c>
      <c r="GY470" t="e">
        <f>AND(#REF!,"AAAAAH/+f84=")</f>
        <v>#REF!</v>
      </c>
      <c r="GZ470" t="e">
        <f>AND(#REF!,"AAAAAH/+f88=")</f>
        <v>#REF!</v>
      </c>
      <c r="HA470" t="e">
        <f>AND(#REF!,"AAAAAH/+f9A=")</f>
        <v>#REF!</v>
      </c>
      <c r="HB470" t="e">
        <f>AND(#REF!,"AAAAAH/+f9E=")</f>
        <v>#REF!</v>
      </c>
      <c r="HC470" t="e">
        <f>AND(#REF!,"AAAAAH/+f9I=")</f>
        <v>#REF!</v>
      </c>
      <c r="HD470" t="e">
        <f>AND(#REF!,"AAAAAH/+f9M=")</f>
        <v>#REF!</v>
      </c>
      <c r="HE470" t="e">
        <f>AND(#REF!,"AAAAAH/+f9Q=")</f>
        <v>#REF!</v>
      </c>
      <c r="HF470" t="e">
        <f>AND(#REF!,"AAAAAH/+f9U=")</f>
        <v>#REF!</v>
      </c>
      <c r="HG470" t="e">
        <f>AND(#REF!,"AAAAAH/+f9Y=")</f>
        <v>#REF!</v>
      </c>
      <c r="HH470" t="e">
        <f>AND(#REF!,"AAAAAH/+f9c=")</f>
        <v>#REF!</v>
      </c>
      <c r="HI470" t="e">
        <f>AND(#REF!,"AAAAAH/+f9g=")</f>
        <v>#REF!</v>
      </c>
      <c r="HJ470" t="e">
        <f>AND(#REF!,"AAAAAH/+f9k=")</f>
        <v>#REF!</v>
      </c>
      <c r="HK470" t="e">
        <f>AND(#REF!,"AAAAAH/+f9o=")</f>
        <v>#REF!</v>
      </c>
      <c r="HL470" t="e">
        <f>AND(#REF!,"AAAAAH/+f9s=")</f>
        <v>#REF!</v>
      </c>
      <c r="HM470" t="e">
        <f>AND(#REF!,"AAAAAH/+f9w=")</f>
        <v>#REF!</v>
      </c>
      <c r="HN470" t="e">
        <f>IF(#REF!,"AAAAAH/+f90=",0)</f>
        <v>#REF!</v>
      </c>
      <c r="HO470" t="e">
        <f>AND(#REF!,"AAAAAH/+f94=")</f>
        <v>#REF!</v>
      </c>
      <c r="HP470" t="e">
        <f>AND(#REF!,"AAAAAH/+f98=")</f>
        <v>#REF!</v>
      </c>
      <c r="HQ470" t="e">
        <f>AND(#REF!,"AAAAAH/+f+A=")</f>
        <v>#REF!</v>
      </c>
      <c r="HR470" t="e">
        <f>AND(#REF!,"AAAAAH/+f+E=")</f>
        <v>#REF!</v>
      </c>
      <c r="HS470" t="e">
        <f>AND(#REF!,"AAAAAH/+f+I=")</f>
        <v>#REF!</v>
      </c>
      <c r="HT470" t="e">
        <f>AND(#REF!,"AAAAAH/+f+M=")</f>
        <v>#REF!</v>
      </c>
      <c r="HU470" t="e">
        <f>AND(#REF!,"AAAAAH/+f+Q=")</f>
        <v>#REF!</v>
      </c>
      <c r="HV470" t="e">
        <f>AND(#REF!,"AAAAAH/+f+U=")</f>
        <v>#REF!</v>
      </c>
      <c r="HW470" t="e">
        <f>AND(#REF!,"AAAAAH/+f+Y=")</f>
        <v>#REF!</v>
      </c>
      <c r="HX470" t="e">
        <f>AND(#REF!,"AAAAAH/+f+c=")</f>
        <v>#REF!</v>
      </c>
      <c r="HY470" t="e">
        <f>AND(#REF!,"AAAAAH/+f+g=")</f>
        <v>#REF!</v>
      </c>
      <c r="HZ470" t="e">
        <f>AND(#REF!,"AAAAAH/+f+k=")</f>
        <v>#REF!</v>
      </c>
      <c r="IA470" t="e">
        <f>AND(#REF!,"AAAAAH/+f+o=")</f>
        <v>#REF!</v>
      </c>
      <c r="IB470" t="e">
        <f>AND(#REF!,"AAAAAH/+f+s=")</f>
        <v>#REF!</v>
      </c>
      <c r="IC470" t="e">
        <f>AND(#REF!,"AAAAAH/+f+w=")</f>
        <v>#REF!</v>
      </c>
      <c r="ID470" t="e">
        <f>AND(#REF!,"AAAAAH/+f+0=")</f>
        <v>#REF!</v>
      </c>
      <c r="IE470" t="e">
        <f>AND(#REF!,"AAAAAH/+f+4=")</f>
        <v>#REF!</v>
      </c>
      <c r="IF470" t="e">
        <f>AND(#REF!,"AAAAAH/+f+8=")</f>
        <v>#REF!</v>
      </c>
      <c r="IG470" t="e">
        <f>AND(#REF!,"AAAAAH/+f/A=")</f>
        <v>#REF!</v>
      </c>
      <c r="IH470" t="e">
        <f>AND(#REF!,"AAAAAH/+f/E=")</f>
        <v>#REF!</v>
      </c>
      <c r="II470" t="e">
        <f>AND(#REF!,"AAAAAH/+f/I=")</f>
        <v>#REF!</v>
      </c>
      <c r="IJ470" t="e">
        <f>AND(#REF!,"AAAAAH/+f/M=")</f>
        <v>#REF!</v>
      </c>
      <c r="IK470" t="e">
        <f>AND(#REF!,"AAAAAH/+f/Q=")</f>
        <v>#REF!</v>
      </c>
      <c r="IL470" t="e">
        <f>AND(#REF!,"AAAAAH/+f/U=")</f>
        <v>#REF!</v>
      </c>
      <c r="IM470" t="e">
        <f>IF(#REF!,"AAAAAH/+f/Y=",0)</f>
        <v>#REF!</v>
      </c>
      <c r="IN470" t="e">
        <f>AND(#REF!,"AAAAAH/+f/c=")</f>
        <v>#REF!</v>
      </c>
      <c r="IO470" t="e">
        <f>AND(#REF!,"AAAAAH/+f/g=")</f>
        <v>#REF!</v>
      </c>
      <c r="IP470" t="e">
        <f>AND(#REF!,"AAAAAH/+f/k=")</f>
        <v>#REF!</v>
      </c>
      <c r="IQ470" t="e">
        <f>AND(#REF!,"AAAAAH/+f/o=")</f>
        <v>#REF!</v>
      </c>
      <c r="IR470" t="e">
        <f>AND(#REF!,"AAAAAH/+f/s=")</f>
        <v>#REF!</v>
      </c>
      <c r="IS470" t="e">
        <f>AND(#REF!,"AAAAAH/+f/w=")</f>
        <v>#REF!</v>
      </c>
      <c r="IT470" t="e">
        <f>AND(#REF!,"AAAAAH/+f/0=")</f>
        <v>#REF!</v>
      </c>
      <c r="IU470" t="e">
        <f>AND(#REF!,"AAAAAH/+f/4=")</f>
        <v>#REF!</v>
      </c>
      <c r="IV470" t="e">
        <f>AND(#REF!,"AAAAAH/+f/8=")</f>
        <v>#REF!</v>
      </c>
    </row>
    <row r="471" spans="1:256">
      <c r="A471" t="e">
        <f>AND(#REF!,"AAAAAFzvtwA=")</f>
        <v>#REF!</v>
      </c>
      <c r="B471" t="e">
        <f>AND(#REF!,"AAAAAFzvtwE=")</f>
        <v>#REF!</v>
      </c>
      <c r="C471" t="e">
        <f>AND(#REF!,"AAAAAFzvtwI=")</f>
        <v>#REF!</v>
      </c>
      <c r="D471" t="e">
        <f>AND(#REF!,"AAAAAFzvtwM=")</f>
        <v>#REF!</v>
      </c>
      <c r="E471" t="e">
        <f>AND(#REF!,"AAAAAFzvtwQ=")</f>
        <v>#REF!</v>
      </c>
      <c r="F471" t="e">
        <f>AND(#REF!,"AAAAAFzvtwU=")</f>
        <v>#REF!</v>
      </c>
      <c r="G471" t="e">
        <f>AND(#REF!,"AAAAAFzvtwY=")</f>
        <v>#REF!</v>
      </c>
      <c r="H471" t="e">
        <f>AND(#REF!,"AAAAAFzvtwc=")</f>
        <v>#REF!</v>
      </c>
      <c r="I471" t="e">
        <f>AND(#REF!,"AAAAAFzvtwg=")</f>
        <v>#REF!</v>
      </c>
      <c r="J471" t="e">
        <f>AND(#REF!,"AAAAAFzvtwk=")</f>
        <v>#REF!</v>
      </c>
      <c r="K471" t="e">
        <f>AND(#REF!,"AAAAAFzvtwo=")</f>
        <v>#REF!</v>
      </c>
      <c r="L471" t="e">
        <f>AND(#REF!,"AAAAAFzvtws=")</f>
        <v>#REF!</v>
      </c>
      <c r="M471" t="e">
        <f>AND(#REF!,"AAAAAFzvtww=")</f>
        <v>#REF!</v>
      </c>
      <c r="N471" t="e">
        <f>AND(#REF!,"AAAAAFzvtw0=")</f>
        <v>#REF!</v>
      </c>
      <c r="O471" t="e">
        <f>AND(#REF!,"AAAAAFzvtw4=")</f>
        <v>#REF!</v>
      </c>
      <c r="P471" t="e">
        <f>IF(#REF!,"AAAAAFzvtw8=",0)</f>
        <v>#REF!</v>
      </c>
      <c r="Q471" t="e">
        <f>AND(#REF!,"AAAAAFzvtxA=")</f>
        <v>#REF!</v>
      </c>
      <c r="R471" t="e">
        <f>AND(#REF!,"AAAAAFzvtxE=")</f>
        <v>#REF!</v>
      </c>
      <c r="S471" t="e">
        <f>AND(#REF!,"AAAAAFzvtxI=")</f>
        <v>#REF!</v>
      </c>
      <c r="T471" t="e">
        <f>AND(#REF!,"AAAAAFzvtxM=")</f>
        <v>#REF!</v>
      </c>
      <c r="U471" t="e">
        <f>AND(#REF!,"AAAAAFzvtxQ=")</f>
        <v>#REF!</v>
      </c>
      <c r="V471" t="e">
        <f>AND(#REF!,"AAAAAFzvtxU=")</f>
        <v>#REF!</v>
      </c>
      <c r="W471" t="e">
        <f>AND(#REF!,"AAAAAFzvtxY=")</f>
        <v>#REF!</v>
      </c>
      <c r="X471" t="e">
        <f>AND(#REF!,"AAAAAFzvtxc=")</f>
        <v>#REF!</v>
      </c>
      <c r="Y471" t="e">
        <f>AND(#REF!,"AAAAAFzvtxg=")</f>
        <v>#REF!</v>
      </c>
      <c r="Z471" t="e">
        <f>AND(#REF!,"AAAAAFzvtxk=")</f>
        <v>#REF!</v>
      </c>
      <c r="AA471" t="e">
        <f>AND(#REF!,"AAAAAFzvtxo=")</f>
        <v>#REF!</v>
      </c>
      <c r="AB471" t="e">
        <f>AND(#REF!,"AAAAAFzvtxs=")</f>
        <v>#REF!</v>
      </c>
      <c r="AC471" t="e">
        <f>AND(#REF!,"AAAAAFzvtxw=")</f>
        <v>#REF!</v>
      </c>
      <c r="AD471" t="e">
        <f>AND(#REF!,"AAAAAFzvtx0=")</f>
        <v>#REF!</v>
      </c>
      <c r="AE471" t="e">
        <f>AND(#REF!,"AAAAAFzvtx4=")</f>
        <v>#REF!</v>
      </c>
      <c r="AF471" t="e">
        <f>AND(#REF!,"AAAAAFzvtx8=")</f>
        <v>#REF!</v>
      </c>
      <c r="AG471" t="e">
        <f>AND(#REF!,"AAAAAFzvtyA=")</f>
        <v>#REF!</v>
      </c>
      <c r="AH471" t="e">
        <f>AND(#REF!,"AAAAAFzvtyE=")</f>
        <v>#REF!</v>
      </c>
      <c r="AI471" t="e">
        <f>AND(#REF!,"AAAAAFzvtyI=")</f>
        <v>#REF!</v>
      </c>
      <c r="AJ471" t="e">
        <f>AND(#REF!,"AAAAAFzvtyM=")</f>
        <v>#REF!</v>
      </c>
      <c r="AK471" t="e">
        <f>AND(#REF!,"AAAAAFzvtyQ=")</f>
        <v>#REF!</v>
      </c>
      <c r="AL471" t="e">
        <f>AND(#REF!,"AAAAAFzvtyU=")</f>
        <v>#REF!</v>
      </c>
      <c r="AM471" t="e">
        <f>AND(#REF!,"AAAAAFzvtyY=")</f>
        <v>#REF!</v>
      </c>
      <c r="AN471" t="e">
        <f>AND(#REF!,"AAAAAFzvtyc=")</f>
        <v>#REF!</v>
      </c>
      <c r="AO471" t="e">
        <f>IF(#REF!,"AAAAAFzvtyg=",0)</f>
        <v>#REF!</v>
      </c>
      <c r="AP471" t="e">
        <f>AND(#REF!,"AAAAAFzvtyk=")</f>
        <v>#REF!</v>
      </c>
      <c r="AQ471" t="e">
        <f>AND(#REF!,"AAAAAFzvtyo=")</f>
        <v>#REF!</v>
      </c>
      <c r="AR471" t="e">
        <f>AND(#REF!,"AAAAAFzvtys=")</f>
        <v>#REF!</v>
      </c>
      <c r="AS471" t="e">
        <f>AND(#REF!,"AAAAAFzvtyw=")</f>
        <v>#REF!</v>
      </c>
      <c r="AT471" t="e">
        <f>AND(#REF!,"AAAAAFzvty0=")</f>
        <v>#REF!</v>
      </c>
      <c r="AU471" t="e">
        <f>AND(#REF!,"AAAAAFzvty4=")</f>
        <v>#REF!</v>
      </c>
      <c r="AV471" t="e">
        <f>AND(#REF!,"AAAAAFzvty8=")</f>
        <v>#REF!</v>
      </c>
      <c r="AW471" t="e">
        <f>AND(#REF!,"AAAAAFzvtzA=")</f>
        <v>#REF!</v>
      </c>
      <c r="AX471" t="e">
        <f>AND(#REF!,"AAAAAFzvtzE=")</f>
        <v>#REF!</v>
      </c>
      <c r="AY471" t="e">
        <f>AND(#REF!,"AAAAAFzvtzI=")</f>
        <v>#REF!</v>
      </c>
      <c r="AZ471" t="e">
        <f>AND(#REF!,"AAAAAFzvtzM=")</f>
        <v>#REF!</v>
      </c>
      <c r="BA471" t="e">
        <f>AND(#REF!,"AAAAAFzvtzQ=")</f>
        <v>#REF!</v>
      </c>
      <c r="BB471" t="e">
        <f>AND(#REF!,"AAAAAFzvtzU=")</f>
        <v>#REF!</v>
      </c>
      <c r="BC471" t="e">
        <f>AND(#REF!,"AAAAAFzvtzY=")</f>
        <v>#REF!</v>
      </c>
      <c r="BD471" t="e">
        <f>AND(#REF!,"AAAAAFzvtzc=")</f>
        <v>#REF!</v>
      </c>
      <c r="BE471" t="e">
        <f>AND(#REF!,"AAAAAFzvtzg=")</f>
        <v>#REF!</v>
      </c>
      <c r="BF471" t="e">
        <f>AND(#REF!,"AAAAAFzvtzk=")</f>
        <v>#REF!</v>
      </c>
      <c r="BG471" t="e">
        <f>AND(#REF!,"AAAAAFzvtzo=")</f>
        <v>#REF!</v>
      </c>
      <c r="BH471" t="e">
        <f>AND(#REF!,"AAAAAFzvtzs=")</f>
        <v>#REF!</v>
      </c>
      <c r="BI471" t="e">
        <f>AND(#REF!,"AAAAAFzvtzw=")</f>
        <v>#REF!</v>
      </c>
      <c r="BJ471" t="e">
        <f>AND(#REF!,"AAAAAFzvtz0=")</f>
        <v>#REF!</v>
      </c>
      <c r="BK471" t="e">
        <f>AND(#REF!,"AAAAAFzvtz4=")</f>
        <v>#REF!</v>
      </c>
      <c r="BL471" t="e">
        <f>AND(#REF!,"AAAAAFzvtz8=")</f>
        <v>#REF!</v>
      </c>
      <c r="BM471" t="e">
        <f>AND(#REF!,"AAAAAFzvt0A=")</f>
        <v>#REF!</v>
      </c>
      <c r="BN471" t="e">
        <f>IF(#REF!,"AAAAAFzvt0E=",0)</f>
        <v>#REF!</v>
      </c>
      <c r="BO471" t="e">
        <f>AND(#REF!,"AAAAAFzvt0I=")</f>
        <v>#REF!</v>
      </c>
      <c r="BP471" t="e">
        <f>AND(#REF!,"AAAAAFzvt0M=")</f>
        <v>#REF!</v>
      </c>
      <c r="BQ471" t="e">
        <f>AND(#REF!,"AAAAAFzvt0Q=")</f>
        <v>#REF!</v>
      </c>
      <c r="BR471" t="e">
        <f>AND(#REF!,"AAAAAFzvt0U=")</f>
        <v>#REF!</v>
      </c>
      <c r="BS471" t="e">
        <f>AND(#REF!,"AAAAAFzvt0Y=")</f>
        <v>#REF!</v>
      </c>
      <c r="BT471" t="e">
        <f>AND(#REF!,"AAAAAFzvt0c=")</f>
        <v>#REF!</v>
      </c>
      <c r="BU471" t="e">
        <f>AND(#REF!,"AAAAAFzvt0g=")</f>
        <v>#REF!</v>
      </c>
      <c r="BV471" t="e">
        <f>AND(#REF!,"AAAAAFzvt0k=")</f>
        <v>#REF!</v>
      </c>
      <c r="BW471" t="e">
        <f>AND(#REF!,"AAAAAFzvt0o=")</f>
        <v>#REF!</v>
      </c>
      <c r="BX471" t="e">
        <f>AND(#REF!,"AAAAAFzvt0s=")</f>
        <v>#REF!</v>
      </c>
      <c r="BY471" t="e">
        <f>AND(#REF!,"AAAAAFzvt0w=")</f>
        <v>#REF!</v>
      </c>
      <c r="BZ471" t="e">
        <f>AND(#REF!,"AAAAAFzvt00=")</f>
        <v>#REF!</v>
      </c>
      <c r="CA471" t="e">
        <f>AND(#REF!,"AAAAAFzvt04=")</f>
        <v>#REF!</v>
      </c>
      <c r="CB471" t="e">
        <f>AND(#REF!,"AAAAAFzvt08=")</f>
        <v>#REF!</v>
      </c>
      <c r="CC471" t="e">
        <f>AND(#REF!,"AAAAAFzvt1A=")</f>
        <v>#REF!</v>
      </c>
      <c r="CD471" t="e">
        <f>AND(#REF!,"AAAAAFzvt1E=")</f>
        <v>#REF!</v>
      </c>
      <c r="CE471" t="e">
        <f>AND(#REF!,"AAAAAFzvt1I=")</f>
        <v>#REF!</v>
      </c>
      <c r="CF471" t="e">
        <f>AND(#REF!,"AAAAAFzvt1M=")</f>
        <v>#REF!</v>
      </c>
      <c r="CG471" t="e">
        <f>AND(#REF!,"AAAAAFzvt1Q=")</f>
        <v>#REF!</v>
      </c>
      <c r="CH471" t="e">
        <f>AND(#REF!,"AAAAAFzvt1U=")</f>
        <v>#REF!</v>
      </c>
      <c r="CI471" t="e">
        <f>AND(#REF!,"AAAAAFzvt1Y=")</f>
        <v>#REF!</v>
      </c>
      <c r="CJ471" t="e">
        <f>AND(#REF!,"AAAAAFzvt1c=")</f>
        <v>#REF!</v>
      </c>
      <c r="CK471" t="e">
        <f>AND(#REF!,"AAAAAFzvt1g=")</f>
        <v>#REF!</v>
      </c>
      <c r="CL471" t="e">
        <f>AND(#REF!,"AAAAAFzvt1k=")</f>
        <v>#REF!</v>
      </c>
      <c r="CM471" t="e">
        <f>IF(#REF!,"AAAAAFzvt1o=",0)</f>
        <v>#REF!</v>
      </c>
      <c r="CN471" t="e">
        <f>AND(#REF!,"AAAAAFzvt1s=")</f>
        <v>#REF!</v>
      </c>
      <c r="CO471" t="e">
        <f>AND(#REF!,"AAAAAFzvt1w=")</f>
        <v>#REF!</v>
      </c>
      <c r="CP471" t="e">
        <f>AND(#REF!,"AAAAAFzvt10=")</f>
        <v>#REF!</v>
      </c>
      <c r="CQ471" t="e">
        <f>AND(#REF!,"AAAAAFzvt14=")</f>
        <v>#REF!</v>
      </c>
      <c r="CR471" t="e">
        <f>AND(#REF!,"AAAAAFzvt18=")</f>
        <v>#REF!</v>
      </c>
      <c r="CS471" t="e">
        <f>AND(#REF!,"AAAAAFzvt2A=")</f>
        <v>#REF!</v>
      </c>
      <c r="CT471" t="e">
        <f>AND(#REF!,"AAAAAFzvt2E=")</f>
        <v>#REF!</v>
      </c>
      <c r="CU471" t="e">
        <f>AND(#REF!,"AAAAAFzvt2I=")</f>
        <v>#REF!</v>
      </c>
      <c r="CV471" t="e">
        <f>AND(#REF!,"AAAAAFzvt2M=")</f>
        <v>#REF!</v>
      </c>
      <c r="CW471" t="e">
        <f>AND(#REF!,"AAAAAFzvt2Q=")</f>
        <v>#REF!</v>
      </c>
      <c r="CX471" t="e">
        <f>AND(#REF!,"AAAAAFzvt2U=")</f>
        <v>#REF!</v>
      </c>
      <c r="CY471" t="e">
        <f>AND(#REF!,"AAAAAFzvt2Y=")</f>
        <v>#REF!</v>
      </c>
      <c r="CZ471" t="e">
        <f>AND(#REF!,"AAAAAFzvt2c=")</f>
        <v>#REF!</v>
      </c>
      <c r="DA471" t="e">
        <f>AND(#REF!,"AAAAAFzvt2g=")</f>
        <v>#REF!</v>
      </c>
      <c r="DB471" t="e">
        <f>AND(#REF!,"AAAAAFzvt2k=")</f>
        <v>#REF!</v>
      </c>
      <c r="DC471" t="e">
        <f>AND(#REF!,"AAAAAFzvt2o=")</f>
        <v>#REF!</v>
      </c>
      <c r="DD471" t="e">
        <f>AND(#REF!,"AAAAAFzvt2s=")</f>
        <v>#REF!</v>
      </c>
      <c r="DE471" t="e">
        <f>AND(#REF!,"AAAAAFzvt2w=")</f>
        <v>#REF!</v>
      </c>
      <c r="DF471" t="e">
        <f>AND(#REF!,"AAAAAFzvt20=")</f>
        <v>#REF!</v>
      </c>
      <c r="DG471" t="e">
        <f>AND(#REF!,"AAAAAFzvt24=")</f>
        <v>#REF!</v>
      </c>
      <c r="DH471" t="e">
        <f>AND(#REF!,"AAAAAFzvt28=")</f>
        <v>#REF!</v>
      </c>
      <c r="DI471" t="e">
        <f>AND(#REF!,"AAAAAFzvt3A=")</f>
        <v>#REF!</v>
      </c>
      <c r="DJ471" t="e">
        <f>AND(#REF!,"AAAAAFzvt3E=")</f>
        <v>#REF!</v>
      </c>
      <c r="DK471" t="e">
        <f>AND(#REF!,"AAAAAFzvt3I=")</f>
        <v>#REF!</v>
      </c>
      <c r="DL471" t="e">
        <f>IF(#REF!,"AAAAAFzvt3M=",0)</f>
        <v>#REF!</v>
      </c>
      <c r="DM471" t="e">
        <f>AND(#REF!,"AAAAAFzvt3Q=")</f>
        <v>#REF!</v>
      </c>
      <c r="DN471" t="e">
        <f>AND(#REF!,"AAAAAFzvt3U=")</f>
        <v>#REF!</v>
      </c>
      <c r="DO471" t="e">
        <f>AND(#REF!,"AAAAAFzvt3Y=")</f>
        <v>#REF!</v>
      </c>
      <c r="DP471" t="e">
        <f>AND(#REF!,"AAAAAFzvt3c=")</f>
        <v>#REF!</v>
      </c>
      <c r="DQ471" t="e">
        <f>AND(#REF!,"AAAAAFzvt3g=")</f>
        <v>#REF!</v>
      </c>
      <c r="DR471" t="e">
        <f>AND(#REF!,"AAAAAFzvt3k=")</f>
        <v>#REF!</v>
      </c>
      <c r="DS471" t="e">
        <f>AND(#REF!,"AAAAAFzvt3o=")</f>
        <v>#REF!</v>
      </c>
      <c r="DT471" t="e">
        <f>AND(#REF!,"AAAAAFzvt3s=")</f>
        <v>#REF!</v>
      </c>
      <c r="DU471" t="e">
        <f>AND(#REF!,"AAAAAFzvt3w=")</f>
        <v>#REF!</v>
      </c>
      <c r="DV471" t="e">
        <f>AND(#REF!,"AAAAAFzvt30=")</f>
        <v>#REF!</v>
      </c>
      <c r="DW471" t="e">
        <f>AND(#REF!,"AAAAAFzvt34=")</f>
        <v>#REF!</v>
      </c>
      <c r="DX471" t="e">
        <f>AND(#REF!,"AAAAAFzvt38=")</f>
        <v>#REF!</v>
      </c>
      <c r="DY471" t="e">
        <f>AND(#REF!,"AAAAAFzvt4A=")</f>
        <v>#REF!</v>
      </c>
      <c r="DZ471" t="e">
        <f>AND(#REF!,"AAAAAFzvt4E=")</f>
        <v>#REF!</v>
      </c>
      <c r="EA471" t="e">
        <f>AND(#REF!,"AAAAAFzvt4I=")</f>
        <v>#REF!</v>
      </c>
      <c r="EB471" t="e">
        <f>AND(#REF!,"AAAAAFzvt4M=")</f>
        <v>#REF!</v>
      </c>
      <c r="EC471" t="e">
        <f>AND(#REF!,"AAAAAFzvt4Q=")</f>
        <v>#REF!</v>
      </c>
      <c r="ED471" t="e">
        <f>AND(#REF!,"AAAAAFzvt4U=")</f>
        <v>#REF!</v>
      </c>
      <c r="EE471" t="e">
        <f>AND(#REF!,"AAAAAFzvt4Y=")</f>
        <v>#REF!</v>
      </c>
      <c r="EF471" t="e">
        <f>AND(#REF!,"AAAAAFzvt4c=")</f>
        <v>#REF!</v>
      </c>
      <c r="EG471" t="e">
        <f>AND(#REF!,"AAAAAFzvt4g=")</f>
        <v>#REF!</v>
      </c>
      <c r="EH471" t="e">
        <f>AND(#REF!,"AAAAAFzvt4k=")</f>
        <v>#REF!</v>
      </c>
      <c r="EI471" t="e">
        <f>AND(#REF!,"AAAAAFzvt4o=")</f>
        <v>#REF!</v>
      </c>
      <c r="EJ471" t="e">
        <f>AND(#REF!,"AAAAAFzvt4s=")</f>
        <v>#REF!</v>
      </c>
      <c r="EK471" t="e">
        <f>IF(#REF!,"AAAAAFzvt4w=",0)</f>
        <v>#REF!</v>
      </c>
      <c r="EL471" t="e">
        <f>AND(#REF!,"AAAAAFzvt40=")</f>
        <v>#REF!</v>
      </c>
      <c r="EM471" t="e">
        <f>AND(#REF!,"AAAAAFzvt44=")</f>
        <v>#REF!</v>
      </c>
      <c r="EN471" t="e">
        <f>AND(#REF!,"AAAAAFzvt48=")</f>
        <v>#REF!</v>
      </c>
      <c r="EO471" t="e">
        <f>AND(#REF!,"AAAAAFzvt5A=")</f>
        <v>#REF!</v>
      </c>
      <c r="EP471" t="e">
        <f>AND(#REF!,"AAAAAFzvt5E=")</f>
        <v>#REF!</v>
      </c>
      <c r="EQ471" t="e">
        <f>AND(#REF!,"AAAAAFzvt5I=")</f>
        <v>#REF!</v>
      </c>
      <c r="ER471" t="e">
        <f>AND(#REF!,"AAAAAFzvt5M=")</f>
        <v>#REF!</v>
      </c>
      <c r="ES471" t="e">
        <f>AND(#REF!,"AAAAAFzvt5Q=")</f>
        <v>#REF!</v>
      </c>
      <c r="ET471" t="e">
        <f>AND(#REF!,"AAAAAFzvt5U=")</f>
        <v>#REF!</v>
      </c>
      <c r="EU471" t="e">
        <f>AND(#REF!,"AAAAAFzvt5Y=")</f>
        <v>#REF!</v>
      </c>
      <c r="EV471" t="e">
        <f>AND(#REF!,"AAAAAFzvt5c=")</f>
        <v>#REF!</v>
      </c>
      <c r="EW471" t="e">
        <f>AND(#REF!,"AAAAAFzvt5g=")</f>
        <v>#REF!</v>
      </c>
      <c r="EX471" t="e">
        <f>AND(#REF!,"AAAAAFzvt5k=")</f>
        <v>#REF!</v>
      </c>
      <c r="EY471" t="e">
        <f>AND(#REF!,"AAAAAFzvt5o=")</f>
        <v>#REF!</v>
      </c>
      <c r="EZ471" t="e">
        <f>AND(#REF!,"AAAAAFzvt5s=")</f>
        <v>#REF!</v>
      </c>
      <c r="FA471" t="e">
        <f>AND(#REF!,"AAAAAFzvt5w=")</f>
        <v>#REF!</v>
      </c>
      <c r="FB471" t="e">
        <f>AND(#REF!,"AAAAAFzvt50=")</f>
        <v>#REF!</v>
      </c>
      <c r="FC471" t="e">
        <f>AND(#REF!,"AAAAAFzvt54=")</f>
        <v>#REF!</v>
      </c>
      <c r="FD471" t="e">
        <f>AND(#REF!,"AAAAAFzvt58=")</f>
        <v>#REF!</v>
      </c>
      <c r="FE471" t="e">
        <f>AND(#REF!,"AAAAAFzvt6A=")</f>
        <v>#REF!</v>
      </c>
      <c r="FF471" t="e">
        <f>AND(#REF!,"AAAAAFzvt6E=")</f>
        <v>#REF!</v>
      </c>
      <c r="FG471" t="e">
        <f>AND(#REF!,"AAAAAFzvt6I=")</f>
        <v>#REF!</v>
      </c>
      <c r="FH471" t="e">
        <f>AND(#REF!,"AAAAAFzvt6M=")</f>
        <v>#REF!</v>
      </c>
      <c r="FI471" t="e">
        <f>AND(#REF!,"AAAAAFzvt6Q=")</f>
        <v>#REF!</v>
      </c>
      <c r="FJ471" t="e">
        <f>IF(#REF!,"AAAAAFzvt6U=",0)</f>
        <v>#REF!</v>
      </c>
      <c r="FK471" t="e">
        <f>AND(#REF!,"AAAAAFzvt6Y=")</f>
        <v>#REF!</v>
      </c>
      <c r="FL471" t="e">
        <f>AND(#REF!,"AAAAAFzvt6c=")</f>
        <v>#REF!</v>
      </c>
      <c r="FM471" t="e">
        <f>AND(#REF!,"AAAAAFzvt6g=")</f>
        <v>#REF!</v>
      </c>
      <c r="FN471" t="e">
        <f>AND(#REF!,"AAAAAFzvt6k=")</f>
        <v>#REF!</v>
      </c>
      <c r="FO471" t="e">
        <f>AND(#REF!,"AAAAAFzvt6o=")</f>
        <v>#REF!</v>
      </c>
      <c r="FP471" t="e">
        <f>AND(#REF!,"AAAAAFzvt6s=")</f>
        <v>#REF!</v>
      </c>
      <c r="FQ471" t="e">
        <f>AND(#REF!,"AAAAAFzvt6w=")</f>
        <v>#REF!</v>
      </c>
      <c r="FR471" t="e">
        <f>AND(#REF!,"AAAAAFzvt60=")</f>
        <v>#REF!</v>
      </c>
      <c r="FS471" t="e">
        <f>AND(#REF!,"AAAAAFzvt64=")</f>
        <v>#REF!</v>
      </c>
      <c r="FT471" t="e">
        <f>AND(#REF!,"AAAAAFzvt68=")</f>
        <v>#REF!</v>
      </c>
      <c r="FU471" t="e">
        <f>AND(#REF!,"AAAAAFzvt7A=")</f>
        <v>#REF!</v>
      </c>
      <c r="FV471" t="e">
        <f>AND(#REF!,"AAAAAFzvt7E=")</f>
        <v>#REF!</v>
      </c>
      <c r="FW471" t="e">
        <f>AND(#REF!,"AAAAAFzvt7I=")</f>
        <v>#REF!</v>
      </c>
      <c r="FX471" t="e">
        <f>AND(#REF!,"AAAAAFzvt7M=")</f>
        <v>#REF!</v>
      </c>
      <c r="FY471" t="e">
        <f>AND(#REF!,"AAAAAFzvt7Q=")</f>
        <v>#REF!</v>
      </c>
      <c r="FZ471" t="e">
        <f>AND(#REF!,"AAAAAFzvt7U=")</f>
        <v>#REF!</v>
      </c>
      <c r="GA471" t="e">
        <f>AND(#REF!,"AAAAAFzvt7Y=")</f>
        <v>#REF!</v>
      </c>
      <c r="GB471" t="e">
        <f>AND(#REF!,"AAAAAFzvt7c=")</f>
        <v>#REF!</v>
      </c>
      <c r="GC471" t="e">
        <f>AND(#REF!,"AAAAAFzvt7g=")</f>
        <v>#REF!</v>
      </c>
      <c r="GD471" t="e">
        <f>AND(#REF!,"AAAAAFzvt7k=")</f>
        <v>#REF!</v>
      </c>
      <c r="GE471" t="e">
        <f>AND(#REF!,"AAAAAFzvt7o=")</f>
        <v>#REF!</v>
      </c>
      <c r="GF471" t="e">
        <f>AND(#REF!,"AAAAAFzvt7s=")</f>
        <v>#REF!</v>
      </c>
      <c r="GG471" t="e">
        <f>AND(#REF!,"AAAAAFzvt7w=")</f>
        <v>#REF!</v>
      </c>
      <c r="GH471" t="e">
        <f>AND(#REF!,"AAAAAFzvt70=")</f>
        <v>#REF!</v>
      </c>
      <c r="GI471" t="e">
        <f>IF(#REF!,"AAAAAFzvt74=",0)</f>
        <v>#REF!</v>
      </c>
      <c r="GJ471" t="e">
        <f>AND(#REF!,"AAAAAFzvt78=")</f>
        <v>#REF!</v>
      </c>
      <c r="GK471" t="e">
        <f>AND(#REF!,"AAAAAFzvt8A=")</f>
        <v>#REF!</v>
      </c>
      <c r="GL471" t="e">
        <f>AND(#REF!,"AAAAAFzvt8E=")</f>
        <v>#REF!</v>
      </c>
      <c r="GM471" t="e">
        <f>AND(#REF!,"AAAAAFzvt8I=")</f>
        <v>#REF!</v>
      </c>
      <c r="GN471" t="e">
        <f>AND(#REF!,"AAAAAFzvt8M=")</f>
        <v>#REF!</v>
      </c>
      <c r="GO471" t="e">
        <f>AND(#REF!,"AAAAAFzvt8Q=")</f>
        <v>#REF!</v>
      </c>
      <c r="GP471" t="e">
        <f>AND(#REF!,"AAAAAFzvt8U=")</f>
        <v>#REF!</v>
      </c>
      <c r="GQ471" t="e">
        <f>AND(#REF!,"AAAAAFzvt8Y=")</f>
        <v>#REF!</v>
      </c>
      <c r="GR471" t="e">
        <f>AND(#REF!,"AAAAAFzvt8c=")</f>
        <v>#REF!</v>
      </c>
      <c r="GS471" t="e">
        <f>AND(#REF!,"AAAAAFzvt8g=")</f>
        <v>#REF!</v>
      </c>
      <c r="GT471" t="e">
        <f>AND(#REF!,"AAAAAFzvt8k=")</f>
        <v>#REF!</v>
      </c>
      <c r="GU471" t="e">
        <f>AND(#REF!,"AAAAAFzvt8o=")</f>
        <v>#REF!</v>
      </c>
      <c r="GV471" t="e">
        <f>AND(#REF!,"AAAAAFzvt8s=")</f>
        <v>#REF!</v>
      </c>
      <c r="GW471" t="e">
        <f>AND(#REF!,"AAAAAFzvt8w=")</f>
        <v>#REF!</v>
      </c>
      <c r="GX471" t="e">
        <f>AND(#REF!,"AAAAAFzvt80=")</f>
        <v>#REF!</v>
      </c>
      <c r="GY471" t="e">
        <f>AND(#REF!,"AAAAAFzvt84=")</f>
        <v>#REF!</v>
      </c>
      <c r="GZ471" t="e">
        <f>AND(#REF!,"AAAAAFzvt88=")</f>
        <v>#REF!</v>
      </c>
      <c r="HA471" t="e">
        <f>AND(#REF!,"AAAAAFzvt9A=")</f>
        <v>#REF!</v>
      </c>
      <c r="HB471" t="e">
        <f>AND(#REF!,"AAAAAFzvt9E=")</f>
        <v>#REF!</v>
      </c>
      <c r="HC471" t="e">
        <f>AND(#REF!,"AAAAAFzvt9I=")</f>
        <v>#REF!</v>
      </c>
      <c r="HD471" t="e">
        <f>AND(#REF!,"AAAAAFzvt9M=")</f>
        <v>#REF!</v>
      </c>
      <c r="HE471" t="e">
        <f>AND(#REF!,"AAAAAFzvt9Q=")</f>
        <v>#REF!</v>
      </c>
      <c r="HF471" t="e">
        <f>AND(#REF!,"AAAAAFzvt9U=")</f>
        <v>#REF!</v>
      </c>
      <c r="HG471" t="e">
        <f>AND(#REF!,"AAAAAFzvt9Y=")</f>
        <v>#REF!</v>
      </c>
      <c r="HH471" t="e">
        <f>IF(#REF!,"AAAAAFzvt9c=",0)</f>
        <v>#REF!</v>
      </c>
      <c r="HI471" t="e">
        <f>AND(#REF!,"AAAAAFzvt9g=")</f>
        <v>#REF!</v>
      </c>
      <c r="HJ471" t="e">
        <f>AND(#REF!,"AAAAAFzvt9k=")</f>
        <v>#REF!</v>
      </c>
      <c r="HK471" t="e">
        <f>AND(#REF!,"AAAAAFzvt9o=")</f>
        <v>#REF!</v>
      </c>
      <c r="HL471" t="e">
        <f>AND(#REF!,"AAAAAFzvt9s=")</f>
        <v>#REF!</v>
      </c>
      <c r="HM471" t="e">
        <f>AND(#REF!,"AAAAAFzvt9w=")</f>
        <v>#REF!</v>
      </c>
      <c r="HN471" t="e">
        <f>AND(#REF!,"AAAAAFzvt90=")</f>
        <v>#REF!</v>
      </c>
      <c r="HO471" t="e">
        <f>AND(#REF!,"AAAAAFzvt94=")</f>
        <v>#REF!</v>
      </c>
      <c r="HP471" t="e">
        <f>AND(#REF!,"AAAAAFzvt98=")</f>
        <v>#REF!</v>
      </c>
      <c r="HQ471" t="e">
        <f>AND(#REF!,"AAAAAFzvt+A=")</f>
        <v>#REF!</v>
      </c>
      <c r="HR471" t="e">
        <f>AND(#REF!,"AAAAAFzvt+E=")</f>
        <v>#REF!</v>
      </c>
      <c r="HS471" t="e">
        <f>AND(#REF!,"AAAAAFzvt+I=")</f>
        <v>#REF!</v>
      </c>
      <c r="HT471" t="e">
        <f>AND(#REF!,"AAAAAFzvt+M=")</f>
        <v>#REF!</v>
      </c>
      <c r="HU471" t="e">
        <f>AND(#REF!,"AAAAAFzvt+Q=")</f>
        <v>#REF!</v>
      </c>
      <c r="HV471" t="e">
        <f>AND(#REF!,"AAAAAFzvt+U=")</f>
        <v>#REF!</v>
      </c>
      <c r="HW471" t="e">
        <f>AND(#REF!,"AAAAAFzvt+Y=")</f>
        <v>#REF!</v>
      </c>
      <c r="HX471" t="e">
        <f>AND(#REF!,"AAAAAFzvt+c=")</f>
        <v>#REF!</v>
      </c>
      <c r="HY471" t="e">
        <f>AND(#REF!,"AAAAAFzvt+g=")</f>
        <v>#REF!</v>
      </c>
      <c r="HZ471" t="e">
        <f>AND(#REF!,"AAAAAFzvt+k=")</f>
        <v>#REF!</v>
      </c>
      <c r="IA471" t="e">
        <f>AND(#REF!,"AAAAAFzvt+o=")</f>
        <v>#REF!</v>
      </c>
      <c r="IB471" t="e">
        <f>AND(#REF!,"AAAAAFzvt+s=")</f>
        <v>#REF!</v>
      </c>
      <c r="IC471" t="e">
        <f>AND(#REF!,"AAAAAFzvt+w=")</f>
        <v>#REF!</v>
      </c>
      <c r="ID471" t="e">
        <f>AND(#REF!,"AAAAAFzvt+0=")</f>
        <v>#REF!</v>
      </c>
      <c r="IE471" t="e">
        <f>AND(#REF!,"AAAAAFzvt+4=")</f>
        <v>#REF!</v>
      </c>
      <c r="IF471" t="e">
        <f>AND(#REF!,"AAAAAFzvt+8=")</f>
        <v>#REF!</v>
      </c>
      <c r="IG471" t="e">
        <f>IF(#REF!,"AAAAAFzvt/A=",0)</f>
        <v>#REF!</v>
      </c>
      <c r="IH471" t="e">
        <f>AND(#REF!,"AAAAAFzvt/E=")</f>
        <v>#REF!</v>
      </c>
      <c r="II471" t="e">
        <f>AND(#REF!,"AAAAAFzvt/I=")</f>
        <v>#REF!</v>
      </c>
      <c r="IJ471" t="e">
        <f>AND(#REF!,"AAAAAFzvt/M=")</f>
        <v>#REF!</v>
      </c>
      <c r="IK471" t="e">
        <f>AND(#REF!,"AAAAAFzvt/Q=")</f>
        <v>#REF!</v>
      </c>
      <c r="IL471" t="e">
        <f>AND(#REF!,"AAAAAFzvt/U=")</f>
        <v>#REF!</v>
      </c>
      <c r="IM471" t="e">
        <f>AND(#REF!,"AAAAAFzvt/Y=")</f>
        <v>#REF!</v>
      </c>
      <c r="IN471" t="e">
        <f>AND(#REF!,"AAAAAFzvt/c=")</f>
        <v>#REF!</v>
      </c>
      <c r="IO471" t="e">
        <f>AND(#REF!,"AAAAAFzvt/g=")</f>
        <v>#REF!</v>
      </c>
      <c r="IP471" t="e">
        <f>AND(#REF!,"AAAAAFzvt/k=")</f>
        <v>#REF!</v>
      </c>
      <c r="IQ471" t="e">
        <f>AND(#REF!,"AAAAAFzvt/o=")</f>
        <v>#REF!</v>
      </c>
      <c r="IR471" t="e">
        <f>AND(#REF!,"AAAAAFzvt/s=")</f>
        <v>#REF!</v>
      </c>
      <c r="IS471" t="e">
        <f>AND(#REF!,"AAAAAFzvt/w=")</f>
        <v>#REF!</v>
      </c>
      <c r="IT471" t="e">
        <f>AND(#REF!,"AAAAAFzvt/0=")</f>
        <v>#REF!</v>
      </c>
      <c r="IU471" t="e">
        <f>AND(#REF!,"AAAAAFzvt/4=")</f>
        <v>#REF!</v>
      </c>
      <c r="IV471" t="e">
        <f>AND(#REF!,"AAAAAFzvt/8=")</f>
        <v>#REF!</v>
      </c>
    </row>
    <row r="472" spans="1:256">
      <c r="A472" t="e">
        <f>AND(#REF!,"AAAAAC4rtwA=")</f>
        <v>#REF!</v>
      </c>
      <c r="B472" t="e">
        <f>AND(#REF!,"AAAAAC4rtwE=")</f>
        <v>#REF!</v>
      </c>
      <c r="C472" t="e">
        <f>AND(#REF!,"AAAAAC4rtwI=")</f>
        <v>#REF!</v>
      </c>
      <c r="D472" t="e">
        <f>AND(#REF!,"AAAAAC4rtwM=")</f>
        <v>#REF!</v>
      </c>
      <c r="E472" t="e">
        <f>AND(#REF!,"AAAAAC4rtwQ=")</f>
        <v>#REF!</v>
      </c>
      <c r="F472" t="e">
        <f>AND(#REF!,"AAAAAC4rtwU=")</f>
        <v>#REF!</v>
      </c>
      <c r="G472" t="e">
        <f>AND(#REF!,"AAAAAC4rtwY=")</f>
        <v>#REF!</v>
      </c>
      <c r="H472" t="e">
        <f>AND(#REF!,"AAAAAC4rtwc=")</f>
        <v>#REF!</v>
      </c>
      <c r="I472" t="e">
        <f>AND(#REF!,"AAAAAC4rtwg=")</f>
        <v>#REF!</v>
      </c>
      <c r="J472" t="e">
        <f>IF(#REF!,"AAAAAC4rtwk=",0)</f>
        <v>#REF!</v>
      </c>
      <c r="K472" t="e">
        <f>AND(#REF!,"AAAAAC4rtwo=")</f>
        <v>#REF!</v>
      </c>
      <c r="L472" t="e">
        <f>AND(#REF!,"AAAAAC4rtws=")</f>
        <v>#REF!</v>
      </c>
      <c r="M472" t="e">
        <f>AND(#REF!,"AAAAAC4rtww=")</f>
        <v>#REF!</v>
      </c>
      <c r="N472" t="e">
        <f>AND(#REF!,"AAAAAC4rtw0=")</f>
        <v>#REF!</v>
      </c>
      <c r="O472" t="e">
        <f>AND(#REF!,"AAAAAC4rtw4=")</f>
        <v>#REF!</v>
      </c>
      <c r="P472" t="e">
        <f>AND(#REF!,"AAAAAC4rtw8=")</f>
        <v>#REF!</v>
      </c>
      <c r="Q472" t="e">
        <f>AND(#REF!,"AAAAAC4rtxA=")</f>
        <v>#REF!</v>
      </c>
      <c r="R472" t="e">
        <f>AND(#REF!,"AAAAAC4rtxE=")</f>
        <v>#REF!</v>
      </c>
      <c r="S472" t="e">
        <f>AND(#REF!,"AAAAAC4rtxI=")</f>
        <v>#REF!</v>
      </c>
      <c r="T472" t="e">
        <f>AND(#REF!,"AAAAAC4rtxM=")</f>
        <v>#REF!</v>
      </c>
      <c r="U472" t="e">
        <f>AND(#REF!,"AAAAAC4rtxQ=")</f>
        <v>#REF!</v>
      </c>
      <c r="V472" t="e">
        <f>AND(#REF!,"AAAAAC4rtxU=")</f>
        <v>#REF!</v>
      </c>
      <c r="W472" t="e">
        <f>AND(#REF!,"AAAAAC4rtxY=")</f>
        <v>#REF!</v>
      </c>
      <c r="X472" t="e">
        <f>AND(#REF!,"AAAAAC4rtxc=")</f>
        <v>#REF!</v>
      </c>
      <c r="Y472" t="e">
        <f>AND(#REF!,"AAAAAC4rtxg=")</f>
        <v>#REF!</v>
      </c>
      <c r="Z472" t="e">
        <f>AND(#REF!,"AAAAAC4rtxk=")</f>
        <v>#REF!</v>
      </c>
      <c r="AA472" t="e">
        <f>AND(#REF!,"AAAAAC4rtxo=")</f>
        <v>#REF!</v>
      </c>
      <c r="AB472" t="e">
        <f>AND(#REF!,"AAAAAC4rtxs=")</f>
        <v>#REF!</v>
      </c>
      <c r="AC472" t="e">
        <f>AND(#REF!,"AAAAAC4rtxw=")</f>
        <v>#REF!</v>
      </c>
      <c r="AD472" t="e">
        <f>AND(#REF!,"AAAAAC4rtx0=")</f>
        <v>#REF!</v>
      </c>
      <c r="AE472" t="e">
        <f>AND(#REF!,"AAAAAC4rtx4=")</f>
        <v>#REF!</v>
      </c>
      <c r="AF472" t="e">
        <f>AND(#REF!,"AAAAAC4rtx8=")</f>
        <v>#REF!</v>
      </c>
      <c r="AG472" t="e">
        <f>AND(#REF!,"AAAAAC4rtyA=")</f>
        <v>#REF!</v>
      </c>
      <c r="AH472" t="e">
        <f>AND(#REF!,"AAAAAC4rtyE=")</f>
        <v>#REF!</v>
      </c>
      <c r="AI472" t="e">
        <f>IF(#REF!,"AAAAAC4rtyI=",0)</f>
        <v>#REF!</v>
      </c>
      <c r="AJ472" t="e">
        <f>AND(#REF!,"AAAAAC4rtyM=")</f>
        <v>#REF!</v>
      </c>
      <c r="AK472" t="e">
        <f>AND(#REF!,"AAAAAC4rtyQ=")</f>
        <v>#REF!</v>
      </c>
      <c r="AL472" t="e">
        <f>AND(#REF!,"AAAAAC4rtyU=")</f>
        <v>#REF!</v>
      </c>
      <c r="AM472" t="e">
        <f>AND(#REF!,"AAAAAC4rtyY=")</f>
        <v>#REF!</v>
      </c>
      <c r="AN472" t="e">
        <f>AND(#REF!,"AAAAAC4rtyc=")</f>
        <v>#REF!</v>
      </c>
      <c r="AO472" t="e">
        <f>AND(#REF!,"AAAAAC4rtyg=")</f>
        <v>#REF!</v>
      </c>
      <c r="AP472" t="e">
        <f>AND(#REF!,"AAAAAC4rtyk=")</f>
        <v>#REF!</v>
      </c>
      <c r="AQ472" t="e">
        <f>AND(#REF!,"AAAAAC4rtyo=")</f>
        <v>#REF!</v>
      </c>
      <c r="AR472" t="e">
        <f>AND(#REF!,"AAAAAC4rtys=")</f>
        <v>#REF!</v>
      </c>
      <c r="AS472" t="e">
        <f>AND(#REF!,"AAAAAC4rtyw=")</f>
        <v>#REF!</v>
      </c>
      <c r="AT472" t="e">
        <f>AND(#REF!,"AAAAAC4rty0=")</f>
        <v>#REF!</v>
      </c>
      <c r="AU472" t="e">
        <f>AND(#REF!,"AAAAAC4rty4=")</f>
        <v>#REF!</v>
      </c>
      <c r="AV472" t="e">
        <f>AND(#REF!,"AAAAAC4rty8=")</f>
        <v>#REF!</v>
      </c>
      <c r="AW472" t="e">
        <f>AND(#REF!,"AAAAAC4rtzA=")</f>
        <v>#REF!</v>
      </c>
      <c r="AX472" t="e">
        <f>AND(#REF!,"AAAAAC4rtzE=")</f>
        <v>#REF!</v>
      </c>
      <c r="AY472" t="e">
        <f>AND(#REF!,"AAAAAC4rtzI=")</f>
        <v>#REF!</v>
      </c>
      <c r="AZ472" t="e">
        <f>AND(#REF!,"AAAAAC4rtzM=")</f>
        <v>#REF!</v>
      </c>
      <c r="BA472" t="e">
        <f>AND(#REF!,"AAAAAC4rtzQ=")</f>
        <v>#REF!</v>
      </c>
      <c r="BB472" t="e">
        <f>AND(#REF!,"AAAAAC4rtzU=")</f>
        <v>#REF!</v>
      </c>
      <c r="BC472" t="e">
        <f>AND(#REF!,"AAAAAC4rtzY=")</f>
        <v>#REF!</v>
      </c>
      <c r="BD472" t="e">
        <f>AND(#REF!,"AAAAAC4rtzc=")</f>
        <v>#REF!</v>
      </c>
      <c r="BE472" t="e">
        <f>AND(#REF!,"AAAAAC4rtzg=")</f>
        <v>#REF!</v>
      </c>
      <c r="BF472" t="e">
        <f>AND(#REF!,"AAAAAC4rtzk=")</f>
        <v>#REF!</v>
      </c>
      <c r="BG472" t="e">
        <f>AND(#REF!,"AAAAAC4rtzo=")</f>
        <v>#REF!</v>
      </c>
      <c r="BH472" t="e">
        <f>IF(#REF!,"AAAAAC4rtzs=",0)</f>
        <v>#REF!</v>
      </c>
      <c r="BI472" t="e">
        <f>AND(#REF!,"AAAAAC4rtzw=")</f>
        <v>#REF!</v>
      </c>
      <c r="BJ472" t="e">
        <f>AND(#REF!,"AAAAAC4rtz0=")</f>
        <v>#REF!</v>
      </c>
      <c r="BK472" t="e">
        <f>AND(#REF!,"AAAAAC4rtz4=")</f>
        <v>#REF!</v>
      </c>
      <c r="BL472" t="e">
        <f>AND(#REF!,"AAAAAC4rtz8=")</f>
        <v>#REF!</v>
      </c>
      <c r="BM472" t="e">
        <f>AND(#REF!,"AAAAAC4rt0A=")</f>
        <v>#REF!</v>
      </c>
      <c r="BN472" t="e">
        <f>AND(#REF!,"AAAAAC4rt0E=")</f>
        <v>#REF!</v>
      </c>
      <c r="BO472" t="e">
        <f>AND(#REF!,"AAAAAC4rt0I=")</f>
        <v>#REF!</v>
      </c>
      <c r="BP472" t="e">
        <f>AND(#REF!,"AAAAAC4rt0M=")</f>
        <v>#REF!</v>
      </c>
      <c r="BQ472" t="e">
        <f>AND(#REF!,"AAAAAC4rt0Q=")</f>
        <v>#REF!</v>
      </c>
      <c r="BR472" t="e">
        <f>AND(#REF!,"AAAAAC4rt0U=")</f>
        <v>#REF!</v>
      </c>
      <c r="BS472" t="e">
        <f>AND(#REF!,"AAAAAC4rt0Y=")</f>
        <v>#REF!</v>
      </c>
      <c r="BT472" t="e">
        <f>AND(#REF!,"AAAAAC4rt0c=")</f>
        <v>#REF!</v>
      </c>
      <c r="BU472" t="e">
        <f>AND(#REF!,"AAAAAC4rt0g=")</f>
        <v>#REF!</v>
      </c>
      <c r="BV472" t="e">
        <f>AND(#REF!,"AAAAAC4rt0k=")</f>
        <v>#REF!</v>
      </c>
      <c r="BW472" t="e">
        <f>AND(#REF!,"AAAAAC4rt0o=")</f>
        <v>#REF!</v>
      </c>
      <c r="BX472" t="e">
        <f>AND(#REF!,"AAAAAC4rt0s=")</f>
        <v>#REF!</v>
      </c>
      <c r="BY472" t="e">
        <f>AND(#REF!,"AAAAAC4rt0w=")</f>
        <v>#REF!</v>
      </c>
      <c r="BZ472" t="e">
        <f>AND(#REF!,"AAAAAC4rt00=")</f>
        <v>#REF!</v>
      </c>
      <c r="CA472" t="e">
        <f>AND(#REF!,"AAAAAC4rt04=")</f>
        <v>#REF!</v>
      </c>
      <c r="CB472" t="e">
        <f>AND(#REF!,"AAAAAC4rt08=")</f>
        <v>#REF!</v>
      </c>
      <c r="CC472" t="e">
        <f>AND(#REF!,"AAAAAC4rt1A=")</f>
        <v>#REF!</v>
      </c>
      <c r="CD472" t="e">
        <f>AND(#REF!,"AAAAAC4rt1E=")</f>
        <v>#REF!</v>
      </c>
      <c r="CE472" t="e">
        <f>AND(#REF!,"AAAAAC4rt1I=")</f>
        <v>#REF!</v>
      </c>
      <c r="CF472" t="e">
        <f>AND(#REF!,"AAAAAC4rt1M=")</f>
        <v>#REF!</v>
      </c>
      <c r="CG472" t="e">
        <f>IF(#REF!,"AAAAAC4rt1Q=",0)</f>
        <v>#REF!</v>
      </c>
      <c r="CH472" t="e">
        <f>AND(#REF!,"AAAAAC4rt1U=")</f>
        <v>#REF!</v>
      </c>
      <c r="CI472" t="e">
        <f>AND(#REF!,"AAAAAC4rt1Y=")</f>
        <v>#REF!</v>
      </c>
      <c r="CJ472" t="e">
        <f>AND(#REF!,"AAAAAC4rt1c=")</f>
        <v>#REF!</v>
      </c>
      <c r="CK472" t="e">
        <f>AND(#REF!,"AAAAAC4rt1g=")</f>
        <v>#REF!</v>
      </c>
      <c r="CL472" t="e">
        <f>AND(#REF!,"AAAAAC4rt1k=")</f>
        <v>#REF!</v>
      </c>
      <c r="CM472" t="e">
        <f>AND(#REF!,"AAAAAC4rt1o=")</f>
        <v>#REF!</v>
      </c>
      <c r="CN472" t="e">
        <f>AND(#REF!,"AAAAAC4rt1s=")</f>
        <v>#REF!</v>
      </c>
      <c r="CO472" t="e">
        <f>AND(#REF!,"AAAAAC4rt1w=")</f>
        <v>#REF!</v>
      </c>
      <c r="CP472" t="e">
        <f>AND(#REF!,"AAAAAC4rt10=")</f>
        <v>#REF!</v>
      </c>
      <c r="CQ472" t="e">
        <f>AND(#REF!,"AAAAAC4rt14=")</f>
        <v>#REF!</v>
      </c>
      <c r="CR472" t="e">
        <f>AND(#REF!,"AAAAAC4rt18=")</f>
        <v>#REF!</v>
      </c>
      <c r="CS472" t="e">
        <f>AND(#REF!,"AAAAAC4rt2A=")</f>
        <v>#REF!</v>
      </c>
      <c r="CT472" t="e">
        <f>AND(#REF!,"AAAAAC4rt2E=")</f>
        <v>#REF!</v>
      </c>
      <c r="CU472" t="e">
        <f>AND(#REF!,"AAAAAC4rt2I=")</f>
        <v>#REF!</v>
      </c>
      <c r="CV472" t="e">
        <f>AND(#REF!,"AAAAAC4rt2M=")</f>
        <v>#REF!</v>
      </c>
      <c r="CW472" t="e">
        <f>AND(#REF!,"AAAAAC4rt2Q=")</f>
        <v>#REF!</v>
      </c>
      <c r="CX472" t="e">
        <f>AND(#REF!,"AAAAAC4rt2U=")</f>
        <v>#REF!</v>
      </c>
      <c r="CY472" t="e">
        <f>AND(#REF!,"AAAAAC4rt2Y=")</f>
        <v>#REF!</v>
      </c>
      <c r="CZ472" t="e">
        <f>AND(#REF!,"AAAAAC4rt2c=")</f>
        <v>#REF!</v>
      </c>
      <c r="DA472" t="e">
        <f>AND(#REF!,"AAAAAC4rt2g=")</f>
        <v>#REF!</v>
      </c>
      <c r="DB472" t="e">
        <f>AND(#REF!,"AAAAAC4rt2k=")</f>
        <v>#REF!</v>
      </c>
      <c r="DC472" t="e">
        <f>AND(#REF!,"AAAAAC4rt2o=")</f>
        <v>#REF!</v>
      </c>
      <c r="DD472" t="e">
        <f>AND(#REF!,"AAAAAC4rt2s=")</f>
        <v>#REF!</v>
      </c>
      <c r="DE472" t="e">
        <f>AND(#REF!,"AAAAAC4rt2w=")</f>
        <v>#REF!</v>
      </c>
      <c r="DF472" t="e">
        <f>IF(#REF!,"AAAAAC4rt20=",0)</f>
        <v>#REF!</v>
      </c>
      <c r="DG472" t="e">
        <f>AND(#REF!,"AAAAAC4rt24=")</f>
        <v>#REF!</v>
      </c>
      <c r="DH472" t="e">
        <f>AND(#REF!,"AAAAAC4rt28=")</f>
        <v>#REF!</v>
      </c>
      <c r="DI472" t="e">
        <f>AND(#REF!,"AAAAAC4rt3A=")</f>
        <v>#REF!</v>
      </c>
      <c r="DJ472" t="e">
        <f>AND(#REF!,"AAAAAC4rt3E=")</f>
        <v>#REF!</v>
      </c>
      <c r="DK472" t="e">
        <f>AND(#REF!,"AAAAAC4rt3I=")</f>
        <v>#REF!</v>
      </c>
      <c r="DL472" t="e">
        <f>AND(#REF!,"AAAAAC4rt3M=")</f>
        <v>#REF!</v>
      </c>
      <c r="DM472" t="e">
        <f>AND(#REF!,"AAAAAC4rt3Q=")</f>
        <v>#REF!</v>
      </c>
      <c r="DN472" t="e">
        <f>AND(#REF!,"AAAAAC4rt3U=")</f>
        <v>#REF!</v>
      </c>
      <c r="DO472" t="e">
        <f>AND(#REF!,"AAAAAC4rt3Y=")</f>
        <v>#REF!</v>
      </c>
      <c r="DP472" t="e">
        <f>AND(#REF!,"AAAAAC4rt3c=")</f>
        <v>#REF!</v>
      </c>
      <c r="DQ472" t="e">
        <f>AND(#REF!,"AAAAAC4rt3g=")</f>
        <v>#REF!</v>
      </c>
      <c r="DR472" t="e">
        <f>AND(#REF!,"AAAAAC4rt3k=")</f>
        <v>#REF!</v>
      </c>
      <c r="DS472" t="e">
        <f>AND(#REF!,"AAAAAC4rt3o=")</f>
        <v>#REF!</v>
      </c>
      <c r="DT472" t="e">
        <f>AND(#REF!,"AAAAAC4rt3s=")</f>
        <v>#REF!</v>
      </c>
      <c r="DU472" t="e">
        <f>AND(#REF!,"AAAAAC4rt3w=")</f>
        <v>#REF!</v>
      </c>
      <c r="DV472" t="e">
        <f>AND(#REF!,"AAAAAC4rt30=")</f>
        <v>#REF!</v>
      </c>
      <c r="DW472" t="e">
        <f>AND(#REF!,"AAAAAC4rt34=")</f>
        <v>#REF!</v>
      </c>
      <c r="DX472" t="e">
        <f>AND(#REF!,"AAAAAC4rt38=")</f>
        <v>#REF!</v>
      </c>
      <c r="DY472" t="e">
        <f>AND(#REF!,"AAAAAC4rt4A=")</f>
        <v>#REF!</v>
      </c>
      <c r="DZ472" t="e">
        <f>AND(#REF!,"AAAAAC4rt4E=")</f>
        <v>#REF!</v>
      </c>
      <c r="EA472" t="e">
        <f>AND(#REF!,"AAAAAC4rt4I=")</f>
        <v>#REF!</v>
      </c>
      <c r="EB472" t="e">
        <f>AND(#REF!,"AAAAAC4rt4M=")</f>
        <v>#REF!</v>
      </c>
      <c r="EC472" t="e">
        <f>AND(#REF!,"AAAAAC4rt4Q=")</f>
        <v>#REF!</v>
      </c>
      <c r="ED472" t="e">
        <f>AND(#REF!,"AAAAAC4rt4U=")</f>
        <v>#REF!</v>
      </c>
      <c r="EE472" t="e">
        <f>IF(#REF!,"AAAAAC4rt4Y=",0)</f>
        <v>#REF!</v>
      </c>
      <c r="EF472" t="e">
        <f>AND(#REF!,"AAAAAC4rt4c=")</f>
        <v>#REF!</v>
      </c>
      <c r="EG472" t="e">
        <f>AND(#REF!,"AAAAAC4rt4g=")</f>
        <v>#REF!</v>
      </c>
      <c r="EH472" t="e">
        <f>AND(#REF!,"AAAAAC4rt4k=")</f>
        <v>#REF!</v>
      </c>
      <c r="EI472" t="e">
        <f>AND(#REF!,"AAAAAC4rt4o=")</f>
        <v>#REF!</v>
      </c>
      <c r="EJ472" t="e">
        <f>AND(#REF!,"AAAAAC4rt4s=")</f>
        <v>#REF!</v>
      </c>
      <c r="EK472" t="e">
        <f>AND(#REF!,"AAAAAC4rt4w=")</f>
        <v>#REF!</v>
      </c>
      <c r="EL472" t="e">
        <f>AND(#REF!,"AAAAAC4rt40=")</f>
        <v>#REF!</v>
      </c>
      <c r="EM472" t="e">
        <f>AND(#REF!,"AAAAAC4rt44=")</f>
        <v>#REF!</v>
      </c>
      <c r="EN472" t="e">
        <f>AND(#REF!,"AAAAAC4rt48=")</f>
        <v>#REF!</v>
      </c>
      <c r="EO472" t="e">
        <f>AND(#REF!,"AAAAAC4rt5A=")</f>
        <v>#REF!</v>
      </c>
      <c r="EP472" t="e">
        <f>AND(#REF!,"AAAAAC4rt5E=")</f>
        <v>#REF!</v>
      </c>
      <c r="EQ472" t="e">
        <f>AND(#REF!,"AAAAAC4rt5I=")</f>
        <v>#REF!</v>
      </c>
      <c r="ER472" t="e">
        <f>AND(#REF!,"AAAAAC4rt5M=")</f>
        <v>#REF!</v>
      </c>
      <c r="ES472" t="e">
        <f>AND(#REF!,"AAAAAC4rt5Q=")</f>
        <v>#REF!</v>
      </c>
      <c r="ET472" t="e">
        <f>AND(#REF!,"AAAAAC4rt5U=")</f>
        <v>#REF!</v>
      </c>
      <c r="EU472" t="e">
        <f>AND(#REF!,"AAAAAC4rt5Y=")</f>
        <v>#REF!</v>
      </c>
      <c r="EV472" t="e">
        <f>AND(#REF!,"AAAAAC4rt5c=")</f>
        <v>#REF!</v>
      </c>
      <c r="EW472" t="e">
        <f>AND(#REF!,"AAAAAC4rt5g=")</f>
        <v>#REF!</v>
      </c>
      <c r="EX472" t="e">
        <f>AND(#REF!,"AAAAAC4rt5k=")</f>
        <v>#REF!</v>
      </c>
      <c r="EY472" t="e">
        <f>AND(#REF!,"AAAAAC4rt5o=")</f>
        <v>#REF!</v>
      </c>
      <c r="EZ472" t="e">
        <f>AND(#REF!,"AAAAAC4rt5s=")</f>
        <v>#REF!</v>
      </c>
      <c r="FA472" t="e">
        <f>AND(#REF!,"AAAAAC4rt5w=")</f>
        <v>#REF!</v>
      </c>
      <c r="FB472" t="e">
        <f>AND(#REF!,"AAAAAC4rt50=")</f>
        <v>#REF!</v>
      </c>
      <c r="FC472" t="e">
        <f>AND(#REF!,"AAAAAC4rt54=")</f>
        <v>#REF!</v>
      </c>
      <c r="FD472" t="e">
        <f>IF(#REF!,"AAAAAC4rt58=",0)</f>
        <v>#REF!</v>
      </c>
      <c r="FE472" t="e">
        <f>AND(#REF!,"AAAAAC4rt6A=")</f>
        <v>#REF!</v>
      </c>
      <c r="FF472" t="e">
        <f>AND(#REF!,"AAAAAC4rt6E=")</f>
        <v>#REF!</v>
      </c>
      <c r="FG472" t="e">
        <f>AND(#REF!,"AAAAAC4rt6I=")</f>
        <v>#REF!</v>
      </c>
      <c r="FH472" t="e">
        <f>AND(#REF!,"AAAAAC4rt6M=")</f>
        <v>#REF!</v>
      </c>
      <c r="FI472" t="e">
        <f>AND(#REF!,"AAAAAC4rt6Q=")</f>
        <v>#REF!</v>
      </c>
      <c r="FJ472" t="e">
        <f>AND(#REF!,"AAAAAC4rt6U=")</f>
        <v>#REF!</v>
      </c>
      <c r="FK472" t="e">
        <f>AND(#REF!,"AAAAAC4rt6Y=")</f>
        <v>#REF!</v>
      </c>
      <c r="FL472" t="e">
        <f>AND(#REF!,"AAAAAC4rt6c=")</f>
        <v>#REF!</v>
      </c>
      <c r="FM472" t="e">
        <f>AND(#REF!,"AAAAAC4rt6g=")</f>
        <v>#REF!</v>
      </c>
      <c r="FN472" t="e">
        <f>AND(#REF!,"AAAAAC4rt6k=")</f>
        <v>#REF!</v>
      </c>
      <c r="FO472" t="e">
        <f>AND(#REF!,"AAAAAC4rt6o=")</f>
        <v>#REF!</v>
      </c>
      <c r="FP472" t="e">
        <f>AND(#REF!,"AAAAAC4rt6s=")</f>
        <v>#REF!</v>
      </c>
      <c r="FQ472" t="e">
        <f>AND(#REF!,"AAAAAC4rt6w=")</f>
        <v>#REF!</v>
      </c>
      <c r="FR472" t="e">
        <f>AND(#REF!,"AAAAAC4rt60=")</f>
        <v>#REF!</v>
      </c>
      <c r="FS472" t="e">
        <f>AND(#REF!,"AAAAAC4rt64=")</f>
        <v>#REF!</v>
      </c>
      <c r="FT472" t="e">
        <f>AND(#REF!,"AAAAAC4rt68=")</f>
        <v>#REF!</v>
      </c>
      <c r="FU472" t="e">
        <f>AND(#REF!,"AAAAAC4rt7A=")</f>
        <v>#REF!</v>
      </c>
      <c r="FV472" t="e">
        <f>AND(#REF!,"AAAAAC4rt7E=")</f>
        <v>#REF!</v>
      </c>
      <c r="FW472" t="e">
        <f>AND(#REF!,"AAAAAC4rt7I=")</f>
        <v>#REF!</v>
      </c>
      <c r="FX472" t="e">
        <f>AND(#REF!,"AAAAAC4rt7M=")</f>
        <v>#REF!</v>
      </c>
      <c r="FY472" t="e">
        <f>AND(#REF!,"AAAAAC4rt7Q=")</f>
        <v>#REF!</v>
      </c>
      <c r="FZ472" t="e">
        <f>AND(#REF!,"AAAAAC4rt7U=")</f>
        <v>#REF!</v>
      </c>
      <c r="GA472" t="e">
        <f>AND(#REF!,"AAAAAC4rt7Y=")</f>
        <v>#REF!</v>
      </c>
      <c r="GB472" t="e">
        <f>AND(#REF!,"AAAAAC4rt7c=")</f>
        <v>#REF!</v>
      </c>
      <c r="GC472" t="e">
        <f>IF(#REF!,"AAAAAC4rt7g=",0)</f>
        <v>#REF!</v>
      </c>
      <c r="GD472" t="e">
        <f>AND(#REF!,"AAAAAC4rt7k=")</f>
        <v>#REF!</v>
      </c>
      <c r="GE472" t="e">
        <f>AND(#REF!,"AAAAAC4rt7o=")</f>
        <v>#REF!</v>
      </c>
      <c r="GF472" t="e">
        <f>AND(#REF!,"AAAAAC4rt7s=")</f>
        <v>#REF!</v>
      </c>
      <c r="GG472" t="e">
        <f>AND(#REF!,"AAAAAC4rt7w=")</f>
        <v>#REF!</v>
      </c>
      <c r="GH472" t="e">
        <f>AND(#REF!,"AAAAAC4rt70=")</f>
        <v>#REF!</v>
      </c>
      <c r="GI472" t="e">
        <f>AND(#REF!,"AAAAAC4rt74=")</f>
        <v>#REF!</v>
      </c>
      <c r="GJ472" t="e">
        <f>AND(#REF!,"AAAAAC4rt78=")</f>
        <v>#REF!</v>
      </c>
      <c r="GK472" t="e">
        <f>AND(#REF!,"AAAAAC4rt8A=")</f>
        <v>#REF!</v>
      </c>
      <c r="GL472" t="e">
        <f>AND(#REF!,"AAAAAC4rt8E=")</f>
        <v>#REF!</v>
      </c>
      <c r="GM472" t="e">
        <f>AND(#REF!,"AAAAAC4rt8I=")</f>
        <v>#REF!</v>
      </c>
      <c r="GN472" t="e">
        <f>AND(#REF!,"AAAAAC4rt8M=")</f>
        <v>#REF!</v>
      </c>
      <c r="GO472" t="e">
        <f>AND(#REF!,"AAAAAC4rt8Q=")</f>
        <v>#REF!</v>
      </c>
      <c r="GP472" t="e">
        <f>AND(#REF!,"AAAAAC4rt8U=")</f>
        <v>#REF!</v>
      </c>
      <c r="GQ472" t="e">
        <f>AND(#REF!,"AAAAAC4rt8Y=")</f>
        <v>#REF!</v>
      </c>
      <c r="GR472" t="e">
        <f>AND(#REF!,"AAAAAC4rt8c=")</f>
        <v>#REF!</v>
      </c>
      <c r="GS472" t="e">
        <f>AND(#REF!,"AAAAAC4rt8g=")</f>
        <v>#REF!</v>
      </c>
      <c r="GT472" t="e">
        <f>AND(#REF!,"AAAAAC4rt8k=")</f>
        <v>#REF!</v>
      </c>
      <c r="GU472" t="e">
        <f>AND(#REF!,"AAAAAC4rt8o=")</f>
        <v>#REF!</v>
      </c>
      <c r="GV472" t="e">
        <f>AND(#REF!,"AAAAAC4rt8s=")</f>
        <v>#REF!</v>
      </c>
      <c r="GW472" t="e">
        <f>AND(#REF!,"AAAAAC4rt8w=")</f>
        <v>#REF!</v>
      </c>
      <c r="GX472" t="e">
        <f>AND(#REF!,"AAAAAC4rt80=")</f>
        <v>#REF!</v>
      </c>
      <c r="GY472" t="e">
        <f>AND(#REF!,"AAAAAC4rt84=")</f>
        <v>#REF!</v>
      </c>
      <c r="GZ472" t="e">
        <f>AND(#REF!,"AAAAAC4rt88=")</f>
        <v>#REF!</v>
      </c>
      <c r="HA472" t="e">
        <f>AND(#REF!,"AAAAAC4rt9A=")</f>
        <v>#REF!</v>
      </c>
      <c r="HB472" t="e">
        <f>IF(#REF!,"AAAAAC4rt9E=",0)</f>
        <v>#REF!</v>
      </c>
      <c r="HC472" t="e">
        <f>AND(#REF!,"AAAAAC4rt9I=")</f>
        <v>#REF!</v>
      </c>
      <c r="HD472" t="e">
        <f>AND(#REF!,"AAAAAC4rt9M=")</f>
        <v>#REF!</v>
      </c>
      <c r="HE472" t="e">
        <f>AND(#REF!,"AAAAAC4rt9Q=")</f>
        <v>#REF!</v>
      </c>
      <c r="HF472" t="e">
        <f>AND(#REF!,"AAAAAC4rt9U=")</f>
        <v>#REF!</v>
      </c>
      <c r="HG472" t="e">
        <f>AND(#REF!,"AAAAAC4rt9Y=")</f>
        <v>#REF!</v>
      </c>
      <c r="HH472" t="e">
        <f>AND(#REF!,"AAAAAC4rt9c=")</f>
        <v>#REF!</v>
      </c>
      <c r="HI472" t="e">
        <f>AND(#REF!,"AAAAAC4rt9g=")</f>
        <v>#REF!</v>
      </c>
      <c r="HJ472" t="e">
        <f>AND(#REF!,"AAAAAC4rt9k=")</f>
        <v>#REF!</v>
      </c>
      <c r="HK472" t="e">
        <f>AND(#REF!,"AAAAAC4rt9o=")</f>
        <v>#REF!</v>
      </c>
      <c r="HL472" t="e">
        <f>AND(#REF!,"AAAAAC4rt9s=")</f>
        <v>#REF!</v>
      </c>
      <c r="HM472" t="e">
        <f>AND(#REF!,"AAAAAC4rt9w=")</f>
        <v>#REF!</v>
      </c>
      <c r="HN472" t="e">
        <f>AND(#REF!,"AAAAAC4rt90=")</f>
        <v>#REF!</v>
      </c>
      <c r="HO472" t="e">
        <f>AND(#REF!,"AAAAAC4rt94=")</f>
        <v>#REF!</v>
      </c>
      <c r="HP472" t="e">
        <f>AND(#REF!,"AAAAAC4rt98=")</f>
        <v>#REF!</v>
      </c>
      <c r="HQ472" t="e">
        <f>AND(#REF!,"AAAAAC4rt+A=")</f>
        <v>#REF!</v>
      </c>
      <c r="HR472" t="e">
        <f>AND(#REF!,"AAAAAC4rt+E=")</f>
        <v>#REF!</v>
      </c>
      <c r="HS472" t="e">
        <f>AND(#REF!,"AAAAAC4rt+I=")</f>
        <v>#REF!</v>
      </c>
      <c r="HT472" t="e">
        <f>AND(#REF!,"AAAAAC4rt+M=")</f>
        <v>#REF!</v>
      </c>
      <c r="HU472" t="e">
        <f>AND(#REF!,"AAAAAC4rt+Q=")</f>
        <v>#REF!</v>
      </c>
      <c r="HV472" t="e">
        <f>AND(#REF!,"AAAAAC4rt+U=")</f>
        <v>#REF!</v>
      </c>
      <c r="HW472" t="e">
        <f>AND(#REF!,"AAAAAC4rt+Y=")</f>
        <v>#REF!</v>
      </c>
      <c r="HX472" t="e">
        <f>AND(#REF!,"AAAAAC4rt+c=")</f>
        <v>#REF!</v>
      </c>
      <c r="HY472" t="e">
        <f>AND(#REF!,"AAAAAC4rt+g=")</f>
        <v>#REF!</v>
      </c>
      <c r="HZ472" t="e">
        <f>AND(#REF!,"AAAAAC4rt+k=")</f>
        <v>#REF!</v>
      </c>
      <c r="IA472" t="e">
        <f>IF(#REF!,"AAAAAC4rt+o=",0)</f>
        <v>#REF!</v>
      </c>
      <c r="IB472" t="e">
        <f>AND(#REF!,"AAAAAC4rt+s=")</f>
        <v>#REF!</v>
      </c>
      <c r="IC472" t="e">
        <f>AND(#REF!,"AAAAAC4rt+w=")</f>
        <v>#REF!</v>
      </c>
      <c r="ID472" t="e">
        <f>AND(#REF!,"AAAAAC4rt+0=")</f>
        <v>#REF!</v>
      </c>
      <c r="IE472" t="e">
        <f>AND(#REF!,"AAAAAC4rt+4=")</f>
        <v>#REF!</v>
      </c>
      <c r="IF472" t="e">
        <f>AND(#REF!,"AAAAAC4rt+8=")</f>
        <v>#REF!</v>
      </c>
      <c r="IG472" t="e">
        <f>AND(#REF!,"AAAAAC4rt/A=")</f>
        <v>#REF!</v>
      </c>
      <c r="IH472" t="e">
        <f>AND(#REF!,"AAAAAC4rt/E=")</f>
        <v>#REF!</v>
      </c>
      <c r="II472" t="e">
        <f>AND(#REF!,"AAAAAC4rt/I=")</f>
        <v>#REF!</v>
      </c>
      <c r="IJ472" t="e">
        <f>AND(#REF!,"AAAAAC4rt/M=")</f>
        <v>#REF!</v>
      </c>
      <c r="IK472" t="e">
        <f>AND(#REF!,"AAAAAC4rt/Q=")</f>
        <v>#REF!</v>
      </c>
      <c r="IL472" t="e">
        <f>AND(#REF!,"AAAAAC4rt/U=")</f>
        <v>#REF!</v>
      </c>
      <c r="IM472" t="e">
        <f>AND(#REF!,"AAAAAC4rt/Y=")</f>
        <v>#REF!</v>
      </c>
      <c r="IN472" t="e">
        <f>AND(#REF!,"AAAAAC4rt/c=")</f>
        <v>#REF!</v>
      </c>
      <c r="IO472" t="e">
        <f>AND(#REF!,"AAAAAC4rt/g=")</f>
        <v>#REF!</v>
      </c>
      <c r="IP472" t="e">
        <f>AND(#REF!,"AAAAAC4rt/k=")</f>
        <v>#REF!</v>
      </c>
      <c r="IQ472" t="e">
        <f>AND(#REF!,"AAAAAC4rt/o=")</f>
        <v>#REF!</v>
      </c>
      <c r="IR472" t="e">
        <f>AND(#REF!,"AAAAAC4rt/s=")</f>
        <v>#REF!</v>
      </c>
      <c r="IS472" t="e">
        <f>AND(#REF!,"AAAAAC4rt/w=")</f>
        <v>#REF!</v>
      </c>
      <c r="IT472" t="e">
        <f>AND(#REF!,"AAAAAC4rt/0=")</f>
        <v>#REF!</v>
      </c>
      <c r="IU472" t="e">
        <f>AND(#REF!,"AAAAAC4rt/4=")</f>
        <v>#REF!</v>
      </c>
      <c r="IV472" t="e">
        <f>AND(#REF!,"AAAAAC4rt/8=")</f>
        <v>#REF!</v>
      </c>
    </row>
    <row r="473" spans="1:256">
      <c r="A473" t="e">
        <f>AND(#REF!,"AAAAAF+r3gA=")</f>
        <v>#REF!</v>
      </c>
      <c r="B473" t="e">
        <f>AND(#REF!,"AAAAAF+r3gE=")</f>
        <v>#REF!</v>
      </c>
      <c r="C473" t="e">
        <f>AND(#REF!,"AAAAAF+r3gI=")</f>
        <v>#REF!</v>
      </c>
      <c r="D473" t="e">
        <f>IF(#REF!,"AAAAAF+r3gM=",0)</f>
        <v>#REF!</v>
      </c>
      <c r="E473" t="e">
        <f>AND(#REF!,"AAAAAF+r3gQ=")</f>
        <v>#REF!</v>
      </c>
      <c r="F473" t="e">
        <f>AND(#REF!,"AAAAAF+r3gU=")</f>
        <v>#REF!</v>
      </c>
      <c r="G473" t="e">
        <f>AND(#REF!,"AAAAAF+r3gY=")</f>
        <v>#REF!</v>
      </c>
      <c r="H473" t="e">
        <f>AND(#REF!,"AAAAAF+r3gc=")</f>
        <v>#REF!</v>
      </c>
      <c r="I473" t="e">
        <f>AND(#REF!,"AAAAAF+r3gg=")</f>
        <v>#REF!</v>
      </c>
      <c r="J473" t="e">
        <f>AND(#REF!,"AAAAAF+r3gk=")</f>
        <v>#REF!</v>
      </c>
      <c r="K473" t="e">
        <f>AND(#REF!,"AAAAAF+r3go=")</f>
        <v>#REF!</v>
      </c>
      <c r="L473" t="e">
        <f>AND(#REF!,"AAAAAF+r3gs=")</f>
        <v>#REF!</v>
      </c>
      <c r="M473" t="e">
        <f>AND(#REF!,"AAAAAF+r3gw=")</f>
        <v>#REF!</v>
      </c>
      <c r="N473" t="e">
        <f>AND(#REF!,"AAAAAF+r3g0=")</f>
        <v>#REF!</v>
      </c>
      <c r="O473" t="e">
        <f>AND(#REF!,"AAAAAF+r3g4=")</f>
        <v>#REF!</v>
      </c>
      <c r="P473" t="e">
        <f>AND(#REF!,"AAAAAF+r3g8=")</f>
        <v>#REF!</v>
      </c>
      <c r="Q473" t="e">
        <f>AND(#REF!,"AAAAAF+r3hA=")</f>
        <v>#REF!</v>
      </c>
      <c r="R473" t="e">
        <f>AND(#REF!,"AAAAAF+r3hE=")</f>
        <v>#REF!</v>
      </c>
      <c r="S473" t="e">
        <f>AND(#REF!,"AAAAAF+r3hI=")</f>
        <v>#REF!</v>
      </c>
      <c r="T473" t="e">
        <f>AND(#REF!,"AAAAAF+r3hM=")</f>
        <v>#REF!</v>
      </c>
      <c r="U473" t="e">
        <f>AND(#REF!,"AAAAAF+r3hQ=")</f>
        <v>#REF!</v>
      </c>
      <c r="V473" t="e">
        <f>AND(#REF!,"AAAAAF+r3hU=")</f>
        <v>#REF!</v>
      </c>
      <c r="W473" t="e">
        <f>AND(#REF!,"AAAAAF+r3hY=")</f>
        <v>#REF!</v>
      </c>
      <c r="X473" t="e">
        <f>AND(#REF!,"AAAAAF+r3hc=")</f>
        <v>#REF!</v>
      </c>
      <c r="Y473" t="e">
        <f>AND(#REF!,"AAAAAF+r3hg=")</f>
        <v>#REF!</v>
      </c>
      <c r="Z473" t="e">
        <f>AND(#REF!,"AAAAAF+r3hk=")</f>
        <v>#REF!</v>
      </c>
      <c r="AA473" t="e">
        <f>AND(#REF!,"AAAAAF+r3ho=")</f>
        <v>#REF!</v>
      </c>
      <c r="AB473" t="e">
        <f>AND(#REF!,"AAAAAF+r3hs=")</f>
        <v>#REF!</v>
      </c>
      <c r="AC473" t="e">
        <f>IF(#REF!,"AAAAAF+r3hw=",0)</f>
        <v>#REF!</v>
      </c>
      <c r="AD473" t="e">
        <f>AND(#REF!,"AAAAAF+r3h0=")</f>
        <v>#REF!</v>
      </c>
      <c r="AE473" t="e">
        <f>AND(#REF!,"AAAAAF+r3h4=")</f>
        <v>#REF!</v>
      </c>
      <c r="AF473" t="e">
        <f>AND(#REF!,"AAAAAF+r3h8=")</f>
        <v>#REF!</v>
      </c>
      <c r="AG473" t="e">
        <f>AND(#REF!,"AAAAAF+r3iA=")</f>
        <v>#REF!</v>
      </c>
      <c r="AH473" t="e">
        <f>AND(#REF!,"AAAAAF+r3iE=")</f>
        <v>#REF!</v>
      </c>
      <c r="AI473" t="e">
        <f>AND(#REF!,"AAAAAF+r3iI=")</f>
        <v>#REF!</v>
      </c>
      <c r="AJ473" t="e">
        <f>AND(#REF!,"AAAAAF+r3iM=")</f>
        <v>#REF!</v>
      </c>
      <c r="AK473" t="e">
        <f>AND(#REF!,"AAAAAF+r3iQ=")</f>
        <v>#REF!</v>
      </c>
      <c r="AL473" t="e">
        <f>AND(#REF!,"AAAAAF+r3iU=")</f>
        <v>#REF!</v>
      </c>
      <c r="AM473" t="e">
        <f>AND(#REF!,"AAAAAF+r3iY=")</f>
        <v>#REF!</v>
      </c>
      <c r="AN473" t="e">
        <f>AND(#REF!,"AAAAAF+r3ic=")</f>
        <v>#REF!</v>
      </c>
      <c r="AO473" t="e">
        <f>AND(#REF!,"AAAAAF+r3ig=")</f>
        <v>#REF!</v>
      </c>
      <c r="AP473" t="e">
        <f>AND(#REF!,"AAAAAF+r3ik=")</f>
        <v>#REF!</v>
      </c>
      <c r="AQ473" t="e">
        <f>AND(#REF!,"AAAAAF+r3io=")</f>
        <v>#REF!</v>
      </c>
      <c r="AR473" t="e">
        <f>AND(#REF!,"AAAAAF+r3is=")</f>
        <v>#REF!</v>
      </c>
      <c r="AS473" t="e">
        <f>AND(#REF!,"AAAAAF+r3iw=")</f>
        <v>#REF!</v>
      </c>
      <c r="AT473" t="e">
        <f>AND(#REF!,"AAAAAF+r3i0=")</f>
        <v>#REF!</v>
      </c>
      <c r="AU473" t="e">
        <f>AND(#REF!,"AAAAAF+r3i4=")</f>
        <v>#REF!</v>
      </c>
      <c r="AV473" t="e">
        <f>AND(#REF!,"AAAAAF+r3i8=")</f>
        <v>#REF!</v>
      </c>
      <c r="AW473" t="e">
        <f>AND(#REF!,"AAAAAF+r3jA=")</f>
        <v>#REF!</v>
      </c>
      <c r="AX473" t="e">
        <f>AND(#REF!,"AAAAAF+r3jE=")</f>
        <v>#REF!</v>
      </c>
      <c r="AY473" t="e">
        <f>AND(#REF!,"AAAAAF+r3jI=")</f>
        <v>#REF!</v>
      </c>
      <c r="AZ473" t="e">
        <f>AND(#REF!,"AAAAAF+r3jM=")</f>
        <v>#REF!</v>
      </c>
      <c r="BA473" t="e">
        <f>AND(#REF!,"AAAAAF+r3jQ=")</f>
        <v>#REF!</v>
      </c>
      <c r="BB473" t="e">
        <f>IF(#REF!,"AAAAAF+r3jU=",0)</f>
        <v>#REF!</v>
      </c>
      <c r="BC473" t="e">
        <f>AND(#REF!,"AAAAAF+r3jY=")</f>
        <v>#REF!</v>
      </c>
      <c r="BD473" t="e">
        <f>AND(#REF!,"AAAAAF+r3jc=")</f>
        <v>#REF!</v>
      </c>
      <c r="BE473" t="e">
        <f>AND(#REF!,"AAAAAF+r3jg=")</f>
        <v>#REF!</v>
      </c>
      <c r="BF473" t="e">
        <f>AND(#REF!,"AAAAAF+r3jk=")</f>
        <v>#REF!</v>
      </c>
      <c r="BG473" t="e">
        <f>AND(#REF!,"AAAAAF+r3jo=")</f>
        <v>#REF!</v>
      </c>
      <c r="BH473" t="e">
        <f>AND(#REF!,"AAAAAF+r3js=")</f>
        <v>#REF!</v>
      </c>
      <c r="BI473" t="e">
        <f>AND(#REF!,"AAAAAF+r3jw=")</f>
        <v>#REF!</v>
      </c>
      <c r="BJ473" t="e">
        <f>AND(#REF!,"AAAAAF+r3j0=")</f>
        <v>#REF!</v>
      </c>
      <c r="BK473" t="e">
        <f>AND(#REF!,"AAAAAF+r3j4=")</f>
        <v>#REF!</v>
      </c>
      <c r="BL473" t="e">
        <f>AND(#REF!,"AAAAAF+r3j8=")</f>
        <v>#REF!</v>
      </c>
      <c r="BM473" t="e">
        <f>AND(#REF!,"AAAAAF+r3kA=")</f>
        <v>#REF!</v>
      </c>
      <c r="BN473" t="e">
        <f>AND(#REF!,"AAAAAF+r3kE=")</f>
        <v>#REF!</v>
      </c>
      <c r="BO473" t="e">
        <f>AND(#REF!,"AAAAAF+r3kI=")</f>
        <v>#REF!</v>
      </c>
      <c r="BP473" t="e">
        <f>AND(#REF!,"AAAAAF+r3kM=")</f>
        <v>#REF!</v>
      </c>
      <c r="BQ473" t="e">
        <f>AND(#REF!,"AAAAAF+r3kQ=")</f>
        <v>#REF!</v>
      </c>
      <c r="BR473" t="e">
        <f>AND(#REF!,"AAAAAF+r3kU=")</f>
        <v>#REF!</v>
      </c>
      <c r="BS473" t="e">
        <f>AND(#REF!,"AAAAAF+r3kY=")</f>
        <v>#REF!</v>
      </c>
      <c r="BT473" t="e">
        <f>AND(#REF!,"AAAAAF+r3kc=")</f>
        <v>#REF!</v>
      </c>
      <c r="BU473" t="e">
        <f>AND(#REF!,"AAAAAF+r3kg=")</f>
        <v>#REF!</v>
      </c>
      <c r="BV473" t="e">
        <f>AND(#REF!,"AAAAAF+r3kk=")</f>
        <v>#REF!</v>
      </c>
      <c r="BW473" t="e">
        <f>AND(#REF!,"AAAAAF+r3ko=")</f>
        <v>#REF!</v>
      </c>
      <c r="BX473" t="e">
        <f>AND(#REF!,"AAAAAF+r3ks=")</f>
        <v>#REF!</v>
      </c>
      <c r="BY473" t="e">
        <f>AND(#REF!,"AAAAAF+r3kw=")</f>
        <v>#REF!</v>
      </c>
      <c r="BZ473" t="e">
        <f>AND(#REF!,"AAAAAF+r3k0=")</f>
        <v>#REF!</v>
      </c>
      <c r="CA473" t="e">
        <f>IF(#REF!,"AAAAAF+r3k4=",0)</f>
        <v>#REF!</v>
      </c>
      <c r="CB473" t="e">
        <f>AND(#REF!,"AAAAAF+r3k8=")</f>
        <v>#REF!</v>
      </c>
      <c r="CC473" t="e">
        <f>AND(#REF!,"AAAAAF+r3lA=")</f>
        <v>#REF!</v>
      </c>
      <c r="CD473" t="e">
        <f>AND(#REF!,"AAAAAF+r3lE=")</f>
        <v>#REF!</v>
      </c>
      <c r="CE473" t="e">
        <f>AND(#REF!,"AAAAAF+r3lI=")</f>
        <v>#REF!</v>
      </c>
      <c r="CF473" t="e">
        <f>AND(#REF!,"AAAAAF+r3lM=")</f>
        <v>#REF!</v>
      </c>
      <c r="CG473" t="e">
        <f>AND(#REF!,"AAAAAF+r3lQ=")</f>
        <v>#REF!</v>
      </c>
      <c r="CH473" t="e">
        <f>AND(#REF!,"AAAAAF+r3lU=")</f>
        <v>#REF!</v>
      </c>
      <c r="CI473" t="e">
        <f>AND(#REF!,"AAAAAF+r3lY=")</f>
        <v>#REF!</v>
      </c>
      <c r="CJ473" t="e">
        <f>AND(#REF!,"AAAAAF+r3lc=")</f>
        <v>#REF!</v>
      </c>
      <c r="CK473" t="e">
        <f>AND(#REF!,"AAAAAF+r3lg=")</f>
        <v>#REF!</v>
      </c>
      <c r="CL473" t="e">
        <f>AND(#REF!,"AAAAAF+r3lk=")</f>
        <v>#REF!</v>
      </c>
      <c r="CM473" t="e">
        <f>AND(#REF!,"AAAAAF+r3lo=")</f>
        <v>#REF!</v>
      </c>
      <c r="CN473" t="e">
        <f>AND(#REF!,"AAAAAF+r3ls=")</f>
        <v>#REF!</v>
      </c>
      <c r="CO473" t="e">
        <f>AND(#REF!,"AAAAAF+r3lw=")</f>
        <v>#REF!</v>
      </c>
      <c r="CP473" t="e">
        <f>AND(#REF!,"AAAAAF+r3l0=")</f>
        <v>#REF!</v>
      </c>
      <c r="CQ473" t="e">
        <f>AND(#REF!,"AAAAAF+r3l4=")</f>
        <v>#REF!</v>
      </c>
      <c r="CR473" t="e">
        <f>AND(#REF!,"AAAAAF+r3l8=")</f>
        <v>#REF!</v>
      </c>
      <c r="CS473" t="e">
        <f>AND(#REF!,"AAAAAF+r3mA=")</f>
        <v>#REF!</v>
      </c>
      <c r="CT473" t="e">
        <f>AND(#REF!,"AAAAAF+r3mE=")</f>
        <v>#REF!</v>
      </c>
      <c r="CU473" t="e">
        <f>AND(#REF!,"AAAAAF+r3mI=")</f>
        <v>#REF!</v>
      </c>
      <c r="CV473" t="e">
        <f>AND(#REF!,"AAAAAF+r3mM=")</f>
        <v>#REF!</v>
      </c>
      <c r="CW473" t="e">
        <f>AND(#REF!,"AAAAAF+r3mQ=")</f>
        <v>#REF!</v>
      </c>
      <c r="CX473" t="e">
        <f>AND(#REF!,"AAAAAF+r3mU=")</f>
        <v>#REF!</v>
      </c>
      <c r="CY473" t="e">
        <f>AND(#REF!,"AAAAAF+r3mY=")</f>
        <v>#REF!</v>
      </c>
      <c r="CZ473" t="e">
        <f>IF(#REF!,"AAAAAF+r3mc=",0)</f>
        <v>#REF!</v>
      </c>
      <c r="DA473" t="e">
        <f>AND(#REF!,"AAAAAF+r3mg=")</f>
        <v>#REF!</v>
      </c>
      <c r="DB473" t="e">
        <f>AND(#REF!,"AAAAAF+r3mk=")</f>
        <v>#REF!</v>
      </c>
      <c r="DC473" t="e">
        <f>AND(#REF!,"AAAAAF+r3mo=")</f>
        <v>#REF!</v>
      </c>
      <c r="DD473" t="e">
        <f>AND(#REF!,"AAAAAF+r3ms=")</f>
        <v>#REF!</v>
      </c>
      <c r="DE473" t="e">
        <f>AND(#REF!,"AAAAAF+r3mw=")</f>
        <v>#REF!</v>
      </c>
      <c r="DF473" t="e">
        <f>AND(#REF!,"AAAAAF+r3m0=")</f>
        <v>#REF!</v>
      </c>
      <c r="DG473" t="e">
        <f>AND(#REF!,"AAAAAF+r3m4=")</f>
        <v>#REF!</v>
      </c>
      <c r="DH473" t="e">
        <f>AND(#REF!,"AAAAAF+r3m8=")</f>
        <v>#REF!</v>
      </c>
      <c r="DI473" t="e">
        <f>AND(#REF!,"AAAAAF+r3nA=")</f>
        <v>#REF!</v>
      </c>
      <c r="DJ473" t="e">
        <f>AND(#REF!,"AAAAAF+r3nE=")</f>
        <v>#REF!</v>
      </c>
      <c r="DK473" t="e">
        <f>AND(#REF!,"AAAAAF+r3nI=")</f>
        <v>#REF!</v>
      </c>
      <c r="DL473" t="e">
        <f>AND(#REF!,"AAAAAF+r3nM=")</f>
        <v>#REF!</v>
      </c>
      <c r="DM473" t="e">
        <f>AND(#REF!,"AAAAAF+r3nQ=")</f>
        <v>#REF!</v>
      </c>
      <c r="DN473" t="e">
        <f>AND(#REF!,"AAAAAF+r3nU=")</f>
        <v>#REF!</v>
      </c>
      <c r="DO473" t="e">
        <f>AND(#REF!,"AAAAAF+r3nY=")</f>
        <v>#REF!</v>
      </c>
      <c r="DP473" t="e">
        <f>AND(#REF!,"AAAAAF+r3nc=")</f>
        <v>#REF!</v>
      </c>
      <c r="DQ473" t="e">
        <f>AND(#REF!,"AAAAAF+r3ng=")</f>
        <v>#REF!</v>
      </c>
      <c r="DR473" t="e">
        <f>AND(#REF!,"AAAAAF+r3nk=")</f>
        <v>#REF!</v>
      </c>
      <c r="DS473" t="e">
        <f>AND(#REF!,"AAAAAF+r3no=")</f>
        <v>#REF!</v>
      </c>
      <c r="DT473" t="e">
        <f>AND(#REF!,"AAAAAF+r3ns=")</f>
        <v>#REF!</v>
      </c>
      <c r="DU473" t="e">
        <f>AND(#REF!,"AAAAAF+r3nw=")</f>
        <v>#REF!</v>
      </c>
      <c r="DV473" t="e">
        <f>AND(#REF!,"AAAAAF+r3n0=")</f>
        <v>#REF!</v>
      </c>
      <c r="DW473" t="e">
        <f>AND(#REF!,"AAAAAF+r3n4=")</f>
        <v>#REF!</v>
      </c>
      <c r="DX473" t="e">
        <f>AND(#REF!,"AAAAAF+r3n8=")</f>
        <v>#REF!</v>
      </c>
      <c r="DY473" t="e">
        <f>IF(#REF!,"AAAAAF+r3oA=",0)</f>
        <v>#REF!</v>
      </c>
      <c r="DZ473" t="e">
        <f>AND(#REF!,"AAAAAF+r3oE=")</f>
        <v>#REF!</v>
      </c>
      <c r="EA473" t="e">
        <f>AND(#REF!,"AAAAAF+r3oI=")</f>
        <v>#REF!</v>
      </c>
      <c r="EB473" t="e">
        <f>AND(#REF!,"AAAAAF+r3oM=")</f>
        <v>#REF!</v>
      </c>
      <c r="EC473" t="e">
        <f>AND(#REF!,"AAAAAF+r3oQ=")</f>
        <v>#REF!</v>
      </c>
      <c r="ED473" t="e">
        <f>AND(#REF!,"AAAAAF+r3oU=")</f>
        <v>#REF!</v>
      </c>
      <c r="EE473" t="e">
        <f>AND(#REF!,"AAAAAF+r3oY=")</f>
        <v>#REF!</v>
      </c>
      <c r="EF473" t="e">
        <f>AND(#REF!,"AAAAAF+r3oc=")</f>
        <v>#REF!</v>
      </c>
      <c r="EG473" t="e">
        <f>AND(#REF!,"AAAAAF+r3og=")</f>
        <v>#REF!</v>
      </c>
      <c r="EH473" t="e">
        <f>AND(#REF!,"AAAAAF+r3ok=")</f>
        <v>#REF!</v>
      </c>
      <c r="EI473" t="e">
        <f>AND(#REF!,"AAAAAF+r3oo=")</f>
        <v>#REF!</v>
      </c>
      <c r="EJ473" t="e">
        <f>AND(#REF!,"AAAAAF+r3os=")</f>
        <v>#REF!</v>
      </c>
      <c r="EK473" t="e">
        <f>AND(#REF!,"AAAAAF+r3ow=")</f>
        <v>#REF!</v>
      </c>
      <c r="EL473" t="e">
        <f>AND(#REF!,"AAAAAF+r3o0=")</f>
        <v>#REF!</v>
      </c>
      <c r="EM473" t="e">
        <f>AND(#REF!,"AAAAAF+r3o4=")</f>
        <v>#REF!</v>
      </c>
      <c r="EN473" t="e">
        <f>AND(#REF!,"AAAAAF+r3o8=")</f>
        <v>#REF!</v>
      </c>
      <c r="EO473" t="e">
        <f>AND(#REF!,"AAAAAF+r3pA=")</f>
        <v>#REF!</v>
      </c>
      <c r="EP473" t="e">
        <f>AND(#REF!,"AAAAAF+r3pE=")</f>
        <v>#REF!</v>
      </c>
      <c r="EQ473" t="e">
        <f>AND(#REF!,"AAAAAF+r3pI=")</f>
        <v>#REF!</v>
      </c>
      <c r="ER473" t="e">
        <f>AND(#REF!,"AAAAAF+r3pM=")</f>
        <v>#REF!</v>
      </c>
      <c r="ES473" t="e">
        <f>AND(#REF!,"AAAAAF+r3pQ=")</f>
        <v>#REF!</v>
      </c>
      <c r="ET473" t="e">
        <f>AND(#REF!,"AAAAAF+r3pU=")</f>
        <v>#REF!</v>
      </c>
      <c r="EU473" t="e">
        <f>AND(#REF!,"AAAAAF+r3pY=")</f>
        <v>#REF!</v>
      </c>
      <c r="EV473" t="e">
        <f>AND(#REF!,"AAAAAF+r3pc=")</f>
        <v>#REF!</v>
      </c>
      <c r="EW473" t="e">
        <f>AND(#REF!,"AAAAAF+r3pg=")</f>
        <v>#REF!</v>
      </c>
      <c r="EX473" t="e">
        <f>IF(#REF!,"AAAAAF+r3pk=",0)</f>
        <v>#REF!</v>
      </c>
      <c r="EY473" t="e">
        <f>AND(#REF!,"AAAAAF+r3po=")</f>
        <v>#REF!</v>
      </c>
      <c r="EZ473" t="e">
        <f>AND(#REF!,"AAAAAF+r3ps=")</f>
        <v>#REF!</v>
      </c>
      <c r="FA473" t="e">
        <f>AND(#REF!,"AAAAAF+r3pw=")</f>
        <v>#REF!</v>
      </c>
      <c r="FB473" t="e">
        <f>AND(#REF!,"AAAAAF+r3p0=")</f>
        <v>#REF!</v>
      </c>
      <c r="FC473" t="e">
        <f>AND(#REF!,"AAAAAF+r3p4=")</f>
        <v>#REF!</v>
      </c>
      <c r="FD473" t="e">
        <f>AND(#REF!,"AAAAAF+r3p8=")</f>
        <v>#REF!</v>
      </c>
      <c r="FE473" t="e">
        <f>AND(#REF!,"AAAAAF+r3qA=")</f>
        <v>#REF!</v>
      </c>
      <c r="FF473" t="e">
        <f>AND(#REF!,"AAAAAF+r3qE=")</f>
        <v>#REF!</v>
      </c>
      <c r="FG473" t="e">
        <f>AND(#REF!,"AAAAAF+r3qI=")</f>
        <v>#REF!</v>
      </c>
      <c r="FH473" t="e">
        <f>AND(#REF!,"AAAAAF+r3qM=")</f>
        <v>#REF!</v>
      </c>
      <c r="FI473" t="e">
        <f>AND(#REF!,"AAAAAF+r3qQ=")</f>
        <v>#REF!</v>
      </c>
      <c r="FJ473" t="e">
        <f>AND(#REF!,"AAAAAF+r3qU=")</f>
        <v>#REF!</v>
      </c>
      <c r="FK473" t="e">
        <f>AND(#REF!,"AAAAAF+r3qY=")</f>
        <v>#REF!</v>
      </c>
      <c r="FL473" t="e">
        <f>AND(#REF!,"AAAAAF+r3qc=")</f>
        <v>#REF!</v>
      </c>
      <c r="FM473" t="e">
        <f>AND(#REF!,"AAAAAF+r3qg=")</f>
        <v>#REF!</v>
      </c>
      <c r="FN473" t="e">
        <f>AND(#REF!,"AAAAAF+r3qk=")</f>
        <v>#REF!</v>
      </c>
      <c r="FO473" t="e">
        <f>AND(#REF!,"AAAAAF+r3qo=")</f>
        <v>#REF!</v>
      </c>
      <c r="FP473" t="e">
        <f>AND(#REF!,"AAAAAF+r3qs=")</f>
        <v>#REF!</v>
      </c>
      <c r="FQ473" t="e">
        <f>AND(#REF!,"AAAAAF+r3qw=")</f>
        <v>#REF!</v>
      </c>
      <c r="FR473" t="e">
        <f>AND(#REF!,"AAAAAF+r3q0=")</f>
        <v>#REF!</v>
      </c>
      <c r="FS473" t="e">
        <f>AND(#REF!,"AAAAAF+r3q4=")</f>
        <v>#REF!</v>
      </c>
      <c r="FT473" t="e">
        <f>AND(#REF!,"AAAAAF+r3q8=")</f>
        <v>#REF!</v>
      </c>
      <c r="FU473" t="e">
        <f>AND(#REF!,"AAAAAF+r3rA=")</f>
        <v>#REF!</v>
      </c>
      <c r="FV473" t="e">
        <f>AND(#REF!,"AAAAAF+r3rE=")</f>
        <v>#REF!</v>
      </c>
      <c r="FW473" t="e">
        <f>IF(#REF!,"AAAAAF+r3rI=",0)</f>
        <v>#REF!</v>
      </c>
      <c r="FX473" t="e">
        <f>AND(#REF!,"AAAAAF+r3rM=")</f>
        <v>#REF!</v>
      </c>
      <c r="FY473" t="e">
        <f>AND(#REF!,"AAAAAF+r3rQ=")</f>
        <v>#REF!</v>
      </c>
      <c r="FZ473" t="e">
        <f>AND(#REF!,"AAAAAF+r3rU=")</f>
        <v>#REF!</v>
      </c>
      <c r="GA473" t="e">
        <f>AND(#REF!,"AAAAAF+r3rY=")</f>
        <v>#REF!</v>
      </c>
      <c r="GB473" t="e">
        <f>AND(#REF!,"AAAAAF+r3rc=")</f>
        <v>#REF!</v>
      </c>
      <c r="GC473" t="e">
        <f>AND(#REF!,"AAAAAF+r3rg=")</f>
        <v>#REF!</v>
      </c>
      <c r="GD473" t="e">
        <f>AND(#REF!,"AAAAAF+r3rk=")</f>
        <v>#REF!</v>
      </c>
      <c r="GE473" t="e">
        <f>AND(#REF!,"AAAAAF+r3ro=")</f>
        <v>#REF!</v>
      </c>
      <c r="GF473" t="e">
        <f>AND(#REF!,"AAAAAF+r3rs=")</f>
        <v>#REF!</v>
      </c>
      <c r="GG473" t="e">
        <f>AND(#REF!,"AAAAAF+r3rw=")</f>
        <v>#REF!</v>
      </c>
      <c r="GH473" t="e">
        <f>AND(#REF!,"AAAAAF+r3r0=")</f>
        <v>#REF!</v>
      </c>
      <c r="GI473" t="e">
        <f>AND(#REF!,"AAAAAF+r3r4=")</f>
        <v>#REF!</v>
      </c>
      <c r="GJ473" t="e">
        <f>AND(#REF!,"AAAAAF+r3r8=")</f>
        <v>#REF!</v>
      </c>
      <c r="GK473" t="e">
        <f>AND(#REF!,"AAAAAF+r3sA=")</f>
        <v>#REF!</v>
      </c>
      <c r="GL473" t="e">
        <f>AND(#REF!,"AAAAAF+r3sE=")</f>
        <v>#REF!</v>
      </c>
      <c r="GM473" t="e">
        <f>AND(#REF!,"AAAAAF+r3sI=")</f>
        <v>#REF!</v>
      </c>
      <c r="GN473" t="e">
        <f>AND(#REF!,"AAAAAF+r3sM=")</f>
        <v>#REF!</v>
      </c>
      <c r="GO473" t="e">
        <f>AND(#REF!,"AAAAAF+r3sQ=")</f>
        <v>#REF!</v>
      </c>
      <c r="GP473" t="e">
        <f>AND(#REF!,"AAAAAF+r3sU=")</f>
        <v>#REF!</v>
      </c>
      <c r="GQ473" t="e">
        <f>AND(#REF!,"AAAAAF+r3sY=")</f>
        <v>#REF!</v>
      </c>
      <c r="GR473" t="e">
        <f>AND(#REF!,"AAAAAF+r3sc=")</f>
        <v>#REF!</v>
      </c>
      <c r="GS473" t="e">
        <f>AND(#REF!,"AAAAAF+r3sg=")</f>
        <v>#REF!</v>
      </c>
      <c r="GT473" t="e">
        <f>AND(#REF!,"AAAAAF+r3sk=")</f>
        <v>#REF!</v>
      </c>
      <c r="GU473" t="e">
        <f>AND(#REF!,"AAAAAF+r3so=")</f>
        <v>#REF!</v>
      </c>
      <c r="GV473" t="e">
        <f>IF(#REF!,"AAAAAF+r3ss=",0)</f>
        <v>#REF!</v>
      </c>
      <c r="GW473" t="e">
        <f>AND(#REF!,"AAAAAF+r3sw=")</f>
        <v>#REF!</v>
      </c>
      <c r="GX473" t="e">
        <f>AND(#REF!,"AAAAAF+r3s0=")</f>
        <v>#REF!</v>
      </c>
      <c r="GY473" t="e">
        <f>AND(#REF!,"AAAAAF+r3s4=")</f>
        <v>#REF!</v>
      </c>
      <c r="GZ473" t="e">
        <f>AND(#REF!,"AAAAAF+r3s8=")</f>
        <v>#REF!</v>
      </c>
      <c r="HA473" t="e">
        <f>AND(#REF!,"AAAAAF+r3tA=")</f>
        <v>#REF!</v>
      </c>
      <c r="HB473" t="e">
        <f>AND(#REF!,"AAAAAF+r3tE=")</f>
        <v>#REF!</v>
      </c>
      <c r="HC473" t="e">
        <f>AND(#REF!,"AAAAAF+r3tI=")</f>
        <v>#REF!</v>
      </c>
      <c r="HD473" t="e">
        <f>AND(#REF!,"AAAAAF+r3tM=")</f>
        <v>#REF!</v>
      </c>
      <c r="HE473" t="e">
        <f>AND(#REF!,"AAAAAF+r3tQ=")</f>
        <v>#REF!</v>
      </c>
      <c r="HF473" t="e">
        <f>AND(#REF!,"AAAAAF+r3tU=")</f>
        <v>#REF!</v>
      </c>
      <c r="HG473" t="e">
        <f>AND(#REF!,"AAAAAF+r3tY=")</f>
        <v>#REF!</v>
      </c>
      <c r="HH473" t="e">
        <f>AND(#REF!,"AAAAAF+r3tc=")</f>
        <v>#REF!</v>
      </c>
      <c r="HI473" t="e">
        <f>AND(#REF!,"AAAAAF+r3tg=")</f>
        <v>#REF!</v>
      </c>
      <c r="HJ473" t="e">
        <f>AND(#REF!,"AAAAAF+r3tk=")</f>
        <v>#REF!</v>
      </c>
      <c r="HK473" t="e">
        <f>AND(#REF!,"AAAAAF+r3to=")</f>
        <v>#REF!</v>
      </c>
      <c r="HL473" t="e">
        <f>AND(#REF!,"AAAAAF+r3ts=")</f>
        <v>#REF!</v>
      </c>
      <c r="HM473" t="e">
        <f>AND(#REF!,"AAAAAF+r3tw=")</f>
        <v>#REF!</v>
      </c>
      <c r="HN473" t="e">
        <f>AND(#REF!,"AAAAAF+r3t0=")</f>
        <v>#REF!</v>
      </c>
      <c r="HO473" t="e">
        <f>AND(#REF!,"AAAAAF+r3t4=")</f>
        <v>#REF!</v>
      </c>
      <c r="HP473" t="e">
        <f>AND(#REF!,"AAAAAF+r3t8=")</f>
        <v>#REF!</v>
      </c>
      <c r="HQ473" t="e">
        <f>AND(#REF!,"AAAAAF+r3uA=")</f>
        <v>#REF!</v>
      </c>
      <c r="HR473" t="e">
        <f>AND(#REF!,"AAAAAF+r3uE=")</f>
        <v>#REF!</v>
      </c>
      <c r="HS473" t="e">
        <f>AND(#REF!,"AAAAAF+r3uI=")</f>
        <v>#REF!</v>
      </c>
      <c r="HT473" t="e">
        <f>AND(#REF!,"AAAAAF+r3uM=")</f>
        <v>#REF!</v>
      </c>
      <c r="HU473" t="e">
        <f>IF(#REF!,"AAAAAF+r3uQ=",0)</f>
        <v>#REF!</v>
      </c>
      <c r="HV473" t="e">
        <f>AND(#REF!,"AAAAAF+r3uU=")</f>
        <v>#REF!</v>
      </c>
      <c r="HW473" t="e">
        <f>AND(#REF!,"AAAAAF+r3uY=")</f>
        <v>#REF!</v>
      </c>
      <c r="HX473" t="e">
        <f>AND(#REF!,"AAAAAF+r3uc=")</f>
        <v>#REF!</v>
      </c>
      <c r="HY473" t="e">
        <f>AND(#REF!,"AAAAAF+r3ug=")</f>
        <v>#REF!</v>
      </c>
      <c r="HZ473" t="e">
        <f>AND(#REF!,"AAAAAF+r3uk=")</f>
        <v>#REF!</v>
      </c>
      <c r="IA473" t="e">
        <f>AND(#REF!,"AAAAAF+r3uo=")</f>
        <v>#REF!</v>
      </c>
      <c r="IB473" t="e">
        <f>AND(#REF!,"AAAAAF+r3us=")</f>
        <v>#REF!</v>
      </c>
      <c r="IC473" t="e">
        <f>AND(#REF!,"AAAAAF+r3uw=")</f>
        <v>#REF!</v>
      </c>
      <c r="ID473" t="e">
        <f>AND(#REF!,"AAAAAF+r3u0=")</f>
        <v>#REF!</v>
      </c>
      <c r="IE473" t="e">
        <f>AND(#REF!,"AAAAAF+r3u4=")</f>
        <v>#REF!</v>
      </c>
      <c r="IF473" t="e">
        <f>AND(#REF!,"AAAAAF+r3u8=")</f>
        <v>#REF!</v>
      </c>
      <c r="IG473" t="e">
        <f>AND(#REF!,"AAAAAF+r3vA=")</f>
        <v>#REF!</v>
      </c>
      <c r="IH473" t="e">
        <f>AND(#REF!,"AAAAAF+r3vE=")</f>
        <v>#REF!</v>
      </c>
      <c r="II473" t="e">
        <f>AND(#REF!,"AAAAAF+r3vI=")</f>
        <v>#REF!</v>
      </c>
      <c r="IJ473" t="e">
        <f>AND(#REF!,"AAAAAF+r3vM=")</f>
        <v>#REF!</v>
      </c>
      <c r="IK473" t="e">
        <f>AND(#REF!,"AAAAAF+r3vQ=")</f>
        <v>#REF!</v>
      </c>
      <c r="IL473" t="e">
        <f>AND(#REF!,"AAAAAF+r3vU=")</f>
        <v>#REF!</v>
      </c>
      <c r="IM473" t="e">
        <f>AND(#REF!,"AAAAAF+r3vY=")</f>
        <v>#REF!</v>
      </c>
      <c r="IN473" t="e">
        <f>AND(#REF!,"AAAAAF+r3vc=")</f>
        <v>#REF!</v>
      </c>
      <c r="IO473" t="e">
        <f>AND(#REF!,"AAAAAF+r3vg=")</f>
        <v>#REF!</v>
      </c>
      <c r="IP473" t="e">
        <f>AND(#REF!,"AAAAAF+r3vk=")</f>
        <v>#REF!</v>
      </c>
      <c r="IQ473" t="e">
        <f>AND(#REF!,"AAAAAF+r3vo=")</f>
        <v>#REF!</v>
      </c>
      <c r="IR473" t="e">
        <f>AND(#REF!,"AAAAAF+r3vs=")</f>
        <v>#REF!</v>
      </c>
      <c r="IS473" t="e">
        <f>AND(#REF!,"AAAAAF+r3vw=")</f>
        <v>#REF!</v>
      </c>
      <c r="IT473" t="e">
        <f>IF(#REF!,"AAAAAF+r3v0=",0)</f>
        <v>#REF!</v>
      </c>
      <c r="IU473" t="e">
        <f>AND(#REF!,"AAAAAF+r3v4=")</f>
        <v>#REF!</v>
      </c>
      <c r="IV473" t="e">
        <f>AND(#REF!,"AAAAAF+r3v8=")</f>
        <v>#REF!</v>
      </c>
    </row>
    <row r="474" spans="1:256">
      <c r="A474" t="e">
        <f>AND(#REF!,"AAAAAD++3wA=")</f>
        <v>#REF!</v>
      </c>
      <c r="B474" t="e">
        <f>AND(#REF!,"AAAAAD++3wE=")</f>
        <v>#REF!</v>
      </c>
      <c r="C474" t="e">
        <f>AND(#REF!,"AAAAAD++3wI=")</f>
        <v>#REF!</v>
      </c>
      <c r="D474" t="e">
        <f>AND(#REF!,"AAAAAD++3wM=")</f>
        <v>#REF!</v>
      </c>
      <c r="E474" t="e">
        <f>AND(#REF!,"AAAAAD++3wQ=")</f>
        <v>#REF!</v>
      </c>
      <c r="F474" t="e">
        <f>AND(#REF!,"AAAAAD++3wU=")</f>
        <v>#REF!</v>
      </c>
      <c r="G474" t="e">
        <f>AND(#REF!,"AAAAAD++3wY=")</f>
        <v>#REF!</v>
      </c>
      <c r="H474" t="e">
        <f>AND(#REF!,"AAAAAD++3wc=")</f>
        <v>#REF!</v>
      </c>
      <c r="I474" t="e">
        <f>AND(#REF!,"AAAAAD++3wg=")</f>
        <v>#REF!</v>
      </c>
      <c r="J474" t="e">
        <f>AND(#REF!,"AAAAAD++3wk=")</f>
        <v>#REF!</v>
      </c>
      <c r="K474" t="e">
        <f>AND(#REF!,"AAAAAD++3wo=")</f>
        <v>#REF!</v>
      </c>
      <c r="L474" t="e">
        <f>AND(#REF!,"AAAAAD++3ws=")</f>
        <v>#REF!</v>
      </c>
      <c r="M474" t="e">
        <f>AND(#REF!,"AAAAAD++3ww=")</f>
        <v>#REF!</v>
      </c>
      <c r="N474" t="e">
        <f>AND(#REF!,"AAAAAD++3w0=")</f>
        <v>#REF!</v>
      </c>
      <c r="O474" t="e">
        <f>AND(#REF!,"AAAAAD++3w4=")</f>
        <v>#REF!</v>
      </c>
      <c r="P474" t="e">
        <f>AND(#REF!,"AAAAAD++3w8=")</f>
        <v>#REF!</v>
      </c>
      <c r="Q474" t="e">
        <f>AND(#REF!,"AAAAAD++3xA=")</f>
        <v>#REF!</v>
      </c>
      <c r="R474" t="e">
        <f>AND(#REF!,"AAAAAD++3xE=")</f>
        <v>#REF!</v>
      </c>
      <c r="S474" t="e">
        <f>AND(#REF!,"AAAAAD++3xI=")</f>
        <v>#REF!</v>
      </c>
      <c r="T474" t="e">
        <f>AND(#REF!,"AAAAAD++3xM=")</f>
        <v>#REF!</v>
      </c>
      <c r="U474" t="e">
        <f>AND(#REF!,"AAAAAD++3xQ=")</f>
        <v>#REF!</v>
      </c>
      <c r="V474" t="e">
        <f>AND(#REF!,"AAAAAD++3xU=")</f>
        <v>#REF!</v>
      </c>
      <c r="W474" t="e">
        <f>IF(#REF!,"AAAAAD++3xY=",0)</f>
        <v>#REF!</v>
      </c>
      <c r="X474" t="e">
        <f>AND(#REF!,"AAAAAD++3xc=")</f>
        <v>#REF!</v>
      </c>
      <c r="Y474" t="e">
        <f>AND(#REF!,"AAAAAD++3xg=")</f>
        <v>#REF!</v>
      </c>
      <c r="Z474" t="e">
        <f>AND(#REF!,"AAAAAD++3xk=")</f>
        <v>#REF!</v>
      </c>
      <c r="AA474" t="e">
        <f>AND(#REF!,"AAAAAD++3xo=")</f>
        <v>#REF!</v>
      </c>
      <c r="AB474" t="e">
        <f>AND(#REF!,"AAAAAD++3xs=")</f>
        <v>#REF!</v>
      </c>
      <c r="AC474" t="e">
        <f>AND(#REF!,"AAAAAD++3xw=")</f>
        <v>#REF!</v>
      </c>
      <c r="AD474" t="e">
        <f>AND(#REF!,"AAAAAD++3x0=")</f>
        <v>#REF!</v>
      </c>
      <c r="AE474" t="e">
        <f>AND(#REF!,"AAAAAD++3x4=")</f>
        <v>#REF!</v>
      </c>
      <c r="AF474" t="e">
        <f>AND(#REF!,"AAAAAD++3x8=")</f>
        <v>#REF!</v>
      </c>
      <c r="AG474" t="e">
        <f>AND(#REF!,"AAAAAD++3yA=")</f>
        <v>#REF!</v>
      </c>
      <c r="AH474" t="e">
        <f>AND(#REF!,"AAAAAD++3yE=")</f>
        <v>#REF!</v>
      </c>
      <c r="AI474" t="e">
        <f>AND(#REF!,"AAAAAD++3yI=")</f>
        <v>#REF!</v>
      </c>
      <c r="AJ474" t="e">
        <f>AND(#REF!,"AAAAAD++3yM=")</f>
        <v>#REF!</v>
      </c>
      <c r="AK474" t="e">
        <f>AND(#REF!,"AAAAAD++3yQ=")</f>
        <v>#REF!</v>
      </c>
      <c r="AL474" t="e">
        <f>AND(#REF!,"AAAAAD++3yU=")</f>
        <v>#REF!</v>
      </c>
      <c r="AM474" t="e">
        <f>AND(#REF!,"AAAAAD++3yY=")</f>
        <v>#REF!</v>
      </c>
      <c r="AN474" t="e">
        <f>AND(#REF!,"AAAAAD++3yc=")</f>
        <v>#REF!</v>
      </c>
      <c r="AO474" t="e">
        <f>AND(#REF!,"AAAAAD++3yg=")</f>
        <v>#REF!</v>
      </c>
      <c r="AP474" t="e">
        <f>AND(#REF!,"AAAAAD++3yk=")</f>
        <v>#REF!</v>
      </c>
      <c r="AQ474" t="e">
        <f>AND(#REF!,"AAAAAD++3yo=")</f>
        <v>#REF!</v>
      </c>
      <c r="AR474" t="e">
        <f>AND(#REF!,"AAAAAD++3ys=")</f>
        <v>#REF!</v>
      </c>
      <c r="AS474" t="e">
        <f>AND(#REF!,"AAAAAD++3yw=")</f>
        <v>#REF!</v>
      </c>
      <c r="AT474" t="e">
        <f>AND(#REF!,"AAAAAD++3y0=")</f>
        <v>#REF!</v>
      </c>
      <c r="AU474" t="e">
        <f>AND(#REF!,"AAAAAD++3y4=")</f>
        <v>#REF!</v>
      </c>
      <c r="AV474" t="e">
        <f>IF(#REF!,"AAAAAD++3y8=",0)</f>
        <v>#REF!</v>
      </c>
      <c r="AW474" t="e">
        <f>AND(#REF!,"AAAAAD++3zA=")</f>
        <v>#REF!</v>
      </c>
      <c r="AX474" t="e">
        <f>AND(#REF!,"AAAAAD++3zE=")</f>
        <v>#REF!</v>
      </c>
      <c r="AY474" t="e">
        <f>AND(#REF!,"AAAAAD++3zI=")</f>
        <v>#REF!</v>
      </c>
      <c r="AZ474" t="e">
        <f>AND(#REF!,"AAAAAD++3zM=")</f>
        <v>#REF!</v>
      </c>
      <c r="BA474" t="e">
        <f>AND(#REF!,"AAAAAD++3zQ=")</f>
        <v>#REF!</v>
      </c>
      <c r="BB474" t="e">
        <f>AND(#REF!,"AAAAAD++3zU=")</f>
        <v>#REF!</v>
      </c>
      <c r="BC474" t="e">
        <f>AND(#REF!,"AAAAAD++3zY=")</f>
        <v>#REF!</v>
      </c>
      <c r="BD474" t="e">
        <f>AND(#REF!,"AAAAAD++3zc=")</f>
        <v>#REF!</v>
      </c>
      <c r="BE474" t="e">
        <f>AND(#REF!,"AAAAAD++3zg=")</f>
        <v>#REF!</v>
      </c>
      <c r="BF474" t="e">
        <f>AND(#REF!,"AAAAAD++3zk=")</f>
        <v>#REF!</v>
      </c>
      <c r="BG474" t="e">
        <f>AND(#REF!,"AAAAAD++3zo=")</f>
        <v>#REF!</v>
      </c>
      <c r="BH474" t="e">
        <f>AND(#REF!,"AAAAAD++3zs=")</f>
        <v>#REF!</v>
      </c>
      <c r="BI474" t="e">
        <f>AND(#REF!,"AAAAAD++3zw=")</f>
        <v>#REF!</v>
      </c>
      <c r="BJ474" t="e">
        <f>AND(#REF!,"AAAAAD++3z0=")</f>
        <v>#REF!</v>
      </c>
      <c r="BK474" t="e">
        <f>AND(#REF!,"AAAAAD++3z4=")</f>
        <v>#REF!</v>
      </c>
      <c r="BL474" t="e">
        <f>AND(#REF!,"AAAAAD++3z8=")</f>
        <v>#REF!</v>
      </c>
      <c r="BM474" t="e">
        <f>AND(#REF!,"AAAAAD++30A=")</f>
        <v>#REF!</v>
      </c>
      <c r="BN474" t="e">
        <f>AND(#REF!,"AAAAAD++30E=")</f>
        <v>#REF!</v>
      </c>
      <c r="BO474" t="e">
        <f>AND(#REF!,"AAAAAD++30I=")</f>
        <v>#REF!</v>
      </c>
      <c r="BP474" t="e">
        <f>AND(#REF!,"AAAAAD++30M=")</f>
        <v>#REF!</v>
      </c>
      <c r="BQ474" t="e">
        <f>AND(#REF!,"AAAAAD++30Q=")</f>
        <v>#REF!</v>
      </c>
      <c r="BR474" t="e">
        <f>AND(#REF!,"AAAAAD++30U=")</f>
        <v>#REF!</v>
      </c>
      <c r="BS474" t="e">
        <f>AND(#REF!,"AAAAAD++30Y=")</f>
        <v>#REF!</v>
      </c>
      <c r="BT474" t="e">
        <f>AND(#REF!,"AAAAAD++30c=")</f>
        <v>#REF!</v>
      </c>
      <c r="BU474" t="e">
        <f>IF(#REF!,"AAAAAD++30g=",0)</f>
        <v>#REF!</v>
      </c>
      <c r="BV474" t="e">
        <f>AND(#REF!,"AAAAAD++30k=")</f>
        <v>#REF!</v>
      </c>
      <c r="BW474" t="e">
        <f>AND(#REF!,"AAAAAD++30o=")</f>
        <v>#REF!</v>
      </c>
      <c r="BX474" t="e">
        <f>AND(#REF!,"AAAAAD++30s=")</f>
        <v>#REF!</v>
      </c>
      <c r="BY474" t="e">
        <f>AND(#REF!,"AAAAAD++30w=")</f>
        <v>#REF!</v>
      </c>
      <c r="BZ474" t="e">
        <f>AND(#REF!,"AAAAAD++300=")</f>
        <v>#REF!</v>
      </c>
      <c r="CA474" t="e">
        <f>AND(#REF!,"AAAAAD++304=")</f>
        <v>#REF!</v>
      </c>
      <c r="CB474" t="e">
        <f>AND(#REF!,"AAAAAD++308=")</f>
        <v>#REF!</v>
      </c>
      <c r="CC474" t="e">
        <f>AND(#REF!,"AAAAAD++31A=")</f>
        <v>#REF!</v>
      </c>
      <c r="CD474" t="e">
        <f>AND(#REF!,"AAAAAD++31E=")</f>
        <v>#REF!</v>
      </c>
      <c r="CE474" t="e">
        <f>AND(#REF!,"AAAAAD++31I=")</f>
        <v>#REF!</v>
      </c>
      <c r="CF474" t="e">
        <f>AND(#REF!,"AAAAAD++31M=")</f>
        <v>#REF!</v>
      </c>
      <c r="CG474" t="e">
        <f>AND(#REF!,"AAAAAD++31Q=")</f>
        <v>#REF!</v>
      </c>
      <c r="CH474" t="e">
        <f>AND(#REF!,"AAAAAD++31U=")</f>
        <v>#REF!</v>
      </c>
      <c r="CI474" t="e">
        <f>AND(#REF!,"AAAAAD++31Y=")</f>
        <v>#REF!</v>
      </c>
      <c r="CJ474" t="e">
        <f>AND(#REF!,"AAAAAD++31c=")</f>
        <v>#REF!</v>
      </c>
      <c r="CK474" t="e">
        <f>AND(#REF!,"AAAAAD++31g=")</f>
        <v>#REF!</v>
      </c>
      <c r="CL474" t="e">
        <f>AND(#REF!,"AAAAAD++31k=")</f>
        <v>#REF!</v>
      </c>
      <c r="CM474" t="e">
        <f>AND(#REF!,"AAAAAD++31o=")</f>
        <v>#REF!</v>
      </c>
      <c r="CN474" t="e">
        <f>AND(#REF!,"AAAAAD++31s=")</f>
        <v>#REF!</v>
      </c>
      <c r="CO474" t="e">
        <f>AND(#REF!,"AAAAAD++31w=")</f>
        <v>#REF!</v>
      </c>
      <c r="CP474" t="e">
        <f>AND(#REF!,"AAAAAD++310=")</f>
        <v>#REF!</v>
      </c>
      <c r="CQ474" t="e">
        <f>AND(#REF!,"AAAAAD++314=")</f>
        <v>#REF!</v>
      </c>
      <c r="CR474" t="e">
        <f>AND(#REF!,"AAAAAD++318=")</f>
        <v>#REF!</v>
      </c>
      <c r="CS474" t="e">
        <f>AND(#REF!,"AAAAAD++32A=")</f>
        <v>#REF!</v>
      </c>
      <c r="CT474" t="e">
        <f>IF(#REF!,"AAAAAD++32E=",0)</f>
        <v>#REF!</v>
      </c>
      <c r="CU474" t="e">
        <f>AND(#REF!,"AAAAAD++32I=")</f>
        <v>#REF!</v>
      </c>
      <c r="CV474" t="e">
        <f>AND(#REF!,"AAAAAD++32M=")</f>
        <v>#REF!</v>
      </c>
      <c r="CW474" t="e">
        <f>AND(#REF!,"AAAAAD++32Q=")</f>
        <v>#REF!</v>
      </c>
      <c r="CX474" t="e">
        <f>AND(#REF!,"AAAAAD++32U=")</f>
        <v>#REF!</v>
      </c>
      <c r="CY474" t="e">
        <f>AND(#REF!,"AAAAAD++32Y=")</f>
        <v>#REF!</v>
      </c>
      <c r="CZ474" t="e">
        <f>AND(#REF!,"AAAAAD++32c=")</f>
        <v>#REF!</v>
      </c>
      <c r="DA474" t="e">
        <f>AND(#REF!,"AAAAAD++32g=")</f>
        <v>#REF!</v>
      </c>
      <c r="DB474" t="e">
        <f>AND(#REF!,"AAAAAD++32k=")</f>
        <v>#REF!</v>
      </c>
      <c r="DC474" t="e">
        <f>AND(#REF!,"AAAAAD++32o=")</f>
        <v>#REF!</v>
      </c>
      <c r="DD474" t="e">
        <f>AND(#REF!,"AAAAAD++32s=")</f>
        <v>#REF!</v>
      </c>
      <c r="DE474" t="e">
        <f>AND(#REF!,"AAAAAD++32w=")</f>
        <v>#REF!</v>
      </c>
      <c r="DF474" t="e">
        <f>AND(#REF!,"AAAAAD++320=")</f>
        <v>#REF!</v>
      </c>
      <c r="DG474" t="e">
        <f>AND(#REF!,"AAAAAD++324=")</f>
        <v>#REF!</v>
      </c>
      <c r="DH474" t="e">
        <f>AND(#REF!,"AAAAAD++328=")</f>
        <v>#REF!</v>
      </c>
      <c r="DI474" t="e">
        <f>AND(#REF!,"AAAAAD++33A=")</f>
        <v>#REF!</v>
      </c>
      <c r="DJ474" t="e">
        <f>AND(#REF!,"AAAAAD++33E=")</f>
        <v>#REF!</v>
      </c>
      <c r="DK474" t="e">
        <f>AND(#REF!,"AAAAAD++33I=")</f>
        <v>#REF!</v>
      </c>
      <c r="DL474" t="e">
        <f>AND(#REF!,"AAAAAD++33M=")</f>
        <v>#REF!</v>
      </c>
      <c r="DM474" t="e">
        <f>AND(#REF!,"AAAAAD++33Q=")</f>
        <v>#REF!</v>
      </c>
      <c r="DN474" t="e">
        <f>AND(#REF!,"AAAAAD++33U=")</f>
        <v>#REF!</v>
      </c>
      <c r="DO474" t="e">
        <f>AND(#REF!,"AAAAAD++33Y=")</f>
        <v>#REF!</v>
      </c>
      <c r="DP474" t="e">
        <f>AND(#REF!,"AAAAAD++33c=")</f>
        <v>#REF!</v>
      </c>
      <c r="DQ474" t="e">
        <f>AND(#REF!,"AAAAAD++33g=")</f>
        <v>#REF!</v>
      </c>
      <c r="DR474" t="e">
        <f>AND(#REF!,"AAAAAD++33k=")</f>
        <v>#REF!</v>
      </c>
      <c r="DS474" t="e">
        <f>IF(#REF!,"AAAAAD++33o=",0)</f>
        <v>#REF!</v>
      </c>
      <c r="DT474" t="e">
        <f>AND(#REF!,"AAAAAD++33s=")</f>
        <v>#REF!</v>
      </c>
      <c r="DU474" t="e">
        <f>AND(#REF!,"AAAAAD++33w=")</f>
        <v>#REF!</v>
      </c>
      <c r="DV474" t="e">
        <f>AND(#REF!,"AAAAAD++330=")</f>
        <v>#REF!</v>
      </c>
      <c r="DW474" t="e">
        <f>AND(#REF!,"AAAAAD++334=")</f>
        <v>#REF!</v>
      </c>
      <c r="DX474" t="e">
        <f>AND(#REF!,"AAAAAD++338=")</f>
        <v>#REF!</v>
      </c>
      <c r="DY474" t="e">
        <f>AND(#REF!,"AAAAAD++34A=")</f>
        <v>#REF!</v>
      </c>
      <c r="DZ474" t="e">
        <f>AND(#REF!,"AAAAAD++34E=")</f>
        <v>#REF!</v>
      </c>
      <c r="EA474" t="e">
        <f>AND(#REF!,"AAAAAD++34I=")</f>
        <v>#REF!</v>
      </c>
      <c r="EB474" t="e">
        <f>AND(#REF!,"AAAAAD++34M=")</f>
        <v>#REF!</v>
      </c>
      <c r="EC474" t="e">
        <f>AND(#REF!,"AAAAAD++34Q=")</f>
        <v>#REF!</v>
      </c>
      <c r="ED474" t="e">
        <f>AND(#REF!,"AAAAAD++34U=")</f>
        <v>#REF!</v>
      </c>
      <c r="EE474" t="e">
        <f>AND(#REF!,"AAAAAD++34Y=")</f>
        <v>#REF!</v>
      </c>
      <c r="EF474" t="e">
        <f>AND(#REF!,"AAAAAD++34c=")</f>
        <v>#REF!</v>
      </c>
      <c r="EG474" t="e">
        <f>AND(#REF!,"AAAAAD++34g=")</f>
        <v>#REF!</v>
      </c>
      <c r="EH474" t="e">
        <f>AND(#REF!,"AAAAAD++34k=")</f>
        <v>#REF!</v>
      </c>
      <c r="EI474" t="e">
        <f>AND(#REF!,"AAAAAD++34o=")</f>
        <v>#REF!</v>
      </c>
      <c r="EJ474" t="e">
        <f>AND(#REF!,"AAAAAD++34s=")</f>
        <v>#REF!</v>
      </c>
      <c r="EK474" t="e">
        <f>AND(#REF!,"AAAAAD++34w=")</f>
        <v>#REF!</v>
      </c>
      <c r="EL474" t="e">
        <f>AND(#REF!,"AAAAAD++340=")</f>
        <v>#REF!</v>
      </c>
      <c r="EM474" t="e">
        <f>AND(#REF!,"AAAAAD++344=")</f>
        <v>#REF!</v>
      </c>
      <c r="EN474" t="e">
        <f>AND(#REF!,"AAAAAD++348=")</f>
        <v>#REF!</v>
      </c>
      <c r="EO474" t="e">
        <f>AND(#REF!,"AAAAAD++35A=")</f>
        <v>#REF!</v>
      </c>
      <c r="EP474" t="e">
        <f>AND(#REF!,"AAAAAD++35E=")</f>
        <v>#REF!</v>
      </c>
      <c r="EQ474" t="e">
        <f>AND(#REF!,"AAAAAD++35I=")</f>
        <v>#REF!</v>
      </c>
      <c r="ER474" t="e">
        <f>IF(#REF!,"AAAAAD++35M=",0)</f>
        <v>#REF!</v>
      </c>
      <c r="ES474" t="e">
        <f>AND(#REF!,"AAAAAD++35Q=")</f>
        <v>#REF!</v>
      </c>
      <c r="ET474" t="e">
        <f>AND(#REF!,"AAAAAD++35U=")</f>
        <v>#REF!</v>
      </c>
      <c r="EU474" t="e">
        <f>AND(#REF!,"AAAAAD++35Y=")</f>
        <v>#REF!</v>
      </c>
      <c r="EV474" t="e">
        <f>AND(#REF!,"AAAAAD++35c=")</f>
        <v>#REF!</v>
      </c>
      <c r="EW474" t="e">
        <f>AND(#REF!,"AAAAAD++35g=")</f>
        <v>#REF!</v>
      </c>
      <c r="EX474" t="e">
        <f>AND(#REF!,"AAAAAD++35k=")</f>
        <v>#REF!</v>
      </c>
      <c r="EY474" t="e">
        <f>AND(#REF!,"AAAAAD++35o=")</f>
        <v>#REF!</v>
      </c>
      <c r="EZ474" t="e">
        <f>AND(#REF!,"AAAAAD++35s=")</f>
        <v>#REF!</v>
      </c>
      <c r="FA474" t="e">
        <f>AND(#REF!,"AAAAAD++35w=")</f>
        <v>#REF!</v>
      </c>
      <c r="FB474" t="e">
        <f>AND(#REF!,"AAAAAD++350=")</f>
        <v>#REF!</v>
      </c>
      <c r="FC474" t="e">
        <f>AND(#REF!,"AAAAAD++354=")</f>
        <v>#REF!</v>
      </c>
      <c r="FD474" t="e">
        <f>AND(#REF!,"AAAAAD++358=")</f>
        <v>#REF!</v>
      </c>
      <c r="FE474" t="e">
        <f>AND(#REF!,"AAAAAD++36A=")</f>
        <v>#REF!</v>
      </c>
      <c r="FF474" t="e">
        <f>AND(#REF!,"AAAAAD++36E=")</f>
        <v>#REF!</v>
      </c>
      <c r="FG474" t="e">
        <f>AND(#REF!,"AAAAAD++36I=")</f>
        <v>#REF!</v>
      </c>
      <c r="FH474" t="e">
        <f>AND(#REF!,"AAAAAD++36M=")</f>
        <v>#REF!</v>
      </c>
      <c r="FI474" t="e">
        <f>AND(#REF!,"AAAAAD++36Q=")</f>
        <v>#REF!</v>
      </c>
      <c r="FJ474" t="e">
        <f>AND(#REF!,"AAAAAD++36U=")</f>
        <v>#REF!</v>
      </c>
      <c r="FK474" t="e">
        <f>AND(#REF!,"AAAAAD++36Y=")</f>
        <v>#REF!</v>
      </c>
      <c r="FL474" t="e">
        <f>AND(#REF!,"AAAAAD++36c=")</f>
        <v>#REF!</v>
      </c>
      <c r="FM474" t="e">
        <f>AND(#REF!,"AAAAAD++36g=")</f>
        <v>#REF!</v>
      </c>
      <c r="FN474" t="e">
        <f>AND(#REF!,"AAAAAD++36k=")</f>
        <v>#REF!</v>
      </c>
      <c r="FO474" t="e">
        <f>AND(#REF!,"AAAAAD++36o=")</f>
        <v>#REF!</v>
      </c>
      <c r="FP474" t="e">
        <f>AND(#REF!,"AAAAAD++36s=")</f>
        <v>#REF!</v>
      </c>
      <c r="FQ474" t="e">
        <f>IF(#REF!,"AAAAAD++36w=",0)</f>
        <v>#REF!</v>
      </c>
      <c r="FR474" t="e">
        <f>AND(#REF!,"AAAAAD++360=")</f>
        <v>#REF!</v>
      </c>
      <c r="FS474" t="e">
        <f>AND(#REF!,"AAAAAD++364=")</f>
        <v>#REF!</v>
      </c>
      <c r="FT474" t="e">
        <f>AND(#REF!,"AAAAAD++368=")</f>
        <v>#REF!</v>
      </c>
      <c r="FU474" t="e">
        <f>AND(#REF!,"AAAAAD++37A=")</f>
        <v>#REF!</v>
      </c>
      <c r="FV474" t="e">
        <f>AND(#REF!,"AAAAAD++37E=")</f>
        <v>#REF!</v>
      </c>
      <c r="FW474" t="e">
        <f>AND(#REF!,"AAAAAD++37I=")</f>
        <v>#REF!</v>
      </c>
      <c r="FX474" t="e">
        <f>AND(#REF!,"AAAAAD++37M=")</f>
        <v>#REF!</v>
      </c>
      <c r="FY474" t="e">
        <f>AND(#REF!,"AAAAAD++37Q=")</f>
        <v>#REF!</v>
      </c>
      <c r="FZ474" t="e">
        <f>AND(#REF!,"AAAAAD++37U=")</f>
        <v>#REF!</v>
      </c>
      <c r="GA474" t="e">
        <f>AND(#REF!,"AAAAAD++37Y=")</f>
        <v>#REF!</v>
      </c>
      <c r="GB474" t="e">
        <f>AND(#REF!,"AAAAAD++37c=")</f>
        <v>#REF!</v>
      </c>
      <c r="GC474" t="e">
        <f>AND(#REF!,"AAAAAD++37g=")</f>
        <v>#REF!</v>
      </c>
      <c r="GD474" t="e">
        <f>AND(#REF!,"AAAAAD++37k=")</f>
        <v>#REF!</v>
      </c>
      <c r="GE474" t="e">
        <f>AND(#REF!,"AAAAAD++37o=")</f>
        <v>#REF!</v>
      </c>
      <c r="GF474" t="e">
        <f>AND(#REF!,"AAAAAD++37s=")</f>
        <v>#REF!</v>
      </c>
      <c r="GG474" t="e">
        <f>AND(#REF!,"AAAAAD++37w=")</f>
        <v>#REF!</v>
      </c>
      <c r="GH474" t="e">
        <f>AND(#REF!,"AAAAAD++370=")</f>
        <v>#REF!</v>
      </c>
      <c r="GI474" t="e">
        <f>AND(#REF!,"AAAAAD++374=")</f>
        <v>#REF!</v>
      </c>
      <c r="GJ474" t="e">
        <f>AND(#REF!,"AAAAAD++378=")</f>
        <v>#REF!</v>
      </c>
      <c r="GK474" t="e">
        <f>AND(#REF!,"AAAAAD++38A=")</f>
        <v>#REF!</v>
      </c>
      <c r="GL474" t="e">
        <f>AND(#REF!,"AAAAAD++38E=")</f>
        <v>#REF!</v>
      </c>
      <c r="GM474" t="e">
        <f>AND(#REF!,"AAAAAD++38I=")</f>
        <v>#REF!</v>
      </c>
      <c r="GN474" t="e">
        <f>AND(#REF!,"AAAAAD++38M=")</f>
        <v>#REF!</v>
      </c>
      <c r="GO474" t="e">
        <f>AND(#REF!,"AAAAAD++38Q=")</f>
        <v>#REF!</v>
      </c>
      <c r="GP474" t="e">
        <f>IF(#REF!,"AAAAAD++38U=",0)</f>
        <v>#REF!</v>
      </c>
      <c r="GQ474" t="e">
        <f>AND(#REF!,"AAAAAD++38Y=")</f>
        <v>#REF!</v>
      </c>
      <c r="GR474" t="e">
        <f>AND(#REF!,"AAAAAD++38c=")</f>
        <v>#REF!</v>
      </c>
      <c r="GS474" t="e">
        <f>AND(#REF!,"AAAAAD++38g=")</f>
        <v>#REF!</v>
      </c>
      <c r="GT474" t="e">
        <f>AND(#REF!,"AAAAAD++38k=")</f>
        <v>#REF!</v>
      </c>
      <c r="GU474" t="e">
        <f>AND(#REF!,"AAAAAD++38o=")</f>
        <v>#REF!</v>
      </c>
      <c r="GV474" t="e">
        <f>AND(#REF!,"AAAAAD++38s=")</f>
        <v>#REF!</v>
      </c>
      <c r="GW474" t="e">
        <f>AND(#REF!,"AAAAAD++38w=")</f>
        <v>#REF!</v>
      </c>
      <c r="GX474" t="e">
        <f>AND(#REF!,"AAAAAD++380=")</f>
        <v>#REF!</v>
      </c>
      <c r="GY474" t="e">
        <f>AND(#REF!,"AAAAAD++384=")</f>
        <v>#REF!</v>
      </c>
      <c r="GZ474" t="e">
        <f>AND(#REF!,"AAAAAD++388=")</f>
        <v>#REF!</v>
      </c>
      <c r="HA474" t="e">
        <f>AND(#REF!,"AAAAAD++39A=")</f>
        <v>#REF!</v>
      </c>
      <c r="HB474" t="e">
        <f>AND(#REF!,"AAAAAD++39E=")</f>
        <v>#REF!</v>
      </c>
      <c r="HC474" t="e">
        <f>AND(#REF!,"AAAAAD++39I=")</f>
        <v>#REF!</v>
      </c>
      <c r="HD474" t="e">
        <f>AND(#REF!,"AAAAAD++39M=")</f>
        <v>#REF!</v>
      </c>
      <c r="HE474" t="e">
        <f>AND(#REF!,"AAAAAD++39Q=")</f>
        <v>#REF!</v>
      </c>
      <c r="HF474" t="e">
        <f>AND(#REF!,"AAAAAD++39U=")</f>
        <v>#REF!</v>
      </c>
      <c r="HG474" t="e">
        <f>AND(#REF!,"AAAAAD++39Y=")</f>
        <v>#REF!</v>
      </c>
      <c r="HH474" t="e">
        <f>AND(#REF!,"AAAAAD++39c=")</f>
        <v>#REF!</v>
      </c>
      <c r="HI474" t="e">
        <f>AND(#REF!,"AAAAAD++39g=")</f>
        <v>#REF!</v>
      </c>
      <c r="HJ474" t="e">
        <f>AND(#REF!,"AAAAAD++39k=")</f>
        <v>#REF!</v>
      </c>
      <c r="HK474" t="e">
        <f>AND(#REF!,"AAAAAD++39o=")</f>
        <v>#REF!</v>
      </c>
      <c r="HL474" t="e">
        <f>AND(#REF!,"AAAAAD++39s=")</f>
        <v>#REF!</v>
      </c>
      <c r="HM474" t="e">
        <f>AND(#REF!,"AAAAAD++39w=")</f>
        <v>#REF!</v>
      </c>
      <c r="HN474" t="e">
        <f>AND(#REF!,"AAAAAD++390=")</f>
        <v>#REF!</v>
      </c>
      <c r="HO474" t="e">
        <f>IF(#REF!,"AAAAAD++394=",0)</f>
        <v>#REF!</v>
      </c>
      <c r="HP474" t="e">
        <f>AND(#REF!,"AAAAAD++398=")</f>
        <v>#REF!</v>
      </c>
      <c r="HQ474" t="e">
        <f>AND(#REF!,"AAAAAD++3+A=")</f>
        <v>#REF!</v>
      </c>
      <c r="HR474" t="e">
        <f>AND(#REF!,"AAAAAD++3+E=")</f>
        <v>#REF!</v>
      </c>
      <c r="HS474" t="e">
        <f>AND(#REF!,"AAAAAD++3+I=")</f>
        <v>#REF!</v>
      </c>
      <c r="HT474" t="e">
        <f>AND(#REF!,"AAAAAD++3+M=")</f>
        <v>#REF!</v>
      </c>
      <c r="HU474" t="e">
        <f>AND(#REF!,"AAAAAD++3+Q=")</f>
        <v>#REF!</v>
      </c>
      <c r="HV474" t="e">
        <f>AND(#REF!,"AAAAAD++3+U=")</f>
        <v>#REF!</v>
      </c>
      <c r="HW474" t="e">
        <f>AND(#REF!,"AAAAAD++3+Y=")</f>
        <v>#REF!</v>
      </c>
      <c r="HX474" t="e">
        <f>AND(#REF!,"AAAAAD++3+c=")</f>
        <v>#REF!</v>
      </c>
      <c r="HY474" t="e">
        <f>AND(#REF!,"AAAAAD++3+g=")</f>
        <v>#REF!</v>
      </c>
      <c r="HZ474" t="e">
        <f>AND(#REF!,"AAAAAD++3+k=")</f>
        <v>#REF!</v>
      </c>
      <c r="IA474" t="e">
        <f>AND(#REF!,"AAAAAD++3+o=")</f>
        <v>#REF!</v>
      </c>
      <c r="IB474" t="e">
        <f>AND(#REF!,"AAAAAD++3+s=")</f>
        <v>#REF!</v>
      </c>
      <c r="IC474" t="e">
        <f>AND(#REF!,"AAAAAD++3+w=")</f>
        <v>#REF!</v>
      </c>
      <c r="ID474" t="e">
        <f>AND(#REF!,"AAAAAD++3+0=")</f>
        <v>#REF!</v>
      </c>
      <c r="IE474" t="e">
        <f>AND(#REF!,"AAAAAD++3+4=")</f>
        <v>#REF!</v>
      </c>
      <c r="IF474" t="e">
        <f>AND(#REF!,"AAAAAD++3+8=")</f>
        <v>#REF!</v>
      </c>
      <c r="IG474" t="e">
        <f>AND(#REF!,"AAAAAD++3/A=")</f>
        <v>#REF!</v>
      </c>
      <c r="IH474" t="e">
        <f>AND(#REF!,"AAAAAD++3/E=")</f>
        <v>#REF!</v>
      </c>
      <c r="II474" t="e">
        <f>AND(#REF!,"AAAAAD++3/I=")</f>
        <v>#REF!</v>
      </c>
      <c r="IJ474" t="e">
        <f>AND(#REF!,"AAAAAD++3/M=")</f>
        <v>#REF!</v>
      </c>
      <c r="IK474" t="e">
        <f>AND(#REF!,"AAAAAD++3/Q=")</f>
        <v>#REF!</v>
      </c>
      <c r="IL474" t="e">
        <f>AND(#REF!,"AAAAAD++3/U=")</f>
        <v>#REF!</v>
      </c>
      <c r="IM474" t="e">
        <f>AND(#REF!,"AAAAAD++3/Y=")</f>
        <v>#REF!</v>
      </c>
      <c r="IN474" t="e">
        <f>IF(#REF!,"AAAAAD++3/c=",0)</f>
        <v>#REF!</v>
      </c>
      <c r="IO474" t="e">
        <f>AND(#REF!,"AAAAAD++3/g=")</f>
        <v>#REF!</v>
      </c>
      <c r="IP474" t="e">
        <f>AND(#REF!,"AAAAAD++3/k=")</f>
        <v>#REF!</v>
      </c>
      <c r="IQ474" t="e">
        <f>AND(#REF!,"AAAAAD++3/o=")</f>
        <v>#REF!</v>
      </c>
      <c r="IR474" t="e">
        <f>AND(#REF!,"AAAAAD++3/s=")</f>
        <v>#REF!</v>
      </c>
      <c r="IS474" t="e">
        <f>AND(#REF!,"AAAAAD++3/w=")</f>
        <v>#REF!</v>
      </c>
      <c r="IT474" t="e">
        <f>AND(#REF!,"AAAAAD++3/0=")</f>
        <v>#REF!</v>
      </c>
      <c r="IU474" t="e">
        <f>AND(#REF!,"AAAAAD++3/4=")</f>
        <v>#REF!</v>
      </c>
      <c r="IV474" t="e">
        <f>AND(#REF!,"AAAAAD++3/8=")</f>
        <v>#REF!</v>
      </c>
    </row>
    <row r="475" spans="1:256">
      <c r="A475" t="e">
        <f>AND(#REF!,"AAAAAHtufgA=")</f>
        <v>#REF!</v>
      </c>
      <c r="B475" t="e">
        <f>AND(#REF!,"AAAAAHtufgE=")</f>
        <v>#REF!</v>
      </c>
      <c r="C475" t="e">
        <f>AND(#REF!,"AAAAAHtufgI=")</f>
        <v>#REF!</v>
      </c>
      <c r="D475" t="e">
        <f>AND(#REF!,"AAAAAHtufgM=")</f>
        <v>#REF!</v>
      </c>
      <c r="E475" t="e">
        <f>AND(#REF!,"AAAAAHtufgQ=")</f>
        <v>#REF!</v>
      </c>
      <c r="F475" t="e">
        <f>AND(#REF!,"AAAAAHtufgU=")</f>
        <v>#REF!</v>
      </c>
      <c r="G475" t="e">
        <f>AND(#REF!,"AAAAAHtufgY=")</f>
        <v>#REF!</v>
      </c>
      <c r="H475" t="e">
        <f>AND(#REF!,"AAAAAHtufgc=")</f>
        <v>#REF!</v>
      </c>
      <c r="I475" t="e">
        <f>AND(#REF!,"AAAAAHtufgg=")</f>
        <v>#REF!</v>
      </c>
      <c r="J475" t="e">
        <f>AND(#REF!,"AAAAAHtufgk=")</f>
        <v>#REF!</v>
      </c>
      <c r="K475" t="e">
        <f>AND(#REF!,"AAAAAHtufgo=")</f>
        <v>#REF!</v>
      </c>
      <c r="L475" t="e">
        <f>AND(#REF!,"AAAAAHtufgs=")</f>
        <v>#REF!</v>
      </c>
      <c r="M475" t="e">
        <f>AND(#REF!,"AAAAAHtufgw=")</f>
        <v>#REF!</v>
      </c>
      <c r="N475" t="e">
        <f>AND(#REF!,"AAAAAHtufg0=")</f>
        <v>#REF!</v>
      </c>
      <c r="O475" t="e">
        <f>AND(#REF!,"AAAAAHtufg4=")</f>
        <v>#REF!</v>
      </c>
      <c r="P475" t="e">
        <f>AND(#REF!,"AAAAAHtufg8=")</f>
        <v>#REF!</v>
      </c>
      <c r="Q475" t="e">
        <f>IF(#REF!,"AAAAAHtufhA=",0)</f>
        <v>#REF!</v>
      </c>
      <c r="R475" t="e">
        <f>AND(#REF!,"AAAAAHtufhE=")</f>
        <v>#REF!</v>
      </c>
      <c r="S475" t="e">
        <f>AND(#REF!,"AAAAAHtufhI=")</f>
        <v>#REF!</v>
      </c>
      <c r="T475" t="e">
        <f>AND(#REF!,"AAAAAHtufhM=")</f>
        <v>#REF!</v>
      </c>
      <c r="U475" t="e">
        <f>AND(#REF!,"AAAAAHtufhQ=")</f>
        <v>#REF!</v>
      </c>
      <c r="V475" t="e">
        <f>AND(#REF!,"AAAAAHtufhU=")</f>
        <v>#REF!</v>
      </c>
      <c r="W475" t="e">
        <f>AND(#REF!,"AAAAAHtufhY=")</f>
        <v>#REF!</v>
      </c>
      <c r="X475" t="e">
        <f>AND(#REF!,"AAAAAHtufhc=")</f>
        <v>#REF!</v>
      </c>
      <c r="Y475" t="e">
        <f>AND(#REF!,"AAAAAHtufhg=")</f>
        <v>#REF!</v>
      </c>
      <c r="Z475" t="e">
        <f>AND(#REF!,"AAAAAHtufhk=")</f>
        <v>#REF!</v>
      </c>
      <c r="AA475" t="e">
        <f>AND(#REF!,"AAAAAHtufho=")</f>
        <v>#REF!</v>
      </c>
      <c r="AB475" t="e">
        <f>AND(#REF!,"AAAAAHtufhs=")</f>
        <v>#REF!</v>
      </c>
      <c r="AC475" t="e">
        <f>AND(#REF!,"AAAAAHtufhw=")</f>
        <v>#REF!</v>
      </c>
      <c r="AD475" t="e">
        <f>AND(#REF!,"AAAAAHtufh0=")</f>
        <v>#REF!</v>
      </c>
      <c r="AE475" t="e">
        <f>AND(#REF!,"AAAAAHtufh4=")</f>
        <v>#REF!</v>
      </c>
      <c r="AF475" t="e">
        <f>AND(#REF!,"AAAAAHtufh8=")</f>
        <v>#REF!</v>
      </c>
      <c r="AG475" t="e">
        <f>AND(#REF!,"AAAAAHtufiA=")</f>
        <v>#REF!</v>
      </c>
      <c r="AH475" t="e">
        <f>AND(#REF!,"AAAAAHtufiE=")</f>
        <v>#REF!</v>
      </c>
      <c r="AI475" t="e">
        <f>AND(#REF!,"AAAAAHtufiI=")</f>
        <v>#REF!</v>
      </c>
      <c r="AJ475" t="e">
        <f>AND(#REF!,"AAAAAHtufiM=")</f>
        <v>#REF!</v>
      </c>
      <c r="AK475" t="e">
        <f>AND(#REF!,"AAAAAHtufiQ=")</f>
        <v>#REF!</v>
      </c>
      <c r="AL475" t="e">
        <f>AND(#REF!,"AAAAAHtufiU=")</f>
        <v>#REF!</v>
      </c>
      <c r="AM475" t="e">
        <f>AND(#REF!,"AAAAAHtufiY=")</f>
        <v>#REF!</v>
      </c>
      <c r="AN475" t="e">
        <f>AND(#REF!,"AAAAAHtufic=")</f>
        <v>#REF!</v>
      </c>
      <c r="AO475" t="e">
        <f>AND(#REF!,"AAAAAHtufig=")</f>
        <v>#REF!</v>
      </c>
      <c r="AP475" t="e">
        <f>IF(#REF!,"AAAAAHtufik=",0)</f>
        <v>#REF!</v>
      </c>
      <c r="AQ475" t="e">
        <f>AND(#REF!,"AAAAAHtufio=")</f>
        <v>#REF!</v>
      </c>
      <c r="AR475" t="e">
        <f>AND(#REF!,"AAAAAHtufis=")</f>
        <v>#REF!</v>
      </c>
      <c r="AS475" t="e">
        <f>AND(#REF!,"AAAAAHtufiw=")</f>
        <v>#REF!</v>
      </c>
      <c r="AT475" t="e">
        <f>AND(#REF!,"AAAAAHtufi0=")</f>
        <v>#REF!</v>
      </c>
      <c r="AU475" t="e">
        <f>AND(#REF!,"AAAAAHtufi4=")</f>
        <v>#REF!</v>
      </c>
      <c r="AV475" t="e">
        <f>AND(#REF!,"AAAAAHtufi8=")</f>
        <v>#REF!</v>
      </c>
      <c r="AW475" t="e">
        <f>AND(#REF!,"AAAAAHtufjA=")</f>
        <v>#REF!</v>
      </c>
      <c r="AX475" t="e">
        <f>AND(#REF!,"AAAAAHtufjE=")</f>
        <v>#REF!</v>
      </c>
      <c r="AY475" t="e">
        <f>AND(#REF!,"AAAAAHtufjI=")</f>
        <v>#REF!</v>
      </c>
      <c r="AZ475" t="e">
        <f>AND(#REF!,"AAAAAHtufjM=")</f>
        <v>#REF!</v>
      </c>
      <c r="BA475" t="e">
        <f>AND(#REF!,"AAAAAHtufjQ=")</f>
        <v>#REF!</v>
      </c>
      <c r="BB475" t="e">
        <f>AND(#REF!,"AAAAAHtufjU=")</f>
        <v>#REF!</v>
      </c>
      <c r="BC475" t="e">
        <f>AND(#REF!,"AAAAAHtufjY=")</f>
        <v>#REF!</v>
      </c>
      <c r="BD475" t="e">
        <f>AND(#REF!,"AAAAAHtufjc=")</f>
        <v>#REF!</v>
      </c>
      <c r="BE475" t="e">
        <f>AND(#REF!,"AAAAAHtufjg=")</f>
        <v>#REF!</v>
      </c>
      <c r="BF475" t="e">
        <f>AND(#REF!,"AAAAAHtufjk=")</f>
        <v>#REF!</v>
      </c>
      <c r="BG475" t="e">
        <f>AND(#REF!,"AAAAAHtufjo=")</f>
        <v>#REF!</v>
      </c>
      <c r="BH475" t="e">
        <f>AND(#REF!,"AAAAAHtufjs=")</f>
        <v>#REF!</v>
      </c>
      <c r="BI475" t="e">
        <f>AND(#REF!,"AAAAAHtufjw=")</f>
        <v>#REF!</v>
      </c>
      <c r="BJ475" t="e">
        <f>AND(#REF!,"AAAAAHtufj0=")</f>
        <v>#REF!</v>
      </c>
      <c r="BK475" t="e">
        <f>AND(#REF!,"AAAAAHtufj4=")</f>
        <v>#REF!</v>
      </c>
      <c r="BL475" t="e">
        <f>AND(#REF!,"AAAAAHtufj8=")</f>
        <v>#REF!</v>
      </c>
      <c r="BM475" t="e">
        <f>AND(#REF!,"AAAAAHtufkA=")</f>
        <v>#REF!</v>
      </c>
      <c r="BN475" t="e">
        <f>AND(#REF!,"AAAAAHtufkE=")</f>
        <v>#REF!</v>
      </c>
      <c r="BO475" t="e">
        <f>IF(#REF!,"AAAAAHtufkI=",0)</f>
        <v>#REF!</v>
      </c>
      <c r="BP475" t="e">
        <f>AND(#REF!,"AAAAAHtufkM=")</f>
        <v>#REF!</v>
      </c>
      <c r="BQ475" t="e">
        <f>AND(#REF!,"AAAAAHtufkQ=")</f>
        <v>#REF!</v>
      </c>
      <c r="BR475" t="e">
        <f>AND(#REF!,"AAAAAHtufkU=")</f>
        <v>#REF!</v>
      </c>
      <c r="BS475" t="e">
        <f>AND(#REF!,"AAAAAHtufkY=")</f>
        <v>#REF!</v>
      </c>
      <c r="BT475" t="e">
        <f>AND(#REF!,"AAAAAHtufkc=")</f>
        <v>#REF!</v>
      </c>
      <c r="BU475" t="e">
        <f>AND(#REF!,"AAAAAHtufkg=")</f>
        <v>#REF!</v>
      </c>
      <c r="BV475" t="e">
        <f>AND(#REF!,"AAAAAHtufkk=")</f>
        <v>#REF!</v>
      </c>
      <c r="BW475" t="e">
        <f>AND(#REF!,"AAAAAHtufko=")</f>
        <v>#REF!</v>
      </c>
      <c r="BX475" t="e">
        <f>AND(#REF!,"AAAAAHtufks=")</f>
        <v>#REF!</v>
      </c>
      <c r="BY475" t="e">
        <f>AND(#REF!,"AAAAAHtufkw=")</f>
        <v>#REF!</v>
      </c>
      <c r="BZ475" t="e">
        <f>AND(#REF!,"AAAAAHtufk0=")</f>
        <v>#REF!</v>
      </c>
      <c r="CA475" t="e">
        <f>AND(#REF!,"AAAAAHtufk4=")</f>
        <v>#REF!</v>
      </c>
      <c r="CB475" t="e">
        <f>AND(#REF!,"AAAAAHtufk8=")</f>
        <v>#REF!</v>
      </c>
      <c r="CC475" t="e">
        <f>AND(#REF!,"AAAAAHtuflA=")</f>
        <v>#REF!</v>
      </c>
      <c r="CD475" t="e">
        <f>AND(#REF!,"AAAAAHtuflE=")</f>
        <v>#REF!</v>
      </c>
      <c r="CE475" t="e">
        <f>AND(#REF!,"AAAAAHtuflI=")</f>
        <v>#REF!</v>
      </c>
      <c r="CF475" t="e">
        <f>AND(#REF!,"AAAAAHtuflM=")</f>
        <v>#REF!</v>
      </c>
      <c r="CG475" t="e">
        <f>AND(#REF!,"AAAAAHtuflQ=")</f>
        <v>#REF!</v>
      </c>
      <c r="CH475" t="e">
        <f>AND(#REF!,"AAAAAHtuflU=")</f>
        <v>#REF!</v>
      </c>
      <c r="CI475" t="e">
        <f>AND(#REF!,"AAAAAHtuflY=")</f>
        <v>#REF!</v>
      </c>
      <c r="CJ475" t="e">
        <f>AND(#REF!,"AAAAAHtuflc=")</f>
        <v>#REF!</v>
      </c>
      <c r="CK475" t="e">
        <f>AND(#REF!,"AAAAAHtuflg=")</f>
        <v>#REF!</v>
      </c>
      <c r="CL475" t="e">
        <f>AND(#REF!,"AAAAAHtuflk=")</f>
        <v>#REF!</v>
      </c>
      <c r="CM475" t="e">
        <f>AND(#REF!,"AAAAAHtuflo=")</f>
        <v>#REF!</v>
      </c>
      <c r="CN475" t="e">
        <f>IF(#REF!,"AAAAAHtufls=",0)</f>
        <v>#REF!</v>
      </c>
      <c r="CO475" t="e">
        <f>AND(#REF!,"AAAAAHtuflw=")</f>
        <v>#REF!</v>
      </c>
      <c r="CP475" t="e">
        <f>AND(#REF!,"AAAAAHtufl0=")</f>
        <v>#REF!</v>
      </c>
      <c r="CQ475" t="e">
        <f>AND(#REF!,"AAAAAHtufl4=")</f>
        <v>#REF!</v>
      </c>
      <c r="CR475" t="e">
        <f>AND(#REF!,"AAAAAHtufl8=")</f>
        <v>#REF!</v>
      </c>
      <c r="CS475" t="e">
        <f>AND(#REF!,"AAAAAHtufmA=")</f>
        <v>#REF!</v>
      </c>
      <c r="CT475" t="e">
        <f>AND(#REF!,"AAAAAHtufmE=")</f>
        <v>#REF!</v>
      </c>
      <c r="CU475" t="e">
        <f>AND(#REF!,"AAAAAHtufmI=")</f>
        <v>#REF!</v>
      </c>
      <c r="CV475" t="e">
        <f>AND(#REF!,"AAAAAHtufmM=")</f>
        <v>#REF!</v>
      </c>
      <c r="CW475" t="e">
        <f>AND(#REF!,"AAAAAHtufmQ=")</f>
        <v>#REF!</v>
      </c>
      <c r="CX475" t="e">
        <f>AND(#REF!,"AAAAAHtufmU=")</f>
        <v>#REF!</v>
      </c>
      <c r="CY475" t="e">
        <f>AND(#REF!,"AAAAAHtufmY=")</f>
        <v>#REF!</v>
      </c>
      <c r="CZ475" t="e">
        <f>AND(#REF!,"AAAAAHtufmc=")</f>
        <v>#REF!</v>
      </c>
      <c r="DA475" t="e">
        <f>AND(#REF!,"AAAAAHtufmg=")</f>
        <v>#REF!</v>
      </c>
      <c r="DB475" t="e">
        <f>AND(#REF!,"AAAAAHtufmk=")</f>
        <v>#REF!</v>
      </c>
      <c r="DC475" t="e">
        <f>AND(#REF!,"AAAAAHtufmo=")</f>
        <v>#REF!</v>
      </c>
      <c r="DD475" t="e">
        <f>AND(#REF!,"AAAAAHtufms=")</f>
        <v>#REF!</v>
      </c>
      <c r="DE475" t="e">
        <f>AND(#REF!,"AAAAAHtufmw=")</f>
        <v>#REF!</v>
      </c>
      <c r="DF475" t="e">
        <f>AND(#REF!,"AAAAAHtufm0=")</f>
        <v>#REF!</v>
      </c>
      <c r="DG475" t="e">
        <f>AND(#REF!,"AAAAAHtufm4=")</f>
        <v>#REF!</v>
      </c>
      <c r="DH475" t="e">
        <f>AND(#REF!,"AAAAAHtufm8=")</f>
        <v>#REF!</v>
      </c>
      <c r="DI475" t="e">
        <f>AND(#REF!,"AAAAAHtufnA=")</f>
        <v>#REF!</v>
      </c>
      <c r="DJ475" t="e">
        <f>AND(#REF!,"AAAAAHtufnE=")</f>
        <v>#REF!</v>
      </c>
      <c r="DK475" t="e">
        <f>AND(#REF!,"AAAAAHtufnI=")</f>
        <v>#REF!</v>
      </c>
      <c r="DL475" t="e">
        <f>AND(#REF!,"AAAAAHtufnM=")</f>
        <v>#REF!</v>
      </c>
      <c r="DM475" t="e">
        <f>IF(#REF!,"AAAAAHtufnQ=",0)</f>
        <v>#REF!</v>
      </c>
      <c r="DN475" t="e">
        <f>AND(#REF!,"AAAAAHtufnU=")</f>
        <v>#REF!</v>
      </c>
      <c r="DO475" t="e">
        <f>AND(#REF!,"AAAAAHtufnY=")</f>
        <v>#REF!</v>
      </c>
      <c r="DP475" t="e">
        <f>AND(#REF!,"AAAAAHtufnc=")</f>
        <v>#REF!</v>
      </c>
      <c r="DQ475" t="e">
        <f>AND(#REF!,"AAAAAHtufng=")</f>
        <v>#REF!</v>
      </c>
      <c r="DR475" t="e">
        <f>AND(#REF!,"AAAAAHtufnk=")</f>
        <v>#REF!</v>
      </c>
      <c r="DS475" t="e">
        <f>AND(#REF!,"AAAAAHtufno=")</f>
        <v>#REF!</v>
      </c>
      <c r="DT475" t="e">
        <f>AND(#REF!,"AAAAAHtufns=")</f>
        <v>#REF!</v>
      </c>
      <c r="DU475" t="e">
        <f>AND(#REF!,"AAAAAHtufnw=")</f>
        <v>#REF!</v>
      </c>
      <c r="DV475" t="e">
        <f>AND(#REF!,"AAAAAHtufn0=")</f>
        <v>#REF!</v>
      </c>
      <c r="DW475" t="e">
        <f>AND(#REF!,"AAAAAHtufn4=")</f>
        <v>#REF!</v>
      </c>
      <c r="DX475" t="e">
        <f>AND(#REF!,"AAAAAHtufn8=")</f>
        <v>#REF!</v>
      </c>
      <c r="DY475" t="e">
        <f>AND(#REF!,"AAAAAHtufoA=")</f>
        <v>#REF!</v>
      </c>
      <c r="DZ475" t="e">
        <f>AND(#REF!,"AAAAAHtufoE=")</f>
        <v>#REF!</v>
      </c>
      <c r="EA475" t="e">
        <f>AND(#REF!,"AAAAAHtufoI=")</f>
        <v>#REF!</v>
      </c>
      <c r="EB475" t="e">
        <f>AND(#REF!,"AAAAAHtufoM=")</f>
        <v>#REF!</v>
      </c>
      <c r="EC475" t="e">
        <f>AND(#REF!,"AAAAAHtufoQ=")</f>
        <v>#REF!</v>
      </c>
      <c r="ED475" t="e">
        <f>AND(#REF!,"AAAAAHtufoU=")</f>
        <v>#REF!</v>
      </c>
      <c r="EE475" t="e">
        <f>AND(#REF!,"AAAAAHtufoY=")</f>
        <v>#REF!</v>
      </c>
      <c r="EF475" t="e">
        <f>AND(#REF!,"AAAAAHtufoc=")</f>
        <v>#REF!</v>
      </c>
      <c r="EG475" t="e">
        <f>AND(#REF!,"AAAAAHtufog=")</f>
        <v>#REF!</v>
      </c>
      <c r="EH475" t="e">
        <f>AND(#REF!,"AAAAAHtufok=")</f>
        <v>#REF!</v>
      </c>
      <c r="EI475" t="e">
        <f>AND(#REF!,"AAAAAHtufoo=")</f>
        <v>#REF!</v>
      </c>
      <c r="EJ475" t="e">
        <f>AND(#REF!,"AAAAAHtufos=")</f>
        <v>#REF!</v>
      </c>
      <c r="EK475" t="e">
        <f>AND(#REF!,"AAAAAHtufow=")</f>
        <v>#REF!</v>
      </c>
      <c r="EL475" t="e">
        <f>IF(#REF!,"AAAAAHtufo0=",0)</f>
        <v>#REF!</v>
      </c>
      <c r="EM475" t="e">
        <f>AND(#REF!,"AAAAAHtufo4=")</f>
        <v>#REF!</v>
      </c>
      <c r="EN475" t="e">
        <f>AND(#REF!,"AAAAAHtufo8=")</f>
        <v>#REF!</v>
      </c>
      <c r="EO475" t="e">
        <f>AND(#REF!,"AAAAAHtufpA=")</f>
        <v>#REF!</v>
      </c>
      <c r="EP475" t="e">
        <f>AND(#REF!,"AAAAAHtufpE=")</f>
        <v>#REF!</v>
      </c>
      <c r="EQ475" t="e">
        <f>AND(#REF!,"AAAAAHtufpI=")</f>
        <v>#REF!</v>
      </c>
      <c r="ER475" t="e">
        <f>AND(#REF!,"AAAAAHtufpM=")</f>
        <v>#REF!</v>
      </c>
      <c r="ES475" t="e">
        <f>AND(#REF!,"AAAAAHtufpQ=")</f>
        <v>#REF!</v>
      </c>
      <c r="ET475" t="e">
        <f>AND(#REF!,"AAAAAHtufpU=")</f>
        <v>#REF!</v>
      </c>
      <c r="EU475" t="e">
        <f>AND(#REF!,"AAAAAHtufpY=")</f>
        <v>#REF!</v>
      </c>
      <c r="EV475" t="e">
        <f>AND(#REF!,"AAAAAHtufpc=")</f>
        <v>#REF!</v>
      </c>
      <c r="EW475" t="e">
        <f>AND(#REF!,"AAAAAHtufpg=")</f>
        <v>#REF!</v>
      </c>
      <c r="EX475" t="e">
        <f>AND(#REF!,"AAAAAHtufpk=")</f>
        <v>#REF!</v>
      </c>
      <c r="EY475" t="e">
        <f>AND(#REF!,"AAAAAHtufpo=")</f>
        <v>#REF!</v>
      </c>
      <c r="EZ475" t="e">
        <f>AND(#REF!,"AAAAAHtufps=")</f>
        <v>#REF!</v>
      </c>
      <c r="FA475" t="e">
        <f>AND(#REF!,"AAAAAHtufpw=")</f>
        <v>#REF!</v>
      </c>
      <c r="FB475" t="e">
        <f>AND(#REF!,"AAAAAHtufp0=")</f>
        <v>#REF!</v>
      </c>
      <c r="FC475" t="e">
        <f>AND(#REF!,"AAAAAHtufp4=")</f>
        <v>#REF!</v>
      </c>
      <c r="FD475" t="e">
        <f>AND(#REF!,"AAAAAHtufp8=")</f>
        <v>#REF!</v>
      </c>
      <c r="FE475" t="e">
        <f>AND(#REF!,"AAAAAHtufqA=")</f>
        <v>#REF!</v>
      </c>
      <c r="FF475" t="e">
        <f>AND(#REF!,"AAAAAHtufqE=")</f>
        <v>#REF!</v>
      </c>
      <c r="FG475" t="e">
        <f>AND(#REF!,"AAAAAHtufqI=")</f>
        <v>#REF!</v>
      </c>
      <c r="FH475" t="e">
        <f>AND(#REF!,"AAAAAHtufqM=")</f>
        <v>#REF!</v>
      </c>
      <c r="FI475" t="e">
        <f>AND(#REF!,"AAAAAHtufqQ=")</f>
        <v>#REF!</v>
      </c>
      <c r="FJ475" t="e">
        <f>AND(#REF!,"AAAAAHtufqU=")</f>
        <v>#REF!</v>
      </c>
      <c r="FK475" t="e">
        <f>IF(#REF!,"AAAAAHtufqY=",0)</f>
        <v>#REF!</v>
      </c>
      <c r="FL475" t="e">
        <f>AND(#REF!,"AAAAAHtufqc=")</f>
        <v>#REF!</v>
      </c>
      <c r="FM475" t="e">
        <f>AND(#REF!,"AAAAAHtufqg=")</f>
        <v>#REF!</v>
      </c>
      <c r="FN475" t="e">
        <f>AND(#REF!,"AAAAAHtufqk=")</f>
        <v>#REF!</v>
      </c>
      <c r="FO475" t="e">
        <f>AND(#REF!,"AAAAAHtufqo=")</f>
        <v>#REF!</v>
      </c>
      <c r="FP475" t="e">
        <f>AND(#REF!,"AAAAAHtufqs=")</f>
        <v>#REF!</v>
      </c>
      <c r="FQ475" t="e">
        <f>AND(#REF!,"AAAAAHtufqw=")</f>
        <v>#REF!</v>
      </c>
      <c r="FR475" t="e">
        <f>AND(#REF!,"AAAAAHtufq0=")</f>
        <v>#REF!</v>
      </c>
      <c r="FS475" t="e">
        <f>AND(#REF!,"AAAAAHtufq4=")</f>
        <v>#REF!</v>
      </c>
      <c r="FT475" t="e">
        <f>AND(#REF!,"AAAAAHtufq8=")</f>
        <v>#REF!</v>
      </c>
      <c r="FU475" t="e">
        <f>AND(#REF!,"AAAAAHtufrA=")</f>
        <v>#REF!</v>
      </c>
      <c r="FV475" t="e">
        <f>AND(#REF!,"AAAAAHtufrE=")</f>
        <v>#REF!</v>
      </c>
      <c r="FW475" t="e">
        <f>AND(#REF!,"AAAAAHtufrI=")</f>
        <v>#REF!</v>
      </c>
      <c r="FX475" t="e">
        <f>AND(#REF!,"AAAAAHtufrM=")</f>
        <v>#REF!</v>
      </c>
      <c r="FY475" t="e">
        <f>AND(#REF!,"AAAAAHtufrQ=")</f>
        <v>#REF!</v>
      </c>
      <c r="FZ475" t="e">
        <f>AND(#REF!,"AAAAAHtufrU=")</f>
        <v>#REF!</v>
      </c>
      <c r="GA475" t="e">
        <f>AND(#REF!,"AAAAAHtufrY=")</f>
        <v>#REF!</v>
      </c>
      <c r="GB475" t="e">
        <f>AND(#REF!,"AAAAAHtufrc=")</f>
        <v>#REF!</v>
      </c>
      <c r="GC475" t="e">
        <f>AND(#REF!,"AAAAAHtufrg=")</f>
        <v>#REF!</v>
      </c>
      <c r="GD475" t="e">
        <f>AND(#REF!,"AAAAAHtufrk=")</f>
        <v>#REF!</v>
      </c>
      <c r="GE475" t="e">
        <f>AND(#REF!,"AAAAAHtufro=")</f>
        <v>#REF!</v>
      </c>
      <c r="GF475" t="e">
        <f>AND(#REF!,"AAAAAHtufrs=")</f>
        <v>#REF!</v>
      </c>
      <c r="GG475" t="e">
        <f>AND(#REF!,"AAAAAHtufrw=")</f>
        <v>#REF!</v>
      </c>
      <c r="GH475" t="e">
        <f>AND(#REF!,"AAAAAHtufr0=")</f>
        <v>#REF!</v>
      </c>
      <c r="GI475" t="e">
        <f>AND(#REF!,"AAAAAHtufr4=")</f>
        <v>#REF!</v>
      </c>
      <c r="GJ475" t="e">
        <f>IF(#REF!,"AAAAAHtufr8=",0)</f>
        <v>#REF!</v>
      </c>
      <c r="GK475" t="e">
        <f>AND(#REF!,"AAAAAHtufsA=")</f>
        <v>#REF!</v>
      </c>
      <c r="GL475" t="e">
        <f>AND(#REF!,"AAAAAHtufsE=")</f>
        <v>#REF!</v>
      </c>
      <c r="GM475" t="e">
        <f>AND(#REF!,"AAAAAHtufsI=")</f>
        <v>#REF!</v>
      </c>
      <c r="GN475" t="e">
        <f>AND(#REF!,"AAAAAHtufsM=")</f>
        <v>#REF!</v>
      </c>
      <c r="GO475" t="e">
        <f>AND(#REF!,"AAAAAHtufsQ=")</f>
        <v>#REF!</v>
      </c>
      <c r="GP475" t="e">
        <f>AND(#REF!,"AAAAAHtufsU=")</f>
        <v>#REF!</v>
      </c>
      <c r="GQ475" t="e">
        <f>AND(#REF!,"AAAAAHtufsY=")</f>
        <v>#REF!</v>
      </c>
      <c r="GR475" t="e">
        <f>AND(#REF!,"AAAAAHtufsc=")</f>
        <v>#REF!</v>
      </c>
      <c r="GS475" t="e">
        <f>AND(#REF!,"AAAAAHtufsg=")</f>
        <v>#REF!</v>
      </c>
      <c r="GT475" t="e">
        <f>AND(#REF!,"AAAAAHtufsk=")</f>
        <v>#REF!</v>
      </c>
      <c r="GU475" t="e">
        <f>AND(#REF!,"AAAAAHtufso=")</f>
        <v>#REF!</v>
      </c>
      <c r="GV475" t="e">
        <f>AND(#REF!,"AAAAAHtufss=")</f>
        <v>#REF!</v>
      </c>
      <c r="GW475" t="e">
        <f>AND(#REF!,"AAAAAHtufsw=")</f>
        <v>#REF!</v>
      </c>
      <c r="GX475" t="e">
        <f>AND(#REF!,"AAAAAHtufs0=")</f>
        <v>#REF!</v>
      </c>
      <c r="GY475" t="e">
        <f>AND(#REF!,"AAAAAHtufs4=")</f>
        <v>#REF!</v>
      </c>
      <c r="GZ475" t="e">
        <f>AND(#REF!,"AAAAAHtufs8=")</f>
        <v>#REF!</v>
      </c>
      <c r="HA475" t="e">
        <f>AND(#REF!,"AAAAAHtuftA=")</f>
        <v>#REF!</v>
      </c>
      <c r="HB475" t="e">
        <f>AND(#REF!,"AAAAAHtuftE=")</f>
        <v>#REF!</v>
      </c>
      <c r="HC475" t="e">
        <f>AND(#REF!,"AAAAAHtuftI=")</f>
        <v>#REF!</v>
      </c>
      <c r="HD475" t="e">
        <f>AND(#REF!,"AAAAAHtuftM=")</f>
        <v>#REF!</v>
      </c>
      <c r="HE475" t="e">
        <f>AND(#REF!,"AAAAAHtuftQ=")</f>
        <v>#REF!</v>
      </c>
      <c r="HF475" t="e">
        <f>AND(#REF!,"AAAAAHtuftU=")</f>
        <v>#REF!</v>
      </c>
      <c r="HG475" t="e">
        <f>AND(#REF!,"AAAAAHtuftY=")</f>
        <v>#REF!</v>
      </c>
      <c r="HH475" t="e">
        <f>AND(#REF!,"AAAAAHtuftc=")</f>
        <v>#REF!</v>
      </c>
      <c r="HI475" t="e">
        <f>IF(#REF!,"AAAAAHtuftg=",0)</f>
        <v>#REF!</v>
      </c>
      <c r="HJ475" t="e">
        <f>AND(#REF!,"AAAAAHtuftk=")</f>
        <v>#REF!</v>
      </c>
      <c r="HK475" t="e">
        <f>AND(#REF!,"AAAAAHtufto=")</f>
        <v>#REF!</v>
      </c>
      <c r="HL475" t="e">
        <f>AND(#REF!,"AAAAAHtufts=")</f>
        <v>#REF!</v>
      </c>
      <c r="HM475" t="e">
        <f>AND(#REF!,"AAAAAHtuftw=")</f>
        <v>#REF!</v>
      </c>
      <c r="HN475" t="e">
        <f>AND(#REF!,"AAAAAHtuft0=")</f>
        <v>#REF!</v>
      </c>
      <c r="HO475" t="e">
        <f>AND(#REF!,"AAAAAHtuft4=")</f>
        <v>#REF!</v>
      </c>
      <c r="HP475" t="e">
        <f>AND(#REF!,"AAAAAHtuft8=")</f>
        <v>#REF!</v>
      </c>
      <c r="HQ475" t="e">
        <f>AND(#REF!,"AAAAAHtufuA=")</f>
        <v>#REF!</v>
      </c>
      <c r="HR475" t="e">
        <f>AND(#REF!,"AAAAAHtufuE=")</f>
        <v>#REF!</v>
      </c>
      <c r="HS475" t="e">
        <f>AND(#REF!,"AAAAAHtufuI=")</f>
        <v>#REF!</v>
      </c>
      <c r="HT475" t="e">
        <f>AND(#REF!,"AAAAAHtufuM=")</f>
        <v>#REF!</v>
      </c>
      <c r="HU475" t="e">
        <f>AND(#REF!,"AAAAAHtufuQ=")</f>
        <v>#REF!</v>
      </c>
      <c r="HV475" t="e">
        <f>AND(#REF!,"AAAAAHtufuU=")</f>
        <v>#REF!</v>
      </c>
      <c r="HW475" t="e">
        <f>AND(#REF!,"AAAAAHtufuY=")</f>
        <v>#REF!</v>
      </c>
      <c r="HX475" t="e">
        <f>AND(#REF!,"AAAAAHtufuc=")</f>
        <v>#REF!</v>
      </c>
      <c r="HY475" t="e">
        <f>AND(#REF!,"AAAAAHtufug=")</f>
        <v>#REF!</v>
      </c>
      <c r="HZ475" t="e">
        <f>AND(#REF!,"AAAAAHtufuk=")</f>
        <v>#REF!</v>
      </c>
      <c r="IA475" t="e">
        <f>AND(#REF!,"AAAAAHtufuo=")</f>
        <v>#REF!</v>
      </c>
      <c r="IB475" t="e">
        <f>AND(#REF!,"AAAAAHtufus=")</f>
        <v>#REF!</v>
      </c>
      <c r="IC475" t="e">
        <f>AND(#REF!,"AAAAAHtufuw=")</f>
        <v>#REF!</v>
      </c>
      <c r="ID475" t="e">
        <f>AND(#REF!,"AAAAAHtufu0=")</f>
        <v>#REF!</v>
      </c>
      <c r="IE475" t="e">
        <f>AND(#REF!,"AAAAAHtufu4=")</f>
        <v>#REF!</v>
      </c>
      <c r="IF475" t="e">
        <f>AND(#REF!,"AAAAAHtufu8=")</f>
        <v>#REF!</v>
      </c>
      <c r="IG475" t="e">
        <f>AND(#REF!,"AAAAAHtufvA=")</f>
        <v>#REF!</v>
      </c>
      <c r="IH475" t="e">
        <f>IF(#REF!,"AAAAAHtufvE=",0)</f>
        <v>#REF!</v>
      </c>
      <c r="II475" t="e">
        <f>AND(#REF!,"AAAAAHtufvI=")</f>
        <v>#REF!</v>
      </c>
      <c r="IJ475" t="e">
        <f>AND(#REF!,"AAAAAHtufvM=")</f>
        <v>#REF!</v>
      </c>
      <c r="IK475" t="e">
        <f>AND(#REF!,"AAAAAHtufvQ=")</f>
        <v>#REF!</v>
      </c>
      <c r="IL475" t="e">
        <f>AND(#REF!,"AAAAAHtufvU=")</f>
        <v>#REF!</v>
      </c>
      <c r="IM475" t="e">
        <f>AND(#REF!,"AAAAAHtufvY=")</f>
        <v>#REF!</v>
      </c>
      <c r="IN475" t="e">
        <f>AND(#REF!,"AAAAAHtufvc=")</f>
        <v>#REF!</v>
      </c>
      <c r="IO475" t="e">
        <f>AND(#REF!,"AAAAAHtufvg=")</f>
        <v>#REF!</v>
      </c>
      <c r="IP475" t="e">
        <f>AND(#REF!,"AAAAAHtufvk=")</f>
        <v>#REF!</v>
      </c>
      <c r="IQ475" t="e">
        <f>AND(#REF!,"AAAAAHtufvo=")</f>
        <v>#REF!</v>
      </c>
      <c r="IR475" t="e">
        <f>AND(#REF!,"AAAAAHtufvs=")</f>
        <v>#REF!</v>
      </c>
      <c r="IS475" t="e">
        <f>AND(#REF!,"AAAAAHtufvw=")</f>
        <v>#REF!</v>
      </c>
      <c r="IT475" t="e">
        <f>AND(#REF!,"AAAAAHtufv0=")</f>
        <v>#REF!</v>
      </c>
      <c r="IU475" t="e">
        <f>AND(#REF!,"AAAAAHtufv4=")</f>
        <v>#REF!</v>
      </c>
      <c r="IV475" t="e">
        <f>AND(#REF!,"AAAAAHtufv8=")</f>
        <v>#REF!</v>
      </c>
    </row>
    <row r="476" spans="1:256">
      <c r="A476" t="e">
        <f>AND(#REF!,"AAAAAF//fwA=")</f>
        <v>#REF!</v>
      </c>
      <c r="B476" t="e">
        <f>AND(#REF!,"AAAAAF//fwE=")</f>
        <v>#REF!</v>
      </c>
      <c r="C476" t="e">
        <f>AND(#REF!,"AAAAAF//fwI=")</f>
        <v>#REF!</v>
      </c>
      <c r="D476" t="e">
        <f>AND(#REF!,"AAAAAF//fwM=")</f>
        <v>#REF!</v>
      </c>
      <c r="E476" t="e">
        <f>AND(#REF!,"AAAAAF//fwQ=")</f>
        <v>#REF!</v>
      </c>
      <c r="F476" t="e">
        <f>AND(#REF!,"AAAAAF//fwU=")</f>
        <v>#REF!</v>
      </c>
      <c r="G476" t="e">
        <f>AND(#REF!,"AAAAAF//fwY=")</f>
        <v>#REF!</v>
      </c>
      <c r="H476" t="e">
        <f>AND(#REF!,"AAAAAF//fwc=")</f>
        <v>#REF!</v>
      </c>
      <c r="I476" t="e">
        <f>AND(#REF!,"AAAAAF//fwg=")</f>
        <v>#REF!</v>
      </c>
      <c r="J476" t="e">
        <f>AND(#REF!,"AAAAAF//fwk=")</f>
        <v>#REF!</v>
      </c>
      <c r="K476" t="e">
        <f>IF(#REF!,"AAAAAF//fwo=",0)</f>
        <v>#REF!</v>
      </c>
      <c r="L476" t="e">
        <f>AND(#REF!,"AAAAAF//fws=")</f>
        <v>#REF!</v>
      </c>
      <c r="M476" t="e">
        <f>AND(#REF!,"AAAAAF//fww=")</f>
        <v>#REF!</v>
      </c>
      <c r="N476" t="e">
        <f>AND(#REF!,"AAAAAF//fw0=")</f>
        <v>#REF!</v>
      </c>
      <c r="O476" t="e">
        <f>AND(#REF!,"AAAAAF//fw4=")</f>
        <v>#REF!</v>
      </c>
      <c r="P476" t="e">
        <f>AND(#REF!,"AAAAAF//fw8=")</f>
        <v>#REF!</v>
      </c>
      <c r="Q476" t="e">
        <f>AND(#REF!,"AAAAAF//fxA=")</f>
        <v>#REF!</v>
      </c>
      <c r="R476" t="e">
        <f>AND(#REF!,"AAAAAF//fxE=")</f>
        <v>#REF!</v>
      </c>
      <c r="S476" t="e">
        <f>AND(#REF!,"AAAAAF//fxI=")</f>
        <v>#REF!</v>
      </c>
      <c r="T476" t="e">
        <f>AND(#REF!,"AAAAAF//fxM=")</f>
        <v>#REF!</v>
      </c>
      <c r="U476" t="e">
        <f>AND(#REF!,"AAAAAF//fxQ=")</f>
        <v>#REF!</v>
      </c>
      <c r="V476" t="e">
        <f>AND(#REF!,"AAAAAF//fxU=")</f>
        <v>#REF!</v>
      </c>
      <c r="W476" t="e">
        <f>AND(#REF!,"AAAAAF//fxY=")</f>
        <v>#REF!</v>
      </c>
      <c r="X476" t="e">
        <f>AND(#REF!,"AAAAAF//fxc=")</f>
        <v>#REF!</v>
      </c>
      <c r="Y476" t="e">
        <f>AND(#REF!,"AAAAAF//fxg=")</f>
        <v>#REF!</v>
      </c>
      <c r="Z476" t="e">
        <f>AND(#REF!,"AAAAAF//fxk=")</f>
        <v>#REF!</v>
      </c>
      <c r="AA476" t="e">
        <f>AND(#REF!,"AAAAAF//fxo=")</f>
        <v>#REF!</v>
      </c>
      <c r="AB476" t="e">
        <f>AND(#REF!,"AAAAAF//fxs=")</f>
        <v>#REF!</v>
      </c>
      <c r="AC476" t="e">
        <f>AND(#REF!,"AAAAAF//fxw=")</f>
        <v>#REF!</v>
      </c>
      <c r="AD476" t="e">
        <f>AND(#REF!,"AAAAAF//fx0=")</f>
        <v>#REF!</v>
      </c>
      <c r="AE476" t="e">
        <f>AND(#REF!,"AAAAAF//fx4=")</f>
        <v>#REF!</v>
      </c>
      <c r="AF476" t="e">
        <f>AND(#REF!,"AAAAAF//fx8=")</f>
        <v>#REF!</v>
      </c>
      <c r="AG476" t="e">
        <f>AND(#REF!,"AAAAAF//fyA=")</f>
        <v>#REF!</v>
      </c>
      <c r="AH476" t="e">
        <f>AND(#REF!,"AAAAAF//fyE=")</f>
        <v>#REF!</v>
      </c>
      <c r="AI476" t="e">
        <f>AND(#REF!,"AAAAAF//fyI=")</f>
        <v>#REF!</v>
      </c>
      <c r="AJ476" t="e">
        <f>IF(#REF!,"AAAAAF//fyM=",0)</f>
        <v>#REF!</v>
      </c>
      <c r="AK476" t="e">
        <f>AND(#REF!,"AAAAAF//fyQ=")</f>
        <v>#REF!</v>
      </c>
      <c r="AL476" t="e">
        <f>AND(#REF!,"AAAAAF//fyU=")</f>
        <v>#REF!</v>
      </c>
      <c r="AM476" t="e">
        <f>AND(#REF!,"AAAAAF//fyY=")</f>
        <v>#REF!</v>
      </c>
      <c r="AN476" t="e">
        <f>AND(#REF!,"AAAAAF//fyc=")</f>
        <v>#REF!</v>
      </c>
      <c r="AO476" t="e">
        <f>AND(#REF!,"AAAAAF//fyg=")</f>
        <v>#REF!</v>
      </c>
      <c r="AP476" t="e">
        <f>AND(#REF!,"AAAAAF//fyk=")</f>
        <v>#REF!</v>
      </c>
      <c r="AQ476" t="e">
        <f>AND(#REF!,"AAAAAF//fyo=")</f>
        <v>#REF!</v>
      </c>
      <c r="AR476" t="e">
        <f>AND(#REF!,"AAAAAF//fys=")</f>
        <v>#REF!</v>
      </c>
      <c r="AS476" t="e">
        <f>AND(#REF!,"AAAAAF//fyw=")</f>
        <v>#REF!</v>
      </c>
      <c r="AT476" t="e">
        <f>AND(#REF!,"AAAAAF//fy0=")</f>
        <v>#REF!</v>
      </c>
      <c r="AU476" t="e">
        <f>AND(#REF!,"AAAAAF//fy4=")</f>
        <v>#REF!</v>
      </c>
      <c r="AV476" t="e">
        <f>AND(#REF!,"AAAAAF//fy8=")</f>
        <v>#REF!</v>
      </c>
      <c r="AW476" t="e">
        <f>AND(#REF!,"AAAAAF//fzA=")</f>
        <v>#REF!</v>
      </c>
      <c r="AX476" t="e">
        <f>AND(#REF!,"AAAAAF//fzE=")</f>
        <v>#REF!</v>
      </c>
      <c r="AY476" t="e">
        <f>AND(#REF!,"AAAAAF//fzI=")</f>
        <v>#REF!</v>
      </c>
      <c r="AZ476" t="e">
        <f>AND(#REF!,"AAAAAF//fzM=")</f>
        <v>#REF!</v>
      </c>
      <c r="BA476" t="e">
        <f>AND(#REF!,"AAAAAF//fzQ=")</f>
        <v>#REF!</v>
      </c>
      <c r="BB476" t="e">
        <f>AND(#REF!,"AAAAAF//fzU=")</f>
        <v>#REF!</v>
      </c>
      <c r="BC476" t="e">
        <f>AND(#REF!,"AAAAAF//fzY=")</f>
        <v>#REF!</v>
      </c>
      <c r="BD476" t="e">
        <f>AND(#REF!,"AAAAAF//fzc=")</f>
        <v>#REF!</v>
      </c>
      <c r="BE476" t="e">
        <f>AND(#REF!,"AAAAAF//fzg=")</f>
        <v>#REF!</v>
      </c>
      <c r="BF476" t="e">
        <f>AND(#REF!,"AAAAAF//fzk=")</f>
        <v>#REF!</v>
      </c>
      <c r="BG476" t="e">
        <f>AND(#REF!,"AAAAAF//fzo=")</f>
        <v>#REF!</v>
      </c>
      <c r="BH476" t="e">
        <f>AND(#REF!,"AAAAAF//fzs=")</f>
        <v>#REF!</v>
      </c>
      <c r="BI476" t="e">
        <f>IF(#REF!,"AAAAAF//fzw=",0)</f>
        <v>#REF!</v>
      </c>
      <c r="BJ476" t="e">
        <f>AND(#REF!,"AAAAAF//fz0=")</f>
        <v>#REF!</v>
      </c>
      <c r="BK476" t="e">
        <f>AND(#REF!,"AAAAAF//fz4=")</f>
        <v>#REF!</v>
      </c>
      <c r="BL476" t="e">
        <f>AND(#REF!,"AAAAAF//fz8=")</f>
        <v>#REF!</v>
      </c>
      <c r="BM476" t="e">
        <f>AND(#REF!,"AAAAAF//f0A=")</f>
        <v>#REF!</v>
      </c>
      <c r="BN476" t="e">
        <f>AND(#REF!,"AAAAAF//f0E=")</f>
        <v>#REF!</v>
      </c>
      <c r="BO476" t="e">
        <f>AND(#REF!,"AAAAAF//f0I=")</f>
        <v>#REF!</v>
      </c>
      <c r="BP476" t="e">
        <f>AND(#REF!,"AAAAAF//f0M=")</f>
        <v>#REF!</v>
      </c>
      <c r="BQ476" t="e">
        <f>AND(#REF!,"AAAAAF//f0Q=")</f>
        <v>#REF!</v>
      </c>
      <c r="BR476" t="e">
        <f>AND(#REF!,"AAAAAF//f0U=")</f>
        <v>#REF!</v>
      </c>
      <c r="BS476" t="e">
        <f>AND(#REF!,"AAAAAF//f0Y=")</f>
        <v>#REF!</v>
      </c>
      <c r="BT476" t="e">
        <f>AND(#REF!,"AAAAAF//f0c=")</f>
        <v>#REF!</v>
      </c>
      <c r="BU476" t="e">
        <f>AND(#REF!,"AAAAAF//f0g=")</f>
        <v>#REF!</v>
      </c>
      <c r="BV476" t="e">
        <f>AND(#REF!,"AAAAAF//f0k=")</f>
        <v>#REF!</v>
      </c>
      <c r="BW476" t="e">
        <f>AND(#REF!,"AAAAAF//f0o=")</f>
        <v>#REF!</v>
      </c>
      <c r="BX476" t="e">
        <f>AND(#REF!,"AAAAAF//f0s=")</f>
        <v>#REF!</v>
      </c>
      <c r="BY476" t="e">
        <f>AND(#REF!,"AAAAAF//f0w=")</f>
        <v>#REF!</v>
      </c>
      <c r="BZ476" t="e">
        <f>AND(#REF!,"AAAAAF//f00=")</f>
        <v>#REF!</v>
      </c>
      <c r="CA476" t="e">
        <f>AND(#REF!,"AAAAAF//f04=")</f>
        <v>#REF!</v>
      </c>
      <c r="CB476" t="e">
        <f>AND(#REF!,"AAAAAF//f08=")</f>
        <v>#REF!</v>
      </c>
      <c r="CC476" t="e">
        <f>AND(#REF!,"AAAAAF//f1A=")</f>
        <v>#REF!</v>
      </c>
      <c r="CD476" t="e">
        <f>AND(#REF!,"AAAAAF//f1E=")</f>
        <v>#REF!</v>
      </c>
      <c r="CE476" t="e">
        <f>AND(#REF!,"AAAAAF//f1I=")</f>
        <v>#REF!</v>
      </c>
      <c r="CF476" t="e">
        <f>AND(#REF!,"AAAAAF//f1M=")</f>
        <v>#REF!</v>
      </c>
      <c r="CG476" t="e">
        <f>AND(#REF!,"AAAAAF//f1Q=")</f>
        <v>#REF!</v>
      </c>
      <c r="CH476" t="e">
        <f>IF(#REF!,"AAAAAF//f1U=",0)</f>
        <v>#REF!</v>
      </c>
      <c r="CI476" t="e">
        <f>AND(#REF!,"AAAAAF//f1Y=")</f>
        <v>#REF!</v>
      </c>
      <c r="CJ476" t="e">
        <f>AND(#REF!,"AAAAAF//f1c=")</f>
        <v>#REF!</v>
      </c>
      <c r="CK476" t="e">
        <f>AND(#REF!,"AAAAAF//f1g=")</f>
        <v>#REF!</v>
      </c>
      <c r="CL476" t="e">
        <f>AND(#REF!,"AAAAAF//f1k=")</f>
        <v>#REF!</v>
      </c>
      <c r="CM476" t="e">
        <f>AND(#REF!,"AAAAAF//f1o=")</f>
        <v>#REF!</v>
      </c>
      <c r="CN476" t="e">
        <f>AND(#REF!,"AAAAAF//f1s=")</f>
        <v>#REF!</v>
      </c>
      <c r="CO476" t="e">
        <f>AND(#REF!,"AAAAAF//f1w=")</f>
        <v>#REF!</v>
      </c>
      <c r="CP476" t="e">
        <f>AND(#REF!,"AAAAAF//f10=")</f>
        <v>#REF!</v>
      </c>
      <c r="CQ476" t="e">
        <f>AND(#REF!,"AAAAAF//f14=")</f>
        <v>#REF!</v>
      </c>
      <c r="CR476" t="e">
        <f>AND(#REF!,"AAAAAF//f18=")</f>
        <v>#REF!</v>
      </c>
      <c r="CS476" t="e">
        <f>AND(#REF!,"AAAAAF//f2A=")</f>
        <v>#REF!</v>
      </c>
      <c r="CT476" t="e">
        <f>AND(#REF!,"AAAAAF//f2E=")</f>
        <v>#REF!</v>
      </c>
      <c r="CU476" t="e">
        <f>AND(#REF!,"AAAAAF//f2I=")</f>
        <v>#REF!</v>
      </c>
      <c r="CV476" t="e">
        <f>AND(#REF!,"AAAAAF//f2M=")</f>
        <v>#REF!</v>
      </c>
      <c r="CW476" t="e">
        <f>AND(#REF!,"AAAAAF//f2Q=")</f>
        <v>#REF!</v>
      </c>
      <c r="CX476" t="e">
        <f>AND(#REF!,"AAAAAF//f2U=")</f>
        <v>#REF!</v>
      </c>
      <c r="CY476" t="e">
        <f>AND(#REF!,"AAAAAF//f2Y=")</f>
        <v>#REF!</v>
      </c>
      <c r="CZ476" t="e">
        <f>AND(#REF!,"AAAAAF//f2c=")</f>
        <v>#REF!</v>
      </c>
      <c r="DA476" t="e">
        <f>AND(#REF!,"AAAAAF//f2g=")</f>
        <v>#REF!</v>
      </c>
      <c r="DB476" t="e">
        <f>AND(#REF!,"AAAAAF//f2k=")</f>
        <v>#REF!</v>
      </c>
      <c r="DC476" t="e">
        <f>AND(#REF!,"AAAAAF//f2o=")</f>
        <v>#REF!</v>
      </c>
      <c r="DD476" t="e">
        <f>AND(#REF!,"AAAAAF//f2s=")</f>
        <v>#REF!</v>
      </c>
      <c r="DE476" t="e">
        <f>AND(#REF!,"AAAAAF//f2w=")</f>
        <v>#REF!</v>
      </c>
      <c r="DF476" t="e">
        <f>AND(#REF!,"AAAAAF//f20=")</f>
        <v>#REF!</v>
      </c>
      <c r="DG476" t="e">
        <f>IF(#REF!,"AAAAAF//f24=",0)</f>
        <v>#REF!</v>
      </c>
      <c r="DH476" t="e">
        <f>AND(#REF!,"AAAAAF//f28=")</f>
        <v>#REF!</v>
      </c>
      <c r="DI476" t="e">
        <f>AND(#REF!,"AAAAAF//f3A=")</f>
        <v>#REF!</v>
      </c>
      <c r="DJ476" t="e">
        <f>AND(#REF!,"AAAAAF//f3E=")</f>
        <v>#REF!</v>
      </c>
      <c r="DK476" t="e">
        <f>AND(#REF!,"AAAAAF//f3I=")</f>
        <v>#REF!</v>
      </c>
      <c r="DL476" t="e">
        <f>AND(#REF!,"AAAAAF//f3M=")</f>
        <v>#REF!</v>
      </c>
      <c r="DM476" t="e">
        <f>AND(#REF!,"AAAAAF//f3Q=")</f>
        <v>#REF!</v>
      </c>
      <c r="DN476" t="e">
        <f>AND(#REF!,"AAAAAF//f3U=")</f>
        <v>#REF!</v>
      </c>
      <c r="DO476" t="e">
        <f>AND(#REF!,"AAAAAF//f3Y=")</f>
        <v>#REF!</v>
      </c>
      <c r="DP476" t="e">
        <f>AND(#REF!,"AAAAAF//f3c=")</f>
        <v>#REF!</v>
      </c>
      <c r="DQ476" t="e">
        <f>AND(#REF!,"AAAAAF//f3g=")</f>
        <v>#REF!</v>
      </c>
      <c r="DR476" t="e">
        <f>AND(#REF!,"AAAAAF//f3k=")</f>
        <v>#REF!</v>
      </c>
      <c r="DS476" t="e">
        <f>AND(#REF!,"AAAAAF//f3o=")</f>
        <v>#REF!</v>
      </c>
      <c r="DT476" t="e">
        <f>AND(#REF!,"AAAAAF//f3s=")</f>
        <v>#REF!</v>
      </c>
      <c r="DU476" t="e">
        <f>AND(#REF!,"AAAAAF//f3w=")</f>
        <v>#REF!</v>
      </c>
      <c r="DV476" t="e">
        <f>AND(#REF!,"AAAAAF//f30=")</f>
        <v>#REF!</v>
      </c>
      <c r="DW476" t="e">
        <f>AND(#REF!,"AAAAAF//f34=")</f>
        <v>#REF!</v>
      </c>
      <c r="DX476" t="e">
        <f>AND(#REF!,"AAAAAF//f38=")</f>
        <v>#REF!</v>
      </c>
      <c r="DY476" t="e">
        <f>AND(#REF!,"AAAAAF//f4A=")</f>
        <v>#REF!</v>
      </c>
      <c r="DZ476" t="e">
        <f>AND(#REF!,"AAAAAF//f4E=")</f>
        <v>#REF!</v>
      </c>
      <c r="EA476" t="e">
        <f>AND(#REF!,"AAAAAF//f4I=")</f>
        <v>#REF!</v>
      </c>
      <c r="EB476" t="e">
        <f>AND(#REF!,"AAAAAF//f4M=")</f>
        <v>#REF!</v>
      </c>
      <c r="EC476" t="e">
        <f>AND(#REF!,"AAAAAF//f4Q=")</f>
        <v>#REF!</v>
      </c>
      <c r="ED476" t="e">
        <f>AND(#REF!,"AAAAAF//f4U=")</f>
        <v>#REF!</v>
      </c>
      <c r="EE476" t="e">
        <f>AND(#REF!,"AAAAAF//f4Y=")</f>
        <v>#REF!</v>
      </c>
      <c r="EF476" t="e">
        <f>IF(#REF!,"AAAAAF//f4c=",0)</f>
        <v>#REF!</v>
      </c>
      <c r="EG476" t="e">
        <f>AND(#REF!,"AAAAAF//f4g=")</f>
        <v>#REF!</v>
      </c>
      <c r="EH476" t="e">
        <f>AND(#REF!,"AAAAAF//f4k=")</f>
        <v>#REF!</v>
      </c>
      <c r="EI476" t="e">
        <f>AND(#REF!,"AAAAAF//f4o=")</f>
        <v>#REF!</v>
      </c>
      <c r="EJ476" t="e">
        <f>AND(#REF!,"AAAAAF//f4s=")</f>
        <v>#REF!</v>
      </c>
      <c r="EK476" t="e">
        <f>AND(#REF!,"AAAAAF//f4w=")</f>
        <v>#REF!</v>
      </c>
      <c r="EL476" t="e">
        <f>AND(#REF!,"AAAAAF//f40=")</f>
        <v>#REF!</v>
      </c>
      <c r="EM476" t="e">
        <f>AND(#REF!,"AAAAAF//f44=")</f>
        <v>#REF!</v>
      </c>
      <c r="EN476" t="e">
        <f>AND(#REF!,"AAAAAF//f48=")</f>
        <v>#REF!</v>
      </c>
      <c r="EO476" t="e">
        <f>AND(#REF!,"AAAAAF//f5A=")</f>
        <v>#REF!</v>
      </c>
      <c r="EP476" t="e">
        <f>AND(#REF!,"AAAAAF//f5E=")</f>
        <v>#REF!</v>
      </c>
      <c r="EQ476" t="e">
        <f>AND(#REF!,"AAAAAF//f5I=")</f>
        <v>#REF!</v>
      </c>
      <c r="ER476" t="e">
        <f>AND(#REF!,"AAAAAF//f5M=")</f>
        <v>#REF!</v>
      </c>
      <c r="ES476" t="e">
        <f>AND(#REF!,"AAAAAF//f5Q=")</f>
        <v>#REF!</v>
      </c>
      <c r="ET476" t="e">
        <f>AND(#REF!,"AAAAAF//f5U=")</f>
        <v>#REF!</v>
      </c>
      <c r="EU476" t="e">
        <f>AND(#REF!,"AAAAAF//f5Y=")</f>
        <v>#REF!</v>
      </c>
      <c r="EV476" t="e">
        <f>AND(#REF!,"AAAAAF//f5c=")</f>
        <v>#REF!</v>
      </c>
      <c r="EW476" t="e">
        <f>AND(#REF!,"AAAAAF//f5g=")</f>
        <v>#REF!</v>
      </c>
      <c r="EX476" t="e">
        <f>AND(#REF!,"AAAAAF//f5k=")</f>
        <v>#REF!</v>
      </c>
      <c r="EY476" t="e">
        <f>AND(#REF!,"AAAAAF//f5o=")</f>
        <v>#REF!</v>
      </c>
      <c r="EZ476" t="e">
        <f>AND(#REF!,"AAAAAF//f5s=")</f>
        <v>#REF!</v>
      </c>
      <c r="FA476" t="e">
        <f>AND(#REF!,"AAAAAF//f5w=")</f>
        <v>#REF!</v>
      </c>
      <c r="FB476" t="e">
        <f>AND(#REF!,"AAAAAF//f50=")</f>
        <v>#REF!</v>
      </c>
      <c r="FC476" t="e">
        <f>AND(#REF!,"AAAAAF//f54=")</f>
        <v>#REF!</v>
      </c>
      <c r="FD476" t="e">
        <f>AND(#REF!,"AAAAAF//f58=")</f>
        <v>#REF!</v>
      </c>
      <c r="FE476" t="e">
        <f>IF(#REF!,"AAAAAF//f6A=",0)</f>
        <v>#REF!</v>
      </c>
      <c r="FF476" t="e">
        <f>AND(#REF!,"AAAAAF//f6E=")</f>
        <v>#REF!</v>
      </c>
      <c r="FG476" t="e">
        <f>AND(#REF!,"AAAAAF//f6I=")</f>
        <v>#REF!</v>
      </c>
      <c r="FH476" t="e">
        <f>AND(#REF!,"AAAAAF//f6M=")</f>
        <v>#REF!</v>
      </c>
      <c r="FI476" t="e">
        <f>AND(#REF!,"AAAAAF//f6Q=")</f>
        <v>#REF!</v>
      </c>
      <c r="FJ476" t="e">
        <f>AND(#REF!,"AAAAAF//f6U=")</f>
        <v>#REF!</v>
      </c>
      <c r="FK476" t="e">
        <f>AND(#REF!,"AAAAAF//f6Y=")</f>
        <v>#REF!</v>
      </c>
      <c r="FL476" t="e">
        <f>AND(#REF!,"AAAAAF//f6c=")</f>
        <v>#REF!</v>
      </c>
      <c r="FM476" t="e">
        <f>AND(#REF!,"AAAAAF//f6g=")</f>
        <v>#REF!</v>
      </c>
      <c r="FN476" t="e">
        <f>AND(#REF!,"AAAAAF//f6k=")</f>
        <v>#REF!</v>
      </c>
      <c r="FO476" t="e">
        <f>AND(#REF!,"AAAAAF//f6o=")</f>
        <v>#REF!</v>
      </c>
      <c r="FP476" t="e">
        <f>AND(#REF!,"AAAAAF//f6s=")</f>
        <v>#REF!</v>
      </c>
      <c r="FQ476" t="e">
        <f>AND(#REF!,"AAAAAF//f6w=")</f>
        <v>#REF!</v>
      </c>
      <c r="FR476" t="e">
        <f>AND(#REF!,"AAAAAF//f60=")</f>
        <v>#REF!</v>
      </c>
      <c r="FS476" t="e">
        <f>AND(#REF!,"AAAAAF//f64=")</f>
        <v>#REF!</v>
      </c>
      <c r="FT476" t="e">
        <f>AND(#REF!,"AAAAAF//f68=")</f>
        <v>#REF!</v>
      </c>
      <c r="FU476" t="e">
        <f>AND(#REF!,"AAAAAF//f7A=")</f>
        <v>#REF!</v>
      </c>
      <c r="FV476" t="e">
        <f>AND(#REF!,"AAAAAF//f7E=")</f>
        <v>#REF!</v>
      </c>
      <c r="FW476" t="e">
        <f>AND(#REF!,"AAAAAF//f7I=")</f>
        <v>#REF!</v>
      </c>
      <c r="FX476" t="e">
        <f>AND(#REF!,"AAAAAF//f7M=")</f>
        <v>#REF!</v>
      </c>
      <c r="FY476" t="e">
        <f>AND(#REF!,"AAAAAF//f7Q=")</f>
        <v>#REF!</v>
      </c>
      <c r="FZ476" t="e">
        <f>AND(#REF!,"AAAAAF//f7U=")</f>
        <v>#REF!</v>
      </c>
      <c r="GA476" t="e">
        <f>AND(#REF!,"AAAAAF//f7Y=")</f>
        <v>#REF!</v>
      </c>
      <c r="GB476" t="e">
        <f>AND(#REF!,"AAAAAF//f7c=")</f>
        <v>#REF!</v>
      </c>
      <c r="GC476" t="e">
        <f>AND(#REF!,"AAAAAF//f7g=")</f>
        <v>#REF!</v>
      </c>
      <c r="GD476" t="e">
        <f>IF(#REF!,"AAAAAF//f7k=",0)</f>
        <v>#REF!</v>
      </c>
      <c r="GE476" t="e">
        <f>AND(#REF!,"AAAAAF//f7o=")</f>
        <v>#REF!</v>
      </c>
      <c r="GF476" t="e">
        <f>AND(#REF!,"AAAAAF//f7s=")</f>
        <v>#REF!</v>
      </c>
      <c r="GG476" t="e">
        <f>AND(#REF!,"AAAAAF//f7w=")</f>
        <v>#REF!</v>
      </c>
      <c r="GH476" t="e">
        <f>AND(#REF!,"AAAAAF//f70=")</f>
        <v>#REF!</v>
      </c>
      <c r="GI476" t="e">
        <f>AND(#REF!,"AAAAAF//f74=")</f>
        <v>#REF!</v>
      </c>
      <c r="GJ476" t="e">
        <f>AND(#REF!,"AAAAAF//f78=")</f>
        <v>#REF!</v>
      </c>
      <c r="GK476" t="e">
        <f>AND(#REF!,"AAAAAF//f8A=")</f>
        <v>#REF!</v>
      </c>
      <c r="GL476" t="e">
        <f>AND(#REF!,"AAAAAF//f8E=")</f>
        <v>#REF!</v>
      </c>
      <c r="GM476" t="e">
        <f>AND(#REF!,"AAAAAF//f8I=")</f>
        <v>#REF!</v>
      </c>
      <c r="GN476" t="e">
        <f>AND(#REF!,"AAAAAF//f8M=")</f>
        <v>#REF!</v>
      </c>
      <c r="GO476" t="e">
        <f>AND(#REF!,"AAAAAF//f8Q=")</f>
        <v>#REF!</v>
      </c>
      <c r="GP476" t="e">
        <f>AND(#REF!,"AAAAAF//f8U=")</f>
        <v>#REF!</v>
      </c>
      <c r="GQ476" t="e">
        <f>AND(#REF!,"AAAAAF//f8Y=")</f>
        <v>#REF!</v>
      </c>
      <c r="GR476" t="e">
        <f>AND(#REF!,"AAAAAF//f8c=")</f>
        <v>#REF!</v>
      </c>
      <c r="GS476" t="e">
        <f>AND(#REF!,"AAAAAF//f8g=")</f>
        <v>#REF!</v>
      </c>
      <c r="GT476" t="e">
        <f>AND(#REF!,"AAAAAF//f8k=")</f>
        <v>#REF!</v>
      </c>
      <c r="GU476" t="e">
        <f>AND(#REF!,"AAAAAF//f8o=")</f>
        <v>#REF!</v>
      </c>
      <c r="GV476" t="e">
        <f>AND(#REF!,"AAAAAF//f8s=")</f>
        <v>#REF!</v>
      </c>
      <c r="GW476" t="e">
        <f>AND(#REF!,"AAAAAF//f8w=")</f>
        <v>#REF!</v>
      </c>
      <c r="GX476" t="e">
        <f>AND(#REF!,"AAAAAF//f80=")</f>
        <v>#REF!</v>
      </c>
      <c r="GY476" t="e">
        <f>AND(#REF!,"AAAAAF//f84=")</f>
        <v>#REF!</v>
      </c>
      <c r="GZ476" t="e">
        <f>AND(#REF!,"AAAAAF//f88=")</f>
        <v>#REF!</v>
      </c>
      <c r="HA476" t="e">
        <f>AND(#REF!,"AAAAAF//f9A=")</f>
        <v>#REF!</v>
      </c>
      <c r="HB476" t="e">
        <f>AND(#REF!,"AAAAAF//f9E=")</f>
        <v>#REF!</v>
      </c>
      <c r="HC476" t="e">
        <f>IF(#REF!,"AAAAAF//f9I=",0)</f>
        <v>#REF!</v>
      </c>
      <c r="HD476" t="e">
        <f>AND(#REF!,"AAAAAF//f9M=")</f>
        <v>#REF!</v>
      </c>
      <c r="HE476" t="e">
        <f>AND(#REF!,"AAAAAF//f9Q=")</f>
        <v>#REF!</v>
      </c>
      <c r="HF476" t="e">
        <f>AND(#REF!,"AAAAAF//f9U=")</f>
        <v>#REF!</v>
      </c>
      <c r="HG476" t="e">
        <f>AND(#REF!,"AAAAAF//f9Y=")</f>
        <v>#REF!</v>
      </c>
      <c r="HH476" t="e">
        <f>AND(#REF!,"AAAAAF//f9c=")</f>
        <v>#REF!</v>
      </c>
      <c r="HI476" t="e">
        <f>AND(#REF!,"AAAAAF//f9g=")</f>
        <v>#REF!</v>
      </c>
      <c r="HJ476" t="e">
        <f>AND(#REF!,"AAAAAF//f9k=")</f>
        <v>#REF!</v>
      </c>
      <c r="HK476" t="e">
        <f>AND(#REF!,"AAAAAF//f9o=")</f>
        <v>#REF!</v>
      </c>
      <c r="HL476" t="e">
        <f>AND(#REF!,"AAAAAF//f9s=")</f>
        <v>#REF!</v>
      </c>
      <c r="HM476" t="e">
        <f>AND(#REF!,"AAAAAF//f9w=")</f>
        <v>#REF!</v>
      </c>
      <c r="HN476" t="e">
        <f>AND(#REF!,"AAAAAF//f90=")</f>
        <v>#REF!</v>
      </c>
      <c r="HO476" t="e">
        <f>AND(#REF!,"AAAAAF//f94=")</f>
        <v>#REF!</v>
      </c>
      <c r="HP476" t="e">
        <f>AND(#REF!,"AAAAAF//f98=")</f>
        <v>#REF!</v>
      </c>
      <c r="HQ476" t="e">
        <f>AND(#REF!,"AAAAAF//f+A=")</f>
        <v>#REF!</v>
      </c>
      <c r="HR476" t="e">
        <f>AND(#REF!,"AAAAAF//f+E=")</f>
        <v>#REF!</v>
      </c>
      <c r="HS476" t="e">
        <f>AND(#REF!,"AAAAAF//f+I=")</f>
        <v>#REF!</v>
      </c>
      <c r="HT476" t="e">
        <f>AND(#REF!,"AAAAAF//f+M=")</f>
        <v>#REF!</v>
      </c>
      <c r="HU476" t="e">
        <f>AND(#REF!,"AAAAAF//f+Q=")</f>
        <v>#REF!</v>
      </c>
      <c r="HV476" t="e">
        <f>AND(#REF!,"AAAAAF//f+U=")</f>
        <v>#REF!</v>
      </c>
      <c r="HW476" t="e">
        <f>AND(#REF!,"AAAAAF//f+Y=")</f>
        <v>#REF!</v>
      </c>
      <c r="HX476" t="e">
        <f>AND(#REF!,"AAAAAF//f+c=")</f>
        <v>#REF!</v>
      </c>
      <c r="HY476" t="e">
        <f>AND(#REF!,"AAAAAF//f+g=")</f>
        <v>#REF!</v>
      </c>
      <c r="HZ476" t="e">
        <f>AND(#REF!,"AAAAAF//f+k=")</f>
        <v>#REF!</v>
      </c>
      <c r="IA476" t="e">
        <f>AND(#REF!,"AAAAAF//f+o=")</f>
        <v>#REF!</v>
      </c>
      <c r="IB476" t="e">
        <f>IF(#REF!,"AAAAAF//f+s=",0)</f>
        <v>#REF!</v>
      </c>
      <c r="IC476" t="e">
        <f>AND(#REF!,"AAAAAF//f+w=")</f>
        <v>#REF!</v>
      </c>
      <c r="ID476" t="e">
        <f>AND(#REF!,"AAAAAF//f+0=")</f>
        <v>#REF!</v>
      </c>
      <c r="IE476" t="e">
        <f>AND(#REF!,"AAAAAF//f+4=")</f>
        <v>#REF!</v>
      </c>
      <c r="IF476" t="e">
        <f>AND(#REF!,"AAAAAF//f+8=")</f>
        <v>#REF!</v>
      </c>
      <c r="IG476" t="e">
        <f>AND(#REF!,"AAAAAF//f/A=")</f>
        <v>#REF!</v>
      </c>
      <c r="IH476" t="e">
        <f>AND(#REF!,"AAAAAF//f/E=")</f>
        <v>#REF!</v>
      </c>
      <c r="II476" t="e">
        <f>AND(#REF!,"AAAAAF//f/I=")</f>
        <v>#REF!</v>
      </c>
      <c r="IJ476" t="e">
        <f>AND(#REF!,"AAAAAF//f/M=")</f>
        <v>#REF!</v>
      </c>
      <c r="IK476" t="e">
        <f>AND(#REF!,"AAAAAF//f/Q=")</f>
        <v>#REF!</v>
      </c>
      <c r="IL476" t="e">
        <f>AND(#REF!,"AAAAAF//f/U=")</f>
        <v>#REF!</v>
      </c>
      <c r="IM476" t="e">
        <f>AND(#REF!,"AAAAAF//f/Y=")</f>
        <v>#REF!</v>
      </c>
      <c r="IN476" t="e">
        <f>AND(#REF!,"AAAAAF//f/c=")</f>
        <v>#REF!</v>
      </c>
      <c r="IO476" t="e">
        <f>AND(#REF!,"AAAAAF//f/g=")</f>
        <v>#REF!</v>
      </c>
      <c r="IP476" t="e">
        <f>AND(#REF!,"AAAAAF//f/k=")</f>
        <v>#REF!</v>
      </c>
      <c r="IQ476" t="e">
        <f>AND(#REF!,"AAAAAF//f/o=")</f>
        <v>#REF!</v>
      </c>
      <c r="IR476" t="e">
        <f>AND(#REF!,"AAAAAF//f/s=")</f>
        <v>#REF!</v>
      </c>
      <c r="IS476" t="e">
        <f>AND(#REF!,"AAAAAF//f/w=")</f>
        <v>#REF!</v>
      </c>
      <c r="IT476" t="e">
        <f>AND(#REF!,"AAAAAF//f/0=")</f>
        <v>#REF!</v>
      </c>
      <c r="IU476" t="e">
        <f>AND(#REF!,"AAAAAF//f/4=")</f>
        <v>#REF!</v>
      </c>
      <c r="IV476" t="e">
        <f>AND(#REF!,"AAAAAF//f/8=")</f>
        <v>#REF!</v>
      </c>
    </row>
    <row r="477" spans="1:256">
      <c r="A477" t="e">
        <f>AND(#REF!,"AAAAAH9f9AA=")</f>
        <v>#REF!</v>
      </c>
      <c r="B477" t="e">
        <f>AND(#REF!,"AAAAAH9f9AE=")</f>
        <v>#REF!</v>
      </c>
      <c r="C477" t="e">
        <f>AND(#REF!,"AAAAAH9f9AI=")</f>
        <v>#REF!</v>
      </c>
      <c r="D477" t="e">
        <f>AND(#REF!,"AAAAAH9f9AM=")</f>
        <v>#REF!</v>
      </c>
      <c r="E477" t="e">
        <f>IF(#REF!,"AAAAAH9f9AQ=",0)</f>
        <v>#REF!</v>
      </c>
      <c r="F477" t="e">
        <f>AND(#REF!,"AAAAAH9f9AU=")</f>
        <v>#REF!</v>
      </c>
      <c r="G477" t="e">
        <f>AND(#REF!,"AAAAAH9f9AY=")</f>
        <v>#REF!</v>
      </c>
      <c r="H477" t="e">
        <f>AND(#REF!,"AAAAAH9f9Ac=")</f>
        <v>#REF!</v>
      </c>
      <c r="I477" t="e">
        <f>AND(#REF!,"AAAAAH9f9Ag=")</f>
        <v>#REF!</v>
      </c>
      <c r="J477" t="e">
        <f>AND(#REF!,"AAAAAH9f9Ak=")</f>
        <v>#REF!</v>
      </c>
      <c r="K477" t="e">
        <f>AND(#REF!,"AAAAAH9f9Ao=")</f>
        <v>#REF!</v>
      </c>
      <c r="L477" t="e">
        <f>AND(#REF!,"AAAAAH9f9As=")</f>
        <v>#REF!</v>
      </c>
      <c r="M477" t="e">
        <f>AND(#REF!,"AAAAAH9f9Aw=")</f>
        <v>#REF!</v>
      </c>
      <c r="N477" t="e">
        <f>AND(#REF!,"AAAAAH9f9A0=")</f>
        <v>#REF!</v>
      </c>
      <c r="O477" t="e">
        <f>AND(#REF!,"AAAAAH9f9A4=")</f>
        <v>#REF!</v>
      </c>
      <c r="P477" t="e">
        <f>AND(#REF!,"AAAAAH9f9A8=")</f>
        <v>#REF!</v>
      </c>
      <c r="Q477" t="e">
        <f>AND(#REF!,"AAAAAH9f9BA=")</f>
        <v>#REF!</v>
      </c>
      <c r="R477" t="e">
        <f>AND(#REF!,"AAAAAH9f9BE=")</f>
        <v>#REF!</v>
      </c>
      <c r="S477" t="e">
        <f>AND(#REF!,"AAAAAH9f9BI=")</f>
        <v>#REF!</v>
      </c>
      <c r="T477" t="e">
        <f>AND(#REF!,"AAAAAH9f9BM=")</f>
        <v>#REF!</v>
      </c>
      <c r="U477" t="e">
        <f>AND(#REF!,"AAAAAH9f9BQ=")</f>
        <v>#REF!</v>
      </c>
      <c r="V477" t="e">
        <f>AND(#REF!,"AAAAAH9f9BU=")</f>
        <v>#REF!</v>
      </c>
      <c r="W477" t="e">
        <f>AND(#REF!,"AAAAAH9f9BY=")</f>
        <v>#REF!</v>
      </c>
      <c r="X477" t="e">
        <f>AND(#REF!,"AAAAAH9f9Bc=")</f>
        <v>#REF!</v>
      </c>
      <c r="Y477" t="e">
        <f>AND(#REF!,"AAAAAH9f9Bg=")</f>
        <v>#REF!</v>
      </c>
      <c r="Z477" t="e">
        <f>AND(#REF!,"AAAAAH9f9Bk=")</f>
        <v>#REF!</v>
      </c>
      <c r="AA477" t="e">
        <f>AND(#REF!,"AAAAAH9f9Bo=")</f>
        <v>#REF!</v>
      </c>
      <c r="AB477" t="e">
        <f>AND(#REF!,"AAAAAH9f9Bs=")</f>
        <v>#REF!</v>
      </c>
      <c r="AC477" t="e">
        <f>AND(#REF!,"AAAAAH9f9Bw=")</f>
        <v>#REF!</v>
      </c>
      <c r="AD477" t="e">
        <f>IF(#REF!,"AAAAAH9f9B0=",0)</f>
        <v>#REF!</v>
      </c>
      <c r="AE477" t="e">
        <f>AND(#REF!,"AAAAAH9f9B4=")</f>
        <v>#REF!</v>
      </c>
      <c r="AF477" t="e">
        <f>AND(#REF!,"AAAAAH9f9B8=")</f>
        <v>#REF!</v>
      </c>
      <c r="AG477" t="e">
        <f>AND(#REF!,"AAAAAH9f9CA=")</f>
        <v>#REF!</v>
      </c>
      <c r="AH477" t="e">
        <f>AND(#REF!,"AAAAAH9f9CE=")</f>
        <v>#REF!</v>
      </c>
      <c r="AI477" t="e">
        <f>AND(#REF!,"AAAAAH9f9CI=")</f>
        <v>#REF!</v>
      </c>
      <c r="AJ477" t="e">
        <f>AND(#REF!,"AAAAAH9f9CM=")</f>
        <v>#REF!</v>
      </c>
      <c r="AK477" t="e">
        <f>AND(#REF!,"AAAAAH9f9CQ=")</f>
        <v>#REF!</v>
      </c>
      <c r="AL477" t="e">
        <f>AND(#REF!,"AAAAAH9f9CU=")</f>
        <v>#REF!</v>
      </c>
      <c r="AM477" t="e">
        <f>AND(#REF!,"AAAAAH9f9CY=")</f>
        <v>#REF!</v>
      </c>
      <c r="AN477" t="e">
        <f>AND(#REF!,"AAAAAH9f9Cc=")</f>
        <v>#REF!</v>
      </c>
      <c r="AO477" t="e">
        <f>AND(#REF!,"AAAAAH9f9Cg=")</f>
        <v>#REF!</v>
      </c>
      <c r="AP477" t="e">
        <f>AND(#REF!,"AAAAAH9f9Ck=")</f>
        <v>#REF!</v>
      </c>
      <c r="AQ477" t="e">
        <f>AND(#REF!,"AAAAAH9f9Co=")</f>
        <v>#REF!</v>
      </c>
      <c r="AR477" t="e">
        <f>AND(#REF!,"AAAAAH9f9Cs=")</f>
        <v>#REF!</v>
      </c>
      <c r="AS477" t="e">
        <f>AND(#REF!,"AAAAAH9f9Cw=")</f>
        <v>#REF!</v>
      </c>
      <c r="AT477" t="e">
        <f>AND(#REF!,"AAAAAH9f9C0=")</f>
        <v>#REF!</v>
      </c>
      <c r="AU477" t="e">
        <f>AND(#REF!,"AAAAAH9f9C4=")</f>
        <v>#REF!</v>
      </c>
      <c r="AV477" t="e">
        <f>AND(#REF!,"AAAAAH9f9C8=")</f>
        <v>#REF!</v>
      </c>
      <c r="AW477" t="e">
        <f>AND(#REF!,"AAAAAH9f9DA=")</f>
        <v>#REF!</v>
      </c>
      <c r="AX477" t="e">
        <f>AND(#REF!,"AAAAAH9f9DE=")</f>
        <v>#REF!</v>
      </c>
      <c r="AY477" t="e">
        <f>AND(#REF!,"AAAAAH9f9DI=")</f>
        <v>#REF!</v>
      </c>
      <c r="AZ477" t="e">
        <f>AND(#REF!,"AAAAAH9f9DM=")</f>
        <v>#REF!</v>
      </c>
      <c r="BA477" t="e">
        <f>AND(#REF!,"AAAAAH9f9DQ=")</f>
        <v>#REF!</v>
      </c>
      <c r="BB477" t="e">
        <f>AND(#REF!,"AAAAAH9f9DU=")</f>
        <v>#REF!</v>
      </c>
      <c r="BC477" t="e">
        <f>IF(#REF!,"AAAAAH9f9DY=",0)</f>
        <v>#REF!</v>
      </c>
      <c r="BD477" t="e">
        <f>AND(#REF!,"AAAAAH9f9Dc=")</f>
        <v>#REF!</v>
      </c>
      <c r="BE477" t="e">
        <f>AND(#REF!,"AAAAAH9f9Dg=")</f>
        <v>#REF!</v>
      </c>
      <c r="BF477" t="e">
        <f>AND(#REF!,"AAAAAH9f9Dk=")</f>
        <v>#REF!</v>
      </c>
      <c r="BG477" t="e">
        <f>AND(#REF!,"AAAAAH9f9Do=")</f>
        <v>#REF!</v>
      </c>
      <c r="BH477" t="e">
        <f>AND(#REF!,"AAAAAH9f9Ds=")</f>
        <v>#REF!</v>
      </c>
      <c r="BI477" t="e">
        <f>AND(#REF!,"AAAAAH9f9Dw=")</f>
        <v>#REF!</v>
      </c>
      <c r="BJ477" t="e">
        <f>AND(#REF!,"AAAAAH9f9D0=")</f>
        <v>#REF!</v>
      </c>
      <c r="BK477" t="e">
        <f>AND(#REF!,"AAAAAH9f9D4=")</f>
        <v>#REF!</v>
      </c>
      <c r="BL477" t="e">
        <f>AND(#REF!,"AAAAAH9f9D8=")</f>
        <v>#REF!</v>
      </c>
      <c r="BM477" t="e">
        <f>AND(#REF!,"AAAAAH9f9EA=")</f>
        <v>#REF!</v>
      </c>
      <c r="BN477" t="e">
        <f>AND(#REF!,"AAAAAH9f9EE=")</f>
        <v>#REF!</v>
      </c>
      <c r="BO477" t="e">
        <f>AND(#REF!,"AAAAAH9f9EI=")</f>
        <v>#REF!</v>
      </c>
      <c r="BP477" t="e">
        <f>AND(#REF!,"AAAAAH9f9EM=")</f>
        <v>#REF!</v>
      </c>
      <c r="BQ477" t="e">
        <f>AND(#REF!,"AAAAAH9f9EQ=")</f>
        <v>#REF!</v>
      </c>
      <c r="BR477" t="e">
        <f>AND(#REF!,"AAAAAH9f9EU=")</f>
        <v>#REF!</v>
      </c>
      <c r="BS477" t="e">
        <f>AND(#REF!,"AAAAAH9f9EY=")</f>
        <v>#REF!</v>
      </c>
      <c r="BT477" t="e">
        <f>AND(#REF!,"AAAAAH9f9Ec=")</f>
        <v>#REF!</v>
      </c>
      <c r="BU477" t="e">
        <f>AND(#REF!,"AAAAAH9f9Eg=")</f>
        <v>#REF!</v>
      </c>
      <c r="BV477" t="e">
        <f>AND(#REF!,"AAAAAH9f9Ek=")</f>
        <v>#REF!</v>
      </c>
      <c r="BW477" t="e">
        <f>AND(#REF!,"AAAAAH9f9Eo=")</f>
        <v>#REF!</v>
      </c>
      <c r="BX477" t="e">
        <f>AND(#REF!,"AAAAAH9f9Es=")</f>
        <v>#REF!</v>
      </c>
      <c r="BY477" t="e">
        <f>AND(#REF!,"AAAAAH9f9Ew=")</f>
        <v>#REF!</v>
      </c>
      <c r="BZ477" t="e">
        <f>AND(#REF!,"AAAAAH9f9E0=")</f>
        <v>#REF!</v>
      </c>
      <c r="CA477" t="e">
        <f>AND(#REF!,"AAAAAH9f9E4=")</f>
        <v>#REF!</v>
      </c>
      <c r="CB477" t="e">
        <f>IF(#REF!,"AAAAAH9f9E8=",0)</f>
        <v>#REF!</v>
      </c>
      <c r="CC477" t="e">
        <f>AND(#REF!,"AAAAAH9f9FA=")</f>
        <v>#REF!</v>
      </c>
      <c r="CD477" t="e">
        <f>AND(#REF!,"AAAAAH9f9FE=")</f>
        <v>#REF!</v>
      </c>
      <c r="CE477" t="e">
        <f>AND(#REF!,"AAAAAH9f9FI=")</f>
        <v>#REF!</v>
      </c>
      <c r="CF477" t="e">
        <f>AND(#REF!,"AAAAAH9f9FM=")</f>
        <v>#REF!</v>
      </c>
      <c r="CG477" t="e">
        <f>AND(#REF!,"AAAAAH9f9FQ=")</f>
        <v>#REF!</v>
      </c>
      <c r="CH477" t="e">
        <f>AND(#REF!,"AAAAAH9f9FU=")</f>
        <v>#REF!</v>
      </c>
      <c r="CI477" t="e">
        <f>AND(#REF!,"AAAAAH9f9FY=")</f>
        <v>#REF!</v>
      </c>
      <c r="CJ477" t="e">
        <f>AND(#REF!,"AAAAAH9f9Fc=")</f>
        <v>#REF!</v>
      </c>
      <c r="CK477" t="e">
        <f>AND(#REF!,"AAAAAH9f9Fg=")</f>
        <v>#REF!</v>
      </c>
      <c r="CL477" t="e">
        <f>AND(#REF!,"AAAAAH9f9Fk=")</f>
        <v>#REF!</v>
      </c>
      <c r="CM477" t="e">
        <f>AND(#REF!,"AAAAAH9f9Fo=")</f>
        <v>#REF!</v>
      </c>
      <c r="CN477" t="e">
        <f>AND(#REF!,"AAAAAH9f9Fs=")</f>
        <v>#REF!</v>
      </c>
      <c r="CO477" t="e">
        <f>AND(#REF!,"AAAAAH9f9Fw=")</f>
        <v>#REF!</v>
      </c>
      <c r="CP477" t="e">
        <f>AND(#REF!,"AAAAAH9f9F0=")</f>
        <v>#REF!</v>
      </c>
      <c r="CQ477" t="e">
        <f>AND(#REF!,"AAAAAH9f9F4=")</f>
        <v>#REF!</v>
      </c>
      <c r="CR477" t="e">
        <f>AND(#REF!,"AAAAAH9f9F8=")</f>
        <v>#REF!</v>
      </c>
      <c r="CS477" t="e">
        <f>AND(#REF!,"AAAAAH9f9GA=")</f>
        <v>#REF!</v>
      </c>
      <c r="CT477" t="e">
        <f>AND(#REF!,"AAAAAH9f9GE=")</f>
        <v>#REF!</v>
      </c>
      <c r="CU477" t="e">
        <f>AND(#REF!,"AAAAAH9f9GI=")</f>
        <v>#REF!</v>
      </c>
      <c r="CV477" t="e">
        <f>AND(#REF!,"AAAAAH9f9GM=")</f>
        <v>#REF!</v>
      </c>
      <c r="CW477" t="e">
        <f>AND(#REF!,"AAAAAH9f9GQ=")</f>
        <v>#REF!</v>
      </c>
      <c r="CX477" t="e">
        <f>AND(#REF!,"AAAAAH9f9GU=")</f>
        <v>#REF!</v>
      </c>
      <c r="CY477" t="e">
        <f>AND(#REF!,"AAAAAH9f9GY=")</f>
        <v>#REF!</v>
      </c>
      <c r="CZ477" t="e">
        <f>AND(#REF!,"AAAAAH9f9Gc=")</f>
        <v>#REF!</v>
      </c>
      <c r="DA477" t="e">
        <f>IF(#REF!,"AAAAAH9f9Gg=",0)</f>
        <v>#REF!</v>
      </c>
      <c r="DB477" t="e">
        <f>AND(#REF!,"AAAAAH9f9Gk=")</f>
        <v>#REF!</v>
      </c>
      <c r="DC477" t="e">
        <f>AND(#REF!,"AAAAAH9f9Go=")</f>
        <v>#REF!</v>
      </c>
      <c r="DD477" t="e">
        <f>AND(#REF!,"AAAAAH9f9Gs=")</f>
        <v>#REF!</v>
      </c>
      <c r="DE477" t="e">
        <f>AND(#REF!,"AAAAAH9f9Gw=")</f>
        <v>#REF!</v>
      </c>
      <c r="DF477" t="e">
        <f>AND(#REF!,"AAAAAH9f9G0=")</f>
        <v>#REF!</v>
      </c>
      <c r="DG477" t="e">
        <f>AND(#REF!,"AAAAAH9f9G4=")</f>
        <v>#REF!</v>
      </c>
      <c r="DH477" t="e">
        <f>AND(#REF!,"AAAAAH9f9G8=")</f>
        <v>#REF!</v>
      </c>
      <c r="DI477" t="e">
        <f>AND(#REF!,"AAAAAH9f9HA=")</f>
        <v>#REF!</v>
      </c>
      <c r="DJ477" t="e">
        <f>AND(#REF!,"AAAAAH9f9HE=")</f>
        <v>#REF!</v>
      </c>
      <c r="DK477" t="e">
        <f>AND(#REF!,"AAAAAH9f9HI=")</f>
        <v>#REF!</v>
      </c>
      <c r="DL477" t="e">
        <f>AND(#REF!,"AAAAAH9f9HM=")</f>
        <v>#REF!</v>
      </c>
      <c r="DM477" t="e">
        <f>AND(#REF!,"AAAAAH9f9HQ=")</f>
        <v>#REF!</v>
      </c>
      <c r="DN477" t="e">
        <f>AND(#REF!,"AAAAAH9f9HU=")</f>
        <v>#REF!</v>
      </c>
      <c r="DO477" t="e">
        <f>AND(#REF!,"AAAAAH9f9HY=")</f>
        <v>#REF!</v>
      </c>
      <c r="DP477" t="e">
        <f>AND(#REF!,"AAAAAH9f9Hc=")</f>
        <v>#REF!</v>
      </c>
      <c r="DQ477" t="e">
        <f>AND(#REF!,"AAAAAH9f9Hg=")</f>
        <v>#REF!</v>
      </c>
      <c r="DR477" t="e">
        <f>AND(#REF!,"AAAAAH9f9Hk=")</f>
        <v>#REF!</v>
      </c>
      <c r="DS477" t="e">
        <f>AND(#REF!,"AAAAAH9f9Ho=")</f>
        <v>#REF!</v>
      </c>
      <c r="DT477" t="e">
        <f>AND(#REF!,"AAAAAH9f9Hs=")</f>
        <v>#REF!</v>
      </c>
      <c r="DU477" t="e">
        <f>AND(#REF!,"AAAAAH9f9Hw=")</f>
        <v>#REF!</v>
      </c>
      <c r="DV477" t="e">
        <f>AND(#REF!,"AAAAAH9f9H0=")</f>
        <v>#REF!</v>
      </c>
      <c r="DW477" t="e">
        <f>AND(#REF!,"AAAAAH9f9H4=")</f>
        <v>#REF!</v>
      </c>
      <c r="DX477" t="e">
        <f>AND(#REF!,"AAAAAH9f9H8=")</f>
        <v>#REF!</v>
      </c>
      <c r="DY477" t="e">
        <f>AND(#REF!,"AAAAAH9f9IA=")</f>
        <v>#REF!</v>
      </c>
      <c r="DZ477" t="e">
        <f>IF(#REF!,"AAAAAH9f9IE=",0)</f>
        <v>#REF!</v>
      </c>
      <c r="EA477" t="e">
        <f>AND(#REF!,"AAAAAH9f9II=")</f>
        <v>#REF!</v>
      </c>
      <c r="EB477" t="e">
        <f>AND(#REF!,"AAAAAH9f9IM=")</f>
        <v>#REF!</v>
      </c>
      <c r="EC477" t="e">
        <f>AND(#REF!,"AAAAAH9f9IQ=")</f>
        <v>#REF!</v>
      </c>
      <c r="ED477" t="e">
        <f>AND(#REF!,"AAAAAH9f9IU=")</f>
        <v>#REF!</v>
      </c>
      <c r="EE477" t="e">
        <f>AND(#REF!,"AAAAAH9f9IY=")</f>
        <v>#REF!</v>
      </c>
      <c r="EF477" t="e">
        <f>AND(#REF!,"AAAAAH9f9Ic=")</f>
        <v>#REF!</v>
      </c>
      <c r="EG477" t="e">
        <f>AND(#REF!,"AAAAAH9f9Ig=")</f>
        <v>#REF!</v>
      </c>
      <c r="EH477" t="e">
        <f>AND(#REF!,"AAAAAH9f9Ik=")</f>
        <v>#REF!</v>
      </c>
      <c r="EI477" t="e">
        <f>AND(#REF!,"AAAAAH9f9Io=")</f>
        <v>#REF!</v>
      </c>
      <c r="EJ477" t="e">
        <f>AND(#REF!,"AAAAAH9f9Is=")</f>
        <v>#REF!</v>
      </c>
      <c r="EK477" t="e">
        <f>AND(#REF!,"AAAAAH9f9Iw=")</f>
        <v>#REF!</v>
      </c>
      <c r="EL477" t="e">
        <f>AND(#REF!,"AAAAAH9f9I0=")</f>
        <v>#REF!</v>
      </c>
      <c r="EM477" t="e">
        <f>AND(#REF!,"AAAAAH9f9I4=")</f>
        <v>#REF!</v>
      </c>
      <c r="EN477" t="e">
        <f>AND(#REF!,"AAAAAH9f9I8=")</f>
        <v>#REF!</v>
      </c>
      <c r="EO477" t="e">
        <f>AND(#REF!,"AAAAAH9f9JA=")</f>
        <v>#REF!</v>
      </c>
      <c r="EP477" t="e">
        <f>AND(#REF!,"AAAAAH9f9JE=")</f>
        <v>#REF!</v>
      </c>
      <c r="EQ477" t="e">
        <f>AND(#REF!,"AAAAAH9f9JI=")</f>
        <v>#REF!</v>
      </c>
      <c r="ER477" t="e">
        <f>AND(#REF!,"AAAAAH9f9JM=")</f>
        <v>#REF!</v>
      </c>
      <c r="ES477" t="e">
        <f>AND(#REF!,"AAAAAH9f9JQ=")</f>
        <v>#REF!</v>
      </c>
      <c r="ET477" t="e">
        <f>AND(#REF!,"AAAAAH9f9JU=")</f>
        <v>#REF!</v>
      </c>
      <c r="EU477" t="e">
        <f>AND(#REF!,"AAAAAH9f9JY=")</f>
        <v>#REF!</v>
      </c>
      <c r="EV477" t="e">
        <f>AND(#REF!,"AAAAAH9f9Jc=")</f>
        <v>#REF!</v>
      </c>
      <c r="EW477" t="e">
        <f>AND(#REF!,"AAAAAH9f9Jg=")</f>
        <v>#REF!</v>
      </c>
      <c r="EX477" t="e">
        <f>AND(#REF!,"AAAAAH9f9Jk=")</f>
        <v>#REF!</v>
      </c>
      <c r="EY477" t="e">
        <f>IF(#REF!,"AAAAAH9f9Jo=",0)</f>
        <v>#REF!</v>
      </c>
      <c r="EZ477" t="e">
        <f>AND(#REF!,"AAAAAH9f9Js=")</f>
        <v>#REF!</v>
      </c>
      <c r="FA477" t="e">
        <f>AND(#REF!,"AAAAAH9f9Jw=")</f>
        <v>#REF!</v>
      </c>
      <c r="FB477" t="e">
        <f>AND(#REF!,"AAAAAH9f9J0=")</f>
        <v>#REF!</v>
      </c>
      <c r="FC477" t="e">
        <f>AND(#REF!,"AAAAAH9f9J4=")</f>
        <v>#REF!</v>
      </c>
      <c r="FD477" t="e">
        <f>AND(#REF!,"AAAAAH9f9J8=")</f>
        <v>#REF!</v>
      </c>
      <c r="FE477" t="e">
        <f>AND(#REF!,"AAAAAH9f9KA=")</f>
        <v>#REF!</v>
      </c>
      <c r="FF477" t="e">
        <f>AND(#REF!,"AAAAAH9f9KE=")</f>
        <v>#REF!</v>
      </c>
      <c r="FG477" t="e">
        <f>AND(#REF!,"AAAAAH9f9KI=")</f>
        <v>#REF!</v>
      </c>
      <c r="FH477" t="e">
        <f>AND(#REF!,"AAAAAH9f9KM=")</f>
        <v>#REF!</v>
      </c>
      <c r="FI477" t="e">
        <f>AND(#REF!,"AAAAAH9f9KQ=")</f>
        <v>#REF!</v>
      </c>
      <c r="FJ477" t="e">
        <f>AND(#REF!,"AAAAAH9f9KU=")</f>
        <v>#REF!</v>
      </c>
      <c r="FK477" t="e">
        <f>AND(#REF!,"AAAAAH9f9KY=")</f>
        <v>#REF!</v>
      </c>
      <c r="FL477" t="e">
        <f>AND(#REF!,"AAAAAH9f9Kc=")</f>
        <v>#REF!</v>
      </c>
      <c r="FM477" t="e">
        <f>AND(#REF!,"AAAAAH9f9Kg=")</f>
        <v>#REF!</v>
      </c>
      <c r="FN477" t="e">
        <f>AND(#REF!,"AAAAAH9f9Kk=")</f>
        <v>#REF!</v>
      </c>
      <c r="FO477" t="e">
        <f>AND(#REF!,"AAAAAH9f9Ko=")</f>
        <v>#REF!</v>
      </c>
      <c r="FP477" t="e">
        <f>AND(#REF!,"AAAAAH9f9Ks=")</f>
        <v>#REF!</v>
      </c>
      <c r="FQ477" t="e">
        <f>AND(#REF!,"AAAAAH9f9Kw=")</f>
        <v>#REF!</v>
      </c>
      <c r="FR477" t="e">
        <f>AND(#REF!,"AAAAAH9f9K0=")</f>
        <v>#REF!</v>
      </c>
      <c r="FS477" t="e">
        <f>AND(#REF!,"AAAAAH9f9K4=")</f>
        <v>#REF!</v>
      </c>
      <c r="FT477" t="e">
        <f>AND(#REF!,"AAAAAH9f9K8=")</f>
        <v>#REF!</v>
      </c>
      <c r="FU477" t="e">
        <f>AND(#REF!,"AAAAAH9f9LA=")</f>
        <v>#REF!</v>
      </c>
      <c r="FV477" t="e">
        <f>AND(#REF!,"AAAAAH9f9LE=")</f>
        <v>#REF!</v>
      </c>
      <c r="FW477" t="e">
        <f>AND(#REF!,"AAAAAH9f9LI=")</f>
        <v>#REF!</v>
      </c>
      <c r="FX477" t="e">
        <f>IF(#REF!,"AAAAAH9f9LM=",0)</f>
        <v>#REF!</v>
      </c>
      <c r="FY477" t="e">
        <f>AND(#REF!,"AAAAAH9f9LQ=")</f>
        <v>#REF!</v>
      </c>
      <c r="FZ477" t="e">
        <f>AND(#REF!,"AAAAAH9f9LU=")</f>
        <v>#REF!</v>
      </c>
      <c r="GA477" t="e">
        <f>AND(#REF!,"AAAAAH9f9LY=")</f>
        <v>#REF!</v>
      </c>
      <c r="GB477" t="e">
        <f>AND(#REF!,"AAAAAH9f9Lc=")</f>
        <v>#REF!</v>
      </c>
      <c r="GC477" t="e">
        <f>AND(#REF!,"AAAAAH9f9Lg=")</f>
        <v>#REF!</v>
      </c>
      <c r="GD477" t="e">
        <f>AND(#REF!,"AAAAAH9f9Lk=")</f>
        <v>#REF!</v>
      </c>
      <c r="GE477" t="e">
        <f>AND(#REF!,"AAAAAH9f9Lo=")</f>
        <v>#REF!</v>
      </c>
      <c r="GF477" t="e">
        <f>AND(#REF!,"AAAAAH9f9Ls=")</f>
        <v>#REF!</v>
      </c>
      <c r="GG477" t="e">
        <f>AND(#REF!,"AAAAAH9f9Lw=")</f>
        <v>#REF!</v>
      </c>
      <c r="GH477" t="e">
        <f>AND(#REF!,"AAAAAH9f9L0=")</f>
        <v>#REF!</v>
      </c>
      <c r="GI477" t="e">
        <f>AND(#REF!,"AAAAAH9f9L4=")</f>
        <v>#REF!</v>
      </c>
      <c r="GJ477" t="e">
        <f>AND(#REF!,"AAAAAH9f9L8=")</f>
        <v>#REF!</v>
      </c>
      <c r="GK477" t="e">
        <f>AND(#REF!,"AAAAAH9f9MA=")</f>
        <v>#REF!</v>
      </c>
      <c r="GL477" t="e">
        <f>AND(#REF!,"AAAAAH9f9ME=")</f>
        <v>#REF!</v>
      </c>
      <c r="GM477" t="e">
        <f>AND(#REF!,"AAAAAH9f9MI=")</f>
        <v>#REF!</v>
      </c>
      <c r="GN477" t="e">
        <f>AND(#REF!,"AAAAAH9f9MM=")</f>
        <v>#REF!</v>
      </c>
      <c r="GO477" t="e">
        <f>AND(#REF!,"AAAAAH9f9MQ=")</f>
        <v>#REF!</v>
      </c>
      <c r="GP477" t="e">
        <f>AND(#REF!,"AAAAAH9f9MU=")</f>
        <v>#REF!</v>
      </c>
      <c r="GQ477" t="e">
        <f>AND(#REF!,"AAAAAH9f9MY=")</f>
        <v>#REF!</v>
      </c>
      <c r="GR477" t="e">
        <f>AND(#REF!,"AAAAAH9f9Mc=")</f>
        <v>#REF!</v>
      </c>
      <c r="GS477" t="e">
        <f>AND(#REF!,"AAAAAH9f9Mg=")</f>
        <v>#REF!</v>
      </c>
      <c r="GT477" t="e">
        <f>AND(#REF!,"AAAAAH9f9Mk=")</f>
        <v>#REF!</v>
      </c>
      <c r="GU477" t="e">
        <f>AND(#REF!,"AAAAAH9f9Mo=")</f>
        <v>#REF!</v>
      </c>
      <c r="GV477" t="e">
        <f>AND(#REF!,"AAAAAH9f9Ms=")</f>
        <v>#REF!</v>
      </c>
      <c r="GW477" t="e">
        <f>IF(#REF!,"AAAAAH9f9Mw=",0)</f>
        <v>#REF!</v>
      </c>
      <c r="GX477" t="e">
        <f>AND(#REF!,"AAAAAH9f9M0=")</f>
        <v>#REF!</v>
      </c>
      <c r="GY477" t="e">
        <f>AND(#REF!,"AAAAAH9f9M4=")</f>
        <v>#REF!</v>
      </c>
      <c r="GZ477" t="e">
        <f>AND(#REF!,"AAAAAH9f9M8=")</f>
        <v>#REF!</v>
      </c>
      <c r="HA477" t="e">
        <f>AND(#REF!,"AAAAAH9f9NA=")</f>
        <v>#REF!</v>
      </c>
      <c r="HB477" t="e">
        <f>AND(#REF!,"AAAAAH9f9NE=")</f>
        <v>#REF!</v>
      </c>
      <c r="HC477" t="e">
        <f>AND(#REF!,"AAAAAH9f9NI=")</f>
        <v>#REF!</v>
      </c>
      <c r="HD477" t="e">
        <f>AND(#REF!,"AAAAAH9f9NM=")</f>
        <v>#REF!</v>
      </c>
      <c r="HE477" t="e">
        <f>AND(#REF!,"AAAAAH9f9NQ=")</f>
        <v>#REF!</v>
      </c>
      <c r="HF477" t="e">
        <f>AND(#REF!,"AAAAAH9f9NU=")</f>
        <v>#REF!</v>
      </c>
      <c r="HG477" t="e">
        <f>AND(#REF!,"AAAAAH9f9NY=")</f>
        <v>#REF!</v>
      </c>
      <c r="HH477" t="e">
        <f>AND(#REF!,"AAAAAH9f9Nc=")</f>
        <v>#REF!</v>
      </c>
      <c r="HI477" t="e">
        <f>AND(#REF!,"AAAAAH9f9Ng=")</f>
        <v>#REF!</v>
      </c>
      <c r="HJ477" t="e">
        <f>AND(#REF!,"AAAAAH9f9Nk=")</f>
        <v>#REF!</v>
      </c>
      <c r="HK477" t="e">
        <f>AND(#REF!,"AAAAAH9f9No=")</f>
        <v>#REF!</v>
      </c>
      <c r="HL477" t="e">
        <f>AND(#REF!,"AAAAAH9f9Ns=")</f>
        <v>#REF!</v>
      </c>
      <c r="HM477" t="e">
        <f>AND(#REF!,"AAAAAH9f9Nw=")</f>
        <v>#REF!</v>
      </c>
      <c r="HN477" t="e">
        <f>AND(#REF!,"AAAAAH9f9N0=")</f>
        <v>#REF!</v>
      </c>
      <c r="HO477" t="e">
        <f>AND(#REF!,"AAAAAH9f9N4=")</f>
        <v>#REF!</v>
      </c>
      <c r="HP477" t="e">
        <f>AND(#REF!,"AAAAAH9f9N8=")</f>
        <v>#REF!</v>
      </c>
      <c r="HQ477" t="e">
        <f>AND(#REF!,"AAAAAH9f9OA=")</f>
        <v>#REF!</v>
      </c>
      <c r="HR477" t="e">
        <f>AND(#REF!,"AAAAAH9f9OE=")</f>
        <v>#REF!</v>
      </c>
      <c r="HS477" t="e">
        <f>AND(#REF!,"AAAAAH9f9OI=")</f>
        <v>#REF!</v>
      </c>
      <c r="HT477" t="e">
        <f>AND(#REF!,"AAAAAH9f9OM=")</f>
        <v>#REF!</v>
      </c>
      <c r="HU477" t="e">
        <f>AND(#REF!,"AAAAAH9f9OQ=")</f>
        <v>#REF!</v>
      </c>
      <c r="HV477" t="e">
        <f>IF(#REF!,"AAAAAH9f9OU=",0)</f>
        <v>#REF!</v>
      </c>
      <c r="HW477" t="e">
        <f>AND(#REF!,"AAAAAH9f9OY=")</f>
        <v>#REF!</v>
      </c>
      <c r="HX477" t="e">
        <f>AND(#REF!,"AAAAAH9f9Oc=")</f>
        <v>#REF!</v>
      </c>
      <c r="HY477" t="e">
        <f>AND(#REF!,"AAAAAH9f9Og=")</f>
        <v>#REF!</v>
      </c>
      <c r="HZ477" t="e">
        <f>AND(#REF!,"AAAAAH9f9Ok=")</f>
        <v>#REF!</v>
      </c>
      <c r="IA477" t="e">
        <f>AND(#REF!,"AAAAAH9f9Oo=")</f>
        <v>#REF!</v>
      </c>
      <c r="IB477" t="e">
        <f>AND(#REF!,"AAAAAH9f9Os=")</f>
        <v>#REF!</v>
      </c>
      <c r="IC477" t="e">
        <f>AND(#REF!,"AAAAAH9f9Ow=")</f>
        <v>#REF!</v>
      </c>
      <c r="ID477" t="e">
        <f>AND(#REF!,"AAAAAH9f9O0=")</f>
        <v>#REF!</v>
      </c>
      <c r="IE477" t="e">
        <f>AND(#REF!,"AAAAAH9f9O4=")</f>
        <v>#REF!</v>
      </c>
      <c r="IF477" t="e">
        <f>AND(#REF!,"AAAAAH9f9O8=")</f>
        <v>#REF!</v>
      </c>
      <c r="IG477" t="e">
        <f>AND(#REF!,"AAAAAH9f9PA=")</f>
        <v>#REF!</v>
      </c>
      <c r="IH477" t="e">
        <f>AND(#REF!,"AAAAAH9f9PE=")</f>
        <v>#REF!</v>
      </c>
      <c r="II477" t="e">
        <f>AND(#REF!,"AAAAAH9f9PI=")</f>
        <v>#REF!</v>
      </c>
      <c r="IJ477" t="e">
        <f>AND(#REF!,"AAAAAH9f9PM=")</f>
        <v>#REF!</v>
      </c>
      <c r="IK477" t="e">
        <f>AND(#REF!,"AAAAAH9f9PQ=")</f>
        <v>#REF!</v>
      </c>
      <c r="IL477" t="e">
        <f>AND(#REF!,"AAAAAH9f9PU=")</f>
        <v>#REF!</v>
      </c>
      <c r="IM477" t="e">
        <f>AND(#REF!,"AAAAAH9f9PY=")</f>
        <v>#REF!</v>
      </c>
      <c r="IN477" t="e">
        <f>AND(#REF!,"AAAAAH9f9Pc=")</f>
        <v>#REF!</v>
      </c>
      <c r="IO477" t="e">
        <f>AND(#REF!,"AAAAAH9f9Pg=")</f>
        <v>#REF!</v>
      </c>
      <c r="IP477" t="e">
        <f>AND(#REF!,"AAAAAH9f9Pk=")</f>
        <v>#REF!</v>
      </c>
      <c r="IQ477" t="e">
        <f>AND(#REF!,"AAAAAH9f9Po=")</f>
        <v>#REF!</v>
      </c>
      <c r="IR477" t="e">
        <f>AND(#REF!,"AAAAAH9f9Ps=")</f>
        <v>#REF!</v>
      </c>
      <c r="IS477" t="e">
        <f>AND(#REF!,"AAAAAH9f9Pw=")</f>
        <v>#REF!</v>
      </c>
      <c r="IT477" t="e">
        <f>AND(#REF!,"AAAAAH9f9P0=")</f>
        <v>#REF!</v>
      </c>
      <c r="IU477" t="e">
        <f>IF(#REF!,"AAAAAH9f9P4=",0)</f>
        <v>#REF!</v>
      </c>
      <c r="IV477" t="e">
        <f>AND(#REF!,"AAAAAH9f9P8=")</f>
        <v>#REF!</v>
      </c>
    </row>
    <row r="478" spans="1:256">
      <c r="A478" t="e">
        <f>AND(#REF!,"AAAAAH/7rwA=")</f>
        <v>#REF!</v>
      </c>
      <c r="B478" t="e">
        <f>AND(#REF!,"AAAAAH/7rwE=")</f>
        <v>#REF!</v>
      </c>
      <c r="C478" t="e">
        <f>AND(#REF!,"AAAAAH/7rwI=")</f>
        <v>#REF!</v>
      </c>
      <c r="D478" t="e">
        <f>AND(#REF!,"AAAAAH/7rwM=")</f>
        <v>#REF!</v>
      </c>
      <c r="E478" t="e">
        <f>AND(#REF!,"AAAAAH/7rwQ=")</f>
        <v>#REF!</v>
      </c>
      <c r="F478" t="e">
        <f>AND(#REF!,"AAAAAH/7rwU=")</f>
        <v>#REF!</v>
      </c>
      <c r="G478" t="e">
        <f>AND(#REF!,"AAAAAH/7rwY=")</f>
        <v>#REF!</v>
      </c>
      <c r="H478" t="e">
        <f>AND(#REF!,"AAAAAH/7rwc=")</f>
        <v>#REF!</v>
      </c>
      <c r="I478" t="e">
        <f>AND(#REF!,"AAAAAH/7rwg=")</f>
        <v>#REF!</v>
      </c>
      <c r="J478" t="e">
        <f>AND(#REF!,"AAAAAH/7rwk=")</f>
        <v>#REF!</v>
      </c>
      <c r="K478" t="e">
        <f>AND(#REF!,"AAAAAH/7rwo=")</f>
        <v>#REF!</v>
      </c>
      <c r="L478" t="e">
        <f>AND(#REF!,"AAAAAH/7rws=")</f>
        <v>#REF!</v>
      </c>
      <c r="M478" t="e">
        <f>AND(#REF!,"AAAAAH/7rww=")</f>
        <v>#REF!</v>
      </c>
      <c r="N478" t="e">
        <f>AND(#REF!,"AAAAAH/7rw0=")</f>
        <v>#REF!</v>
      </c>
      <c r="O478" t="e">
        <f>AND(#REF!,"AAAAAH/7rw4=")</f>
        <v>#REF!</v>
      </c>
      <c r="P478" t="e">
        <f>AND(#REF!,"AAAAAH/7rw8=")</f>
        <v>#REF!</v>
      </c>
      <c r="Q478" t="e">
        <f>AND(#REF!,"AAAAAH/7rxA=")</f>
        <v>#REF!</v>
      </c>
      <c r="R478" t="e">
        <f>AND(#REF!,"AAAAAH/7rxE=")</f>
        <v>#REF!</v>
      </c>
      <c r="S478" t="e">
        <f>AND(#REF!,"AAAAAH/7rxI=")</f>
        <v>#REF!</v>
      </c>
      <c r="T478" t="e">
        <f>AND(#REF!,"AAAAAH/7rxM=")</f>
        <v>#REF!</v>
      </c>
      <c r="U478" t="e">
        <f>AND(#REF!,"AAAAAH/7rxQ=")</f>
        <v>#REF!</v>
      </c>
      <c r="V478" t="e">
        <f>AND(#REF!,"AAAAAH/7rxU=")</f>
        <v>#REF!</v>
      </c>
      <c r="W478" t="e">
        <f>AND(#REF!,"AAAAAH/7rxY=")</f>
        <v>#REF!</v>
      </c>
      <c r="X478" t="e">
        <f>IF(#REF!,"AAAAAH/7rxc=",0)</f>
        <v>#REF!</v>
      </c>
      <c r="Y478" t="e">
        <f>AND(#REF!,"AAAAAH/7rxg=")</f>
        <v>#REF!</v>
      </c>
      <c r="Z478" t="e">
        <f>AND(#REF!,"AAAAAH/7rxk=")</f>
        <v>#REF!</v>
      </c>
      <c r="AA478" t="e">
        <f>AND(#REF!,"AAAAAH/7rxo=")</f>
        <v>#REF!</v>
      </c>
      <c r="AB478" t="e">
        <f>AND(#REF!,"AAAAAH/7rxs=")</f>
        <v>#REF!</v>
      </c>
      <c r="AC478" t="e">
        <f>AND(#REF!,"AAAAAH/7rxw=")</f>
        <v>#REF!</v>
      </c>
      <c r="AD478" t="e">
        <f>AND(#REF!,"AAAAAH/7rx0=")</f>
        <v>#REF!</v>
      </c>
      <c r="AE478" t="e">
        <f>AND(#REF!,"AAAAAH/7rx4=")</f>
        <v>#REF!</v>
      </c>
      <c r="AF478" t="e">
        <f>AND(#REF!,"AAAAAH/7rx8=")</f>
        <v>#REF!</v>
      </c>
      <c r="AG478" t="e">
        <f>AND(#REF!,"AAAAAH/7ryA=")</f>
        <v>#REF!</v>
      </c>
      <c r="AH478" t="e">
        <f>AND(#REF!,"AAAAAH/7ryE=")</f>
        <v>#REF!</v>
      </c>
      <c r="AI478" t="e">
        <f>AND(#REF!,"AAAAAH/7ryI=")</f>
        <v>#REF!</v>
      </c>
      <c r="AJ478" t="e">
        <f>AND(#REF!,"AAAAAH/7ryM=")</f>
        <v>#REF!</v>
      </c>
      <c r="AK478" t="e">
        <f>AND(#REF!,"AAAAAH/7ryQ=")</f>
        <v>#REF!</v>
      </c>
      <c r="AL478" t="e">
        <f>AND(#REF!,"AAAAAH/7ryU=")</f>
        <v>#REF!</v>
      </c>
      <c r="AM478" t="e">
        <f>AND(#REF!,"AAAAAH/7ryY=")</f>
        <v>#REF!</v>
      </c>
      <c r="AN478" t="e">
        <f>AND(#REF!,"AAAAAH/7ryc=")</f>
        <v>#REF!</v>
      </c>
      <c r="AO478" t="e">
        <f>AND(#REF!,"AAAAAH/7ryg=")</f>
        <v>#REF!</v>
      </c>
      <c r="AP478" t="e">
        <f>AND(#REF!,"AAAAAH/7ryk=")</f>
        <v>#REF!</v>
      </c>
      <c r="AQ478" t="e">
        <f>AND(#REF!,"AAAAAH/7ryo=")</f>
        <v>#REF!</v>
      </c>
      <c r="AR478" t="e">
        <f>AND(#REF!,"AAAAAH/7rys=")</f>
        <v>#REF!</v>
      </c>
      <c r="AS478" t="e">
        <f>AND(#REF!,"AAAAAH/7ryw=")</f>
        <v>#REF!</v>
      </c>
      <c r="AT478" t="e">
        <f>AND(#REF!,"AAAAAH/7ry0=")</f>
        <v>#REF!</v>
      </c>
      <c r="AU478" t="e">
        <f>AND(#REF!,"AAAAAH/7ry4=")</f>
        <v>#REF!</v>
      </c>
      <c r="AV478" t="e">
        <f>AND(#REF!,"AAAAAH/7ry8=")</f>
        <v>#REF!</v>
      </c>
      <c r="AW478" t="e">
        <f>IF(#REF!,"AAAAAH/7rzA=",0)</f>
        <v>#REF!</v>
      </c>
      <c r="AX478" t="e">
        <f>AND(#REF!,"AAAAAH/7rzE=")</f>
        <v>#REF!</v>
      </c>
      <c r="AY478" t="e">
        <f>AND(#REF!,"AAAAAH/7rzI=")</f>
        <v>#REF!</v>
      </c>
      <c r="AZ478" t="e">
        <f>AND(#REF!,"AAAAAH/7rzM=")</f>
        <v>#REF!</v>
      </c>
      <c r="BA478" t="e">
        <f>AND(#REF!,"AAAAAH/7rzQ=")</f>
        <v>#REF!</v>
      </c>
      <c r="BB478" t="e">
        <f>AND(#REF!,"AAAAAH/7rzU=")</f>
        <v>#REF!</v>
      </c>
      <c r="BC478" t="e">
        <f>AND(#REF!,"AAAAAH/7rzY=")</f>
        <v>#REF!</v>
      </c>
      <c r="BD478" t="e">
        <f>AND(#REF!,"AAAAAH/7rzc=")</f>
        <v>#REF!</v>
      </c>
      <c r="BE478" t="e">
        <f>AND(#REF!,"AAAAAH/7rzg=")</f>
        <v>#REF!</v>
      </c>
      <c r="BF478" t="e">
        <f>AND(#REF!,"AAAAAH/7rzk=")</f>
        <v>#REF!</v>
      </c>
      <c r="BG478" t="e">
        <f>AND(#REF!,"AAAAAH/7rzo=")</f>
        <v>#REF!</v>
      </c>
      <c r="BH478" t="e">
        <f>AND(#REF!,"AAAAAH/7rzs=")</f>
        <v>#REF!</v>
      </c>
      <c r="BI478" t="e">
        <f>AND(#REF!,"AAAAAH/7rzw=")</f>
        <v>#REF!</v>
      </c>
      <c r="BJ478" t="e">
        <f>AND(#REF!,"AAAAAH/7rz0=")</f>
        <v>#REF!</v>
      </c>
      <c r="BK478" t="e">
        <f>AND(#REF!,"AAAAAH/7rz4=")</f>
        <v>#REF!</v>
      </c>
      <c r="BL478" t="e">
        <f>AND(#REF!,"AAAAAH/7rz8=")</f>
        <v>#REF!</v>
      </c>
      <c r="BM478" t="e">
        <f>AND(#REF!,"AAAAAH/7r0A=")</f>
        <v>#REF!</v>
      </c>
      <c r="BN478" t="e">
        <f>AND(#REF!,"AAAAAH/7r0E=")</f>
        <v>#REF!</v>
      </c>
      <c r="BO478" t="e">
        <f>AND(#REF!,"AAAAAH/7r0I=")</f>
        <v>#REF!</v>
      </c>
      <c r="BP478" t="e">
        <f>AND(#REF!,"AAAAAH/7r0M=")</f>
        <v>#REF!</v>
      </c>
      <c r="BQ478" t="e">
        <f>AND(#REF!,"AAAAAH/7r0Q=")</f>
        <v>#REF!</v>
      </c>
      <c r="BR478" t="e">
        <f>AND(#REF!,"AAAAAH/7r0U=")</f>
        <v>#REF!</v>
      </c>
      <c r="BS478" t="e">
        <f>AND(#REF!,"AAAAAH/7r0Y=")</f>
        <v>#REF!</v>
      </c>
      <c r="BT478" t="e">
        <f>AND(#REF!,"AAAAAH/7r0c=")</f>
        <v>#REF!</v>
      </c>
      <c r="BU478" t="e">
        <f>AND(#REF!,"AAAAAH/7r0g=")</f>
        <v>#REF!</v>
      </c>
      <c r="BV478" t="e">
        <f>IF(#REF!,"AAAAAH/7r0k=",0)</f>
        <v>#REF!</v>
      </c>
      <c r="BW478" t="e">
        <f>AND(#REF!,"AAAAAH/7r0o=")</f>
        <v>#REF!</v>
      </c>
      <c r="BX478" t="e">
        <f>AND(#REF!,"AAAAAH/7r0s=")</f>
        <v>#REF!</v>
      </c>
      <c r="BY478" t="e">
        <f>AND(#REF!,"AAAAAH/7r0w=")</f>
        <v>#REF!</v>
      </c>
      <c r="BZ478" t="e">
        <f>AND(#REF!,"AAAAAH/7r00=")</f>
        <v>#REF!</v>
      </c>
      <c r="CA478" t="e">
        <f>AND(#REF!,"AAAAAH/7r04=")</f>
        <v>#REF!</v>
      </c>
      <c r="CB478" t="e">
        <f>AND(#REF!,"AAAAAH/7r08=")</f>
        <v>#REF!</v>
      </c>
      <c r="CC478" t="e">
        <f>AND(#REF!,"AAAAAH/7r1A=")</f>
        <v>#REF!</v>
      </c>
      <c r="CD478" t="e">
        <f>AND(#REF!,"AAAAAH/7r1E=")</f>
        <v>#REF!</v>
      </c>
      <c r="CE478" t="e">
        <f>AND(#REF!,"AAAAAH/7r1I=")</f>
        <v>#REF!</v>
      </c>
      <c r="CF478" t="e">
        <f>AND(#REF!,"AAAAAH/7r1M=")</f>
        <v>#REF!</v>
      </c>
      <c r="CG478" t="e">
        <f>AND(#REF!,"AAAAAH/7r1Q=")</f>
        <v>#REF!</v>
      </c>
      <c r="CH478" t="e">
        <f>AND(#REF!,"AAAAAH/7r1U=")</f>
        <v>#REF!</v>
      </c>
      <c r="CI478" t="e">
        <f>AND(#REF!,"AAAAAH/7r1Y=")</f>
        <v>#REF!</v>
      </c>
      <c r="CJ478" t="e">
        <f>AND(#REF!,"AAAAAH/7r1c=")</f>
        <v>#REF!</v>
      </c>
      <c r="CK478" t="e">
        <f>AND(#REF!,"AAAAAH/7r1g=")</f>
        <v>#REF!</v>
      </c>
      <c r="CL478" t="e">
        <f>AND(#REF!,"AAAAAH/7r1k=")</f>
        <v>#REF!</v>
      </c>
      <c r="CM478" t="e">
        <f>AND(#REF!,"AAAAAH/7r1o=")</f>
        <v>#REF!</v>
      </c>
      <c r="CN478" t="e">
        <f>AND(#REF!,"AAAAAH/7r1s=")</f>
        <v>#REF!</v>
      </c>
      <c r="CO478" t="e">
        <f>AND(#REF!,"AAAAAH/7r1w=")</f>
        <v>#REF!</v>
      </c>
      <c r="CP478" t="e">
        <f>AND(#REF!,"AAAAAH/7r10=")</f>
        <v>#REF!</v>
      </c>
      <c r="CQ478" t="e">
        <f>AND(#REF!,"AAAAAH/7r14=")</f>
        <v>#REF!</v>
      </c>
      <c r="CR478" t="e">
        <f>AND(#REF!,"AAAAAH/7r18=")</f>
        <v>#REF!</v>
      </c>
      <c r="CS478" t="e">
        <f>AND(#REF!,"AAAAAH/7r2A=")</f>
        <v>#REF!</v>
      </c>
      <c r="CT478" t="e">
        <f>AND(#REF!,"AAAAAH/7r2E=")</f>
        <v>#REF!</v>
      </c>
      <c r="CU478" t="e">
        <f>IF(#REF!,"AAAAAH/7r2I=",0)</f>
        <v>#REF!</v>
      </c>
      <c r="CV478" t="e">
        <f>AND(#REF!,"AAAAAH/7r2M=")</f>
        <v>#REF!</v>
      </c>
      <c r="CW478" t="e">
        <f>AND(#REF!,"AAAAAH/7r2Q=")</f>
        <v>#REF!</v>
      </c>
      <c r="CX478" t="e">
        <f>AND(#REF!,"AAAAAH/7r2U=")</f>
        <v>#REF!</v>
      </c>
      <c r="CY478" t="e">
        <f>AND(#REF!,"AAAAAH/7r2Y=")</f>
        <v>#REF!</v>
      </c>
      <c r="CZ478" t="e">
        <f>AND(#REF!,"AAAAAH/7r2c=")</f>
        <v>#REF!</v>
      </c>
      <c r="DA478" t="e">
        <f>AND(#REF!,"AAAAAH/7r2g=")</f>
        <v>#REF!</v>
      </c>
      <c r="DB478" t="e">
        <f>AND(#REF!,"AAAAAH/7r2k=")</f>
        <v>#REF!</v>
      </c>
      <c r="DC478" t="e">
        <f>AND(#REF!,"AAAAAH/7r2o=")</f>
        <v>#REF!</v>
      </c>
      <c r="DD478" t="e">
        <f>AND(#REF!,"AAAAAH/7r2s=")</f>
        <v>#REF!</v>
      </c>
      <c r="DE478" t="e">
        <f>AND(#REF!,"AAAAAH/7r2w=")</f>
        <v>#REF!</v>
      </c>
      <c r="DF478" t="e">
        <f>AND(#REF!,"AAAAAH/7r20=")</f>
        <v>#REF!</v>
      </c>
      <c r="DG478" t="e">
        <f>AND(#REF!,"AAAAAH/7r24=")</f>
        <v>#REF!</v>
      </c>
      <c r="DH478" t="e">
        <f>AND(#REF!,"AAAAAH/7r28=")</f>
        <v>#REF!</v>
      </c>
      <c r="DI478" t="e">
        <f>AND(#REF!,"AAAAAH/7r3A=")</f>
        <v>#REF!</v>
      </c>
      <c r="DJ478" t="e">
        <f>AND(#REF!,"AAAAAH/7r3E=")</f>
        <v>#REF!</v>
      </c>
      <c r="DK478" t="e">
        <f>AND(#REF!,"AAAAAH/7r3I=")</f>
        <v>#REF!</v>
      </c>
      <c r="DL478" t="e">
        <f>AND(#REF!,"AAAAAH/7r3M=")</f>
        <v>#REF!</v>
      </c>
      <c r="DM478" t="e">
        <f>AND(#REF!,"AAAAAH/7r3Q=")</f>
        <v>#REF!</v>
      </c>
      <c r="DN478" t="e">
        <f>AND(#REF!,"AAAAAH/7r3U=")</f>
        <v>#REF!</v>
      </c>
      <c r="DO478" t="e">
        <f>AND(#REF!,"AAAAAH/7r3Y=")</f>
        <v>#REF!</v>
      </c>
      <c r="DP478" t="e">
        <f>AND(#REF!,"AAAAAH/7r3c=")</f>
        <v>#REF!</v>
      </c>
      <c r="DQ478" t="e">
        <f>AND(#REF!,"AAAAAH/7r3g=")</f>
        <v>#REF!</v>
      </c>
      <c r="DR478" t="e">
        <f>AND(#REF!,"AAAAAH/7r3k=")</f>
        <v>#REF!</v>
      </c>
      <c r="DS478" t="e">
        <f>AND(#REF!,"AAAAAH/7r3o=")</f>
        <v>#REF!</v>
      </c>
      <c r="DT478" t="e">
        <f>IF(#REF!,"AAAAAH/7r3s=",0)</f>
        <v>#REF!</v>
      </c>
      <c r="DU478" t="e">
        <f>AND(#REF!,"AAAAAH/7r3w=")</f>
        <v>#REF!</v>
      </c>
      <c r="DV478" t="e">
        <f>AND(#REF!,"AAAAAH/7r30=")</f>
        <v>#REF!</v>
      </c>
      <c r="DW478" t="e">
        <f>AND(#REF!,"AAAAAH/7r34=")</f>
        <v>#REF!</v>
      </c>
      <c r="DX478" t="e">
        <f>AND(#REF!,"AAAAAH/7r38=")</f>
        <v>#REF!</v>
      </c>
      <c r="DY478" t="e">
        <f>AND(#REF!,"AAAAAH/7r4A=")</f>
        <v>#REF!</v>
      </c>
      <c r="DZ478" t="e">
        <f>AND(#REF!,"AAAAAH/7r4E=")</f>
        <v>#REF!</v>
      </c>
      <c r="EA478" t="e">
        <f>AND(#REF!,"AAAAAH/7r4I=")</f>
        <v>#REF!</v>
      </c>
      <c r="EB478" t="e">
        <f>AND(#REF!,"AAAAAH/7r4M=")</f>
        <v>#REF!</v>
      </c>
      <c r="EC478" t="e">
        <f>AND(#REF!,"AAAAAH/7r4Q=")</f>
        <v>#REF!</v>
      </c>
      <c r="ED478" t="e">
        <f>AND(#REF!,"AAAAAH/7r4U=")</f>
        <v>#REF!</v>
      </c>
      <c r="EE478" t="e">
        <f>AND(#REF!,"AAAAAH/7r4Y=")</f>
        <v>#REF!</v>
      </c>
      <c r="EF478" t="e">
        <f>AND(#REF!,"AAAAAH/7r4c=")</f>
        <v>#REF!</v>
      </c>
      <c r="EG478" t="e">
        <f>AND(#REF!,"AAAAAH/7r4g=")</f>
        <v>#REF!</v>
      </c>
      <c r="EH478" t="e">
        <f>AND(#REF!,"AAAAAH/7r4k=")</f>
        <v>#REF!</v>
      </c>
      <c r="EI478" t="e">
        <f>AND(#REF!,"AAAAAH/7r4o=")</f>
        <v>#REF!</v>
      </c>
      <c r="EJ478" t="e">
        <f>AND(#REF!,"AAAAAH/7r4s=")</f>
        <v>#REF!</v>
      </c>
      <c r="EK478" t="e">
        <f>AND(#REF!,"AAAAAH/7r4w=")</f>
        <v>#REF!</v>
      </c>
      <c r="EL478" t="e">
        <f>AND(#REF!,"AAAAAH/7r40=")</f>
        <v>#REF!</v>
      </c>
      <c r="EM478" t="e">
        <f>AND(#REF!,"AAAAAH/7r44=")</f>
        <v>#REF!</v>
      </c>
      <c r="EN478" t="e">
        <f>AND(#REF!,"AAAAAH/7r48=")</f>
        <v>#REF!</v>
      </c>
      <c r="EO478" t="e">
        <f>AND(#REF!,"AAAAAH/7r5A=")</f>
        <v>#REF!</v>
      </c>
      <c r="EP478" t="e">
        <f>AND(#REF!,"AAAAAH/7r5E=")</f>
        <v>#REF!</v>
      </c>
      <c r="EQ478" t="e">
        <f>AND(#REF!,"AAAAAH/7r5I=")</f>
        <v>#REF!</v>
      </c>
      <c r="ER478" t="e">
        <f>AND(#REF!,"AAAAAH/7r5M=")</f>
        <v>#REF!</v>
      </c>
      <c r="ES478" t="e">
        <f>IF(#REF!,"AAAAAH/7r5Q=",0)</f>
        <v>#REF!</v>
      </c>
      <c r="ET478" t="e">
        <f>AND(#REF!,"AAAAAH/7r5U=")</f>
        <v>#REF!</v>
      </c>
      <c r="EU478" t="e">
        <f>AND(#REF!,"AAAAAH/7r5Y=")</f>
        <v>#REF!</v>
      </c>
      <c r="EV478" t="e">
        <f>AND(#REF!,"AAAAAH/7r5c=")</f>
        <v>#REF!</v>
      </c>
      <c r="EW478" t="e">
        <f>AND(#REF!,"AAAAAH/7r5g=")</f>
        <v>#REF!</v>
      </c>
      <c r="EX478" t="e">
        <f>AND(#REF!,"AAAAAH/7r5k=")</f>
        <v>#REF!</v>
      </c>
      <c r="EY478" t="e">
        <f>AND(#REF!,"AAAAAH/7r5o=")</f>
        <v>#REF!</v>
      </c>
      <c r="EZ478" t="e">
        <f>AND(#REF!,"AAAAAH/7r5s=")</f>
        <v>#REF!</v>
      </c>
      <c r="FA478" t="e">
        <f>AND(#REF!,"AAAAAH/7r5w=")</f>
        <v>#REF!</v>
      </c>
      <c r="FB478" t="e">
        <f>AND(#REF!,"AAAAAH/7r50=")</f>
        <v>#REF!</v>
      </c>
      <c r="FC478" t="e">
        <f>AND(#REF!,"AAAAAH/7r54=")</f>
        <v>#REF!</v>
      </c>
      <c r="FD478" t="e">
        <f>AND(#REF!,"AAAAAH/7r58=")</f>
        <v>#REF!</v>
      </c>
      <c r="FE478" t="e">
        <f>AND(#REF!,"AAAAAH/7r6A=")</f>
        <v>#REF!</v>
      </c>
      <c r="FF478" t="e">
        <f>AND(#REF!,"AAAAAH/7r6E=")</f>
        <v>#REF!</v>
      </c>
      <c r="FG478" t="e">
        <f>AND(#REF!,"AAAAAH/7r6I=")</f>
        <v>#REF!</v>
      </c>
      <c r="FH478" t="e">
        <f>AND(#REF!,"AAAAAH/7r6M=")</f>
        <v>#REF!</v>
      </c>
      <c r="FI478" t="e">
        <f>AND(#REF!,"AAAAAH/7r6Q=")</f>
        <v>#REF!</v>
      </c>
      <c r="FJ478" t="e">
        <f>AND(#REF!,"AAAAAH/7r6U=")</f>
        <v>#REF!</v>
      </c>
      <c r="FK478" t="e">
        <f>AND(#REF!,"AAAAAH/7r6Y=")</f>
        <v>#REF!</v>
      </c>
      <c r="FL478" t="e">
        <f>AND(#REF!,"AAAAAH/7r6c=")</f>
        <v>#REF!</v>
      </c>
      <c r="FM478" t="e">
        <f>AND(#REF!,"AAAAAH/7r6g=")</f>
        <v>#REF!</v>
      </c>
      <c r="FN478" t="e">
        <f>AND(#REF!,"AAAAAH/7r6k=")</f>
        <v>#REF!</v>
      </c>
      <c r="FO478" t="e">
        <f>AND(#REF!,"AAAAAH/7r6o=")</f>
        <v>#REF!</v>
      </c>
      <c r="FP478" t="e">
        <f>AND(#REF!,"AAAAAH/7r6s=")</f>
        <v>#REF!</v>
      </c>
      <c r="FQ478" t="e">
        <f>AND(#REF!,"AAAAAH/7r6w=")</f>
        <v>#REF!</v>
      </c>
      <c r="FR478" t="e">
        <f>IF(#REF!,"AAAAAH/7r60=",0)</f>
        <v>#REF!</v>
      </c>
      <c r="FS478" t="e">
        <f>AND(#REF!,"AAAAAH/7r64=")</f>
        <v>#REF!</v>
      </c>
      <c r="FT478" t="e">
        <f>AND(#REF!,"AAAAAH/7r68=")</f>
        <v>#REF!</v>
      </c>
      <c r="FU478" t="e">
        <f>AND(#REF!,"AAAAAH/7r7A=")</f>
        <v>#REF!</v>
      </c>
      <c r="FV478" t="e">
        <f>AND(#REF!,"AAAAAH/7r7E=")</f>
        <v>#REF!</v>
      </c>
      <c r="FW478" t="e">
        <f>AND(#REF!,"AAAAAH/7r7I=")</f>
        <v>#REF!</v>
      </c>
      <c r="FX478" t="e">
        <f>AND(#REF!,"AAAAAH/7r7M=")</f>
        <v>#REF!</v>
      </c>
      <c r="FY478" t="e">
        <f>AND(#REF!,"AAAAAH/7r7Q=")</f>
        <v>#REF!</v>
      </c>
      <c r="FZ478" t="e">
        <f>AND(#REF!,"AAAAAH/7r7U=")</f>
        <v>#REF!</v>
      </c>
      <c r="GA478" t="e">
        <f>AND(#REF!,"AAAAAH/7r7Y=")</f>
        <v>#REF!</v>
      </c>
      <c r="GB478" t="e">
        <f>AND(#REF!,"AAAAAH/7r7c=")</f>
        <v>#REF!</v>
      </c>
      <c r="GC478" t="e">
        <f>AND(#REF!,"AAAAAH/7r7g=")</f>
        <v>#REF!</v>
      </c>
      <c r="GD478" t="e">
        <f>AND(#REF!,"AAAAAH/7r7k=")</f>
        <v>#REF!</v>
      </c>
      <c r="GE478" t="e">
        <f>AND(#REF!,"AAAAAH/7r7o=")</f>
        <v>#REF!</v>
      </c>
      <c r="GF478" t="e">
        <f>AND(#REF!,"AAAAAH/7r7s=")</f>
        <v>#REF!</v>
      </c>
      <c r="GG478" t="e">
        <f>AND(#REF!,"AAAAAH/7r7w=")</f>
        <v>#REF!</v>
      </c>
      <c r="GH478" t="e">
        <f>AND(#REF!,"AAAAAH/7r70=")</f>
        <v>#REF!</v>
      </c>
      <c r="GI478" t="e">
        <f>AND(#REF!,"AAAAAH/7r74=")</f>
        <v>#REF!</v>
      </c>
      <c r="GJ478" t="e">
        <f>AND(#REF!,"AAAAAH/7r78=")</f>
        <v>#REF!</v>
      </c>
      <c r="GK478" t="e">
        <f>AND(#REF!,"AAAAAH/7r8A=")</f>
        <v>#REF!</v>
      </c>
      <c r="GL478" t="e">
        <f>AND(#REF!,"AAAAAH/7r8E=")</f>
        <v>#REF!</v>
      </c>
      <c r="GM478" t="e">
        <f>AND(#REF!,"AAAAAH/7r8I=")</f>
        <v>#REF!</v>
      </c>
      <c r="GN478" t="e">
        <f>AND(#REF!,"AAAAAH/7r8M=")</f>
        <v>#REF!</v>
      </c>
      <c r="GO478" t="e">
        <f>AND(#REF!,"AAAAAH/7r8Q=")</f>
        <v>#REF!</v>
      </c>
      <c r="GP478" t="e">
        <f>AND(#REF!,"AAAAAH/7r8U=")</f>
        <v>#REF!</v>
      </c>
      <c r="GQ478" t="e">
        <f>IF(#REF!,"AAAAAH/7r8Y=",0)</f>
        <v>#REF!</v>
      </c>
      <c r="GR478" t="e">
        <f>AND(#REF!,"AAAAAH/7r8c=")</f>
        <v>#REF!</v>
      </c>
      <c r="GS478" t="e">
        <f>AND(#REF!,"AAAAAH/7r8g=")</f>
        <v>#REF!</v>
      </c>
      <c r="GT478" t="e">
        <f>AND(#REF!,"AAAAAH/7r8k=")</f>
        <v>#REF!</v>
      </c>
      <c r="GU478" t="e">
        <f>AND(#REF!,"AAAAAH/7r8o=")</f>
        <v>#REF!</v>
      </c>
      <c r="GV478" t="e">
        <f>AND(#REF!,"AAAAAH/7r8s=")</f>
        <v>#REF!</v>
      </c>
      <c r="GW478" t="e">
        <f>AND(#REF!,"AAAAAH/7r8w=")</f>
        <v>#REF!</v>
      </c>
      <c r="GX478" t="e">
        <f>AND(#REF!,"AAAAAH/7r80=")</f>
        <v>#REF!</v>
      </c>
      <c r="GY478" t="e">
        <f>AND(#REF!,"AAAAAH/7r84=")</f>
        <v>#REF!</v>
      </c>
      <c r="GZ478" t="e">
        <f>AND(#REF!,"AAAAAH/7r88=")</f>
        <v>#REF!</v>
      </c>
      <c r="HA478" t="e">
        <f>AND(#REF!,"AAAAAH/7r9A=")</f>
        <v>#REF!</v>
      </c>
      <c r="HB478" t="e">
        <f>AND(#REF!,"AAAAAH/7r9E=")</f>
        <v>#REF!</v>
      </c>
      <c r="HC478" t="e">
        <f>AND(#REF!,"AAAAAH/7r9I=")</f>
        <v>#REF!</v>
      </c>
      <c r="HD478" t="e">
        <f>AND(#REF!,"AAAAAH/7r9M=")</f>
        <v>#REF!</v>
      </c>
      <c r="HE478" t="e">
        <f>AND(#REF!,"AAAAAH/7r9Q=")</f>
        <v>#REF!</v>
      </c>
      <c r="HF478" t="e">
        <f>AND(#REF!,"AAAAAH/7r9U=")</f>
        <v>#REF!</v>
      </c>
      <c r="HG478" t="e">
        <f>AND(#REF!,"AAAAAH/7r9Y=")</f>
        <v>#REF!</v>
      </c>
      <c r="HH478" t="e">
        <f>AND(#REF!,"AAAAAH/7r9c=")</f>
        <v>#REF!</v>
      </c>
      <c r="HI478" t="e">
        <f>AND(#REF!,"AAAAAH/7r9g=")</f>
        <v>#REF!</v>
      </c>
      <c r="HJ478" t="e">
        <f>AND(#REF!,"AAAAAH/7r9k=")</f>
        <v>#REF!</v>
      </c>
      <c r="HK478" t="e">
        <f>AND(#REF!,"AAAAAH/7r9o=")</f>
        <v>#REF!</v>
      </c>
      <c r="HL478" t="e">
        <f>AND(#REF!,"AAAAAH/7r9s=")</f>
        <v>#REF!</v>
      </c>
      <c r="HM478" t="e">
        <f>AND(#REF!,"AAAAAH/7r9w=")</f>
        <v>#REF!</v>
      </c>
      <c r="HN478" t="e">
        <f>AND(#REF!,"AAAAAH/7r90=")</f>
        <v>#REF!</v>
      </c>
      <c r="HO478" t="e">
        <f>AND(#REF!,"AAAAAH/7r94=")</f>
        <v>#REF!</v>
      </c>
      <c r="HP478" t="e">
        <f>IF(#REF!,"AAAAAH/7r98=",0)</f>
        <v>#REF!</v>
      </c>
      <c r="HQ478" t="e">
        <f>AND(#REF!,"AAAAAH/7r+A=")</f>
        <v>#REF!</v>
      </c>
      <c r="HR478" t="e">
        <f>AND(#REF!,"AAAAAH/7r+E=")</f>
        <v>#REF!</v>
      </c>
      <c r="HS478" t="e">
        <f>AND(#REF!,"AAAAAH/7r+I=")</f>
        <v>#REF!</v>
      </c>
      <c r="HT478" t="e">
        <f>AND(#REF!,"AAAAAH/7r+M=")</f>
        <v>#REF!</v>
      </c>
      <c r="HU478" t="e">
        <f>AND(#REF!,"AAAAAH/7r+Q=")</f>
        <v>#REF!</v>
      </c>
      <c r="HV478" t="e">
        <f>AND(#REF!,"AAAAAH/7r+U=")</f>
        <v>#REF!</v>
      </c>
      <c r="HW478" t="e">
        <f>AND(#REF!,"AAAAAH/7r+Y=")</f>
        <v>#REF!</v>
      </c>
      <c r="HX478" t="e">
        <f>AND(#REF!,"AAAAAH/7r+c=")</f>
        <v>#REF!</v>
      </c>
      <c r="HY478" t="e">
        <f>AND(#REF!,"AAAAAH/7r+g=")</f>
        <v>#REF!</v>
      </c>
      <c r="HZ478" t="e">
        <f>AND(#REF!,"AAAAAH/7r+k=")</f>
        <v>#REF!</v>
      </c>
      <c r="IA478" t="e">
        <f>AND(#REF!,"AAAAAH/7r+o=")</f>
        <v>#REF!</v>
      </c>
      <c r="IB478" t="e">
        <f>AND(#REF!,"AAAAAH/7r+s=")</f>
        <v>#REF!</v>
      </c>
      <c r="IC478" t="e">
        <f>AND(#REF!,"AAAAAH/7r+w=")</f>
        <v>#REF!</v>
      </c>
      <c r="ID478" t="e">
        <f>AND(#REF!,"AAAAAH/7r+0=")</f>
        <v>#REF!</v>
      </c>
      <c r="IE478" t="e">
        <f>AND(#REF!,"AAAAAH/7r+4=")</f>
        <v>#REF!</v>
      </c>
      <c r="IF478" t="e">
        <f>AND(#REF!,"AAAAAH/7r+8=")</f>
        <v>#REF!</v>
      </c>
      <c r="IG478" t="e">
        <f>AND(#REF!,"AAAAAH/7r/A=")</f>
        <v>#REF!</v>
      </c>
      <c r="IH478" t="e">
        <f>AND(#REF!,"AAAAAH/7r/E=")</f>
        <v>#REF!</v>
      </c>
      <c r="II478" t="e">
        <f>AND(#REF!,"AAAAAH/7r/I=")</f>
        <v>#REF!</v>
      </c>
      <c r="IJ478" t="e">
        <f>AND(#REF!,"AAAAAH/7r/M=")</f>
        <v>#REF!</v>
      </c>
      <c r="IK478" t="e">
        <f>AND(#REF!,"AAAAAH/7r/Q=")</f>
        <v>#REF!</v>
      </c>
      <c r="IL478" t="e">
        <f>AND(#REF!,"AAAAAH/7r/U=")</f>
        <v>#REF!</v>
      </c>
      <c r="IM478" t="e">
        <f>AND(#REF!,"AAAAAH/7r/Y=")</f>
        <v>#REF!</v>
      </c>
      <c r="IN478" t="e">
        <f>AND(#REF!,"AAAAAH/7r/c=")</f>
        <v>#REF!</v>
      </c>
      <c r="IO478" t="e">
        <f>IF(#REF!,"AAAAAH/7r/g=",0)</f>
        <v>#REF!</v>
      </c>
      <c r="IP478" t="e">
        <f>AND(#REF!,"AAAAAH/7r/k=")</f>
        <v>#REF!</v>
      </c>
      <c r="IQ478" t="e">
        <f>AND(#REF!,"AAAAAH/7r/o=")</f>
        <v>#REF!</v>
      </c>
      <c r="IR478" t="e">
        <f>AND(#REF!,"AAAAAH/7r/s=")</f>
        <v>#REF!</v>
      </c>
      <c r="IS478" t="e">
        <f>AND(#REF!,"AAAAAH/7r/w=")</f>
        <v>#REF!</v>
      </c>
      <c r="IT478" t="e">
        <f>AND(#REF!,"AAAAAH/7r/0=")</f>
        <v>#REF!</v>
      </c>
      <c r="IU478" t="e">
        <f>AND(#REF!,"AAAAAH/7r/4=")</f>
        <v>#REF!</v>
      </c>
      <c r="IV478" t="e">
        <f>AND(#REF!,"AAAAAH/7r/8=")</f>
        <v>#REF!</v>
      </c>
    </row>
    <row r="479" spans="1:256">
      <c r="A479" t="e">
        <f>AND(#REF!,"AAAAAH/fvwA=")</f>
        <v>#REF!</v>
      </c>
      <c r="B479" t="e">
        <f>AND(#REF!,"AAAAAH/fvwE=")</f>
        <v>#REF!</v>
      </c>
      <c r="C479" t="e">
        <f>AND(#REF!,"AAAAAH/fvwI=")</f>
        <v>#REF!</v>
      </c>
      <c r="D479" t="e">
        <f>AND(#REF!,"AAAAAH/fvwM=")</f>
        <v>#REF!</v>
      </c>
      <c r="E479" t="e">
        <f>AND(#REF!,"AAAAAH/fvwQ=")</f>
        <v>#REF!</v>
      </c>
      <c r="F479" t="e">
        <f>AND(#REF!,"AAAAAH/fvwU=")</f>
        <v>#REF!</v>
      </c>
      <c r="G479" t="e">
        <f>AND(#REF!,"AAAAAH/fvwY=")</f>
        <v>#REF!</v>
      </c>
      <c r="H479" t="e">
        <f>AND(#REF!,"AAAAAH/fvwc=")</f>
        <v>#REF!</v>
      </c>
      <c r="I479" t="e">
        <f>AND(#REF!,"AAAAAH/fvwg=")</f>
        <v>#REF!</v>
      </c>
      <c r="J479" t="e">
        <f>AND(#REF!,"AAAAAH/fvwk=")</f>
        <v>#REF!</v>
      </c>
      <c r="K479" t="e">
        <f>AND(#REF!,"AAAAAH/fvwo=")</f>
        <v>#REF!</v>
      </c>
      <c r="L479" t="e">
        <f>AND(#REF!,"AAAAAH/fvws=")</f>
        <v>#REF!</v>
      </c>
      <c r="M479" t="e">
        <f>AND(#REF!,"AAAAAH/fvww=")</f>
        <v>#REF!</v>
      </c>
      <c r="N479" t="e">
        <f>AND(#REF!,"AAAAAH/fvw0=")</f>
        <v>#REF!</v>
      </c>
      <c r="O479" t="e">
        <f>AND(#REF!,"AAAAAH/fvw4=")</f>
        <v>#REF!</v>
      </c>
      <c r="P479" t="e">
        <f>AND(#REF!,"AAAAAH/fvw8=")</f>
        <v>#REF!</v>
      </c>
      <c r="Q479" t="e">
        <f>AND(#REF!,"AAAAAH/fvxA=")</f>
        <v>#REF!</v>
      </c>
      <c r="R479" t="e">
        <f>IF(#REF!,"AAAAAH/fvxE=",0)</f>
        <v>#REF!</v>
      </c>
      <c r="S479" t="e">
        <f>AND(#REF!,"AAAAAH/fvxI=")</f>
        <v>#REF!</v>
      </c>
      <c r="T479" t="e">
        <f>AND(#REF!,"AAAAAH/fvxM=")</f>
        <v>#REF!</v>
      </c>
      <c r="U479" t="e">
        <f>AND(#REF!,"AAAAAH/fvxQ=")</f>
        <v>#REF!</v>
      </c>
      <c r="V479" t="e">
        <f>AND(#REF!,"AAAAAH/fvxU=")</f>
        <v>#REF!</v>
      </c>
      <c r="W479" t="e">
        <f>AND(#REF!,"AAAAAH/fvxY=")</f>
        <v>#REF!</v>
      </c>
      <c r="X479" t="e">
        <f>AND(#REF!,"AAAAAH/fvxc=")</f>
        <v>#REF!</v>
      </c>
      <c r="Y479" t="e">
        <f>AND(#REF!,"AAAAAH/fvxg=")</f>
        <v>#REF!</v>
      </c>
      <c r="Z479" t="e">
        <f>AND(#REF!,"AAAAAH/fvxk=")</f>
        <v>#REF!</v>
      </c>
      <c r="AA479" t="e">
        <f>AND(#REF!,"AAAAAH/fvxo=")</f>
        <v>#REF!</v>
      </c>
      <c r="AB479" t="e">
        <f>AND(#REF!,"AAAAAH/fvxs=")</f>
        <v>#REF!</v>
      </c>
      <c r="AC479" t="e">
        <f>AND(#REF!,"AAAAAH/fvxw=")</f>
        <v>#REF!</v>
      </c>
      <c r="AD479" t="e">
        <f>AND(#REF!,"AAAAAH/fvx0=")</f>
        <v>#REF!</v>
      </c>
      <c r="AE479" t="e">
        <f>AND(#REF!,"AAAAAH/fvx4=")</f>
        <v>#REF!</v>
      </c>
      <c r="AF479" t="e">
        <f>AND(#REF!,"AAAAAH/fvx8=")</f>
        <v>#REF!</v>
      </c>
      <c r="AG479" t="e">
        <f>AND(#REF!,"AAAAAH/fvyA=")</f>
        <v>#REF!</v>
      </c>
      <c r="AH479" t="e">
        <f>AND(#REF!,"AAAAAH/fvyE=")</f>
        <v>#REF!</v>
      </c>
      <c r="AI479" t="e">
        <f>AND(#REF!,"AAAAAH/fvyI=")</f>
        <v>#REF!</v>
      </c>
      <c r="AJ479" t="e">
        <f>AND(#REF!,"AAAAAH/fvyM=")</f>
        <v>#REF!</v>
      </c>
      <c r="AK479" t="e">
        <f>AND(#REF!,"AAAAAH/fvyQ=")</f>
        <v>#REF!</v>
      </c>
      <c r="AL479" t="e">
        <f>AND(#REF!,"AAAAAH/fvyU=")</f>
        <v>#REF!</v>
      </c>
      <c r="AM479" t="e">
        <f>AND(#REF!,"AAAAAH/fvyY=")</f>
        <v>#REF!</v>
      </c>
      <c r="AN479" t="e">
        <f>AND(#REF!,"AAAAAH/fvyc=")</f>
        <v>#REF!</v>
      </c>
      <c r="AO479" t="e">
        <f>AND(#REF!,"AAAAAH/fvyg=")</f>
        <v>#REF!</v>
      </c>
      <c r="AP479" t="e">
        <f>AND(#REF!,"AAAAAH/fvyk=")</f>
        <v>#REF!</v>
      </c>
      <c r="AQ479" t="e">
        <f>IF(#REF!,"AAAAAH/fvyo=",0)</f>
        <v>#REF!</v>
      </c>
      <c r="AR479" t="e">
        <f>AND(#REF!,"AAAAAH/fvys=")</f>
        <v>#REF!</v>
      </c>
      <c r="AS479" t="e">
        <f>AND(#REF!,"AAAAAH/fvyw=")</f>
        <v>#REF!</v>
      </c>
      <c r="AT479" t="e">
        <f>AND(#REF!,"AAAAAH/fvy0=")</f>
        <v>#REF!</v>
      </c>
      <c r="AU479" t="e">
        <f>AND(#REF!,"AAAAAH/fvy4=")</f>
        <v>#REF!</v>
      </c>
      <c r="AV479" t="e">
        <f>AND(#REF!,"AAAAAH/fvy8=")</f>
        <v>#REF!</v>
      </c>
      <c r="AW479" t="e">
        <f>AND(#REF!,"AAAAAH/fvzA=")</f>
        <v>#REF!</v>
      </c>
      <c r="AX479" t="e">
        <f>AND(#REF!,"AAAAAH/fvzE=")</f>
        <v>#REF!</v>
      </c>
      <c r="AY479" t="e">
        <f>AND(#REF!,"AAAAAH/fvzI=")</f>
        <v>#REF!</v>
      </c>
      <c r="AZ479" t="e">
        <f>AND(#REF!,"AAAAAH/fvzM=")</f>
        <v>#REF!</v>
      </c>
      <c r="BA479" t="e">
        <f>AND(#REF!,"AAAAAH/fvzQ=")</f>
        <v>#REF!</v>
      </c>
      <c r="BB479" t="e">
        <f>AND(#REF!,"AAAAAH/fvzU=")</f>
        <v>#REF!</v>
      </c>
      <c r="BC479" t="e">
        <f>AND(#REF!,"AAAAAH/fvzY=")</f>
        <v>#REF!</v>
      </c>
      <c r="BD479" t="e">
        <f>AND(#REF!,"AAAAAH/fvzc=")</f>
        <v>#REF!</v>
      </c>
      <c r="BE479" t="e">
        <f>AND(#REF!,"AAAAAH/fvzg=")</f>
        <v>#REF!</v>
      </c>
      <c r="BF479" t="e">
        <f>AND(#REF!,"AAAAAH/fvzk=")</f>
        <v>#REF!</v>
      </c>
      <c r="BG479" t="e">
        <f>AND(#REF!,"AAAAAH/fvzo=")</f>
        <v>#REF!</v>
      </c>
      <c r="BH479" t="e">
        <f>AND(#REF!,"AAAAAH/fvzs=")</f>
        <v>#REF!</v>
      </c>
      <c r="BI479" t="e">
        <f>AND(#REF!,"AAAAAH/fvzw=")</f>
        <v>#REF!</v>
      </c>
      <c r="BJ479" t="e">
        <f>AND(#REF!,"AAAAAH/fvz0=")</f>
        <v>#REF!</v>
      </c>
      <c r="BK479" t="e">
        <f>AND(#REF!,"AAAAAH/fvz4=")</f>
        <v>#REF!</v>
      </c>
      <c r="BL479" t="e">
        <f>AND(#REF!,"AAAAAH/fvz8=")</f>
        <v>#REF!</v>
      </c>
      <c r="BM479" t="e">
        <f>AND(#REF!,"AAAAAH/fv0A=")</f>
        <v>#REF!</v>
      </c>
      <c r="BN479" t="e">
        <f>AND(#REF!,"AAAAAH/fv0E=")</f>
        <v>#REF!</v>
      </c>
      <c r="BO479" t="e">
        <f>AND(#REF!,"AAAAAH/fv0I=")</f>
        <v>#REF!</v>
      </c>
      <c r="BP479" t="e">
        <f>IF(#REF!,"AAAAAH/fv0M=",0)</f>
        <v>#REF!</v>
      </c>
      <c r="BQ479" t="e">
        <f>AND(#REF!,"AAAAAH/fv0Q=")</f>
        <v>#REF!</v>
      </c>
      <c r="BR479" t="e">
        <f>AND(#REF!,"AAAAAH/fv0U=")</f>
        <v>#REF!</v>
      </c>
      <c r="BS479" t="e">
        <f>AND(#REF!,"AAAAAH/fv0Y=")</f>
        <v>#REF!</v>
      </c>
      <c r="BT479" t="e">
        <f>AND(#REF!,"AAAAAH/fv0c=")</f>
        <v>#REF!</v>
      </c>
      <c r="BU479" t="e">
        <f>AND(#REF!,"AAAAAH/fv0g=")</f>
        <v>#REF!</v>
      </c>
      <c r="BV479" t="e">
        <f>AND(#REF!,"AAAAAH/fv0k=")</f>
        <v>#REF!</v>
      </c>
      <c r="BW479" t="e">
        <f>AND(#REF!,"AAAAAH/fv0o=")</f>
        <v>#REF!</v>
      </c>
      <c r="BX479" t="e">
        <f>AND(#REF!,"AAAAAH/fv0s=")</f>
        <v>#REF!</v>
      </c>
      <c r="BY479" t="e">
        <f>AND(#REF!,"AAAAAH/fv0w=")</f>
        <v>#REF!</v>
      </c>
      <c r="BZ479" t="e">
        <f>AND(#REF!,"AAAAAH/fv00=")</f>
        <v>#REF!</v>
      </c>
      <c r="CA479" t="e">
        <f>AND(#REF!,"AAAAAH/fv04=")</f>
        <v>#REF!</v>
      </c>
      <c r="CB479" t="e">
        <f>AND(#REF!,"AAAAAH/fv08=")</f>
        <v>#REF!</v>
      </c>
      <c r="CC479" t="e">
        <f>AND(#REF!,"AAAAAH/fv1A=")</f>
        <v>#REF!</v>
      </c>
      <c r="CD479" t="e">
        <f>AND(#REF!,"AAAAAH/fv1E=")</f>
        <v>#REF!</v>
      </c>
      <c r="CE479" t="e">
        <f>AND(#REF!,"AAAAAH/fv1I=")</f>
        <v>#REF!</v>
      </c>
      <c r="CF479" t="e">
        <f>AND(#REF!,"AAAAAH/fv1M=")</f>
        <v>#REF!</v>
      </c>
      <c r="CG479" t="e">
        <f>AND(#REF!,"AAAAAH/fv1Q=")</f>
        <v>#REF!</v>
      </c>
      <c r="CH479" t="e">
        <f>AND(#REF!,"AAAAAH/fv1U=")</f>
        <v>#REF!</v>
      </c>
      <c r="CI479" t="e">
        <f>AND(#REF!,"AAAAAH/fv1Y=")</f>
        <v>#REF!</v>
      </c>
      <c r="CJ479" t="e">
        <f>AND(#REF!,"AAAAAH/fv1c=")</f>
        <v>#REF!</v>
      </c>
      <c r="CK479" t="e">
        <f>AND(#REF!,"AAAAAH/fv1g=")</f>
        <v>#REF!</v>
      </c>
      <c r="CL479" t="e">
        <f>AND(#REF!,"AAAAAH/fv1k=")</f>
        <v>#REF!</v>
      </c>
      <c r="CM479" t="e">
        <f>AND(#REF!,"AAAAAH/fv1o=")</f>
        <v>#REF!</v>
      </c>
      <c r="CN479" t="e">
        <f>AND(#REF!,"AAAAAH/fv1s=")</f>
        <v>#REF!</v>
      </c>
      <c r="CO479" t="e">
        <f>IF(#REF!,"AAAAAH/fv1w=",0)</f>
        <v>#REF!</v>
      </c>
      <c r="CP479" t="e">
        <f>AND(#REF!,"AAAAAH/fv10=")</f>
        <v>#REF!</v>
      </c>
      <c r="CQ479" t="e">
        <f>AND(#REF!,"AAAAAH/fv14=")</f>
        <v>#REF!</v>
      </c>
      <c r="CR479" t="e">
        <f>AND(#REF!,"AAAAAH/fv18=")</f>
        <v>#REF!</v>
      </c>
      <c r="CS479" t="e">
        <f>AND(#REF!,"AAAAAH/fv2A=")</f>
        <v>#REF!</v>
      </c>
      <c r="CT479" t="e">
        <f>AND(#REF!,"AAAAAH/fv2E=")</f>
        <v>#REF!</v>
      </c>
      <c r="CU479" t="e">
        <f>AND(#REF!,"AAAAAH/fv2I=")</f>
        <v>#REF!</v>
      </c>
      <c r="CV479" t="e">
        <f>AND(#REF!,"AAAAAH/fv2M=")</f>
        <v>#REF!</v>
      </c>
      <c r="CW479" t="e">
        <f>AND(#REF!,"AAAAAH/fv2Q=")</f>
        <v>#REF!</v>
      </c>
      <c r="CX479" t="e">
        <f>AND(#REF!,"AAAAAH/fv2U=")</f>
        <v>#REF!</v>
      </c>
      <c r="CY479" t="e">
        <f>AND(#REF!,"AAAAAH/fv2Y=")</f>
        <v>#REF!</v>
      </c>
      <c r="CZ479" t="e">
        <f>AND(#REF!,"AAAAAH/fv2c=")</f>
        <v>#REF!</v>
      </c>
      <c r="DA479" t="e">
        <f>AND(#REF!,"AAAAAH/fv2g=")</f>
        <v>#REF!</v>
      </c>
      <c r="DB479" t="e">
        <f>AND(#REF!,"AAAAAH/fv2k=")</f>
        <v>#REF!</v>
      </c>
      <c r="DC479" t="e">
        <f>AND(#REF!,"AAAAAH/fv2o=")</f>
        <v>#REF!</v>
      </c>
      <c r="DD479" t="e">
        <f>AND(#REF!,"AAAAAH/fv2s=")</f>
        <v>#REF!</v>
      </c>
      <c r="DE479" t="e">
        <f>AND(#REF!,"AAAAAH/fv2w=")</f>
        <v>#REF!</v>
      </c>
      <c r="DF479" t="e">
        <f>AND(#REF!,"AAAAAH/fv20=")</f>
        <v>#REF!</v>
      </c>
      <c r="DG479" t="e">
        <f>AND(#REF!,"AAAAAH/fv24=")</f>
        <v>#REF!</v>
      </c>
      <c r="DH479" t="e">
        <f>AND(#REF!,"AAAAAH/fv28=")</f>
        <v>#REF!</v>
      </c>
      <c r="DI479" t="e">
        <f>AND(#REF!,"AAAAAH/fv3A=")</f>
        <v>#REF!</v>
      </c>
      <c r="DJ479" t="e">
        <f>AND(#REF!,"AAAAAH/fv3E=")</f>
        <v>#REF!</v>
      </c>
      <c r="DK479" t="e">
        <f>AND(#REF!,"AAAAAH/fv3I=")</f>
        <v>#REF!</v>
      </c>
      <c r="DL479" t="e">
        <f>AND(#REF!,"AAAAAH/fv3M=")</f>
        <v>#REF!</v>
      </c>
      <c r="DM479" t="e">
        <f>AND(#REF!,"AAAAAH/fv3Q=")</f>
        <v>#REF!</v>
      </c>
      <c r="DN479" t="e">
        <f>IF(#REF!,"AAAAAH/fv3U=",0)</f>
        <v>#REF!</v>
      </c>
      <c r="DO479" t="e">
        <f>AND(#REF!,"AAAAAH/fv3Y=")</f>
        <v>#REF!</v>
      </c>
      <c r="DP479" t="e">
        <f>AND(#REF!,"AAAAAH/fv3c=")</f>
        <v>#REF!</v>
      </c>
      <c r="DQ479" t="e">
        <f>AND(#REF!,"AAAAAH/fv3g=")</f>
        <v>#REF!</v>
      </c>
      <c r="DR479" t="e">
        <f>AND(#REF!,"AAAAAH/fv3k=")</f>
        <v>#REF!</v>
      </c>
      <c r="DS479" t="e">
        <f>AND(#REF!,"AAAAAH/fv3o=")</f>
        <v>#REF!</v>
      </c>
      <c r="DT479" t="e">
        <f>AND(#REF!,"AAAAAH/fv3s=")</f>
        <v>#REF!</v>
      </c>
      <c r="DU479" t="e">
        <f>AND(#REF!,"AAAAAH/fv3w=")</f>
        <v>#REF!</v>
      </c>
      <c r="DV479" t="e">
        <f>AND(#REF!,"AAAAAH/fv30=")</f>
        <v>#REF!</v>
      </c>
      <c r="DW479" t="e">
        <f>AND(#REF!,"AAAAAH/fv34=")</f>
        <v>#REF!</v>
      </c>
      <c r="DX479" t="e">
        <f>AND(#REF!,"AAAAAH/fv38=")</f>
        <v>#REF!</v>
      </c>
      <c r="DY479" t="e">
        <f>AND(#REF!,"AAAAAH/fv4A=")</f>
        <v>#REF!</v>
      </c>
      <c r="DZ479" t="e">
        <f>AND(#REF!,"AAAAAH/fv4E=")</f>
        <v>#REF!</v>
      </c>
      <c r="EA479" t="e">
        <f>AND(#REF!,"AAAAAH/fv4I=")</f>
        <v>#REF!</v>
      </c>
      <c r="EB479" t="e">
        <f>AND(#REF!,"AAAAAH/fv4M=")</f>
        <v>#REF!</v>
      </c>
      <c r="EC479" t="e">
        <f>AND(#REF!,"AAAAAH/fv4Q=")</f>
        <v>#REF!</v>
      </c>
      <c r="ED479" t="e">
        <f>AND(#REF!,"AAAAAH/fv4U=")</f>
        <v>#REF!</v>
      </c>
      <c r="EE479" t="e">
        <f>AND(#REF!,"AAAAAH/fv4Y=")</f>
        <v>#REF!</v>
      </c>
      <c r="EF479" t="e">
        <f>AND(#REF!,"AAAAAH/fv4c=")</f>
        <v>#REF!</v>
      </c>
      <c r="EG479" t="e">
        <f>AND(#REF!,"AAAAAH/fv4g=")</f>
        <v>#REF!</v>
      </c>
      <c r="EH479" t="e">
        <f>AND(#REF!,"AAAAAH/fv4k=")</f>
        <v>#REF!</v>
      </c>
      <c r="EI479" t="e">
        <f>AND(#REF!,"AAAAAH/fv4o=")</f>
        <v>#REF!</v>
      </c>
      <c r="EJ479" t="e">
        <f>AND(#REF!,"AAAAAH/fv4s=")</f>
        <v>#REF!</v>
      </c>
      <c r="EK479" t="e">
        <f>AND(#REF!,"AAAAAH/fv4w=")</f>
        <v>#REF!</v>
      </c>
      <c r="EL479" t="e">
        <f>AND(#REF!,"AAAAAH/fv40=")</f>
        <v>#REF!</v>
      </c>
      <c r="EM479" t="e">
        <f>IF(#REF!,"AAAAAH/fv44=",0)</f>
        <v>#REF!</v>
      </c>
      <c r="EN479" t="e">
        <f>AND(#REF!,"AAAAAH/fv48=")</f>
        <v>#REF!</v>
      </c>
      <c r="EO479" t="e">
        <f>AND(#REF!,"AAAAAH/fv5A=")</f>
        <v>#REF!</v>
      </c>
      <c r="EP479" t="e">
        <f>AND(#REF!,"AAAAAH/fv5E=")</f>
        <v>#REF!</v>
      </c>
      <c r="EQ479" t="e">
        <f>AND(#REF!,"AAAAAH/fv5I=")</f>
        <v>#REF!</v>
      </c>
      <c r="ER479" t="e">
        <f>AND(#REF!,"AAAAAH/fv5M=")</f>
        <v>#REF!</v>
      </c>
      <c r="ES479" t="e">
        <f>AND(#REF!,"AAAAAH/fv5Q=")</f>
        <v>#REF!</v>
      </c>
      <c r="ET479" t="e">
        <f>AND(#REF!,"AAAAAH/fv5U=")</f>
        <v>#REF!</v>
      </c>
      <c r="EU479" t="e">
        <f>AND(#REF!,"AAAAAH/fv5Y=")</f>
        <v>#REF!</v>
      </c>
      <c r="EV479" t="e">
        <f>AND(#REF!,"AAAAAH/fv5c=")</f>
        <v>#REF!</v>
      </c>
      <c r="EW479" t="e">
        <f>AND(#REF!,"AAAAAH/fv5g=")</f>
        <v>#REF!</v>
      </c>
      <c r="EX479" t="e">
        <f>AND(#REF!,"AAAAAH/fv5k=")</f>
        <v>#REF!</v>
      </c>
      <c r="EY479" t="e">
        <f>AND(#REF!,"AAAAAH/fv5o=")</f>
        <v>#REF!</v>
      </c>
      <c r="EZ479" t="e">
        <f>AND(#REF!,"AAAAAH/fv5s=")</f>
        <v>#REF!</v>
      </c>
      <c r="FA479" t="e">
        <f>AND(#REF!,"AAAAAH/fv5w=")</f>
        <v>#REF!</v>
      </c>
      <c r="FB479" t="e">
        <f>AND(#REF!,"AAAAAH/fv50=")</f>
        <v>#REF!</v>
      </c>
      <c r="FC479" t="e">
        <f>AND(#REF!,"AAAAAH/fv54=")</f>
        <v>#REF!</v>
      </c>
      <c r="FD479" t="e">
        <f>AND(#REF!,"AAAAAH/fv58=")</f>
        <v>#REF!</v>
      </c>
      <c r="FE479" t="e">
        <f>AND(#REF!,"AAAAAH/fv6A=")</f>
        <v>#REF!</v>
      </c>
      <c r="FF479" t="e">
        <f>AND(#REF!,"AAAAAH/fv6E=")</f>
        <v>#REF!</v>
      </c>
      <c r="FG479" t="e">
        <f>AND(#REF!,"AAAAAH/fv6I=")</f>
        <v>#REF!</v>
      </c>
      <c r="FH479" t="e">
        <f>AND(#REF!,"AAAAAH/fv6M=")</f>
        <v>#REF!</v>
      </c>
      <c r="FI479" t="e">
        <f>AND(#REF!,"AAAAAH/fv6Q=")</f>
        <v>#REF!</v>
      </c>
      <c r="FJ479" t="e">
        <f>AND(#REF!,"AAAAAH/fv6U=")</f>
        <v>#REF!</v>
      </c>
      <c r="FK479" t="e">
        <f>AND(#REF!,"AAAAAH/fv6Y=")</f>
        <v>#REF!</v>
      </c>
      <c r="FL479" t="e">
        <f>IF(#REF!,"AAAAAH/fv6c=",0)</f>
        <v>#REF!</v>
      </c>
      <c r="FM479" t="e">
        <f>AND(#REF!,"AAAAAH/fv6g=")</f>
        <v>#REF!</v>
      </c>
      <c r="FN479" t="e">
        <f>AND(#REF!,"AAAAAH/fv6k=")</f>
        <v>#REF!</v>
      </c>
      <c r="FO479" t="e">
        <f>AND(#REF!,"AAAAAH/fv6o=")</f>
        <v>#REF!</v>
      </c>
      <c r="FP479" t="e">
        <f>AND(#REF!,"AAAAAH/fv6s=")</f>
        <v>#REF!</v>
      </c>
      <c r="FQ479" t="e">
        <f>AND(#REF!,"AAAAAH/fv6w=")</f>
        <v>#REF!</v>
      </c>
      <c r="FR479" t="e">
        <f>AND(#REF!,"AAAAAH/fv60=")</f>
        <v>#REF!</v>
      </c>
      <c r="FS479" t="e">
        <f>AND(#REF!,"AAAAAH/fv64=")</f>
        <v>#REF!</v>
      </c>
      <c r="FT479" t="e">
        <f>AND(#REF!,"AAAAAH/fv68=")</f>
        <v>#REF!</v>
      </c>
      <c r="FU479" t="e">
        <f>AND(#REF!,"AAAAAH/fv7A=")</f>
        <v>#REF!</v>
      </c>
      <c r="FV479" t="e">
        <f>AND(#REF!,"AAAAAH/fv7E=")</f>
        <v>#REF!</v>
      </c>
      <c r="FW479" t="e">
        <f>AND(#REF!,"AAAAAH/fv7I=")</f>
        <v>#REF!</v>
      </c>
      <c r="FX479" t="e">
        <f>AND(#REF!,"AAAAAH/fv7M=")</f>
        <v>#REF!</v>
      </c>
      <c r="FY479" t="e">
        <f>AND(#REF!,"AAAAAH/fv7Q=")</f>
        <v>#REF!</v>
      </c>
      <c r="FZ479" t="e">
        <f>AND(#REF!,"AAAAAH/fv7U=")</f>
        <v>#REF!</v>
      </c>
      <c r="GA479" t="e">
        <f>AND(#REF!,"AAAAAH/fv7Y=")</f>
        <v>#REF!</v>
      </c>
      <c r="GB479" t="e">
        <f>AND(#REF!,"AAAAAH/fv7c=")</f>
        <v>#REF!</v>
      </c>
      <c r="GC479" t="e">
        <f>AND(#REF!,"AAAAAH/fv7g=")</f>
        <v>#REF!</v>
      </c>
      <c r="GD479" t="e">
        <f>AND(#REF!,"AAAAAH/fv7k=")</f>
        <v>#REF!</v>
      </c>
      <c r="GE479" t="e">
        <f>AND(#REF!,"AAAAAH/fv7o=")</f>
        <v>#REF!</v>
      </c>
      <c r="GF479" t="e">
        <f>AND(#REF!,"AAAAAH/fv7s=")</f>
        <v>#REF!</v>
      </c>
      <c r="GG479" t="e">
        <f>AND(#REF!,"AAAAAH/fv7w=")</f>
        <v>#REF!</v>
      </c>
      <c r="GH479" t="e">
        <f>AND(#REF!,"AAAAAH/fv70=")</f>
        <v>#REF!</v>
      </c>
      <c r="GI479" t="e">
        <f>AND(#REF!,"AAAAAH/fv74=")</f>
        <v>#REF!</v>
      </c>
      <c r="GJ479" t="e">
        <f>AND(#REF!,"AAAAAH/fv78=")</f>
        <v>#REF!</v>
      </c>
      <c r="GK479" t="e">
        <f>IF(#REF!,"AAAAAH/fv8A=",0)</f>
        <v>#REF!</v>
      </c>
      <c r="GL479" t="e">
        <f>AND(#REF!,"AAAAAH/fv8E=")</f>
        <v>#REF!</v>
      </c>
      <c r="GM479" t="e">
        <f>AND(#REF!,"AAAAAH/fv8I=")</f>
        <v>#REF!</v>
      </c>
      <c r="GN479" t="e">
        <f>AND(#REF!,"AAAAAH/fv8M=")</f>
        <v>#REF!</v>
      </c>
      <c r="GO479" t="e">
        <f>AND(#REF!,"AAAAAH/fv8Q=")</f>
        <v>#REF!</v>
      </c>
      <c r="GP479" t="e">
        <f>AND(#REF!,"AAAAAH/fv8U=")</f>
        <v>#REF!</v>
      </c>
      <c r="GQ479" t="e">
        <f>AND(#REF!,"AAAAAH/fv8Y=")</f>
        <v>#REF!</v>
      </c>
      <c r="GR479" t="e">
        <f>AND(#REF!,"AAAAAH/fv8c=")</f>
        <v>#REF!</v>
      </c>
      <c r="GS479" t="e">
        <f>AND(#REF!,"AAAAAH/fv8g=")</f>
        <v>#REF!</v>
      </c>
      <c r="GT479" t="e">
        <f>AND(#REF!,"AAAAAH/fv8k=")</f>
        <v>#REF!</v>
      </c>
      <c r="GU479" t="e">
        <f>AND(#REF!,"AAAAAH/fv8o=")</f>
        <v>#REF!</v>
      </c>
      <c r="GV479" t="e">
        <f>AND(#REF!,"AAAAAH/fv8s=")</f>
        <v>#REF!</v>
      </c>
      <c r="GW479" t="e">
        <f>AND(#REF!,"AAAAAH/fv8w=")</f>
        <v>#REF!</v>
      </c>
      <c r="GX479" t="e">
        <f>AND(#REF!,"AAAAAH/fv80=")</f>
        <v>#REF!</v>
      </c>
      <c r="GY479" t="e">
        <f>AND(#REF!,"AAAAAH/fv84=")</f>
        <v>#REF!</v>
      </c>
      <c r="GZ479" t="e">
        <f>AND(#REF!,"AAAAAH/fv88=")</f>
        <v>#REF!</v>
      </c>
      <c r="HA479" t="e">
        <f>AND(#REF!,"AAAAAH/fv9A=")</f>
        <v>#REF!</v>
      </c>
      <c r="HB479" t="e">
        <f>AND(#REF!,"AAAAAH/fv9E=")</f>
        <v>#REF!</v>
      </c>
      <c r="HC479" t="e">
        <f>AND(#REF!,"AAAAAH/fv9I=")</f>
        <v>#REF!</v>
      </c>
      <c r="HD479" t="e">
        <f>AND(#REF!,"AAAAAH/fv9M=")</f>
        <v>#REF!</v>
      </c>
      <c r="HE479" t="e">
        <f>AND(#REF!,"AAAAAH/fv9Q=")</f>
        <v>#REF!</v>
      </c>
      <c r="HF479" t="e">
        <f>AND(#REF!,"AAAAAH/fv9U=")</f>
        <v>#REF!</v>
      </c>
      <c r="HG479" t="e">
        <f>AND(#REF!,"AAAAAH/fv9Y=")</f>
        <v>#REF!</v>
      </c>
      <c r="HH479" t="e">
        <f>AND(#REF!,"AAAAAH/fv9c=")</f>
        <v>#REF!</v>
      </c>
      <c r="HI479" t="e">
        <f>AND(#REF!,"AAAAAH/fv9g=")</f>
        <v>#REF!</v>
      </c>
      <c r="HJ479" t="e">
        <f>IF(#REF!,"AAAAAH/fv9k=",0)</f>
        <v>#REF!</v>
      </c>
      <c r="HK479" t="e">
        <f>AND(#REF!,"AAAAAH/fv9o=")</f>
        <v>#REF!</v>
      </c>
      <c r="HL479" t="e">
        <f>AND(#REF!,"AAAAAH/fv9s=")</f>
        <v>#REF!</v>
      </c>
      <c r="HM479" t="e">
        <f>AND(#REF!,"AAAAAH/fv9w=")</f>
        <v>#REF!</v>
      </c>
      <c r="HN479" t="e">
        <f>AND(#REF!,"AAAAAH/fv90=")</f>
        <v>#REF!</v>
      </c>
      <c r="HO479" t="e">
        <f>AND(#REF!,"AAAAAH/fv94=")</f>
        <v>#REF!</v>
      </c>
      <c r="HP479" t="e">
        <f>AND(#REF!,"AAAAAH/fv98=")</f>
        <v>#REF!</v>
      </c>
      <c r="HQ479" t="e">
        <f>AND(#REF!,"AAAAAH/fv+A=")</f>
        <v>#REF!</v>
      </c>
      <c r="HR479" t="e">
        <f>AND(#REF!,"AAAAAH/fv+E=")</f>
        <v>#REF!</v>
      </c>
      <c r="HS479" t="e">
        <f>AND(#REF!,"AAAAAH/fv+I=")</f>
        <v>#REF!</v>
      </c>
      <c r="HT479" t="e">
        <f>AND(#REF!,"AAAAAH/fv+M=")</f>
        <v>#REF!</v>
      </c>
      <c r="HU479" t="e">
        <f>AND(#REF!,"AAAAAH/fv+Q=")</f>
        <v>#REF!</v>
      </c>
      <c r="HV479" t="e">
        <f>AND(#REF!,"AAAAAH/fv+U=")</f>
        <v>#REF!</v>
      </c>
      <c r="HW479" t="e">
        <f>AND(#REF!,"AAAAAH/fv+Y=")</f>
        <v>#REF!</v>
      </c>
      <c r="HX479" t="e">
        <f>AND(#REF!,"AAAAAH/fv+c=")</f>
        <v>#REF!</v>
      </c>
      <c r="HY479" t="e">
        <f>AND(#REF!,"AAAAAH/fv+g=")</f>
        <v>#REF!</v>
      </c>
      <c r="HZ479" t="e">
        <f>AND(#REF!,"AAAAAH/fv+k=")</f>
        <v>#REF!</v>
      </c>
      <c r="IA479" t="e">
        <f>AND(#REF!,"AAAAAH/fv+o=")</f>
        <v>#REF!</v>
      </c>
      <c r="IB479" t="e">
        <f>AND(#REF!,"AAAAAH/fv+s=")</f>
        <v>#REF!</v>
      </c>
      <c r="IC479" t="e">
        <f>AND(#REF!,"AAAAAH/fv+w=")</f>
        <v>#REF!</v>
      </c>
      <c r="ID479" t="e">
        <f>AND(#REF!,"AAAAAH/fv+0=")</f>
        <v>#REF!</v>
      </c>
      <c r="IE479" t="e">
        <f>AND(#REF!,"AAAAAH/fv+4=")</f>
        <v>#REF!</v>
      </c>
      <c r="IF479" t="e">
        <f>AND(#REF!,"AAAAAH/fv+8=")</f>
        <v>#REF!</v>
      </c>
      <c r="IG479" t="e">
        <f>AND(#REF!,"AAAAAH/fv/A=")</f>
        <v>#REF!</v>
      </c>
      <c r="IH479" t="e">
        <f>AND(#REF!,"AAAAAH/fv/E=")</f>
        <v>#REF!</v>
      </c>
      <c r="II479" t="e">
        <f>IF(#REF!,"AAAAAH/fv/I=",0)</f>
        <v>#REF!</v>
      </c>
      <c r="IJ479" t="e">
        <f>AND(#REF!,"AAAAAH/fv/M=")</f>
        <v>#REF!</v>
      </c>
      <c r="IK479" t="e">
        <f>AND(#REF!,"AAAAAH/fv/Q=")</f>
        <v>#REF!</v>
      </c>
      <c r="IL479" t="e">
        <f>AND(#REF!,"AAAAAH/fv/U=")</f>
        <v>#REF!</v>
      </c>
      <c r="IM479" t="e">
        <f>AND(#REF!,"AAAAAH/fv/Y=")</f>
        <v>#REF!</v>
      </c>
      <c r="IN479" t="e">
        <f>AND(#REF!,"AAAAAH/fv/c=")</f>
        <v>#REF!</v>
      </c>
      <c r="IO479" t="e">
        <f>AND(#REF!,"AAAAAH/fv/g=")</f>
        <v>#REF!</v>
      </c>
      <c r="IP479" t="e">
        <f>AND(#REF!,"AAAAAH/fv/k=")</f>
        <v>#REF!</v>
      </c>
      <c r="IQ479" t="e">
        <f>AND(#REF!,"AAAAAH/fv/o=")</f>
        <v>#REF!</v>
      </c>
      <c r="IR479" t="e">
        <f>AND(#REF!,"AAAAAH/fv/s=")</f>
        <v>#REF!</v>
      </c>
      <c r="IS479" t="e">
        <f>AND(#REF!,"AAAAAH/fv/w=")</f>
        <v>#REF!</v>
      </c>
      <c r="IT479" t="e">
        <f>AND(#REF!,"AAAAAH/fv/0=")</f>
        <v>#REF!</v>
      </c>
      <c r="IU479" t="e">
        <f>AND(#REF!,"AAAAAH/fv/4=")</f>
        <v>#REF!</v>
      </c>
      <c r="IV479" t="e">
        <f>AND(#REF!,"AAAAAH/fv/8=")</f>
        <v>#REF!</v>
      </c>
    </row>
    <row r="480" spans="1:256">
      <c r="A480" t="e">
        <f>AND(#REF!,"AAAAAG+f/QA=")</f>
        <v>#REF!</v>
      </c>
      <c r="B480" t="e">
        <f>AND(#REF!,"AAAAAG+f/QE=")</f>
        <v>#REF!</v>
      </c>
      <c r="C480" t="e">
        <f>AND(#REF!,"AAAAAG+f/QI=")</f>
        <v>#REF!</v>
      </c>
      <c r="D480" t="e">
        <f>AND(#REF!,"AAAAAG+f/QM=")</f>
        <v>#REF!</v>
      </c>
      <c r="E480" t="e">
        <f>AND(#REF!,"AAAAAG+f/QQ=")</f>
        <v>#REF!</v>
      </c>
      <c r="F480" t="e">
        <f>AND(#REF!,"AAAAAG+f/QU=")</f>
        <v>#REF!</v>
      </c>
      <c r="G480" t="e">
        <f>AND(#REF!,"AAAAAG+f/QY=")</f>
        <v>#REF!</v>
      </c>
      <c r="H480" t="e">
        <f>AND(#REF!,"AAAAAG+f/Qc=")</f>
        <v>#REF!</v>
      </c>
      <c r="I480" t="e">
        <f>AND(#REF!,"AAAAAG+f/Qg=")</f>
        <v>#REF!</v>
      </c>
      <c r="J480" t="e">
        <f>AND(#REF!,"AAAAAG+f/Qk=")</f>
        <v>#REF!</v>
      </c>
      <c r="K480" t="e">
        <f>AND(#REF!,"AAAAAG+f/Qo=")</f>
        <v>#REF!</v>
      </c>
      <c r="L480" t="e">
        <f>IF(#REF!,"AAAAAG+f/Qs=",0)</f>
        <v>#REF!</v>
      </c>
      <c r="M480" t="e">
        <f>AND(#REF!,"AAAAAG+f/Qw=")</f>
        <v>#REF!</v>
      </c>
      <c r="N480" t="e">
        <f>AND(#REF!,"AAAAAG+f/Q0=")</f>
        <v>#REF!</v>
      </c>
      <c r="O480" t="e">
        <f>AND(#REF!,"AAAAAG+f/Q4=")</f>
        <v>#REF!</v>
      </c>
      <c r="P480" t="e">
        <f>AND(#REF!,"AAAAAG+f/Q8=")</f>
        <v>#REF!</v>
      </c>
      <c r="Q480" t="e">
        <f>AND(#REF!,"AAAAAG+f/RA=")</f>
        <v>#REF!</v>
      </c>
      <c r="R480" t="e">
        <f>AND(#REF!,"AAAAAG+f/RE=")</f>
        <v>#REF!</v>
      </c>
      <c r="S480" t="e">
        <f>AND(#REF!,"AAAAAG+f/RI=")</f>
        <v>#REF!</v>
      </c>
      <c r="T480" t="e">
        <f>AND(#REF!,"AAAAAG+f/RM=")</f>
        <v>#REF!</v>
      </c>
      <c r="U480" t="e">
        <f>AND(#REF!,"AAAAAG+f/RQ=")</f>
        <v>#REF!</v>
      </c>
      <c r="V480" t="e">
        <f>AND(#REF!,"AAAAAG+f/RU=")</f>
        <v>#REF!</v>
      </c>
      <c r="W480" t="e">
        <f>AND(#REF!,"AAAAAG+f/RY=")</f>
        <v>#REF!</v>
      </c>
      <c r="X480" t="e">
        <f>AND(#REF!,"AAAAAG+f/Rc=")</f>
        <v>#REF!</v>
      </c>
      <c r="Y480" t="e">
        <f>AND(#REF!,"AAAAAG+f/Rg=")</f>
        <v>#REF!</v>
      </c>
      <c r="Z480" t="e">
        <f>AND(#REF!,"AAAAAG+f/Rk=")</f>
        <v>#REF!</v>
      </c>
      <c r="AA480" t="e">
        <f>AND(#REF!,"AAAAAG+f/Ro=")</f>
        <v>#REF!</v>
      </c>
      <c r="AB480" t="e">
        <f>AND(#REF!,"AAAAAG+f/Rs=")</f>
        <v>#REF!</v>
      </c>
      <c r="AC480" t="e">
        <f>AND(#REF!,"AAAAAG+f/Rw=")</f>
        <v>#REF!</v>
      </c>
      <c r="AD480" t="e">
        <f>AND(#REF!,"AAAAAG+f/R0=")</f>
        <v>#REF!</v>
      </c>
      <c r="AE480" t="e">
        <f>AND(#REF!,"AAAAAG+f/R4=")</f>
        <v>#REF!</v>
      </c>
      <c r="AF480" t="e">
        <f>AND(#REF!,"AAAAAG+f/R8=")</f>
        <v>#REF!</v>
      </c>
      <c r="AG480" t="e">
        <f>AND(#REF!,"AAAAAG+f/SA=")</f>
        <v>#REF!</v>
      </c>
      <c r="AH480" t="e">
        <f>AND(#REF!,"AAAAAG+f/SE=")</f>
        <v>#REF!</v>
      </c>
      <c r="AI480" t="e">
        <f>AND(#REF!,"AAAAAG+f/SI=")</f>
        <v>#REF!</v>
      </c>
      <c r="AJ480" t="e">
        <f>AND(#REF!,"AAAAAG+f/SM=")</f>
        <v>#REF!</v>
      </c>
      <c r="AK480" t="e">
        <f>IF(#REF!,"AAAAAG+f/SQ=",0)</f>
        <v>#REF!</v>
      </c>
      <c r="AL480" t="e">
        <f>AND(#REF!,"AAAAAG+f/SU=")</f>
        <v>#REF!</v>
      </c>
      <c r="AM480" t="e">
        <f>AND(#REF!,"AAAAAG+f/SY=")</f>
        <v>#REF!</v>
      </c>
      <c r="AN480" t="e">
        <f>AND(#REF!,"AAAAAG+f/Sc=")</f>
        <v>#REF!</v>
      </c>
      <c r="AO480" t="e">
        <f>AND(#REF!,"AAAAAG+f/Sg=")</f>
        <v>#REF!</v>
      </c>
      <c r="AP480" t="e">
        <f>AND(#REF!,"AAAAAG+f/Sk=")</f>
        <v>#REF!</v>
      </c>
      <c r="AQ480" t="e">
        <f>AND(#REF!,"AAAAAG+f/So=")</f>
        <v>#REF!</v>
      </c>
      <c r="AR480" t="e">
        <f>AND(#REF!,"AAAAAG+f/Ss=")</f>
        <v>#REF!</v>
      </c>
      <c r="AS480" t="e">
        <f>AND(#REF!,"AAAAAG+f/Sw=")</f>
        <v>#REF!</v>
      </c>
      <c r="AT480" t="e">
        <f>AND(#REF!,"AAAAAG+f/S0=")</f>
        <v>#REF!</v>
      </c>
      <c r="AU480" t="e">
        <f>AND(#REF!,"AAAAAG+f/S4=")</f>
        <v>#REF!</v>
      </c>
      <c r="AV480" t="e">
        <f>AND(#REF!,"AAAAAG+f/S8=")</f>
        <v>#REF!</v>
      </c>
      <c r="AW480" t="e">
        <f>AND(#REF!,"AAAAAG+f/TA=")</f>
        <v>#REF!</v>
      </c>
      <c r="AX480" t="e">
        <f>AND(#REF!,"AAAAAG+f/TE=")</f>
        <v>#REF!</v>
      </c>
      <c r="AY480" t="e">
        <f>AND(#REF!,"AAAAAG+f/TI=")</f>
        <v>#REF!</v>
      </c>
      <c r="AZ480" t="e">
        <f>AND(#REF!,"AAAAAG+f/TM=")</f>
        <v>#REF!</v>
      </c>
      <c r="BA480" t="e">
        <f>AND(#REF!,"AAAAAG+f/TQ=")</f>
        <v>#REF!</v>
      </c>
      <c r="BB480" t="e">
        <f>AND(#REF!,"AAAAAG+f/TU=")</f>
        <v>#REF!</v>
      </c>
      <c r="BC480" t="e">
        <f>AND(#REF!,"AAAAAG+f/TY=")</f>
        <v>#REF!</v>
      </c>
      <c r="BD480" t="e">
        <f>AND(#REF!,"AAAAAG+f/Tc=")</f>
        <v>#REF!</v>
      </c>
      <c r="BE480" t="e">
        <f>AND(#REF!,"AAAAAG+f/Tg=")</f>
        <v>#REF!</v>
      </c>
      <c r="BF480" t="e">
        <f>AND(#REF!,"AAAAAG+f/Tk=")</f>
        <v>#REF!</v>
      </c>
      <c r="BG480" t="e">
        <f>AND(#REF!,"AAAAAG+f/To=")</f>
        <v>#REF!</v>
      </c>
      <c r="BH480" t="e">
        <f>AND(#REF!,"AAAAAG+f/Ts=")</f>
        <v>#REF!</v>
      </c>
      <c r="BI480" t="e">
        <f>AND(#REF!,"AAAAAG+f/Tw=")</f>
        <v>#REF!</v>
      </c>
      <c r="BJ480" t="e">
        <f>IF(#REF!,"AAAAAG+f/T0=",0)</f>
        <v>#REF!</v>
      </c>
      <c r="BK480" t="e">
        <f>AND(#REF!,"AAAAAG+f/T4=")</f>
        <v>#REF!</v>
      </c>
      <c r="BL480" t="e">
        <f>AND(#REF!,"AAAAAG+f/T8=")</f>
        <v>#REF!</v>
      </c>
      <c r="BM480" t="e">
        <f>AND(#REF!,"AAAAAG+f/UA=")</f>
        <v>#REF!</v>
      </c>
      <c r="BN480" t="e">
        <f>AND(#REF!,"AAAAAG+f/UE=")</f>
        <v>#REF!</v>
      </c>
      <c r="BO480" t="e">
        <f>AND(#REF!,"AAAAAG+f/UI=")</f>
        <v>#REF!</v>
      </c>
      <c r="BP480" t="e">
        <f>AND(#REF!,"AAAAAG+f/UM=")</f>
        <v>#REF!</v>
      </c>
      <c r="BQ480" t="e">
        <f>AND(#REF!,"AAAAAG+f/UQ=")</f>
        <v>#REF!</v>
      </c>
      <c r="BR480" t="e">
        <f>AND(#REF!,"AAAAAG+f/UU=")</f>
        <v>#REF!</v>
      </c>
      <c r="BS480" t="e">
        <f>AND(#REF!,"AAAAAG+f/UY=")</f>
        <v>#REF!</v>
      </c>
      <c r="BT480" t="e">
        <f>AND(#REF!,"AAAAAG+f/Uc=")</f>
        <v>#REF!</v>
      </c>
      <c r="BU480" t="e">
        <f>AND(#REF!,"AAAAAG+f/Ug=")</f>
        <v>#REF!</v>
      </c>
      <c r="BV480" t="e">
        <f>AND(#REF!,"AAAAAG+f/Uk=")</f>
        <v>#REF!</v>
      </c>
      <c r="BW480" t="e">
        <f>AND(#REF!,"AAAAAG+f/Uo=")</f>
        <v>#REF!</v>
      </c>
      <c r="BX480" t="e">
        <f>AND(#REF!,"AAAAAG+f/Us=")</f>
        <v>#REF!</v>
      </c>
      <c r="BY480" t="e">
        <f>AND(#REF!,"AAAAAG+f/Uw=")</f>
        <v>#REF!</v>
      </c>
      <c r="BZ480" t="e">
        <f>AND(#REF!,"AAAAAG+f/U0=")</f>
        <v>#REF!</v>
      </c>
      <c r="CA480" t="e">
        <f>AND(#REF!,"AAAAAG+f/U4=")</f>
        <v>#REF!</v>
      </c>
      <c r="CB480" t="e">
        <f>AND(#REF!,"AAAAAG+f/U8=")</f>
        <v>#REF!</v>
      </c>
      <c r="CC480" t="e">
        <f>AND(#REF!,"AAAAAG+f/VA=")</f>
        <v>#REF!</v>
      </c>
      <c r="CD480" t="e">
        <f>AND(#REF!,"AAAAAG+f/VE=")</f>
        <v>#REF!</v>
      </c>
      <c r="CE480" t="e">
        <f>AND(#REF!,"AAAAAG+f/VI=")</f>
        <v>#REF!</v>
      </c>
      <c r="CF480" t="e">
        <f>AND(#REF!,"AAAAAG+f/VM=")</f>
        <v>#REF!</v>
      </c>
      <c r="CG480" t="e">
        <f>AND(#REF!,"AAAAAG+f/VQ=")</f>
        <v>#REF!</v>
      </c>
      <c r="CH480" t="e">
        <f>AND(#REF!,"AAAAAG+f/VU=")</f>
        <v>#REF!</v>
      </c>
      <c r="CI480" t="e">
        <f>IF(#REF!,"AAAAAG+f/VY=",0)</f>
        <v>#REF!</v>
      </c>
      <c r="CJ480" t="e">
        <f>AND(#REF!,"AAAAAG+f/Vc=")</f>
        <v>#REF!</v>
      </c>
      <c r="CK480" t="e">
        <f>AND(#REF!,"AAAAAG+f/Vg=")</f>
        <v>#REF!</v>
      </c>
      <c r="CL480" t="e">
        <f>AND(#REF!,"AAAAAG+f/Vk=")</f>
        <v>#REF!</v>
      </c>
      <c r="CM480" t="e">
        <f>AND(#REF!,"AAAAAG+f/Vo=")</f>
        <v>#REF!</v>
      </c>
      <c r="CN480" t="e">
        <f>AND(#REF!,"AAAAAG+f/Vs=")</f>
        <v>#REF!</v>
      </c>
      <c r="CO480" t="e">
        <f>AND(#REF!,"AAAAAG+f/Vw=")</f>
        <v>#REF!</v>
      </c>
      <c r="CP480" t="e">
        <f>AND(#REF!,"AAAAAG+f/V0=")</f>
        <v>#REF!</v>
      </c>
      <c r="CQ480" t="e">
        <f>AND(#REF!,"AAAAAG+f/V4=")</f>
        <v>#REF!</v>
      </c>
      <c r="CR480" t="e">
        <f>AND(#REF!,"AAAAAG+f/V8=")</f>
        <v>#REF!</v>
      </c>
      <c r="CS480" t="e">
        <f>AND(#REF!,"AAAAAG+f/WA=")</f>
        <v>#REF!</v>
      </c>
      <c r="CT480" t="e">
        <f>AND(#REF!,"AAAAAG+f/WE=")</f>
        <v>#REF!</v>
      </c>
      <c r="CU480" t="e">
        <f>AND(#REF!,"AAAAAG+f/WI=")</f>
        <v>#REF!</v>
      </c>
      <c r="CV480" t="e">
        <f>AND(#REF!,"AAAAAG+f/WM=")</f>
        <v>#REF!</v>
      </c>
      <c r="CW480" t="e">
        <f>AND(#REF!,"AAAAAG+f/WQ=")</f>
        <v>#REF!</v>
      </c>
      <c r="CX480" t="e">
        <f>AND(#REF!,"AAAAAG+f/WU=")</f>
        <v>#REF!</v>
      </c>
      <c r="CY480" t="e">
        <f>AND(#REF!,"AAAAAG+f/WY=")</f>
        <v>#REF!</v>
      </c>
      <c r="CZ480" t="e">
        <f>AND(#REF!,"AAAAAG+f/Wc=")</f>
        <v>#REF!</v>
      </c>
      <c r="DA480" t="e">
        <f>AND(#REF!,"AAAAAG+f/Wg=")</f>
        <v>#REF!</v>
      </c>
      <c r="DB480" t="e">
        <f>AND(#REF!,"AAAAAG+f/Wk=")</f>
        <v>#REF!</v>
      </c>
      <c r="DC480" t="e">
        <f>AND(#REF!,"AAAAAG+f/Wo=")</f>
        <v>#REF!</v>
      </c>
      <c r="DD480" t="e">
        <f>AND(#REF!,"AAAAAG+f/Ws=")</f>
        <v>#REF!</v>
      </c>
      <c r="DE480" t="e">
        <f>AND(#REF!,"AAAAAG+f/Ww=")</f>
        <v>#REF!</v>
      </c>
      <c r="DF480" t="e">
        <f>AND(#REF!,"AAAAAG+f/W0=")</f>
        <v>#REF!</v>
      </c>
      <c r="DG480" t="e">
        <f>AND(#REF!,"AAAAAG+f/W4=")</f>
        <v>#REF!</v>
      </c>
      <c r="DH480" t="e">
        <f>IF(#REF!,"AAAAAG+f/W8=",0)</f>
        <v>#REF!</v>
      </c>
      <c r="DI480" t="e">
        <f>AND(#REF!,"AAAAAG+f/XA=")</f>
        <v>#REF!</v>
      </c>
      <c r="DJ480" t="e">
        <f>AND(#REF!,"AAAAAG+f/XE=")</f>
        <v>#REF!</v>
      </c>
      <c r="DK480" t="e">
        <f>AND(#REF!,"AAAAAG+f/XI=")</f>
        <v>#REF!</v>
      </c>
      <c r="DL480" t="e">
        <f>AND(#REF!,"AAAAAG+f/XM=")</f>
        <v>#REF!</v>
      </c>
      <c r="DM480" t="e">
        <f>AND(#REF!,"AAAAAG+f/XQ=")</f>
        <v>#REF!</v>
      </c>
      <c r="DN480" t="e">
        <f>AND(#REF!,"AAAAAG+f/XU=")</f>
        <v>#REF!</v>
      </c>
      <c r="DO480" t="e">
        <f>AND(#REF!,"AAAAAG+f/XY=")</f>
        <v>#REF!</v>
      </c>
      <c r="DP480" t="e">
        <f>AND(#REF!,"AAAAAG+f/Xc=")</f>
        <v>#REF!</v>
      </c>
      <c r="DQ480" t="e">
        <f>AND(#REF!,"AAAAAG+f/Xg=")</f>
        <v>#REF!</v>
      </c>
      <c r="DR480" t="e">
        <f>AND(#REF!,"AAAAAG+f/Xk=")</f>
        <v>#REF!</v>
      </c>
      <c r="DS480" t="e">
        <f>AND(#REF!,"AAAAAG+f/Xo=")</f>
        <v>#REF!</v>
      </c>
      <c r="DT480" t="e">
        <f>AND(#REF!,"AAAAAG+f/Xs=")</f>
        <v>#REF!</v>
      </c>
      <c r="DU480" t="e">
        <f>AND(#REF!,"AAAAAG+f/Xw=")</f>
        <v>#REF!</v>
      </c>
      <c r="DV480" t="e">
        <f>AND(#REF!,"AAAAAG+f/X0=")</f>
        <v>#REF!</v>
      </c>
      <c r="DW480" t="e">
        <f>AND(#REF!,"AAAAAG+f/X4=")</f>
        <v>#REF!</v>
      </c>
      <c r="DX480" t="e">
        <f>AND(#REF!,"AAAAAG+f/X8=")</f>
        <v>#REF!</v>
      </c>
      <c r="DY480" t="e">
        <f>AND(#REF!,"AAAAAG+f/YA=")</f>
        <v>#REF!</v>
      </c>
      <c r="DZ480" t="e">
        <f>AND(#REF!,"AAAAAG+f/YE=")</f>
        <v>#REF!</v>
      </c>
      <c r="EA480" t="e">
        <f>AND(#REF!,"AAAAAG+f/YI=")</f>
        <v>#REF!</v>
      </c>
      <c r="EB480" t="e">
        <f>AND(#REF!,"AAAAAG+f/YM=")</f>
        <v>#REF!</v>
      </c>
      <c r="EC480" t="e">
        <f>AND(#REF!,"AAAAAG+f/YQ=")</f>
        <v>#REF!</v>
      </c>
      <c r="ED480" t="e">
        <f>AND(#REF!,"AAAAAG+f/YU=")</f>
        <v>#REF!</v>
      </c>
      <c r="EE480" t="e">
        <f>AND(#REF!,"AAAAAG+f/YY=")</f>
        <v>#REF!</v>
      </c>
      <c r="EF480" t="e">
        <f>AND(#REF!,"AAAAAG+f/Yc=")</f>
        <v>#REF!</v>
      </c>
      <c r="EG480" t="e">
        <f>IF(#REF!,"AAAAAG+f/Yg=",0)</f>
        <v>#REF!</v>
      </c>
      <c r="EH480" t="e">
        <f>AND(#REF!,"AAAAAG+f/Yk=")</f>
        <v>#REF!</v>
      </c>
      <c r="EI480" t="e">
        <f>AND(#REF!,"AAAAAG+f/Yo=")</f>
        <v>#REF!</v>
      </c>
      <c r="EJ480" t="e">
        <f>AND(#REF!,"AAAAAG+f/Ys=")</f>
        <v>#REF!</v>
      </c>
      <c r="EK480" t="e">
        <f>AND(#REF!,"AAAAAG+f/Yw=")</f>
        <v>#REF!</v>
      </c>
      <c r="EL480" t="e">
        <f>AND(#REF!,"AAAAAG+f/Y0=")</f>
        <v>#REF!</v>
      </c>
      <c r="EM480" t="e">
        <f>AND(#REF!,"AAAAAG+f/Y4=")</f>
        <v>#REF!</v>
      </c>
      <c r="EN480" t="e">
        <f>AND(#REF!,"AAAAAG+f/Y8=")</f>
        <v>#REF!</v>
      </c>
      <c r="EO480" t="e">
        <f>AND(#REF!,"AAAAAG+f/ZA=")</f>
        <v>#REF!</v>
      </c>
      <c r="EP480" t="e">
        <f>AND(#REF!,"AAAAAG+f/ZE=")</f>
        <v>#REF!</v>
      </c>
      <c r="EQ480" t="e">
        <f>AND(#REF!,"AAAAAG+f/ZI=")</f>
        <v>#REF!</v>
      </c>
      <c r="ER480" t="e">
        <f>AND(#REF!,"AAAAAG+f/ZM=")</f>
        <v>#REF!</v>
      </c>
      <c r="ES480" t="e">
        <f>AND(#REF!,"AAAAAG+f/ZQ=")</f>
        <v>#REF!</v>
      </c>
      <c r="ET480" t="e">
        <f>AND(#REF!,"AAAAAG+f/ZU=")</f>
        <v>#REF!</v>
      </c>
      <c r="EU480" t="e">
        <f>AND(#REF!,"AAAAAG+f/ZY=")</f>
        <v>#REF!</v>
      </c>
      <c r="EV480" t="e">
        <f>AND(#REF!,"AAAAAG+f/Zc=")</f>
        <v>#REF!</v>
      </c>
      <c r="EW480" t="e">
        <f>AND(#REF!,"AAAAAG+f/Zg=")</f>
        <v>#REF!</v>
      </c>
      <c r="EX480" t="e">
        <f>AND(#REF!,"AAAAAG+f/Zk=")</f>
        <v>#REF!</v>
      </c>
      <c r="EY480" t="e">
        <f>AND(#REF!,"AAAAAG+f/Zo=")</f>
        <v>#REF!</v>
      </c>
      <c r="EZ480" t="e">
        <f>AND(#REF!,"AAAAAG+f/Zs=")</f>
        <v>#REF!</v>
      </c>
      <c r="FA480" t="e">
        <f>AND(#REF!,"AAAAAG+f/Zw=")</f>
        <v>#REF!</v>
      </c>
      <c r="FB480" t="e">
        <f>AND(#REF!,"AAAAAG+f/Z0=")</f>
        <v>#REF!</v>
      </c>
      <c r="FC480" t="e">
        <f>AND(#REF!,"AAAAAG+f/Z4=")</f>
        <v>#REF!</v>
      </c>
      <c r="FD480" t="e">
        <f>AND(#REF!,"AAAAAG+f/Z8=")</f>
        <v>#REF!</v>
      </c>
      <c r="FE480" t="e">
        <f>AND(#REF!,"AAAAAG+f/aA=")</f>
        <v>#REF!</v>
      </c>
      <c r="FF480" t="e">
        <f>IF(#REF!,"AAAAAG+f/aE=",0)</f>
        <v>#REF!</v>
      </c>
      <c r="FG480" t="e">
        <f>AND(#REF!,"AAAAAG+f/aI=")</f>
        <v>#REF!</v>
      </c>
      <c r="FH480" t="e">
        <f>AND(#REF!,"AAAAAG+f/aM=")</f>
        <v>#REF!</v>
      </c>
      <c r="FI480" t="e">
        <f>AND(#REF!,"AAAAAG+f/aQ=")</f>
        <v>#REF!</v>
      </c>
      <c r="FJ480" t="e">
        <f>AND(#REF!,"AAAAAG+f/aU=")</f>
        <v>#REF!</v>
      </c>
      <c r="FK480" t="e">
        <f>AND(#REF!,"AAAAAG+f/aY=")</f>
        <v>#REF!</v>
      </c>
      <c r="FL480" t="e">
        <f>AND(#REF!,"AAAAAG+f/ac=")</f>
        <v>#REF!</v>
      </c>
      <c r="FM480" t="e">
        <f>AND(#REF!,"AAAAAG+f/ag=")</f>
        <v>#REF!</v>
      </c>
      <c r="FN480" t="e">
        <f>AND(#REF!,"AAAAAG+f/ak=")</f>
        <v>#REF!</v>
      </c>
      <c r="FO480" t="e">
        <f>AND(#REF!,"AAAAAG+f/ao=")</f>
        <v>#REF!</v>
      </c>
      <c r="FP480" t="e">
        <f>AND(#REF!,"AAAAAG+f/as=")</f>
        <v>#REF!</v>
      </c>
      <c r="FQ480" t="e">
        <f>AND(#REF!,"AAAAAG+f/aw=")</f>
        <v>#REF!</v>
      </c>
      <c r="FR480" t="e">
        <f>AND(#REF!,"AAAAAG+f/a0=")</f>
        <v>#REF!</v>
      </c>
      <c r="FS480" t="e">
        <f>AND(#REF!,"AAAAAG+f/a4=")</f>
        <v>#REF!</v>
      </c>
      <c r="FT480" t="e">
        <f>AND(#REF!,"AAAAAG+f/a8=")</f>
        <v>#REF!</v>
      </c>
      <c r="FU480" t="e">
        <f>AND(#REF!,"AAAAAG+f/bA=")</f>
        <v>#REF!</v>
      </c>
      <c r="FV480" t="e">
        <f>AND(#REF!,"AAAAAG+f/bE=")</f>
        <v>#REF!</v>
      </c>
      <c r="FW480" t="e">
        <f>AND(#REF!,"AAAAAG+f/bI=")</f>
        <v>#REF!</v>
      </c>
      <c r="FX480" t="e">
        <f>AND(#REF!,"AAAAAG+f/bM=")</f>
        <v>#REF!</v>
      </c>
      <c r="FY480" t="e">
        <f>AND(#REF!,"AAAAAG+f/bQ=")</f>
        <v>#REF!</v>
      </c>
      <c r="FZ480" t="e">
        <f>AND(#REF!,"AAAAAG+f/bU=")</f>
        <v>#REF!</v>
      </c>
      <c r="GA480" t="e">
        <f>AND(#REF!,"AAAAAG+f/bY=")</f>
        <v>#REF!</v>
      </c>
      <c r="GB480" t="e">
        <f>AND(#REF!,"AAAAAG+f/bc=")</f>
        <v>#REF!</v>
      </c>
      <c r="GC480" t="e">
        <f>AND(#REF!,"AAAAAG+f/bg=")</f>
        <v>#REF!</v>
      </c>
      <c r="GD480" t="e">
        <f>AND(#REF!,"AAAAAG+f/bk=")</f>
        <v>#REF!</v>
      </c>
      <c r="GE480" t="e">
        <f>IF(#REF!,"AAAAAG+f/bo=",0)</f>
        <v>#REF!</v>
      </c>
      <c r="GF480" t="e">
        <f>AND(#REF!,"AAAAAG+f/bs=")</f>
        <v>#REF!</v>
      </c>
      <c r="GG480" t="e">
        <f>AND(#REF!,"AAAAAG+f/bw=")</f>
        <v>#REF!</v>
      </c>
      <c r="GH480" t="e">
        <f>AND(#REF!,"AAAAAG+f/b0=")</f>
        <v>#REF!</v>
      </c>
      <c r="GI480" t="e">
        <f>AND(#REF!,"AAAAAG+f/b4=")</f>
        <v>#REF!</v>
      </c>
      <c r="GJ480" t="e">
        <f>AND(#REF!,"AAAAAG+f/b8=")</f>
        <v>#REF!</v>
      </c>
      <c r="GK480" t="e">
        <f>AND(#REF!,"AAAAAG+f/cA=")</f>
        <v>#REF!</v>
      </c>
      <c r="GL480" t="e">
        <f>AND(#REF!,"AAAAAG+f/cE=")</f>
        <v>#REF!</v>
      </c>
      <c r="GM480" t="e">
        <f>AND(#REF!,"AAAAAG+f/cI=")</f>
        <v>#REF!</v>
      </c>
      <c r="GN480" t="e">
        <f>AND(#REF!,"AAAAAG+f/cM=")</f>
        <v>#REF!</v>
      </c>
      <c r="GO480" t="e">
        <f>AND(#REF!,"AAAAAG+f/cQ=")</f>
        <v>#REF!</v>
      </c>
      <c r="GP480" t="e">
        <f>AND(#REF!,"AAAAAG+f/cU=")</f>
        <v>#REF!</v>
      </c>
      <c r="GQ480" t="e">
        <f>AND(#REF!,"AAAAAG+f/cY=")</f>
        <v>#REF!</v>
      </c>
      <c r="GR480" t="e">
        <f>AND(#REF!,"AAAAAG+f/cc=")</f>
        <v>#REF!</v>
      </c>
      <c r="GS480" t="e">
        <f>AND(#REF!,"AAAAAG+f/cg=")</f>
        <v>#REF!</v>
      </c>
      <c r="GT480" t="e">
        <f>AND(#REF!,"AAAAAG+f/ck=")</f>
        <v>#REF!</v>
      </c>
      <c r="GU480" t="e">
        <f>AND(#REF!,"AAAAAG+f/co=")</f>
        <v>#REF!</v>
      </c>
      <c r="GV480" t="e">
        <f>AND(#REF!,"AAAAAG+f/cs=")</f>
        <v>#REF!</v>
      </c>
      <c r="GW480" t="e">
        <f>AND(#REF!,"AAAAAG+f/cw=")</f>
        <v>#REF!</v>
      </c>
      <c r="GX480" t="e">
        <f>AND(#REF!,"AAAAAG+f/c0=")</f>
        <v>#REF!</v>
      </c>
      <c r="GY480" t="e">
        <f>AND(#REF!,"AAAAAG+f/c4=")</f>
        <v>#REF!</v>
      </c>
      <c r="GZ480" t="e">
        <f>AND(#REF!,"AAAAAG+f/c8=")</f>
        <v>#REF!</v>
      </c>
      <c r="HA480" t="e">
        <f>AND(#REF!,"AAAAAG+f/dA=")</f>
        <v>#REF!</v>
      </c>
      <c r="HB480" t="e">
        <f>AND(#REF!,"AAAAAG+f/dE=")</f>
        <v>#REF!</v>
      </c>
      <c r="HC480" t="e">
        <f>AND(#REF!,"AAAAAG+f/dI=")</f>
        <v>#REF!</v>
      </c>
      <c r="HD480" t="e">
        <f>IF(#REF!,"AAAAAG+f/dM=",0)</f>
        <v>#REF!</v>
      </c>
      <c r="HE480" t="e">
        <f>AND(#REF!,"AAAAAG+f/dQ=")</f>
        <v>#REF!</v>
      </c>
      <c r="HF480" t="e">
        <f>AND(#REF!,"AAAAAG+f/dU=")</f>
        <v>#REF!</v>
      </c>
      <c r="HG480" t="e">
        <f>AND(#REF!,"AAAAAG+f/dY=")</f>
        <v>#REF!</v>
      </c>
      <c r="HH480" t="e">
        <f>AND(#REF!,"AAAAAG+f/dc=")</f>
        <v>#REF!</v>
      </c>
      <c r="HI480" t="e">
        <f>AND(#REF!,"AAAAAG+f/dg=")</f>
        <v>#REF!</v>
      </c>
      <c r="HJ480" t="e">
        <f>AND(#REF!,"AAAAAG+f/dk=")</f>
        <v>#REF!</v>
      </c>
      <c r="HK480" t="e">
        <f>AND(#REF!,"AAAAAG+f/do=")</f>
        <v>#REF!</v>
      </c>
      <c r="HL480" t="e">
        <f>AND(#REF!,"AAAAAG+f/ds=")</f>
        <v>#REF!</v>
      </c>
      <c r="HM480" t="e">
        <f>AND(#REF!,"AAAAAG+f/dw=")</f>
        <v>#REF!</v>
      </c>
      <c r="HN480" t="e">
        <f>AND(#REF!,"AAAAAG+f/d0=")</f>
        <v>#REF!</v>
      </c>
      <c r="HO480" t="e">
        <f>AND(#REF!,"AAAAAG+f/d4=")</f>
        <v>#REF!</v>
      </c>
      <c r="HP480" t="e">
        <f>AND(#REF!,"AAAAAG+f/d8=")</f>
        <v>#REF!</v>
      </c>
      <c r="HQ480" t="e">
        <f>AND(#REF!,"AAAAAG+f/eA=")</f>
        <v>#REF!</v>
      </c>
      <c r="HR480" t="e">
        <f>AND(#REF!,"AAAAAG+f/eE=")</f>
        <v>#REF!</v>
      </c>
      <c r="HS480" t="e">
        <f>AND(#REF!,"AAAAAG+f/eI=")</f>
        <v>#REF!</v>
      </c>
      <c r="HT480" t="e">
        <f>AND(#REF!,"AAAAAG+f/eM=")</f>
        <v>#REF!</v>
      </c>
      <c r="HU480" t="e">
        <f>AND(#REF!,"AAAAAG+f/eQ=")</f>
        <v>#REF!</v>
      </c>
      <c r="HV480" t="e">
        <f>AND(#REF!,"AAAAAG+f/eU=")</f>
        <v>#REF!</v>
      </c>
      <c r="HW480" t="e">
        <f>AND(#REF!,"AAAAAG+f/eY=")</f>
        <v>#REF!</v>
      </c>
      <c r="HX480" t="e">
        <f>AND(#REF!,"AAAAAG+f/ec=")</f>
        <v>#REF!</v>
      </c>
      <c r="HY480" t="e">
        <f>AND(#REF!,"AAAAAG+f/eg=")</f>
        <v>#REF!</v>
      </c>
      <c r="HZ480" t="e">
        <f>AND(#REF!,"AAAAAG+f/ek=")</f>
        <v>#REF!</v>
      </c>
      <c r="IA480" t="e">
        <f>AND(#REF!,"AAAAAG+f/eo=")</f>
        <v>#REF!</v>
      </c>
      <c r="IB480" t="e">
        <f>AND(#REF!,"AAAAAG+f/es=")</f>
        <v>#REF!</v>
      </c>
      <c r="IC480" t="e">
        <f>IF(#REF!,"AAAAAG+f/ew=",0)</f>
        <v>#REF!</v>
      </c>
      <c r="ID480" t="e">
        <f>AND(#REF!,"AAAAAG+f/e0=")</f>
        <v>#REF!</v>
      </c>
      <c r="IE480" t="e">
        <f>AND(#REF!,"AAAAAG+f/e4=")</f>
        <v>#REF!</v>
      </c>
      <c r="IF480" t="e">
        <f>AND(#REF!,"AAAAAG+f/e8=")</f>
        <v>#REF!</v>
      </c>
      <c r="IG480" t="e">
        <f>AND(#REF!,"AAAAAG+f/fA=")</f>
        <v>#REF!</v>
      </c>
      <c r="IH480" t="e">
        <f>AND(#REF!,"AAAAAG+f/fE=")</f>
        <v>#REF!</v>
      </c>
      <c r="II480" t="e">
        <f>AND(#REF!,"AAAAAG+f/fI=")</f>
        <v>#REF!</v>
      </c>
      <c r="IJ480" t="e">
        <f>AND(#REF!,"AAAAAG+f/fM=")</f>
        <v>#REF!</v>
      </c>
      <c r="IK480" t="e">
        <f>AND(#REF!,"AAAAAG+f/fQ=")</f>
        <v>#REF!</v>
      </c>
      <c r="IL480" t="e">
        <f>AND(#REF!,"AAAAAG+f/fU=")</f>
        <v>#REF!</v>
      </c>
      <c r="IM480" t="e">
        <f>AND(#REF!,"AAAAAG+f/fY=")</f>
        <v>#REF!</v>
      </c>
      <c r="IN480" t="e">
        <f>AND(#REF!,"AAAAAG+f/fc=")</f>
        <v>#REF!</v>
      </c>
      <c r="IO480" t="e">
        <f>AND(#REF!,"AAAAAG+f/fg=")</f>
        <v>#REF!</v>
      </c>
      <c r="IP480" t="e">
        <f>AND(#REF!,"AAAAAG+f/fk=")</f>
        <v>#REF!</v>
      </c>
      <c r="IQ480" t="e">
        <f>AND(#REF!,"AAAAAG+f/fo=")</f>
        <v>#REF!</v>
      </c>
      <c r="IR480" t="e">
        <f>AND(#REF!,"AAAAAG+f/fs=")</f>
        <v>#REF!</v>
      </c>
      <c r="IS480" t="e">
        <f>AND(#REF!,"AAAAAG+f/fw=")</f>
        <v>#REF!</v>
      </c>
      <c r="IT480" t="e">
        <f>AND(#REF!,"AAAAAG+f/f0=")</f>
        <v>#REF!</v>
      </c>
      <c r="IU480" t="e">
        <f>AND(#REF!,"AAAAAG+f/f4=")</f>
        <v>#REF!</v>
      </c>
      <c r="IV480" t="e">
        <f>AND(#REF!,"AAAAAG+f/f8=")</f>
        <v>#REF!</v>
      </c>
    </row>
    <row r="481" spans="1:256">
      <c r="A481" t="e">
        <f>AND(#REF!,"AAAAAC/8+wA=")</f>
        <v>#REF!</v>
      </c>
      <c r="B481" t="e">
        <f>AND(#REF!,"AAAAAC/8+wE=")</f>
        <v>#REF!</v>
      </c>
      <c r="C481" t="e">
        <f>AND(#REF!,"AAAAAC/8+wI=")</f>
        <v>#REF!</v>
      </c>
      <c r="D481" t="e">
        <f>AND(#REF!,"AAAAAC/8+wM=")</f>
        <v>#REF!</v>
      </c>
      <c r="E481" t="e">
        <f>AND(#REF!,"AAAAAC/8+wQ=")</f>
        <v>#REF!</v>
      </c>
      <c r="F481" t="e">
        <f>IF(#REF!,"AAAAAC/8+wU=",0)</f>
        <v>#REF!</v>
      </c>
      <c r="G481" t="e">
        <f>AND(#REF!,"AAAAAC/8+wY=")</f>
        <v>#REF!</v>
      </c>
      <c r="H481" t="e">
        <f>AND(#REF!,"AAAAAC/8+wc=")</f>
        <v>#REF!</v>
      </c>
      <c r="I481" t="e">
        <f>AND(#REF!,"AAAAAC/8+wg=")</f>
        <v>#REF!</v>
      </c>
      <c r="J481" t="e">
        <f>AND(#REF!,"AAAAAC/8+wk=")</f>
        <v>#REF!</v>
      </c>
      <c r="K481" t="e">
        <f>AND(#REF!,"AAAAAC/8+wo=")</f>
        <v>#REF!</v>
      </c>
      <c r="L481" t="e">
        <f>AND(#REF!,"AAAAAC/8+ws=")</f>
        <v>#REF!</v>
      </c>
      <c r="M481" t="e">
        <f>AND(#REF!,"AAAAAC/8+ww=")</f>
        <v>#REF!</v>
      </c>
      <c r="N481" t="e">
        <f>AND(#REF!,"AAAAAC/8+w0=")</f>
        <v>#REF!</v>
      </c>
      <c r="O481" t="e">
        <f>AND(#REF!,"AAAAAC/8+w4=")</f>
        <v>#REF!</v>
      </c>
      <c r="P481" t="e">
        <f>AND(#REF!,"AAAAAC/8+w8=")</f>
        <v>#REF!</v>
      </c>
      <c r="Q481" t="e">
        <f>AND(#REF!,"AAAAAC/8+xA=")</f>
        <v>#REF!</v>
      </c>
      <c r="R481" t="e">
        <f>AND(#REF!,"AAAAAC/8+xE=")</f>
        <v>#REF!</v>
      </c>
      <c r="S481" t="e">
        <f>AND(#REF!,"AAAAAC/8+xI=")</f>
        <v>#REF!</v>
      </c>
      <c r="T481" t="e">
        <f>AND(#REF!,"AAAAAC/8+xM=")</f>
        <v>#REF!</v>
      </c>
      <c r="U481" t="e">
        <f>AND(#REF!,"AAAAAC/8+xQ=")</f>
        <v>#REF!</v>
      </c>
      <c r="V481" t="e">
        <f>AND(#REF!,"AAAAAC/8+xU=")</f>
        <v>#REF!</v>
      </c>
      <c r="W481" t="e">
        <f>AND(#REF!,"AAAAAC/8+xY=")</f>
        <v>#REF!</v>
      </c>
      <c r="X481" t="e">
        <f>AND(#REF!,"AAAAAC/8+xc=")</f>
        <v>#REF!</v>
      </c>
      <c r="Y481" t="e">
        <f>AND(#REF!,"AAAAAC/8+xg=")</f>
        <v>#REF!</v>
      </c>
      <c r="Z481" t="e">
        <f>AND(#REF!,"AAAAAC/8+xk=")</f>
        <v>#REF!</v>
      </c>
      <c r="AA481" t="e">
        <f>AND(#REF!,"AAAAAC/8+xo=")</f>
        <v>#REF!</v>
      </c>
      <c r="AB481" t="e">
        <f>AND(#REF!,"AAAAAC/8+xs=")</f>
        <v>#REF!</v>
      </c>
      <c r="AC481" t="e">
        <f>AND(#REF!,"AAAAAC/8+xw=")</f>
        <v>#REF!</v>
      </c>
      <c r="AD481" t="e">
        <f>AND(#REF!,"AAAAAC/8+x0=")</f>
        <v>#REF!</v>
      </c>
      <c r="AE481" t="e">
        <f>IF(#REF!,"AAAAAC/8+x4=",0)</f>
        <v>#REF!</v>
      </c>
      <c r="AF481" t="e">
        <f>AND(#REF!,"AAAAAC/8+x8=")</f>
        <v>#REF!</v>
      </c>
      <c r="AG481" t="e">
        <f>AND(#REF!,"AAAAAC/8+yA=")</f>
        <v>#REF!</v>
      </c>
      <c r="AH481" t="e">
        <f>AND(#REF!,"AAAAAC/8+yE=")</f>
        <v>#REF!</v>
      </c>
      <c r="AI481" t="e">
        <f>AND(#REF!,"AAAAAC/8+yI=")</f>
        <v>#REF!</v>
      </c>
      <c r="AJ481" t="e">
        <f>AND(#REF!,"AAAAAC/8+yM=")</f>
        <v>#REF!</v>
      </c>
      <c r="AK481" t="e">
        <f>AND(#REF!,"AAAAAC/8+yQ=")</f>
        <v>#REF!</v>
      </c>
      <c r="AL481" t="e">
        <f>AND(#REF!,"AAAAAC/8+yU=")</f>
        <v>#REF!</v>
      </c>
      <c r="AM481" t="e">
        <f>AND(#REF!,"AAAAAC/8+yY=")</f>
        <v>#REF!</v>
      </c>
      <c r="AN481" t="e">
        <f>AND(#REF!,"AAAAAC/8+yc=")</f>
        <v>#REF!</v>
      </c>
      <c r="AO481" t="e">
        <f>AND(#REF!,"AAAAAC/8+yg=")</f>
        <v>#REF!</v>
      </c>
      <c r="AP481" t="e">
        <f>AND(#REF!,"AAAAAC/8+yk=")</f>
        <v>#REF!</v>
      </c>
      <c r="AQ481" t="e">
        <f>AND(#REF!,"AAAAAC/8+yo=")</f>
        <v>#REF!</v>
      </c>
      <c r="AR481" t="e">
        <f>AND(#REF!,"AAAAAC/8+ys=")</f>
        <v>#REF!</v>
      </c>
      <c r="AS481" t="e">
        <f>AND(#REF!,"AAAAAC/8+yw=")</f>
        <v>#REF!</v>
      </c>
      <c r="AT481" t="e">
        <f>AND(#REF!,"AAAAAC/8+y0=")</f>
        <v>#REF!</v>
      </c>
      <c r="AU481" t="e">
        <f>AND(#REF!,"AAAAAC/8+y4=")</f>
        <v>#REF!</v>
      </c>
      <c r="AV481" t="e">
        <f>AND(#REF!,"AAAAAC/8+y8=")</f>
        <v>#REF!</v>
      </c>
      <c r="AW481" t="e">
        <f>AND(#REF!,"AAAAAC/8+zA=")</f>
        <v>#REF!</v>
      </c>
      <c r="AX481" t="e">
        <f>AND(#REF!,"AAAAAC/8+zE=")</f>
        <v>#REF!</v>
      </c>
      <c r="AY481" t="e">
        <f>AND(#REF!,"AAAAAC/8+zI=")</f>
        <v>#REF!</v>
      </c>
      <c r="AZ481" t="e">
        <f>AND(#REF!,"AAAAAC/8+zM=")</f>
        <v>#REF!</v>
      </c>
      <c r="BA481" t="e">
        <f>AND(#REF!,"AAAAAC/8+zQ=")</f>
        <v>#REF!</v>
      </c>
      <c r="BB481" t="e">
        <f>AND(#REF!,"AAAAAC/8+zU=")</f>
        <v>#REF!</v>
      </c>
      <c r="BC481" t="e">
        <f>AND(#REF!,"AAAAAC/8+zY=")</f>
        <v>#REF!</v>
      </c>
      <c r="BD481" t="e">
        <f>IF(#REF!,"AAAAAC/8+zc=",0)</f>
        <v>#REF!</v>
      </c>
      <c r="BE481" t="e">
        <f>AND(#REF!,"AAAAAC/8+zg=")</f>
        <v>#REF!</v>
      </c>
      <c r="BF481" t="e">
        <f>AND(#REF!,"AAAAAC/8+zk=")</f>
        <v>#REF!</v>
      </c>
      <c r="BG481" t="e">
        <f>AND(#REF!,"AAAAAC/8+zo=")</f>
        <v>#REF!</v>
      </c>
      <c r="BH481" t="e">
        <f>AND(#REF!,"AAAAAC/8+zs=")</f>
        <v>#REF!</v>
      </c>
      <c r="BI481" t="e">
        <f>AND(#REF!,"AAAAAC/8+zw=")</f>
        <v>#REF!</v>
      </c>
      <c r="BJ481" t="e">
        <f>AND(#REF!,"AAAAAC/8+z0=")</f>
        <v>#REF!</v>
      </c>
      <c r="BK481" t="e">
        <f>AND(#REF!,"AAAAAC/8+z4=")</f>
        <v>#REF!</v>
      </c>
      <c r="BL481" t="e">
        <f>AND(#REF!,"AAAAAC/8+z8=")</f>
        <v>#REF!</v>
      </c>
      <c r="BM481" t="e">
        <f>AND(#REF!,"AAAAAC/8+0A=")</f>
        <v>#REF!</v>
      </c>
      <c r="BN481" t="e">
        <f>AND(#REF!,"AAAAAC/8+0E=")</f>
        <v>#REF!</v>
      </c>
      <c r="BO481" t="e">
        <f>AND(#REF!,"AAAAAC/8+0I=")</f>
        <v>#REF!</v>
      </c>
      <c r="BP481" t="e">
        <f>AND(#REF!,"AAAAAC/8+0M=")</f>
        <v>#REF!</v>
      </c>
      <c r="BQ481" t="e">
        <f>AND(#REF!,"AAAAAC/8+0Q=")</f>
        <v>#REF!</v>
      </c>
      <c r="BR481" t="e">
        <f>AND(#REF!,"AAAAAC/8+0U=")</f>
        <v>#REF!</v>
      </c>
      <c r="BS481" t="e">
        <f>AND(#REF!,"AAAAAC/8+0Y=")</f>
        <v>#REF!</v>
      </c>
      <c r="BT481" t="e">
        <f>AND(#REF!,"AAAAAC/8+0c=")</f>
        <v>#REF!</v>
      </c>
      <c r="BU481" t="e">
        <f>AND(#REF!,"AAAAAC/8+0g=")</f>
        <v>#REF!</v>
      </c>
      <c r="BV481" t="e">
        <f>AND(#REF!,"AAAAAC/8+0k=")</f>
        <v>#REF!</v>
      </c>
      <c r="BW481" t="e">
        <f>AND(#REF!,"AAAAAC/8+0o=")</f>
        <v>#REF!</v>
      </c>
      <c r="BX481" t="e">
        <f>AND(#REF!,"AAAAAC/8+0s=")</f>
        <v>#REF!</v>
      </c>
      <c r="BY481" t="e">
        <f>AND(#REF!,"AAAAAC/8+0w=")</f>
        <v>#REF!</v>
      </c>
      <c r="BZ481" t="e">
        <f>AND(#REF!,"AAAAAC/8+00=")</f>
        <v>#REF!</v>
      </c>
      <c r="CA481" t="e">
        <f>AND(#REF!,"AAAAAC/8+04=")</f>
        <v>#REF!</v>
      </c>
      <c r="CB481" t="e">
        <f>AND(#REF!,"AAAAAC/8+08=")</f>
        <v>#REF!</v>
      </c>
      <c r="CC481" t="e">
        <f>IF(#REF!,"AAAAAC/8+1A=",0)</f>
        <v>#REF!</v>
      </c>
      <c r="CD481" t="e">
        <f>AND(#REF!,"AAAAAC/8+1E=")</f>
        <v>#REF!</v>
      </c>
      <c r="CE481" t="e">
        <f>AND(#REF!,"AAAAAC/8+1I=")</f>
        <v>#REF!</v>
      </c>
      <c r="CF481" t="e">
        <f>AND(#REF!,"AAAAAC/8+1M=")</f>
        <v>#REF!</v>
      </c>
      <c r="CG481" t="e">
        <f>AND(#REF!,"AAAAAC/8+1Q=")</f>
        <v>#REF!</v>
      </c>
      <c r="CH481" t="e">
        <f>AND(#REF!,"AAAAAC/8+1U=")</f>
        <v>#REF!</v>
      </c>
      <c r="CI481" t="e">
        <f>AND(#REF!,"AAAAAC/8+1Y=")</f>
        <v>#REF!</v>
      </c>
      <c r="CJ481" t="e">
        <f>AND(#REF!,"AAAAAC/8+1c=")</f>
        <v>#REF!</v>
      </c>
      <c r="CK481" t="e">
        <f>AND(#REF!,"AAAAAC/8+1g=")</f>
        <v>#REF!</v>
      </c>
      <c r="CL481" t="e">
        <f>AND(#REF!,"AAAAAC/8+1k=")</f>
        <v>#REF!</v>
      </c>
      <c r="CM481" t="e">
        <f>AND(#REF!,"AAAAAC/8+1o=")</f>
        <v>#REF!</v>
      </c>
      <c r="CN481" t="e">
        <f>AND(#REF!,"AAAAAC/8+1s=")</f>
        <v>#REF!</v>
      </c>
      <c r="CO481" t="e">
        <f>AND(#REF!,"AAAAAC/8+1w=")</f>
        <v>#REF!</v>
      </c>
      <c r="CP481" t="e">
        <f>AND(#REF!,"AAAAAC/8+10=")</f>
        <v>#REF!</v>
      </c>
      <c r="CQ481" t="e">
        <f>AND(#REF!,"AAAAAC/8+14=")</f>
        <v>#REF!</v>
      </c>
      <c r="CR481" t="e">
        <f>AND(#REF!,"AAAAAC/8+18=")</f>
        <v>#REF!</v>
      </c>
      <c r="CS481" t="e">
        <f>AND(#REF!,"AAAAAC/8+2A=")</f>
        <v>#REF!</v>
      </c>
      <c r="CT481" t="e">
        <f>AND(#REF!,"AAAAAC/8+2E=")</f>
        <v>#REF!</v>
      </c>
      <c r="CU481" t="e">
        <f>AND(#REF!,"AAAAAC/8+2I=")</f>
        <v>#REF!</v>
      </c>
      <c r="CV481" t="e">
        <f>AND(#REF!,"AAAAAC/8+2M=")</f>
        <v>#REF!</v>
      </c>
      <c r="CW481" t="e">
        <f>AND(#REF!,"AAAAAC/8+2Q=")</f>
        <v>#REF!</v>
      </c>
      <c r="CX481" t="e">
        <f>AND(#REF!,"AAAAAC/8+2U=")</f>
        <v>#REF!</v>
      </c>
      <c r="CY481" t="e">
        <f>AND(#REF!,"AAAAAC/8+2Y=")</f>
        <v>#REF!</v>
      </c>
      <c r="CZ481" t="e">
        <f>AND(#REF!,"AAAAAC/8+2c=")</f>
        <v>#REF!</v>
      </c>
      <c r="DA481" t="e">
        <f>AND(#REF!,"AAAAAC/8+2g=")</f>
        <v>#REF!</v>
      </c>
      <c r="DB481" t="e">
        <f>IF(#REF!,"AAAAAC/8+2k=",0)</f>
        <v>#REF!</v>
      </c>
      <c r="DC481" t="e">
        <f>AND(#REF!,"AAAAAC/8+2o=")</f>
        <v>#REF!</v>
      </c>
      <c r="DD481" t="e">
        <f>AND(#REF!,"AAAAAC/8+2s=")</f>
        <v>#REF!</v>
      </c>
      <c r="DE481" t="e">
        <f>AND(#REF!,"AAAAAC/8+2w=")</f>
        <v>#REF!</v>
      </c>
      <c r="DF481" t="e">
        <f>AND(#REF!,"AAAAAC/8+20=")</f>
        <v>#REF!</v>
      </c>
      <c r="DG481" t="e">
        <f>AND(#REF!,"AAAAAC/8+24=")</f>
        <v>#REF!</v>
      </c>
      <c r="DH481" t="e">
        <f>AND(#REF!,"AAAAAC/8+28=")</f>
        <v>#REF!</v>
      </c>
      <c r="DI481" t="e">
        <f>AND(#REF!,"AAAAAC/8+3A=")</f>
        <v>#REF!</v>
      </c>
      <c r="DJ481" t="e">
        <f>AND(#REF!,"AAAAAC/8+3E=")</f>
        <v>#REF!</v>
      </c>
      <c r="DK481" t="e">
        <f>AND(#REF!,"AAAAAC/8+3I=")</f>
        <v>#REF!</v>
      </c>
      <c r="DL481" t="e">
        <f>AND(#REF!,"AAAAAC/8+3M=")</f>
        <v>#REF!</v>
      </c>
      <c r="DM481" t="e">
        <f>AND(#REF!,"AAAAAC/8+3Q=")</f>
        <v>#REF!</v>
      </c>
      <c r="DN481" t="e">
        <f>AND(#REF!,"AAAAAC/8+3U=")</f>
        <v>#REF!</v>
      </c>
      <c r="DO481" t="e">
        <f>AND(#REF!,"AAAAAC/8+3Y=")</f>
        <v>#REF!</v>
      </c>
      <c r="DP481" t="e">
        <f>AND(#REF!,"AAAAAC/8+3c=")</f>
        <v>#REF!</v>
      </c>
      <c r="DQ481" t="e">
        <f>AND(#REF!,"AAAAAC/8+3g=")</f>
        <v>#REF!</v>
      </c>
      <c r="DR481" t="e">
        <f>AND(#REF!,"AAAAAC/8+3k=")</f>
        <v>#REF!</v>
      </c>
      <c r="DS481" t="e">
        <f>AND(#REF!,"AAAAAC/8+3o=")</f>
        <v>#REF!</v>
      </c>
      <c r="DT481" t="e">
        <f>AND(#REF!,"AAAAAC/8+3s=")</f>
        <v>#REF!</v>
      </c>
      <c r="DU481" t="e">
        <f>AND(#REF!,"AAAAAC/8+3w=")</f>
        <v>#REF!</v>
      </c>
      <c r="DV481" t="e">
        <f>AND(#REF!,"AAAAAC/8+30=")</f>
        <v>#REF!</v>
      </c>
      <c r="DW481" t="e">
        <f>AND(#REF!,"AAAAAC/8+34=")</f>
        <v>#REF!</v>
      </c>
      <c r="DX481" t="e">
        <f>AND(#REF!,"AAAAAC/8+38=")</f>
        <v>#REF!</v>
      </c>
      <c r="DY481" t="e">
        <f>AND(#REF!,"AAAAAC/8+4A=")</f>
        <v>#REF!</v>
      </c>
      <c r="DZ481" t="e">
        <f>AND(#REF!,"AAAAAC/8+4E=")</f>
        <v>#REF!</v>
      </c>
      <c r="EA481" t="e">
        <f>IF(#REF!,"AAAAAC/8+4I=",0)</f>
        <v>#REF!</v>
      </c>
      <c r="EB481" t="e">
        <f>AND(#REF!,"AAAAAC/8+4M=")</f>
        <v>#REF!</v>
      </c>
      <c r="EC481" t="e">
        <f>AND(#REF!,"AAAAAC/8+4Q=")</f>
        <v>#REF!</v>
      </c>
      <c r="ED481" t="e">
        <f>AND(#REF!,"AAAAAC/8+4U=")</f>
        <v>#REF!</v>
      </c>
      <c r="EE481" t="e">
        <f>AND(#REF!,"AAAAAC/8+4Y=")</f>
        <v>#REF!</v>
      </c>
      <c r="EF481" t="e">
        <f>AND(#REF!,"AAAAAC/8+4c=")</f>
        <v>#REF!</v>
      </c>
      <c r="EG481" t="e">
        <f>AND(#REF!,"AAAAAC/8+4g=")</f>
        <v>#REF!</v>
      </c>
      <c r="EH481" t="e">
        <f>AND(#REF!,"AAAAAC/8+4k=")</f>
        <v>#REF!</v>
      </c>
      <c r="EI481" t="e">
        <f>AND(#REF!,"AAAAAC/8+4o=")</f>
        <v>#REF!</v>
      </c>
      <c r="EJ481" t="e">
        <f>AND(#REF!,"AAAAAC/8+4s=")</f>
        <v>#REF!</v>
      </c>
      <c r="EK481" t="e">
        <f>AND(#REF!,"AAAAAC/8+4w=")</f>
        <v>#REF!</v>
      </c>
      <c r="EL481" t="e">
        <f>AND(#REF!,"AAAAAC/8+40=")</f>
        <v>#REF!</v>
      </c>
      <c r="EM481" t="e">
        <f>AND(#REF!,"AAAAAC/8+44=")</f>
        <v>#REF!</v>
      </c>
      <c r="EN481" t="e">
        <f>AND(#REF!,"AAAAAC/8+48=")</f>
        <v>#REF!</v>
      </c>
      <c r="EO481" t="e">
        <f>AND(#REF!,"AAAAAC/8+5A=")</f>
        <v>#REF!</v>
      </c>
      <c r="EP481" t="e">
        <f>AND(#REF!,"AAAAAC/8+5E=")</f>
        <v>#REF!</v>
      </c>
      <c r="EQ481" t="e">
        <f>AND(#REF!,"AAAAAC/8+5I=")</f>
        <v>#REF!</v>
      </c>
      <c r="ER481" t="e">
        <f>AND(#REF!,"AAAAAC/8+5M=")</f>
        <v>#REF!</v>
      </c>
      <c r="ES481" t="e">
        <f>AND(#REF!,"AAAAAC/8+5Q=")</f>
        <v>#REF!</v>
      </c>
      <c r="ET481" t="e">
        <f>AND(#REF!,"AAAAAC/8+5U=")</f>
        <v>#REF!</v>
      </c>
      <c r="EU481" t="e">
        <f>AND(#REF!,"AAAAAC/8+5Y=")</f>
        <v>#REF!</v>
      </c>
      <c r="EV481" t="e">
        <f>AND(#REF!,"AAAAAC/8+5c=")</f>
        <v>#REF!</v>
      </c>
      <c r="EW481" t="e">
        <f>AND(#REF!,"AAAAAC/8+5g=")</f>
        <v>#REF!</v>
      </c>
      <c r="EX481" t="e">
        <f>AND(#REF!,"AAAAAC/8+5k=")</f>
        <v>#REF!</v>
      </c>
      <c r="EY481" t="e">
        <f>AND(#REF!,"AAAAAC/8+5o=")</f>
        <v>#REF!</v>
      </c>
      <c r="EZ481" t="e">
        <f>IF(#REF!,"AAAAAC/8+5s=",0)</f>
        <v>#REF!</v>
      </c>
      <c r="FA481" t="e">
        <f>AND(#REF!,"AAAAAC/8+5w=")</f>
        <v>#REF!</v>
      </c>
      <c r="FB481" t="e">
        <f>AND(#REF!,"AAAAAC/8+50=")</f>
        <v>#REF!</v>
      </c>
      <c r="FC481" t="e">
        <f>AND(#REF!,"AAAAAC/8+54=")</f>
        <v>#REF!</v>
      </c>
      <c r="FD481" t="e">
        <f>AND(#REF!,"AAAAAC/8+58=")</f>
        <v>#REF!</v>
      </c>
      <c r="FE481" t="e">
        <f>AND(#REF!,"AAAAAC/8+6A=")</f>
        <v>#REF!</v>
      </c>
      <c r="FF481" t="e">
        <f>AND(#REF!,"AAAAAC/8+6E=")</f>
        <v>#REF!</v>
      </c>
      <c r="FG481" t="e">
        <f>AND(#REF!,"AAAAAC/8+6I=")</f>
        <v>#REF!</v>
      </c>
      <c r="FH481" t="e">
        <f>AND(#REF!,"AAAAAC/8+6M=")</f>
        <v>#REF!</v>
      </c>
      <c r="FI481" t="e">
        <f>AND(#REF!,"AAAAAC/8+6Q=")</f>
        <v>#REF!</v>
      </c>
      <c r="FJ481" t="e">
        <f>AND(#REF!,"AAAAAC/8+6U=")</f>
        <v>#REF!</v>
      </c>
      <c r="FK481" t="e">
        <f>AND(#REF!,"AAAAAC/8+6Y=")</f>
        <v>#REF!</v>
      </c>
      <c r="FL481" t="e">
        <f>AND(#REF!,"AAAAAC/8+6c=")</f>
        <v>#REF!</v>
      </c>
      <c r="FM481" t="e">
        <f>AND(#REF!,"AAAAAC/8+6g=")</f>
        <v>#REF!</v>
      </c>
      <c r="FN481" t="e">
        <f>AND(#REF!,"AAAAAC/8+6k=")</f>
        <v>#REF!</v>
      </c>
      <c r="FO481" t="e">
        <f>AND(#REF!,"AAAAAC/8+6o=")</f>
        <v>#REF!</v>
      </c>
      <c r="FP481" t="e">
        <f>AND(#REF!,"AAAAAC/8+6s=")</f>
        <v>#REF!</v>
      </c>
      <c r="FQ481" t="e">
        <f>AND(#REF!,"AAAAAC/8+6w=")</f>
        <v>#REF!</v>
      </c>
      <c r="FR481" t="e">
        <f>AND(#REF!,"AAAAAC/8+60=")</f>
        <v>#REF!</v>
      </c>
      <c r="FS481" t="e">
        <f>AND(#REF!,"AAAAAC/8+64=")</f>
        <v>#REF!</v>
      </c>
      <c r="FT481" t="e">
        <f>AND(#REF!,"AAAAAC/8+68=")</f>
        <v>#REF!</v>
      </c>
      <c r="FU481" t="e">
        <f>AND(#REF!,"AAAAAC/8+7A=")</f>
        <v>#REF!</v>
      </c>
      <c r="FV481" t="e">
        <f>AND(#REF!,"AAAAAC/8+7E=")</f>
        <v>#REF!</v>
      </c>
      <c r="FW481" t="e">
        <f>AND(#REF!,"AAAAAC/8+7I=")</f>
        <v>#REF!</v>
      </c>
      <c r="FX481" t="e">
        <f>AND(#REF!,"AAAAAC/8+7M=")</f>
        <v>#REF!</v>
      </c>
      <c r="FY481" t="e">
        <f>IF(#REF!,"AAAAAC/8+7Q=",0)</f>
        <v>#REF!</v>
      </c>
      <c r="FZ481" t="e">
        <f>AND(#REF!,"AAAAAC/8+7U=")</f>
        <v>#REF!</v>
      </c>
      <c r="GA481" t="e">
        <f>AND(#REF!,"AAAAAC/8+7Y=")</f>
        <v>#REF!</v>
      </c>
      <c r="GB481" t="e">
        <f>AND(#REF!,"AAAAAC/8+7c=")</f>
        <v>#REF!</v>
      </c>
      <c r="GC481" t="e">
        <f>AND(#REF!,"AAAAAC/8+7g=")</f>
        <v>#REF!</v>
      </c>
      <c r="GD481" t="e">
        <f>AND(#REF!,"AAAAAC/8+7k=")</f>
        <v>#REF!</v>
      </c>
      <c r="GE481" t="e">
        <f>AND(#REF!,"AAAAAC/8+7o=")</f>
        <v>#REF!</v>
      </c>
      <c r="GF481" t="e">
        <f>AND(#REF!,"AAAAAC/8+7s=")</f>
        <v>#REF!</v>
      </c>
      <c r="GG481" t="e">
        <f>AND(#REF!,"AAAAAC/8+7w=")</f>
        <v>#REF!</v>
      </c>
      <c r="GH481" t="e">
        <f>AND(#REF!,"AAAAAC/8+70=")</f>
        <v>#REF!</v>
      </c>
      <c r="GI481" t="e">
        <f>AND(#REF!,"AAAAAC/8+74=")</f>
        <v>#REF!</v>
      </c>
      <c r="GJ481" t="e">
        <f>AND(#REF!,"AAAAAC/8+78=")</f>
        <v>#REF!</v>
      </c>
      <c r="GK481" t="e">
        <f>AND(#REF!,"AAAAAC/8+8A=")</f>
        <v>#REF!</v>
      </c>
      <c r="GL481" t="e">
        <f>AND(#REF!,"AAAAAC/8+8E=")</f>
        <v>#REF!</v>
      </c>
      <c r="GM481" t="e">
        <f>AND(#REF!,"AAAAAC/8+8I=")</f>
        <v>#REF!</v>
      </c>
      <c r="GN481" t="e">
        <f>AND(#REF!,"AAAAAC/8+8M=")</f>
        <v>#REF!</v>
      </c>
      <c r="GO481" t="e">
        <f>AND(#REF!,"AAAAAC/8+8Q=")</f>
        <v>#REF!</v>
      </c>
      <c r="GP481" t="e">
        <f>AND(#REF!,"AAAAAC/8+8U=")</f>
        <v>#REF!</v>
      </c>
      <c r="GQ481" t="e">
        <f>AND(#REF!,"AAAAAC/8+8Y=")</f>
        <v>#REF!</v>
      </c>
      <c r="GR481" t="e">
        <f>AND(#REF!,"AAAAAC/8+8c=")</f>
        <v>#REF!</v>
      </c>
      <c r="GS481" t="e">
        <f>AND(#REF!,"AAAAAC/8+8g=")</f>
        <v>#REF!</v>
      </c>
      <c r="GT481" t="e">
        <f>AND(#REF!,"AAAAAC/8+8k=")</f>
        <v>#REF!</v>
      </c>
      <c r="GU481" t="e">
        <f>AND(#REF!,"AAAAAC/8+8o=")</f>
        <v>#REF!</v>
      </c>
      <c r="GV481" t="e">
        <f>AND(#REF!,"AAAAAC/8+8s=")</f>
        <v>#REF!</v>
      </c>
      <c r="GW481" t="e">
        <f>AND(#REF!,"AAAAAC/8+8w=")</f>
        <v>#REF!</v>
      </c>
      <c r="GX481" t="e">
        <f>IF(#REF!,"AAAAAC/8+80=",0)</f>
        <v>#REF!</v>
      </c>
      <c r="GY481" t="e">
        <f>AND(#REF!,"AAAAAC/8+84=")</f>
        <v>#REF!</v>
      </c>
      <c r="GZ481" t="e">
        <f>AND(#REF!,"AAAAAC/8+88=")</f>
        <v>#REF!</v>
      </c>
      <c r="HA481" t="e">
        <f>AND(#REF!,"AAAAAC/8+9A=")</f>
        <v>#REF!</v>
      </c>
      <c r="HB481" t="e">
        <f>AND(#REF!,"AAAAAC/8+9E=")</f>
        <v>#REF!</v>
      </c>
      <c r="HC481" t="e">
        <f>AND(#REF!,"AAAAAC/8+9I=")</f>
        <v>#REF!</v>
      </c>
      <c r="HD481" t="e">
        <f>AND(#REF!,"AAAAAC/8+9M=")</f>
        <v>#REF!</v>
      </c>
      <c r="HE481" t="e">
        <f>AND(#REF!,"AAAAAC/8+9Q=")</f>
        <v>#REF!</v>
      </c>
      <c r="HF481" t="e">
        <f>AND(#REF!,"AAAAAC/8+9U=")</f>
        <v>#REF!</v>
      </c>
      <c r="HG481" t="e">
        <f>AND(#REF!,"AAAAAC/8+9Y=")</f>
        <v>#REF!</v>
      </c>
      <c r="HH481" t="e">
        <f>AND(#REF!,"AAAAAC/8+9c=")</f>
        <v>#REF!</v>
      </c>
      <c r="HI481" t="e">
        <f>AND(#REF!,"AAAAAC/8+9g=")</f>
        <v>#REF!</v>
      </c>
      <c r="HJ481" t="e">
        <f>AND(#REF!,"AAAAAC/8+9k=")</f>
        <v>#REF!</v>
      </c>
      <c r="HK481" t="e">
        <f>AND(#REF!,"AAAAAC/8+9o=")</f>
        <v>#REF!</v>
      </c>
      <c r="HL481" t="e">
        <f>AND(#REF!,"AAAAAC/8+9s=")</f>
        <v>#REF!</v>
      </c>
      <c r="HM481" t="e">
        <f>AND(#REF!,"AAAAAC/8+9w=")</f>
        <v>#REF!</v>
      </c>
      <c r="HN481" t="e">
        <f>AND(#REF!,"AAAAAC/8+90=")</f>
        <v>#REF!</v>
      </c>
      <c r="HO481" t="e">
        <f>AND(#REF!,"AAAAAC/8+94=")</f>
        <v>#REF!</v>
      </c>
      <c r="HP481" t="e">
        <f>AND(#REF!,"AAAAAC/8+98=")</f>
        <v>#REF!</v>
      </c>
      <c r="HQ481" t="e">
        <f>AND(#REF!,"AAAAAC/8++A=")</f>
        <v>#REF!</v>
      </c>
      <c r="HR481" t="e">
        <f>AND(#REF!,"AAAAAC/8++E=")</f>
        <v>#REF!</v>
      </c>
      <c r="HS481" t="e">
        <f>AND(#REF!,"AAAAAC/8++I=")</f>
        <v>#REF!</v>
      </c>
      <c r="HT481" t="e">
        <f>AND(#REF!,"AAAAAC/8++M=")</f>
        <v>#REF!</v>
      </c>
      <c r="HU481" t="e">
        <f>AND(#REF!,"AAAAAC/8++Q=")</f>
        <v>#REF!</v>
      </c>
      <c r="HV481" t="e">
        <f>AND(#REF!,"AAAAAC/8++U=")</f>
        <v>#REF!</v>
      </c>
      <c r="HW481" t="e">
        <f>IF(#REF!,"AAAAAC/8++Y=",0)</f>
        <v>#REF!</v>
      </c>
      <c r="HX481" t="e">
        <f>AND(#REF!,"AAAAAC/8++c=")</f>
        <v>#REF!</v>
      </c>
      <c r="HY481" t="e">
        <f>AND(#REF!,"AAAAAC/8++g=")</f>
        <v>#REF!</v>
      </c>
      <c r="HZ481" t="e">
        <f>AND(#REF!,"AAAAAC/8++k=")</f>
        <v>#REF!</v>
      </c>
      <c r="IA481" t="e">
        <f>AND(#REF!,"AAAAAC/8++o=")</f>
        <v>#REF!</v>
      </c>
      <c r="IB481" t="e">
        <f>AND(#REF!,"AAAAAC/8++s=")</f>
        <v>#REF!</v>
      </c>
      <c r="IC481" t="e">
        <f>AND(#REF!,"AAAAAC/8++w=")</f>
        <v>#REF!</v>
      </c>
      <c r="ID481" t="e">
        <f>AND(#REF!,"AAAAAC/8++0=")</f>
        <v>#REF!</v>
      </c>
      <c r="IE481" t="e">
        <f>AND(#REF!,"AAAAAC/8++4=")</f>
        <v>#REF!</v>
      </c>
      <c r="IF481" t="e">
        <f>AND(#REF!,"AAAAAC/8++8=")</f>
        <v>#REF!</v>
      </c>
      <c r="IG481" t="e">
        <f>AND(#REF!,"AAAAAC/8+/A=")</f>
        <v>#REF!</v>
      </c>
      <c r="IH481" t="e">
        <f>AND(#REF!,"AAAAAC/8+/E=")</f>
        <v>#REF!</v>
      </c>
      <c r="II481" t="e">
        <f>AND(#REF!,"AAAAAC/8+/I=")</f>
        <v>#REF!</v>
      </c>
      <c r="IJ481" t="e">
        <f>AND(#REF!,"AAAAAC/8+/M=")</f>
        <v>#REF!</v>
      </c>
      <c r="IK481" t="e">
        <f>AND(#REF!,"AAAAAC/8+/Q=")</f>
        <v>#REF!</v>
      </c>
      <c r="IL481" t="e">
        <f>AND(#REF!,"AAAAAC/8+/U=")</f>
        <v>#REF!</v>
      </c>
      <c r="IM481" t="e">
        <f>AND(#REF!,"AAAAAC/8+/Y=")</f>
        <v>#REF!</v>
      </c>
      <c r="IN481" t="e">
        <f>AND(#REF!,"AAAAAC/8+/c=")</f>
        <v>#REF!</v>
      </c>
      <c r="IO481" t="e">
        <f>AND(#REF!,"AAAAAC/8+/g=")</f>
        <v>#REF!</v>
      </c>
      <c r="IP481" t="e">
        <f>AND(#REF!,"AAAAAC/8+/k=")</f>
        <v>#REF!</v>
      </c>
      <c r="IQ481" t="e">
        <f>AND(#REF!,"AAAAAC/8+/o=")</f>
        <v>#REF!</v>
      </c>
      <c r="IR481" t="e">
        <f>AND(#REF!,"AAAAAC/8+/s=")</f>
        <v>#REF!</v>
      </c>
      <c r="IS481" t="e">
        <f>AND(#REF!,"AAAAAC/8+/w=")</f>
        <v>#REF!</v>
      </c>
      <c r="IT481" t="e">
        <f>AND(#REF!,"AAAAAC/8+/0=")</f>
        <v>#REF!</v>
      </c>
      <c r="IU481" t="e">
        <f>AND(#REF!,"AAAAAC/8+/4=")</f>
        <v>#REF!</v>
      </c>
      <c r="IV481" t="e">
        <f>IF(#REF!,"AAAAAC/8+/8=",0)</f>
        <v>#REF!</v>
      </c>
    </row>
    <row r="482" spans="1:256">
      <c r="A482" t="e">
        <f>AND(#REF!,"AAAAAHZ7uwA=")</f>
        <v>#REF!</v>
      </c>
      <c r="B482" t="e">
        <f>AND(#REF!,"AAAAAHZ7uwE=")</f>
        <v>#REF!</v>
      </c>
      <c r="C482" t="e">
        <f>AND(#REF!,"AAAAAHZ7uwI=")</f>
        <v>#REF!</v>
      </c>
      <c r="D482" t="e">
        <f>AND(#REF!,"AAAAAHZ7uwM=")</f>
        <v>#REF!</v>
      </c>
      <c r="E482" t="e">
        <f>AND(#REF!,"AAAAAHZ7uwQ=")</f>
        <v>#REF!</v>
      </c>
      <c r="F482" t="e">
        <f>AND(#REF!,"AAAAAHZ7uwU=")</f>
        <v>#REF!</v>
      </c>
      <c r="G482" t="e">
        <f>AND(#REF!,"AAAAAHZ7uwY=")</f>
        <v>#REF!</v>
      </c>
      <c r="H482" t="e">
        <f>AND(#REF!,"AAAAAHZ7uwc=")</f>
        <v>#REF!</v>
      </c>
      <c r="I482" t="e">
        <f>AND(#REF!,"AAAAAHZ7uwg=")</f>
        <v>#REF!</v>
      </c>
      <c r="J482" t="e">
        <f>AND(#REF!,"AAAAAHZ7uwk=")</f>
        <v>#REF!</v>
      </c>
      <c r="K482" t="e">
        <f>AND(#REF!,"AAAAAHZ7uwo=")</f>
        <v>#REF!</v>
      </c>
      <c r="L482" t="e">
        <f>AND(#REF!,"AAAAAHZ7uws=")</f>
        <v>#REF!</v>
      </c>
      <c r="M482" t="e">
        <f>AND(#REF!,"AAAAAHZ7uww=")</f>
        <v>#REF!</v>
      </c>
      <c r="N482" t="e">
        <f>AND(#REF!,"AAAAAHZ7uw0=")</f>
        <v>#REF!</v>
      </c>
      <c r="O482" t="e">
        <f>AND(#REF!,"AAAAAHZ7uw4=")</f>
        <v>#REF!</v>
      </c>
      <c r="P482" t="e">
        <f>AND(#REF!,"AAAAAHZ7uw8=")</f>
        <v>#REF!</v>
      </c>
      <c r="Q482" t="e">
        <f>AND(#REF!,"AAAAAHZ7uxA=")</f>
        <v>#REF!</v>
      </c>
      <c r="R482" t="e">
        <f>AND(#REF!,"AAAAAHZ7uxE=")</f>
        <v>#REF!</v>
      </c>
      <c r="S482" t="e">
        <f>AND(#REF!,"AAAAAHZ7uxI=")</f>
        <v>#REF!</v>
      </c>
      <c r="T482" t="e">
        <f>AND(#REF!,"AAAAAHZ7uxM=")</f>
        <v>#REF!</v>
      </c>
      <c r="U482" t="e">
        <f>AND(#REF!,"AAAAAHZ7uxQ=")</f>
        <v>#REF!</v>
      </c>
      <c r="V482" t="e">
        <f>AND(#REF!,"AAAAAHZ7uxU=")</f>
        <v>#REF!</v>
      </c>
      <c r="W482" t="e">
        <f>AND(#REF!,"AAAAAHZ7uxY=")</f>
        <v>#REF!</v>
      </c>
      <c r="X482" t="e">
        <f>AND(#REF!,"AAAAAHZ7uxc=")</f>
        <v>#REF!</v>
      </c>
      <c r="Y482" t="e">
        <f>IF(#REF!,"AAAAAHZ7uxg=",0)</f>
        <v>#REF!</v>
      </c>
      <c r="Z482" t="e">
        <f>AND(#REF!,"AAAAAHZ7uxk=")</f>
        <v>#REF!</v>
      </c>
      <c r="AA482" t="e">
        <f>AND(#REF!,"AAAAAHZ7uxo=")</f>
        <v>#REF!</v>
      </c>
      <c r="AB482" t="e">
        <f>AND(#REF!,"AAAAAHZ7uxs=")</f>
        <v>#REF!</v>
      </c>
      <c r="AC482" t="e">
        <f>AND(#REF!,"AAAAAHZ7uxw=")</f>
        <v>#REF!</v>
      </c>
      <c r="AD482" t="e">
        <f>AND(#REF!,"AAAAAHZ7ux0=")</f>
        <v>#REF!</v>
      </c>
      <c r="AE482" t="e">
        <f>AND(#REF!,"AAAAAHZ7ux4=")</f>
        <v>#REF!</v>
      </c>
      <c r="AF482" t="e">
        <f>AND(#REF!,"AAAAAHZ7ux8=")</f>
        <v>#REF!</v>
      </c>
      <c r="AG482" t="e">
        <f>AND(#REF!,"AAAAAHZ7uyA=")</f>
        <v>#REF!</v>
      </c>
      <c r="AH482" t="e">
        <f>AND(#REF!,"AAAAAHZ7uyE=")</f>
        <v>#REF!</v>
      </c>
      <c r="AI482" t="e">
        <f>AND(#REF!,"AAAAAHZ7uyI=")</f>
        <v>#REF!</v>
      </c>
      <c r="AJ482" t="e">
        <f>AND(#REF!,"AAAAAHZ7uyM=")</f>
        <v>#REF!</v>
      </c>
      <c r="AK482" t="e">
        <f>AND(#REF!,"AAAAAHZ7uyQ=")</f>
        <v>#REF!</v>
      </c>
      <c r="AL482" t="e">
        <f>AND(#REF!,"AAAAAHZ7uyU=")</f>
        <v>#REF!</v>
      </c>
      <c r="AM482" t="e">
        <f>AND(#REF!,"AAAAAHZ7uyY=")</f>
        <v>#REF!</v>
      </c>
      <c r="AN482" t="e">
        <f>AND(#REF!,"AAAAAHZ7uyc=")</f>
        <v>#REF!</v>
      </c>
      <c r="AO482" t="e">
        <f>AND(#REF!,"AAAAAHZ7uyg=")</f>
        <v>#REF!</v>
      </c>
      <c r="AP482" t="e">
        <f>AND(#REF!,"AAAAAHZ7uyk=")</f>
        <v>#REF!</v>
      </c>
      <c r="AQ482" t="e">
        <f>AND(#REF!,"AAAAAHZ7uyo=")</f>
        <v>#REF!</v>
      </c>
      <c r="AR482" t="e">
        <f>AND(#REF!,"AAAAAHZ7uys=")</f>
        <v>#REF!</v>
      </c>
      <c r="AS482" t="e">
        <f>AND(#REF!,"AAAAAHZ7uyw=")</f>
        <v>#REF!</v>
      </c>
      <c r="AT482" t="e">
        <f>AND(#REF!,"AAAAAHZ7uy0=")</f>
        <v>#REF!</v>
      </c>
      <c r="AU482" t="e">
        <f>AND(#REF!,"AAAAAHZ7uy4=")</f>
        <v>#REF!</v>
      </c>
      <c r="AV482" t="e">
        <f>AND(#REF!,"AAAAAHZ7uy8=")</f>
        <v>#REF!</v>
      </c>
      <c r="AW482" t="e">
        <f>AND(#REF!,"AAAAAHZ7uzA=")</f>
        <v>#REF!</v>
      </c>
      <c r="AX482" t="e">
        <f>IF(#REF!,"AAAAAHZ7uzE=",0)</f>
        <v>#REF!</v>
      </c>
      <c r="AY482" t="e">
        <f>AND(#REF!,"AAAAAHZ7uzI=")</f>
        <v>#REF!</v>
      </c>
      <c r="AZ482" t="e">
        <f>AND(#REF!,"AAAAAHZ7uzM=")</f>
        <v>#REF!</v>
      </c>
      <c r="BA482" t="e">
        <f>AND(#REF!,"AAAAAHZ7uzQ=")</f>
        <v>#REF!</v>
      </c>
      <c r="BB482" t="e">
        <f>AND(#REF!,"AAAAAHZ7uzU=")</f>
        <v>#REF!</v>
      </c>
      <c r="BC482" t="e">
        <f>AND(#REF!,"AAAAAHZ7uzY=")</f>
        <v>#REF!</v>
      </c>
      <c r="BD482" t="e">
        <f>AND(#REF!,"AAAAAHZ7uzc=")</f>
        <v>#REF!</v>
      </c>
      <c r="BE482" t="e">
        <f>AND(#REF!,"AAAAAHZ7uzg=")</f>
        <v>#REF!</v>
      </c>
      <c r="BF482" t="e">
        <f>AND(#REF!,"AAAAAHZ7uzk=")</f>
        <v>#REF!</v>
      </c>
      <c r="BG482" t="e">
        <f>AND(#REF!,"AAAAAHZ7uzo=")</f>
        <v>#REF!</v>
      </c>
      <c r="BH482" t="e">
        <f>AND(#REF!,"AAAAAHZ7uzs=")</f>
        <v>#REF!</v>
      </c>
      <c r="BI482" t="e">
        <f>AND(#REF!,"AAAAAHZ7uzw=")</f>
        <v>#REF!</v>
      </c>
      <c r="BJ482" t="e">
        <f>AND(#REF!,"AAAAAHZ7uz0=")</f>
        <v>#REF!</v>
      </c>
      <c r="BK482" t="e">
        <f>AND(#REF!,"AAAAAHZ7uz4=")</f>
        <v>#REF!</v>
      </c>
      <c r="BL482" t="e">
        <f>AND(#REF!,"AAAAAHZ7uz8=")</f>
        <v>#REF!</v>
      </c>
      <c r="BM482" t="e">
        <f>AND(#REF!,"AAAAAHZ7u0A=")</f>
        <v>#REF!</v>
      </c>
      <c r="BN482" t="e">
        <f>AND(#REF!,"AAAAAHZ7u0E=")</f>
        <v>#REF!</v>
      </c>
      <c r="BO482" t="e">
        <f>AND(#REF!,"AAAAAHZ7u0I=")</f>
        <v>#REF!</v>
      </c>
      <c r="BP482" t="e">
        <f>AND(#REF!,"AAAAAHZ7u0M=")</f>
        <v>#REF!</v>
      </c>
      <c r="BQ482" t="e">
        <f>AND(#REF!,"AAAAAHZ7u0Q=")</f>
        <v>#REF!</v>
      </c>
      <c r="BR482" t="e">
        <f>AND(#REF!,"AAAAAHZ7u0U=")</f>
        <v>#REF!</v>
      </c>
      <c r="BS482" t="e">
        <f>AND(#REF!,"AAAAAHZ7u0Y=")</f>
        <v>#REF!</v>
      </c>
      <c r="BT482" t="e">
        <f>AND(#REF!,"AAAAAHZ7u0c=")</f>
        <v>#REF!</v>
      </c>
      <c r="BU482" t="e">
        <f>AND(#REF!,"AAAAAHZ7u0g=")</f>
        <v>#REF!</v>
      </c>
      <c r="BV482" t="e">
        <f>AND(#REF!,"AAAAAHZ7u0k=")</f>
        <v>#REF!</v>
      </c>
      <c r="BW482" t="e">
        <f>IF(#REF!,"AAAAAHZ7u0o=",0)</f>
        <v>#REF!</v>
      </c>
      <c r="BX482" t="e">
        <f>AND(#REF!,"AAAAAHZ7u0s=")</f>
        <v>#REF!</v>
      </c>
      <c r="BY482" t="e">
        <f>AND(#REF!,"AAAAAHZ7u0w=")</f>
        <v>#REF!</v>
      </c>
      <c r="BZ482" t="e">
        <f>AND(#REF!,"AAAAAHZ7u00=")</f>
        <v>#REF!</v>
      </c>
      <c r="CA482" t="e">
        <f>AND(#REF!,"AAAAAHZ7u04=")</f>
        <v>#REF!</v>
      </c>
      <c r="CB482" t="e">
        <f>AND(#REF!,"AAAAAHZ7u08=")</f>
        <v>#REF!</v>
      </c>
      <c r="CC482" t="e">
        <f>AND(#REF!,"AAAAAHZ7u1A=")</f>
        <v>#REF!</v>
      </c>
      <c r="CD482" t="e">
        <f>AND(#REF!,"AAAAAHZ7u1E=")</f>
        <v>#REF!</v>
      </c>
      <c r="CE482" t="e">
        <f>AND(#REF!,"AAAAAHZ7u1I=")</f>
        <v>#REF!</v>
      </c>
      <c r="CF482" t="e">
        <f>AND(#REF!,"AAAAAHZ7u1M=")</f>
        <v>#REF!</v>
      </c>
      <c r="CG482" t="e">
        <f>AND(#REF!,"AAAAAHZ7u1Q=")</f>
        <v>#REF!</v>
      </c>
      <c r="CH482" t="e">
        <f>AND(#REF!,"AAAAAHZ7u1U=")</f>
        <v>#REF!</v>
      </c>
      <c r="CI482" t="e">
        <f>AND(#REF!,"AAAAAHZ7u1Y=")</f>
        <v>#REF!</v>
      </c>
      <c r="CJ482" t="e">
        <f>AND(#REF!,"AAAAAHZ7u1c=")</f>
        <v>#REF!</v>
      </c>
      <c r="CK482" t="e">
        <f>AND(#REF!,"AAAAAHZ7u1g=")</f>
        <v>#REF!</v>
      </c>
      <c r="CL482" t="e">
        <f>AND(#REF!,"AAAAAHZ7u1k=")</f>
        <v>#REF!</v>
      </c>
      <c r="CM482" t="e">
        <f>AND(#REF!,"AAAAAHZ7u1o=")</f>
        <v>#REF!</v>
      </c>
      <c r="CN482" t="e">
        <f>AND(#REF!,"AAAAAHZ7u1s=")</f>
        <v>#REF!</v>
      </c>
      <c r="CO482" t="e">
        <f>AND(#REF!,"AAAAAHZ7u1w=")</f>
        <v>#REF!</v>
      </c>
      <c r="CP482" t="e">
        <f>AND(#REF!,"AAAAAHZ7u10=")</f>
        <v>#REF!</v>
      </c>
      <c r="CQ482" t="e">
        <f>AND(#REF!,"AAAAAHZ7u14=")</f>
        <v>#REF!</v>
      </c>
      <c r="CR482" t="e">
        <f>AND(#REF!,"AAAAAHZ7u18=")</f>
        <v>#REF!</v>
      </c>
      <c r="CS482" t="e">
        <f>AND(#REF!,"AAAAAHZ7u2A=")</f>
        <v>#REF!</v>
      </c>
      <c r="CT482" t="e">
        <f>AND(#REF!,"AAAAAHZ7u2E=")</f>
        <v>#REF!</v>
      </c>
      <c r="CU482" t="e">
        <f>AND(#REF!,"AAAAAHZ7u2I=")</f>
        <v>#REF!</v>
      </c>
      <c r="CV482" t="e">
        <f>IF(#REF!,"AAAAAHZ7u2M=",0)</f>
        <v>#REF!</v>
      </c>
      <c r="CW482" t="e">
        <f>AND(#REF!,"AAAAAHZ7u2Q=")</f>
        <v>#REF!</v>
      </c>
      <c r="CX482" t="e">
        <f>AND(#REF!,"AAAAAHZ7u2U=")</f>
        <v>#REF!</v>
      </c>
      <c r="CY482" t="e">
        <f>AND(#REF!,"AAAAAHZ7u2Y=")</f>
        <v>#REF!</v>
      </c>
      <c r="CZ482" t="e">
        <f>AND(#REF!,"AAAAAHZ7u2c=")</f>
        <v>#REF!</v>
      </c>
      <c r="DA482" t="e">
        <f>AND(#REF!,"AAAAAHZ7u2g=")</f>
        <v>#REF!</v>
      </c>
      <c r="DB482" t="e">
        <f>AND(#REF!,"AAAAAHZ7u2k=")</f>
        <v>#REF!</v>
      </c>
      <c r="DC482" t="e">
        <f>AND(#REF!,"AAAAAHZ7u2o=")</f>
        <v>#REF!</v>
      </c>
      <c r="DD482" t="e">
        <f>AND(#REF!,"AAAAAHZ7u2s=")</f>
        <v>#REF!</v>
      </c>
      <c r="DE482" t="e">
        <f>AND(#REF!,"AAAAAHZ7u2w=")</f>
        <v>#REF!</v>
      </c>
      <c r="DF482" t="e">
        <f>AND(#REF!,"AAAAAHZ7u20=")</f>
        <v>#REF!</v>
      </c>
      <c r="DG482" t="e">
        <f>AND(#REF!,"AAAAAHZ7u24=")</f>
        <v>#REF!</v>
      </c>
      <c r="DH482" t="e">
        <f>AND(#REF!,"AAAAAHZ7u28=")</f>
        <v>#REF!</v>
      </c>
      <c r="DI482" t="e">
        <f>AND(#REF!,"AAAAAHZ7u3A=")</f>
        <v>#REF!</v>
      </c>
      <c r="DJ482" t="e">
        <f>AND(#REF!,"AAAAAHZ7u3E=")</f>
        <v>#REF!</v>
      </c>
      <c r="DK482" t="e">
        <f>AND(#REF!,"AAAAAHZ7u3I=")</f>
        <v>#REF!</v>
      </c>
      <c r="DL482" t="e">
        <f>AND(#REF!,"AAAAAHZ7u3M=")</f>
        <v>#REF!</v>
      </c>
      <c r="DM482" t="e">
        <f>AND(#REF!,"AAAAAHZ7u3Q=")</f>
        <v>#REF!</v>
      </c>
      <c r="DN482" t="e">
        <f>AND(#REF!,"AAAAAHZ7u3U=")</f>
        <v>#REF!</v>
      </c>
      <c r="DO482" t="e">
        <f>AND(#REF!,"AAAAAHZ7u3Y=")</f>
        <v>#REF!</v>
      </c>
      <c r="DP482" t="e">
        <f>AND(#REF!,"AAAAAHZ7u3c=")</f>
        <v>#REF!</v>
      </c>
      <c r="DQ482" t="e">
        <f>AND(#REF!,"AAAAAHZ7u3g=")</f>
        <v>#REF!</v>
      </c>
      <c r="DR482" t="e">
        <f>AND(#REF!,"AAAAAHZ7u3k=")</f>
        <v>#REF!</v>
      </c>
      <c r="DS482" t="e">
        <f>AND(#REF!,"AAAAAHZ7u3o=")</f>
        <v>#REF!</v>
      </c>
      <c r="DT482" t="e">
        <f>AND(#REF!,"AAAAAHZ7u3s=")</f>
        <v>#REF!</v>
      </c>
      <c r="DU482" t="e">
        <f>IF(#REF!,"AAAAAHZ7u3w=",0)</f>
        <v>#REF!</v>
      </c>
      <c r="DV482" t="e">
        <f>AND(#REF!,"AAAAAHZ7u30=")</f>
        <v>#REF!</v>
      </c>
      <c r="DW482" t="e">
        <f>AND(#REF!,"AAAAAHZ7u34=")</f>
        <v>#REF!</v>
      </c>
      <c r="DX482" t="e">
        <f>AND(#REF!,"AAAAAHZ7u38=")</f>
        <v>#REF!</v>
      </c>
      <c r="DY482" t="e">
        <f>AND(#REF!,"AAAAAHZ7u4A=")</f>
        <v>#REF!</v>
      </c>
      <c r="DZ482" t="e">
        <f>AND(#REF!,"AAAAAHZ7u4E=")</f>
        <v>#REF!</v>
      </c>
      <c r="EA482" t="e">
        <f>AND(#REF!,"AAAAAHZ7u4I=")</f>
        <v>#REF!</v>
      </c>
      <c r="EB482" t="e">
        <f>AND(#REF!,"AAAAAHZ7u4M=")</f>
        <v>#REF!</v>
      </c>
      <c r="EC482" t="e">
        <f>AND(#REF!,"AAAAAHZ7u4Q=")</f>
        <v>#REF!</v>
      </c>
      <c r="ED482" t="e">
        <f>AND(#REF!,"AAAAAHZ7u4U=")</f>
        <v>#REF!</v>
      </c>
      <c r="EE482" t="e">
        <f>AND(#REF!,"AAAAAHZ7u4Y=")</f>
        <v>#REF!</v>
      </c>
      <c r="EF482" t="e">
        <f>AND(#REF!,"AAAAAHZ7u4c=")</f>
        <v>#REF!</v>
      </c>
      <c r="EG482" t="e">
        <f>AND(#REF!,"AAAAAHZ7u4g=")</f>
        <v>#REF!</v>
      </c>
      <c r="EH482" t="e">
        <f>AND(#REF!,"AAAAAHZ7u4k=")</f>
        <v>#REF!</v>
      </c>
      <c r="EI482" t="e">
        <f>AND(#REF!,"AAAAAHZ7u4o=")</f>
        <v>#REF!</v>
      </c>
      <c r="EJ482" t="e">
        <f>AND(#REF!,"AAAAAHZ7u4s=")</f>
        <v>#REF!</v>
      </c>
      <c r="EK482" t="e">
        <f>AND(#REF!,"AAAAAHZ7u4w=")</f>
        <v>#REF!</v>
      </c>
      <c r="EL482" t="e">
        <f>AND(#REF!,"AAAAAHZ7u40=")</f>
        <v>#REF!</v>
      </c>
      <c r="EM482" t="e">
        <f>AND(#REF!,"AAAAAHZ7u44=")</f>
        <v>#REF!</v>
      </c>
      <c r="EN482" t="e">
        <f>AND(#REF!,"AAAAAHZ7u48=")</f>
        <v>#REF!</v>
      </c>
      <c r="EO482" t="e">
        <f>AND(#REF!,"AAAAAHZ7u5A=")</f>
        <v>#REF!</v>
      </c>
      <c r="EP482" t="e">
        <f>AND(#REF!,"AAAAAHZ7u5E=")</f>
        <v>#REF!</v>
      </c>
      <c r="EQ482" t="e">
        <f>AND(#REF!,"AAAAAHZ7u5I=")</f>
        <v>#REF!</v>
      </c>
      <c r="ER482" t="e">
        <f>AND(#REF!,"AAAAAHZ7u5M=")</f>
        <v>#REF!</v>
      </c>
      <c r="ES482" t="e">
        <f>AND(#REF!,"AAAAAHZ7u5Q=")</f>
        <v>#REF!</v>
      </c>
      <c r="ET482" t="e">
        <f>IF(#REF!,"AAAAAHZ7u5U=",0)</f>
        <v>#REF!</v>
      </c>
      <c r="EU482" t="e">
        <f>AND(#REF!,"AAAAAHZ7u5Y=")</f>
        <v>#REF!</v>
      </c>
      <c r="EV482" t="e">
        <f>AND(#REF!,"AAAAAHZ7u5c=")</f>
        <v>#REF!</v>
      </c>
      <c r="EW482" t="e">
        <f>AND(#REF!,"AAAAAHZ7u5g=")</f>
        <v>#REF!</v>
      </c>
      <c r="EX482" t="e">
        <f>AND(#REF!,"AAAAAHZ7u5k=")</f>
        <v>#REF!</v>
      </c>
      <c r="EY482" t="e">
        <f>AND(#REF!,"AAAAAHZ7u5o=")</f>
        <v>#REF!</v>
      </c>
      <c r="EZ482" t="e">
        <f>AND(#REF!,"AAAAAHZ7u5s=")</f>
        <v>#REF!</v>
      </c>
      <c r="FA482" t="e">
        <f>AND(#REF!,"AAAAAHZ7u5w=")</f>
        <v>#REF!</v>
      </c>
      <c r="FB482" t="e">
        <f>AND(#REF!,"AAAAAHZ7u50=")</f>
        <v>#REF!</v>
      </c>
      <c r="FC482" t="e">
        <f>AND(#REF!,"AAAAAHZ7u54=")</f>
        <v>#REF!</v>
      </c>
      <c r="FD482" t="e">
        <f>AND(#REF!,"AAAAAHZ7u58=")</f>
        <v>#REF!</v>
      </c>
      <c r="FE482" t="e">
        <f>AND(#REF!,"AAAAAHZ7u6A=")</f>
        <v>#REF!</v>
      </c>
      <c r="FF482" t="e">
        <f>AND(#REF!,"AAAAAHZ7u6E=")</f>
        <v>#REF!</v>
      </c>
      <c r="FG482" t="e">
        <f>AND(#REF!,"AAAAAHZ7u6I=")</f>
        <v>#REF!</v>
      </c>
      <c r="FH482" t="e">
        <f>AND(#REF!,"AAAAAHZ7u6M=")</f>
        <v>#REF!</v>
      </c>
      <c r="FI482" t="e">
        <f>AND(#REF!,"AAAAAHZ7u6Q=")</f>
        <v>#REF!</v>
      </c>
      <c r="FJ482" t="e">
        <f>AND(#REF!,"AAAAAHZ7u6U=")</f>
        <v>#REF!</v>
      </c>
      <c r="FK482" t="e">
        <f>AND(#REF!,"AAAAAHZ7u6Y=")</f>
        <v>#REF!</v>
      </c>
      <c r="FL482" t="e">
        <f>AND(#REF!,"AAAAAHZ7u6c=")</f>
        <v>#REF!</v>
      </c>
      <c r="FM482" t="e">
        <f>AND(#REF!,"AAAAAHZ7u6g=")</f>
        <v>#REF!</v>
      </c>
      <c r="FN482" t="e">
        <f>AND(#REF!,"AAAAAHZ7u6k=")</f>
        <v>#REF!</v>
      </c>
      <c r="FO482" t="e">
        <f>AND(#REF!,"AAAAAHZ7u6o=")</f>
        <v>#REF!</v>
      </c>
      <c r="FP482" t="e">
        <f>AND(#REF!,"AAAAAHZ7u6s=")</f>
        <v>#REF!</v>
      </c>
      <c r="FQ482" t="e">
        <f>AND(#REF!,"AAAAAHZ7u6w=")</f>
        <v>#REF!</v>
      </c>
      <c r="FR482" t="e">
        <f>AND(#REF!,"AAAAAHZ7u60=")</f>
        <v>#REF!</v>
      </c>
      <c r="FS482" t="e">
        <f>IF(#REF!,"AAAAAHZ7u64=",0)</f>
        <v>#REF!</v>
      </c>
      <c r="FT482" t="e">
        <f>AND(#REF!,"AAAAAHZ7u68=")</f>
        <v>#REF!</v>
      </c>
      <c r="FU482" t="e">
        <f>AND(#REF!,"AAAAAHZ7u7A=")</f>
        <v>#REF!</v>
      </c>
      <c r="FV482" t="e">
        <f>AND(#REF!,"AAAAAHZ7u7E=")</f>
        <v>#REF!</v>
      </c>
      <c r="FW482" t="e">
        <f>AND(#REF!,"AAAAAHZ7u7I=")</f>
        <v>#REF!</v>
      </c>
      <c r="FX482" t="e">
        <f>AND(#REF!,"AAAAAHZ7u7M=")</f>
        <v>#REF!</v>
      </c>
      <c r="FY482" t="e">
        <f>AND(#REF!,"AAAAAHZ7u7Q=")</f>
        <v>#REF!</v>
      </c>
      <c r="FZ482" t="e">
        <f>AND(#REF!,"AAAAAHZ7u7U=")</f>
        <v>#REF!</v>
      </c>
      <c r="GA482" t="e">
        <f>AND(#REF!,"AAAAAHZ7u7Y=")</f>
        <v>#REF!</v>
      </c>
      <c r="GB482" t="e">
        <f>AND(#REF!,"AAAAAHZ7u7c=")</f>
        <v>#REF!</v>
      </c>
      <c r="GC482" t="e">
        <f>AND(#REF!,"AAAAAHZ7u7g=")</f>
        <v>#REF!</v>
      </c>
      <c r="GD482" t="e">
        <f>AND(#REF!,"AAAAAHZ7u7k=")</f>
        <v>#REF!</v>
      </c>
      <c r="GE482" t="e">
        <f>AND(#REF!,"AAAAAHZ7u7o=")</f>
        <v>#REF!</v>
      </c>
      <c r="GF482" t="e">
        <f>AND(#REF!,"AAAAAHZ7u7s=")</f>
        <v>#REF!</v>
      </c>
      <c r="GG482" t="e">
        <f>AND(#REF!,"AAAAAHZ7u7w=")</f>
        <v>#REF!</v>
      </c>
      <c r="GH482" t="e">
        <f>AND(#REF!,"AAAAAHZ7u70=")</f>
        <v>#REF!</v>
      </c>
      <c r="GI482" t="e">
        <f>AND(#REF!,"AAAAAHZ7u74=")</f>
        <v>#REF!</v>
      </c>
      <c r="GJ482" t="e">
        <f>AND(#REF!,"AAAAAHZ7u78=")</f>
        <v>#REF!</v>
      </c>
      <c r="GK482" t="e">
        <f>AND(#REF!,"AAAAAHZ7u8A=")</f>
        <v>#REF!</v>
      </c>
      <c r="GL482" t="e">
        <f>AND(#REF!,"AAAAAHZ7u8E=")</f>
        <v>#REF!</v>
      </c>
      <c r="GM482" t="e">
        <f>AND(#REF!,"AAAAAHZ7u8I=")</f>
        <v>#REF!</v>
      </c>
      <c r="GN482" t="e">
        <f>AND(#REF!,"AAAAAHZ7u8M=")</f>
        <v>#REF!</v>
      </c>
      <c r="GO482" t="e">
        <f>AND(#REF!,"AAAAAHZ7u8Q=")</f>
        <v>#REF!</v>
      </c>
      <c r="GP482" t="e">
        <f>AND(#REF!,"AAAAAHZ7u8U=")</f>
        <v>#REF!</v>
      </c>
      <c r="GQ482" t="e">
        <f>AND(#REF!,"AAAAAHZ7u8Y=")</f>
        <v>#REF!</v>
      </c>
      <c r="GR482" t="e">
        <f>IF(#REF!,"AAAAAHZ7u8c=",0)</f>
        <v>#REF!</v>
      </c>
      <c r="GS482" t="e">
        <f>AND(#REF!,"AAAAAHZ7u8g=")</f>
        <v>#REF!</v>
      </c>
      <c r="GT482" t="e">
        <f>AND(#REF!,"AAAAAHZ7u8k=")</f>
        <v>#REF!</v>
      </c>
      <c r="GU482" t="e">
        <f>AND(#REF!,"AAAAAHZ7u8o=")</f>
        <v>#REF!</v>
      </c>
      <c r="GV482" t="e">
        <f>AND(#REF!,"AAAAAHZ7u8s=")</f>
        <v>#REF!</v>
      </c>
      <c r="GW482" t="e">
        <f>AND(#REF!,"AAAAAHZ7u8w=")</f>
        <v>#REF!</v>
      </c>
      <c r="GX482" t="e">
        <f>AND(#REF!,"AAAAAHZ7u80=")</f>
        <v>#REF!</v>
      </c>
      <c r="GY482" t="e">
        <f>AND(#REF!,"AAAAAHZ7u84=")</f>
        <v>#REF!</v>
      </c>
      <c r="GZ482" t="e">
        <f>AND(#REF!,"AAAAAHZ7u88=")</f>
        <v>#REF!</v>
      </c>
      <c r="HA482" t="e">
        <f>AND(#REF!,"AAAAAHZ7u9A=")</f>
        <v>#REF!</v>
      </c>
      <c r="HB482" t="e">
        <f>AND(#REF!,"AAAAAHZ7u9E=")</f>
        <v>#REF!</v>
      </c>
      <c r="HC482" t="e">
        <f>AND(#REF!,"AAAAAHZ7u9I=")</f>
        <v>#REF!</v>
      </c>
      <c r="HD482" t="e">
        <f>AND(#REF!,"AAAAAHZ7u9M=")</f>
        <v>#REF!</v>
      </c>
      <c r="HE482" t="e">
        <f>AND(#REF!,"AAAAAHZ7u9Q=")</f>
        <v>#REF!</v>
      </c>
      <c r="HF482" t="e">
        <f>AND(#REF!,"AAAAAHZ7u9U=")</f>
        <v>#REF!</v>
      </c>
      <c r="HG482" t="e">
        <f>AND(#REF!,"AAAAAHZ7u9Y=")</f>
        <v>#REF!</v>
      </c>
      <c r="HH482" t="e">
        <f>AND(#REF!,"AAAAAHZ7u9c=")</f>
        <v>#REF!</v>
      </c>
      <c r="HI482" t="e">
        <f>AND(#REF!,"AAAAAHZ7u9g=")</f>
        <v>#REF!</v>
      </c>
      <c r="HJ482" t="e">
        <f>AND(#REF!,"AAAAAHZ7u9k=")</f>
        <v>#REF!</v>
      </c>
      <c r="HK482" t="e">
        <f>AND(#REF!,"AAAAAHZ7u9o=")</f>
        <v>#REF!</v>
      </c>
      <c r="HL482" t="e">
        <f>AND(#REF!,"AAAAAHZ7u9s=")</f>
        <v>#REF!</v>
      </c>
      <c r="HM482" t="e">
        <f>AND(#REF!,"AAAAAHZ7u9w=")</f>
        <v>#REF!</v>
      </c>
      <c r="HN482" t="e">
        <f>AND(#REF!,"AAAAAHZ7u90=")</f>
        <v>#REF!</v>
      </c>
      <c r="HO482" t="e">
        <f>AND(#REF!,"AAAAAHZ7u94=")</f>
        <v>#REF!</v>
      </c>
      <c r="HP482" t="e">
        <f>AND(#REF!,"AAAAAHZ7u98=")</f>
        <v>#REF!</v>
      </c>
      <c r="HQ482" t="e">
        <f>IF(#REF!,"AAAAAHZ7u+A=",0)</f>
        <v>#REF!</v>
      </c>
      <c r="HR482" t="e">
        <f>AND(#REF!,"AAAAAHZ7u+E=")</f>
        <v>#REF!</v>
      </c>
      <c r="HS482" t="e">
        <f>AND(#REF!,"AAAAAHZ7u+I=")</f>
        <v>#REF!</v>
      </c>
      <c r="HT482" t="e">
        <f>AND(#REF!,"AAAAAHZ7u+M=")</f>
        <v>#REF!</v>
      </c>
      <c r="HU482" t="e">
        <f>AND(#REF!,"AAAAAHZ7u+Q=")</f>
        <v>#REF!</v>
      </c>
      <c r="HV482" t="e">
        <f>AND(#REF!,"AAAAAHZ7u+U=")</f>
        <v>#REF!</v>
      </c>
      <c r="HW482" t="e">
        <f>AND(#REF!,"AAAAAHZ7u+Y=")</f>
        <v>#REF!</v>
      </c>
      <c r="HX482" t="e">
        <f>AND(#REF!,"AAAAAHZ7u+c=")</f>
        <v>#REF!</v>
      </c>
      <c r="HY482" t="e">
        <f>AND(#REF!,"AAAAAHZ7u+g=")</f>
        <v>#REF!</v>
      </c>
      <c r="HZ482" t="e">
        <f>AND(#REF!,"AAAAAHZ7u+k=")</f>
        <v>#REF!</v>
      </c>
      <c r="IA482" t="e">
        <f>AND(#REF!,"AAAAAHZ7u+o=")</f>
        <v>#REF!</v>
      </c>
      <c r="IB482" t="e">
        <f>AND(#REF!,"AAAAAHZ7u+s=")</f>
        <v>#REF!</v>
      </c>
      <c r="IC482" t="e">
        <f>AND(#REF!,"AAAAAHZ7u+w=")</f>
        <v>#REF!</v>
      </c>
      <c r="ID482" t="e">
        <f>AND(#REF!,"AAAAAHZ7u+0=")</f>
        <v>#REF!</v>
      </c>
      <c r="IE482" t="e">
        <f>AND(#REF!,"AAAAAHZ7u+4=")</f>
        <v>#REF!</v>
      </c>
      <c r="IF482" t="e">
        <f>AND(#REF!,"AAAAAHZ7u+8=")</f>
        <v>#REF!</v>
      </c>
      <c r="IG482" t="e">
        <f>AND(#REF!,"AAAAAHZ7u/A=")</f>
        <v>#REF!</v>
      </c>
      <c r="IH482" t="e">
        <f>AND(#REF!,"AAAAAHZ7u/E=")</f>
        <v>#REF!</v>
      </c>
      <c r="II482" t="e">
        <f>AND(#REF!,"AAAAAHZ7u/I=")</f>
        <v>#REF!</v>
      </c>
      <c r="IJ482" t="e">
        <f>AND(#REF!,"AAAAAHZ7u/M=")</f>
        <v>#REF!</v>
      </c>
      <c r="IK482" t="e">
        <f>AND(#REF!,"AAAAAHZ7u/Q=")</f>
        <v>#REF!</v>
      </c>
      <c r="IL482" t="e">
        <f>AND(#REF!,"AAAAAHZ7u/U=")</f>
        <v>#REF!</v>
      </c>
      <c r="IM482" t="e">
        <f>AND(#REF!,"AAAAAHZ7u/Y=")</f>
        <v>#REF!</v>
      </c>
      <c r="IN482" t="e">
        <f>AND(#REF!,"AAAAAHZ7u/c=")</f>
        <v>#REF!</v>
      </c>
      <c r="IO482" t="e">
        <f>AND(#REF!,"AAAAAHZ7u/g=")</f>
        <v>#REF!</v>
      </c>
      <c r="IP482" t="e">
        <f>IF(#REF!,"AAAAAHZ7u/k=",0)</f>
        <v>#REF!</v>
      </c>
      <c r="IQ482" t="e">
        <f>AND(#REF!,"AAAAAHZ7u/o=")</f>
        <v>#REF!</v>
      </c>
      <c r="IR482" t="e">
        <f>AND(#REF!,"AAAAAHZ7u/s=")</f>
        <v>#REF!</v>
      </c>
      <c r="IS482" t="e">
        <f>AND(#REF!,"AAAAAHZ7u/w=")</f>
        <v>#REF!</v>
      </c>
      <c r="IT482" t="e">
        <f>AND(#REF!,"AAAAAHZ7u/0=")</f>
        <v>#REF!</v>
      </c>
      <c r="IU482" t="e">
        <f>AND(#REF!,"AAAAAHZ7u/4=")</f>
        <v>#REF!</v>
      </c>
      <c r="IV482" t="e">
        <f>AND(#REF!,"AAAAAHZ7u/8=")</f>
        <v>#REF!</v>
      </c>
    </row>
    <row r="483" spans="1:256">
      <c r="A483" t="e">
        <f>AND(#REF!,"AAAAABf/+QA=")</f>
        <v>#REF!</v>
      </c>
      <c r="B483" t="e">
        <f>AND(#REF!,"AAAAABf/+QE=")</f>
        <v>#REF!</v>
      </c>
      <c r="C483" t="e">
        <f>AND(#REF!,"AAAAABf/+QI=")</f>
        <v>#REF!</v>
      </c>
      <c r="D483" t="e">
        <f>AND(#REF!,"AAAAABf/+QM=")</f>
        <v>#REF!</v>
      </c>
      <c r="E483" t="e">
        <f>AND(#REF!,"AAAAABf/+QQ=")</f>
        <v>#REF!</v>
      </c>
      <c r="F483" t="e">
        <f>AND(#REF!,"AAAAABf/+QU=")</f>
        <v>#REF!</v>
      </c>
      <c r="G483" t="e">
        <f>AND(#REF!,"AAAAABf/+QY=")</f>
        <v>#REF!</v>
      </c>
      <c r="H483" t="e">
        <f>AND(#REF!,"AAAAABf/+Qc=")</f>
        <v>#REF!</v>
      </c>
      <c r="I483" t="e">
        <f>AND(#REF!,"AAAAABf/+Qg=")</f>
        <v>#REF!</v>
      </c>
      <c r="J483" t="e">
        <f>AND(#REF!,"AAAAABf/+Qk=")</f>
        <v>#REF!</v>
      </c>
      <c r="K483" t="e">
        <f>AND(#REF!,"AAAAABf/+Qo=")</f>
        <v>#REF!</v>
      </c>
      <c r="L483" t="e">
        <f>AND(#REF!,"AAAAABf/+Qs=")</f>
        <v>#REF!</v>
      </c>
      <c r="M483" t="e">
        <f>AND(#REF!,"AAAAABf/+Qw=")</f>
        <v>#REF!</v>
      </c>
      <c r="N483" t="e">
        <f>AND(#REF!,"AAAAABf/+Q0=")</f>
        <v>#REF!</v>
      </c>
      <c r="O483" t="e">
        <f>AND(#REF!,"AAAAABf/+Q4=")</f>
        <v>#REF!</v>
      </c>
      <c r="P483" t="e">
        <f>AND(#REF!,"AAAAABf/+Q8=")</f>
        <v>#REF!</v>
      </c>
      <c r="Q483" t="e">
        <f>AND(#REF!,"AAAAABf/+RA=")</f>
        <v>#REF!</v>
      </c>
      <c r="R483" t="e">
        <f>AND(#REF!,"AAAAABf/+RE=")</f>
        <v>#REF!</v>
      </c>
      <c r="S483" t="e">
        <f>IF(#REF!,"AAAAABf/+RI=",0)</f>
        <v>#REF!</v>
      </c>
      <c r="T483" t="e">
        <f>AND(#REF!,"AAAAABf/+RM=")</f>
        <v>#REF!</v>
      </c>
      <c r="U483" t="e">
        <f>AND(#REF!,"AAAAABf/+RQ=")</f>
        <v>#REF!</v>
      </c>
      <c r="V483" t="e">
        <f>AND(#REF!,"AAAAABf/+RU=")</f>
        <v>#REF!</v>
      </c>
      <c r="W483" t="e">
        <f>AND(#REF!,"AAAAABf/+RY=")</f>
        <v>#REF!</v>
      </c>
      <c r="X483" t="e">
        <f>AND(#REF!,"AAAAABf/+Rc=")</f>
        <v>#REF!</v>
      </c>
      <c r="Y483" t="e">
        <f>AND(#REF!,"AAAAABf/+Rg=")</f>
        <v>#REF!</v>
      </c>
      <c r="Z483" t="e">
        <f>AND(#REF!,"AAAAABf/+Rk=")</f>
        <v>#REF!</v>
      </c>
      <c r="AA483" t="e">
        <f>AND(#REF!,"AAAAABf/+Ro=")</f>
        <v>#REF!</v>
      </c>
      <c r="AB483" t="e">
        <f>AND(#REF!,"AAAAABf/+Rs=")</f>
        <v>#REF!</v>
      </c>
      <c r="AC483" t="e">
        <f>AND(#REF!,"AAAAABf/+Rw=")</f>
        <v>#REF!</v>
      </c>
      <c r="AD483" t="e">
        <f>AND(#REF!,"AAAAABf/+R0=")</f>
        <v>#REF!</v>
      </c>
      <c r="AE483" t="e">
        <f>AND(#REF!,"AAAAABf/+R4=")</f>
        <v>#REF!</v>
      </c>
      <c r="AF483" t="e">
        <f>AND(#REF!,"AAAAABf/+R8=")</f>
        <v>#REF!</v>
      </c>
      <c r="AG483" t="e">
        <f>AND(#REF!,"AAAAABf/+SA=")</f>
        <v>#REF!</v>
      </c>
      <c r="AH483" t="e">
        <f>AND(#REF!,"AAAAABf/+SE=")</f>
        <v>#REF!</v>
      </c>
      <c r="AI483" t="e">
        <f>AND(#REF!,"AAAAABf/+SI=")</f>
        <v>#REF!</v>
      </c>
      <c r="AJ483" t="e">
        <f>AND(#REF!,"AAAAABf/+SM=")</f>
        <v>#REF!</v>
      </c>
      <c r="AK483" t="e">
        <f>AND(#REF!,"AAAAABf/+SQ=")</f>
        <v>#REF!</v>
      </c>
      <c r="AL483" t="e">
        <f>AND(#REF!,"AAAAABf/+SU=")</f>
        <v>#REF!</v>
      </c>
      <c r="AM483" t="e">
        <f>AND(#REF!,"AAAAABf/+SY=")</f>
        <v>#REF!</v>
      </c>
      <c r="AN483" t="e">
        <f>AND(#REF!,"AAAAABf/+Sc=")</f>
        <v>#REF!</v>
      </c>
      <c r="AO483" t="e">
        <f>AND(#REF!,"AAAAABf/+Sg=")</f>
        <v>#REF!</v>
      </c>
      <c r="AP483" t="e">
        <f>AND(#REF!,"AAAAABf/+Sk=")</f>
        <v>#REF!</v>
      </c>
      <c r="AQ483" t="e">
        <f>AND(#REF!,"AAAAABf/+So=")</f>
        <v>#REF!</v>
      </c>
      <c r="AR483" t="e">
        <f>IF(#REF!,"AAAAABf/+Ss=",0)</f>
        <v>#REF!</v>
      </c>
      <c r="AS483" t="e">
        <f>AND(#REF!,"AAAAABf/+Sw=")</f>
        <v>#REF!</v>
      </c>
      <c r="AT483" t="e">
        <f>AND(#REF!,"AAAAABf/+S0=")</f>
        <v>#REF!</v>
      </c>
      <c r="AU483" t="e">
        <f>AND(#REF!,"AAAAABf/+S4=")</f>
        <v>#REF!</v>
      </c>
      <c r="AV483" t="e">
        <f>AND(#REF!,"AAAAABf/+S8=")</f>
        <v>#REF!</v>
      </c>
      <c r="AW483" t="e">
        <f>AND(#REF!,"AAAAABf/+TA=")</f>
        <v>#REF!</v>
      </c>
      <c r="AX483" t="e">
        <f>AND(#REF!,"AAAAABf/+TE=")</f>
        <v>#REF!</v>
      </c>
      <c r="AY483" t="e">
        <f>AND(#REF!,"AAAAABf/+TI=")</f>
        <v>#REF!</v>
      </c>
      <c r="AZ483" t="e">
        <f>AND(#REF!,"AAAAABf/+TM=")</f>
        <v>#REF!</v>
      </c>
      <c r="BA483" t="e">
        <f>AND(#REF!,"AAAAABf/+TQ=")</f>
        <v>#REF!</v>
      </c>
      <c r="BB483" t="e">
        <f>AND(#REF!,"AAAAABf/+TU=")</f>
        <v>#REF!</v>
      </c>
      <c r="BC483" t="e">
        <f>AND(#REF!,"AAAAABf/+TY=")</f>
        <v>#REF!</v>
      </c>
      <c r="BD483" t="e">
        <f>AND(#REF!,"AAAAABf/+Tc=")</f>
        <v>#REF!</v>
      </c>
      <c r="BE483" t="e">
        <f>AND(#REF!,"AAAAABf/+Tg=")</f>
        <v>#REF!</v>
      </c>
      <c r="BF483" t="e">
        <f>AND(#REF!,"AAAAABf/+Tk=")</f>
        <v>#REF!</v>
      </c>
      <c r="BG483" t="e">
        <f>AND(#REF!,"AAAAABf/+To=")</f>
        <v>#REF!</v>
      </c>
      <c r="BH483" t="e">
        <f>AND(#REF!,"AAAAABf/+Ts=")</f>
        <v>#REF!</v>
      </c>
      <c r="BI483" t="e">
        <f>AND(#REF!,"AAAAABf/+Tw=")</f>
        <v>#REF!</v>
      </c>
      <c r="BJ483" t="e">
        <f>AND(#REF!,"AAAAABf/+T0=")</f>
        <v>#REF!</v>
      </c>
      <c r="BK483" t="e">
        <f>AND(#REF!,"AAAAABf/+T4=")</f>
        <v>#REF!</v>
      </c>
      <c r="BL483" t="e">
        <f>AND(#REF!,"AAAAABf/+T8=")</f>
        <v>#REF!</v>
      </c>
      <c r="BM483" t="e">
        <f>AND(#REF!,"AAAAABf/+UA=")</f>
        <v>#REF!</v>
      </c>
      <c r="BN483" t="e">
        <f>AND(#REF!,"AAAAABf/+UE=")</f>
        <v>#REF!</v>
      </c>
      <c r="BO483" t="e">
        <f>AND(#REF!,"AAAAABf/+UI=")</f>
        <v>#REF!</v>
      </c>
      <c r="BP483" t="e">
        <f>AND(#REF!,"AAAAABf/+UM=")</f>
        <v>#REF!</v>
      </c>
      <c r="BQ483" t="e">
        <f>IF(#REF!,"AAAAABf/+UQ=",0)</f>
        <v>#REF!</v>
      </c>
      <c r="BR483" t="e">
        <f>AND(#REF!,"AAAAABf/+UU=")</f>
        <v>#REF!</v>
      </c>
      <c r="BS483" t="e">
        <f>AND(#REF!,"AAAAABf/+UY=")</f>
        <v>#REF!</v>
      </c>
      <c r="BT483" t="e">
        <f>AND(#REF!,"AAAAABf/+Uc=")</f>
        <v>#REF!</v>
      </c>
      <c r="BU483" t="e">
        <f>AND(#REF!,"AAAAABf/+Ug=")</f>
        <v>#REF!</v>
      </c>
      <c r="BV483" t="e">
        <f>AND(#REF!,"AAAAABf/+Uk=")</f>
        <v>#REF!</v>
      </c>
      <c r="BW483" t="e">
        <f>AND(#REF!,"AAAAABf/+Uo=")</f>
        <v>#REF!</v>
      </c>
      <c r="BX483" t="e">
        <f>AND(#REF!,"AAAAABf/+Us=")</f>
        <v>#REF!</v>
      </c>
      <c r="BY483" t="e">
        <f>AND(#REF!,"AAAAABf/+Uw=")</f>
        <v>#REF!</v>
      </c>
      <c r="BZ483" t="e">
        <f>AND(#REF!,"AAAAABf/+U0=")</f>
        <v>#REF!</v>
      </c>
      <c r="CA483" t="e">
        <f>AND(#REF!,"AAAAABf/+U4=")</f>
        <v>#REF!</v>
      </c>
      <c r="CB483" t="e">
        <f>AND(#REF!,"AAAAABf/+U8=")</f>
        <v>#REF!</v>
      </c>
      <c r="CC483" t="e">
        <f>AND(#REF!,"AAAAABf/+VA=")</f>
        <v>#REF!</v>
      </c>
      <c r="CD483" t="e">
        <f>AND(#REF!,"AAAAABf/+VE=")</f>
        <v>#REF!</v>
      </c>
      <c r="CE483" t="e">
        <f>AND(#REF!,"AAAAABf/+VI=")</f>
        <v>#REF!</v>
      </c>
      <c r="CF483" t="e">
        <f>AND(#REF!,"AAAAABf/+VM=")</f>
        <v>#REF!</v>
      </c>
      <c r="CG483" t="e">
        <f>AND(#REF!,"AAAAABf/+VQ=")</f>
        <v>#REF!</v>
      </c>
      <c r="CH483" t="e">
        <f>AND(#REF!,"AAAAABf/+VU=")</f>
        <v>#REF!</v>
      </c>
      <c r="CI483" t="e">
        <f>AND(#REF!,"AAAAABf/+VY=")</f>
        <v>#REF!</v>
      </c>
      <c r="CJ483" t="e">
        <f>AND(#REF!,"AAAAABf/+Vc=")</f>
        <v>#REF!</v>
      </c>
      <c r="CK483" t="e">
        <f>AND(#REF!,"AAAAABf/+Vg=")</f>
        <v>#REF!</v>
      </c>
      <c r="CL483" t="e">
        <f>AND(#REF!,"AAAAABf/+Vk=")</f>
        <v>#REF!</v>
      </c>
      <c r="CM483" t="e">
        <f>AND(#REF!,"AAAAABf/+Vo=")</f>
        <v>#REF!</v>
      </c>
      <c r="CN483" t="e">
        <f>AND(#REF!,"AAAAABf/+Vs=")</f>
        <v>#REF!</v>
      </c>
      <c r="CO483" t="e">
        <f>AND(#REF!,"AAAAABf/+Vw=")</f>
        <v>#REF!</v>
      </c>
      <c r="CP483" t="e">
        <f>IF(#REF!,"AAAAABf/+V0=",0)</f>
        <v>#REF!</v>
      </c>
      <c r="CQ483" t="e">
        <f>AND(#REF!,"AAAAABf/+V4=")</f>
        <v>#REF!</v>
      </c>
      <c r="CR483" t="e">
        <f>AND(#REF!,"AAAAABf/+V8=")</f>
        <v>#REF!</v>
      </c>
      <c r="CS483" t="e">
        <f>AND(#REF!,"AAAAABf/+WA=")</f>
        <v>#REF!</v>
      </c>
      <c r="CT483" t="e">
        <f>AND(#REF!,"AAAAABf/+WE=")</f>
        <v>#REF!</v>
      </c>
      <c r="CU483" t="e">
        <f>AND(#REF!,"AAAAABf/+WI=")</f>
        <v>#REF!</v>
      </c>
      <c r="CV483" t="e">
        <f>AND(#REF!,"AAAAABf/+WM=")</f>
        <v>#REF!</v>
      </c>
      <c r="CW483" t="e">
        <f>AND(#REF!,"AAAAABf/+WQ=")</f>
        <v>#REF!</v>
      </c>
      <c r="CX483" t="e">
        <f>AND(#REF!,"AAAAABf/+WU=")</f>
        <v>#REF!</v>
      </c>
      <c r="CY483" t="e">
        <f>AND(#REF!,"AAAAABf/+WY=")</f>
        <v>#REF!</v>
      </c>
      <c r="CZ483" t="e">
        <f>AND(#REF!,"AAAAABf/+Wc=")</f>
        <v>#REF!</v>
      </c>
      <c r="DA483" t="e">
        <f>AND(#REF!,"AAAAABf/+Wg=")</f>
        <v>#REF!</v>
      </c>
      <c r="DB483" t="e">
        <f>AND(#REF!,"AAAAABf/+Wk=")</f>
        <v>#REF!</v>
      </c>
      <c r="DC483" t="e">
        <f>AND(#REF!,"AAAAABf/+Wo=")</f>
        <v>#REF!</v>
      </c>
      <c r="DD483" t="e">
        <f>AND(#REF!,"AAAAABf/+Ws=")</f>
        <v>#REF!</v>
      </c>
      <c r="DE483" t="e">
        <f>AND(#REF!,"AAAAABf/+Ww=")</f>
        <v>#REF!</v>
      </c>
      <c r="DF483" t="e">
        <f>AND(#REF!,"AAAAABf/+W0=")</f>
        <v>#REF!</v>
      </c>
      <c r="DG483" t="e">
        <f>AND(#REF!,"AAAAABf/+W4=")</f>
        <v>#REF!</v>
      </c>
      <c r="DH483" t="e">
        <f>AND(#REF!,"AAAAABf/+W8=")</f>
        <v>#REF!</v>
      </c>
      <c r="DI483" t="e">
        <f>AND(#REF!,"AAAAABf/+XA=")</f>
        <v>#REF!</v>
      </c>
      <c r="DJ483" t="e">
        <f>AND(#REF!,"AAAAABf/+XE=")</f>
        <v>#REF!</v>
      </c>
      <c r="DK483" t="e">
        <f>AND(#REF!,"AAAAABf/+XI=")</f>
        <v>#REF!</v>
      </c>
      <c r="DL483" t="e">
        <f>AND(#REF!,"AAAAABf/+XM=")</f>
        <v>#REF!</v>
      </c>
      <c r="DM483" t="e">
        <f>AND(#REF!,"AAAAABf/+XQ=")</f>
        <v>#REF!</v>
      </c>
      <c r="DN483" t="e">
        <f>AND(#REF!,"AAAAABf/+XU=")</f>
        <v>#REF!</v>
      </c>
      <c r="DO483" t="e">
        <f>IF(#REF!,"AAAAABf/+XY=",0)</f>
        <v>#REF!</v>
      </c>
      <c r="DP483" t="e">
        <f>AND(#REF!,"AAAAABf/+Xc=")</f>
        <v>#REF!</v>
      </c>
      <c r="DQ483" t="e">
        <f>AND(#REF!,"AAAAABf/+Xg=")</f>
        <v>#REF!</v>
      </c>
      <c r="DR483" t="e">
        <f>AND(#REF!,"AAAAABf/+Xk=")</f>
        <v>#REF!</v>
      </c>
      <c r="DS483" t="e">
        <f>AND(#REF!,"AAAAABf/+Xo=")</f>
        <v>#REF!</v>
      </c>
      <c r="DT483" t="e">
        <f>AND(#REF!,"AAAAABf/+Xs=")</f>
        <v>#REF!</v>
      </c>
      <c r="DU483" t="e">
        <f>AND(#REF!,"AAAAABf/+Xw=")</f>
        <v>#REF!</v>
      </c>
      <c r="DV483" t="e">
        <f>AND(#REF!,"AAAAABf/+X0=")</f>
        <v>#REF!</v>
      </c>
      <c r="DW483" t="e">
        <f>AND(#REF!,"AAAAABf/+X4=")</f>
        <v>#REF!</v>
      </c>
      <c r="DX483" t="e">
        <f>AND(#REF!,"AAAAABf/+X8=")</f>
        <v>#REF!</v>
      </c>
      <c r="DY483" t="e">
        <f>AND(#REF!,"AAAAABf/+YA=")</f>
        <v>#REF!</v>
      </c>
      <c r="DZ483" t="e">
        <f>AND(#REF!,"AAAAABf/+YE=")</f>
        <v>#REF!</v>
      </c>
      <c r="EA483" t="e">
        <f>AND(#REF!,"AAAAABf/+YI=")</f>
        <v>#REF!</v>
      </c>
      <c r="EB483" t="e">
        <f>AND(#REF!,"AAAAABf/+YM=")</f>
        <v>#REF!</v>
      </c>
      <c r="EC483" t="e">
        <f>AND(#REF!,"AAAAABf/+YQ=")</f>
        <v>#REF!</v>
      </c>
      <c r="ED483" t="e">
        <f>AND(#REF!,"AAAAABf/+YU=")</f>
        <v>#REF!</v>
      </c>
      <c r="EE483" t="e">
        <f>AND(#REF!,"AAAAABf/+YY=")</f>
        <v>#REF!</v>
      </c>
      <c r="EF483" t="e">
        <f>AND(#REF!,"AAAAABf/+Yc=")</f>
        <v>#REF!</v>
      </c>
      <c r="EG483" t="e">
        <f>AND(#REF!,"AAAAABf/+Yg=")</f>
        <v>#REF!</v>
      </c>
      <c r="EH483" t="e">
        <f>AND(#REF!,"AAAAABf/+Yk=")</f>
        <v>#REF!</v>
      </c>
      <c r="EI483" t="e">
        <f>AND(#REF!,"AAAAABf/+Yo=")</f>
        <v>#REF!</v>
      </c>
      <c r="EJ483" t="e">
        <f>AND(#REF!,"AAAAABf/+Ys=")</f>
        <v>#REF!</v>
      </c>
      <c r="EK483" t="e">
        <f>AND(#REF!,"AAAAABf/+Yw=")</f>
        <v>#REF!</v>
      </c>
      <c r="EL483" t="e">
        <f>AND(#REF!,"AAAAABf/+Y0=")</f>
        <v>#REF!</v>
      </c>
      <c r="EM483" t="e">
        <f>AND(#REF!,"AAAAABf/+Y4=")</f>
        <v>#REF!</v>
      </c>
      <c r="EN483" t="e">
        <f>IF(#REF!,"AAAAABf/+Y8=",0)</f>
        <v>#REF!</v>
      </c>
      <c r="EO483" t="e">
        <f>AND(#REF!,"AAAAABf/+ZA=")</f>
        <v>#REF!</v>
      </c>
      <c r="EP483" t="e">
        <f>AND(#REF!,"AAAAABf/+ZE=")</f>
        <v>#REF!</v>
      </c>
      <c r="EQ483" t="e">
        <f>AND(#REF!,"AAAAABf/+ZI=")</f>
        <v>#REF!</v>
      </c>
      <c r="ER483" t="e">
        <f>AND(#REF!,"AAAAABf/+ZM=")</f>
        <v>#REF!</v>
      </c>
      <c r="ES483" t="e">
        <f>AND(#REF!,"AAAAABf/+ZQ=")</f>
        <v>#REF!</v>
      </c>
      <c r="ET483" t="e">
        <f>AND(#REF!,"AAAAABf/+ZU=")</f>
        <v>#REF!</v>
      </c>
      <c r="EU483" t="e">
        <f>AND(#REF!,"AAAAABf/+ZY=")</f>
        <v>#REF!</v>
      </c>
      <c r="EV483" t="e">
        <f>AND(#REF!,"AAAAABf/+Zc=")</f>
        <v>#REF!</v>
      </c>
      <c r="EW483" t="e">
        <f>AND(#REF!,"AAAAABf/+Zg=")</f>
        <v>#REF!</v>
      </c>
      <c r="EX483" t="e">
        <f>AND(#REF!,"AAAAABf/+Zk=")</f>
        <v>#REF!</v>
      </c>
      <c r="EY483" t="e">
        <f>AND(#REF!,"AAAAABf/+Zo=")</f>
        <v>#REF!</v>
      </c>
      <c r="EZ483" t="e">
        <f>AND(#REF!,"AAAAABf/+Zs=")</f>
        <v>#REF!</v>
      </c>
      <c r="FA483" t="e">
        <f>AND(#REF!,"AAAAABf/+Zw=")</f>
        <v>#REF!</v>
      </c>
      <c r="FB483" t="e">
        <f>AND(#REF!,"AAAAABf/+Z0=")</f>
        <v>#REF!</v>
      </c>
      <c r="FC483" t="e">
        <f>AND(#REF!,"AAAAABf/+Z4=")</f>
        <v>#REF!</v>
      </c>
      <c r="FD483" t="e">
        <f>AND(#REF!,"AAAAABf/+Z8=")</f>
        <v>#REF!</v>
      </c>
      <c r="FE483" t="e">
        <f>AND(#REF!,"AAAAABf/+aA=")</f>
        <v>#REF!</v>
      </c>
      <c r="FF483" t="e">
        <f>AND(#REF!,"AAAAABf/+aE=")</f>
        <v>#REF!</v>
      </c>
      <c r="FG483" t="e">
        <f>AND(#REF!,"AAAAABf/+aI=")</f>
        <v>#REF!</v>
      </c>
      <c r="FH483" t="e">
        <f>AND(#REF!,"AAAAABf/+aM=")</f>
        <v>#REF!</v>
      </c>
      <c r="FI483" t="e">
        <f>AND(#REF!,"AAAAABf/+aQ=")</f>
        <v>#REF!</v>
      </c>
      <c r="FJ483" t="e">
        <f>AND(#REF!,"AAAAABf/+aU=")</f>
        <v>#REF!</v>
      </c>
      <c r="FK483" t="e">
        <f>AND(#REF!,"AAAAABf/+aY=")</f>
        <v>#REF!</v>
      </c>
      <c r="FL483" t="e">
        <f>AND(#REF!,"AAAAABf/+ac=")</f>
        <v>#REF!</v>
      </c>
      <c r="FM483" t="e">
        <f>IF(#REF!,"AAAAABf/+ag=",0)</f>
        <v>#REF!</v>
      </c>
      <c r="FN483" t="e">
        <f>AND(#REF!,"AAAAABf/+ak=")</f>
        <v>#REF!</v>
      </c>
      <c r="FO483" t="e">
        <f>AND(#REF!,"AAAAABf/+ao=")</f>
        <v>#REF!</v>
      </c>
      <c r="FP483" t="e">
        <f>AND(#REF!,"AAAAABf/+as=")</f>
        <v>#REF!</v>
      </c>
      <c r="FQ483" t="e">
        <f>AND(#REF!,"AAAAABf/+aw=")</f>
        <v>#REF!</v>
      </c>
      <c r="FR483" t="e">
        <f>AND(#REF!,"AAAAABf/+a0=")</f>
        <v>#REF!</v>
      </c>
      <c r="FS483" t="e">
        <f>AND(#REF!,"AAAAABf/+a4=")</f>
        <v>#REF!</v>
      </c>
      <c r="FT483" t="e">
        <f>AND(#REF!,"AAAAABf/+a8=")</f>
        <v>#REF!</v>
      </c>
      <c r="FU483" t="e">
        <f>AND(#REF!,"AAAAABf/+bA=")</f>
        <v>#REF!</v>
      </c>
      <c r="FV483" t="e">
        <f>AND(#REF!,"AAAAABf/+bE=")</f>
        <v>#REF!</v>
      </c>
      <c r="FW483" t="e">
        <f>AND(#REF!,"AAAAABf/+bI=")</f>
        <v>#REF!</v>
      </c>
      <c r="FX483" t="e">
        <f>AND(#REF!,"AAAAABf/+bM=")</f>
        <v>#REF!</v>
      </c>
      <c r="FY483" t="e">
        <f>AND(#REF!,"AAAAABf/+bQ=")</f>
        <v>#REF!</v>
      </c>
      <c r="FZ483" t="e">
        <f>AND(#REF!,"AAAAABf/+bU=")</f>
        <v>#REF!</v>
      </c>
      <c r="GA483" t="e">
        <f>AND(#REF!,"AAAAABf/+bY=")</f>
        <v>#REF!</v>
      </c>
      <c r="GB483" t="e">
        <f>AND(#REF!,"AAAAABf/+bc=")</f>
        <v>#REF!</v>
      </c>
      <c r="GC483" t="e">
        <f>AND(#REF!,"AAAAABf/+bg=")</f>
        <v>#REF!</v>
      </c>
      <c r="GD483" t="e">
        <f>AND(#REF!,"AAAAABf/+bk=")</f>
        <v>#REF!</v>
      </c>
      <c r="GE483" t="e">
        <f>AND(#REF!,"AAAAABf/+bo=")</f>
        <v>#REF!</v>
      </c>
      <c r="GF483" t="e">
        <f>AND(#REF!,"AAAAABf/+bs=")</f>
        <v>#REF!</v>
      </c>
      <c r="GG483" t="e">
        <f>AND(#REF!,"AAAAABf/+bw=")</f>
        <v>#REF!</v>
      </c>
      <c r="GH483" t="e">
        <f>AND(#REF!,"AAAAABf/+b0=")</f>
        <v>#REF!</v>
      </c>
      <c r="GI483" t="e">
        <f>AND(#REF!,"AAAAABf/+b4=")</f>
        <v>#REF!</v>
      </c>
      <c r="GJ483" t="e">
        <f>AND(#REF!,"AAAAABf/+b8=")</f>
        <v>#REF!</v>
      </c>
      <c r="GK483" t="e">
        <f>AND(#REF!,"AAAAABf/+cA=")</f>
        <v>#REF!</v>
      </c>
      <c r="GL483" t="e">
        <f>IF(#REF!,"AAAAABf/+cE=",0)</f>
        <v>#REF!</v>
      </c>
      <c r="GM483" t="e">
        <f>AND(#REF!,"AAAAABf/+cI=")</f>
        <v>#REF!</v>
      </c>
      <c r="GN483" t="e">
        <f>AND(#REF!,"AAAAABf/+cM=")</f>
        <v>#REF!</v>
      </c>
      <c r="GO483" t="e">
        <f>AND(#REF!,"AAAAABf/+cQ=")</f>
        <v>#REF!</v>
      </c>
      <c r="GP483" t="e">
        <f>AND(#REF!,"AAAAABf/+cU=")</f>
        <v>#REF!</v>
      </c>
      <c r="GQ483" t="e">
        <f>AND(#REF!,"AAAAABf/+cY=")</f>
        <v>#REF!</v>
      </c>
      <c r="GR483" t="e">
        <f>AND(#REF!,"AAAAABf/+cc=")</f>
        <v>#REF!</v>
      </c>
      <c r="GS483" t="e">
        <f>AND(#REF!,"AAAAABf/+cg=")</f>
        <v>#REF!</v>
      </c>
      <c r="GT483" t="e">
        <f>AND(#REF!,"AAAAABf/+ck=")</f>
        <v>#REF!</v>
      </c>
      <c r="GU483" t="e">
        <f>AND(#REF!,"AAAAABf/+co=")</f>
        <v>#REF!</v>
      </c>
      <c r="GV483" t="e">
        <f>AND(#REF!,"AAAAABf/+cs=")</f>
        <v>#REF!</v>
      </c>
      <c r="GW483" t="e">
        <f>AND(#REF!,"AAAAABf/+cw=")</f>
        <v>#REF!</v>
      </c>
      <c r="GX483" t="e">
        <f>AND(#REF!,"AAAAABf/+c0=")</f>
        <v>#REF!</v>
      </c>
      <c r="GY483" t="e">
        <f>AND(#REF!,"AAAAABf/+c4=")</f>
        <v>#REF!</v>
      </c>
      <c r="GZ483" t="e">
        <f>AND(#REF!,"AAAAABf/+c8=")</f>
        <v>#REF!</v>
      </c>
      <c r="HA483" t="e">
        <f>AND(#REF!,"AAAAABf/+dA=")</f>
        <v>#REF!</v>
      </c>
      <c r="HB483" t="e">
        <f>AND(#REF!,"AAAAABf/+dE=")</f>
        <v>#REF!</v>
      </c>
      <c r="HC483" t="e">
        <f>AND(#REF!,"AAAAABf/+dI=")</f>
        <v>#REF!</v>
      </c>
      <c r="HD483" t="e">
        <f>AND(#REF!,"AAAAABf/+dM=")</f>
        <v>#REF!</v>
      </c>
      <c r="HE483" t="e">
        <f>AND(#REF!,"AAAAABf/+dQ=")</f>
        <v>#REF!</v>
      </c>
      <c r="HF483" t="e">
        <f>AND(#REF!,"AAAAABf/+dU=")</f>
        <v>#REF!</v>
      </c>
      <c r="HG483" t="e">
        <f>AND(#REF!,"AAAAABf/+dY=")</f>
        <v>#REF!</v>
      </c>
      <c r="HH483" t="e">
        <f>AND(#REF!,"AAAAABf/+dc=")</f>
        <v>#REF!</v>
      </c>
      <c r="HI483" t="e">
        <f>AND(#REF!,"AAAAABf/+dg=")</f>
        <v>#REF!</v>
      </c>
      <c r="HJ483" t="e">
        <f>AND(#REF!,"AAAAABf/+dk=")</f>
        <v>#REF!</v>
      </c>
      <c r="HK483" t="e">
        <f>IF(#REF!,"AAAAABf/+do=",0)</f>
        <v>#REF!</v>
      </c>
      <c r="HL483" t="e">
        <f>AND(#REF!,"AAAAABf/+ds=")</f>
        <v>#REF!</v>
      </c>
      <c r="HM483" t="e">
        <f>AND(#REF!,"AAAAABf/+dw=")</f>
        <v>#REF!</v>
      </c>
      <c r="HN483" t="e">
        <f>AND(#REF!,"AAAAABf/+d0=")</f>
        <v>#REF!</v>
      </c>
      <c r="HO483" t="e">
        <f>AND(#REF!,"AAAAABf/+d4=")</f>
        <v>#REF!</v>
      </c>
      <c r="HP483" t="e">
        <f>AND(#REF!,"AAAAABf/+d8=")</f>
        <v>#REF!</v>
      </c>
      <c r="HQ483" t="e">
        <f>AND(#REF!,"AAAAABf/+eA=")</f>
        <v>#REF!</v>
      </c>
      <c r="HR483" t="e">
        <f>AND(#REF!,"AAAAABf/+eE=")</f>
        <v>#REF!</v>
      </c>
      <c r="HS483" t="e">
        <f>AND(#REF!,"AAAAABf/+eI=")</f>
        <v>#REF!</v>
      </c>
      <c r="HT483" t="e">
        <f>AND(#REF!,"AAAAABf/+eM=")</f>
        <v>#REF!</v>
      </c>
      <c r="HU483" t="e">
        <f>AND(#REF!,"AAAAABf/+eQ=")</f>
        <v>#REF!</v>
      </c>
      <c r="HV483" t="e">
        <f>AND(#REF!,"AAAAABf/+eU=")</f>
        <v>#REF!</v>
      </c>
      <c r="HW483" t="e">
        <f>AND(#REF!,"AAAAABf/+eY=")</f>
        <v>#REF!</v>
      </c>
      <c r="HX483" t="e">
        <f>AND(#REF!,"AAAAABf/+ec=")</f>
        <v>#REF!</v>
      </c>
      <c r="HY483" t="e">
        <f>AND(#REF!,"AAAAABf/+eg=")</f>
        <v>#REF!</v>
      </c>
      <c r="HZ483" t="e">
        <f>AND(#REF!,"AAAAABf/+ek=")</f>
        <v>#REF!</v>
      </c>
      <c r="IA483" t="e">
        <f>AND(#REF!,"AAAAABf/+eo=")</f>
        <v>#REF!</v>
      </c>
      <c r="IB483" t="e">
        <f>AND(#REF!,"AAAAABf/+es=")</f>
        <v>#REF!</v>
      </c>
      <c r="IC483" t="e">
        <f>AND(#REF!,"AAAAABf/+ew=")</f>
        <v>#REF!</v>
      </c>
      <c r="ID483" t="e">
        <f>AND(#REF!,"AAAAABf/+e0=")</f>
        <v>#REF!</v>
      </c>
      <c r="IE483" t="e">
        <f>AND(#REF!,"AAAAABf/+e4=")</f>
        <v>#REF!</v>
      </c>
      <c r="IF483" t="e">
        <f>AND(#REF!,"AAAAABf/+e8=")</f>
        <v>#REF!</v>
      </c>
      <c r="IG483" t="e">
        <f>AND(#REF!,"AAAAABf/+fA=")</f>
        <v>#REF!</v>
      </c>
      <c r="IH483" t="e">
        <f>AND(#REF!,"AAAAABf/+fE=")</f>
        <v>#REF!</v>
      </c>
      <c r="II483" t="e">
        <f>AND(#REF!,"AAAAABf/+fI=")</f>
        <v>#REF!</v>
      </c>
      <c r="IJ483" t="e">
        <f>IF(#REF!,"AAAAABf/+fM=",0)</f>
        <v>#REF!</v>
      </c>
      <c r="IK483" t="e">
        <f>AND(#REF!,"AAAAABf/+fQ=")</f>
        <v>#REF!</v>
      </c>
      <c r="IL483" t="e">
        <f>AND(#REF!,"AAAAABf/+fU=")</f>
        <v>#REF!</v>
      </c>
      <c r="IM483" t="e">
        <f>AND(#REF!,"AAAAABf/+fY=")</f>
        <v>#REF!</v>
      </c>
      <c r="IN483" t="e">
        <f>AND(#REF!,"AAAAABf/+fc=")</f>
        <v>#REF!</v>
      </c>
      <c r="IO483" t="e">
        <f>AND(#REF!,"AAAAABf/+fg=")</f>
        <v>#REF!</v>
      </c>
      <c r="IP483" t="e">
        <f>AND(#REF!,"AAAAABf/+fk=")</f>
        <v>#REF!</v>
      </c>
      <c r="IQ483" t="e">
        <f>AND(#REF!,"AAAAABf/+fo=")</f>
        <v>#REF!</v>
      </c>
      <c r="IR483" t="e">
        <f>AND(#REF!,"AAAAABf/+fs=")</f>
        <v>#REF!</v>
      </c>
      <c r="IS483" t="e">
        <f>AND(#REF!,"AAAAABf/+fw=")</f>
        <v>#REF!</v>
      </c>
      <c r="IT483" t="e">
        <f>AND(#REF!,"AAAAABf/+f0=")</f>
        <v>#REF!</v>
      </c>
      <c r="IU483" t="e">
        <f>AND(#REF!,"AAAAABf/+f4=")</f>
        <v>#REF!</v>
      </c>
      <c r="IV483" t="e">
        <f>AND(#REF!,"AAAAABf/+f8=")</f>
        <v>#REF!</v>
      </c>
    </row>
    <row r="484" spans="1:256">
      <c r="A484" t="e">
        <f>AND(#REF!,"AAAAAGP7uQA=")</f>
        <v>#REF!</v>
      </c>
      <c r="B484" t="e">
        <f>AND(#REF!,"AAAAAGP7uQE=")</f>
        <v>#REF!</v>
      </c>
      <c r="C484" t="e">
        <f>AND(#REF!,"AAAAAGP7uQI=")</f>
        <v>#REF!</v>
      </c>
      <c r="D484" t="e">
        <f>AND(#REF!,"AAAAAGP7uQM=")</f>
        <v>#REF!</v>
      </c>
      <c r="E484" t="e">
        <f>AND(#REF!,"AAAAAGP7uQQ=")</f>
        <v>#REF!</v>
      </c>
      <c r="F484" t="e">
        <f>AND(#REF!,"AAAAAGP7uQU=")</f>
        <v>#REF!</v>
      </c>
      <c r="G484" t="e">
        <f>AND(#REF!,"AAAAAGP7uQY=")</f>
        <v>#REF!</v>
      </c>
      <c r="H484" t="e">
        <f>AND(#REF!,"AAAAAGP7uQc=")</f>
        <v>#REF!</v>
      </c>
      <c r="I484" t="e">
        <f>AND(#REF!,"AAAAAGP7uQg=")</f>
        <v>#REF!</v>
      </c>
      <c r="J484" t="e">
        <f>AND(#REF!,"AAAAAGP7uQk=")</f>
        <v>#REF!</v>
      </c>
      <c r="K484" t="e">
        <f>AND(#REF!,"AAAAAGP7uQo=")</f>
        <v>#REF!</v>
      </c>
      <c r="L484" t="e">
        <f>AND(#REF!,"AAAAAGP7uQs=")</f>
        <v>#REF!</v>
      </c>
      <c r="M484" t="e">
        <f>IF(#REF!,"AAAAAGP7uQw=",0)</f>
        <v>#REF!</v>
      </c>
      <c r="N484" t="e">
        <f>AND(#REF!,"AAAAAGP7uQ0=")</f>
        <v>#REF!</v>
      </c>
      <c r="O484" t="e">
        <f>AND(#REF!,"AAAAAGP7uQ4=")</f>
        <v>#REF!</v>
      </c>
      <c r="P484" t="e">
        <f>AND(#REF!,"AAAAAGP7uQ8=")</f>
        <v>#REF!</v>
      </c>
      <c r="Q484" t="e">
        <f>AND(#REF!,"AAAAAGP7uRA=")</f>
        <v>#REF!</v>
      </c>
      <c r="R484" t="e">
        <f>AND(#REF!,"AAAAAGP7uRE=")</f>
        <v>#REF!</v>
      </c>
      <c r="S484" t="e">
        <f>AND(#REF!,"AAAAAGP7uRI=")</f>
        <v>#REF!</v>
      </c>
      <c r="T484" t="e">
        <f>AND(#REF!,"AAAAAGP7uRM=")</f>
        <v>#REF!</v>
      </c>
      <c r="U484" t="e">
        <f>AND(#REF!,"AAAAAGP7uRQ=")</f>
        <v>#REF!</v>
      </c>
      <c r="V484" t="e">
        <f>AND(#REF!,"AAAAAGP7uRU=")</f>
        <v>#REF!</v>
      </c>
      <c r="W484" t="e">
        <f>AND(#REF!,"AAAAAGP7uRY=")</f>
        <v>#REF!</v>
      </c>
      <c r="X484" t="e">
        <f>AND(#REF!,"AAAAAGP7uRc=")</f>
        <v>#REF!</v>
      </c>
      <c r="Y484" t="e">
        <f>AND(#REF!,"AAAAAGP7uRg=")</f>
        <v>#REF!</v>
      </c>
      <c r="Z484" t="e">
        <f>AND(#REF!,"AAAAAGP7uRk=")</f>
        <v>#REF!</v>
      </c>
      <c r="AA484" t="e">
        <f>AND(#REF!,"AAAAAGP7uRo=")</f>
        <v>#REF!</v>
      </c>
      <c r="AB484" t="e">
        <f>AND(#REF!,"AAAAAGP7uRs=")</f>
        <v>#REF!</v>
      </c>
      <c r="AC484" t="e">
        <f>AND(#REF!,"AAAAAGP7uRw=")</f>
        <v>#REF!</v>
      </c>
      <c r="AD484" t="e">
        <f>AND(#REF!,"AAAAAGP7uR0=")</f>
        <v>#REF!</v>
      </c>
      <c r="AE484" t="e">
        <f>AND(#REF!,"AAAAAGP7uR4=")</f>
        <v>#REF!</v>
      </c>
      <c r="AF484" t="e">
        <f>AND(#REF!,"AAAAAGP7uR8=")</f>
        <v>#REF!</v>
      </c>
      <c r="AG484" t="e">
        <f>AND(#REF!,"AAAAAGP7uSA=")</f>
        <v>#REF!</v>
      </c>
      <c r="AH484" t="e">
        <f>AND(#REF!,"AAAAAGP7uSE=")</f>
        <v>#REF!</v>
      </c>
      <c r="AI484" t="e">
        <f>AND(#REF!,"AAAAAGP7uSI=")</f>
        <v>#REF!</v>
      </c>
      <c r="AJ484" t="e">
        <f>AND(#REF!,"AAAAAGP7uSM=")</f>
        <v>#REF!</v>
      </c>
      <c r="AK484" t="e">
        <f>AND(#REF!,"AAAAAGP7uSQ=")</f>
        <v>#REF!</v>
      </c>
      <c r="AL484" t="e">
        <f>IF(#REF!,"AAAAAGP7uSU=",0)</f>
        <v>#REF!</v>
      </c>
      <c r="AM484" t="e">
        <f>AND(#REF!,"AAAAAGP7uSY=")</f>
        <v>#REF!</v>
      </c>
      <c r="AN484" t="e">
        <f>AND(#REF!,"AAAAAGP7uSc=")</f>
        <v>#REF!</v>
      </c>
      <c r="AO484" t="e">
        <f>AND(#REF!,"AAAAAGP7uSg=")</f>
        <v>#REF!</v>
      </c>
      <c r="AP484" t="e">
        <f>AND(#REF!,"AAAAAGP7uSk=")</f>
        <v>#REF!</v>
      </c>
      <c r="AQ484" t="e">
        <f>AND(#REF!,"AAAAAGP7uSo=")</f>
        <v>#REF!</v>
      </c>
      <c r="AR484" t="e">
        <f>AND(#REF!,"AAAAAGP7uSs=")</f>
        <v>#REF!</v>
      </c>
      <c r="AS484" t="e">
        <f>AND(#REF!,"AAAAAGP7uSw=")</f>
        <v>#REF!</v>
      </c>
      <c r="AT484" t="e">
        <f>AND(#REF!,"AAAAAGP7uS0=")</f>
        <v>#REF!</v>
      </c>
      <c r="AU484" t="e">
        <f>AND(#REF!,"AAAAAGP7uS4=")</f>
        <v>#REF!</v>
      </c>
      <c r="AV484" t="e">
        <f>AND(#REF!,"AAAAAGP7uS8=")</f>
        <v>#REF!</v>
      </c>
      <c r="AW484" t="e">
        <f>AND(#REF!,"AAAAAGP7uTA=")</f>
        <v>#REF!</v>
      </c>
      <c r="AX484" t="e">
        <f>AND(#REF!,"AAAAAGP7uTE=")</f>
        <v>#REF!</v>
      </c>
      <c r="AY484" t="e">
        <f>AND(#REF!,"AAAAAGP7uTI=")</f>
        <v>#REF!</v>
      </c>
      <c r="AZ484" t="e">
        <f>AND(#REF!,"AAAAAGP7uTM=")</f>
        <v>#REF!</v>
      </c>
      <c r="BA484" t="e">
        <f>AND(#REF!,"AAAAAGP7uTQ=")</f>
        <v>#REF!</v>
      </c>
      <c r="BB484" t="e">
        <f>AND(#REF!,"AAAAAGP7uTU=")</f>
        <v>#REF!</v>
      </c>
      <c r="BC484" t="e">
        <f>AND(#REF!,"AAAAAGP7uTY=")</f>
        <v>#REF!</v>
      </c>
      <c r="BD484" t="e">
        <f>AND(#REF!,"AAAAAGP7uTc=")</f>
        <v>#REF!</v>
      </c>
      <c r="BE484" t="e">
        <f>AND(#REF!,"AAAAAGP7uTg=")</f>
        <v>#REF!</v>
      </c>
      <c r="BF484" t="e">
        <f>AND(#REF!,"AAAAAGP7uTk=")</f>
        <v>#REF!</v>
      </c>
      <c r="BG484" t="e">
        <f>AND(#REF!,"AAAAAGP7uTo=")</f>
        <v>#REF!</v>
      </c>
      <c r="BH484" t="e">
        <f>AND(#REF!,"AAAAAGP7uTs=")</f>
        <v>#REF!</v>
      </c>
      <c r="BI484" t="e">
        <f>AND(#REF!,"AAAAAGP7uTw=")</f>
        <v>#REF!</v>
      </c>
      <c r="BJ484" t="e">
        <f>AND(#REF!,"AAAAAGP7uT0=")</f>
        <v>#REF!</v>
      </c>
      <c r="BK484" t="e">
        <f>IF(#REF!,"AAAAAGP7uT4=",0)</f>
        <v>#REF!</v>
      </c>
      <c r="BL484" t="e">
        <f>AND(#REF!,"AAAAAGP7uT8=")</f>
        <v>#REF!</v>
      </c>
      <c r="BM484" t="e">
        <f>AND(#REF!,"AAAAAGP7uUA=")</f>
        <v>#REF!</v>
      </c>
      <c r="BN484" t="e">
        <f>AND(#REF!,"AAAAAGP7uUE=")</f>
        <v>#REF!</v>
      </c>
      <c r="BO484" t="e">
        <f>AND(#REF!,"AAAAAGP7uUI=")</f>
        <v>#REF!</v>
      </c>
      <c r="BP484" t="e">
        <f>AND(#REF!,"AAAAAGP7uUM=")</f>
        <v>#REF!</v>
      </c>
      <c r="BQ484" t="e">
        <f>AND(#REF!,"AAAAAGP7uUQ=")</f>
        <v>#REF!</v>
      </c>
      <c r="BR484" t="e">
        <f>AND(#REF!,"AAAAAGP7uUU=")</f>
        <v>#REF!</v>
      </c>
      <c r="BS484" t="e">
        <f>AND(#REF!,"AAAAAGP7uUY=")</f>
        <v>#REF!</v>
      </c>
      <c r="BT484" t="e">
        <f>AND(#REF!,"AAAAAGP7uUc=")</f>
        <v>#REF!</v>
      </c>
      <c r="BU484" t="e">
        <f>AND(#REF!,"AAAAAGP7uUg=")</f>
        <v>#REF!</v>
      </c>
      <c r="BV484" t="e">
        <f>AND(#REF!,"AAAAAGP7uUk=")</f>
        <v>#REF!</v>
      </c>
      <c r="BW484" t="e">
        <f>AND(#REF!,"AAAAAGP7uUo=")</f>
        <v>#REF!</v>
      </c>
      <c r="BX484" t="e">
        <f>AND(#REF!,"AAAAAGP7uUs=")</f>
        <v>#REF!</v>
      </c>
      <c r="BY484" t="e">
        <f>AND(#REF!,"AAAAAGP7uUw=")</f>
        <v>#REF!</v>
      </c>
      <c r="BZ484" t="e">
        <f>AND(#REF!,"AAAAAGP7uU0=")</f>
        <v>#REF!</v>
      </c>
      <c r="CA484" t="e">
        <f>AND(#REF!,"AAAAAGP7uU4=")</f>
        <v>#REF!</v>
      </c>
      <c r="CB484" t="e">
        <f>AND(#REF!,"AAAAAGP7uU8=")</f>
        <v>#REF!</v>
      </c>
      <c r="CC484" t="e">
        <f>AND(#REF!,"AAAAAGP7uVA=")</f>
        <v>#REF!</v>
      </c>
      <c r="CD484" t="e">
        <f>AND(#REF!,"AAAAAGP7uVE=")</f>
        <v>#REF!</v>
      </c>
      <c r="CE484" t="e">
        <f>AND(#REF!,"AAAAAGP7uVI=")</f>
        <v>#REF!</v>
      </c>
      <c r="CF484" t="e">
        <f>AND(#REF!,"AAAAAGP7uVM=")</f>
        <v>#REF!</v>
      </c>
      <c r="CG484" t="e">
        <f>AND(#REF!,"AAAAAGP7uVQ=")</f>
        <v>#REF!</v>
      </c>
      <c r="CH484" t="e">
        <f>AND(#REF!,"AAAAAGP7uVU=")</f>
        <v>#REF!</v>
      </c>
      <c r="CI484" t="e">
        <f>AND(#REF!,"AAAAAGP7uVY=")</f>
        <v>#REF!</v>
      </c>
      <c r="CJ484" t="e">
        <f>IF(#REF!,"AAAAAGP7uVc=",0)</f>
        <v>#REF!</v>
      </c>
      <c r="CK484" t="e">
        <f>AND(#REF!,"AAAAAGP7uVg=")</f>
        <v>#REF!</v>
      </c>
      <c r="CL484" t="e">
        <f>AND(#REF!,"AAAAAGP7uVk=")</f>
        <v>#REF!</v>
      </c>
      <c r="CM484" t="e">
        <f>AND(#REF!,"AAAAAGP7uVo=")</f>
        <v>#REF!</v>
      </c>
      <c r="CN484" t="e">
        <f>AND(#REF!,"AAAAAGP7uVs=")</f>
        <v>#REF!</v>
      </c>
      <c r="CO484" t="e">
        <f>AND(#REF!,"AAAAAGP7uVw=")</f>
        <v>#REF!</v>
      </c>
      <c r="CP484" t="e">
        <f>AND(#REF!,"AAAAAGP7uV0=")</f>
        <v>#REF!</v>
      </c>
      <c r="CQ484" t="e">
        <f>AND(#REF!,"AAAAAGP7uV4=")</f>
        <v>#REF!</v>
      </c>
      <c r="CR484" t="e">
        <f>AND(#REF!,"AAAAAGP7uV8=")</f>
        <v>#REF!</v>
      </c>
      <c r="CS484" t="e">
        <f>AND(#REF!,"AAAAAGP7uWA=")</f>
        <v>#REF!</v>
      </c>
      <c r="CT484" t="e">
        <f>AND(#REF!,"AAAAAGP7uWE=")</f>
        <v>#REF!</v>
      </c>
      <c r="CU484" t="e">
        <f>AND(#REF!,"AAAAAGP7uWI=")</f>
        <v>#REF!</v>
      </c>
      <c r="CV484" t="e">
        <f>AND(#REF!,"AAAAAGP7uWM=")</f>
        <v>#REF!</v>
      </c>
      <c r="CW484" t="e">
        <f>AND(#REF!,"AAAAAGP7uWQ=")</f>
        <v>#REF!</v>
      </c>
      <c r="CX484" t="e">
        <f>AND(#REF!,"AAAAAGP7uWU=")</f>
        <v>#REF!</v>
      </c>
      <c r="CY484" t="e">
        <f>AND(#REF!,"AAAAAGP7uWY=")</f>
        <v>#REF!</v>
      </c>
      <c r="CZ484" t="e">
        <f>AND(#REF!,"AAAAAGP7uWc=")</f>
        <v>#REF!</v>
      </c>
      <c r="DA484" t="e">
        <f>AND(#REF!,"AAAAAGP7uWg=")</f>
        <v>#REF!</v>
      </c>
      <c r="DB484" t="e">
        <f>AND(#REF!,"AAAAAGP7uWk=")</f>
        <v>#REF!</v>
      </c>
      <c r="DC484" t="e">
        <f>AND(#REF!,"AAAAAGP7uWo=")</f>
        <v>#REF!</v>
      </c>
      <c r="DD484" t="e">
        <f>AND(#REF!,"AAAAAGP7uWs=")</f>
        <v>#REF!</v>
      </c>
      <c r="DE484" t="e">
        <f>AND(#REF!,"AAAAAGP7uWw=")</f>
        <v>#REF!</v>
      </c>
      <c r="DF484" t="e">
        <f>AND(#REF!,"AAAAAGP7uW0=")</f>
        <v>#REF!</v>
      </c>
      <c r="DG484" t="e">
        <f>AND(#REF!,"AAAAAGP7uW4=")</f>
        <v>#REF!</v>
      </c>
      <c r="DH484" t="e">
        <f>AND(#REF!,"AAAAAGP7uW8=")</f>
        <v>#REF!</v>
      </c>
      <c r="DI484" t="e">
        <f>IF(#REF!,"AAAAAGP7uXA=",0)</f>
        <v>#REF!</v>
      </c>
      <c r="DJ484" t="e">
        <f>AND(#REF!,"AAAAAGP7uXE=")</f>
        <v>#REF!</v>
      </c>
      <c r="DK484" t="e">
        <f>AND(#REF!,"AAAAAGP7uXI=")</f>
        <v>#REF!</v>
      </c>
      <c r="DL484" t="e">
        <f>AND(#REF!,"AAAAAGP7uXM=")</f>
        <v>#REF!</v>
      </c>
      <c r="DM484" t="e">
        <f>AND(#REF!,"AAAAAGP7uXQ=")</f>
        <v>#REF!</v>
      </c>
      <c r="DN484" t="e">
        <f>AND(#REF!,"AAAAAGP7uXU=")</f>
        <v>#REF!</v>
      </c>
      <c r="DO484" t="e">
        <f>AND(#REF!,"AAAAAGP7uXY=")</f>
        <v>#REF!</v>
      </c>
      <c r="DP484" t="e">
        <f>AND(#REF!,"AAAAAGP7uXc=")</f>
        <v>#REF!</v>
      </c>
      <c r="DQ484" t="e">
        <f>AND(#REF!,"AAAAAGP7uXg=")</f>
        <v>#REF!</v>
      </c>
      <c r="DR484" t="e">
        <f>AND(#REF!,"AAAAAGP7uXk=")</f>
        <v>#REF!</v>
      </c>
      <c r="DS484" t="e">
        <f>AND(#REF!,"AAAAAGP7uXo=")</f>
        <v>#REF!</v>
      </c>
      <c r="DT484" t="e">
        <f>AND(#REF!,"AAAAAGP7uXs=")</f>
        <v>#REF!</v>
      </c>
      <c r="DU484" t="e">
        <f>AND(#REF!,"AAAAAGP7uXw=")</f>
        <v>#REF!</v>
      </c>
      <c r="DV484" t="e">
        <f>AND(#REF!,"AAAAAGP7uX0=")</f>
        <v>#REF!</v>
      </c>
      <c r="DW484" t="e">
        <f>AND(#REF!,"AAAAAGP7uX4=")</f>
        <v>#REF!</v>
      </c>
      <c r="DX484" t="e">
        <f>AND(#REF!,"AAAAAGP7uX8=")</f>
        <v>#REF!</v>
      </c>
      <c r="DY484" t="e">
        <f>AND(#REF!,"AAAAAGP7uYA=")</f>
        <v>#REF!</v>
      </c>
      <c r="DZ484" t="e">
        <f>AND(#REF!,"AAAAAGP7uYE=")</f>
        <v>#REF!</v>
      </c>
      <c r="EA484" t="e">
        <f>AND(#REF!,"AAAAAGP7uYI=")</f>
        <v>#REF!</v>
      </c>
      <c r="EB484" t="e">
        <f>AND(#REF!,"AAAAAGP7uYM=")</f>
        <v>#REF!</v>
      </c>
      <c r="EC484" t="e">
        <f>AND(#REF!,"AAAAAGP7uYQ=")</f>
        <v>#REF!</v>
      </c>
      <c r="ED484" t="e">
        <f>AND(#REF!,"AAAAAGP7uYU=")</f>
        <v>#REF!</v>
      </c>
      <c r="EE484" t="e">
        <f>AND(#REF!,"AAAAAGP7uYY=")</f>
        <v>#REF!</v>
      </c>
      <c r="EF484" t="e">
        <f>AND(#REF!,"AAAAAGP7uYc=")</f>
        <v>#REF!</v>
      </c>
      <c r="EG484" t="e">
        <f>AND(#REF!,"AAAAAGP7uYg=")</f>
        <v>#REF!</v>
      </c>
      <c r="EH484" t="e">
        <f>IF(#REF!,"AAAAAGP7uYk=",0)</f>
        <v>#REF!</v>
      </c>
      <c r="EI484" t="e">
        <f>AND(#REF!,"AAAAAGP7uYo=")</f>
        <v>#REF!</v>
      </c>
      <c r="EJ484" t="e">
        <f>AND(#REF!,"AAAAAGP7uYs=")</f>
        <v>#REF!</v>
      </c>
      <c r="EK484" t="e">
        <f>AND(#REF!,"AAAAAGP7uYw=")</f>
        <v>#REF!</v>
      </c>
      <c r="EL484" t="e">
        <f>AND(#REF!,"AAAAAGP7uY0=")</f>
        <v>#REF!</v>
      </c>
      <c r="EM484" t="e">
        <f>AND(#REF!,"AAAAAGP7uY4=")</f>
        <v>#REF!</v>
      </c>
      <c r="EN484" t="e">
        <f>AND(#REF!,"AAAAAGP7uY8=")</f>
        <v>#REF!</v>
      </c>
      <c r="EO484" t="e">
        <f>AND(#REF!,"AAAAAGP7uZA=")</f>
        <v>#REF!</v>
      </c>
      <c r="EP484" t="e">
        <f>AND(#REF!,"AAAAAGP7uZE=")</f>
        <v>#REF!</v>
      </c>
      <c r="EQ484" t="e">
        <f>AND(#REF!,"AAAAAGP7uZI=")</f>
        <v>#REF!</v>
      </c>
      <c r="ER484" t="e">
        <f>AND(#REF!,"AAAAAGP7uZM=")</f>
        <v>#REF!</v>
      </c>
      <c r="ES484" t="e">
        <f>AND(#REF!,"AAAAAGP7uZQ=")</f>
        <v>#REF!</v>
      </c>
      <c r="ET484" t="e">
        <f>AND(#REF!,"AAAAAGP7uZU=")</f>
        <v>#REF!</v>
      </c>
      <c r="EU484" t="e">
        <f>AND(#REF!,"AAAAAGP7uZY=")</f>
        <v>#REF!</v>
      </c>
      <c r="EV484" t="e">
        <f>AND(#REF!,"AAAAAGP7uZc=")</f>
        <v>#REF!</v>
      </c>
      <c r="EW484" t="e">
        <f>AND(#REF!,"AAAAAGP7uZg=")</f>
        <v>#REF!</v>
      </c>
      <c r="EX484" t="e">
        <f>AND(#REF!,"AAAAAGP7uZk=")</f>
        <v>#REF!</v>
      </c>
      <c r="EY484" t="e">
        <f>AND(#REF!,"AAAAAGP7uZo=")</f>
        <v>#REF!</v>
      </c>
      <c r="EZ484" t="e">
        <f>AND(#REF!,"AAAAAGP7uZs=")</f>
        <v>#REF!</v>
      </c>
      <c r="FA484" t="e">
        <f>AND(#REF!,"AAAAAGP7uZw=")</f>
        <v>#REF!</v>
      </c>
      <c r="FB484" t="e">
        <f>AND(#REF!,"AAAAAGP7uZ0=")</f>
        <v>#REF!</v>
      </c>
      <c r="FC484" t="e">
        <f>AND(#REF!,"AAAAAGP7uZ4=")</f>
        <v>#REF!</v>
      </c>
      <c r="FD484" t="e">
        <f>AND(#REF!,"AAAAAGP7uZ8=")</f>
        <v>#REF!</v>
      </c>
      <c r="FE484" t="e">
        <f>AND(#REF!,"AAAAAGP7uaA=")</f>
        <v>#REF!</v>
      </c>
      <c r="FF484" t="e">
        <f>AND(#REF!,"AAAAAGP7uaE=")</f>
        <v>#REF!</v>
      </c>
      <c r="FG484" t="e">
        <f>IF(#REF!,"AAAAAGP7uaI=",0)</f>
        <v>#REF!</v>
      </c>
      <c r="FH484" t="e">
        <f>AND(#REF!,"AAAAAGP7uaM=")</f>
        <v>#REF!</v>
      </c>
      <c r="FI484" t="e">
        <f>AND(#REF!,"AAAAAGP7uaQ=")</f>
        <v>#REF!</v>
      </c>
      <c r="FJ484" t="e">
        <f>AND(#REF!,"AAAAAGP7uaU=")</f>
        <v>#REF!</v>
      </c>
      <c r="FK484" t="e">
        <f>AND(#REF!,"AAAAAGP7uaY=")</f>
        <v>#REF!</v>
      </c>
      <c r="FL484" t="e">
        <f>AND(#REF!,"AAAAAGP7uac=")</f>
        <v>#REF!</v>
      </c>
      <c r="FM484" t="e">
        <f>AND(#REF!,"AAAAAGP7uag=")</f>
        <v>#REF!</v>
      </c>
      <c r="FN484" t="e">
        <f>AND(#REF!,"AAAAAGP7uak=")</f>
        <v>#REF!</v>
      </c>
      <c r="FO484" t="e">
        <f>AND(#REF!,"AAAAAGP7uao=")</f>
        <v>#REF!</v>
      </c>
      <c r="FP484" t="e">
        <f>AND(#REF!,"AAAAAGP7uas=")</f>
        <v>#REF!</v>
      </c>
      <c r="FQ484" t="e">
        <f>AND(#REF!,"AAAAAGP7uaw=")</f>
        <v>#REF!</v>
      </c>
      <c r="FR484" t="e">
        <f>AND(#REF!,"AAAAAGP7ua0=")</f>
        <v>#REF!</v>
      </c>
      <c r="FS484" t="e">
        <f>AND(#REF!,"AAAAAGP7ua4=")</f>
        <v>#REF!</v>
      </c>
      <c r="FT484" t="e">
        <f>AND(#REF!,"AAAAAGP7ua8=")</f>
        <v>#REF!</v>
      </c>
      <c r="FU484" t="e">
        <f>AND(#REF!,"AAAAAGP7ubA=")</f>
        <v>#REF!</v>
      </c>
      <c r="FV484" t="e">
        <f>AND(#REF!,"AAAAAGP7ubE=")</f>
        <v>#REF!</v>
      </c>
      <c r="FW484" t="e">
        <f>AND(#REF!,"AAAAAGP7ubI=")</f>
        <v>#REF!</v>
      </c>
      <c r="FX484" t="e">
        <f>AND(#REF!,"AAAAAGP7ubM=")</f>
        <v>#REF!</v>
      </c>
      <c r="FY484" t="e">
        <f>AND(#REF!,"AAAAAGP7ubQ=")</f>
        <v>#REF!</v>
      </c>
      <c r="FZ484" t="e">
        <f>AND(#REF!,"AAAAAGP7ubU=")</f>
        <v>#REF!</v>
      </c>
      <c r="GA484" t="e">
        <f>AND(#REF!,"AAAAAGP7ubY=")</f>
        <v>#REF!</v>
      </c>
      <c r="GB484" t="e">
        <f>AND(#REF!,"AAAAAGP7ubc=")</f>
        <v>#REF!</v>
      </c>
      <c r="GC484" t="e">
        <f>AND(#REF!,"AAAAAGP7ubg=")</f>
        <v>#REF!</v>
      </c>
      <c r="GD484" t="e">
        <f>AND(#REF!,"AAAAAGP7ubk=")</f>
        <v>#REF!</v>
      </c>
      <c r="GE484" t="e">
        <f>AND(#REF!,"AAAAAGP7ubo=")</f>
        <v>#REF!</v>
      </c>
      <c r="GF484" t="e">
        <f>IF(#REF!,"AAAAAGP7ubs=",0)</f>
        <v>#REF!</v>
      </c>
      <c r="GG484" t="e">
        <f>AND(#REF!,"AAAAAGP7ubw=")</f>
        <v>#REF!</v>
      </c>
      <c r="GH484" t="e">
        <f>AND(#REF!,"AAAAAGP7ub0=")</f>
        <v>#REF!</v>
      </c>
      <c r="GI484" t="e">
        <f>AND(#REF!,"AAAAAGP7ub4=")</f>
        <v>#REF!</v>
      </c>
      <c r="GJ484" t="e">
        <f>AND(#REF!,"AAAAAGP7ub8=")</f>
        <v>#REF!</v>
      </c>
      <c r="GK484" t="e">
        <f>AND(#REF!,"AAAAAGP7ucA=")</f>
        <v>#REF!</v>
      </c>
      <c r="GL484" t="e">
        <f>AND(#REF!,"AAAAAGP7ucE=")</f>
        <v>#REF!</v>
      </c>
      <c r="GM484" t="e">
        <f>AND(#REF!,"AAAAAGP7ucI=")</f>
        <v>#REF!</v>
      </c>
      <c r="GN484" t="e">
        <f>AND(#REF!,"AAAAAGP7ucM=")</f>
        <v>#REF!</v>
      </c>
      <c r="GO484" t="e">
        <f>AND(#REF!,"AAAAAGP7ucQ=")</f>
        <v>#REF!</v>
      </c>
      <c r="GP484" t="e">
        <f>AND(#REF!,"AAAAAGP7ucU=")</f>
        <v>#REF!</v>
      </c>
      <c r="GQ484" t="e">
        <f>AND(#REF!,"AAAAAGP7ucY=")</f>
        <v>#REF!</v>
      </c>
      <c r="GR484" t="e">
        <f>AND(#REF!,"AAAAAGP7ucc=")</f>
        <v>#REF!</v>
      </c>
      <c r="GS484" t="e">
        <f>AND(#REF!,"AAAAAGP7ucg=")</f>
        <v>#REF!</v>
      </c>
      <c r="GT484" t="e">
        <f>AND(#REF!,"AAAAAGP7uck=")</f>
        <v>#REF!</v>
      </c>
      <c r="GU484" t="e">
        <f>AND(#REF!,"AAAAAGP7uco=")</f>
        <v>#REF!</v>
      </c>
      <c r="GV484" t="e">
        <f>AND(#REF!,"AAAAAGP7ucs=")</f>
        <v>#REF!</v>
      </c>
      <c r="GW484" t="e">
        <f>AND(#REF!,"AAAAAGP7ucw=")</f>
        <v>#REF!</v>
      </c>
      <c r="GX484" t="e">
        <f>AND(#REF!,"AAAAAGP7uc0=")</f>
        <v>#REF!</v>
      </c>
      <c r="GY484" t="e">
        <f>AND(#REF!,"AAAAAGP7uc4=")</f>
        <v>#REF!</v>
      </c>
      <c r="GZ484" t="e">
        <f>AND(#REF!,"AAAAAGP7uc8=")</f>
        <v>#REF!</v>
      </c>
      <c r="HA484" t="e">
        <f>AND(#REF!,"AAAAAGP7udA=")</f>
        <v>#REF!</v>
      </c>
      <c r="HB484" t="e">
        <f>AND(#REF!,"AAAAAGP7udE=")</f>
        <v>#REF!</v>
      </c>
      <c r="HC484" t="e">
        <f>AND(#REF!,"AAAAAGP7udI=")</f>
        <v>#REF!</v>
      </c>
      <c r="HD484" t="e">
        <f>AND(#REF!,"AAAAAGP7udM=")</f>
        <v>#REF!</v>
      </c>
      <c r="HE484" t="e">
        <f>IF(#REF!,"AAAAAGP7udQ=",0)</f>
        <v>#REF!</v>
      </c>
      <c r="HF484" t="e">
        <f>AND(#REF!,"AAAAAGP7udU=")</f>
        <v>#REF!</v>
      </c>
      <c r="HG484" t="e">
        <f>AND(#REF!,"AAAAAGP7udY=")</f>
        <v>#REF!</v>
      </c>
      <c r="HH484" t="e">
        <f>AND(#REF!,"AAAAAGP7udc=")</f>
        <v>#REF!</v>
      </c>
      <c r="HI484" t="e">
        <f>AND(#REF!,"AAAAAGP7udg=")</f>
        <v>#REF!</v>
      </c>
      <c r="HJ484" t="e">
        <f>AND(#REF!,"AAAAAGP7udk=")</f>
        <v>#REF!</v>
      </c>
      <c r="HK484" t="e">
        <f>AND(#REF!,"AAAAAGP7udo=")</f>
        <v>#REF!</v>
      </c>
      <c r="HL484" t="e">
        <f>AND(#REF!,"AAAAAGP7uds=")</f>
        <v>#REF!</v>
      </c>
      <c r="HM484" t="e">
        <f>AND(#REF!,"AAAAAGP7udw=")</f>
        <v>#REF!</v>
      </c>
      <c r="HN484" t="e">
        <f>AND(#REF!,"AAAAAGP7ud0=")</f>
        <v>#REF!</v>
      </c>
      <c r="HO484" t="e">
        <f>AND(#REF!,"AAAAAGP7ud4=")</f>
        <v>#REF!</v>
      </c>
      <c r="HP484" t="e">
        <f>AND(#REF!,"AAAAAGP7ud8=")</f>
        <v>#REF!</v>
      </c>
      <c r="HQ484" t="e">
        <f>AND(#REF!,"AAAAAGP7ueA=")</f>
        <v>#REF!</v>
      </c>
      <c r="HR484" t="e">
        <f>AND(#REF!,"AAAAAGP7ueE=")</f>
        <v>#REF!</v>
      </c>
      <c r="HS484" t="e">
        <f>AND(#REF!,"AAAAAGP7ueI=")</f>
        <v>#REF!</v>
      </c>
      <c r="HT484" t="e">
        <f>AND(#REF!,"AAAAAGP7ueM=")</f>
        <v>#REF!</v>
      </c>
      <c r="HU484" t="e">
        <f>AND(#REF!,"AAAAAGP7ueQ=")</f>
        <v>#REF!</v>
      </c>
      <c r="HV484" t="e">
        <f>AND(#REF!,"AAAAAGP7ueU=")</f>
        <v>#REF!</v>
      </c>
      <c r="HW484" t="e">
        <f>AND(#REF!,"AAAAAGP7ueY=")</f>
        <v>#REF!</v>
      </c>
      <c r="HX484" t="e">
        <f>AND(#REF!,"AAAAAGP7uec=")</f>
        <v>#REF!</v>
      </c>
      <c r="HY484" t="e">
        <f>AND(#REF!,"AAAAAGP7ueg=")</f>
        <v>#REF!</v>
      </c>
      <c r="HZ484" t="e">
        <f>AND(#REF!,"AAAAAGP7uek=")</f>
        <v>#REF!</v>
      </c>
      <c r="IA484" t="e">
        <f>AND(#REF!,"AAAAAGP7ueo=")</f>
        <v>#REF!</v>
      </c>
      <c r="IB484" t="e">
        <f>AND(#REF!,"AAAAAGP7ues=")</f>
        <v>#REF!</v>
      </c>
      <c r="IC484" t="e">
        <f>AND(#REF!,"AAAAAGP7uew=")</f>
        <v>#REF!</v>
      </c>
      <c r="ID484" t="e">
        <f>IF(#REF!,"AAAAAGP7ue0=",0)</f>
        <v>#REF!</v>
      </c>
      <c r="IE484" t="e">
        <f>AND(#REF!,"AAAAAGP7ue4=")</f>
        <v>#REF!</v>
      </c>
      <c r="IF484" t="e">
        <f>AND(#REF!,"AAAAAGP7ue8=")</f>
        <v>#REF!</v>
      </c>
      <c r="IG484" t="e">
        <f>AND(#REF!,"AAAAAGP7ufA=")</f>
        <v>#REF!</v>
      </c>
      <c r="IH484" t="e">
        <f>AND(#REF!,"AAAAAGP7ufE=")</f>
        <v>#REF!</v>
      </c>
      <c r="II484" t="e">
        <f>AND(#REF!,"AAAAAGP7ufI=")</f>
        <v>#REF!</v>
      </c>
      <c r="IJ484" t="e">
        <f>AND(#REF!,"AAAAAGP7ufM=")</f>
        <v>#REF!</v>
      </c>
      <c r="IK484" t="e">
        <f>AND(#REF!,"AAAAAGP7ufQ=")</f>
        <v>#REF!</v>
      </c>
      <c r="IL484" t="e">
        <f>AND(#REF!,"AAAAAGP7ufU=")</f>
        <v>#REF!</v>
      </c>
      <c r="IM484" t="e">
        <f>AND(#REF!,"AAAAAGP7ufY=")</f>
        <v>#REF!</v>
      </c>
      <c r="IN484" t="e">
        <f>AND(#REF!,"AAAAAGP7ufc=")</f>
        <v>#REF!</v>
      </c>
      <c r="IO484" t="e">
        <f>AND(#REF!,"AAAAAGP7ufg=")</f>
        <v>#REF!</v>
      </c>
      <c r="IP484" t="e">
        <f>AND(#REF!,"AAAAAGP7ufk=")</f>
        <v>#REF!</v>
      </c>
      <c r="IQ484" t="e">
        <f>AND(#REF!,"AAAAAGP7ufo=")</f>
        <v>#REF!</v>
      </c>
      <c r="IR484" t="e">
        <f>AND(#REF!,"AAAAAGP7ufs=")</f>
        <v>#REF!</v>
      </c>
      <c r="IS484" t="e">
        <f>AND(#REF!,"AAAAAGP7ufw=")</f>
        <v>#REF!</v>
      </c>
      <c r="IT484" t="e">
        <f>AND(#REF!,"AAAAAGP7uf0=")</f>
        <v>#REF!</v>
      </c>
      <c r="IU484" t="e">
        <f>AND(#REF!,"AAAAAGP7uf4=")</f>
        <v>#REF!</v>
      </c>
      <c r="IV484" t="e">
        <f>AND(#REF!,"AAAAAGP7uf8=")</f>
        <v>#REF!</v>
      </c>
    </row>
    <row r="485" spans="1:256">
      <c r="A485" t="e">
        <f>AND(#REF!,"AAAAAF/3egA=")</f>
        <v>#REF!</v>
      </c>
      <c r="B485" t="e">
        <f>AND(#REF!,"AAAAAF/3egE=")</f>
        <v>#REF!</v>
      </c>
      <c r="C485" t="e">
        <f>AND(#REF!,"AAAAAF/3egI=")</f>
        <v>#REF!</v>
      </c>
      <c r="D485" t="e">
        <f>AND(#REF!,"AAAAAF/3egM=")</f>
        <v>#REF!</v>
      </c>
      <c r="E485" t="e">
        <f>AND(#REF!,"AAAAAF/3egQ=")</f>
        <v>#REF!</v>
      </c>
      <c r="F485" t="e">
        <f>AND(#REF!,"AAAAAF/3egU=")</f>
        <v>#REF!</v>
      </c>
      <c r="G485" t="e">
        <f>IF(#REF!,"AAAAAF/3egY=",0)</f>
        <v>#REF!</v>
      </c>
      <c r="H485" t="e">
        <f>AND(#REF!,"AAAAAF/3egc=")</f>
        <v>#REF!</v>
      </c>
      <c r="I485" t="e">
        <f>AND(#REF!,"AAAAAF/3egg=")</f>
        <v>#REF!</v>
      </c>
      <c r="J485" t="e">
        <f>AND(#REF!,"AAAAAF/3egk=")</f>
        <v>#REF!</v>
      </c>
      <c r="K485" t="e">
        <f>AND(#REF!,"AAAAAF/3ego=")</f>
        <v>#REF!</v>
      </c>
      <c r="L485" t="e">
        <f>AND(#REF!,"AAAAAF/3egs=")</f>
        <v>#REF!</v>
      </c>
      <c r="M485" t="e">
        <f>AND(#REF!,"AAAAAF/3egw=")</f>
        <v>#REF!</v>
      </c>
      <c r="N485" t="e">
        <f>AND(#REF!,"AAAAAF/3eg0=")</f>
        <v>#REF!</v>
      </c>
      <c r="O485" t="e">
        <f>AND(#REF!,"AAAAAF/3eg4=")</f>
        <v>#REF!</v>
      </c>
      <c r="P485" t="e">
        <f>AND(#REF!,"AAAAAF/3eg8=")</f>
        <v>#REF!</v>
      </c>
      <c r="Q485" t="e">
        <f>AND(#REF!,"AAAAAF/3ehA=")</f>
        <v>#REF!</v>
      </c>
      <c r="R485" t="e">
        <f>AND(#REF!,"AAAAAF/3ehE=")</f>
        <v>#REF!</v>
      </c>
      <c r="S485" t="e">
        <f>AND(#REF!,"AAAAAF/3ehI=")</f>
        <v>#REF!</v>
      </c>
      <c r="T485" t="e">
        <f>AND(#REF!,"AAAAAF/3ehM=")</f>
        <v>#REF!</v>
      </c>
      <c r="U485" t="e">
        <f>AND(#REF!,"AAAAAF/3ehQ=")</f>
        <v>#REF!</v>
      </c>
      <c r="V485" t="e">
        <f>AND(#REF!,"AAAAAF/3ehU=")</f>
        <v>#REF!</v>
      </c>
      <c r="W485" t="e">
        <f>AND(#REF!,"AAAAAF/3ehY=")</f>
        <v>#REF!</v>
      </c>
      <c r="X485" t="e">
        <f>AND(#REF!,"AAAAAF/3ehc=")</f>
        <v>#REF!</v>
      </c>
      <c r="Y485" t="e">
        <f>AND(#REF!,"AAAAAF/3ehg=")</f>
        <v>#REF!</v>
      </c>
      <c r="Z485" t="e">
        <f>AND(#REF!,"AAAAAF/3ehk=")</f>
        <v>#REF!</v>
      </c>
      <c r="AA485" t="e">
        <f>AND(#REF!,"AAAAAF/3eho=")</f>
        <v>#REF!</v>
      </c>
      <c r="AB485" t="e">
        <f>AND(#REF!,"AAAAAF/3ehs=")</f>
        <v>#REF!</v>
      </c>
      <c r="AC485" t="e">
        <f>AND(#REF!,"AAAAAF/3ehw=")</f>
        <v>#REF!</v>
      </c>
      <c r="AD485" t="e">
        <f>AND(#REF!,"AAAAAF/3eh0=")</f>
        <v>#REF!</v>
      </c>
      <c r="AE485" t="e">
        <f>AND(#REF!,"AAAAAF/3eh4=")</f>
        <v>#REF!</v>
      </c>
      <c r="AF485" t="e">
        <f>IF(#REF!,"AAAAAF/3eh8=",0)</f>
        <v>#REF!</v>
      </c>
      <c r="AG485" t="e">
        <f>AND(#REF!,"AAAAAF/3eiA=")</f>
        <v>#REF!</v>
      </c>
      <c r="AH485" t="e">
        <f>AND(#REF!,"AAAAAF/3eiE=")</f>
        <v>#REF!</v>
      </c>
      <c r="AI485" t="e">
        <f>AND(#REF!,"AAAAAF/3eiI=")</f>
        <v>#REF!</v>
      </c>
      <c r="AJ485" t="e">
        <f>AND(#REF!,"AAAAAF/3eiM=")</f>
        <v>#REF!</v>
      </c>
      <c r="AK485" t="e">
        <f>AND(#REF!,"AAAAAF/3eiQ=")</f>
        <v>#REF!</v>
      </c>
      <c r="AL485" t="e">
        <f>AND(#REF!,"AAAAAF/3eiU=")</f>
        <v>#REF!</v>
      </c>
      <c r="AM485" t="e">
        <f>AND(#REF!,"AAAAAF/3eiY=")</f>
        <v>#REF!</v>
      </c>
      <c r="AN485" t="e">
        <f>AND(#REF!,"AAAAAF/3eic=")</f>
        <v>#REF!</v>
      </c>
      <c r="AO485" t="e">
        <f>AND(#REF!,"AAAAAF/3eig=")</f>
        <v>#REF!</v>
      </c>
      <c r="AP485" t="e">
        <f>AND(#REF!,"AAAAAF/3eik=")</f>
        <v>#REF!</v>
      </c>
      <c r="AQ485" t="e">
        <f>AND(#REF!,"AAAAAF/3eio=")</f>
        <v>#REF!</v>
      </c>
      <c r="AR485" t="e">
        <f>AND(#REF!,"AAAAAF/3eis=")</f>
        <v>#REF!</v>
      </c>
      <c r="AS485" t="e">
        <f>AND(#REF!,"AAAAAF/3eiw=")</f>
        <v>#REF!</v>
      </c>
      <c r="AT485" t="e">
        <f>AND(#REF!,"AAAAAF/3ei0=")</f>
        <v>#REF!</v>
      </c>
      <c r="AU485" t="e">
        <f>AND(#REF!,"AAAAAF/3ei4=")</f>
        <v>#REF!</v>
      </c>
      <c r="AV485" t="e">
        <f>AND(#REF!,"AAAAAF/3ei8=")</f>
        <v>#REF!</v>
      </c>
      <c r="AW485" t="e">
        <f>AND(#REF!,"AAAAAF/3ejA=")</f>
        <v>#REF!</v>
      </c>
      <c r="AX485" t="e">
        <f>AND(#REF!,"AAAAAF/3ejE=")</f>
        <v>#REF!</v>
      </c>
      <c r="AY485" t="e">
        <f>AND(#REF!,"AAAAAF/3ejI=")</f>
        <v>#REF!</v>
      </c>
      <c r="AZ485" t="e">
        <f>AND(#REF!,"AAAAAF/3ejM=")</f>
        <v>#REF!</v>
      </c>
      <c r="BA485" t="e">
        <f>AND(#REF!,"AAAAAF/3ejQ=")</f>
        <v>#REF!</v>
      </c>
      <c r="BB485" t="e">
        <f>AND(#REF!,"AAAAAF/3ejU=")</f>
        <v>#REF!</v>
      </c>
      <c r="BC485" t="e">
        <f>AND(#REF!,"AAAAAF/3ejY=")</f>
        <v>#REF!</v>
      </c>
      <c r="BD485" t="e">
        <f>AND(#REF!,"AAAAAF/3ejc=")</f>
        <v>#REF!</v>
      </c>
      <c r="BE485" t="e">
        <f>IF(#REF!,"AAAAAF/3ejg=",0)</f>
        <v>#REF!</v>
      </c>
      <c r="BF485" t="e">
        <f>AND(#REF!,"AAAAAF/3ejk=")</f>
        <v>#REF!</v>
      </c>
      <c r="BG485" t="e">
        <f>AND(#REF!,"AAAAAF/3ejo=")</f>
        <v>#REF!</v>
      </c>
      <c r="BH485" t="e">
        <f>AND(#REF!,"AAAAAF/3ejs=")</f>
        <v>#REF!</v>
      </c>
      <c r="BI485" t="e">
        <f>AND(#REF!,"AAAAAF/3ejw=")</f>
        <v>#REF!</v>
      </c>
      <c r="BJ485" t="e">
        <f>AND(#REF!,"AAAAAF/3ej0=")</f>
        <v>#REF!</v>
      </c>
      <c r="BK485" t="e">
        <f>AND(#REF!,"AAAAAF/3ej4=")</f>
        <v>#REF!</v>
      </c>
      <c r="BL485" t="e">
        <f>AND(#REF!,"AAAAAF/3ej8=")</f>
        <v>#REF!</v>
      </c>
      <c r="BM485" t="e">
        <f>AND(#REF!,"AAAAAF/3ekA=")</f>
        <v>#REF!</v>
      </c>
      <c r="BN485" t="e">
        <f>AND(#REF!,"AAAAAF/3ekE=")</f>
        <v>#REF!</v>
      </c>
      <c r="BO485" t="e">
        <f>AND(#REF!,"AAAAAF/3ekI=")</f>
        <v>#REF!</v>
      </c>
      <c r="BP485" t="e">
        <f>AND(#REF!,"AAAAAF/3ekM=")</f>
        <v>#REF!</v>
      </c>
      <c r="BQ485" t="e">
        <f>AND(#REF!,"AAAAAF/3ekQ=")</f>
        <v>#REF!</v>
      </c>
      <c r="BR485" t="e">
        <f>AND(#REF!,"AAAAAF/3ekU=")</f>
        <v>#REF!</v>
      </c>
      <c r="BS485" t="e">
        <f>AND(#REF!,"AAAAAF/3ekY=")</f>
        <v>#REF!</v>
      </c>
      <c r="BT485" t="e">
        <f>AND(#REF!,"AAAAAF/3ekc=")</f>
        <v>#REF!</v>
      </c>
      <c r="BU485" t="e">
        <f>AND(#REF!,"AAAAAF/3ekg=")</f>
        <v>#REF!</v>
      </c>
      <c r="BV485" t="e">
        <f>AND(#REF!,"AAAAAF/3ekk=")</f>
        <v>#REF!</v>
      </c>
      <c r="BW485" t="e">
        <f>AND(#REF!,"AAAAAF/3eko=")</f>
        <v>#REF!</v>
      </c>
      <c r="BX485" t="e">
        <f>AND(#REF!,"AAAAAF/3eks=")</f>
        <v>#REF!</v>
      </c>
      <c r="BY485" t="e">
        <f>AND(#REF!,"AAAAAF/3ekw=")</f>
        <v>#REF!</v>
      </c>
      <c r="BZ485" t="e">
        <f>AND(#REF!,"AAAAAF/3ek0=")</f>
        <v>#REF!</v>
      </c>
      <c r="CA485" t="e">
        <f>AND(#REF!,"AAAAAF/3ek4=")</f>
        <v>#REF!</v>
      </c>
      <c r="CB485" t="e">
        <f>AND(#REF!,"AAAAAF/3ek8=")</f>
        <v>#REF!</v>
      </c>
      <c r="CC485" t="e">
        <f>AND(#REF!,"AAAAAF/3elA=")</f>
        <v>#REF!</v>
      </c>
      <c r="CD485" t="e">
        <f>IF(#REF!,"AAAAAF/3elE=",0)</f>
        <v>#REF!</v>
      </c>
      <c r="CE485" t="e">
        <f>AND(#REF!,"AAAAAF/3elI=")</f>
        <v>#REF!</v>
      </c>
      <c r="CF485" t="e">
        <f>AND(#REF!,"AAAAAF/3elM=")</f>
        <v>#REF!</v>
      </c>
      <c r="CG485" t="e">
        <f>AND(#REF!,"AAAAAF/3elQ=")</f>
        <v>#REF!</v>
      </c>
      <c r="CH485" t="e">
        <f>AND(#REF!,"AAAAAF/3elU=")</f>
        <v>#REF!</v>
      </c>
      <c r="CI485" t="e">
        <f>AND(#REF!,"AAAAAF/3elY=")</f>
        <v>#REF!</v>
      </c>
      <c r="CJ485" t="e">
        <f>AND(#REF!,"AAAAAF/3elc=")</f>
        <v>#REF!</v>
      </c>
      <c r="CK485" t="e">
        <f>AND(#REF!,"AAAAAF/3elg=")</f>
        <v>#REF!</v>
      </c>
      <c r="CL485" t="e">
        <f>AND(#REF!,"AAAAAF/3elk=")</f>
        <v>#REF!</v>
      </c>
      <c r="CM485" t="e">
        <f>AND(#REF!,"AAAAAF/3elo=")</f>
        <v>#REF!</v>
      </c>
      <c r="CN485" t="e">
        <f>AND(#REF!,"AAAAAF/3els=")</f>
        <v>#REF!</v>
      </c>
      <c r="CO485" t="e">
        <f>AND(#REF!,"AAAAAF/3elw=")</f>
        <v>#REF!</v>
      </c>
      <c r="CP485" t="e">
        <f>AND(#REF!,"AAAAAF/3el0=")</f>
        <v>#REF!</v>
      </c>
      <c r="CQ485" t="e">
        <f>AND(#REF!,"AAAAAF/3el4=")</f>
        <v>#REF!</v>
      </c>
      <c r="CR485" t="e">
        <f>AND(#REF!,"AAAAAF/3el8=")</f>
        <v>#REF!</v>
      </c>
      <c r="CS485" t="e">
        <f>AND(#REF!,"AAAAAF/3emA=")</f>
        <v>#REF!</v>
      </c>
      <c r="CT485" t="e">
        <f>AND(#REF!,"AAAAAF/3emE=")</f>
        <v>#REF!</v>
      </c>
      <c r="CU485" t="e">
        <f>AND(#REF!,"AAAAAF/3emI=")</f>
        <v>#REF!</v>
      </c>
      <c r="CV485" t="e">
        <f>AND(#REF!,"AAAAAF/3emM=")</f>
        <v>#REF!</v>
      </c>
      <c r="CW485" t="e">
        <f>AND(#REF!,"AAAAAF/3emQ=")</f>
        <v>#REF!</v>
      </c>
      <c r="CX485" t="e">
        <f>AND(#REF!,"AAAAAF/3emU=")</f>
        <v>#REF!</v>
      </c>
      <c r="CY485" t="e">
        <f>AND(#REF!,"AAAAAF/3emY=")</f>
        <v>#REF!</v>
      </c>
      <c r="CZ485" t="e">
        <f>AND(#REF!,"AAAAAF/3emc=")</f>
        <v>#REF!</v>
      </c>
      <c r="DA485" t="e">
        <f>AND(#REF!,"AAAAAF/3emg=")</f>
        <v>#REF!</v>
      </c>
      <c r="DB485" t="e">
        <f>AND(#REF!,"AAAAAF/3emk=")</f>
        <v>#REF!</v>
      </c>
      <c r="DC485" t="e">
        <f>IF(#REF!,"AAAAAF/3emo=",0)</f>
        <v>#REF!</v>
      </c>
      <c r="DD485" t="e">
        <f>AND(#REF!,"AAAAAF/3ems=")</f>
        <v>#REF!</v>
      </c>
      <c r="DE485" t="e">
        <f>AND(#REF!,"AAAAAF/3emw=")</f>
        <v>#REF!</v>
      </c>
      <c r="DF485" t="e">
        <f>AND(#REF!,"AAAAAF/3em0=")</f>
        <v>#REF!</v>
      </c>
      <c r="DG485" t="e">
        <f>AND(#REF!,"AAAAAF/3em4=")</f>
        <v>#REF!</v>
      </c>
      <c r="DH485" t="e">
        <f>AND(#REF!,"AAAAAF/3em8=")</f>
        <v>#REF!</v>
      </c>
      <c r="DI485" t="e">
        <f>AND(#REF!,"AAAAAF/3enA=")</f>
        <v>#REF!</v>
      </c>
      <c r="DJ485" t="e">
        <f>AND(#REF!,"AAAAAF/3enE=")</f>
        <v>#REF!</v>
      </c>
      <c r="DK485" t="e">
        <f>AND(#REF!,"AAAAAF/3enI=")</f>
        <v>#REF!</v>
      </c>
      <c r="DL485" t="e">
        <f>AND(#REF!,"AAAAAF/3enM=")</f>
        <v>#REF!</v>
      </c>
      <c r="DM485" t="e">
        <f>AND(#REF!,"AAAAAF/3enQ=")</f>
        <v>#REF!</v>
      </c>
      <c r="DN485" t="e">
        <f>AND(#REF!,"AAAAAF/3enU=")</f>
        <v>#REF!</v>
      </c>
      <c r="DO485" t="e">
        <f>AND(#REF!,"AAAAAF/3enY=")</f>
        <v>#REF!</v>
      </c>
      <c r="DP485" t="e">
        <f>AND(#REF!,"AAAAAF/3enc=")</f>
        <v>#REF!</v>
      </c>
      <c r="DQ485" t="e">
        <f>AND(#REF!,"AAAAAF/3eng=")</f>
        <v>#REF!</v>
      </c>
      <c r="DR485" t="e">
        <f>AND(#REF!,"AAAAAF/3enk=")</f>
        <v>#REF!</v>
      </c>
      <c r="DS485" t="e">
        <f>AND(#REF!,"AAAAAF/3eno=")</f>
        <v>#REF!</v>
      </c>
      <c r="DT485" t="e">
        <f>AND(#REF!,"AAAAAF/3ens=")</f>
        <v>#REF!</v>
      </c>
      <c r="DU485" t="e">
        <f>AND(#REF!,"AAAAAF/3enw=")</f>
        <v>#REF!</v>
      </c>
      <c r="DV485" t="e">
        <f>AND(#REF!,"AAAAAF/3en0=")</f>
        <v>#REF!</v>
      </c>
      <c r="DW485" t="e">
        <f>AND(#REF!,"AAAAAF/3en4=")</f>
        <v>#REF!</v>
      </c>
      <c r="DX485" t="e">
        <f>AND(#REF!,"AAAAAF/3en8=")</f>
        <v>#REF!</v>
      </c>
      <c r="DY485" t="e">
        <f>AND(#REF!,"AAAAAF/3eoA=")</f>
        <v>#REF!</v>
      </c>
      <c r="DZ485" t="e">
        <f>AND(#REF!,"AAAAAF/3eoE=")</f>
        <v>#REF!</v>
      </c>
      <c r="EA485" t="e">
        <f>AND(#REF!,"AAAAAF/3eoI=")</f>
        <v>#REF!</v>
      </c>
      <c r="EB485" t="e">
        <f>IF(#REF!,"AAAAAF/3eoM=",0)</f>
        <v>#REF!</v>
      </c>
      <c r="EC485" t="e">
        <f>AND(#REF!,"AAAAAF/3eoQ=")</f>
        <v>#REF!</v>
      </c>
      <c r="ED485" t="e">
        <f>AND(#REF!,"AAAAAF/3eoU=")</f>
        <v>#REF!</v>
      </c>
      <c r="EE485" t="e">
        <f>AND(#REF!,"AAAAAF/3eoY=")</f>
        <v>#REF!</v>
      </c>
      <c r="EF485" t="e">
        <f>AND(#REF!,"AAAAAF/3eoc=")</f>
        <v>#REF!</v>
      </c>
      <c r="EG485" t="e">
        <f>AND(#REF!,"AAAAAF/3eog=")</f>
        <v>#REF!</v>
      </c>
      <c r="EH485" t="e">
        <f>AND(#REF!,"AAAAAF/3eok=")</f>
        <v>#REF!</v>
      </c>
      <c r="EI485" t="e">
        <f>AND(#REF!,"AAAAAF/3eoo=")</f>
        <v>#REF!</v>
      </c>
      <c r="EJ485" t="e">
        <f>AND(#REF!,"AAAAAF/3eos=")</f>
        <v>#REF!</v>
      </c>
      <c r="EK485" t="e">
        <f>AND(#REF!,"AAAAAF/3eow=")</f>
        <v>#REF!</v>
      </c>
      <c r="EL485" t="e">
        <f>AND(#REF!,"AAAAAF/3eo0=")</f>
        <v>#REF!</v>
      </c>
      <c r="EM485" t="e">
        <f>AND(#REF!,"AAAAAF/3eo4=")</f>
        <v>#REF!</v>
      </c>
      <c r="EN485" t="e">
        <f>AND(#REF!,"AAAAAF/3eo8=")</f>
        <v>#REF!</v>
      </c>
      <c r="EO485" t="e">
        <f>AND(#REF!,"AAAAAF/3epA=")</f>
        <v>#REF!</v>
      </c>
      <c r="EP485" t="e">
        <f>AND(#REF!,"AAAAAF/3epE=")</f>
        <v>#REF!</v>
      </c>
      <c r="EQ485" t="e">
        <f>AND(#REF!,"AAAAAF/3epI=")</f>
        <v>#REF!</v>
      </c>
      <c r="ER485" t="e">
        <f>AND(#REF!,"AAAAAF/3epM=")</f>
        <v>#REF!</v>
      </c>
      <c r="ES485" t="e">
        <f>AND(#REF!,"AAAAAF/3epQ=")</f>
        <v>#REF!</v>
      </c>
      <c r="ET485" t="e">
        <f>AND(#REF!,"AAAAAF/3epU=")</f>
        <v>#REF!</v>
      </c>
      <c r="EU485" t="e">
        <f>AND(#REF!,"AAAAAF/3epY=")</f>
        <v>#REF!</v>
      </c>
      <c r="EV485" t="e">
        <f>AND(#REF!,"AAAAAF/3epc=")</f>
        <v>#REF!</v>
      </c>
      <c r="EW485" t="e">
        <f>AND(#REF!,"AAAAAF/3epg=")</f>
        <v>#REF!</v>
      </c>
      <c r="EX485" t="e">
        <f>AND(#REF!,"AAAAAF/3epk=")</f>
        <v>#REF!</v>
      </c>
      <c r="EY485" t="e">
        <f>AND(#REF!,"AAAAAF/3epo=")</f>
        <v>#REF!</v>
      </c>
      <c r="EZ485" t="e">
        <f>AND(#REF!,"AAAAAF/3eps=")</f>
        <v>#REF!</v>
      </c>
      <c r="FA485" t="e">
        <f>IF(#REF!,"AAAAAF/3epw=",0)</f>
        <v>#REF!</v>
      </c>
      <c r="FB485" t="e">
        <f>AND(#REF!,"AAAAAF/3ep0=")</f>
        <v>#REF!</v>
      </c>
      <c r="FC485" t="e">
        <f>AND(#REF!,"AAAAAF/3ep4=")</f>
        <v>#REF!</v>
      </c>
      <c r="FD485" t="e">
        <f>AND(#REF!,"AAAAAF/3ep8=")</f>
        <v>#REF!</v>
      </c>
      <c r="FE485" t="e">
        <f>AND(#REF!,"AAAAAF/3eqA=")</f>
        <v>#REF!</v>
      </c>
      <c r="FF485" t="e">
        <f>AND(#REF!,"AAAAAF/3eqE=")</f>
        <v>#REF!</v>
      </c>
      <c r="FG485" t="e">
        <f>AND(#REF!,"AAAAAF/3eqI=")</f>
        <v>#REF!</v>
      </c>
      <c r="FH485" t="e">
        <f>AND(#REF!,"AAAAAF/3eqM=")</f>
        <v>#REF!</v>
      </c>
      <c r="FI485" t="e">
        <f>AND(#REF!,"AAAAAF/3eqQ=")</f>
        <v>#REF!</v>
      </c>
      <c r="FJ485" t="e">
        <f>AND(#REF!,"AAAAAF/3eqU=")</f>
        <v>#REF!</v>
      </c>
      <c r="FK485" t="e">
        <f>AND(#REF!,"AAAAAF/3eqY=")</f>
        <v>#REF!</v>
      </c>
      <c r="FL485" t="e">
        <f>AND(#REF!,"AAAAAF/3eqc=")</f>
        <v>#REF!</v>
      </c>
      <c r="FM485" t="e">
        <f>AND(#REF!,"AAAAAF/3eqg=")</f>
        <v>#REF!</v>
      </c>
      <c r="FN485" t="e">
        <f>AND(#REF!,"AAAAAF/3eqk=")</f>
        <v>#REF!</v>
      </c>
      <c r="FO485" t="e">
        <f>AND(#REF!,"AAAAAF/3eqo=")</f>
        <v>#REF!</v>
      </c>
      <c r="FP485" t="e">
        <f>AND(#REF!,"AAAAAF/3eqs=")</f>
        <v>#REF!</v>
      </c>
      <c r="FQ485" t="e">
        <f>AND(#REF!,"AAAAAF/3eqw=")</f>
        <v>#REF!</v>
      </c>
      <c r="FR485" t="e">
        <f>AND(#REF!,"AAAAAF/3eq0=")</f>
        <v>#REF!</v>
      </c>
      <c r="FS485" t="e">
        <f>AND(#REF!,"AAAAAF/3eq4=")</f>
        <v>#REF!</v>
      </c>
      <c r="FT485" t="e">
        <f>AND(#REF!,"AAAAAF/3eq8=")</f>
        <v>#REF!</v>
      </c>
      <c r="FU485" t="e">
        <f>AND(#REF!,"AAAAAF/3erA=")</f>
        <v>#REF!</v>
      </c>
      <c r="FV485" t="e">
        <f>AND(#REF!,"AAAAAF/3erE=")</f>
        <v>#REF!</v>
      </c>
      <c r="FW485" t="e">
        <f>AND(#REF!,"AAAAAF/3erI=")</f>
        <v>#REF!</v>
      </c>
      <c r="FX485" t="e">
        <f>AND(#REF!,"AAAAAF/3erM=")</f>
        <v>#REF!</v>
      </c>
      <c r="FY485" t="e">
        <f>AND(#REF!,"AAAAAF/3erQ=")</f>
        <v>#REF!</v>
      </c>
      <c r="FZ485" t="e">
        <f>IF(#REF!,"AAAAAF/3erU=",0)</f>
        <v>#REF!</v>
      </c>
      <c r="GA485" t="e">
        <f>AND(#REF!,"AAAAAF/3erY=")</f>
        <v>#REF!</v>
      </c>
      <c r="GB485" t="e">
        <f>AND(#REF!,"AAAAAF/3erc=")</f>
        <v>#REF!</v>
      </c>
      <c r="GC485" t="e">
        <f>AND(#REF!,"AAAAAF/3erg=")</f>
        <v>#REF!</v>
      </c>
      <c r="GD485" t="e">
        <f>AND(#REF!,"AAAAAF/3erk=")</f>
        <v>#REF!</v>
      </c>
      <c r="GE485" t="e">
        <f>AND(#REF!,"AAAAAF/3ero=")</f>
        <v>#REF!</v>
      </c>
      <c r="GF485" t="e">
        <f>AND(#REF!,"AAAAAF/3ers=")</f>
        <v>#REF!</v>
      </c>
      <c r="GG485" t="e">
        <f>AND(#REF!,"AAAAAF/3erw=")</f>
        <v>#REF!</v>
      </c>
      <c r="GH485" t="e">
        <f>AND(#REF!,"AAAAAF/3er0=")</f>
        <v>#REF!</v>
      </c>
      <c r="GI485" t="e">
        <f>AND(#REF!,"AAAAAF/3er4=")</f>
        <v>#REF!</v>
      </c>
      <c r="GJ485" t="e">
        <f>AND(#REF!,"AAAAAF/3er8=")</f>
        <v>#REF!</v>
      </c>
      <c r="GK485" t="e">
        <f>AND(#REF!,"AAAAAF/3esA=")</f>
        <v>#REF!</v>
      </c>
      <c r="GL485" t="e">
        <f>AND(#REF!,"AAAAAF/3esE=")</f>
        <v>#REF!</v>
      </c>
      <c r="GM485" t="e">
        <f>AND(#REF!,"AAAAAF/3esI=")</f>
        <v>#REF!</v>
      </c>
      <c r="GN485" t="e">
        <f>AND(#REF!,"AAAAAF/3esM=")</f>
        <v>#REF!</v>
      </c>
      <c r="GO485" t="e">
        <f>AND(#REF!,"AAAAAF/3esQ=")</f>
        <v>#REF!</v>
      </c>
      <c r="GP485" t="e">
        <f>AND(#REF!,"AAAAAF/3esU=")</f>
        <v>#REF!</v>
      </c>
      <c r="GQ485" t="e">
        <f>AND(#REF!,"AAAAAF/3esY=")</f>
        <v>#REF!</v>
      </c>
      <c r="GR485" t="e">
        <f>AND(#REF!,"AAAAAF/3esc=")</f>
        <v>#REF!</v>
      </c>
      <c r="GS485" t="e">
        <f>AND(#REF!,"AAAAAF/3esg=")</f>
        <v>#REF!</v>
      </c>
      <c r="GT485" t="e">
        <f>AND(#REF!,"AAAAAF/3esk=")</f>
        <v>#REF!</v>
      </c>
      <c r="GU485" t="e">
        <f>AND(#REF!,"AAAAAF/3eso=")</f>
        <v>#REF!</v>
      </c>
      <c r="GV485" t="e">
        <f>AND(#REF!,"AAAAAF/3ess=")</f>
        <v>#REF!</v>
      </c>
      <c r="GW485" t="e">
        <f>AND(#REF!,"AAAAAF/3esw=")</f>
        <v>#REF!</v>
      </c>
      <c r="GX485" t="e">
        <f>AND(#REF!,"AAAAAF/3es0=")</f>
        <v>#REF!</v>
      </c>
      <c r="GY485" t="e">
        <f>IF(#REF!,"AAAAAF/3es4=",0)</f>
        <v>#REF!</v>
      </c>
      <c r="GZ485" t="e">
        <f>AND(#REF!,"AAAAAF/3es8=")</f>
        <v>#REF!</v>
      </c>
      <c r="HA485" t="e">
        <f>AND(#REF!,"AAAAAF/3etA=")</f>
        <v>#REF!</v>
      </c>
      <c r="HB485" t="e">
        <f>AND(#REF!,"AAAAAF/3etE=")</f>
        <v>#REF!</v>
      </c>
      <c r="HC485" t="e">
        <f>AND(#REF!,"AAAAAF/3etI=")</f>
        <v>#REF!</v>
      </c>
      <c r="HD485" t="e">
        <f>AND(#REF!,"AAAAAF/3etM=")</f>
        <v>#REF!</v>
      </c>
      <c r="HE485" t="e">
        <f>AND(#REF!,"AAAAAF/3etQ=")</f>
        <v>#REF!</v>
      </c>
      <c r="HF485" t="e">
        <f>AND(#REF!,"AAAAAF/3etU=")</f>
        <v>#REF!</v>
      </c>
      <c r="HG485" t="e">
        <f>AND(#REF!,"AAAAAF/3etY=")</f>
        <v>#REF!</v>
      </c>
      <c r="HH485" t="e">
        <f>AND(#REF!,"AAAAAF/3etc=")</f>
        <v>#REF!</v>
      </c>
      <c r="HI485" t="e">
        <f>AND(#REF!,"AAAAAF/3etg=")</f>
        <v>#REF!</v>
      </c>
      <c r="HJ485" t="e">
        <f>AND(#REF!,"AAAAAF/3etk=")</f>
        <v>#REF!</v>
      </c>
      <c r="HK485" t="e">
        <f>AND(#REF!,"AAAAAF/3eto=")</f>
        <v>#REF!</v>
      </c>
      <c r="HL485" t="e">
        <f>AND(#REF!,"AAAAAF/3ets=")</f>
        <v>#REF!</v>
      </c>
      <c r="HM485" t="e">
        <f>AND(#REF!,"AAAAAF/3etw=")</f>
        <v>#REF!</v>
      </c>
      <c r="HN485" t="e">
        <f>AND(#REF!,"AAAAAF/3et0=")</f>
        <v>#REF!</v>
      </c>
      <c r="HO485" t="e">
        <f>AND(#REF!,"AAAAAF/3et4=")</f>
        <v>#REF!</v>
      </c>
      <c r="HP485" t="e">
        <f>AND(#REF!,"AAAAAF/3et8=")</f>
        <v>#REF!</v>
      </c>
      <c r="HQ485" t="e">
        <f>AND(#REF!,"AAAAAF/3euA=")</f>
        <v>#REF!</v>
      </c>
      <c r="HR485" t="e">
        <f>AND(#REF!,"AAAAAF/3euE=")</f>
        <v>#REF!</v>
      </c>
      <c r="HS485" t="e">
        <f>AND(#REF!,"AAAAAF/3euI=")</f>
        <v>#REF!</v>
      </c>
      <c r="HT485" t="e">
        <f>AND(#REF!,"AAAAAF/3euM=")</f>
        <v>#REF!</v>
      </c>
      <c r="HU485" t="e">
        <f>AND(#REF!,"AAAAAF/3euQ=")</f>
        <v>#REF!</v>
      </c>
      <c r="HV485" t="e">
        <f>AND(#REF!,"AAAAAF/3euU=")</f>
        <v>#REF!</v>
      </c>
      <c r="HW485" t="e">
        <f>AND(#REF!,"AAAAAF/3euY=")</f>
        <v>#REF!</v>
      </c>
      <c r="HX485" t="e">
        <f>IF(#REF!,"AAAAAF/3euc=",0)</f>
        <v>#REF!</v>
      </c>
      <c r="HY485" t="e">
        <f>AND(#REF!,"AAAAAF/3eug=")</f>
        <v>#REF!</v>
      </c>
      <c r="HZ485" t="e">
        <f>AND(#REF!,"AAAAAF/3euk=")</f>
        <v>#REF!</v>
      </c>
      <c r="IA485" t="e">
        <f>AND(#REF!,"AAAAAF/3euo=")</f>
        <v>#REF!</v>
      </c>
      <c r="IB485" t="e">
        <f>AND(#REF!,"AAAAAF/3eus=")</f>
        <v>#REF!</v>
      </c>
      <c r="IC485" t="e">
        <f>AND(#REF!,"AAAAAF/3euw=")</f>
        <v>#REF!</v>
      </c>
      <c r="ID485" t="e">
        <f>AND(#REF!,"AAAAAF/3eu0=")</f>
        <v>#REF!</v>
      </c>
      <c r="IE485" t="e">
        <f>AND(#REF!,"AAAAAF/3eu4=")</f>
        <v>#REF!</v>
      </c>
      <c r="IF485" t="e">
        <f>AND(#REF!,"AAAAAF/3eu8=")</f>
        <v>#REF!</v>
      </c>
      <c r="IG485" t="e">
        <f>AND(#REF!,"AAAAAF/3evA=")</f>
        <v>#REF!</v>
      </c>
      <c r="IH485" t="e">
        <f>AND(#REF!,"AAAAAF/3evE=")</f>
        <v>#REF!</v>
      </c>
      <c r="II485" t="e">
        <f>AND(#REF!,"AAAAAF/3evI=")</f>
        <v>#REF!</v>
      </c>
      <c r="IJ485" t="e">
        <f>AND(#REF!,"AAAAAF/3evM=")</f>
        <v>#REF!</v>
      </c>
      <c r="IK485" t="e">
        <f>AND(#REF!,"AAAAAF/3evQ=")</f>
        <v>#REF!</v>
      </c>
      <c r="IL485" t="e">
        <f>AND(#REF!,"AAAAAF/3evU=")</f>
        <v>#REF!</v>
      </c>
      <c r="IM485" t="e">
        <f>AND(#REF!,"AAAAAF/3evY=")</f>
        <v>#REF!</v>
      </c>
      <c r="IN485" t="e">
        <f>AND(#REF!,"AAAAAF/3evc=")</f>
        <v>#REF!</v>
      </c>
      <c r="IO485" t="e">
        <f>AND(#REF!,"AAAAAF/3evg=")</f>
        <v>#REF!</v>
      </c>
      <c r="IP485" t="e">
        <f>AND(#REF!,"AAAAAF/3evk=")</f>
        <v>#REF!</v>
      </c>
      <c r="IQ485" t="e">
        <f>AND(#REF!,"AAAAAF/3evo=")</f>
        <v>#REF!</v>
      </c>
      <c r="IR485" t="e">
        <f>AND(#REF!,"AAAAAF/3evs=")</f>
        <v>#REF!</v>
      </c>
      <c r="IS485" t="e">
        <f>AND(#REF!,"AAAAAF/3evw=")</f>
        <v>#REF!</v>
      </c>
      <c r="IT485" t="e">
        <f>AND(#REF!,"AAAAAF/3ev0=")</f>
        <v>#REF!</v>
      </c>
      <c r="IU485" t="e">
        <f>AND(#REF!,"AAAAAF/3ev4=")</f>
        <v>#REF!</v>
      </c>
      <c r="IV485" t="e">
        <f>AND(#REF!,"AAAAAF/3ev8=")</f>
        <v>#REF!</v>
      </c>
    </row>
    <row r="486" spans="1:256">
      <c r="A486" t="e">
        <f>IF(#REF!,"AAAAAHu16wA=",0)</f>
        <v>#REF!</v>
      </c>
      <c r="B486" t="e">
        <f>AND(#REF!,"AAAAAHu16wE=")</f>
        <v>#REF!</v>
      </c>
      <c r="C486" t="e">
        <f>AND(#REF!,"AAAAAHu16wI=")</f>
        <v>#REF!</v>
      </c>
      <c r="D486" t="e">
        <f>AND(#REF!,"AAAAAHu16wM=")</f>
        <v>#REF!</v>
      </c>
      <c r="E486" t="e">
        <f>AND(#REF!,"AAAAAHu16wQ=")</f>
        <v>#REF!</v>
      </c>
      <c r="F486" t="e">
        <f>AND(#REF!,"AAAAAHu16wU=")</f>
        <v>#REF!</v>
      </c>
      <c r="G486" t="e">
        <f>AND(#REF!,"AAAAAHu16wY=")</f>
        <v>#REF!</v>
      </c>
      <c r="H486" t="e">
        <f>AND(#REF!,"AAAAAHu16wc=")</f>
        <v>#REF!</v>
      </c>
      <c r="I486" t="e">
        <f>AND(#REF!,"AAAAAHu16wg=")</f>
        <v>#REF!</v>
      </c>
      <c r="J486" t="e">
        <f>AND(#REF!,"AAAAAHu16wk=")</f>
        <v>#REF!</v>
      </c>
      <c r="K486" t="e">
        <f>AND(#REF!,"AAAAAHu16wo=")</f>
        <v>#REF!</v>
      </c>
      <c r="L486" t="e">
        <f>AND(#REF!,"AAAAAHu16ws=")</f>
        <v>#REF!</v>
      </c>
      <c r="M486" t="e">
        <f>AND(#REF!,"AAAAAHu16ww=")</f>
        <v>#REF!</v>
      </c>
      <c r="N486" t="e">
        <f>AND(#REF!,"AAAAAHu16w0=")</f>
        <v>#REF!</v>
      </c>
      <c r="O486" t="e">
        <f>AND(#REF!,"AAAAAHu16w4=")</f>
        <v>#REF!</v>
      </c>
      <c r="P486" t="e">
        <f>AND(#REF!,"AAAAAHu16w8=")</f>
        <v>#REF!</v>
      </c>
      <c r="Q486" t="e">
        <f>AND(#REF!,"AAAAAHu16xA=")</f>
        <v>#REF!</v>
      </c>
      <c r="R486" t="e">
        <f>AND(#REF!,"AAAAAHu16xE=")</f>
        <v>#REF!</v>
      </c>
      <c r="S486" t="e">
        <f>AND(#REF!,"AAAAAHu16xI=")</f>
        <v>#REF!</v>
      </c>
      <c r="T486" t="e">
        <f>AND(#REF!,"AAAAAHu16xM=")</f>
        <v>#REF!</v>
      </c>
      <c r="U486" t="e">
        <f>AND(#REF!,"AAAAAHu16xQ=")</f>
        <v>#REF!</v>
      </c>
      <c r="V486" t="e">
        <f>AND(#REF!,"AAAAAHu16xU=")</f>
        <v>#REF!</v>
      </c>
      <c r="W486" t="e">
        <f>AND(#REF!,"AAAAAHu16xY=")</f>
        <v>#REF!</v>
      </c>
      <c r="X486" t="e">
        <f>AND(#REF!,"AAAAAHu16xc=")</f>
        <v>#REF!</v>
      </c>
      <c r="Y486" t="e">
        <f>AND(#REF!,"AAAAAHu16xg=")</f>
        <v>#REF!</v>
      </c>
      <c r="Z486" t="e">
        <f>IF(#REF!,"AAAAAHu16xk=",0)</f>
        <v>#REF!</v>
      </c>
      <c r="AA486" t="e">
        <f>AND(#REF!,"AAAAAHu16xo=")</f>
        <v>#REF!</v>
      </c>
      <c r="AB486" t="e">
        <f>AND(#REF!,"AAAAAHu16xs=")</f>
        <v>#REF!</v>
      </c>
      <c r="AC486" t="e">
        <f>AND(#REF!,"AAAAAHu16xw=")</f>
        <v>#REF!</v>
      </c>
      <c r="AD486" t="e">
        <f>AND(#REF!,"AAAAAHu16x0=")</f>
        <v>#REF!</v>
      </c>
      <c r="AE486" t="e">
        <f>AND(#REF!,"AAAAAHu16x4=")</f>
        <v>#REF!</v>
      </c>
      <c r="AF486" t="e">
        <f>AND(#REF!,"AAAAAHu16x8=")</f>
        <v>#REF!</v>
      </c>
      <c r="AG486" t="e">
        <f>AND(#REF!,"AAAAAHu16yA=")</f>
        <v>#REF!</v>
      </c>
      <c r="AH486" t="e">
        <f>AND(#REF!,"AAAAAHu16yE=")</f>
        <v>#REF!</v>
      </c>
      <c r="AI486" t="e">
        <f>AND(#REF!,"AAAAAHu16yI=")</f>
        <v>#REF!</v>
      </c>
      <c r="AJ486" t="e">
        <f>AND(#REF!,"AAAAAHu16yM=")</f>
        <v>#REF!</v>
      </c>
      <c r="AK486" t="e">
        <f>AND(#REF!,"AAAAAHu16yQ=")</f>
        <v>#REF!</v>
      </c>
      <c r="AL486" t="e">
        <f>AND(#REF!,"AAAAAHu16yU=")</f>
        <v>#REF!</v>
      </c>
      <c r="AM486" t="e">
        <f>AND(#REF!,"AAAAAHu16yY=")</f>
        <v>#REF!</v>
      </c>
      <c r="AN486" t="e">
        <f>AND(#REF!,"AAAAAHu16yc=")</f>
        <v>#REF!</v>
      </c>
      <c r="AO486" t="e">
        <f>AND(#REF!,"AAAAAHu16yg=")</f>
        <v>#REF!</v>
      </c>
      <c r="AP486" t="e">
        <f>AND(#REF!,"AAAAAHu16yk=")</f>
        <v>#REF!</v>
      </c>
      <c r="AQ486" t="e">
        <f>AND(#REF!,"AAAAAHu16yo=")</f>
        <v>#REF!</v>
      </c>
      <c r="AR486" t="e">
        <f>AND(#REF!,"AAAAAHu16ys=")</f>
        <v>#REF!</v>
      </c>
      <c r="AS486" t="e">
        <f>AND(#REF!,"AAAAAHu16yw=")</f>
        <v>#REF!</v>
      </c>
      <c r="AT486" t="e">
        <f>AND(#REF!,"AAAAAHu16y0=")</f>
        <v>#REF!</v>
      </c>
      <c r="AU486" t="e">
        <f>AND(#REF!,"AAAAAHu16y4=")</f>
        <v>#REF!</v>
      </c>
      <c r="AV486" t="e">
        <f>AND(#REF!,"AAAAAHu16y8=")</f>
        <v>#REF!</v>
      </c>
      <c r="AW486" t="e">
        <f>AND(#REF!,"AAAAAHu16zA=")</f>
        <v>#REF!</v>
      </c>
      <c r="AX486" t="e">
        <f>AND(#REF!,"AAAAAHu16zE=")</f>
        <v>#REF!</v>
      </c>
      <c r="AY486" t="e">
        <f>IF(#REF!,"AAAAAHu16zI=",0)</f>
        <v>#REF!</v>
      </c>
      <c r="AZ486" t="e">
        <f>AND(#REF!,"AAAAAHu16zM=")</f>
        <v>#REF!</v>
      </c>
      <c r="BA486" t="e">
        <f>AND(#REF!,"AAAAAHu16zQ=")</f>
        <v>#REF!</v>
      </c>
      <c r="BB486" t="e">
        <f>AND(#REF!,"AAAAAHu16zU=")</f>
        <v>#REF!</v>
      </c>
      <c r="BC486" t="e">
        <f>AND(#REF!,"AAAAAHu16zY=")</f>
        <v>#REF!</v>
      </c>
      <c r="BD486" t="e">
        <f>AND(#REF!,"AAAAAHu16zc=")</f>
        <v>#REF!</v>
      </c>
      <c r="BE486" t="e">
        <f>AND(#REF!,"AAAAAHu16zg=")</f>
        <v>#REF!</v>
      </c>
      <c r="BF486" t="e">
        <f>AND(#REF!,"AAAAAHu16zk=")</f>
        <v>#REF!</v>
      </c>
      <c r="BG486" t="e">
        <f>AND(#REF!,"AAAAAHu16zo=")</f>
        <v>#REF!</v>
      </c>
      <c r="BH486" t="e">
        <f>AND(#REF!,"AAAAAHu16zs=")</f>
        <v>#REF!</v>
      </c>
      <c r="BI486" t="e">
        <f>AND(#REF!,"AAAAAHu16zw=")</f>
        <v>#REF!</v>
      </c>
      <c r="BJ486" t="e">
        <f>AND(#REF!,"AAAAAHu16z0=")</f>
        <v>#REF!</v>
      </c>
      <c r="BK486" t="e">
        <f>AND(#REF!,"AAAAAHu16z4=")</f>
        <v>#REF!</v>
      </c>
      <c r="BL486" t="e">
        <f>AND(#REF!,"AAAAAHu16z8=")</f>
        <v>#REF!</v>
      </c>
      <c r="BM486" t="e">
        <f>AND(#REF!,"AAAAAHu160A=")</f>
        <v>#REF!</v>
      </c>
      <c r="BN486" t="e">
        <f>AND(#REF!,"AAAAAHu160E=")</f>
        <v>#REF!</v>
      </c>
      <c r="BO486" t="e">
        <f>AND(#REF!,"AAAAAHu160I=")</f>
        <v>#REF!</v>
      </c>
      <c r="BP486" t="e">
        <f>AND(#REF!,"AAAAAHu160M=")</f>
        <v>#REF!</v>
      </c>
      <c r="BQ486" t="e">
        <f>AND(#REF!,"AAAAAHu160Q=")</f>
        <v>#REF!</v>
      </c>
      <c r="BR486" t="e">
        <f>AND(#REF!,"AAAAAHu160U=")</f>
        <v>#REF!</v>
      </c>
      <c r="BS486" t="e">
        <f>AND(#REF!,"AAAAAHu160Y=")</f>
        <v>#REF!</v>
      </c>
      <c r="BT486" t="e">
        <f>AND(#REF!,"AAAAAHu160c=")</f>
        <v>#REF!</v>
      </c>
      <c r="BU486" t="e">
        <f>AND(#REF!,"AAAAAHu160g=")</f>
        <v>#REF!</v>
      </c>
      <c r="BV486" t="e">
        <f>AND(#REF!,"AAAAAHu160k=")</f>
        <v>#REF!</v>
      </c>
      <c r="BW486" t="e">
        <f>AND(#REF!,"AAAAAHu160o=")</f>
        <v>#REF!</v>
      </c>
      <c r="BX486" t="e">
        <f>IF(#REF!,"AAAAAHu160s=",0)</f>
        <v>#REF!</v>
      </c>
      <c r="BY486" t="e">
        <f>AND(#REF!,"AAAAAHu160w=")</f>
        <v>#REF!</v>
      </c>
      <c r="BZ486" t="e">
        <f>AND(#REF!,"AAAAAHu1600=")</f>
        <v>#REF!</v>
      </c>
      <c r="CA486" t="e">
        <f>AND(#REF!,"AAAAAHu1604=")</f>
        <v>#REF!</v>
      </c>
      <c r="CB486" t="e">
        <f>AND(#REF!,"AAAAAHu1608=")</f>
        <v>#REF!</v>
      </c>
      <c r="CC486" t="e">
        <f>AND(#REF!,"AAAAAHu161A=")</f>
        <v>#REF!</v>
      </c>
      <c r="CD486" t="e">
        <f>AND(#REF!,"AAAAAHu161E=")</f>
        <v>#REF!</v>
      </c>
      <c r="CE486" t="e">
        <f>AND(#REF!,"AAAAAHu161I=")</f>
        <v>#REF!</v>
      </c>
      <c r="CF486" t="e">
        <f>AND(#REF!,"AAAAAHu161M=")</f>
        <v>#REF!</v>
      </c>
      <c r="CG486" t="e">
        <f>AND(#REF!,"AAAAAHu161Q=")</f>
        <v>#REF!</v>
      </c>
      <c r="CH486" t="e">
        <f>AND(#REF!,"AAAAAHu161U=")</f>
        <v>#REF!</v>
      </c>
      <c r="CI486" t="e">
        <f>AND(#REF!,"AAAAAHu161Y=")</f>
        <v>#REF!</v>
      </c>
      <c r="CJ486" t="e">
        <f>AND(#REF!,"AAAAAHu161c=")</f>
        <v>#REF!</v>
      </c>
      <c r="CK486" t="e">
        <f>AND(#REF!,"AAAAAHu161g=")</f>
        <v>#REF!</v>
      </c>
      <c r="CL486" t="e">
        <f>AND(#REF!,"AAAAAHu161k=")</f>
        <v>#REF!</v>
      </c>
      <c r="CM486" t="e">
        <f>AND(#REF!,"AAAAAHu161o=")</f>
        <v>#REF!</v>
      </c>
      <c r="CN486" t="e">
        <f>AND(#REF!,"AAAAAHu161s=")</f>
        <v>#REF!</v>
      </c>
      <c r="CO486" t="e">
        <f>AND(#REF!,"AAAAAHu161w=")</f>
        <v>#REF!</v>
      </c>
      <c r="CP486" t="e">
        <f>AND(#REF!,"AAAAAHu1610=")</f>
        <v>#REF!</v>
      </c>
      <c r="CQ486" t="e">
        <f>AND(#REF!,"AAAAAHu1614=")</f>
        <v>#REF!</v>
      </c>
      <c r="CR486" t="e">
        <f>AND(#REF!,"AAAAAHu1618=")</f>
        <v>#REF!</v>
      </c>
      <c r="CS486" t="e">
        <f>AND(#REF!,"AAAAAHu162A=")</f>
        <v>#REF!</v>
      </c>
      <c r="CT486" t="e">
        <f>AND(#REF!,"AAAAAHu162E=")</f>
        <v>#REF!</v>
      </c>
      <c r="CU486" t="e">
        <f>AND(#REF!,"AAAAAHu162I=")</f>
        <v>#REF!</v>
      </c>
      <c r="CV486" t="e">
        <f>AND(#REF!,"AAAAAHu162M=")</f>
        <v>#REF!</v>
      </c>
      <c r="CW486" t="e">
        <f>IF(#REF!,"AAAAAHu162Q=",0)</f>
        <v>#REF!</v>
      </c>
      <c r="CX486" t="e">
        <f>AND(#REF!,"AAAAAHu162U=")</f>
        <v>#REF!</v>
      </c>
      <c r="CY486" t="e">
        <f>AND(#REF!,"AAAAAHu162Y=")</f>
        <v>#REF!</v>
      </c>
      <c r="CZ486" t="e">
        <f>AND(#REF!,"AAAAAHu162c=")</f>
        <v>#REF!</v>
      </c>
      <c r="DA486" t="e">
        <f>AND(#REF!,"AAAAAHu162g=")</f>
        <v>#REF!</v>
      </c>
      <c r="DB486" t="e">
        <f>AND(#REF!,"AAAAAHu162k=")</f>
        <v>#REF!</v>
      </c>
      <c r="DC486" t="e">
        <f>AND(#REF!,"AAAAAHu162o=")</f>
        <v>#REF!</v>
      </c>
      <c r="DD486" t="e">
        <f>AND(#REF!,"AAAAAHu162s=")</f>
        <v>#REF!</v>
      </c>
      <c r="DE486" t="e">
        <f>AND(#REF!,"AAAAAHu162w=")</f>
        <v>#REF!</v>
      </c>
      <c r="DF486" t="e">
        <f>AND(#REF!,"AAAAAHu1620=")</f>
        <v>#REF!</v>
      </c>
      <c r="DG486" t="e">
        <f>AND(#REF!,"AAAAAHu1624=")</f>
        <v>#REF!</v>
      </c>
      <c r="DH486" t="e">
        <f>AND(#REF!,"AAAAAHu1628=")</f>
        <v>#REF!</v>
      </c>
      <c r="DI486" t="e">
        <f>AND(#REF!,"AAAAAHu163A=")</f>
        <v>#REF!</v>
      </c>
      <c r="DJ486" t="e">
        <f>AND(#REF!,"AAAAAHu163E=")</f>
        <v>#REF!</v>
      </c>
      <c r="DK486" t="e">
        <f>AND(#REF!,"AAAAAHu163I=")</f>
        <v>#REF!</v>
      </c>
      <c r="DL486" t="e">
        <f>AND(#REF!,"AAAAAHu163M=")</f>
        <v>#REF!</v>
      </c>
      <c r="DM486" t="e">
        <f>AND(#REF!,"AAAAAHu163Q=")</f>
        <v>#REF!</v>
      </c>
      <c r="DN486" t="e">
        <f>AND(#REF!,"AAAAAHu163U=")</f>
        <v>#REF!</v>
      </c>
      <c r="DO486" t="e">
        <f>AND(#REF!,"AAAAAHu163Y=")</f>
        <v>#REF!</v>
      </c>
      <c r="DP486" t="e">
        <f>AND(#REF!,"AAAAAHu163c=")</f>
        <v>#REF!</v>
      </c>
      <c r="DQ486" t="e">
        <f>AND(#REF!,"AAAAAHu163g=")</f>
        <v>#REF!</v>
      </c>
      <c r="DR486" t="e">
        <f>AND(#REF!,"AAAAAHu163k=")</f>
        <v>#REF!</v>
      </c>
      <c r="DS486" t="e">
        <f>AND(#REF!,"AAAAAHu163o=")</f>
        <v>#REF!</v>
      </c>
      <c r="DT486" t="e">
        <f>AND(#REF!,"AAAAAHu163s=")</f>
        <v>#REF!</v>
      </c>
      <c r="DU486" t="e">
        <f>AND(#REF!,"AAAAAHu163w=")</f>
        <v>#REF!</v>
      </c>
      <c r="DV486" t="e">
        <f>IF(#REF!,"AAAAAHu1630=",0)</f>
        <v>#REF!</v>
      </c>
      <c r="DW486" t="e">
        <f>AND(#REF!,"AAAAAHu1634=")</f>
        <v>#REF!</v>
      </c>
      <c r="DX486" t="e">
        <f>AND(#REF!,"AAAAAHu1638=")</f>
        <v>#REF!</v>
      </c>
      <c r="DY486" t="e">
        <f>AND(#REF!,"AAAAAHu164A=")</f>
        <v>#REF!</v>
      </c>
      <c r="DZ486" t="e">
        <f>AND(#REF!,"AAAAAHu164E=")</f>
        <v>#REF!</v>
      </c>
      <c r="EA486" t="e">
        <f>AND(#REF!,"AAAAAHu164I=")</f>
        <v>#REF!</v>
      </c>
      <c r="EB486" t="e">
        <f>AND(#REF!,"AAAAAHu164M=")</f>
        <v>#REF!</v>
      </c>
      <c r="EC486" t="e">
        <f>AND(#REF!,"AAAAAHu164Q=")</f>
        <v>#REF!</v>
      </c>
      <c r="ED486" t="e">
        <f>AND(#REF!,"AAAAAHu164U=")</f>
        <v>#REF!</v>
      </c>
      <c r="EE486" t="e">
        <f>AND(#REF!,"AAAAAHu164Y=")</f>
        <v>#REF!</v>
      </c>
      <c r="EF486" t="e">
        <f>AND(#REF!,"AAAAAHu164c=")</f>
        <v>#REF!</v>
      </c>
      <c r="EG486" t="e">
        <f>AND(#REF!,"AAAAAHu164g=")</f>
        <v>#REF!</v>
      </c>
      <c r="EH486" t="e">
        <f>AND(#REF!,"AAAAAHu164k=")</f>
        <v>#REF!</v>
      </c>
      <c r="EI486" t="e">
        <f>AND(#REF!,"AAAAAHu164o=")</f>
        <v>#REF!</v>
      </c>
      <c r="EJ486" t="e">
        <f>AND(#REF!,"AAAAAHu164s=")</f>
        <v>#REF!</v>
      </c>
      <c r="EK486" t="e">
        <f>AND(#REF!,"AAAAAHu164w=")</f>
        <v>#REF!</v>
      </c>
      <c r="EL486" t="e">
        <f>AND(#REF!,"AAAAAHu1640=")</f>
        <v>#REF!</v>
      </c>
      <c r="EM486" t="e">
        <f>AND(#REF!,"AAAAAHu1644=")</f>
        <v>#REF!</v>
      </c>
      <c r="EN486" t="e">
        <f>AND(#REF!,"AAAAAHu1648=")</f>
        <v>#REF!</v>
      </c>
      <c r="EO486" t="e">
        <f>AND(#REF!,"AAAAAHu165A=")</f>
        <v>#REF!</v>
      </c>
      <c r="EP486" t="e">
        <f>AND(#REF!,"AAAAAHu165E=")</f>
        <v>#REF!</v>
      </c>
      <c r="EQ486" t="e">
        <f>AND(#REF!,"AAAAAHu165I=")</f>
        <v>#REF!</v>
      </c>
      <c r="ER486" t="e">
        <f>AND(#REF!,"AAAAAHu165M=")</f>
        <v>#REF!</v>
      </c>
      <c r="ES486" t="e">
        <f>AND(#REF!,"AAAAAHu165Q=")</f>
        <v>#REF!</v>
      </c>
      <c r="ET486" t="e">
        <f>AND(#REF!,"AAAAAHu165U=")</f>
        <v>#REF!</v>
      </c>
      <c r="EU486" t="e">
        <f>IF(#REF!,"AAAAAHu165Y=",0)</f>
        <v>#REF!</v>
      </c>
      <c r="EV486" t="e">
        <f>AND(#REF!,"AAAAAHu165c=")</f>
        <v>#REF!</v>
      </c>
      <c r="EW486" t="e">
        <f>AND(#REF!,"AAAAAHu165g=")</f>
        <v>#REF!</v>
      </c>
      <c r="EX486" t="e">
        <f>AND(#REF!,"AAAAAHu165k=")</f>
        <v>#REF!</v>
      </c>
      <c r="EY486" t="e">
        <f>AND(#REF!,"AAAAAHu165o=")</f>
        <v>#REF!</v>
      </c>
      <c r="EZ486" t="e">
        <f>AND(#REF!,"AAAAAHu165s=")</f>
        <v>#REF!</v>
      </c>
      <c r="FA486" t="e">
        <f>AND(#REF!,"AAAAAHu165w=")</f>
        <v>#REF!</v>
      </c>
      <c r="FB486" t="e">
        <f>AND(#REF!,"AAAAAHu1650=")</f>
        <v>#REF!</v>
      </c>
      <c r="FC486" t="e">
        <f>AND(#REF!,"AAAAAHu1654=")</f>
        <v>#REF!</v>
      </c>
      <c r="FD486" t="e">
        <f>AND(#REF!,"AAAAAHu1658=")</f>
        <v>#REF!</v>
      </c>
      <c r="FE486" t="e">
        <f>AND(#REF!,"AAAAAHu166A=")</f>
        <v>#REF!</v>
      </c>
      <c r="FF486" t="e">
        <f>AND(#REF!,"AAAAAHu166E=")</f>
        <v>#REF!</v>
      </c>
      <c r="FG486" t="e">
        <f>AND(#REF!,"AAAAAHu166I=")</f>
        <v>#REF!</v>
      </c>
      <c r="FH486" t="e">
        <f>AND(#REF!,"AAAAAHu166M=")</f>
        <v>#REF!</v>
      </c>
      <c r="FI486" t="e">
        <f>AND(#REF!,"AAAAAHu166Q=")</f>
        <v>#REF!</v>
      </c>
      <c r="FJ486" t="e">
        <f>AND(#REF!,"AAAAAHu166U=")</f>
        <v>#REF!</v>
      </c>
      <c r="FK486" t="e">
        <f>AND(#REF!,"AAAAAHu166Y=")</f>
        <v>#REF!</v>
      </c>
      <c r="FL486" t="e">
        <f>AND(#REF!,"AAAAAHu166c=")</f>
        <v>#REF!</v>
      </c>
      <c r="FM486" t="e">
        <f>AND(#REF!,"AAAAAHu166g=")</f>
        <v>#REF!</v>
      </c>
      <c r="FN486" t="e">
        <f>AND(#REF!,"AAAAAHu166k=")</f>
        <v>#REF!</v>
      </c>
      <c r="FO486" t="e">
        <f>AND(#REF!,"AAAAAHu166o=")</f>
        <v>#REF!</v>
      </c>
      <c r="FP486" t="e">
        <f>AND(#REF!,"AAAAAHu166s=")</f>
        <v>#REF!</v>
      </c>
      <c r="FQ486" t="e">
        <f>AND(#REF!,"AAAAAHu166w=")</f>
        <v>#REF!</v>
      </c>
      <c r="FR486" t="e">
        <f>AND(#REF!,"AAAAAHu1660=")</f>
        <v>#REF!</v>
      </c>
      <c r="FS486" t="e">
        <f>AND(#REF!,"AAAAAHu1664=")</f>
        <v>#REF!</v>
      </c>
      <c r="FT486" t="e">
        <f>IF(#REF!,"AAAAAHu1668=",0)</f>
        <v>#REF!</v>
      </c>
      <c r="FU486" t="e">
        <f>AND(#REF!,"AAAAAHu167A=")</f>
        <v>#REF!</v>
      </c>
      <c r="FV486" t="e">
        <f>AND(#REF!,"AAAAAHu167E=")</f>
        <v>#REF!</v>
      </c>
      <c r="FW486" t="e">
        <f>AND(#REF!,"AAAAAHu167I=")</f>
        <v>#REF!</v>
      </c>
      <c r="FX486" t="e">
        <f>AND(#REF!,"AAAAAHu167M=")</f>
        <v>#REF!</v>
      </c>
      <c r="FY486" t="e">
        <f>AND(#REF!,"AAAAAHu167Q=")</f>
        <v>#REF!</v>
      </c>
      <c r="FZ486" t="e">
        <f>AND(#REF!,"AAAAAHu167U=")</f>
        <v>#REF!</v>
      </c>
      <c r="GA486" t="e">
        <f>AND(#REF!,"AAAAAHu167Y=")</f>
        <v>#REF!</v>
      </c>
      <c r="GB486" t="e">
        <f>AND(#REF!,"AAAAAHu167c=")</f>
        <v>#REF!</v>
      </c>
      <c r="GC486" t="e">
        <f>AND(#REF!,"AAAAAHu167g=")</f>
        <v>#REF!</v>
      </c>
      <c r="GD486" t="e">
        <f>AND(#REF!,"AAAAAHu167k=")</f>
        <v>#REF!</v>
      </c>
      <c r="GE486" t="e">
        <f>AND(#REF!,"AAAAAHu167o=")</f>
        <v>#REF!</v>
      </c>
      <c r="GF486" t="e">
        <f>AND(#REF!,"AAAAAHu167s=")</f>
        <v>#REF!</v>
      </c>
      <c r="GG486" t="e">
        <f>AND(#REF!,"AAAAAHu167w=")</f>
        <v>#REF!</v>
      </c>
      <c r="GH486" t="e">
        <f>AND(#REF!,"AAAAAHu1670=")</f>
        <v>#REF!</v>
      </c>
      <c r="GI486" t="e">
        <f>AND(#REF!,"AAAAAHu1674=")</f>
        <v>#REF!</v>
      </c>
      <c r="GJ486" t="e">
        <f>AND(#REF!,"AAAAAHu1678=")</f>
        <v>#REF!</v>
      </c>
      <c r="GK486" t="e">
        <f>AND(#REF!,"AAAAAHu168A=")</f>
        <v>#REF!</v>
      </c>
      <c r="GL486" t="e">
        <f>AND(#REF!,"AAAAAHu168E=")</f>
        <v>#REF!</v>
      </c>
      <c r="GM486" t="e">
        <f>AND(#REF!,"AAAAAHu168I=")</f>
        <v>#REF!</v>
      </c>
      <c r="GN486" t="e">
        <f>AND(#REF!,"AAAAAHu168M=")</f>
        <v>#REF!</v>
      </c>
      <c r="GO486" t="e">
        <f>AND(#REF!,"AAAAAHu168Q=")</f>
        <v>#REF!</v>
      </c>
      <c r="GP486" t="e">
        <f>AND(#REF!,"AAAAAHu168U=")</f>
        <v>#REF!</v>
      </c>
      <c r="GQ486" t="e">
        <f>AND(#REF!,"AAAAAHu168Y=")</f>
        <v>#REF!</v>
      </c>
      <c r="GR486" t="e">
        <f>AND(#REF!,"AAAAAHu168c=")</f>
        <v>#REF!</v>
      </c>
      <c r="GS486" t="e">
        <f>IF(#REF!,"AAAAAHu168g=",0)</f>
        <v>#REF!</v>
      </c>
      <c r="GT486" t="e">
        <f>AND(#REF!,"AAAAAHu168k=")</f>
        <v>#REF!</v>
      </c>
      <c r="GU486" t="e">
        <f>AND(#REF!,"AAAAAHu168o=")</f>
        <v>#REF!</v>
      </c>
      <c r="GV486" t="e">
        <f>AND(#REF!,"AAAAAHu168s=")</f>
        <v>#REF!</v>
      </c>
      <c r="GW486" t="e">
        <f>AND(#REF!,"AAAAAHu168w=")</f>
        <v>#REF!</v>
      </c>
      <c r="GX486" t="e">
        <f>AND(#REF!,"AAAAAHu1680=")</f>
        <v>#REF!</v>
      </c>
      <c r="GY486" t="e">
        <f>AND(#REF!,"AAAAAHu1684=")</f>
        <v>#REF!</v>
      </c>
      <c r="GZ486" t="e">
        <f>AND(#REF!,"AAAAAHu1688=")</f>
        <v>#REF!</v>
      </c>
      <c r="HA486" t="e">
        <f>AND(#REF!,"AAAAAHu169A=")</f>
        <v>#REF!</v>
      </c>
      <c r="HB486" t="e">
        <f>AND(#REF!,"AAAAAHu169E=")</f>
        <v>#REF!</v>
      </c>
      <c r="HC486" t="e">
        <f>AND(#REF!,"AAAAAHu169I=")</f>
        <v>#REF!</v>
      </c>
      <c r="HD486" t="e">
        <f>AND(#REF!,"AAAAAHu169M=")</f>
        <v>#REF!</v>
      </c>
      <c r="HE486" t="e">
        <f>AND(#REF!,"AAAAAHu169Q=")</f>
        <v>#REF!</v>
      </c>
      <c r="HF486" t="e">
        <f>AND(#REF!,"AAAAAHu169U=")</f>
        <v>#REF!</v>
      </c>
      <c r="HG486" t="e">
        <f>AND(#REF!,"AAAAAHu169Y=")</f>
        <v>#REF!</v>
      </c>
      <c r="HH486" t="e">
        <f>AND(#REF!,"AAAAAHu169c=")</f>
        <v>#REF!</v>
      </c>
      <c r="HI486" t="e">
        <f>AND(#REF!,"AAAAAHu169g=")</f>
        <v>#REF!</v>
      </c>
      <c r="HJ486" t="e">
        <f>AND(#REF!,"AAAAAHu169k=")</f>
        <v>#REF!</v>
      </c>
      <c r="HK486" t="e">
        <f>AND(#REF!,"AAAAAHu169o=")</f>
        <v>#REF!</v>
      </c>
      <c r="HL486" t="e">
        <f>AND(#REF!,"AAAAAHu169s=")</f>
        <v>#REF!</v>
      </c>
      <c r="HM486" t="e">
        <f>AND(#REF!,"AAAAAHu169w=")</f>
        <v>#REF!</v>
      </c>
      <c r="HN486" t="e">
        <f>AND(#REF!,"AAAAAHu1690=")</f>
        <v>#REF!</v>
      </c>
      <c r="HO486" t="e">
        <f>AND(#REF!,"AAAAAHu1694=")</f>
        <v>#REF!</v>
      </c>
      <c r="HP486" t="e">
        <f>AND(#REF!,"AAAAAHu1698=")</f>
        <v>#REF!</v>
      </c>
      <c r="HQ486" t="e">
        <f>AND(#REF!,"AAAAAHu16+A=")</f>
        <v>#REF!</v>
      </c>
      <c r="HR486" t="e">
        <f>IF(#REF!,"AAAAAHu16+E=",0)</f>
        <v>#REF!</v>
      </c>
      <c r="HS486" t="e">
        <f>AND(#REF!,"AAAAAHu16+I=")</f>
        <v>#REF!</v>
      </c>
      <c r="HT486" t="e">
        <f>AND(#REF!,"AAAAAHu16+M=")</f>
        <v>#REF!</v>
      </c>
      <c r="HU486" t="e">
        <f>AND(#REF!,"AAAAAHu16+Q=")</f>
        <v>#REF!</v>
      </c>
      <c r="HV486" t="e">
        <f>AND(#REF!,"AAAAAHu16+U=")</f>
        <v>#REF!</v>
      </c>
      <c r="HW486" t="e">
        <f>AND(#REF!,"AAAAAHu16+Y=")</f>
        <v>#REF!</v>
      </c>
      <c r="HX486" t="e">
        <f>AND(#REF!,"AAAAAHu16+c=")</f>
        <v>#REF!</v>
      </c>
      <c r="HY486" t="e">
        <f>AND(#REF!,"AAAAAHu16+g=")</f>
        <v>#REF!</v>
      </c>
      <c r="HZ486" t="e">
        <f>AND(#REF!,"AAAAAHu16+k=")</f>
        <v>#REF!</v>
      </c>
      <c r="IA486" t="e">
        <f>AND(#REF!,"AAAAAHu16+o=")</f>
        <v>#REF!</v>
      </c>
      <c r="IB486" t="e">
        <f>AND(#REF!,"AAAAAHu16+s=")</f>
        <v>#REF!</v>
      </c>
      <c r="IC486" t="e">
        <f>AND(#REF!,"AAAAAHu16+w=")</f>
        <v>#REF!</v>
      </c>
      <c r="ID486" t="e">
        <f>AND(#REF!,"AAAAAHu16+0=")</f>
        <v>#REF!</v>
      </c>
      <c r="IE486" t="e">
        <f>AND(#REF!,"AAAAAHu16+4=")</f>
        <v>#REF!</v>
      </c>
      <c r="IF486" t="e">
        <f>AND(#REF!,"AAAAAHu16+8=")</f>
        <v>#REF!</v>
      </c>
      <c r="IG486" t="e">
        <f>AND(#REF!,"AAAAAHu16/A=")</f>
        <v>#REF!</v>
      </c>
      <c r="IH486" t="e">
        <f>AND(#REF!,"AAAAAHu16/E=")</f>
        <v>#REF!</v>
      </c>
      <c r="II486" t="e">
        <f>AND(#REF!,"AAAAAHu16/I=")</f>
        <v>#REF!</v>
      </c>
      <c r="IJ486" t="e">
        <f>AND(#REF!,"AAAAAHu16/M=")</f>
        <v>#REF!</v>
      </c>
      <c r="IK486" t="e">
        <f>AND(#REF!,"AAAAAHu16/Q=")</f>
        <v>#REF!</v>
      </c>
      <c r="IL486" t="e">
        <f>AND(#REF!,"AAAAAHu16/U=")</f>
        <v>#REF!</v>
      </c>
      <c r="IM486" t="e">
        <f>AND(#REF!,"AAAAAHu16/Y=")</f>
        <v>#REF!</v>
      </c>
      <c r="IN486" t="e">
        <f>AND(#REF!,"AAAAAHu16/c=")</f>
        <v>#REF!</v>
      </c>
      <c r="IO486" t="e">
        <f>AND(#REF!,"AAAAAHu16/g=")</f>
        <v>#REF!</v>
      </c>
      <c r="IP486" t="e">
        <f>AND(#REF!,"AAAAAHu16/k=")</f>
        <v>#REF!</v>
      </c>
      <c r="IQ486" t="e">
        <f>IF(#REF!,"AAAAAHu16/o=",0)</f>
        <v>#REF!</v>
      </c>
      <c r="IR486" t="e">
        <f>AND(#REF!,"AAAAAHu16/s=")</f>
        <v>#REF!</v>
      </c>
      <c r="IS486" t="e">
        <f>AND(#REF!,"AAAAAHu16/w=")</f>
        <v>#REF!</v>
      </c>
      <c r="IT486" t="e">
        <f>AND(#REF!,"AAAAAHu16/0=")</f>
        <v>#REF!</v>
      </c>
      <c r="IU486" t="e">
        <f>AND(#REF!,"AAAAAHu16/4=")</f>
        <v>#REF!</v>
      </c>
      <c r="IV486" t="e">
        <f>AND(#REF!,"AAAAAHu16/8=")</f>
        <v>#REF!</v>
      </c>
    </row>
    <row r="487" spans="1:256">
      <c r="A487" t="e">
        <f>AND(#REF!,"AAAAAHVfvwA=")</f>
        <v>#REF!</v>
      </c>
      <c r="B487" t="e">
        <f>AND(#REF!,"AAAAAHVfvwE=")</f>
        <v>#REF!</v>
      </c>
      <c r="C487" t="e">
        <f>AND(#REF!,"AAAAAHVfvwI=")</f>
        <v>#REF!</v>
      </c>
      <c r="D487" t="e">
        <f>AND(#REF!,"AAAAAHVfvwM=")</f>
        <v>#REF!</v>
      </c>
      <c r="E487" t="e">
        <f>AND(#REF!,"AAAAAHVfvwQ=")</f>
        <v>#REF!</v>
      </c>
      <c r="F487" t="e">
        <f>AND(#REF!,"AAAAAHVfvwU=")</f>
        <v>#REF!</v>
      </c>
      <c r="G487" t="e">
        <f>AND(#REF!,"AAAAAHVfvwY=")</f>
        <v>#REF!</v>
      </c>
      <c r="H487" t="e">
        <f>AND(#REF!,"AAAAAHVfvwc=")</f>
        <v>#REF!</v>
      </c>
      <c r="I487" t="e">
        <f>AND(#REF!,"AAAAAHVfvwg=")</f>
        <v>#REF!</v>
      </c>
      <c r="J487" t="e">
        <f>AND(#REF!,"AAAAAHVfvwk=")</f>
        <v>#REF!</v>
      </c>
      <c r="K487" t="e">
        <f>AND(#REF!,"AAAAAHVfvwo=")</f>
        <v>#REF!</v>
      </c>
      <c r="L487" t="e">
        <f>AND(#REF!,"AAAAAHVfvws=")</f>
        <v>#REF!</v>
      </c>
      <c r="M487" t="e">
        <f>AND(#REF!,"AAAAAHVfvww=")</f>
        <v>#REF!</v>
      </c>
      <c r="N487" t="e">
        <f>AND(#REF!,"AAAAAHVfvw0=")</f>
        <v>#REF!</v>
      </c>
      <c r="O487" t="e">
        <f>AND(#REF!,"AAAAAHVfvw4=")</f>
        <v>#REF!</v>
      </c>
      <c r="P487" t="e">
        <f>AND(#REF!,"AAAAAHVfvw8=")</f>
        <v>#REF!</v>
      </c>
      <c r="Q487" t="e">
        <f>AND(#REF!,"AAAAAHVfvxA=")</f>
        <v>#REF!</v>
      </c>
      <c r="R487" t="e">
        <f>AND(#REF!,"AAAAAHVfvxE=")</f>
        <v>#REF!</v>
      </c>
      <c r="S487" t="e">
        <f>AND(#REF!,"AAAAAHVfvxI=")</f>
        <v>#REF!</v>
      </c>
      <c r="T487" t="e">
        <f>IF(#REF!,"AAAAAHVfvxM=",0)</f>
        <v>#REF!</v>
      </c>
      <c r="U487" t="e">
        <f>AND(#REF!,"AAAAAHVfvxQ=")</f>
        <v>#REF!</v>
      </c>
      <c r="V487" t="e">
        <f>AND(#REF!,"AAAAAHVfvxU=")</f>
        <v>#REF!</v>
      </c>
      <c r="W487" t="e">
        <f>AND(#REF!,"AAAAAHVfvxY=")</f>
        <v>#REF!</v>
      </c>
      <c r="X487" t="e">
        <f>AND(#REF!,"AAAAAHVfvxc=")</f>
        <v>#REF!</v>
      </c>
      <c r="Y487" t="e">
        <f>AND(#REF!,"AAAAAHVfvxg=")</f>
        <v>#REF!</v>
      </c>
      <c r="Z487" t="e">
        <f>AND(#REF!,"AAAAAHVfvxk=")</f>
        <v>#REF!</v>
      </c>
      <c r="AA487" t="e">
        <f>AND(#REF!,"AAAAAHVfvxo=")</f>
        <v>#REF!</v>
      </c>
      <c r="AB487" t="e">
        <f>AND(#REF!,"AAAAAHVfvxs=")</f>
        <v>#REF!</v>
      </c>
      <c r="AC487" t="e">
        <f>AND(#REF!,"AAAAAHVfvxw=")</f>
        <v>#REF!</v>
      </c>
      <c r="AD487" t="e">
        <f>AND(#REF!,"AAAAAHVfvx0=")</f>
        <v>#REF!</v>
      </c>
      <c r="AE487" t="e">
        <f>AND(#REF!,"AAAAAHVfvx4=")</f>
        <v>#REF!</v>
      </c>
      <c r="AF487" t="e">
        <f>AND(#REF!,"AAAAAHVfvx8=")</f>
        <v>#REF!</v>
      </c>
      <c r="AG487" t="e">
        <f>AND(#REF!,"AAAAAHVfvyA=")</f>
        <v>#REF!</v>
      </c>
      <c r="AH487" t="e">
        <f>AND(#REF!,"AAAAAHVfvyE=")</f>
        <v>#REF!</v>
      </c>
      <c r="AI487" t="e">
        <f>AND(#REF!,"AAAAAHVfvyI=")</f>
        <v>#REF!</v>
      </c>
      <c r="AJ487" t="e">
        <f>AND(#REF!,"AAAAAHVfvyM=")</f>
        <v>#REF!</v>
      </c>
      <c r="AK487" t="e">
        <f>AND(#REF!,"AAAAAHVfvyQ=")</f>
        <v>#REF!</v>
      </c>
      <c r="AL487" t="e">
        <f>AND(#REF!,"AAAAAHVfvyU=")</f>
        <v>#REF!</v>
      </c>
      <c r="AM487" t="e">
        <f>AND(#REF!,"AAAAAHVfvyY=")</f>
        <v>#REF!</v>
      </c>
      <c r="AN487" t="e">
        <f>AND(#REF!,"AAAAAHVfvyc=")</f>
        <v>#REF!</v>
      </c>
      <c r="AO487" t="e">
        <f>AND(#REF!,"AAAAAHVfvyg=")</f>
        <v>#REF!</v>
      </c>
      <c r="AP487" t="e">
        <f>AND(#REF!,"AAAAAHVfvyk=")</f>
        <v>#REF!</v>
      </c>
      <c r="AQ487" t="e">
        <f>AND(#REF!,"AAAAAHVfvyo=")</f>
        <v>#REF!</v>
      </c>
      <c r="AR487" t="e">
        <f>AND(#REF!,"AAAAAHVfvys=")</f>
        <v>#REF!</v>
      </c>
      <c r="AS487" t="e">
        <f>IF(#REF!,"AAAAAHVfvyw=",0)</f>
        <v>#REF!</v>
      </c>
      <c r="AT487" t="e">
        <f>AND(#REF!,"AAAAAHVfvy0=")</f>
        <v>#REF!</v>
      </c>
      <c r="AU487" t="e">
        <f>AND(#REF!,"AAAAAHVfvy4=")</f>
        <v>#REF!</v>
      </c>
      <c r="AV487" t="e">
        <f>AND(#REF!,"AAAAAHVfvy8=")</f>
        <v>#REF!</v>
      </c>
      <c r="AW487" t="e">
        <f>AND(#REF!,"AAAAAHVfvzA=")</f>
        <v>#REF!</v>
      </c>
      <c r="AX487" t="e">
        <f>AND(#REF!,"AAAAAHVfvzE=")</f>
        <v>#REF!</v>
      </c>
      <c r="AY487" t="e">
        <f>AND(#REF!,"AAAAAHVfvzI=")</f>
        <v>#REF!</v>
      </c>
      <c r="AZ487" t="e">
        <f>AND(#REF!,"AAAAAHVfvzM=")</f>
        <v>#REF!</v>
      </c>
      <c r="BA487" t="e">
        <f>AND(#REF!,"AAAAAHVfvzQ=")</f>
        <v>#REF!</v>
      </c>
      <c r="BB487" t="e">
        <f>AND(#REF!,"AAAAAHVfvzU=")</f>
        <v>#REF!</v>
      </c>
      <c r="BC487" t="e">
        <f>AND(#REF!,"AAAAAHVfvzY=")</f>
        <v>#REF!</v>
      </c>
      <c r="BD487" t="e">
        <f>AND(#REF!,"AAAAAHVfvzc=")</f>
        <v>#REF!</v>
      </c>
      <c r="BE487" t="e">
        <f>AND(#REF!,"AAAAAHVfvzg=")</f>
        <v>#REF!</v>
      </c>
      <c r="BF487" t="e">
        <f>AND(#REF!,"AAAAAHVfvzk=")</f>
        <v>#REF!</v>
      </c>
      <c r="BG487" t="e">
        <f>AND(#REF!,"AAAAAHVfvzo=")</f>
        <v>#REF!</v>
      </c>
      <c r="BH487" t="e">
        <f>AND(#REF!,"AAAAAHVfvzs=")</f>
        <v>#REF!</v>
      </c>
      <c r="BI487" t="e">
        <f>AND(#REF!,"AAAAAHVfvzw=")</f>
        <v>#REF!</v>
      </c>
      <c r="BJ487" t="e">
        <f>AND(#REF!,"AAAAAHVfvz0=")</f>
        <v>#REF!</v>
      </c>
      <c r="BK487" t="e">
        <f>AND(#REF!,"AAAAAHVfvz4=")</f>
        <v>#REF!</v>
      </c>
      <c r="BL487" t="e">
        <f>AND(#REF!,"AAAAAHVfvz8=")</f>
        <v>#REF!</v>
      </c>
      <c r="BM487" t="e">
        <f>AND(#REF!,"AAAAAHVfv0A=")</f>
        <v>#REF!</v>
      </c>
      <c r="BN487" t="e">
        <f>AND(#REF!,"AAAAAHVfv0E=")</f>
        <v>#REF!</v>
      </c>
      <c r="BO487" t="e">
        <f>AND(#REF!,"AAAAAHVfv0I=")</f>
        <v>#REF!</v>
      </c>
      <c r="BP487" t="e">
        <f>AND(#REF!,"AAAAAHVfv0M=")</f>
        <v>#REF!</v>
      </c>
      <c r="BQ487" t="e">
        <f>AND(#REF!,"AAAAAHVfv0Q=")</f>
        <v>#REF!</v>
      </c>
      <c r="BR487" t="e">
        <f>IF(#REF!,"AAAAAHVfv0U=",0)</f>
        <v>#REF!</v>
      </c>
      <c r="BS487" t="e">
        <f>AND(#REF!,"AAAAAHVfv0Y=")</f>
        <v>#REF!</v>
      </c>
      <c r="BT487" t="e">
        <f>AND(#REF!,"AAAAAHVfv0c=")</f>
        <v>#REF!</v>
      </c>
      <c r="BU487" t="e">
        <f>AND(#REF!,"AAAAAHVfv0g=")</f>
        <v>#REF!</v>
      </c>
      <c r="BV487" t="e">
        <f>AND(#REF!,"AAAAAHVfv0k=")</f>
        <v>#REF!</v>
      </c>
      <c r="BW487" t="e">
        <f>AND(#REF!,"AAAAAHVfv0o=")</f>
        <v>#REF!</v>
      </c>
      <c r="BX487" t="e">
        <f>AND(#REF!,"AAAAAHVfv0s=")</f>
        <v>#REF!</v>
      </c>
      <c r="BY487" t="e">
        <f>AND(#REF!,"AAAAAHVfv0w=")</f>
        <v>#REF!</v>
      </c>
      <c r="BZ487" t="e">
        <f>AND(#REF!,"AAAAAHVfv00=")</f>
        <v>#REF!</v>
      </c>
      <c r="CA487" t="e">
        <f>AND(#REF!,"AAAAAHVfv04=")</f>
        <v>#REF!</v>
      </c>
      <c r="CB487" t="e">
        <f>AND(#REF!,"AAAAAHVfv08=")</f>
        <v>#REF!</v>
      </c>
      <c r="CC487" t="e">
        <f>AND(#REF!,"AAAAAHVfv1A=")</f>
        <v>#REF!</v>
      </c>
      <c r="CD487" t="e">
        <f>AND(#REF!,"AAAAAHVfv1E=")</f>
        <v>#REF!</v>
      </c>
      <c r="CE487" t="e">
        <f>AND(#REF!,"AAAAAHVfv1I=")</f>
        <v>#REF!</v>
      </c>
      <c r="CF487" t="e">
        <f>AND(#REF!,"AAAAAHVfv1M=")</f>
        <v>#REF!</v>
      </c>
      <c r="CG487" t="e">
        <f>AND(#REF!,"AAAAAHVfv1Q=")</f>
        <v>#REF!</v>
      </c>
      <c r="CH487" t="e">
        <f>AND(#REF!,"AAAAAHVfv1U=")</f>
        <v>#REF!</v>
      </c>
      <c r="CI487" t="e">
        <f>AND(#REF!,"AAAAAHVfv1Y=")</f>
        <v>#REF!</v>
      </c>
      <c r="CJ487" t="e">
        <f>AND(#REF!,"AAAAAHVfv1c=")</f>
        <v>#REF!</v>
      </c>
      <c r="CK487" t="e">
        <f>AND(#REF!,"AAAAAHVfv1g=")</f>
        <v>#REF!</v>
      </c>
      <c r="CL487" t="e">
        <f>AND(#REF!,"AAAAAHVfv1k=")</f>
        <v>#REF!</v>
      </c>
      <c r="CM487" t="e">
        <f>AND(#REF!,"AAAAAHVfv1o=")</f>
        <v>#REF!</v>
      </c>
      <c r="CN487" t="e">
        <f>AND(#REF!,"AAAAAHVfv1s=")</f>
        <v>#REF!</v>
      </c>
      <c r="CO487" t="e">
        <f>AND(#REF!,"AAAAAHVfv1w=")</f>
        <v>#REF!</v>
      </c>
      <c r="CP487" t="e">
        <f>AND(#REF!,"AAAAAHVfv10=")</f>
        <v>#REF!</v>
      </c>
      <c r="CQ487" t="e">
        <f>IF(#REF!,"AAAAAHVfv14=",0)</f>
        <v>#REF!</v>
      </c>
      <c r="CR487" t="e">
        <f>AND(#REF!,"AAAAAHVfv18=")</f>
        <v>#REF!</v>
      </c>
      <c r="CS487" t="e">
        <f>AND(#REF!,"AAAAAHVfv2A=")</f>
        <v>#REF!</v>
      </c>
      <c r="CT487" t="e">
        <f>AND(#REF!,"AAAAAHVfv2E=")</f>
        <v>#REF!</v>
      </c>
      <c r="CU487" t="e">
        <f>AND(#REF!,"AAAAAHVfv2I=")</f>
        <v>#REF!</v>
      </c>
      <c r="CV487" t="e">
        <f>AND(#REF!,"AAAAAHVfv2M=")</f>
        <v>#REF!</v>
      </c>
      <c r="CW487" t="e">
        <f>AND(#REF!,"AAAAAHVfv2Q=")</f>
        <v>#REF!</v>
      </c>
      <c r="CX487" t="e">
        <f>AND(#REF!,"AAAAAHVfv2U=")</f>
        <v>#REF!</v>
      </c>
      <c r="CY487" t="e">
        <f>AND(#REF!,"AAAAAHVfv2Y=")</f>
        <v>#REF!</v>
      </c>
      <c r="CZ487" t="e">
        <f>AND(#REF!,"AAAAAHVfv2c=")</f>
        <v>#REF!</v>
      </c>
      <c r="DA487" t="e">
        <f>AND(#REF!,"AAAAAHVfv2g=")</f>
        <v>#REF!</v>
      </c>
      <c r="DB487" t="e">
        <f>AND(#REF!,"AAAAAHVfv2k=")</f>
        <v>#REF!</v>
      </c>
      <c r="DC487" t="e">
        <f>AND(#REF!,"AAAAAHVfv2o=")</f>
        <v>#REF!</v>
      </c>
      <c r="DD487" t="e">
        <f>AND(#REF!,"AAAAAHVfv2s=")</f>
        <v>#REF!</v>
      </c>
      <c r="DE487" t="e">
        <f>AND(#REF!,"AAAAAHVfv2w=")</f>
        <v>#REF!</v>
      </c>
      <c r="DF487" t="e">
        <f>AND(#REF!,"AAAAAHVfv20=")</f>
        <v>#REF!</v>
      </c>
      <c r="DG487" t="e">
        <f>AND(#REF!,"AAAAAHVfv24=")</f>
        <v>#REF!</v>
      </c>
      <c r="DH487" t="e">
        <f>AND(#REF!,"AAAAAHVfv28=")</f>
        <v>#REF!</v>
      </c>
      <c r="DI487" t="e">
        <f>AND(#REF!,"AAAAAHVfv3A=")</f>
        <v>#REF!</v>
      </c>
      <c r="DJ487" t="e">
        <f>AND(#REF!,"AAAAAHVfv3E=")</f>
        <v>#REF!</v>
      </c>
      <c r="DK487" t="e">
        <f>AND(#REF!,"AAAAAHVfv3I=")</f>
        <v>#REF!</v>
      </c>
      <c r="DL487" t="e">
        <f>AND(#REF!,"AAAAAHVfv3M=")</f>
        <v>#REF!</v>
      </c>
      <c r="DM487" t="e">
        <f>AND(#REF!,"AAAAAHVfv3Q=")</f>
        <v>#REF!</v>
      </c>
      <c r="DN487" t="e">
        <f>AND(#REF!,"AAAAAHVfv3U=")</f>
        <v>#REF!</v>
      </c>
      <c r="DO487" t="e">
        <f>AND(#REF!,"AAAAAHVfv3Y=")</f>
        <v>#REF!</v>
      </c>
      <c r="DP487" t="e">
        <f>IF(#REF!,"AAAAAHVfv3c=",0)</f>
        <v>#REF!</v>
      </c>
      <c r="DQ487" t="e">
        <f>AND(#REF!,"AAAAAHVfv3g=")</f>
        <v>#REF!</v>
      </c>
      <c r="DR487" t="e">
        <f>AND(#REF!,"AAAAAHVfv3k=")</f>
        <v>#REF!</v>
      </c>
      <c r="DS487" t="e">
        <f>AND(#REF!,"AAAAAHVfv3o=")</f>
        <v>#REF!</v>
      </c>
      <c r="DT487" t="e">
        <f>AND(#REF!,"AAAAAHVfv3s=")</f>
        <v>#REF!</v>
      </c>
      <c r="DU487" t="e">
        <f>AND(#REF!,"AAAAAHVfv3w=")</f>
        <v>#REF!</v>
      </c>
      <c r="DV487" t="e">
        <f>AND(#REF!,"AAAAAHVfv30=")</f>
        <v>#REF!</v>
      </c>
      <c r="DW487" t="e">
        <f>AND(#REF!,"AAAAAHVfv34=")</f>
        <v>#REF!</v>
      </c>
      <c r="DX487" t="e">
        <f>AND(#REF!,"AAAAAHVfv38=")</f>
        <v>#REF!</v>
      </c>
      <c r="DY487" t="e">
        <f>AND(#REF!,"AAAAAHVfv4A=")</f>
        <v>#REF!</v>
      </c>
      <c r="DZ487" t="e">
        <f>AND(#REF!,"AAAAAHVfv4E=")</f>
        <v>#REF!</v>
      </c>
      <c r="EA487" t="e">
        <f>AND(#REF!,"AAAAAHVfv4I=")</f>
        <v>#REF!</v>
      </c>
      <c r="EB487" t="e">
        <f>AND(#REF!,"AAAAAHVfv4M=")</f>
        <v>#REF!</v>
      </c>
      <c r="EC487" t="e">
        <f>AND(#REF!,"AAAAAHVfv4Q=")</f>
        <v>#REF!</v>
      </c>
      <c r="ED487" t="e">
        <f>AND(#REF!,"AAAAAHVfv4U=")</f>
        <v>#REF!</v>
      </c>
      <c r="EE487" t="e">
        <f>AND(#REF!,"AAAAAHVfv4Y=")</f>
        <v>#REF!</v>
      </c>
      <c r="EF487" t="e">
        <f>AND(#REF!,"AAAAAHVfv4c=")</f>
        <v>#REF!</v>
      </c>
      <c r="EG487" t="e">
        <f>AND(#REF!,"AAAAAHVfv4g=")</f>
        <v>#REF!</v>
      </c>
      <c r="EH487" t="e">
        <f>AND(#REF!,"AAAAAHVfv4k=")</f>
        <v>#REF!</v>
      </c>
      <c r="EI487" t="e">
        <f>AND(#REF!,"AAAAAHVfv4o=")</f>
        <v>#REF!</v>
      </c>
      <c r="EJ487" t="e">
        <f>AND(#REF!,"AAAAAHVfv4s=")</f>
        <v>#REF!</v>
      </c>
      <c r="EK487" t="e">
        <f>AND(#REF!,"AAAAAHVfv4w=")</f>
        <v>#REF!</v>
      </c>
      <c r="EL487" t="e">
        <f>AND(#REF!,"AAAAAHVfv40=")</f>
        <v>#REF!</v>
      </c>
      <c r="EM487" t="e">
        <f>AND(#REF!,"AAAAAHVfv44=")</f>
        <v>#REF!</v>
      </c>
      <c r="EN487" t="e">
        <f>AND(#REF!,"AAAAAHVfv48=")</f>
        <v>#REF!</v>
      </c>
      <c r="EO487" t="e">
        <f>IF(#REF!,"AAAAAHVfv5A=",0)</f>
        <v>#REF!</v>
      </c>
      <c r="EP487" t="e">
        <f>AND(#REF!,"AAAAAHVfv5E=")</f>
        <v>#REF!</v>
      </c>
      <c r="EQ487" t="e">
        <f>AND(#REF!,"AAAAAHVfv5I=")</f>
        <v>#REF!</v>
      </c>
      <c r="ER487" t="e">
        <f>AND(#REF!,"AAAAAHVfv5M=")</f>
        <v>#REF!</v>
      </c>
      <c r="ES487" t="e">
        <f>AND(#REF!,"AAAAAHVfv5Q=")</f>
        <v>#REF!</v>
      </c>
      <c r="ET487" t="e">
        <f>AND(#REF!,"AAAAAHVfv5U=")</f>
        <v>#REF!</v>
      </c>
      <c r="EU487" t="e">
        <f>AND(#REF!,"AAAAAHVfv5Y=")</f>
        <v>#REF!</v>
      </c>
      <c r="EV487" t="e">
        <f>AND(#REF!,"AAAAAHVfv5c=")</f>
        <v>#REF!</v>
      </c>
      <c r="EW487" t="e">
        <f>AND(#REF!,"AAAAAHVfv5g=")</f>
        <v>#REF!</v>
      </c>
      <c r="EX487" t="e">
        <f>AND(#REF!,"AAAAAHVfv5k=")</f>
        <v>#REF!</v>
      </c>
      <c r="EY487" t="e">
        <f>AND(#REF!,"AAAAAHVfv5o=")</f>
        <v>#REF!</v>
      </c>
      <c r="EZ487" t="e">
        <f>AND(#REF!,"AAAAAHVfv5s=")</f>
        <v>#REF!</v>
      </c>
      <c r="FA487" t="e">
        <f>AND(#REF!,"AAAAAHVfv5w=")</f>
        <v>#REF!</v>
      </c>
      <c r="FB487" t="e">
        <f>AND(#REF!,"AAAAAHVfv50=")</f>
        <v>#REF!</v>
      </c>
      <c r="FC487" t="e">
        <f>AND(#REF!,"AAAAAHVfv54=")</f>
        <v>#REF!</v>
      </c>
      <c r="FD487" t="e">
        <f>AND(#REF!,"AAAAAHVfv58=")</f>
        <v>#REF!</v>
      </c>
      <c r="FE487" t="e">
        <f>AND(#REF!,"AAAAAHVfv6A=")</f>
        <v>#REF!</v>
      </c>
      <c r="FF487" t="e">
        <f>AND(#REF!,"AAAAAHVfv6E=")</f>
        <v>#REF!</v>
      </c>
      <c r="FG487" t="e">
        <f>AND(#REF!,"AAAAAHVfv6I=")</f>
        <v>#REF!</v>
      </c>
      <c r="FH487" t="e">
        <f>AND(#REF!,"AAAAAHVfv6M=")</f>
        <v>#REF!</v>
      </c>
      <c r="FI487" t="e">
        <f>AND(#REF!,"AAAAAHVfv6Q=")</f>
        <v>#REF!</v>
      </c>
      <c r="FJ487" t="e">
        <f>AND(#REF!,"AAAAAHVfv6U=")</f>
        <v>#REF!</v>
      </c>
      <c r="FK487" t="e">
        <f>AND(#REF!,"AAAAAHVfv6Y=")</f>
        <v>#REF!</v>
      </c>
      <c r="FL487" t="e">
        <f>AND(#REF!,"AAAAAHVfv6c=")</f>
        <v>#REF!</v>
      </c>
      <c r="FM487" t="e">
        <f>AND(#REF!,"AAAAAHVfv6g=")</f>
        <v>#REF!</v>
      </c>
      <c r="FN487" t="e">
        <f>IF(#REF!,"AAAAAHVfv6k=",0)</f>
        <v>#REF!</v>
      </c>
      <c r="FO487" t="e">
        <f>AND(#REF!,"AAAAAHVfv6o=")</f>
        <v>#REF!</v>
      </c>
      <c r="FP487" t="e">
        <f>AND(#REF!,"AAAAAHVfv6s=")</f>
        <v>#REF!</v>
      </c>
      <c r="FQ487" t="e">
        <f>AND(#REF!,"AAAAAHVfv6w=")</f>
        <v>#REF!</v>
      </c>
      <c r="FR487" t="e">
        <f>AND(#REF!,"AAAAAHVfv60=")</f>
        <v>#REF!</v>
      </c>
      <c r="FS487" t="e">
        <f>AND(#REF!,"AAAAAHVfv64=")</f>
        <v>#REF!</v>
      </c>
      <c r="FT487" t="e">
        <f>AND(#REF!,"AAAAAHVfv68=")</f>
        <v>#REF!</v>
      </c>
      <c r="FU487" t="e">
        <f>AND(#REF!,"AAAAAHVfv7A=")</f>
        <v>#REF!</v>
      </c>
      <c r="FV487" t="e">
        <f>AND(#REF!,"AAAAAHVfv7E=")</f>
        <v>#REF!</v>
      </c>
      <c r="FW487" t="e">
        <f>AND(#REF!,"AAAAAHVfv7I=")</f>
        <v>#REF!</v>
      </c>
      <c r="FX487" t="e">
        <f>AND(#REF!,"AAAAAHVfv7M=")</f>
        <v>#REF!</v>
      </c>
      <c r="FY487" t="e">
        <f>AND(#REF!,"AAAAAHVfv7Q=")</f>
        <v>#REF!</v>
      </c>
      <c r="FZ487" t="e">
        <f>AND(#REF!,"AAAAAHVfv7U=")</f>
        <v>#REF!</v>
      </c>
      <c r="GA487" t="e">
        <f>AND(#REF!,"AAAAAHVfv7Y=")</f>
        <v>#REF!</v>
      </c>
      <c r="GB487" t="e">
        <f>AND(#REF!,"AAAAAHVfv7c=")</f>
        <v>#REF!</v>
      </c>
      <c r="GC487" t="e">
        <f>AND(#REF!,"AAAAAHVfv7g=")</f>
        <v>#REF!</v>
      </c>
      <c r="GD487" t="e">
        <f>AND(#REF!,"AAAAAHVfv7k=")</f>
        <v>#REF!</v>
      </c>
      <c r="GE487" t="e">
        <f>AND(#REF!,"AAAAAHVfv7o=")</f>
        <v>#REF!</v>
      </c>
      <c r="GF487" t="e">
        <f>AND(#REF!,"AAAAAHVfv7s=")</f>
        <v>#REF!</v>
      </c>
      <c r="GG487" t="e">
        <f>AND(#REF!,"AAAAAHVfv7w=")</f>
        <v>#REF!</v>
      </c>
      <c r="GH487" t="e">
        <f>AND(#REF!,"AAAAAHVfv70=")</f>
        <v>#REF!</v>
      </c>
      <c r="GI487" t="e">
        <f>AND(#REF!,"AAAAAHVfv74=")</f>
        <v>#REF!</v>
      </c>
      <c r="GJ487" t="e">
        <f>AND(#REF!,"AAAAAHVfv78=")</f>
        <v>#REF!</v>
      </c>
      <c r="GK487" t="e">
        <f>AND(#REF!,"AAAAAHVfv8A=")</f>
        <v>#REF!</v>
      </c>
      <c r="GL487" t="e">
        <f>AND(#REF!,"AAAAAHVfv8E=")</f>
        <v>#REF!</v>
      </c>
      <c r="GM487" t="e">
        <f>IF(#REF!,"AAAAAHVfv8I=",0)</f>
        <v>#REF!</v>
      </c>
      <c r="GN487" t="e">
        <f>AND(#REF!,"AAAAAHVfv8M=")</f>
        <v>#REF!</v>
      </c>
      <c r="GO487" t="e">
        <f>AND(#REF!,"AAAAAHVfv8Q=")</f>
        <v>#REF!</v>
      </c>
      <c r="GP487" t="e">
        <f>AND(#REF!,"AAAAAHVfv8U=")</f>
        <v>#REF!</v>
      </c>
      <c r="GQ487" t="e">
        <f>AND(#REF!,"AAAAAHVfv8Y=")</f>
        <v>#REF!</v>
      </c>
      <c r="GR487" t="e">
        <f>AND(#REF!,"AAAAAHVfv8c=")</f>
        <v>#REF!</v>
      </c>
      <c r="GS487" t="e">
        <f>AND(#REF!,"AAAAAHVfv8g=")</f>
        <v>#REF!</v>
      </c>
      <c r="GT487" t="e">
        <f>AND(#REF!,"AAAAAHVfv8k=")</f>
        <v>#REF!</v>
      </c>
      <c r="GU487" t="e">
        <f>AND(#REF!,"AAAAAHVfv8o=")</f>
        <v>#REF!</v>
      </c>
      <c r="GV487" t="e">
        <f>AND(#REF!,"AAAAAHVfv8s=")</f>
        <v>#REF!</v>
      </c>
      <c r="GW487" t="e">
        <f>AND(#REF!,"AAAAAHVfv8w=")</f>
        <v>#REF!</v>
      </c>
      <c r="GX487" t="e">
        <f>AND(#REF!,"AAAAAHVfv80=")</f>
        <v>#REF!</v>
      </c>
      <c r="GY487" t="e">
        <f>AND(#REF!,"AAAAAHVfv84=")</f>
        <v>#REF!</v>
      </c>
      <c r="GZ487" t="e">
        <f>AND(#REF!,"AAAAAHVfv88=")</f>
        <v>#REF!</v>
      </c>
      <c r="HA487" t="e">
        <f>AND(#REF!,"AAAAAHVfv9A=")</f>
        <v>#REF!</v>
      </c>
      <c r="HB487" t="e">
        <f>AND(#REF!,"AAAAAHVfv9E=")</f>
        <v>#REF!</v>
      </c>
      <c r="HC487" t="e">
        <f>AND(#REF!,"AAAAAHVfv9I=")</f>
        <v>#REF!</v>
      </c>
      <c r="HD487" t="e">
        <f>AND(#REF!,"AAAAAHVfv9M=")</f>
        <v>#REF!</v>
      </c>
      <c r="HE487" t="e">
        <f>AND(#REF!,"AAAAAHVfv9Q=")</f>
        <v>#REF!</v>
      </c>
      <c r="HF487" t="e">
        <f>AND(#REF!,"AAAAAHVfv9U=")</f>
        <v>#REF!</v>
      </c>
      <c r="HG487" t="e">
        <f>AND(#REF!,"AAAAAHVfv9Y=")</f>
        <v>#REF!</v>
      </c>
      <c r="HH487" t="e">
        <f>AND(#REF!,"AAAAAHVfv9c=")</f>
        <v>#REF!</v>
      </c>
      <c r="HI487" t="e">
        <f>AND(#REF!,"AAAAAHVfv9g=")</f>
        <v>#REF!</v>
      </c>
      <c r="HJ487" t="e">
        <f>AND(#REF!,"AAAAAHVfv9k=")</f>
        <v>#REF!</v>
      </c>
      <c r="HK487" t="e">
        <f>AND(#REF!,"AAAAAHVfv9o=")</f>
        <v>#REF!</v>
      </c>
      <c r="HL487" t="e">
        <f>IF(#REF!,"AAAAAHVfv9s=",0)</f>
        <v>#REF!</v>
      </c>
      <c r="HM487" t="e">
        <f>AND(#REF!,"AAAAAHVfv9w=")</f>
        <v>#REF!</v>
      </c>
      <c r="HN487" t="e">
        <f>AND(#REF!,"AAAAAHVfv90=")</f>
        <v>#REF!</v>
      </c>
      <c r="HO487" t="e">
        <f>AND(#REF!,"AAAAAHVfv94=")</f>
        <v>#REF!</v>
      </c>
      <c r="HP487" t="e">
        <f>AND(#REF!,"AAAAAHVfv98=")</f>
        <v>#REF!</v>
      </c>
      <c r="HQ487" t="e">
        <f>AND(#REF!,"AAAAAHVfv+A=")</f>
        <v>#REF!</v>
      </c>
      <c r="HR487" t="e">
        <f>AND(#REF!,"AAAAAHVfv+E=")</f>
        <v>#REF!</v>
      </c>
      <c r="HS487" t="e">
        <f>AND(#REF!,"AAAAAHVfv+I=")</f>
        <v>#REF!</v>
      </c>
      <c r="HT487" t="e">
        <f>AND(#REF!,"AAAAAHVfv+M=")</f>
        <v>#REF!</v>
      </c>
      <c r="HU487" t="e">
        <f>AND(#REF!,"AAAAAHVfv+Q=")</f>
        <v>#REF!</v>
      </c>
      <c r="HV487" t="e">
        <f>AND(#REF!,"AAAAAHVfv+U=")</f>
        <v>#REF!</v>
      </c>
      <c r="HW487" t="e">
        <f>AND(#REF!,"AAAAAHVfv+Y=")</f>
        <v>#REF!</v>
      </c>
      <c r="HX487" t="e">
        <f>AND(#REF!,"AAAAAHVfv+c=")</f>
        <v>#REF!</v>
      </c>
      <c r="HY487" t="e">
        <f>AND(#REF!,"AAAAAHVfv+g=")</f>
        <v>#REF!</v>
      </c>
      <c r="HZ487" t="e">
        <f>AND(#REF!,"AAAAAHVfv+k=")</f>
        <v>#REF!</v>
      </c>
      <c r="IA487" t="e">
        <f>AND(#REF!,"AAAAAHVfv+o=")</f>
        <v>#REF!</v>
      </c>
      <c r="IB487" t="e">
        <f>AND(#REF!,"AAAAAHVfv+s=")</f>
        <v>#REF!</v>
      </c>
      <c r="IC487" t="e">
        <f>AND(#REF!,"AAAAAHVfv+w=")</f>
        <v>#REF!</v>
      </c>
      <c r="ID487" t="e">
        <f>AND(#REF!,"AAAAAHVfv+0=")</f>
        <v>#REF!</v>
      </c>
      <c r="IE487" t="e">
        <f>AND(#REF!,"AAAAAHVfv+4=")</f>
        <v>#REF!</v>
      </c>
      <c r="IF487" t="e">
        <f>AND(#REF!,"AAAAAHVfv+8=")</f>
        <v>#REF!</v>
      </c>
      <c r="IG487" t="e">
        <f>AND(#REF!,"AAAAAHVfv/A=")</f>
        <v>#REF!</v>
      </c>
      <c r="IH487" t="e">
        <f>AND(#REF!,"AAAAAHVfv/E=")</f>
        <v>#REF!</v>
      </c>
      <c r="II487" t="e">
        <f>AND(#REF!,"AAAAAHVfv/I=")</f>
        <v>#REF!</v>
      </c>
      <c r="IJ487" t="e">
        <f>AND(#REF!,"AAAAAHVfv/M=")</f>
        <v>#REF!</v>
      </c>
      <c r="IK487" t="e">
        <f>IF(#REF!,"AAAAAHVfv/Q=",0)</f>
        <v>#REF!</v>
      </c>
      <c r="IL487" t="e">
        <f>AND(#REF!,"AAAAAHVfv/U=")</f>
        <v>#REF!</v>
      </c>
      <c r="IM487" t="e">
        <f>AND(#REF!,"AAAAAHVfv/Y=")</f>
        <v>#REF!</v>
      </c>
      <c r="IN487" t="e">
        <f>AND(#REF!,"AAAAAHVfv/c=")</f>
        <v>#REF!</v>
      </c>
      <c r="IO487" t="e">
        <f>AND(#REF!,"AAAAAHVfv/g=")</f>
        <v>#REF!</v>
      </c>
      <c r="IP487" t="e">
        <f>AND(#REF!,"AAAAAHVfv/k=")</f>
        <v>#REF!</v>
      </c>
      <c r="IQ487" t="e">
        <f>AND(#REF!,"AAAAAHVfv/o=")</f>
        <v>#REF!</v>
      </c>
      <c r="IR487" t="e">
        <f>AND(#REF!,"AAAAAHVfv/s=")</f>
        <v>#REF!</v>
      </c>
      <c r="IS487" t="e">
        <f>AND(#REF!,"AAAAAHVfv/w=")</f>
        <v>#REF!</v>
      </c>
      <c r="IT487" t="e">
        <f>AND(#REF!,"AAAAAHVfv/0=")</f>
        <v>#REF!</v>
      </c>
      <c r="IU487" t="e">
        <f>AND(#REF!,"AAAAAHVfv/4=")</f>
        <v>#REF!</v>
      </c>
      <c r="IV487" t="e">
        <f>AND(#REF!,"AAAAAHVfv/8=")</f>
        <v>#REF!</v>
      </c>
    </row>
    <row r="488" spans="1:256">
      <c r="A488" t="e">
        <f>AND(#REF!,"AAAAAGe+5wA=")</f>
        <v>#REF!</v>
      </c>
      <c r="B488" t="e">
        <f>AND(#REF!,"AAAAAGe+5wE=")</f>
        <v>#REF!</v>
      </c>
      <c r="C488" t="e">
        <f>AND(#REF!,"AAAAAGe+5wI=")</f>
        <v>#REF!</v>
      </c>
      <c r="D488" t="e">
        <f>AND(#REF!,"AAAAAGe+5wM=")</f>
        <v>#REF!</v>
      </c>
      <c r="E488" t="e">
        <f>AND(#REF!,"AAAAAGe+5wQ=")</f>
        <v>#REF!</v>
      </c>
      <c r="F488" t="e">
        <f>AND(#REF!,"AAAAAGe+5wU=")</f>
        <v>#REF!</v>
      </c>
      <c r="G488" t="e">
        <f>AND(#REF!,"AAAAAGe+5wY=")</f>
        <v>#REF!</v>
      </c>
      <c r="H488" t="e">
        <f>AND(#REF!,"AAAAAGe+5wc=")</f>
        <v>#REF!</v>
      </c>
      <c r="I488" t="e">
        <f>AND(#REF!,"AAAAAGe+5wg=")</f>
        <v>#REF!</v>
      </c>
      <c r="J488" t="e">
        <f>AND(#REF!,"AAAAAGe+5wk=")</f>
        <v>#REF!</v>
      </c>
      <c r="K488" t="e">
        <f>AND(#REF!,"AAAAAGe+5wo=")</f>
        <v>#REF!</v>
      </c>
      <c r="L488" t="e">
        <f>AND(#REF!,"AAAAAGe+5ws=")</f>
        <v>#REF!</v>
      </c>
      <c r="M488" t="e">
        <f>AND(#REF!,"AAAAAGe+5ww=")</f>
        <v>#REF!</v>
      </c>
      <c r="N488" t="e">
        <f>IF(#REF!,"AAAAAGe+5w0=",0)</f>
        <v>#REF!</v>
      </c>
      <c r="O488" t="e">
        <f>AND(#REF!,"AAAAAGe+5w4=")</f>
        <v>#REF!</v>
      </c>
      <c r="P488" t="e">
        <f>AND(#REF!,"AAAAAGe+5w8=")</f>
        <v>#REF!</v>
      </c>
      <c r="Q488" t="e">
        <f>AND(#REF!,"AAAAAGe+5xA=")</f>
        <v>#REF!</v>
      </c>
      <c r="R488" t="e">
        <f>AND(#REF!,"AAAAAGe+5xE=")</f>
        <v>#REF!</v>
      </c>
      <c r="S488" t="e">
        <f>AND(#REF!,"AAAAAGe+5xI=")</f>
        <v>#REF!</v>
      </c>
      <c r="T488" t="e">
        <f>AND(#REF!,"AAAAAGe+5xM=")</f>
        <v>#REF!</v>
      </c>
      <c r="U488" t="e">
        <f>AND(#REF!,"AAAAAGe+5xQ=")</f>
        <v>#REF!</v>
      </c>
      <c r="V488" t="e">
        <f>AND(#REF!,"AAAAAGe+5xU=")</f>
        <v>#REF!</v>
      </c>
      <c r="W488" t="e">
        <f>AND(#REF!,"AAAAAGe+5xY=")</f>
        <v>#REF!</v>
      </c>
      <c r="X488" t="e">
        <f>AND(#REF!,"AAAAAGe+5xc=")</f>
        <v>#REF!</v>
      </c>
      <c r="Y488" t="e">
        <f>AND(#REF!,"AAAAAGe+5xg=")</f>
        <v>#REF!</v>
      </c>
      <c r="Z488" t="e">
        <f>AND(#REF!,"AAAAAGe+5xk=")</f>
        <v>#REF!</v>
      </c>
      <c r="AA488" t="e">
        <f>AND(#REF!,"AAAAAGe+5xo=")</f>
        <v>#REF!</v>
      </c>
      <c r="AB488" t="e">
        <f>AND(#REF!,"AAAAAGe+5xs=")</f>
        <v>#REF!</v>
      </c>
      <c r="AC488" t="e">
        <f>AND(#REF!,"AAAAAGe+5xw=")</f>
        <v>#REF!</v>
      </c>
      <c r="AD488" t="e">
        <f>AND(#REF!,"AAAAAGe+5x0=")</f>
        <v>#REF!</v>
      </c>
      <c r="AE488" t="e">
        <f>AND(#REF!,"AAAAAGe+5x4=")</f>
        <v>#REF!</v>
      </c>
      <c r="AF488" t="e">
        <f>AND(#REF!,"AAAAAGe+5x8=")</f>
        <v>#REF!</v>
      </c>
      <c r="AG488" t="e">
        <f>AND(#REF!,"AAAAAGe+5yA=")</f>
        <v>#REF!</v>
      </c>
      <c r="AH488" t="e">
        <f>AND(#REF!,"AAAAAGe+5yE=")</f>
        <v>#REF!</v>
      </c>
      <c r="AI488" t="e">
        <f>AND(#REF!,"AAAAAGe+5yI=")</f>
        <v>#REF!</v>
      </c>
      <c r="AJ488" t="e">
        <f>AND(#REF!,"AAAAAGe+5yM=")</f>
        <v>#REF!</v>
      </c>
      <c r="AK488" t="e">
        <f>AND(#REF!,"AAAAAGe+5yQ=")</f>
        <v>#REF!</v>
      </c>
      <c r="AL488" t="e">
        <f>AND(#REF!,"AAAAAGe+5yU=")</f>
        <v>#REF!</v>
      </c>
      <c r="AM488" t="e">
        <f>IF(#REF!,"AAAAAGe+5yY=",0)</f>
        <v>#REF!</v>
      </c>
      <c r="AN488" t="e">
        <f>AND(#REF!,"AAAAAGe+5yc=")</f>
        <v>#REF!</v>
      </c>
      <c r="AO488" t="e">
        <f>AND(#REF!,"AAAAAGe+5yg=")</f>
        <v>#REF!</v>
      </c>
      <c r="AP488" t="e">
        <f>AND(#REF!,"AAAAAGe+5yk=")</f>
        <v>#REF!</v>
      </c>
      <c r="AQ488" t="e">
        <f>AND(#REF!,"AAAAAGe+5yo=")</f>
        <v>#REF!</v>
      </c>
      <c r="AR488" t="e">
        <f>AND(#REF!,"AAAAAGe+5ys=")</f>
        <v>#REF!</v>
      </c>
      <c r="AS488" t="e">
        <f>AND(#REF!,"AAAAAGe+5yw=")</f>
        <v>#REF!</v>
      </c>
      <c r="AT488" t="e">
        <f>AND(#REF!,"AAAAAGe+5y0=")</f>
        <v>#REF!</v>
      </c>
      <c r="AU488" t="e">
        <f>AND(#REF!,"AAAAAGe+5y4=")</f>
        <v>#REF!</v>
      </c>
      <c r="AV488" t="e">
        <f>AND(#REF!,"AAAAAGe+5y8=")</f>
        <v>#REF!</v>
      </c>
      <c r="AW488" t="e">
        <f>AND(#REF!,"AAAAAGe+5zA=")</f>
        <v>#REF!</v>
      </c>
      <c r="AX488" t="e">
        <f>AND(#REF!,"AAAAAGe+5zE=")</f>
        <v>#REF!</v>
      </c>
      <c r="AY488" t="e">
        <f>AND(#REF!,"AAAAAGe+5zI=")</f>
        <v>#REF!</v>
      </c>
      <c r="AZ488" t="e">
        <f>AND(#REF!,"AAAAAGe+5zM=")</f>
        <v>#REF!</v>
      </c>
      <c r="BA488" t="e">
        <f>AND(#REF!,"AAAAAGe+5zQ=")</f>
        <v>#REF!</v>
      </c>
      <c r="BB488" t="e">
        <f>AND(#REF!,"AAAAAGe+5zU=")</f>
        <v>#REF!</v>
      </c>
      <c r="BC488" t="e">
        <f>AND(#REF!,"AAAAAGe+5zY=")</f>
        <v>#REF!</v>
      </c>
      <c r="BD488" t="e">
        <f>AND(#REF!,"AAAAAGe+5zc=")</f>
        <v>#REF!</v>
      </c>
      <c r="BE488" t="e">
        <f>AND(#REF!,"AAAAAGe+5zg=")</f>
        <v>#REF!</v>
      </c>
      <c r="BF488" t="e">
        <f>AND(#REF!,"AAAAAGe+5zk=")</f>
        <v>#REF!</v>
      </c>
      <c r="BG488" t="e">
        <f>AND(#REF!,"AAAAAGe+5zo=")</f>
        <v>#REF!</v>
      </c>
      <c r="BH488" t="e">
        <f>AND(#REF!,"AAAAAGe+5zs=")</f>
        <v>#REF!</v>
      </c>
      <c r="BI488" t="e">
        <f>AND(#REF!,"AAAAAGe+5zw=")</f>
        <v>#REF!</v>
      </c>
      <c r="BJ488" t="e">
        <f>AND(#REF!,"AAAAAGe+5z0=")</f>
        <v>#REF!</v>
      </c>
      <c r="BK488" t="e">
        <f>AND(#REF!,"AAAAAGe+5z4=")</f>
        <v>#REF!</v>
      </c>
      <c r="BL488" t="e">
        <f>IF(#REF!,"AAAAAGe+5z8=",0)</f>
        <v>#REF!</v>
      </c>
      <c r="BM488" t="e">
        <f>AND(#REF!,"AAAAAGe+50A=")</f>
        <v>#REF!</v>
      </c>
      <c r="BN488" t="e">
        <f>AND(#REF!,"AAAAAGe+50E=")</f>
        <v>#REF!</v>
      </c>
      <c r="BO488" t="e">
        <f>AND(#REF!,"AAAAAGe+50I=")</f>
        <v>#REF!</v>
      </c>
      <c r="BP488" t="e">
        <f>AND(#REF!,"AAAAAGe+50M=")</f>
        <v>#REF!</v>
      </c>
      <c r="BQ488" t="e">
        <f>AND(#REF!,"AAAAAGe+50Q=")</f>
        <v>#REF!</v>
      </c>
      <c r="BR488" t="e">
        <f>AND(#REF!,"AAAAAGe+50U=")</f>
        <v>#REF!</v>
      </c>
      <c r="BS488" t="e">
        <f>AND(#REF!,"AAAAAGe+50Y=")</f>
        <v>#REF!</v>
      </c>
      <c r="BT488" t="e">
        <f>AND(#REF!,"AAAAAGe+50c=")</f>
        <v>#REF!</v>
      </c>
      <c r="BU488" t="e">
        <f>AND(#REF!,"AAAAAGe+50g=")</f>
        <v>#REF!</v>
      </c>
      <c r="BV488" t="e">
        <f>AND(#REF!,"AAAAAGe+50k=")</f>
        <v>#REF!</v>
      </c>
      <c r="BW488" t="e">
        <f>AND(#REF!,"AAAAAGe+50o=")</f>
        <v>#REF!</v>
      </c>
      <c r="BX488" t="e">
        <f>AND(#REF!,"AAAAAGe+50s=")</f>
        <v>#REF!</v>
      </c>
      <c r="BY488" t="e">
        <f>AND(#REF!,"AAAAAGe+50w=")</f>
        <v>#REF!</v>
      </c>
      <c r="BZ488" t="e">
        <f>AND(#REF!,"AAAAAGe+500=")</f>
        <v>#REF!</v>
      </c>
      <c r="CA488" t="e">
        <f>AND(#REF!,"AAAAAGe+504=")</f>
        <v>#REF!</v>
      </c>
      <c r="CB488" t="e">
        <f>AND(#REF!,"AAAAAGe+508=")</f>
        <v>#REF!</v>
      </c>
      <c r="CC488" t="e">
        <f>AND(#REF!,"AAAAAGe+51A=")</f>
        <v>#REF!</v>
      </c>
      <c r="CD488" t="e">
        <f>AND(#REF!,"AAAAAGe+51E=")</f>
        <v>#REF!</v>
      </c>
      <c r="CE488" t="e">
        <f>AND(#REF!,"AAAAAGe+51I=")</f>
        <v>#REF!</v>
      </c>
      <c r="CF488" t="e">
        <f>AND(#REF!,"AAAAAGe+51M=")</f>
        <v>#REF!</v>
      </c>
      <c r="CG488" t="e">
        <f>AND(#REF!,"AAAAAGe+51Q=")</f>
        <v>#REF!</v>
      </c>
      <c r="CH488" t="e">
        <f>AND(#REF!,"AAAAAGe+51U=")</f>
        <v>#REF!</v>
      </c>
      <c r="CI488" t="e">
        <f>AND(#REF!,"AAAAAGe+51Y=")</f>
        <v>#REF!</v>
      </c>
      <c r="CJ488" t="e">
        <f>AND(#REF!,"AAAAAGe+51c=")</f>
        <v>#REF!</v>
      </c>
      <c r="CK488" t="e">
        <f>IF(#REF!,"AAAAAGe+51g=",0)</f>
        <v>#REF!</v>
      </c>
      <c r="CL488" t="e">
        <f>AND(#REF!,"AAAAAGe+51k=")</f>
        <v>#REF!</v>
      </c>
      <c r="CM488" t="e">
        <f>AND(#REF!,"AAAAAGe+51o=")</f>
        <v>#REF!</v>
      </c>
      <c r="CN488" t="e">
        <f>AND(#REF!,"AAAAAGe+51s=")</f>
        <v>#REF!</v>
      </c>
      <c r="CO488" t="e">
        <f>AND(#REF!,"AAAAAGe+51w=")</f>
        <v>#REF!</v>
      </c>
      <c r="CP488" t="e">
        <f>AND(#REF!,"AAAAAGe+510=")</f>
        <v>#REF!</v>
      </c>
      <c r="CQ488" t="e">
        <f>AND(#REF!,"AAAAAGe+514=")</f>
        <v>#REF!</v>
      </c>
      <c r="CR488" t="e">
        <f>AND(#REF!,"AAAAAGe+518=")</f>
        <v>#REF!</v>
      </c>
      <c r="CS488" t="e">
        <f>AND(#REF!,"AAAAAGe+52A=")</f>
        <v>#REF!</v>
      </c>
      <c r="CT488" t="e">
        <f>AND(#REF!,"AAAAAGe+52E=")</f>
        <v>#REF!</v>
      </c>
      <c r="CU488" t="e">
        <f>AND(#REF!,"AAAAAGe+52I=")</f>
        <v>#REF!</v>
      </c>
      <c r="CV488" t="e">
        <f>AND(#REF!,"AAAAAGe+52M=")</f>
        <v>#REF!</v>
      </c>
      <c r="CW488" t="e">
        <f>AND(#REF!,"AAAAAGe+52Q=")</f>
        <v>#REF!</v>
      </c>
      <c r="CX488" t="e">
        <f>AND(#REF!,"AAAAAGe+52U=")</f>
        <v>#REF!</v>
      </c>
      <c r="CY488" t="e">
        <f>AND(#REF!,"AAAAAGe+52Y=")</f>
        <v>#REF!</v>
      </c>
      <c r="CZ488" t="e">
        <f>AND(#REF!,"AAAAAGe+52c=")</f>
        <v>#REF!</v>
      </c>
      <c r="DA488" t="e">
        <f>AND(#REF!,"AAAAAGe+52g=")</f>
        <v>#REF!</v>
      </c>
      <c r="DB488" t="e">
        <f>AND(#REF!,"AAAAAGe+52k=")</f>
        <v>#REF!</v>
      </c>
      <c r="DC488" t="e">
        <f>AND(#REF!,"AAAAAGe+52o=")</f>
        <v>#REF!</v>
      </c>
      <c r="DD488" t="e">
        <f>AND(#REF!,"AAAAAGe+52s=")</f>
        <v>#REF!</v>
      </c>
      <c r="DE488" t="e">
        <f>AND(#REF!,"AAAAAGe+52w=")</f>
        <v>#REF!</v>
      </c>
      <c r="DF488" t="e">
        <f>AND(#REF!,"AAAAAGe+520=")</f>
        <v>#REF!</v>
      </c>
      <c r="DG488" t="e">
        <f>AND(#REF!,"AAAAAGe+524=")</f>
        <v>#REF!</v>
      </c>
      <c r="DH488" t="e">
        <f>AND(#REF!,"AAAAAGe+528=")</f>
        <v>#REF!</v>
      </c>
      <c r="DI488" t="e">
        <f>AND(#REF!,"AAAAAGe+53A=")</f>
        <v>#REF!</v>
      </c>
      <c r="DJ488" t="e">
        <f>IF(#REF!,"AAAAAGe+53E=",0)</f>
        <v>#REF!</v>
      </c>
      <c r="DK488" t="e">
        <f>AND(#REF!,"AAAAAGe+53I=")</f>
        <v>#REF!</v>
      </c>
      <c r="DL488" t="e">
        <f>AND(#REF!,"AAAAAGe+53M=")</f>
        <v>#REF!</v>
      </c>
      <c r="DM488" t="e">
        <f>AND(#REF!,"AAAAAGe+53Q=")</f>
        <v>#REF!</v>
      </c>
      <c r="DN488" t="e">
        <f>AND(#REF!,"AAAAAGe+53U=")</f>
        <v>#REF!</v>
      </c>
      <c r="DO488" t="e">
        <f>AND(#REF!,"AAAAAGe+53Y=")</f>
        <v>#REF!</v>
      </c>
      <c r="DP488" t="e">
        <f>AND(#REF!,"AAAAAGe+53c=")</f>
        <v>#REF!</v>
      </c>
      <c r="DQ488" t="e">
        <f>AND(#REF!,"AAAAAGe+53g=")</f>
        <v>#REF!</v>
      </c>
      <c r="DR488" t="e">
        <f>AND(#REF!,"AAAAAGe+53k=")</f>
        <v>#REF!</v>
      </c>
      <c r="DS488" t="e">
        <f>AND(#REF!,"AAAAAGe+53o=")</f>
        <v>#REF!</v>
      </c>
      <c r="DT488" t="e">
        <f>AND(#REF!,"AAAAAGe+53s=")</f>
        <v>#REF!</v>
      </c>
      <c r="DU488" t="e">
        <f>AND(#REF!,"AAAAAGe+53w=")</f>
        <v>#REF!</v>
      </c>
      <c r="DV488" t="e">
        <f>AND(#REF!,"AAAAAGe+530=")</f>
        <v>#REF!</v>
      </c>
      <c r="DW488" t="e">
        <f>AND(#REF!,"AAAAAGe+534=")</f>
        <v>#REF!</v>
      </c>
      <c r="DX488" t="e">
        <f>AND(#REF!,"AAAAAGe+538=")</f>
        <v>#REF!</v>
      </c>
      <c r="DY488" t="e">
        <f>AND(#REF!,"AAAAAGe+54A=")</f>
        <v>#REF!</v>
      </c>
      <c r="DZ488" t="e">
        <f>AND(#REF!,"AAAAAGe+54E=")</f>
        <v>#REF!</v>
      </c>
      <c r="EA488" t="e">
        <f>AND(#REF!,"AAAAAGe+54I=")</f>
        <v>#REF!</v>
      </c>
      <c r="EB488" t="e">
        <f>AND(#REF!,"AAAAAGe+54M=")</f>
        <v>#REF!</v>
      </c>
      <c r="EC488" t="e">
        <f>AND(#REF!,"AAAAAGe+54Q=")</f>
        <v>#REF!</v>
      </c>
      <c r="ED488" t="e">
        <f>AND(#REF!,"AAAAAGe+54U=")</f>
        <v>#REF!</v>
      </c>
      <c r="EE488" t="e">
        <f>AND(#REF!,"AAAAAGe+54Y=")</f>
        <v>#REF!</v>
      </c>
      <c r="EF488" t="e">
        <f>AND(#REF!,"AAAAAGe+54c=")</f>
        <v>#REF!</v>
      </c>
      <c r="EG488" t="e">
        <f>AND(#REF!,"AAAAAGe+54g=")</f>
        <v>#REF!</v>
      </c>
      <c r="EH488" t="e">
        <f>AND(#REF!,"AAAAAGe+54k=")</f>
        <v>#REF!</v>
      </c>
      <c r="EI488" t="e">
        <f>IF(#REF!,"AAAAAGe+54o=",0)</f>
        <v>#REF!</v>
      </c>
      <c r="EJ488" t="e">
        <f>AND(#REF!,"AAAAAGe+54s=")</f>
        <v>#REF!</v>
      </c>
      <c r="EK488" t="e">
        <f>AND(#REF!,"AAAAAGe+54w=")</f>
        <v>#REF!</v>
      </c>
      <c r="EL488" t="e">
        <f>AND(#REF!,"AAAAAGe+540=")</f>
        <v>#REF!</v>
      </c>
      <c r="EM488" t="e">
        <f>AND(#REF!,"AAAAAGe+544=")</f>
        <v>#REF!</v>
      </c>
      <c r="EN488" t="e">
        <f>AND(#REF!,"AAAAAGe+548=")</f>
        <v>#REF!</v>
      </c>
      <c r="EO488" t="e">
        <f>AND(#REF!,"AAAAAGe+55A=")</f>
        <v>#REF!</v>
      </c>
      <c r="EP488" t="e">
        <f>AND(#REF!,"AAAAAGe+55E=")</f>
        <v>#REF!</v>
      </c>
      <c r="EQ488" t="e">
        <f>AND(#REF!,"AAAAAGe+55I=")</f>
        <v>#REF!</v>
      </c>
      <c r="ER488" t="e">
        <f>AND(#REF!,"AAAAAGe+55M=")</f>
        <v>#REF!</v>
      </c>
      <c r="ES488" t="e">
        <f>AND(#REF!,"AAAAAGe+55Q=")</f>
        <v>#REF!</v>
      </c>
      <c r="ET488" t="e">
        <f>AND(#REF!,"AAAAAGe+55U=")</f>
        <v>#REF!</v>
      </c>
      <c r="EU488" t="e">
        <f>AND(#REF!,"AAAAAGe+55Y=")</f>
        <v>#REF!</v>
      </c>
      <c r="EV488" t="e">
        <f>AND(#REF!,"AAAAAGe+55c=")</f>
        <v>#REF!</v>
      </c>
      <c r="EW488" t="e">
        <f>AND(#REF!,"AAAAAGe+55g=")</f>
        <v>#REF!</v>
      </c>
      <c r="EX488" t="e">
        <f>AND(#REF!,"AAAAAGe+55k=")</f>
        <v>#REF!</v>
      </c>
      <c r="EY488" t="e">
        <f>AND(#REF!,"AAAAAGe+55o=")</f>
        <v>#REF!</v>
      </c>
      <c r="EZ488" t="e">
        <f>AND(#REF!,"AAAAAGe+55s=")</f>
        <v>#REF!</v>
      </c>
      <c r="FA488" t="e">
        <f>AND(#REF!,"AAAAAGe+55w=")</f>
        <v>#REF!</v>
      </c>
      <c r="FB488" t="e">
        <f>AND(#REF!,"AAAAAGe+550=")</f>
        <v>#REF!</v>
      </c>
      <c r="FC488" t="e">
        <f>AND(#REF!,"AAAAAGe+554=")</f>
        <v>#REF!</v>
      </c>
      <c r="FD488" t="e">
        <f>AND(#REF!,"AAAAAGe+558=")</f>
        <v>#REF!</v>
      </c>
      <c r="FE488" t="e">
        <f>AND(#REF!,"AAAAAGe+56A=")</f>
        <v>#REF!</v>
      </c>
      <c r="FF488" t="e">
        <f>AND(#REF!,"AAAAAGe+56E=")</f>
        <v>#REF!</v>
      </c>
      <c r="FG488" t="e">
        <f>AND(#REF!,"AAAAAGe+56I=")</f>
        <v>#REF!</v>
      </c>
      <c r="FH488" t="e">
        <f>IF(#REF!,"AAAAAGe+56M=",0)</f>
        <v>#REF!</v>
      </c>
      <c r="FI488" t="e">
        <f>AND(#REF!,"AAAAAGe+56Q=")</f>
        <v>#REF!</v>
      </c>
      <c r="FJ488" t="e">
        <f>AND(#REF!,"AAAAAGe+56U=")</f>
        <v>#REF!</v>
      </c>
      <c r="FK488" t="e">
        <f>AND(#REF!,"AAAAAGe+56Y=")</f>
        <v>#REF!</v>
      </c>
      <c r="FL488" t="e">
        <f>AND(#REF!,"AAAAAGe+56c=")</f>
        <v>#REF!</v>
      </c>
      <c r="FM488" t="e">
        <f>AND(#REF!,"AAAAAGe+56g=")</f>
        <v>#REF!</v>
      </c>
      <c r="FN488" t="e">
        <f>AND(#REF!,"AAAAAGe+56k=")</f>
        <v>#REF!</v>
      </c>
      <c r="FO488" t="e">
        <f>AND(#REF!,"AAAAAGe+56o=")</f>
        <v>#REF!</v>
      </c>
      <c r="FP488" t="e">
        <f>AND(#REF!,"AAAAAGe+56s=")</f>
        <v>#REF!</v>
      </c>
      <c r="FQ488" t="e">
        <f>AND(#REF!,"AAAAAGe+56w=")</f>
        <v>#REF!</v>
      </c>
      <c r="FR488" t="e">
        <f>AND(#REF!,"AAAAAGe+560=")</f>
        <v>#REF!</v>
      </c>
      <c r="FS488" t="e">
        <f>AND(#REF!,"AAAAAGe+564=")</f>
        <v>#REF!</v>
      </c>
      <c r="FT488" t="e">
        <f>AND(#REF!,"AAAAAGe+568=")</f>
        <v>#REF!</v>
      </c>
      <c r="FU488" t="e">
        <f>AND(#REF!,"AAAAAGe+57A=")</f>
        <v>#REF!</v>
      </c>
      <c r="FV488" t="e">
        <f>AND(#REF!,"AAAAAGe+57E=")</f>
        <v>#REF!</v>
      </c>
      <c r="FW488" t="e">
        <f>AND(#REF!,"AAAAAGe+57I=")</f>
        <v>#REF!</v>
      </c>
      <c r="FX488" t="e">
        <f>AND(#REF!,"AAAAAGe+57M=")</f>
        <v>#REF!</v>
      </c>
      <c r="FY488" t="e">
        <f>AND(#REF!,"AAAAAGe+57Q=")</f>
        <v>#REF!</v>
      </c>
      <c r="FZ488" t="e">
        <f>AND(#REF!,"AAAAAGe+57U=")</f>
        <v>#REF!</v>
      </c>
      <c r="GA488" t="e">
        <f>AND(#REF!,"AAAAAGe+57Y=")</f>
        <v>#REF!</v>
      </c>
      <c r="GB488" t="e">
        <f>AND(#REF!,"AAAAAGe+57c=")</f>
        <v>#REF!</v>
      </c>
      <c r="GC488" t="e">
        <f>AND(#REF!,"AAAAAGe+57g=")</f>
        <v>#REF!</v>
      </c>
      <c r="GD488" t="e">
        <f>AND(#REF!,"AAAAAGe+57k=")</f>
        <v>#REF!</v>
      </c>
      <c r="GE488" t="e">
        <f>AND(#REF!,"AAAAAGe+57o=")</f>
        <v>#REF!</v>
      </c>
      <c r="GF488" t="e">
        <f>AND(#REF!,"AAAAAGe+57s=")</f>
        <v>#REF!</v>
      </c>
      <c r="GG488" t="e">
        <f>IF(#REF!,"AAAAAGe+57w=",0)</f>
        <v>#REF!</v>
      </c>
      <c r="GH488" t="e">
        <f>AND(#REF!,"AAAAAGe+570=")</f>
        <v>#REF!</v>
      </c>
      <c r="GI488" t="e">
        <f>AND(#REF!,"AAAAAGe+574=")</f>
        <v>#REF!</v>
      </c>
      <c r="GJ488" t="e">
        <f>AND(#REF!,"AAAAAGe+578=")</f>
        <v>#REF!</v>
      </c>
      <c r="GK488" t="e">
        <f>AND(#REF!,"AAAAAGe+58A=")</f>
        <v>#REF!</v>
      </c>
      <c r="GL488" t="e">
        <f>AND(#REF!,"AAAAAGe+58E=")</f>
        <v>#REF!</v>
      </c>
      <c r="GM488" t="e">
        <f>AND(#REF!,"AAAAAGe+58I=")</f>
        <v>#REF!</v>
      </c>
      <c r="GN488" t="e">
        <f>AND(#REF!,"AAAAAGe+58M=")</f>
        <v>#REF!</v>
      </c>
      <c r="GO488" t="e">
        <f>AND(#REF!,"AAAAAGe+58Q=")</f>
        <v>#REF!</v>
      </c>
      <c r="GP488" t="e">
        <f>AND(#REF!,"AAAAAGe+58U=")</f>
        <v>#REF!</v>
      </c>
      <c r="GQ488" t="e">
        <f>AND(#REF!,"AAAAAGe+58Y=")</f>
        <v>#REF!</v>
      </c>
      <c r="GR488" t="e">
        <f>AND(#REF!,"AAAAAGe+58c=")</f>
        <v>#REF!</v>
      </c>
      <c r="GS488" t="e">
        <f>AND(#REF!,"AAAAAGe+58g=")</f>
        <v>#REF!</v>
      </c>
      <c r="GT488" t="e">
        <f>AND(#REF!,"AAAAAGe+58k=")</f>
        <v>#REF!</v>
      </c>
      <c r="GU488" t="e">
        <f>AND(#REF!,"AAAAAGe+58o=")</f>
        <v>#REF!</v>
      </c>
      <c r="GV488" t="e">
        <f>AND(#REF!,"AAAAAGe+58s=")</f>
        <v>#REF!</v>
      </c>
      <c r="GW488" t="e">
        <f>AND(#REF!,"AAAAAGe+58w=")</f>
        <v>#REF!</v>
      </c>
      <c r="GX488" t="e">
        <f>AND(#REF!,"AAAAAGe+580=")</f>
        <v>#REF!</v>
      </c>
      <c r="GY488" t="e">
        <f>AND(#REF!,"AAAAAGe+584=")</f>
        <v>#REF!</v>
      </c>
      <c r="GZ488" t="e">
        <f>AND(#REF!,"AAAAAGe+588=")</f>
        <v>#REF!</v>
      </c>
      <c r="HA488" t="e">
        <f>AND(#REF!,"AAAAAGe+59A=")</f>
        <v>#REF!</v>
      </c>
      <c r="HB488" t="e">
        <f>AND(#REF!,"AAAAAGe+59E=")</f>
        <v>#REF!</v>
      </c>
      <c r="HC488" t="e">
        <f>AND(#REF!,"AAAAAGe+59I=")</f>
        <v>#REF!</v>
      </c>
      <c r="HD488" t="e">
        <f>AND(#REF!,"AAAAAGe+59M=")</f>
        <v>#REF!</v>
      </c>
      <c r="HE488" t="e">
        <f>AND(#REF!,"AAAAAGe+59Q=")</f>
        <v>#REF!</v>
      </c>
      <c r="HF488" t="e">
        <f>IF(#REF!,"AAAAAGe+59U=",0)</f>
        <v>#REF!</v>
      </c>
      <c r="HG488" t="e">
        <f>AND(#REF!,"AAAAAGe+59Y=")</f>
        <v>#REF!</v>
      </c>
      <c r="HH488" t="e">
        <f>AND(#REF!,"AAAAAGe+59c=")</f>
        <v>#REF!</v>
      </c>
      <c r="HI488" t="e">
        <f>AND(#REF!,"AAAAAGe+59g=")</f>
        <v>#REF!</v>
      </c>
      <c r="HJ488" t="e">
        <f>AND(#REF!,"AAAAAGe+59k=")</f>
        <v>#REF!</v>
      </c>
      <c r="HK488" t="e">
        <f>AND(#REF!,"AAAAAGe+59o=")</f>
        <v>#REF!</v>
      </c>
      <c r="HL488" t="e">
        <f>AND(#REF!,"AAAAAGe+59s=")</f>
        <v>#REF!</v>
      </c>
      <c r="HM488" t="e">
        <f>AND(#REF!,"AAAAAGe+59w=")</f>
        <v>#REF!</v>
      </c>
      <c r="HN488" t="e">
        <f>AND(#REF!,"AAAAAGe+590=")</f>
        <v>#REF!</v>
      </c>
      <c r="HO488" t="e">
        <f>AND(#REF!,"AAAAAGe+594=")</f>
        <v>#REF!</v>
      </c>
      <c r="HP488" t="e">
        <f>AND(#REF!,"AAAAAGe+598=")</f>
        <v>#REF!</v>
      </c>
      <c r="HQ488" t="e">
        <f>AND(#REF!,"AAAAAGe+5+A=")</f>
        <v>#REF!</v>
      </c>
      <c r="HR488" t="e">
        <f>AND(#REF!,"AAAAAGe+5+E=")</f>
        <v>#REF!</v>
      </c>
      <c r="HS488" t="e">
        <f>AND(#REF!,"AAAAAGe+5+I=")</f>
        <v>#REF!</v>
      </c>
      <c r="HT488" t="e">
        <f>AND(#REF!,"AAAAAGe+5+M=")</f>
        <v>#REF!</v>
      </c>
      <c r="HU488" t="e">
        <f>AND(#REF!,"AAAAAGe+5+Q=")</f>
        <v>#REF!</v>
      </c>
      <c r="HV488" t="e">
        <f>AND(#REF!,"AAAAAGe+5+U=")</f>
        <v>#REF!</v>
      </c>
      <c r="HW488" t="e">
        <f>AND(#REF!,"AAAAAGe+5+Y=")</f>
        <v>#REF!</v>
      </c>
      <c r="HX488" t="e">
        <f>AND(#REF!,"AAAAAGe+5+c=")</f>
        <v>#REF!</v>
      </c>
      <c r="HY488" t="e">
        <f>AND(#REF!,"AAAAAGe+5+g=")</f>
        <v>#REF!</v>
      </c>
      <c r="HZ488" t="e">
        <f>AND(#REF!,"AAAAAGe+5+k=")</f>
        <v>#REF!</v>
      </c>
      <c r="IA488" t="e">
        <f>AND(#REF!,"AAAAAGe+5+o=")</f>
        <v>#REF!</v>
      </c>
      <c r="IB488" t="e">
        <f>AND(#REF!,"AAAAAGe+5+s=")</f>
        <v>#REF!</v>
      </c>
      <c r="IC488" t="e">
        <f>AND(#REF!,"AAAAAGe+5+w=")</f>
        <v>#REF!</v>
      </c>
      <c r="ID488" t="e">
        <f>AND(#REF!,"AAAAAGe+5+0=")</f>
        <v>#REF!</v>
      </c>
      <c r="IE488" t="e">
        <f>IF(#REF!,"AAAAAGe+5+4=",0)</f>
        <v>#REF!</v>
      </c>
      <c r="IF488" t="e">
        <f>AND(#REF!,"AAAAAGe+5+8=")</f>
        <v>#REF!</v>
      </c>
      <c r="IG488" t="e">
        <f>AND(#REF!,"AAAAAGe+5/A=")</f>
        <v>#REF!</v>
      </c>
      <c r="IH488" t="e">
        <f>AND(#REF!,"AAAAAGe+5/E=")</f>
        <v>#REF!</v>
      </c>
      <c r="II488" t="e">
        <f>AND(#REF!,"AAAAAGe+5/I=")</f>
        <v>#REF!</v>
      </c>
      <c r="IJ488" t="e">
        <f>AND(#REF!,"AAAAAGe+5/M=")</f>
        <v>#REF!</v>
      </c>
      <c r="IK488" t="e">
        <f>AND(#REF!,"AAAAAGe+5/Q=")</f>
        <v>#REF!</v>
      </c>
      <c r="IL488" t="e">
        <f>AND(#REF!,"AAAAAGe+5/U=")</f>
        <v>#REF!</v>
      </c>
      <c r="IM488" t="e">
        <f>AND(#REF!,"AAAAAGe+5/Y=")</f>
        <v>#REF!</v>
      </c>
      <c r="IN488" t="e">
        <f>AND(#REF!,"AAAAAGe+5/c=")</f>
        <v>#REF!</v>
      </c>
      <c r="IO488" t="e">
        <f>AND(#REF!,"AAAAAGe+5/g=")</f>
        <v>#REF!</v>
      </c>
      <c r="IP488" t="e">
        <f>AND(#REF!,"AAAAAGe+5/k=")</f>
        <v>#REF!</v>
      </c>
      <c r="IQ488" t="e">
        <f>AND(#REF!,"AAAAAGe+5/o=")</f>
        <v>#REF!</v>
      </c>
      <c r="IR488" t="e">
        <f>AND(#REF!,"AAAAAGe+5/s=")</f>
        <v>#REF!</v>
      </c>
      <c r="IS488" t="e">
        <f>AND(#REF!,"AAAAAGe+5/w=")</f>
        <v>#REF!</v>
      </c>
      <c r="IT488" t="e">
        <f>AND(#REF!,"AAAAAGe+5/0=")</f>
        <v>#REF!</v>
      </c>
      <c r="IU488" t="e">
        <f>AND(#REF!,"AAAAAGe+5/4=")</f>
        <v>#REF!</v>
      </c>
      <c r="IV488" t="e">
        <f>AND(#REF!,"AAAAAGe+5/8=")</f>
        <v>#REF!</v>
      </c>
    </row>
    <row r="489" spans="1:256">
      <c r="A489" t="e">
        <f>AND(#REF!,"AAAAAGS9nwA=")</f>
        <v>#REF!</v>
      </c>
      <c r="B489" t="e">
        <f>AND(#REF!,"AAAAAGS9nwE=")</f>
        <v>#REF!</v>
      </c>
      <c r="C489" t="e">
        <f>AND(#REF!,"AAAAAGS9nwI=")</f>
        <v>#REF!</v>
      </c>
      <c r="D489" t="e">
        <f>AND(#REF!,"AAAAAGS9nwM=")</f>
        <v>#REF!</v>
      </c>
      <c r="E489" t="e">
        <f>AND(#REF!,"AAAAAGS9nwQ=")</f>
        <v>#REF!</v>
      </c>
      <c r="F489" t="e">
        <f>AND(#REF!,"AAAAAGS9nwU=")</f>
        <v>#REF!</v>
      </c>
      <c r="G489" t="e">
        <f>AND(#REF!,"AAAAAGS9nwY=")</f>
        <v>#REF!</v>
      </c>
      <c r="H489" t="e">
        <f>IF(#REF!,"AAAAAGS9nwc=",0)</f>
        <v>#REF!</v>
      </c>
      <c r="I489" t="e">
        <f>AND(#REF!,"AAAAAGS9nwg=")</f>
        <v>#REF!</v>
      </c>
      <c r="J489" t="e">
        <f>AND(#REF!,"AAAAAGS9nwk=")</f>
        <v>#REF!</v>
      </c>
      <c r="K489" t="e">
        <f>AND(#REF!,"AAAAAGS9nwo=")</f>
        <v>#REF!</v>
      </c>
      <c r="L489" t="e">
        <f>AND(#REF!,"AAAAAGS9nws=")</f>
        <v>#REF!</v>
      </c>
      <c r="M489" t="e">
        <f>AND(#REF!,"AAAAAGS9nww=")</f>
        <v>#REF!</v>
      </c>
      <c r="N489" t="e">
        <f>AND(#REF!,"AAAAAGS9nw0=")</f>
        <v>#REF!</v>
      </c>
      <c r="O489" t="e">
        <f>AND(#REF!,"AAAAAGS9nw4=")</f>
        <v>#REF!</v>
      </c>
      <c r="P489" t="e">
        <f>AND(#REF!,"AAAAAGS9nw8=")</f>
        <v>#REF!</v>
      </c>
      <c r="Q489" t="e">
        <f>AND(#REF!,"AAAAAGS9nxA=")</f>
        <v>#REF!</v>
      </c>
      <c r="R489" t="e">
        <f>AND(#REF!,"AAAAAGS9nxE=")</f>
        <v>#REF!</v>
      </c>
      <c r="S489" t="e">
        <f>AND(#REF!,"AAAAAGS9nxI=")</f>
        <v>#REF!</v>
      </c>
      <c r="T489" t="e">
        <f>AND(#REF!,"AAAAAGS9nxM=")</f>
        <v>#REF!</v>
      </c>
      <c r="U489" t="e">
        <f>AND(#REF!,"AAAAAGS9nxQ=")</f>
        <v>#REF!</v>
      </c>
      <c r="V489" t="e">
        <f>AND(#REF!,"AAAAAGS9nxU=")</f>
        <v>#REF!</v>
      </c>
      <c r="W489" t="e">
        <f>AND(#REF!,"AAAAAGS9nxY=")</f>
        <v>#REF!</v>
      </c>
      <c r="X489" t="e">
        <f>AND(#REF!,"AAAAAGS9nxc=")</f>
        <v>#REF!</v>
      </c>
      <c r="Y489" t="e">
        <f>AND(#REF!,"AAAAAGS9nxg=")</f>
        <v>#REF!</v>
      </c>
      <c r="Z489" t="e">
        <f>AND(#REF!,"AAAAAGS9nxk=")</f>
        <v>#REF!</v>
      </c>
      <c r="AA489" t="e">
        <f>AND(#REF!,"AAAAAGS9nxo=")</f>
        <v>#REF!</v>
      </c>
      <c r="AB489" t="e">
        <f>AND(#REF!,"AAAAAGS9nxs=")</f>
        <v>#REF!</v>
      </c>
      <c r="AC489" t="e">
        <f>AND(#REF!,"AAAAAGS9nxw=")</f>
        <v>#REF!</v>
      </c>
      <c r="AD489" t="e">
        <f>AND(#REF!,"AAAAAGS9nx0=")</f>
        <v>#REF!</v>
      </c>
      <c r="AE489" t="e">
        <f>AND(#REF!,"AAAAAGS9nx4=")</f>
        <v>#REF!</v>
      </c>
      <c r="AF489" t="e">
        <f>AND(#REF!,"AAAAAGS9nx8=")</f>
        <v>#REF!</v>
      </c>
      <c r="AG489" t="e">
        <f>IF(#REF!,"AAAAAGS9nyA=",0)</f>
        <v>#REF!</v>
      </c>
      <c r="AH489" t="e">
        <f>AND(#REF!,"AAAAAGS9nyE=")</f>
        <v>#REF!</v>
      </c>
      <c r="AI489" t="e">
        <f>AND(#REF!,"AAAAAGS9nyI=")</f>
        <v>#REF!</v>
      </c>
      <c r="AJ489" t="e">
        <f>AND(#REF!,"AAAAAGS9nyM=")</f>
        <v>#REF!</v>
      </c>
      <c r="AK489" t="e">
        <f>AND(#REF!,"AAAAAGS9nyQ=")</f>
        <v>#REF!</v>
      </c>
      <c r="AL489" t="e">
        <f>AND(#REF!,"AAAAAGS9nyU=")</f>
        <v>#REF!</v>
      </c>
      <c r="AM489" t="e">
        <f>AND(#REF!,"AAAAAGS9nyY=")</f>
        <v>#REF!</v>
      </c>
      <c r="AN489" t="e">
        <f>AND(#REF!,"AAAAAGS9nyc=")</f>
        <v>#REF!</v>
      </c>
      <c r="AO489" t="e">
        <f>AND(#REF!,"AAAAAGS9nyg=")</f>
        <v>#REF!</v>
      </c>
      <c r="AP489" t="e">
        <f>AND(#REF!,"AAAAAGS9nyk=")</f>
        <v>#REF!</v>
      </c>
      <c r="AQ489" t="e">
        <f>AND(#REF!,"AAAAAGS9nyo=")</f>
        <v>#REF!</v>
      </c>
      <c r="AR489" t="e">
        <f>AND(#REF!,"AAAAAGS9nys=")</f>
        <v>#REF!</v>
      </c>
      <c r="AS489" t="e">
        <f>AND(#REF!,"AAAAAGS9nyw=")</f>
        <v>#REF!</v>
      </c>
      <c r="AT489" t="e">
        <f>AND(#REF!,"AAAAAGS9ny0=")</f>
        <v>#REF!</v>
      </c>
      <c r="AU489" t="e">
        <f>AND(#REF!,"AAAAAGS9ny4=")</f>
        <v>#REF!</v>
      </c>
      <c r="AV489" t="e">
        <f>AND(#REF!,"AAAAAGS9ny8=")</f>
        <v>#REF!</v>
      </c>
      <c r="AW489" t="e">
        <f>AND(#REF!,"AAAAAGS9nzA=")</f>
        <v>#REF!</v>
      </c>
      <c r="AX489" t="e">
        <f>AND(#REF!,"AAAAAGS9nzE=")</f>
        <v>#REF!</v>
      </c>
      <c r="AY489" t="e">
        <f>AND(#REF!,"AAAAAGS9nzI=")</f>
        <v>#REF!</v>
      </c>
      <c r="AZ489" t="e">
        <f>AND(#REF!,"AAAAAGS9nzM=")</f>
        <v>#REF!</v>
      </c>
      <c r="BA489" t="e">
        <f>AND(#REF!,"AAAAAGS9nzQ=")</f>
        <v>#REF!</v>
      </c>
      <c r="BB489" t="e">
        <f>AND(#REF!,"AAAAAGS9nzU=")</f>
        <v>#REF!</v>
      </c>
      <c r="BC489" t="e">
        <f>AND(#REF!,"AAAAAGS9nzY=")</f>
        <v>#REF!</v>
      </c>
      <c r="BD489" t="e">
        <f>AND(#REF!,"AAAAAGS9nzc=")</f>
        <v>#REF!</v>
      </c>
      <c r="BE489" t="e">
        <f>AND(#REF!,"AAAAAGS9nzg=")</f>
        <v>#REF!</v>
      </c>
      <c r="BF489" t="e">
        <f>IF(#REF!,"AAAAAGS9nzk=",0)</f>
        <v>#REF!</v>
      </c>
      <c r="BG489" t="e">
        <f>AND(#REF!,"AAAAAGS9nzo=")</f>
        <v>#REF!</v>
      </c>
      <c r="BH489" t="e">
        <f>AND(#REF!,"AAAAAGS9nzs=")</f>
        <v>#REF!</v>
      </c>
      <c r="BI489" t="e">
        <f>AND(#REF!,"AAAAAGS9nzw=")</f>
        <v>#REF!</v>
      </c>
      <c r="BJ489" t="e">
        <f>AND(#REF!,"AAAAAGS9nz0=")</f>
        <v>#REF!</v>
      </c>
      <c r="BK489" t="e">
        <f>AND(#REF!,"AAAAAGS9nz4=")</f>
        <v>#REF!</v>
      </c>
      <c r="BL489" t="e">
        <f>AND(#REF!,"AAAAAGS9nz8=")</f>
        <v>#REF!</v>
      </c>
      <c r="BM489" t="e">
        <f>AND(#REF!,"AAAAAGS9n0A=")</f>
        <v>#REF!</v>
      </c>
      <c r="BN489" t="e">
        <f>AND(#REF!,"AAAAAGS9n0E=")</f>
        <v>#REF!</v>
      </c>
      <c r="BO489" t="e">
        <f>AND(#REF!,"AAAAAGS9n0I=")</f>
        <v>#REF!</v>
      </c>
      <c r="BP489" t="e">
        <f>AND(#REF!,"AAAAAGS9n0M=")</f>
        <v>#REF!</v>
      </c>
      <c r="BQ489" t="e">
        <f>AND(#REF!,"AAAAAGS9n0Q=")</f>
        <v>#REF!</v>
      </c>
      <c r="BR489" t="e">
        <f>AND(#REF!,"AAAAAGS9n0U=")</f>
        <v>#REF!</v>
      </c>
      <c r="BS489" t="e">
        <f>AND(#REF!,"AAAAAGS9n0Y=")</f>
        <v>#REF!</v>
      </c>
      <c r="BT489" t="e">
        <f>AND(#REF!,"AAAAAGS9n0c=")</f>
        <v>#REF!</v>
      </c>
      <c r="BU489" t="e">
        <f>AND(#REF!,"AAAAAGS9n0g=")</f>
        <v>#REF!</v>
      </c>
      <c r="BV489" t="e">
        <f>AND(#REF!,"AAAAAGS9n0k=")</f>
        <v>#REF!</v>
      </c>
      <c r="BW489" t="e">
        <f>AND(#REF!,"AAAAAGS9n0o=")</f>
        <v>#REF!</v>
      </c>
      <c r="BX489" t="e">
        <f>AND(#REF!,"AAAAAGS9n0s=")</f>
        <v>#REF!</v>
      </c>
      <c r="BY489" t="e">
        <f>AND(#REF!,"AAAAAGS9n0w=")</f>
        <v>#REF!</v>
      </c>
      <c r="BZ489" t="e">
        <f>AND(#REF!,"AAAAAGS9n00=")</f>
        <v>#REF!</v>
      </c>
      <c r="CA489" t="e">
        <f>AND(#REF!,"AAAAAGS9n04=")</f>
        <v>#REF!</v>
      </c>
      <c r="CB489" t="e">
        <f>AND(#REF!,"AAAAAGS9n08=")</f>
        <v>#REF!</v>
      </c>
      <c r="CC489" t="e">
        <f>AND(#REF!,"AAAAAGS9n1A=")</f>
        <v>#REF!</v>
      </c>
      <c r="CD489" t="e">
        <f>AND(#REF!,"AAAAAGS9n1E=")</f>
        <v>#REF!</v>
      </c>
      <c r="CE489" t="e">
        <f>IF(#REF!,"AAAAAGS9n1I=",0)</f>
        <v>#REF!</v>
      </c>
      <c r="CF489" t="e">
        <f>AND(#REF!,"AAAAAGS9n1M=")</f>
        <v>#REF!</v>
      </c>
      <c r="CG489" t="e">
        <f>AND(#REF!,"AAAAAGS9n1Q=")</f>
        <v>#REF!</v>
      </c>
      <c r="CH489" t="e">
        <f>AND(#REF!,"AAAAAGS9n1U=")</f>
        <v>#REF!</v>
      </c>
      <c r="CI489" t="e">
        <f>AND(#REF!,"AAAAAGS9n1Y=")</f>
        <v>#REF!</v>
      </c>
      <c r="CJ489" t="e">
        <f>AND(#REF!,"AAAAAGS9n1c=")</f>
        <v>#REF!</v>
      </c>
      <c r="CK489" t="e">
        <f>AND(#REF!,"AAAAAGS9n1g=")</f>
        <v>#REF!</v>
      </c>
      <c r="CL489" t="e">
        <f>AND(#REF!,"AAAAAGS9n1k=")</f>
        <v>#REF!</v>
      </c>
      <c r="CM489" t="e">
        <f>AND(#REF!,"AAAAAGS9n1o=")</f>
        <v>#REF!</v>
      </c>
      <c r="CN489" t="e">
        <f>AND(#REF!,"AAAAAGS9n1s=")</f>
        <v>#REF!</v>
      </c>
      <c r="CO489" t="e">
        <f>AND(#REF!,"AAAAAGS9n1w=")</f>
        <v>#REF!</v>
      </c>
      <c r="CP489" t="e">
        <f>AND(#REF!,"AAAAAGS9n10=")</f>
        <v>#REF!</v>
      </c>
      <c r="CQ489" t="e">
        <f>AND(#REF!,"AAAAAGS9n14=")</f>
        <v>#REF!</v>
      </c>
      <c r="CR489" t="e">
        <f>AND(#REF!,"AAAAAGS9n18=")</f>
        <v>#REF!</v>
      </c>
      <c r="CS489" t="e">
        <f>AND(#REF!,"AAAAAGS9n2A=")</f>
        <v>#REF!</v>
      </c>
      <c r="CT489" t="e">
        <f>AND(#REF!,"AAAAAGS9n2E=")</f>
        <v>#REF!</v>
      </c>
      <c r="CU489" t="e">
        <f>AND(#REF!,"AAAAAGS9n2I=")</f>
        <v>#REF!</v>
      </c>
      <c r="CV489" t="e">
        <f>AND(#REF!,"AAAAAGS9n2M=")</f>
        <v>#REF!</v>
      </c>
      <c r="CW489" t="e">
        <f>AND(#REF!,"AAAAAGS9n2Q=")</f>
        <v>#REF!</v>
      </c>
      <c r="CX489" t="e">
        <f>AND(#REF!,"AAAAAGS9n2U=")</f>
        <v>#REF!</v>
      </c>
      <c r="CY489" t="e">
        <f>AND(#REF!,"AAAAAGS9n2Y=")</f>
        <v>#REF!</v>
      </c>
      <c r="CZ489" t="e">
        <f>AND(#REF!,"AAAAAGS9n2c=")</f>
        <v>#REF!</v>
      </c>
      <c r="DA489" t="e">
        <f>AND(#REF!,"AAAAAGS9n2g=")</f>
        <v>#REF!</v>
      </c>
      <c r="DB489" t="e">
        <f>AND(#REF!,"AAAAAGS9n2k=")</f>
        <v>#REF!</v>
      </c>
      <c r="DC489" t="e">
        <f>AND(#REF!,"AAAAAGS9n2o=")</f>
        <v>#REF!</v>
      </c>
      <c r="DD489" t="e">
        <f>IF(#REF!,"AAAAAGS9n2s=",0)</f>
        <v>#REF!</v>
      </c>
      <c r="DE489" t="e">
        <f>AND(#REF!,"AAAAAGS9n2w=")</f>
        <v>#REF!</v>
      </c>
      <c r="DF489" t="e">
        <f>AND(#REF!,"AAAAAGS9n20=")</f>
        <v>#REF!</v>
      </c>
      <c r="DG489" t="e">
        <f>AND(#REF!,"AAAAAGS9n24=")</f>
        <v>#REF!</v>
      </c>
      <c r="DH489" t="e">
        <f>AND(#REF!,"AAAAAGS9n28=")</f>
        <v>#REF!</v>
      </c>
      <c r="DI489" t="e">
        <f>AND(#REF!,"AAAAAGS9n3A=")</f>
        <v>#REF!</v>
      </c>
      <c r="DJ489" t="e">
        <f>AND(#REF!,"AAAAAGS9n3E=")</f>
        <v>#REF!</v>
      </c>
      <c r="DK489" t="e">
        <f>AND(#REF!,"AAAAAGS9n3I=")</f>
        <v>#REF!</v>
      </c>
      <c r="DL489" t="e">
        <f>AND(#REF!,"AAAAAGS9n3M=")</f>
        <v>#REF!</v>
      </c>
      <c r="DM489" t="e">
        <f>AND(#REF!,"AAAAAGS9n3Q=")</f>
        <v>#REF!</v>
      </c>
      <c r="DN489" t="e">
        <f>AND(#REF!,"AAAAAGS9n3U=")</f>
        <v>#REF!</v>
      </c>
      <c r="DO489" t="e">
        <f>AND(#REF!,"AAAAAGS9n3Y=")</f>
        <v>#REF!</v>
      </c>
      <c r="DP489" t="e">
        <f>AND(#REF!,"AAAAAGS9n3c=")</f>
        <v>#REF!</v>
      </c>
      <c r="DQ489" t="e">
        <f>AND(#REF!,"AAAAAGS9n3g=")</f>
        <v>#REF!</v>
      </c>
      <c r="DR489" t="e">
        <f>AND(#REF!,"AAAAAGS9n3k=")</f>
        <v>#REF!</v>
      </c>
      <c r="DS489" t="e">
        <f>AND(#REF!,"AAAAAGS9n3o=")</f>
        <v>#REF!</v>
      </c>
      <c r="DT489" t="e">
        <f>AND(#REF!,"AAAAAGS9n3s=")</f>
        <v>#REF!</v>
      </c>
      <c r="DU489" t="e">
        <f>AND(#REF!,"AAAAAGS9n3w=")</f>
        <v>#REF!</v>
      </c>
      <c r="DV489" t="e">
        <f>AND(#REF!,"AAAAAGS9n30=")</f>
        <v>#REF!</v>
      </c>
      <c r="DW489" t="e">
        <f>AND(#REF!,"AAAAAGS9n34=")</f>
        <v>#REF!</v>
      </c>
      <c r="DX489" t="e">
        <f>AND(#REF!,"AAAAAGS9n38=")</f>
        <v>#REF!</v>
      </c>
      <c r="DY489" t="e">
        <f>AND(#REF!,"AAAAAGS9n4A=")</f>
        <v>#REF!</v>
      </c>
      <c r="DZ489" t="e">
        <f>AND(#REF!,"AAAAAGS9n4E=")</f>
        <v>#REF!</v>
      </c>
      <c r="EA489" t="e">
        <f>AND(#REF!,"AAAAAGS9n4I=")</f>
        <v>#REF!</v>
      </c>
      <c r="EB489" t="e">
        <f>AND(#REF!,"AAAAAGS9n4M=")</f>
        <v>#REF!</v>
      </c>
      <c r="EC489" t="e">
        <f>IF(#REF!,"AAAAAGS9n4Q=",0)</f>
        <v>#REF!</v>
      </c>
      <c r="ED489" t="e">
        <f>AND(#REF!,"AAAAAGS9n4U=")</f>
        <v>#REF!</v>
      </c>
      <c r="EE489" t="e">
        <f>AND(#REF!,"AAAAAGS9n4Y=")</f>
        <v>#REF!</v>
      </c>
      <c r="EF489" t="e">
        <f>AND(#REF!,"AAAAAGS9n4c=")</f>
        <v>#REF!</v>
      </c>
      <c r="EG489" t="e">
        <f>AND(#REF!,"AAAAAGS9n4g=")</f>
        <v>#REF!</v>
      </c>
      <c r="EH489" t="e">
        <f>AND(#REF!,"AAAAAGS9n4k=")</f>
        <v>#REF!</v>
      </c>
      <c r="EI489" t="e">
        <f>AND(#REF!,"AAAAAGS9n4o=")</f>
        <v>#REF!</v>
      </c>
      <c r="EJ489" t="e">
        <f>AND(#REF!,"AAAAAGS9n4s=")</f>
        <v>#REF!</v>
      </c>
      <c r="EK489" t="e">
        <f>AND(#REF!,"AAAAAGS9n4w=")</f>
        <v>#REF!</v>
      </c>
      <c r="EL489" t="e">
        <f>AND(#REF!,"AAAAAGS9n40=")</f>
        <v>#REF!</v>
      </c>
      <c r="EM489" t="e">
        <f>AND(#REF!,"AAAAAGS9n44=")</f>
        <v>#REF!</v>
      </c>
      <c r="EN489" t="e">
        <f>AND(#REF!,"AAAAAGS9n48=")</f>
        <v>#REF!</v>
      </c>
      <c r="EO489" t="e">
        <f>AND(#REF!,"AAAAAGS9n5A=")</f>
        <v>#REF!</v>
      </c>
      <c r="EP489" t="e">
        <f>AND(#REF!,"AAAAAGS9n5E=")</f>
        <v>#REF!</v>
      </c>
      <c r="EQ489" t="e">
        <f>AND(#REF!,"AAAAAGS9n5I=")</f>
        <v>#REF!</v>
      </c>
      <c r="ER489" t="e">
        <f>AND(#REF!,"AAAAAGS9n5M=")</f>
        <v>#REF!</v>
      </c>
      <c r="ES489" t="e">
        <f>AND(#REF!,"AAAAAGS9n5Q=")</f>
        <v>#REF!</v>
      </c>
      <c r="ET489" t="e">
        <f>AND(#REF!,"AAAAAGS9n5U=")</f>
        <v>#REF!</v>
      </c>
      <c r="EU489" t="e">
        <f>AND(#REF!,"AAAAAGS9n5Y=")</f>
        <v>#REF!</v>
      </c>
      <c r="EV489" t="e">
        <f>AND(#REF!,"AAAAAGS9n5c=")</f>
        <v>#REF!</v>
      </c>
      <c r="EW489" t="e">
        <f>AND(#REF!,"AAAAAGS9n5g=")</f>
        <v>#REF!</v>
      </c>
      <c r="EX489" t="e">
        <f>AND(#REF!,"AAAAAGS9n5k=")</f>
        <v>#REF!</v>
      </c>
      <c r="EY489" t="e">
        <f>AND(#REF!,"AAAAAGS9n5o=")</f>
        <v>#REF!</v>
      </c>
      <c r="EZ489" t="e">
        <f>AND(#REF!,"AAAAAGS9n5s=")</f>
        <v>#REF!</v>
      </c>
      <c r="FA489" t="e">
        <f>AND(#REF!,"AAAAAGS9n5w=")</f>
        <v>#REF!</v>
      </c>
      <c r="FB489" t="e">
        <f>IF(#REF!,"AAAAAGS9n50=",0)</f>
        <v>#REF!</v>
      </c>
      <c r="FC489" t="e">
        <f>AND(#REF!,"AAAAAGS9n54=")</f>
        <v>#REF!</v>
      </c>
      <c r="FD489" t="e">
        <f>AND(#REF!,"AAAAAGS9n58=")</f>
        <v>#REF!</v>
      </c>
      <c r="FE489" t="e">
        <f>AND(#REF!,"AAAAAGS9n6A=")</f>
        <v>#REF!</v>
      </c>
      <c r="FF489" t="e">
        <f>AND(#REF!,"AAAAAGS9n6E=")</f>
        <v>#REF!</v>
      </c>
      <c r="FG489" t="e">
        <f>AND(#REF!,"AAAAAGS9n6I=")</f>
        <v>#REF!</v>
      </c>
      <c r="FH489" t="e">
        <f>AND(#REF!,"AAAAAGS9n6M=")</f>
        <v>#REF!</v>
      </c>
      <c r="FI489" t="e">
        <f>AND(#REF!,"AAAAAGS9n6Q=")</f>
        <v>#REF!</v>
      </c>
      <c r="FJ489" t="e">
        <f>AND(#REF!,"AAAAAGS9n6U=")</f>
        <v>#REF!</v>
      </c>
      <c r="FK489" t="e">
        <f>AND(#REF!,"AAAAAGS9n6Y=")</f>
        <v>#REF!</v>
      </c>
      <c r="FL489" t="e">
        <f>AND(#REF!,"AAAAAGS9n6c=")</f>
        <v>#REF!</v>
      </c>
      <c r="FM489" t="e">
        <f>AND(#REF!,"AAAAAGS9n6g=")</f>
        <v>#REF!</v>
      </c>
      <c r="FN489" t="e">
        <f>AND(#REF!,"AAAAAGS9n6k=")</f>
        <v>#REF!</v>
      </c>
      <c r="FO489" t="e">
        <f>AND(#REF!,"AAAAAGS9n6o=")</f>
        <v>#REF!</v>
      </c>
      <c r="FP489" t="e">
        <f>AND(#REF!,"AAAAAGS9n6s=")</f>
        <v>#REF!</v>
      </c>
      <c r="FQ489" t="e">
        <f>AND(#REF!,"AAAAAGS9n6w=")</f>
        <v>#REF!</v>
      </c>
      <c r="FR489" t="e">
        <f>AND(#REF!,"AAAAAGS9n60=")</f>
        <v>#REF!</v>
      </c>
      <c r="FS489" t="e">
        <f>AND(#REF!,"AAAAAGS9n64=")</f>
        <v>#REF!</v>
      </c>
      <c r="FT489" t="e">
        <f>AND(#REF!,"AAAAAGS9n68=")</f>
        <v>#REF!</v>
      </c>
      <c r="FU489" t="e">
        <f>AND(#REF!,"AAAAAGS9n7A=")</f>
        <v>#REF!</v>
      </c>
      <c r="FV489" t="e">
        <f>AND(#REF!,"AAAAAGS9n7E=")</f>
        <v>#REF!</v>
      </c>
      <c r="FW489" t="e">
        <f>AND(#REF!,"AAAAAGS9n7I=")</f>
        <v>#REF!</v>
      </c>
      <c r="FX489" t="e">
        <f>AND(#REF!,"AAAAAGS9n7M=")</f>
        <v>#REF!</v>
      </c>
      <c r="FY489" t="e">
        <f>AND(#REF!,"AAAAAGS9n7Q=")</f>
        <v>#REF!</v>
      </c>
      <c r="FZ489" t="e">
        <f>AND(#REF!,"AAAAAGS9n7U=")</f>
        <v>#REF!</v>
      </c>
      <c r="GA489" t="e">
        <f>IF(#REF!,"AAAAAGS9n7Y=",0)</f>
        <v>#REF!</v>
      </c>
      <c r="GB489" t="e">
        <f>AND(#REF!,"AAAAAGS9n7c=")</f>
        <v>#REF!</v>
      </c>
      <c r="GC489" t="e">
        <f>AND(#REF!,"AAAAAGS9n7g=")</f>
        <v>#REF!</v>
      </c>
      <c r="GD489" t="e">
        <f>AND(#REF!,"AAAAAGS9n7k=")</f>
        <v>#REF!</v>
      </c>
      <c r="GE489" t="e">
        <f>AND(#REF!,"AAAAAGS9n7o=")</f>
        <v>#REF!</v>
      </c>
      <c r="GF489" t="e">
        <f>AND(#REF!,"AAAAAGS9n7s=")</f>
        <v>#REF!</v>
      </c>
      <c r="GG489" t="e">
        <f>AND(#REF!,"AAAAAGS9n7w=")</f>
        <v>#REF!</v>
      </c>
      <c r="GH489" t="e">
        <f>AND(#REF!,"AAAAAGS9n70=")</f>
        <v>#REF!</v>
      </c>
      <c r="GI489" t="e">
        <f>AND(#REF!,"AAAAAGS9n74=")</f>
        <v>#REF!</v>
      </c>
      <c r="GJ489" t="e">
        <f>AND(#REF!,"AAAAAGS9n78=")</f>
        <v>#REF!</v>
      </c>
      <c r="GK489" t="e">
        <f>AND(#REF!,"AAAAAGS9n8A=")</f>
        <v>#REF!</v>
      </c>
      <c r="GL489" t="e">
        <f>AND(#REF!,"AAAAAGS9n8E=")</f>
        <v>#REF!</v>
      </c>
      <c r="GM489" t="e">
        <f>AND(#REF!,"AAAAAGS9n8I=")</f>
        <v>#REF!</v>
      </c>
      <c r="GN489" t="e">
        <f>AND(#REF!,"AAAAAGS9n8M=")</f>
        <v>#REF!</v>
      </c>
      <c r="GO489" t="e">
        <f>AND(#REF!,"AAAAAGS9n8Q=")</f>
        <v>#REF!</v>
      </c>
      <c r="GP489" t="e">
        <f>AND(#REF!,"AAAAAGS9n8U=")</f>
        <v>#REF!</v>
      </c>
      <c r="GQ489" t="e">
        <f>AND(#REF!,"AAAAAGS9n8Y=")</f>
        <v>#REF!</v>
      </c>
      <c r="GR489" t="e">
        <f>AND(#REF!,"AAAAAGS9n8c=")</f>
        <v>#REF!</v>
      </c>
      <c r="GS489" t="e">
        <f>AND(#REF!,"AAAAAGS9n8g=")</f>
        <v>#REF!</v>
      </c>
      <c r="GT489" t="e">
        <f>AND(#REF!,"AAAAAGS9n8k=")</f>
        <v>#REF!</v>
      </c>
      <c r="GU489" t="e">
        <f>AND(#REF!,"AAAAAGS9n8o=")</f>
        <v>#REF!</v>
      </c>
      <c r="GV489" t="e">
        <f>AND(#REF!,"AAAAAGS9n8s=")</f>
        <v>#REF!</v>
      </c>
      <c r="GW489" t="e">
        <f>AND(#REF!,"AAAAAGS9n8w=")</f>
        <v>#REF!</v>
      </c>
      <c r="GX489" t="e">
        <f>AND(#REF!,"AAAAAGS9n80=")</f>
        <v>#REF!</v>
      </c>
      <c r="GY489" t="e">
        <f>AND(#REF!,"AAAAAGS9n84=")</f>
        <v>#REF!</v>
      </c>
      <c r="GZ489" t="e">
        <f>IF(#REF!,"AAAAAGS9n88=",0)</f>
        <v>#REF!</v>
      </c>
      <c r="HA489" t="e">
        <f>AND(#REF!,"AAAAAGS9n9A=")</f>
        <v>#REF!</v>
      </c>
      <c r="HB489" t="e">
        <f>AND(#REF!,"AAAAAGS9n9E=")</f>
        <v>#REF!</v>
      </c>
      <c r="HC489" t="e">
        <f>AND(#REF!,"AAAAAGS9n9I=")</f>
        <v>#REF!</v>
      </c>
      <c r="HD489" t="e">
        <f>AND(#REF!,"AAAAAGS9n9M=")</f>
        <v>#REF!</v>
      </c>
      <c r="HE489" t="e">
        <f>AND(#REF!,"AAAAAGS9n9Q=")</f>
        <v>#REF!</v>
      </c>
      <c r="HF489" t="e">
        <f>AND(#REF!,"AAAAAGS9n9U=")</f>
        <v>#REF!</v>
      </c>
      <c r="HG489" t="e">
        <f>AND(#REF!,"AAAAAGS9n9Y=")</f>
        <v>#REF!</v>
      </c>
      <c r="HH489" t="e">
        <f>AND(#REF!,"AAAAAGS9n9c=")</f>
        <v>#REF!</v>
      </c>
      <c r="HI489" t="e">
        <f>AND(#REF!,"AAAAAGS9n9g=")</f>
        <v>#REF!</v>
      </c>
      <c r="HJ489" t="e">
        <f>AND(#REF!,"AAAAAGS9n9k=")</f>
        <v>#REF!</v>
      </c>
      <c r="HK489" t="e">
        <f>AND(#REF!,"AAAAAGS9n9o=")</f>
        <v>#REF!</v>
      </c>
      <c r="HL489" t="e">
        <f>AND(#REF!,"AAAAAGS9n9s=")</f>
        <v>#REF!</v>
      </c>
      <c r="HM489" t="e">
        <f>AND(#REF!,"AAAAAGS9n9w=")</f>
        <v>#REF!</v>
      </c>
      <c r="HN489" t="e">
        <f>AND(#REF!,"AAAAAGS9n90=")</f>
        <v>#REF!</v>
      </c>
      <c r="HO489" t="e">
        <f>AND(#REF!,"AAAAAGS9n94=")</f>
        <v>#REF!</v>
      </c>
      <c r="HP489" t="e">
        <f>AND(#REF!,"AAAAAGS9n98=")</f>
        <v>#REF!</v>
      </c>
      <c r="HQ489" t="e">
        <f>AND(#REF!,"AAAAAGS9n+A=")</f>
        <v>#REF!</v>
      </c>
      <c r="HR489" t="e">
        <f>AND(#REF!,"AAAAAGS9n+E=")</f>
        <v>#REF!</v>
      </c>
      <c r="HS489" t="e">
        <f>AND(#REF!,"AAAAAGS9n+I=")</f>
        <v>#REF!</v>
      </c>
      <c r="HT489" t="e">
        <f>AND(#REF!,"AAAAAGS9n+M=")</f>
        <v>#REF!</v>
      </c>
      <c r="HU489" t="e">
        <f>AND(#REF!,"AAAAAGS9n+Q=")</f>
        <v>#REF!</v>
      </c>
      <c r="HV489" t="e">
        <f>AND(#REF!,"AAAAAGS9n+U=")</f>
        <v>#REF!</v>
      </c>
      <c r="HW489" t="e">
        <f>AND(#REF!,"AAAAAGS9n+Y=")</f>
        <v>#REF!</v>
      </c>
      <c r="HX489" t="e">
        <f>AND(#REF!,"AAAAAGS9n+c=")</f>
        <v>#REF!</v>
      </c>
      <c r="HY489" t="e">
        <f>IF(#REF!,"AAAAAGS9n+g=",0)</f>
        <v>#REF!</v>
      </c>
      <c r="HZ489" t="e">
        <f>AND(#REF!,"AAAAAGS9n+k=")</f>
        <v>#REF!</v>
      </c>
      <c r="IA489" t="e">
        <f>AND(#REF!,"AAAAAGS9n+o=")</f>
        <v>#REF!</v>
      </c>
      <c r="IB489" t="e">
        <f>AND(#REF!,"AAAAAGS9n+s=")</f>
        <v>#REF!</v>
      </c>
      <c r="IC489" t="e">
        <f>AND(#REF!,"AAAAAGS9n+w=")</f>
        <v>#REF!</v>
      </c>
      <c r="ID489" t="e">
        <f>AND(#REF!,"AAAAAGS9n+0=")</f>
        <v>#REF!</v>
      </c>
      <c r="IE489" t="e">
        <f>AND(#REF!,"AAAAAGS9n+4=")</f>
        <v>#REF!</v>
      </c>
      <c r="IF489" t="e">
        <f>AND(#REF!,"AAAAAGS9n+8=")</f>
        <v>#REF!</v>
      </c>
      <c r="IG489" t="e">
        <f>AND(#REF!,"AAAAAGS9n/A=")</f>
        <v>#REF!</v>
      </c>
      <c r="IH489" t="e">
        <f>AND(#REF!,"AAAAAGS9n/E=")</f>
        <v>#REF!</v>
      </c>
      <c r="II489" t="e">
        <f>AND(#REF!,"AAAAAGS9n/I=")</f>
        <v>#REF!</v>
      </c>
      <c r="IJ489" t="e">
        <f>AND(#REF!,"AAAAAGS9n/M=")</f>
        <v>#REF!</v>
      </c>
      <c r="IK489" t="e">
        <f>AND(#REF!,"AAAAAGS9n/Q=")</f>
        <v>#REF!</v>
      </c>
      <c r="IL489" t="e">
        <f>AND(#REF!,"AAAAAGS9n/U=")</f>
        <v>#REF!</v>
      </c>
      <c r="IM489" t="e">
        <f>AND(#REF!,"AAAAAGS9n/Y=")</f>
        <v>#REF!</v>
      </c>
      <c r="IN489" t="e">
        <f>AND(#REF!,"AAAAAGS9n/c=")</f>
        <v>#REF!</v>
      </c>
      <c r="IO489" t="e">
        <f>AND(#REF!,"AAAAAGS9n/g=")</f>
        <v>#REF!</v>
      </c>
      <c r="IP489" t="e">
        <f>AND(#REF!,"AAAAAGS9n/k=")</f>
        <v>#REF!</v>
      </c>
      <c r="IQ489" t="e">
        <f>AND(#REF!,"AAAAAGS9n/o=")</f>
        <v>#REF!</v>
      </c>
      <c r="IR489" t="e">
        <f>AND(#REF!,"AAAAAGS9n/s=")</f>
        <v>#REF!</v>
      </c>
      <c r="IS489" t="e">
        <f>AND(#REF!,"AAAAAGS9n/w=")</f>
        <v>#REF!</v>
      </c>
      <c r="IT489" t="e">
        <f>AND(#REF!,"AAAAAGS9n/0=")</f>
        <v>#REF!</v>
      </c>
      <c r="IU489" t="e">
        <f>AND(#REF!,"AAAAAGS9n/4=")</f>
        <v>#REF!</v>
      </c>
      <c r="IV489" t="e">
        <f>AND(#REF!,"AAAAAGS9n/8=")</f>
        <v>#REF!</v>
      </c>
    </row>
    <row r="490" spans="1:256">
      <c r="A490" t="e">
        <f>AND(#REF!,"AAAAAH2ZHwA=")</f>
        <v>#REF!</v>
      </c>
      <c r="B490" t="e">
        <f>IF(#REF!,"AAAAAH2ZHwE=",0)</f>
        <v>#REF!</v>
      </c>
      <c r="C490" t="e">
        <f>AND(#REF!,"AAAAAH2ZHwI=")</f>
        <v>#REF!</v>
      </c>
      <c r="D490" t="e">
        <f>AND(#REF!,"AAAAAH2ZHwM=")</f>
        <v>#REF!</v>
      </c>
      <c r="E490" t="e">
        <f>AND(#REF!,"AAAAAH2ZHwQ=")</f>
        <v>#REF!</v>
      </c>
      <c r="F490" t="e">
        <f>AND(#REF!,"AAAAAH2ZHwU=")</f>
        <v>#REF!</v>
      </c>
      <c r="G490" t="e">
        <f>AND(#REF!,"AAAAAH2ZHwY=")</f>
        <v>#REF!</v>
      </c>
      <c r="H490" t="e">
        <f>AND(#REF!,"AAAAAH2ZHwc=")</f>
        <v>#REF!</v>
      </c>
      <c r="I490" t="e">
        <f>AND(#REF!,"AAAAAH2ZHwg=")</f>
        <v>#REF!</v>
      </c>
      <c r="J490" t="e">
        <f>AND(#REF!,"AAAAAH2ZHwk=")</f>
        <v>#REF!</v>
      </c>
      <c r="K490" t="e">
        <f>AND(#REF!,"AAAAAH2ZHwo=")</f>
        <v>#REF!</v>
      </c>
      <c r="L490" t="e">
        <f>AND(#REF!,"AAAAAH2ZHws=")</f>
        <v>#REF!</v>
      </c>
      <c r="M490" t="e">
        <f>AND(#REF!,"AAAAAH2ZHww=")</f>
        <v>#REF!</v>
      </c>
      <c r="N490" t="e">
        <f>AND(#REF!,"AAAAAH2ZHw0=")</f>
        <v>#REF!</v>
      </c>
      <c r="O490" t="e">
        <f>AND(#REF!,"AAAAAH2ZHw4=")</f>
        <v>#REF!</v>
      </c>
      <c r="P490" t="e">
        <f>AND(#REF!,"AAAAAH2ZHw8=")</f>
        <v>#REF!</v>
      </c>
      <c r="Q490" t="e">
        <f>AND(#REF!,"AAAAAH2ZHxA=")</f>
        <v>#REF!</v>
      </c>
      <c r="R490" t="e">
        <f>AND(#REF!,"AAAAAH2ZHxE=")</f>
        <v>#REF!</v>
      </c>
      <c r="S490" t="e">
        <f>AND(#REF!,"AAAAAH2ZHxI=")</f>
        <v>#REF!</v>
      </c>
      <c r="T490" t="e">
        <f>AND(#REF!,"AAAAAH2ZHxM=")</f>
        <v>#REF!</v>
      </c>
      <c r="U490" t="e">
        <f>AND(#REF!,"AAAAAH2ZHxQ=")</f>
        <v>#REF!</v>
      </c>
      <c r="V490" t="e">
        <f>AND(#REF!,"AAAAAH2ZHxU=")</f>
        <v>#REF!</v>
      </c>
      <c r="W490" t="e">
        <f>AND(#REF!,"AAAAAH2ZHxY=")</f>
        <v>#REF!</v>
      </c>
      <c r="X490" t="e">
        <f>AND(#REF!,"AAAAAH2ZHxc=")</f>
        <v>#REF!</v>
      </c>
      <c r="Y490" t="e">
        <f>AND(#REF!,"AAAAAH2ZHxg=")</f>
        <v>#REF!</v>
      </c>
      <c r="Z490" t="e">
        <f>AND(#REF!,"AAAAAH2ZHxk=")</f>
        <v>#REF!</v>
      </c>
      <c r="AA490" t="e">
        <f>IF(#REF!,"AAAAAH2ZHxo=",0)</f>
        <v>#REF!</v>
      </c>
      <c r="AB490" t="e">
        <f>AND(#REF!,"AAAAAH2ZHxs=")</f>
        <v>#REF!</v>
      </c>
      <c r="AC490" t="e">
        <f>AND(#REF!,"AAAAAH2ZHxw=")</f>
        <v>#REF!</v>
      </c>
      <c r="AD490" t="e">
        <f>AND(#REF!,"AAAAAH2ZHx0=")</f>
        <v>#REF!</v>
      </c>
      <c r="AE490" t="e">
        <f>AND(#REF!,"AAAAAH2ZHx4=")</f>
        <v>#REF!</v>
      </c>
      <c r="AF490" t="e">
        <f>AND(#REF!,"AAAAAH2ZHx8=")</f>
        <v>#REF!</v>
      </c>
      <c r="AG490" t="e">
        <f>AND(#REF!,"AAAAAH2ZHyA=")</f>
        <v>#REF!</v>
      </c>
      <c r="AH490" t="e">
        <f>AND(#REF!,"AAAAAH2ZHyE=")</f>
        <v>#REF!</v>
      </c>
      <c r="AI490" t="e">
        <f>AND(#REF!,"AAAAAH2ZHyI=")</f>
        <v>#REF!</v>
      </c>
      <c r="AJ490" t="e">
        <f>AND(#REF!,"AAAAAH2ZHyM=")</f>
        <v>#REF!</v>
      </c>
      <c r="AK490" t="e">
        <f>AND(#REF!,"AAAAAH2ZHyQ=")</f>
        <v>#REF!</v>
      </c>
      <c r="AL490" t="e">
        <f>AND(#REF!,"AAAAAH2ZHyU=")</f>
        <v>#REF!</v>
      </c>
      <c r="AM490" t="e">
        <f>AND(#REF!,"AAAAAH2ZHyY=")</f>
        <v>#REF!</v>
      </c>
      <c r="AN490" t="e">
        <f>AND(#REF!,"AAAAAH2ZHyc=")</f>
        <v>#REF!</v>
      </c>
      <c r="AO490" t="e">
        <f>AND(#REF!,"AAAAAH2ZHyg=")</f>
        <v>#REF!</v>
      </c>
      <c r="AP490" t="e">
        <f>AND(#REF!,"AAAAAH2ZHyk=")</f>
        <v>#REF!</v>
      </c>
      <c r="AQ490" t="e">
        <f>AND(#REF!,"AAAAAH2ZHyo=")</f>
        <v>#REF!</v>
      </c>
      <c r="AR490" t="e">
        <f>AND(#REF!,"AAAAAH2ZHys=")</f>
        <v>#REF!</v>
      </c>
      <c r="AS490" t="e">
        <f>AND(#REF!,"AAAAAH2ZHyw=")</f>
        <v>#REF!</v>
      </c>
      <c r="AT490" t="e">
        <f>AND(#REF!,"AAAAAH2ZHy0=")</f>
        <v>#REF!</v>
      </c>
      <c r="AU490" t="e">
        <f>AND(#REF!,"AAAAAH2ZHy4=")</f>
        <v>#REF!</v>
      </c>
      <c r="AV490" t="e">
        <f>AND(#REF!,"AAAAAH2ZHy8=")</f>
        <v>#REF!</v>
      </c>
      <c r="AW490" t="e">
        <f>AND(#REF!,"AAAAAH2ZHzA=")</f>
        <v>#REF!</v>
      </c>
      <c r="AX490" t="e">
        <f>AND(#REF!,"AAAAAH2ZHzE=")</f>
        <v>#REF!</v>
      </c>
      <c r="AY490" t="e">
        <f>AND(#REF!,"AAAAAH2ZHzI=")</f>
        <v>#REF!</v>
      </c>
      <c r="AZ490" t="e">
        <f>IF(#REF!,"AAAAAH2ZHzM=",0)</f>
        <v>#REF!</v>
      </c>
      <c r="BA490" t="e">
        <f>AND(#REF!,"AAAAAH2ZHzQ=")</f>
        <v>#REF!</v>
      </c>
      <c r="BB490" t="e">
        <f>AND(#REF!,"AAAAAH2ZHzU=")</f>
        <v>#REF!</v>
      </c>
      <c r="BC490" t="e">
        <f>AND(#REF!,"AAAAAH2ZHzY=")</f>
        <v>#REF!</v>
      </c>
      <c r="BD490" t="e">
        <f>AND(#REF!,"AAAAAH2ZHzc=")</f>
        <v>#REF!</v>
      </c>
      <c r="BE490" t="e">
        <f>AND(#REF!,"AAAAAH2ZHzg=")</f>
        <v>#REF!</v>
      </c>
      <c r="BF490" t="e">
        <f>AND(#REF!,"AAAAAH2ZHzk=")</f>
        <v>#REF!</v>
      </c>
      <c r="BG490" t="e">
        <f>AND(#REF!,"AAAAAH2ZHzo=")</f>
        <v>#REF!</v>
      </c>
      <c r="BH490" t="e">
        <f>AND(#REF!,"AAAAAH2ZHzs=")</f>
        <v>#REF!</v>
      </c>
      <c r="BI490" t="e">
        <f>AND(#REF!,"AAAAAH2ZHzw=")</f>
        <v>#REF!</v>
      </c>
      <c r="BJ490" t="e">
        <f>AND(#REF!,"AAAAAH2ZHz0=")</f>
        <v>#REF!</v>
      </c>
      <c r="BK490" t="e">
        <f>AND(#REF!,"AAAAAH2ZHz4=")</f>
        <v>#REF!</v>
      </c>
      <c r="BL490" t="e">
        <f>AND(#REF!,"AAAAAH2ZHz8=")</f>
        <v>#REF!</v>
      </c>
      <c r="BM490" t="e">
        <f>AND(#REF!,"AAAAAH2ZH0A=")</f>
        <v>#REF!</v>
      </c>
      <c r="BN490" t="e">
        <f>AND(#REF!,"AAAAAH2ZH0E=")</f>
        <v>#REF!</v>
      </c>
      <c r="BO490" t="e">
        <f>AND(#REF!,"AAAAAH2ZH0I=")</f>
        <v>#REF!</v>
      </c>
      <c r="BP490" t="e">
        <f>AND(#REF!,"AAAAAH2ZH0M=")</f>
        <v>#REF!</v>
      </c>
      <c r="BQ490" t="e">
        <f>AND(#REF!,"AAAAAH2ZH0Q=")</f>
        <v>#REF!</v>
      </c>
      <c r="BR490" t="e">
        <f>AND(#REF!,"AAAAAH2ZH0U=")</f>
        <v>#REF!</v>
      </c>
      <c r="BS490" t="e">
        <f>AND(#REF!,"AAAAAH2ZH0Y=")</f>
        <v>#REF!</v>
      </c>
      <c r="BT490" t="e">
        <f>AND(#REF!,"AAAAAH2ZH0c=")</f>
        <v>#REF!</v>
      </c>
      <c r="BU490" t="e">
        <f>AND(#REF!,"AAAAAH2ZH0g=")</f>
        <v>#REF!</v>
      </c>
      <c r="BV490" t="e">
        <f>AND(#REF!,"AAAAAH2ZH0k=")</f>
        <v>#REF!</v>
      </c>
      <c r="BW490" t="e">
        <f>AND(#REF!,"AAAAAH2ZH0o=")</f>
        <v>#REF!</v>
      </c>
      <c r="BX490" t="e">
        <f>AND(#REF!,"AAAAAH2ZH0s=")</f>
        <v>#REF!</v>
      </c>
      <c r="BY490" t="e">
        <f>IF(#REF!,"AAAAAH2ZH0w=",0)</f>
        <v>#REF!</v>
      </c>
      <c r="BZ490" t="e">
        <f>AND(#REF!,"AAAAAH2ZH00=")</f>
        <v>#REF!</v>
      </c>
      <c r="CA490" t="e">
        <f>AND(#REF!,"AAAAAH2ZH04=")</f>
        <v>#REF!</v>
      </c>
      <c r="CB490" t="e">
        <f>AND(#REF!,"AAAAAH2ZH08=")</f>
        <v>#REF!</v>
      </c>
      <c r="CC490" t="e">
        <f>AND(#REF!,"AAAAAH2ZH1A=")</f>
        <v>#REF!</v>
      </c>
      <c r="CD490" t="e">
        <f>AND(#REF!,"AAAAAH2ZH1E=")</f>
        <v>#REF!</v>
      </c>
      <c r="CE490" t="e">
        <f>AND(#REF!,"AAAAAH2ZH1I=")</f>
        <v>#REF!</v>
      </c>
      <c r="CF490" t="e">
        <f>AND(#REF!,"AAAAAH2ZH1M=")</f>
        <v>#REF!</v>
      </c>
      <c r="CG490" t="e">
        <f>AND(#REF!,"AAAAAH2ZH1Q=")</f>
        <v>#REF!</v>
      </c>
      <c r="CH490" t="e">
        <f>AND(#REF!,"AAAAAH2ZH1U=")</f>
        <v>#REF!</v>
      </c>
      <c r="CI490" t="e">
        <f>AND(#REF!,"AAAAAH2ZH1Y=")</f>
        <v>#REF!</v>
      </c>
      <c r="CJ490" t="e">
        <f>AND(#REF!,"AAAAAH2ZH1c=")</f>
        <v>#REF!</v>
      </c>
      <c r="CK490" t="e">
        <f>AND(#REF!,"AAAAAH2ZH1g=")</f>
        <v>#REF!</v>
      </c>
      <c r="CL490" t="e">
        <f>AND(#REF!,"AAAAAH2ZH1k=")</f>
        <v>#REF!</v>
      </c>
      <c r="CM490" t="e">
        <f>AND(#REF!,"AAAAAH2ZH1o=")</f>
        <v>#REF!</v>
      </c>
      <c r="CN490" t="e">
        <f>AND(#REF!,"AAAAAH2ZH1s=")</f>
        <v>#REF!</v>
      </c>
      <c r="CO490" t="e">
        <f>AND(#REF!,"AAAAAH2ZH1w=")</f>
        <v>#REF!</v>
      </c>
      <c r="CP490" t="e">
        <f>AND(#REF!,"AAAAAH2ZH10=")</f>
        <v>#REF!</v>
      </c>
      <c r="CQ490" t="e">
        <f>AND(#REF!,"AAAAAH2ZH14=")</f>
        <v>#REF!</v>
      </c>
      <c r="CR490" t="e">
        <f>AND(#REF!,"AAAAAH2ZH18=")</f>
        <v>#REF!</v>
      </c>
      <c r="CS490" t="e">
        <f>AND(#REF!,"AAAAAH2ZH2A=")</f>
        <v>#REF!</v>
      </c>
      <c r="CT490" t="e">
        <f>AND(#REF!,"AAAAAH2ZH2E=")</f>
        <v>#REF!</v>
      </c>
      <c r="CU490" t="e">
        <f>AND(#REF!,"AAAAAH2ZH2I=")</f>
        <v>#REF!</v>
      </c>
      <c r="CV490" t="e">
        <f>AND(#REF!,"AAAAAH2ZH2M=")</f>
        <v>#REF!</v>
      </c>
      <c r="CW490" t="e">
        <f>AND(#REF!,"AAAAAH2ZH2Q=")</f>
        <v>#REF!</v>
      </c>
      <c r="CX490" t="e">
        <f>IF(#REF!,"AAAAAH2ZH2U=",0)</f>
        <v>#REF!</v>
      </c>
      <c r="CY490" t="e">
        <f>AND(#REF!,"AAAAAH2ZH2Y=")</f>
        <v>#REF!</v>
      </c>
      <c r="CZ490" t="e">
        <f>AND(#REF!,"AAAAAH2ZH2c=")</f>
        <v>#REF!</v>
      </c>
      <c r="DA490" t="e">
        <f>AND(#REF!,"AAAAAH2ZH2g=")</f>
        <v>#REF!</v>
      </c>
      <c r="DB490" t="e">
        <f>AND(#REF!,"AAAAAH2ZH2k=")</f>
        <v>#REF!</v>
      </c>
      <c r="DC490" t="e">
        <f>AND(#REF!,"AAAAAH2ZH2o=")</f>
        <v>#REF!</v>
      </c>
      <c r="DD490" t="e">
        <f>AND(#REF!,"AAAAAH2ZH2s=")</f>
        <v>#REF!</v>
      </c>
      <c r="DE490" t="e">
        <f>AND(#REF!,"AAAAAH2ZH2w=")</f>
        <v>#REF!</v>
      </c>
      <c r="DF490" t="e">
        <f>AND(#REF!,"AAAAAH2ZH20=")</f>
        <v>#REF!</v>
      </c>
      <c r="DG490" t="e">
        <f>AND(#REF!,"AAAAAH2ZH24=")</f>
        <v>#REF!</v>
      </c>
      <c r="DH490" t="e">
        <f>AND(#REF!,"AAAAAH2ZH28=")</f>
        <v>#REF!</v>
      </c>
      <c r="DI490" t="e">
        <f>AND(#REF!,"AAAAAH2ZH3A=")</f>
        <v>#REF!</v>
      </c>
      <c r="DJ490" t="e">
        <f>AND(#REF!,"AAAAAH2ZH3E=")</f>
        <v>#REF!</v>
      </c>
      <c r="DK490" t="e">
        <f>AND(#REF!,"AAAAAH2ZH3I=")</f>
        <v>#REF!</v>
      </c>
      <c r="DL490" t="e">
        <f>AND(#REF!,"AAAAAH2ZH3M=")</f>
        <v>#REF!</v>
      </c>
      <c r="DM490" t="e">
        <f>AND(#REF!,"AAAAAH2ZH3Q=")</f>
        <v>#REF!</v>
      </c>
      <c r="DN490" t="e">
        <f>AND(#REF!,"AAAAAH2ZH3U=")</f>
        <v>#REF!</v>
      </c>
      <c r="DO490" t="e">
        <f>AND(#REF!,"AAAAAH2ZH3Y=")</f>
        <v>#REF!</v>
      </c>
      <c r="DP490" t="e">
        <f>AND(#REF!,"AAAAAH2ZH3c=")</f>
        <v>#REF!</v>
      </c>
      <c r="DQ490" t="e">
        <f>AND(#REF!,"AAAAAH2ZH3g=")</f>
        <v>#REF!</v>
      </c>
      <c r="DR490" t="e">
        <f>AND(#REF!,"AAAAAH2ZH3k=")</f>
        <v>#REF!</v>
      </c>
      <c r="DS490" t="e">
        <f>AND(#REF!,"AAAAAH2ZH3o=")</f>
        <v>#REF!</v>
      </c>
      <c r="DT490" t="e">
        <f>AND(#REF!,"AAAAAH2ZH3s=")</f>
        <v>#REF!</v>
      </c>
      <c r="DU490" t="e">
        <f>AND(#REF!,"AAAAAH2ZH3w=")</f>
        <v>#REF!</v>
      </c>
      <c r="DV490" t="e">
        <f>AND(#REF!,"AAAAAH2ZH30=")</f>
        <v>#REF!</v>
      </c>
      <c r="DW490" t="e">
        <f>IF(#REF!,"AAAAAH2ZH34=",0)</f>
        <v>#REF!</v>
      </c>
      <c r="DX490" t="e">
        <f>AND(#REF!,"AAAAAH2ZH38=")</f>
        <v>#REF!</v>
      </c>
      <c r="DY490" t="e">
        <f>AND(#REF!,"AAAAAH2ZH4A=")</f>
        <v>#REF!</v>
      </c>
      <c r="DZ490" t="e">
        <f>AND(#REF!,"AAAAAH2ZH4E=")</f>
        <v>#REF!</v>
      </c>
      <c r="EA490" t="e">
        <f>AND(#REF!,"AAAAAH2ZH4I=")</f>
        <v>#REF!</v>
      </c>
      <c r="EB490" t="e">
        <f>AND(#REF!,"AAAAAH2ZH4M=")</f>
        <v>#REF!</v>
      </c>
      <c r="EC490" t="e">
        <f>AND(#REF!,"AAAAAH2ZH4Q=")</f>
        <v>#REF!</v>
      </c>
      <c r="ED490" t="e">
        <f>AND(#REF!,"AAAAAH2ZH4U=")</f>
        <v>#REF!</v>
      </c>
      <c r="EE490" t="e">
        <f>AND(#REF!,"AAAAAH2ZH4Y=")</f>
        <v>#REF!</v>
      </c>
      <c r="EF490" t="e">
        <f>AND(#REF!,"AAAAAH2ZH4c=")</f>
        <v>#REF!</v>
      </c>
      <c r="EG490" t="e">
        <f>AND(#REF!,"AAAAAH2ZH4g=")</f>
        <v>#REF!</v>
      </c>
      <c r="EH490" t="e">
        <f>AND(#REF!,"AAAAAH2ZH4k=")</f>
        <v>#REF!</v>
      </c>
      <c r="EI490" t="e">
        <f>AND(#REF!,"AAAAAH2ZH4o=")</f>
        <v>#REF!</v>
      </c>
      <c r="EJ490" t="e">
        <f>AND(#REF!,"AAAAAH2ZH4s=")</f>
        <v>#REF!</v>
      </c>
      <c r="EK490" t="e">
        <f>AND(#REF!,"AAAAAH2ZH4w=")</f>
        <v>#REF!</v>
      </c>
      <c r="EL490" t="e">
        <f>AND(#REF!,"AAAAAH2ZH40=")</f>
        <v>#REF!</v>
      </c>
      <c r="EM490" t="e">
        <f>AND(#REF!,"AAAAAH2ZH44=")</f>
        <v>#REF!</v>
      </c>
      <c r="EN490" t="e">
        <f>AND(#REF!,"AAAAAH2ZH48=")</f>
        <v>#REF!</v>
      </c>
      <c r="EO490" t="e">
        <f>AND(#REF!,"AAAAAH2ZH5A=")</f>
        <v>#REF!</v>
      </c>
      <c r="EP490" t="e">
        <f>AND(#REF!,"AAAAAH2ZH5E=")</f>
        <v>#REF!</v>
      </c>
      <c r="EQ490" t="e">
        <f>AND(#REF!,"AAAAAH2ZH5I=")</f>
        <v>#REF!</v>
      </c>
      <c r="ER490" t="e">
        <f>AND(#REF!,"AAAAAH2ZH5M=")</f>
        <v>#REF!</v>
      </c>
      <c r="ES490" t="e">
        <f>AND(#REF!,"AAAAAH2ZH5Q=")</f>
        <v>#REF!</v>
      </c>
      <c r="ET490" t="e">
        <f>AND(#REF!,"AAAAAH2ZH5U=")</f>
        <v>#REF!</v>
      </c>
      <c r="EU490" t="e">
        <f>AND(#REF!,"AAAAAH2ZH5Y=")</f>
        <v>#REF!</v>
      </c>
      <c r="EV490" t="e">
        <f>IF(#REF!,"AAAAAH2ZH5c=",0)</f>
        <v>#REF!</v>
      </c>
      <c r="EW490" t="e">
        <f>AND(#REF!,"AAAAAH2ZH5g=")</f>
        <v>#REF!</v>
      </c>
      <c r="EX490" t="e">
        <f>AND(#REF!,"AAAAAH2ZH5k=")</f>
        <v>#REF!</v>
      </c>
      <c r="EY490" t="e">
        <f>AND(#REF!,"AAAAAH2ZH5o=")</f>
        <v>#REF!</v>
      </c>
      <c r="EZ490" t="e">
        <f>AND(#REF!,"AAAAAH2ZH5s=")</f>
        <v>#REF!</v>
      </c>
      <c r="FA490" t="e">
        <f>AND(#REF!,"AAAAAH2ZH5w=")</f>
        <v>#REF!</v>
      </c>
      <c r="FB490" t="e">
        <f>AND(#REF!,"AAAAAH2ZH50=")</f>
        <v>#REF!</v>
      </c>
      <c r="FC490" t="e">
        <f>AND(#REF!,"AAAAAH2ZH54=")</f>
        <v>#REF!</v>
      </c>
      <c r="FD490" t="e">
        <f>AND(#REF!,"AAAAAH2ZH58=")</f>
        <v>#REF!</v>
      </c>
      <c r="FE490" t="e">
        <f>AND(#REF!,"AAAAAH2ZH6A=")</f>
        <v>#REF!</v>
      </c>
      <c r="FF490" t="e">
        <f>AND(#REF!,"AAAAAH2ZH6E=")</f>
        <v>#REF!</v>
      </c>
      <c r="FG490" t="e">
        <f>AND(#REF!,"AAAAAH2ZH6I=")</f>
        <v>#REF!</v>
      </c>
      <c r="FH490" t="e">
        <f>AND(#REF!,"AAAAAH2ZH6M=")</f>
        <v>#REF!</v>
      </c>
      <c r="FI490" t="e">
        <f>AND(#REF!,"AAAAAH2ZH6Q=")</f>
        <v>#REF!</v>
      </c>
      <c r="FJ490" t="e">
        <f>AND(#REF!,"AAAAAH2ZH6U=")</f>
        <v>#REF!</v>
      </c>
      <c r="FK490" t="e">
        <f>AND(#REF!,"AAAAAH2ZH6Y=")</f>
        <v>#REF!</v>
      </c>
      <c r="FL490" t="e">
        <f>AND(#REF!,"AAAAAH2ZH6c=")</f>
        <v>#REF!</v>
      </c>
      <c r="FM490" t="e">
        <f>AND(#REF!,"AAAAAH2ZH6g=")</f>
        <v>#REF!</v>
      </c>
      <c r="FN490" t="e">
        <f>AND(#REF!,"AAAAAH2ZH6k=")</f>
        <v>#REF!</v>
      </c>
      <c r="FO490" t="e">
        <f>AND(#REF!,"AAAAAH2ZH6o=")</f>
        <v>#REF!</v>
      </c>
      <c r="FP490" t="e">
        <f>AND(#REF!,"AAAAAH2ZH6s=")</f>
        <v>#REF!</v>
      </c>
      <c r="FQ490" t="e">
        <f>AND(#REF!,"AAAAAH2ZH6w=")</f>
        <v>#REF!</v>
      </c>
      <c r="FR490" t="e">
        <f>AND(#REF!,"AAAAAH2ZH60=")</f>
        <v>#REF!</v>
      </c>
      <c r="FS490" t="e">
        <f>AND(#REF!,"AAAAAH2ZH64=")</f>
        <v>#REF!</v>
      </c>
      <c r="FT490" t="e">
        <f>AND(#REF!,"AAAAAH2ZH68=")</f>
        <v>#REF!</v>
      </c>
      <c r="FU490" t="e">
        <f>IF(#REF!,"AAAAAH2ZH7A=",0)</f>
        <v>#REF!</v>
      </c>
      <c r="FV490" t="e">
        <f>AND(#REF!,"AAAAAH2ZH7E=")</f>
        <v>#REF!</v>
      </c>
      <c r="FW490" t="e">
        <f>AND(#REF!,"AAAAAH2ZH7I=")</f>
        <v>#REF!</v>
      </c>
      <c r="FX490" t="e">
        <f>AND(#REF!,"AAAAAH2ZH7M=")</f>
        <v>#REF!</v>
      </c>
      <c r="FY490" t="e">
        <f>AND(#REF!,"AAAAAH2ZH7Q=")</f>
        <v>#REF!</v>
      </c>
      <c r="FZ490" t="e">
        <f>AND(#REF!,"AAAAAH2ZH7U=")</f>
        <v>#REF!</v>
      </c>
      <c r="GA490" t="e">
        <f>AND(#REF!,"AAAAAH2ZH7Y=")</f>
        <v>#REF!</v>
      </c>
      <c r="GB490" t="e">
        <f>AND(#REF!,"AAAAAH2ZH7c=")</f>
        <v>#REF!</v>
      </c>
      <c r="GC490" t="e">
        <f>AND(#REF!,"AAAAAH2ZH7g=")</f>
        <v>#REF!</v>
      </c>
      <c r="GD490" t="e">
        <f>AND(#REF!,"AAAAAH2ZH7k=")</f>
        <v>#REF!</v>
      </c>
      <c r="GE490" t="e">
        <f>AND(#REF!,"AAAAAH2ZH7o=")</f>
        <v>#REF!</v>
      </c>
      <c r="GF490" t="e">
        <f>AND(#REF!,"AAAAAH2ZH7s=")</f>
        <v>#REF!</v>
      </c>
      <c r="GG490" t="e">
        <f>AND(#REF!,"AAAAAH2ZH7w=")</f>
        <v>#REF!</v>
      </c>
      <c r="GH490" t="e">
        <f>AND(#REF!,"AAAAAH2ZH70=")</f>
        <v>#REF!</v>
      </c>
      <c r="GI490" t="e">
        <f>AND(#REF!,"AAAAAH2ZH74=")</f>
        <v>#REF!</v>
      </c>
      <c r="GJ490" t="e">
        <f>AND(#REF!,"AAAAAH2ZH78=")</f>
        <v>#REF!</v>
      </c>
      <c r="GK490" t="e">
        <f>AND(#REF!,"AAAAAH2ZH8A=")</f>
        <v>#REF!</v>
      </c>
      <c r="GL490" t="e">
        <f>AND(#REF!,"AAAAAH2ZH8E=")</f>
        <v>#REF!</v>
      </c>
      <c r="GM490" t="e">
        <f>AND(#REF!,"AAAAAH2ZH8I=")</f>
        <v>#REF!</v>
      </c>
      <c r="GN490" t="e">
        <f>AND(#REF!,"AAAAAH2ZH8M=")</f>
        <v>#REF!</v>
      </c>
      <c r="GO490" t="e">
        <f>AND(#REF!,"AAAAAH2ZH8Q=")</f>
        <v>#REF!</v>
      </c>
      <c r="GP490" t="e">
        <f>AND(#REF!,"AAAAAH2ZH8U=")</f>
        <v>#REF!</v>
      </c>
      <c r="GQ490" t="e">
        <f>AND(#REF!,"AAAAAH2ZH8Y=")</f>
        <v>#REF!</v>
      </c>
      <c r="GR490" t="e">
        <f>AND(#REF!,"AAAAAH2ZH8c=")</f>
        <v>#REF!</v>
      </c>
      <c r="GS490" t="e">
        <f>AND(#REF!,"AAAAAH2ZH8g=")</f>
        <v>#REF!</v>
      </c>
      <c r="GT490" t="e">
        <f>IF(#REF!,"AAAAAH2ZH8k=",0)</f>
        <v>#REF!</v>
      </c>
      <c r="GU490" t="e">
        <f>AND(#REF!,"AAAAAH2ZH8o=")</f>
        <v>#REF!</v>
      </c>
      <c r="GV490" t="e">
        <f>AND(#REF!,"AAAAAH2ZH8s=")</f>
        <v>#REF!</v>
      </c>
      <c r="GW490" t="e">
        <f>AND(#REF!,"AAAAAH2ZH8w=")</f>
        <v>#REF!</v>
      </c>
      <c r="GX490" t="e">
        <f>AND(#REF!,"AAAAAH2ZH80=")</f>
        <v>#REF!</v>
      </c>
      <c r="GY490" t="e">
        <f>AND(#REF!,"AAAAAH2ZH84=")</f>
        <v>#REF!</v>
      </c>
      <c r="GZ490" t="e">
        <f>AND(#REF!,"AAAAAH2ZH88=")</f>
        <v>#REF!</v>
      </c>
      <c r="HA490" t="e">
        <f>AND(#REF!,"AAAAAH2ZH9A=")</f>
        <v>#REF!</v>
      </c>
      <c r="HB490" t="e">
        <f>AND(#REF!,"AAAAAH2ZH9E=")</f>
        <v>#REF!</v>
      </c>
      <c r="HC490" t="e">
        <f>AND(#REF!,"AAAAAH2ZH9I=")</f>
        <v>#REF!</v>
      </c>
      <c r="HD490" t="e">
        <f>AND(#REF!,"AAAAAH2ZH9M=")</f>
        <v>#REF!</v>
      </c>
      <c r="HE490" t="e">
        <f>AND(#REF!,"AAAAAH2ZH9Q=")</f>
        <v>#REF!</v>
      </c>
      <c r="HF490" t="e">
        <f>AND(#REF!,"AAAAAH2ZH9U=")</f>
        <v>#REF!</v>
      </c>
      <c r="HG490" t="e">
        <f>AND(#REF!,"AAAAAH2ZH9Y=")</f>
        <v>#REF!</v>
      </c>
      <c r="HH490" t="e">
        <f>AND(#REF!,"AAAAAH2ZH9c=")</f>
        <v>#REF!</v>
      </c>
      <c r="HI490" t="e">
        <f>AND(#REF!,"AAAAAH2ZH9g=")</f>
        <v>#REF!</v>
      </c>
      <c r="HJ490" t="e">
        <f>AND(#REF!,"AAAAAH2ZH9k=")</f>
        <v>#REF!</v>
      </c>
      <c r="HK490" t="e">
        <f>AND(#REF!,"AAAAAH2ZH9o=")</f>
        <v>#REF!</v>
      </c>
      <c r="HL490" t="e">
        <f>AND(#REF!,"AAAAAH2ZH9s=")</f>
        <v>#REF!</v>
      </c>
      <c r="HM490" t="e">
        <f>AND(#REF!,"AAAAAH2ZH9w=")</f>
        <v>#REF!</v>
      </c>
      <c r="HN490" t="e">
        <f>AND(#REF!,"AAAAAH2ZH90=")</f>
        <v>#REF!</v>
      </c>
      <c r="HO490" t="e">
        <f>AND(#REF!,"AAAAAH2ZH94=")</f>
        <v>#REF!</v>
      </c>
      <c r="HP490" t="e">
        <f>AND(#REF!,"AAAAAH2ZH98=")</f>
        <v>#REF!</v>
      </c>
      <c r="HQ490" t="e">
        <f>AND(#REF!,"AAAAAH2ZH+A=")</f>
        <v>#REF!</v>
      </c>
      <c r="HR490" t="e">
        <f>AND(#REF!,"AAAAAH2ZH+E=")</f>
        <v>#REF!</v>
      </c>
      <c r="HS490" t="e">
        <f>IF(#REF!,"AAAAAH2ZH+I=",0)</f>
        <v>#REF!</v>
      </c>
      <c r="HT490" t="e">
        <f>AND(#REF!,"AAAAAH2ZH+M=")</f>
        <v>#REF!</v>
      </c>
      <c r="HU490" t="e">
        <f>AND(#REF!,"AAAAAH2ZH+Q=")</f>
        <v>#REF!</v>
      </c>
      <c r="HV490" t="e">
        <f>AND(#REF!,"AAAAAH2ZH+U=")</f>
        <v>#REF!</v>
      </c>
      <c r="HW490" t="e">
        <f>AND(#REF!,"AAAAAH2ZH+Y=")</f>
        <v>#REF!</v>
      </c>
      <c r="HX490" t="e">
        <f>AND(#REF!,"AAAAAH2ZH+c=")</f>
        <v>#REF!</v>
      </c>
      <c r="HY490" t="e">
        <f>AND(#REF!,"AAAAAH2ZH+g=")</f>
        <v>#REF!</v>
      </c>
      <c r="HZ490" t="e">
        <f>AND(#REF!,"AAAAAH2ZH+k=")</f>
        <v>#REF!</v>
      </c>
      <c r="IA490" t="e">
        <f>AND(#REF!,"AAAAAH2ZH+o=")</f>
        <v>#REF!</v>
      </c>
      <c r="IB490" t="e">
        <f>AND(#REF!,"AAAAAH2ZH+s=")</f>
        <v>#REF!</v>
      </c>
      <c r="IC490" t="e">
        <f>AND(#REF!,"AAAAAH2ZH+w=")</f>
        <v>#REF!</v>
      </c>
      <c r="ID490" t="e">
        <f>AND(#REF!,"AAAAAH2ZH+0=")</f>
        <v>#REF!</v>
      </c>
      <c r="IE490" t="e">
        <f>AND(#REF!,"AAAAAH2ZH+4=")</f>
        <v>#REF!</v>
      </c>
      <c r="IF490" t="e">
        <f>AND(#REF!,"AAAAAH2ZH+8=")</f>
        <v>#REF!</v>
      </c>
      <c r="IG490" t="e">
        <f>AND(#REF!,"AAAAAH2ZH/A=")</f>
        <v>#REF!</v>
      </c>
      <c r="IH490" t="e">
        <f>AND(#REF!,"AAAAAH2ZH/E=")</f>
        <v>#REF!</v>
      </c>
      <c r="II490" t="e">
        <f>AND(#REF!,"AAAAAH2ZH/I=")</f>
        <v>#REF!</v>
      </c>
      <c r="IJ490" t="e">
        <f>AND(#REF!,"AAAAAH2ZH/M=")</f>
        <v>#REF!</v>
      </c>
      <c r="IK490" t="e">
        <f>AND(#REF!,"AAAAAH2ZH/Q=")</f>
        <v>#REF!</v>
      </c>
      <c r="IL490" t="e">
        <f>AND(#REF!,"AAAAAH2ZH/U=")</f>
        <v>#REF!</v>
      </c>
      <c r="IM490" t="e">
        <f>AND(#REF!,"AAAAAH2ZH/Y=")</f>
        <v>#REF!</v>
      </c>
      <c r="IN490" t="e">
        <f>AND(#REF!,"AAAAAH2ZH/c=")</f>
        <v>#REF!</v>
      </c>
      <c r="IO490" t="e">
        <f>AND(#REF!,"AAAAAH2ZH/g=")</f>
        <v>#REF!</v>
      </c>
      <c r="IP490" t="e">
        <f>AND(#REF!,"AAAAAH2ZH/k=")</f>
        <v>#REF!</v>
      </c>
      <c r="IQ490" t="e">
        <f>AND(#REF!,"AAAAAH2ZH/o=")</f>
        <v>#REF!</v>
      </c>
      <c r="IR490" t="e">
        <f>IF(#REF!,"AAAAAH2ZH/s=",0)</f>
        <v>#REF!</v>
      </c>
      <c r="IS490" t="e">
        <f>AND(#REF!,"AAAAAH2ZH/w=")</f>
        <v>#REF!</v>
      </c>
      <c r="IT490" t="e">
        <f>AND(#REF!,"AAAAAH2ZH/0=")</f>
        <v>#REF!</v>
      </c>
      <c r="IU490" t="e">
        <f>AND(#REF!,"AAAAAH2ZH/4=")</f>
        <v>#REF!</v>
      </c>
      <c r="IV490" t="e">
        <f>AND(#REF!,"AAAAAH2ZH/8=")</f>
        <v>#REF!</v>
      </c>
    </row>
    <row r="491" spans="1:256">
      <c r="A491" t="e">
        <f>AND(#REF!,"AAAAAH/U/QA=")</f>
        <v>#REF!</v>
      </c>
      <c r="B491" t="e">
        <f>AND(#REF!,"AAAAAH/U/QE=")</f>
        <v>#REF!</v>
      </c>
      <c r="C491" t="e">
        <f>AND(#REF!,"AAAAAH/U/QI=")</f>
        <v>#REF!</v>
      </c>
      <c r="D491" t="e">
        <f>AND(#REF!,"AAAAAH/U/QM=")</f>
        <v>#REF!</v>
      </c>
      <c r="E491" t="e">
        <f>AND(#REF!,"AAAAAH/U/QQ=")</f>
        <v>#REF!</v>
      </c>
      <c r="F491" t="e">
        <f>AND(#REF!,"AAAAAH/U/QU=")</f>
        <v>#REF!</v>
      </c>
      <c r="G491" t="e">
        <f>AND(#REF!,"AAAAAH/U/QY=")</f>
        <v>#REF!</v>
      </c>
      <c r="H491" t="e">
        <f>AND(#REF!,"AAAAAH/U/Qc=")</f>
        <v>#REF!</v>
      </c>
      <c r="I491" t="e">
        <f>AND(#REF!,"AAAAAH/U/Qg=")</f>
        <v>#REF!</v>
      </c>
      <c r="J491" t="e">
        <f>AND(#REF!,"AAAAAH/U/Qk=")</f>
        <v>#REF!</v>
      </c>
      <c r="K491" t="e">
        <f>AND(#REF!,"AAAAAH/U/Qo=")</f>
        <v>#REF!</v>
      </c>
      <c r="L491" t="e">
        <f>AND(#REF!,"AAAAAH/U/Qs=")</f>
        <v>#REF!</v>
      </c>
      <c r="M491" t="e">
        <f>AND(#REF!,"AAAAAH/U/Qw=")</f>
        <v>#REF!</v>
      </c>
      <c r="N491" t="e">
        <f>AND(#REF!,"AAAAAH/U/Q0=")</f>
        <v>#REF!</v>
      </c>
      <c r="O491" t="e">
        <f>AND(#REF!,"AAAAAH/U/Q4=")</f>
        <v>#REF!</v>
      </c>
      <c r="P491" t="e">
        <f>AND(#REF!,"AAAAAH/U/Q8=")</f>
        <v>#REF!</v>
      </c>
      <c r="Q491" t="e">
        <f>AND(#REF!,"AAAAAH/U/RA=")</f>
        <v>#REF!</v>
      </c>
      <c r="R491" t="e">
        <f>AND(#REF!,"AAAAAH/U/RE=")</f>
        <v>#REF!</v>
      </c>
      <c r="S491" t="e">
        <f>AND(#REF!,"AAAAAH/U/RI=")</f>
        <v>#REF!</v>
      </c>
      <c r="T491" t="e">
        <f>AND(#REF!,"AAAAAH/U/RM=")</f>
        <v>#REF!</v>
      </c>
      <c r="U491" t="e">
        <f>IF(#REF!,"AAAAAH/U/RQ=",0)</f>
        <v>#REF!</v>
      </c>
      <c r="V491" t="e">
        <f>AND(#REF!,"AAAAAH/U/RU=")</f>
        <v>#REF!</v>
      </c>
      <c r="W491" t="e">
        <f>AND(#REF!,"AAAAAH/U/RY=")</f>
        <v>#REF!</v>
      </c>
      <c r="X491" t="e">
        <f>AND(#REF!,"AAAAAH/U/Rc=")</f>
        <v>#REF!</v>
      </c>
      <c r="Y491" t="e">
        <f>AND(#REF!,"AAAAAH/U/Rg=")</f>
        <v>#REF!</v>
      </c>
      <c r="Z491" t="e">
        <f>AND(#REF!,"AAAAAH/U/Rk=")</f>
        <v>#REF!</v>
      </c>
      <c r="AA491" t="e">
        <f>AND(#REF!,"AAAAAH/U/Ro=")</f>
        <v>#REF!</v>
      </c>
      <c r="AB491" t="e">
        <f>AND(#REF!,"AAAAAH/U/Rs=")</f>
        <v>#REF!</v>
      </c>
      <c r="AC491" t="e">
        <f>AND(#REF!,"AAAAAH/U/Rw=")</f>
        <v>#REF!</v>
      </c>
      <c r="AD491" t="e">
        <f>AND(#REF!,"AAAAAH/U/R0=")</f>
        <v>#REF!</v>
      </c>
      <c r="AE491" t="e">
        <f>AND(#REF!,"AAAAAH/U/R4=")</f>
        <v>#REF!</v>
      </c>
      <c r="AF491" t="e">
        <f>AND(#REF!,"AAAAAH/U/R8=")</f>
        <v>#REF!</v>
      </c>
      <c r="AG491" t="e">
        <f>AND(#REF!,"AAAAAH/U/SA=")</f>
        <v>#REF!</v>
      </c>
      <c r="AH491" t="e">
        <f>AND(#REF!,"AAAAAH/U/SE=")</f>
        <v>#REF!</v>
      </c>
      <c r="AI491" t="e">
        <f>AND(#REF!,"AAAAAH/U/SI=")</f>
        <v>#REF!</v>
      </c>
      <c r="AJ491" t="e">
        <f>AND(#REF!,"AAAAAH/U/SM=")</f>
        <v>#REF!</v>
      </c>
      <c r="AK491" t="e">
        <f>AND(#REF!,"AAAAAH/U/SQ=")</f>
        <v>#REF!</v>
      </c>
      <c r="AL491" t="e">
        <f>AND(#REF!,"AAAAAH/U/SU=")</f>
        <v>#REF!</v>
      </c>
      <c r="AM491" t="e">
        <f>AND(#REF!,"AAAAAH/U/SY=")</f>
        <v>#REF!</v>
      </c>
      <c r="AN491" t="e">
        <f>AND(#REF!,"AAAAAH/U/Sc=")</f>
        <v>#REF!</v>
      </c>
      <c r="AO491" t="e">
        <f>AND(#REF!,"AAAAAH/U/Sg=")</f>
        <v>#REF!</v>
      </c>
      <c r="AP491" t="e">
        <f>AND(#REF!,"AAAAAH/U/Sk=")</f>
        <v>#REF!</v>
      </c>
      <c r="AQ491" t="e">
        <f>AND(#REF!,"AAAAAH/U/So=")</f>
        <v>#REF!</v>
      </c>
      <c r="AR491" t="e">
        <f>AND(#REF!,"AAAAAH/U/Ss=")</f>
        <v>#REF!</v>
      </c>
      <c r="AS491" t="e">
        <f>AND(#REF!,"AAAAAH/U/Sw=")</f>
        <v>#REF!</v>
      </c>
      <c r="AT491" t="e">
        <f>IF(#REF!,"AAAAAH/U/S0=",0)</f>
        <v>#REF!</v>
      </c>
      <c r="AU491" t="e">
        <f>AND(#REF!,"AAAAAH/U/S4=")</f>
        <v>#REF!</v>
      </c>
      <c r="AV491" t="e">
        <f>AND(#REF!,"AAAAAH/U/S8=")</f>
        <v>#REF!</v>
      </c>
      <c r="AW491" t="e">
        <f>AND(#REF!,"AAAAAH/U/TA=")</f>
        <v>#REF!</v>
      </c>
      <c r="AX491" t="e">
        <f>AND(#REF!,"AAAAAH/U/TE=")</f>
        <v>#REF!</v>
      </c>
      <c r="AY491" t="e">
        <f>AND(#REF!,"AAAAAH/U/TI=")</f>
        <v>#REF!</v>
      </c>
      <c r="AZ491" t="e">
        <f>AND(#REF!,"AAAAAH/U/TM=")</f>
        <v>#REF!</v>
      </c>
      <c r="BA491" t="e">
        <f>AND(#REF!,"AAAAAH/U/TQ=")</f>
        <v>#REF!</v>
      </c>
      <c r="BB491" t="e">
        <f>AND(#REF!,"AAAAAH/U/TU=")</f>
        <v>#REF!</v>
      </c>
      <c r="BC491" t="e">
        <f>AND(#REF!,"AAAAAH/U/TY=")</f>
        <v>#REF!</v>
      </c>
      <c r="BD491" t="e">
        <f>AND(#REF!,"AAAAAH/U/Tc=")</f>
        <v>#REF!</v>
      </c>
      <c r="BE491" t="e">
        <f>AND(#REF!,"AAAAAH/U/Tg=")</f>
        <v>#REF!</v>
      </c>
      <c r="BF491" t="e">
        <f>AND(#REF!,"AAAAAH/U/Tk=")</f>
        <v>#REF!</v>
      </c>
      <c r="BG491" t="e">
        <f>AND(#REF!,"AAAAAH/U/To=")</f>
        <v>#REF!</v>
      </c>
      <c r="BH491" t="e">
        <f>AND(#REF!,"AAAAAH/U/Ts=")</f>
        <v>#REF!</v>
      </c>
      <c r="BI491" t="e">
        <f>AND(#REF!,"AAAAAH/U/Tw=")</f>
        <v>#REF!</v>
      </c>
      <c r="BJ491" t="e">
        <f>AND(#REF!,"AAAAAH/U/T0=")</f>
        <v>#REF!</v>
      </c>
      <c r="BK491" t="e">
        <f>AND(#REF!,"AAAAAH/U/T4=")</f>
        <v>#REF!</v>
      </c>
      <c r="BL491" t="e">
        <f>AND(#REF!,"AAAAAH/U/T8=")</f>
        <v>#REF!</v>
      </c>
      <c r="BM491" t="e">
        <f>AND(#REF!,"AAAAAH/U/UA=")</f>
        <v>#REF!</v>
      </c>
      <c r="BN491" t="e">
        <f>AND(#REF!,"AAAAAH/U/UE=")</f>
        <v>#REF!</v>
      </c>
      <c r="BO491" t="e">
        <f>AND(#REF!,"AAAAAH/U/UI=")</f>
        <v>#REF!</v>
      </c>
      <c r="BP491" t="e">
        <f>AND(#REF!,"AAAAAH/U/UM=")</f>
        <v>#REF!</v>
      </c>
      <c r="BQ491" t="e">
        <f>AND(#REF!,"AAAAAH/U/UQ=")</f>
        <v>#REF!</v>
      </c>
      <c r="BR491" t="e">
        <f>AND(#REF!,"AAAAAH/U/UU=")</f>
        <v>#REF!</v>
      </c>
      <c r="BS491" t="e">
        <f>IF(#REF!,"AAAAAH/U/UY=",0)</f>
        <v>#REF!</v>
      </c>
      <c r="BT491" t="e">
        <f>AND(#REF!,"AAAAAH/U/Uc=")</f>
        <v>#REF!</v>
      </c>
      <c r="BU491" t="e">
        <f>AND(#REF!,"AAAAAH/U/Ug=")</f>
        <v>#REF!</v>
      </c>
      <c r="BV491" t="e">
        <f>AND(#REF!,"AAAAAH/U/Uk=")</f>
        <v>#REF!</v>
      </c>
      <c r="BW491" t="e">
        <f>AND(#REF!,"AAAAAH/U/Uo=")</f>
        <v>#REF!</v>
      </c>
      <c r="BX491" t="e">
        <f>AND(#REF!,"AAAAAH/U/Us=")</f>
        <v>#REF!</v>
      </c>
      <c r="BY491" t="e">
        <f>AND(#REF!,"AAAAAH/U/Uw=")</f>
        <v>#REF!</v>
      </c>
      <c r="BZ491" t="e">
        <f>AND(#REF!,"AAAAAH/U/U0=")</f>
        <v>#REF!</v>
      </c>
      <c r="CA491" t="e">
        <f>AND(#REF!,"AAAAAH/U/U4=")</f>
        <v>#REF!</v>
      </c>
      <c r="CB491" t="e">
        <f>AND(#REF!,"AAAAAH/U/U8=")</f>
        <v>#REF!</v>
      </c>
      <c r="CC491" t="e">
        <f>AND(#REF!,"AAAAAH/U/VA=")</f>
        <v>#REF!</v>
      </c>
      <c r="CD491" t="e">
        <f>AND(#REF!,"AAAAAH/U/VE=")</f>
        <v>#REF!</v>
      </c>
      <c r="CE491" t="e">
        <f>AND(#REF!,"AAAAAH/U/VI=")</f>
        <v>#REF!</v>
      </c>
      <c r="CF491" t="e">
        <f>AND(#REF!,"AAAAAH/U/VM=")</f>
        <v>#REF!</v>
      </c>
      <c r="CG491" t="e">
        <f>AND(#REF!,"AAAAAH/U/VQ=")</f>
        <v>#REF!</v>
      </c>
      <c r="CH491" t="e">
        <f>AND(#REF!,"AAAAAH/U/VU=")</f>
        <v>#REF!</v>
      </c>
      <c r="CI491" t="e">
        <f>AND(#REF!,"AAAAAH/U/VY=")</f>
        <v>#REF!</v>
      </c>
      <c r="CJ491" t="e">
        <f>AND(#REF!,"AAAAAH/U/Vc=")</f>
        <v>#REF!</v>
      </c>
      <c r="CK491" t="e">
        <f>AND(#REF!,"AAAAAH/U/Vg=")</f>
        <v>#REF!</v>
      </c>
      <c r="CL491" t="e">
        <f>AND(#REF!,"AAAAAH/U/Vk=")</f>
        <v>#REF!</v>
      </c>
      <c r="CM491" t="e">
        <f>AND(#REF!,"AAAAAH/U/Vo=")</f>
        <v>#REF!</v>
      </c>
      <c r="CN491" t="e">
        <f>AND(#REF!,"AAAAAH/U/Vs=")</f>
        <v>#REF!</v>
      </c>
      <c r="CO491" t="e">
        <f>AND(#REF!,"AAAAAH/U/Vw=")</f>
        <v>#REF!</v>
      </c>
      <c r="CP491" t="e">
        <f>AND(#REF!,"AAAAAH/U/V0=")</f>
        <v>#REF!</v>
      </c>
      <c r="CQ491" t="e">
        <f>AND(#REF!,"AAAAAH/U/V4=")</f>
        <v>#REF!</v>
      </c>
      <c r="CR491" t="e">
        <f>IF(#REF!,"AAAAAH/U/V8=",0)</f>
        <v>#REF!</v>
      </c>
      <c r="CS491" t="e">
        <f>AND(#REF!,"AAAAAH/U/WA=")</f>
        <v>#REF!</v>
      </c>
      <c r="CT491" t="e">
        <f>AND(#REF!,"AAAAAH/U/WE=")</f>
        <v>#REF!</v>
      </c>
      <c r="CU491" t="e">
        <f>AND(#REF!,"AAAAAH/U/WI=")</f>
        <v>#REF!</v>
      </c>
      <c r="CV491" t="e">
        <f>AND(#REF!,"AAAAAH/U/WM=")</f>
        <v>#REF!</v>
      </c>
      <c r="CW491" t="e">
        <f>AND(#REF!,"AAAAAH/U/WQ=")</f>
        <v>#REF!</v>
      </c>
      <c r="CX491" t="e">
        <f>AND(#REF!,"AAAAAH/U/WU=")</f>
        <v>#REF!</v>
      </c>
      <c r="CY491" t="e">
        <f>AND(#REF!,"AAAAAH/U/WY=")</f>
        <v>#REF!</v>
      </c>
      <c r="CZ491" t="e">
        <f>AND(#REF!,"AAAAAH/U/Wc=")</f>
        <v>#REF!</v>
      </c>
      <c r="DA491" t="e">
        <f>AND(#REF!,"AAAAAH/U/Wg=")</f>
        <v>#REF!</v>
      </c>
      <c r="DB491" t="e">
        <f>AND(#REF!,"AAAAAH/U/Wk=")</f>
        <v>#REF!</v>
      </c>
      <c r="DC491" t="e">
        <f>AND(#REF!,"AAAAAH/U/Wo=")</f>
        <v>#REF!</v>
      </c>
      <c r="DD491" t="e">
        <f>AND(#REF!,"AAAAAH/U/Ws=")</f>
        <v>#REF!</v>
      </c>
      <c r="DE491" t="e">
        <f>AND(#REF!,"AAAAAH/U/Ww=")</f>
        <v>#REF!</v>
      </c>
      <c r="DF491" t="e">
        <f>AND(#REF!,"AAAAAH/U/W0=")</f>
        <v>#REF!</v>
      </c>
      <c r="DG491" t="e">
        <f>AND(#REF!,"AAAAAH/U/W4=")</f>
        <v>#REF!</v>
      </c>
      <c r="DH491" t="e">
        <f>AND(#REF!,"AAAAAH/U/W8=")</f>
        <v>#REF!</v>
      </c>
      <c r="DI491" t="e">
        <f>AND(#REF!,"AAAAAH/U/XA=")</f>
        <v>#REF!</v>
      </c>
      <c r="DJ491" t="e">
        <f>AND(#REF!,"AAAAAH/U/XE=")</f>
        <v>#REF!</v>
      </c>
      <c r="DK491" t="e">
        <f>AND(#REF!,"AAAAAH/U/XI=")</f>
        <v>#REF!</v>
      </c>
      <c r="DL491" t="e">
        <f>AND(#REF!,"AAAAAH/U/XM=")</f>
        <v>#REF!</v>
      </c>
      <c r="DM491" t="e">
        <f>AND(#REF!,"AAAAAH/U/XQ=")</f>
        <v>#REF!</v>
      </c>
      <c r="DN491" t="e">
        <f>AND(#REF!,"AAAAAH/U/XU=")</f>
        <v>#REF!</v>
      </c>
      <c r="DO491" t="e">
        <f>AND(#REF!,"AAAAAH/U/XY=")</f>
        <v>#REF!</v>
      </c>
      <c r="DP491" t="e">
        <f>AND(#REF!,"AAAAAH/U/Xc=")</f>
        <v>#REF!</v>
      </c>
      <c r="DQ491" t="e">
        <f>IF(#REF!,"AAAAAH/U/Xg=",0)</f>
        <v>#REF!</v>
      </c>
      <c r="DR491" t="e">
        <f>AND(#REF!,"AAAAAH/U/Xk=")</f>
        <v>#REF!</v>
      </c>
      <c r="DS491" t="e">
        <f>AND(#REF!,"AAAAAH/U/Xo=")</f>
        <v>#REF!</v>
      </c>
      <c r="DT491" t="e">
        <f>AND(#REF!,"AAAAAH/U/Xs=")</f>
        <v>#REF!</v>
      </c>
      <c r="DU491" t="e">
        <f>AND(#REF!,"AAAAAH/U/Xw=")</f>
        <v>#REF!</v>
      </c>
      <c r="DV491" t="e">
        <f>AND(#REF!,"AAAAAH/U/X0=")</f>
        <v>#REF!</v>
      </c>
      <c r="DW491" t="e">
        <f>AND(#REF!,"AAAAAH/U/X4=")</f>
        <v>#REF!</v>
      </c>
      <c r="DX491" t="e">
        <f>AND(#REF!,"AAAAAH/U/X8=")</f>
        <v>#REF!</v>
      </c>
      <c r="DY491" t="e">
        <f>AND(#REF!,"AAAAAH/U/YA=")</f>
        <v>#REF!</v>
      </c>
      <c r="DZ491" t="e">
        <f>AND(#REF!,"AAAAAH/U/YE=")</f>
        <v>#REF!</v>
      </c>
      <c r="EA491" t="e">
        <f>AND(#REF!,"AAAAAH/U/YI=")</f>
        <v>#REF!</v>
      </c>
      <c r="EB491" t="e">
        <f>AND(#REF!,"AAAAAH/U/YM=")</f>
        <v>#REF!</v>
      </c>
      <c r="EC491" t="e">
        <f>AND(#REF!,"AAAAAH/U/YQ=")</f>
        <v>#REF!</v>
      </c>
      <c r="ED491" t="e">
        <f>AND(#REF!,"AAAAAH/U/YU=")</f>
        <v>#REF!</v>
      </c>
      <c r="EE491" t="e">
        <f>AND(#REF!,"AAAAAH/U/YY=")</f>
        <v>#REF!</v>
      </c>
      <c r="EF491" t="e">
        <f>AND(#REF!,"AAAAAH/U/Yc=")</f>
        <v>#REF!</v>
      </c>
      <c r="EG491" t="e">
        <f>AND(#REF!,"AAAAAH/U/Yg=")</f>
        <v>#REF!</v>
      </c>
      <c r="EH491" t="e">
        <f>AND(#REF!,"AAAAAH/U/Yk=")</f>
        <v>#REF!</v>
      </c>
      <c r="EI491" t="e">
        <f>AND(#REF!,"AAAAAH/U/Yo=")</f>
        <v>#REF!</v>
      </c>
      <c r="EJ491" t="e">
        <f>AND(#REF!,"AAAAAH/U/Ys=")</f>
        <v>#REF!</v>
      </c>
      <c r="EK491" t="e">
        <f>AND(#REF!,"AAAAAH/U/Yw=")</f>
        <v>#REF!</v>
      </c>
      <c r="EL491" t="e">
        <f>AND(#REF!,"AAAAAH/U/Y0=")</f>
        <v>#REF!</v>
      </c>
      <c r="EM491" t="e">
        <f>AND(#REF!,"AAAAAH/U/Y4=")</f>
        <v>#REF!</v>
      </c>
      <c r="EN491" t="e">
        <f>AND(#REF!,"AAAAAH/U/Y8=")</f>
        <v>#REF!</v>
      </c>
      <c r="EO491" t="e">
        <f>AND(#REF!,"AAAAAH/U/ZA=")</f>
        <v>#REF!</v>
      </c>
      <c r="EP491" t="e">
        <f>IF(#REF!,"AAAAAH/U/ZE=",0)</f>
        <v>#REF!</v>
      </c>
      <c r="EQ491" t="e">
        <f>AND(#REF!,"AAAAAH/U/ZI=")</f>
        <v>#REF!</v>
      </c>
      <c r="ER491" t="e">
        <f>AND(#REF!,"AAAAAH/U/ZM=")</f>
        <v>#REF!</v>
      </c>
      <c r="ES491" t="e">
        <f>AND(#REF!,"AAAAAH/U/ZQ=")</f>
        <v>#REF!</v>
      </c>
      <c r="ET491" t="e">
        <f>AND(#REF!,"AAAAAH/U/ZU=")</f>
        <v>#REF!</v>
      </c>
      <c r="EU491" t="e">
        <f>AND(#REF!,"AAAAAH/U/ZY=")</f>
        <v>#REF!</v>
      </c>
      <c r="EV491" t="e">
        <f>AND(#REF!,"AAAAAH/U/Zc=")</f>
        <v>#REF!</v>
      </c>
      <c r="EW491" t="e">
        <f>AND(#REF!,"AAAAAH/U/Zg=")</f>
        <v>#REF!</v>
      </c>
      <c r="EX491" t="e">
        <f>AND(#REF!,"AAAAAH/U/Zk=")</f>
        <v>#REF!</v>
      </c>
      <c r="EY491" t="e">
        <f>AND(#REF!,"AAAAAH/U/Zo=")</f>
        <v>#REF!</v>
      </c>
      <c r="EZ491" t="e">
        <f>AND(#REF!,"AAAAAH/U/Zs=")</f>
        <v>#REF!</v>
      </c>
      <c r="FA491" t="e">
        <f>AND(#REF!,"AAAAAH/U/Zw=")</f>
        <v>#REF!</v>
      </c>
      <c r="FB491" t="e">
        <f>AND(#REF!,"AAAAAH/U/Z0=")</f>
        <v>#REF!</v>
      </c>
      <c r="FC491" t="e">
        <f>AND(#REF!,"AAAAAH/U/Z4=")</f>
        <v>#REF!</v>
      </c>
      <c r="FD491" t="e">
        <f>AND(#REF!,"AAAAAH/U/Z8=")</f>
        <v>#REF!</v>
      </c>
      <c r="FE491" t="e">
        <f>AND(#REF!,"AAAAAH/U/aA=")</f>
        <v>#REF!</v>
      </c>
      <c r="FF491" t="e">
        <f>AND(#REF!,"AAAAAH/U/aE=")</f>
        <v>#REF!</v>
      </c>
      <c r="FG491" t="e">
        <f>AND(#REF!,"AAAAAH/U/aI=")</f>
        <v>#REF!</v>
      </c>
      <c r="FH491" t="e">
        <f>AND(#REF!,"AAAAAH/U/aM=")</f>
        <v>#REF!</v>
      </c>
      <c r="FI491" t="e">
        <f>AND(#REF!,"AAAAAH/U/aQ=")</f>
        <v>#REF!</v>
      </c>
      <c r="FJ491" t="e">
        <f>AND(#REF!,"AAAAAH/U/aU=")</f>
        <v>#REF!</v>
      </c>
      <c r="FK491" t="e">
        <f>AND(#REF!,"AAAAAH/U/aY=")</f>
        <v>#REF!</v>
      </c>
      <c r="FL491" t="e">
        <f>AND(#REF!,"AAAAAH/U/ac=")</f>
        <v>#REF!</v>
      </c>
      <c r="FM491" t="e">
        <f>AND(#REF!,"AAAAAH/U/ag=")</f>
        <v>#REF!</v>
      </c>
      <c r="FN491" t="e">
        <f>AND(#REF!,"AAAAAH/U/ak=")</f>
        <v>#REF!</v>
      </c>
      <c r="FO491" t="e">
        <f>IF(#REF!,"AAAAAH/U/ao=",0)</f>
        <v>#REF!</v>
      </c>
      <c r="FP491" t="e">
        <f>AND(#REF!,"AAAAAH/U/as=")</f>
        <v>#REF!</v>
      </c>
      <c r="FQ491" t="e">
        <f>AND(#REF!,"AAAAAH/U/aw=")</f>
        <v>#REF!</v>
      </c>
      <c r="FR491" t="e">
        <f>AND(#REF!,"AAAAAH/U/a0=")</f>
        <v>#REF!</v>
      </c>
      <c r="FS491" t="e">
        <f>AND(#REF!,"AAAAAH/U/a4=")</f>
        <v>#REF!</v>
      </c>
      <c r="FT491" t="e">
        <f>AND(#REF!,"AAAAAH/U/a8=")</f>
        <v>#REF!</v>
      </c>
      <c r="FU491" t="e">
        <f>AND(#REF!,"AAAAAH/U/bA=")</f>
        <v>#REF!</v>
      </c>
      <c r="FV491" t="e">
        <f>AND(#REF!,"AAAAAH/U/bE=")</f>
        <v>#REF!</v>
      </c>
      <c r="FW491" t="e">
        <f>AND(#REF!,"AAAAAH/U/bI=")</f>
        <v>#REF!</v>
      </c>
      <c r="FX491" t="e">
        <f>AND(#REF!,"AAAAAH/U/bM=")</f>
        <v>#REF!</v>
      </c>
      <c r="FY491" t="e">
        <f>AND(#REF!,"AAAAAH/U/bQ=")</f>
        <v>#REF!</v>
      </c>
      <c r="FZ491" t="e">
        <f>AND(#REF!,"AAAAAH/U/bU=")</f>
        <v>#REF!</v>
      </c>
      <c r="GA491" t="e">
        <f>AND(#REF!,"AAAAAH/U/bY=")</f>
        <v>#REF!</v>
      </c>
      <c r="GB491" t="e">
        <f>AND(#REF!,"AAAAAH/U/bc=")</f>
        <v>#REF!</v>
      </c>
      <c r="GC491" t="e">
        <f>AND(#REF!,"AAAAAH/U/bg=")</f>
        <v>#REF!</v>
      </c>
      <c r="GD491" t="e">
        <f>AND(#REF!,"AAAAAH/U/bk=")</f>
        <v>#REF!</v>
      </c>
      <c r="GE491" t="e">
        <f>AND(#REF!,"AAAAAH/U/bo=")</f>
        <v>#REF!</v>
      </c>
      <c r="GF491" t="e">
        <f>AND(#REF!,"AAAAAH/U/bs=")</f>
        <v>#REF!</v>
      </c>
      <c r="GG491" t="e">
        <f>AND(#REF!,"AAAAAH/U/bw=")</f>
        <v>#REF!</v>
      </c>
      <c r="GH491" t="e">
        <f>AND(#REF!,"AAAAAH/U/b0=")</f>
        <v>#REF!</v>
      </c>
      <c r="GI491" t="e">
        <f>AND(#REF!,"AAAAAH/U/b4=")</f>
        <v>#REF!</v>
      </c>
      <c r="GJ491" t="e">
        <f>AND(#REF!,"AAAAAH/U/b8=")</f>
        <v>#REF!</v>
      </c>
      <c r="GK491" t="e">
        <f>AND(#REF!,"AAAAAH/U/cA=")</f>
        <v>#REF!</v>
      </c>
      <c r="GL491" t="e">
        <f>AND(#REF!,"AAAAAH/U/cE=")</f>
        <v>#REF!</v>
      </c>
      <c r="GM491" t="e">
        <f>AND(#REF!,"AAAAAH/U/cI=")</f>
        <v>#REF!</v>
      </c>
      <c r="GN491" t="e">
        <f>IF(#REF!,"AAAAAH/U/cM=",0)</f>
        <v>#REF!</v>
      </c>
      <c r="GO491" t="e">
        <f>AND(#REF!,"AAAAAH/U/cQ=")</f>
        <v>#REF!</v>
      </c>
      <c r="GP491" t="e">
        <f>AND(#REF!,"AAAAAH/U/cU=")</f>
        <v>#REF!</v>
      </c>
      <c r="GQ491" t="e">
        <f>AND(#REF!,"AAAAAH/U/cY=")</f>
        <v>#REF!</v>
      </c>
      <c r="GR491" t="e">
        <f>AND(#REF!,"AAAAAH/U/cc=")</f>
        <v>#REF!</v>
      </c>
      <c r="GS491" t="e">
        <f>AND(#REF!,"AAAAAH/U/cg=")</f>
        <v>#REF!</v>
      </c>
      <c r="GT491" t="e">
        <f>AND(#REF!,"AAAAAH/U/ck=")</f>
        <v>#REF!</v>
      </c>
      <c r="GU491" t="e">
        <f>AND(#REF!,"AAAAAH/U/co=")</f>
        <v>#REF!</v>
      </c>
      <c r="GV491" t="e">
        <f>AND(#REF!,"AAAAAH/U/cs=")</f>
        <v>#REF!</v>
      </c>
      <c r="GW491" t="e">
        <f>AND(#REF!,"AAAAAH/U/cw=")</f>
        <v>#REF!</v>
      </c>
      <c r="GX491" t="e">
        <f>AND(#REF!,"AAAAAH/U/c0=")</f>
        <v>#REF!</v>
      </c>
      <c r="GY491" t="e">
        <f>AND(#REF!,"AAAAAH/U/c4=")</f>
        <v>#REF!</v>
      </c>
      <c r="GZ491" t="e">
        <f>AND(#REF!,"AAAAAH/U/c8=")</f>
        <v>#REF!</v>
      </c>
      <c r="HA491" t="e">
        <f>AND(#REF!,"AAAAAH/U/dA=")</f>
        <v>#REF!</v>
      </c>
      <c r="HB491" t="e">
        <f>AND(#REF!,"AAAAAH/U/dE=")</f>
        <v>#REF!</v>
      </c>
      <c r="HC491" t="e">
        <f>AND(#REF!,"AAAAAH/U/dI=")</f>
        <v>#REF!</v>
      </c>
      <c r="HD491" t="e">
        <f>AND(#REF!,"AAAAAH/U/dM=")</f>
        <v>#REF!</v>
      </c>
      <c r="HE491" t="e">
        <f>AND(#REF!,"AAAAAH/U/dQ=")</f>
        <v>#REF!</v>
      </c>
      <c r="HF491" t="e">
        <f>AND(#REF!,"AAAAAH/U/dU=")</f>
        <v>#REF!</v>
      </c>
      <c r="HG491" t="e">
        <f>AND(#REF!,"AAAAAH/U/dY=")</f>
        <v>#REF!</v>
      </c>
      <c r="HH491" t="e">
        <f>AND(#REF!,"AAAAAH/U/dc=")</f>
        <v>#REF!</v>
      </c>
      <c r="HI491" t="e">
        <f>AND(#REF!,"AAAAAH/U/dg=")</f>
        <v>#REF!</v>
      </c>
      <c r="HJ491" t="e">
        <f>AND(#REF!,"AAAAAH/U/dk=")</f>
        <v>#REF!</v>
      </c>
      <c r="HK491" t="e">
        <f>AND(#REF!,"AAAAAH/U/do=")</f>
        <v>#REF!</v>
      </c>
      <c r="HL491" t="e">
        <f>AND(#REF!,"AAAAAH/U/ds=")</f>
        <v>#REF!</v>
      </c>
      <c r="HM491" t="e">
        <f>IF(#REF!,"AAAAAH/U/dw=",0)</f>
        <v>#REF!</v>
      </c>
      <c r="HN491" t="e">
        <f>AND(#REF!,"AAAAAH/U/d0=")</f>
        <v>#REF!</v>
      </c>
      <c r="HO491" t="e">
        <f>AND(#REF!,"AAAAAH/U/d4=")</f>
        <v>#REF!</v>
      </c>
      <c r="HP491" t="e">
        <f>AND(#REF!,"AAAAAH/U/d8=")</f>
        <v>#REF!</v>
      </c>
      <c r="HQ491" t="e">
        <f>AND(#REF!,"AAAAAH/U/eA=")</f>
        <v>#REF!</v>
      </c>
      <c r="HR491" t="e">
        <f>AND(#REF!,"AAAAAH/U/eE=")</f>
        <v>#REF!</v>
      </c>
      <c r="HS491" t="e">
        <f>AND(#REF!,"AAAAAH/U/eI=")</f>
        <v>#REF!</v>
      </c>
      <c r="HT491" t="e">
        <f>AND(#REF!,"AAAAAH/U/eM=")</f>
        <v>#REF!</v>
      </c>
      <c r="HU491" t="e">
        <f>AND(#REF!,"AAAAAH/U/eQ=")</f>
        <v>#REF!</v>
      </c>
      <c r="HV491" t="e">
        <f>AND(#REF!,"AAAAAH/U/eU=")</f>
        <v>#REF!</v>
      </c>
      <c r="HW491" t="e">
        <f>AND(#REF!,"AAAAAH/U/eY=")</f>
        <v>#REF!</v>
      </c>
      <c r="HX491" t="e">
        <f>AND(#REF!,"AAAAAH/U/ec=")</f>
        <v>#REF!</v>
      </c>
      <c r="HY491" t="e">
        <f>AND(#REF!,"AAAAAH/U/eg=")</f>
        <v>#REF!</v>
      </c>
      <c r="HZ491" t="e">
        <f>AND(#REF!,"AAAAAH/U/ek=")</f>
        <v>#REF!</v>
      </c>
      <c r="IA491" t="e">
        <f>AND(#REF!,"AAAAAH/U/eo=")</f>
        <v>#REF!</v>
      </c>
      <c r="IB491" t="e">
        <f>AND(#REF!,"AAAAAH/U/es=")</f>
        <v>#REF!</v>
      </c>
      <c r="IC491" t="e">
        <f>AND(#REF!,"AAAAAH/U/ew=")</f>
        <v>#REF!</v>
      </c>
      <c r="ID491" t="e">
        <f>AND(#REF!,"AAAAAH/U/e0=")</f>
        <v>#REF!</v>
      </c>
      <c r="IE491" t="e">
        <f>AND(#REF!,"AAAAAH/U/e4=")</f>
        <v>#REF!</v>
      </c>
      <c r="IF491" t="e">
        <f>AND(#REF!,"AAAAAH/U/e8=")</f>
        <v>#REF!</v>
      </c>
      <c r="IG491" t="e">
        <f>AND(#REF!,"AAAAAH/U/fA=")</f>
        <v>#REF!</v>
      </c>
      <c r="IH491" t="e">
        <f>AND(#REF!,"AAAAAH/U/fE=")</f>
        <v>#REF!</v>
      </c>
      <c r="II491" t="e">
        <f>AND(#REF!,"AAAAAH/U/fI=")</f>
        <v>#REF!</v>
      </c>
      <c r="IJ491" t="e">
        <f>AND(#REF!,"AAAAAH/U/fM=")</f>
        <v>#REF!</v>
      </c>
      <c r="IK491" t="e">
        <f>AND(#REF!,"AAAAAH/U/fQ=")</f>
        <v>#REF!</v>
      </c>
      <c r="IL491" t="e">
        <f>IF(#REF!,"AAAAAH/U/fU=",0)</f>
        <v>#REF!</v>
      </c>
      <c r="IM491" t="e">
        <f>AND(#REF!,"AAAAAH/U/fY=")</f>
        <v>#REF!</v>
      </c>
      <c r="IN491" t="e">
        <f>AND(#REF!,"AAAAAH/U/fc=")</f>
        <v>#REF!</v>
      </c>
      <c r="IO491" t="e">
        <f>AND(#REF!,"AAAAAH/U/fg=")</f>
        <v>#REF!</v>
      </c>
      <c r="IP491" t="e">
        <f>AND(#REF!,"AAAAAH/U/fk=")</f>
        <v>#REF!</v>
      </c>
      <c r="IQ491" t="e">
        <f>AND(#REF!,"AAAAAH/U/fo=")</f>
        <v>#REF!</v>
      </c>
      <c r="IR491" t="e">
        <f>AND(#REF!,"AAAAAH/U/fs=")</f>
        <v>#REF!</v>
      </c>
      <c r="IS491" t="e">
        <f>AND(#REF!,"AAAAAH/U/fw=")</f>
        <v>#REF!</v>
      </c>
      <c r="IT491" t="e">
        <f>AND(#REF!,"AAAAAH/U/f0=")</f>
        <v>#REF!</v>
      </c>
      <c r="IU491" t="e">
        <f>AND(#REF!,"AAAAAH/U/f4=")</f>
        <v>#REF!</v>
      </c>
      <c r="IV491" t="e">
        <f>AND(#REF!,"AAAAAH/U/f8=")</f>
        <v>#REF!</v>
      </c>
    </row>
    <row r="492" spans="1:256">
      <c r="A492" t="e">
        <f>AND(#REF!,"AAAAADd+fwA=")</f>
        <v>#REF!</v>
      </c>
      <c r="B492" t="e">
        <f>AND(#REF!,"AAAAADd+fwE=")</f>
        <v>#REF!</v>
      </c>
      <c r="C492" t="e">
        <f>AND(#REF!,"AAAAADd+fwI=")</f>
        <v>#REF!</v>
      </c>
      <c r="D492" t="e">
        <f>AND(#REF!,"AAAAADd+fwM=")</f>
        <v>#REF!</v>
      </c>
      <c r="E492" t="e">
        <f>AND(#REF!,"AAAAADd+fwQ=")</f>
        <v>#REF!</v>
      </c>
      <c r="F492" t="e">
        <f>AND(#REF!,"AAAAADd+fwU=")</f>
        <v>#REF!</v>
      </c>
      <c r="G492" t="e">
        <f>AND(#REF!,"AAAAADd+fwY=")</f>
        <v>#REF!</v>
      </c>
      <c r="H492" t="e">
        <f>AND(#REF!,"AAAAADd+fwc=")</f>
        <v>#REF!</v>
      </c>
      <c r="I492" t="e">
        <f>AND(#REF!,"AAAAADd+fwg=")</f>
        <v>#REF!</v>
      </c>
      <c r="J492" t="e">
        <f>AND(#REF!,"AAAAADd+fwk=")</f>
        <v>#REF!</v>
      </c>
      <c r="K492" t="e">
        <f>AND(#REF!,"AAAAADd+fwo=")</f>
        <v>#REF!</v>
      </c>
      <c r="L492" t="e">
        <f>AND(#REF!,"AAAAADd+fws=")</f>
        <v>#REF!</v>
      </c>
      <c r="M492" t="e">
        <f>AND(#REF!,"AAAAADd+fww=")</f>
        <v>#REF!</v>
      </c>
      <c r="N492" t="e">
        <f>AND(#REF!,"AAAAADd+fw0=")</f>
        <v>#REF!</v>
      </c>
      <c r="O492" t="e">
        <f>IF(#REF!,"AAAAADd+fw4=",0)</f>
        <v>#REF!</v>
      </c>
      <c r="P492" t="e">
        <f>AND(#REF!,"AAAAADd+fw8=")</f>
        <v>#REF!</v>
      </c>
      <c r="Q492" t="e">
        <f>AND(#REF!,"AAAAADd+fxA=")</f>
        <v>#REF!</v>
      </c>
      <c r="R492" t="e">
        <f>AND(#REF!,"AAAAADd+fxE=")</f>
        <v>#REF!</v>
      </c>
      <c r="S492" t="e">
        <f>AND(#REF!,"AAAAADd+fxI=")</f>
        <v>#REF!</v>
      </c>
      <c r="T492" t="e">
        <f>AND(#REF!,"AAAAADd+fxM=")</f>
        <v>#REF!</v>
      </c>
      <c r="U492" t="e">
        <f>AND(#REF!,"AAAAADd+fxQ=")</f>
        <v>#REF!</v>
      </c>
      <c r="V492" t="e">
        <f>AND(#REF!,"AAAAADd+fxU=")</f>
        <v>#REF!</v>
      </c>
      <c r="W492" t="e">
        <f>AND(#REF!,"AAAAADd+fxY=")</f>
        <v>#REF!</v>
      </c>
      <c r="X492" t="e">
        <f>AND(#REF!,"AAAAADd+fxc=")</f>
        <v>#REF!</v>
      </c>
      <c r="Y492" t="e">
        <f>AND(#REF!,"AAAAADd+fxg=")</f>
        <v>#REF!</v>
      </c>
      <c r="Z492" t="e">
        <f>AND(#REF!,"AAAAADd+fxk=")</f>
        <v>#REF!</v>
      </c>
      <c r="AA492" t="e">
        <f>AND(#REF!,"AAAAADd+fxo=")</f>
        <v>#REF!</v>
      </c>
      <c r="AB492" t="e">
        <f>AND(#REF!,"AAAAADd+fxs=")</f>
        <v>#REF!</v>
      </c>
      <c r="AC492" t="e">
        <f>AND(#REF!,"AAAAADd+fxw=")</f>
        <v>#REF!</v>
      </c>
      <c r="AD492" t="e">
        <f>AND(#REF!,"AAAAADd+fx0=")</f>
        <v>#REF!</v>
      </c>
      <c r="AE492" t="e">
        <f>AND(#REF!,"AAAAADd+fx4=")</f>
        <v>#REF!</v>
      </c>
      <c r="AF492" t="e">
        <f>AND(#REF!,"AAAAADd+fx8=")</f>
        <v>#REF!</v>
      </c>
      <c r="AG492" t="e">
        <f>AND(#REF!,"AAAAADd+fyA=")</f>
        <v>#REF!</v>
      </c>
      <c r="AH492" t="e">
        <f>AND(#REF!,"AAAAADd+fyE=")</f>
        <v>#REF!</v>
      </c>
      <c r="AI492" t="e">
        <f>AND(#REF!,"AAAAADd+fyI=")</f>
        <v>#REF!</v>
      </c>
      <c r="AJ492" t="e">
        <f>AND(#REF!,"AAAAADd+fyM=")</f>
        <v>#REF!</v>
      </c>
      <c r="AK492" t="e">
        <f>AND(#REF!,"AAAAADd+fyQ=")</f>
        <v>#REF!</v>
      </c>
      <c r="AL492" t="e">
        <f>AND(#REF!,"AAAAADd+fyU=")</f>
        <v>#REF!</v>
      </c>
      <c r="AM492" t="e">
        <f>AND(#REF!,"AAAAADd+fyY=")</f>
        <v>#REF!</v>
      </c>
      <c r="AN492" t="e">
        <f>IF(#REF!,"AAAAADd+fyc=",0)</f>
        <v>#REF!</v>
      </c>
      <c r="AO492" t="e">
        <f>AND(#REF!,"AAAAADd+fyg=")</f>
        <v>#REF!</v>
      </c>
      <c r="AP492" t="e">
        <f>AND(#REF!,"AAAAADd+fyk=")</f>
        <v>#REF!</v>
      </c>
      <c r="AQ492" t="e">
        <f>AND(#REF!,"AAAAADd+fyo=")</f>
        <v>#REF!</v>
      </c>
      <c r="AR492" t="e">
        <f>AND(#REF!,"AAAAADd+fys=")</f>
        <v>#REF!</v>
      </c>
      <c r="AS492" t="e">
        <f>AND(#REF!,"AAAAADd+fyw=")</f>
        <v>#REF!</v>
      </c>
      <c r="AT492" t="e">
        <f>AND(#REF!,"AAAAADd+fy0=")</f>
        <v>#REF!</v>
      </c>
      <c r="AU492" t="e">
        <f>AND(#REF!,"AAAAADd+fy4=")</f>
        <v>#REF!</v>
      </c>
      <c r="AV492" t="e">
        <f>AND(#REF!,"AAAAADd+fy8=")</f>
        <v>#REF!</v>
      </c>
      <c r="AW492" t="e">
        <f>AND(#REF!,"AAAAADd+fzA=")</f>
        <v>#REF!</v>
      </c>
      <c r="AX492" t="e">
        <f>AND(#REF!,"AAAAADd+fzE=")</f>
        <v>#REF!</v>
      </c>
      <c r="AY492" t="e">
        <f>AND(#REF!,"AAAAADd+fzI=")</f>
        <v>#REF!</v>
      </c>
      <c r="AZ492" t="e">
        <f>AND(#REF!,"AAAAADd+fzM=")</f>
        <v>#REF!</v>
      </c>
      <c r="BA492" t="e">
        <f>AND(#REF!,"AAAAADd+fzQ=")</f>
        <v>#REF!</v>
      </c>
      <c r="BB492" t="e">
        <f>AND(#REF!,"AAAAADd+fzU=")</f>
        <v>#REF!</v>
      </c>
      <c r="BC492" t="e">
        <f>AND(#REF!,"AAAAADd+fzY=")</f>
        <v>#REF!</v>
      </c>
      <c r="BD492" t="e">
        <f>AND(#REF!,"AAAAADd+fzc=")</f>
        <v>#REF!</v>
      </c>
      <c r="BE492" t="e">
        <f>AND(#REF!,"AAAAADd+fzg=")</f>
        <v>#REF!</v>
      </c>
      <c r="BF492" t="e">
        <f>AND(#REF!,"AAAAADd+fzk=")</f>
        <v>#REF!</v>
      </c>
      <c r="BG492" t="e">
        <f>AND(#REF!,"AAAAADd+fzo=")</f>
        <v>#REF!</v>
      </c>
      <c r="BH492" t="e">
        <f>AND(#REF!,"AAAAADd+fzs=")</f>
        <v>#REF!</v>
      </c>
      <c r="BI492" t="e">
        <f>AND(#REF!,"AAAAADd+fzw=")</f>
        <v>#REF!</v>
      </c>
      <c r="BJ492" t="e">
        <f>AND(#REF!,"AAAAADd+fz0=")</f>
        <v>#REF!</v>
      </c>
      <c r="BK492" t="e">
        <f>AND(#REF!,"AAAAADd+fz4=")</f>
        <v>#REF!</v>
      </c>
      <c r="BL492" t="e">
        <f>AND(#REF!,"AAAAADd+fz8=")</f>
        <v>#REF!</v>
      </c>
      <c r="BM492" t="e">
        <f>IF(#REF!,"AAAAADd+f0A=",0)</f>
        <v>#REF!</v>
      </c>
      <c r="BN492" t="e">
        <f>AND(#REF!,"AAAAADd+f0E=")</f>
        <v>#REF!</v>
      </c>
      <c r="BO492" t="e">
        <f>AND(#REF!,"AAAAADd+f0I=")</f>
        <v>#REF!</v>
      </c>
      <c r="BP492" t="e">
        <f>AND(#REF!,"AAAAADd+f0M=")</f>
        <v>#REF!</v>
      </c>
      <c r="BQ492" t="e">
        <f>AND(#REF!,"AAAAADd+f0Q=")</f>
        <v>#REF!</v>
      </c>
      <c r="BR492" t="e">
        <f>AND(#REF!,"AAAAADd+f0U=")</f>
        <v>#REF!</v>
      </c>
      <c r="BS492" t="e">
        <f>AND(#REF!,"AAAAADd+f0Y=")</f>
        <v>#REF!</v>
      </c>
      <c r="BT492" t="e">
        <f>AND(#REF!,"AAAAADd+f0c=")</f>
        <v>#REF!</v>
      </c>
      <c r="BU492" t="e">
        <f>AND(#REF!,"AAAAADd+f0g=")</f>
        <v>#REF!</v>
      </c>
      <c r="BV492" t="e">
        <f>AND(#REF!,"AAAAADd+f0k=")</f>
        <v>#REF!</v>
      </c>
      <c r="BW492" t="e">
        <f>AND(#REF!,"AAAAADd+f0o=")</f>
        <v>#REF!</v>
      </c>
      <c r="BX492" t="e">
        <f>AND(#REF!,"AAAAADd+f0s=")</f>
        <v>#REF!</v>
      </c>
      <c r="BY492" t="e">
        <f>AND(#REF!,"AAAAADd+f0w=")</f>
        <v>#REF!</v>
      </c>
      <c r="BZ492" t="e">
        <f>AND(#REF!,"AAAAADd+f00=")</f>
        <v>#REF!</v>
      </c>
      <c r="CA492" t="e">
        <f>AND(#REF!,"AAAAADd+f04=")</f>
        <v>#REF!</v>
      </c>
      <c r="CB492" t="e">
        <f>AND(#REF!,"AAAAADd+f08=")</f>
        <v>#REF!</v>
      </c>
      <c r="CC492" t="e">
        <f>AND(#REF!,"AAAAADd+f1A=")</f>
        <v>#REF!</v>
      </c>
      <c r="CD492" t="e">
        <f>AND(#REF!,"AAAAADd+f1E=")</f>
        <v>#REF!</v>
      </c>
      <c r="CE492" t="e">
        <f>AND(#REF!,"AAAAADd+f1I=")</f>
        <v>#REF!</v>
      </c>
      <c r="CF492" t="e">
        <f>AND(#REF!,"AAAAADd+f1M=")</f>
        <v>#REF!</v>
      </c>
      <c r="CG492" t="e">
        <f>AND(#REF!,"AAAAADd+f1Q=")</f>
        <v>#REF!</v>
      </c>
      <c r="CH492" t="e">
        <f>AND(#REF!,"AAAAADd+f1U=")</f>
        <v>#REF!</v>
      </c>
      <c r="CI492" t="e">
        <f>AND(#REF!,"AAAAADd+f1Y=")</f>
        <v>#REF!</v>
      </c>
      <c r="CJ492" t="e">
        <f>AND(#REF!,"AAAAADd+f1c=")</f>
        <v>#REF!</v>
      </c>
      <c r="CK492" t="e">
        <f>AND(#REF!,"AAAAADd+f1g=")</f>
        <v>#REF!</v>
      </c>
      <c r="CL492" t="e">
        <f>IF(#REF!,"AAAAADd+f1k=",0)</f>
        <v>#REF!</v>
      </c>
      <c r="CM492" t="e">
        <f>AND(#REF!,"AAAAADd+f1o=")</f>
        <v>#REF!</v>
      </c>
      <c r="CN492" t="e">
        <f>AND(#REF!,"AAAAADd+f1s=")</f>
        <v>#REF!</v>
      </c>
      <c r="CO492" t="e">
        <f>AND(#REF!,"AAAAADd+f1w=")</f>
        <v>#REF!</v>
      </c>
      <c r="CP492" t="e">
        <f>AND(#REF!,"AAAAADd+f10=")</f>
        <v>#REF!</v>
      </c>
      <c r="CQ492" t="e">
        <f>AND(#REF!,"AAAAADd+f14=")</f>
        <v>#REF!</v>
      </c>
      <c r="CR492" t="e">
        <f>AND(#REF!,"AAAAADd+f18=")</f>
        <v>#REF!</v>
      </c>
      <c r="CS492" t="e">
        <f>AND(#REF!,"AAAAADd+f2A=")</f>
        <v>#REF!</v>
      </c>
      <c r="CT492" t="e">
        <f>AND(#REF!,"AAAAADd+f2E=")</f>
        <v>#REF!</v>
      </c>
      <c r="CU492" t="e">
        <f>AND(#REF!,"AAAAADd+f2I=")</f>
        <v>#REF!</v>
      </c>
      <c r="CV492" t="e">
        <f>AND(#REF!,"AAAAADd+f2M=")</f>
        <v>#REF!</v>
      </c>
      <c r="CW492" t="e">
        <f>AND(#REF!,"AAAAADd+f2Q=")</f>
        <v>#REF!</v>
      </c>
      <c r="CX492" t="e">
        <f>AND(#REF!,"AAAAADd+f2U=")</f>
        <v>#REF!</v>
      </c>
      <c r="CY492" t="e">
        <f>AND(#REF!,"AAAAADd+f2Y=")</f>
        <v>#REF!</v>
      </c>
      <c r="CZ492" t="e">
        <f>AND(#REF!,"AAAAADd+f2c=")</f>
        <v>#REF!</v>
      </c>
      <c r="DA492" t="e">
        <f>AND(#REF!,"AAAAADd+f2g=")</f>
        <v>#REF!</v>
      </c>
      <c r="DB492" t="e">
        <f>AND(#REF!,"AAAAADd+f2k=")</f>
        <v>#REF!</v>
      </c>
      <c r="DC492" t="e">
        <f>AND(#REF!,"AAAAADd+f2o=")</f>
        <v>#REF!</v>
      </c>
      <c r="DD492" t="e">
        <f>AND(#REF!,"AAAAADd+f2s=")</f>
        <v>#REF!</v>
      </c>
      <c r="DE492" t="e">
        <f>AND(#REF!,"AAAAADd+f2w=")</f>
        <v>#REF!</v>
      </c>
      <c r="DF492" t="e">
        <f>AND(#REF!,"AAAAADd+f20=")</f>
        <v>#REF!</v>
      </c>
      <c r="DG492" t="e">
        <f>AND(#REF!,"AAAAADd+f24=")</f>
        <v>#REF!</v>
      </c>
      <c r="DH492" t="e">
        <f>AND(#REF!,"AAAAADd+f28=")</f>
        <v>#REF!</v>
      </c>
      <c r="DI492" t="e">
        <f>AND(#REF!,"AAAAADd+f3A=")</f>
        <v>#REF!</v>
      </c>
      <c r="DJ492" t="e">
        <f>AND(#REF!,"AAAAADd+f3E=")</f>
        <v>#REF!</v>
      </c>
      <c r="DK492" t="e">
        <f>IF(#REF!,"AAAAADd+f3I=",0)</f>
        <v>#REF!</v>
      </c>
      <c r="DL492" t="e">
        <f>AND(#REF!,"AAAAADd+f3M=")</f>
        <v>#REF!</v>
      </c>
      <c r="DM492" t="e">
        <f>AND(#REF!,"AAAAADd+f3Q=")</f>
        <v>#REF!</v>
      </c>
      <c r="DN492" t="e">
        <f>AND(#REF!,"AAAAADd+f3U=")</f>
        <v>#REF!</v>
      </c>
      <c r="DO492" t="e">
        <f>AND(#REF!,"AAAAADd+f3Y=")</f>
        <v>#REF!</v>
      </c>
      <c r="DP492" t="e">
        <f>AND(#REF!,"AAAAADd+f3c=")</f>
        <v>#REF!</v>
      </c>
      <c r="DQ492" t="e">
        <f>AND(#REF!,"AAAAADd+f3g=")</f>
        <v>#REF!</v>
      </c>
      <c r="DR492" t="e">
        <f>AND(#REF!,"AAAAADd+f3k=")</f>
        <v>#REF!</v>
      </c>
      <c r="DS492" t="e">
        <f>AND(#REF!,"AAAAADd+f3o=")</f>
        <v>#REF!</v>
      </c>
      <c r="DT492" t="e">
        <f>AND(#REF!,"AAAAADd+f3s=")</f>
        <v>#REF!</v>
      </c>
      <c r="DU492" t="e">
        <f>AND(#REF!,"AAAAADd+f3w=")</f>
        <v>#REF!</v>
      </c>
      <c r="DV492" t="e">
        <f>AND(#REF!,"AAAAADd+f30=")</f>
        <v>#REF!</v>
      </c>
      <c r="DW492" t="e">
        <f>AND(#REF!,"AAAAADd+f34=")</f>
        <v>#REF!</v>
      </c>
      <c r="DX492" t="e">
        <f>AND(#REF!,"AAAAADd+f38=")</f>
        <v>#REF!</v>
      </c>
      <c r="DY492" t="e">
        <f>AND(#REF!,"AAAAADd+f4A=")</f>
        <v>#REF!</v>
      </c>
      <c r="DZ492" t="e">
        <f>AND(#REF!,"AAAAADd+f4E=")</f>
        <v>#REF!</v>
      </c>
      <c r="EA492" t="e">
        <f>AND(#REF!,"AAAAADd+f4I=")</f>
        <v>#REF!</v>
      </c>
      <c r="EB492" t="e">
        <f>AND(#REF!,"AAAAADd+f4M=")</f>
        <v>#REF!</v>
      </c>
      <c r="EC492" t="e">
        <f>AND(#REF!,"AAAAADd+f4Q=")</f>
        <v>#REF!</v>
      </c>
      <c r="ED492" t="e">
        <f>AND(#REF!,"AAAAADd+f4U=")</f>
        <v>#REF!</v>
      </c>
      <c r="EE492" t="e">
        <f>AND(#REF!,"AAAAADd+f4Y=")</f>
        <v>#REF!</v>
      </c>
      <c r="EF492" t="e">
        <f>AND(#REF!,"AAAAADd+f4c=")</f>
        <v>#REF!</v>
      </c>
      <c r="EG492" t="e">
        <f>AND(#REF!,"AAAAADd+f4g=")</f>
        <v>#REF!</v>
      </c>
      <c r="EH492" t="e">
        <f>AND(#REF!,"AAAAADd+f4k=")</f>
        <v>#REF!</v>
      </c>
      <c r="EI492" t="e">
        <f>AND(#REF!,"AAAAADd+f4o=")</f>
        <v>#REF!</v>
      </c>
      <c r="EJ492" t="e">
        <f>IF(#REF!,"AAAAADd+f4s=",0)</f>
        <v>#REF!</v>
      </c>
      <c r="EK492" t="e">
        <f>AND(#REF!,"AAAAADd+f4w=")</f>
        <v>#REF!</v>
      </c>
      <c r="EL492" t="e">
        <f>AND(#REF!,"AAAAADd+f40=")</f>
        <v>#REF!</v>
      </c>
      <c r="EM492" t="e">
        <f>AND(#REF!,"AAAAADd+f44=")</f>
        <v>#REF!</v>
      </c>
      <c r="EN492" t="e">
        <f>AND(#REF!,"AAAAADd+f48=")</f>
        <v>#REF!</v>
      </c>
      <c r="EO492" t="e">
        <f>AND(#REF!,"AAAAADd+f5A=")</f>
        <v>#REF!</v>
      </c>
      <c r="EP492" t="e">
        <f>AND(#REF!,"AAAAADd+f5E=")</f>
        <v>#REF!</v>
      </c>
      <c r="EQ492" t="e">
        <f>AND(#REF!,"AAAAADd+f5I=")</f>
        <v>#REF!</v>
      </c>
      <c r="ER492" t="e">
        <f>AND(#REF!,"AAAAADd+f5M=")</f>
        <v>#REF!</v>
      </c>
      <c r="ES492" t="e">
        <f>AND(#REF!,"AAAAADd+f5Q=")</f>
        <v>#REF!</v>
      </c>
      <c r="ET492" t="e">
        <f>AND(#REF!,"AAAAADd+f5U=")</f>
        <v>#REF!</v>
      </c>
      <c r="EU492" t="e">
        <f>AND(#REF!,"AAAAADd+f5Y=")</f>
        <v>#REF!</v>
      </c>
      <c r="EV492" t="e">
        <f>AND(#REF!,"AAAAADd+f5c=")</f>
        <v>#REF!</v>
      </c>
      <c r="EW492" t="e">
        <f>AND(#REF!,"AAAAADd+f5g=")</f>
        <v>#REF!</v>
      </c>
      <c r="EX492" t="e">
        <f>AND(#REF!,"AAAAADd+f5k=")</f>
        <v>#REF!</v>
      </c>
      <c r="EY492" t="e">
        <f>AND(#REF!,"AAAAADd+f5o=")</f>
        <v>#REF!</v>
      </c>
      <c r="EZ492" t="e">
        <f>AND(#REF!,"AAAAADd+f5s=")</f>
        <v>#REF!</v>
      </c>
      <c r="FA492" t="e">
        <f>AND(#REF!,"AAAAADd+f5w=")</f>
        <v>#REF!</v>
      </c>
      <c r="FB492" t="e">
        <f>AND(#REF!,"AAAAADd+f50=")</f>
        <v>#REF!</v>
      </c>
      <c r="FC492" t="e">
        <f>AND(#REF!,"AAAAADd+f54=")</f>
        <v>#REF!</v>
      </c>
      <c r="FD492" t="e">
        <f>AND(#REF!,"AAAAADd+f58=")</f>
        <v>#REF!</v>
      </c>
      <c r="FE492" t="e">
        <f>AND(#REF!,"AAAAADd+f6A=")</f>
        <v>#REF!</v>
      </c>
      <c r="FF492" t="e">
        <f>AND(#REF!,"AAAAADd+f6E=")</f>
        <v>#REF!</v>
      </c>
      <c r="FG492" t="e">
        <f>AND(#REF!,"AAAAADd+f6I=")</f>
        <v>#REF!</v>
      </c>
      <c r="FH492" t="e">
        <f>AND(#REF!,"AAAAADd+f6M=")</f>
        <v>#REF!</v>
      </c>
      <c r="FI492" t="e">
        <f>IF(#REF!,"AAAAADd+f6Q=",0)</f>
        <v>#REF!</v>
      </c>
      <c r="FJ492" t="e">
        <f>AND(#REF!,"AAAAADd+f6U=")</f>
        <v>#REF!</v>
      </c>
      <c r="FK492" t="e">
        <f>AND(#REF!,"AAAAADd+f6Y=")</f>
        <v>#REF!</v>
      </c>
      <c r="FL492" t="e">
        <f>AND(#REF!,"AAAAADd+f6c=")</f>
        <v>#REF!</v>
      </c>
      <c r="FM492" t="e">
        <f>AND(#REF!,"AAAAADd+f6g=")</f>
        <v>#REF!</v>
      </c>
      <c r="FN492" t="e">
        <f>AND(#REF!,"AAAAADd+f6k=")</f>
        <v>#REF!</v>
      </c>
      <c r="FO492" t="e">
        <f>AND(#REF!,"AAAAADd+f6o=")</f>
        <v>#REF!</v>
      </c>
      <c r="FP492" t="e">
        <f>AND(#REF!,"AAAAADd+f6s=")</f>
        <v>#REF!</v>
      </c>
      <c r="FQ492" t="e">
        <f>AND(#REF!,"AAAAADd+f6w=")</f>
        <v>#REF!</v>
      </c>
      <c r="FR492" t="e">
        <f>AND(#REF!,"AAAAADd+f60=")</f>
        <v>#REF!</v>
      </c>
      <c r="FS492" t="e">
        <f>AND(#REF!,"AAAAADd+f64=")</f>
        <v>#REF!</v>
      </c>
      <c r="FT492" t="e">
        <f>AND(#REF!,"AAAAADd+f68=")</f>
        <v>#REF!</v>
      </c>
      <c r="FU492" t="e">
        <f>AND(#REF!,"AAAAADd+f7A=")</f>
        <v>#REF!</v>
      </c>
      <c r="FV492" t="e">
        <f>AND(#REF!,"AAAAADd+f7E=")</f>
        <v>#REF!</v>
      </c>
      <c r="FW492" t="e">
        <f>AND(#REF!,"AAAAADd+f7I=")</f>
        <v>#REF!</v>
      </c>
      <c r="FX492" t="e">
        <f>AND(#REF!,"AAAAADd+f7M=")</f>
        <v>#REF!</v>
      </c>
      <c r="FY492" t="e">
        <f>AND(#REF!,"AAAAADd+f7Q=")</f>
        <v>#REF!</v>
      </c>
      <c r="FZ492" t="e">
        <f>AND(#REF!,"AAAAADd+f7U=")</f>
        <v>#REF!</v>
      </c>
      <c r="GA492" t="e">
        <f>AND(#REF!,"AAAAADd+f7Y=")</f>
        <v>#REF!</v>
      </c>
      <c r="GB492" t="e">
        <f>AND(#REF!,"AAAAADd+f7c=")</f>
        <v>#REF!</v>
      </c>
      <c r="GC492" t="e">
        <f>AND(#REF!,"AAAAADd+f7g=")</f>
        <v>#REF!</v>
      </c>
      <c r="GD492" t="e">
        <f>AND(#REF!,"AAAAADd+f7k=")</f>
        <v>#REF!</v>
      </c>
      <c r="GE492" t="e">
        <f>AND(#REF!,"AAAAADd+f7o=")</f>
        <v>#REF!</v>
      </c>
      <c r="GF492" t="e">
        <f>AND(#REF!,"AAAAADd+f7s=")</f>
        <v>#REF!</v>
      </c>
      <c r="GG492" t="e">
        <f>AND(#REF!,"AAAAADd+f7w=")</f>
        <v>#REF!</v>
      </c>
      <c r="GH492" t="e">
        <f>IF(#REF!,"AAAAADd+f70=",0)</f>
        <v>#REF!</v>
      </c>
      <c r="GI492" t="e">
        <f>AND(#REF!,"AAAAADd+f74=")</f>
        <v>#REF!</v>
      </c>
      <c r="GJ492" t="e">
        <f>AND(#REF!,"AAAAADd+f78=")</f>
        <v>#REF!</v>
      </c>
      <c r="GK492" t="e">
        <f>AND(#REF!,"AAAAADd+f8A=")</f>
        <v>#REF!</v>
      </c>
      <c r="GL492" t="e">
        <f>AND(#REF!,"AAAAADd+f8E=")</f>
        <v>#REF!</v>
      </c>
      <c r="GM492" t="e">
        <f>AND(#REF!,"AAAAADd+f8I=")</f>
        <v>#REF!</v>
      </c>
      <c r="GN492" t="e">
        <f>AND(#REF!,"AAAAADd+f8M=")</f>
        <v>#REF!</v>
      </c>
      <c r="GO492" t="e">
        <f>AND(#REF!,"AAAAADd+f8Q=")</f>
        <v>#REF!</v>
      </c>
      <c r="GP492" t="e">
        <f>AND(#REF!,"AAAAADd+f8U=")</f>
        <v>#REF!</v>
      </c>
      <c r="GQ492" t="e">
        <f>AND(#REF!,"AAAAADd+f8Y=")</f>
        <v>#REF!</v>
      </c>
      <c r="GR492" t="e">
        <f>AND(#REF!,"AAAAADd+f8c=")</f>
        <v>#REF!</v>
      </c>
      <c r="GS492" t="e">
        <f>AND(#REF!,"AAAAADd+f8g=")</f>
        <v>#REF!</v>
      </c>
      <c r="GT492" t="e">
        <f>AND(#REF!,"AAAAADd+f8k=")</f>
        <v>#REF!</v>
      </c>
      <c r="GU492" t="e">
        <f>AND(#REF!,"AAAAADd+f8o=")</f>
        <v>#REF!</v>
      </c>
      <c r="GV492" t="e">
        <f>AND(#REF!,"AAAAADd+f8s=")</f>
        <v>#REF!</v>
      </c>
      <c r="GW492" t="e">
        <f>AND(#REF!,"AAAAADd+f8w=")</f>
        <v>#REF!</v>
      </c>
      <c r="GX492" t="e">
        <f>AND(#REF!,"AAAAADd+f80=")</f>
        <v>#REF!</v>
      </c>
      <c r="GY492" t="e">
        <f>AND(#REF!,"AAAAADd+f84=")</f>
        <v>#REF!</v>
      </c>
      <c r="GZ492" t="e">
        <f>AND(#REF!,"AAAAADd+f88=")</f>
        <v>#REF!</v>
      </c>
      <c r="HA492" t="e">
        <f>AND(#REF!,"AAAAADd+f9A=")</f>
        <v>#REF!</v>
      </c>
      <c r="HB492" t="e">
        <f>AND(#REF!,"AAAAADd+f9E=")</f>
        <v>#REF!</v>
      </c>
      <c r="HC492" t="e">
        <f>AND(#REF!,"AAAAADd+f9I=")</f>
        <v>#REF!</v>
      </c>
      <c r="HD492" t="e">
        <f>AND(#REF!,"AAAAADd+f9M=")</f>
        <v>#REF!</v>
      </c>
      <c r="HE492" t="e">
        <f>AND(#REF!,"AAAAADd+f9Q=")</f>
        <v>#REF!</v>
      </c>
      <c r="HF492" t="e">
        <f>AND(#REF!,"AAAAADd+f9U=")</f>
        <v>#REF!</v>
      </c>
      <c r="HG492" t="e">
        <f>IF(#REF!,"AAAAADd+f9Y=",0)</f>
        <v>#REF!</v>
      </c>
      <c r="HH492" t="e">
        <f>AND(#REF!,"AAAAADd+f9c=")</f>
        <v>#REF!</v>
      </c>
      <c r="HI492" t="e">
        <f>AND(#REF!,"AAAAADd+f9g=")</f>
        <v>#REF!</v>
      </c>
      <c r="HJ492" t="e">
        <f>AND(#REF!,"AAAAADd+f9k=")</f>
        <v>#REF!</v>
      </c>
      <c r="HK492" t="e">
        <f>AND(#REF!,"AAAAADd+f9o=")</f>
        <v>#REF!</v>
      </c>
      <c r="HL492" t="e">
        <f>AND(#REF!,"AAAAADd+f9s=")</f>
        <v>#REF!</v>
      </c>
      <c r="HM492" t="e">
        <f>AND(#REF!,"AAAAADd+f9w=")</f>
        <v>#REF!</v>
      </c>
      <c r="HN492" t="e">
        <f>AND(#REF!,"AAAAADd+f90=")</f>
        <v>#REF!</v>
      </c>
      <c r="HO492" t="e">
        <f>AND(#REF!,"AAAAADd+f94=")</f>
        <v>#REF!</v>
      </c>
      <c r="HP492" t="e">
        <f>AND(#REF!,"AAAAADd+f98=")</f>
        <v>#REF!</v>
      </c>
      <c r="HQ492" t="e">
        <f>AND(#REF!,"AAAAADd+f+A=")</f>
        <v>#REF!</v>
      </c>
      <c r="HR492" t="e">
        <f>AND(#REF!,"AAAAADd+f+E=")</f>
        <v>#REF!</v>
      </c>
      <c r="HS492" t="e">
        <f>AND(#REF!,"AAAAADd+f+I=")</f>
        <v>#REF!</v>
      </c>
      <c r="HT492" t="e">
        <f>AND(#REF!,"AAAAADd+f+M=")</f>
        <v>#REF!</v>
      </c>
      <c r="HU492" t="e">
        <f>AND(#REF!,"AAAAADd+f+Q=")</f>
        <v>#REF!</v>
      </c>
      <c r="HV492" t="e">
        <f>AND(#REF!,"AAAAADd+f+U=")</f>
        <v>#REF!</v>
      </c>
      <c r="HW492" t="e">
        <f>AND(#REF!,"AAAAADd+f+Y=")</f>
        <v>#REF!</v>
      </c>
      <c r="HX492" t="e">
        <f>AND(#REF!,"AAAAADd+f+c=")</f>
        <v>#REF!</v>
      </c>
      <c r="HY492" t="e">
        <f>AND(#REF!,"AAAAADd+f+g=")</f>
        <v>#REF!</v>
      </c>
      <c r="HZ492" t="e">
        <f>AND(#REF!,"AAAAADd+f+k=")</f>
        <v>#REF!</v>
      </c>
      <c r="IA492" t="e">
        <f>AND(#REF!,"AAAAADd+f+o=")</f>
        <v>#REF!</v>
      </c>
      <c r="IB492" t="e">
        <f>AND(#REF!,"AAAAADd+f+s=")</f>
        <v>#REF!</v>
      </c>
      <c r="IC492" t="e">
        <f>AND(#REF!,"AAAAADd+f+w=")</f>
        <v>#REF!</v>
      </c>
      <c r="ID492" t="e">
        <f>AND(#REF!,"AAAAADd+f+0=")</f>
        <v>#REF!</v>
      </c>
      <c r="IE492" t="e">
        <f>AND(#REF!,"AAAAADd+f+4=")</f>
        <v>#REF!</v>
      </c>
      <c r="IF492" t="e">
        <f>IF(#REF!,"AAAAADd+f+8=",0)</f>
        <v>#REF!</v>
      </c>
      <c r="IG492" t="e">
        <f>AND(#REF!,"AAAAADd+f/A=")</f>
        <v>#REF!</v>
      </c>
      <c r="IH492" t="e">
        <f>AND(#REF!,"AAAAADd+f/E=")</f>
        <v>#REF!</v>
      </c>
      <c r="II492" t="e">
        <f>AND(#REF!,"AAAAADd+f/I=")</f>
        <v>#REF!</v>
      </c>
      <c r="IJ492" t="e">
        <f>AND(#REF!,"AAAAADd+f/M=")</f>
        <v>#REF!</v>
      </c>
      <c r="IK492" t="e">
        <f>AND(#REF!,"AAAAADd+f/Q=")</f>
        <v>#REF!</v>
      </c>
      <c r="IL492" t="e">
        <f>AND(#REF!,"AAAAADd+f/U=")</f>
        <v>#REF!</v>
      </c>
      <c r="IM492" t="e">
        <f>AND(#REF!,"AAAAADd+f/Y=")</f>
        <v>#REF!</v>
      </c>
      <c r="IN492" t="e">
        <f>AND(#REF!,"AAAAADd+f/c=")</f>
        <v>#REF!</v>
      </c>
      <c r="IO492" t="e">
        <f>AND(#REF!,"AAAAADd+f/g=")</f>
        <v>#REF!</v>
      </c>
      <c r="IP492" t="e">
        <f>AND(#REF!,"AAAAADd+f/k=")</f>
        <v>#REF!</v>
      </c>
      <c r="IQ492" t="e">
        <f>AND(#REF!,"AAAAADd+f/o=")</f>
        <v>#REF!</v>
      </c>
      <c r="IR492" t="e">
        <f>AND(#REF!,"AAAAADd+f/s=")</f>
        <v>#REF!</v>
      </c>
      <c r="IS492" t="e">
        <f>AND(#REF!,"AAAAADd+f/w=")</f>
        <v>#REF!</v>
      </c>
      <c r="IT492" t="e">
        <f>AND(#REF!,"AAAAADd+f/0=")</f>
        <v>#REF!</v>
      </c>
      <c r="IU492" t="e">
        <f>AND(#REF!,"AAAAADd+f/4=")</f>
        <v>#REF!</v>
      </c>
      <c r="IV492" t="e">
        <f>AND(#REF!,"AAAAADd+f/8=")</f>
        <v>#REF!</v>
      </c>
    </row>
    <row r="493" spans="1:256">
      <c r="A493" t="e">
        <f>AND(#REF!,"AAAAAHL9ugA=")</f>
        <v>#REF!</v>
      </c>
      <c r="B493" t="e">
        <f>AND(#REF!,"AAAAAHL9ugE=")</f>
        <v>#REF!</v>
      </c>
      <c r="C493" t="e">
        <f>AND(#REF!,"AAAAAHL9ugI=")</f>
        <v>#REF!</v>
      </c>
      <c r="D493" t="e">
        <f>AND(#REF!,"AAAAAHL9ugM=")</f>
        <v>#REF!</v>
      </c>
      <c r="E493" t="e">
        <f>AND(#REF!,"AAAAAHL9ugQ=")</f>
        <v>#REF!</v>
      </c>
      <c r="F493" t="e">
        <f>AND(#REF!,"AAAAAHL9ugU=")</f>
        <v>#REF!</v>
      </c>
      <c r="G493" t="e">
        <f>AND(#REF!,"AAAAAHL9ugY=")</f>
        <v>#REF!</v>
      </c>
      <c r="H493" t="e">
        <f>AND(#REF!,"AAAAAHL9ugc=")</f>
        <v>#REF!</v>
      </c>
      <c r="I493" t="e">
        <f>IF(#REF!,"AAAAAHL9ugg=",0)</f>
        <v>#REF!</v>
      </c>
      <c r="J493" t="e">
        <f>AND(#REF!,"AAAAAHL9ugk=")</f>
        <v>#REF!</v>
      </c>
      <c r="K493" t="e">
        <f>AND(#REF!,"AAAAAHL9ugo=")</f>
        <v>#REF!</v>
      </c>
      <c r="L493" t="e">
        <f>AND(#REF!,"AAAAAHL9ugs=")</f>
        <v>#REF!</v>
      </c>
      <c r="M493" t="e">
        <f>AND(#REF!,"AAAAAHL9ugw=")</f>
        <v>#REF!</v>
      </c>
      <c r="N493" t="e">
        <f>AND(#REF!,"AAAAAHL9ug0=")</f>
        <v>#REF!</v>
      </c>
      <c r="O493" t="e">
        <f>AND(#REF!,"AAAAAHL9ug4=")</f>
        <v>#REF!</v>
      </c>
      <c r="P493" t="e">
        <f>AND(#REF!,"AAAAAHL9ug8=")</f>
        <v>#REF!</v>
      </c>
      <c r="Q493" t="e">
        <f>AND(#REF!,"AAAAAHL9uhA=")</f>
        <v>#REF!</v>
      </c>
      <c r="R493" t="e">
        <f>AND(#REF!,"AAAAAHL9uhE=")</f>
        <v>#REF!</v>
      </c>
      <c r="S493" t="e">
        <f>AND(#REF!,"AAAAAHL9uhI=")</f>
        <v>#REF!</v>
      </c>
      <c r="T493" t="e">
        <f>AND(#REF!,"AAAAAHL9uhM=")</f>
        <v>#REF!</v>
      </c>
      <c r="U493" t="e">
        <f>AND(#REF!,"AAAAAHL9uhQ=")</f>
        <v>#REF!</v>
      </c>
      <c r="V493" t="e">
        <f>AND(#REF!,"AAAAAHL9uhU=")</f>
        <v>#REF!</v>
      </c>
      <c r="W493" t="e">
        <f>AND(#REF!,"AAAAAHL9uhY=")</f>
        <v>#REF!</v>
      </c>
      <c r="X493" t="e">
        <f>AND(#REF!,"AAAAAHL9uhc=")</f>
        <v>#REF!</v>
      </c>
      <c r="Y493" t="e">
        <f>AND(#REF!,"AAAAAHL9uhg=")</f>
        <v>#REF!</v>
      </c>
      <c r="Z493" t="e">
        <f>AND(#REF!,"AAAAAHL9uhk=")</f>
        <v>#REF!</v>
      </c>
      <c r="AA493" t="e">
        <f>AND(#REF!,"AAAAAHL9uho=")</f>
        <v>#REF!</v>
      </c>
      <c r="AB493" t="e">
        <f>AND(#REF!,"AAAAAHL9uhs=")</f>
        <v>#REF!</v>
      </c>
      <c r="AC493" t="e">
        <f>AND(#REF!,"AAAAAHL9uhw=")</f>
        <v>#REF!</v>
      </c>
      <c r="AD493" t="e">
        <f>AND(#REF!,"AAAAAHL9uh0=")</f>
        <v>#REF!</v>
      </c>
      <c r="AE493" t="e">
        <f>AND(#REF!,"AAAAAHL9uh4=")</f>
        <v>#REF!</v>
      </c>
      <c r="AF493" t="e">
        <f>AND(#REF!,"AAAAAHL9uh8=")</f>
        <v>#REF!</v>
      </c>
      <c r="AG493" t="e">
        <f>AND(#REF!,"AAAAAHL9uiA=")</f>
        <v>#REF!</v>
      </c>
      <c r="AH493" t="e">
        <f>IF(#REF!,"AAAAAHL9uiE=",0)</f>
        <v>#REF!</v>
      </c>
      <c r="AI493" t="e">
        <f>AND(#REF!,"AAAAAHL9uiI=")</f>
        <v>#REF!</v>
      </c>
      <c r="AJ493" t="e">
        <f>AND(#REF!,"AAAAAHL9uiM=")</f>
        <v>#REF!</v>
      </c>
      <c r="AK493" t="e">
        <f>AND(#REF!,"AAAAAHL9uiQ=")</f>
        <v>#REF!</v>
      </c>
      <c r="AL493" t="e">
        <f>AND(#REF!,"AAAAAHL9uiU=")</f>
        <v>#REF!</v>
      </c>
      <c r="AM493" t="e">
        <f>AND(#REF!,"AAAAAHL9uiY=")</f>
        <v>#REF!</v>
      </c>
      <c r="AN493" t="e">
        <f>AND(#REF!,"AAAAAHL9uic=")</f>
        <v>#REF!</v>
      </c>
      <c r="AO493" t="e">
        <f>AND(#REF!,"AAAAAHL9uig=")</f>
        <v>#REF!</v>
      </c>
      <c r="AP493" t="e">
        <f>AND(#REF!,"AAAAAHL9uik=")</f>
        <v>#REF!</v>
      </c>
      <c r="AQ493" t="e">
        <f>AND(#REF!,"AAAAAHL9uio=")</f>
        <v>#REF!</v>
      </c>
      <c r="AR493" t="e">
        <f>AND(#REF!,"AAAAAHL9uis=")</f>
        <v>#REF!</v>
      </c>
      <c r="AS493" t="e">
        <f>AND(#REF!,"AAAAAHL9uiw=")</f>
        <v>#REF!</v>
      </c>
      <c r="AT493" t="e">
        <f>AND(#REF!,"AAAAAHL9ui0=")</f>
        <v>#REF!</v>
      </c>
      <c r="AU493" t="e">
        <f>AND(#REF!,"AAAAAHL9ui4=")</f>
        <v>#REF!</v>
      </c>
      <c r="AV493" t="e">
        <f>AND(#REF!,"AAAAAHL9ui8=")</f>
        <v>#REF!</v>
      </c>
      <c r="AW493" t="e">
        <f>AND(#REF!,"AAAAAHL9ujA=")</f>
        <v>#REF!</v>
      </c>
      <c r="AX493" t="e">
        <f>AND(#REF!,"AAAAAHL9ujE=")</f>
        <v>#REF!</v>
      </c>
      <c r="AY493" t="e">
        <f>AND(#REF!,"AAAAAHL9ujI=")</f>
        <v>#REF!</v>
      </c>
      <c r="AZ493" t="e">
        <f>AND(#REF!,"AAAAAHL9ujM=")</f>
        <v>#REF!</v>
      </c>
      <c r="BA493" t="e">
        <f>AND(#REF!,"AAAAAHL9ujQ=")</f>
        <v>#REF!</v>
      </c>
      <c r="BB493" t="e">
        <f>AND(#REF!,"AAAAAHL9ujU=")</f>
        <v>#REF!</v>
      </c>
      <c r="BC493" t="e">
        <f>AND(#REF!,"AAAAAHL9ujY=")</f>
        <v>#REF!</v>
      </c>
      <c r="BD493" t="e">
        <f>AND(#REF!,"AAAAAHL9ujc=")</f>
        <v>#REF!</v>
      </c>
      <c r="BE493" t="e">
        <f>AND(#REF!,"AAAAAHL9ujg=")</f>
        <v>#REF!</v>
      </c>
      <c r="BF493" t="e">
        <f>AND(#REF!,"AAAAAHL9ujk=")</f>
        <v>#REF!</v>
      </c>
      <c r="BG493" t="e">
        <f>IF(#REF!,"AAAAAHL9ujo=",0)</f>
        <v>#REF!</v>
      </c>
      <c r="BH493" t="e">
        <f>AND(#REF!,"AAAAAHL9ujs=")</f>
        <v>#REF!</v>
      </c>
      <c r="BI493" t="e">
        <f>AND(#REF!,"AAAAAHL9ujw=")</f>
        <v>#REF!</v>
      </c>
      <c r="BJ493" t="e">
        <f>AND(#REF!,"AAAAAHL9uj0=")</f>
        <v>#REF!</v>
      </c>
      <c r="BK493" t="e">
        <f>AND(#REF!,"AAAAAHL9uj4=")</f>
        <v>#REF!</v>
      </c>
      <c r="BL493" t="e">
        <f>AND(#REF!,"AAAAAHL9uj8=")</f>
        <v>#REF!</v>
      </c>
      <c r="BM493" t="e">
        <f>AND(#REF!,"AAAAAHL9ukA=")</f>
        <v>#REF!</v>
      </c>
      <c r="BN493" t="e">
        <f>AND(#REF!,"AAAAAHL9ukE=")</f>
        <v>#REF!</v>
      </c>
      <c r="BO493" t="e">
        <f>AND(#REF!,"AAAAAHL9ukI=")</f>
        <v>#REF!</v>
      </c>
      <c r="BP493" t="e">
        <f>AND(#REF!,"AAAAAHL9ukM=")</f>
        <v>#REF!</v>
      </c>
      <c r="BQ493" t="e">
        <f>AND(#REF!,"AAAAAHL9ukQ=")</f>
        <v>#REF!</v>
      </c>
      <c r="BR493" t="e">
        <f>AND(#REF!,"AAAAAHL9ukU=")</f>
        <v>#REF!</v>
      </c>
      <c r="BS493" t="e">
        <f>AND(#REF!,"AAAAAHL9ukY=")</f>
        <v>#REF!</v>
      </c>
      <c r="BT493" t="e">
        <f>AND(#REF!,"AAAAAHL9ukc=")</f>
        <v>#REF!</v>
      </c>
      <c r="BU493" t="e">
        <f>AND(#REF!,"AAAAAHL9ukg=")</f>
        <v>#REF!</v>
      </c>
      <c r="BV493" t="e">
        <f>AND(#REF!,"AAAAAHL9ukk=")</f>
        <v>#REF!</v>
      </c>
      <c r="BW493" t="e">
        <f>AND(#REF!,"AAAAAHL9uko=")</f>
        <v>#REF!</v>
      </c>
      <c r="BX493" t="e">
        <f>AND(#REF!,"AAAAAHL9uks=")</f>
        <v>#REF!</v>
      </c>
      <c r="BY493" t="e">
        <f>AND(#REF!,"AAAAAHL9ukw=")</f>
        <v>#REF!</v>
      </c>
      <c r="BZ493" t="e">
        <f>AND(#REF!,"AAAAAHL9uk0=")</f>
        <v>#REF!</v>
      </c>
      <c r="CA493" t="e">
        <f>AND(#REF!,"AAAAAHL9uk4=")</f>
        <v>#REF!</v>
      </c>
      <c r="CB493" t="e">
        <f>AND(#REF!,"AAAAAHL9uk8=")</f>
        <v>#REF!</v>
      </c>
      <c r="CC493" t="e">
        <f>AND(#REF!,"AAAAAHL9ulA=")</f>
        <v>#REF!</v>
      </c>
      <c r="CD493" t="e">
        <f>AND(#REF!,"AAAAAHL9ulE=")</f>
        <v>#REF!</v>
      </c>
      <c r="CE493" t="e">
        <f>AND(#REF!,"AAAAAHL9ulI=")</f>
        <v>#REF!</v>
      </c>
      <c r="CF493" t="e">
        <f>IF(#REF!,"AAAAAHL9ulM=",0)</f>
        <v>#REF!</v>
      </c>
      <c r="CG493" t="e">
        <f>AND(#REF!,"AAAAAHL9ulQ=")</f>
        <v>#REF!</v>
      </c>
      <c r="CH493" t="e">
        <f>AND(#REF!,"AAAAAHL9ulU=")</f>
        <v>#REF!</v>
      </c>
      <c r="CI493" t="e">
        <f>AND(#REF!,"AAAAAHL9ulY=")</f>
        <v>#REF!</v>
      </c>
      <c r="CJ493" t="e">
        <f>AND(#REF!,"AAAAAHL9ulc=")</f>
        <v>#REF!</v>
      </c>
      <c r="CK493" t="e">
        <f>AND(#REF!,"AAAAAHL9ulg=")</f>
        <v>#REF!</v>
      </c>
      <c r="CL493" t="e">
        <f>AND(#REF!,"AAAAAHL9ulk=")</f>
        <v>#REF!</v>
      </c>
      <c r="CM493" t="e">
        <f>AND(#REF!,"AAAAAHL9ulo=")</f>
        <v>#REF!</v>
      </c>
      <c r="CN493" t="e">
        <f>AND(#REF!,"AAAAAHL9uls=")</f>
        <v>#REF!</v>
      </c>
      <c r="CO493" t="e">
        <f>AND(#REF!,"AAAAAHL9ulw=")</f>
        <v>#REF!</v>
      </c>
      <c r="CP493" t="e">
        <f>AND(#REF!,"AAAAAHL9ul0=")</f>
        <v>#REF!</v>
      </c>
      <c r="CQ493" t="e">
        <f>AND(#REF!,"AAAAAHL9ul4=")</f>
        <v>#REF!</v>
      </c>
      <c r="CR493" t="e">
        <f>AND(#REF!,"AAAAAHL9ul8=")</f>
        <v>#REF!</v>
      </c>
      <c r="CS493" t="e">
        <f>AND(#REF!,"AAAAAHL9umA=")</f>
        <v>#REF!</v>
      </c>
      <c r="CT493" t="e">
        <f>AND(#REF!,"AAAAAHL9umE=")</f>
        <v>#REF!</v>
      </c>
      <c r="CU493" t="e">
        <f>AND(#REF!,"AAAAAHL9umI=")</f>
        <v>#REF!</v>
      </c>
      <c r="CV493" t="e">
        <f>AND(#REF!,"AAAAAHL9umM=")</f>
        <v>#REF!</v>
      </c>
      <c r="CW493" t="e">
        <f>AND(#REF!,"AAAAAHL9umQ=")</f>
        <v>#REF!</v>
      </c>
      <c r="CX493" t="e">
        <f>AND(#REF!,"AAAAAHL9umU=")</f>
        <v>#REF!</v>
      </c>
      <c r="CY493" t="e">
        <f>AND(#REF!,"AAAAAHL9umY=")</f>
        <v>#REF!</v>
      </c>
      <c r="CZ493" t="e">
        <f>AND(#REF!,"AAAAAHL9umc=")</f>
        <v>#REF!</v>
      </c>
      <c r="DA493" t="e">
        <f>AND(#REF!,"AAAAAHL9umg=")</f>
        <v>#REF!</v>
      </c>
      <c r="DB493" t="e">
        <f>AND(#REF!,"AAAAAHL9umk=")</f>
        <v>#REF!</v>
      </c>
      <c r="DC493" t="e">
        <f>AND(#REF!,"AAAAAHL9umo=")</f>
        <v>#REF!</v>
      </c>
      <c r="DD493" t="e">
        <f>AND(#REF!,"AAAAAHL9ums=")</f>
        <v>#REF!</v>
      </c>
      <c r="DE493" t="e">
        <f>IF(#REF!,"AAAAAHL9umw=",0)</f>
        <v>#REF!</v>
      </c>
      <c r="DF493" t="e">
        <f>AND(#REF!,"AAAAAHL9um0=")</f>
        <v>#REF!</v>
      </c>
      <c r="DG493" t="e">
        <f>AND(#REF!,"AAAAAHL9um4=")</f>
        <v>#REF!</v>
      </c>
      <c r="DH493" t="e">
        <f>AND(#REF!,"AAAAAHL9um8=")</f>
        <v>#REF!</v>
      </c>
      <c r="DI493" t="e">
        <f>AND(#REF!,"AAAAAHL9unA=")</f>
        <v>#REF!</v>
      </c>
      <c r="DJ493" t="e">
        <f>AND(#REF!,"AAAAAHL9unE=")</f>
        <v>#REF!</v>
      </c>
      <c r="DK493" t="e">
        <f>AND(#REF!,"AAAAAHL9unI=")</f>
        <v>#REF!</v>
      </c>
      <c r="DL493" t="e">
        <f>AND(#REF!,"AAAAAHL9unM=")</f>
        <v>#REF!</v>
      </c>
      <c r="DM493" t="e">
        <f>AND(#REF!,"AAAAAHL9unQ=")</f>
        <v>#REF!</v>
      </c>
      <c r="DN493" t="e">
        <f>AND(#REF!,"AAAAAHL9unU=")</f>
        <v>#REF!</v>
      </c>
      <c r="DO493" t="e">
        <f>AND(#REF!,"AAAAAHL9unY=")</f>
        <v>#REF!</v>
      </c>
      <c r="DP493" t="e">
        <f>AND(#REF!,"AAAAAHL9unc=")</f>
        <v>#REF!</v>
      </c>
      <c r="DQ493" t="e">
        <f>AND(#REF!,"AAAAAHL9ung=")</f>
        <v>#REF!</v>
      </c>
      <c r="DR493" t="e">
        <f>AND(#REF!,"AAAAAHL9unk=")</f>
        <v>#REF!</v>
      </c>
      <c r="DS493" t="e">
        <f>AND(#REF!,"AAAAAHL9uno=")</f>
        <v>#REF!</v>
      </c>
      <c r="DT493" t="e">
        <f>AND(#REF!,"AAAAAHL9uns=")</f>
        <v>#REF!</v>
      </c>
      <c r="DU493" t="e">
        <f>AND(#REF!,"AAAAAHL9unw=")</f>
        <v>#REF!</v>
      </c>
      <c r="DV493" t="e">
        <f>AND(#REF!,"AAAAAHL9un0=")</f>
        <v>#REF!</v>
      </c>
      <c r="DW493" t="e">
        <f>AND(#REF!,"AAAAAHL9un4=")</f>
        <v>#REF!</v>
      </c>
      <c r="DX493" t="e">
        <f>AND(#REF!,"AAAAAHL9un8=")</f>
        <v>#REF!</v>
      </c>
      <c r="DY493" t="e">
        <f>AND(#REF!,"AAAAAHL9uoA=")</f>
        <v>#REF!</v>
      </c>
      <c r="DZ493" t="e">
        <f>AND(#REF!,"AAAAAHL9uoE=")</f>
        <v>#REF!</v>
      </c>
      <c r="EA493" t="e">
        <f>AND(#REF!,"AAAAAHL9uoI=")</f>
        <v>#REF!</v>
      </c>
      <c r="EB493" t="e">
        <f>AND(#REF!,"AAAAAHL9uoM=")</f>
        <v>#REF!</v>
      </c>
      <c r="EC493" t="e">
        <f>AND(#REF!,"AAAAAHL9uoQ=")</f>
        <v>#REF!</v>
      </c>
      <c r="ED493" t="e">
        <f>IF(#REF!,"AAAAAHL9uoU=",0)</f>
        <v>#REF!</v>
      </c>
      <c r="EE493" t="e">
        <f>AND(#REF!,"AAAAAHL9uoY=")</f>
        <v>#REF!</v>
      </c>
      <c r="EF493" t="e">
        <f>AND(#REF!,"AAAAAHL9uoc=")</f>
        <v>#REF!</v>
      </c>
      <c r="EG493" t="e">
        <f>AND(#REF!,"AAAAAHL9uog=")</f>
        <v>#REF!</v>
      </c>
      <c r="EH493" t="e">
        <f>AND(#REF!,"AAAAAHL9uok=")</f>
        <v>#REF!</v>
      </c>
      <c r="EI493" t="e">
        <f>AND(#REF!,"AAAAAHL9uoo=")</f>
        <v>#REF!</v>
      </c>
      <c r="EJ493" t="e">
        <f>AND(#REF!,"AAAAAHL9uos=")</f>
        <v>#REF!</v>
      </c>
      <c r="EK493" t="e">
        <f>AND(#REF!,"AAAAAHL9uow=")</f>
        <v>#REF!</v>
      </c>
      <c r="EL493" t="e">
        <f>AND(#REF!,"AAAAAHL9uo0=")</f>
        <v>#REF!</v>
      </c>
      <c r="EM493" t="e">
        <f>AND(#REF!,"AAAAAHL9uo4=")</f>
        <v>#REF!</v>
      </c>
      <c r="EN493" t="e">
        <f>AND(#REF!,"AAAAAHL9uo8=")</f>
        <v>#REF!</v>
      </c>
      <c r="EO493" t="e">
        <f>AND(#REF!,"AAAAAHL9upA=")</f>
        <v>#REF!</v>
      </c>
      <c r="EP493" t="e">
        <f>AND(#REF!,"AAAAAHL9upE=")</f>
        <v>#REF!</v>
      </c>
      <c r="EQ493" t="e">
        <f>AND(#REF!,"AAAAAHL9upI=")</f>
        <v>#REF!</v>
      </c>
      <c r="ER493" t="e">
        <f>AND(#REF!,"AAAAAHL9upM=")</f>
        <v>#REF!</v>
      </c>
      <c r="ES493" t="e">
        <f>AND(#REF!,"AAAAAHL9upQ=")</f>
        <v>#REF!</v>
      </c>
      <c r="ET493" t="e">
        <f>AND(#REF!,"AAAAAHL9upU=")</f>
        <v>#REF!</v>
      </c>
      <c r="EU493" t="e">
        <f>AND(#REF!,"AAAAAHL9upY=")</f>
        <v>#REF!</v>
      </c>
      <c r="EV493" t="e">
        <f>AND(#REF!,"AAAAAHL9upc=")</f>
        <v>#REF!</v>
      </c>
      <c r="EW493" t="e">
        <f>AND(#REF!,"AAAAAHL9upg=")</f>
        <v>#REF!</v>
      </c>
      <c r="EX493" t="e">
        <f>AND(#REF!,"AAAAAHL9upk=")</f>
        <v>#REF!</v>
      </c>
      <c r="EY493" t="e">
        <f>AND(#REF!,"AAAAAHL9upo=")</f>
        <v>#REF!</v>
      </c>
      <c r="EZ493" t="e">
        <f>AND(#REF!,"AAAAAHL9ups=")</f>
        <v>#REF!</v>
      </c>
      <c r="FA493" t="e">
        <f>AND(#REF!,"AAAAAHL9upw=")</f>
        <v>#REF!</v>
      </c>
      <c r="FB493" t="e">
        <f>AND(#REF!,"AAAAAHL9up0=")</f>
        <v>#REF!</v>
      </c>
      <c r="FC493" t="e">
        <f>IF(#REF!,"AAAAAHL9up4=",0)</f>
        <v>#REF!</v>
      </c>
      <c r="FD493" t="e">
        <f>AND(#REF!,"AAAAAHL9up8=")</f>
        <v>#REF!</v>
      </c>
      <c r="FE493" t="e">
        <f>AND(#REF!,"AAAAAHL9uqA=")</f>
        <v>#REF!</v>
      </c>
      <c r="FF493" t="e">
        <f>AND(#REF!,"AAAAAHL9uqE=")</f>
        <v>#REF!</v>
      </c>
      <c r="FG493" t="e">
        <f>AND(#REF!,"AAAAAHL9uqI=")</f>
        <v>#REF!</v>
      </c>
      <c r="FH493" t="e">
        <f>AND(#REF!,"AAAAAHL9uqM=")</f>
        <v>#REF!</v>
      </c>
      <c r="FI493" t="e">
        <f>AND(#REF!,"AAAAAHL9uqQ=")</f>
        <v>#REF!</v>
      </c>
      <c r="FJ493" t="e">
        <f>AND(#REF!,"AAAAAHL9uqU=")</f>
        <v>#REF!</v>
      </c>
      <c r="FK493" t="e">
        <f>AND(#REF!,"AAAAAHL9uqY=")</f>
        <v>#REF!</v>
      </c>
      <c r="FL493" t="e">
        <f>AND(#REF!,"AAAAAHL9uqc=")</f>
        <v>#REF!</v>
      </c>
      <c r="FM493" t="e">
        <f>AND(#REF!,"AAAAAHL9uqg=")</f>
        <v>#REF!</v>
      </c>
      <c r="FN493" t="e">
        <f>AND(#REF!,"AAAAAHL9uqk=")</f>
        <v>#REF!</v>
      </c>
      <c r="FO493" t="e">
        <f>AND(#REF!,"AAAAAHL9uqo=")</f>
        <v>#REF!</v>
      </c>
      <c r="FP493" t="e">
        <f>AND(#REF!,"AAAAAHL9uqs=")</f>
        <v>#REF!</v>
      </c>
      <c r="FQ493" t="e">
        <f>AND(#REF!,"AAAAAHL9uqw=")</f>
        <v>#REF!</v>
      </c>
      <c r="FR493" t="e">
        <f>AND(#REF!,"AAAAAHL9uq0=")</f>
        <v>#REF!</v>
      </c>
      <c r="FS493" t="e">
        <f>AND(#REF!,"AAAAAHL9uq4=")</f>
        <v>#REF!</v>
      </c>
      <c r="FT493" t="e">
        <f>AND(#REF!,"AAAAAHL9uq8=")</f>
        <v>#REF!</v>
      </c>
      <c r="FU493" t="e">
        <f>AND(#REF!,"AAAAAHL9urA=")</f>
        <v>#REF!</v>
      </c>
      <c r="FV493" t="e">
        <f>AND(#REF!,"AAAAAHL9urE=")</f>
        <v>#REF!</v>
      </c>
      <c r="FW493" t="e">
        <f>AND(#REF!,"AAAAAHL9urI=")</f>
        <v>#REF!</v>
      </c>
      <c r="FX493" t="e">
        <f>AND(#REF!,"AAAAAHL9urM=")</f>
        <v>#REF!</v>
      </c>
      <c r="FY493" t="e">
        <f>AND(#REF!,"AAAAAHL9urQ=")</f>
        <v>#REF!</v>
      </c>
      <c r="FZ493" t="e">
        <f>AND(#REF!,"AAAAAHL9urU=")</f>
        <v>#REF!</v>
      </c>
      <c r="GA493" t="e">
        <f>AND(#REF!,"AAAAAHL9urY=")</f>
        <v>#REF!</v>
      </c>
      <c r="GB493" t="e">
        <f>IF(#REF!,"AAAAAHL9urc=",0)</f>
        <v>#REF!</v>
      </c>
      <c r="GC493" t="e">
        <f>AND(#REF!,"AAAAAHL9urg=")</f>
        <v>#REF!</v>
      </c>
      <c r="GD493" t="e">
        <f>AND(#REF!,"AAAAAHL9urk=")</f>
        <v>#REF!</v>
      </c>
      <c r="GE493" t="e">
        <f>AND(#REF!,"AAAAAHL9uro=")</f>
        <v>#REF!</v>
      </c>
      <c r="GF493" t="e">
        <f>AND(#REF!,"AAAAAHL9urs=")</f>
        <v>#REF!</v>
      </c>
      <c r="GG493" t="e">
        <f>AND(#REF!,"AAAAAHL9urw=")</f>
        <v>#REF!</v>
      </c>
      <c r="GH493" t="e">
        <f>AND(#REF!,"AAAAAHL9ur0=")</f>
        <v>#REF!</v>
      </c>
      <c r="GI493" t="e">
        <f>AND(#REF!,"AAAAAHL9ur4=")</f>
        <v>#REF!</v>
      </c>
      <c r="GJ493" t="e">
        <f>AND(#REF!,"AAAAAHL9ur8=")</f>
        <v>#REF!</v>
      </c>
      <c r="GK493" t="e">
        <f>AND(#REF!,"AAAAAHL9usA=")</f>
        <v>#REF!</v>
      </c>
      <c r="GL493" t="e">
        <f>AND(#REF!,"AAAAAHL9usE=")</f>
        <v>#REF!</v>
      </c>
      <c r="GM493" t="e">
        <f>AND(#REF!,"AAAAAHL9usI=")</f>
        <v>#REF!</v>
      </c>
      <c r="GN493" t="e">
        <f>AND(#REF!,"AAAAAHL9usM=")</f>
        <v>#REF!</v>
      </c>
      <c r="GO493" t="e">
        <f>AND(#REF!,"AAAAAHL9usQ=")</f>
        <v>#REF!</v>
      </c>
      <c r="GP493" t="e">
        <f>AND(#REF!,"AAAAAHL9usU=")</f>
        <v>#REF!</v>
      </c>
      <c r="GQ493" t="e">
        <f>AND(#REF!,"AAAAAHL9usY=")</f>
        <v>#REF!</v>
      </c>
      <c r="GR493" t="e">
        <f>AND(#REF!,"AAAAAHL9usc=")</f>
        <v>#REF!</v>
      </c>
      <c r="GS493" t="e">
        <f>AND(#REF!,"AAAAAHL9usg=")</f>
        <v>#REF!</v>
      </c>
      <c r="GT493" t="e">
        <f>AND(#REF!,"AAAAAHL9usk=")</f>
        <v>#REF!</v>
      </c>
      <c r="GU493" t="e">
        <f>AND(#REF!,"AAAAAHL9uso=")</f>
        <v>#REF!</v>
      </c>
      <c r="GV493" t="e">
        <f>AND(#REF!,"AAAAAHL9uss=")</f>
        <v>#REF!</v>
      </c>
      <c r="GW493" t="e">
        <f>AND(#REF!,"AAAAAHL9usw=")</f>
        <v>#REF!</v>
      </c>
      <c r="GX493" t="e">
        <f>AND(#REF!,"AAAAAHL9us0=")</f>
        <v>#REF!</v>
      </c>
      <c r="GY493" t="e">
        <f>AND(#REF!,"AAAAAHL9us4=")</f>
        <v>#REF!</v>
      </c>
      <c r="GZ493" t="e">
        <f>AND(#REF!,"AAAAAHL9us8=")</f>
        <v>#REF!</v>
      </c>
      <c r="HA493" t="e">
        <f>IF(#REF!,"AAAAAHL9utA=",0)</f>
        <v>#REF!</v>
      </c>
      <c r="HB493" t="e">
        <f>AND(#REF!,"AAAAAHL9utE=")</f>
        <v>#REF!</v>
      </c>
      <c r="HC493" t="e">
        <f>AND(#REF!,"AAAAAHL9utI=")</f>
        <v>#REF!</v>
      </c>
      <c r="HD493" t="e">
        <f>AND(#REF!,"AAAAAHL9utM=")</f>
        <v>#REF!</v>
      </c>
      <c r="HE493" t="e">
        <f>AND(#REF!,"AAAAAHL9utQ=")</f>
        <v>#REF!</v>
      </c>
      <c r="HF493" t="e">
        <f>AND(#REF!,"AAAAAHL9utU=")</f>
        <v>#REF!</v>
      </c>
      <c r="HG493" t="e">
        <f>AND(#REF!,"AAAAAHL9utY=")</f>
        <v>#REF!</v>
      </c>
      <c r="HH493" t="e">
        <f>AND(#REF!,"AAAAAHL9utc=")</f>
        <v>#REF!</v>
      </c>
      <c r="HI493" t="e">
        <f>AND(#REF!,"AAAAAHL9utg=")</f>
        <v>#REF!</v>
      </c>
      <c r="HJ493" t="e">
        <f>AND(#REF!,"AAAAAHL9utk=")</f>
        <v>#REF!</v>
      </c>
      <c r="HK493" t="e">
        <f>AND(#REF!,"AAAAAHL9uto=")</f>
        <v>#REF!</v>
      </c>
      <c r="HL493" t="e">
        <f>AND(#REF!,"AAAAAHL9uts=")</f>
        <v>#REF!</v>
      </c>
      <c r="HM493" t="e">
        <f>AND(#REF!,"AAAAAHL9utw=")</f>
        <v>#REF!</v>
      </c>
      <c r="HN493" t="e">
        <f>AND(#REF!,"AAAAAHL9ut0=")</f>
        <v>#REF!</v>
      </c>
      <c r="HO493" t="e">
        <f>AND(#REF!,"AAAAAHL9ut4=")</f>
        <v>#REF!</v>
      </c>
      <c r="HP493" t="e">
        <f>AND(#REF!,"AAAAAHL9ut8=")</f>
        <v>#REF!</v>
      </c>
      <c r="HQ493" t="e">
        <f>AND(#REF!,"AAAAAHL9uuA=")</f>
        <v>#REF!</v>
      </c>
      <c r="HR493" t="e">
        <f>AND(#REF!,"AAAAAHL9uuE=")</f>
        <v>#REF!</v>
      </c>
      <c r="HS493" t="e">
        <f>AND(#REF!,"AAAAAHL9uuI=")</f>
        <v>#REF!</v>
      </c>
      <c r="HT493" t="e">
        <f>AND(#REF!,"AAAAAHL9uuM=")</f>
        <v>#REF!</v>
      </c>
      <c r="HU493" t="e">
        <f>AND(#REF!,"AAAAAHL9uuQ=")</f>
        <v>#REF!</v>
      </c>
      <c r="HV493" t="e">
        <f>AND(#REF!,"AAAAAHL9uuU=")</f>
        <v>#REF!</v>
      </c>
      <c r="HW493" t="e">
        <f>AND(#REF!,"AAAAAHL9uuY=")</f>
        <v>#REF!</v>
      </c>
      <c r="HX493" t="e">
        <f>AND(#REF!,"AAAAAHL9uuc=")</f>
        <v>#REF!</v>
      </c>
      <c r="HY493" t="e">
        <f>AND(#REF!,"AAAAAHL9uug=")</f>
        <v>#REF!</v>
      </c>
      <c r="HZ493" t="e">
        <f>IF(#REF!,"AAAAAHL9uuk=",0)</f>
        <v>#REF!</v>
      </c>
      <c r="IA493" t="e">
        <f>AND(#REF!,"AAAAAHL9uuo=")</f>
        <v>#REF!</v>
      </c>
      <c r="IB493" t="e">
        <f>AND(#REF!,"AAAAAHL9uus=")</f>
        <v>#REF!</v>
      </c>
      <c r="IC493" t="e">
        <f>AND(#REF!,"AAAAAHL9uuw=")</f>
        <v>#REF!</v>
      </c>
      <c r="ID493" t="e">
        <f>AND(#REF!,"AAAAAHL9uu0=")</f>
        <v>#REF!</v>
      </c>
      <c r="IE493" t="e">
        <f>AND(#REF!,"AAAAAHL9uu4=")</f>
        <v>#REF!</v>
      </c>
      <c r="IF493" t="e">
        <f>AND(#REF!,"AAAAAHL9uu8=")</f>
        <v>#REF!</v>
      </c>
      <c r="IG493" t="e">
        <f>AND(#REF!,"AAAAAHL9uvA=")</f>
        <v>#REF!</v>
      </c>
      <c r="IH493" t="e">
        <f>AND(#REF!,"AAAAAHL9uvE=")</f>
        <v>#REF!</v>
      </c>
      <c r="II493" t="e">
        <f>AND(#REF!,"AAAAAHL9uvI=")</f>
        <v>#REF!</v>
      </c>
      <c r="IJ493" t="e">
        <f>AND(#REF!,"AAAAAHL9uvM=")</f>
        <v>#REF!</v>
      </c>
      <c r="IK493" t="e">
        <f>AND(#REF!,"AAAAAHL9uvQ=")</f>
        <v>#REF!</v>
      </c>
      <c r="IL493" t="e">
        <f>AND(#REF!,"AAAAAHL9uvU=")</f>
        <v>#REF!</v>
      </c>
      <c r="IM493" t="e">
        <f>AND(#REF!,"AAAAAHL9uvY=")</f>
        <v>#REF!</v>
      </c>
      <c r="IN493" t="e">
        <f>AND(#REF!,"AAAAAHL9uvc=")</f>
        <v>#REF!</v>
      </c>
      <c r="IO493" t="e">
        <f>AND(#REF!,"AAAAAHL9uvg=")</f>
        <v>#REF!</v>
      </c>
      <c r="IP493" t="e">
        <f>AND(#REF!,"AAAAAHL9uvk=")</f>
        <v>#REF!</v>
      </c>
      <c r="IQ493" t="e">
        <f>AND(#REF!,"AAAAAHL9uvo=")</f>
        <v>#REF!</v>
      </c>
      <c r="IR493" t="e">
        <f>AND(#REF!,"AAAAAHL9uvs=")</f>
        <v>#REF!</v>
      </c>
      <c r="IS493" t="e">
        <f>AND(#REF!,"AAAAAHL9uvw=")</f>
        <v>#REF!</v>
      </c>
      <c r="IT493" t="e">
        <f>AND(#REF!,"AAAAAHL9uv0=")</f>
        <v>#REF!</v>
      </c>
      <c r="IU493" t="e">
        <f>AND(#REF!,"AAAAAHL9uv4=")</f>
        <v>#REF!</v>
      </c>
      <c r="IV493" t="e">
        <f>AND(#REF!,"AAAAAHL9uv8=")</f>
        <v>#REF!</v>
      </c>
    </row>
    <row r="494" spans="1:256">
      <c r="A494" t="e">
        <f>AND(#REF!,"AAAAAGJX7gA=")</f>
        <v>#REF!</v>
      </c>
      <c r="B494" t="e">
        <f>AND(#REF!,"AAAAAGJX7gE=")</f>
        <v>#REF!</v>
      </c>
      <c r="C494" t="e">
        <f>IF(#REF!,"AAAAAGJX7gI=",0)</f>
        <v>#REF!</v>
      </c>
      <c r="D494" t="e">
        <f>AND(#REF!,"AAAAAGJX7gM=")</f>
        <v>#REF!</v>
      </c>
      <c r="E494" t="e">
        <f>AND(#REF!,"AAAAAGJX7gQ=")</f>
        <v>#REF!</v>
      </c>
      <c r="F494" t="e">
        <f>AND(#REF!,"AAAAAGJX7gU=")</f>
        <v>#REF!</v>
      </c>
      <c r="G494" t="e">
        <f>AND(#REF!,"AAAAAGJX7gY=")</f>
        <v>#REF!</v>
      </c>
      <c r="H494" t="e">
        <f>AND(#REF!,"AAAAAGJX7gc=")</f>
        <v>#REF!</v>
      </c>
      <c r="I494" t="e">
        <f>AND(#REF!,"AAAAAGJX7gg=")</f>
        <v>#REF!</v>
      </c>
      <c r="J494" t="e">
        <f>AND(#REF!,"AAAAAGJX7gk=")</f>
        <v>#REF!</v>
      </c>
      <c r="K494" t="e">
        <f>AND(#REF!,"AAAAAGJX7go=")</f>
        <v>#REF!</v>
      </c>
      <c r="L494" t="e">
        <f>AND(#REF!,"AAAAAGJX7gs=")</f>
        <v>#REF!</v>
      </c>
      <c r="M494" t="e">
        <f>AND(#REF!,"AAAAAGJX7gw=")</f>
        <v>#REF!</v>
      </c>
      <c r="N494" t="e">
        <f>AND(#REF!,"AAAAAGJX7g0=")</f>
        <v>#REF!</v>
      </c>
      <c r="O494" t="e">
        <f>AND(#REF!,"AAAAAGJX7g4=")</f>
        <v>#REF!</v>
      </c>
      <c r="P494" t="e">
        <f>AND(#REF!,"AAAAAGJX7g8=")</f>
        <v>#REF!</v>
      </c>
      <c r="Q494" t="e">
        <f>AND(#REF!,"AAAAAGJX7hA=")</f>
        <v>#REF!</v>
      </c>
      <c r="R494" t="e">
        <f>AND(#REF!,"AAAAAGJX7hE=")</f>
        <v>#REF!</v>
      </c>
      <c r="S494" t="e">
        <f>AND(#REF!,"AAAAAGJX7hI=")</f>
        <v>#REF!</v>
      </c>
      <c r="T494" t="e">
        <f>AND(#REF!,"AAAAAGJX7hM=")</f>
        <v>#REF!</v>
      </c>
      <c r="U494" t="e">
        <f>AND(#REF!,"AAAAAGJX7hQ=")</f>
        <v>#REF!</v>
      </c>
      <c r="V494" t="e">
        <f>AND(#REF!,"AAAAAGJX7hU=")</f>
        <v>#REF!</v>
      </c>
      <c r="W494" t="e">
        <f>AND(#REF!,"AAAAAGJX7hY=")</f>
        <v>#REF!</v>
      </c>
      <c r="X494" t="e">
        <f>AND(#REF!,"AAAAAGJX7hc=")</f>
        <v>#REF!</v>
      </c>
      <c r="Y494" t="e">
        <f>AND(#REF!,"AAAAAGJX7hg=")</f>
        <v>#REF!</v>
      </c>
      <c r="Z494" t="e">
        <f>AND(#REF!,"AAAAAGJX7hk=")</f>
        <v>#REF!</v>
      </c>
      <c r="AA494" t="e">
        <f>AND(#REF!,"AAAAAGJX7ho=")</f>
        <v>#REF!</v>
      </c>
      <c r="AB494" t="e">
        <f>IF(#REF!,"AAAAAGJX7hs=",0)</f>
        <v>#REF!</v>
      </c>
      <c r="AC494" t="e">
        <f>AND(#REF!,"AAAAAGJX7hw=")</f>
        <v>#REF!</v>
      </c>
      <c r="AD494" t="e">
        <f>AND(#REF!,"AAAAAGJX7h0=")</f>
        <v>#REF!</v>
      </c>
      <c r="AE494" t="e">
        <f>AND(#REF!,"AAAAAGJX7h4=")</f>
        <v>#REF!</v>
      </c>
      <c r="AF494" t="e">
        <f>AND(#REF!,"AAAAAGJX7h8=")</f>
        <v>#REF!</v>
      </c>
      <c r="AG494" t="e">
        <f>AND(#REF!,"AAAAAGJX7iA=")</f>
        <v>#REF!</v>
      </c>
      <c r="AH494" t="e">
        <f>AND(#REF!,"AAAAAGJX7iE=")</f>
        <v>#REF!</v>
      </c>
      <c r="AI494" t="e">
        <f>AND(#REF!,"AAAAAGJX7iI=")</f>
        <v>#REF!</v>
      </c>
      <c r="AJ494" t="e">
        <f>AND(#REF!,"AAAAAGJX7iM=")</f>
        <v>#REF!</v>
      </c>
      <c r="AK494" t="e">
        <f>AND(#REF!,"AAAAAGJX7iQ=")</f>
        <v>#REF!</v>
      </c>
      <c r="AL494" t="e">
        <f>AND(#REF!,"AAAAAGJX7iU=")</f>
        <v>#REF!</v>
      </c>
      <c r="AM494" t="e">
        <f>AND(#REF!,"AAAAAGJX7iY=")</f>
        <v>#REF!</v>
      </c>
      <c r="AN494" t="e">
        <f>AND(#REF!,"AAAAAGJX7ic=")</f>
        <v>#REF!</v>
      </c>
      <c r="AO494" t="e">
        <f>AND(#REF!,"AAAAAGJX7ig=")</f>
        <v>#REF!</v>
      </c>
      <c r="AP494" t="e">
        <f>AND(#REF!,"AAAAAGJX7ik=")</f>
        <v>#REF!</v>
      </c>
      <c r="AQ494" t="e">
        <f>AND(#REF!,"AAAAAGJX7io=")</f>
        <v>#REF!</v>
      </c>
      <c r="AR494" t="e">
        <f>AND(#REF!,"AAAAAGJX7is=")</f>
        <v>#REF!</v>
      </c>
      <c r="AS494" t="e">
        <f>AND(#REF!,"AAAAAGJX7iw=")</f>
        <v>#REF!</v>
      </c>
      <c r="AT494" t="e">
        <f>AND(#REF!,"AAAAAGJX7i0=")</f>
        <v>#REF!</v>
      </c>
      <c r="AU494" t="e">
        <f>AND(#REF!,"AAAAAGJX7i4=")</f>
        <v>#REF!</v>
      </c>
      <c r="AV494" t="e">
        <f>AND(#REF!,"AAAAAGJX7i8=")</f>
        <v>#REF!</v>
      </c>
      <c r="AW494" t="e">
        <f>AND(#REF!,"AAAAAGJX7jA=")</f>
        <v>#REF!</v>
      </c>
      <c r="AX494" t="e">
        <f>AND(#REF!,"AAAAAGJX7jE=")</f>
        <v>#REF!</v>
      </c>
      <c r="AY494" t="e">
        <f>AND(#REF!,"AAAAAGJX7jI=")</f>
        <v>#REF!</v>
      </c>
      <c r="AZ494" t="e">
        <f>AND(#REF!,"AAAAAGJX7jM=")</f>
        <v>#REF!</v>
      </c>
      <c r="BA494" t="e">
        <f>IF(#REF!,"AAAAAGJX7jQ=",0)</f>
        <v>#REF!</v>
      </c>
      <c r="BB494" t="e">
        <f>AND(#REF!,"AAAAAGJX7jU=")</f>
        <v>#REF!</v>
      </c>
      <c r="BC494" t="e">
        <f>AND(#REF!,"AAAAAGJX7jY=")</f>
        <v>#REF!</v>
      </c>
      <c r="BD494" t="e">
        <f>AND(#REF!,"AAAAAGJX7jc=")</f>
        <v>#REF!</v>
      </c>
      <c r="BE494" t="e">
        <f>AND(#REF!,"AAAAAGJX7jg=")</f>
        <v>#REF!</v>
      </c>
      <c r="BF494" t="e">
        <f>AND(#REF!,"AAAAAGJX7jk=")</f>
        <v>#REF!</v>
      </c>
      <c r="BG494" t="e">
        <f>AND(#REF!,"AAAAAGJX7jo=")</f>
        <v>#REF!</v>
      </c>
      <c r="BH494" t="e">
        <f>AND(#REF!,"AAAAAGJX7js=")</f>
        <v>#REF!</v>
      </c>
      <c r="BI494" t="e">
        <f>AND(#REF!,"AAAAAGJX7jw=")</f>
        <v>#REF!</v>
      </c>
      <c r="BJ494" t="e">
        <f>AND(#REF!,"AAAAAGJX7j0=")</f>
        <v>#REF!</v>
      </c>
      <c r="BK494" t="e">
        <f>AND(#REF!,"AAAAAGJX7j4=")</f>
        <v>#REF!</v>
      </c>
      <c r="BL494" t="e">
        <f>AND(#REF!,"AAAAAGJX7j8=")</f>
        <v>#REF!</v>
      </c>
      <c r="BM494" t="e">
        <f>AND(#REF!,"AAAAAGJX7kA=")</f>
        <v>#REF!</v>
      </c>
      <c r="BN494" t="e">
        <f>AND(#REF!,"AAAAAGJX7kE=")</f>
        <v>#REF!</v>
      </c>
      <c r="BO494" t="e">
        <f>AND(#REF!,"AAAAAGJX7kI=")</f>
        <v>#REF!</v>
      </c>
      <c r="BP494" t="e">
        <f>AND(#REF!,"AAAAAGJX7kM=")</f>
        <v>#REF!</v>
      </c>
      <c r="BQ494" t="e">
        <f>AND(#REF!,"AAAAAGJX7kQ=")</f>
        <v>#REF!</v>
      </c>
      <c r="BR494" t="e">
        <f>AND(#REF!,"AAAAAGJX7kU=")</f>
        <v>#REF!</v>
      </c>
      <c r="BS494" t="e">
        <f>AND(#REF!,"AAAAAGJX7kY=")</f>
        <v>#REF!</v>
      </c>
      <c r="BT494" t="e">
        <f>AND(#REF!,"AAAAAGJX7kc=")</f>
        <v>#REF!</v>
      </c>
      <c r="BU494" t="e">
        <f>AND(#REF!,"AAAAAGJX7kg=")</f>
        <v>#REF!</v>
      </c>
      <c r="BV494" t="e">
        <f>AND(#REF!,"AAAAAGJX7kk=")</f>
        <v>#REF!</v>
      </c>
      <c r="BW494" t="e">
        <f>AND(#REF!,"AAAAAGJX7ko=")</f>
        <v>#REF!</v>
      </c>
      <c r="BX494" t="e">
        <f>AND(#REF!,"AAAAAGJX7ks=")</f>
        <v>#REF!</v>
      </c>
      <c r="BY494" t="e">
        <f>AND(#REF!,"AAAAAGJX7kw=")</f>
        <v>#REF!</v>
      </c>
      <c r="BZ494" t="e">
        <f>IF(#REF!,"AAAAAGJX7k0=",0)</f>
        <v>#REF!</v>
      </c>
      <c r="CA494" t="e">
        <f>AND(#REF!,"AAAAAGJX7k4=")</f>
        <v>#REF!</v>
      </c>
      <c r="CB494" t="e">
        <f>AND(#REF!,"AAAAAGJX7k8=")</f>
        <v>#REF!</v>
      </c>
      <c r="CC494" t="e">
        <f>AND(#REF!,"AAAAAGJX7lA=")</f>
        <v>#REF!</v>
      </c>
      <c r="CD494" t="e">
        <f>AND(#REF!,"AAAAAGJX7lE=")</f>
        <v>#REF!</v>
      </c>
      <c r="CE494" t="e">
        <f>AND(#REF!,"AAAAAGJX7lI=")</f>
        <v>#REF!</v>
      </c>
      <c r="CF494" t="e">
        <f>AND(#REF!,"AAAAAGJX7lM=")</f>
        <v>#REF!</v>
      </c>
      <c r="CG494" t="e">
        <f>AND(#REF!,"AAAAAGJX7lQ=")</f>
        <v>#REF!</v>
      </c>
      <c r="CH494" t="e">
        <f>AND(#REF!,"AAAAAGJX7lU=")</f>
        <v>#REF!</v>
      </c>
      <c r="CI494" t="e">
        <f>AND(#REF!,"AAAAAGJX7lY=")</f>
        <v>#REF!</v>
      </c>
      <c r="CJ494" t="e">
        <f>AND(#REF!,"AAAAAGJX7lc=")</f>
        <v>#REF!</v>
      </c>
      <c r="CK494" t="e">
        <f>AND(#REF!,"AAAAAGJX7lg=")</f>
        <v>#REF!</v>
      </c>
      <c r="CL494" t="e">
        <f>AND(#REF!,"AAAAAGJX7lk=")</f>
        <v>#REF!</v>
      </c>
      <c r="CM494" t="e">
        <f>AND(#REF!,"AAAAAGJX7lo=")</f>
        <v>#REF!</v>
      </c>
      <c r="CN494" t="e">
        <f>AND(#REF!,"AAAAAGJX7ls=")</f>
        <v>#REF!</v>
      </c>
      <c r="CO494" t="e">
        <f>AND(#REF!,"AAAAAGJX7lw=")</f>
        <v>#REF!</v>
      </c>
      <c r="CP494" t="e">
        <f>AND(#REF!,"AAAAAGJX7l0=")</f>
        <v>#REF!</v>
      </c>
      <c r="CQ494" t="e">
        <f>AND(#REF!,"AAAAAGJX7l4=")</f>
        <v>#REF!</v>
      </c>
      <c r="CR494" t="e">
        <f>AND(#REF!,"AAAAAGJX7l8=")</f>
        <v>#REF!</v>
      </c>
      <c r="CS494" t="e">
        <f>AND(#REF!,"AAAAAGJX7mA=")</f>
        <v>#REF!</v>
      </c>
      <c r="CT494" t="e">
        <f>AND(#REF!,"AAAAAGJX7mE=")</f>
        <v>#REF!</v>
      </c>
      <c r="CU494" t="e">
        <f>AND(#REF!,"AAAAAGJX7mI=")</f>
        <v>#REF!</v>
      </c>
      <c r="CV494" t="e">
        <f>AND(#REF!,"AAAAAGJX7mM=")</f>
        <v>#REF!</v>
      </c>
      <c r="CW494" t="e">
        <f>AND(#REF!,"AAAAAGJX7mQ=")</f>
        <v>#REF!</v>
      </c>
      <c r="CX494" t="e">
        <f>AND(#REF!,"AAAAAGJX7mU=")</f>
        <v>#REF!</v>
      </c>
      <c r="CY494" t="e">
        <f>IF(#REF!,"AAAAAGJX7mY=",0)</f>
        <v>#REF!</v>
      </c>
      <c r="CZ494" t="e">
        <f>AND(#REF!,"AAAAAGJX7mc=")</f>
        <v>#REF!</v>
      </c>
      <c r="DA494" t="e">
        <f>AND(#REF!,"AAAAAGJX7mg=")</f>
        <v>#REF!</v>
      </c>
      <c r="DB494" t="e">
        <f>AND(#REF!,"AAAAAGJX7mk=")</f>
        <v>#REF!</v>
      </c>
      <c r="DC494" t="e">
        <f>AND(#REF!,"AAAAAGJX7mo=")</f>
        <v>#REF!</v>
      </c>
      <c r="DD494" t="e">
        <f>AND(#REF!,"AAAAAGJX7ms=")</f>
        <v>#REF!</v>
      </c>
      <c r="DE494" t="e">
        <f>AND(#REF!,"AAAAAGJX7mw=")</f>
        <v>#REF!</v>
      </c>
      <c r="DF494" t="e">
        <f>AND(#REF!,"AAAAAGJX7m0=")</f>
        <v>#REF!</v>
      </c>
      <c r="DG494" t="e">
        <f>AND(#REF!,"AAAAAGJX7m4=")</f>
        <v>#REF!</v>
      </c>
      <c r="DH494" t="e">
        <f>AND(#REF!,"AAAAAGJX7m8=")</f>
        <v>#REF!</v>
      </c>
      <c r="DI494" t="e">
        <f>AND(#REF!,"AAAAAGJX7nA=")</f>
        <v>#REF!</v>
      </c>
      <c r="DJ494" t="e">
        <f>AND(#REF!,"AAAAAGJX7nE=")</f>
        <v>#REF!</v>
      </c>
      <c r="DK494" t="e">
        <f>AND(#REF!,"AAAAAGJX7nI=")</f>
        <v>#REF!</v>
      </c>
      <c r="DL494" t="e">
        <f>AND(#REF!,"AAAAAGJX7nM=")</f>
        <v>#REF!</v>
      </c>
      <c r="DM494" t="e">
        <f>AND(#REF!,"AAAAAGJX7nQ=")</f>
        <v>#REF!</v>
      </c>
      <c r="DN494" t="e">
        <f>AND(#REF!,"AAAAAGJX7nU=")</f>
        <v>#REF!</v>
      </c>
      <c r="DO494" t="e">
        <f>AND(#REF!,"AAAAAGJX7nY=")</f>
        <v>#REF!</v>
      </c>
      <c r="DP494" t="e">
        <f>AND(#REF!,"AAAAAGJX7nc=")</f>
        <v>#REF!</v>
      </c>
      <c r="DQ494" t="e">
        <f>AND(#REF!,"AAAAAGJX7ng=")</f>
        <v>#REF!</v>
      </c>
      <c r="DR494" t="e">
        <f>AND(#REF!,"AAAAAGJX7nk=")</f>
        <v>#REF!</v>
      </c>
      <c r="DS494" t="e">
        <f>AND(#REF!,"AAAAAGJX7no=")</f>
        <v>#REF!</v>
      </c>
      <c r="DT494" t="e">
        <f>AND(#REF!,"AAAAAGJX7ns=")</f>
        <v>#REF!</v>
      </c>
      <c r="DU494" t="e">
        <f>AND(#REF!,"AAAAAGJX7nw=")</f>
        <v>#REF!</v>
      </c>
      <c r="DV494" t="e">
        <f>AND(#REF!,"AAAAAGJX7n0=")</f>
        <v>#REF!</v>
      </c>
      <c r="DW494" t="e">
        <f>AND(#REF!,"AAAAAGJX7n4=")</f>
        <v>#REF!</v>
      </c>
      <c r="DX494" t="e">
        <f>IF(#REF!,"AAAAAGJX7n8=",0)</f>
        <v>#REF!</v>
      </c>
      <c r="DY494" t="e">
        <f>AND(#REF!,"AAAAAGJX7oA=")</f>
        <v>#REF!</v>
      </c>
      <c r="DZ494" t="e">
        <f>AND(#REF!,"AAAAAGJX7oE=")</f>
        <v>#REF!</v>
      </c>
      <c r="EA494" t="e">
        <f>AND(#REF!,"AAAAAGJX7oI=")</f>
        <v>#REF!</v>
      </c>
      <c r="EB494" t="e">
        <f>AND(#REF!,"AAAAAGJX7oM=")</f>
        <v>#REF!</v>
      </c>
      <c r="EC494" t="e">
        <f>AND(#REF!,"AAAAAGJX7oQ=")</f>
        <v>#REF!</v>
      </c>
      <c r="ED494" t="e">
        <f>AND(#REF!,"AAAAAGJX7oU=")</f>
        <v>#REF!</v>
      </c>
      <c r="EE494" t="e">
        <f>AND(#REF!,"AAAAAGJX7oY=")</f>
        <v>#REF!</v>
      </c>
      <c r="EF494" t="e">
        <f>AND(#REF!,"AAAAAGJX7oc=")</f>
        <v>#REF!</v>
      </c>
      <c r="EG494" t="e">
        <f>AND(#REF!,"AAAAAGJX7og=")</f>
        <v>#REF!</v>
      </c>
      <c r="EH494" t="e">
        <f>AND(#REF!,"AAAAAGJX7ok=")</f>
        <v>#REF!</v>
      </c>
      <c r="EI494" t="e">
        <f>AND(#REF!,"AAAAAGJX7oo=")</f>
        <v>#REF!</v>
      </c>
      <c r="EJ494" t="e">
        <f>AND(#REF!,"AAAAAGJX7os=")</f>
        <v>#REF!</v>
      </c>
      <c r="EK494" t="e">
        <f>AND(#REF!,"AAAAAGJX7ow=")</f>
        <v>#REF!</v>
      </c>
      <c r="EL494" t="e">
        <f>AND(#REF!,"AAAAAGJX7o0=")</f>
        <v>#REF!</v>
      </c>
      <c r="EM494" t="e">
        <f>AND(#REF!,"AAAAAGJX7o4=")</f>
        <v>#REF!</v>
      </c>
      <c r="EN494" t="e">
        <f>AND(#REF!,"AAAAAGJX7o8=")</f>
        <v>#REF!</v>
      </c>
      <c r="EO494" t="e">
        <f>AND(#REF!,"AAAAAGJX7pA=")</f>
        <v>#REF!</v>
      </c>
      <c r="EP494" t="e">
        <f>AND(#REF!,"AAAAAGJX7pE=")</f>
        <v>#REF!</v>
      </c>
      <c r="EQ494" t="e">
        <f>AND(#REF!,"AAAAAGJX7pI=")</f>
        <v>#REF!</v>
      </c>
      <c r="ER494" t="e">
        <f>AND(#REF!,"AAAAAGJX7pM=")</f>
        <v>#REF!</v>
      </c>
      <c r="ES494" t="e">
        <f>AND(#REF!,"AAAAAGJX7pQ=")</f>
        <v>#REF!</v>
      </c>
      <c r="ET494" t="e">
        <f>AND(#REF!,"AAAAAGJX7pU=")</f>
        <v>#REF!</v>
      </c>
      <c r="EU494" t="e">
        <f>AND(#REF!,"AAAAAGJX7pY=")</f>
        <v>#REF!</v>
      </c>
      <c r="EV494" t="e">
        <f>AND(#REF!,"AAAAAGJX7pc=")</f>
        <v>#REF!</v>
      </c>
      <c r="EW494" t="e">
        <f>IF(#REF!,"AAAAAGJX7pg=",0)</f>
        <v>#REF!</v>
      </c>
      <c r="EX494" t="e">
        <f>AND(#REF!,"AAAAAGJX7pk=")</f>
        <v>#REF!</v>
      </c>
      <c r="EY494" t="e">
        <f>AND(#REF!,"AAAAAGJX7po=")</f>
        <v>#REF!</v>
      </c>
      <c r="EZ494" t="e">
        <f>AND(#REF!,"AAAAAGJX7ps=")</f>
        <v>#REF!</v>
      </c>
      <c r="FA494" t="e">
        <f>AND(#REF!,"AAAAAGJX7pw=")</f>
        <v>#REF!</v>
      </c>
      <c r="FB494" t="e">
        <f>AND(#REF!,"AAAAAGJX7p0=")</f>
        <v>#REF!</v>
      </c>
      <c r="FC494" t="e">
        <f>AND(#REF!,"AAAAAGJX7p4=")</f>
        <v>#REF!</v>
      </c>
      <c r="FD494" t="e">
        <f>AND(#REF!,"AAAAAGJX7p8=")</f>
        <v>#REF!</v>
      </c>
      <c r="FE494" t="e">
        <f>AND(#REF!,"AAAAAGJX7qA=")</f>
        <v>#REF!</v>
      </c>
      <c r="FF494" t="e">
        <f>AND(#REF!,"AAAAAGJX7qE=")</f>
        <v>#REF!</v>
      </c>
      <c r="FG494" t="e">
        <f>AND(#REF!,"AAAAAGJX7qI=")</f>
        <v>#REF!</v>
      </c>
      <c r="FH494" t="e">
        <f>AND(#REF!,"AAAAAGJX7qM=")</f>
        <v>#REF!</v>
      </c>
      <c r="FI494" t="e">
        <f>AND(#REF!,"AAAAAGJX7qQ=")</f>
        <v>#REF!</v>
      </c>
      <c r="FJ494" t="e">
        <f>AND(#REF!,"AAAAAGJX7qU=")</f>
        <v>#REF!</v>
      </c>
      <c r="FK494" t="e">
        <f>AND(#REF!,"AAAAAGJX7qY=")</f>
        <v>#REF!</v>
      </c>
      <c r="FL494" t="e">
        <f>AND(#REF!,"AAAAAGJX7qc=")</f>
        <v>#REF!</v>
      </c>
      <c r="FM494" t="e">
        <f>AND(#REF!,"AAAAAGJX7qg=")</f>
        <v>#REF!</v>
      </c>
      <c r="FN494" t="e">
        <f>AND(#REF!,"AAAAAGJX7qk=")</f>
        <v>#REF!</v>
      </c>
      <c r="FO494" t="e">
        <f>AND(#REF!,"AAAAAGJX7qo=")</f>
        <v>#REF!</v>
      </c>
      <c r="FP494" t="e">
        <f>AND(#REF!,"AAAAAGJX7qs=")</f>
        <v>#REF!</v>
      </c>
      <c r="FQ494" t="e">
        <f>AND(#REF!,"AAAAAGJX7qw=")</f>
        <v>#REF!</v>
      </c>
      <c r="FR494" t="e">
        <f>AND(#REF!,"AAAAAGJX7q0=")</f>
        <v>#REF!</v>
      </c>
      <c r="FS494" t="e">
        <f>AND(#REF!,"AAAAAGJX7q4=")</f>
        <v>#REF!</v>
      </c>
      <c r="FT494" t="e">
        <f>AND(#REF!,"AAAAAGJX7q8=")</f>
        <v>#REF!</v>
      </c>
      <c r="FU494" t="e">
        <f>AND(#REF!,"AAAAAGJX7rA=")</f>
        <v>#REF!</v>
      </c>
      <c r="FV494" t="e">
        <f>IF(#REF!,"AAAAAGJX7rE=",0)</f>
        <v>#REF!</v>
      </c>
      <c r="FW494" t="e">
        <f>AND(#REF!,"AAAAAGJX7rI=")</f>
        <v>#REF!</v>
      </c>
      <c r="FX494" t="e">
        <f>AND(#REF!,"AAAAAGJX7rM=")</f>
        <v>#REF!</v>
      </c>
      <c r="FY494" t="e">
        <f>AND(#REF!,"AAAAAGJX7rQ=")</f>
        <v>#REF!</v>
      </c>
      <c r="FZ494" t="e">
        <f>AND(#REF!,"AAAAAGJX7rU=")</f>
        <v>#REF!</v>
      </c>
      <c r="GA494" t="e">
        <f>AND(#REF!,"AAAAAGJX7rY=")</f>
        <v>#REF!</v>
      </c>
      <c r="GB494" t="e">
        <f>AND(#REF!,"AAAAAGJX7rc=")</f>
        <v>#REF!</v>
      </c>
      <c r="GC494" t="e">
        <f>AND(#REF!,"AAAAAGJX7rg=")</f>
        <v>#REF!</v>
      </c>
      <c r="GD494" t="e">
        <f>AND(#REF!,"AAAAAGJX7rk=")</f>
        <v>#REF!</v>
      </c>
      <c r="GE494" t="e">
        <f>AND(#REF!,"AAAAAGJX7ro=")</f>
        <v>#REF!</v>
      </c>
      <c r="GF494" t="e">
        <f>AND(#REF!,"AAAAAGJX7rs=")</f>
        <v>#REF!</v>
      </c>
      <c r="GG494" t="e">
        <f>AND(#REF!,"AAAAAGJX7rw=")</f>
        <v>#REF!</v>
      </c>
      <c r="GH494" t="e">
        <f>AND(#REF!,"AAAAAGJX7r0=")</f>
        <v>#REF!</v>
      </c>
      <c r="GI494" t="e">
        <f>AND(#REF!,"AAAAAGJX7r4=")</f>
        <v>#REF!</v>
      </c>
      <c r="GJ494" t="e">
        <f>AND(#REF!,"AAAAAGJX7r8=")</f>
        <v>#REF!</v>
      </c>
      <c r="GK494" t="e">
        <f>AND(#REF!,"AAAAAGJX7sA=")</f>
        <v>#REF!</v>
      </c>
      <c r="GL494" t="e">
        <f>AND(#REF!,"AAAAAGJX7sE=")</f>
        <v>#REF!</v>
      </c>
      <c r="GM494" t="e">
        <f>AND(#REF!,"AAAAAGJX7sI=")</f>
        <v>#REF!</v>
      </c>
      <c r="GN494" t="e">
        <f>AND(#REF!,"AAAAAGJX7sM=")</f>
        <v>#REF!</v>
      </c>
      <c r="GO494" t="e">
        <f>AND(#REF!,"AAAAAGJX7sQ=")</f>
        <v>#REF!</v>
      </c>
      <c r="GP494" t="e">
        <f>AND(#REF!,"AAAAAGJX7sU=")</f>
        <v>#REF!</v>
      </c>
      <c r="GQ494" t="e">
        <f>AND(#REF!,"AAAAAGJX7sY=")</f>
        <v>#REF!</v>
      </c>
      <c r="GR494" t="e">
        <f>AND(#REF!,"AAAAAGJX7sc=")</f>
        <v>#REF!</v>
      </c>
      <c r="GS494" t="e">
        <f>AND(#REF!,"AAAAAGJX7sg=")</f>
        <v>#REF!</v>
      </c>
      <c r="GT494" t="e">
        <f>AND(#REF!,"AAAAAGJX7sk=")</f>
        <v>#REF!</v>
      </c>
      <c r="GU494" t="e">
        <f>IF(#REF!,"AAAAAGJX7so=",0)</f>
        <v>#REF!</v>
      </c>
      <c r="GV494" t="e">
        <f>AND(#REF!,"AAAAAGJX7ss=")</f>
        <v>#REF!</v>
      </c>
      <c r="GW494" t="e">
        <f>AND(#REF!,"AAAAAGJX7sw=")</f>
        <v>#REF!</v>
      </c>
      <c r="GX494" t="e">
        <f>AND(#REF!,"AAAAAGJX7s0=")</f>
        <v>#REF!</v>
      </c>
      <c r="GY494" t="e">
        <f>AND(#REF!,"AAAAAGJX7s4=")</f>
        <v>#REF!</v>
      </c>
      <c r="GZ494" t="e">
        <f>AND(#REF!,"AAAAAGJX7s8=")</f>
        <v>#REF!</v>
      </c>
      <c r="HA494" t="e">
        <f>AND(#REF!,"AAAAAGJX7tA=")</f>
        <v>#REF!</v>
      </c>
      <c r="HB494" t="e">
        <f>AND(#REF!,"AAAAAGJX7tE=")</f>
        <v>#REF!</v>
      </c>
      <c r="HC494" t="e">
        <f>AND(#REF!,"AAAAAGJX7tI=")</f>
        <v>#REF!</v>
      </c>
      <c r="HD494" t="e">
        <f>AND(#REF!,"AAAAAGJX7tM=")</f>
        <v>#REF!</v>
      </c>
      <c r="HE494" t="e">
        <f>AND(#REF!,"AAAAAGJX7tQ=")</f>
        <v>#REF!</v>
      </c>
      <c r="HF494" t="e">
        <f>AND(#REF!,"AAAAAGJX7tU=")</f>
        <v>#REF!</v>
      </c>
      <c r="HG494" t="e">
        <f>AND(#REF!,"AAAAAGJX7tY=")</f>
        <v>#REF!</v>
      </c>
      <c r="HH494" t="e">
        <f>AND(#REF!,"AAAAAGJX7tc=")</f>
        <v>#REF!</v>
      </c>
      <c r="HI494" t="e">
        <f>AND(#REF!,"AAAAAGJX7tg=")</f>
        <v>#REF!</v>
      </c>
      <c r="HJ494" t="e">
        <f>AND(#REF!,"AAAAAGJX7tk=")</f>
        <v>#REF!</v>
      </c>
      <c r="HK494" t="e">
        <f>AND(#REF!,"AAAAAGJX7to=")</f>
        <v>#REF!</v>
      </c>
      <c r="HL494" t="e">
        <f>AND(#REF!,"AAAAAGJX7ts=")</f>
        <v>#REF!</v>
      </c>
      <c r="HM494" t="e">
        <f>AND(#REF!,"AAAAAGJX7tw=")</f>
        <v>#REF!</v>
      </c>
      <c r="HN494" t="e">
        <f>AND(#REF!,"AAAAAGJX7t0=")</f>
        <v>#REF!</v>
      </c>
      <c r="HO494" t="e">
        <f>AND(#REF!,"AAAAAGJX7t4=")</f>
        <v>#REF!</v>
      </c>
      <c r="HP494" t="e">
        <f>AND(#REF!,"AAAAAGJX7t8=")</f>
        <v>#REF!</v>
      </c>
      <c r="HQ494" t="e">
        <f>AND(#REF!,"AAAAAGJX7uA=")</f>
        <v>#REF!</v>
      </c>
      <c r="HR494" t="e">
        <f>AND(#REF!,"AAAAAGJX7uE=")</f>
        <v>#REF!</v>
      </c>
      <c r="HS494" t="e">
        <f>AND(#REF!,"AAAAAGJX7uI=")</f>
        <v>#REF!</v>
      </c>
      <c r="HT494" t="e">
        <f>IF(#REF!,"AAAAAGJX7uM=",0)</f>
        <v>#REF!</v>
      </c>
      <c r="HU494" t="e">
        <f>AND(#REF!,"AAAAAGJX7uQ=")</f>
        <v>#REF!</v>
      </c>
      <c r="HV494" t="e">
        <f>AND(#REF!,"AAAAAGJX7uU=")</f>
        <v>#REF!</v>
      </c>
      <c r="HW494" t="e">
        <f>AND(#REF!,"AAAAAGJX7uY=")</f>
        <v>#REF!</v>
      </c>
      <c r="HX494" t="e">
        <f>AND(#REF!,"AAAAAGJX7uc=")</f>
        <v>#REF!</v>
      </c>
      <c r="HY494" t="e">
        <f>AND(#REF!,"AAAAAGJX7ug=")</f>
        <v>#REF!</v>
      </c>
      <c r="HZ494" t="e">
        <f>AND(#REF!,"AAAAAGJX7uk=")</f>
        <v>#REF!</v>
      </c>
      <c r="IA494" t="e">
        <f>AND(#REF!,"AAAAAGJX7uo=")</f>
        <v>#REF!</v>
      </c>
      <c r="IB494" t="e">
        <f>AND(#REF!,"AAAAAGJX7us=")</f>
        <v>#REF!</v>
      </c>
      <c r="IC494" t="e">
        <f>AND(#REF!,"AAAAAGJX7uw=")</f>
        <v>#REF!</v>
      </c>
      <c r="ID494" t="e">
        <f>AND(#REF!,"AAAAAGJX7u0=")</f>
        <v>#REF!</v>
      </c>
      <c r="IE494" t="e">
        <f>AND(#REF!,"AAAAAGJX7u4=")</f>
        <v>#REF!</v>
      </c>
      <c r="IF494" t="e">
        <f>AND(#REF!,"AAAAAGJX7u8=")</f>
        <v>#REF!</v>
      </c>
      <c r="IG494" t="e">
        <f>AND(#REF!,"AAAAAGJX7vA=")</f>
        <v>#REF!</v>
      </c>
      <c r="IH494" t="e">
        <f>AND(#REF!,"AAAAAGJX7vE=")</f>
        <v>#REF!</v>
      </c>
      <c r="II494" t="e">
        <f>AND(#REF!,"AAAAAGJX7vI=")</f>
        <v>#REF!</v>
      </c>
      <c r="IJ494" t="e">
        <f>AND(#REF!,"AAAAAGJX7vM=")</f>
        <v>#REF!</v>
      </c>
      <c r="IK494" t="e">
        <f>AND(#REF!,"AAAAAGJX7vQ=")</f>
        <v>#REF!</v>
      </c>
      <c r="IL494" t="e">
        <f>AND(#REF!,"AAAAAGJX7vU=")</f>
        <v>#REF!</v>
      </c>
      <c r="IM494" t="e">
        <f>AND(#REF!,"AAAAAGJX7vY=")</f>
        <v>#REF!</v>
      </c>
      <c r="IN494" t="e">
        <f>AND(#REF!,"AAAAAGJX7vc=")</f>
        <v>#REF!</v>
      </c>
      <c r="IO494" t="e">
        <f>AND(#REF!,"AAAAAGJX7vg=")</f>
        <v>#REF!</v>
      </c>
      <c r="IP494" t="e">
        <f>AND(#REF!,"AAAAAGJX7vk=")</f>
        <v>#REF!</v>
      </c>
      <c r="IQ494" t="e">
        <f>AND(#REF!,"AAAAAGJX7vo=")</f>
        <v>#REF!</v>
      </c>
      <c r="IR494" t="e">
        <f>AND(#REF!,"AAAAAGJX7vs=")</f>
        <v>#REF!</v>
      </c>
      <c r="IS494" t="e">
        <f>IF(#REF!,"AAAAAGJX7vw=",0)</f>
        <v>#REF!</v>
      </c>
      <c r="IT494" t="e">
        <f>AND(#REF!,"AAAAAGJX7v0=")</f>
        <v>#REF!</v>
      </c>
      <c r="IU494" t="e">
        <f>AND(#REF!,"AAAAAGJX7v4=")</f>
        <v>#REF!</v>
      </c>
      <c r="IV494" t="e">
        <f>AND(#REF!,"AAAAAGJX7v8=")</f>
        <v>#REF!</v>
      </c>
    </row>
    <row r="495" spans="1:256">
      <c r="A495" t="e">
        <f>AND(#REF!,"AAAAAHX3mgA=")</f>
        <v>#REF!</v>
      </c>
      <c r="B495" t="e">
        <f>AND(#REF!,"AAAAAHX3mgE=")</f>
        <v>#REF!</v>
      </c>
      <c r="C495" t="e">
        <f>AND(#REF!,"AAAAAHX3mgI=")</f>
        <v>#REF!</v>
      </c>
      <c r="D495" t="e">
        <f>AND(#REF!,"AAAAAHX3mgM=")</f>
        <v>#REF!</v>
      </c>
      <c r="E495" t="e">
        <f>AND(#REF!,"AAAAAHX3mgQ=")</f>
        <v>#REF!</v>
      </c>
      <c r="F495" t="e">
        <f>AND(#REF!,"AAAAAHX3mgU=")</f>
        <v>#REF!</v>
      </c>
      <c r="G495" t="e">
        <f>AND(#REF!,"AAAAAHX3mgY=")</f>
        <v>#REF!</v>
      </c>
      <c r="H495" t="e">
        <f>AND(#REF!,"AAAAAHX3mgc=")</f>
        <v>#REF!</v>
      </c>
      <c r="I495" t="e">
        <f>AND(#REF!,"AAAAAHX3mgg=")</f>
        <v>#REF!</v>
      </c>
      <c r="J495" t="e">
        <f>AND(#REF!,"AAAAAHX3mgk=")</f>
        <v>#REF!</v>
      </c>
      <c r="K495" t="e">
        <f>AND(#REF!,"AAAAAHX3mgo=")</f>
        <v>#REF!</v>
      </c>
      <c r="L495" t="e">
        <f>AND(#REF!,"AAAAAHX3mgs=")</f>
        <v>#REF!</v>
      </c>
      <c r="M495" t="e">
        <f>AND(#REF!,"AAAAAHX3mgw=")</f>
        <v>#REF!</v>
      </c>
      <c r="N495" t="e">
        <f>AND(#REF!,"AAAAAHX3mg0=")</f>
        <v>#REF!</v>
      </c>
      <c r="O495" t="e">
        <f>AND(#REF!,"AAAAAHX3mg4=")</f>
        <v>#REF!</v>
      </c>
      <c r="P495" t="e">
        <f>AND(#REF!,"AAAAAHX3mg8=")</f>
        <v>#REF!</v>
      </c>
      <c r="Q495" t="e">
        <f>AND(#REF!,"AAAAAHX3mhA=")</f>
        <v>#REF!</v>
      </c>
      <c r="R495" t="e">
        <f>AND(#REF!,"AAAAAHX3mhE=")</f>
        <v>#REF!</v>
      </c>
      <c r="S495" t="e">
        <f>AND(#REF!,"AAAAAHX3mhI=")</f>
        <v>#REF!</v>
      </c>
      <c r="T495" t="e">
        <f>AND(#REF!,"AAAAAHX3mhM=")</f>
        <v>#REF!</v>
      </c>
      <c r="U495" t="e">
        <f>AND(#REF!,"AAAAAHX3mhQ=")</f>
        <v>#REF!</v>
      </c>
      <c r="V495" t="e">
        <f>IF(#REF!,"AAAAAHX3mhU=",0)</f>
        <v>#REF!</v>
      </c>
      <c r="W495" t="e">
        <f>AND(#REF!,"AAAAAHX3mhY=")</f>
        <v>#REF!</v>
      </c>
      <c r="X495" t="e">
        <f>AND(#REF!,"AAAAAHX3mhc=")</f>
        <v>#REF!</v>
      </c>
      <c r="Y495" t="e">
        <f>AND(#REF!,"AAAAAHX3mhg=")</f>
        <v>#REF!</v>
      </c>
      <c r="Z495" t="e">
        <f>AND(#REF!,"AAAAAHX3mhk=")</f>
        <v>#REF!</v>
      </c>
      <c r="AA495" t="e">
        <f>AND(#REF!,"AAAAAHX3mho=")</f>
        <v>#REF!</v>
      </c>
      <c r="AB495" t="e">
        <f>AND(#REF!,"AAAAAHX3mhs=")</f>
        <v>#REF!</v>
      </c>
      <c r="AC495" t="e">
        <f>AND(#REF!,"AAAAAHX3mhw=")</f>
        <v>#REF!</v>
      </c>
      <c r="AD495" t="e">
        <f>AND(#REF!,"AAAAAHX3mh0=")</f>
        <v>#REF!</v>
      </c>
      <c r="AE495" t="e">
        <f>AND(#REF!,"AAAAAHX3mh4=")</f>
        <v>#REF!</v>
      </c>
      <c r="AF495" t="e">
        <f>AND(#REF!,"AAAAAHX3mh8=")</f>
        <v>#REF!</v>
      </c>
      <c r="AG495" t="e">
        <f>AND(#REF!,"AAAAAHX3miA=")</f>
        <v>#REF!</v>
      </c>
      <c r="AH495" t="e">
        <f>AND(#REF!,"AAAAAHX3miE=")</f>
        <v>#REF!</v>
      </c>
      <c r="AI495" t="e">
        <f>AND(#REF!,"AAAAAHX3miI=")</f>
        <v>#REF!</v>
      </c>
      <c r="AJ495" t="e">
        <f>AND(#REF!,"AAAAAHX3miM=")</f>
        <v>#REF!</v>
      </c>
      <c r="AK495" t="e">
        <f>AND(#REF!,"AAAAAHX3miQ=")</f>
        <v>#REF!</v>
      </c>
      <c r="AL495" t="e">
        <f>AND(#REF!,"AAAAAHX3miU=")</f>
        <v>#REF!</v>
      </c>
      <c r="AM495" t="e">
        <f>AND(#REF!,"AAAAAHX3miY=")</f>
        <v>#REF!</v>
      </c>
      <c r="AN495" t="e">
        <f>AND(#REF!,"AAAAAHX3mic=")</f>
        <v>#REF!</v>
      </c>
      <c r="AO495" t="e">
        <f>AND(#REF!,"AAAAAHX3mig=")</f>
        <v>#REF!</v>
      </c>
      <c r="AP495" t="e">
        <f>AND(#REF!,"AAAAAHX3mik=")</f>
        <v>#REF!</v>
      </c>
      <c r="AQ495" t="e">
        <f>AND(#REF!,"AAAAAHX3mio=")</f>
        <v>#REF!</v>
      </c>
      <c r="AR495" t="e">
        <f>AND(#REF!,"AAAAAHX3mis=")</f>
        <v>#REF!</v>
      </c>
      <c r="AS495" t="e">
        <f>AND(#REF!,"AAAAAHX3miw=")</f>
        <v>#REF!</v>
      </c>
      <c r="AT495" t="e">
        <f>AND(#REF!,"AAAAAHX3mi0=")</f>
        <v>#REF!</v>
      </c>
      <c r="AU495" t="e">
        <f>IF(#REF!,"AAAAAHX3mi4=",0)</f>
        <v>#REF!</v>
      </c>
      <c r="AV495" t="e">
        <f>AND(#REF!,"AAAAAHX3mi8=")</f>
        <v>#REF!</v>
      </c>
      <c r="AW495" t="e">
        <f>AND(#REF!,"AAAAAHX3mjA=")</f>
        <v>#REF!</v>
      </c>
      <c r="AX495" t="e">
        <f>AND(#REF!,"AAAAAHX3mjE=")</f>
        <v>#REF!</v>
      </c>
      <c r="AY495" t="e">
        <f>AND(#REF!,"AAAAAHX3mjI=")</f>
        <v>#REF!</v>
      </c>
      <c r="AZ495" t="e">
        <f>AND(#REF!,"AAAAAHX3mjM=")</f>
        <v>#REF!</v>
      </c>
      <c r="BA495" t="e">
        <f>AND(#REF!,"AAAAAHX3mjQ=")</f>
        <v>#REF!</v>
      </c>
      <c r="BB495" t="e">
        <f>AND(#REF!,"AAAAAHX3mjU=")</f>
        <v>#REF!</v>
      </c>
      <c r="BC495" t="e">
        <f>AND(#REF!,"AAAAAHX3mjY=")</f>
        <v>#REF!</v>
      </c>
      <c r="BD495" t="e">
        <f>AND(#REF!,"AAAAAHX3mjc=")</f>
        <v>#REF!</v>
      </c>
      <c r="BE495" t="e">
        <f>AND(#REF!,"AAAAAHX3mjg=")</f>
        <v>#REF!</v>
      </c>
      <c r="BF495" t="e">
        <f>AND(#REF!,"AAAAAHX3mjk=")</f>
        <v>#REF!</v>
      </c>
      <c r="BG495" t="e">
        <f>AND(#REF!,"AAAAAHX3mjo=")</f>
        <v>#REF!</v>
      </c>
      <c r="BH495" t="e">
        <f>AND(#REF!,"AAAAAHX3mjs=")</f>
        <v>#REF!</v>
      </c>
      <c r="BI495" t="e">
        <f>AND(#REF!,"AAAAAHX3mjw=")</f>
        <v>#REF!</v>
      </c>
      <c r="BJ495" t="e">
        <f>AND(#REF!,"AAAAAHX3mj0=")</f>
        <v>#REF!</v>
      </c>
      <c r="BK495" t="e">
        <f>AND(#REF!,"AAAAAHX3mj4=")</f>
        <v>#REF!</v>
      </c>
      <c r="BL495" t="e">
        <f>AND(#REF!,"AAAAAHX3mj8=")</f>
        <v>#REF!</v>
      </c>
      <c r="BM495" t="e">
        <f>AND(#REF!,"AAAAAHX3mkA=")</f>
        <v>#REF!</v>
      </c>
      <c r="BN495" t="e">
        <f>AND(#REF!,"AAAAAHX3mkE=")</f>
        <v>#REF!</v>
      </c>
      <c r="BO495" t="e">
        <f>AND(#REF!,"AAAAAHX3mkI=")</f>
        <v>#REF!</v>
      </c>
      <c r="BP495" t="e">
        <f>AND(#REF!,"AAAAAHX3mkM=")</f>
        <v>#REF!</v>
      </c>
      <c r="BQ495" t="e">
        <f>AND(#REF!,"AAAAAHX3mkQ=")</f>
        <v>#REF!</v>
      </c>
      <c r="BR495" t="e">
        <f>AND(#REF!,"AAAAAHX3mkU=")</f>
        <v>#REF!</v>
      </c>
      <c r="BS495" t="e">
        <f>AND(#REF!,"AAAAAHX3mkY=")</f>
        <v>#REF!</v>
      </c>
      <c r="BT495" t="e">
        <f>IF(#REF!,"AAAAAHX3mkc=",0)</f>
        <v>#REF!</v>
      </c>
      <c r="BU495" t="e">
        <f>AND(#REF!,"AAAAAHX3mkg=")</f>
        <v>#REF!</v>
      </c>
      <c r="BV495" t="e">
        <f>AND(#REF!,"AAAAAHX3mkk=")</f>
        <v>#REF!</v>
      </c>
      <c r="BW495" t="e">
        <f>AND(#REF!,"AAAAAHX3mko=")</f>
        <v>#REF!</v>
      </c>
      <c r="BX495" t="e">
        <f>AND(#REF!,"AAAAAHX3mks=")</f>
        <v>#REF!</v>
      </c>
      <c r="BY495" t="e">
        <f>AND(#REF!,"AAAAAHX3mkw=")</f>
        <v>#REF!</v>
      </c>
      <c r="BZ495" t="e">
        <f>AND(#REF!,"AAAAAHX3mk0=")</f>
        <v>#REF!</v>
      </c>
      <c r="CA495" t="e">
        <f>AND(#REF!,"AAAAAHX3mk4=")</f>
        <v>#REF!</v>
      </c>
      <c r="CB495" t="e">
        <f>AND(#REF!,"AAAAAHX3mk8=")</f>
        <v>#REF!</v>
      </c>
      <c r="CC495" t="e">
        <f>AND(#REF!,"AAAAAHX3mlA=")</f>
        <v>#REF!</v>
      </c>
      <c r="CD495" t="e">
        <f>AND(#REF!,"AAAAAHX3mlE=")</f>
        <v>#REF!</v>
      </c>
      <c r="CE495" t="e">
        <f>AND(#REF!,"AAAAAHX3mlI=")</f>
        <v>#REF!</v>
      </c>
      <c r="CF495" t="e">
        <f>AND(#REF!,"AAAAAHX3mlM=")</f>
        <v>#REF!</v>
      </c>
      <c r="CG495" t="e">
        <f>AND(#REF!,"AAAAAHX3mlQ=")</f>
        <v>#REF!</v>
      </c>
      <c r="CH495" t="e">
        <f>AND(#REF!,"AAAAAHX3mlU=")</f>
        <v>#REF!</v>
      </c>
      <c r="CI495" t="e">
        <f>AND(#REF!,"AAAAAHX3mlY=")</f>
        <v>#REF!</v>
      </c>
      <c r="CJ495" t="e">
        <f>AND(#REF!,"AAAAAHX3mlc=")</f>
        <v>#REF!</v>
      </c>
      <c r="CK495" t="e">
        <f>AND(#REF!,"AAAAAHX3mlg=")</f>
        <v>#REF!</v>
      </c>
      <c r="CL495" t="e">
        <f>AND(#REF!,"AAAAAHX3mlk=")</f>
        <v>#REF!</v>
      </c>
      <c r="CM495" t="e">
        <f>AND(#REF!,"AAAAAHX3mlo=")</f>
        <v>#REF!</v>
      </c>
      <c r="CN495" t="e">
        <f>AND(#REF!,"AAAAAHX3mls=")</f>
        <v>#REF!</v>
      </c>
      <c r="CO495" t="e">
        <f>AND(#REF!,"AAAAAHX3mlw=")</f>
        <v>#REF!</v>
      </c>
      <c r="CP495" t="e">
        <f>AND(#REF!,"AAAAAHX3ml0=")</f>
        <v>#REF!</v>
      </c>
      <c r="CQ495" t="e">
        <f>AND(#REF!,"AAAAAHX3ml4=")</f>
        <v>#REF!</v>
      </c>
      <c r="CR495" t="e">
        <f>AND(#REF!,"AAAAAHX3ml8=")</f>
        <v>#REF!</v>
      </c>
      <c r="CS495" t="e">
        <f>IF(#REF!,"AAAAAHX3mmA=",0)</f>
        <v>#REF!</v>
      </c>
      <c r="CT495" t="e">
        <f>AND(#REF!,"AAAAAHX3mmE=")</f>
        <v>#REF!</v>
      </c>
      <c r="CU495" t="e">
        <f>AND(#REF!,"AAAAAHX3mmI=")</f>
        <v>#REF!</v>
      </c>
      <c r="CV495" t="e">
        <f>AND(#REF!,"AAAAAHX3mmM=")</f>
        <v>#REF!</v>
      </c>
      <c r="CW495" t="e">
        <f>AND(#REF!,"AAAAAHX3mmQ=")</f>
        <v>#REF!</v>
      </c>
      <c r="CX495" t="e">
        <f>AND(#REF!,"AAAAAHX3mmU=")</f>
        <v>#REF!</v>
      </c>
      <c r="CY495" t="e">
        <f>AND(#REF!,"AAAAAHX3mmY=")</f>
        <v>#REF!</v>
      </c>
      <c r="CZ495" t="e">
        <f>AND(#REF!,"AAAAAHX3mmc=")</f>
        <v>#REF!</v>
      </c>
      <c r="DA495" t="e">
        <f>AND(#REF!,"AAAAAHX3mmg=")</f>
        <v>#REF!</v>
      </c>
      <c r="DB495" t="e">
        <f>AND(#REF!,"AAAAAHX3mmk=")</f>
        <v>#REF!</v>
      </c>
      <c r="DC495" t="e">
        <f>AND(#REF!,"AAAAAHX3mmo=")</f>
        <v>#REF!</v>
      </c>
      <c r="DD495" t="e">
        <f>AND(#REF!,"AAAAAHX3mms=")</f>
        <v>#REF!</v>
      </c>
      <c r="DE495" t="e">
        <f>AND(#REF!,"AAAAAHX3mmw=")</f>
        <v>#REF!</v>
      </c>
      <c r="DF495" t="e">
        <f>AND(#REF!,"AAAAAHX3mm0=")</f>
        <v>#REF!</v>
      </c>
      <c r="DG495" t="e">
        <f>AND(#REF!,"AAAAAHX3mm4=")</f>
        <v>#REF!</v>
      </c>
      <c r="DH495" t="e">
        <f>AND(#REF!,"AAAAAHX3mm8=")</f>
        <v>#REF!</v>
      </c>
      <c r="DI495" t="e">
        <f>AND(#REF!,"AAAAAHX3mnA=")</f>
        <v>#REF!</v>
      </c>
      <c r="DJ495" t="e">
        <f>AND(#REF!,"AAAAAHX3mnE=")</f>
        <v>#REF!</v>
      </c>
      <c r="DK495" t="e">
        <f>AND(#REF!,"AAAAAHX3mnI=")</f>
        <v>#REF!</v>
      </c>
      <c r="DL495" t="e">
        <f>AND(#REF!,"AAAAAHX3mnM=")</f>
        <v>#REF!</v>
      </c>
      <c r="DM495" t="e">
        <f>AND(#REF!,"AAAAAHX3mnQ=")</f>
        <v>#REF!</v>
      </c>
      <c r="DN495" t="e">
        <f>AND(#REF!,"AAAAAHX3mnU=")</f>
        <v>#REF!</v>
      </c>
      <c r="DO495" t="e">
        <f>AND(#REF!,"AAAAAHX3mnY=")</f>
        <v>#REF!</v>
      </c>
      <c r="DP495" t="e">
        <f>AND(#REF!,"AAAAAHX3mnc=")</f>
        <v>#REF!</v>
      </c>
      <c r="DQ495" t="e">
        <f>AND(#REF!,"AAAAAHX3mng=")</f>
        <v>#REF!</v>
      </c>
      <c r="DR495" t="e">
        <f>IF(#REF!,"AAAAAHX3mnk=",0)</f>
        <v>#REF!</v>
      </c>
      <c r="DS495" t="e">
        <f>AND(#REF!,"AAAAAHX3mno=")</f>
        <v>#REF!</v>
      </c>
      <c r="DT495" t="e">
        <f>AND(#REF!,"AAAAAHX3mns=")</f>
        <v>#REF!</v>
      </c>
      <c r="DU495" t="e">
        <f>AND(#REF!,"AAAAAHX3mnw=")</f>
        <v>#REF!</v>
      </c>
      <c r="DV495" t="e">
        <f>AND(#REF!,"AAAAAHX3mn0=")</f>
        <v>#REF!</v>
      </c>
      <c r="DW495" t="e">
        <f>AND(#REF!,"AAAAAHX3mn4=")</f>
        <v>#REF!</v>
      </c>
      <c r="DX495" t="e">
        <f>AND(#REF!,"AAAAAHX3mn8=")</f>
        <v>#REF!</v>
      </c>
      <c r="DY495" t="e">
        <f>AND(#REF!,"AAAAAHX3moA=")</f>
        <v>#REF!</v>
      </c>
      <c r="DZ495" t="e">
        <f>AND(#REF!,"AAAAAHX3moE=")</f>
        <v>#REF!</v>
      </c>
      <c r="EA495" t="e">
        <f>AND(#REF!,"AAAAAHX3moI=")</f>
        <v>#REF!</v>
      </c>
      <c r="EB495" t="e">
        <f>AND(#REF!,"AAAAAHX3moM=")</f>
        <v>#REF!</v>
      </c>
      <c r="EC495" t="e">
        <f>AND(#REF!,"AAAAAHX3moQ=")</f>
        <v>#REF!</v>
      </c>
      <c r="ED495" t="e">
        <f>AND(#REF!,"AAAAAHX3moU=")</f>
        <v>#REF!</v>
      </c>
      <c r="EE495" t="e">
        <f>AND(#REF!,"AAAAAHX3moY=")</f>
        <v>#REF!</v>
      </c>
      <c r="EF495" t="e">
        <f>AND(#REF!,"AAAAAHX3moc=")</f>
        <v>#REF!</v>
      </c>
      <c r="EG495" t="e">
        <f>AND(#REF!,"AAAAAHX3mog=")</f>
        <v>#REF!</v>
      </c>
      <c r="EH495" t="e">
        <f>AND(#REF!,"AAAAAHX3mok=")</f>
        <v>#REF!</v>
      </c>
      <c r="EI495" t="e">
        <f>AND(#REF!,"AAAAAHX3moo=")</f>
        <v>#REF!</v>
      </c>
      <c r="EJ495" t="e">
        <f>AND(#REF!,"AAAAAHX3mos=")</f>
        <v>#REF!</v>
      </c>
      <c r="EK495" t="e">
        <f>AND(#REF!,"AAAAAHX3mow=")</f>
        <v>#REF!</v>
      </c>
      <c r="EL495" t="e">
        <f>AND(#REF!,"AAAAAHX3mo0=")</f>
        <v>#REF!</v>
      </c>
      <c r="EM495" t="e">
        <f>AND(#REF!,"AAAAAHX3mo4=")</f>
        <v>#REF!</v>
      </c>
      <c r="EN495" t="e">
        <f>AND(#REF!,"AAAAAHX3mo8=")</f>
        <v>#REF!</v>
      </c>
      <c r="EO495" t="e">
        <f>AND(#REF!,"AAAAAHX3mpA=")</f>
        <v>#REF!</v>
      </c>
      <c r="EP495" t="e">
        <f>AND(#REF!,"AAAAAHX3mpE=")</f>
        <v>#REF!</v>
      </c>
      <c r="EQ495" t="e">
        <f>IF(#REF!,"AAAAAHX3mpI=",0)</f>
        <v>#REF!</v>
      </c>
      <c r="ER495" t="e">
        <f>AND(#REF!,"AAAAAHX3mpM=")</f>
        <v>#REF!</v>
      </c>
      <c r="ES495" t="e">
        <f>AND(#REF!,"AAAAAHX3mpQ=")</f>
        <v>#REF!</v>
      </c>
      <c r="ET495" t="e">
        <f>AND(#REF!,"AAAAAHX3mpU=")</f>
        <v>#REF!</v>
      </c>
      <c r="EU495" t="e">
        <f>AND(#REF!,"AAAAAHX3mpY=")</f>
        <v>#REF!</v>
      </c>
      <c r="EV495" t="e">
        <f>AND(#REF!,"AAAAAHX3mpc=")</f>
        <v>#REF!</v>
      </c>
      <c r="EW495" t="e">
        <f>AND(#REF!,"AAAAAHX3mpg=")</f>
        <v>#REF!</v>
      </c>
      <c r="EX495" t="e">
        <f>AND(#REF!,"AAAAAHX3mpk=")</f>
        <v>#REF!</v>
      </c>
      <c r="EY495" t="e">
        <f>AND(#REF!,"AAAAAHX3mpo=")</f>
        <v>#REF!</v>
      </c>
      <c r="EZ495" t="e">
        <f>AND(#REF!,"AAAAAHX3mps=")</f>
        <v>#REF!</v>
      </c>
      <c r="FA495" t="e">
        <f>AND(#REF!,"AAAAAHX3mpw=")</f>
        <v>#REF!</v>
      </c>
      <c r="FB495" t="e">
        <f>AND(#REF!,"AAAAAHX3mp0=")</f>
        <v>#REF!</v>
      </c>
      <c r="FC495" t="e">
        <f>AND(#REF!,"AAAAAHX3mp4=")</f>
        <v>#REF!</v>
      </c>
      <c r="FD495" t="e">
        <f>AND(#REF!,"AAAAAHX3mp8=")</f>
        <v>#REF!</v>
      </c>
      <c r="FE495" t="e">
        <f>AND(#REF!,"AAAAAHX3mqA=")</f>
        <v>#REF!</v>
      </c>
      <c r="FF495" t="e">
        <f>AND(#REF!,"AAAAAHX3mqE=")</f>
        <v>#REF!</v>
      </c>
      <c r="FG495" t="e">
        <f>AND(#REF!,"AAAAAHX3mqI=")</f>
        <v>#REF!</v>
      </c>
      <c r="FH495" t="e">
        <f>AND(#REF!,"AAAAAHX3mqM=")</f>
        <v>#REF!</v>
      </c>
      <c r="FI495" t="e">
        <f>AND(#REF!,"AAAAAHX3mqQ=")</f>
        <v>#REF!</v>
      </c>
      <c r="FJ495" t="e">
        <f>AND(#REF!,"AAAAAHX3mqU=")</f>
        <v>#REF!</v>
      </c>
      <c r="FK495" t="e">
        <f>AND(#REF!,"AAAAAHX3mqY=")</f>
        <v>#REF!</v>
      </c>
      <c r="FL495" t="e">
        <f>AND(#REF!,"AAAAAHX3mqc=")</f>
        <v>#REF!</v>
      </c>
      <c r="FM495" t="e">
        <f>AND(#REF!,"AAAAAHX3mqg=")</f>
        <v>#REF!</v>
      </c>
      <c r="FN495" t="e">
        <f>AND(#REF!,"AAAAAHX3mqk=")</f>
        <v>#REF!</v>
      </c>
      <c r="FO495" t="e">
        <f>AND(#REF!,"AAAAAHX3mqo=")</f>
        <v>#REF!</v>
      </c>
      <c r="FP495" t="e">
        <f>IF(#REF!,"AAAAAHX3mqs=",0)</f>
        <v>#REF!</v>
      </c>
      <c r="FQ495" t="e">
        <f>AND(#REF!,"AAAAAHX3mqw=")</f>
        <v>#REF!</v>
      </c>
      <c r="FR495" t="e">
        <f>AND(#REF!,"AAAAAHX3mq0=")</f>
        <v>#REF!</v>
      </c>
      <c r="FS495" t="e">
        <f>AND(#REF!,"AAAAAHX3mq4=")</f>
        <v>#REF!</v>
      </c>
      <c r="FT495" t="e">
        <f>AND(#REF!,"AAAAAHX3mq8=")</f>
        <v>#REF!</v>
      </c>
      <c r="FU495" t="e">
        <f>AND(#REF!,"AAAAAHX3mrA=")</f>
        <v>#REF!</v>
      </c>
      <c r="FV495" t="e">
        <f>AND(#REF!,"AAAAAHX3mrE=")</f>
        <v>#REF!</v>
      </c>
      <c r="FW495" t="e">
        <f>AND(#REF!,"AAAAAHX3mrI=")</f>
        <v>#REF!</v>
      </c>
      <c r="FX495" t="e">
        <f>AND(#REF!,"AAAAAHX3mrM=")</f>
        <v>#REF!</v>
      </c>
      <c r="FY495" t="e">
        <f>AND(#REF!,"AAAAAHX3mrQ=")</f>
        <v>#REF!</v>
      </c>
      <c r="FZ495" t="e">
        <f>AND(#REF!,"AAAAAHX3mrU=")</f>
        <v>#REF!</v>
      </c>
      <c r="GA495" t="e">
        <f>AND(#REF!,"AAAAAHX3mrY=")</f>
        <v>#REF!</v>
      </c>
      <c r="GB495" t="e">
        <f>AND(#REF!,"AAAAAHX3mrc=")</f>
        <v>#REF!</v>
      </c>
      <c r="GC495" t="e">
        <f>AND(#REF!,"AAAAAHX3mrg=")</f>
        <v>#REF!</v>
      </c>
      <c r="GD495" t="e">
        <f>AND(#REF!,"AAAAAHX3mrk=")</f>
        <v>#REF!</v>
      </c>
      <c r="GE495" t="e">
        <f>AND(#REF!,"AAAAAHX3mro=")</f>
        <v>#REF!</v>
      </c>
      <c r="GF495" t="e">
        <f>AND(#REF!,"AAAAAHX3mrs=")</f>
        <v>#REF!</v>
      </c>
      <c r="GG495" t="e">
        <f>AND(#REF!,"AAAAAHX3mrw=")</f>
        <v>#REF!</v>
      </c>
      <c r="GH495" t="e">
        <f>AND(#REF!,"AAAAAHX3mr0=")</f>
        <v>#REF!</v>
      </c>
      <c r="GI495" t="e">
        <f>AND(#REF!,"AAAAAHX3mr4=")</f>
        <v>#REF!</v>
      </c>
      <c r="GJ495" t="e">
        <f>AND(#REF!,"AAAAAHX3mr8=")</f>
        <v>#REF!</v>
      </c>
      <c r="GK495" t="e">
        <f>AND(#REF!,"AAAAAHX3msA=")</f>
        <v>#REF!</v>
      </c>
      <c r="GL495" t="e">
        <f>AND(#REF!,"AAAAAHX3msE=")</f>
        <v>#REF!</v>
      </c>
      <c r="GM495" t="e">
        <f>AND(#REF!,"AAAAAHX3msI=")</f>
        <v>#REF!</v>
      </c>
      <c r="GN495" t="e">
        <f>AND(#REF!,"AAAAAHX3msM=")</f>
        <v>#REF!</v>
      </c>
      <c r="GO495" t="e">
        <f>IF(#REF!,"AAAAAHX3msQ=",0)</f>
        <v>#REF!</v>
      </c>
      <c r="GP495" t="e">
        <f>AND(#REF!,"AAAAAHX3msU=")</f>
        <v>#REF!</v>
      </c>
      <c r="GQ495" t="e">
        <f>AND(#REF!,"AAAAAHX3msY=")</f>
        <v>#REF!</v>
      </c>
      <c r="GR495" t="e">
        <f>AND(#REF!,"AAAAAHX3msc=")</f>
        <v>#REF!</v>
      </c>
      <c r="GS495" t="e">
        <f>AND(#REF!,"AAAAAHX3msg=")</f>
        <v>#REF!</v>
      </c>
      <c r="GT495" t="e">
        <f>AND(#REF!,"AAAAAHX3msk=")</f>
        <v>#REF!</v>
      </c>
      <c r="GU495" t="e">
        <f>AND(#REF!,"AAAAAHX3mso=")</f>
        <v>#REF!</v>
      </c>
      <c r="GV495" t="e">
        <f>AND(#REF!,"AAAAAHX3mss=")</f>
        <v>#REF!</v>
      </c>
      <c r="GW495" t="e">
        <f>AND(#REF!,"AAAAAHX3msw=")</f>
        <v>#REF!</v>
      </c>
      <c r="GX495" t="e">
        <f>AND(#REF!,"AAAAAHX3ms0=")</f>
        <v>#REF!</v>
      </c>
      <c r="GY495" t="e">
        <f>AND(#REF!,"AAAAAHX3ms4=")</f>
        <v>#REF!</v>
      </c>
      <c r="GZ495" t="e">
        <f>AND(#REF!,"AAAAAHX3ms8=")</f>
        <v>#REF!</v>
      </c>
      <c r="HA495" t="e">
        <f>AND(#REF!,"AAAAAHX3mtA=")</f>
        <v>#REF!</v>
      </c>
      <c r="HB495" t="e">
        <f>AND(#REF!,"AAAAAHX3mtE=")</f>
        <v>#REF!</v>
      </c>
      <c r="HC495" t="e">
        <f>AND(#REF!,"AAAAAHX3mtI=")</f>
        <v>#REF!</v>
      </c>
      <c r="HD495" t="e">
        <f>AND(#REF!,"AAAAAHX3mtM=")</f>
        <v>#REF!</v>
      </c>
      <c r="HE495" t="e">
        <f>AND(#REF!,"AAAAAHX3mtQ=")</f>
        <v>#REF!</v>
      </c>
      <c r="HF495" t="e">
        <f>AND(#REF!,"AAAAAHX3mtU=")</f>
        <v>#REF!</v>
      </c>
      <c r="HG495" t="e">
        <f>AND(#REF!,"AAAAAHX3mtY=")</f>
        <v>#REF!</v>
      </c>
      <c r="HH495" t="e">
        <f>AND(#REF!,"AAAAAHX3mtc=")</f>
        <v>#REF!</v>
      </c>
      <c r="HI495" t="e">
        <f>AND(#REF!,"AAAAAHX3mtg=")</f>
        <v>#REF!</v>
      </c>
      <c r="HJ495" t="e">
        <f>AND(#REF!,"AAAAAHX3mtk=")</f>
        <v>#REF!</v>
      </c>
      <c r="HK495" t="e">
        <f>AND(#REF!,"AAAAAHX3mto=")</f>
        <v>#REF!</v>
      </c>
      <c r="HL495" t="e">
        <f>AND(#REF!,"AAAAAHX3mts=")</f>
        <v>#REF!</v>
      </c>
      <c r="HM495" t="e">
        <f>AND(#REF!,"AAAAAHX3mtw=")</f>
        <v>#REF!</v>
      </c>
      <c r="HN495" t="e">
        <f>IF(#REF!,"AAAAAHX3mt0=",0)</f>
        <v>#REF!</v>
      </c>
      <c r="HO495" t="e">
        <f>AND(#REF!,"AAAAAHX3mt4=")</f>
        <v>#REF!</v>
      </c>
      <c r="HP495" t="e">
        <f>AND(#REF!,"AAAAAHX3mt8=")</f>
        <v>#REF!</v>
      </c>
      <c r="HQ495" t="e">
        <f>AND(#REF!,"AAAAAHX3muA=")</f>
        <v>#REF!</v>
      </c>
      <c r="HR495" t="e">
        <f>AND(#REF!,"AAAAAHX3muE=")</f>
        <v>#REF!</v>
      </c>
      <c r="HS495" t="e">
        <f>AND(#REF!,"AAAAAHX3muI=")</f>
        <v>#REF!</v>
      </c>
      <c r="HT495" t="e">
        <f>AND(#REF!,"AAAAAHX3muM=")</f>
        <v>#REF!</v>
      </c>
      <c r="HU495" t="e">
        <f>AND(#REF!,"AAAAAHX3muQ=")</f>
        <v>#REF!</v>
      </c>
      <c r="HV495" t="e">
        <f>AND(#REF!,"AAAAAHX3muU=")</f>
        <v>#REF!</v>
      </c>
      <c r="HW495" t="e">
        <f>AND(#REF!,"AAAAAHX3muY=")</f>
        <v>#REF!</v>
      </c>
      <c r="HX495" t="e">
        <f>AND(#REF!,"AAAAAHX3muc=")</f>
        <v>#REF!</v>
      </c>
      <c r="HY495" t="e">
        <f>AND(#REF!,"AAAAAHX3mug=")</f>
        <v>#REF!</v>
      </c>
      <c r="HZ495" t="e">
        <f>AND(#REF!,"AAAAAHX3muk=")</f>
        <v>#REF!</v>
      </c>
      <c r="IA495" t="e">
        <f>AND(#REF!,"AAAAAHX3muo=")</f>
        <v>#REF!</v>
      </c>
      <c r="IB495" t="e">
        <f>AND(#REF!,"AAAAAHX3mus=")</f>
        <v>#REF!</v>
      </c>
      <c r="IC495" t="e">
        <f>AND(#REF!,"AAAAAHX3muw=")</f>
        <v>#REF!</v>
      </c>
      <c r="ID495" t="e">
        <f>AND(#REF!,"AAAAAHX3mu0=")</f>
        <v>#REF!</v>
      </c>
      <c r="IE495" t="e">
        <f>AND(#REF!,"AAAAAHX3mu4=")</f>
        <v>#REF!</v>
      </c>
      <c r="IF495" t="e">
        <f>AND(#REF!,"AAAAAHX3mu8=")</f>
        <v>#REF!</v>
      </c>
      <c r="IG495" t="e">
        <f>AND(#REF!,"AAAAAHX3mvA=")</f>
        <v>#REF!</v>
      </c>
      <c r="IH495" t="e">
        <f>AND(#REF!,"AAAAAHX3mvE=")</f>
        <v>#REF!</v>
      </c>
      <c r="II495" t="e">
        <f>AND(#REF!,"AAAAAHX3mvI=")</f>
        <v>#REF!</v>
      </c>
      <c r="IJ495" t="e">
        <f>AND(#REF!,"AAAAAHX3mvM=")</f>
        <v>#REF!</v>
      </c>
      <c r="IK495" t="e">
        <f>AND(#REF!,"AAAAAHX3mvQ=")</f>
        <v>#REF!</v>
      </c>
      <c r="IL495" t="e">
        <f>AND(#REF!,"AAAAAHX3mvU=")</f>
        <v>#REF!</v>
      </c>
      <c r="IM495" t="e">
        <f>IF(#REF!,"AAAAAHX3mvY=",0)</f>
        <v>#REF!</v>
      </c>
      <c r="IN495" t="e">
        <f>AND(#REF!,"AAAAAHX3mvc=")</f>
        <v>#REF!</v>
      </c>
      <c r="IO495" t="e">
        <f>AND(#REF!,"AAAAAHX3mvg=")</f>
        <v>#REF!</v>
      </c>
      <c r="IP495" t="e">
        <f>AND(#REF!,"AAAAAHX3mvk=")</f>
        <v>#REF!</v>
      </c>
      <c r="IQ495" t="e">
        <f>AND(#REF!,"AAAAAHX3mvo=")</f>
        <v>#REF!</v>
      </c>
      <c r="IR495" t="e">
        <f>AND(#REF!,"AAAAAHX3mvs=")</f>
        <v>#REF!</v>
      </c>
      <c r="IS495" t="e">
        <f>AND(#REF!,"AAAAAHX3mvw=")</f>
        <v>#REF!</v>
      </c>
      <c r="IT495" t="e">
        <f>AND(#REF!,"AAAAAHX3mv0=")</f>
        <v>#REF!</v>
      </c>
      <c r="IU495" t="e">
        <f>AND(#REF!,"AAAAAHX3mv4=")</f>
        <v>#REF!</v>
      </c>
      <c r="IV495" t="e">
        <f>AND(#REF!,"AAAAAHX3mv8=")</f>
        <v>#REF!</v>
      </c>
    </row>
    <row r="496" spans="1:256">
      <c r="A496" t="e">
        <f>AND(#REF!,"AAAAAEfl3gA=")</f>
        <v>#REF!</v>
      </c>
      <c r="B496" t="e">
        <f>AND(#REF!,"AAAAAEfl3gE=")</f>
        <v>#REF!</v>
      </c>
      <c r="C496" t="e">
        <f>AND(#REF!,"AAAAAEfl3gI=")</f>
        <v>#REF!</v>
      </c>
      <c r="D496" t="e">
        <f>AND(#REF!,"AAAAAEfl3gM=")</f>
        <v>#REF!</v>
      </c>
      <c r="E496" t="e">
        <f>AND(#REF!,"AAAAAEfl3gQ=")</f>
        <v>#REF!</v>
      </c>
      <c r="F496" t="e">
        <f>AND(#REF!,"AAAAAEfl3gU=")</f>
        <v>#REF!</v>
      </c>
      <c r="G496" t="e">
        <f>AND(#REF!,"AAAAAEfl3gY=")</f>
        <v>#REF!</v>
      </c>
      <c r="H496" t="e">
        <f>AND(#REF!,"AAAAAEfl3gc=")</f>
        <v>#REF!</v>
      </c>
      <c r="I496" t="e">
        <f>AND(#REF!,"AAAAAEfl3gg=")</f>
        <v>#REF!</v>
      </c>
      <c r="J496" t="e">
        <f>AND(#REF!,"AAAAAEfl3gk=")</f>
        <v>#REF!</v>
      </c>
      <c r="K496" t="e">
        <f>AND(#REF!,"AAAAAEfl3go=")</f>
        <v>#REF!</v>
      </c>
      <c r="L496" t="e">
        <f>AND(#REF!,"AAAAAEfl3gs=")</f>
        <v>#REF!</v>
      </c>
      <c r="M496" t="e">
        <f>AND(#REF!,"AAAAAEfl3gw=")</f>
        <v>#REF!</v>
      </c>
      <c r="N496" t="e">
        <f>AND(#REF!,"AAAAAEfl3g0=")</f>
        <v>#REF!</v>
      </c>
      <c r="O496" t="e">
        <f>AND(#REF!,"AAAAAEfl3g4=")</f>
        <v>#REF!</v>
      </c>
      <c r="P496" t="e">
        <f>IF(#REF!,"AAAAAEfl3g8=",0)</f>
        <v>#REF!</v>
      </c>
      <c r="Q496" t="e">
        <f>AND(#REF!,"AAAAAEfl3hA=")</f>
        <v>#REF!</v>
      </c>
      <c r="R496" t="e">
        <f>AND(#REF!,"AAAAAEfl3hE=")</f>
        <v>#REF!</v>
      </c>
      <c r="S496" t="e">
        <f>AND(#REF!,"AAAAAEfl3hI=")</f>
        <v>#REF!</v>
      </c>
      <c r="T496" t="e">
        <f>AND(#REF!,"AAAAAEfl3hM=")</f>
        <v>#REF!</v>
      </c>
      <c r="U496" t="e">
        <f>AND(#REF!,"AAAAAEfl3hQ=")</f>
        <v>#REF!</v>
      </c>
      <c r="V496" t="e">
        <f>AND(#REF!,"AAAAAEfl3hU=")</f>
        <v>#REF!</v>
      </c>
      <c r="W496" t="e">
        <f>AND(#REF!,"AAAAAEfl3hY=")</f>
        <v>#REF!</v>
      </c>
      <c r="X496" t="e">
        <f>AND(#REF!,"AAAAAEfl3hc=")</f>
        <v>#REF!</v>
      </c>
      <c r="Y496" t="e">
        <f>AND(#REF!,"AAAAAEfl3hg=")</f>
        <v>#REF!</v>
      </c>
      <c r="Z496" t="e">
        <f>AND(#REF!,"AAAAAEfl3hk=")</f>
        <v>#REF!</v>
      </c>
      <c r="AA496" t="e">
        <f>AND(#REF!,"AAAAAEfl3ho=")</f>
        <v>#REF!</v>
      </c>
      <c r="AB496" t="e">
        <f>AND(#REF!,"AAAAAEfl3hs=")</f>
        <v>#REF!</v>
      </c>
      <c r="AC496" t="e">
        <f>AND(#REF!,"AAAAAEfl3hw=")</f>
        <v>#REF!</v>
      </c>
      <c r="AD496" t="e">
        <f>AND(#REF!,"AAAAAEfl3h0=")</f>
        <v>#REF!</v>
      </c>
      <c r="AE496" t="e">
        <f>AND(#REF!,"AAAAAEfl3h4=")</f>
        <v>#REF!</v>
      </c>
      <c r="AF496" t="e">
        <f>AND(#REF!,"AAAAAEfl3h8=")</f>
        <v>#REF!</v>
      </c>
      <c r="AG496" t="e">
        <f>AND(#REF!,"AAAAAEfl3iA=")</f>
        <v>#REF!</v>
      </c>
      <c r="AH496" t="e">
        <f>AND(#REF!,"AAAAAEfl3iE=")</f>
        <v>#REF!</v>
      </c>
      <c r="AI496" t="e">
        <f>AND(#REF!,"AAAAAEfl3iI=")</f>
        <v>#REF!</v>
      </c>
      <c r="AJ496" t="e">
        <f>AND(#REF!,"AAAAAEfl3iM=")</f>
        <v>#REF!</v>
      </c>
      <c r="AK496" t="e">
        <f>AND(#REF!,"AAAAAEfl3iQ=")</f>
        <v>#REF!</v>
      </c>
      <c r="AL496" t="e">
        <f>AND(#REF!,"AAAAAEfl3iU=")</f>
        <v>#REF!</v>
      </c>
      <c r="AM496" t="e">
        <f>AND(#REF!,"AAAAAEfl3iY=")</f>
        <v>#REF!</v>
      </c>
      <c r="AN496" t="e">
        <f>AND(#REF!,"AAAAAEfl3ic=")</f>
        <v>#REF!</v>
      </c>
      <c r="AO496" t="e">
        <f>IF(#REF!,"AAAAAEfl3ig=",0)</f>
        <v>#REF!</v>
      </c>
      <c r="AP496" t="e">
        <f>AND(#REF!,"AAAAAEfl3ik=")</f>
        <v>#REF!</v>
      </c>
      <c r="AQ496" t="e">
        <f>AND(#REF!,"AAAAAEfl3io=")</f>
        <v>#REF!</v>
      </c>
      <c r="AR496" t="e">
        <f>AND(#REF!,"AAAAAEfl3is=")</f>
        <v>#REF!</v>
      </c>
      <c r="AS496" t="e">
        <f>AND(#REF!,"AAAAAEfl3iw=")</f>
        <v>#REF!</v>
      </c>
      <c r="AT496" t="e">
        <f>AND(#REF!,"AAAAAEfl3i0=")</f>
        <v>#REF!</v>
      </c>
      <c r="AU496" t="e">
        <f>AND(#REF!,"AAAAAEfl3i4=")</f>
        <v>#REF!</v>
      </c>
      <c r="AV496" t="e">
        <f>AND(#REF!,"AAAAAEfl3i8=")</f>
        <v>#REF!</v>
      </c>
      <c r="AW496" t="e">
        <f>AND(#REF!,"AAAAAEfl3jA=")</f>
        <v>#REF!</v>
      </c>
      <c r="AX496" t="e">
        <f>AND(#REF!,"AAAAAEfl3jE=")</f>
        <v>#REF!</v>
      </c>
      <c r="AY496" t="e">
        <f>AND(#REF!,"AAAAAEfl3jI=")</f>
        <v>#REF!</v>
      </c>
      <c r="AZ496" t="e">
        <f>AND(#REF!,"AAAAAEfl3jM=")</f>
        <v>#REF!</v>
      </c>
      <c r="BA496" t="e">
        <f>AND(#REF!,"AAAAAEfl3jQ=")</f>
        <v>#REF!</v>
      </c>
      <c r="BB496" t="e">
        <f>AND(#REF!,"AAAAAEfl3jU=")</f>
        <v>#REF!</v>
      </c>
      <c r="BC496" t="e">
        <f>AND(#REF!,"AAAAAEfl3jY=")</f>
        <v>#REF!</v>
      </c>
      <c r="BD496" t="e">
        <f>AND(#REF!,"AAAAAEfl3jc=")</f>
        <v>#REF!</v>
      </c>
      <c r="BE496" t="e">
        <f>AND(#REF!,"AAAAAEfl3jg=")</f>
        <v>#REF!</v>
      </c>
      <c r="BF496" t="e">
        <f>AND(#REF!,"AAAAAEfl3jk=")</f>
        <v>#REF!</v>
      </c>
      <c r="BG496" t="e">
        <f>AND(#REF!,"AAAAAEfl3jo=")</f>
        <v>#REF!</v>
      </c>
      <c r="BH496" t="e">
        <f>AND(#REF!,"AAAAAEfl3js=")</f>
        <v>#REF!</v>
      </c>
      <c r="BI496" t="e">
        <f>AND(#REF!,"AAAAAEfl3jw=")</f>
        <v>#REF!</v>
      </c>
      <c r="BJ496" t="e">
        <f>AND(#REF!,"AAAAAEfl3j0=")</f>
        <v>#REF!</v>
      </c>
      <c r="BK496" t="e">
        <f>AND(#REF!,"AAAAAEfl3j4=")</f>
        <v>#REF!</v>
      </c>
      <c r="BL496" t="e">
        <f>AND(#REF!,"AAAAAEfl3j8=")</f>
        <v>#REF!</v>
      </c>
      <c r="BM496" t="e">
        <f>AND(#REF!,"AAAAAEfl3kA=")</f>
        <v>#REF!</v>
      </c>
      <c r="BN496" t="e">
        <f>IF(#REF!,"AAAAAEfl3kE=",0)</f>
        <v>#REF!</v>
      </c>
      <c r="BO496" t="e">
        <f>AND(#REF!,"AAAAAEfl3kI=")</f>
        <v>#REF!</v>
      </c>
      <c r="BP496" t="e">
        <f>AND(#REF!,"AAAAAEfl3kM=")</f>
        <v>#REF!</v>
      </c>
      <c r="BQ496" t="e">
        <f>AND(#REF!,"AAAAAEfl3kQ=")</f>
        <v>#REF!</v>
      </c>
      <c r="BR496" t="e">
        <f>AND(#REF!,"AAAAAEfl3kU=")</f>
        <v>#REF!</v>
      </c>
      <c r="BS496" t="e">
        <f>AND(#REF!,"AAAAAEfl3kY=")</f>
        <v>#REF!</v>
      </c>
      <c r="BT496" t="e">
        <f>AND(#REF!,"AAAAAEfl3kc=")</f>
        <v>#REF!</v>
      </c>
      <c r="BU496" t="e">
        <f>AND(#REF!,"AAAAAEfl3kg=")</f>
        <v>#REF!</v>
      </c>
      <c r="BV496" t="e">
        <f>AND(#REF!,"AAAAAEfl3kk=")</f>
        <v>#REF!</v>
      </c>
      <c r="BW496" t="e">
        <f>AND(#REF!,"AAAAAEfl3ko=")</f>
        <v>#REF!</v>
      </c>
      <c r="BX496" t="e">
        <f>AND(#REF!,"AAAAAEfl3ks=")</f>
        <v>#REF!</v>
      </c>
      <c r="BY496" t="e">
        <f>AND(#REF!,"AAAAAEfl3kw=")</f>
        <v>#REF!</v>
      </c>
      <c r="BZ496" t="e">
        <f>AND(#REF!,"AAAAAEfl3k0=")</f>
        <v>#REF!</v>
      </c>
      <c r="CA496" t="e">
        <f>AND(#REF!,"AAAAAEfl3k4=")</f>
        <v>#REF!</v>
      </c>
      <c r="CB496" t="e">
        <f>AND(#REF!,"AAAAAEfl3k8=")</f>
        <v>#REF!</v>
      </c>
      <c r="CC496" t="e">
        <f>AND(#REF!,"AAAAAEfl3lA=")</f>
        <v>#REF!</v>
      </c>
      <c r="CD496" t="e">
        <f>AND(#REF!,"AAAAAEfl3lE=")</f>
        <v>#REF!</v>
      </c>
      <c r="CE496" t="e">
        <f>AND(#REF!,"AAAAAEfl3lI=")</f>
        <v>#REF!</v>
      </c>
      <c r="CF496" t="e">
        <f>AND(#REF!,"AAAAAEfl3lM=")</f>
        <v>#REF!</v>
      </c>
      <c r="CG496" t="e">
        <f>AND(#REF!,"AAAAAEfl3lQ=")</f>
        <v>#REF!</v>
      </c>
      <c r="CH496" t="e">
        <f>AND(#REF!,"AAAAAEfl3lU=")</f>
        <v>#REF!</v>
      </c>
      <c r="CI496" t="e">
        <f>AND(#REF!,"AAAAAEfl3lY=")</f>
        <v>#REF!</v>
      </c>
      <c r="CJ496" t="e">
        <f>AND(#REF!,"AAAAAEfl3lc=")</f>
        <v>#REF!</v>
      </c>
      <c r="CK496" t="e">
        <f>AND(#REF!,"AAAAAEfl3lg=")</f>
        <v>#REF!</v>
      </c>
      <c r="CL496" t="e">
        <f>AND(#REF!,"AAAAAEfl3lk=")</f>
        <v>#REF!</v>
      </c>
      <c r="CM496" t="e">
        <f>IF(#REF!,"AAAAAEfl3lo=",0)</f>
        <v>#REF!</v>
      </c>
      <c r="CN496" t="e">
        <f>AND(#REF!,"AAAAAEfl3ls=")</f>
        <v>#REF!</v>
      </c>
      <c r="CO496" t="e">
        <f>AND(#REF!,"AAAAAEfl3lw=")</f>
        <v>#REF!</v>
      </c>
      <c r="CP496" t="e">
        <f>AND(#REF!,"AAAAAEfl3l0=")</f>
        <v>#REF!</v>
      </c>
      <c r="CQ496" t="e">
        <f>AND(#REF!,"AAAAAEfl3l4=")</f>
        <v>#REF!</v>
      </c>
      <c r="CR496" t="e">
        <f>AND(#REF!,"AAAAAEfl3l8=")</f>
        <v>#REF!</v>
      </c>
      <c r="CS496" t="e">
        <f>AND(#REF!,"AAAAAEfl3mA=")</f>
        <v>#REF!</v>
      </c>
      <c r="CT496" t="e">
        <f>AND(#REF!,"AAAAAEfl3mE=")</f>
        <v>#REF!</v>
      </c>
      <c r="CU496" t="e">
        <f>AND(#REF!,"AAAAAEfl3mI=")</f>
        <v>#REF!</v>
      </c>
      <c r="CV496" t="e">
        <f>AND(#REF!,"AAAAAEfl3mM=")</f>
        <v>#REF!</v>
      </c>
      <c r="CW496" t="e">
        <f>AND(#REF!,"AAAAAEfl3mQ=")</f>
        <v>#REF!</v>
      </c>
      <c r="CX496" t="e">
        <f>AND(#REF!,"AAAAAEfl3mU=")</f>
        <v>#REF!</v>
      </c>
      <c r="CY496" t="e">
        <f>AND(#REF!,"AAAAAEfl3mY=")</f>
        <v>#REF!</v>
      </c>
      <c r="CZ496" t="e">
        <f>AND(#REF!,"AAAAAEfl3mc=")</f>
        <v>#REF!</v>
      </c>
      <c r="DA496" t="e">
        <f>AND(#REF!,"AAAAAEfl3mg=")</f>
        <v>#REF!</v>
      </c>
      <c r="DB496" t="e">
        <f>AND(#REF!,"AAAAAEfl3mk=")</f>
        <v>#REF!</v>
      </c>
      <c r="DC496" t="e">
        <f>AND(#REF!,"AAAAAEfl3mo=")</f>
        <v>#REF!</v>
      </c>
      <c r="DD496" t="e">
        <f>AND(#REF!,"AAAAAEfl3ms=")</f>
        <v>#REF!</v>
      </c>
      <c r="DE496" t="e">
        <f>AND(#REF!,"AAAAAEfl3mw=")</f>
        <v>#REF!</v>
      </c>
      <c r="DF496" t="e">
        <f>AND(#REF!,"AAAAAEfl3m0=")</f>
        <v>#REF!</v>
      </c>
      <c r="DG496" t="e">
        <f>AND(#REF!,"AAAAAEfl3m4=")</f>
        <v>#REF!</v>
      </c>
      <c r="DH496" t="e">
        <f>AND(#REF!,"AAAAAEfl3m8=")</f>
        <v>#REF!</v>
      </c>
      <c r="DI496" t="e">
        <f>AND(#REF!,"AAAAAEfl3nA=")</f>
        <v>#REF!</v>
      </c>
      <c r="DJ496" t="e">
        <f>AND(#REF!,"AAAAAEfl3nE=")</f>
        <v>#REF!</v>
      </c>
      <c r="DK496" t="e">
        <f>AND(#REF!,"AAAAAEfl3nI=")</f>
        <v>#REF!</v>
      </c>
      <c r="DL496" t="e">
        <f>IF(#REF!,"AAAAAEfl3nM=",0)</f>
        <v>#REF!</v>
      </c>
      <c r="DM496" t="e">
        <f>AND(#REF!,"AAAAAEfl3nQ=")</f>
        <v>#REF!</v>
      </c>
      <c r="DN496" t="e">
        <f>AND(#REF!,"AAAAAEfl3nU=")</f>
        <v>#REF!</v>
      </c>
      <c r="DO496" t="e">
        <f>AND(#REF!,"AAAAAEfl3nY=")</f>
        <v>#REF!</v>
      </c>
      <c r="DP496" t="e">
        <f>AND(#REF!,"AAAAAEfl3nc=")</f>
        <v>#REF!</v>
      </c>
      <c r="DQ496" t="e">
        <f>AND(#REF!,"AAAAAEfl3ng=")</f>
        <v>#REF!</v>
      </c>
      <c r="DR496" t="e">
        <f>AND(#REF!,"AAAAAEfl3nk=")</f>
        <v>#REF!</v>
      </c>
      <c r="DS496" t="e">
        <f>AND(#REF!,"AAAAAEfl3no=")</f>
        <v>#REF!</v>
      </c>
      <c r="DT496" t="e">
        <f>AND(#REF!,"AAAAAEfl3ns=")</f>
        <v>#REF!</v>
      </c>
      <c r="DU496" t="e">
        <f>AND(#REF!,"AAAAAEfl3nw=")</f>
        <v>#REF!</v>
      </c>
      <c r="DV496" t="e">
        <f>AND(#REF!,"AAAAAEfl3n0=")</f>
        <v>#REF!</v>
      </c>
      <c r="DW496" t="e">
        <f>AND(#REF!,"AAAAAEfl3n4=")</f>
        <v>#REF!</v>
      </c>
      <c r="DX496" t="e">
        <f>AND(#REF!,"AAAAAEfl3n8=")</f>
        <v>#REF!</v>
      </c>
      <c r="DY496" t="e">
        <f>AND(#REF!,"AAAAAEfl3oA=")</f>
        <v>#REF!</v>
      </c>
      <c r="DZ496" t="e">
        <f>AND(#REF!,"AAAAAEfl3oE=")</f>
        <v>#REF!</v>
      </c>
      <c r="EA496" t="e">
        <f>AND(#REF!,"AAAAAEfl3oI=")</f>
        <v>#REF!</v>
      </c>
      <c r="EB496" t="e">
        <f>AND(#REF!,"AAAAAEfl3oM=")</f>
        <v>#REF!</v>
      </c>
      <c r="EC496" t="e">
        <f>AND(#REF!,"AAAAAEfl3oQ=")</f>
        <v>#REF!</v>
      </c>
      <c r="ED496" t="e">
        <f>AND(#REF!,"AAAAAEfl3oU=")</f>
        <v>#REF!</v>
      </c>
      <c r="EE496" t="e">
        <f>AND(#REF!,"AAAAAEfl3oY=")</f>
        <v>#REF!</v>
      </c>
      <c r="EF496" t="e">
        <f>AND(#REF!,"AAAAAEfl3oc=")</f>
        <v>#REF!</v>
      </c>
      <c r="EG496" t="e">
        <f>AND(#REF!,"AAAAAEfl3og=")</f>
        <v>#REF!</v>
      </c>
      <c r="EH496" t="e">
        <f>AND(#REF!,"AAAAAEfl3ok=")</f>
        <v>#REF!</v>
      </c>
      <c r="EI496" t="e">
        <f>AND(#REF!,"AAAAAEfl3oo=")</f>
        <v>#REF!</v>
      </c>
      <c r="EJ496" t="e">
        <f>AND(#REF!,"AAAAAEfl3os=")</f>
        <v>#REF!</v>
      </c>
      <c r="EK496" t="e">
        <f>IF(#REF!,"AAAAAEfl3ow=",0)</f>
        <v>#REF!</v>
      </c>
      <c r="EL496" t="e">
        <f>AND(#REF!,"AAAAAEfl3o0=")</f>
        <v>#REF!</v>
      </c>
      <c r="EM496" t="e">
        <f>AND(#REF!,"AAAAAEfl3o4=")</f>
        <v>#REF!</v>
      </c>
      <c r="EN496" t="e">
        <f>AND(#REF!,"AAAAAEfl3o8=")</f>
        <v>#REF!</v>
      </c>
      <c r="EO496" t="e">
        <f>AND(#REF!,"AAAAAEfl3pA=")</f>
        <v>#REF!</v>
      </c>
      <c r="EP496" t="e">
        <f>AND(#REF!,"AAAAAEfl3pE=")</f>
        <v>#REF!</v>
      </c>
      <c r="EQ496" t="e">
        <f>AND(#REF!,"AAAAAEfl3pI=")</f>
        <v>#REF!</v>
      </c>
      <c r="ER496" t="e">
        <f>AND(#REF!,"AAAAAEfl3pM=")</f>
        <v>#REF!</v>
      </c>
      <c r="ES496" t="e">
        <f>AND(#REF!,"AAAAAEfl3pQ=")</f>
        <v>#REF!</v>
      </c>
      <c r="ET496" t="e">
        <f>AND(#REF!,"AAAAAEfl3pU=")</f>
        <v>#REF!</v>
      </c>
      <c r="EU496" t="e">
        <f>AND(#REF!,"AAAAAEfl3pY=")</f>
        <v>#REF!</v>
      </c>
      <c r="EV496" t="e">
        <f>AND(#REF!,"AAAAAEfl3pc=")</f>
        <v>#REF!</v>
      </c>
      <c r="EW496" t="e">
        <f>AND(#REF!,"AAAAAEfl3pg=")</f>
        <v>#REF!</v>
      </c>
      <c r="EX496" t="e">
        <f>AND(#REF!,"AAAAAEfl3pk=")</f>
        <v>#REF!</v>
      </c>
      <c r="EY496" t="e">
        <f>AND(#REF!,"AAAAAEfl3po=")</f>
        <v>#REF!</v>
      </c>
      <c r="EZ496" t="e">
        <f>AND(#REF!,"AAAAAEfl3ps=")</f>
        <v>#REF!</v>
      </c>
      <c r="FA496" t="e">
        <f>AND(#REF!,"AAAAAEfl3pw=")</f>
        <v>#REF!</v>
      </c>
      <c r="FB496" t="e">
        <f>AND(#REF!,"AAAAAEfl3p0=")</f>
        <v>#REF!</v>
      </c>
      <c r="FC496" t="e">
        <f>AND(#REF!,"AAAAAEfl3p4=")</f>
        <v>#REF!</v>
      </c>
      <c r="FD496" t="e">
        <f>AND(#REF!,"AAAAAEfl3p8=")</f>
        <v>#REF!</v>
      </c>
      <c r="FE496" t="e">
        <f>AND(#REF!,"AAAAAEfl3qA=")</f>
        <v>#REF!</v>
      </c>
      <c r="FF496" t="e">
        <f>AND(#REF!,"AAAAAEfl3qE=")</f>
        <v>#REF!</v>
      </c>
      <c r="FG496" t="e">
        <f>AND(#REF!,"AAAAAEfl3qI=")</f>
        <v>#REF!</v>
      </c>
      <c r="FH496" t="e">
        <f>AND(#REF!,"AAAAAEfl3qM=")</f>
        <v>#REF!</v>
      </c>
      <c r="FI496" t="e">
        <f>AND(#REF!,"AAAAAEfl3qQ=")</f>
        <v>#REF!</v>
      </c>
      <c r="FJ496" t="e">
        <f>IF(#REF!,"AAAAAEfl3qU=",0)</f>
        <v>#REF!</v>
      </c>
      <c r="FK496" t="e">
        <f>AND(#REF!,"AAAAAEfl3qY=")</f>
        <v>#REF!</v>
      </c>
      <c r="FL496" t="e">
        <f>AND(#REF!,"AAAAAEfl3qc=")</f>
        <v>#REF!</v>
      </c>
      <c r="FM496" t="e">
        <f>AND(#REF!,"AAAAAEfl3qg=")</f>
        <v>#REF!</v>
      </c>
      <c r="FN496" t="e">
        <f>AND(#REF!,"AAAAAEfl3qk=")</f>
        <v>#REF!</v>
      </c>
      <c r="FO496" t="e">
        <f>AND(#REF!,"AAAAAEfl3qo=")</f>
        <v>#REF!</v>
      </c>
      <c r="FP496" t="e">
        <f>AND(#REF!,"AAAAAEfl3qs=")</f>
        <v>#REF!</v>
      </c>
      <c r="FQ496" t="e">
        <f>AND(#REF!,"AAAAAEfl3qw=")</f>
        <v>#REF!</v>
      </c>
      <c r="FR496" t="e">
        <f>AND(#REF!,"AAAAAEfl3q0=")</f>
        <v>#REF!</v>
      </c>
      <c r="FS496" t="e">
        <f>AND(#REF!,"AAAAAEfl3q4=")</f>
        <v>#REF!</v>
      </c>
      <c r="FT496" t="e">
        <f>AND(#REF!,"AAAAAEfl3q8=")</f>
        <v>#REF!</v>
      </c>
      <c r="FU496" t="e">
        <f>AND(#REF!,"AAAAAEfl3rA=")</f>
        <v>#REF!</v>
      </c>
      <c r="FV496" t="e">
        <f>AND(#REF!,"AAAAAEfl3rE=")</f>
        <v>#REF!</v>
      </c>
      <c r="FW496" t="e">
        <f>AND(#REF!,"AAAAAEfl3rI=")</f>
        <v>#REF!</v>
      </c>
      <c r="FX496" t="e">
        <f>AND(#REF!,"AAAAAEfl3rM=")</f>
        <v>#REF!</v>
      </c>
      <c r="FY496" t="e">
        <f>AND(#REF!,"AAAAAEfl3rQ=")</f>
        <v>#REF!</v>
      </c>
      <c r="FZ496" t="e">
        <f>AND(#REF!,"AAAAAEfl3rU=")</f>
        <v>#REF!</v>
      </c>
      <c r="GA496" t="e">
        <f>AND(#REF!,"AAAAAEfl3rY=")</f>
        <v>#REF!</v>
      </c>
      <c r="GB496" t="e">
        <f>AND(#REF!,"AAAAAEfl3rc=")</f>
        <v>#REF!</v>
      </c>
      <c r="GC496" t="e">
        <f>AND(#REF!,"AAAAAEfl3rg=")</f>
        <v>#REF!</v>
      </c>
      <c r="GD496" t="e">
        <f>AND(#REF!,"AAAAAEfl3rk=")</f>
        <v>#REF!</v>
      </c>
      <c r="GE496" t="e">
        <f>AND(#REF!,"AAAAAEfl3ro=")</f>
        <v>#REF!</v>
      </c>
      <c r="GF496" t="e">
        <f>AND(#REF!,"AAAAAEfl3rs=")</f>
        <v>#REF!</v>
      </c>
      <c r="GG496" t="e">
        <f>AND(#REF!,"AAAAAEfl3rw=")</f>
        <v>#REF!</v>
      </c>
      <c r="GH496" t="e">
        <f>AND(#REF!,"AAAAAEfl3r0=")</f>
        <v>#REF!</v>
      </c>
      <c r="GI496" t="e">
        <f>IF(#REF!,"AAAAAEfl3r4=",0)</f>
        <v>#REF!</v>
      </c>
      <c r="GJ496" t="e">
        <f>AND(#REF!,"AAAAAEfl3r8=")</f>
        <v>#REF!</v>
      </c>
      <c r="GK496" t="e">
        <f>AND(#REF!,"AAAAAEfl3sA=")</f>
        <v>#REF!</v>
      </c>
      <c r="GL496" t="e">
        <f>AND(#REF!,"AAAAAEfl3sE=")</f>
        <v>#REF!</v>
      </c>
      <c r="GM496" t="e">
        <f>AND(#REF!,"AAAAAEfl3sI=")</f>
        <v>#REF!</v>
      </c>
      <c r="GN496" t="e">
        <f>AND(#REF!,"AAAAAEfl3sM=")</f>
        <v>#REF!</v>
      </c>
      <c r="GO496" t="e">
        <f>AND(#REF!,"AAAAAEfl3sQ=")</f>
        <v>#REF!</v>
      </c>
      <c r="GP496" t="e">
        <f>AND(#REF!,"AAAAAEfl3sU=")</f>
        <v>#REF!</v>
      </c>
      <c r="GQ496" t="e">
        <f>AND(#REF!,"AAAAAEfl3sY=")</f>
        <v>#REF!</v>
      </c>
      <c r="GR496" t="e">
        <f>AND(#REF!,"AAAAAEfl3sc=")</f>
        <v>#REF!</v>
      </c>
      <c r="GS496" t="e">
        <f>AND(#REF!,"AAAAAEfl3sg=")</f>
        <v>#REF!</v>
      </c>
      <c r="GT496" t="e">
        <f>AND(#REF!,"AAAAAEfl3sk=")</f>
        <v>#REF!</v>
      </c>
      <c r="GU496" t="e">
        <f>AND(#REF!,"AAAAAEfl3so=")</f>
        <v>#REF!</v>
      </c>
      <c r="GV496" t="e">
        <f>AND(#REF!,"AAAAAEfl3ss=")</f>
        <v>#REF!</v>
      </c>
      <c r="GW496" t="e">
        <f>AND(#REF!,"AAAAAEfl3sw=")</f>
        <v>#REF!</v>
      </c>
      <c r="GX496" t="e">
        <f>AND(#REF!,"AAAAAEfl3s0=")</f>
        <v>#REF!</v>
      </c>
      <c r="GY496" t="e">
        <f>AND(#REF!,"AAAAAEfl3s4=")</f>
        <v>#REF!</v>
      </c>
      <c r="GZ496" t="e">
        <f>AND(#REF!,"AAAAAEfl3s8=")</f>
        <v>#REF!</v>
      </c>
      <c r="HA496" t="e">
        <f>AND(#REF!,"AAAAAEfl3tA=")</f>
        <v>#REF!</v>
      </c>
      <c r="HB496" t="e">
        <f>AND(#REF!,"AAAAAEfl3tE=")</f>
        <v>#REF!</v>
      </c>
      <c r="HC496" t="e">
        <f>AND(#REF!,"AAAAAEfl3tI=")</f>
        <v>#REF!</v>
      </c>
      <c r="HD496" t="e">
        <f>AND(#REF!,"AAAAAEfl3tM=")</f>
        <v>#REF!</v>
      </c>
      <c r="HE496" t="e">
        <f>AND(#REF!,"AAAAAEfl3tQ=")</f>
        <v>#REF!</v>
      </c>
      <c r="HF496" t="e">
        <f>AND(#REF!,"AAAAAEfl3tU=")</f>
        <v>#REF!</v>
      </c>
      <c r="HG496" t="e">
        <f>AND(#REF!,"AAAAAEfl3tY=")</f>
        <v>#REF!</v>
      </c>
      <c r="HH496" t="e">
        <f>IF(#REF!,"AAAAAEfl3tc=",0)</f>
        <v>#REF!</v>
      </c>
      <c r="HI496" t="e">
        <f>AND(#REF!,"AAAAAEfl3tg=")</f>
        <v>#REF!</v>
      </c>
      <c r="HJ496" t="e">
        <f>AND(#REF!,"AAAAAEfl3tk=")</f>
        <v>#REF!</v>
      </c>
      <c r="HK496" t="e">
        <f>AND(#REF!,"AAAAAEfl3to=")</f>
        <v>#REF!</v>
      </c>
      <c r="HL496" t="e">
        <f>AND(#REF!,"AAAAAEfl3ts=")</f>
        <v>#REF!</v>
      </c>
      <c r="HM496" t="e">
        <f>AND(#REF!,"AAAAAEfl3tw=")</f>
        <v>#REF!</v>
      </c>
      <c r="HN496" t="e">
        <f>AND(#REF!,"AAAAAEfl3t0=")</f>
        <v>#REF!</v>
      </c>
      <c r="HO496" t="e">
        <f>AND(#REF!,"AAAAAEfl3t4=")</f>
        <v>#REF!</v>
      </c>
      <c r="HP496" t="e">
        <f>AND(#REF!,"AAAAAEfl3t8=")</f>
        <v>#REF!</v>
      </c>
      <c r="HQ496" t="e">
        <f>AND(#REF!,"AAAAAEfl3uA=")</f>
        <v>#REF!</v>
      </c>
      <c r="HR496" t="e">
        <f>AND(#REF!,"AAAAAEfl3uE=")</f>
        <v>#REF!</v>
      </c>
      <c r="HS496" t="e">
        <f>AND(#REF!,"AAAAAEfl3uI=")</f>
        <v>#REF!</v>
      </c>
      <c r="HT496" t="e">
        <f>AND(#REF!,"AAAAAEfl3uM=")</f>
        <v>#REF!</v>
      </c>
      <c r="HU496" t="e">
        <f>AND(#REF!,"AAAAAEfl3uQ=")</f>
        <v>#REF!</v>
      </c>
      <c r="HV496" t="e">
        <f>AND(#REF!,"AAAAAEfl3uU=")</f>
        <v>#REF!</v>
      </c>
      <c r="HW496" t="e">
        <f>AND(#REF!,"AAAAAEfl3uY=")</f>
        <v>#REF!</v>
      </c>
      <c r="HX496" t="e">
        <f>AND(#REF!,"AAAAAEfl3uc=")</f>
        <v>#REF!</v>
      </c>
      <c r="HY496" t="e">
        <f>AND(#REF!,"AAAAAEfl3ug=")</f>
        <v>#REF!</v>
      </c>
      <c r="HZ496" t="e">
        <f>AND(#REF!,"AAAAAEfl3uk=")</f>
        <v>#REF!</v>
      </c>
      <c r="IA496" t="e">
        <f>AND(#REF!,"AAAAAEfl3uo=")</f>
        <v>#REF!</v>
      </c>
      <c r="IB496" t="e">
        <f>AND(#REF!,"AAAAAEfl3us=")</f>
        <v>#REF!</v>
      </c>
      <c r="IC496" t="e">
        <f>AND(#REF!,"AAAAAEfl3uw=")</f>
        <v>#REF!</v>
      </c>
      <c r="ID496" t="e">
        <f>AND(#REF!,"AAAAAEfl3u0=")</f>
        <v>#REF!</v>
      </c>
      <c r="IE496" t="e">
        <f>AND(#REF!,"AAAAAEfl3u4=")</f>
        <v>#REF!</v>
      </c>
      <c r="IF496" t="e">
        <f>AND(#REF!,"AAAAAEfl3u8=")</f>
        <v>#REF!</v>
      </c>
      <c r="IG496" t="e">
        <f>IF(#REF!,"AAAAAEfl3vA=",0)</f>
        <v>#REF!</v>
      </c>
      <c r="IH496" t="e">
        <f>AND(#REF!,"AAAAAEfl3vE=")</f>
        <v>#REF!</v>
      </c>
      <c r="II496" t="e">
        <f>AND(#REF!,"AAAAAEfl3vI=")</f>
        <v>#REF!</v>
      </c>
      <c r="IJ496" t="e">
        <f>AND(#REF!,"AAAAAEfl3vM=")</f>
        <v>#REF!</v>
      </c>
      <c r="IK496" t="e">
        <f>AND(#REF!,"AAAAAEfl3vQ=")</f>
        <v>#REF!</v>
      </c>
      <c r="IL496" t="e">
        <f>AND(#REF!,"AAAAAEfl3vU=")</f>
        <v>#REF!</v>
      </c>
      <c r="IM496" t="e">
        <f>AND(#REF!,"AAAAAEfl3vY=")</f>
        <v>#REF!</v>
      </c>
      <c r="IN496" t="e">
        <f>AND(#REF!,"AAAAAEfl3vc=")</f>
        <v>#REF!</v>
      </c>
      <c r="IO496" t="e">
        <f>AND(#REF!,"AAAAAEfl3vg=")</f>
        <v>#REF!</v>
      </c>
      <c r="IP496" t="e">
        <f>AND(#REF!,"AAAAAEfl3vk=")</f>
        <v>#REF!</v>
      </c>
      <c r="IQ496" t="e">
        <f>AND(#REF!,"AAAAAEfl3vo=")</f>
        <v>#REF!</v>
      </c>
      <c r="IR496" t="e">
        <f>AND(#REF!,"AAAAAEfl3vs=")</f>
        <v>#REF!</v>
      </c>
      <c r="IS496" t="e">
        <f>AND(#REF!,"AAAAAEfl3vw=")</f>
        <v>#REF!</v>
      </c>
      <c r="IT496" t="e">
        <f>AND(#REF!,"AAAAAEfl3v0=")</f>
        <v>#REF!</v>
      </c>
      <c r="IU496" t="e">
        <f>AND(#REF!,"AAAAAEfl3v4=")</f>
        <v>#REF!</v>
      </c>
      <c r="IV496" t="e">
        <f>AND(#REF!,"AAAAAEfl3v8=")</f>
        <v>#REF!</v>
      </c>
    </row>
    <row r="497" spans="1:256">
      <c r="A497" t="e">
        <f>AND(#REF!,"AAAAAHa/6wA=")</f>
        <v>#REF!</v>
      </c>
      <c r="B497" t="e">
        <f>AND(#REF!,"AAAAAHa/6wE=")</f>
        <v>#REF!</v>
      </c>
      <c r="C497" t="e">
        <f>AND(#REF!,"AAAAAHa/6wI=")</f>
        <v>#REF!</v>
      </c>
      <c r="D497" t="e">
        <f>AND(#REF!,"AAAAAHa/6wM=")</f>
        <v>#REF!</v>
      </c>
      <c r="E497" t="e">
        <f>AND(#REF!,"AAAAAHa/6wQ=")</f>
        <v>#REF!</v>
      </c>
      <c r="F497" t="e">
        <f>AND(#REF!,"AAAAAHa/6wU=")</f>
        <v>#REF!</v>
      </c>
      <c r="G497" t="e">
        <f>AND(#REF!,"AAAAAHa/6wY=")</f>
        <v>#REF!</v>
      </c>
      <c r="H497" t="e">
        <f>AND(#REF!,"AAAAAHa/6wc=")</f>
        <v>#REF!</v>
      </c>
      <c r="I497" t="e">
        <f>AND(#REF!,"AAAAAHa/6wg=")</f>
        <v>#REF!</v>
      </c>
      <c r="J497" t="e">
        <f>IF(#REF!,"AAAAAHa/6wk=",0)</f>
        <v>#REF!</v>
      </c>
      <c r="K497" t="e">
        <f>AND(#REF!,"AAAAAHa/6wo=")</f>
        <v>#REF!</v>
      </c>
      <c r="L497" t="e">
        <f>AND(#REF!,"AAAAAHa/6ws=")</f>
        <v>#REF!</v>
      </c>
      <c r="M497" t="e">
        <f>AND(#REF!,"AAAAAHa/6ww=")</f>
        <v>#REF!</v>
      </c>
      <c r="N497" t="e">
        <f>AND(#REF!,"AAAAAHa/6w0=")</f>
        <v>#REF!</v>
      </c>
      <c r="O497" t="e">
        <f>AND(#REF!,"AAAAAHa/6w4=")</f>
        <v>#REF!</v>
      </c>
      <c r="P497" t="e">
        <f>AND(#REF!,"AAAAAHa/6w8=")</f>
        <v>#REF!</v>
      </c>
      <c r="Q497" t="e">
        <f>AND(#REF!,"AAAAAHa/6xA=")</f>
        <v>#REF!</v>
      </c>
      <c r="R497" t="e">
        <f>AND(#REF!,"AAAAAHa/6xE=")</f>
        <v>#REF!</v>
      </c>
      <c r="S497" t="e">
        <f>AND(#REF!,"AAAAAHa/6xI=")</f>
        <v>#REF!</v>
      </c>
      <c r="T497" t="e">
        <f>AND(#REF!,"AAAAAHa/6xM=")</f>
        <v>#REF!</v>
      </c>
      <c r="U497" t="e">
        <f>AND(#REF!,"AAAAAHa/6xQ=")</f>
        <v>#REF!</v>
      </c>
      <c r="V497" t="e">
        <f>AND(#REF!,"AAAAAHa/6xU=")</f>
        <v>#REF!</v>
      </c>
      <c r="W497" t="e">
        <f>AND(#REF!,"AAAAAHa/6xY=")</f>
        <v>#REF!</v>
      </c>
      <c r="X497" t="e">
        <f>AND(#REF!,"AAAAAHa/6xc=")</f>
        <v>#REF!</v>
      </c>
      <c r="Y497" t="e">
        <f>AND(#REF!,"AAAAAHa/6xg=")</f>
        <v>#REF!</v>
      </c>
      <c r="Z497" t="e">
        <f>AND(#REF!,"AAAAAHa/6xk=")</f>
        <v>#REF!</v>
      </c>
      <c r="AA497" t="e">
        <f>AND(#REF!,"AAAAAHa/6xo=")</f>
        <v>#REF!</v>
      </c>
      <c r="AB497" t="e">
        <f>AND(#REF!,"AAAAAHa/6xs=")</f>
        <v>#REF!</v>
      </c>
      <c r="AC497" t="e">
        <f>AND(#REF!,"AAAAAHa/6xw=")</f>
        <v>#REF!</v>
      </c>
      <c r="AD497" t="e">
        <f>AND(#REF!,"AAAAAHa/6x0=")</f>
        <v>#REF!</v>
      </c>
      <c r="AE497" t="e">
        <f>AND(#REF!,"AAAAAHa/6x4=")</f>
        <v>#REF!</v>
      </c>
      <c r="AF497" t="e">
        <f>AND(#REF!,"AAAAAHa/6x8=")</f>
        <v>#REF!</v>
      </c>
      <c r="AG497" t="e">
        <f>AND(#REF!,"AAAAAHa/6yA=")</f>
        <v>#REF!</v>
      </c>
      <c r="AH497" t="e">
        <f>AND(#REF!,"AAAAAHa/6yE=")</f>
        <v>#REF!</v>
      </c>
      <c r="AI497" t="e">
        <f>IF(#REF!,"AAAAAHa/6yI=",0)</f>
        <v>#REF!</v>
      </c>
      <c r="AJ497" t="e">
        <f>AND(#REF!,"AAAAAHa/6yM=")</f>
        <v>#REF!</v>
      </c>
      <c r="AK497" t="e">
        <f>AND(#REF!,"AAAAAHa/6yQ=")</f>
        <v>#REF!</v>
      </c>
      <c r="AL497" t="e">
        <f>AND(#REF!,"AAAAAHa/6yU=")</f>
        <v>#REF!</v>
      </c>
      <c r="AM497" t="e">
        <f>AND(#REF!,"AAAAAHa/6yY=")</f>
        <v>#REF!</v>
      </c>
      <c r="AN497" t="e">
        <f>AND(#REF!,"AAAAAHa/6yc=")</f>
        <v>#REF!</v>
      </c>
      <c r="AO497" t="e">
        <f>AND(#REF!,"AAAAAHa/6yg=")</f>
        <v>#REF!</v>
      </c>
      <c r="AP497" t="e">
        <f>AND(#REF!,"AAAAAHa/6yk=")</f>
        <v>#REF!</v>
      </c>
      <c r="AQ497" t="e">
        <f>AND(#REF!,"AAAAAHa/6yo=")</f>
        <v>#REF!</v>
      </c>
      <c r="AR497" t="e">
        <f>AND(#REF!,"AAAAAHa/6ys=")</f>
        <v>#REF!</v>
      </c>
      <c r="AS497" t="e">
        <f>AND(#REF!,"AAAAAHa/6yw=")</f>
        <v>#REF!</v>
      </c>
      <c r="AT497" t="e">
        <f>AND(#REF!,"AAAAAHa/6y0=")</f>
        <v>#REF!</v>
      </c>
      <c r="AU497" t="e">
        <f>AND(#REF!,"AAAAAHa/6y4=")</f>
        <v>#REF!</v>
      </c>
      <c r="AV497" t="e">
        <f>AND(#REF!,"AAAAAHa/6y8=")</f>
        <v>#REF!</v>
      </c>
      <c r="AW497" t="e">
        <f>AND(#REF!,"AAAAAHa/6zA=")</f>
        <v>#REF!</v>
      </c>
      <c r="AX497" t="e">
        <f>AND(#REF!,"AAAAAHa/6zE=")</f>
        <v>#REF!</v>
      </c>
      <c r="AY497" t="e">
        <f>AND(#REF!,"AAAAAHa/6zI=")</f>
        <v>#REF!</v>
      </c>
      <c r="AZ497" t="e">
        <f>AND(#REF!,"AAAAAHa/6zM=")</f>
        <v>#REF!</v>
      </c>
      <c r="BA497" t="e">
        <f>AND(#REF!,"AAAAAHa/6zQ=")</f>
        <v>#REF!</v>
      </c>
      <c r="BB497" t="e">
        <f>AND(#REF!,"AAAAAHa/6zU=")</f>
        <v>#REF!</v>
      </c>
      <c r="BC497" t="e">
        <f>AND(#REF!,"AAAAAHa/6zY=")</f>
        <v>#REF!</v>
      </c>
      <c r="BD497" t="e">
        <f>AND(#REF!,"AAAAAHa/6zc=")</f>
        <v>#REF!</v>
      </c>
      <c r="BE497" t="e">
        <f>AND(#REF!,"AAAAAHa/6zg=")</f>
        <v>#REF!</v>
      </c>
      <c r="BF497" t="e">
        <f>AND(#REF!,"AAAAAHa/6zk=")</f>
        <v>#REF!</v>
      </c>
      <c r="BG497" t="e">
        <f>AND(#REF!,"AAAAAHa/6zo=")</f>
        <v>#REF!</v>
      </c>
      <c r="BH497" t="e">
        <f>IF(#REF!,"AAAAAHa/6zs=",0)</f>
        <v>#REF!</v>
      </c>
      <c r="BI497" t="e">
        <f>AND(#REF!,"AAAAAHa/6zw=")</f>
        <v>#REF!</v>
      </c>
      <c r="BJ497" t="e">
        <f>AND(#REF!,"AAAAAHa/6z0=")</f>
        <v>#REF!</v>
      </c>
      <c r="BK497" t="e">
        <f>AND(#REF!,"AAAAAHa/6z4=")</f>
        <v>#REF!</v>
      </c>
      <c r="BL497" t="e">
        <f>AND(#REF!,"AAAAAHa/6z8=")</f>
        <v>#REF!</v>
      </c>
      <c r="BM497" t="e">
        <f>AND(#REF!,"AAAAAHa/60A=")</f>
        <v>#REF!</v>
      </c>
      <c r="BN497" t="e">
        <f>AND(#REF!,"AAAAAHa/60E=")</f>
        <v>#REF!</v>
      </c>
      <c r="BO497" t="e">
        <f>AND(#REF!,"AAAAAHa/60I=")</f>
        <v>#REF!</v>
      </c>
      <c r="BP497" t="e">
        <f>AND(#REF!,"AAAAAHa/60M=")</f>
        <v>#REF!</v>
      </c>
      <c r="BQ497" t="e">
        <f>AND(#REF!,"AAAAAHa/60Q=")</f>
        <v>#REF!</v>
      </c>
      <c r="BR497" t="e">
        <f>AND(#REF!,"AAAAAHa/60U=")</f>
        <v>#REF!</v>
      </c>
      <c r="BS497" t="e">
        <f>AND(#REF!,"AAAAAHa/60Y=")</f>
        <v>#REF!</v>
      </c>
      <c r="BT497" t="e">
        <f>AND(#REF!,"AAAAAHa/60c=")</f>
        <v>#REF!</v>
      </c>
      <c r="BU497" t="e">
        <f>AND(#REF!,"AAAAAHa/60g=")</f>
        <v>#REF!</v>
      </c>
      <c r="BV497" t="e">
        <f>AND(#REF!,"AAAAAHa/60k=")</f>
        <v>#REF!</v>
      </c>
      <c r="BW497" t="e">
        <f>AND(#REF!,"AAAAAHa/60o=")</f>
        <v>#REF!</v>
      </c>
      <c r="BX497" t="e">
        <f>AND(#REF!,"AAAAAHa/60s=")</f>
        <v>#REF!</v>
      </c>
      <c r="BY497" t="e">
        <f>AND(#REF!,"AAAAAHa/60w=")</f>
        <v>#REF!</v>
      </c>
      <c r="BZ497" t="e">
        <f>AND(#REF!,"AAAAAHa/600=")</f>
        <v>#REF!</v>
      </c>
      <c r="CA497" t="e">
        <f>AND(#REF!,"AAAAAHa/604=")</f>
        <v>#REF!</v>
      </c>
      <c r="CB497" t="e">
        <f>AND(#REF!,"AAAAAHa/608=")</f>
        <v>#REF!</v>
      </c>
      <c r="CC497" t="e">
        <f>AND(#REF!,"AAAAAHa/61A=")</f>
        <v>#REF!</v>
      </c>
      <c r="CD497" t="e">
        <f>AND(#REF!,"AAAAAHa/61E=")</f>
        <v>#REF!</v>
      </c>
      <c r="CE497" t="e">
        <f>AND(#REF!,"AAAAAHa/61I=")</f>
        <v>#REF!</v>
      </c>
      <c r="CF497" t="e">
        <f>AND(#REF!,"AAAAAHa/61M=")</f>
        <v>#REF!</v>
      </c>
      <c r="CG497" t="e">
        <f>IF(#REF!,"AAAAAHa/61Q=",0)</f>
        <v>#REF!</v>
      </c>
      <c r="CH497" t="e">
        <f>AND(#REF!,"AAAAAHa/61U=")</f>
        <v>#REF!</v>
      </c>
      <c r="CI497" t="e">
        <f>AND(#REF!,"AAAAAHa/61Y=")</f>
        <v>#REF!</v>
      </c>
      <c r="CJ497" t="e">
        <f>AND(#REF!,"AAAAAHa/61c=")</f>
        <v>#REF!</v>
      </c>
      <c r="CK497" t="e">
        <f>AND(#REF!,"AAAAAHa/61g=")</f>
        <v>#REF!</v>
      </c>
      <c r="CL497" t="e">
        <f>AND(#REF!,"AAAAAHa/61k=")</f>
        <v>#REF!</v>
      </c>
      <c r="CM497" t="e">
        <f>AND(#REF!,"AAAAAHa/61o=")</f>
        <v>#REF!</v>
      </c>
      <c r="CN497" t="e">
        <f>AND(#REF!,"AAAAAHa/61s=")</f>
        <v>#REF!</v>
      </c>
      <c r="CO497" t="e">
        <f>AND(#REF!,"AAAAAHa/61w=")</f>
        <v>#REF!</v>
      </c>
      <c r="CP497" t="e">
        <f>AND(#REF!,"AAAAAHa/610=")</f>
        <v>#REF!</v>
      </c>
      <c r="CQ497" t="e">
        <f>AND(#REF!,"AAAAAHa/614=")</f>
        <v>#REF!</v>
      </c>
      <c r="CR497" t="e">
        <f>AND(#REF!,"AAAAAHa/618=")</f>
        <v>#REF!</v>
      </c>
      <c r="CS497" t="e">
        <f>AND(#REF!,"AAAAAHa/62A=")</f>
        <v>#REF!</v>
      </c>
      <c r="CT497" t="e">
        <f>AND(#REF!,"AAAAAHa/62E=")</f>
        <v>#REF!</v>
      </c>
      <c r="CU497" t="e">
        <f>AND(#REF!,"AAAAAHa/62I=")</f>
        <v>#REF!</v>
      </c>
      <c r="CV497" t="e">
        <f>AND(#REF!,"AAAAAHa/62M=")</f>
        <v>#REF!</v>
      </c>
      <c r="CW497" t="e">
        <f>AND(#REF!,"AAAAAHa/62Q=")</f>
        <v>#REF!</v>
      </c>
      <c r="CX497" t="e">
        <f>AND(#REF!,"AAAAAHa/62U=")</f>
        <v>#REF!</v>
      </c>
      <c r="CY497" t="e">
        <f>AND(#REF!,"AAAAAHa/62Y=")</f>
        <v>#REF!</v>
      </c>
      <c r="CZ497" t="e">
        <f>AND(#REF!,"AAAAAHa/62c=")</f>
        <v>#REF!</v>
      </c>
      <c r="DA497" t="e">
        <f>AND(#REF!,"AAAAAHa/62g=")</f>
        <v>#REF!</v>
      </c>
      <c r="DB497" t="e">
        <f>AND(#REF!,"AAAAAHa/62k=")</f>
        <v>#REF!</v>
      </c>
      <c r="DC497" t="e">
        <f>AND(#REF!,"AAAAAHa/62o=")</f>
        <v>#REF!</v>
      </c>
      <c r="DD497" t="e">
        <f>AND(#REF!,"AAAAAHa/62s=")</f>
        <v>#REF!</v>
      </c>
      <c r="DE497" t="e">
        <f>AND(#REF!,"AAAAAHa/62w=")</f>
        <v>#REF!</v>
      </c>
      <c r="DF497" t="e">
        <f>IF(#REF!,"AAAAAHa/620=",0)</f>
        <v>#REF!</v>
      </c>
      <c r="DG497" t="e">
        <f>AND(#REF!,"AAAAAHa/624=")</f>
        <v>#REF!</v>
      </c>
      <c r="DH497" t="e">
        <f>AND(#REF!,"AAAAAHa/628=")</f>
        <v>#REF!</v>
      </c>
      <c r="DI497" t="e">
        <f>AND(#REF!,"AAAAAHa/63A=")</f>
        <v>#REF!</v>
      </c>
      <c r="DJ497" t="e">
        <f>AND(#REF!,"AAAAAHa/63E=")</f>
        <v>#REF!</v>
      </c>
      <c r="DK497" t="e">
        <f>AND(#REF!,"AAAAAHa/63I=")</f>
        <v>#REF!</v>
      </c>
      <c r="DL497" t="e">
        <f>AND(#REF!,"AAAAAHa/63M=")</f>
        <v>#REF!</v>
      </c>
      <c r="DM497" t="e">
        <f>AND(#REF!,"AAAAAHa/63Q=")</f>
        <v>#REF!</v>
      </c>
      <c r="DN497" t="e">
        <f>AND(#REF!,"AAAAAHa/63U=")</f>
        <v>#REF!</v>
      </c>
      <c r="DO497" t="e">
        <f>AND(#REF!,"AAAAAHa/63Y=")</f>
        <v>#REF!</v>
      </c>
      <c r="DP497" t="e">
        <f>AND(#REF!,"AAAAAHa/63c=")</f>
        <v>#REF!</v>
      </c>
      <c r="DQ497" t="e">
        <f>AND(#REF!,"AAAAAHa/63g=")</f>
        <v>#REF!</v>
      </c>
      <c r="DR497" t="e">
        <f>AND(#REF!,"AAAAAHa/63k=")</f>
        <v>#REF!</v>
      </c>
      <c r="DS497" t="e">
        <f>AND(#REF!,"AAAAAHa/63o=")</f>
        <v>#REF!</v>
      </c>
      <c r="DT497" t="e">
        <f>AND(#REF!,"AAAAAHa/63s=")</f>
        <v>#REF!</v>
      </c>
      <c r="DU497" t="e">
        <f>AND(#REF!,"AAAAAHa/63w=")</f>
        <v>#REF!</v>
      </c>
      <c r="DV497" t="e">
        <f>AND(#REF!,"AAAAAHa/630=")</f>
        <v>#REF!</v>
      </c>
      <c r="DW497" t="e">
        <f>AND(#REF!,"AAAAAHa/634=")</f>
        <v>#REF!</v>
      </c>
      <c r="DX497" t="e">
        <f>AND(#REF!,"AAAAAHa/638=")</f>
        <v>#REF!</v>
      </c>
      <c r="DY497" t="e">
        <f>AND(#REF!,"AAAAAHa/64A=")</f>
        <v>#REF!</v>
      </c>
      <c r="DZ497" t="e">
        <f>AND(#REF!,"AAAAAHa/64E=")</f>
        <v>#REF!</v>
      </c>
      <c r="EA497" t="e">
        <f>AND(#REF!,"AAAAAHa/64I=")</f>
        <v>#REF!</v>
      </c>
      <c r="EB497" t="e">
        <f>AND(#REF!,"AAAAAHa/64M=")</f>
        <v>#REF!</v>
      </c>
      <c r="EC497" t="e">
        <f>AND(#REF!,"AAAAAHa/64Q=")</f>
        <v>#REF!</v>
      </c>
      <c r="ED497" t="e">
        <f>AND(#REF!,"AAAAAHa/64U=")</f>
        <v>#REF!</v>
      </c>
      <c r="EE497" t="e">
        <f>IF(#REF!,"AAAAAHa/64Y=",0)</f>
        <v>#REF!</v>
      </c>
      <c r="EF497" t="e">
        <f>AND(#REF!,"AAAAAHa/64c=")</f>
        <v>#REF!</v>
      </c>
      <c r="EG497" t="e">
        <f>AND(#REF!,"AAAAAHa/64g=")</f>
        <v>#REF!</v>
      </c>
      <c r="EH497" t="e">
        <f>AND(#REF!,"AAAAAHa/64k=")</f>
        <v>#REF!</v>
      </c>
      <c r="EI497" t="e">
        <f>AND(#REF!,"AAAAAHa/64o=")</f>
        <v>#REF!</v>
      </c>
      <c r="EJ497" t="e">
        <f>AND(#REF!,"AAAAAHa/64s=")</f>
        <v>#REF!</v>
      </c>
      <c r="EK497" t="e">
        <f>AND(#REF!,"AAAAAHa/64w=")</f>
        <v>#REF!</v>
      </c>
      <c r="EL497" t="e">
        <f>AND(#REF!,"AAAAAHa/640=")</f>
        <v>#REF!</v>
      </c>
      <c r="EM497" t="e">
        <f>AND(#REF!,"AAAAAHa/644=")</f>
        <v>#REF!</v>
      </c>
      <c r="EN497" t="e">
        <f>AND(#REF!,"AAAAAHa/648=")</f>
        <v>#REF!</v>
      </c>
      <c r="EO497" t="e">
        <f>AND(#REF!,"AAAAAHa/65A=")</f>
        <v>#REF!</v>
      </c>
      <c r="EP497" t="e">
        <f>AND(#REF!,"AAAAAHa/65E=")</f>
        <v>#REF!</v>
      </c>
      <c r="EQ497" t="e">
        <f>AND(#REF!,"AAAAAHa/65I=")</f>
        <v>#REF!</v>
      </c>
      <c r="ER497" t="e">
        <f>AND(#REF!,"AAAAAHa/65M=")</f>
        <v>#REF!</v>
      </c>
      <c r="ES497" t="e">
        <f>AND(#REF!,"AAAAAHa/65Q=")</f>
        <v>#REF!</v>
      </c>
      <c r="ET497" t="e">
        <f>AND(#REF!,"AAAAAHa/65U=")</f>
        <v>#REF!</v>
      </c>
      <c r="EU497" t="e">
        <f>AND(#REF!,"AAAAAHa/65Y=")</f>
        <v>#REF!</v>
      </c>
      <c r="EV497" t="e">
        <f>AND(#REF!,"AAAAAHa/65c=")</f>
        <v>#REF!</v>
      </c>
      <c r="EW497" t="e">
        <f>AND(#REF!,"AAAAAHa/65g=")</f>
        <v>#REF!</v>
      </c>
      <c r="EX497" t="e">
        <f>AND(#REF!,"AAAAAHa/65k=")</f>
        <v>#REF!</v>
      </c>
      <c r="EY497" t="e">
        <f>AND(#REF!,"AAAAAHa/65o=")</f>
        <v>#REF!</v>
      </c>
      <c r="EZ497" t="e">
        <f>AND(#REF!,"AAAAAHa/65s=")</f>
        <v>#REF!</v>
      </c>
      <c r="FA497" t="e">
        <f>AND(#REF!,"AAAAAHa/65w=")</f>
        <v>#REF!</v>
      </c>
      <c r="FB497" t="e">
        <f>AND(#REF!,"AAAAAHa/650=")</f>
        <v>#REF!</v>
      </c>
      <c r="FC497" t="e">
        <f>AND(#REF!,"AAAAAHa/654=")</f>
        <v>#REF!</v>
      </c>
      <c r="FD497" t="e">
        <f>IF(#REF!,"AAAAAHa/658=",0)</f>
        <v>#REF!</v>
      </c>
      <c r="FE497" t="e">
        <f>AND(#REF!,"AAAAAHa/66A=")</f>
        <v>#REF!</v>
      </c>
      <c r="FF497" t="e">
        <f>AND(#REF!,"AAAAAHa/66E=")</f>
        <v>#REF!</v>
      </c>
      <c r="FG497" t="e">
        <f>AND(#REF!,"AAAAAHa/66I=")</f>
        <v>#REF!</v>
      </c>
      <c r="FH497" t="e">
        <f>AND(#REF!,"AAAAAHa/66M=")</f>
        <v>#REF!</v>
      </c>
      <c r="FI497" t="e">
        <f>AND(#REF!,"AAAAAHa/66Q=")</f>
        <v>#REF!</v>
      </c>
      <c r="FJ497" t="e">
        <f>AND(#REF!,"AAAAAHa/66U=")</f>
        <v>#REF!</v>
      </c>
      <c r="FK497" t="e">
        <f>AND(#REF!,"AAAAAHa/66Y=")</f>
        <v>#REF!</v>
      </c>
      <c r="FL497" t="e">
        <f>AND(#REF!,"AAAAAHa/66c=")</f>
        <v>#REF!</v>
      </c>
      <c r="FM497" t="e">
        <f>AND(#REF!,"AAAAAHa/66g=")</f>
        <v>#REF!</v>
      </c>
      <c r="FN497" t="e">
        <f>AND(#REF!,"AAAAAHa/66k=")</f>
        <v>#REF!</v>
      </c>
      <c r="FO497" t="e">
        <f>AND(#REF!,"AAAAAHa/66o=")</f>
        <v>#REF!</v>
      </c>
      <c r="FP497" t="e">
        <f>AND(#REF!,"AAAAAHa/66s=")</f>
        <v>#REF!</v>
      </c>
      <c r="FQ497" t="e">
        <f>AND(#REF!,"AAAAAHa/66w=")</f>
        <v>#REF!</v>
      </c>
      <c r="FR497" t="e">
        <f>AND(#REF!,"AAAAAHa/660=")</f>
        <v>#REF!</v>
      </c>
      <c r="FS497" t="e">
        <f>AND(#REF!,"AAAAAHa/664=")</f>
        <v>#REF!</v>
      </c>
      <c r="FT497" t="e">
        <f>AND(#REF!,"AAAAAHa/668=")</f>
        <v>#REF!</v>
      </c>
      <c r="FU497" t="e">
        <f>AND(#REF!,"AAAAAHa/67A=")</f>
        <v>#REF!</v>
      </c>
      <c r="FV497" t="e">
        <f>AND(#REF!,"AAAAAHa/67E=")</f>
        <v>#REF!</v>
      </c>
      <c r="FW497" t="e">
        <f>AND(#REF!,"AAAAAHa/67I=")</f>
        <v>#REF!</v>
      </c>
      <c r="FX497" t="e">
        <f>AND(#REF!,"AAAAAHa/67M=")</f>
        <v>#REF!</v>
      </c>
      <c r="FY497" t="e">
        <f>AND(#REF!,"AAAAAHa/67Q=")</f>
        <v>#REF!</v>
      </c>
      <c r="FZ497" t="e">
        <f>AND(#REF!,"AAAAAHa/67U=")</f>
        <v>#REF!</v>
      </c>
      <c r="GA497" t="e">
        <f>AND(#REF!,"AAAAAHa/67Y=")</f>
        <v>#REF!</v>
      </c>
      <c r="GB497" t="e">
        <f>AND(#REF!,"AAAAAHa/67c=")</f>
        <v>#REF!</v>
      </c>
      <c r="GC497" t="e">
        <f>IF(#REF!,"AAAAAHa/67g=",0)</f>
        <v>#REF!</v>
      </c>
      <c r="GD497" t="e">
        <f>AND(#REF!,"AAAAAHa/67k=")</f>
        <v>#REF!</v>
      </c>
      <c r="GE497" t="e">
        <f>AND(#REF!,"AAAAAHa/67o=")</f>
        <v>#REF!</v>
      </c>
      <c r="GF497" t="e">
        <f>AND(#REF!,"AAAAAHa/67s=")</f>
        <v>#REF!</v>
      </c>
      <c r="GG497" t="e">
        <f>AND(#REF!,"AAAAAHa/67w=")</f>
        <v>#REF!</v>
      </c>
      <c r="GH497" t="e">
        <f>AND(#REF!,"AAAAAHa/670=")</f>
        <v>#REF!</v>
      </c>
      <c r="GI497" t="e">
        <f>AND(#REF!,"AAAAAHa/674=")</f>
        <v>#REF!</v>
      </c>
      <c r="GJ497" t="e">
        <f>AND(#REF!,"AAAAAHa/678=")</f>
        <v>#REF!</v>
      </c>
      <c r="GK497" t="e">
        <f>AND(#REF!,"AAAAAHa/68A=")</f>
        <v>#REF!</v>
      </c>
      <c r="GL497" t="e">
        <f>AND(#REF!,"AAAAAHa/68E=")</f>
        <v>#REF!</v>
      </c>
      <c r="GM497" t="e">
        <f>AND(#REF!,"AAAAAHa/68I=")</f>
        <v>#REF!</v>
      </c>
      <c r="GN497" t="e">
        <f>AND(#REF!,"AAAAAHa/68M=")</f>
        <v>#REF!</v>
      </c>
      <c r="GO497" t="e">
        <f>AND(#REF!,"AAAAAHa/68Q=")</f>
        <v>#REF!</v>
      </c>
      <c r="GP497" t="e">
        <f>AND(#REF!,"AAAAAHa/68U=")</f>
        <v>#REF!</v>
      </c>
      <c r="GQ497" t="e">
        <f>AND(#REF!,"AAAAAHa/68Y=")</f>
        <v>#REF!</v>
      </c>
      <c r="GR497" t="e">
        <f>AND(#REF!,"AAAAAHa/68c=")</f>
        <v>#REF!</v>
      </c>
      <c r="GS497" t="e">
        <f>AND(#REF!,"AAAAAHa/68g=")</f>
        <v>#REF!</v>
      </c>
      <c r="GT497" t="e">
        <f>AND(#REF!,"AAAAAHa/68k=")</f>
        <v>#REF!</v>
      </c>
      <c r="GU497" t="e">
        <f>AND(#REF!,"AAAAAHa/68o=")</f>
        <v>#REF!</v>
      </c>
      <c r="GV497" t="e">
        <f>AND(#REF!,"AAAAAHa/68s=")</f>
        <v>#REF!</v>
      </c>
      <c r="GW497" t="e">
        <f>AND(#REF!,"AAAAAHa/68w=")</f>
        <v>#REF!</v>
      </c>
      <c r="GX497" t="e">
        <f>AND(#REF!,"AAAAAHa/680=")</f>
        <v>#REF!</v>
      </c>
      <c r="GY497" t="e">
        <f>AND(#REF!,"AAAAAHa/684=")</f>
        <v>#REF!</v>
      </c>
      <c r="GZ497" t="e">
        <f>AND(#REF!,"AAAAAHa/688=")</f>
        <v>#REF!</v>
      </c>
      <c r="HA497" t="e">
        <f>AND(#REF!,"AAAAAHa/69A=")</f>
        <v>#REF!</v>
      </c>
      <c r="HB497" t="e">
        <f>IF(#REF!,"AAAAAHa/69E=",0)</f>
        <v>#REF!</v>
      </c>
      <c r="HC497" t="e">
        <f>AND(#REF!,"AAAAAHa/69I=")</f>
        <v>#REF!</v>
      </c>
      <c r="HD497" t="e">
        <f>AND(#REF!,"AAAAAHa/69M=")</f>
        <v>#REF!</v>
      </c>
      <c r="HE497" t="e">
        <f>AND(#REF!,"AAAAAHa/69Q=")</f>
        <v>#REF!</v>
      </c>
      <c r="HF497" t="e">
        <f>AND(#REF!,"AAAAAHa/69U=")</f>
        <v>#REF!</v>
      </c>
      <c r="HG497" t="e">
        <f>AND(#REF!,"AAAAAHa/69Y=")</f>
        <v>#REF!</v>
      </c>
      <c r="HH497" t="e">
        <f>AND(#REF!,"AAAAAHa/69c=")</f>
        <v>#REF!</v>
      </c>
      <c r="HI497" t="e">
        <f>AND(#REF!,"AAAAAHa/69g=")</f>
        <v>#REF!</v>
      </c>
      <c r="HJ497" t="e">
        <f>AND(#REF!,"AAAAAHa/69k=")</f>
        <v>#REF!</v>
      </c>
      <c r="HK497" t="e">
        <f>AND(#REF!,"AAAAAHa/69o=")</f>
        <v>#REF!</v>
      </c>
      <c r="HL497" t="e">
        <f>AND(#REF!,"AAAAAHa/69s=")</f>
        <v>#REF!</v>
      </c>
      <c r="HM497" t="e">
        <f>AND(#REF!,"AAAAAHa/69w=")</f>
        <v>#REF!</v>
      </c>
      <c r="HN497" t="e">
        <f>AND(#REF!,"AAAAAHa/690=")</f>
        <v>#REF!</v>
      </c>
      <c r="HO497" t="e">
        <f>AND(#REF!,"AAAAAHa/694=")</f>
        <v>#REF!</v>
      </c>
      <c r="HP497" t="e">
        <f>AND(#REF!,"AAAAAHa/698=")</f>
        <v>#REF!</v>
      </c>
      <c r="HQ497" t="e">
        <f>AND(#REF!,"AAAAAHa/6+A=")</f>
        <v>#REF!</v>
      </c>
      <c r="HR497" t="e">
        <f>AND(#REF!,"AAAAAHa/6+E=")</f>
        <v>#REF!</v>
      </c>
      <c r="HS497" t="e">
        <f>AND(#REF!,"AAAAAHa/6+I=")</f>
        <v>#REF!</v>
      </c>
      <c r="HT497" t="e">
        <f>AND(#REF!,"AAAAAHa/6+M=")</f>
        <v>#REF!</v>
      </c>
      <c r="HU497" t="e">
        <f>AND(#REF!,"AAAAAHa/6+Q=")</f>
        <v>#REF!</v>
      </c>
      <c r="HV497" t="e">
        <f>AND(#REF!,"AAAAAHa/6+U=")</f>
        <v>#REF!</v>
      </c>
      <c r="HW497" t="e">
        <f>AND(#REF!,"AAAAAHa/6+Y=")</f>
        <v>#REF!</v>
      </c>
      <c r="HX497" t="e">
        <f>AND(#REF!,"AAAAAHa/6+c=")</f>
        <v>#REF!</v>
      </c>
      <c r="HY497" t="e">
        <f>AND(#REF!,"AAAAAHa/6+g=")</f>
        <v>#REF!</v>
      </c>
      <c r="HZ497" t="e">
        <f>AND(#REF!,"AAAAAHa/6+k=")</f>
        <v>#REF!</v>
      </c>
      <c r="IA497" t="e">
        <f>IF(#REF!,"AAAAAHa/6+o=",0)</f>
        <v>#REF!</v>
      </c>
      <c r="IB497" t="e">
        <f>AND(#REF!,"AAAAAHa/6+s=")</f>
        <v>#REF!</v>
      </c>
      <c r="IC497" t="e">
        <f>AND(#REF!,"AAAAAHa/6+w=")</f>
        <v>#REF!</v>
      </c>
      <c r="ID497" t="e">
        <f>AND(#REF!,"AAAAAHa/6+0=")</f>
        <v>#REF!</v>
      </c>
      <c r="IE497" t="e">
        <f>AND(#REF!,"AAAAAHa/6+4=")</f>
        <v>#REF!</v>
      </c>
      <c r="IF497" t="e">
        <f>AND(#REF!,"AAAAAHa/6+8=")</f>
        <v>#REF!</v>
      </c>
      <c r="IG497" t="e">
        <f>AND(#REF!,"AAAAAHa/6/A=")</f>
        <v>#REF!</v>
      </c>
      <c r="IH497" t="e">
        <f>AND(#REF!,"AAAAAHa/6/E=")</f>
        <v>#REF!</v>
      </c>
      <c r="II497" t="e">
        <f>AND(#REF!,"AAAAAHa/6/I=")</f>
        <v>#REF!</v>
      </c>
      <c r="IJ497" t="e">
        <f>AND(#REF!,"AAAAAHa/6/M=")</f>
        <v>#REF!</v>
      </c>
      <c r="IK497" t="e">
        <f>AND(#REF!,"AAAAAHa/6/Q=")</f>
        <v>#REF!</v>
      </c>
      <c r="IL497" t="e">
        <f>AND(#REF!,"AAAAAHa/6/U=")</f>
        <v>#REF!</v>
      </c>
      <c r="IM497" t="e">
        <f>AND(#REF!,"AAAAAHa/6/Y=")</f>
        <v>#REF!</v>
      </c>
      <c r="IN497" t="e">
        <f>AND(#REF!,"AAAAAHa/6/c=")</f>
        <v>#REF!</v>
      </c>
      <c r="IO497" t="e">
        <f>AND(#REF!,"AAAAAHa/6/g=")</f>
        <v>#REF!</v>
      </c>
      <c r="IP497" t="e">
        <f>AND(#REF!,"AAAAAHa/6/k=")</f>
        <v>#REF!</v>
      </c>
      <c r="IQ497" t="e">
        <f>AND(#REF!,"AAAAAHa/6/o=")</f>
        <v>#REF!</v>
      </c>
      <c r="IR497" t="e">
        <f>AND(#REF!,"AAAAAHa/6/s=")</f>
        <v>#REF!</v>
      </c>
      <c r="IS497" t="e">
        <f>AND(#REF!,"AAAAAHa/6/w=")</f>
        <v>#REF!</v>
      </c>
      <c r="IT497" t="e">
        <f>AND(#REF!,"AAAAAHa/6/0=")</f>
        <v>#REF!</v>
      </c>
      <c r="IU497" t="e">
        <f>AND(#REF!,"AAAAAHa/6/4=")</f>
        <v>#REF!</v>
      </c>
      <c r="IV497" t="e">
        <f>AND(#REF!,"AAAAAHa/6/8=")</f>
        <v>#REF!</v>
      </c>
    </row>
    <row r="498" spans="1:256">
      <c r="A498" t="e">
        <f>AND(#REF!,"AAAAAD//5wA=")</f>
        <v>#REF!</v>
      </c>
      <c r="B498" t="e">
        <f>AND(#REF!,"AAAAAD//5wE=")</f>
        <v>#REF!</v>
      </c>
      <c r="C498" t="e">
        <f>AND(#REF!,"AAAAAD//5wI=")</f>
        <v>#REF!</v>
      </c>
      <c r="D498" t="e">
        <f>IF(#REF!,"AAAAAD//5wM=",0)</f>
        <v>#REF!</v>
      </c>
      <c r="E498" t="e">
        <f>AND(#REF!,"AAAAAD//5wQ=")</f>
        <v>#REF!</v>
      </c>
      <c r="F498" t="e">
        <f>AND(#REF!,"AAAAAD//5wU=")</f>
        <v>#REF!</v>
      </c>
      <c r="G498" t="e">
        <f>AND(#REF!,"AAAAAD//5wY=")</f>
        <v>#REF!</v>
      </c>
      <c r="H498" t="e">
        <f>AND(#REF!,"AAAAAD//5wc=")</f>
        <v>#REF!</v>
      </c>
      <c r="I498" t="e">
        <f>AND(#REF!,"AAAAAD//5wg=")</f>
        <v>#REF!</v>
      </c>
      <c r="J498" t="e">
        <f>AND(#REF!,"AAAAAD//5wk=")</f>
        <v>#REF!</v>
      </c>
      <c r="K498" t="e">
        <f>AND(#REF!,"AAAAAD//5wo=")</f>
        <v>#REF!</v>
      </c>
      <c r="L498" t="e">
        <f>AND(#REF!,"AAAAAD//5ws=")</f>
        <v>#REF!</v>
      </c>
      <c r="M498" t="e">
        <f>AND(#REF!,"AAAAAD//5ww=")</f>
        <v>#REF!</v>
      </c>
      <c r="N498" t="e">
        <f>AND(#REF!,"AAAAAD//5w0=")</f>
        <v>#REF!</v>
      </c>
      <c r="O498" t="e">
        <f>AND(#REF!,"AAAAAD//5w4=")</f>
        <v>#REF!</v>
      </c>
      <c r="P498" t="e">
        <f>AND(#REF!,"AAAAAD//5w8=")</f>
        <v>#REF!</v>
      </c>
      <c r="Q498" t="e">
        <f>AND(#REF!,"AAAAAD//5xA=")</f>
        <v>#REF!</v>
      </c>
      <c r="R498" t="e">
        <f>AND(#REF!,"AAAAAD//5xE=")</f>
        <v>#REF!</v>
      </c>
      <c r="S498" t="e">
        <f>AND(#REF!,"AAAAAD//5xI=")</f>
        <v>#REF!</v>
      </c>
      <c r="T498" t="e">
        <f>AND(#REF!,"AAAAAD//5xM=")</f>
        <v>#REF!</v>
      </c>
      <c r="U498" t="e">
        <f>AND(#REF!,"AAAAAD//5xQ=")</f>
        <v>#REF!</v>
      </c>
      <c r="V498" t="e">
        <f>AND(#REF!,"AAAAAD//5xU=")</f>
        <v>#REF!</v>
      </c>
      <c r="W498" t="e">
        <f>AND(#REF!,"AAAAAD//5xY=")</f>
        <v>#REF!</v>
      </c>
      <c r="X498" t="e">
        <f>AND(#REF!,"AAAAAD//5xc=")</f>
        <v>#REF!</v>
      </c>
      <c r="Y498" t="e">
        <f>AND(#REF!,"AAAAAD//5xg=")</f>
        <v>#REF!</v>
      </c>
      <c r="Z498" t="e">
        <f>AND(#REF!,"AAAAAD//5xk=")</f>
        <v>#REF!</v>
      </c>
      <c r="AA498" t="e">
        <f>AND(#REF!,"AAAAAD//5xo=")</f>
        <v>#REF!</v>
      </c>
      <c r="AB498" t="e">
        <f>AND(#REF!,"AAAAAD//5xs=")</f>
        <v>#REF!</v>
      </c>
      <c r="AC498" t="e">
        <f>IF(#REF!,"AAAAAD//5xw=",0)</f>
        <v>#REF!</v>
      </c>
      <c r="AD498" t="e">
        <f>AND(#REF!,"AAAAAD//5x0=")</f>
        <v>#REF!</v>
      </c>
      <c r="AE498" t="e">
        <f>AND(#REF!,"AAAAAD//5x4=")</f>
        <v>#REF!</v>
      </c>
      <c r="AF498" t="e">
        <f>AND(#REF!,"AAAAAD//5x8=")</f>
        <v>#REF!</v>
      </c>
      <c r="AG498" t="e">
        <f>AND(#REF!,"AAAAAD//5yA=")</f>
        <v>#REF!</v>
      </c>
      <c r="AH498" t="e">
        <f>AND(#REF!,"AAAAAD//5yE=")</f>
        <v>#REF!</v>
      </c>
      <c r="AI498" t="e">
        <f>AND(#REF!,"AAAAAD//5yI=")</f>
        <v>#REF!</v>
      </c>
      <c r="AJ498" t="e">
        <f>AND(#REF!,"AAAAAD//5yM=")</f>
        <v>#REF!</v>
      </c>
      <c r="AK498" t="e">
        <f>AND(#REF!,"AAAAAD//5yQ=")</f>
        <v>#REF!</v>
      </c>
      <c r="AL498" t="e">
        <f>AND(#REF!,"AAAAAD//5yU=")</f>
        <v>#REF!</v>
      </c>
      <c r="AM498" t="e">
        <f>AND(#REF!,"AAAAAD//5yY=")</f>
        <v>#REF!</v>
      </c>
      <c r="AN498" t="e">
        <f>AND(#REF!,"AAAAAD//5yc=")</f>
        <v>#REF!</v>
      </c>
      <c r="AO498" t="e">
        <f>AND(#REF!,"AAAAAD//5yg=")</f>
        <v>#REF!</v>
      </c>
      <c r="AP498" t="e">
        <f>AND(#REF!,"AAAAAD//5yk=")</f>
        <v>#REF!</v>
      </c>
      <c r="AQ498" t="e">
        <f>AND(#REF!,"AAAAAD//5yo=")</f>
        <v>#REF!</v>
      </c>
      <c r="AR498" t="e">
        <f>AND(#REF!,"AAAAAD//5ys=")</f>
        <v>#REF!</v>
      </c>
      <c r="AS498" t="e">
        <f>AND(#REF!,"AAAAAD//5yw=")</f>
        <v>#REF!</v>
      </c>
      <c r="AT498" t="e">
        <f>AND(#REF!,"AAAAAD//5y0=")</f>
        <v>#REF!</v>
      </c>
      <c r="AU498" t="e">
        <f>AND(#REF!,"AAAAAD//5y4=")</f>
        <v>#REF!</v>
      </c>
      <c r="AV498" t="e">
        <f>AND(#REF!,"AAAAAD//5y8=")</f>
        <v>#REF!</v>
      </c>
      <c r="AW498" t="e">
        <f>AND(#REF!,"AAAAAD//5zA=")</f>
        <v>#REF!</v>
      </c>
      <c r="AX498" t="e">
        <f>AND(#REF!,"AAAAAD//5zE=")</f>
        <v>#REF!</v>
      </c>
      <c r="AY498" t="e">
        <f>AND(#REF!,"AAAAAD//5zI=")</f>
        <v>#REF!</v>
      </c>
      <c r="AZ498" t="e">
        <f>AND(#REF!,"AAAAAD//5zM=")</f>
        <v>#REF!</v>
      </c>
      <c r="BA498" t="e">
        <f>AND(#REF!,"AAAAAD//5zQ=")</f>
        <v>#REF!</v>
      </c>
      <c r="BB498" t="e">
        <f>IF(#REF!,"AAAAAD//5zU=",0)</f>
        <v>#REF!</v>
      </c>
      <c r="BC498" t="e">
        <f>AND(#REF!,"AAAAAD//5zY=")</f>
        <v>#REF!</v>
      </c>
      <c r="BD498" t="e">
        <f>AND(#REF!,"AAAAAD//5zc=")</f>
        <v>#REF!</v>
      </c>
      <c r="BE498" t="e">
        <f>AND(#REF!,"AAAAAD//5zg=")</f>
        <v>#REF!</v>
      </c>
      <c r="BF498" t="e">
        <f>AND(#REF!,"AAAAAD//5zk=")</f>
        <v>#REF!</v>
      </c>
      <c r="BG498" t="e">
        <f>AND(#REF!,"AAAAAD//5zo=")</f>
        <v>#REF!</v>
      </c>
      <c r="BH498" t="e">
        <f>AND(#REF!,"AAAAAD//5zs=")</f>
        <v>#REF!</v>
      </c>
      <c r="BI498" t="e">
        <f>AND(#REF!,"AAAAAD//5zw=")</f>
        <v>#REF!</v>
      </c>
      <c r="BJ498" t="e">
        <f>AND(#REF!,"AAAAAD//5z0=")</f>
        <v>#REF!</v>
      </c>
      <c r="BK498" t="e">
        <f>AND(#REF!,"AAAAAD//5z4=")</f>
        <v>#REF!</v>
      </c>
      <c r="BL498" t="e">
        <f>AND(#REF!,"AAAAAD//5z8=")</f>
        <v>#REF!</v>
      </c>
      <c r="BM498" t="e">
        <f>AND(#REF!,"AAAAAD//50A=")</f>
        <v>#REF!</v>
      </c>
      <c r="BN498" t="e">
        <f>AND(#REF!,"AAAAAD//50E=")</f>
        <v>#REF!</v>
      </c>
      <c r="BO498" t="e">
        <f>AND(#REF!,"AAAAAD//50I=")</f>
        <v>#REF!</v>
      </c>
      <c r="BP498" t="e">
        <f>AND(#REF!,"AAAAAD//50M=")</f>
        <v>#REF!</v>
      </c>
      <c r="BQ498" t="e">
        <f>AND(#REF!,"AAAAAD//50Q=")</f>
        <v>#REF!</v>
      </c>
      <c r="BR498" t="e">
        <f>AND(#REF!,"AAAAAD//50U=")</f>
        <v>#REF!</v>
      </c>
      <c r="BS498" t="e">
        <f>AND(#REF!,"AAAAAD//50Y=")</f>
        <v>#REF!</v>
      </c>
      <c r="BT498" t="e">
        <f>AND(#REF!,"AAAAAD//50c=")</f>
        <v>#REF!</v>
      </c>
      <c r="BU498" t="e">
        <f>AND(#REF!,"AAAAAD//50g=")</f>
        <v>#REF!</v>
      </c>
      <c r="BV498" t="e">
        <f>AND(#REF!,"AAAAAD//50k=")</f>
        <v>#REF!</v>
      </c>
      <c r="BW498" t="e">
        <f>AND(#REF!,"AAAAAD//50o=")</f>
        <v>#REF!</v>
      </c>
      <c r="BX498" t="e">
        <f>AND(#REF!,"AAAAAD//50s=")</f>
        <v>#REF!</v>
      </c>
      <c r="BY498" t="e">
        <f>AND(#REF!,"AAAAAD//50w=")</f>
        <v>#REF!</v>
      </c>
      <c r="BZ498" t="e">
        <f>AND(#REF!,"AAAAAD//500=")</f>
        <v>#REF!</v>
      </c>
      <c r="CA498" t="e">
        <f>IF(#REF!,"AAAAAD//504=",0)</f>
        <v>#REF!</v>
      </c>
      <c r="CB498" t="e">
        <f>AND(#REF!,"AAAAAD//508=")</f>
        <v>#REF!</v>
      </c>
      <c r="CC498" t="e">
        <f>AND(#REF!,"AAAAAD//51A=")</f>
        <v>#REF!</v>
      </c>
      <c r="CD498" t="e">
        <f>AND(#REF!,"AAAAAD//51E=")</f>
        <v>#REF!</v>
      </c>
      <c r="CE498" t="e">
        <f>AND(#REF!,"AAAAAD//51I=")</f>
        <v>#REF!</v>
      </c>
      <c r="CF498" t="e">
        <f>AND(#REF!,"AAAAAD//51M=")</f>
        <v>#REF!</v>
      </c>
      <c r="CG498" t="e">
        <f>AND(#REF!,"AAAAAD//51Q=")</f>
        <v>#REF!</v>
      </c>
      <c r="CH498" t="e">
        <f>AND(#REF!,"AAAAAD//51U=")</f>
        <v>#REF!</v>
      </c>
      <c r="CI498" t="e">
        <f>AND(#REF!,"AAAAAD//51Y=")</f>
        <v>#REF!</v>
      </c>
      <c r="CJ498" t="e">
        <f>AND(#REF!,"AAAAAD//51c=")</f>
        <v>#REF!</v>
      </c>
      <c r="CK498" t="e">
        <f>AND(#REF!,"AAAAAD//51g=")</f>
        <v>#REF!</v>
      </c>
      <c r="CL498" t="e">
        <f>AND(#REF!,"AAAAAD//51k=")</f>
        <v>#REF!</v>
      </c>
      <c r="CM498" t="e">
        <f>AND(#REF!,"AAAAAD//51o=")</f>
        <v>#REF!</v>
      </c>
      <c r="CN498" t="e">
        <f>AND(#REF!,"AAAAAD//51s=")</f>
        <v>#REF!</v>
      </c>
      <c r="CO498" t="e">
        <f>AND(#REF!,"AAAAAD//51w=")</f>
        <v>#REF!</v>
      </c>
      <c r="CP498" t="e">
        <f>AND(#REF!,"AAAAAD//510=")</f>
        <v>#REF!</v>
      </c>
      <c r="CQ498" t="e">
        <f>AND(#REF!,"AAAAAD//514=")</f>
        <v>#REF!</v>
      </c>
      <c r="CR498" t="e">
        <f>AND(#REF!,"AAAAAD//518=")</f>
        <v>#REF!</v>
      </c>
      <c r="CS498" t="e">
        <f>AND(#REF!,"AAAAAD//52A=")</f>
        <v>#REF!</v>
      </c>
      <c r="CT498" t="e">
        <f>AND(#REF!,"AAAAAD//52E=")</f>
        <v>#REF!</v>
      </c>
      <c r="CU498" t="e">
        <f>AND(#REF!,"AAAAAD//52I=")</f>
        <v>#REF!</v>
      </c>
      <c r="CV498" t="e">
        <f>AND(#REF!,"AAAAAD//52M=")</f>
        <v>#REF!</v>
      </c>
      <c r="CW498" t="e">
        <f>AND(#REF!,"AAAAAD//52Q=")</f>
        <v>#REF!</v>
      </c>
      <c r="CX498" t="e">
        <f>AND(#REF!,"AAAAAD//52U=")</f>
        <v>#REF!</v>
      </c>
      <c r="CY498" t="e">
        <f>AND(#REF!,"AAAAAD//52Y=")</f>
        <v>#REF!</v>
      </c>
      <c r="CZ498" t="e">
        <f>IF(#REF!,"AAAAAD//52c=",0)</f>
        <v>#REF!</v>
      </c>
      <c r="DA498" t="e">
        <f>AND(#REF!,"AAAAAD//52g=")</f>
        <v>#REF!</v>
      </c>
      <c r="DB498" t="e">
        <f>AND(#REF!,"AAAAAD//52k=")</f>
        <v>#REF!</v>
      </c>
      <c r="DC498" t="e">
        <f>AND(#REF!,"AAAAAD//52o=")</f>
        <v>#REF!</v>
      </c>
      <c r="DD498" t="e">
        <f>AND(#REF!,"AAAAAD//52s=")</f>
        <v>#REF!</v>
      </c>
      <c r="DE498" t="e">
        <f>AND(#REF!,"AAAAAD//52w=")</f>
        <v>#REF!</v>
      </c>
      <c r="DF498" t="e">
        <f>AND(#REF!,"AAAAAD//520=")</f>
        <v>#REF!</v>
      </c>
      <c r="DG498" t="e">
        <f>AND(#REF!,"AAAAAD//524=")</f>
        <v>#REF!</v>
      </c>
      <c r="DH498" t="e">
        <f>AND(#REF!,"AAAAAD//528=")</f>
        <v>#REF!</v>
      </c>
      <c r="DI498" t="e">
        <f>AND(#REF!,"AAAAAD//53A=")</f>
        <v>#REF!</v>
      </c>
      <c r="DJ498" t="e">
        <f>AND(#REF!,"AAAAAD//53E=")</f>
        <v>#REF!</v>
      </c>
      <c r="DK498" t="e">
        <f>AND(#REF!,"AAAAAD//53I=")</f>
        <v>#REF!</v>
      </c>
      <c r="DL498" t="e">
        <f>AND(#REF!,"AAAAAD//53M=")</f>
        <v>#REF!</v>
      </c>
      <c r="DM498" t="e">
        <f>AND(#REF!,"AAAAAD//53Q=")</f>
        <v>#REF!</v>
      </c>
      <c r="DN498" t="e">
        <f>AND(#REF!,"AAAAAD//53U=")</f>
        <v>#REF!</v>
      </c>
      <c r="DO498" t="e">
        <f>AND(#REF!,"AAAAAD//53Y=")</f>
        <v>#REF!</v>
      </c>
      <c r="DP498" t="e">
        <f>AND(#REF!,"AAAAAD//53c=")</f>
        <v>#REF!</v>
      </c>
      <c r="DQ498" t="e">
        <f>AND(#REF!,"AAAAAD//53g=")</f>
        <v>#REF!</v>
      </c>
      <c r="DR498" t="e">
        <f>AND(#REF!,"AAAAAD//53k=")</f>
        <v>#REF!</v>
      </c>
      <c r="DS498" t="e">
        <f>AND(#REF!,"AAAAAD//53o=")</f>
        <v>#REF!</v>
      </c>
      <c r="DT498" t="e">
        <f>AND(#REF!,"AAAAAD//53s=")</f>
        <v>#REF!</v>
      </c>
      <c r="DU498" t="e">
        <f>AND(#REF!,"AAAAAD//53w=")</f>
        <v>#REF!</v>
      </c>
      <c r="DV498" t="e">
        <f>AND(#REF!,"AAAAAD//530=")</f>
        <v>#REF!</v>
      </c>
      <c r="DW498" t="e">
        <f>AND(#REF!,"AAAAAD//534=")</f>
        <v>#REF!</v>
      </c>
      <c r="DX498" t="e">
        <f>AND(#REF!,"AAAAAD//538=")</f>
        <v>#REF!</v>
      </c>
      <c r="DY498" t="e">
        <f>IF(#REF!,"AAAAAD//54A=",0)</f>
        <v>#REF!</v>
      </c>
      <c r="DZ498" t="e">
        <f>AND(#REF!,"AAAAAD//54E=")</f>
        <v>#REF!</v>
      </c>
      <c r="EA498" t="e">
        <f>AND(#REF!,"AAAAAD//54I=")</f>
        <v>#REF!</v>
      </c>
      <c r="EB498" t="e">
        <f>AND(#REF!,"AAAAAD//54M=")</f>
        <v>#REF!</v>
      </c>
      <c r="EC498" t="e">
        <f>AND(#REF!,"AAAAAD//54Q=")</f>
        <v>#REF!</v>
      </c>
      <c r="ED498" t="e">
        <f>AND(#REF!,"AAAAAD//54U=")</f>
        <v>#REF!</v>
      </c>
      <c r="EE498" t="e">
        <f>AND(#REF!,"AAAAAD//54Y=")</f>
        <v>#REF!</v>
      </c>
      <c r="EF498" t="e">
        <f>AND(#REF!,"AAAAAD//54c=")</f>
        <v>#REF!</v>
      </c>
      <c r="EG498" t="e">
        <f>AND(#REF!,"AAAAAD//54g=")</f>
        <v>#REF!</v>
      </c>
      <c r="EH498" t="e">
        <f>AND(#REF!,"AAAAAD//54k=")</f>
        <v>#REF!</v>
      </c>
      <c r="EI498" t="e">
        <f>AND(#REF!,"AAAAAD//54o=")</f>
        <v>#REF!</v>
      </c>
      <c r="EJ498" t="e">
        <f>AND(#REF!,"AAAAAD//54s=")</f>
        <v>#REF!</v>
      </c>
      <c r="EK498" t="e">
        <f>AND(#REF!,"AAAAAD//54w=")</f>
        <v>#REF!</v>
      </c>
      <c r="EL498" t="e">
        <f>AND(#REF!,"AAAAAD//540=")</f>
        <v>#REF!</v>
      </c>
      <c r="EM498" t="e">
        <f>AND(#REF!,"AAAAAD//544=")</f>
        <v>#REF!</v>
      </c>
      <c r="EN498" t="e">
        <f>AND(#REF!,"AAAAAD//548=")</f>
        <v>#REF!</v>
      </c>
      <c r="EO498" t="e">
        <f>AND(#REF!,"AAAAAD//55A=")</f>
        <v>#REF!</v>
      </c>
      <c r="EP498" t="e">
        <f>AND(#REF!,"AAAAAD//55E=")</f>
        <v>#REF!</v>
      </c>
      <c r="EQ498" t="e">
        <f>AND(#REF!,"AAAAAD//55I=")</f>
        <v>#REF!</v>
      </c>
      <c r="ER498" t="e">
        <f>AND(#REF!,"AAAAAD//55M=")</f>
        <v>#REF!</v>
      </c>
      <c r="ES498" t="e">
        <f>AND(#REF!,"AAAAAD//55Q=")</f>
        <v>#REF!</v>
      </c>
      <c r="ET498" t="e">
        <f>AND(#REF!,"AAAAAD//55U=")</f>
        <v>#REF!</v>
      </c>
      <c r="EU498" t="e">
        <f>AND(#REF!,"AAAAAD//55Y=")</f>
        <v>#REF!</v>
      </c>
      <c r="EV498" t="e">
        <f>AND(#REF!,"AAAAAD//55c=")</f>
        <v>#REF!</v>
      </c>
      <c r="EW498" t="e">
        <f>AND(#REF!,"AAAAAD//55g=")</f>
        <v>#REF!</v>
      </c>
      <c r="EX498" t="e">
        <f>IF(#REF!,"AAAAAD//55k=",0)</f>
        <v>#REF!</v>
      </c>
      <c r="EY498" t="e">
        <f>AND(#REF!,"AAAAAD//55o=")</f>
        <v>#REF!</v>
      </c>
      <c r="EZ498" t="e">
        <f>AND(#REF!,"AAAAAD//55s=")</f>
        <v>#REF!</v>
      </c>
      <c r="FA498" t="e">
        <f>AND(#REF!,"AAAAAD//55w=")</f>
        <v>#REF!</v>
      </c>
      <c r="FB498" t="e">
        <f>AND(#REF!,"AAAAAD//550=")</f>
        <v>#REF!</v>
      </c>
      <c r="FC498" t="e">
        <f>AND(#REF!,"AAAAAD//554=")</f>
        <v>#REF!</v>
      </c>
      <c r="FD498" t="e">
        <f>AND(#REF!,"AAAAAD//558=")</f>
        <v>#REF!</v>
      </c>
      <c r="FE498" t="e">
        <f>AND(#REF!,"AAAAAD//56A=")</f>
        <v>#REF!</v>
      </c>
      <c r="FF498" t="e">
        <f>AND(#REF!,"AAAAAD//56E=")</f>
        <v>#REF!</v>
      </c>
      <c r="FG498" t="e">
        <f>AND(#REF!,"AAAAAD//56I=")</f>
        <v>#REF!</v>
      </c>
      <c r="FH498" t="e">
        <f>AND(#REF!,"AAAAAD//56M=")</f>
        <v>#REF!</v>
      </c>
      <c r="FI498" t="e">
        <f>AND(#REF!,"AAAAAD//56Q=")</f>
        <v>#REF!</v>
      </c>
      <c r="FJ498" t="e">
        <f>AND(#REF!,"AAAAAD//56U=")</f>
        <v>#REF!</v>
      </c>
      <c r="FK498" t="e">
        <f>AND(#REF!,"AAAAAD//56Y=")</f>
        <v>#REF!</v>
      </c>
      <c r="FL498" t="e">
        <f>AND(#REF!,"AAAAAD//56c=")</f>
        <v>#REF!</v>
      </c>
      <c r="FM498" t="e">
        <f>AND(#REF!,"AAAAAD//56g=")</f>
        <v>#REF!</v>
      </c>
      <c r="FN498" t="e">
        <f>AND(#REF!,"AAAAAD//56k=")</f>
        <v>#REF!</v>
      </c>
      <c r="FO498" t="e">
        <f>AND(#REF!,"AAAAAD//56o=")</f>
        <v>#REF!</v>
      </c>
      <c r="FP498" t="e">
        <f>AND(#REF!,"AAAAAD//56s=")</f>
        <v>#REF!</v>
      </c>
      <c r="FQ498" t="e">
        <f>AND(#REF!,"AAAAAD//56w=")</f>
        <v>#REF!</v>
      </c>
      <c r="FR498" t="e">
        <f>AND(#REF!,"AAAAAD//560=")</f>
        <v>#REF!</v>
      </c>
      <c r="FS498" t="e">
        <f>AND(#REF!,"AAAAAD//564=")</f>
        <v>#REF!</v>
      </c>
      <c r="FT498" t="e">
        <f>AND(#REF!,"AAAAAD//568=")</f>
        <v>#REF!</v>
      </c>
      <c r="FU498" t="e">
        <f>AND(#REF!,"AAAAAD//57A=")</f>
        <v>#REF!</v>
      </c>
      <c r="FV498" t="e">
        <f>AND(#REF!,"AAAAAD//57E=")</f>
        <v>#REF!</v>
      </c>
      <c r="FW498" t="e">
        <f>IF(#REF!,"AAAAAD//57I=",0)</f>
        <v>#REF!</v>
      </c>
      <c r="FX498" t="e">
        <f>AND(#REF!,"AAAAAD//57M=")</f>
        <v>#REF!</v>
      </c>
      <c r="FY498" t="e">
        <f>AND(#REF!,"AAAAAD//57Q=")</f>
        <v>#REF!</v>
      </c>
      <c r="FZ498" t="e">
        <f>AND(#REF!,"AAAAAD//57U=")</f>
        <v>#REF!</v>
      </c>
      <c r="GA498" t="e">
        <f>AND(#REF!,"AAAAAD//57Y=")</f>
        <v>#REF!</v>
      </c>
      <c r="GB498" t="e">
        <f>AND(#REF!,"AAAAAD//57c=")</f>
        <v>#REF!</v>
      </c>
      <c r="GC498" t="e">
        <f>AND(#REF!,"AAAAAD//57g=")</f>
        <v>#REF!</v>
      </c>
      <c r="GD498" t="e">
        <f>AND(#REF!,"AAAAAD//57k=")</f>
        <v>#REF!</v>
      </c>
      <c r="GE498" t="e">
        <f>AND(#REF!,"AAAAAD//57o=")</f>
        <v>#REF!</v>
      </c>
      <c r="GF498" t="e">
        <f>AND(#REF!,"AAAAAD//57s=")</f>
        <v>#REF!</v>
      </c>
      <c r="GG498" t="e">
        <f>AND(#REF!,"AAAAAD//57w=")</f>
        <v>#REF!</v>
      </c>
      <c r="GH498" t="e">
        <f>AND(#REF!,"AAAAAD//570=")</f>
        <v>#REF!</v>
      </c>
      <c r="GI498" t="e">
        <f>AND(#REF!,"AAAAAD//574=")</f>
        <v>#REF!</v>
      </c>
      <c r="GJ498" t="e">
        <f>AND(#REF!,"AAAAAD//578=")</f>
        <v>#REF!</v>
      </c>
      <c r="GK498" t="e">
        <f>AND(#REF!,"AAAAAD//58A=")</f>
        <v>#REF!</v>
      </c>
      <c r="GL498" t="e">
        <f>AND(#REF!,"AAAAAD//58E=")</f>
        <v>#REF!</v>
      </c>
      <c r="GM498" t="e">
        <f>AND(#REF!,"AAAAAD//58I=")</f>
        <v>#REF!</v>
      </c>
      <c r="GN498" t="e">
        <f>AND(#REF!,"AAAAAD//58M=")</f>
        <v>#REF!</v>
      </c>
      <c r="GO498" t="e">
        <f>AND(#REF!,"AAAAAD//58Q=")</f>
        <v>#REF!</v>
      </c>
      <c r="GP498" t="e">
        <f>AND(#REF!,"AAAAAD//58U=")</f>
        <v>#REF!</v>
      </c>
      <c r="GQ498" t="e">
        <f>AND(#REF!,"AAAAAD//58Y=")</f>
        <v>#REF!</v>
      </c>
      <c r="GR498" t="e">
        <f>AND(#REF!,"AAAAAD//58c=")</f>
        <v>#REF!</v>
      </c>
      <c r="GS498" t="e">
        <f>AND(#REF!,"AAAAAD//58g=")</f>
        <v>#REF!</v>
      </c>
      <c r="GT498" t="e">
        <f>AND(#REF!,"AAAAAD//58k=")</f>
        <v>#REF!</v>
      </c>
      <c r="GU498" t="e">
        <f>AND(#REF!,"AAAAAD//58o=")</f>
        <v>#REF!</v>
      </c>
      <c r="GV498" t="e">
        <f>IF(#REF!,"AAAAAD//58s=",0)</f>
        <v>#REF!</v>
      </c>
      <c r="GW498" t="e">
        <f>AND(#REF!,"AAAAAD//58w=")</f>
        <v>#REF!</v>
      </c>
      <c r="GX498" t="e">
        <f>AND(#REF!,"AAAAAD//580=")</f>
        <v>#REF!</v>
      </c>
      <c r="GY498" t="e">
        <f>AND(#REF!,"AAAAAD//584=")</f>
        <v>#REF!</v>
      </c>
      <c r="GZ498" t="e">
        <f>AND(#REF!,"AAAAAD//588=")</f>
        <v>#REF!</v>
      </c>
      <c r="HA498" t="e">
        <f>AND(#REF!,"AAAAAD//59A=")</f>
        <v>#REF!</v>
      </c>
      <c r="HB498" t="e">
        <f>AND(#REF!,"AAAAAD//59E=")</f>
        <v>#REF!</v>
      </c>
      <c r="HC498" t="e">
        <f>AND(#REF!,"AAAAAD//59I=")</f>
        <v>#REF!</v>
      </c>
      <c r="HD498" t="e">
        <f>AND(#REF!,"AAAAAD//59M=")</f>
        <v>#REF!</v>
      </c>
      <c r="HE498" t="e">
        <f>AND(#REF!,"AAAAAD//59Q=")</f>
        <v>#REF!</v>
      </c>
      <c r="HF498" t="e">
        <f>AND(#REF!,"AAAAAD//59U=")</f>
        <v>#REF!</v>
      </c>
      <c r="HG498" t="e">
        <f>AND(#REF!,"AAAAAD//59Y=")</f>
        <v>#REF!</v>
      </c>
      <c r="HH498" t="e">
        <f>AND(#REF!,"AAAAAD//59c=")</f>
        <v>#REF!</v>
      </c>
      <c r="HI498" t="e">
        <f>AND(#REF!,"AAAAAD//59g=")</f>
        <v>#REF!</v>
      </c>
      <c r="HJ498" t="e">
        <f>AND(#REF!,"AAAAAD//59k=")</f>
        <v>#REF!</v>
      </c>
      <c r="HK498" t="e">
        <f>AND(#REF!,"AAAAAD//59o=")</f>
        <v>#REF!</v>
      </c>
      <c r="HL498" t="e">
        <f>AND(#REF!,"AAAAAD//59s=")</f>
        <v>#REF!</v>
      </c>
      <c r="HM498" t="e">
        <f>AND(#REF!,"AAAAAD//59w=")</f>
        <v>#REF!</v>
      </c>
      <c r="HN498" t="e">
        <f>AND(#REF!,"AAAAAD//590=")</f>
        <v>#REF!</v>
      </c>
      <c r="HO498" t="e">
        <f>AND(#REF!,"AAAAAD//594=")</f>
        <v>#REF!</v>
      </c>
      <c r="HP498" t="e">
        <f>AND(#REF!,"AAAAAD//598=")</f>
        <v>#REF!</v>
      </c>
      <c r="HQ498" t="e">
        <f>AND(#REF!,"AAAAAD//5+A=")</f>
        <v>#REF!</v>
      </c>
      <c r="HR498" t="e">
        <f>AND(#REF!,"AAAAAD//5+E=")</f>
        <v>#REF!</v>
      </c>
      <c r="HS498" t="e">
        <f>AND(#REF!,"AAAAAD//5+I=")</f>
        <v>#REF!</v>
      </c>
      <c r="HT498" t="e">
        <f>AND(#REF!,"AAAAAD//5+M=")</f>
        <v>#REF!</v>
      </c>
      <c r="HU498" t="e">
        <f>IF(#REF!,"AAAAAD//5+Q=",0)</f>
        <v>#REF!</v>
      </c>
      <c r="HV498" t="e">
        <f>AND(#REF!,"AAAAAD//5+U=")</f>
        <v>#REF!</v>
      </c>
      <c r="HW498" t="e">
        <f>AND(#REF!,"AAAAAD//5+Y=")</f>
        <v>#REF!</v>
      </c>
      <c r="HX498" t="e">
        <f>AND(#REF!,"AAAAAD//5+c=")</f>
        <v>#REF!</v>
      </c>
      <c r="HY498" t="e">
        <f>AND(#REF!,"AAAAAD//5+g=")</f>
        <v>#REF!</v>
      </c>
      <c r="HZ498" t="e">
        <f>AND(#REF!,"AAAAAD//5+k=")</f>
        <v>#REF!</v>
      </c>
      <c r="IA498" t="e">
        <f>AND(#REF!,"AAAAAD//5+o=")</f>
        <v>#REF!</v>
      </c>
      <c r="IB498" t="e">
        <f>AND(#REF!,"AAAAAD//5+s=")</f>
        <v>#REF!</v>
      </c>
      <c r="IC498" t="e">
        <f>AND(#REF!,"AAAAAD//5+w=")</f>
        <v>#REF!</v>
      </c>
      <c r="ID498" t="e">
        <f>AND(#REF!,"AAAAAD//5+0=")</f>
        <v>#REF!</v>
      </c>
      <c r="IE498" t="e">
        <f>AND(#REF!,"AAAAAD//5+4=")</f>
        <v>#REF!</v>
      </c>
      <c r="IF498" t="e">
        <f>AND(#REF!,"AAAAAD//5+8=")</f>
        <v>#REF!</v>
      </c>
      <c r="IG498" t="e">
        <f>AND(#REF!,"AAAAAD//5/A=")</f>
        <v>#REF!</v>
      </c>
      <c r="IH498" t="e">
        <f>AND(#REF!,"AAAAAD//5/E=")</f>
        <v>#REF!</v>
      </c>
      <c r="II498" t="e">
        <f>AND(#REF!,"AAAAAD//5/I=")</f>
        <v>#REF!</v>
      </c>
      <c r="IJ498" t="e">
        <f>AND(#REF!,"AAAAAD//5/M=")</f>
        <v>#REF!</v>
      </c>
      <c r="IK498" t="e">
        <f>AND(#REF!,"AAAAAD//5/Q=")</f>
        <v>#REF!</v>
      </c>
      <c r="IL498" t="e">
        <f>AND(#REF!,"AAAAAD//5/U=")</f>
        <v>#REF!</v>
      </c>
      <c r="IM498" t="e">
        <f>AND(#REF!,"AAAAAD//5/Y=")</f>
        <v>#REF!</v>
      </c>
      <c r="IN498" t="e">
        <f>AND(#REF!,"AAAAAD//5/c=")</f>
        <v>#REF!</v>
      </c>
      <c r="IO498" t="e">
        <f>AND(#REF!,"AAAAAD//5/g=")</f>
        <v>#REF!</v>
      </c>
      <c r="IP498" t="e">
        <f>AND(#REF!,"AAAAAD//5/k=")</f>
        <v>#REF!</v>
      </c>
      <c r="IQ498" t="e">
        <f>AND(#REF!,"AAAAAD//5/o=")</f>
        <v>#REF!</v>
      </c>
      <c r="IR498" t="e">
        <f>AND(#REF!,"AAAAAD//5/s=")</f>
        <v>#REF!</v>
      </c>
      <c r="IS498" t="e">
        <f>AND(#REF!,"AAAAAD//5/w=")</f>
        <v>#REF!</v>
      </c>
      <c r="IT498" t="e">
        <f>IF(#REF!,"AAAAAD//5/0=",0)</f>
        <v>#REF!</v>
      </c>
      <c r="IU498" t="e">
        <f>AND(#REF!,"AAAAAD//5/4=")</f>
        <v>#REF!</v>
      </c>
      <c r="IV498" t="e">
        <f>AND(#REF!,"AAAAAD//5/8=")</f>
        <v>#REF!</v>
      </c>
    </row>
    <row r="499" spans="1:256">
      <c r="A499" t="e">
        <f>AND(#REF!,"AAAAAHz7/gA=")</f>
        <v>#REF!</v>
      </c>
      <c r="B499" t="e">
        <f>AND(#REF!,"AAAAAHz7/gE=")</f>
        <v>#REF!</v>
      </c>
      <c r="C499" t="e">
        <f>AND(#REF!,"AAAAAHz7/gI=")</f>
        <v>#REF!</v>
      </c>
      <c r="D499" t="e">
        <f>AND(#REF!,"AAAAAHz7/gM=")</f>
        <v>#REF!</v>
      </c>
      <c r="E499" t="e">
        <f>AND(#REF!,"AAAAAHz7/gQ=")</f>
        <v>#REF!</v>
      </c>
      <c r="F499" t="e">
        <f>AND(#REF!,"AAAAAHz7/gU=")</f>
        <v>#REF!</v>
      </c>
      <c r="G499" t="e">
        <f>AND(#REF!,"AAAAAHz7/gY=")</f>
        <v>#REF!</v>
      </c>
      <c r="H499" t="e">
        <f>AND(#REF!,"AAAAAHz7/gc=")</f>
        <v>#REF!</v>
      </c>
      <c r="I499" t="e">
        <f>AND(#REF!,"AAAAAHz7/gg=")</f>
        <v>#REF!</v>
      </c>
      <c r="J499" t="e">
        <f>AND(#REF!,"AAAAAHz7/gk=")</f>
        <v>#REF!</v>
      </c>
      <c r="K499" t="e">
        <f>AND(#REF!,"AAAAAHz7/go=")</f>
        <v>#REF!</v>
      </c>
      <c r="L499" t="e">
        <f>AND(#REF!,"AAAAAHz7/gs=")</f>
        <v>#REF!</v>
      </c>
      <c r="M499" t="e">
        <f>AND(#REF!,"AAAAAHz7/gw=")</f>
        <v>#REF!</v>
      </c>
      <c r="N499" t="e">
        <f>AND(#REF!,"AAAAAHz7/g0=")</f>
        <v>#REF!</v>
      </c>
      <c r="O499" t="e">
        <f>AND(#REF!,"AAAAAHz7/g4=")</f>
        <v>#REF!</v>
      </c>
      <c r="P499" t="e">
        <f>AND(#REF!,"AAAAAHz7/g8=")</f>
        <v>#REF!</v>
      </c>
      <c r="Q499" t="e">
        <f>AND(#REF!,"AAAAAHz7/hA=")</f>
        <v>#REF!</v>
      </c>
      <c r="R499" t="e">
        <f>AND(#REF!,"AAAAAHz7/hE=")</f>
        <v>#REF!</v>
      </c>
      <c r="S499" t="e">
        <f>AND(#REF!,"AAAAAHz7/hI=")</f>
        <v>#REF!</v>
      </c>
      <c r="T499" t="e">
        <f>AND(#REF!,"AAAAAHz7/hM=")</f>
        <v>#REF!</v>
      </c>
      <c r="U499" t="e">
        <f>AND(#REF!,"AAAAAHz7/hQ=")</f>
        <v>#REF!</v>
      </c>
      <c r="V499" t="e">
        <f>AND(#REF!,"AAAAAHz7/hU=")</f>
        <v>#REF!</v>
      </c>
      <c r="W499" t="e">
        <f>IF(#REF!,"AAAAAHz7/hY=",0)</f>
        <v>#REF!</v>
      </c>
      <c r="X499" t="e">
        <f>AND(#REF!,"AAAAAHz7/hc=")</f>
        <v>#REF!</v>
      </c>
      <c r="Y499" t="e">
        <f>AND(#REF!,"AAAAAHz7/hg=")</f>
        <v>#REF!</v>
      </c>
      <c r="Z499" t="e">
        <f>AND(#REF!,"AAAAAHz7/hk=")</f>
        <v>#REF!</v>
      </c>
      <c r="AA499" t="e">
        <f>AND(#REF!,"AAAAAHz7/ho=")</f>
        <v>#REF!</v>
      </c>
      <c r="AB499" t="e">
        <f>AND(#REF!,"AAAAAHz7/hs=")</f>
        <v>#REF!</v>
      </c>
      <c r="AC499" t="e">
        <f>AND(#REF!,"AAAAAHz7/hw=")</f>
        <v>#REF!</v>
      </c>
      <c r="AD499" t="e">
        <f>AND(#REF!,"AAAAAHz7/h0=")</f>
        <v>#REF!</v>
      </c>
      <c r="AE499" t="e">
        <f>AND(#REF!,"AAAAAHz7/h4=")</f>
        <v>#REF!</v>
      </c>
      <c r="AF499" t="e">
        <f>AND(#REF!,"AAAAAHz7/h8=")</f>
        <v>#REF!</v>
      </c>
      <c r="AG499" t="e">
        <f>AND(#REF!,"AAAAAHz7/iA=")</f>
        <v>#REF!</v>
      </c>
      <c r="AH499" t="e">
        <f>AND(#REF!,"AAAAAHz7/iE=")</f>
        <v>#REF!</v>
      </c>
      <c r="AI499" t="e">
        <f>AND(#REF!,"AAAAAHz7/iI=")</f>
        <v>#REF!</v>
      </c>
      <c r="AJ499" t="e">
        <f>AND(#REF!,"AAAAAHz7/iM=")</f>
        <v>#REF!</v>
      </c>
      <c r="AK499" t="e">
        <f>AND(#REF!,"AAAAAHz7/iQ=")</f>
        <v>#REF!</v>
      </c>
      <c r="AL499" t="e">
        <f>AND(#REF!,"AAAAAHz7/iU=")</f>
        <v>#REF!</v>
      </c>
      <c r="AM499" t="e">
        <f>AND(#REF!,"AAAAAHz7/iY=")</f>
        <v>#REF!</v>
      </c>
      <c r="AN499" t="e">
        <f>AND(#REF!,"AAAAAHz7/ic=")</f>
        <v>#REF!</v>
      </c>
      <c r="AO499" t="e">
        <f>AND(#REF!,"AAAAAHz7/ig=")</f>
        <v>#REF!</v>
      </c>
      <c r="AP499" t="e">
        <f>AND(#REF!,"AAAAAHz7/ik=")</f>
        <v>#REF!</v>
      </c>
      <c r="AQ499" t="e">
        <f>AND(#REF!,"AAAAAHz7/io=")</f>
        <v>#REF!</v>
      </c>
      <c r="AR499" t="e">
        <f>AND(#REF!,"AAAAAHz7/is=")</f>
        <v>#REF!</v>
      </c>
      <c r="AS499" t="e">
        <f>AND(#REF!,"AAAAAHz7/iw=")</f>
        <v>#REF!</v>
      </c>
      <c r="AT499" t="e">
        <f>AND(#REF!,"AAAAAHz7/i0=")</f>
        <v>#REF!</v>
      </c>
      <c r="AU499" t="e">
        <f>AND(#REF!,"AAAAAHz7/i4=")</f>
        <v>#REF!</v>
      </c>
      <c r="AV499" t="e">
        <f>IF(#REF!,"AAAAAHz7/i8=",0)</f>
        <v>#REF!</v>
      </c>
      <c r="AW499" t="e">
        <f>AND(#REF!,"AAAAAHz7/jA=")</f>
        <v>#REF!</v>
      </c>
      <c r="AX499" t="e">
        <f>AND(#REF!,"AAAAAHz7/jE=")</f>
        <v>#REF!</v>
      </c>
      <c r="AY499" t="e">
        <f>AND(#REF!,"AAAAAHz7/jI=")</f>
        <v>#REF!</v>
      </c>
      <c r="AZ499" t="e">
        <f>AND(#REF!,"AAAAAHz7/jM=")</f>
        <v>#REF!</v>
      </c>
      <c r="BA499" t="e">
        <f>AND(#REF!,"AAAAAHz7/jQ=")</f>
        <v>#REF!</v>
      </c>
      <c r="BB499" t="e">
        <f>AND(#REF!,"AAAAAHz7/jU=")</f>
        <v>#REF!</v>
      </c>
      <c r="BC499" t="e">
        <f>AND(#REF!,"AAAAAHz7/jY=")</f>
        <v>#REF!</v>
      </c>
      <c r="BD499" t="e">
        <f>AND(#REF!,"AAAAAHz7/jc=")</f>
        <v>#REF!</v>
      </c>
      <c r="BE499" t="e">
        <f>AND(#REF!,"AAAAAHz7/jg=")</f>
        <v>#REF!</v>
      </c>
      <c r="BF499" t="e">
        <f>AND(#REF!,"AAAAAHz7/jk=")</f>
        <v>#REF!</v>
      </c>
      <c r="BG499" t="e">
        <f>AND(#REF!,"AAAAAHz7/jo=")</f>
        <v>#REF!</v>
      </c>
      <c r="BH499" t="e">
        <f>AND(#REF!,"AAAAAHz7/js=")</f>
        <v>#REF!</v>
      </c>
      <c r="BI499" t="e">
        <f>AND(#REF!,"AAAAAHz7/jw=")</f>
        <v>#REF!</v>
      </c>
      <c r="BJ499" t="e">
        <f>AND(#REF!,"AAAAAHz7/j0=")</f>
        <v>#REF!</v>
      </c>
      <c r="BK499" t="e">
        <f>AND(#REF!,"AAAAAHz7/j4=")</f>
        <v>#REF!</v>
      </c>
      <c r="BL499" t="e">
        <f>AND(#REF!,"AAAAAHz7/j8=")</f>
        <v>#REF!</v>
      </c>
      <c r="BM499" t="e">
        <f>AND(#REF!,"AAAAAHz7/kA=")</f>
        <v>#REF!</v>
      </c>
      <c r="BN499" t="e">
        <f>AND(#REF!,"AAAAAHz7/kE=")</f>
        <v>#REF!</v>
      </c>
      <c r="BO499" t="e">
        <f>AND(#REF!,"AAAAAHz7/kI=")</f>
        <v>#REF!</v>
      </c>
      <c r="BP499" t="e">
        <f>AND(#REF!,"AAAAAHz7/kM=")</f>
        <v>#REF!</v>
      </c>
      <c r="BQ499" t="e">
        <f>AND(#REF!,"AAAAAHz7/kQ=")</f>
        <v>#REF!</v>
      </c>
      <c r="BR499" t="e">
        <f>AND(#REF!,"AAAAAHz7/kU=")</f>
        <v>#REF!</v>
      </c>
      <c r="BS499" t="e">
        <f>AND(#REF!,"AAAAAHz7/kY=")</f>
        <v>#REF!</v>
      </c>
      <c r="BT499" t="e">
        <f>AND(#REF!,"AAAAAHz7/kc=")</f>
        <v>#REF!</v>
      </c>
      <c r="BU499" t="e">
        <f>IF(#REF!,"AAAAAHz7/kg=",0)</f>
        <v>#REF!</v>
      </c>
      <c r="BV499" t="e">
        <f>AND(#REF!,"AAAAAHz7/kk=")</f>
        <v>#REF!</v>
      </c>
      <c r="BW499" t="e">
        <f>AND(#REF!,"AAAAAHz7/ko=")</f>
        <v>#REF!</v>
      </c>
      <c r="BX499" t="e">
        <f>AND(#REF!,"AAAAAHz7/ks=")</f>
        <v>#REF!</v>
      </c>
      <c r="BY499" t="e">
        <f>AND(#REF!,"AAAAAHz7/kw=")</f>
        <v>#REF!</v>
      </c>
      <c r="BZ499" t="e">
        <f>AND(#REF!,"AAAAAHz7/k0=")</f>
        <v>#REF!</v>
      </c>
      <c r="CA499" t="e">
        <f>AND(#REF!,"AAAAAHz7/k4=")</f>
        <v>#REF!</v>
      </c>
      <c r="CB499" t="e">
        <f>AND(#REF!,"AAAAAHz7/k8=")</f>
        <v>#REF!</v>
      </c>
      <c r="CC499" t="e">
        <f>AND(#REF!,"AAAAAHz7/lA=")</f>
        <v>#REF!</v>
      </c>
      <c r="CD499" t="e">
        <f>AND(#REF!,"AAAAAHz7/lE=")</f>
        <v>#REF!</v>
      </c>
      <c r="CE499" t="e">
        <f>AND(#REF!,"AAAAAHz7/lI=")</f>
        <v>#REF!</v>
      </c>
      <c r="CF499" t="e">
        <f>AND(#REF!,"AAAAAHz7/lM=")</f>
        <v>#REF!</v>
      </c>
      <c r="CG499" t="e">
        <f>AND(#REF!,"AAAAAHz7/lQ=")</f>
        <v>#REF!</v>
      </c>
      <c r="CH499" t="e">
        <f>AND(#REF!,"AAAAAHz7/lU=")</f>
        <v>#REF!</v>
      </c>
      <c r="CI499" t="e">
        <f>AND(#REF!,"AAAAAHz7/lY=")</f>
        <v>#REF!</v>
      </c>
      <c r="CJ499" t="e">
        <f>AND(#REF!,"AAAAAHz7/lc=")</f>
        <v>#REF!</v>
      </c>
      <c r="CK499" t="e">
        <f>AND(#REF!,"AAAAAHz7/lg=")</f>
        <v>#REF!</v>
      </c>
      <c r="CL499" t="e">
        <f>AND(#REF!,"AAAAAHz7/lk=")</f>
        <v>#REF!</v>
      </c>
      <c r="CM499" t="e">
        <f>AND(#REF!,"AAAAAHz7/lo=")</f>
        <v>#REF!</v>
      </c>
      <c r="CN499" t="e">
        <f>AND(#REF!,"AAAAAHz7/ls=")</f>
        <v>#REF!</v>
      </c>
      <c r="CO499" t="e">
        <f>AND(#REF!,"AAAAAHz7/lw=")</f>
        <v>#REF!</v>
      </c>
      <c r="CP499" t="e">
        <f>AND(#REF!,"AAAAAHz7/l0=")</f>
        <v>#REF!</v>
      </c>
      <c r="CQ499" t="e">
        <f>AND(#REF!,"AAAAAHz7/l4=")</f>
        <v>#REF!</v>
      </c>
      <c r="CR499" t="e">
        <f>AND(#REF!,"AAAAAHz7/l8=")</f>
        <v>#REF!</v>
      </c>
      <c r="CS499" t="e">
        <f>AND(#REF!,"AAAAAHz7/mA=")</f>
        <v>#REF!</v>
      </c>
      <c r="CT499" t="e">
        <f>IF(#REF!,"AAAAAHz7/mE=",0)</f>
        <v>#REF!</v>
      </c>
      <c r="CU499" t="e">
        <f>AND(#REF!,"AAAAAHz7/mI=")</f>
        <v>#REF!</v>
      </c>
      <c r="CV499" t="e">
        <f>AND(#REF!,"AAAAAHz7/mM=")</f>
        <v>#REF!</v>
      </c>
      <c r="CW499" t="e">
        <f>AND(#REF!,"AAAAAHz7/mQ=")</f>
        <v>#REF!</v>
      </c>
      <c r="CX499" t="e">
        <f>AND(#REF!,"AAAAAHz7/mU=")</f>
        <v>#REF!</v>
      </c>
      <c r="CY499" t="e">
        <f>AND(#REF!,"AAAAAHz7/mY=")</f>
        <v>#REF!</v>
      </c>
      <c r="CZ499" t="e">
        <f>AND(#REF!,"AAAAAHz7/mc=")</f>
        <v>#REF!</v>
      </c>
      <c r="DA499" t="e">
        <f>AND(#REF!,"AAAAAHz7/mg=")</f>
        <v>#REF!</v>
      </c>
      <c r="DB499" t="e">
        <f>AND(#REF!,"AAAAAHz7/mk=")</f>
        <v>#REF!</v>
      </c>
      <c r="DC499" t="e">
        <f>AND(#REF!,"AAAAAHz7/mo=")</f>
        <v>#REF!</v>
      </c>
      <c r="DD499" t="e">
        <f>AND(#REF!,"AAAAAHz7/ms=")</f>
        <v>#REF!</v>
      </c>
      <c r="DE499" t="e">
        <f>AND(#REF!,"AAAAAHz7/mw=")</f>
        <v>#REF!</v>
      </c>
      <c r="DF499" t="e">
        <f>AND(#REF!,"AAAAAHz7/m0=")</f>
        <v>#REF!</v>
      </c>
      <c r="DG499" t="e">
        <f>AND(#REF!,"AAAAAHz7/m4=")</f>
        <v>#REF!</v>
      </c>
      <c r="DH499" t="e">
        <f>AND(#REF!,"AAAAAHz7/m8=")</f>
        <v>#REF!</v>
      </c>
      <c r="DI499" t="e">
        <f>AND(#REF!,"AAAAAHz7/nA=")</f>
        <v>#REF!</v>
      </c>
      <c r="DJ499" t="e">
        <f>AND(#REF!,"AAAAAHz7/nE=")</f>
        <v>#REF!</v>
      </c>
      <c r="DK499" t="e">
        <f>AND(#REF!,"AAAAAHz7/nI=")</f>
        <v>#REF!</v>
      </c>
      <c r="DL499" t="e">
        <f>AND(#REF!,"AAAAAHz7/nM=")</f>
        <v>#REF!</v>
      </c>
      <c r="DM499" t="e">
        <f>AND(#REF!,"AAAAAHz7/nQ=")</f>
        <v>#REF!</v>
      </c>
      <c r="DN499" t="e">
        <f>AND(#REF!,"AAAAAHz7/nU=")</f>
        <v>#REF!</v>
      </c>
      <c r="DO499" t="e">
        <f>AND(#REF!,"AAAAAHz7/nY=")</f>
        <v>#REF!</v>
      </c>
      <c r="DP499" t="e">
        <f>AND(#REF!,"AAAAAHz7/nc=")</f>
        <v>#REF!</v>
      </c>
      <c r="DQ499" t="e">
        <f>AND(#REF!,"AAAAAHz7/ng=")</f>
        <v>#REF!</v>
      </c>
      <c r="DR499" t="e">
        <f>AND(#REF!,"AAAAAHz7/nk=")</f>
        <v>#REF!</v>
      </c>
      <c r="DS499" t="e">
        <f>IF(#REF!,"AAAAAHz7/no=",0)</f>
        <v>#REF!</v>
      </c>
      <c r="DT499" t="e">
        <f>AND(#REF!,"AAAAAHz7/ns=")</f>
        <v>#REF!</v>
      </c>
      <c r="DU499" t="e">
        <f>AND(#REF!,"AAAAAHz7/nw=")</f>
        <v>#REF!</v>
      </c>
      <c r="DV499" t="e">
        <f>AND(#REF!,"AAAAAHz7/n0=")</f>
        <v>#REF!</v>
      </c>
      <c r="DW499" t="e">
        <f>AND(#REF!,"AAAAAHz7/n4=")</f>
        <v>#REF!</v>
      </c>
      <c r="DX499" t="e">
        <f>AND(#REF!,"AAAAAHz7/n8=")</f>
        <v>#REF!</v>
      </c>
      <c r="DY499" t="e">
        <f>AND(#REF!,"AAAAAHz7/oA=")</f>
        <v>#REF!</v>
      </c>
      <c r="DZ499" t="e">
        <f>AND(#REF!,"AAAAAHz7/oE=")</f>
        <v>#REF!</v>
      </c>
      <c r="EA499" t="e">
        <f>AND(#REF!,"AAAAAHz7/oI=")</f>
        <v>#REF!</v>
      </c>
      <c r="EB499" t="e">
        <f>AND(#REF!,"AAAAAHz7/oM=")</f>
        <v>#REF!</v>
      </c>
      <c r="EC499" t="e">
        <f>AND(#REF!,"AAAAAHz7/oQ=")</f>
        <v>#REF!</v>
      </c>
      <c r="ED499" t="e">
        <f>AND(#REF!,"AAAAAHz7/oU=")</f>
        <v>#REF!</v>
      </c>
      <c r="EE499" t="e">
        <f>AND(#REF!,"AAAAAHz7/oY=")</f>
        <v>#REF!</v>
      </c>
      <c r="EF499" t="e">
        <f>AND(#REF!,"AAAAAHz7/oc=")</f>
        <v>#REF!</v>
      </c>
      <c r="EG499" t="e">
        <f>AND(#REF!,"AAAAAHz7/og=")</f>
        <v>#REF!</v>
      </c>
      <c r="EH499" t="e">
        <f>AND(#REF!,"AAAAAHz7/ok=")</f>
        <v>#REF!</v>
      </c>
      <c r="EI499" t="e">
        <f>AND(#REF!,"AAAAAHz7/oo=")</f>
        <v>#REF!</v>
      </c>
      <c r="EJ499" t="e">
        <f>AND(#REF!,"AAAAAHz7/os=")</f>
        <v>#REF!</v>
      </c>
      <c r="EK499" t="e">
        <f>AND(#REF!,"AAAAAHz7/ow=")</f>
        <v>#REF!</v>
      </c>
      <c r="EL499" t="e">
        <f>AND(#REF!,"AAAAAHz7/o0=")</f>
        <v>#REF!</v>
      </c>
      <c r="EM499" t="e">
        <f>AND(#REF!,"AAAAAHz7/o4=")</f>
        <v>#REF!</v>
      </c>
      <c r="EN499" t="e">
        <f>AND(#REF!,"AAAAAHz7/o8=")</f>
        <v>#REF!</v>
      </c>
      <c r="EO499" t="e">
        <f>AND(#REF!,"AAAAAHz7/pA=")</f>
        <v>#REF!</v>
      </c>
      <c r="EP499" t="e">
        <f>AND(#REF!,"AAAAAHz7/pE=")</f>
        <v>#REF!</v>
      </c>
      <c r="EQ499" t="e">
        <f>AND(#REF!,"AAAAAHz7/pI=")</f>
        <v>#REF!</v>
      </c>
      <c r="ER499" t="e">
        <f>IF(#REF!,"AAAAAHz7/pM=",0)</f>
        <v>#REF!</v>
      </c>
      <c r="ES499" t="e">
        <f>AND(#REF!,"AAAAAHz7/pQ=")</f>
        <v>#REF!</v>
      </c>
      <c r="ET499" t="e">
        <f>AND(#REF!,"AAAAAHz7/pU=")</f>
        <v>#REF!</v>
      </c>
      <c r="EU499" t="e">
        <f>AND(#REF!,"AAAAAHz7/pY=")</f>
        <v>#REF!</v>
      </c>
      <c r="EV499" t="e">
        <f>AND(#REF!,"AAAAAHz7/pc=")</f>
        <v>#REF!</v>
      </c>
      <c r="EW499" t="e">
        <f>AND(#REF!,"AAAAAHz7/pg=")</f>
        <v>#REF!</v>
      </c>
      <c r="EX499" t="e">
        <f>AND(#REF!,"AAAAAHz7/pk=")</f>
        <v>#REF!</v>
      </c>
      <c r="EY499" t="e">
        <f>AND(#REF!,"AAAAAHz7/po=")</f>
        <v>#REF!</v>
      </c>
      <c r="EZ499" t="e">
        <f>AND(#REF!,"AAAAAHz7/ps=")</f>
        <v>#REF!</v>
      </c>
      <c r="FA499" t="e">
        <f>AND(#REF!,"AAAAAHz7/pw=")</f>
        <v>#REF!</v>
      </c>
      <c r="FB499" t="e">
        <f>AND(#REF!,"AAAAAHz7/p0=")</f>
        <v>#REF!</v>
      </c>
      <c r="FC499" t="e">
        <f>AND(#REF!,"AAAAAHz7/p4=")</f>
        <v>#REF!</v>
      </c>
      <c r="FD499" t="e">
        <f>AND(#REF!,"AAAAAHz7/p8=")</f>
        <v>#REF!</v>
      </c>
      <c r="FE499" t="e">
        <f>AND(#REF!,"AAAAAHz7/qA=")</f>
        <v>#REF!</v>
      </c>
      <c r="FF499" t="e">
        <f>AND(#REF!,"AAAAAHz7/qE=")</f>
        <v>#REF!</v>
      </c>
      <c r="FG499" t="e">
        <f>AND(#REF!,"AAAAAHz7/qI=")</f>
        <v>#REF!</v>
      </c>
      <c r="FH499" t="e">
        <f>AND(#REF!,"AAAAAHz7/qM=")</f>
        <v>#REF!</v>
      </c>
      <c r="FI499" t="e">
        <f>AND(#REF!,"AAAAAHz7/qQ=")</f>
        <v>#REF!</v>
      </c>
      <c r="FJ499" t="e">
        <f>AND(#REF!,"AAAAAHz7/qU=")</f>
        <v>#REF!</v>
      </c>
      <c r="FK499" t="e">
        <f>AND(#REF!,"AAAAAHz7/qY=")</f>
        <v>#REF!</v>
      </c>
      <c r="FL499" t="e">
        <f>AND(#REF!,"AAAAAHz7/qc=")</f>
        <v>#REF!</v>
      </c>
      <c r="FM499" t="e">
        <f>AND(#REF!,"AAAAAHz7/qg=")</f>
        <v>#REF!</v>
      </c>
      <c r="FN499" t="e">
        <f>AND(#REF!,"AAAAAHz7/qk=")</f>
        <v>#REF!</v>
      </c>
      <c r="FO499" t="e">
        <f>AND(#REF!,"AAAAAHz7/qo=")</f>
        <v>#REF!</v>
      </c>
      <c r="FP499" t="e">
        <f>AND(#REF!,"AAAAAHz7/qs=")</f>
        <v>#REF!</v>
      </c>
      <c r="FQ499" t="e">
        <f>IF(#REF!,"AAAAAHz7/qw=",0)</f>
        <v>#REF!</v>
      </c>
      <c r="FR499" t="e">
        <f>AND(#REF!,"AAAAAHz7/q0=")</f>
        <v>#REF!</v>
      </c>
      <c r="FS499" t="e">
        <f>AND(#REF!,"AAAAAHz7/q4=")</f>
        <v>#REF!</v>
      </c>
      <c r="FT499" t="e">
        <f>AND(#REF!,"AAAAAHz7/q8=")</f>
        <v>#REF!</v>
      </c>
      <c r="FU499" t="e">
        <f>AND(#REF!,"AAAAAHz7/rA=")</f>
        <v>#REF!</v>
      </c>
      <c r="FV499" t="e">
        <f>AND(#REF!,"AAAAAHz7/rE=")</f>
        <v>#REF!</v>
      </c>
      <c r="FW499" t="e">
        <f>AND(#REF!,"AAAAAHz7/rI=")</f>
        <v>#REF!</v>
      </c>
      <c r="FX499" t="e">
        <f>AND(#REF!,"AAAAAHz7/rM=")</f>
        <v>#REF!</v>
      </c>
      <c r="FY499" t="e">
        <f>AND(#REF!,"AAAAAHz7/rQ=")</f>
        <v>#REF!</v>
      </c>
      <c r="FZ499" t="e">
        <f>AND(#REF!,"AAAAAHz7/rU=")</f>
        <v>#REF!</v>
      </c>
      <c r="GA499" t="e">
        <f>AND(#REF!,"AAAAAHz7/rY=")</f>
        <v>#REF!</v>
      </c>
      <c r="GB499" t="e">
        <f>AND(#REF!,"AAAAAHz7/rc=")</f>
        <v>#REF!</v>
      </c>
      <c r="GC499" t="e">
        <f>AND(#REF!,"AAAAAHz7/rg=")</f>
        <v>#REF!</v>
      </c>
      <c r="GD499" t="e">
        <f>AND(#REF!,"AAAAAHz7/rk=")</f>
        <v>#REF!</v>
      </c>
      <c r="GE499" t="e">
        <f>AND(#REF!,"AAAAAHz7/ro=")</f>
        <v>#REF!</v>
      </c>
      <c r="GF499" t="e">
        <f>AND(#REF!,"AAAAAHz7/rs=")</f>
        <v>#REF!</v>
      </c>
      <c r="GG499" t="e">
        <f>AND(#REF!,"AAAAAHz7/rw=")</f>
        <v>#REF!</v>
      </c>
      <c r="GH499" t="e">
        <f>AND(#REF!,"AAAAAHz7/r0=")</f>
        <v>#REF!</v>
      </c>
      <c r="GI499" t="e">
        <f>AND(#REF!,"AAAAAHz7/r4=")</f>
        <v>#REF!</v>
      </c>
      <c r="GJ499" t="e">
        <f>AND(#REF!,"AAAAAHz7/r8=")</f>
        <v>#REF!</v>
      </c>
      <c r="GK499" t="e">
        <f>AND(#REF!,"AAAAAHz7/sA=")</f>
        <v>#REF!</v>
      </c>
      <c r="GL499" t="e">
        <f>AND(#REF!,"AAAAAHz7/sE=")</f>
        <v>#REF!</v>
      </c>
      <c r="GM499" t="e">
        <f>AND(#REF!,"AAAAAHz7/sI=")</f>
        <v>#REF!</v>
      </c>
      <c r="GN499" t="e">
        <f>AND(#REF!,"AAAAAHz7/sM=")</f>
        <v>#REF!</v>
      </c>
      <c r="GO499" t="e">
        <f>AND(#REF!,"AAAAAHz7/sQ=")</f>
        <v>#REF!</v>
      </c>
      <c r="GP499" t="e">
        <f>IF(#REF!,"AAAAAHz7/sU=",0)</f>
        <v>#REF!</v>
      </c>
      <c r="GQ499" t="e">
        <f>AND(#REF!,"AAAAAHz7/sY=")</f>
        <v>#REF!</v>
      </c>
      <c r="GR499" t="e">
        <f>AND(#REF!,"AAAAAHz7/sc=")</f>
        <v>#REF!</v>
      </c>
      <c r="GS499" t="e">
        <f>AND(#REF!,"AAAAAHz7/sg=")</f>
        <v>#REF!</v>
      </c>
      <c r="GT499" t="e">
        <f>AND(#REF!,"AAAAAHz7/sk=")</f>
        <v>#REF!</v>
      </c>
      <c r="GU499" t="e">
        <f>AND(#REF!,"AAAAAHz7/so=")</f>
        <v>#REF!</v>
      </c>
      <c r="GV499" t="e">
        <f>AND(#REF!,"AAAAAHz7/ss=")</f>
        <v>#REF!</v>
      </c>
      <c r="GW499" t="e">
        <f>AND(#REF!,"AAAAAHz7/sw=")</f>
        <v>#REF!</v>
      </c>
      <c r="GX499" t="e">
        <f>AND(#REF!,"AAAAAHz7/s0=")</f>
        <v>#REF!</v>
      </c>
      <c r="GY499" t="e">
        <f>AND(#REF!,"AAAAAHz7/s4=")</f>
        <v>#REF!</v>
      </c>
      <c r="GZ499" t="e">
        <f>AND(#REF!,"AAAAAHz7/s8=")</f>
        <v>#REF!</v>
      </c>
      <c r="HA499" t="e">
        <f>AND(#REF!,"AAAAAHz7/tA=")</f>
        <v>#REF!</v>
      </c>
      <c r="HB499" t="e">
        <f>AND(#REF!,"AAAAAHz7/tE=")</f>
        <v>#REF!</v>
      </c>
      <c r="HC499" t="e">
        <f>AND(#REF!,"AAAAAHz7/tI=")</f>
        <v>#REF!</v>
      </c>
      <c r="HD499" t="e">
        <f>AND(#REF!,"AAAAAHz7/tM=")</f>
        <v>#REF!</v>
      </c>
      <c r="HE499" t="e">
        <f>AND(#REF!,"AAAAAHz7/tQ=")</f>
        <v>#REF!</v>
      </c>
      <c r="HF499" t="e">
        <f>AND(#REF!,"AAAAAHz7/tU=")</f>
        <v>#REF!</v>
      </c>
      <c r="HG499" t="e">
        <f>AND(#REF!,"AAAAAHz7/tY=")</f>
        <v>#REF!</v>
      </c>
      <c r="HH499" t="e">
        <f>AND(#REF!,"AAAAAHz7/tc=")</f>
        <v>#REF!</v>
      </c>
      <c r="HI499" t="e">
        <f>AND(#REF!,"AAAAAHz7/tg=")</f>
        <v>#REF!</v>
      </c>
      <c r="HJ499" t="e">
        <f>AND(#REF!,"AAAAAHz7/tk=")</f>
        <v>#REF!</v>
      </c>
      <c r="HK499" t="e">
        <f>AND(#REF!,"AAAAAHz7/to=")</f>
        <v>#REF!</v>
      </c>
      <c r="HL499" t="e">
        <f>AND(#REF!,"AAAAAHz7/ts=")</f>
        <v>#REF!</v>
      </c>
      <c r="HM499" t="e">
        <f>AND(#REF!,"AAAAAHz7/tw=")</f>
        <v>#REF!</v>
      </c>
      <c r="HN499" t="e">
        <f>AND(#REF!,"AAAAAHz7/t0=")</f>
        <v>#REF!</v>
      </c>
      <c r="HO499" t="e">
        <f>IF(#REF!,"AAAAAHz7/t4=",0)</f>
        <v>#REF!</v>
      </c>
      <c r="HP499" t="e">
        <f>AND(#REF!,"AAAAAHz7/t8=")</f>
        <v>#REF!</v>
      </c>
      <c r="HQ499" t="e">
        <f>AND(#REF!,"AAAAAHz7/uA=")</f>
        <v>#REF!</v>
      </c>
      <c r="HR499" t="e">
        <f>AND(#REF!,"AAAAAHz7/uE=")</f>
        <v>#REF!</v>
      </c>
      <c r="HS499" t="e">
        <f>AND(#REF!,"AAAAAHz7/uI=")</f>
        <v>#REF!</v>
      </c>
      <c r="HT499" t="e">
        <f>AND(#REF!,"AAAAAHz7/uM=")</f>
        <v>#REF!</v>
      </c>
      <c r="HU499" t="e">
        <f>AND(#REF!,"AAAAAHz7/uQ=")</f>
        <v>#REF!</v>
      </c>
      <c r="HV499" t="e">
        <f>AND(#REF!,"AAAAAHz7/uU=")</f>
        <v>#REF!</v>
      </c>
      <c r="HW499" t="e">
        <f>AND(#REF!,"AAAAAHz7/uY=")</f>
        <v>#REF!</v>
      </c>
      <c r="HX499" t="e">
        <f>AND(#REF!,"AAAAAHz7/uc=")</f>
        <v>#REF!</v>
      </c>
      <c r="HY499" t="e">
        <f>AND(#REF!,"AAAAAHz7/ug=")</f>
        <v>#REF!</v>
      </c>
      <c r="HZ499" t="e">
        <f>AND(#REF!,"AAAAAHz7/uk=")</f>
        <v>#REF!</v>
      </c>
      <c r="IA499" t="e">
        <f>AND(#REF!,"AAAAAHz7/uo=")</f>
        <v>#REF!</v>
      </c>
      <c r="IB499" t="e">
        <f>AND(#REF!,"AAAAAHz7/us=")</f>
        <v>#REF!</v>
      </c>
      <c r="IC499" t="e">
        <f>AND(#REF!,"AAAAAHz7/uw=")</f>
        <v>#REF!</v>
      </c>
      <c r="ID499" t="e">
        <f>AND(#REF!,"AAAAAHz7/u0=")</f>
        <v>#REF!</v>
      </c>
      <c r="IE499" t="e">
        <f>AND(#REF!,"AAAAAHz7/u4=")</f>
        <v>#REF!</v>
      </c>
      <c r="IF499" t="e">
        <f>AND(#REF!,"AAAAAHz7/u8=")</f>
        <v>#REF!</v>
      </c>
      <c r="IG499" t="e">
        <f>AND(#REF!,"AAAAAHz7/vA=")</f>
        <v>#REF!</v>
      </c>
      <c r="IH499" t="e">
        <f>AND(#REF!,"AAAAAHz7/vE=")</f>
        <v>#REF!</v>
      </c>
      <c r="II499" t="e">
        <f>AND(#REF!,"AAAAAHz7/vI=")</f>
        <v>#REF!</v>
      </c>
      <c r="IJ499" t="e">
        <f>AND(#REF!,"AAAAAHz7/vM=")</f>
        <v>#REF!</v>
      </c>
      <c r="IK499" t="e">
        <f>AND(#REF!,"AAAAAHz7/vQ=")</f>
        <v>#REF!</v>
      </c>
      <c r="IL499" t="e">
        <f>AND(#REF!,"AAAAAHz7/vU=")</f>
        <v>#REF!</v>
      </c>
      <c r="IM499" t="e">
        <f>AND(#REF!,"AAAAAHz7/vY=")</f>
        <v>#REF!</v>
      </c>
      <c r="IN499" t="e">
        <f>IF(#REF!,"AAAAAHz7/vc=",0)</f>
        <v>#REF!</v>
      </c>
      <c r="IO499" t="e">
        <f>AND(#REF!,"AAAAAHz7/vg=")</f>
        <v>#REF!</v>
      </c>
      <c r="IP499" t="e">
        <f>AND(#REF!,"AAAAAHz7/vk=")</f>
        <v>#REF!</v>
      </c>
      <c r="IQ499" t="e">
        <f>AND(#REF!,"AAAAAHz7/vo=")</f>
        <v>#REF!</v>
      </c>
      <c r="IR499" t="e">
        <f>AND(#REF!,"AAAAAHz7/vs=")</f>
        <v>#REF!</v>
      </c>
      <c r="IS499" t="e">
        <f>AND(#REF!,"AAAAAHz7/vw=")</f>
        <v>#REF!</v>
      </c>
      <c r="IT499" t="e">
        <f>AND(#REF!,"AAAAAHz7/v0=")</f>
        <v>#REF!</v>
      </c>
      <c r="IU499" t="e">
        <f>AND(#REF!,"AAAAAHz7/v4=")</f>
        <v>#REF!</v>
      </c>
      <c r="IV499" t="e">
        <f>AND(#REF!,"AAAAAHz7/v8=")</f>
        <v>#REF!</v>
      </c>
    </row>
    <row r="500" spans="1:256">
      <c r="A500" t="e">
        <f>AND(#REF!,"AAAAADf8/wA=")</f>
        <v>#REF!</v>
      </c>
      <c r="B500" t="e">
        <f>AND(#REF!,"AAAAADf8/wE=")</f>
        <v>#REF!</v>
      </c>
      <c r="C500" t="e">
        <f>AND(#REF!,"AAAAADf8/wI=")</f>
        <v>#REF!</v>
      </c>
      <c r="D500" t="e">
        <f>AND(#REF!,"AAAAADf8/wM=")</f>
        <v>#REF!</v>
      </c>
      <c r="E500" t="e">
        <f>AND(#REF!,"AAAAADf8/wQ=")</f>
        <v>#REF!</v>
      </c>
      <c r="F500" t="e">
        <f>AND(#REF!,"AAAAADf8/wU=")</f>
        <v>#REF!</v>
      </c>
      <c r="G500" t="e">
        <f>AND(#REF!,"AAAAADf8/wY=")</f>
        <v>#REF!</v>
      </c>
      <c r="H500" t="e">
        <f>AND(#REF!,"AAAAADf8/wc=")</f>
        <v>#REF!</v>
      </c>
      <c r="I500" t="e">
        <f>AND(#REF!,"AAAAADf8/wg=")</f>
        <v>#REF!</v>
      </c>
      <c r="J500" t="e">
        <f>AND(#REF!,"AAAAADf8/wk=")</f>
        <v>#REF!</v>
      </c>
      <c r="K500" t="e">
        <f>AND(#REF!,"AAAAADf8/wo=")</f>
        <v>#REF!</v>
      </c>
      <c r="L500" t="e">
        <f>AND(#REF!,"AAAAADf8/ws=")</f>
        <v>#REF!</v>
      </c>
      <c r="M500" t="e">
        <f>AND(#REF!,"AAAAADf8/ww=")</f>
        <v>#REF!</v>
      </c>
      <c r="N500" t="e">
        <f>AND(#REF!,"AAAAADf8/w0=")</f>
        <v>#REF!</v>
      </c>
      <c r="O500" t="e">
        <f>AND(#REF!,"AAAAADf8/w4=")</f>
        <v>#REF!</v>
      </c>
      <c r="P500" t="e">
        <f>AND(#REF!,"AAAAADf8/w8=")</f>
        <v>#REF!</v>
      </c>
      <c r="Q500" t="e">
        <f>IF(#REF!,"AAAAADf8/xA=",0)</f>
        <v>#REF!</v>
      </c>
      <c r="R500" t="e">
        <f>AND(#REF!,"AAAAADf8/xE=")</f>
        <v>#REF!</v>
      </c>
      <c r="S500" t="e">
        <f>AND(#REF!,"AAAAADf8/xI=")</f>
        <v>#REF!</v>
      </c>
      <c r="T500" t="e">
        <f>AND(#REF!,"AAAAADf8/xM=")</f>
        <v>#REF!</v>
      </c>
      <c r="U500" t="e">
        <f>AND(#REF!,"AAAAADf8/xQ=")</f>
        <v>#REF!</v>
      </c>
      <c r="V500" t="e">
        <f>AND(#REF!,"AAAAADf8/xU=")</f>
        <v>#REF!</v>
      </c>
      <c r="W500" t="e">
        <f>AND(#REF!,"AAAAADf8/xY=")</f>
        <v>#REF!</v>
      </c>
      <c r="X500" t="e">
        <f>AND(#REF!,"AAAAADf8/xc=")</f>
        <v>#REF!</v>
      </c>
      <c r="Y500" t="e">
        <f>AND(#REF!,"AAAAADf8/xg=")</f>
        <v>#REF!</v>
      </c>
      <c r="Z500" t="e">
        <f>AND(#REF!,"AAAAADf8/xk=")</f>
        <v>#REF!</v>
      </c>
      <c r="AA500" t="e">
        <f>AND(#REF!,"AAAAADf8/xo=")</f>
        <v>#REF!</v>
      </c>
      <c r="AB500" t="e">
        <f>AND(#REF!,"AAAAADf8/xs=")</f>
        <v>#REF!</v>
      </c>
      <c r="AC500" t="e">
        <f>AND(#REF!,"AAAAADf8/xw=")</f>
        <v>#REF!</v>
      </c>
      <c r="AD500" t="e">
        <f>AND(#REF!,"AAAAADf8/x0=")</f>
        <v>#REF!</v>
      </c>
      <c r="AE500" t="e">
        <f>AND(#REF!,"AAAAADf8/x4=")</f>
        <v>#REF!</v>
      </c>
      <c r="AF500" t="e">
        <f>AND(#REF!,"AAAAADf8/x8=")</f>
        <v>#REF!</v>
      </c>
      <c r="AG500" t="e">
        <f>AND(#REF!,"AAAAADf8/yA=")</f>
        <v>#REF!</v>
      </c>
      <c r="AH500" t="e">
        <f>AND(#REF!,"AAAAADf8/yE=")</f>
        <v>#REF!</v>
      </c>
      <c r="AI500" t="e">
        <f>AND(#REF!,"AAAAADf8/yI=")</f>
        <v>#REF!</v>
      </c>
      <c r="AJ500" t="e">
        <f>AND(#REF!,"AAAAADf8/yM=")</f>
        <v>#REF!</v>
      </c>
      <c r="AK500" t="e">
        <f>AND(#REF!,"AAAAADf8/yQ=")</f>
        <v>#REF!</v>
      </c>
      <c r="AL500" t="e">
        <f>AND(#REF!,"AAAAADf8/yU=")</f>
        <v>#REF!</v>
      </c>
      <c r="AM500" t="e">
        <f>AND(#REF!,"AAAAADf8/yY=")</f>
        <v>#REF!</v>
      </c>
      <c r="AN500" t="e">
        <f>AND(#REF!,"AAAAADf8/yc=")</f>
        <v>#REF!</v>
      </c>
      <c r="AO500" t="e">
        <f>AND(#REF!,"AAAAADf8/yg=")</f>
        <v>#REF!</v>
      </c>
      <c r="AP500" t="e">
        <f>IF(#REF!,"AAAAADf8/yk=",0)</f>
        <v>#REF!</v>
      </c>
      <c r="AQ500" t="e">
        <f>AND(#REF!,"AAAAADf8/yo=")</f>
        <v>#REF!</v>
      </c>
      <c r="AR500" t="e">
        <f>AND(#REF!,"AAAAADf8/ys=")</f>
        <v>#REF!</v>
      </c>
      <c r="AS500" t="e">
        <f>AND(#REF!,"AAAAADf8/yw=")</f>
        <v>#REF!</v>
      </c>
      <c r="AT500" t="e">
        <f>AND(#REF!,"AAAAADf8/y0=")</f>
        <v>#REF!</v>
      </c>
      <c r="AU500" t="e">
        <f>AND(#REF!,"AAAAADf8/y4=")</f>
        <v>#REF!</v>
      </c>
      <c r="AV500" t="e">
        <f>AND(#REF!,"AAAAADf8/y8=")</f>
        <v>#REF!</v>
      </c>
      <c r="AW500" t="e">
        <f>AND(#REF!,"AAAAADf8/zA=")</f>
        <v>#REF!</v>
      </c>
      <c r="AX500" t="e">
        <f>AND(#REF!,"AAAAADf8/zE=")</f>
        <v>#REF!</v>
      </c>
      <c r="AY500" t="e">
        <f>AND(#REF!,"AAAAADf8/zI=")</f>
        <v>#REF!</v>
      </c>
      <c r="AZ500" t="e">
        <f>AND(#REF!,"AAAAADf8/zM=")</f>
        <v>#REF!</v>
      </c>
      <c r="BA500" t="e">
        <f>AND(#REF!,"AAAAADf8/zQ=")</f>
        <v>#REF!</v>
      </c>
      <c r="BB500" t="e">
        <f>AND(#REF!,"AAAAADf8/zU=")</f>
        <v>#REF!</v>
      </c>
      <c r="BC500" t="e">
        <f>AND(#REF!,"AAAAADf8/zY=")</f>
        <v>#REF!</v>
      </c>
      <c r="BD500" t="e">
        <f>AND(#REF!,"AAAAADf8/zc=")</f>
        <v>#REF!</v>
      </c>
      <c r="BE500" t="e">
        <f>AND(#REF!,"AAAAADf8/zg=")</f>
        <v>#REF!</v>
      </c>
      <c r="BF500" t="e">
        <f>AND(#REF!,"AAAAADf8/zk=")</f>
        <v>#REF!</v>
      </c>
      <c r="BG500" t="e">
        <f>AND(#REF!,"AAAAADf8/zo=")</f>
        <v>#REF!</v>
      </c>
      <c r="BH500" t="e">
        <f>AND(#REF!,"AAAAADf8/zs=")</f>
        <v>#REF!</v>
      </c>
      <c r="BI500" t="e">
        <f>AND(#REF!,"AAAAADf8/zw=")</f>
        <v>#REF!</v>
      </c>
      <c r="BJ500" t="e">
        <f>AND(#REF!,"AAAAADf8/z0=")</f>
        <v>#REF!</v>
      </c>
      <c r="BK500" t="e">
        <f>AND(#REF!,"AAAAADf8/z4=")</f>
        <v>#REF!</v>
      </c>
      <c r="BL500" t="e">
        <f>AND(#REF!,"AAAAADf8/z8=")</f>
        <v>#REF!</v>
      </c>
      <c r="BM500" t="e">
        <f>AND(#REF!,"AAAAADf8/0A=")</f>
        <v>#REF!</v>
      </c>
      <c r="BN500" t="e">
        <f>AND(#REF!,"AAAAADf8/0E=")</f>
        <v>#REF!</v>
      </c>
      <c r="BO500" t="e">
        <f>IF(#REF!,"AAAAADf8/0I=",0)</f>
        <v>#REF!</v>
      </c>
      <c r="BP500" t="e">
        <f>AND(#REF!,"AAAAADf8/0M=")</f>
        <v>#REF!</v>
      </c>
      <c r="BQ500" t="e">
        <f>AND(#REF!,"AAAAADf8/0Q=")</f>
        <v>#REF!</v>
      </c>
      <c r="BR500" t="e">
        <f>AND(#REF!,"AAAAADf8/0U=")</f>
        <v>#REF!</v>
      </c>
      <c r="BS500" t="e">
        <f>AND(#REF!,"AAAAADf8/0Y=")</f>
        <v>#REF!</v>
      </c>
      <c r="BT500" t="e">
        <f>AND(#REF!,"AAAAADf8/0c=")</f>
        <v>#REF!</v>
      </c>
      <c r="BU500" t="e">
        <f>AND(#REF!,"AAAAADf8/0g=")</f>
        <v>#REF!</v>
      </c>
      <c r="BV500" t="e">
        <f>AND(#REF!,"AAAAADf8/0k=")</f>
        <v>#REF!</v>
      </c>
      <c r="BW500" t="e">
        <f>AND(#REF!,"AAAAADf8/0o=")</f>
        <v>#REF!</v>
      </c>
      <c r="BX500" t="e">
        <f>AND(#REF!,"AAAAADf8/0s=")</f>
        <v>#REF!</v>
      </c>
      <c r="BY500" t="e">
        <f>AND(#REF!,"AAAAADf8/0w=")</f>
        <v>#REF!</v>
      </c>
      <c r="BZ500" t="e">
        <f>AND(#REF!,"AAAAADf8/00=")</f>
        <v>#REF!</v>
      </c>
      <c r="CA500" t="e">
        <f>AND(#REF!,"AAAAADf8/04=")</f>
        <v>#REF!</v>
      </c>
      <c r="CB500" t="e">
        <f>AND(#REF!,"AAAAADf8/08=")</f>
        <v>#REF!</v>
      </c>
      <c r="CC500" t="e">
        <f>AND(#REF!,"AAAAADf8/1A=")</f>
        <v>#REF!</v>
      </c>
      <c r="CD500" t="e">
        <f>AND(#REF!,"AAAAADf8/1E=")</f>
        <v>#REF!</v>
      </c>
      <c r="CE500" t="e">
        <f>AND(#REF!,"AAAAADf8/1I=")</f>
        <v>#REF!</v>
      </c>
      <c r="CF500" t="e">
        <f>AND(#REF!,"AAAAADf8/1M=")</f>
        <v>#REF!</v>
      </c>
      <c r="CG500" t="e">
        <f>AND(#REF!,"AAAAADf8/1Q=")</f>
        <v>#REF!</v>
      </c>
      <c r="CH500" t="e">
        <f>AND(#REF!,"AAAAADf8/1U=")</f>
        <v>#REF!</v>
      </c>
      <c r="CI500" t="e">
        <f>AND(#REF!,"AAAAADf8/1Y=")</f>
        <v>#REF!</v>
      </c>
      <c r="CJ500" t="e">
        <f>AND(#REF!,"AAAAADf8/1c=")</f>
        <v>#REF!</v>
      </c>
      <c r="CK500" t="e">
        <f>AND(#REF!,"AAAAADf8/1g=")</f>
        <v>#REF!</v>
      </c>
      <c r="CL500" t="e">
        <f>AND(#REF!,"AAAAADf8/1k=")</f>
        <v>#REF!</v>
      </c>
      <c r="CM500" t="e">
        <f>AND(#REF!,"AAAAADf8/1o=")</f>
        <v>#REF!</v>
      </c>
      <c r="CN500" t="e">
        <f>IF(#REF!,"AAAAADf8/1s=",0)</f>
        <v>#REF!</v>
      </c>
      <c r="CO500" t="e">
        <f>AND(#REF!,"AAAAADf8/1w=")</f>
        <v>#REF!</v>
      </c>
      <c r="CP500" t="e">
        <f>AND(#REF!,"AAAAADf8/10=")</f>
        <v>#REF!</v>
      </c>
      <c r="CQ500" t="e">
        <f>AND(#REF!,"AAAAADf8/14=")</f>
        <v>#REF!</v>
      </c>
      <c r="CR500" t="e">
        <f>AND(#REF!,"AAAAADf8/18=")</f>
        <v>#REF!</v>
      </c>
      <c r="CS500" t="e">
        <f>AND(#REF!,"AAAAADf8/2A=")</f>
        <v>#REF!</v>
      </c>
      <c r="CT500" t="e">
        <f>AND(#REF!,"AAAAADf8/2E=")</f>
        <v>#REF!</v>
      </c>
      <c r="CU500" t="e">
        <f>AND(#REF!,"AAAAADf8/2I=")</f>
        <v>#REF!</v>
      </c>
      <c r="CV500" t="e">
        <f>AND(#REF!,"AAAAADf8/2M=")</f>
        <v>#REF!</v>
      </c>
      <c r="CW500" t="e">
        <f>AND(#REF!,"AAAAADf8/2Q=")</f>
        <v>#REF!</v>
      </c>
      <c r="CX500" t="e">
        <f>AND(#REF!,"AAAAADf8/2U=")</f>
        <v>#REF!</v>
      </c>
      <c r="CY500" t="e">
        <f>AND(#REF!,"AAAAADf8/2Y=")</f>
        <v>#REF!</v>
      </c>
      <c r="CZ500" t="e">
        <f>AND(#REF!,"AAAAADf8/2c=")</f>
        <v>#REF!</v>
      </c>
      <c r="DA500" t="e">
        <f>AND(#REF!,"AAAAADf8/2g=")</f>
        <v>#REF!</v>
      </c>
      <c r="DB500" t="e">
        <f>AND(#REF!,"AAAAADf8/2k=")</f>
        <v>#REF!</v>
      </c>
      <c r="DC500" t="e">
        <f>AND(#REF!,"AAAAADf8/2o=")</f>
        <v>#REF!</v>
      </c>
      <c r="DD500" t="e">
        <f>AND(#REF!,"AAAAADf8/2s=")</f>
        <v>#REF!</v>
      </c>
      <c r="DE500" t="e">
        <f>AND(#REF!,"AAAAADf8/2w=")</f>
        <v>#REF!</v>
      </c>
      <c r="DF500" t="e">
        <f>AND(#REF!,"AAAAADf8/20=")</f>
        <v>#REF!</v>
      </c>
      <c r="DG500" t="e">
        <f>AND(#REF!,"AAAAADf8/24=")</f>
        <v>#REF!</v>
      </c>
      <c r="DH500" t="e">
        <f>AND(#REF!,"AAAAADf8/28=")</f>
        <v>#REF!</v>
      </c>
      <c r="DI500" t="e">
        <f>AND(#REF!,"AAAAADf8/3A=")</f>
        <v>#REF!</v>
      </c>
      <c r="DJ500" t="e">
        <f>AND(#REF!,"AAAAADf8/3E=")</f>
        <v>#REF!</v>
      </c>
      <c r="DK500" t="e">
        <f>AND(#REF!,"AAAAADf8/3I=")</f>
        <v>#REF!</v>
      </c>
      <c r="DL500" t="e">
        <f>AND(#REF!,"AAAAADf8/3M=")</f>
        <v>#REF!</v>
      </c>
      <c r="DM500" t="e">
        <f>IF(#REF!,"AAAAADf8/3Q=",0)</f>
        <v>#REF!</v>
      </c>
      <c r="DN500" t="e">
        <f>AND(#REF!,"AAAAADf8/3U=")</f>
        <v>#REF!</v>
      </c>
      <c r="DO500" t="e">
        <f>AND(#REF!,"AAAAADf8/3Y=")</f>
        <v>#REF!</v>
      </c>
      <c r="DP500" t="e">
        <f>AND(#REF!,"AAAAADf8/3c=")</f>
        <v>#REF!</v>
      </c>
      <c r="DQ500" t="e">
        <f>AND(#REF!,"AAAAADf8/3g=")</f>
        <v>#REF!</v>
      </c>
      <c r="DR500" t="e">
        <f>AND(#REF!,"AAAAADf8/3k=")</f>
        <v>#REF!</v>
      </c>
      <c r="DS500" t="e">
        <f>AND(#REF!,"AAAAADf8/3o=")</f>
        <v>#REF!</v>
      </c>
      <c r="DT500" t="e">
        <f>AND(#REF!,"AAAAADf8/3s=")</f>
        <v>#REF!</v>
      </c>
      <c r="DU500" t="e">
        <f>AND(#REF!,"AAAAADf8/3w=")</f>
        <v>#REF!</v>
      </c>
      <c r="DV500" t="e">
        <f>AND(#REF!,"AAAAADf8/30=")</f>
        <v>#REF!</v>
      </c>
      <c r="DW500" t="e">
        <f>AND(#REF!,"AAAAADf8/34=")</f>
        <v>#REF!</v>
      </c>
      <c r="DX500" t="e">
        <f>AND(#REF!,"AAAAADf8/38=")</f>
        <v>#REF!</v>
      </c>
      <c r="DY500" t="e">
        <f>AND(#REF!,"AAAAADf8/4A=")</f>
        <v>#REF!</v>
      </c>
      <c r="DZ500" t="e">
        <f>AND(#REF!,"AAAAADf8/4E=")</f>
        <v>#REF!</v>
      </c>
      <c r="EA500" t="e">
        <f>AND(#REF!,"AAAAADf8/4I=")</f>
        <v>#REF!</v>
      </c>
      <c r="EB500" t="e">
        <f>AND(#REF!,"AAAAADf8/4M=")</f>
        <v>#REF!</v>
      </c>
      <c r="EC500" t="e">
        <f>AND(#REF!,"AAAAADf8/4Q=")</f>
        <v>#REF!</v>
      </c>
      <c r="ED500" t="e">
        <f>AND(#REF!,"AAAAADf8/4U=")</f>
        <v>#REF!</v>
      </c>
      <c r="EE500" t="e">
        <f>AND(#REF!,"AAAAADf8/4Y=")</f>
        <v>#REF!</v>
      </c>
      <c r="EF500" t="e">
        <f>AND(#REF!,"AAAAADf8/4c=")</f>
        <v>#REF!</v>
      </c>
      <c r="EG500" t="e">
        <f>AND(#REF!,"AAAAADf8/4g=")</f>
        <v>#REF!</v>
      </c>
      <c r="EH500" t="e">
        <f>AND(#REF!,"AAAAADf8/4k=")</f>
        <v>#REF!</v>
      </c>
      <c r="EI500" t="e">
        <f>AND(#REF!,"AAAAADf8/4o=")</f>
        <v>#REF!</v>
      </c>
      <c r="EJ500" t="e">
        <f>AND(#REF!,"AAAAADf8/4s=")</f>
        <v>#REF!</v>
      </c>
      <c r="EK500" t="e">
        <f>AND(#REF!,"AAAAADf8/4w=")</f>
        <v>#REF!</v>
      </c>
      <c r="EL500" t="e">
        <f>IF(#REF!,"AAAAADf8/40=",0)</f>
        <v>#REF!</v>
      </c>
      <c r="EM500" t="e">
        <f>AND(#REF!,"AAAAADf8/44=")</f>
        <v>#REF!</v>
      </c>
      <c r="EN500" t="e">
        <f>AND(#REF!,"AAAAADf8/48=")</f>
        <v>#REF!</v>
      </c>
      <c r="EO500" t="e">
        <f>AND(#REF!,"AAAAADf8/5A=")</f>
        <v>#REF!</v>
      </c>
      <c r="EP500" t="e">
        <f>AND(#REF!,"AAAAADf8/5E=")</f>
        <v>#REF!</v>
      </c>
      <c r="EQ500" t="e">
        <f>AND(#REF!,"AAAAADf8/5I=")</f>
        <v>#REF!</v>
      </c>
      <c r="ER500" t="e">
        <f>AND(#REF!,"AAAAADf8/5M=")</f>
        <v>#REF!</v>
      </c>
      <c r="ES500" t="e">
        <f>AND(#REF!,"AAAAADf8/5Q=")</f>
        <v>#REF!</v>
      </c>
      <c r="ET500" t="e">
        <f>AND(#REF!,"AAAAADf8/5U=")</f>
        <v>#REF!</v>
      </c>
      <c r="EU500" t="e">
        <f>AND(#REF!,"AAAAADf8/5Y=")</f>
        <v>#REF!</v>
      </c>
      <c r="EV500" t="e">
        <f>AND(#REF!,"AAAAADf8/5c=")</f>
        <v>#REF!</v>
      </c>
      <c r="EW500" t="e">
        <f>AND(#REF!,"AAAAADf8/5g=")</f>
        <v>#REF!</v>
      </c>
      <c r="EX500" t="e">
        <f>AND(#REF!,"AAAAADf8/5k=")</f>
        <v>#REF!</v>
      </c>
      <c r="EY500" t="e">
        <f>AND(#REF!,"AAAAADf8/5o=")</f>
        <v>#REF!</v>
      </c>
      <c r="EZ500" t="e">
        <f>AND(#REF!,"AAAAADf8/5s=")</f>
        <v>#REF!</v>
      </c>
      <c r="FA500" t="e">
        <f>AND(#REF!,"AAAAADf8/5w=")</f>
        <v>#REF!</v>
      </c>
      <c r="FB500" t="e">
        <f>AND(#REF!,"AAAAADf8/50=")</f>
        <v>#REF!</v>
      </c>
      <c r="FC500" t="e">
        <f>AND(#REF!,"AAAAADf8/54=")</f>
        <v>#REF!</v>
      </c>
      <c r="FD500" t="e">
        <f>AND(#REF!,"AAAAADf8/58=")</f>
        <v>#REF!</v>
      </c>
      <c r="FE500" t="e">
        <f>AND(#REF!,"AAAAADf8/6A=")</f>
        <v>#REF!</v>
      </c>
      <c r="FF500" t="e">
        <f>AND(#REF!,"AAAAADf8/6E=")</f>
        <v>#REF!</v>
      </c>
      <c r="FG500" t="e">
        <f>AND(#REF!,"AAAAADf8/6I=")</f>
        <v>#REF!</v>
      </c>
      <c r="FH500" t="e">
        <f>AND(#REF!,"AAAAADf8/6M=")</f>
        <v>#REF!</v>
      </c>
      <c r="FI500" t="e">
        <f>AND(#REF!,"AAAAADf8/6Q=")</f>
        <v>#REF!</v>
      </c>
      <c r="FJ500" t="e">
        <f>AND(#REF!,"AAAAADf8/6U=")</f>
        <v>#REF!</v>
      </c>
      <c r="FK500" t="e">
        <f>IF(#REF!,"AAAAADf8/6Y=",0)</f>
        <v>#REF!</v>
      </c>
      <c r="FL500" t="e">
        <f>AND(#REF!,"AAAAADf8/6c=")</f>
        <v>#REF!</v>
      </c>
      <c r="FM500" t="e">
        <f>AND(#REF!,"AAAAADf8/6g=")</f>
        <v>#REF!</v>
      </c>
      <c r="FN500" t="e">
        <f>AND(#REF!,"AAAAADf8/6k=")</f>
        <v>#REF!</v>
      </c>
      <c r="FO500" t="e">
        <f>AND(#REF!,"AAAAADf8/6o=")</f>
        <v>#REF!</v>
      </c>
      <c r="FP500" t="e">
        <f>AND(#REF!,"AAAAADf8/6s=")</f>
        <v>#REF!</v>
      </c>
      <c r="FQ500" t="e">
        <f>AND(#REF!,"AAAAADf8/6w=")</f>
        <v>#REF!</v>
      </c>
      <c r="FR500" t="e">
        <f>AND(#REF!,"AAAAADf8/60=")</f>
        <v>#REF!</v>
      </c>
      <c r="FS500" t="e">
        <f>AND(#REF!,"AAAAADf8/64=")</f>
        <v>#REF!</v>
      </c>
      <c r="FT500" t="e">
        <f>AND(#REF!,"AAAAADf8/68=")</f>
        <v>#REF!</v>
      </c>
      <c r="FU500" t="e">
        <f>AND(#REF!,"AAAAADf8/7A=")</f>
        <v>#REF!</v>
      </c>
      <c r="FV500" t="e">
        <f>AND(#REF!,"AAAAADf8/7E=")</f>
        <v>#REF!</v>
      </c>
      <c r="FW500" t="e">
        <f>AND(#REF!,"AAAAADf8/7I=")</f>
        <v>#REF!</v>
      </c>
      <c r="FX500" t="e">
        <f>AND(#REF!,"AAAAADf8/7M=")</f>
        <v>#REF!</v>
      </c>
      <c r="FY500" t="e">
        <f>AND(#REF!,"AAAAADf8/7Q=")</f>
        <v>#REF!</v>
      </c>
      <c r="FZ500" t="e">
        <f>AND(#REF!,"AAAAADf8/7U=")</f>
        <v>#REF!</v>
      </c>
      <c r="GA500" t="e">
        <f>AND(#REF!,"AAAAADf8/7Y=")</f>
        <v>#REF!</v>
      </c>
      <c r="GB500" t="e">
        <f>AND(#REF!,"AAAAADf8/7c=")</f>
        <v>#REF!</v>
      </c>
      <c r="GC500" t="e">
        <f>AND(#REF!,"AAAAADf8/7g=")</f>
        <v>#REF!</v>
      </c>
      <c r="GD500" t="e">
        <f>AND(#REF!,"AAAAADf8/7k=")</f>
        <v>#REF!</v>
      </c>
      <c r="GE500" t="e">
        <f>AND(#REF!,"AAAAADf8/7o=")</f>
        <v>#REF!</v>
      </c>
      <c r="GF500" t="e">
        <f>AND(#REF!,"AAAAADf8/7s=")</f>
        <v>#REF!</v>
      </c>
      <c r="GG500" t="e">
        <f>AND(#REF!,"AAAAADf8/7w=")</f>
        <v>#REF!</v>
      </c>
      <c r="GH500" t="e">
        <f>AND(#REF!,"AAAAADf8/70=")</f>
        <v>#REF!</v>
      </c>
      <c r="GI500" t="e">
        <f>AND(#REF!,"AAAAADf8/74=")</f>
        <v>#REF!</v>
      </c>
      <c r="GJ500" t="e">
        <f>IF(#REF!,"AAAAADf8/78=",0)</f>
        <v>#REF!</v>
      </c>
      <c r="GK500" t="e">
        <f>AND(#REF!,"AAAAADf8/8A=")</f>
        <v>#REF!</v>
      </c>
      <c r="GL500" t="e">
        <f>AND(#REF!,"AAAAADf8/8E=")</f>
        <v>#REF!</v>
      </c>
      <c r="GM500" t="e">
        <f>AND(#REF!,"AAAAADf8/8I=")</f>
        <v>#REF!</v>
      </c>
      <c r="GN500" t="e">
        <f>AND(#REF!,"AAAAADf8/8M=")</f>
        <v>#REF!</v>
      </c>
      <c r="GO500" t="e">
        <f>AND(#REF!,"AAAAADf8/8Q=")</f>
        <v>#REF!</v>
      </c>
      <c r="GP500" t="e">
        <f>AND(#REF!,"AAAAADf8/8U=")</f>
        <v>#REF!</v>
      </c>
      <c r="GQ500" t="e">
        <f>AND(#REF!,"AAAAADf8/8Y=")</f>
        <v>#REF!</v>
      </c>
      <c r="GR500" t="e">
        <f>AND(#REF!,"AAAAADf8/8c=")</f>
        <v>#REF!</v>
      </c>
      <c r="GS500" t="e">
        <f>AND(#REF!,"AAAAADf8/8g=")</f>
        <v>#REF!</v>
      </c>
      <c r="GT500" t="e">
        <f>AND(#REF!,"AAAAADf8/8k=")</f>
        <v>#REF!</v>
      </c>
      <c r="GU500" t="e">
        <f>AND(#REF!,"AAAAADf8/8o=")</f>
        <v>#REF!</v>
      </c>
      <c r="GV500" t="e">
        <f>AND(#REF!,"AAAAADf8/8s=")</f>
        <v>#REF!</v>
      </c>
      <c r="GW500" t="e">
        <f>AND(#REF!,"AAAAADf8/8w=")</f>
        <v>#REF!</v>
      </c>
      <c r="GX500" t="e">
        <f>AND(#REF!,"AAAAADf8/80=")</f>
        <v>#REF!</v>
      </c>
      <c r="GY500" t="e">
        <f>AND(#REF!,"AAAAADf8/84=")</f>
        <v>#REF!</v>
      </c>
      <c r="GZ500" t="e">
        <f>AND(#REF!,"AAAAADf8/88=")</f>
        <v>#REF!</v>
      </c>
      <c r="HA500" t="e">
        <f>AND(#REF!,"AAAAADf8/9A=")</f>
        <v>#REF!</v>
      </c>
      <c r="HB500" t="e">
        <f>AND(#REF!,"AAAAADf8/9E=")</f>
        <v>#REF!</v>
      </c>
      <c r="HC500" t="e">
        <f>AND(#REF!,"AAAAADf8/9I=")</f>
        <v>#REF!</v>
      </c>
      <c r="HD500" t="e">
        <f>AND(#REF!,"AAAAADf8/9M=")</f>
        <v>#REF!</v>
      </c>
      <c r="HE500" t="e">
        <f>AND(#REF!,"AAAAADf8/9Q=")</f>
        <v>#REF!</v>
      </c>
      <c r="HF500" t="e">
        <f>AND(#REF!,"AAAAADf8/9U=")</f>
        <v>#REF!</v>
      </c>
      <c r="HG500" t="e">
        <f>AND(#REF!,"AAAAADf8/9Y=")</f>
        <v>#REF!</v>
      </c>
      <c r="HH500" t="e">
        <f>AND(#REF!,"AAAAADf8/9c=")</f>
        <v>#REF!</v>
      </c>
      <c r="HI500" t="e">
        <f>IF(#REF!,"AAAAADf8/9g=",0)</f>
        <v>#REF!</v>
      </c>
      <c r="HJ500" t="e">
        <f>AND(#REF!,"AAAAADf8/9k=")</f>
        <v>#REF!</v>
      </c>
      <c r="HK500" t="e">
        <f>AND(#REF!,"AAAAADf8/9o=")</f>
        <v>#REF!</v>
      </c>
      <c r="HL500" t="e">
        <f>AND(#REF!,"AAAAADf8/9s=")</f>
        <v>#REF!</v>
      </c>
      <c r="HM500" t="e">
        <f>AND(#REF!,"AAAAADf8/9w=")</f>
        <v>#REF!</v>
      </c>
      <c r="HN500" t="e">
        <f>AND(#REF!,"AAAAADf8/90=")</f>
        <v>#REF!</v>
      </c>
      <c r="HO500" t="e">
        <f>AND(#REF!,"AAAAADf8/94=")</f>
        <v>#REF!</v>
      </c>
      <c r="HP500" t="e">
        <f>AND(#REF!,"AAAAADf8/98=")</f>
        <v>#REF!</v>
      </c>
      <c r="HQ500" t="e">
        <f>AND(#REF!,"AAAAADf8/+A=")</f>
        <v>#REF!</v>
      </c>
      <c r="HR500" t="e">
        <f>AND(#REF!,"AAAAADf8/+E=")</f>
        <v>#REF!</v>
      </c>
      <c r="HS500" t="e">
        <f>AND(#REF!,"AAAAADf8/+I=")</f>
        <v>#REF!</v>
      </c>
      <c r="HT500" t="e">
        <f>AND(#REF!,"AAAAADf8/+M=")</f>
        <v>#REF!</v>
      </c>
      <c r="HU500" t="e">
        <f>AND(#REF!,"AAAAADf8/+Q=")</f>
        <v>#REF!</v>
      </c>
      <c r="HV500" t="e">
        <f>AND(#REF!,"AAAAADf8/+U=")</f>
        <v>#REF!</v>
      </c>
      <c r="HW500" t="e">
        <f>AND(#REF!,"AAAAADf8/+Y=")</f>
        <v>#REF!</v>
      </c>
      <c r="HX500" t="e">
        <f>AND(#REF!,"AAAAADf8/+c=")</f>
        <v>#REF!</v>
      </c>
      <c r="HY500" t="e">
        <f>AND(#REF!,"AAAAADf8/+g=")</f>
        <v>#REF!</v>
      </c>
      <c r="HZ500" t="e">
        <f>AND(#REF!,"AAAAADf8/+k=")</f>
        <v>#REF!</v>
      </c>
      <c r="IA500" t="e">
        <f>AND(#REF!,"AAAAADf8/+o=")</f>
        <v>#REF!</v>
      </c>
      <c r="IB500" t="e">
        <f>AND(#REF!,"AAAAADf8/+s=")</f>
        <v>#REF!</v>
      </c>
      <c r="IC500" t="e">
        <f>AND(#REF!,"AAAAADf8/+w=")</f>
        <v>#REF!</v>
      </c>
      <c r="ID500" t="e">
        <f>AND(#REF!,"AAAAADf8/+0=")</f>
        <v>#REF!</v>
      </c>
      <c r="IE500" t="e">
        <f>AND(#REF!,"AAAAADf8/+4=")</f>
        <v>#REF!</v>
      </c>
      <c r="IF500" t="e">
        <f>AND(#REF!,"AAAAADf8/+8=")</f>
        <v>#REF!</v>
      </c>
      <c r="IG500" t="e">
        <f>AND(#REF!,"AAAAADf8//A=")</f>
        <v>#REF!</v>
      </c>
      <c r="IH500" t="e">
        <f>IF(#REF!,"AAAAADf8//E=",0)</f>
        <v>#REF!</v>
      </c>
      <c r="II500" t="e">
        <f>AND(#REF!,"AAAAADf8//I=")</f>
        <v>#REF!</v>
      </c>
      <c r="IJ500" t="e">
        <f>AND(#REF!,"AAAAADf8//M=")</f>
        <v>#REF!</v>
      </c>
      <c r="IK500" t="e">
        <f>AND(#REF!,"AAAAADf8//Q=")</f>
        <v>#REF!</v>
      </c>
      <c r="IL500" t="e">
        <f>AND(#REF!,"AAAAADf8//U=")</f>
        <v>#REF!</v>
      </c>
      <c r="IM500" t="e">
        <f>AND(#REF!,"AAAAADf8//Y=")</f>
        <v>#REF!</v>
      </c>
      <c r="IN500" t="e">
        <f>AND(#REF!,"AAAAADf8//c=")</f>
        <v>#REF!</v>
      </c>
      <c r="IO500" t="e">
        <f>AND(#REF!,"AAAAADf8//g=")</f>
        <v>#REF!</v>
      </c>
      <c r="IP500" t="e">
        <f>AND(#REF!,"AAAAADf8//k=")</f>
        <v>#REF!</v>
      </c>
      <c r="IQ500" t="e">
        <f>AND(#REF!,"AAAAADf8//o=")</f>
        <v>#REF!</v>
      </c>
      <c r="IR500" t="e">
        <f>AND(#REF!,"AAAAADf8//s=")</f>
        <v>#REF!</v>
      </c>
      <c r="IS500" t="e">
        <f>AND(#REF!,"AAAAADf8//w=")</f>
        <v>#REF!</v>
      </c>
      <c r="IT500" t="e">
        <f>AND(#REF!,"AAAAADf8//0=")</f>
        <v>#REF!</v>
      </c>
      <c r="IU500" t="e">
        <f>AND(#REF!,"AAAAADf8//4=")</f>
        <v>#REF!</v>
      </c>
      <c r="IV500" t="e">
        <f>AND(#REF!,"AAAAADf8//8=")</f>
        <v>#REF!</v>
      </c>
    </row>
    <row r="501" spans="1:256">
      <c r="A501" t="e">
        <f>AND(#REF!,"AAAAAD9bfQA=")</f>
        <v>#REF!</v>
      </c>
      <c r="B501" t="e">
        <f>AND(#REF!,"AAAAAD9bfQE=")</f>
        <v>#REF!</v>
      </c>
      <c r="C501" t="e">
        <f>AND(#REF!,"AAAAAD9bfQI=")</f>
        <v>#REF!</v>
      </c>
      <c r="D501" t="e">
        <f>AND(#REF!,"AAAAAD9bfQM=")</f>
        <v>#REF!</v>
      </c>
      <c r="E501" t="e">
        <f>AND(#REF!,"AAAAAD9bfQQ=")</f>
        <v>#REF!</v>
      </c>
      <c r="F501" t="e">
        <f>AND(#REF!,"AAAAAD9bfQU=")</f>
        <v>#REF!</v>
      </c>
      <c r="G501" t="e">
        <f>AND(#REF!,"AAAAAD9bfQY=")</f>
        <v>#REF!</v>
      </c>
      <c r="H501" t="e">
        <f>AND(#REF!,"AAAAAD9bfQc=")</f>
        <v>#REF!</v>
      </c>
      <c r="I501" t="e">
        <f>AND(#REF!,"AAAAAD9bfQg=")</f>
        <v>#REF!</v>
      </c>
      <c r="J501" t="e">
        <f>AND(#REF!,"AAAAAD9bfQk=")</f>
        <v>#REF!</v>
      </c>
      <c r="K501" t="e">
        <f>IF(#REF!,"AAAAAD9bfQo=",0)</f>
        <v>#REF!</v>
      </c>
      <c r="L501" t="e">
        <f>AND(#REF!,"AAAAAD9bfQs=")</f>
        <v>#REF!</v>
      </c>
      <c r="M501" t="e">
        <f>AND(#REF!,"AAAAAD9bfQw=")</f>
        <v>#REF!</v>
      </c>
      <c r="N501" t="e">
        <f>AND(#REF!,"AAAAAD9bfQ0=")</f>
        <v>#REF!</v>
      </c>
      <c r="O501" t="e">
        <f>AND(#REF!,"AAAAAD9bfQ4=")</f>
        <v>#REF!</v>
      </c>
      <c r="P501" t="e">
        <f>AND(#REF!,"AAAAAD9bfQ8=")</f>
        <v>#REF!</v>
      </c>
      <c r="Q501" t="e">
        <f>AND(#REF!,"AAAAAD9bfRA=")</f>
        <v>#REF!</v>
      </c>
      <c r="R501" t="e">
        <f>AND(#REF!,"AAAAAD9bfRE=")</f>
        <v>#REF!</v>
      </c>
      <c r="S501" t="e">
        <f>AND(#REF!,"AAAAAD9bfRI=")</f>
        <v>#REF!</v>
      </c>
      <c r="T501" t="e">
        <f>AND(#REF!,"AAAAAD9bfRM=")</f>
        <v>#REF!</v>
      </c>
      <c r="U501" t="e">
        <f>AND(#REF!,"AAAAAD9bfRQ=")</f>
        <v>#REF!</v>
      </c>
      <c r="V501" t="e">
        <f>AND(#REF!,"AAAAAD9bfRU=")</f>
        <v>#REF!</v>
      </c>
      <c r="W501" t="e">
        <f>AND(#REF!,"AAAAAD9bfRY=")</f>
        <v>#REF!</v>
      </c>
      <c r="X501" t="e">
        <f>AND(#REF!,"AAAAAD9bfRc=")</f>
        <v>#REF!</v>
      </c>
      <c r="Y501" t="e">
        <f>AND(#REF!,"AAAAAD9bfRg=")</f>
        <v>#REF!</v>
      </c>
      <c r="Z501" t="e">
        <f>AND(#REF!,"AAAAAD9bfRk=")</f>
        <v>#REF!</v>
      </c>
      <c r="AA501" t="e">
        <f>AND(#REF!,"AAAAAD9bfRo=")</f>
        <v>#REF!</v>
      </c>
      <c r="AB501" t="e">
        <f>AND(#REF!,"AAAAAD9bfRs=")</f>
        <v>#REF!</v>
      </c>
      <c r="AC501" t="e">
        <f>AND(#REF!,"AAAAAD9bfRw=")</f>
        <v>#REF!</v>
      </c>
      <c r="AD501" t="e">
        <f>AND(#REF!,"AAAAAD9bfR0=")</f>
        <v>#REF!</v>
      </c>
      <c r="AE501" t="e">
        <f>AND(#REF!,"AAAAAD9bfR4=")</f>
        <v>#REF!</v>
      </c>
      <c r="AF501" t="e">
        <f>AND(#REF!,"AAAAAD9bfR8=")</f>
        <v>#REF!</v>
      </c>
      <c r="AG501" t="e">
        <f>AND(#REF!,"AAAAAD9bfSA=")</f>
        <v>#REF!</v>
      </c>
      <c r="AH501" t="e">
        <f>AND(#REF!,"AAAAAD9bfSE=")</f>
        <v>#REF!</v>
      </c>
      <c r="AI501" t="e">
        <f>AND(#REF!,"AAAAAD9bfSI=")</f>
        <v>#REF!</v>
      </c>
      <c r="AJ501" t="e">
        <f>IF(#REF!,"AAAAAD9bfSM=",0)</f>
        <v>#REF!</v>
      </c>
      <c r="AK501" t="e">
        <f>AND(#REF!,"AAAAAD9bfSQ=")</f>
        <v>#REF!</v>
      </c>
      <c r="AL501" t="e">
        <f>AND(#REF!,"AAAAAD9bfSU=")</f>
        <v>#REF!</v>
      </c>
      <c r="AM501" t="e">
        <f>AND(#REF!,"AAAAAD9bfSY=")</f>
        <v>#REF!</v>
      </c>
      <c r="AN501" t="e">
        <f>AND(#REF!,"AAAAAD9bfSc=")</f>
        <v>#REF!</v>
      </c>
      <c r="AO501" t="e">
        <f>AND(#REF!,"AAAAAD9bfSg=")</f>
        <v>#REF!</v>
      </c>
      <c r="AP501" t="e">
        <f>AND(#REF!,"AAAAAD9bfSk=")</f>
        <v>#REF!</v>
      </c>
      <c r="AQ501" t="e">
        <f>AND(#REF!,"AAAAAD9bfSo=")</f>
        <v>#REF!</v>
      </c>
      <c r="AR501" t="e">
        <f>AND(#REF!,"AAAAAD9bfSs=")</f>
        <v>#REF!</v>
      </c>
      <c r="AS501" t="e">
        <f>AND(#REF!,"AAAAAD9bfSw=")</f>
        <v>#REF!</v>
      </c>
      <c r="AT501" t="e">
        <f>AND(#REF!,"AAAAAD9bfS0=")</f>
        <v>#REF!</v>
      </c>
      <c r="AU501" t="e">
        <f>AND(#REF!,"AAAAAD9bfS4=")</f>
        <v>#REF!</v>
      </c>
      <c r="AV501" t="e">
        <f>AND(#REF!,"AAAAAD9bfS8=")</f>
        <v>#REF!</v>
      </c>
      <c r="AW501" t="e">
        <f>AND(#REF!,"AAAAAD9bfTA=")</f>
        <v>#REF!</v>
      </c>
      <c r="AX501" t="e">
        <f>AND(#REF!,"AAAAAD9bfTE=")</f>
        <v>#REF!</v>
      </c>
      <c r="AY501" t="e">
        <f>AND(#REF!,"AAAAAD9bfTI=")</f>
        <v>#REF!</v>
      </c>
      <c r="AZ501" t="e">
        <f>AND(#REF!,"AAAAAD9bfTM=")</f>
        <v>#REF!</v>
      </c>
      <c r="BA501" t="e">
        <f>AND(#REF!,"AAAAAD9bfTQ=")</f>
        <v>#REF!</v>
      </c>
      <c r="BB501" t="e">
        <f>AND(#REF!,"AAAAAD9bfTU=")</f>
        <v>#REF!</v>
      </c>
      <c r="BC501" t="e">
        <f>AND(#REF!,"AAAAAD9bfTY=")</f>
        <v>#REF!</v>
      </c>
      <c r="BD501" t="e">
        <f>AND(#REF!,"AAAAAD9bfTc=")</f>
        <v>#REF!</v>
      </c>
      <c r="BE501" t="e">
        <f>AND(#REF!,"AAAAAD9bfTg=")</f>
        <v>#REF!</v>
      </c>
      <c r="BF501" t="e">
        <f>AND(#REF!,"AAAAAD9bfTk=")</f>
        <v>#REF!</v>
      </c>
      <c r="BG501" t="e">
        <f>AND(#REF!,"AAAAAD9bfTo=")</f>
        <v>#REF!</v>
      </c>
      <c r="BH501" t="e">
        <f>AND(#REF!,"AAAAAD9bfTs=")</f>
        <v>#REF!</v>
      </c>
      <c r="BI501" t="e">
        <f>IF(#REF!,"AAAAAD9bfTw=",0)</f>
        <v>#REF!</v>
      </c>
      <c r="BJ501" t="e">
        <f>AND(#REF!,"AAAAAD9bfT0=")</f>
        <v>#REF!</v>
      </c>
      <c r="BK501" t="e">
        <f>AND(#REF!,"AAAAAD9bfT4=")</f>
        <v>#REF!</v>
      </c>
      <c r="BL501" t="e">
        <f>AND(#REF!,"AAAAAD9bfT8=")</f>
        <v>#REF!</v>
      </c>
      <c r="BM501" t="e">
        <f>AND(#REF!,"AAAAAD9bfUA=")</f>
        <v>#REF!</v>
      </c>
      <c r="BN501" t="e">
        <f>AND(#REF!,"AAAAAD9bfUE=")</f>
        <v>#REF!</v>
      </c>
      <c r="BO501" t="e">
        <f>AND(#REF!,"AAAAAD9bfUI=")</f>
        <v>#REF!</v>
      </c>
      <c r="BP501" t="e">
        <f>AND(#REF!,"AAAAAD9bfUM=")</f>
        <v>#REF!</v>
      </c>
      <c r="BQ501" t="e">
        <f>AND(#REF!,"AAAAAD9bfUQ=")</f>
        <v>#REF!</v>
      </c>
      <c r="BR501" t="e">
        <f>AND(#REF!,"AAAAAD9bfUU=")</f>
        <v>#REF!</v>
      </c>
      <c r="BS501" t="e">
        <f>AND(#REF!,"AAAAAD9bfUY=")</f>
        <v>#REF!</v>
      </c>
      <c r="BT501" t="e">
        <f>AND(#REF!,"AAAAAD9bfUc=")</f>
        <v>#REF!</v>
      </c>
      <c r="BU501" t="e">
        <f>AND(#REF!,"AAAAAD9bfUg=")</f>
        <v>#REF!</v>
      </c>
      <c r="BV501" t="e">
        <f>AND(#REF!,"AAAAAD9bfUk=")</f>
        <v>#REF!</v>
      </c>
      <c r="BW501" t="e">
        <f>AND(#REF!,"AAAAAD9bfUo=")</f>
        <v>#REF!</v>
      </c>
      <c r="BX501" t="e">
        <f>AND(#REF!,"AAAAAD9bfUs=")</f>
        <v>#REF!</v>
      </c>
      <c r="BY501" t="e">
        <f>AND(#REF!,"AAAAAD9bfUw=")</f>
        <v>#REF!</v>
      </c>
      <c r="BZ501" t="e">
        <f>AND(#REF!,"AAAAAD9bfU0=")</f>
        <v>#REF!</v>
      </c>
      <c r="CA501" t="e">
        <f>AND(#REF!,"AAAAAD9bfU4=")</f>
        <v>#REF!</v>
      </c>
      <c r="CB501" t="e">
        <f>AND(#REF!,"AAAAAD9bfU8=")</f>
        <v>#REF!</v>
      </c>
      <c r="CC501" t="e">
        <f>AND(#REF!,"AAAAAD9bfVA=")</f>
        <v>#REF!</v>
      </c>
      <c r="CD501" t="e">
        <f>AND(#REF!,"AAAAAD9bfVE=")</f>
        <v>#REF!</v>
      </c>
      <c r="CE501" t="e">
        <f>AND(#REF!,"AAAAAD9bfVI=")</f>
        <v>#REF!</v>
      </c>
      <c r="CF501" t="e">
        <f>AND(#REF!,"AAAAAD9bfVM=")</f>
        <v>#REF!</v>
      </c>
      <c r="CG501" t="e">
        <f>AND(#REF!,"AAAAAD9bfVQ=")</f>
        <v>#REF!</v>
      </c>
      <c r="CH501" t="e">
        <f>IF(#REF!,"AAAAAD9bfVU=",0)</f>
        <v>#REF!</v>
      </c>
      <c r="CI501" t="e">
        <f>AND(#REF!,"AAAAAD9bfVY=")</f>
        <v>#REF!</v>
      </c>
      <c r="CJ501" t="e">
        <f>AND(#REF!,"AAAAAD9bfVc=")</f>
        <v>#REF!</v>
      </c>
      <c r="CK501" t="e">
        <f>AND(#REF!,"AAAAAD9bfVg=")</f>
        <v>#REF!</v>
      </c>
      <c r="CL501" t="e">
        <f>AND(#REF!,"AAAAAD9bfVk=")</f>
        <v>#REF!</v>
      </c>
      <c r="CM501" t="e">
        <f>AND(#REF!,"AAAAAD9bfVo=")</f>
        <v>#REF!</v>
      </c>
      <c r="CN501" t="e">
        <f>AND(#REF!,"AAAAAD9bfVs=")</f>
        <v>#REF!</v>
      </c>
      <c r="CO501" t="e">
        <f>AND(#REF!,"AAAAAD9bfVw=")</f>
        <v>#REF!</v>
      </c>
      <c r="CP501" t="e">
        <f>AND(#REF!,"AAAAAD9bfV0=")</f>
        <v>#REF!</v>
      </c>
      <c r="CQ501" t="e">
        <f>AND(#REF!,"AAAAAD9bfV4=")</f>
        <v>#REF!</v>
      </c>
      <c r="CR501" t="e">
        <f>AND(#REF!,"AAAAAD9bfV8=")</f>
        <v>#REF!</v>
      </c>
      <c r="CS501" t="e">
        <f>AND(#REF!,"AAAAAD9bfWA=")</f>
        <v>#REF!</v>
      </c>
      <c r="CT501" t="e">
        <f>AND(#REF!,"AAAAAD9bfWE=")</f>
        <v>#REF!</v>
      </c>
      <c r="CU501" t="e">
        <f>AND(#REF!,"AAAAAD9bfWI=")</f>
        <v>#REF!</v>
      </c>
      <c r="CV501" t="e">
        <f>AND(#REF!,"AAAAAD9bfWM=")</f>
        <v>#REF!</v>
      </c>
      <c r="CW501" t="e">
        <f>AND(#REF!,"AAAAAD9bfWQ=")</f>
        <v>#REF!</v>
      </c>
      <c r="CX501" t="e">
        <f>AND(#REF!,"AAAAAD9bfWU=")</f>
        <v>#REF!</v>
      </c>
      <c r="CY501" t="e">
        <f>AND(#REF!,"AAAAAD9bfWY=")</f>
        <v>#REF!</v>
      </c>
      <c r="CZ501" t="e">
        <f>AND(#REF!,"AAAAAD9bfWc=")</f>
        <v>#REF!</v>
      </c>
      <c r="DA501" t="e">
        <f>AND(#REF!,"AAAAAD9bfWg=")</f>
        <v>#REF!</v>
      </c>
      <c r="DB501" t="e">
        <f>AND(#REF!,"AAAAAD9bfWk=")</f>
        <v>#REF!</v>
      </c>
      <c r="DC501" t="e">
        <f>AND(#REF!,"AAAAAD9bfWo=")</f>
        <v>#REF!</v>
      </c>
      <c r="DD501" t="e">
        <f>AND(#REF!,"AAAAAD9bfWs=")</f>
        <v>#REF!</v>
      </c>
      <c r="DE501" t="e">
        <f>AND(#REF!,"AAAAAD9bfWw=")</f>
        <v>#REF!</v>
      </c>
      <c r="DF501" t="e">
        <f>AND(#REF!,"AAAAAD9bfW0=")</f>
        <v>#REF!</v>
      </c>
      <c r="DG501" t="e">
        <f>IF(#REF!,"AAAAAD9bfW4=",0)</f>
        <v>#REF!</v>
      </c>
      <c r="DH501" t="e">
        <f>AND(#REF!,"AAAAAD9bfW8=")</f>
        <v>#REF!</v>
      </c>
      <c r="DI501" t="e">
        <f>AND(#REF!,"AAAAAD9bfXA=")</f>
        <v>#REF!</v>
      </c>
      <c r="DJ501" t="e">
        <f>AND(#REF!,"AAAAAD9bfXE=")</f>
        <v>#REF!</v>
      </c>
      <c r="DK501" t="e">
        <f>AND(#REF!,"AAAAAD9bfXI=")</f>
        <v>#REF!</v>
      </c>
      <c r="DL501" t="e">
        <f>AND(#REF!,"AAAAAD9bfXM=")</f>
        <v>#REF!</v>
      </c>
      <c r="DM501" t="e">
        <f>AND(#REF!,"AAAAAD9bfXQ=")</f>
        <v>#REF!</v>
      </c>
      <c r="DN501" t="e">
        <f>AND(#REF!,"AAAAAD9bfXU=")</f>
        <v>#REF!</v>
      </c>
      <c r="DO501" t="e">
        <f>AND(#REF!,"AAAAAD9bfXY=")</f>
        <v>#REF!</v>
      </c>
      <c r="DP501" t="e">
        <f>AND(#REF!,"AAAAAD9bfXc=")</f>
        <v>#REF!</v>
      </c>
      <c r="DQ501" t="e">
        <f>AND(#REF!,"AAAAAD9bfXg=")</f>
        <v>#REF!</v>
      </c>
      <c r="DR501" t="e">
        <f>AND(#REF!,"AAAAAD9bfXk=")</f>
        <v>#REF!</v>
      </c>
      <c r="DS501" t="e">
        <f>AND(#REF!,"AAAAAD9bfXo=")</f>
        <v>#REF!</v>
      </c>
      <c r="DT501" t="e">
        <f>AND(#REF!,"AAAAAD9bfXs=")</f>
        <v>#REF!</v>
      </c>
      <c r="DU501" t="e">
        <f>AND(#REF!,"AAAAAD9bfXw=")</f>
        <v>#REF!</v>
      </c>
      <c r="DV501" t="e">
        <f>AND(#REF!,"AAAAAD9bfX0=")</f>
        <v>#REF!</v>
      </c>
      <c r="DW501" t="e">
        <f>AND(#REF!,"AAAAAD9bfX4=")</f>
        <v>#REF!</v>
      </c>
      <c r="DX501" t="e">
        <f>AND(#REF!,"AAAAAD9bfX8=")</f>
        <v>#REF!</v>
      </c>
      <c r="DY501" t="e">
        <f>AND(#REF!,"AAAAAD9bfYA=")</f>
        <v>#REF!</v>
      </c>
      <c r="DZ501" t="e">
        <f>AND(#REF!,"AAAAAD9bfYE=")</f>
        <v>#REF!</v>
      </c>
      <c r="EA501" t="e">
        <f>AND(#REF!,"AAAAAD9bfYI=")</f>
        <v>#REF!</v>
      </c>
      <c r="EB501" t="e">
        <f>AND(#REF!,"AAAAAD9bfYM=")</f>
        <v>#REF!</v>
      </c>
      <c r="EC501" t="e">
        <f>AND(#REF!,"AAAAAD9bfYQ=")</f>
        <v>#REF!</v>
      </c>
      <c r="ED501" t="e">
        <f>AND(#REF!,"AAAAAD9bfYU=")</f>
        <v>#REF!</v>
      </c>
      <c r="EE501" t="e">
        <f>AND(#REF!,"AAAAAD9bfYY=")</f>
        <v>#REF!</v>
      </c>
      <c r="EF501" t="e">
        <f>IF(#REF!,"AAAAAD9bfYc=",0)</f>
        <v>#REF!</v>
      </c>
      <c r="EG501" t="e">
        <f>AND(#REF!,"AAAAAD9bfYg=")</f>
        <v>#REF!</v>
      </c>
      <c r="EH501" t="e">
        <f>AND(#REF!,"AAAAAD9bfYk=")</f>
        <v>#REF!</v>
      </c>
      <c r="EI501" t="e">
        <f>AND(#REF!,"AAAAAD9bfYo=")</f>
        <v>#REF!</v>
      </c>
      <c r="EJ501" t="e">
        <f>AND(#REF!,"AAAAAD9bfYs=")</f>
        <v>#REF!</v>
      </c>
      <c r="EK501" t="e">
        <f>AND(#REF!,"AAAAAD9bfYw=")</f>
        <v>#REF!</v>
      </c>
      <c r="EL501" t="e">
        <f>AND(#REF!,"AAAAAD9bfY0=")</f>
        <v>#REF!</v>
      </c>
      <c r="EM501" t="e">
        <f>AND(#REF!,"AAAAAD9bfY4=")</f>
        <v>#REF!</v>
      </c>
      <c r="EN501" t="e">
        <f>AND(#REF!,"AAAAAD9bfY8=")</f>
        <v>#REF!</v>
      </c>
      <c r="EO501" t="e">
        <f>AND(#REF!,"AAAAAD9bfZA=")</f>
        <v>#REF!</v>
      </c>
      <c r="EP501" t="e">
        <f>AND(#REF!,"AAAAAD9bfZE=")</f>
        <v>#REF!</v>
      </c>
      <c r="EQ501" t="e">
        <f>AND(#REF!,"AAAAAD9bfZI=")</f>
        <v>#REF!</v>
      </c>
      <c r="ER501" t="e">
        <f>AND(#REF!,"AAAAAD9bfZM=")</f>
        <v>#REF!</v>
      </c>
      <c r="ES501" t="e">
        <f>AND(#REF!,"AAAAAD9bfZQ=")</f>
        <v>#REF!</v>
      </c>
      <c r="ET501" t="e">
        <f>AND(#REF!,"AAAAAD9bfZU=")</f>
        <v>#REF!</v>
      </c>
      <c r="EU501" t="e">
        <f>AND(#REF!,"AAAAAD9bfZY=")</f>
        <v>#REF!</v>
      </c>
      <c r="EV501" t="e">
        <f>AND(#REF!,"AAAAAD9bfZc=")</f>
        <v>#REF!</v>
      </c>
      <c r="EW501" t="e">
        <f>AND(#REF!,"AAAAAD9bfZg=")</f>
        <v>#REF!</v>
      </c>
      <c r="EX501" t="e">
        <f>AND(#REF!,"AAAAAD9bfZk=")</f>
        <v>#REF!</v>
      </c>
      <c r="EY501" t="e">
        <f>AND(#REF!,"AAAAAD9bfZo=")</f>
        <v>#REF!</v>
      </c>
      <c r="EZ501" t="e">
        <f>AND(#REF!,"AAAAAD9bfZs=")</f>
        <v>#REF!</v>
      </c>
      <c r="FA501" t="e">
        <f>AND(#REF!,"AAAAAD9bfZw=")</f>
        <v>#REF!</v>
      </c>
      <c r="FB501" t="e">
        <f>AND(#REF!,"AAAAAD9bfZ0=")</f>
        <v>#REF!</v>
      </c>
      <c r="FC501" t="e">
        <f>AND(#REF!,"AAAAAD9bfZ4=")</f>
        <v>#REF!</v>
      </c>
      <c r="FD501" t="e">
        <f>AND(#REF!,"AAAAAD9bfZ8=")</f>
        <v>#REF!</v>
      </c>
      <c r="FE501" t="e">
        <f>IF(#REF!,"AAAAAD9bfaA=",0)</f>
        <v>#REF!</v>
      </c>
      <c r="FF501" t="e">
        <f>AND(#REF!,"AAAAAD9bfaE=")</f>
        <v>#REF!</v>
      </c>
      <c r="FG501" t="e">
        <f>AND(#REF!,"AAAAAD9bfaI=")</f>
        <v>#REF!</v>
      </c>
      <c r="FH501" t="e">
        <f>AND(#REF!,"AAAAAD9bfaM=")</f>
        <v>#REF!</v>
      </c>
      <c r="FI501" t="e">
        <f>AND(#REF!,"AAAAAD9bfaQ=")</f>
        <v>#REF!</v>
      </c>
      <c r="FJ501" t="e">
        <f>AND(#REF!,"AAAAAD9bfaU=")</f>
        <v>#REF!</v>
      </c>
      <c r="FK501" t="e">
        <f>AND(#REF!,"AAAAAD9bfaY=")</f>
        <v>#REF!</v>
      </c>
      <c r="FL501" t="e">
        <f>AND(#REF!,"AAAAAD9bfac=")</f>
        <v>#REF!</v>
      </c>
      <c r="FM501" t="e">
        <f>AND(#REF!,"AAAAAD9bfag=")</f>
        <v>#REF!</v>
      </c>
      <c r="FN501" t="e">
        <f>AND(#REF!,"AAAAAD9bfak=")</f>
        <v>#REF!</v>
      </c>
      <c r="FO501" t="e">
        <f>AND(#REF!,"AAAAAD9bfao=")</f>
        <v>#REF!</v>
      </c>
      <c r="FP501" t="e">
        <f>AND(#REF!,"AAAAAD9bfas=")</f>
        <v>#REF!</v>
      </c>
      <c r="FQ501" t="e">
        <f>AND(#REF!,"AAAAAD9bfaw=")</f>
        <v>#REF!</v>
      </c>
      <c r="FR501" t="e">
        <f>AND(#REF!,"AAAAAD9bfa0=")</f>
        <v>#REF!</v>
      </c>
      <c r="FS501" t="e">
        <f>AND(#REF!,"AAAAAD9bfa4=")</f>
        <v>#REF!</v>
      </c>
      <c r="FT501" t="e">
        <f>AND(#REF!,"AAAAAD9bfa8=")</f>
        <v>#REF!</v>
      </c>
      <c r="FU501" t="e">
        <f>AND(#REF!,"AAAAAD9bfbA=")</f>
        <v>#REF!</v>
      </c>
      <c r="FV501" t="e">
        <f>AND(#REF!,"AAAAAD9bfbE=")</f>
        <v>#REF!</v>
      </c>
      <c r="FW501" t="e">
        <f>AND(#REF!,"AAAAAD9bfbI=")</f>
        <v>#REF!</v>
      </c>
      <c r="FX501" t="e">
        <f>AND(#REF!,"AAAAAD9bfbM=")</f>
        <v>#REF!</v>
      </c>
      <c r="FY501" t="e">
        <f>AND(#REF!,"AAAAAD9bfbQ=")</f>
        <v>#REF!</v>
      </c>
      <c r="FZ501" t="e">
        <f>AND(#REF!,"AAAAAD9bfbU=")</f>
        <v>#REF!</v>
      </c>
      <c r="GA501" t="e">
        <f>AND(#REF!,"AAAAAD9bfbY=")</f>
        <v>#REF!</v>
      </c>
      <c r="GB501" t="e">
        <f>AND(#REF!,"AAAAAD9bfbc=")</f>
        <v>#REF!</v>
      </c>
      <c r="GC501" t="e">
        <f>AND(#REF!,"AAAAAD9bfbg=")</f>
        <v>#REF!</v>
      </c>
      <c r="GD501" t="e">
        <f>IF(#REF!,"AAAAAD9bfbk=",0)</f>
        <v>#REF!</v>
      </c>
      <c r="GE501" t="e">
        <f>AND(#REF!,"AAAAAD9bfbo=")</f>
        <v>#REF!</v>
      </c>
      <c r="GF501" t="e">
        <f>AND(#REF!,"AAAAAD9bfbs=")</f>
        <v>#REF!</v>
      </c>
      <c r="GG501" t="e">
        <f>AND(#REF!,"AAAAAD9bfbw=")</f>
        <v>#REF!</v>
      </c>
      <c r="GH501" t="e">
        <f>AND(#REF!,"AAAAAD9bfb0=")</f>
        <v>#REF!</v>
      </c>
      <c r="GI501" t="e">
        <f>AND(#REF!,"AAAAAD9bfb4=")</f>
        <v>#REF!</v>
      </c>
      <c r="GJ501" t="e">
        <f>AND(#REF!,"AAAAAD9bfb8=")</f>
        <v>#REF!</v>
      </c>
      <c r="GK501" t="e">
        <f>AND(#REF!,"AAAAAD9bfcA=")</f>
        <v>#REF!</v>
      </c>
      <c r="GL501" t="e">
        <f>AND(#REF!,"AAAAAD9bfcE=")</f>
        <v>#REF!</v>
      </c>
      <c r="GM501" t="e">
        <f>AND(#REF!,"AAAAAD9bfcI=")</f>
        <v>#REF!</v>
      </c>
      <c r="GN501" t="e">
        <f>AND(#REF!,"AAAAAD9bfcM=")</f>
        <v>#REF!</v>
      </c>
      <c r="GO501" t="e">
        <f>AND(#REF!,"AAAAAD9bfcQ=")</f>
        <v>#REF!</v>
      </c>
      <c r="GP501" t="e">
        <f>AND(#REF!,"AAAAAD9bfcU=")</f>
        <v>#REF!</v>
      </c>
      <c r="GQ501" t="e">
        <f>AND(#REF!,"AAAAAD9bfcY=")</f>
        <v>#REF!</v>
      </c>
      <c r="GR501" t="e">
        <f>AND(#REF!,"AAAAAD9bfcc=")</f>
        <v>#REF!</v>
      </c>
      <c r="GS501" t="e">
        <f>AND(#REF!,"AAAAAD9bfcg=")</f>
        <v>#REF!</v>
      </c>
      <c r="GT501" t="e">
        <f>AND(#REF!,"AAAAAD9bfck=")</f>
        <v>#REF!</v>
      </c>
      <c r="GU501" t="e">
        <f>AND(#REF!,"AAAAAD9bfco=")</f>
        <v>#REF!</v>
      </c>
      <c r="GV501" t="e">
        <f>AND(#REF!,"AAAAAD9bfcs=")</f>
        <v>#REF!</v>
      </c>
      <c r="GW501" t="e">
        <f>AND(#REF!,"AAAAAD9bfcw=")</f>
        <v>#REF!</v>
      </c>
      <c r="GX501" t="e">
        <f>AND(#REF!,"AAAAAD9bfc0=")</f>
        <v>#REF!</v>
      </c>
      <c r="GY501" t="e">
        <f>AND(#REF!,"AAAAAD9bfc4=")</f>
        <v>#REF!</v>
      </c>
      <c r="GZ501" t="e">
        <f>AND(#REF!,"AAAAAD9bfc8=")</f>
        <v>#REF!</v>
      </c>
      <c r="HA501" t="e">
        <f>AND(#REF!,"AAAAAD9bfdA=")</f>
        <v>#REF!</v>
      </c>
      <c r="HB501" t="e">
        <f>AND(#REF!,"AAAAAD9bfdE=")</f>
        <v>#REF!</v>
      </c>
      <c r="HC501" t="e">
        <f>IF(#REF!,"AAAAAD9bfdI=",0)</f>
        <v>#REF!</v>
      </c>
      <c r="HD501" t="e">
        <f>AND(#REF!,"AAAAAD9bfdM=")</f>
        <v>#REF!</v>
      </c>
      <c r="HE501" t="e">
        <f>AND(#REF!,"AAAAAD9bfdQ=")</f>
        <v>#REF!</v>
      </c>
      <c r="HF501" t="e">
        <f>AND(#REF!,"AAAAAD9bfdU=")</f>
        <v>#REF!</v>
      </c>
      <c r="HG501" t="e">
        <f>AND(#REF!,"AAAAAD9bfdY=")</f>
        <v>#REF!</v>
      </c>
      <c r="HH501" t="e">
        <f>AND(#REF!,"AAAAAD9bfdc=")</f>
        <v>#REF!</v>
      </c>
      <c r="HI501" t="e">
        <f>AND(#REF!,"AAAAAD9bfdg=")</f>
        <v>#REF!</v>
      </c>
      <c r="HJ501" t="e">
        <f>AND(#REF!,"AAAAAD9bfdk=")</f>
        <v>#REF!</v>
      </c>
      <c r="HK501" t="e">
        <f>AND(#REF!,"AAAAAD9bfdo=")</f>
        <v>#REF!</v>
      </c>
      <c r="HL501" t="e">
        <f>AND(#REF!,"AAAAAD9bfds=")</f>
        <v>#REF!</v>
      </c>
      <c r="HM501" t="e">
        <f>AND(#REF!,"AAAAAD9bfdw=")</f>
        <v>#REF!</v>
      </c>
      <c r="HN501" t="e">
        <f>AND(#REF!,"AAAAAD9bfd0=")</f>
        <v>#REF!</v>
      </c>
      <c r="HO501" t="e">
        <f>AND(#REF!,"AAAAAD9bfd4=")</f>
        <v>#REF!</v>
      </c>
      <c r="HP501" t="e">
        <f>AND(#REF!,"AAAAAD9bfd8=")</f>
        <v>#REF!</v>
      </c>
      <c r="HQ501" t="e">
        <f>AND(#REF!,"AAAAAD9bfeA=")</f>
        <v>#REF!</v>
      </c>
      <c r="HR501" t="e">
        <f>AND(#REF!,"AAAAAD9bfeE=")</f>
        <v>#REF!</v>
      </c>
      <c r="HS501" t="e">
        <f>AND(#REF!,"AAAAAD9bfeI=")</f>
        <v>#REF!</v>
      </c>
      <c r="HT501" t="e">
        <f>AND(#REF!,"AAAAAD9bfeM=")</f>
        <v>#REF!</v>
      </c>
      <c r="HU501" t="e">
        <f>AND(#REF!,"AAAAAD9bfeQ=")</f>
        <v>#REF!</v>
      </c>
      <c r="HV501" t="e">
        <f>AND(#REF!,"AAAAAD9bfeU=")</f>
        <v>#REF!</v>
      </c>
      <c r="HW501" t="e">
        <f>AND(#REF!,"AAAAAD9bfeY=")</f>
        <v>#REF!</v>
      </c>
      <c r="HX501" t="e">
        <f>AND(#REF!,"AAAAAD9bfec=")</f>
        <v>#REF!</v>
      </c>
      <c r="HY501" t="e">
        <f>AND(#REF!,"AAAAAD9bfeg=")</f>
        <v>#REF!</v>
      </c>
      <c r="HZ501" t="e">
        <f>AND(#REF!,"AAAAAD9bfek=")</f>
        <v>#REF!</v>
      </c>
      <c r="IA501" t="e">
        <f>AND(#REF!,"AAAAAD9bfeo=")</f>
        <v>#REF!</v>
      </c>
      <c r="IB501" t="e">
        <f>IF(#REF!,"AAAAAD9bfes=",0)</f>
        <v>#REF!</v>
      </c>
      <c r="IC501" t="e">
        <f>AND(#REF!,"AAAAAD9bfew=")</f>
        <v>#REF!</v>
      </c>
      <c r="ID501" t="e">
        <f>AND(#REF!,"AAAAAD9bfe0=")</f>
        <v>#REF!</v>
      </c>
      <c r="IE501" t="e">
        <f>AND(#REF!,"AAAAAD9bfe4=")</f>
        <v>#REF!</v>
      </c>
      <c r="IF501" t="e">
        <f>AND(#REF!,"AAAAAD9bfe8=")</f>
        <v>#REF!</v>
      </c>
      <c r="IG501" t="e">
        <f>AND(#REF!,"AAAAAD9bffA=")</f>
        <v>#REF!</v>
      </c>
      <c r="IH501" t="e">
        <f>AND(#REF!,"AAAAAD9bffE=")</f>
        <v>#REF!</v>
      </c>
      <c r="II501" t="e">
        <f>AND(#REF!,"AAAAAD9bffI=")</f>
        <v>#REF!</v>
      </c>
      <c r="IJ501" t="e">
        <f>AND(#REF!,"AAAAAD9bffM=")</f>
        <v>#REF!</v>
      </c>
      <c r="IK501" t="e">
        <f>AND(#REF!,"AAAAAD9bffQ=")</f>
        <v>#REF!</v>
      </c>
      <c r="IL501" t="e">
        <f>AND(#REF!,"AAAAAD9bffU=")</f>
        <v>#REF!</v>
      </c>
      <c r="IM501" t="e">
        <f>AND(#REF!,"AAAAAD9bffY=")</f>
        <v>#REF!</v>
      </c>
      <c r="IN501" t="e">
        <f>AND(#REF!,"AAAAAD9bffc=")</f>
        <v>#REF!</v>
      </c>
      <c r="IO501" t="e">
        <f>AND(#REF!,"AAAAAD9bffg=")</f>
        <v>#REF!</v>
      </c>
      <c r="IP501" t="e">
        <f>AND(#REF!,"AAAAAD9bffk=")</f>
        <v>#REF!</v>
      </c>
      <c r="IQ501" t="e">
        <f>AND(#REF!,"AAAAAD9bffo=")</f>
        <v>#REF!</v>
      </c>
      <c r="IR501" t="e">
        <f>AND(#REF!,"AAAAAD9bffs=")</f>
        <v>#REF!</v>
      </c>
      <c r="IS501" t="e">
        <f>AND(#REF!,"AAAAAD9bffw=")</f>
        <v>#REF!</v>
      </c>
      <c r="IT501" t="e">
        <f>AND(#REF!,"AAAAAD9bff0=")</f>
        <v>#REF!</v>
      </c>
      <c r="IU501" t="e">
        <f>AND(#REF!,"AAAAAD9bff4=")</f>
        <v>#REF!</v>
      </c>
      <c r="IV501" t="e">
        <f>AND(#REF!,"AAAAAD9bff8=")</f>
        <v>#REF!</v>
      </c>
    </row>
    <row r="502" spans="1:256">
      <c r="A502" t="e">
        <f>AND(#REF!,"AAAAAG369wA=")</f>
        <v>#REF!</v>
      </c>
      <c r="B502" t="e">
        <f>AND(#REF!,"AAAAAG369wE=")</f>
        <v>#REF!</v>
      </c>
      <c r="C502" t="e">
        <f>AND(#REF!,"AAAAAG369wI=")</f>
        <v>#REF!</v>
      </c>
      <c r="D502" t="e">
        <f>AND(#REF!,"AAAAAG369wM=")</f>
        <v>#REF!</v>
      </c>
      <c r="E502" t="e">
        <f>IF(#REF!,"AAAAAG369wQ=",0)</f>
        <v>#REF!</v>
      </c>
      <c r="F502" t="e">
        <f>AND(#REF!,"AAAAAG369wU=")</f>
        <v>#REF!</v>
      </c>
      <c r="G502" t="e">
        <f>AND(#REF!,"AAAAAG369wY=")</f>
        <v>#REF!</v>
      </c>
      <c r="H502" t="e">
        <f>AND(#REF!,"AAAAAG369wc=")</f>
        <v>#REF!</v>
      </c>
      <c r="I502" t="e">
        <f>AND(#REF!,"AAAAAG369wg=")</f>
        <v>#REF!</v>
      </c>
      <c r="J502" t="e">
        <f>AND(#REF!,"AAAAAG369wk=")</f>
        <v>#REF!</v>
      </c>
      <c r="K502" t="e">
        <f>AND(#REF!,"AAAAAG369wo=")</f>
        <v>#REF!</v>
      </c>
      <c r="L502" t="e">
        <f>AND(#REF!,"AAAAAG369ws=")</f>
        <v>#REF!</v>
      </c>
      <c r="M502" t="e">
        <f>AND(#REF!,"AAAAAG369ww=")</f>
        <v>#REF!</v>
      </c>
      <c r="N502" t="e">
        <f>AND(#REF!,"AAAAAG369w0=")</f>
        <v>#REF!</v>
      </c>
      <c r="O502" t="e">
        <f>AND(#REF!,"AAAAAG369w4=")</f>
        <v>#REF!</v>
      </c>
      <c r="P502" t="e">
        <f>AND(#REF!,"AAAAAG369w8=")</f>
        <v>#REF!</v>
      </c>
      <c r="Q502" t="e">
        <f>AND(#REF!,"AAAAAG369xA=")</f>
        <v>#REF!</v>
      </c>
      <c r="R502" t="e">
        <f>AND(#REF!,"AAAAAG369xE=")</f>
        <v>#REF!</v>
      </c>
      <c r="S502" t="e">
        <f>AND(#REF!,"AAAAAG369xI=")</f>
        <v>#REF!</v>
      </c>
      <c r="T502" t="e">
        <f>AND(#REF!,"AAAAAG369xM=")</f>
        <v>#REF!</v>
      </c>
      <c r="U502" t="e">
        <f>AND(#REF!,"AAAAAG369xQ=")</f>
        <v>#REF!</v>
      </c>
      <c r="V502" t="e">
        <f>AND(#REF!,"AAAAAG369xU=")</f>
        <v>#REF!</v>
      </c>
      <c r="W502" t="e">
        <f>AND(#REF!,"AAAAAG369xY=")</f>
        <v>#REF!</v>
      </c>
      <c r="X502" t="e">
        <f>AND(#REF!,"AAAAAG369xc=")</f>
        <v>#REF!</v>
      </c>
      <c r="Y502" t="e">
        <f>AND(#REF!,"AAAAAG369xg=")</f>
        <v>#REF!</v>
      </c>
      <c r="Z502" t="e">
        <f>AND(#REF!,"AAAAAG369xk=")</f>
        <v>#REF!</v>
      </c>
      <c r="AA502" t="e">
        <f>AND(#REF!,"AAAAAG369xo=")</f>
        <v>#REF!</v>
      </c>
      <c r="AB502" t="e">
        <f>AND(#REF!,"AAAAAG369xs=")</f>
        <v>#REF!</v>
      </c>
      <c r="AC502" t="e">
        <f>AND(#REF!,"AAAAAG369xw=")</f>
        <v>#REF!</v>
      </c>
      <c r="AD502" t="e">
        <f>IF(#REF!,"AAAAAG369x0=",0)</f>
        <v>#REF!</v>
      </c>
      <c r="AE502" t="e">
        <f>AND(#REF!,"AAAAAG369x4=")</f>
        <v>#REF!</v>
      </c>
      <c r="AF502" t="e">
        <f>AND(#REF!,"AAAAAG369x8=")</f>
        <v>#REF!</v>
      </c>
      <c r="AG502" t="e">
        <f>AND(#REF!,"AAAAAG369yA=")</f>
        <v>#REF!</v>
      </c>
      <c r="AH502" t="e">
        <f>AND(#REF!,"AAAAAG369yE=")</f>
        <v>#REF!</v>
      </c>
      <c r="AI502" t="e">
        <f>AND(#REF!,"AAAAAG369yI=")</f>
        <v>#REF!</v>
      </c>
      <c r="AJ502" t="e">
        <f>AND(#REF!,"AAAAAG369yM=")</f>
        <v>#REF!</v>
      </c>
      <c r="AK502" t="e">
        <f>AND(#REF!,"AAAAAG369yQ=")</f>
        <v>#REF!</v>
      </c>
      <c r="AL502" t="e">
        <f>AND(#REF!,"AAAAAG369yU=")</f>
        <v>#REF!</v>
      </c>
      <c r="AM502" t="e">
        <f>AND(#REF!,"AAAAAG369yY=")</f>
        <v>#REF!</v>
      </c>
      <c r="AN502" t="e">
        <f>AND(#REF!,"AAAAAG369yc=")</f>
        <v>#REF!</v>
      </c>
      <c r="AO502" t="e">
        <f>AND(#REF!,"AAAAAG369yg=")</f>
        <v>#REF!</v>
      </c>
      <c r="AP502" t="e">
        <f>AND(#REF!,"AAAAAG369yk=")</f>
        <v>#REF!</v>
      </c>
      <c r="AQ502" t="e">
        <f>AND(#REF!,"AAAAAG369yo=")</f>
        <v>#REF!</v>
      </c>
      <c r="AR502" t="e">
        <f>AND(#REF!,"AAAAAG369ys=")</f>
        <v>#REF!</v>
      </c>
      <c r="AS502" t="e">
        <f>AND(#REF!,"AAAAAG369yw=")</f>
        <v>#REF!</v>
      </c>
      <c r="AT502" t="e">
        <f>AND(#REF!,"AAAAAG369y0=")</f>
        <v>#REF!</v>
      </c>
      <c r="AU502" t="e">
        <f>AND(#REF!,"AAAAAG369y4=")</f>
        <v>#REF!</v>
      </c>
      <c r="AV502" t="e">
        <f>AND(#REF!,"AAAAAG369y8=")</f>
        <v>#REF!</v>
      </c>
      <c r="AW502" t="e">
        <f>AND(#REF!,"AAAAAG369zA=")</f>
        <v>#REF!</v>
      </c>
      <c r="AX502" t="e">
        <f>AND(#REF!,"AAAAAG369zE=")</f>
        <v>#REF!</v>
      </c>
      <c r="AY502" t="e">
        <f>AND(#REF!,"AAAAAG369zI=")</f>
        <v>#REF!</v>
      </c>
      <c r="AZ502" t="e">
        <f>AND(#REF!,"AAAAAG369zM=")</f>
        <v>#REF!</v>
      </c>
      <c r="BA502" t="e">
        <f>AND(#REF!,"AAAAAG369zQ=")</f>
        <v>#REF!</v>
      </c>
      <c r="BB502" t="e">
        <f>AND(#REF!,"AAAAAG369zU=")</f>
        <v>#REF!</v>
      </c>
      <c r="BC502" t="e">
        <f>IF(#REF!,"AAAAAG369zY=",0)</f>
        <v>#REF!</v>
      </c>
      <c r="BD502" t="e">
        <f>AND(#REF!,"AAAAAG369zc=")</f>
        <v>#REF!</v>
      </c>
      <c r="BE502" t="e">
        <f>AND(#REF!,"AAAAAG369zg=")</f>
        <v>#REF!</v>
      </c>
      <c r="BF502" t="e">
        <f>AND(#REF!,"AAAAAG369zk=")</f>
        <v>#REF!</v>
      </c>
      <c r="BG502" t="e">
        <f>AND(#REF!,"AAAAAG369zo=")</f>
        <v>#REF!</v>
      </c>
      <c r="BH502" t="e">
        <f>AND(#REF!,"AAAAAG369zs=")</f>
        <v>#REF!</v>
      </c>
      <c r="BI502" t="e">
        <f>AND(#REF!,"AAAAAG369zw=")</f>
        <v>#REF!</v>
      </c>
      <c r="BJ502" t="e">
        <f>AND(#REF!,"AAAAAG369z0=")</f>
        <v>#REF!</v>
      </c>
      <c r="BK502" t="e">
        <f>AND(#REF!,"AAAAAG369z4=")</f>
        <v>#REF!</v>
      </c>
      <c r="BL502" t="e">
        <f>AND(#REF!,"AAAAAG369z8=")</f>
        <v>#REF!</v>
      </c>
      <c r="BM502" t="e">
        <f>AND(#REF!,"AAAAAG3690A=")</f>
        <v>#REF!</v>
      </c>
      <c r="BN502" t="e">
        <f>AND(#REF!,"AAAAAG3690E=")</f>
        <v>#REF!</v>
      </c>
      <c r="BO502" t="e">
        <f>AND(#REF!,"AAAAAG3690I=")</f>
        <v>#REF!</v>
      </c>
      <c r="BP502" t="e">
        <f>AND(#REF!,"AAAAAG3690M=")</f>
        <v>#REF!</v>
      </c>
      <c r="BQ502" t="e">
        <f>AND(#REF!,"AAAAAG3690Q=")</f>
        <v>#REF!</v>
      </c>
      <c r="BR502" t="e">
        <f>AND(#REF!,"AAAAAG3690U=")</f>
        <v>#REF!</v>
      </c>
      <c r="BS502" t="e">
        <f>AND(#REF!,"AAAAAG3690Y=")</f>
        <v>#REF!</v>
      </c>
      <c r="BT502" t="e">
        <f>AND(#REF!,"AAAAAG3690c=")</f>
        <v>#REF!</v>
      </c>
      <c r="BU502" t="e">
        <f>AND(#REF!,"AAAAAG3690g=")</f>
        <v>#REF!</v>
      </c>
      <c r="BV502" t="e">
        <f>AND(#REF!,"AAAAAG3690k=")</f>
        <v>#REF!</v>
      </c>
      <c r="BW502" t="e">
        <f>AND(#REF!,"AAAAAG3690o=")</f>
        <v>#REF!</v>
      </c>
      <c r="BX502" t="e">
        <f>AND(#REF!,"AAAAAG3690s=")</f>
        <v>#REF!</v>
      </c>
      <c r="BY502" t="e">
        <f>AND(#REF!,"AAAAAG3690w=")</f>
        <v>#REF!</v>
      </c>
      <c r="BZ502" t="e">
        <f>AND(#REF!,"AAAAAG36900=")</f>
        <v>#REF!</v>
      </c>
      <c r="CA502" t="e">
        <f>AND(#REF!,"AAAAAG36904=")</f>
        <v>#REF!</v>
      </c>
      <c r="CB502" t="e">
        <f>IF(#REF!,"AAAAAG36908=",0)</f>
        <v>#REF!</v>
      </c>
      <c r="CC502" t="e">
        <f>AND(#REF!,"AAAAAG3691A=")</f>
        <v>#REF!</v>
      </c>
      <c r="CD502" t="e">
        <f>AND(#REF!,"AAAAAG3691E=")</f>
        <v>#REF!</v>
      </c>
      <c r="CE502" t="e">
        <f>AND(#REF!,"AAAAAG3691I=")</f>
        <v>#REF!</v>
      </c>
      <c r="CF502" t="e">
        <f>AND(#REF!,"AAAAAG3691M=")</f>
        <v>#REF!</v>
      </c>
      <c r="CG502" t="e">
        <f>AND(#REF!,"AAAAAG3691Q=")</f>
        <v>#REF!</v>
      </c>
      <c r="CH502" t="e">
        <f>AND(#REF!,"AAAAAG3691U=")</f>
        <v>#REF!</v>
      </c>
      <c r="CI502" t="e">
        <f>AND(#REF!,"AAAAAG3691Y=")</f>
        <v>#REF!</v>
      </c>
      <c r="CJ502" t="e">
        <f>AND(#REF!,"AAAAAG3691c=")</f>
        <v>#REF!</v>
      </c>
      <c r="CK502" t="e">
        <f>AND(#REF!,"AAAAAG3691g=")</f>
        <v>#REF!</v>
      </c>
      <c r="CL502" t="e">
        <f>AND(#REF!,"AAAAAG3691k=")</f>
        <v>#REF!</v>
      </c>
      <c r="CM502" t="e">
        <f>AND(#REF!,"AAAAAG3691o=")</f>
        <v>#REF!</v>
      </c>
      <c r="CN502" t="e">
        <f>AND(#REF!,"AAAAAG3691s=")</f>
        <v>#REF!</v>
      </c>
      <c r="CO502" t="e">
        <f>AND(#REF!,"AAAAAG3691w=")</f>
        <v>#REF!</v>
      </c>
      <c r="CP502" t="e">
        <f>AND(#REF!,"AAAAAG36910=")</f>
        <v>#REF!</v>
      </c>
      <c r="CQ502" t="e">
        <f>AND(#REF!,"AAAAAG36914=")</f>
        <v>#REF!</v>
      </c>
      <c r="CR502" t="e">
        <f>AND(#REF!,"AAAAAG36918=")</f>
        <v>#REF!</v>
      </c>
      <c r="CS502" t="e">
        <f>AND(#REF!,"AAAAAG3692A=")</f>
        <v>#REF!</v>
      </c>
      <c r="CT502" t="e">
        <f>AND(#REF!,"AAAAAG3692E=")</f>
        <v>#REF!</v>
      </c>
      <c r="CU502" t="e">
        <f>AND(#REF!,"AAAAAG3692I=")</f>
        <v>#REF!</v>
      </c>
      <c r="CV502" t="e">
        <f>AND(#REF!,"AAAAAG3692M=")</f>
        <v>#REF!</v>
      </c>
      <c r="CW502" t="e">
        <f>AND(#REF!,"AAAAAG3692Q=")</f>
        <v>#REF!</v>
      </c>
      <c r="CX502" t="e">
        <f>AND(#REF!,"AAAAAG3692U=")</f>
        <v>#REF!</v>
      </c>
      <c r="CY502" t="e">
        <f>AND(#REF!,"AAAAAG3692Y=")</f>
        <v>#REF!</v>
      </c>
      <c r="CZ502" t="e">
        <f>AND(#REF!,"AAAAAG3692c=")</f>
        <v>#REF!</v>
      </c>
      <c r="DA502" t="e">
        <f>IF(#REF!,"AAAAAG3692g=",0)</f>
        <v>#REF!</v>
      </c>
      <c r="DB502" t="e">
        <f>AND(#REF!,"AAAAAG3692k=")</f>
        <v>#REF!</v>
      </c>
      <c r="DC502" t="e">
        <f>AND(#REF!,"AAAAAG3692o=")</f>
        <v>#REF!</v>
      </c>
      <c r="DD502" t="e">
        <f>AND(#REF!,"AAAAAG3692s=")</f>
        <v>#REF!</v>
      </c>
      <c r="DE502" t="e">
        <f>AND(#REF!,"AAAAAG3692w=")</f>
        <v>#REF!</v>
      </c>
      <c r="DF502" t="e">
        <f>AND(#REF!,"AAAAAG36920=")</f>
        <v>#REF!</v>
      </c>
      <c r="DG502" t="e">
        <f>AND(#REF!,"AAAAAG36924=")</f>
        <v>#REF!</v>
      </c>
      <c r="DH502" t="e">
        <f>AND(#REF!,"AAAAAG36928=")</f>
        <v>#REF!</v>
      </c>
      <c r="DI502" t="e">
        <f>AND(#REF!,"AAAAAG3693A=")</f>
        <v>#REF!</v>
      </c>
      <c r="DJ502" t="e">
        <f>AND(#REF!,"AAAAAG3693E=")</f>
        <v>#REF!</v>
      </c>
      <c r="DK502" t="e">
        <f>AND(#REF!,"AAAAAG3693I=")</f>
        <v>#REF!</v>
      </c>
      <c r="DL502" t="e">
        <f>AND(#REF!,"AAAAAG3693M=")</f>
        <v>#REF!</v>
      </c>
      <c r="DM502" t="e">
        <f>AND(#REF!,"AAAAAG3693Q=")</f>
        <v>#REF!</v>
      </c>
      <c r="DN502" t="e">
        <f>AND(#REF!,"AAAAAG3693U=")</f>
        <v>#REF!</v>
      </c>
      <c r="DO502" t="e">
        <f>AND(#REF!,"AAAAAG3693Y=")</f>
        <v>#REF!</v>
      </c>
      <c r="DP502" t="e">
        <f>AND(#REF!,"AAAAAG3693c=")</f>
        <v>#REF!</v>
      </c>
      <c r="DQ502" t="e">
        <f>AND(#REF!,"AAAAAG3693g=")</f>
        <v>#REF!</v>
      </c>
      <c r="DR502" t="e">
        <f>AND(#REF!,"AAAAAG3693k=")</f>
        <v>#REF!</v>
      </c>
      <c r="DS502" t="e">
        <f>AND(#REF!,"AAAAAG3693o=")</f>
        <v>#REF!</v>
      </c>
      <c r="DT502" t="e">
        <f>AND(#REF!,"AAAAAG3693s=")</f>
        <v>#REF!</v>
      </c>
      <c r="DU502" t="e">
        <f>AND(#REF!,"AAAAAG3693w=")</f>
        <v>#REF!</v>
      </c>
      <c r="DV502" t="e">
        <f>AND(#REF!,"AAAAAG36930=")</f>
        <v>#REF!</v>
      </c>
      <c r="DW502" t="e">
        <f>AND(#REF!,"AAAAAG36934=")</f>
        <v>#REF!</v>
      </c>
      <c r="DX502" t="e">
        <f>AND(#REF!,"AAAAAG36938=")</f>
        <v>#REF!</v>
      </c>
      <c r="DY502" t="e">
        <f>AND(#REF!,"AAAAAG3694A=")</f>
        <v>#REF!</v>
      </c>
      <c r="DZ502" t="e">
        <f>IF(#REF!,"AAAAAG3694E=",0)</f>
        <v>#REF!</v>
      </c>
      <c r="EA502" t="e">
        <f>AND(#REF!,"AAAAAG3694I=")</f>
        <v>#REF!</v>
      </c>
      <c r="EB502" t="e">
        <f>AND(#REF!,"AAAAAG3694M=")</f>
        <v>#REF!</v>
      </c>
      <c r="EC502" t="e">
        <f>AND(#REF!,"AAAAAG3694Q=")</f>
        <v>#REF!</v>
      </c>
      <c r="ED502" t="e">
        <f>AND(#REF!,"AAAAAG3694U=")</f>
        <v>#REF!</v>
      </c>
      <c r="EE502" t="e">
        <f>AND(#REF!,"AAAAAG3694Y=")</f>
        <v>#REF!</v>
      </c>
      <c r="EF502" t="e">
        <f>AND(#REF!,"AAAAAG3694c=")</f>
        <v>#REF!</v>
      </c>
      <c r="EG502" t="e">
        <f>AND(#REF!,"AAAAAG3694g=")</f>
        <v>#REF!</v>
      </c>
      <c r="EH502" t="e">
        <f>AND(#REF!,"AAAAAG3694k=")</f>
        <v>#REF!</v>
      </c>
      <c r="EI502" t="e">
        <f>AND(#REF!,"AAAAAG3694o=")</f>
        <v>#REF!</v>
      </c>
      <c r="EJ502" t="e">
        <f>AND(#REF!,"AAAAAG3694s=")</f>
        <v>#REF!</v>
      </c>
      <c r="EK502" t="e">
        <f>AND(#REF!,"AAAAAG3694w=")</f>
        <v>#REF!</v>
      </c>
      <c r="EL502" t="e">
        <f>AND(#REF!,"AAAAAG36940=")</f>
        <v>#REF!</v>
      </c>
      <c r="EM502" t="e">
        <f>AND(#REF!,"AAAAAG36944=")</f>
        <v>#REF!</v>
      </c>
      <c r="EN502" t="e">
        <f>AND(#REF!,"AAAAAG36948=")</f>
        <v>#REF!</v>
      </c>
      <c r="EO502" t="e">
        <f>AND(#REF!,"AAAAAG3695A=")</f>
        <v>#REF!</v>
      </c>
      <c r="EP502" t="e">
        <f>AND(#REF!,"AAAAAG3695E=")</f>
        <v>#REF!</v>
      </c>
      <c r="EQ502" t="e">
        <f>AND(#REF!,"AAAAAG3695I=")</f>
        <v>#REF!</v>
      </c>
      <c r="ER502" t="e">
        <f>AND(#REF!,"AAAAAG3695M=")</f>
        <v>#REF!</v>
      </c>
      <c r="ES502" t="e">
        <f>AND(#REF!,"AAAAAG3695Q=")</f>
        <v>#REF!</v>
      </c>
      <c r="ET502" t="e">
        <f>AND(#REF!,"AAAAAG3695U=")</f>
        <v>#REF!</v>
      </c>
      <c r="EU502" t="e">
        <f>AND(#REF!,"AAAAAG3695Y=")</f>
        <v>#REF!</v>
      </c>
      <c r="EV502" t="e">
        <f>AND(#REF!,"AAAAAG3695c=")</f>
        <v>#REF!</v>
      </c>
      <c r="EW502" t="e">
        <f>AND(#REF!,"AAAAAG3695g=")</f>
        <v>#REF!</v>
      </c>
      <c r="EX502" t="e">
        <f>AND(#REF!,"AAAAAG3695k=")</f>
        <v>#REF!</v>
      </c>
      <c r="EY502" t="e">
        <f>IF(#REF!,"AAAAAG3695o=",0)</f>
        <v>#REF!</v>
      </c>
      <c r="EZ502" t="e">
        <f>AND(#REF!,"AAAAAG3695s=")</f>
        <v>#REF!</v>
      </c>
      <c r="FA502" t="e">
        <f>AND(#REF!,"AAAAAG3695w=")</f>
        <v>#REF!</v>
      </c>
      <c r="FB502" t="e">
        <f>AND(#REF!,"AAAAAG36950=")</f>
        <v>#REF!</v>
      </c>
      <c r="FC502" t="e">
        <f>AND(#REF!,"AAAAAG36954=")</f>
        <v>#REF!</v>
      </c>
      <c r="FD502" t="e">
        <f>AND(#REF!,"AAAAAG36958=")</f>
        <v>#REF!</v>
      </c>
      <c r="FE502" t="e">
        <f>AND(#REF!,"AAAAAG3696A=")</f>
        <v>#REF!</v>
      </c>
      <c r="FF502" t="e">
        <f>AND(#REF!,"AAAAAG3696E=")</f>
        <v>#REF!</v>
      </c>
      <c r="FG502" t="e">
        <f>AND(#REF!,"AAAAAG3696I=")</f>
        <v>#REF!</v>
      </c>
      <c r="FH502" t="e">
        <f>AND(#REF!,"AAAAAG3696M=")</f>
        <v>#REF!</v>
      </c>
      <c r="FI502" t="e">
        <f>AND(#REF!,"AAAAAG3696Q=")</f>
        <v>#REF!</v>
      </c>
      <c r="FJ502" t="e">
        <f>AND(#REF!,"AAAAAG3696U=")</f>
        <v>#REF!</v>
      </c>
      <c r="FK502" t="e">
        <f>AND(#REF!,"AAAAAG3696Y=")</f>
        <v>#REF!</v>
      </c>
      <c r="FL502" t="e">
        <f>AND(#REF!,"AAAAAG3696c=")</f>
        <v>#REF!</v>
      </c>
      <c r="FM502" t="e">
        <f>AND(#REF!,"AAAAAG3696g=")</f>
        <v>#REF!</v>
      </c>
      <c r="FN502" t="e">
        <f>AND(#REF!,"AAAAAG3696k=")</f>
        <v>#REF!</v>
      </c>
      <c r="FO502" t="e">
        <f>AND(#REF!,"AAAAAG3696o=")</f>
        <v>#REF!</v>
      </c>
      <c r="FP502" t="e">
        <f>AND(#REF!,"AAAAAG3696s=")</f>
        <v>#REF!</v>
      </c>
      <c r="FQ502" t="e">
        <f>AND(#REF!,"AAAAAG3696w=")</f>
        <v>#REF!</v>
      </c>
      <c r="FR502" t="e">
        <f>AND(#REF!,"AAAAAG36960=")</f>
        <v>#REF!</v>
      </c>
      <c r="FS502" t="e">
        <f>AND(#REF!,"AAAAAG36964=")</f>
        <v>#REF!</v>
      </c>
      <c r="FT502" t="e">
        <f>AND(#REF!,"AAAAAG36968=")</f>
        <v>#REF!</v>
      </c>
      <c r="FU502" t="e">
        <f>AND(#REF!,"AAAAAG3697A=")</f>
        <v>#REF!</v>
      </c>
      <c r="FV502" t="e">
        <f>AND(#REF!,"AAAAAG3697E=")</f>
        <v>#REF!</v>
      </c>
      <c r="FW502" t="e">
        <f>AND(#REF!,"AAAAAG3697I=")</f>
        <v>#REF!</v>
      </c>
      <c r="FX502" t="e">
        <f>IF(#REF!,"AAAAAG3697M=",0)</f>
        <v>#REF!</v>
      </c>
      <c r="FY502" t="e">
        <f>AND(#REF!,"AAAAAG3697Q=")</f>
        <v>#REF!</v>
      </c>
      <c r="FZ502" t="e">
        <f>AND(#REF!,"AAAAAG3697U=")</f>
        <v>#REF!</v>
      </c>
      <c r="GA502" t="e">
        <f>AND(#REF!,"AAAAAG3697Y=")</f>
        <v>#REF!</v>
      </c>
      <c r="GB502" t="e">
        <f>AND(#REF!,"AAAAAG3697c=")</f>
        <v>#REF!</v>
      </c>
      <c r="GC502" t="e">
        <f>AND(#REF!,"AAAAAG3697g=")</f>
        <v>#REF!</v>
      </c>
      <c r="GD502" t="e">
        <f>AND(#REF!,"AAAAAG3697k=")</f>
        <v>#REF!</v>
      </c>
      <c r="GE502" t="e">
        <f>AND(#REF!,"AAAAAG3697o=")</f>
        <v>#REF!</v>
      </c>
      <c r="GF502" t="e">
        <f>AND(#REF!,"AAAAAG3697s=")</f>
        <v>#REF!</v>
      </c>
      <c r="GG502" t="e">
        <f>AND(#REF!,"AAAAAG3697w=")</f>
        <v>#REF!</v>
      </c>
      <c r="GH502" t="e">
        <f>AND(#REF!,"AAAAAG36970=")</f>
        <v>#REF!</v>
      </c>
      <c r="GI502" t="e">
        <f>AND(#REF!,"AAAAAG36974=")</f>
        <v>#REF!</v>
      </c>
      <c r="GJ502" t="e">
        <f>AND(#REF!,"AAAAAG36978=")</f>
        <v>#REF!</v>
      </c>
      <c r="GK502" t="e">
        <f>AND(#REF!,"AAAAAG3698A=")</f>
        <v>#REF!</v>
      </c>
      <c r="GL502" t="e">
        <f>AND(#REF!,"AAAAAG3698E=")</f>
        <v>#REF!</v>
      </c>
      <c r="GM502" t="e">
        <f>AND(#REF!,"AAAAAG3698I=")</f>
        <v>#REF!</v>
      </c>
      <c r="GN502" t="e">
        <f>AND(#REF!,"AAAAAG3698M=")</f>
        <v>#REF!</v>
      </c>
      <c r="GO502" t="e">
        <f>AND(#REF!,"AAAAAG3698Q=")</f>
        <v>#REF!</v>
      </c>
      <c r="GP502" t="e">
        <f>AND(#REF!,"AAAAAG3698U=")</f>
        <v>#REF!</v>
      </c>
      <c r="GQ502" t="e">
        <f>AND(#REF!,"AAAAAG3698Y=")</f>
        <v>#REF!</v>
      </c>
      <c r="GR502" t="e">
        <f>AND(#REF!,"AAAAAG3698c=")</f>
        <v>#REF!</v>
      </c>
      <c r="GS502" t="e">
        <f>AND(#REF!,"AAAAAG3698g=")</f>
        <v>#REF!</v>
      </c>
      <c r="GT502" t="e">
        <f>AND(#REF!,"AAAAAG3698k=")</f>
        <v>#REF!</v>
      </c>
      <c r="GU502" t="e">
        <f>AND(#REF!,"AAAAAG3698o=")</f>
        <v>#REF!</v>
      </c>
      <c r="GV502" t="e">
        <f>AND(#REF!,"AAAAAG3698s=")</f>
        <v>#REF!</v>
      </c>
      <c r="GW502" t="e">
        <f>IF(#REF!,"AAAAAG3698w=",0)</f>
        <v>#REF!</v>
      </c>
      <c r="GX502" t="e">
        <f>AND(#REF!,"AAAAAG36980=")</f>
        <v>#REF!</v>
      </c>
      <c r="GY502" t="e">
        <f>AND(#REF!,"AAAAAG36984=")</f>
        <v>#REF!</v>
      </c>
      <c r="GZ502" t="e">
        <f>AND(#REF!,"AAAAAG36988=")</f>
        <v>#REF!</v>
      </c>
      <c r="HA502" t="e">
        <f>AND(#REF!,"AAAAAG3699A=")</f>
        <v>#REF!</v>
      </c>
      <c r="HB502" t="e">
        <f>AND(#REF!,"AAAAAG3699E=")</f>
        <v>#REF!</v>
      </c>
      <c r="HC502" t="e">
        <f>AND(#REF!,"AAAAAG3699I=")</f>
        <v>#REF!</v>
      </c>
      <c r="HD502" t="e">
        <f>AND(#REF!,"AAAAAG3699M=")</f>
        <v>#REF!</v>
      </c>
      <c r="HE502" t="e">
        <f>AND(#REF!,"AAAAAG3699Q=")</f>
        <v>#REF!</v>
      </c>
      <c r="HF502" t="e">
        <f>AND(#REF!,"AAAAAG3699U=")</f>
        <v>#REF!</v>
      </c>
      <c r="HG502" t="e">
        <f>AND(#REF!,"AAAAAG3699Y=")</f>
        <v>#REF!</v>
      </c>
      <c r="HH502" t="e">
        <f>AND(#REF!,"AAAAAG3699c=")</f>
        <v>#REF!</v>
      </c>
      <c r="HI502" t="e">
        <f>AND(#REF!,"AAAAAG3699g=")</f>
        <v>#REF!</v>
      </c>
      <c r="HJ502" t="e">
        <f>AND(#REF!,"AAAAAG3699k=")</f>
        <v>#REF!</v>
      </c>
      <c r="HK502" t="e">
        <f>AND(#REF!,"AAAAAG3699o=")</f>
        <v>#REF!</v>
      </c>
      <c r="HL502" t="e">
        <f>AND(#REF!,"AAAAAG3699s=")</f>
        <v>#REF!</v>
      </c>
      <c r="HM502" t="e">
        <f>AND(#REF!,"AAAAAG3699w=")</f>
        <v>#REF!</v>
      </c>
      <c r="HN502" t="e">
        <f>AND(#REF!,"AAAAAG36990=")</f>
        <v>#REF!</v>
      </c>
      <c r="HO502" t="e">
        <f>AND(#REF!,"AAAAAG36994=")</f>
        <v>#REF!</v>
      </c>
      <c r="HP502" t="e">
        <f>AND(#REF!,"AAAAAG36998=")</f>
        <v>#REF!</v>
      </c>
      <c r="HQ502" t="e">
        <f>AND(#REF!,"AAAAAG369+A=")</f>
        <v>#REF!</v>
      </c>
      <c r="HR502" t="e">
        <f>AND(#REF!,"AAAAAG369+E=")</f>
        <v>#REF!</v>
      </c>
      <c r="HS502" t="e">
        <f>AND(#REF!,"AAAAAG369+I=")</f>
        <v>#REF!</v>
      </c>
      <c r="HT502" t="e">
        <f>AND(#REF!,"AAAAAG369+M=")</f>
        <v>#REF!</v>
      </c>
      <c r="HU502" t="e">
        <f>AND(#REF!,"AAAAAG369+Q=")</f>
        <v>#REF!</v>
      </c>
      <c r="HV502" t="e">
        <f>IF(#REF!,"AAAAAG369+U=",0)</f>
        <v>#REF!</v>
      </c>
      <c r="HW502" t="e">
        <f>AND(#REF!,"AAAAAG369+Y=")</f>
        <v>#REF!</v>
      </c>
      <c r="HX502" t="e">
        <f>AND(#REF!,"AAAAAG369+c=")</f>
        <v>#REF!</v>
      </c>
      <c r="HY502" t="e">
        <f>AND(#REF!,"AAAAAG369+g=")</f>
        <v>#REF!</v>
      </c>
      <c r="HZ502" t="e">
        <f>AND(#REF!,"AAAAAG369+k=")</f>
        <v>#REF!</v>
      </c>
      <c r="IA502" t="e">
        <f>AND(#REF!,"AAAAAG369+o=")</f>
        <v>#REF!</v>
      </c>
      <c r="IB502" t="e">
        <f>AND(#REF!,"AAAAAG369+s=")</f>
        <v>#REF!</v>
      </c>
      <c r="IC502" t="e">
        <f>AND(#REF!,"AAAAAG369+w=")</f>
        <v>#REF!</v>
      </c>
      <c r="ID502" t="e">
        <f>AND(#REF!,"AAAAAG369+0=")</f>
        <v>#REF!</v>
      </c>
      <c r="IE502" t="e">
        <f>AND(#REF!,"AAAAAG369+4=")</f>
        <v>#REF!</v>
      </c>
      <c r="IF502" t="e">
        <f>AND(#REF!,"AAAAAG369+8=")</f>
        <v>#REF!</v>
      </c>
      <c r="IG502" t="e">
        <f>AND(#REF!,"AAAAAG369/A=")</f>
        <v>#REF!</v>
      </c>
      <c r="IH502" t="e">
        <f>AND(#REF!,"AAAAAG369/E=")</f>
        <v>#REF!</v>
      </c>
      <c r="II502" t="e">
        <f>AND(#REF!,"AAAAAG369/I=")</f>
        <v>#REF!</v>
      </c>
      <c r="IJ502" t="e">
        <f>AND(#REF!,"AAAAAG369/M=")</f>
        <v>#REF!</v>
      </c>
      <c r="IK502" t="e">
        <f>AND(#REF!,"AAAAAG369/Q=")</f>
        <v>#REF!</v>
      </c>
      <c r="IL502" t="e">
        <f>AND(#REF!,"AAAAAG369/U=")</f>
        <v>#REF!</v>
      </c>
      <c r="IM502" t="e">
        <f>AND(#REF!,"AAAAAG369/Y=")</f>
        <v>#REF!</v>
      </c>
      <c r="IN502" t="e">
        <f>AND(#REF!,"AAAAAG369/c=")</f>
        <v>#REF!</v>
      </c>
      <c r="IO502" t="e">
        <f>AND(#REF!,"AAAAAG369/g=")</f>
        <v>#REF!</v>
      </c>
      <c r="IP502" t="e">
        <f>AND(#REF!,"AAAAAG369/k=")</f>
        <v>#REF!</v>
      </c>
      <c r="IQ502" t="e">
        <f>AND(#REF!,"AAAAAG369/o=")</f>
        <v>#REF!</v>
      </c>
      <c r="IR502" t="e">
        <f>AND(#REF!,"AAAAAG369/s=")</f>
        <v>#REF!</v>
      </c>
      <c r="IS502" t="e">
        <f>AND(#REF!,"AAAAAG369/w=")</f>
        <v>#REF!</v>
      </c>
      <c r="IT502" t="e">
        <f>AND(#REF!,"AAAAAG369/0=")</f>
        <v>#REF!</v>
      </c>
      <c r="IU502" t="e">
        <f>IF(#REF!,"AAAAAG369/4=",0)</f>
        <v>#REF!</v>
      </c>
      <c r="IV502" t="e">
        <f>AND(#REF!,"AAAAAG369/8=")</f>
        <v>#REF!</v>
      </c>
    </row>
    <row r="503" spans="1:256">
      <c r="A503" t="e">
        <f>AND(#REF!,"AAAAAHZf5gA=")</f>
        <v>#REF!</v>
      </c>
      <c r="B503" t="e">
        <f>AND(#REF!,"AAAAAHZf5gE=")</f>
        <v>#REF!</v>
      </c>
      <c r="C503" t="e">
        <f>AND(#REF!,"AAAAAHZf5gI=")</f>
        <v>#REF!</v>
      </c>
      <c r="D503" t="e">
        <f>AND(#REF!,"AAAAAHZf5gM=")</f>
        <v>#REF!</v>
      </c>
      <c r="E503" t="e">
        <f>AND(#REF!,"AAAAAHZf5gQ=")</f>
        <v>#REF!</v>
      </c>
      <c r="F503" t="e">
        <f>AND(#REF!,"AAAAAHZf5gU=")</f>
        <v>#REF!</v>
      </c>
      <c r="G503" t="e">
        <f>AND(#REF!,"AAAAAHZf5gY=")</f>
        <v>#REF!</v>
      </c>
      <c r="H503" t="e">
        <f>AND(#REF!,"AAAAAHZf5gc=")</f>
        <v>#REF!</v>
      </c>
      <c r="I503" t="e">
        <f>AND(#REF!,"AAAAAHZf5gg=")</f>
        <v>#REF!</v>
      </c>
      <c r="J503" t="e">
        <f>AND(#REF!,"AAAAAHZf5gk=")</f>
        <v>#REF!</v>
      </c>
      <c r="K503" t="e">
        <f>AND(#REF!,"AAAAAHZf5go=")</f>
        <v>#REF!</v>
      </c>
      <c r="L503" t="e">
        <f>AND(#REF!,"AAAAAHZf5gs=")</f>
        <v>#REF!</v>
      </c>
      <c r="M503" t="e">
        <f>AND(#REF!,"AAAAAHZf5gw=")</f>
        <v>#REF!</v>
      </c>
      <c r="N503" t="e">
        <f>AND(#REF!,"AAAAAHZf5g0=")</f>
        <v>#REF!</v>
      </c>
      <c r="O503" t="e">
        <f>AND(#REF!,"AAAAAHZf5g4=")</f>
        <v>#REF!</v>
      </c>
      <c r="P503" t="e">
        <f>AND(#REF!,"AAAAAHZf5g8=")</f>
        <v>#REF!</v>
      </c>
      <c r="Q503" t="e">
        <f>AND(#REF!,"AAAAAHZf5hA=")</f>
        <v>#REF!</v>
      </c>
      <c r="R503" t="e">
        <f>AND(#REF!,"AAAAAHZf5hE=")</f>
        <v>#REF!</v>
      </c>
      <c r="S503" t="e">
        <f>AND(#REF!,"AAAAAHZf5hI=")</f>
        <v>#REF!</v>
      </c>
      <c r="T503" t="e">
        <f>AND(#REF!,"AAAAAHZf5hM=")</f>
        <v>#REF!</v>
      </c>
      <c r="U503" t="e">
        <f>AND(#REF!,"AAAAAHZf5hQ=")</f>
        <v>#REF!</v>
      </c>
      <c r="V503" t="e">
        <f>AND(#REF!,"AAAAAHZf5hU=")</f>
        <v>#REF!</v>
      </c>
      <c r="W503" t="e">
        <f>AND(#REF!,"AAAAAHZf5hY=")</f>
        <v>#REF!</v>
      </c>
      <c r="X503" t="e">
        <f>IF(#REF!,"AAAAAHZf5hc=",0)</f>
        <v>#REF!</v>
      </c>
      <c r="Y503" t="e">
        <f>AND(#REF!,"AAAAAHZf5hg=")</f>
        <v>#REF!</v>
      </c>
      <c r="Z503" t="e">
        <f>AND(#REF!,"AAAAAHZf5hk=")</f>
        <v>#REF!</v>
      </c>
      <c r="AA503" t="e">
        <f>AND(#REF!,"AAAAAHZf5ho=")</f>
        <v>#REF!</v>
      </c>
      <c r="AB503" t="e">
        <f>AND(#REF!,"AAAAAHZf5hs=")</f>
        <v>#REF!</v>
      </c>
      <c r="AC503" t="e">
        <f>AND(#REF!,"AAAAAHZf5hw=")</f>
        <v>#REF!</v>
      </c>
      <c r="AD503" t="e">
        <f>AND(#REF!,"AAAAAHZf5h0=")</f>
        <v>#REF!</v>
      </c>
      <c r="AE503" t="e">
        <f>AND(#REF!,"AAAAAHZf5h4=")</f>
        <v>#REF!</v>
      </c>
      <c r="AF503" t="e">
        <f>AND(#REF!,"AAAAAHZf5h8=")</f>
        <v>#REF!</v>
      </c>
      <c r="AG503" t="e">
        <f>AND(#REF!,"AAAAAHZf5iA=")</f>
        <v>#REF!</v>
      </c>
      <c r="AH503" t="e">
        <f>AND(#REF!,"AAAAAHZf5iE=")</f>
        <v>#REF!</v>
      </c>
      <c r="AI503" t="e">
        <f>AND(#REF!,"AAAAAHZf5iI=")</f>
        <v>#REF!</v>
      </c>
      <c r="AJ503" t="e">
        <f>AND(#REF!,"AAAAAHZf5iM=")</f>
        <v>#REF!</v>
      </c>
      <c r="AK503" t="e">
        <f>AND(#REF!,"AAAAAHZf5iQ=")</f>
        <v>#REF!</v>
      </c>
      <c r="AL503" t="e">
        <f>AND(#REF!,"AAAAAHZf5iU=")</f>
        <v>#REF!</v>
      </c>
      <c r="AM503" t="e">
        <f>AND(#REF!,"AAAAAHZf5iY=")</f>
        <v>#REF!</v>
      </c>
      <c r="AN503" t="e">
        <f>AND(#REF!,"AAAAAHZf5ic=")</f>
        <v>#REF!</v>
      </c>
      <c r="AO503" t="e">
        <f>AND(#REF!,"AAAAAHZf5ig=")</f>
        <v>#REF!</v>
      </c>
      <c r="AP503" t="e">
        <f>AND(#REF!,"AAAAAHZf5ik=")</f>
        <v>#REF!</v>
      </c>
      <c r="AQ503" t="e">
        <f>AND(#REF!,"AAAAAHZf5io=")</f>
        <v>#REF!</v>
      </c>
      <c r="AR503" t="e">
        <f>AND(#REF!,"AAAAAHZf5is=")</f>
        <v>#REF!</v>
      </c>
      <c r="AS503" t="e">
        <f>AND(#REF!,"AAAAAHZf5iw=")</f>
        <v>#REF!</v>
      </c>
      <c r="AT503" t="e">
        <f>AND(#REF!,"AAAAAHZf5i0=")</f>
        <v>#REF!</v>
      </c>
      <c r="AU503" t="e">
        <f>AND(#REF!,"AAAAAHZf5i4=")</f>
        <v>#REF!</v>
      </c>
      <c r="AV503" t="e">
        <f>AND(#REF!,"AAAAAHZf5i8=")</f>
        <v>#REF!</v>
      </c>
      <c r="AW503" t="e">
        <f>IF(#REF!,"AAAAAHZf5jA=",0)</f>
        <v>#REF!</v>
      </c>
      <c r="AX503" t="e">
        <f>AND(#REF!,"AAAAAHZf5jE=")</f>
        <v>#REF!</v>
      </c>
      <c r="AY503" t="e">
        <f>AND(#REF!,"AAAAAHZf5jI=")</f>
        <v>#REF!</v>
      </c>
      <c r="AZ503" t="e">
        <f>AND(#REF!,"AAAAAHZf5jM=")</f>
        <v>#REF!</v>
      </c>
      <c r="BA503" t="e">
        <f>AND(#REF!,"AAAAAHZf5jQ=")</f>
        <v>#REF!</v>
      </c>
      <c r="BB503" t="e">
        <f>AND(#REF!,"AAAAAHZf5jU=")</f>
        <v>#REF!</v>
      </c>
      <c r="BC503" t="e">
        <f>AND(#REF!,"AAAAAHZf5jY=")</f>
        <v>#REF!</v>
      </c>
      <c r="BD503" t="e">
        <f>AND(#REF!,"AAAAAHZf5jc=")</f>
        <v>#REF!</v>
      </c>
      <c r="BE503" t="e">
        <f>AND(#REF!,"AAAAAHZf5jg=")</f>
        <v>#REF!</v>
      </c>
      <c r="BF503" t="e">
        <f>AND(#REF!,"AAAAAHZf5jk=")</f>
        <v>#REF!</v>
      </c>
      <c r="BG503" t="e">
        <f>AND(#REF!,"AAAAAHZf5jo=")</f>
        <v>#REF!</v>
      </c>
      <c r="BH503" t="e">
        <f>AND(#REF!,"AAAAAHZf5js=")</f>
        <v>#REF!</v>
      </c>
      <c r="BI503" t="e">
        <f>AND(#REF!,"AAAAAHZf5jw=")</f>
        <v>#REF!</v>
      </c>
      <c r="BJ503" t="e">
        <f>AND(#REF!,"AAAAAHZf5j0=")</f>
        <v>#REF!</v>
      </c>
      <c r="BK503" t="e">
        <f>AND(#REF!,"AAAAAHZf5j4=")</f>
        <v>#REF!</v>
      </c>
      <c r="BL503" t="e">
        <f>AND(#REF!,"AAAAAHZf5j8=")</f>
        <v>#REF!</v>
      </c>
      <c r="BM503" t="e">
        <f>AND(#REF!,"AAAAAHZf5kA=")</f>
        <v>#REF!</v>
      </c>
      <c r="BN503" t="e">
        <f>AND(#REF!,"AAAAAHZf5kE=")</f>
        <v>#REF!</v>
      </c>
      <c r="BO503" t="e">
        <f>AND(#REF!,"AAAAAHZf5kI=")</f>
        <v>#REF!</v>
      </c>
      <c r="BP503" t="e">
        <f>AND(#REF!,"AAAAAHZf5kM=")</f>
        <v>#REF!</v>
      </c>
      <c r="BQ503" t="e">
        <f>AND(#REF!,"AAAAAHZf5kQ=")</f>
        <v>#REF!</v>
      </c>
      <c r="BR503" t="e">
        <f>AND(#REF!,"AAAAAHZf5kU=")</f>
        <v>#REF!</v>
      </c>
      <c r="BS503" t="e">
        <f>AND(#REF!,"AAAAAHZf5kY=")</f>
        <v>#REF!</v>
      </c>
      <c r="BT503" t="e">
        <f>AND(#REF!,"AAAAAHZf5kc=")</f>
        <v>#REF!</v>
      </c>
      <c r="BU503" t="e">
        <f>AND(#REF!,"AAAAAHZf5kg=")</f>
        <v>#REF!</v>
      </c>
      <c r="BV503" t="e">
        <f>IF(#REF!,"AAAAAHZf5kk=",0)</f>
        <v>#REF!</v>
      </c>
      <c r="BW503" t="e">
        <f>AND(#REF!,"AAAAAHZf5ko=")</f>
        <v>#REF!</v>
      </c>
      <c r="BX503" t="e">
        <f>AND(#REF!,"AAAAAHZf5ks=")</f>
        <v>#REF!</v>
      </c>
      <c r="BY503" t="e">
        <f>AND(#REF!,"AAAAAHZf5kw=")</f>
        <v>#REF!</v>
      </c>
      <c r="BZ503" t="e">
        <f>AND(#REF!,"AAAAAHZf5k0=")</f>
        <v>#REF!</v>
      </c>
      <c r="CA503" t="e">
        <f>AND(#REF!,"AAAAAHZf5k4=")</f>
        <v>#REF!</v>
      </c>
      <c r="CB503" t="e">
        <f>AND(#REF!,"AAAAAHZf5k8=")</f>
        <v>#REF!</v>
      </c>
      <c r="CC503" t="e">
        <f>AND(#REF!,"AAAAAHZf5lA=")</f>
        <v>#REF!</v>
      </c>
      <c r="CD503" t="e">
        <f>AND(#REF!,"AAAAAHZf5lE=")</f>
        <v>#REF!</v>
      </c>
      <c r="CE503" t="e">
        <f>AND(#REF!,"AAAAAHZf5lI=")</f>
        <v>#REF!</v>
      </c>
      <c r="CF503" t="e">
        <f>AND(#REF!,"AAAAAHZf5lM=")</f>
        <v>#REF!</v>
      </c>
      <c r="CG503" t="e">
        <f>AND(#REF!,"AAAAAHZf5lQ=")</f>
        <v>#REF!</v>
      </c>
      <c r="CH503" t="e">
        <f>AND(#REF!,"AAAAAHZf5lU=")</f>
        <v>#REF!</v>
      </c>
      <c r="CI503" t="e">
        <f>AND(#REF!,"AAAAAHZf5lY=")</f>
        <v>#REF!</v>
      </c>
      <c r="CJ503" t="e">
        <f>AND(#REF!,"AAAAAHZf5lc=")</f>
        <v>#REF!</v>
      </c>
      <c r="CK503" t="e">
        <f>AND(#REF!,"AAAAAHZf5lg=")</f>
        <v>#REF!</v>
      </c>
      <c r="CL503" t="e">
        <f>AND(#REF!,"AAAAAHZf5lk=")</f>
        <v>#REF!</v>
      </c>
      <c r="CM503" t="e">
        <f>AND(#REF!,"AAAAAHZf5lo=")</f>
        <v>#REF!</v>
      </c>
      <c r="CN503" t="e">
        <f>AND(#REF!,"AAAAAHZf5ls=")</f>
        <v>#REF!</v>
      </c>
      <c r="CO503" t="e">
        <f>AND(#REF!,"AAAAAHZf5lw=")</f>
        <v>#REF!</v>
      </c>
      <c r="CP503" t="e">
        <f>AND(#REF!,"AAAAAHZf5l0=")</f>
        <v>#REF!</v>
      </c>
      <c r="CQ503" t="e">
        <f>AND(#REF!,"AAAAAHZf5l4=")</f>
        <v>#REF!</v>
      </c>
      <c r="CR503" t="e">
        <f>AND(#REF!,"AAAAAHZf5l8=")</f>
        <v>#REF!</v>
      </c>
      <c r="CS503" t="e">
        <f>AND(#REF!,"AAAAAHZf5mA=")</f>
        <v>#REF!</v>
      </c>
      <c r="CT503" t="e">
        <f>AND(#REF!,"AAAAAHZf5mE=")</f>
        <v>#REF!</v>
      </c>
      <c r="CU503" t="e">
        <f>IF(#REF!,"AAAAAHZf5mI=",0)</f>
        <v>#REF!</v>
      </c>
      <c r="CV503" t="e">
        <f>AND(#REF!,"AAAAAHZf5mM=")</f>
        <v>#REF!</v>
      </c>
      <c r="CW503" t="e">
        <f>AND(#REF!,"AAAAAHZf5mQ=")</f>
        <v>#REF!</v>
      </c>
      <c r="CX503" t="e">
        <f>AND(#REF!,"AAAAAHZf5mU=")</f>
        <v>#REF!</v>
      </c>
      <c r="CY503" t="e">
        <f>AND(#REF!,"AAAAAHZf5mY=")</f>
        <v>#REF!</v>
      </c>
      <c r="CZ503" t="e">
        <f>AND(#REF!,"AAAAAHZf5mc=")</f>
        <v>#REF!</v>
      </c>
      <c r="DA503" t="e">
        <f>AND(#REF!,"AAAAAHZf5mg=")</f>
        <v>#REF!</v>
      </c>
      <c r="DB503" t="e">
        <f>AND(#REF!,"AAAAAHZf5mk=")</f>
        <v>#REF!</v>
      </c>
      <c r="DC503" t="e">
        <f>AND(#REF!,"AAAAAHZf5mo=")</f>
        <v>#REF!</v>
      </c>
      <c r="DD503" t="e">
        <f>AND(#REF!,"AAAAAHZf5ms=")</f>
        <v>#REF!</v>
      </c>
      <c r="DE503" t="e">
        <f>AND(#REF!,"AAAAAHZf5mw=")</f>
        <v>#REF!</v>
      </c>
      <c r="DF503" t="e">
        <f>AND(#REF!,"AAAAAHZf5m0=")</f>
        <v>#REF!</v>
      </c>
      <c r="DG503" t="e">
        <f>AND(#REF!,"AAAAAHZf5m4=")</f>
        <v>#REF!</v>
      </c>
      <c r="DH503" t="e">
        <f>AND(#REF!,"AAAAAHZf5m8=")</f>
        <v>#REF!</v>
      </c>
      <c r="DI503" t="e">
        <f>AND(#REF!,"AAAAAHZf5nA=")</f>
        <v>#REF!</v>
      </c>
      <c r="DJ503" t="e">
        <f>AND(#REF!,"AAAAAHZf5nE=")</f>
        <v>#REF!</v>
      </c>
      <c r="DK503" t="e">
        <f>AND(#REF!,"AAAAAHZf5nI=")</f>
        <v>#REF!</v>
      </c>
      <c r="DL503" t="e">
        <f>AND(#REF!,"AAAAAHZf5nM=")</f>
        <v>#REF!</v>
      </c>
      <c r="DM503" t="e">
        <f>AND(#REF!,"AAAAAHZf5nQ=")</f>
        <v>#REF!</v>
      </c>
      <c r="DN503" t="e">
        <f>AND(#REF!,"AAAAAHZf5nU=")</f>
        <v>#REF!</v>
      </c>
      <c r="DO503" t="e">
        <f>AND(#REF!,"AAAAAHZf5nY=")</f>
        <v>#REF!</v>
      </c>
      <c r="DP503" t="e">
        <f>AND(#REF!,"AAAAAHZf5nc=")</f>
        <v>#REF!</v>
      </c>
      <c r="DQ503" t="e">
        <f>AND(#REF!,"AAAAAHZf5ng=")</f>
        <v>#REF!</v>
      </c>
      <c r="DR503" t="e">
        <f>AND(#REF!,"AAAAAHZf5nk=")</f>
        <v>#REF!</v>
      </c>
      <c r="DS503" t="e">
        <f>AND(#REF!,"AAAAAHZf5no=")</f>
        <v>#REF!</v>
      </c>
      <c r="DT503" t="e">
        <f>IF(#REF!,"AAAAAHZf5ns=",0)</f>
        <v>#REF!</v>
      </c>
      <c r="DU503" t="e">
        <f>AND(#REF!,"AAAAAHZf5nw=")</f>
        <v>#REF!</v>
      </c>
      <c r="DV503" t="e">
        <f>AND(#REF!,"AAAAAHZf5n0=")</f>
        <v>#REF!</v>
      </c>
      <c r="DW503" t="e">
        <f>AND(#REF!,"AAAAAHZf5n4=")</f>
        <v>#REF!</v>
      </c>
      <c r="DX503" t="e">
        <f>AND(#REF!,"AAAAAHZf5n8=")</f>
        <v>#REF!</v>
      </c>
      <c r="DY503" t="e">
        <f>AND(#REF!,"AAAAAHZf5oA=")</f>
        <v>#REF!</v>
      </c>
      <c r="DZ503" t="e">
        <f>AND(#REF!,"AAAAAHZf5oE=")</f>
        <v>#REF!</v>
      </c>
      <c r="EA503" t="e">
        <f>AND(#REF!,"AAAAAHZf5oI=")</f>
        <v>#REF!</v>
      </c>
      <c r="EB503" t="e">
        <f>AND(#REF!,"AAAAAHZf5oM=")</f>
        <v>#REF!</v>
      </c>
      <c r="EC503" t="e">
        <f>AND(#REF!,"AAAAAHZf5oQ=")</f>
        <v>#REF!</v>
      </c>
      <c r="ED503" t="e">
        <f>AND(#REF!,"AAAAAHZf5oU=")</f>
        <v>#REF!</v>
      </c>
      <c r="EE503" t="e">
        <f>AND(#REF!,"AAAAAHZf5oY=")</f>
        <v>#REF!</v>
      </c>
      <c r="EF503" t="e">
        <f>AND(#REF!,"AAAAAHZf5oc=")</f>
        <v>#REF!</v>
      </c>
      <c r="EG503" t="e">
        <f>AND(#REF!,"AAAAAHZf5og=")</f>
        <v>#REF!</v>
      </c>
      <c r="EH503" t="e">
        <f>AND(#REF!,"AAAAAHZf5ok=")</f>
        <v>#REF!</v>
      </c>
      <c r="EI503" t="e">
        <f>AND(#REF!,"AAAAAHZf5oo=")</f>
        <v>#REF!</v>
      </c>
      <c r="EJ503" t="e">
        <f>AND(#REF!,"AAAAAHZf5os=")</f>
        <v>#REF!</v>
      </c>
      <c r="EK503" t="e">
        <f>AND(#REF!,"AAAAAHZf5ow=")</f>
        <v>#REF!</v>
      </c>
      <c r="EL503" t="e">
        <f>AND(#REF!,"AAAAAHZf5o0=")</f>
        <v>#REF!</v>
      </c>
      <c r="EM503" t="e">
        <f>AND(#REF!,"AAAAAHZf5o4=")</f>
        <v>#REF!</v>
      </c>
      <c r="EN503" t="e">
        <f>AND(#REF!,"AAAAAHZf5o8=")</f>
        <v>#REF!</v>
      </c>
      <c r="EO503" t="e">
        <f>AND(#REF!,"AAAAAHZf5pA=")</f>
        <v>#REF!</v>
      </c>
      <c r="EP503" t="e">
        <f>AND(#REF!,"AAAAAHZf5pE=")</f>
        <v>#REF!</v>
      </c>
      <c r="EQ503" t="e">
        <f>AND(#REF!,"AAAAAHZf5pI=")</f>
        <v>#REF!</v>
      </c>
      <c r="ER503" t="e">
        <f>AND(#REF!,"AAAAAHZf5pM=")</f>
        <v>#REF!</v>
      </c>
      <c r="ES503" t="e">
        <f>IF(#REF!,"AAAAAHZf5pQ=",0)</f>
        <v>#REF!</v>
      </c>
      <c r="ET503" t="e">
        <f>AND(#REF!,"AAAAAHZf5pU=")</f>
        <v>#REF!</v>
      </c>
      <c r="EU503" t="e">
        <f>AND(#REF!,"AAAAAHZf5pY=")</f>
        <v>#REF!</v>
      </c>
      <c r="EV503" t="e">
        <f>AND(#REF!,"AAAAAHZf5pc=")</f>
        <v>#REF!</v>
      </c>
      <c r="EW503" t="e">
        <f>AND(#REF!,"AAAAAHZf5pg=")</f>
        <v>#REF!</v>
      </c>
      <c r="EX503" t="e">
        <f>AND(#REF!,"AAAAAHZf5pk=")</f>
        <v>#REF!</v>
      </c>
      <c r="EY503" t="e">
        <f>AND(#REF!,"AAAAAHZf5po=")</f>
        <v>#REF!</v>
      </c>
      <c r="EZ503" t="e">
        <f>AND(#REF!,"AAAAAHZf5ps=")</f>
        <v>#REF!</v>
      </c>
      <c r="FA503" t="e">
        <f>AND(#REF!,"AAAAAHZf5pw=")</f>
        <v>#REF!</v>
      </c>
      <c r="FB503" t="e">
        <f>AND(#REF!,"AAAAAHZf5p0=")</f>
        <v>#REF!</v>
      </c>
      <c r="FC503" t="e">
        <f>AND(#REF!,"AAAAAHZf5p4=")</f>
        <v>#REF!</v>
      </c>
      <c r="FD503" t="e">
        <f>AND(#REF!,"AAAAAHZf5p8=")</f>
        <v>#REF!</v>
      </c>
      <c r="FE503" t="e">
        <f>AND(#REF!,"AAAAAHZf5qA=")</f>
        <v>#REF!</v>
      </c>
      <c r="FF503" t="e">
        <f>AND(#REF!,"AAAAAHZf5qE=")</f>
        <v>#REF!</v>
      </c>
      <c r="FG503" t="e">
        <f>AND(#REF!,"AAAAAHZf5qI=")</f>
        <v>#REF!</v>
      </c>
      <c r="FH503" t="e">
        <f>AND(#REF!,"AAAAAHZf5qM=")</f>
        <v>#REF!</v>
      </c>
      <c r="FI503" t="e">
        <f>AND(#REF!,"AAAAAHZf5qQ=")</f>
        <v>#REF!</v>
      </c>
      <c r="FJ503" t="e">
        <f>AND(#REF!,"AAAAAHZf5qU=")</f>
        <v>#REF!</v>
      </c>
      <c r="FK503" t="e">
        <f>AND(#REF!,"AAAAAHZf5qY=")</f>
        <v>#REF!</v>
      </c>
      <c r="FL503" t="e">
        <f>AND(#REF!,"AAAAAHZf5qc=")</f>
        <v>#REF!</v>
      </c>
      <c r="FM503" t="e">
        <f>AND(#REF!,"AAAAAHZf5qg=")</f>
        <v>#REF!</v>
      </c>
      <c r="FN503" t="e">
        <f>AND(#REF!,"AAAAAHZf5qk=")</f>
        <v>#REF!</v>
      </c>
      <c r="FO503" t="e">
        <f>AND(#REF!,"AAAAAHZf5qo=")</f>
        <v>#REF!</v>
      </c>
      <c r="FP503" t="e">
        <f>AND(#REF!,"AAAAAHZf5qs=")</f>
        <v>#REF!</v>
      </c>
      <c r="FQ503" t="e">
        <f>AND(#REF!,"AAAAAHZf5qw=")</f>
        <v>#REF!</v>
      </c>
      <c r="FR503" t="e">
        <f>IF(#REF!,"AAAAAHZf5q0=",0)</f>
        <v>#REF!</v>
      </c>
      <c r="FS503" t="e">
        <f>AND(#REF!,"AAAAAHZf5q4=")</f>
        <v>#REF!</v>
      </c>
      <c r="FT503" t="e">
        <f>AND(#REF!,"AAAAAHZf5q8=")</f>
        <v>#REF!</v>
      </c>
      <c r="FU503" t="e">
        <f>AND(#REF!,"AAAAAHZf5rA=")</f>
        <v>#REF!</v>
      </c>
      <c r="FV503" t="e">
        <f>AND(#REF!,"AAAAAHZf5rE=")</f>
        <v>#REF!</v>
      </c>
      <c r="FW503" t="e">
        <f>AND(#REF!,"AAAAAHZf5rI=")</f>
        <v>#REF!</v>
      </c>
      <c r="FX503" t="e">
        <f>AND(#REF!,"AAAAAHZf5rM=")</f>
        <v>#REF!</v>
      </c>
      <c r="FY503" t="e">
        <f>AND(#REF!,"AAAAAHZf5rQ=")</f>
        <v>#REF!</v>
      </c>
      <c r="FZ503" t="e">
        <f>AND(#REF!,"AAAAAHZf5rU=")</f>
        <v>#REF!</v>
      </c>
      <c r="GA503" t="e">
        <f>AND(#REF!,"AAAAAHZf5rY=")</f>
        <v>#REF!</v>
      </c>
      <c r="GB503" t="e">
        <f>AND(#REF!,"AAAAAHZf5rc=")</f>
        <v>#REF!</v>
      </c>
      <c r="GC503" t="e">
        <f>AND(#REF!,"AAAAAHZf5rg=")</f>
        <v>#REF!</v>
      </c>
      <c r="GD503" t="e">
        <f>AND(#REF!,"AAAAAHZf5rk=")</f>
        <v>#REF!</v>
      </c>
      <c r="GE503" t="e">
        <f>AND(#REF!,"AAAAAHZf5ro=")</f>
        <v>#REF!</v>
      </c>
      <c r="GF503" t="e">
        <f>AND(#REF!,"AAAAAHZf5rs=")</f>
        <v>#REF!</v>
      </c>
      <c r="GG503" t="e">
        <f>AND(#REF!,"AAAAAHZf5rw=")</f>
        <v>#REF!</v>
      </c>
      <c r="GH503" t="e">
        <f>AND(#REF!,"AAAAAHZf5r0=")</f>
        <v>#REF!</v>
      </c>
      <c r="GI503" t="e">
        <f>AND(#REF!,"AAAAAHZf5r4=")</f>
        <v>#REF!</v>
      </c>
      <c r="GJ503" t="e">
        <f>AND(#REF!,"AAAAAHZf5r8=")</f>
        <v>#REF!</v>
      </c>
      <c r="GK503" t="e">
        <f>AND(#REF!,"AAAAAHZf5sA=")</f>
        <v>#REF!</v>
      </c>
      <c r="GL503" t="e">
        <f>AND(#REF!,"AAAAAHZf5sE=")</f>
        <v>#REF!</v>
      </c>
      <c r="GM503" t="e">
        <f>AND(#REF!,"AAAAAHZf5sI=")</f>
        <v>#REF!</v>
      </c>
      <c r="GN503" t="e">
        <f>AND(#REF!,"AAAAAHZf5sM=")</f>
        <v>#REF!</v>
      </c>
      <c r="GO503" t="e">
        <f>AND(#REF!,"AAAAAHZf5sQ=")</f>
        <v>#REF!</v>
      </c>
      <c r="GP503" t="e">
        <f>AND(#REF!,"AAAAAHZf5sU=")</f>
        <v>#REF!</v>
      </c>
      <c r="GQ503" t="e">
        <f>IF(#REF!,"AAAAAHZf5sY=",0)</f>
        <v>#REF!</v>
      </c>
      <c r="GR503" t="e">
        <f>AND(#REF!,"AAAAAHZf5sc=")</f>
        <v>#REF!</v>
      </c>
      <c r="GS503" t="e">
        <f>AND(#REF!,"AAAAAHZf5sg=")</f>
        <v>#REF!</v>
      </c>
      <c r="GT503" t="e">
        <f>AND(#REF!,"AAAAAHZf5sk=")</f>
        <v>#REF!</v>
      </c>
      <c r="GU503" t="e">
        <f>AND(#REF!,"AAAAAHZf5so=")</f>
        <v>#REF!</v>
      </c>
      <c r="GV503" t="e">
        <f>AND(#REF!,"AAAAAHZf5ss=")</f>
        <v>#REF!</v>
      </c>
      <c r="GW503" t="e">
        <f>AND(#REF!,"AAAAAHZf5sw=")</f>
        <v>#REF!</v>
      </c>
      <c r="GX503" t="e">
        <f>AND(#REF!,"AAAAAHZf5s0=")</f>
        <v>#REF!</v>
      </c>
      <c r="GY503" t="e">
        <f>AND(#REF!,"AAAAAHZf5s4=")</f>
        <v>#REF!</v>
      </c>
      <c r="GZ503" t="e">
        <f>AND(#REF!,"AAAAAHZf5s8=")</f>
        <v>#REF!</v>
      </c>
      <c r="HA503" t="e">
        <f>AND(#REF!,"AAAAAHZf5tA=")</f>
        <v>#REF!</v>
      </c>
      <c r="HB503" t="e">
        <f>AND(#REF!,"AAAAAHZf5tE=")</f>
        <v>#REF!</v>
      </c>
      <c r="HC503" t="e">
        <f>AND(#REF!,"AAAAAHZf5tI=")</f>
        <v>#REF!</v>
      </c>
      <c r="HD503" t="e">
        <f>AND(#REF!,"AAAAAHZf5tM=")</f>
        <v>#REF!</v>
      </c>
      <c r="HE503" t="e">
        <f>AND(#REF!,"AAAAAHZf5tQ=")</f>
        <v>#REF!</v>
      </c>
      <c r="HF503" t="e">
        <f>AND(#REF!,"AAAAAHZf5tU=")</f>
        <v>#REF!</v>
      </c>
      <c r="HG503" t="e">
        <f>AND(#REF!,"AAAAAHZf5tY=")</f>
        <v>#REF!</v>
      </c>
      <c r="HH503" t="e">
        <f>AND(#REF!,"AAAAAHZf5tc=")</f>
        <v>#REF!</v>
      </c>
      <c r="HI503" t="e">
        <f>AND(#REF!,"AAAAAHZf5tg=")</f>
        <v>#REF!</v>
      </c>
      <c r="HJ503" t="e">
        <f>AND(#REF!,"AAAAAHZf5tk=")</f>
        <v>#REF!</v>
      </c>
      <c r="HK503" t="e">
        <f>AND(#REF!,"AAAAAHZf5to=")</f>
        <v>#REF!</v>
      </c>
      <c r="HL503" t="e">
        <f>AND(#REF!,"AAAAAHZf5ts=")</f>
        <v>#REF!</v>
      </c>
      <c r="HM503" t="e">
        <f>AND(#REF!,"AAAAAHZf5tw=")</f>
        <v>#REF!</v>
      </c>
      <c r="HN503" t="e">
        <f>AND(#REF!,"AAAAAHZf5t0=")</f>
        <v>#REF!</v>
      </c>
      <c r="HO503" t="e">
        <f>AND(#REF!,"AAAAAHZf5t4=")</f>
        <v>#REF!</v>
      </c>
      <c r="HP503" t="e">
        <f>IF(#REF!,"AAAAAHZf5t8=",0)</f>
        <v>#REF!</v>
      </c>
      <c r="HQ503" t="e">
        <f>AND(#REF!,"AAAAAHZf5uA=")</f>
        <v>#REF!</v>
      </c>
      <c r="HR503" t="e">
        <f>AND(#REF!,"AAAAAHZf5uE=")</f>
        <v>#REF!</v>
      </c>
      <c r="HS503" t="e">
        <f>AND(#REF!,"AAAAAHZf5uI=")</f>
        <v>#REF!</v>
      </c>
      <c r="HT503" t="e">
        <f>AND(#REF!,"AAAAAHZf5uM=")</f>
        <v>#REF!</v>
      </c>
      <c r="HU503" t="e">
        <f>AND(#REF!,"AAAAAHZf5uQ=")</f>
        <v>#REF!</v>
      </c>
      <c r="HV503" t="e">
        <f>AND(#REF!,"AAAAAHZf5uU=")</f>
        <v>#REF!</v>
      </c>
      <c r="HW503" t="e">
        <f>AND(#REF!,"AAAAAHZf5uY=")</f>
        <v>#REF!</v>
      </c>
      <c r="HX503" t="e">
        <f>AND(#REF!,"AAAAAHZf5uc=")</f>
        <v>#REF!</v>
      </c>
      <c r="HY503" t="e">
        <f>AND(#REF!,"AAAAAHZf5ug=")</f>
        <v>#REF!</v>
      </c>
      <c r="HZ503" t="e">
        <f>AND(#REF!,"AAAAAHZf5uk=")</f>
        <v>#REF!</v>
      </c>
      <c r="IA503" t="e">
        <f>AND(#REF!,"AAAAAHZf5uo=")</f>
        <v>#REF!</v>
      </c>
      <c r="IB503" t="e">
        <f>AND(#REF!,"AAAAAHZf5us=")</f>
        <v>#REF!</v>
      </c>
      <c r="IC503" t="e">
        <f>AND(#REF!,"AAAAAHZf5uw=")</f>
        <v>#REF!</v>
      </c>
      <c r="ID503" t="e">
        <f>AND(#REF!,"AAAAAHZf5u0=")</f>
        <v>#REF!</v>
      </c>
      <c r="IE503" t="e">
        <f>AND(#REF!,"AAAAAHZf5u4=")</f>
        <v>#REF!</v>
      </c>
      <c r="IF503" t="e">
        <f>AND(#REF!,"AAAAAHZf5u8=")</f>
        <v>#REF!</v>
      </c>
      <c r="IG503" t="e">
        <f>AND(#REF!,"AAAAAHZf5vA=")</f>
        <v>#REF!</v>
      </c>
      <c r="IH503" t="e">
        <f>AND(#REF!,"AAAAAHZf5vE=")</f>
        <v>#REF!</v>
      </c>
      <c r="II503" t="e">
        <f>AND(#REF!,"AAAAAHZf5vI=")</f>
        <v>#REF!</v>
      </c>
      <c r="IJ503" t="e">
        <f>AND(#REF!,"AAAAAHZf5vM=")</f>
        <v>#REF!</v>
      </c>
      <c r="IK503" t="e">
        <f>AND(#REF!,"AAAAAHZf5vQ=")</f>
        <v>#REF!</v>
      </c>
      <c r="IL503" t="e">
        <f>AND(#REF!,"AAAAAHZf5vU=")</f>
        <v>#REF!</v>
      </c>
      <c r="IM503" t="e">
        <f>AND(#REF!,"AAAAAHZf5vY=")</f>
        <v>#REF!</v>
      </c>
      <c r="IN503" t="e">
        <f>AND(#REF!,"AAAAAHZf5vc=")</f>
        <v>#REF!</v>
      </c>
      <c r="IO503" t="e">
        <f>IF(#REF!,"AAAAAHZf5vg=",0)</f>
        <v>#REF!</v>
      </c>
      <c r="IP503" t="e">
        <f>AND(#REF!,"AAAAAHZf5vk=")</f>
        <v>#REF!</v>
      </c>
      <c r="IQ503" t="e">
        <f>AND(#REF!,"AAAAAHZf5vo=")</f>
        <v>#REF!</v>
      </c>
      <c r="IR503" t="e">
        <f>AND(#REF!,"AAAAAHZf5vs=")</f>
        <v>#REF!</v>
      </c>
      <c r="IS503" t="e">
        <f>AND(#REF!,"AAAAAHZf5vw=")</f>
        <v>#REF!</v>
      </c>
      <c r="IT503" t="e">
        <f>AND(#REF!,"AAAAAHZf5v0=")</f>
        <v>#REF!</v>
      </c>
      <c r="IU503" t="e">
        <f>AND(#REF!,"AAAAAHZf5v4=")</f>
        <v>#REF!</v>
      </c>
      <c r="IV503" t="e">
        <f>AND(#REF!,"AAAAAHZf5v8=")</f>
        <v>#REF!</v>
      </c>
    </row>
    <row r="504" spans="1:256">
      <c r="A504" t="e">
        <f>AND(#REF!,"AAAAAHe/zgA=")</f>
        <v>#REF!</v>
      </c>
      <c r="B504" t="e">
        <f>AND(#REF!,"AAAAAHe/zgE=")</f>
        <v>#REF!</v>
      </c>
      <c r="C504" t="e">
        <f>AND(#REF!,"AAAAAHe/zgI=")</f>
        <v>#REF!</v>
      </c>
      <c r="D504" t="e">
        <f>AND(#REF!,"AAAAAHe/zgM=")</f>
        <v>#REF!</v>
      </c>
      <c r="E504" t="e">
        <f>AND(#REF!,"AAAAAHe/zgQ=")</f>
        <v>#REF!</v>
      </c>
      <c r="F504" t="e">
        <f>AND(#REF!,"AAAAAHe/zgU=")</f>
        <v>#REF!</v>
      </c>
      <c r="G504" t="e">
        <f>AND(#REF!,"AAAAAHe/zgY=")</f>
        <v>#REF!</v>
      </c>
      <c r="H504" t="e">
        <f>AND(#REF!,"AAAAAHe/zgc=")</f>
        <v>#REF!</v>
      </c>
      <c r="I504" t="e">
        <f>AND(#REF!,"AAAAAHe/zgg=")</f>
        <v>#REF!</v>
      </c>
      <c r="J504" t="e">
        <f>AND(#REF!,"AAAAAHe/zgk=")</f>
        <v>#REF!</v>
      </c>
      <c r="K504" t="e">
        <f>AND(#REF!,"AAAAAHe/zgo=")</f>
        <v>#REF!</v>
      </c>
      <c r="L504" t="e">
        <f>AND(#REF!,"AAAAAHe/zgs=")</f>
        <v>#REF!</v>
      </c>
      <c r="M504" t="e">
        <f>AND(#REF!,"AAAAAHe/zgw=")</f>
        <v>#REF!</v>
      </c>
      <c r="N504" t="e">
        <f>AND(#REF!,"AAAAAHe/zg0=")</f>
        <v>#REF!</v>
      </c>
      <c r="O504" t="e">
        <f>AND(#REF!,"AAAAAHe/zg4=")</f>
        <v>#REF!</v>
      </c>
      <c r="P504" t="e">
        <f>AND(#REF!,"AAAAAHe/zg8=")</f>
        <v>#REF!</v>
      </c>
      <c r="Q504" t="e">
        <f>AND(#REF!,"AAAAAHe/zhA=")</f>
        <v>#REF!</v>
      </c>
      <c r="R504" t="e">
        <f>IF(#REF!,"AAAAAHe/zhE=",0)</f>
        <v>#REF!</v>
      </c>
      <c r="S504" t="e">
        <f>AND(#REF!,"AAAAAHe/zhI=")</f>
        <v>#REF!</v>
      </c>
      <c r="T504" t="e">
        <f>AND(#REF!,"AAAAAHe/zhM=")</f>
        <v>#REF!</v>
      </c>
      <c r="U504" t="e">
        <f>AND(#REF!,"AAAAAHe/zhQ=")</f>
        <v>#REF!</v>
      </c>
      <c r="V504" t="e">
        <f>AND(#REF!,"AAAAAHe/zhU=")</f>
        <v>#REF!</v>
      </c>
      <c r="W504" t="e">
        <f>AND(#REF!,"AAAAAHe/zhY=")</f>
        <v>#REF!</v>
      </c>
      <c r="X504" t="e">
        <f>AND(#REF!,"AAAAAHe/zhc=")</f>
        <v>#REF!</v>
      </c>
      <c r="Y504" t="e">
        <f>AND(#REF!,"AAAAAHe/zhg=")</f>
        <v>#REF!</v>
      </c>
      <c r="Z504" t="e">
        <f>AND(#REF!,"AAAAAHe/zhk=")</f>
        <v>#REF!</v>
      </c>
      <c r="AA504" t="e">
        <f>AND(#REF!,"AAAAAHe/zho=")</f>
        <v>#REF!</v>
      </c>
      <c r="AB504" t="e">
        <f>AND(#REF!,"AAAAAHe/zhs=")</f>
        <v>#REF!</v>
      </c>
      <c r="AC504" t="e">
        <f>AND(#REF!,"AAAAAHe/zhw=")</f>
        <v>#REF!</v>
      </c>
      <c r="AD504" t="e">
        <f>AND(#REF!,"AAAAAHe/zh0=")</f>
        <v>#REF!</v>
      </c>
      <c r="AE504" t="e">
        <f>AND(#REF!,"AAAAAHe/zh4=")</f>
        <v>#REF!</v>
      </c>
      <c r="AF504" t="e">
        <f>AND(#REF!,"AAAAAHe/zh8=")</f>
        <v>#REF!</v>
      </c>
      <c r="AG504" t="e">
        <f>AND(#REF!,"AAAAAHe/ziA=")</f>
        <v>#REF!</v>
      </c>
      <c r="AH504" t="e">
        <f>AND(#REF!,"AAAAAHe/ziE=")</f>
        <v>#REF!</v>
      </c>
      <c r="AI504" t="e">
        <f>AND(#REF!,"AAAAAHe/ziI=")</f>
        <v>#REF!</v>
      </c>
      <c r="AJ504" t="e">
        <f>AND(#REF!,"AAAAAHe/ziM=")</f>
        <v>#REF!</v>
      </c>
      <c r="AK504" t="e">
        <f>AND(#REF!,"AAAAAHe/ziQ=")</f>
        <v>#REF!</v>
      </c>
      <c r="AL504" t="e">
        <f>AND(#REF!,"AAAAAHe/ziU=")</f>
        <v>#REF!</v>
      </c>
      <c r="AM504" t="e">
        <f>AND(#REF!,"AAAAAHe/ziY=")</f>
        <v>#REF!</v>
      </c>
      <c r="AN504" t="e">
        <f>AND(#REF!,"AAAAAHe/zic=")</f>
        <v>#REF!</v>
      </c>
      <c r="AO504" t="e">
        <f>AND(#REF!,"AAAAAHe/zig=")</f>
        <v>#REF!</v>
      </c>
      <c r="AP504" t="e">
        <f>AND(#REF!,"AAAAAHe/zik=")</f>
        <v>#REF!</v>
      </c>
      <c r="AQ504" t="e">
        <f>IF(#REF!,"AAAAAHe/zio=",0)</f>
        <v>#REF!</v>
      </c>
      <c r="AR504" t="e">
        <f>AND(#REF!,"AAAAAHe/zis=")</f>
        <v>#REF!</v>
      </c>
      <c r="AS504" t="e">
        <f>AND(#REF!,"AAAAAHe/ziw=")</f>
        <v>#REF!</v>
      </c>
      <c r="AT504" t="e">
        <f>AND(#REF!,"AAAAAHe/zi0=")</f>
        <v>#REF!</v>
      </c>
      <c r="AU504" t="e">
        <f>AND(#REF!,"AAAAAHe/zi4=")</f>
        <v>#REF!</v>
      </c>
      <c r="AV504" t="e">
        <f>AND(#REF!,"AAAAAHe/zi8=")</f>
        <v>#REF!</v>
      </c>
      <c r="AW504" t="e">
        <f>AND(#REF!,"AAAAAHe/zjA=")</f>
        <v>#REF!</v>
      </c>
      <c r="AX504" t="e">
        <f>AND(#REF!,"AAAAAHe/zjE=")</f>
        <v>#REF!</v>
      </c>
      <c r="AY504" t="e">
        <f>AND(#REF!,"AAAAAHe/zjI=")</f>
        <v>#REF!</v>
      </c>
      <c r="AZ504" t="e">
        <f>AND(#REF!,"AAAAAHe/zjM=")</f>
        <v>#REF!</v>
      </c>
      <c r="BA504" t="e">
        <f>AND(#REF!,"AAAAAHe/zjQ=")</f>
        <v>#REF!</v>
      </c>
      <c r="BB504" t="e">
        <f>AND(#REF!,"AAAAAHe/zjU=")</f>
        <v>#REF!</v>
      </c>
      <c r="BC504" t="e">
        <f>AND(#REF!,"AAAAAHe/zjY=")</f>
        <v>#REF!</v>
      </c>
      <c r="BD504" t="e">
        <f>AND(#REF!,"AAAAAHe/zjc=")</f>
        <v>#REF!</v>
      </c>
      <c r="BE504" t="e">
        <f>AND(#REF!,"AAAAAHe/zjg=")</f>
        <v>#REF!</v>
      </c>
      <c r="BF504" t="e">
        <f>AND(#REF!,"AAAAAHe/zjk=")</f>
        <v>#REF!</v>
      </c>
      <c r="BG504" t="e">
        <f>AND(#REF!,"AAAAAHe/zjo=")</f>
        <v>#REF!</v>
      </c>
      <c r="BH504" t="e">
        <f>AND(#REF!,"AAAAAHe/zjs=")</f>
        <v>#REF!</v>
      </c>
      <c r="BI504" t="e">
        <f>AND(#REF!,"AAAAAHe/zjw=")</f>
        <v>#REF!</v>
      </c>
      <c r="BJ504" t="e">
        <f>AND(#REF!,"AAAAAHe/zj0=")</f>
        <v>#REF!</v>
      </c>
      <c r="BK504" t="e">
        <f>AND(#REF!,"AAAAAHe/zj4=")</f>
        <v>#REF!</v>
      </c>
      <c r="BL504" t="e">
        <f>AND(#REF!,"AAAAAHe/zj8=")</f>
        <v>#REF!</v>
      </c>
      <c r="BM504" t="e">
        <f>AND(#REF!,"AAAAAHe/zkA=")</f>
        <v>#REF!</v>
      </c>
      <c r="BN504" t="e">
        <f>AND(#REF!,"AAAAAHe/zkE=")</f>
        <v>#REF!</v>
      </c>
      <c r="BO504" t="e">
        <f>AND(#REF!,"AAAAAHe/zkI=")</f>
        <v>#REF!</v>
      </c>
      <c r="BP504" t="e">
        <f>IF(#REF!,"AAAAAHe/zkM=",0)</f>
        <v>#REF!</v>
      </c>
      <c r="BQ504" t="e">
        <f>AND(#REF!,"AAAAAHe/zkQ=")</f>
        <v>#REF!</v>
      </c>
      <c r="BR504" t="e">
        <f>AND(#REF!,"AAAAAHe/zkU=")</f>
        <v>#REF!</v>
      </c>
      <c r="BS504" t="e">
        <f>AND(#REF!,"AAAAAHe/zkY=")</f>
        <v>#REF!</v>
      </c>
      <c r="BT504" t="e">
        <f>AND(#REF!,"AAAAAHe/zkc=")</f>
        <v>#REF!</v>
      </c>
      <c r="BU504" t="e">
        <f>AND(#REF!,"AAAAAHe/zkg=")</f>
        <v>#REF!</v>
      </c>
      <c r="BV504" t="e">
        <f>AND(#REF!,"AAAAAHe/zkk=")</f>
        <v>#REF!</v>
      </c>
      <c r="BW504" t="e">
        <f>AND(#REF!,"AAAAAHe/zko=")</f>
        <v>#REF!</v>
      </c>
      <c r="BX504" t="e">
        <f>AND(#REF!,"AAAAAHe/zks=")</f>
        <v>#REF!</v>
      </c>
      <c r="BY504" t="e">
        <f>AND(#REF!,"AAAAAHe/zkw=")</f>
        <v>#REF!</v>
      </c>
      <c r="BZ504" t="e">
        <f>AND(#REF!,"AAAAAHe/zk0=")</f>
        <v>#REF!</v>
      </c>
      <c r="CA504" t="e">
        <f>AND(#REF!,"AAAAAHe/zk4=")</f>
        <v>#REF!</v>
      </c>
      <c r="CB504" t="e">
        <f>AND(#REF!,"AAAAAHe/zk8=")</f>
        <v>#REF!</v>
      </c>
      <c r="CC504" t="e">
        <f>AND(#REF!,"AAAAAHe/zlA=")</f>
        <v>#REF!</v>
      </c>
      <c r="CD504" t="e">
        <f>AND(#REF!,"AAAAAHe/zlE=")</f>
        <v>#REF!</v>
      </c>
      <c r="CE504" t="e">
        <f>AND(#REF!,"AAAAAHe/zlI=")</f>
        <v>#REF!</v>
      </c>
      <c r="CF504" t="e">
        <f>AND(#REF!,"AAAAAHe/zlM=")</f>
        <v>#REF!</v>
      </c>
      <c r="CG504" t="e">
        <f>AND(#REF!,"AAAAAHe/zlQ=")</f>
        <v>#REF!</v>
      </c>
      <c r="CH504" t="e">
        <f>AND(#REF!,"AAAAAHe/zlU=")</f>
        <v>#REF!</v>
      </c>
      <c r="CI504" t="e">
        <f>AND(#REF!,"AAAAAHe/zlY=")</f>
        <v>#REF!</v>
      </c>
      <c r="CJ504" t="e">
        <f>AND(#REF!,"AAAAAHe/zlc=")</f>
        <v>#REF!</v>
      </c>
      <c r="CK504" t="e">
        <f>AND(#REF!,"AAAAAHe/zlg=")</f>
        <v>#REF!</v>
      </c>
      <c r="CL504" t="e">
        <f>AND(#REF!,"AAAAAHe/zlk=")</f>
        <v>#REF!</v>
      </c>
      <c r="CM504" t="e">
        <f>AND(#REF!,"AAAAAHe/zlo=")</f>
        <v>#REF!</v>
      </c>
      <c r="CN504" t="e">
        <f>AND(#REF!,"AAAAAHe/zls=")</f>
        <v>#REF!</v>
      </c>
      <c r="CO504" t="e">
        <f>IF(#REF!,"AAAAAHe/zlw=",0)</f>
        <v>#REF!</v>
      </c>
      <c r="CP504" t="e">
        <f>AND(#REF!,"AAAAAHe/zl0=")</f>
        <v>#REF!</v>
      </c>
      <c r="CQ504" t="e">
        <f>AND(#REF!,"AAAAAHe/zl4=")</f>
        <v>#REF!</v>
      </c>
      <c r="CR504" t="e">
        <f>AND(#REF!,"AAAAAHe/zl8=")</f>
        <v>#REF!</v>
      </c>
      <c r="CS504" t="e">
        <f>AND(#REF!,"AAAAAHe/zmA=")</f>
        <v>#REF!</v>
      </c>
      <c r="CT504" t="e">
        <f>AND(#REF!,"AAAAAHe/zmE=")</f>
        <v>#REF!</v>
      </c>
      <c r="CU504" t="e">
        <f>AND(#REF!,"AAAAAHe/zmI=")</f>
        <v>#REF!</v>
      </c>
      <c r="CV504" t="e">
        <f>AND(#REF!,"AAAAAHe/zmM=")</f>
        <v>#REF!</v>
      </c>
      <c r="CW504" t="e">
        <f>AND(#REF!,"AAAAAHe/zmQ=")</f>
        <v>#REF!</v>
      </c>
      <c r="CX504" t="e">
        <f>AND(#REF!,"AAAAAHe/zmU=")</f>
        <v>#REF!</v>
      </c>
      <c r="CY504" t="e">
        <f>AND(#REF!,"AAAAAHe/zmY=")</f>
        <v>#REF!</v>
      </c>
      <c r="CZ504" t="e">
        <f>AND(#REF!,"AAAAAHe/zmc=")</f>
        <v>#REF!</v>
      </c>
      <c r="DA504" t="e">
        <f>AND(#REF!,"AAAAAHe/zmg=")</f>
        <v>#REF!</v>
      </c>
      <c r="DB504" t="e">
        <f>AND(#REF!,"AAAAAHe/zmk=")</f>
        <v>#REF!</v>
      </c>
      <c r="DC504" t="e">
        <f>AND(#REF!,"AAAAAHe/zmo=")</f>
        <v>#REF!</v>
      </c>
      <c r="DD504" t="e">
        <f>AND(#REF!,"AAAAAHe/zms=")</f>
        <v>#REF!</v>
      </c>
      <c r="DE504" t="e">
        <f>AND(#REF!,"AAAAAHe/zmw=")</f>
        <v>#REF!</v>
      </c>
      <c r="DF504" t="e">
        <f>AND(#REF!,"AAAAAHe/zm0=")</f>
        <v>#REF!</v>
      </c>
      <c r="DG504" t="e">
        <f>AND(#REF!,"AAAAAHe/zm4=")</f>
        <v>#REF!</v>
      </c>
      <c r="DH504" t="e">
        <f>AND(#REF!,"AAAAAHe/zm8=")</f>
        <v>#REF!</v>
      </c>
      <c r="DI504" t="e">
        <f>AND(#REF!,"AAAAAHe/znA=")</f>
        <v>#REF!</v>
      </c>
      <c r="DJ504" t="e">
        <f>AND(#REF!,"AAAAAHe/znE=")</f>
        <v>#REF!</v>
      </c>
      <c r="DK504" t="e">
        <f>AND(#REF!,"AAAAAHe/znI=")</f>
        <v>#REF!</v>
      </c>
      <c r="DL504" t="e">
        <f>AND(#REF!,"AAAAAHe/znM=")</f>
        <v>#REF!</v>
      </c>
      <c r="DM504" t="e">
        <f>AND(#REF!,"AAAAAHe/znQ=")</f>
        <v>#REF!</v>
      </c>
      <c r="DN504" t="e">
        <f>IF(#REF!,"AAAAAHe/znU=",0)</f>
        <v>#REF!</v>
      </c>
      <c r="DO504" t="e">
        <f>AND(#REF!,"AAAAAHe/znY=")</f>
        <v>#REF!</v>
      </c>
      <c r="DP504" t="e">
        <f>AND(#REF!,"AAAAAHe/znc=")</f>
        <v>#REF!</v>
      </c>
      <c r="DQ504" t="e">
        <f>AND(#REF!,"AAAAAHe/zng=")</f>
        <v>#REF!</v>
      </c>
      <c r="DR504" t="e">
        <f>AND(#REF!,"AAAAAHe/znk=")</f>
        <v>#REF!</v>
      </c>
      <c r="DS504" t="e">
        <f>AND(#REF!,"AAAAAHe/zno=")</f>
        <v>#REF!</v>
      </c>
      <c r="DT504" t="e">
        <f>AND(#REF!,"AAAAAHe/zns=")</f>
        <v>#REF!</v>
      </c>
      <c r="DU504" t="e">
        <f>AND(#REF!,"AAAAAHe/znw=")</f>
        <v>#REF!</v>
      </c>
      <c r="DV504" t="e">
        <f>AND(#REF!,"AAAAAHe/zn0=")</f>
        <v>#REF!</v>
      </c>
      <c r="DW504" t="e">
        <f>AND(#REF!,"AAAAAHe/zn4=")</f>
        <v>#REF!</v>
      </c>
      <c r="DX504" t="e">
        <f>AND(#REF!,"AAAAAHe/zn8=")</f>
        <v>#REF!</v>
      </c>
      <c r="DY504" t="e">
        <f>AND(#REF!,"AAAAAHe/zoA=")</f>
        <v>#REF!</v>
      </c>
      <c r="DZ504" t="e">
        <f>AND(#REF!,"AAAAAHe/zoE=")</f>
        <v>#REF!</v>
      </c>
      <c r="EA504" t="e">
        <f>AND(#REF!,"AAAAAHe/zoI=")</f>
        <v>#REF!</v>
      </c>
      <c r="EB504" t="e">
        <f>AND(#REF!,"AAAAAHe/zoM=")</f>
        <v>#REF!</v>
      </c>
      <c r="EC504" t="e">
        <f>AND(#REF!,"AAAAAHe/zoQ=")</f>
        <v>#REF!</v>
      </c>
      <c r="ED504" t="e">
        <f>AND(#REF!,"AAAAAHe/zoU=")</f>
        <v>#REF!</v>
      </c>
      <c r="EE504" t="e">
        <f>AND(#REF!,"AAAAAHe/zoY=")</f>
        <v>#REF!</v>
      </c>
      <c r="EF504" t="e">
        <f>AND(#REF!,"AAAAAHe/zoc=")</f>
        <v>#REF!</v>
      </c>
      <c r="EG504" t="e">
        <f>AND(#REF!,"AAAAAHe/zog=")</f>
        <v>#REF!</v>
      </c>
      <c r="EH504" t="e">
        <f>AND(#REF!,"AAAAAHe/zok=")</f>
        <v>#REF!</v>
      </c>
      <c r="EI504" t="e">
        <f>AND(#REF!,"AAAAAHe/zoo=")</f>
        <v>#REF!</v>
      </c>
      <c r="EJ504" t="e">
        <f>AND(#REF!,"AAAAAHe/zos=")</f>
        <v>#REF!</v>
      </c>
      <c r="EK504" t="e">
        <f>AND(#REF!,"AAAAAHe/zow=")</f>
        <v>#REF!</v>
      </c>
      <c r="EL504" t="e">
        <f>AND(#REF!,"AAAAAHe/zo0=")</f>
        <v>#REF!</v>
      </c>
      <c r="EM504" t="e">
        <f>IF(#REF!,"AAAAAHe/zo4=",0)</f>
        <v>#REF!</v>
      </c>
      <c r="EN504" t="e">
        <f>AND(#REF!,"AAAAAHe/zo8=")</f>
        <v>#REF!</v>
      </c>
      <c r="EO504" t="e">
        <f>AND(#REF!,"AAAAAHe/zpA=")</f>
        <v>#REF!</v>
      </c>
      <c r="EP504" t="e">
        <f>AND(#REF!,"AAAAAHe/zpE=")</f>
        <v>#REF!</v>
      </c>
      <c r="EQ504" t="e">
        <f>AND(#REF!,"AAAAAHe/zpI=")</f>
        <v>#REF!</v>
      </c>
      <c r="ER504" t="e">
        <f>AND(#REF!,"AAAAAHe/zpM=")</f>
        <v>#REF!</v>
      </c>
      <c r="ES504" t="e">
        <f>AND(#REF!,"AAAAAHe/zpQ=")</f>
        <v>#REF!</v>
      </c>
      <c r="ET504" t="e">
        <f>AND(#REF!,"AAAAAHe/zpU=")</f>
        <v>#REF!</v>
      </c>
      <c r="EU504" t="e">
        <f>AND(#REF!,"AAAAAHe/zpY=")</f>
        <v>#REF!</v>
      </c>
      <c r="EV504" t="e">
        <f>AND(#REF!,"AAAAAHe/zpc=")</f>
        <v>#REF!</v>
      </c>
      <c r="EW504" t="e">
        <f>AND(#REF!,"AAAAAHe/zpg=")</f>
        <v>#REF!</v>
      </c>
      <c r="EX504" t="e">
        <f>AND(#REF!,"AAAAAHe/zpk=")</f>
        <v>#REF!</v>
      </c>
      <c r="EY504" t="e">
        <f>AND(#REF!,"AAAAAHe/zpo=")</f>
        <v>#REF!</v>
      </c>
      <c r="EZ504" t="e">
        <f>AND(#REF!,"AAAAAHe/zps=")</f>
        <v>#REF!</v>
      </c>
      <c r="FA504" t="e">
        <f>AND(#REF!,"AAAAAHe/zpw=")</f>
        <v>#REF!</v>
      </c>
      <c r="FB504" t="e">
        <f>AND(#REF!,"AAAAAHe/zp0=")</f>
        <v>#REF!</v>
      </c>
      <c r="FC504" t="e">
        <f>AND(#REF!,"AAAAAHe/zp4=")</f>
        <v>#REF!</v>
      </c>
      <c r="FD504" t="e">
        <f>AND(#REF!,"AAAAAHe/zp8=")</f>
        <v>#REF!</v>
      </c>
      <c r="FE504" t="e">
        <f>AND(#REF!,"AAAAAHe/zqA=")</f>
        <v>#REF!</v>
      </c>
      <c r="FF504" t="e">
        <f>AND(#REF!,"AAAAAHe/zqE=")</f>
        <v>#REF!</v>
      </c>
      <c r="FG504" t="e">
        <f>AND(#REF!,"AAAAAHe/zqI=")</f>
        <v>#REF!</v>
      </c>
      <c r="FH504" t="e">
        <f>AND(#REF!,"AAAAAHe/zqM=")</f>
        <v>#REF!</v>
      </c>
      <c r="FI504" t="e">
        <f>AND(#REF!,"AAAAAHe/zqQ=")</f>
        <v>#REF!</v>
      </c>
      <c r="FJ504" t="e">
        <f>AND(#REF!,"AAAAAHe/zqU=")</f>
        <v>#REF!</v>
      </c>
      <c r="FK504" t="e">
        <f>AND(#REF!,"AAAAAHe/zqY=")</f>
        <v>#REF!</v>
      </c>
      <c r="FL504" t="e">
        <f>IF(#REF!,"AAAAAHe/zqc=",0)</f>
        <v>#REF!</v>
      </c>
      <c r="FM504" t="e">
        <f>AND(#REF!,"AAAAAHe/zqg=")</f>
        <v>#REF!</v>
      </c>
      <c r="FN504" t="e">
        <f>AND(#REF!,"AAAAAHe/zqk=")</f>
        <v>#REF!</v>
      </c>
      <c r="FO504" t="e">
        <f>AND(#REF!,"AAAAAHe/zqo=")</f>
        <v>#REF!</v>
      </c>
      <c r="FP504" t="e">
        <f>AND(#REF!,"AAAAAHe/zqs=")</f>
        <v>#REF!</v>
      </c>
      <c r="FQ504" t="e">
        <f>AND(#REF!,"AAAAAHe/zqw=")</f>
        <v>#REF!</v>
      </c>
      <c r="FR504" t="e">
        <f>AND(#REF!,"AAAAAHe/zq0=")</f>
        <v>#REF!</v>
      </c>
      <c r="FS504" t="e">
        <f>AND(#REF!,"AAAAAHe/zq4=")</f>
        <v>#REF!</v>
      </c>
      <c r="FT504" t="e">
        <f>AND(#REF!,"AAAAAHe/zq8=")</f>
        <v>#REF!</v>
      </c>
      <c r="FU504" t="e">
        <f>AND(#REF!,"AAAAAHe/zrA=")</f>
        <v>#REF!</v>
      </c>
      <c r="FV504" t="e">
        <f>AND(#REF!,"AAAAAHe/zrE=")</f>
        <v>#REF!</v>
      </c>
      <c r="FW504" t="e">
        <f>AND(#REF!,"AAAAAHe/zrI=")</f>
        <v>#REF!</v>
      </c>
      <c r="FX504" t="e">
        <f>AND(#REF!,"AAAAAHe/zrM=")</f>
        <v>#REF!</v>
      </c>
      <c r="FY504" t="e">
        <f>AND(#REF!,"AAAAAHe/zrQ=")</f>
        <v>#REF!</v>
      </c>
      <c r="FZ504" t="e">
        <f>AND(#REF!,"AAAAAHe/zrU=")</f>
        <v>#REF!</v>
      </c>
      <c r="GA504" t="e">
        <f>AND(#REF!,"AAAAAHe/zrY=")</f>
        <v>#REF!</v>
      </c>
      <c r="GB504" t="e">
        <f>AND(#REF!,"AAAAAHe/zrc=")</f>
        <v>#REF!</v>
      </c>
      <c r="GC504" t="e">
        <f>AND(#REF!,"AAAAAHe/zrg=")</f>
        <v>#REF!</v>
      </c>
      <c r="GD504" t="e">
        <f>AND(#REF!,"AAAAAHe/zrk=")</f>
        <v>#REF!</v>
      </c>
      <c r="GE504" t="e">
        <f>AND(#REF!,"AAAAAHe/zro=")</f>
        <v>#REF!</v>
      </c>
      <c r="GF504" t="e">
        <f>AND(#REF!,"AAAAAHe/zrs=")</f>
        <v>#REF!</v>
      </c>
      <c r="GG504" t="e">
        <f>AND(#REF!,"AAAAAHe/zrw=")</f>
        <v>#REF!</v>
      </c>
      <c r="GH504" t="e">
        <f>AND(#REF!,"AAAAAHe/zr0=")</f>
        <v>#REF!</v>
      </c>
      <c r="GI504" t="e">
        <f>AND(#REF!,"AAAAAHe/zr4=")</f>
        <v>#REF!</v>
      </c>
      <c r="GJ504" t="e">
        <f>AND(#REF!,"AAAAAHe/zr8=")</f>
        <v>#REF!</v>
      </c>
      <c r="GK504" t="e">
        <f>IF(#REF!,"AAAAAHe/zsA=",0)</f>
        <v>#REF!</v>
      </c>
      <c r="GL504" t="e">
        <f>AND(#REF!,"AAAAAHe/zsE=")</f>
        <v>#REF!</v>
      </c>
      <c r="GM504" t="e">
        <f>AND(#REF!,"AAAAAHe/zsI=")</f>
        <v>#REF!</v>
      </c>
      <c r="GN504" t="e">
        <f>AND(#REF!,"AAAAAHe/zsM=")</f>
        <v>#REF!</v>
      </c>
      <c r="GO504" t="e">
        <f>AND(#REF!,"AAAAAHe/zsQ=")</f>
        <v>#REF!</v>
      </c>
      <c r="GP504" t="e">
        <f>AND(#REF!,"AAAAAHe/zsU=")</f>
        <v>#REF!</v>
      </c>
      <c r="GQ504" t="e">
        <f>AND(#REF!,"AAAAAHe/zsY=")</f>
        <v>#REF!</v>
      </c>
      <c r="GR504" t="e">
        <f>AND(#REF!,"AAAAAHe/zsc=")</f>
        <v>#REF!</v>
      </c>
      <c r="GS504" t="e">
        <f>AND(#REF!,"AAAAAHe/zsg=")</f>
        <v>#REF!</v>
      </c>
      <c r="GT504" t="e">
        <f>AND(#REF!,"AAAAAHe/zsk=")</f>
        <v>#REF!</v>
      </c>
      <c r="GU504" t="e">
        <f>AND(#REF!,"AAAAAHe/zso=")</f>
        <v>#REF!</v>
      </c>
      <c r="GV504" t="e">
        <f>AND(#REF!,"AAAAAHe/zss=")</f>
        <v>#REF!</v>
      </c>
      <c r="GW504" t="e">
        <f>AND(#REF!,"AAAAAHe/zsw=")</f>
        <v>#REF!</v>
      </c>
      <c r="GX504" t="e">
        <f>AND(#REF!,"AAAAAHe/zs0=")</f>
        <v>#REF!</v>
      </c>
      <c r="GY504" t="e">
        <f>AND(#REF!,"AAAAAHe/zs4=")</f>
        <v>#REF!</v>
      </c>
      <c r="GZ504" t="e">
        <f>AND(#REF!,"AAAAAHe/zs8=")</f>
        <v>#REF!</v>
      </c>
      <c r="HA504" t="e">
        <f>AND(#REF!,"AAAAAHe/ztA=")</f>
        <v>#REF!</v>
      </c>
      <c r="HB504" t="e">
        <f>AND(#REF!,"AAAAAHe/ztE=")</f>
        <v>#REF!</v>
      </c>
      <c r="HC504" t="e">
        <f>AND(#REF!,"AAAAAHe/ztI=")</f>
        <v>#REF!</v>
      </c>
      <c r="HD504" t="e">
        <f>AND(#REF!,"AAAAAHe/ztM=")</f>
        <v>#REF!</v>
      </c>
      <c r="HE504" t="e">
        <f>AND(#REF!,"AAAAAHe/ztQ=")</f>
        <v>#REF!</v>
      </c>
      <c r="HF504" t="e">
        <f>AND(#REF!,"AAAAAHe/ztU=")</f>
        <v>#REF!</v>
      </c>
      <c r="HG504" t="e">
        <f>AND(#REF!,"AAAAAHe/ztY=")</f>
        <v>#REF!</v>
      </c>
      <c r="HH504" t="e">
        <f>AND(#REF!,"AAAAAHe/ztc=")</f>
        <v>#REF!</v>
      </c>
      <c r="HI504" t="e">
        <f>AND(#REF!,"AAAAAHe/ztg=")</f>
        <v>#REF!</v>
      </c>
      <c r="HJ504" t="e">
        <f>IF(#REF!,"AAAAAHe/ztk=",0)</f>
        <v>#REF!</v>
      </c>
      <c r="HK504" t="e">
        <f>AND(#REF!,"AAAAAHe/zto=")</f>
        <v>#REF!</v>
      </c>
      <c r="HL504" t="e">
        <f>AND(#REF!,"AAAAAHe/zts=")</f>
        <v>#REF!</v>
      </c>
      <c r="HM504" t="e">
        <f>AND(#REF!,"AAAAAHe/ztw=")</f>
        <v>#REF!</v>
      </c>
      <c r="HN504" t="e">
        <f>AND(#REF!,"AAAAAHe/zt0=")</f>
        <v>#REF!</v>
      </c>
      <c r="HO504" t="e">
        <f>AND(#REF!,"AAAAAHe/zt4=")</f>
        <v>#REF!</v>
      </c>
      <c r="HP504" t="e">
        <f>AND(#REF!,"AAAAAHe/zt8=")</f>
        <v>#REF!</v>
      </c>
      <c r="HQ504" t="e">
        <f>AND(#REF!,"AAAAAHe/zuA=")</f>
        <v>#REF!</v>
      </c>
      <c r="HR504" t="e">
        <f>AND(#REF!,"AAAAAHe/zuE=")</f>
        <v>#REF!</v>
      </c>
      <c r="HS504" t="e">
        <f>AND(#REF!,"AAAAAHe/zuI=")</f>
        <v>#REF!</v>
      </c>
      <c r="HT504" t="e">
        <f>AND(#REF!,"AAAAAHe/zuM=")</f>
        <v>#REF!</v>
      </c>
      <c r="HU504" t="e">
        <f>AND(#REF!,"AAAAAHe/zuQ=")</f>
        <v>#REF!</v>
      </c>
      <c r="HV504" t="e">
        <f>AND(#REF!,"AAAAAHe/zuU=")</f>
        <v>#REF!</v>
      </c>
      <c r="HW504" t="e">
        <f>AND(#REF!,"AAAAAHe/zuY=")</f>
        <v>#REF!</v>
      </c>
      <c r="HX504" t="e">
        <f>AND(#REF!,"AAAAAHe/zuc=")</f>
        <v>#REF!</v>
      </c>
      <c r="HY504" t="e">
        <f>AND(#REF!,"AAAAAHe/zug=")</f>
        <v>#REF!</v>
      </c>
      <c r="HZ504" t="e">
        <f>AND(#REF!,"AAAAAHe/zuk=")</f>
        <v>#REF!</v>
      </c>
      <c r="IA504" t="e">
        <f>AND(#REF!,"AAAAAHe/zuo=")</f>
        <v>#REF!</v>
      </c>
      <c r="IB504" t="e">
        <f>AND(#REF!,"AAAAAHe/zus=")</f>
        <v>#REF!</v>
      </c>
      <c r="IC504" t="e">
        <f>AND(#REF!,"AAAAAHe/zuw=")</f>
        <v>#REF!</v>
      </c>
      <c r="ID504" t="e">
        <f>AND(#REF!,"AAAAAHe/zu0=")</f>
        <v>#REF!</v>
      </c>
      <c r="IE504" t="e">
        <f>AND(#REF!,"AAAAAHe/zu4=")</f>
        <v>#REF!</v>
      </c>
      <c r="IF504" t="e">
        <f>AND(#REF!,"AAAAAHe/zu8=")</f>
        <v>#REF!</v>
      </c>
      <c r="IG504" t="e">
        <f>AND(#REF!,"AAAAAHe/zvA=")</f>
        <v>#REF!</v>
      </c>
      <c r="IH504" t="e">
        <f>AND(#REF!,"AAAAAHe/zvE=")</f>
        <v>#REF!</v>
      </c>
      <c r="II504" t="e">
        <f>IF(#REF!,"AAAAAHe/zvI=",0)</f>
        <v>#REF!</v>
      </c>
      <c r="IJ504" t="e">
        <f>AND(#REF!,"AAAAAHe/zvM=")</f>
        <v>#REF!</v>
      </c>
      <c r="IK504" t="e">
        <f>AND(#REF!,"AAAAAHe/zvQ=")</f>
        <v>#REF!</v>
      </c>
      <c r="IL504" t="e">
        <f>AND(#REF!,"AAAAAHe/zvU=")</f>
        <v>#REF!</v>
      </c>
      <c r="IM504" t="e">
        <f>AND(#REF!,"AAAAAHe/zvY=")</f>
        <v>#REF!</v>
      </c>
      <c r="IN504" t="e">
        <f>AND(#REF!,"AAAAAHe/zvc=")</f>
        <v>#REF!</v>
      </c>
      <c r="IO504" t="e">
        <f>AND(#REF!,"AAAAAHe/zvg=")</f>
        <v>#REF!</v>
      </c>
      <c r="IP504" t="e">
        <f>AND(#REF!,"AAAAAHe/zvk=")</f>
        <v>#REF!</v>
      </c>
      <c r="IQ504" t="e">
        <f>AND(#REF!,"AAAAAHe/zvo=")</f>
        <v>#REF!</v>
      </c>
      <c r="IR504" t="e">
        <f>AND(#REF!,"AAAAAHe/zvs=")</f>
        <v>#REF!</v>
      </c>
      <c r="IS504" t="e">
        <f>AND(#REF!,"AAAAAHe/zvw=")</f>
        <v>#REF!</v>
      </c>
      <c r="IT504" t="e">
        <f>AND(#REF!,"AAAAAHe/zv0=")</f>
        <v>#REF!</v>
      </c>
      <c r="IU504" t="e">
        <f>AND(#REF!,"AAAAAHe/zv4=")</f>
        <v>#REF!</v>
      </c>
      <c r="IV504" t="e">
        <f>AND(#REF!,"AAAAAHe/zv8=")</f>
        <v>#REF!</v>
      </c>
    </row>
    <row r="505" spans="1:256">
      <c r="A505" t="e">
        <f>AND(#REF!,"AAAAAH9f/QA=")</f>
        <v>#REF!</v>
      </c>
      <c r="B505" t="e">
        <f>AND(#REF!,"AAAAAH9f/QE=")</f>
        <v>#REF!</v>
      </c>
      <c r="C505" t="e">
        <f>AND(#REF!,"AAAAAH9f/QI=")</f>
        <v>#REF!</v>
      </c>
      <c r="D505" t="e">
        <f>AND(#REF!,"AAAAAH9f/QM=")</f>
        <v>#REF!</v>
      </c>
      <c r="E505" t="e">
        <f>AND(#REF!,"AAAAAH9f/QQ=")</f>
        <v>#REF!</v>
      </c>
      <c r="F505" t="e">
        <f>AND(#REF!,"AAAAAH9f/QU=")</f>
        <v>#REF!</v>
      </c>
      <c r="G505" t="e">
        <f>AND(#REF!,"AAAAAH9f/QY=")</f>
        <v>#REF!</v>
      </c>
      <c r="H505" t="e">
        <f>AND(#REF!,"AAAAAH9f/Qc=")</f>
        <v>#REF!</v>
      </c>
      <c r="I505" t="e">
        <f>AND(#REF!,"AAAAAH9f/Qg=")</f>
        <v>#REF!</v>
      </c>
      <c r="J505" t="e">
        <f>AND(#REF!,"AAAAAH9f/Qk=")</f>
        <v>#REF!</v>
      </c>
      <c r="K505" t="e">
        <f>AND(#REF!,"AAAAAH9f/Qo=")</f>
        <v>#REF!</v>
      </c>
      <c r="L505" t="e">
        <f>IF(#REF!,"AAAAAH9f/Qs=",0)</f>
        <v>#REF!</v>
      </c>
      <c r="M505" t="e">
        <f>AND(#REF!,"AAAAAH9f/Qw=")</f>
        <v>#REF!</v>
      </c>
      <c r="N505" t="e">
        <f>AND(#REF!,"AAAAAH9f/Q0=")</f>
        <v>#REF!</v>
      </c>
      <c r="O505" t="e">
        <f>AND(#REF!,"AAAAAH9f/Q4=")</f>
        <v>#REF!</v>
      </c>
      <c r="P505" t="e">
        <f>AND(#REF!,"AAAAAH9f/Q8=")</f>
        <v>#REF!</v>
      </c>
      <c r="Q505" t="e">
        <f>AND(#REF!,"AAAAAH9f/RA=")</f>
        <v>#REF!</v>
      </c>
      <c r="R505" t="e">
        <f>AND(#REF!,"AAAAAH9f/RE=")</f>
        <v>#REF!</v>
      </c>
      <c r="S505" t="e">
        <f>AND(#REF!,"AAAAAH9f/RI=")</f>
        <v>#REF!</v>
      </c>
      <c r="T505" t="e">
        <f>AND(#REF!,"AAAAAH9f/RM=")</f>
        <v>#REF!</v>
      </c>
      <c r="U505" t="e">
        <f>AND(#REF!,"AAAAAH9f/RQ=")</f>
        <v>#REF!</v>
      </c>
      <c r="V505" t="e">
        <f>AND(#REF!,"AAAAAH9f/RU=")</f>
        <v>#REF!</v>
      </c>
      <c r="W505" t="e">
        <f>AND(#REF!,"AAAAAH9f/RY=")</f>
        <v>#REF!</v>
      </c>
      <c r="X505" t="e">
        <f>AND(#REF!,"AAAAAH9f/Rc=")</f>
        <v>#REF!</v>
      </c>
      <c r="Y505" t="e">
        <f>AND(#REF!,"AAAAAH9f/Rg=")</f>
        <v>#REF!</v>
      </c>
      <c r="Z505" t="e">
        <f>AND(#REF!,"AAAAAH9f/Rk=")</f>
        <v>#REF!</v>
      </c>
      <c r="AA505" t="e">
        <f>AND(#REF!,"AAAAAH9f/Ro=")</f>
        <v>#REF!</v>
      </c>
      <c r="AB505" t="e">
        <f>AND(#REF!,"AAAAAH9f/Rs=")</f>
        <v>#REF!</v>
      </c>
      <c r="AC505" t="e">
        <f>AND(#REF!,"AAAAAH9f/Rw=")</f>
        <v>#REF!</v>
      </c>
      <c r="AD505" t="e">
        <f>AND(#REF!,"AAAAAH9f/R0=")</f>
        <v>#REF!</v>
      </c>
      <c r="AE505" t="e">
        <f>AND(#REF!,"AAAAAH9f/R4=")</f>
        <v>#REF!</v>
      </c>
      <c r="AF505" t="e">
        <f>AND(#REF!,"AAAAAH9f/R8=")</f>
        <v>#REF!</v>
      </c>
      <c r="AG505" t="e">
        <f>AND(#REF!,"AAAAAH9f/SA=")</f>
        <v>#REF!</v>
      </c>
      <c r="AH505" t="e">
        <f>AND(#REF!,"AAAAAH9f/SE=")</f>
        <v>#REF!</v>
      </c>
      <c r="AI505" t="e">
        <f>AND(#REF!,"AAAAAH9f/SI=")</f>
        <v>#REF!</v>
      </c>
      <c r="AJ505" t="e">
        <f>AND(#REF!,"AAAAAH9f/SM=")</f>
        <v>#REF!</v>
      </c>
      <c r="AK505" t="e">
        <f>IF(#REF!,"AAAAAH9f/SQ=",0)</f>
        <v>#REF!</v>
      </c>
      <c r="AL505" t="e">
        <f>AND(#REF!,"AAAAAH9f/SU=")</f>
        <v>#REF!</v>
      </c>
      <c r="AM505" t="e">
        <f>AND(#REF!,"AAAAAH9f/SY=")</f>
        <v>#REF!</v>
      </c>
      <c r="AN505" t="e">
        <f>AND(#REF!,"AAAAAH9f/Sc=")</f>
        <v>#REF!</v>
      </c>
      <c r="AO505" t="e">
        <f>AND(#REF!,"AAAAAH9f/Sg=")</f>
        <v>#REF!</v>
      </c>
      <c r="AP505" t="e">
        <f>AND(#REF!,"AAAAAH9f/Sk=")</f>
        <v>#REF!</v>
      </c>
      <c r="AQ505" t="e">
        <f>AND(#REF!,"AAAAAH9f/So=")</f>
        <v>#REF!</v>
      </c>
      <c r="AR505" t="e">
        <f>AND(#REF!,"AAAAAH9f/Ss=")</f>
        <v>#REF!</v>
      </c>
      <c r="AS505" t="e">
        <f>AND(#REF!,"AAAAAH9f/Sw=")</f>
        <v>#REF!</v>
      </c>
      <c r="AT505" t="e">
        <f>AND(#REF!,"AAAAAH9f/S0=")</f>
        <v>#REF!</v>
      </c>
      <c r="AU505" t="e">
        <f>AND(#REF!,"AAAAAH9f/S4=")</f>
        <v>#REF!</v>
      </c>
      <c r="AV505" t="e">
        <f>AND(#REF!,"AAAAAH9f/S8=")</f>
        <v>#REF!</v>
      </c>
      <c r="AW505" t="e">
        <f>AND(#REF!,"AAAAAH9f/TA=")</f>
        <v>#REF!</v>
      </c>
      <c r="AX505" t="e">
        <f>AND(#REF!,"AAAAAH9f/TE=")</f>
        <v>#REF!</v>
      </c>
      <c r="AY505" t="e">
        <f>AND(#REF!,"AAAAAH9f/TI=")</f>
        <v>#REF!</v>
      </c>
      <c r="AZ505" t="e">
        <f>AND(#REF!,"AAAAAH9f/TM=")</f>
        <v>#REF!</v>
      </c>
      <c r="BA505" t="e">
        <f>AND(#REF!,"AAAAAH9f/TQ=")</f>
        <v>#REF!</v>
      </c>
      <c r="BB505" t="e">
        <f>AND(#REF!,"AAAAAH9f/TU=")</f>
        <v>#REF!</v>
      </c>
      <c r="BC505" t="e">
        <f>AND(#REF!,"AAAAAH9f/TY=")</f>
        <v>#REF!</v>
      </c>
      <c r="BD505" t="e">
        <f>AND(#REF!,"AAAAAH9f/Tc=")</f>
        <v>#REF!</v>
      </c>
      <c r="BE505" t="e">
        <f>AND(#REF!,"AAAAAH9f/Tg=")</f>
        <v>#REF!</v>
      </c>
      <c r="BF505" t="e">
        <f>AND(#REF!,"AAAAAH9f/Tk=")</f>
        <v>#REF!</v>
      </c>
      <c r="BG505" t="e">
        <f>AND(#REF!,"AAAAAH9f/To=")</f>
        <v>#REF!</v>
      </c>
      <c r="BH505" t="e">
        <f>AND(#REF!,"AAAAAH9f/Ts=")</f>
        <v>#REF!</v>
      </c>
      <c r="BI505" t="e">
        <f>AND(#REF!,"AAAAAH9f/Tw=")</f>
        <v>#REF!</v>
      </c>
      <c r="BJ505" t="e">
        <f>IF(#REF!,"AAAAAH9f/T0=",0)</f>
        <v>#REF!</v>
      </c>
      <c r="BK505" t="e">
        <f>AND(#REF!,"AAAAAH9f/T4=")</f>
        <v>#REF!</v>
      </c>
      <c r="BL505" t="e">
        <f>AND(#REF!,"AAAAAH9f/T8=")</f>
        <v>#REF!</v>
      </c>
      <c r="BM505" t="e">
        <f>AND(#REF!,"AAAAAH9f/UA=")</f>
        <v>#REF!</v>
      </c>
      <c r="BN505" t="e">
        <f>AND(#REF!,"AAAAAH9f/UE=")</f>
        <v>#REF!</v>
      </c>
      <c r="BO505" t="e">
        <f>AND(#REF!,"AAAAAH9f/UI=")</f>
        <v>#REF!</v>
      </c>
      <c r="BP505" t="e">
        <f>AND(#REF!,"AAAAAH9f/UM=")</f>
        <v>#REF!</v>
      </c>
      <c r="BQ505" t="e">
        <f>AND(#REF!,"AAAAAH9f/UQ=")</f>
        <v>#REF!</v>
      </c>
      <c r="BR505" t="e">
        <f>AND(#REF!,"AAAAAH9f/UU=")</f>
        <v>#REF!</v>
      </c>
      <c r="BS505" t="e">
        <f>AND(#REF!,"AAAAAH9f/UY=")</f>
        <v>#REF!</v>
      </c>
      <c r="BT505" t="e">
        <f>AND(#REF!,"AAAAAH9f/Uc=")</f>
        <v>#REF!</v>
      </c>
      <c r="BU505" t="e">
        <f>AND(#REF!,"AAAAAH9f/Ug=")</f>
        <v>#REF!</v>
      </c>
      <c r="BV505" t="e">
        <f>AND(#REF!,"AAAAAH9f/Uk=")</f>
        <v>#REF!</v>
      </c>
      <c r="BW505" t="e">
        <f>AND(#REF!,"AAAAAH9f/Uo=")</f>
        <v>#REF!</v>
      </c>
      <c r="BX505" t="e">
        <f>AND(#REF!,"AAAAAH9f/Us=")</f>
        <v>#REF!</v>
      </c>
      <c r="BY505" t="e">
        <f>AND(#REF!,"AAAAAH9f/Uw=")</f>
        <v>#REF!</v>
      </c>
      <c r="BZ505" t="e">
        <f>AND(#REF!,"AAAAAH9f/U0=")</f>
        <v>#REF!</v>
      </c>
      <c r="CA505" t="e">
        <f>AND(#REF!,"AAAAAH9f/U4=")</f>
        <v>#REF!</v>
      </c>
      <c r="CB505" t="e">
        <f>AND(#REF!,"AAAAAH9f/U8=")</f>
        <v>#REF!</v>
      </c>
      <c r="CC505" t="e">
        <f>AND(#REF!,"AAAAAH9f/VA=")</f>
        <v>#REF!</v>
      </c>
      <c r="CD505" t="e">
        <f>AND(#REF!,"AAAAAH9f/VE=")</f>
        <v>#REF!</v>
      </c>
      <c r="CE505" t="e">
        <f>AND(#REF!,"AAAAAH9f/VI=")</f>
        <v>#REF!</v>
      </c>
      <c r="CF505" t="e">
        <f>AND(#REF!,"AAAAAH9f/VM=")</f>
        <v>#REF!</v>
      </c>
      <c r="CG505" t="e">
        <f>AND(#REF!,"AAAAAH9f/VQ=")</f>
        <v>#REF!</v>
      </c>
      <c r="CH505" t="e">
        <f>AND(#REF!,"AAAAAH9f/VU=")</f>
        <v>#REF!</v>
      </c>
      <c r="CI505" t="e">
        <f>IF(#REF!,"AAAAAH9f/VY=",0)</f>
        <v>#REF!</v>
      </c>
      <c r="CJ505" t="e">
        <f>AND(#REF!,"AAAAAH9f/Vc=")</f>
        <v>#REF!</v>
      </c>
      <c r="CK505" t="e">
        <f>AND(#REF!,"AAAAAH9f/Vg=")</f>
        <v>#REF!</v>
      </c>
      <c r="CL505" t="e">
        <f>AND(#REF!,"AAAAAH9f/Vk=")</f>
        <v>#REF!</v>
      </c>
      <c r="CM505" t="e">
        <f>AND(#REF!,"AAAAAH9f/Vo=")</f>
        <v>#REF!</v>
      </c>
      <c r="CN505" t="e">
        <f>AND(#REF!,"AAAAAH9f/Vs=")</f>
        <v>#REF!</v>
      </c>
      <c r="CO505" t="e">
        <f>AND(#REF!,"AAAAAH9f/Vw=")</f>
        <v>#REF!</v>
      </c>
      <c r="CP505" t="e">
        <f>AND(#REF!,"AAAAAH9f/V0=")</f>
        <v>#REF!</v>
      </c>
      <c r="CQ505" t="e">
        <f>AND(#REF!,"AAAAAH9f/V4=")</f>
        <v>#REF!</v>
      </c>
      <c r="CR505" t="e">
        <f>AND(#REF!,"AAAAAH9f/V8=")</f>
        <v>#REF!</v>
      </c>
      <c r="CS505" t="e">
        <f>AND(#REF!,"AAAAAH9f/WA=")</f>
        <v>#REF!</v>
      </c>
      <c r="CT505" t="e">
        <f>AND(#REF!,"AAAAAH9f/WE=")</f>
        <v>#REF!</v>
      </c>
      <c r="CU505" t="e">
        <f>AND(#REF!,"AAAAAH9f/WI=")</f>
        <v>#REF!</v>
      </c>
      <c r="CV505" t="e">
        <f>AND(#REF!,"AAAAAH9f/WM=")</f>
        <v>#REF!</v>
      </c>
      <c r="CW505" t="e">
        <f>AND(#REF!,"AAAAAH9f/WQ=")</f>
        <v>#REF!</v>
      </c>
      <c r="CX505" t="e">
        <f>AND(#REF!,"AAAAAH9f/WU=")</f>
        <v>#REF!</v>
      </c>
      <c r="CY505" t="e">
        <f>AND(#REF!,"AAAAAH9f/WY=")</f>
        <v>#REF!</v>
      </c>
      <c r="CZ505" t="e">
        <f>AND(#REF!,"AAAAAH9f/Wc=")</f>
        <v>#REF!</v>
      </c>
      <c r="DA505" t="e">
        <f>AND(#REF!,"AAAAAH9f/Wg=")</f>
        <v>#REF!</v>
      </c>
      <c r="DB505" t="e">
        <f>AND(#REF!,"AAAAAH9f/Wk=")</f>
        <v>#REF!</v>
      </c>
      <c r="DC505" t="e">
        <f>AND(#REF!,"AAAAAH9f/Wo=")</f>
        <v>#REF!</v>
      </c>
      <c r="DD505" t="e">
        <f>AND(#REF!,"AAAAAH9f/Ws=")</f>
        <v>#REF!</v>
      </c>
      <c r="DE505" t="e">
        <f>AND(#REF!,"AAAAAH9f/Ww=")</f>
        <v>#REF!</v>
      </c>
      <c r="DF505" t="e">
        <f>AND(#REF!,"AAAAAH9f/W0=")</f>
        <v>#REF!</v>
      </c>
      <c r="DG505" t="e">
        <f>AND(#REF!,"AAAAAH9f/W4=")</f>
        <v>#REF!</v>
      </c>
      <c r="DH505" t="e">
        <f>IF(#REF!,"AAAAAH9f/W8=",0)</f>
        <v>#REF!</v>
      </c>
      <c r="DI505" t="e">
        <f>AND(#REF!,"AAAAAH9f/XA=")</f>
        <v>#REF!</v>
      </c>
      <c r="DJ505" t="e">
        <f>AND(#REF!,"AAAAAH9f/XE=")</f>
        <v>#REF!</v>
      </c>
      <c r="DK505" t="e">
        <f>AND(#REF!,"AAAAAH9f/XI=")</f>
        <v>#REF!</v>
      </c>
      <c r="DL505" t="e">
        <f>AND(#REF!,"AAAAAH9f/XM=")</f>
        <v>#REF!</v>
      </c>
      <c r="DM505" t="e">
        <f>AND(#REF!,"AAAAAH9f/XQ=")</f>
        <v>#REF!</v>
      </c>
      <c r="DN505" t="e">
        <f>AND(#REF!,"AAAAAH9f/XU=")</f>
        <v>#REF!</v>
      </c>
      <c r="DO505" t="e">
        <f>AND(#REF!,"AAAAAH9f/XY=")</f>
        <v>#REF!</v>
      </c>
      <c r="DP505" t="e">
        <f>AND(#REF!,"AAAAAH9f/Xc=")</f>
        <v>#REF!</v>
      </c>
      <c r="DQ505" t="e">
        <f>AND(#REF!,"AAAAAH9f/Xg=")</f>
        <v>#REF!</v>
      </c>
      <c r="DR505" t="e">
        <f>AND(#REF!,"AAAAAH9f/Xk=")</f>
        <v>#REF!</v>
      </c>
      <c r="DS505" t="e">
        <f>AND(#REF!,"AAAAAH9f/Xo=")</f>
        <v>#REF!</v>
      </c>
      <c r="DT505" t="e">
        <f>AND(#REF!,"AAAAAH9f/Xs=")</f>
        <v>#REF!</v>
      </c>
      <c r="DU505" t="e">
        <f>AND(#REF!,"AAAAAH9f/Xw=")</f>
        <v>#REF!</v>
      </c>
      <c r="DV505" t="e">
        <f>AND(#REF!,"AAAAAH9f/X0=")</f>
        <v>#REF!</v>
      </c>
      <c r="DW505" t="e">
        <f>AND(#REF!,"AAAAAH9f/X4=")</f>
        <v>#REF!</v>
      </c>
      <c r="DX505" t="e">
        <f>AND(#REF!,"AAAAAH9f/X8=")</f>
        <v>#REF!</v>
      </c>
      <c r="DY505" t="e">
        <f>AND(#REF!,"AAAAAH9f/YA=")</f>
        <v>#REF!</v>
      </c>
      <c r="DZ505" t="e">
        <f>AND(#REF!,"AAAAAH9f/YE=")</f>
        <v>#REF!</v>
      </c>
      <c r="EA505" t="e">
        <f>AND(#REF!,"AAAAAH9f/YI=")</f>
        <v>#REF!</v>
      </c>
      <c r="EB505" t="e">
        <f>AND(#REF!,"AAAAAH9f/YM=")</f>
        <v>#REF!</v>
      </c>
      <c r="EC505" t="e">
        <f>AND(#REF!,"AAAAAH9f/YQ=")</f>
        <v>#REF!</v>
      </c>
      <c r="ED505" t="e">
        <f>AND(#REF!,"AAAAAH9f/YU=")</f>
        <v>#REF!</v>
      </c>
      <c r="EE505" t="e">
        <f>AND(#REF!,"AAAAAH9f/YY=")</f>
        <v>#REF!</v>
      </c>
      <c r="EF505" t="e">
        <f>AND(#REF!,"AAAAAH9f/Yc=")</f>
        <v>#REF!</v>
      </c>
      <c r="EG505" t="e">
        <f>IF(#REF!,"AAAAAH9f/Yg=",0)</f>
        <v>#REF!</v>
      </c>
      <c r="EH505" t="e">
        <f>AND(#REF!,"AAAAAH9f/Yk=")</f>
        <v>#REF!</v>
      </c>
      <c r="EI505" t="e">
        <f>AND(#REF!,"AAAAAH9f/Yo=")</f>
        <v>#REF!</v>
      </c>
      <c r="EJ505" t="e">
        <f>AND(#REF!,"AAAAAH9f/Ys=")</f>
        <v>#REF!</v>
      </c>
      <c r="EK505" t="e">
        <f>AND(#REF!,"AAAAAH9f/Yw=")</f>
        <v>#REF!</v>
      </c>
      <c r="EL505" t="e">
        <f>AND(#REF!,"AAAAAH9f/Y0=")</f>
        <v>#REF!</v>
      </c>
      <c r="EM505" t="e">
        <f>AND(#REF!,"AAAAAH9f/Y4=")</f>
        <v>#REF!</v>
      </c>
      <c r="EN505" t="e">
        <f>AND(#REF!,"AAAAAH9f/Y8=")</f>
        <v>#REF!</v>
      </c>
      <c r="EO505" t="e">
        <f>AND(#REF!,"AAAAAH9f/ZA=")</f>
        <v>#REF!</v>
      </c>
      <c r="EP505" t="e">
        <f>AND(#REF!,"AAAAAH9f/ZE=")</f>
        <v>#REF!</v>
      </c>
      <c r="EQ505" t="e">
        <f>AND(#REF!,"AAAAAH9f/ZI=")</f>
        <v>#REF!</v>
      </c>
      <c r="ER505" t="e">
        <f>AND(#REF!,"AAAAAH9f/ZM=")</f>
        <v>#REF!</v>
      </c>
      <c r="ES505" t="e">
        <f>AND(#REF!,"AAAAAH9f/ZQ=")</f>
        <v>#REF!</v>
      </c>
      <c r="ET505" t="e">
        <f>AND(#REF!,"AAAAAH9f/ZU=")</f>
        <v>#REF!</v>
      </c>
      <c r="EU505" t="e">
        <f>AND(#REF!,"AAAAAH9f/ZY=")</f>
        <v>#REF!</v>
      </c>
      <c r="EV505" t="e">
        <f>AND(#REF!,"AAAAAH9f/Zc=")</f>
        <v>#REF!</v>
      </c>
      <c r="EW505" t="e">
        <f>AND(#REF!,"AAAAAH9f/Zg=")</f>
        <v>#REF!</v>
      </c>
      <c r="EX505" t="e">
        <f>AND(#REF!,"AAAAAH9f/Zk=")</f>
        <v>#REF!</v>
      </c>
      <c r="EY505" t="e">
        <f>AND(#REF!,"AAAAAH9f/Zo=")</f>
        <v>#REF!</v>
      </c>
      <c r="EZ505" t="e">
        <f>AND(#REF!,"AAAAAH9f/Zs=")</f>
        <v>#REF!</v>
      </c>
      <c r="FA505" t="e">
        <f>AND(#REF!,"AAAAAH9f/Zw=")</f>
        <v>#REF!</v>
      </c>
      <c r="FB505" t="e">
        <f>AND(#REF!,"AAAAAH9f/Z0=")</f>
        <v>#REF!</v>
      </c>
      <c r="FC505" t="e">
        <f>AND(#REF!,"AAAAAH9f/Z4=")</f>
        <v>#REF!</v>
      </c>
      <c r="FD505" t="e">
        <f>AND(#REF!,"AAAAAH9f/Z8=")</f>
        <v>#REF!</v>
      </c>
      <c r="FE505" t="e">
        <f>AND(#REF!,"AAAAAH9f/aA=")</f>
        <v>#REF!</v>
      </c>
      <c r="FF505" t="e">
        <f>IF(#REF!,"AAAAAH9f/aE=",0)</f>
        <v>#REF!</v>
      </c>
      <c r="FG505" t="e">
        <f>AND(#REF!,"AAAAAH9f/aI=")</f>
        <v>#REF!</v>
      </c>
      <c r="FH505" t="e">
        <f>AND(#REF!,"AAAAAH9f/aM=")</f>
        <v>#REF!</v>
      </c>
      <c r="FI505" t="e">
        <f>AND(#REF!,"AAAAAH9f/aQ=")</f>
        <v>#REF!</v>
      </c>
      <c r="FJ505" t="e">
        <f>AND(#REF!,"AAAAAH9f/aU=")</f>
        <v>#REF!</v>
      </c>
      <c r="FK505" t="e">
        <f>AND(#REF!,"AAAAAH9f/aY=")</f>
        <v>#REF!</v>
      </c>
      <c r="FL505" t="e">
        <f>AND(#REF!,"AAAAAH9f/ac=")</f>
        <v>#REF!</v>
      </c>
      <c r="FM505" t="e">
        <f>AND(#REF!,"AAAAAH9f/ag=")</f>
        <v>#REF!</v>
      </c>
      <c r="FN505" t="e">
        <f>AND(#REF!,"AAAAAH9f/ak=")</f>
        <v>#REF!</v>
      </c>
      <c r="FO505" t="e">
        <f>AND(#REF!,"AAAAAH9f/ao=")</f>
        <v>#REF!</v>
      </c>
      <c r="FP505" t="e">
        <f>AND(#REF!,"AAAAAH9f/as=")</f>
        <v>#REF!</v>
      </c>
      <c r="FQ505" t="e">
        <f>AND(#REF!,"AAAAAH9f/aw=")</f>
        <v>#REF!</v>
      </c>
      <c r="FR505" t="e">
        <f>AND(#REF!,"AAAAAH9f/a0=")</f>
        <v>#REF!</v>
      </c>
      <c r="FS505" t="e">
        <f>AND(#REF!,"AAAAAH9f/a4=")</f>
        <v>#REF!</v>
      </c>
      <c r="FT505" t="e">
        <f>AND(#REF!,"AAAAAH9f/a8=")</f>
        <v>#REF!</v>
      </c>
      <c r="FU505" t="e">
        <f>AND(#REF!,"AAAAAH9f/bA=")</f>
        <v>#REF!</v>
      </c>
      <c r="FV505" t="e">
        <f>AND(#REF!,"AAAAAH9f/bE=")</f>
        <v>#REF!</v>
      </c>
      <c r="FW505" t="e">
        <f>AND(#REF!,"AAAAAH9f/bI=")</f>
        <v>#REF!</v>
      </c>
      <c r="FX505" t="e">
        <f>AND(#REF!,"AAAAAH9f/bM=")</f>
        <v>#REF!</v>
      </c>
      <c r="FY505" t="e">
        <f>AND(#REF!,"AAAAAH9f/bQ=")</f>
        <v>#REF!</v>
      </c>
      <c r="FZ505" t="e">
        <f>AND(#REF!,"AAAAAH9f/bU=")</f>
        <v>#REF!</v>
      </c>
      <c r="GA505" t="e">
        <f>AND(#REF!,"AAAAAH9f/bY=")</f>
        <v>#REF!</v>
      </c>
      <c r="GB505" t="e">
        <f>AND(#REF!,"AAAAAH9f/bc=")</f>
        <v>#REF!</v>
      </c>
      <c r="GC505" t="e">
        <f>AND(#REF!,"AAAAAH9f/bg=")</f>
        <v>#REF!</v>
      </c>
      <c r="GD505" t="e">
        <f>AND(#REF!,"AAAAAH9f/bk=")</f>
        <v>#REF!</v>
      </c>
      <c r="GE505" t="e">
        <f>IF(#REF!,"AAAAAH9f/bo=",0)</f>
        <v>#REF!</v>
      </c>
      <c r="GF505" t="e">
        <f>AND(#REF!,"AAAAAH9f/bs=")</f>
        <v>#REF!</v>
      </c>
      <c r="GG505" t="e">
        <f>AND(#REF!,"AAAAAH9f/bw=")</f>
        <v>#REF!</v>
      </c>
      <c r="GH505" t="e">
        <f>AND(#REF!,"AAAAAH9f/b0=")</f>
        <v>#REF!</v>
      </c>
      <c r="GI505" t="e">
        <f>AND(#REF!,"AAAAAH9f/b4=")</f>
        <v>#REF!</v>
      </c>
      <c r="GJ505" t="e">
        <f>AND(#REF!,"AAAAAH9f/b8=")</f>
        <v>#REF!</v>
      </c>
      <c r="GK505" t="e">
        <f>AND(#REF!,"AAAAAH9f/cA=")</f>
        <v>#REF!</v>
      </c>
      <c r="GL505" t="e">
        <f>AND(#REF!,"AAAAAH9f/cE=")</f>
        <v>#REF!</v>
      </c>
      <c r="GM505" t="e">
        <f>AND(#REF!,"AAAAAH9f/cI=")</f>
        <v>#REF!</v>
      </c>
      <c r="GN505" t="e">
        <f>AND(#REF!,"AAAAAH9f/cM=")</f>
        <v>#REF!</v>
      </c>
      <c r="GO505" t="e">
        <f>AND(#REF!,"AAAAAH9f/cQ=")</f>
        <v>#REF!</v>
      </c>
      <c r="GP505" t="e">
        <f>AND(#REF!,"AAAAAH9f/cU=")</f>
        <v>#REF!</v>
      </c>
      <c r="GQ505" t="e">
        <f>AND(#REF!,"AAAAAH9f/cY=")</f>
        <v>#REF!</v>
      </c>
      <c r="GR505" t="e">
        <f>AND(#REF!,"AAAAAH9f/cc=")</f>
        <v>#REF!</v>
      </c>
      <c r="GS505" t="e">
        <f>AND(#REF!,"AAAAAH9f/cg=")</f>
        <v>#REF!</v>
      </c>
      <c r="GT505" t="e">
        <f>AND(#REF!,"AAAAAH9f/ck=")</f>
        <v>#REF!</v>
      </c>
      <c r="GU505" t="e">
        <f>AND(#REF!,"AAAAAH9f/co=")</f>
        <v>#REF!</v>
      </c>
      <c r="GV505" t="e">
        <f>AND(#REF!,"AAAAAH9f/cs=")</f>
        <v>#REF!</v>
      </c>
      <c r="GW505" t="e">
        <f>AND(#REF!,"AAAAAH9f/cw=")</f>
        <v>#REF!</v>
      </c>
      <c r="GX505" t="e">
        <f>AND(#REF!,"AAAAAH9f/c0=")</f>
        <v>#REF!</v>
      </c>
      <c r="GY505" t="e">
        <f>AND(#REF!,"AAAAAH9f/c4=")</f>
        <v>#REF!</v>
      </c>
      <c r="GZ505" t="e">
        <f>AND(#REF!,"AAAAAH9f/c8=")</f>
        <v>#REF!</v>
      </c>
      <c r="HA505" t="e">
        <f>AND(#REF!,"AAAAAH9f/dA=")</f>
        <v>#REF!</v>
      </c>
      <c r="HB505" t="e">
        <f>AND(#REF!,"AAAAAH9f/dE=")</f>
        <v>#REF!</v>
      </c>
      <c r="HC505" t="e">
        <f>AND(#REF!,"AAAAAH9f/dI=")</f>
        <v>#REF!</v>
      </c>
      <c r="HD505" t="e">
        <f>IF(#REF!,"AAAAAH9f/dM=",0)</f>
        <v>#REF!</v>
      </c>
      <c r="HE505" t="e">
        <f>AND(#REF!,"AAAAAH9f/dQ=")</f>
        <v>#REF!</v>
      </c>
      <c r="HF505" t="e">
        <f>AND(#REF!,"AAAAAH9f/dU=")</f>
        <v>#REF!</v>
      </c>
      <c r="HG505" t="e">
        <f>AND(#REF!,"AAAAAH9f/dY=")</f>
        <v>#REF!</v>
      </c>
      <c r="HH505" t="e">
        <f>AND(#REF!,"AAAAAH9f/dc=")</f>
        <v>#REF!</v>
      </c>
      <c r="HI505" t="e">
        <f>AND(#REF!,"AAAAAH9f/dg=")</f>
        <v>#REF!</v>
      </c>
      <c r="HJ505" t="e">
        <f>AND(#REF!,"AAAAAH9f/dk=")</f>
        <v>#REF!</v>
      </c>
      <c r="HK505" t="e">
        <f>AND(#REF!,"AAAAAH9f/do=")</f>
        <v>#REF!</v>
      </c>
      <c r="HL505" t="e">
        <f>AND(#REF!,"AAAAAH9f/ds=")</f>
        <v>#REF!</v>
      </c>
      <c r="HM505" t="e">
        <f>AND(#REF!,"AAAAAH9f/dw=")</f>
        <v>#REF!</v>
      </c>
      <c r="HN505" t="e">
        <f>AND(#REF!,"AAAAAH9f/d0=")</f>
        <v>#REF!</v>
      </c>
      <c r="HO505" t="e">
        <f>AND(#REF!,"AAAAAH9f/d4=")</f>
        <v>#REF!</v>
      </c>
      <c r="HP505" t="e">
        <f>AND(#REF!,"AAAAAH9f/d8=")</f>
        <v>#REF!</v>
      </c>
      <c r="HQ505" t="e">
        <f>AND(#REF!,"AAAAAH9f/eA=")</f>
        <v>#REF!</v>
      </c>
      <c r="HR505" t="e">
        <f>AND(#REF!,"AAAAAH9f/eE=")</f>
        <v>#REF!</v>
      </c>
      <c r="HS505" t="e">
        <f>AND(#REF!,"AAAAAH9f/eI=")</f>
        <v>#REF!</v>
      </c>
      <c r="HT505" t="e">
        <f>AND(#REF!,"AAAAAH9f/eM=")</f>
        <v>#REF!</v>
      </c>
      <c r="HU505" t="e">
        <f>AND(#REF!,"AAAAAH9f/eQ=")</f>
        <v>#REF!</v>
      </c>
      <c r="HV505" t="e">
        <f>AND(#REF!,"AAAAAH9f/eU=")</f>
        <v>#REF!</v>
      </c>
      <c r="HW505" t="e">
        <f>AND(#REF!,"AAAAAH9f/eY=")</f>
        <v>#REF!</v>
      </c>
      <c r="HX505" t="e">
        <f>AND(#REF!,"AAAAAH9f/ec=")</f>
        <v>#REF!</v>
      </c>
      <c r="HY505" t="e">
        <f>AND(#REF!,"AAAAAH9f/eg=")</f>
        <v>#REF!</v>
      </c>
      <c r="HZ505" t="e">
        <f>AND(#REF!,"AAAAAH9f/ek=")</f>
        <v>#REF!</v>
      </c>
      <c r="IA505" t="e">
        <f>AND(#REF!,"AAAAAH9f/eo=")</f>
        <v>#REF!</v>
      </c>
      <c r="IB505" t="e">
        <f>AND(#REF!,"AAAAAH9f/es=")</f>
        <v>#REF!</v>
      </c>
      <c r="IC505" t="e">
        <f>IF(#REF!,"AAAAAH9f/ew=",0)</f>
        <v>#REF!</v>
      </c>
      <c r="ID505" t="e">
        <f>AND(#REF!,"AAAAAH9f/e0=")</f>
        <v>#REF!</v>
      </c>
      <c r="IE505" t="e">
        <f>AND(#REF!,"AAAAAH9f/e4=")</f>
        <v>#REF!</v>
      </c>
      <c r="IF505" t="e">
        <f>AND(#REF!,"AAAAAH9f/e8=")</f>
        <v>#REF!</v>
      </c>
      <c r="IG505" t="e">
        <f>AND(#REF!,"AAAAAH9f/fA=")</f>
        <v>#REF!</v>
      </c>
      <c r="IH505" t="e">
        <f>AND(#REF!,"AAAAAH9f/fE=")</f>
        <v>#REF!</v>
      </c>
      <c r="II505" t="e">
        <f>AND(#REF!,"AAAAAH9f/fI=")</f>
        <v>#REF!</v>
      </c>
      <c r="IJ505" t="e">
        <f>AND(#REF!,"AAAAAH9f/fM=")</f>
        <v>#REF!</v>
      </c>
      <c r="IK505" t="e">
        <f>AND(#REF!,"AAAAAH9f/fQ=")</f>
        <v>#REF!</v>
      </c>
      <c r="IL505" t="e">
        <f>AND(#REF!,"AAAAAH9f/fU=")</f>
        <v>#REF!</v>
      </c>
      <c r="IM505" t="e">
        <f>AND(#REF!,"AAAAAH9f/fY=")</f>
        <v>#REF!</v>
      </c>
      <c r="IN505" t="e">
        <f>AND(#REF!,"AAAAAH9f/fc=")</f>
        <v>#REF!</v>
      </c>
      <c r="IO505" t="e">
        <f>AND(#REF!,"AAAAAH9f/fg=")</f>
        <v>#REF!</v>
      </c>
      <c r="IP505" t="e">
        <f>AND(#REF!,"AAAAAH9f/fk=")</f>
        <v>#REF!</v>
      </c>
      <c r="IQ505" t="e">
        <f>AND(#REF!,"AAAAAH9f/fo=")</f>
        <v>#REF!</v>
      </c>
      <c r="IR505" t="e">
        <f>AND(#REF!,"AAAAAH9f/fs=")</f>
        <v>#REF!</v>
      </c>
      <c r="IS505" t="e">
        <f>AND(#REF!,"AAAAAH9f/fw=")</f>
        <v>#REF!</v>
      </c>
      <c r="IT505" t="e">
        <f>AND(#REF!,"AAAAAH9f/f0=")</f>
        <v>#REF!</v>
      </c>
      <c r="IU505" t="e">
        <f>AND(#REF!,"AAAAAH9f/f4=")</f>
        <v>#REF!</v>
      </c>
      <c r="IV505" t="e">
        <f>AND(#REF!,"AAAAAH9f/f8=")</f>
        <v>#REF!</v>
      </c>
    </row>
    <row r="506" spans="1:256">
      <c r="A506" t="e">
        <f>AND(#REF!,"AAAAAF989gA=")</f>
        <v>#REF!</v>
      </c>
      <c r="B506" t="e">
        <f>AND(#REF!,"AAAAAF989gE=")</f>
        <v>#REF!</v>
      </c>
      <c r="C506" t="e">
        <f>AND(#REF!,"AAAAAF989gI=")</f>
        <v>#REF!</v>
      </c>
      <c r="D506" t="e">
        <f>AND(#REF!,"AAAAAF989gM=")</f>
        <v>#REF!</v>
      </c>
      <c r="E506" t="e">
        <f>AND(#REF!,"AAAAAF989gQ=")</f>
        <v>#REF!</v>
      </c>
      <c r="F506" t="e">
        <f>IF(#REF!,"AAAAAF989gU=",0)</f>
        <v>#REF!</v>
      </c>
      <c r="G506" t="e">
        <f>AND(#REF!,"AAAAAF989gY=")</f>
        <v>#REF!</v>
      </c>
      <c r="H506" t="e">
        <f>AND(#REF!,"AAAAAF989gc=")</f>
        <v>#REF!</v>
      </c>
      <c r="I506" t="e">
        <f>AND(#REF!,"AAAAAF989gg=")</f>
        <v>#REF!</v>
      </c>
      <c r="J506" t="e">
        <f>AND(#REF!,"AAAAAF989gk=")</f>
        <v>#REF!</v>
      </c>
      <c r="K506" t="e">
        <f>AND(#REF!,"AAAAAF989go=")</f>
        <v>#REF!</v>
      </c>
      <c r="L506" t="e">
        <f>AND(#REF!,"AAAAAF989gs=")</f>
        <v>#REF!</v>
      </c>
      <c r="M506" t="e">
        <f>AND(#REF!,"AAAAAF989gw=")</f>
        <v>#REF!</v>
      </c>
      <c r="N506" t="e">
        <f>AND(#REF!,"AAAAAF989g0=")</f>
        <v>#REF!</v>
      </c>
      <c r="O506" t="e">
        <f>AND(#REF!,"AAAAAF989g4=")</f>
        <v>#REF!</v>
      </c>
      <c r="P506" t="e">
        <f>AND(#REF!,"AAAAAF989g8=")</f>
        <v>#REF!</v>
      </c>
      <c r="Q506" t="e">
        <f>AND(#REF!,"AAAAAF989hA=")</f>
        <v>#REF!</v>
      </c>
      <c r="R506" t="e">
        <f>AND(#REF!,"AAAAAF989hE=")</f>
        <v>#REF!</v>
      </c>
      <c r="S506" t="e">
        <f>AND(#REF!,"AAAAAF989hI=")</f>
        <v>#REF!</v>
      </c>
      <c r="T506" t="e">
        <f>AND(#REF!,"AAAAAF989hM=")</f>
        <v>#REF!</v>
      </c>
      <c r="U506" t="e">
        <f>AND(#REF!,"AAAAAF989hQ=")</f>
        <v>#REF!</v>
      </c>
      <c r="V506" t="e">
        <f>AND(#REF!,"AAAAAF989hU=")</f>
        <v>#REF!</v>
      </c>
      <c r="W506" t="e">
        <f>AND(#REF!,"AAAAAF989hY=")</f>
        <v>#REF!</v>
      </c>
      <c r="X506" t="e">
        <f>AND(#REF!,"AAAAAF989hc=")</f>
        <v>#REF!</v>
      </c>
      <c r="Y506" t="e">
        <f>AND(#REF!,"AAAAAF989hg=")</f>
        <v>#REF!</v>
      </c>
      <c r="Z506" t="e">
        <f>AND(#REF!,"AAAAAF989hk=")</f>
        <v>#REF!</v>
      </c>
      <c r="AA506" t="e">
        <f>AND(#REF!,"AAAAAF989ho=")</f>
        <v>#REF!</v>
      </c>
      <c r="AB506" t="e">
        <f>AND(#REF!,"AAAAAF989hs=")</f>
        <v>#REF!</v>
      </c>
      <c r="AC506" t="e">
        <f>AND(#REF!,"AAAAAF989hw=")</f>
        <v>#REF!</v>
      </c>
      <c r="AD506" t="e">
        <f>AND(#REF!,"AAAAAF989h0=")</f>
        <v>#REF!</v>
      </c>
      <c r="AE506" t="e">
        <f>IF(#REF!,"AAAAAF989h4=",0)</f>
        <v>#REF!</v>
      </c>
      <c r="AF506" t="e">
        <f>AND(#REF!,"AAAAAF989h8=")</f>
        <v>#REF!</v>
      </c>
      <c r="AG506" t="e">
        <f>AND(#REF!,"AAAAAF989iA=")</f>
        <v>#REF!</v>
      </c>
      <c r="AH506" t="e">
        <f>AND(#REF!,"AAAAAF989iE=")</f>
        <v>#REF!</v>
      </c>
      <c r="AI506" t="e">
        <f>AND(#REF!,"AAAAAF989iI=")</f>
        <v>#REF!</v>
      </c>
      <c r="AJ506" t="e">
        <f>AND(#REF!,"AAAAAF989iM=")</f>
        <v>#REF!</v>
      </c>
      <c r="AK506" t="e">
        <f>AND(#REF!,"AAAAAF989iQ=")</f>
        <v>#REF!</v>
      </c>
      <c r="AL506" t="e">
        <f>AND(#REF!,"AAAAAF989iU=")</f>
        <v>#REF!</v>
      </c>
      <c r="AM506" t="e">
        <f>AND(#REF!,"AAAAAF989iY=")</f>
        <v>#REF!</v>
      </c>
      <c r="AN506" t="e">
        <f>AND(#REF!,"AAAAAF989ic=")</f>
        <v>#REF!</v>
      </c>
      <c r="AO506" t="e">
        <f>AND(#REF!,"AAAAAF989ig=")</f>
        <v>#REF!</v>
      </c>
      <c r="AP506" t="e">
        <f>AND(#REF!,"AAAAAF989ik=")</f>
        <v>#REF!</v>
      </c>
      <c r="AQ506" t="e">
        <f>AND(#REF!,"AAAAAF989io=")</f>
        <v>#REF!</v>
      </c>
      <c r="AR506" t="e">
        <f>AND(#REF!,"AAAAAF989is=")</f>
        <v>#REF!</v>
      </c>
      <c r="AS506" t="e">
        <f>AND(#REF!,"AAAAAF989iw=")</f>
        <v>#REF!</v>
      </c>
      <c r="AT506" t="e">
        <f>AND(#REF!,"AAAAAF989i0=")</f>
        <v>#REF!</v>
      </c>
      <c r="AU506" t="e">
        <f>AND(#REF!,"AAAAAF989i4=")</f>
        <v>#REF!</v>
      </c>
      <c r="AV506" t="e">
        <f>AND(#REF!,"AAAAAF989i8=")</f>
        <v>#REF!</v>
      </c>
      <c r="AW506" t="e">
        <f>AND(#REF!,"AAAAAF989jA=")</f>
        <v>#REF!</v>
      </c>
      <c r="AX506" t="e">
        <f>AND(#REF!,"AAAAAF989jE=")</f>
        <v>#REF!</v>
      </c>
      <c r="AY506" t="e">
        <f>AND(#REF!,"AAAAAF989jI=")</f>
        <v>#REF!</v>
      </c>
      <c r="AZ506" t="e">
        <f>AND(#REF!,"AAAAAF989jM=")</f>
        <v>#REF!</v>
      </c>
      <c r="BA506" t="e">
        <f>AND(#REF!,"AAAAAF989jQ=")</f>
        <v>#REF!</v>
      </c>
      <c r="BB506" t="e">
        <f>AND(#REF!,"AAAAAF989jU=")</f>
        <v>#REF!</v>
      </c>
      <c r="BC506" t="e">
        <f>AND(#REF!,"AAAAAF989jY=")</f>
        <v>#REF!</v>
      </c>
      <c r="BD506" t="e">
        <f>IF(#REF!,"AAAAAF989jc=",0)</f>
        <v>#REF!</v>
      </c>
      <c r="BE506" t="e">
        <f>AND(#REF!,"AAAAAF989jg=")</f>
        <v>#REF!</v>
      </c>
      <c r="BF506" t="e">
        <f>AND(#REF!,"AAAAAF989jk=")</f>
        <v>#REF!</v>
      </c>
      <c r="BG506" t="e">
        <f>AND(#REF!,"AAAAAF989jo=")</f>
        <v>#REF!</v>
      </c>
      <c r="BH506" t="e">
        <f>AND(#REF!,"AAAAAF989js=")</f>
        <v>#REF!</v>
      </c>
      <c r="BI506" t="e">
        <f>AND(#REF!,"AAAAAF989jw=")</f>
        <v>#REF!</v>
      </c>
      <c r="BJ506" t="e">
        <f>AND(#REF!,"AAAAAF989j0=")</f>
        <v>#REF!</v>
      </c>
      <c r="BK506" t="e">
        <f>AND(#REF!,"AAAAAF989j4=")</f>
        <v>#REF!</v>
      </c>
      <c r="BL506" t="e">
        <f>AND(#REF!,"AAAAAF989j8=")</f>
        <v>#REF!</v>
      </c>
      <c r="BM506" t="e">
        <f>AND(#REF!,"AAAAAF989kA=")</f>
        <v>#REF!</v>
      </c>
      <c r="BN506" t="e">
        <f>AND(#REF!,"AAAAAF989kE=")</f>
        <v>#REF!</v>
      </c>
      <c r="BO506" t="e">
        <f>AND(#REF!,"AAAAAF989kI=")</f>
        <v>#REF!</v>
      </c>
      <c r="BP506" t="e">
        <f>AND(#REF!,"AAAAAF989kM=")</f>
        <v>#REF!</v>
      </c>
      <c r="BQ506" t="e">
        <f>AND(#REF!,"AAAAAF989kQ=")</f>
        <v>#REF!</v>
      </c>
      <c r="BR506" t="e">
        <f>AND(#REF!,"AAAAAF989kU=")</f>
        <v>#REF!</v>
      </c>
      <c r="BS506" t="e">
        <f>AND(#REF!,"AAAAAF989kY=")</f>
        <v>#REF!</v>
      </c>
      <c r="BT506" t="e">
        <f>AND(#REF!,"AAAAAF989kc=")</f>
        <v>#REF!</v>
      </c>
      <c r="BU506" t="e">
        <f>AND(#REF!,"AAAAAF989kg=")</f>
        <v>#REF!</v>
      </c>
      <c r="BV506" t="e">
        <f>AND(#REF!,"AAAAAF989kk=")</f>
        <v>#REF!</v>
      </c>
      <c r="BW506" t="e">
        <f>AND(#REF!,"AAAAAF989ko=")</f>
        <v>#REF!</v>
      </c>
      <c r="BX506" t="e">
        <f>AND(#REF!,"AAAAAF989ks=")</f>
        <v>#REF!</v>
      </c>
      <c r="BY506" t="e">
        <f>AND(#REF!,"AAAAAF989kw=")</f>
        <v>#REF!</v>
      </c>
      <c r="BZ506" t="e">
        <f>AND(#REF!,"AAAAAF989k0=")</f>
        <v>#REF!</v>
      </c>
      <c r="CA506" t="e">
        <f>AND(#REF!,"AAAAAF989k4=")</f>
        <v>#REF!</v>
      </c>
      <c r="CB506" t="e">
        <f>AND(#REF!,"AAAAAF989k8=")</f>
        <v>#REF!</v>
      </c>
      <c r="CC506" t="e">
        <f>IF(#REF!,"AAAAAF989lA=",0)</f>
        <v>#REF!</v>
      </c>
      <c r="CD506" t="e">
        <f>AND(#REF!,"AAAAAF989lE=")</f>
        <v>#REF!</v>
      </c>
      <c r="CE506" t="e">
        <f>AND(#REF!,"AAAAAF989lI=")</f>
        <v>#REF!</v>
      </c>
      <c r="CF506" t="e">
        <f>AND(#REF!,"AAAAAF989lM=")</f>
        <v>#REF!</v>
      </c>
      <c r="CG506" t="e">
        <f>AND(#REF!,"AAAAAF989lQ=")</f>
        <v>#REF!</v>
      </c>
      <c r="CH506" t="e">
        <f>AND(#REF!,"AAAAAF989lU=")</f>
        <v>#REF!</v>
      </c>
      <c r="CI506" t="e">
        <f>AND(#REF!,"AAAAAF989lY=")</f>
        <v>#REF!</v>
      </c>
      <c r="CJ506" t="e">
        <f>AND(#REF!,"AAAAAF989lc=")</f>
        <v>#REF!</v>
      </c>
      <c r="CK506" t="e">
        <f>AND(#REF!,"AAAAAF989lg=")</f>
        <v>#REF!</v>
      </c>
      <c r="CL506" t="e">
        <f>AND(#REF!,"AAAAAF989lk=")</f>
        <v>#REF!</v>
      </c>
      <c r="CM506" t="e">
        <f>AND(#REF!,"AAAAAF989lo=")</f>
        <v>#REF!</v>
      </c>
      <c r="CN506" t="e">
        <f>AND(#REF!,"AAAAAF989ls=")</f>
        <v>#REF!</v>
      </c>
      <c r="CO506" t="e">
        <f>AND(#REF!,"AAAAAF989lw=")</f>
        <v>#REF!</v>
      </c>
      <c r="CP506" t="e">
        <f>AND(#REF!,"AAAAAF989l0=")</f>
        <v>#REF!</v>
      </c>
      <c r="CQ506" t="e">
        <f>AND(#REF!,"AAAAAF989l4=")</f>
        <v>#REF!</v>
      </c>
      <c r="CR506" t="e">
        <f>AND(#REF!,"AAAAAF989l8=")</f>
        <v>#REF!</v>
      </c>
      <c r="CS506" t="e">
        <f>AND(#REF!,"AAAAAF989mA=")</f>
        <v>#REF!</v>
      </c>
      <c r="CT506" t="e">
        <f>AND(#REF!,"AAAAAF989mE=")</f>
        <v>#REF!</v>
      </c>
      <c r="CU506" t="e">
        <f>AND(#REF!,"AAAAAF989mI=")</f>
        <v>#REF!</v>
      </c>
      <c r="CV506" t="e">
        <f>AND(#REF!,"AAAAAF989mM=")</f>
        <v>#REF!</v>
      </c>
      <c r="CW506" t="e">
        <f>AND(#REF!,"AAAAAF989mQ=")</f>
        <v>#REF!</v>
      </c>
      <c r="CX506" t="e">
        <f>AND(#REF!,"AAAAAF989mU=")</f>
        <v>#REF!</v>
      </c>
      <c r="CY506" t="e">
        <f>AND(#REF!,"AAAAAF989mY=")</f>
        <v>#REF!</v>
      </c>
      <c r="CZ506" t="e">
        <f>AND(#REF!,"AAAAAF989mc=")</f>
        <v>#REF!</v>
      </c>
      <c r="DA506" t="e">
        <f>AND(#REF!,"AAAAAF989mg=")</f>
        <v>#REF!</v>
      </c>
      <c r="DB506" t="e">
        <f>IF(#REF!,"AAAAAF989mk=",0)</f>
        <v>#REF!</v>
      </c>
      <c r="DC506" t="e">
        <f>AND(#REF!,"AAAAAF989mo=")</f>
        <v>#REF!</v>
      </c>
      <c r="DD506" t="e">
        <f>AND(#REF!,"AAAAAF989ms=")</f>
        <v>#REF!</v>
      </c>
      <c r="DE506" t="e">
        <f>AND(#REF!,"AAAAAF989mw=")</f>
        <v>#REF!</v>
      </c>
      <c r="DF506" t="e">
        <f>AND(#REF!,"AAAAAF989m0=")</f>
        <v>#REF!</v>
      </c>
      <c r="DG506" t="e">
        <f>AND(#REF!,"AAAAAF989m4=")</f>
        <v>#REF!</v>
      </c>
      <c r="DH506" t="e">
        <f>AND(#REF!,"AAAAAF989m8=")</f>
        <v>#REF!</v>
      </c>
      <c r="DI506" t="e">
        <f>AND(#REF!,"AAAAAF989nA=")</f>
        <v>#REF!</v>
      </c>
      <c r="DJ506" t="e">
        <f>AND(#REF!,"AAAAAF989nE=")</f>
        <v>#REF!</v>
      </c>
      <c r="DK506" t="e">
        <f>AND(#REF!,"AAAAAF989nI=")</f>
        <v>#REF!</v>
      </c>
      <c r="DL506" t="e">
        <f>AND(#REF!,"AAAAAF989nM=")</f>
        <v>#REF!</v>
      </c>
      <c r="DM506" t="e">
        <f>AND(#REF!,"AAAAAF989nQ=")</f>
        <v>#REF!</v>
      </c>
      <c r="DN506" t="e">
        <f>AND(#REF!,"AAAAAF989nU=")</f>
        <v>#REF!</v>
      </c>
      <c r="DO506" t="e">
        <f>AND(#REF!,"AAAAAF989nY=")</f>
        <v>#REF!</v>
      </c>
      <c r="DP506" t="e">
        <f>AND(#REF!,"AAAAAF989nc=")</f>
        <v>#REF!</v>
      </c>
      <c r="DQ506" t="e">
        <f>AND(#REF!,"AAAAAF989ng=")</f>
        <v>#REF!</v>
      </c>
      <c r="DR506" t="e">
        <f>AND(#REF!,"AAAAAF989nk=")</f>
        <v>#REF!</v>
      </c>
      <c r="DS506" t="e">
        <f>AND(#REF!,"AAAAAF989no=")</f>
        <v>#REF!</v>
      </c>
      <c r="DT506" t="e">
        <f>AND(#REF!,"AAAAAF989ns=")</f>
        <v>#REF!</v>
      </c>
      <c r="DU506" t="e">
        <f>AND(#REF!,"AAAAAF989nw=")</f>
        <v>#REF!</v>
      </c>
      <c r="DV506" t="e">
        <f>AND(#REF!,"AAAAAF989n0=")</f>
        <v>#REF!</v>
      </c>
      <c r="DW506" t="e">
        <f>AND(#REF!,"AAAAAF989n4=")</f>
        <v>#REF!</v>
      </c>
      <c r="DX506" t="e">
        <f>AND(#REF!,"AAAAAF989n8=")</f>
        <v>#REF!</v>
      </c>
      <c r="DY506" t="e">
        <f>AND(#REF!,"AAAAAF989oA=")</f>
        <v>#REF!</v>
      </c>
      <c r="DZ506" t="e">
        <f>AND(#REF!,"AAAAAF989oE=")</f>
        <v>#REF!</v>
      </c>
      <c r="EA506" t="e">
        <f>IF(#REF!,"AAAAAF989oI=",0)</f>
        <v>#REF!</v>
      </c>
      <c r="EB506" t="e">
        <f>AND(#REF!,"AAAAAF989oM=")</f>
        <v>#REF!</v>
      </c>
      <c r="EC506" t="e">
        <f>AND(#REF!,"AAAAAF989oQ=")</f>
        <v>#REF!</v>
      </c>
      <c r="ED506" t="e">
        <f>AND(#REF!,"AAAAAF989oU=")</f>
        <v>#REF!</v>
      </c>
      <c r="EE506" t="e">
        <f>AND(#REF!,"AAAAAF989oY=")</f>
        <v>#REF!</v>
      </c>
      <c r="EF506" t="e">
        <f>AND(#REF!,"AAAAAF989oc=")</f>
        <v>#REF!</v>
      </c>
      <c r="EG506" t="e">
        <f>AND(#REF!,"AAAAAF989og=")</f>
        <v>#REF!</v>
      </c>
      <c r="EH506" t="e">
        <f>AND(#REF!,"AAAAAF989ok=")</f>
        <v>#REF!</v>
      </c>
      <c r="EI506" t="e">
        <f>AND(#REF!,"AAAAAF989oo=")</f>
        <v>#REF!</v>
      </c>
      <c r="EJ506" t="e">
        <f>AND(#REF!,"AAAAAF989os=")</f>
        <v>#REF!</v>
      </c>
      <c r="EK506" t="e">
        <f>AND(#REF!,"AAAAAF989ow=")</f>
        <v>#REF!</v>
      </c>
      <c r="EL506" t="e">
        <f>AND(#REF!,"AAAAAF989o0=")</f>
        <v>#REF!</v>
      </c>
      <c r="EM506" t="e">
        <f>AND(#REF!,"AAAAAF989o4=")</f>
        <v>#REF!</v>
      </c>
      <c r="EN506" t="e">
        <f>AND(#REF!,"AAAAAF989o8=")</f>
        <v>#REF!</v>
      </c>
      <c r="EO506" t="e">
        <f>AND(#REF!,"AAAAAF989pA=")</f>
        <v>#REF!</v>
      </c>
      <c r="EP506" t="e">
        <f>AND(#REF!,"AAAAAF989pE=")</f>
        <v>#REF!</v>
      </c>
      <c r="EQ506" t="e">
        <f>AND(#REF!,"AAAAAF989pI=")</f>
        <v>#REF!</v>
      </c>
      <c r="ER506" t="e">
        <f>AND(#REF!,"AAAAAF989pM=")</f>
        <v>#REF!</v>
      </c>
      <c r="ES506" t="e">
        <f>AND(#REF!,"AAAAAF989pQ=")</f>
        <v>#REF!</v>
      </c>
      <c r="ET506" t="e">
        <f>AND(#REF!,"AAAAAF989pU=")</f>
        <v>#REF!</v>
      </c>
      <c r="EU506" t="e">
        <f>AND(#REF!,"AAAAAF989pY=")</f>
        <v>#REF!</v>
      </c>
      <c r="EV506" t="e">
        <f>AND(#REF!,"AAAAAF989pc=")</f>
        <v>#REF!</v>
      </c>
      <c r="EW506" t="e">
        <f>AND(#REF!,"AAAAAF989pg=")</f>
        <v>#REF!</v>
      </c>
      <c r="EX506" t="e">
        <f>AND(#REF!,"AAAAAF989pk=")</f>
        <v>#REF!</v>
      </c>
      <c r="EY506" t="e">
        <f>AND(#REF!,"AAAAAF989po=")</f>
        <v>#REF!</v>
      </c>
      <c r="EZ506" t="e">
        <f>IF(#REF!,"AAAAAF989ps=",0)</f>
        <v>#REF!</v>
      </c>
      <c r="FA506" t="e">
        <f>AND(#REF!,"AAAAAF989pw=")</f>
        <v>#REF!</v>
      </c>
      <c r="FB506" t="e">
        <f>AND(#REF!,"AAAAAF989p0=")</f>
        <v>#REF!</v>
      </c>
      <c r="FC506" t="e">
        <f>AND(#REF!,"AAAAAF989p4=")</f>
        <v>#REF!</v>
      </c>
      <c r="FD506" t="e">
        <f>AND(#REF!,"AAAAAF989p8=")</f>
        <v>#REF!</v>
      </c>
      <c r="FE506" t="e">
        <f>AND(#REF!,"AAAAAF989qA=")</f>
        <v>#REF!</v>
      </c>
      <c r="FF506" t="e">
        <f>AND(#REF!,"AAAAAF989qE=")</f>
        <v>#REF!</v>
      </c>
      <c r="FG506" t="e">
        <f>AND(#REF!,"AAAAAF989qI=")</f>
        <v>#REF!</v>
      </c>
      <c r="FH506" t="e">
        <f>AND(#REF!,"AAAAAF989qM=")</f>
        <v>#REF!</v>
      </c>
      <c r="FI506" t="e">
        <f>AND(#REF!,"AAAAAF989qQ=")</f>
        <v>#REF!</v>
      </c>
      <c r="FJ506" t="e">
        <f>AND(#REF!,"AAAAAF989qU=")</f>
        <v>#REF!</v>
      </c>
      <c r="FK506" t="e">
        <f>AND(#REF!,"AAAAAF989qY=")</f>
        <v>#REF!</v>
      </c>
      <c r="FL506" t="e">
        <f>AND(#REF!,"AAAAAF989qc=")</f>
        <v>#REF!</v>
      </c>
      <c r="FM506" t="e">
        <f>AND(#REF!,"AAAAAF989qg=")</f>
        <v>#REF!</v>
      </c>
      <c r="FN506" t="e">
        <f>AND(#REF!,"AAAAAF989qk=")</f>
        <v>#REF!</v>
      </c>
      <c r="FO506" t="e">
        <f>AND(#REF!,"AAAAAF989qo=")</f>
        <v>#REF!</v>
      </c>
      <c r="FP506" t="e">
        <f>AND(#REF!,"AAAAAF989qs=")</f>
        <v>#REF!</v>
      </c>
      <c r="FQ506" t="e">
        <f>AND(#REF!,"AAAAAF989qw=")</f>
        <v>#REF!</v>
      </c>
      <c r="FR506" t="e">
        <f>AND(#REF!,"AAAAAF989q0=")</f>
        <v>#REF!</v>
      </c>
      <c r="FS506" t="e">
        <f>AND(#REF!,"AAAAAF989q4=")</f>
        <v>#REF!</v>
      </c>
      <c r="FT506" t="e">
        <f>AND(#REF!,"AAAAAF989q8=")</f>
        <v>#REF!</v>
      </c>
      <c r="FU506" t="e">
        <f>AND(#REF!,"AAAAAF989rA=")</f>
        <v>#REF!</v>
      </c>
      <c r="FV506" t="e">
        <f>AND(#REF!,"AAAAAF989rE=")</f>
        <v>#REF!</v>
      </c>
      <c r="FW506" t="e">
        <f>AND(#REF!,"AAAAAF989rI=")</f>
        <v>#REF!</v>
      </c>
      <c r="FX506" t="e">
        <f>AND(#REF!,"AAAAAF989rM=")</f>
        <v>#REF!</v>
      </c>
      <c r="FY506" t="e">
        <f>IF(#REF!,"AAAAAF989rQ=",0)</f>
        <v>#REF!</v>
      </c>
      <c r="FZ506" t="e">
        <f>AND(#REF!,"AAAAAF989rU=")</f>
        <v>#REF!</v>
      </c>
      <c r="GA506" t="e">
        <f>AND(#REF!,"AAAAAF989rY=")</f>
        <v>#REF!</v>
      </c>
      <c r="GB506" t="e">
        <f>AND(#REF!,"AAAAAF989rc=")</f>
        <v>#REF!</v>
      </c>
      <c r="GC506" t="e">
        <f>AND(#REF!,"AAAAAF989rg=")</f>
        <v>#REF!</v>
      </c>
      <c r="GD506" t="e">
        <f>AND(#REF!,"AAAAAF989rk=")</f>
        <v>#REF!</v>
      </c>
      <c r="GE506" t="e">
        <f>AND(#REF!,"AAAAAF989ro=")</f>
        <v>#REF!</v>
      </c>
      <c r="GF506" t="e">
        <f>AND(#REF!,"AAAAAF989rs=")</f>
        <v>#REF!</v>
      </c>
      <c r="GG506" t="e">
        <f>AND(#REF!,"AAAAAF989rw=")</f>
        <v>#REF!</v>
      </c>
      <c r="GH506" t="e">
        <f>AND(#REF!,"AAAAAF989r0=")</f>
        <v>#REF!</v>
      </c>
      <c r="GI506" t="e">
        <f>AND(#REF!,"AAAAAF989r4=")</f>
        <v>#REF!</v>
      </c>
      <c r="GJ506" t="e">
        <f>AND(#REF!,"AAAAAF989r8=")</f>
        <v>#REF!</v>
      </c>
      <c r="GK506" t="e">
        <f>AND(#REF!,"AAAAAF989sA=")</f>
        <v>#REF!</v>
      </c>
      <c r="GL506" t="e">
        <f>AND(#REF!,"AAAAAF989sE=")</f>
        <v>#REF!</v>
      </c>
      <c r="GM506" t="e">
        <f>AND(#REF!,"AAAAAF989sI=")</f>
        <v>#REF!</v>
      </c>
      <c r="GN506" t="e">
        <f>AND(#REF!,"AAAAAF989sM=")</f>
        <v>#REF!</v>
      </c>
      <c r="GO506" t="e">
        <f>AND(#REF!,"AAAAAF989sQ=")</f>
        <v>#REF!</v>
      </c>
      <c r="GP506" t="e">
        <f>AND(#REF!,"AAAAAF989sU=")</f>
        <v>#REF!</v>
      </c>
      <c r="GQ506" t="e">
        <f>AND(#REF!,"AAAAAF989sY=")</f>
        <v>#REF!</v>
      </c>
      <c r="GR506" t="e">
        <f>AND(#REF!,"AAAAAF989sc=")</f>
        <v>#REF!</v>
      </c>
      <c r="GS506" t="e">
        <f>AND(#REF!,"AAAAAF989sg=")</f>
        <v>#REF!</v>
      </c>
      <c r="GT506" t="e">
        <f>AND(#REF!,"AAAAAF989sk=")</f>
        <v>#REF!</v>
      </c>
      <c r="GU506" t="e">
        <f>AND(#REF!,"AAAAAF989so=")</f>
        <v>#REF!</v>
      </c>
      <c r="GV506" t="e">
        <f>AND(#REF!,"AAAAAF989ss=")</f>
        <v>#REF!</v>
      </c>
      <c r="GW506" t="e">
        <f>AND(#REF!,"AAAAAF989sw=")</f>
        <v>#REF!</v>
      </c>
      <c r="GX506" t="e">
        <f>IF(#REF!,"AAAAAF989s0=",0)</f>
        <v>#REF!</v>
      </c>
      <c r="GY506" t="e">
        <f>AND(#REF!,"AAAAAF989s4=")</f>
        <v>#REF!</v>
      </c>
      <c r="GZ506" t="e">
        <f>AND(#REF!,"AAAAAF989s8=")</f>
        <v>#REF!</v>
      </c>
      <c r="HA506" t="e">
        <f>AND(#REF!,"AAAAAF989tA=")</f>
        <v>#REF!</v>
      </c>
      <c r="HB506" t="e">
        <f>AND(#REF!,"AAAAAF989tE=")</f>
        <v>#REF!</v>
      </c>
      <c r="HC506" t="e">
        <f>AND(#REF!,"AAAAAF989tI=")</f>
        <v>#REF!</v>
      </c>
      <c r="HD506" t="e">
        <f>AND(#REF!,"AAAAAF989tM=")</f>
        <v>#REF!</v>
      </c>
      <c r="HE506" t="e">
        <f>AND(#REF!,"AAAAAF989tQ=")</f>
        <v>#REF!</v>
      </c>
      <c r="HF506" t="e">
        <f>AND(#REF!,"AAAAAF989tU=")</f>
        <v>#REF!</v>
      </c>
      <c r="HG506" t="e">
        <f>AND(#REF!,"AAAAAF989tY=")</f>
        <v>#REF!</v>
      </c>
      <c r="HH506" t="e">
        <f>AND(#REF!,"AAAAAF989tc=")</f>
        <v>#REF!</v>
      </c>
      <c r="HI506" t="e">
        <f>AND(#REF!,"AAAAAF989tg=")</f>
        <v>#REF!</v>
      </c>
      <c r="HJ506" t="e">
        <f>AND(#REF!,"AAAAAF989tk=")</f>
        <v>#REF!</v>
      </c>
      <c r="HK506" t="e">
        <f>AND(#REF!,"AAAAAF989to=")</f>
        <v>#REF!</v>
      </c>
      <c r="HL506" t="e">
        <f>AND(#REF!,"AAAAAF989ts=")</f>
        <v>#REF!</v>
      </c>
      <c r="HM506" t="e">
        <f>AND(#REF!,"AAAAAF989tw=")</f>
        <v>#REF!</v>
      </c>
      <c r="HN506" t="e">
        <f>AND(#REF!,"AAAAAF989t0=")</f>
        <v>#REF!</v>
      </c>
      <c r="HO506" t="e">
        <f>AND(#REF!,"AAAAAF989t4=")</f>
        <v>#REF!</v>
      </c>
      <c r="HP506" t="e">
        <f>AND(#REF!,"AAAAAF989t8=")</f>
        <v>#REF!</v>
      </c>
      <c r="HQ506" t="e">
        <f>AND(#REF!,"AAAAAF989uA=")</f>
        <v>#REF!</v>
      </c>
      <c r="HR506" t="e">
        <f>AND(#REF!,"AAAAAF989uE=")</f>
        <v>#REF!</v>
      </c>
      <c r="HS506" t="e">
        <f>AND(#REF!,"AAAAAF989uI=")</f>
        <v>#REF!</v>
      </c>
      <c r="HT506" t="e">
        <f>AND(#REF!,"AAAAAF989uM=")</f>
        <v>#REF!</v>
      </c>
      <c r="HU506" t="e">
        <f>AND(#REF!,"AAAAAF989uQ=")</f>
        <v>#REF!</v>
      </c>
      <c r="HV506" t="e">
        <f>AND(#REF!,"AAAAAF989uU=")</f>
        <v>#REF!</v>
      </c>
      <c r="HW506" t="e">
        <f>IF(#REF!,"AAAAAF989uY=",0)</f>
        <v>#REF!</v>
      </c>
      <c r="HX506" t="e">
        <f>AND(#REF!,"AAAAAF989uc=")</f>
        <v>#REF!</v>
      </c>
      <c r="HY506" t="e">
        <f>AND(#REF!,"AAAAAF989ug=")</f>
        <v>#REF!</v>
      </c>
      <c r="HZ506" t="e">
        <f>AND(#REF!,"AAAAAF989uk=")</f>
        <v>#REF!</v>
      </c>
      <c r="IA506" t="e">
        <f>AND(#REF!,"AAAAAF989uo=")</f>
        <v>#REF!</v>
      </c>
      <c r="IB506" t="e">
        <f>AND(#REF!,"AAAAAF989us=")</f>
        <v>#REF!</v>
      </c>
      <c r="IC506" t="e">
        <f>AND(#REF!,"AAAAAF989uw=")</f>
        <v>#REF!</v>
      </c>
      <c r="ID506" t="e">
        <f>AND(#REF!,"AAAAAF989u0=")</f>
        <v>#REF!</v>
      </c>
      <c r="IE506" t="e">
        <f>AND(#REF!,"AAAAAF989u4=")</f>
        <v>#REF!</v>
      </c>
      <c r="IF506" t="e">
        <f>AND(#REF!,"AAAAAF989u8=")</f>
        <v>#REF!</v>
      </c>
      <c r="IG506" t="e">
        <f>AND(#REF!,"AAAAAF989vA=")</f>
        <v>#REF!</v>
      </c>
      <c r="IH506" t="e">
        <f>AND(#REF!,"AAAAAF989vE=")</f>
        <v>#REF!</v>
      </c>
      <c r="II506" t="e">
        <f>AND(#REF!,"AAAAAF989vI=")</f>
        <v>#REF!</v>
      </c>
      <c r="IJ506" t="e">
        <f>AND(#REF!,"AAAAAF989vM=")</f>
        <v>#REF!</v>
      </c>
      <c r="IK506" t="e">
        <f>AND(#REF!,"AAAAAF989vQ=")</f>
        <v>#REF!</v>
      </c>
      <c r="IL506" t="e">
        <f>AND(#REF!,"AAAAAF989vU=")</f>
        <v>#REF!</v>
      </c>
      <c r="IM506" t="e">
        <f>AND(#REF!,"AAAAAF989vY=")</f>
        <v>#REF!</v>
      </c>
      <c r="IN506" t="e">
        <f>AND(#REF!,"AAAAAF989vc=")</f>
        <v>#REF!</v>
      </c>
      <c r="IO506" t="e">
        <f>AND(#REF!,"AAAAAF989vg=")</f>
        <v>#REF!</v>
      </c>
      <c r="IP506" t="e">
        <f>AND(#REF!,"AAAAAF989vk=")</f>
        <v>#REF!</v>
      </c>
      <c r="IQ506" t="e">
        <f>AND(#REF!,"AAAAAF989vo=")</f>
        <v>#REF!</v>
      </c>
      <c r="IR506" t="e">
        <f>AND(#REF!,"AAAAAF989vs=")</f>
        <v>#REF!</v>
      </c>
      <c r="IS506" t="e">
        <f>AND(#REF!,"AAAAAF989vw=")</f>
        <v>#REF!</v>
      </c>
      <c r="IT506" t="e">
        <f>AND(#REF!,"AAAAAF989v0=")</f>
        <v>#REF!</v>
      </c>
      <c r="IU506" t="e">
        <f>AND(#REF!,"AAAAAF989v4=")</f>
        <v>#REF!</v>
      </c>
      <c r="IV506" t="e">
        <f>IF(#REF!,"AAAAAF989v8=",0)</f>
        <v>#REF!</v>
      </c>
    </row>
    <row r="507" spans="1:256">
      <c r="A507" t="e">
        <f>AND(#REF!,"AAAAAD/3/wA=")</f>
        <v>#REF!</v>
      </c>
      <c r="B507" t="e">
        <f>AND(#REF!,"AAAAAD/3/wE=")</f>
        <v>#REF!</v>
      </c>
      <c r="C507" t="e">
        <f>AND(#REF!,"AAAAAD/3/wI=")</f>
        <v>#REF!</v>
      </c>
      <c r="D507" t="e">
        <f>AND(#REF!,"AAAAAD/3/wM=")</f>
        <v>#REF!</v>
      </c>
      <c r="E507" t="e">
        <f>AND(#REF!,"AAAAAD/3/wQ=")</f>
        <v>#REF!</v>
      </c>
      <c r="F507" t="e">
        <f>AND(#REF!,"AAAAAD/3/wU=")</f>
        <v>#REF!</v>
      </c>
      <c r="G507" t="e">
        <f>AND(#REF!,"AAAAAD/3/wY=")</f>
        <v>#REF!</v>
      </c>
      <c r="H507" t="e">
        <f>AND(#REF!,"AAAAAD/3/wc=")</f>
        <v>#REF!</v>
      </c>
      <c r="I507" t="e">
        <f>AND(#REF!,"AAAAAD/3/wg=")</f>
        <v>#REF!</v>
      </c>
      <c r="J507" t="e">
        <f>AND(#REF!,"AAAAAD/3/wk=")</f>
        <v>#REF!</v>
      </c>
      <c r="K507" t="e">
        <f>AND(#REF!,"AAAAAD/3/wo=")</f>
        <v>#REF!</v>
      </c>
      <c r="L507" t="e">
        <f>AND(#REF!,"AAAAAD/3/ws=")</f>
        <v>#REF!</v>
      </c>
      <c r="M507" t="e">
        <f>AND(#REF!,"AAAAAD/3/ww=")</f>
        <v>#REF!</v>
      </c>
      <c r="N507" t="e">
        <f>AND(#REF!,"AAAAAD/3/w0=")</f>
        <v>#REF!</v>
      </c>
      <c r="O507" t="e">
        <f>AND(#REF!,"AAAAAD/3/w4=")</f>
        <v>#REF!</v>
      </c>
      <c r="P507" t="e">
        <f>AND(#REF!,"AAAAAD/3/w8=")</f>
        <v>#REF!</v>
      </c>
      <c r="Q507" t="e">
        <f>AND(#REF!,"AAAAAD/3/xA=")</f>
        <v>#REF!</v>
      </c>
      <c r="R507" t="e">
        <f>AND(#REF!,"AAAAAD/3/xE=")</f>
        <v>#REF!</v>
      </c>
      <c r="S507" t="e">
        <f>AND(#REF!,"AAAAAD/3/xI=")</f>
        <v>#REF!</v>
      </c>
      <c r="T507" t="e">
        <f>AND(#REF!,"AAAAAD/3/xM=")</f>
        <v>#REF!</v>
      </c>
      <c r="U507" t="e">
        <f>AND(#REF!,"AAAAAD/3/xQ=")</f>
        <v>#REF!</v>
      </c>
      <c r="V507" t="e">
        <f>AND(#REF!,"AAAAAD/3/xU=")</f>
        <v>#REF!</v>
      </c>
      <c r="W507" t="e">
        <f>AND(#REF!,"AAAAAD/3/xY=")</f>
        <v>#REF!</v>
      </c>
      <c r="X507" t="e">
        <f>AND(#REF!,"AAAAAD/3/xc=")</f>
        <v>#REF!</v>
      </c>
      <c r="Y507" t="e">
        <f>IF(#REF!,"AAAAAD/3/xg=",0)</f>
        <v>#REF!</v>
      </c>
      <c r="Z507" t="e">
        <f>AND(#REF!,"AAAAAD/3/xk=")</f>
        <v>#REF!</v>
      </c>
      <c r="AA507" t="e">
        <f>AND(#REF!,"AAAAAD/3/xo=")</f>
        <v>#REF!</v>
      </c>
      <c r="AB507" t="e">
        <f>AND(#REF!,"AAAAAD/3/xs=")</f>
        <v>#REF!</v>
      </c>
      <c r="AC507" t="e">
        <f>AND(#REF!,"AAAAAD/3/xw=")</f>
        <v>#REF!</v>
      </c>
      <c r="AD507" t="e">
        <f>AND(#REF!,"AAAAAD/3/x0=")</f>
        <v>#REF!</v>
      </c>
      <c r="AE507" t="e">
        <f>AND(#REF!,"AAAAAD/3/x4=")</f>
        <v>#REF!</v>
      </c>
      <c r="AF507" t="e">
        <f>AND(#REF!,"AAAAAD/3/x8=")</f>
        <v>#REF!</v>
      </c>
      <c r="AG507" t="e">
        <f>AND(#REF!,"AAAAAD/3/yA=")</f>
        <v>#REF!</v>
      </c>
      <c r="AH507" t="e">
        <f>AND(#REF!,"AAAAAD/3/yE=")</f>
        <v>#REF!</v>
      </c>
      <c r="AI507" t="e">
        <f>AND(#REF!,"AAAAAD/3/yI=")</f>
        <v>#REF!</v>
      </c>
      <c r="AJ507" t="e">
        <f>AND(#REF!,"AAAAAD/3/yM=")</f>
        <v>#REF!</v>
      </c>
      <c r="AK507" t="e">
        <f>AND(#REF!,"AAAAAD/3/yQ=")</f>
        <v>#REF!</v>
      </c>
      <c r="AL507" t="e">
        <f>AND(#REF!,"AAAAAD/3/yU=")</f>
        <v>#REF!</v>
      </c>
      <c r="AM507" t="e">
        <f>AND(#REF!,"AAAAAD/3/yY=")</f>
        <v>#REF!</v>
      </c>
      <c r="AN507" t="e">
        <f>AND(#REF!,"AAAAAD/3/yc=")</f>
        <v>#REF!</v>
      </c>
      <c r="AO507" t="e">
        <f>AND(#REF!,"AAAAAD/3/yg=")</f>
        <v>#REF!</v>
      </c>
      <c r="AP507" t="e">
        <f>AND(#REF!,"AAAAAD/3/yk=")</f>
        <v>#REF!</v>
      </c>
      <c r="AQ507" t="e">
        <f>AND(#REF!,"AAAAAD/3/yo=")</f>
        <v>#REF!</v>
      </c>
      <c r="AR507" t="e">
        <f>AND(#REF!,"AAAAAD/3/ys=")</f>
        <v>#REF!</v>
      </c>
      <c r="AS507" t="e">
        <f>AND(#REF!,"AAAAAD/3/yw=")</f>
        <v>#REF!</v>
      </c>
      <c r="AT507" t="e">
        <f>AND(#REF!,"AAAAAD/3/y0=")</f>
        <v>#REF!</v>
      </c>
      <c r="AU507" t="e">
        <f>AND(#REF!,"AAAAAD/3/y4=")</f>
        <v>#REF!</v>
      </c>
      <c r="AV507" t="e">
        <f>AND(#REF!,"AAAAAD/3/y8=")</f>
        <v>#REF!</v>
      </c>
      <c r="AW507" t="e">
        <f>AND(#REF!,"AAAAAD/3/zA=")</f>
        <v>#REF!</v>
      </c>
      <c r="AX507" t="e">
        <f>IF(#REF!,"AAAAAD/3/zE=",0)</f>
        <v>#REF!</v>
      </c>
      <c r="AY507" t="e">
        <f>AND(#REF!,"AAAAAD/3/zI=")</f>
        <v>#REF!</v>
      </c>
      <c r="AZ507" t="e">
        <f>AND(#REF!,"AAAAAD/3/zM=")</f>
        <v>#REF!</v>
      </c>
      <c r="BA507" t="e">
        <f>AND(#REF!,"AAAAAD/3/zQ=")</f>
        <v>#REF!</v>
      </c>
      <c r="BB507" t="e">
        <f>AND(#REF!,"AAAAAD/3/zU=")</f>
        <v>#REF!</v>
      </c>
      <c r="BC507" t="e">
        <f>AND(#REF!,"AAAAAD/3/zY=")</f>
        <v>#REF!</v>
      </c>
      <c r="BD507" t="e">
        <f>AND(#REF!,"AAAAAD/3/zc=")</f>
        <v>#REF!</v>
      </c>
      <c r="BE507" t="e">
        <f>AND(#REF!,"AAAAAD/3/zg=")</f>
        <v>#REF!</v>
      </c>
      <c r="BF507" t="e">
        <f>AND(#REF!,"AAAAAD/3/zk=")</f>
        <v>#REF!</v>
      </c>
      <c r="BG507" t="e">
        <f>AND(#REF!,"AAAAAD/3/zo=")</f>
        <v>#REF!</v>
      </c>
      <c r="BH507" t="e">
        <f>AND(#REF!,"AAAAAD/3/zs=")</f>
        <v>#REF!</v>
      </c>
      <c r="BI507" t="e">
        <f>AND(#REF!,"AAAAAD/3/zw=")</f>
        <v>#REF!</v>
      </c>
      <c r="BJ507" t="e">
        <f>AND(#REF!,"AAAAAD/3/z0=")</f>
        <v>#REF!</v>
      </c>
      <c r="BK507" t="e">
        <f>AND(#REF!,"AAAAAD/3/z4=")</f>
        <v>#REF!</v>
      </c>
      <c r="BL507" t="e">
        <f>AND(#REF!,"AAAAAD/3/z8=")</f>
        <v>#REF!</v>
      </c>
      <c r="BM507" t="e">
        <f>AND(#REF!,"AAAAAD/3/0A=")</f>
        <v>#REF!</v>
      </c>
      <c r="BN507" t="e">
        <f>AND(#REF!,"AAAAAD/3/0E=")</f>
        <v>#REF!</v>
      </c>
      <c r="BO507" t="e">
        <f>AND(#REF!,"AAAAAD/3/0I=")</f>
        <v>#REF!</v>
      </c>
      <c r="BP507" t="e">
        <f>AND(#REF!,"AAAAAD/3/0M=")</f>
        <v>#REF!</v>
      </c>
      <c r="BQ507" t="e">
        <f>AND(#REF!,"AAAAAD/3/0Q=")</f>
        <v>#REF!</v>
      </c>
      <c r="BR507" t="e">
        <f>AND(#REF!,"AAAAAD/3/0U=")</f>
        <v>#REF!</v>
      </c>
      <c r="BS507" t="e">
        <f>AND(#REF!,"AAAAAD/3/0Y=")</f>
        <v>#REF!</v>
      </c>
      <c r="BT507" t="e">
        <f>AND(#REF!,"AAAAAD/3/0c=")</f>
        <v>#REF!</v>
      </c>
      <c r="BU507" t="e">
        <f>AND(#REF!,"AAAAAD/3/0g=")</f>
        <v>#REF!</v>
      </c>
      <c r="BV507" t="e">
        <f>AND(#REF!,"AAAAAD/3/0k=")</f>
        <v>#REF!</v>
      </c>
      <c r="BW507" t="e">
        <f>IF(#REF!,"AAAAAD/3/0o=",0)</f>
        <v>#REF!</v>
      </c>
      <c r="BX507" t="e">
        <f>AND(#REF!,"AAAAAD/3/0s=")</f>
        <v>#REF!</v>
      </c>
      <c r="BY507" t="e">
        <f>AND(#REF!,"AAAAAD/3/0w=")</f>
        <v>#REF!</v>
      </c>
      <c r="BZ507" t="e">
        <f>AND(#REF!,"AAAAAD/3/00=")</f>
        <v>#REF!</v>
      </c>
      <c r="CA507" t="e">
        <f>AND(#REF!,"AAAAAD/3/04=")</f>
        <v>#REF!</v>
      </c>
      <c r="CB507" t="e">
        <f>AND(#REF!,"AAAAAD/3/08=")</f>
        <v>#REF!</v>
      </c>
      <c r="CC507" t="e">
        <f>AND(#REF!,"AAAAAD/3/1A=")</f>
        <v>#REF!</v>
      </c>
      <c r="CD507" t="e">
        <f>AND(#REF!,"AAAAAD/3/1E=")</f>
        <v>#REF!</v>
      </c>
      <c r="CE507" t="e">
        <f>AND(#REF!,"AAAAAD/3/1I=")</f>
        <v>#REF!</v>
      </c>
      <c r="CF507" t="e">
        <f>AND(#REF!,"AAAAAD/3/1M=")</f>
        <v>#REF!</v>
      </c>
      <c r="CG507" t="e">
        <f>AND(#REF!,"AAAAAD/3/1Q=")</f>
        <v>#REF!</v>
      </c>
      <c r="CH507" t="e">
        <f>AND(#REF!,"AAAAAD/3/1U=")</f>
        <v>#REF!</v>
      </c>
      <c r="CI507" t="e">
        <f>AND(#REF!,"AAAAAD/3/1Y=")</f>
        <v>#REF!</v>
      </c>
      <c r="CJ507" t="e">
        <f>AND(#REF!,"AAAAAD/3/1c=")</f>
        <v>#REF!</v>
      </c>
      <c r="CK507" t="e">
        <f>AND(#REF!,"AAAAAD/3/1g=")</f>
        <v>#REF!</v>
      </c>
      <c r="CL507" t="e">
        <f>AND(#REF!,"AAAAAD/3/1k=")</f>
        <v>#REF!</v>
      </c>
      <c r="CM507" t="e">
        <f>AND(#REF!,"AAAAAD/3/1o=")</f>
        <v>#REF!</v>
      </c>
      <c r="CN507" t="e">
        <f>AND(#REF!,"AAAAAD/3/1s=")</f>
        <v>#REF!</v>
      </c>
      <c r="CO507" t="e">
        <f>AND(#REF!,"AAAAAD/3/1w=")</f>
        <v>#REF!</v>
      </c>
      <c r="CP507" t="e">
        <f>AND(#REF!,"AAAAAD/3/10=")</f>
        <v>#REF!</v>
      </c>
      <c r="CQ507" t="e">
        <f>AND(#REF!,"AAAAAD/3/14=")</f>
        <v>#REF!</v>
      </c>
      <c r="CR507" t="e">
        <f>AND(#REF!,"AAAAAD/3/18=")</f>
        <v>#REF!</v>
      </c>
      <c r="CS507" t="e">
        <f>AND(#REF!,"AAAAAD/3/2A=")</f>
        <v>#REF!</v>
      </c>
      <c r="CT507" t="e">
        <f>AND(#REF!,"AAAAAD/3/2E=")</f>
        <v>#REF!</v>
      </c>
      <c r="CU507" t="e">
        <f>AND(#REF!,"AAAAAD/3/2I=")</f>
        <v>#REF!</v>
      </c>
      <c r="CV507" t="e">
        <f>IF(#REF!,"AAAAAD/3/2M=",0)</f>
        <v>#REF!</v>
      </c>
      <c r="CW507" t="e">
        <f>AND(#REF!,"AAAAAD/3/2Q=")</f>
        <v>#REF!</v>
      </c>
      <c r="CX507" t="e">
        <f>AND(#REF!,"AAAAAD/3/2U=")</f>
        <v>#REF!</v>
      </c>
      <c r="CY507" t="e">
        <f>AND(#REF!,"AAAAAD/3/2Y=")</f>
        <v>#REF!</v>
      </c>
      <c r="CZ507" t="e">
        <f>AND(#REF!,"AAAAAD/3/2c=")</f>
        <v>#REF!</v>
      </c>
      <c r="DA507" t="e">
        <f>AND(#REF!,"AAAAAD/3/2g=")</f>
        <v>#REF!</v>
      </c>
      <c r="DB507" t="e">
        <f>AND(#REF!,"AAAAAD/3/2k=")</f>
        <v>#REF!</v>
      </c>
      <c r="DC507" t="e">
        <f>AND(#REF!,"AAAAAD/3/2o=")</f>
        <v>#REF!</v>
      </c>
      <c r="DD507" t="e">
        <f>AND(#REF!,"AAAAAD/3/2s=")</f>
        <v>#REF!</v>
      </c>
      <c r="DE507" t="e">
        <f>AND(#REF!,"AAAAAD/3/2w=")</f>
        <v>#REF!</v>
      </c>
      <c r="DF507" t="e">
        <f>AND(#REF!,"AAAAAD/3/20=")</f>
        <v>#REF!</v>
      </c>
      <c r="DG507" t="e">
        <f>AND(#REF!,"AAAAAD/3/24=")</f>
        <v>#REF!</v>
      </c>
      <c r="DH507" t="e">
        <f>AND(#REF!,"AAAAAD/3/28=")</f>
        <v>#REF!</v>
      </c>
      <c r="DI507" t="e">
        <f>AND(#REF!,"AAAAAD/3/3A=")</f>
        <v>#REF!</v>
      </c>
      <c r="DJ507" t="e">
        <f>AND(#REF!,"AAAAAD/3/3E=")</f>
        <v>#REF!</v>
      </c>
      <c r="DK507" t="e">
        <f>AND(#REF!,"AAAAAD/3/3I=")</f>
        <v>#REF!</v>
      </c>
      <c r="DL507" t="e">
        <f>AND(#REF!,"AAAAAD/3/3M=")</f>
        <v>#REF!</v>
      </c>
      <c r="DM507" t="e">
        <f>AND(#REF!,"AAAAAD/3/3Q=")</f>
        <v>#REF!</v>
      </c>
      <c r="DN507" t="e">
        <f>AND(#REF!,"AAAAAD/3/3U=")</f>
        <v>#REF!</v>
      </c>
      <c r="DO507" t="e">
        <f>AND(#REF!,"AAAAAD/3/3Y=")</f>
        <v>#REF!</v>
      </c>
      <c r="DP507" t="e">
        <f>AND(#REF!,"AAAAAD/3/3c=")</f>
        <v>#REF!</v>
      </c>
      <c r="DQ507" t="e">
        <f>AND(#REF!,"AAAAAD/3/3g=")</f>
        <v>#REF!</v>
      </c>
      <c r="DR507" t="e">
        <f>AND(#REF!,"AAAAAD/3/3k=")</f>
        <v>#REF!</v>
      </c>
      <c r="DS507" t="e">
        <f>AND(#REF!,"AAAAAD/3/3o=")</f>
        <v>#REF!</v>
      </c>
      <c r="DT507" t="e">
        <f>AND(#REF!,"AAAAAD/3/3s=")</f>
        <v>#REF!</v>
      </c>
      <c r="DU507" t="e">
        <f>IF(#REF!,"AAAAAD/3/3w=",0)</f>
        <v>#REF!</v>
      </c>
      <c r="DV507" t="e">
        <f>AND(#REF!,"AAAAAD/3/30=")</f>
        <v>#REF!</v>
      </c>
      <c r="DW507" t="e">
        <f>AND(#REF!,"AAAAAD/3/34=")</f>
        <v>#REF!</v>
      </c>
      <c r="DX507" t="e">
        <f>AND(#REF!,"AAAAAD/3/38=")</f>
        <v>#REF!</v>
      </c>
      <c r="DY507" t="e">
        <f>AND(#REF!,"AAAAAD/3/4A=")</f>
        <v>#REF!</v>
      </c>
      <c r="DZ507" t="e">
        <f>AND(#REF!,"AAAAAD/3/4E=")</f>
        <v>#REF!</v>
      </c>
      <c r="EA507" t="e">
        <f>AND(#REF!,"AAAAAD/3/4I=")</f>
        <v>#REF!</v>
      </c>
      <c r="EB507" t="e">
        <f>AND(#REF!,"AAAAAD/3/4M=")</f>
        <v>#REF!</v>
      </c>
      <c r="EC507" t="e">
        <f>AND(#REF!,"AAAAAD/3/4Q=")</f>
        <v>#REF!</v>
      </c>
      <c r="ED507" t="e">
        <f>AND(#REF!,"AAAAAD/3/4U=")</f>
        <v>#REF!</v>
      </c>
      <c r="EE507" t="e">
        <f>AND(#REF!,"AAAAAD/3/4Y=")</f>
        <v>#REF!</v>
      </c>
      <c r="EF507" t="e">
        <f>AND(#REF!,"AAAAAD/3/4c=")</f>
        <v>#REF!</v>
      </c>
      <c r="EG507" t="e">
        <f>AND(#REF!,"AAAAAD/3/4g=")</f>
        <v>#REF!</v>
      </c>
      <c r="EH507" t="e">
        <f>AND(#REF!,"AAAAAD/3/4k=")</f>
        <v>#REF!</v>
      </c>
      <c r="EI507" t="e">
        <f>AND(#REF!,"AAAAAD/3/4o=")</f>
        <v>#REF!</v>
      </c>
      <c r="EJ507" t="e">
        <f>AND(#REF!,"AAAAAD/3/4s=")</f>
        <v>#REF!</v>
      </c>
      <c r="EK507" t="e">
        <f>AND(#REF!,"AAAAAD/3/4w=")</f>
        <v>#REF!</v>
      </c>
      <c r="EL507" t="e">
        <f>AND(#REF!,"AAAAAD/3/40=")</f>
        <v>#REF!</v>
      </c>
      <c r="EM507" t="e">
        <f>AND(#REF!,"AAAAAD/3/44=")</f>
        <v>#REF!</v>
      </c>
      <c r="EN507" t="e">
        <f>AND(#REF!,"AAAAAD/3/48=")</f>
        <v>#REF!</v>
      </c>
      <c r="EO507" t="e">
        <f>AND(#REF!,"AAAAAD/3/5A=")</f>
        <v>#REF!</v>
      </c>
      <c r="EP507" t="e">
        <f>AND(#REF!,"AAAAAD/3/5E=")</f>
        <v>#REF!</v>
      </c>
      <c r="EQ507" t="e">
        <f>AND(#REF!,"AAAAAD/3/5I=")</f>
        <v>#REF!</v>
      </c>
      <c r="ER507" t="e">
        <f>AND(#REF!,"AAAAAD/3/5M=")</f>
        <v>#REF!</v>
      </c>
      <c r="ES507" t="e">
        <f>AND(#REF!,"AAAAAD/3/5Q=")</f>
        <v>#REF!</v>
      </c>
      <c r="ET507" t="e">
        <f>IF(#REF!,"AAAAAD/3/5U=",0)</f>
        <v>#REF!</v>
      </c>
      <c r="EU507" t="e">
        <f>AND(#REF!,"AAAAAD/3/5Y=")</f>
        <v>#REF!</v>
      </c>
      <c r="EV507" t="e">
        <f>AND(#REF!,"AAAAAD/3/5c=")</f>
        <v>#REF!</v>
      </c>
      <c r="EW507" t="e">
        <f>AND(#REF!,"AAAAAD/3/5g=")</f>
        <v>#REF!</v>
      </c>
      <c r="EX507" t="e">
        <f>AND(#REF!,"AAAAAD/3/5k=")</f>
        <v>#REF!</v>
      </c>
      <c r="EY507" t="e">
        <f>AND(#REF!,"AAAAAD/3/5o=")</f>
        <v>#REF!</v>
      </c>
      <c r="EZ507" t="e">
        <f>AND(#REF!,"AAAAAD/3/5s=")</f>
        <v>#REF!</v>
      </c>
      <c r="FA507" t="e">
        <f>AND(#REF!,"AAAAAD/3/5w=")</f>
        <v>#REF!</v>
      </c>
      <c r="FB507" t="e">
        <f>AND(#REF!,"AAAAAD/3/50=")</f>
        <v>#REF!</v>
      </c>
      <c r="FC507" t="e">
        <f>AND(#REF!,"AAAAAD/3/54=")</f>
        <v>#REF!</v>
      </c>
      <c r="FD507" t="e">
        <f>AND(#REF!,"AAAAAD/3/58=")</f>
        <v>#REF!</v>
      </c>
      <c r="FE507" t="e">
        <f>AND(#REF!,"AAAAAD/3/6A=")</f>
        <v>#REF!</v>
      </c>
      <c r="FF507" t="e">
        <f>AND(#REF!,"AAAAAD/3/6E=")</f>
        <v>#REF!</v>
      </c>
      <c r="FG507" t="e">
        <f>AND(#REF!,"AAAAAD/3/6I=")</f>
        <v>#REF!</v>
      </c>
      <c r="FH507" t="e">
        <f>AND(#REF!,"AAAAAD/3/6M=")</f>
        <v>#REF!</v>
      </c>
      <c r="FI507" t="e">
        <f>AND(#REF!,"AAAAAD/3/6Q=")</f>
        <v>#REF!</v>
      </c>
      <c r="FJ507" t="e">
        <f>AND(#REF!,"AAAAAD/3/6U=")</f>
        <v>#REF!</v>
      </c>
      <c r="FK507" t="e">
        <f>AND(#REF!,"AAAAAD/3/6Y=")</f>
        <v>#REF!</v>
      </c>
      <c r="FL507" t="e">
        <f>AND(#REF!,"AAAAAD/3/6c=")</f>
        <v>#REF!</v>
      </c>
      <c r="FM507" t="e">
        <f>AND(#REF!,"AAAAAD/3/6g=")</f>
        <v>#REF!</v>
      </c>
      <c r="FN507" t="e">
        <f>AND(#REF!,"AAAAAD/3/6k=")</f>
        <v>#REF!</v>
      </c>
      <c r="FO507" t="e">
        <f>AND(#REF!,"AAAAAD/3/6o=")</f>
        <v>#REF!</v>
      </c>
      <c r="FP507" t="e">
        <f>AND(#REF!,"AAAAAD/3/6s=")</f>
        <v>#REF!</v>
      </c>
      <c r="FQ507" t="e">
        <f>AND(#REF!,"AAAAAD/3/6w=")</f>
        <v>#REF!</v>
      </c>
      <c r="FR507" t="e">
        <f>AND(#REF!,"AAAAAD/3/60=")</f>
        <v>#REF!</v>
      </c>
      <c r="FS507" t="e">
        <f>IF(#REF!,"AAAAAD/3/64=",0)</f>
        <v>#REF!</v>
      </c>
      <c r="FT507" t="e">
        <f>AND(#REF!,"AAAAAD/3/68=")</f>
        <v>#REF!</v>
      </c>
      <c r="FU507" t="e">
        <f>AND(#REF!,"AAAAAD/3/7A=")</f>
        <v>#REF!</v>
      </c>
      <c r="FV507" t="e">
        <f>AND(#REF!,"AAAAAD/3/7E=")</f>
        <v>#REF!</v>
      </c>
      <c r="FW507" t="e">
        <f>AND(#REF!,"AAAAAD/3/7I=")</f>
        <v>#REF!</v>
      </c>
      <c r="FX507" t="e">
        <f>AND(#REF!,"AAAAAD/3/7M=")</f>
        <v>#REF!</v>
      </c>
      <c r="FY507" t="e">
        <f>AND(#REF!,"AAAAAD/3/7Q=")</f>
        <v>#REF!</v>
      </c>
      <c r="FZ507" t="e">
        <f>AND(#REF!,"AAAAAD/3/7U=")</f>
        <v>#REF!</v>
      </c>
      <c r="GA507" t="e">
        <f>AND(#REF!,"AAAAAD/3/7Y=")</f>
        <v>#REF!</v>
      </c>
      <c r="GB507" t="e">
        <f>AND(#REF!,"AAAAAD/3/7c=")</f>
        <v>#REF!</v>
      </c>
      <c r="GC507" t="e">
        <f>AND(#REF!,"AAAAAD/3/7g=")</f>
        <v>#REF!</v>
      </c>
      <c r="GD507" t="e">
        <f>AND(#REF!,"AAAAAD/3/7k=")</f>
        <v>#REF!</v>
      </c>
      <c r="GE507" t="e">
        <f>AND(#REF!,"AAAAAD/3/7o=")</f>
        <v>#REF!</v>
      </c>
      <c r="GF507" t="e">
        <f>AND(#REF!,"AAAAAD/3/7s=")</f>
        <v>#REF!</v>
      </c>
      <c r="GG507" t="e">
        <f>AND(#REF!,"AAAAAD/3/7w=")</f>
        <v>#REF!</v>
      </c>
      <c r="GH507" t="e">
        <f>AND(#REF!,"AAAAAD/3/70=")</f>
        <v>#REF!</v>
      </c>
      <c r="GI507" t="e">
        <f>AND(#REF!,"AAAAAD/3/74=")</f>
        <v>#REF!</v>
      </c>
      <c r="GJ507" t="e">
        <f>AND(#REF!,"AAAAAD/3/78=")</f>
        <v>#REF!</v>
      </c>
      <c r="GK507" t="e">
        <f>AND(#REF!,"AAAAAD/3/8A=")</f>
        <v>#REF!</v>
      </c>
      <c r="GL507" t="e">
        <f>AND(#REF!,"AAAAAD/3/8E=")</f>
        <v>#REF!</v>
      </c>
      <c r="GM507" t="e">
        <f>AND(#REF!,"AAAAAD/3/8I=")</f>
        <v>#REF!</v>
      </c>
      <c r="GN507" t="e">
        <f>AND(#REF!,"AAAAAD/3/8M=")</f>
        <v>#REF!</v>
      </c>
      <c r="GO507" t="e">
        <f>AND(#REF!,"AAAAAD/3/8Q=")</f>
        <v>#REF!</v>
      </c>
      <c r="GP507" t="e">
        <f>AND(#REF!,"AAAAAD/3/8U=")</f>
        <v>#REF!</v>
      </c>
      <c r="GQ507" t="e">
        <f>AND(#REF!,"AAAAAD/3/8Y=")</f>
        <v>#REF!</v>
      </c>
      <c r="GR507" t="e">
        <f>IF(#REF!,"AAAAAD/3/8c=",0)</f>
        <v>#REF!</v>
      </c>
      <c r="GS507" t="e">
        <f>AND(#REF!,"AAAAAD/3/8g=")</f>
        <v>#REF!</v>
      </c>
      <c r="GT507" t="e">
        <f>AND(#REF!,"AAAAAD/3/8k=")</f>
        <v>#REF!</v>
      </c>
      <c r="GU507" t="e">
        <f>AND(#REF!,"AAAAAD/3/8o=")</f>
        <v>#REF!</v>
      </c>
      <c r="GV507" t="e">
        <f>AND(#REF!,"AAAAAD/3/8s=")</f>
        <v>#REF!</v>
      </c>
      <c r="GW507" t="e">
        <f>AND(#REF!,"AAAAAD/3/8w=")</f>
        <v>#REF!</v>
      </c>
      <c r="GX507" t="e">
        <f>AND(#REF!,"AAAAAD/3/80=")</f>
        <v>#REF!</v>
      </c>
      <c r="GY507" t="e">
        <f>AND(#REF!,"AAAAAD/3/84=")</f>
        <v>#REF!</v>
      </c>
      <c r="GZ507" t="e">
        <f>AND(#REF!,"AAAAAD/3/88=")</f>
        <v>#REF!</v>
      </c>
      <c r="HA507" t="e">
        <f>AND(#REF!,"AAAAAD/3/9A=")</f>
        <v>#REF!</v>
      </c>
      <c r="HB507" t="e">
        <f>AND(#REF!,"AAAAAD/3/9E=")</f>
        <v>#REF!</v>
      </c>
      <c r="HC507" t="e">
        <f>AND(#REF!,"AAAAAD/3/9I=")</f>
        <v>#REF!</v>
      </c>
      <c r="HD507" t="e">
        <f>AND(#REF!,"AAAAAD/3/9M=")</f>
        <v>#REF!</v>
      </c>
      <c r="HE507" t="e">
        <f>AND(#REF!,"AAAAAD/3/9Q=")</f>
        <v>#REF!</v>
      </c>
      <c r="HF507" t="e">
        <f>AND(#REF!,"AAAAAD/3/9U=")</f>
        <v>#REF!</v>
      </c>
      <c r="HG507" t="e">
        <f>AND(#REF!,"AAAAAD/3/9Y=")</f>
        <v>#REF!</v>
      </c>
      <c r="HH507" t="e">
        <f>AND(#REF!,"AAAAAD/3/9c=")</f>
        <v>#REF!</v>
      </c>
      <c r="HI507" t="e">
        <f>AND(#REF!,"AAAAAD/3/9g=")</f>
        <v>#REF!</v>
      </c>
      <c r="HJ507" t="e">
        <f>AND(#REF!,"AAAAAD/3/9k=")</f>
        <v>#REF!</v>
      </c>
      <c r="HK507" t="e">
        <f>AND(#REF!,"AAAAAD/3/9o=")</f>
        <v>#REF!</v>
      </c>
      <c r="HL507" t="e">
        <f>AND(#REF!,"AAAAAD/3/9s=")</f>
        <v>#REF!</v>
      </c>
      <c r="HM507" t="e">
        <f>AND(#REF!,"AAAAAD/3/9w=")</f>
        <v>#REF!</v>
      </c>
      <c r="HN507" t="e">
        <f>AND(#REF!,"AAAAAD/3/90=")</f>
        <v>#REF!</v>
      </c>
      <c r="HO507" t="e">
        <f>AND(#REF!,"AAAAAD/3/94=")</f>
        <v>#REF!</v>
      </c>
      <c r="HP507" t="e">
        <f>AND(#REF!,"AAAAAD/3/98=")</f>
        <v>#REF!</v>
      </c>
      <c r="HQ507" t="e">
        <f>IF(#REF!,"AAAAAD/3/+A=",0)</f>
        <v>#REF!</v>
      </c>
      <c r="HR507" t="e">
        <f>AND(#REF!,"AAAAAD/3/+E=")</f>
        <v>#REF!</v>
      </c>
      <c r="HS507" t="e">
        <f>AND(#REF!,"AAAAAD/3/+I=")</f>
        <v>#REF!</v>
      </c>
      <c r="HT507" t="e">
        <f>AND(#REF!,"AAAAAD/3/+M=")</f>
        <v>#REF!</v>
      </c>
      <c r="HU507" t="e">
        <f>AND(#REF!,"AAAAAD/3/+Q=")</f>
        <v>#REF!</v>
      </c>
      <c r="HV507" t="e">
        <f>AND(#REF!,"AAAAAD/3/+U=")</f>
        <v>#REF!</v>
      </c>
      <c r="HW507" t="e">
        <f>AND(#REF!,"AAAAAD/3/+Y=")</f>
        <v>#REF!</v>
      </c>
      <c r="HX507" t="e">
        <f>AND(#REF!,"AAAAAD/3/+c=")</f>
        <v>#REF!</v>
      </c>
      <c r="HY507" t="e">
        <f>AND(#REF!,"AAAAAD/3/+g=")</f>
        <v>#REF!</v>
      </c>
      <c r="HZ507" t="e">
        <f>AND(#REF!,"AAAAAD/3/+k=")</f>
        <v>#REF!</v>
      </c>
      <c r="IA507" t="e">
        <f>AND(#REF!,"AAAAAD/3/+o=")</f>
        <v>#REF!</v>
      </c>
      <c r="IB507" t="e">
        <f>AND(#REF!,"AAAAAD/3/+s=")</f>
        <v>#REF!</v>
      </c>
      <c r="IC507" t="e">
        <f>AND(#REF!,"AAAAAD/3/+w=")</f>
        <v>#REF!</v>
      </c>
      <c r="ID507" t="e">
        <f>AND(#REF!,"AAAAAD/3/+0=")</f>
        <v>#REF!</v>
      </c>
      <c r="IE507" t="e">
        <f>AND(#REF!,"AAAAAD/3/+4=")</f>
        <v>#REF!</v>
      </c>
      <c r="IF507" t="e">
        <f>AND(#REF!,"AAAAAD/3/+8=")</f>
        <v>#REF!</v>
      </c>
      <c r="IG507" t="e">
        <f>AND(#REF!,"AAAAAD/3//A=")</f>
        <v>#REF!</v>
      </c>
      <c r="IH507" t="e">
        <f>AND(#REF!,"AAAAAD/3//E=")</f>
        <v>#REF!</v>
      </c>
      <c r="II507" t="e">
        <f>AND(#REF!,"AAAAAD/3//I=")</f>
        <v>#REF!</v>
      </c>
      <c r="IJ507" t="e">
        <f>AND(#REF!,"AAAAAD/3//M=")</f>
        <v>#REF!</v>
      </c>
      <c r="IK507" t="e">
        <f>AND(#REF!,"AAAAAD/3//Q=")</f>
        <v>#REF!</v>
      </c>
      <c r="IL507" t="e">
        <f>AND(#REF!,"AAAAAD/3//U=")</f>
        <v>#REF!</v>
      </c>
      <c r="IM507" t="e">
        <f>AND(#REF!,"AAAAAD/3//Y=")</f>
        <v>#REF!</v>
      </c>
      <c r="IN507" t="e">
        <f>AND(#REF!,"AAAAAD/3//c=")</f>
        <v>#REF!</v>
      </c>
      <c r="IO507" t="e">
        <f>AND(#REF!,"AAAAAD/3//g=")</f>
        <v>#REF!</v>
      </c>
      <c r="IP507" t="e">
        <f>IF(#REF!,"AAAAAD/3//k=",0)</f>
        <v>#REF!</v>
      </c>
      <c r="IQ507" t="e">
        <f>AND(#REF!,"AAAAAD/3//o=")</f>
        <v>#REF!</v>
      </c>
      <c r="IR507" t="e">
        <f>AND(#REF!,"AAAAAD/3//s=")</f>
        <v>#REF!</v>
      </c>
      <c r="IS507" t="e">
        <f>AND(#REF!,"AAAAAD/3//w=")</f>
        <v>#REF!</v>
      </c>
      <c r="IT507" t="e">
        <f>AND(#REF!,"AAAAAD/3//0=")</f>
        <v>#REF!</v>
      </c>
      <c r="IU507" t="e">
        <f>AND(#REF!,"AAAAAD/3//4=")</f>
        <v>#REF!</v>
      </c>
      <c r="IV507" t="e">
        <f>AND(#REF!,"AAAAAD/3//8=")</f>
        <v>#REF!</v>
      </c>
    </row>
    <row r="508" spans="1:256">
      <c r="A508" t="e">
        <f>AND(#REF!,"AAAAAHT+dwA=")</f>
        <v>#REF!</v>
      </c>
      <c r="B508" t="e">
        <f>AND(#REF!,"AAAAAHT+dwE=")</f>
        <v>#REF!</v>
      </c>
      <c r="C508" t="e">
        <f>AND(#REF!,"AAAAAHT+dwI=")</f>
        <v>#REF!</v>
      </c>
      <c r="D508" t="e">
        <f>AND(#REF!,"AAAAAHT+dwM=")</f>
        <v>#REF!</v>
      </c>
      <c r="E508" t="e">
        <f>AND(#REF!,"AAAAAHT+dwQ=")</f>
        <v>#REF!</v>
      </c>
      <c r="F508" t="e">
        <f>AND(#REF!,"AAAAAHT+dwU=")</f>
        <v>#REF!</v>
      </c>
      <c r="G508" t="e">
        <f>AND(#REF!,"AAAAAHT+dwY=")</f>
        <v>#REF!</v>
      </c>
      <c r="H508" t="e">
        <f>AND(#REF!,"AAAAAHT+dwc=")</f>
        <v>#REF!</v>
      </c>
      <c r="I508" t="e">
        <f>AND(#REF!,"AAAAAHT+dwg=")</f>
        <v>#REF!</v>
      </c>
      <c r="J508" t="e">
        <f>AND(#REF!,"AAAAAHT+dwk=")</f>
        <v>#REF!</v>
      </c>
      <c r="K508" t="e">
        <f>AND(#REF!,"AAAAAHT+dwo=")</f>
        <v>#REF!</v>
      </c>
      <c r="L508" t="e">
        <f>AND(#REF!,"AAAAAHT+dws=")</f>
        <v>#REF!</v>
      </c>
      <c r="M508" t="e">
        <f>AND(#REF!,"AAAAAHT+dww=")</f>
        <v>#REF!</v>
      </c>
      <c r="N508" t="e">
        <f>AND(#REF!,"AAAAAHT+dw0=")</f>
        <v>#REF!</v>
      </c>
      <c r="O508" t="e">
        <f>AND(#REF!,"AAAAAHT+dw4=")</f>
        <v>#REF!</v>
      </c>
      <c r="P508" t="e">
        <f>AND(#REF!,"AAAAAHT+dw8=")</f>
        <v>#REF!</v>
      </c>
      <c r="Q508" t="e">
        <f>AND(#REF!,"AAAAAHT+dxA=")</f>
        <v>#REF!</v>
      </c>
      <c r="R508" t="e">
        <f>AND(#REF!,"AAAAAHT+dxE=")</f>
        <v>#REF!</v>
      </c>
      <c r="S508" t="e">
        <f>IF(#REF!,"AAAAAHT+dxI=",0)</f>
        <v>#REF!</v>
      </c>
      <c r="T508" t="e">
        <f>AND(#REF!,"AAAAAHT+dxM=")</f>
        <v>#REF!</v>
      </c>
      <c r="U508" t="e">
        <f>AND(#REF!,"AAAAAHT+dxQ=")</f>
        <v>#REF!</v>
      </c>
      <c r="V508" t="e">
        <f>AND(#REF!,"AAAAAHT+dxU=")</f>
        <v>#REF!</v>
      </c>
      <c r="W508" t="e">
        <f>AND(#REF!,"AAAAAHT+dxY=")</f>
        <v>#REF!</v>
      </c>
      <c r="X508" t="e">
        <f>AND(#REF!,"AAAAAHT+dxc=")</f>
        <v>#REF!</v>
      </c>
      <c r="Y508" t="e">
        <f>AND(#REF!,"AAAAAHT+dxg=")</f>
        <v>#REF!</v>
      </c>
      <c r="Z508" t="e">
        <f>AND(#REF!,"AAAAAHT+dxk=")</f>
        <v>#REF!</v>
      </c>
      <c r="AA508" t="e">
        <f>AND(#REF!,"AAAAAHT+dxo=")</f>
        <v>#REF!</v>
      </c>
      <c r="AB508" t="e">
        <f>AND(#REF!,"AAAAAHT+dxs=")</f>
        <v>#REF!</v>
      </c>
      <c r="AC508" t="e">
        <f>AND(#REF!,"AAAAAHT+dxw=")</f>
        <v>#REF!</v>
      </c>
      <c r="AD508" t="e">
        <f>AND(#REF!,"AAAAAHT+dx0=")</f>
        <v>#REF!</v>
      </c>
      <c r="AE508" t="e">
        <f>AND(#REF!,"AAAAAHT+dx4=")</f>
        <v>#REF!</v>
      </c>
      <c r="AF508" t="e">
        <f>AND(#REF!,"AAAAAHT+dx8=")</f>
        <v>#REF!</v>
      </c>
      <c r="AG508" t="e">
        <f>AND(#REF!,"AAAAAHT+dyA=")</f>
        <v>#REF!</v>
      </c>
      <c r="AH508" t="e">
        <f>AND(#REF!,"AAAAAHT+dyE=")</f>
        <v>#REF!</v>
      </c>
      <c r="AI508" t="e">
        <f>AND(#REF!,"AAAAAHT+dyI=")</f>
        <v>#REF!</v>
      </c>
      <c r="AJ508" t="e">
        <f>AND(#REF!,"AAAAAHT+dyM=")</f>
        <v>#REF!</v>
      </c>
      <c r="AK508" t="e">
        <f>AND(#REF!,"AAAAAHT+dyQ=")</f>
        <v>#REF!</v>
      </c>
      <c r="AL508" t="e">
        <f>AND(#REF!,"AAAAAHT+dyU=")</f>
        <v>#REF!</v>
      </c>
      <c r="AM508" t="e">
        <f>AND(#REF!,"AAAAAHT+dyY=")</f>
        <v>#REF!</v>
      </c>
      <c r="AN508" t="e">
        <f>AND(#REF!,"AAAAAHT+dyc=")</f>
        <v>#REF!</v>
      </c>
      <c r="AO508" t="e">
        <f>AND(#REF!,"AAAAAHT+dyg=")</f>
        <v>#REF!</v>
      </c>
      <c r="AP508" t="e">
        <f>AND(#REF!,"AAAAAHT+dyk=")</f>
        <v>#REF!</v>
      </c>
      <c r="AQ508" t="e">
        <f>AND(#REF!,"AAAAAHT+dyo=")</f>
        <v>#REF!</v>
      </c>
      <c r="AR508" t="e">
        <f>IF(#REF!,"AAAAAHT+dys=",0)</f>
        <v>#REF!</v>
      </c>
      <c r="AS508" t="e">
        <f>AND(#REF!,"AAAAAHT+dyw=")</f>
        <v>#REF!</v>
      </c>
      <c r="AT508" t="e">
        <f>AND(#REF!,"AAAAAHT+dy0=")</f>
        <v>#REF!</v>
      </c>
      <c r="AU508" t="e">
        <f>AND(#REF!,"AAAAAHT+dy4=")</f>
        <v>#REF!</v>
      </c>
      <c r="AV508" t="e">
        <f>AND(#REF!,"AAAAAHT+dy8=")</f>
        <v>#REF!</v>
      </c>
      <c r="AW508" t="e">
        <f>AND(#REF!,"AAAAAHT+dzA=")</f>
        <v>#REF!</v>
      </c>
      <c r="AX508" t="e">
        <f>AND(#REF!,"AAAAAHT+dzE=")</f>
        <v>#REF!</v>
      </c>
      <c r="AY508" t="e">
        <f>AND(#REF!,"AAAAAHT+dzI=")</f>
        <v>#REF!</v>
      </c>
      <c r="AZ508" t="e">
        <f>AND(#REF!,"AAAAAHT+dzM=")</f>
        <v>#REF!</v>
      </c>
      <c r="BA508" t="e">
        <f>AND(#REF!,"AAAAAHT+dzQ=")</f>
        <v>#REF!</v>
      </c>
      <c r="BB508" t="e">
        <f>AND(#REF!,"AAAAAHT+dzU=")</f>
        <v>#REF!</v>
      </c>
      <c r="BC508" t="e">
        <f>AND(#REF!,"AAAAAHT+dzY=")</f>
        <v>#REF!</v>
      </c>
      <c r="BD508" t="e">
        <f>AND(#REF!,"AAAAAHT+dzc=")</f>
        <v>#REF!</v>
      </c>
      <c r="BE508" t="e">
        <f>AND(#REF!,"AAAAAHT+dzg=")</f>
        <v>#REF!</v>
      </c>
      <c r="BF508" t="e">
        <f>AND(#REF!,"AAAAAHT+dzk=")</f>
        <v>#REF!</v>
      </c>
      <c r="BG508" t="e">
        <f>AND(#REF!,"AAAAAHT+dzo=")</f>
        <v>#REF!</v>
      </c>
      <c r="BH508" t="e">
        <f>AND(#REF!,"AAAAAHT+dzs=")</f>
        <v>#REF!</v>
      </c>
      <c r="BI508" t="e">
        <f>AND(#REF!,"AAAAAHT+dzw=")</f>
        <v>#REF!</v>
      </c>
      <c r="BJ508" t="e">
        <f>AND(#REF!,"AAAAAHT+dz0=")</f>
        <v>#REF!</v>
      </c>
      <c r="BK508" t="e">
        <f>AND(#REF!,"AAAAAHT+dz4=")</f>
        <v>#REF!</v>
      </c>
      <c r="BL508" t="e">
        <f>AND(#REF!,"AAAAAHT+dz8=")</f>
        <v>#REF!</v>
      </c>
      <c r="BM508" t="e">
        <f>AND(#REF!,"AAAAAHT+d0A=")</f>
        <v>#REF!</v>
      </c>
      <c r="BN508" t="e">
        <f>AND(#REF!,"AAAAAHT+d0E=")</f>
        <v>#REF!</v>
      </c>
      <c r="BO508" t="e">
        <f>AND(#REF!,"AAAAAHT+d0I=")</f>
        <v>#REF!</v>
      </c>
      <c r="BP508" t="e">
        <f>AND(#REF!,"AAAAAHT+d0M=")</f>
        <v>#REF!</v>
      </c>
      <c r="BQ508" t="e">
        <f>IF(#REF!,"AAAAAHT+d0Q=",0)</f>
        <v>#REF!</v>
      </c>
      <c r="BR508" t="e">
        <f>AND(#REF!,"AAAAAHT+d0U=")</f>
        <v>#REF!</v>
      </c>
      <c r="BS508" t="e">
        <f>AND(#REF!,"AAAAAHT+d0Y=")</f>
        <v>#REF!</v>
      </c>
      <c r="BT508" t="e">
        <f>AND(#REF!,"AAAAAHT+d0c=")</f>
        <v>#REF!</v>
      </c>
      <c r="BU508" t="e">
        <f>AND(#REF!,"AAAAAHT+d0g=")</f>
        <v>#REF!</v>
      </c>
      <c r="BV508" t="e">
        <f>AND(#REF!,"AAAAAHT+d0k=")</f>
        <v>#REF!</v>
      </c>
      <c r="BW508" t="e">
        <f>AND(#REF!,"AAAAAHT+d0o=")</f>
        <v>#REF!</v>
      </c>
      <c r="BX508" t="e">
        <f>AND(#REF!,"AAAAAHT+d0s=")</f>
        <v>#REF!</v>
      </c>
      <c r="BY508" t="e">
        <f>AND(#REF!,"AAAAAHT+d0w=")</f>
        <v>#REF!</v>
      </c>
      <c r="BZ508" t="e">
        <f>AND(#REF!,"AAAAAHT+d00=")</f>
        <v>#REF!</v>
      </c>
      <c r="CA508" t="e">
        <f>AND(#REF!,"AAAAAHT+d04=")</f>
        <v>#REF!</v>
      </c>
      <c r="CB508" t="e">
        <f>AND(#REF!,"AAAAAHT+d08=")</f>
        <v>#REF!</v>
      </c>
      <c r="CC508" t="e">
        <f>AND(#REF!,"AAAAAHT+d1A=")</f>
        <v>#REF!</v>
      </c>
      <c r="CD508" t="e">
        <f>AND(#REF!,"AAAAAHT+d1E=")</f>
        <v>#REF!</v>
      </c>
      <c r="CE508" t="e">
        <f>AND(#REF!,"AAAAAHT+d1I=")</f>
        <v>#REF!</v>
      </c>
      <c r="CF508" t="e">
        <f>AND(#REF!,"AAAAAHT+d1M=")</f>
        <v>#REF!</v>
      </c>
      <c r="CG508" t="e">
        <f>AND(#REF!,"AAAAAHT+d1Q=")</f>
        <v>#REF!</v>
      </c>
      <c r="CH508" t="e">
        <f>AND(#REF!,"AAAAAHT+d1U=")</f>
        <v>#REF!</v>
      </c>
      <c r="CI508" t="e">
        <f>AND(#REF!,"AAAAAHT+d1Y=")</f>
        <v>#REF!</v>
      </c>
      <c r="CJ508" t="e">
        <f>AND(#REF!,"AAAAAHT+d1c=")</f>
        <v>#REF!</v>
      </c>
      <c r="CK508" t="e">
        <f>AND(#REF!,"AAAAAHT+d1g=")</f>
        <v>#REF!</v>
      </c>
      <c r="CL508" t="e">
        <f>AND(#REF!,"AAAAAHT+d1k=")</f>
        <v>#REF!</v>
      </c>
      <c r="CM508" t="e">
        <f>AND(#REF!,"AAAAAHT+d1o=")</f>
        <v>#REF!</v>
      </c>
      <c r="CN508" t="e">
        <f>AND(#REF!,"AAAAAHT+d1s=")</f>
        <v>#REF!</v>
      </c>
      <c r="CO508" t="e">
        <f>AND(#REF!,"AAAAAHT+d1w=")</f>
        <v>#REF!</v>
      </c>
      <c r="CP508" t="e">
        <f>IF(#REF!,"AAAAAHT+d10=",0)</f>
        <v>#REF!</v>
      </c>
      <c r="CQ508" t="e">
        <f>AND(#REF!,"AAAAAHT+d14=")</f>
        <v>#REF!</v>
      </c>
      <c r="CR508" t="e">
        <f>AND(#REF!,"AAAAAHT+d18=")</f>
        <v>#REF!</v>
      </c>
      <c r="CS508" t="e">
        <f>AND(#REF!,"AAAAAHT+d2A=")</f>
        <v>#REF!</v>
      </c>
      <c r="CT508" t="e">
        <f>AND(#REF!,"AAAAAHT+d2E=")</f>
        <v>#REF!</v>
      </c>
      <c r="CU508" t="e">
        <f>AND(#REF!,"AAAAAHT+d2I=")</f>
        <v>#REF!</v>
      </c>
      <c r="CV508" t="e">
        <f>AND(#REF!,"AAAAAHT+d2M=")</f>
        <v>#REF!</v>
      </c>
      <c r="CW508" t="e">
        <f>AND(#REF!,"AAAAAHT+d2Q=")</f>
        <v>#REF!</v>
      </c>
      <c r="CX508" t="e">
        <f>AND(#REF!,"AAAAAHT+d2U=")</f>
        <v>#REF!</v>
      </c>
      <c r="CY508" t="e">
        <f>AND(#REF!,"AAAAAHT+d2Y=")</f>
        <v>#REF!</v>
      </c>
      <c r="CZ508" t="e">
        <f>AND(#REF!,"AAAAAHT+d2c=")</f>
        <v>#REF!</v>
      </c>
      <c r="DA508" t="e">
        <f>AND(#REF!,"AAAAAHT+d2g=")</f>
        <v>#REF!</v>
      </c>
      <c r="DB508" t="e">
        <f>AND(#REF!,"AAAAAHT+d2k=")</f>
        <v>#REF!</v>
      </c>
      <c r="DC508" t="e">
        <f>AND(#REF!,"AAAAAHT+d2o=")</f>
        <v>#REF!</v>
      </c>
      <c r="DD508" t="e">
        <f>AND(#REF!,"AAAAAHT+d2s=")</f>
        <v>#REF!</v>
      </c>
      <c r="DE508" t="e">
        <f>AND(#REF!,"AAAAAHT+d2w=")</f>
        <v>#REF!</v>
      </c>
      <c r="DF508" t="e">
        <f>AND(#REF!,"AAAAAHT+d20=")</f>
        <v>#REF!</v>
      </c>
      <c r="DG508" t="e">
        <f>AND(#REF!,"AAAAAHT+d24=")</f>
        <v>#REF!</v>
      </c>
      <c r="DH508" t="e">
        <f>AND(#REF!,"AAAAAHT+d28=")</f>
        <v>#REF!</v>
      </c>
      <c r="DI508" t="e">
        <f>AND(#REF!,"AAAAAHT+d3A=")</f>
        <v>#REF!</v>
      </c>
      <c r="DJ508" t="e">
        <f>AND(#REF!,"AAAAAHT+d3E=")</f>
        <v>#REF!</v>
      </c>
      <c r="DK508" t="e">
        <f>AND(#REF!,"AAAAAHT+d3I=")</f>
        <v>#REF!</v>
      </c>
      <c r="DL508" t="e">
        <f>AND(#REF!,"AAAAAHT+d3M=")</f>
        <v>#REF!</v>
      </c>
      <c r="DM508" t="e">
        <f>AND(#REF!,"AAAAAHT+d3Q=")</f>
        <v>#REF!</v>
      </c>
      <c r="DN508" t="e">
        <f>AND(#REF!,"AAAAAHT+d3U=")</f>
        <v>#REF!</v>
      </c>
      <c r="DO508" t="e">
        <f>IF(#REF!,"AAAAAHT+d3Y=",0)</f>
        <v>#REF!</v>
      </c>
      <c r="DP508" t="e">
        <f>AND(#REF!,"AAAAAHT+d3c=")</f>
        <v>#REF!</v>
      </c>
      <c r="DQ508" t="e">
        <f>AND(#REF!,"AAAAAHT+d3g=")</f>
        <v>#REF!</v>
      </c>
      <c r="DR508" t="e">
        <f>AND(#REF!,"AAAAAHT+d3k=")</f>
        <v>#REF!</v>
      </c>
      <c r="DS508" t="e">
        <f>AND(#REF!,"AAAAAHT+d3o=")</f>
        <v>#REF!</v>
      </c>
      <c r="DT508" t="e">
        <f>AND(#REF!,"AAAAAHT+d3s=")</f>
        <v>#REF!</v>
      </c>
      <c r="DU508" t="e">
        <f>AND(#REF!,"AAAAAHT+d3w=")</f>
        <v>#REF!</v>
      </c>
      <c r="DV508" t="e">
        <f>AND(#REF!,"AAAAAHT+d30=")</f>
        <v>#REF!</v>
      </c>
      <c r="DW508" t="e">
        <f>AND(#REF!,"AAAAAHT+d34=")</f>
        <v>#REF!</v>
      </c>
      <c r="DX508" t="e">
        <f>AND(#REF!,"AAAAAHT+d38=")</f>
        <v>#REF!</v>
      </c>
      <c r="DY508" t="e">
        <f>AND(#REF!,"AAAAAHT+d4A=")</f>
        <v>#REF!</v>
      </c>
      <c r="DZ508" t="e">
        <f>AND(#REF!,"AAAAAHT+d4E=")</f>
        <v>#REF!</v>
      </c>
      <c r="EA508" t="e">
        <f>AND(#REF!,"AAAAAHT+d4I=")</f>
        <v>#REF!</v>
      </c>
      <c r="EB508" t="e">
        <f>AND(#REF!,"AAAAAHT+d4M=")</f>
        <v>#REF!</v>
      </c>
      <c r="EC508" t="e">
        <f>AND(#REF!,"AAAAAHT+d4Q=")</f>
        <v>#REF!</v>
      </c>
      <c r="ED508" t="e">
        <f>AND(#REF!,"AAAAAHT+d4U=")</f>
        <v>#REF!</v>
      </c>
      <c r="EE508" t="e">
        <f>AND(#REF!,"AAAAAHT+d4Y=")</f>
        <v>#REF!</v>
      </c>
      <c r="EF508" t="e">
        <f>AND(#REF!,"AAAAAHT+d4c=")</f>
        <v>#REF!</v>
      </c>
      <c r="EG508" t="e">
        <f>AND(#REF!,"AAAAAHT+d4g=")</f>
        <v>#REF!</v>
      </c>
      <c r="EH508" t="e">
        <f>AND(#REF!,"AAAAAHT+d4k=")</f>
        <v>#REF!</v>
      </c>
      <c r="EI508" t="e">
        <f>AND(#REF!,"AAAAAHT+d4o=")</f>
        <v>#REF!</v>
      </c>
      <c r="EJ508" t="e">
        <f>AND(#REF!,"AAAAAHT+d4s=")</f>
        <v>#REF!</v>
      </c>
      <c r="EK508" t="e">
        <f>AND(#REF!,"AAAAAHT+d4w=")</f>
        <v>#REF!</v>
      </c>
      <c r="EL508" t="e">
        <f>AND(#REF!,"AAAAAHT+d40=")</f>
        <v>#REF!</v>
      </c>
      <c r="EM508" t="e">
        <f>AND(#REF!,"AAAAAHT+d44=")</f>
        <v>#REF!</v>
      </c>
      <c r="EN508" t="e">
        <f>IF(#REF!,"AAAAAHT+d48=",0)</f>
        <v>#REF!</v>
      </c>
      <c r="EO508" t="e">
        <f>AND(#REF!,"AAAAAHT+d5A=")</f>
        <v>#REF!</v>
      </c>
      <c r="EP508" t="e">
        <f>AND(#REF!,"AAAAAHT+d5E=")</f>
        <v>#REF!</v>
      </c>
      <c r="EQ508" t="e">
        <f>AND(#REF!,"AAAAAHT+d5I=")</f>
        <v>#REF!</v>
      </c>
      <c r="ER508" t="e">
        <f>AND(#REF!,"AAAAAHT+d5M=")</f>
        <v>#REF!</v>
      </c>
      <c r="ES508" t="e">
        <f>AND(#REF!,"AAAAAHT+d5Q=")</f>
        <v>#REF!</v>
      </c>
      <c r="ET508" t="e">
        <f>AND(#REF!,"AAAAAHT+d5U=")</f>
        <v>#REF!</v>
      </c>
      <c r="EU508" t="e">
        <f>AND(#REF!,"AAAAAHT+d5Y=")</f>
        <v>#REF!</v>
      </c>
      <c r="EV508" t="e">
        <f>AND(#REF!,"AAAAAHT+d5c=")</f>
        <v>#REF!</v>
      </c>
      <c r="EW508" t="e">
        <f>AND(#REF!,"AAAAAHT+d5g=")</f>
        <v>#REF!</v>
      </c>
      <c r="EX508" t="e">
        <f>AND(#REF!,"AAAAAHT+d5k=")</f>
        <v>#REF!</v>
      </c>
      <c r="EY508" t="e">
        <f>AND(#REF!,"AAAAAHT+d5o=")</f>
        <v>#REF!</v>
      </c>
      <c r="EZ508" t="e">
        <f>AND(#REF!,"AAAAAHT+d5s=")</f>
        <v>#REF!</v>
      </c>
      <c r="FA508" t="e">
        <f>AND(#REF!,"AAAAAHT+d5w=")</f>
        <v>#REF!</v>
      </c>
      <c r="FB508" t="e">
        <f>AND(#REF!,"AAAAAHT+d50=")</f>
        <v>#REF!</v>
      </c>
      <c r="FC508" t="e">
        <f>AND(#REF!,"AAAAAHT+d54=")</f>
        <v>#REF!</v>
      </c>
      <c r="FD508" t="e">
        <f>AND(#REF!,"AAAAAHT+d58=")</f>
        <v>#REF!</v>
      </c>
      <c r="FE508" t="e">
        <f>AND(#REF!,"AAAAAHT+d6A=")</f>
        <v>#REF!</v>
      </c>
      <c r="FF508" t="e">
        <f>AND(#REF!,"AAAAAHT+d6E=")</f>
        <v>#REF!</v>
      </c>
      <c r="FG508" t="e">
        <f>AND(#REF!,"AAAAAHT+d6I=")</f>
        <v>#REF!</v>
      </c>
      <c r="FH508" t="e">
        <f>AND(#REF!,"AAAAAHT+d6M=")</f>
        <v>#REF!</v>
      </c>
      <c r="FI508" t="e">
        <f>AND(#REF!,"AAAAAHT+d6Q=")</f>
        <v>#REF!</v>
      </c>
      <c r="FJ508" t="e">
        <f>AND(#REF!,"AAAAAHT+d6U=")</f>
        <v>#REF!</v>
      </c>
      <c r="FK508" t="e">
        <f>AND(#REF!,"AAAAAHT+d6Y=")</f>
        <v>#REF!</v>
      </c>
      <c r="FL508" t="e">
        <f>AND(#REF!,"AAAAAHT+d6c=")</f>
        <v>#REF!</v>
      </c>
      <c r="FM508" t="e">
        <f>IF(#REF!,"AAAAAHT+d6g=",0)</f>
        <v>#REF!</v>
      </c>
      <c r="FN508" t="e">
        <f>AND(#REF!,"AAAAAHT+d6k=")</f>
        <v>#REF!</v>
      </c>
      <c r="FO508" t="e">
        <f>AND(#REF!,"AAAAAHT+d6o=")</f>
        <v>#REF!</v>
      </c>
      <c r="FP508" t="e">
        <f>AND(#REF!,"AAAAAHT+d6s=")</f>
        <v>#REF!</v>
      </c>
      <c r="FQ508" t="e">
        <f>AND(#REF!,"AAAAAHT+d6w=")</f>
        <v>#REF!</v>
      </c>
      <c r="FR508" t="e">
        <f>AND(#REF!,"AAAAAHT+d60=")</f>
        <v>#REF!</v>
      </c>
      <c r="FS508" t="e">
        <f>AND(#REF!,"AAAAAHT+d64=")</f>
        <v>#REF!</v>
      </c>
      <c r="FT508" t="e">
        <f>AND(#REF!,"AAAAAHT+d68=")</f>
        <v>#REF!</v>
      </c>
      <c r="FU508" t="e">
        <f>AND(#REF!,"AAAAAHT+d7A=")</f>
        <v>#REF!</v>
      </c>
      <c r="FV508" t="e">
        <f>AND(#REF!,"AAAAAHT+d7E=")</f>
        <v>#REF!</v>
      </c>
      <c r="FW508" t="e">
        <f>AND(#REF!,"AAAAAHT+d7I=")</f>
        <v>#REF!</v>
      </c>
      <c r="FX508" t="e">
        <f>AND(#REF!,"AAAAAHT+d7M=")</f>
        <v>#REF!</v>
      </c>
      <c r="FY508" t="e">
        <f>AND(#REF!,"AAAAAHT+d7Q=")</f>
        <v>#REF!</v>
      </c>
      <c r="FZ508" t="e">
        <f>AND(#REF!,"AAAAAHT+d7U=")</f>
        <v>#REF!</v>
      </c>
      <c r="GA508" t="e">
        <f>AND(#REF!,"AAAAAHT+d7Y=")</f>
        <v>#REF!</v>
      </c>
      <c r="GB508" t="e">
        <f>AND(#REF!,"AAAAAHT+d7c=")</f>
        <v>#REF!</v>
      </c>
      <c r="GC508" t="e">
        <f>AND(#REF!,"AAAAAHT+d7g=")</f>
        <v>#REF!</v>
      </c>
      <c r="GD508" t="e">
        <f>AND(#REF!,"AAAAAHT+d7k=")</f>
        <v>#REF!</v>
      </c>
      <c r="GE508" t="e">
        <f>AND(#REF!,"AAAAAHT+d7o=")</f>
        <v>#REF!</v>
      </c>
      <c r="GF508" t="e">
        <f>AND(#REF!,"AAAAAHT+d7s=")</f>
        <v>#REF!</v>
      </c>
      <c r="GG508" t="e">
        <f>AND(#REF!,"AAAAAHT+d7w=")</f>
        <v>#REF!</v>
      </c>
      <c r="GH508" t="e">
        <f>AND(#REF!,"AAAAAHT+d70=")</f>
        <v>#REF!</v>
      </c>
      <c r="GI508" t="e">
        <f>AND(#REF!,"AAAAAHT+d74=")</f>
        <v>#REF!</v>
      </c>
      <c r="GJ508" t="e">
        <f>AND(#REF!,"AAAAAHT+d78=")</f>
        <v>#REF!</v>
      </c>
      <c r="GK508" t="e">
        <f>AND(#REF!,"AAAAAHT+d8A=")</f>
        <v>#REF!</v>
      </c>
      <c r="GL508" t="e">
        <f>IF(#REF!,"AAAAAHT+d8E=",0)</f>
        <v>#REF!</v>
      </c>
      <c r="GM508" t="e">
        <f>AND(#REF!,"AAAAAHT+d8I=")</f>
        <v>#REF!</v>
      </c>
      <c r="GN508" t="e">
        <f>AND(#REF!,"AAAAAHT+d8M=")</f>
        <v>#REF!</v>
      </c>
      <c r="GO508" t="e">
        <f>AND(#REF!,"AAAAAHT+d8Q=")</f>
        <v>#REF!</v>
      </c>
      <c r="GP508" t="e">
        <f>AND(#REF!,"AAAAAHT+d8U=")</f>
        <v>#REF!</v>
      </c>
      <c r="GQ508" t="e">
        <f>AND(#REF!,"AAAAAHT+d8Y=")</f>
        <v>#REF!</v>
      </c>
      <c r="GR508" t="e">
        <f>AND(#REF!,"AAAAAHT+d8c=")</f>
        <v>#REF!</v>
      </c>
      <c r="GS508" t="e">
        <f>AND(#REF!,"AAAAAHT+d8g=")</f>
        <v>#REF!</v>
      </c>
      <c r="GT508" t="e">
        <f>AND(#REF!,"AAAAAHT+d8k=")</f>
        <v>#REF!</v>
      </c>
      <c r="GU508" t="e">
        <f>AND(#REF!,"AAAAAHT+d8o=")</f>
        <v>#REF!</v>
      </c>
      <c r="GV508" t="e">
        <f>AND(#REF!,"AAAAAHT+d8s=")</f>
        <v>#REF!</v>
      </c>
      <c r="GW508" t="e">
        <f>AND(#REF!,"AAAAAHT+d8w=")</f>
        <v>#REF!</v>
      </c>
      <c r="GX508" t="e">
        <f>AND(#REF!,"AAAAAHT+d80=")</f>
        <v>#REF!</v>
      </c>
      <c r="GY508" t="e">
        <f>AND(#REF!,"AAAAAHT+d84=")</f>
        <v>#REF!</v>
      </c>
      <c r="GZ508" t="e">
        <f>AND(#REF!,"AAAAAHT+d88=")</f>
        <v>#REF!</v>
      </c>
      <c r="HA508" t="e">
        <f>AND(#REF!,"AAAAAHT+d9A=")</f>
        <v>#REF!</v>
      </c>
      <c r="HB508" t="e">
        <f>AND(#REF!,"AAAAAHT+d9E=")</f>
        <v>#REF!</v>
      </c>
      <c r="HC508" t="e">
        <f>AND(#REF!,"AAAAAHT+d9I=")</f>
        <v>#REF!</v>
      </c>
      <c r="HD508" t="e">
        <f>AND(#REF!,"AAAAAHT+d9M=")</f>
        <v>#REF!</v>
      </c>
      <c r="HE508" t="e">
        <f>AND(#REF!,"AAAAAHT+d9Q=")</f>
        <v>#REF!</v>
      </c>
      <c r="HF508" t="e">
        <f>AND(#REF!,"AAAAAHT+d9U=")</f>
        <v>#REF!</v>
      </c>
      <c r="HG508" t="e">
        <f>AND(#REF!,"AAAAAHT+d9Y=")</f>
        <v>#REF!</v>
      </c>
      <c r="HH508" t="e">
        <f>AND(#REF!,"AAAAAHT+d9c=")</f>
        <v>#REF!</v>
      </c>
      <c r="HI508" t="e">
        <f>AND(#REF!,"AAAAAHT+d9g=")</f>
        <v>#REF!</v>
      </c>
      <c r="HJ508" t="e">
        <f>AND(#REF!,"AAAAAHT+d9k=")</f>
        <v>#REF!</v>
      </c>
      <c r="HK508" t="e">
        <f>IF(#REF!,"AAAAAHT+d9o=",0)</f>
        <v>#REF!</v>
      </c>
      <c r="HL508" t="e">
        <f>AND(#REF!,"AAAAAHT+d9s=")</f>
        <v>#REF!</v>
      </c>
      <c r="HM508" t="e">
        <f>AND(#REF!,"AAAAAHT+d9w=")</f>
        <v>#REF!</v>
      </c>
      <c r="HN508" t="e">
        <f>AND(#REF!,"AAAAAHT+d90=")</f>
        <v>#REF!</v>
      </c>
      <c r="HO508" t="e">
        <f>AND(#REF!,"AAAAAHT+d94=")</f>
        <v>#REF!</v>
      </c>
      <c r="HP508" t="e">
        <f>AND(#REF!,"AAAAAHT+d98=")</f>
        <v>#REF!</v>
      </c>
      <c r="HQ508" t="e">
        <f>AND(#REF!,"AAAAAHT+d+A=")</f>
        <v>#REF!</v>
      </c>
      <c r="HR508" t="e">
        <f>AND(#REF!,"AAAAAHT+d+E=")</f>
        <v>#REF!</v>
      </c>
      <c r="HS508" t="e">
        <f>AND(#REF!,"AAAAAHT+d+I=")</f>
        <v>#REF!</v>
      </c>
      <c r="HT508" t="e">
        <f>AND(#REF!,"AAAAAHT+d+M=")</f>
        <v>#REF!</v>
      </c>
      <c r="HU508" t="e">
        <f>AND(#REF!,"AAAAAHT+d+Q=")</f>
        <v>#REF!</v>
      </c>
      <c r="HV508" t="e">
        <f>AND(#REF!,"AAAAAHT+d+U=")</f>
        <v>#REF!</v>
      </c>
      <c r="HW508" t="e">
        <f>AND(#REF!,"AAAAAHT+d+Y=")</f>
        <v>#REF!</v>
      </c>
      <c r="HX508" t="e">
        <f>AND(#REF!,"AAAAAHT+d+c=")</f>
        <v>#REF!</v>
      </c>
      <c r="HY508" t="e">
        <f>AND(#REF!,"AAAAAHT+d+g=")</f>
        <v>#REF!</v>
      </c>
      <c r="HZ508" t="e">
        <f>AND(#REF!,"AAAAAHT+d+k=")</f>
        <v>#REF!</v>
      </c>
      <c r="IA508" t="e">
        <f>AND(#REF!,"AAAAAHT+d+o=")</f>
        <v>#REF!</v>
      </c>
      <c r="IB508" t="e">
        <f>AND(#REF!,"AAAAAHT+d+s=")</f>
        <v>#REF!</v>
      </c>
      <c r="IC508" t="e">
        <f>AND(#REF!,"AAAAAHT+d+w=")</f>
        <v>#REF!</v>
      </c>
      <c r="ID508" t="e">
        <f>AND(#REF!,"AAAAAHT+d+0=")</f>
        <v>#REF!</v>
      </c>
      <c r="IE508" t="e">
        <f>AND(#REF!,"AAAAAHT+d+4=")</f>
        <v>#REF!</v>
      </c>
      <c r="IF508" t="e">
        <f>AND(#REF!,"AAAAAHT+d+8=")</f>
        <v>#REF!</v>
      </c>
      <c r="IG508" t="e">
        <f>AND(#REF!,"AAAAAHT+d/A=")</f>
        <v>#REF!</v>
      </c>
      <c r="IH508" t="e">
        <f>AND(#REF!,"AAAAAHT+d/E=")</f>
        <v>#REF!</v>
      </c>
      <c r="II508" t="e">
        <f>AND(#REF!,"AAAAAHT+d/I=")</f>
        <v>#REF!</v>
      </c>
      <c r="IJ508" t="e">
        <f>IF(#REF!,"AAAAAHT+d/M=",0)</f>
        <v>#REF!</v>
      </c>
      <c r="IK508" t="e">
        <f>AND(#REF!,"AAAAAHT+d/Q=")</f>
        <v>#REF!</v>
      </c>
      <c r="IL508" t="e">
        <f>AND(#REF!,"AAAAAHT+d/U=")</f>
        <v>#REF!</v>
      </c>
      <c r="IM508" t="e">
        <f>AND(#REF!,"AAAAAHT+d/Y=")</f>
        <v>#REF!</v>
      </c>
      <c r="IN508" t="e">
        <f>AND(#REF!,"AAAAAHT+d/c=")</f>
        <v>#REF!</v>
      </c>
      <c r="IO508" t="e">
        <f>AND(#REF!,"AAAAAHT+d/g=")</f>
        <v>#REF!</v>
      </c>
      <c r="IP508" t="e">
        <f>AND(#REF!,"AAAAAHT+d/k=")</f>
        <v>#REF!</v>
      </c>
      <c r="IQ508" t="e">
        <f>AND(#REF!,"AAAAAHT+d/o=")</f>
        <v>#REF!</v>
      </c>
      <c r="IR508" t="e">
        <f>AND(#REF!,"AAAAAHT+d/s=")</f>
        <v>#REF!</v>
      </c>
      <c r="IS508" t="e">
        <f>AND(#REF!,"AAAAAHT+d/w=")</f>
        <v>#REF!</v>
      </c>
      <c r="IT508" t="e">
        <f>AND(#REF!,"AAAAAHT+d/0=")</f>
        <v>#REF!</v>
      </c>
      <c r="IU508" t="e">
        <f>AND(#REF!,"AAAAAHT+d/4=")</f>
        <v>#REF!</v>
      </c>
      <c r="IV508" t="e">
        <f>AND(#REF!,"AAAAAHT+d/8=")</f>
        <v>#REF!</v>
      </c>
    </row>
    <row r="509" spans="1:256">
      <c r="A509" t="e">
        <f>AND(#REF!,"AAAAADWuXwA=")</f>
        <v>#REF!</v>
      </c>
      <c r="B509" t="e">
        <f>AND(#REF!,"AAAAADWuXwE=")</f>
        <v>#REF!</v>
      </c>
      <c r="C509" t="e">
        <f>AND(#REF!,"AAAAADWuXwI=")</f>
        <v>#REF!</v>
      </c>
      <c r="D509" t="e">
        <f>AND(#REF!,"AAAAADWuXwM=")</f>
        <v>#REF!</v>
      </c>
      <c r="E509" t="e">
        <f>AND(#REF!,"AAAAADWuXwQ=")</f>
        <v>#REF!</v>
      </c>
      <c r="F509" t="e">
        <f>AND(#REF!,"AAAAADWuXwU=")</f>
        <v>#REF!</v>
      </c>
      <c r="G509" t="e">
        <f>AND(#REF!,"AAAAADWuXwY=")</f>
        <v>#REF!</v>
      </c>
      <c r="H509" t="e">
        <f>AND(#REF!,"AAAAADWuXwc=")</f>
        <v>#REF!</v>
      </c>
      <c r="I509" t="e">
        <f>AND(#REF!,"AAAAADWuXwg=")</f>
        <v>#REF!</v>
      </c>
      <c r="J509" t="e">
        <f>AND(#REF!,"AAAAADWuXwk=")</f>
        <v>#REF!</v>
      </c>
      <c r="K509" t="e">
        <f>AND(#REF!,"AAAAADWuXwo=")</f>
        <v>#REF!</v>
      </c>
      <c r="L509" t="e">
        <f>AND(#REF!,"AAAAADWuXws=")</f>
        <v>#REF!</v>
      </c>
      <c r="M509" t="e">
        <f>IF(#REF!,"AAAAADWuXww=",0)</f>
        <v>#REF!</v>
      </c>
      <c r="N509" t="e">
        <f>AND(#REF!,"AAAAADWuXw0=")</f>
        <v>#REF!</v>
      </c>
      <c r="O509" t="e">
        <f>AND(#REF!,"AAAAADWuXw4=")</f>
        <v>#REF!</v>
      </c>
      <c r="P509" t="e">
        <f>AND(#REF!,"AAAAADWuXw8=")</f>
        <v>#REF!</v>
      </c>
      <c r="Q509" t="e">
        <f>AND(#REF!,"AAAAADWuXxA=")</f>
        <v>#REF!</v>
      </c>
      <c r="R509" t="e">
        <f>AND(#REF!,"AAAAADWuXxE=")</f>
        <v>#REF!</v>
      </c>
      <c r="S509" t="e">
        <f>AND(#REF!,"AAAAADWuXxI=")</f>
        <v>#REF!</v>
      </c>
      <c r="T509" t="e">
        <f>AND(#REF!,"AAAAADWuXxM=")</f>
        <v>#REF!</v>
      </c>
      <c r="U509" t="e">
        <f>AND(#REF!,"AAAAADWuXxQ=")</f>
        <v>#REF!</v>
      </c>
      <c r="V509" t="e">
        <f>AND(#REF!,"AAAAADWuXxU=")</f>
        <v>#REF!</v>
      </c>
      <c r="W509" t="e">
        <f>AND(#REF!,"AAAAADWuXxY=")</f>
        <v>#REF!</v>
      </c>
      <c r="X509" t="e">
        <f>AND(#REF!,"AAAAADWuXxc=")</f>
        <v>#REF!</v>
      </c>
      <c r="Y509" t="e">
        <f>AND(#REF!,"AAAAADWuXxg=")</f>
        <v>#REF!</v>
      </c>
      <c r="Z509" t="e">
        <f>AND(#REF!,"AAAAADWuXxk=")</f>
        <v>#REF!</v>
      </c>
      <c r="AA509" t="e">
        <f>AND(#REF!,"AAAAADWuXxo=")</f>
        <v>#REF!</v>
      </c>
      <c r="AB509" t="e">
        <f>AND(#REF!,"AAAAADWuXxs=")</f>
        <v>#REF!</v>
      </c>
      <c r="AC509" t="e">
        <f>AND(#REF!,"AAAAADWuXxw=")</f>
        <v>#REF!</v>
      </c>
      <c r="AD509" t="e">
        <f>AND(#REF!,"AAAAADWuXx0=")</f>
        <v>#REF!</v>
      </c>
      <c r="AE509" t="e">
        <f>AND(#REF!,"AAAAADWuXx4=")</f>
        <v>#REF!</v>
      </c>
      <c r="AF509" t="e">
        <f>AND(#REF!,"AAAAADWuXx8=")</f>
        <v>#REF!</v>
      </c>
      <c r="AG509" t="e">
        <f>AND(#REF!,"AAAAADWuXyA=")</f>
        <v>#REF!</v>
      </c>
      <c r="AH509" t="e">
        <f>AND(#REF!,"AAAAADWuXyE=")</f>
        <v>#REF!</v>
      </c>
      <c r="AI509" t="e">
        <f>AND(#REF!,"AAAAADWuXyI=")</f>
        <v>#REF!</v>
      </c>
      <c r="AJ509" t="e">
        <f>AND(#REF!,"AAAAADWuXyM=")</f>
        <v>#REF!</v>
      </c>
      <c r="AK509" t="e">
        <f>AND(#REF!,"AAAAADWuXyQ=")</f>
        <v>#REF!</v>
      </c>
      <c r="AL509" t="e">
        <f>IF(#REF!,"AAAAADWuXyU=",0)</f>
        <v>#REF!</v>
      </c>
      <c r="AM509" t="e">
        <f>AND(#REF!,"AAAAADWuXyY=")</f>
        <v>#REF!</v>
      </c>
      <c r="AN509" t="e">
        <f>AND(#REF!,"AAAAADWuXyc=")</f>
        <v>#REF!</v>
      </c>
      <c r="AO509" t="e">
        <f>AND(#REF!,"AAAAADWuXyg=")</f>
        <v>#REF!</v>
      </c>
      <c r="AP509" t="e">
        <f>AND(#REF!,"AAAAADWuXyk=")</f>
        <v>#REF!</v>
      </c>
      <c r="AQ509" t="e">
        <f>AND(#REF!,"AAAAADWuXyo=")</f>
        <v>#REF!</v>
      </c>
      <c r="AR509" t="e">
        <f>AND(#REF!,"AAAAADWuXys=")</f>
        <v>#REF!</v>
      </c>
      <c r="AS509" t="e">
        <f>AND(#REF!,"AAAAADWuXyw=")</f>
        <v>#REF!</v>
      </c>
      <c r="AT509" t="e">
        <f>AND(#REF!,"AAAAADWuXy0=")</f>
        <v>#REF!</v>
      </c>
      <c r="AU509" t="e">
        <f>AND(#REF!,"AAAAADWuXy4=")</f>
        <v>#REF!</v>
      </c>
      <c r="AV509" t="e">
        <f>AND(#REF!,"AAAAADWuXy8=")</f>
        <v>#REF!</v>
      </c>
      <c r="AW509" t="e">
        <f>AND(#REF!,"AAAAADWuXzA=")</f>
        <v>#REF!</v>
      </c>
      <c r="AX509" t="e">
        <f>AND(#REF!,"AAAAADWuXzE=")</f>
        <v>#REF!</v>
      </c>
      <c r="AY509" t="e">
        <f>AND(#REF!,"AAAAADWuXzI=")</f>
        <v>#REF!</v>
      </c>
      <c r="AZ509" t="e">
        <f>AND(#REF!,"AAAAADWuXzM=")</f>
        <v>#REF!</v>
      </c>
      <c r="BA509" t="e">
        <f>AND(#REF!,"AAAAADWuXzQ=")</f>
        <v>#REF!</v>
      </c>
      <c r="BB509" t="e">
        <f>AND(#REF!,"AAAAADWuXzU=")</f>
        <v>#REF!</v>
      </c>
      <c r="BC509" t="e">
        <f>AND(#REF!,"AAAAADWuXzY=")</f>
        <v>#REF!</v>
      </c>
      <c r="BD509" t="e">
        <f>AND(#REF!,"AAAAADWuXzc=")</f>
        <v>#REF!</v>
      </c>
      <c r="BE509" t="e">
        <f>AND(#REF!,"AAAAADWuXzg=")</f>
        <v>#REF!</v>
      </c>
      <c r="BF509" t="e">
        <f>AND(#REF!,"AAAAADWuXzk=")</f>
        <v>#REF!</v>
      </c>
      <c r="BG509" t="e">
        <f>AND(#REF!,"AAAAADWuXzo=")</f>
        <v>#REF!</v>
      </c>
      <c r="BH509" t="e">
        <f>AND(#REF!,"AAAAADWuXzs=")</f>
        <v>#REF!</v>
      </c>
      <c r="BI509" t="e">
        <f>AND(#REF!,"AAAAADWuXzw=")</f>
        <v>#REF!</v>
      </c>
      <c r="BJ509" t="e">
        <f>AND(#REF!,"AAAAADWuXz0=")</f>
        <v>#REF!</v>
      </c>
      <c r="BK509" t="e">
        <f>IF(#REF!,"AAAAADWuXz4=",0)</f>
        <v>#REF!</v>
      </c>
      <c r="BL509" t="e">
        <f>AND(#REF!,"AAAAADWuXz8=")</f>
        <v>#REF!</v>
      </c>
      <c r="BM509" t="e">
        <f>AND(#REF!,"AAAAADWuX0A=")</f>
        <v>#REF!</v>
      </c>
      <c r="BN509" t="e">
        <f>AND(#REF!,"AAAAADWuX0E=")</f>
        <v>#REF!</v>
      </c>
      <c r="BO509" t="e">
        <f>AND(#REF!,"AAAAADWuX0I=")</f>
        <v>#REF!</v>
      </c>
      <c r="BP509" t="e">
        <f>AND(#REF!,"AAAAADWuX0M=")</f>
        <v>#REF!</v>
      </c>
      <c r="BQ509" t="e">
        <f>AND(#REF!,"AAAAADWuX0Q=")</f>
        <v>#REF!</v>
      </c>
      <c r="BR509" t="e">
        <f>AND(#REF!,"AAAAADWuX0U=")</f>
        <v>#REF!</v>
      </c>
      <c r="BS509" t="e">
        <f>AND(#REF!,"AAAAADWuX0Y=")</f>
        <v>#REF!</v>
      </c>
      <c r="BT509" t="e">
        <f>AND(#REF!,"AAAAADWuX0c=")</f>
        <v>#REF!</v>
      </c>
      <c r="BU509" t="e">
        <f>AND(#REF!,"AAAAADWuX0g=")</f>
        <v>#REF!</v>
      </c>
      <c r="BV509" t="e">
        <f>AND(#REF!,"AAAAADWuX0k=")</f>
        <v>#REF!</v>
      </c>
      <c r="BW509" t="e">
        <f>AND(#REF!,"AAAAADWuX0o=")</f>
        <v>#REF!</v>
      </c>
      <c r="BX509" t="e">
        <f>AND(#REF!,"AAAAADWuX0s=")</f>
        <v>#REF!</v>
      </c>
      <c r="BY509" t="e">
        <f>AND(#REF!,"AAAAADWuX0w=")</f>
        <v>#REF!</v>
      </c>
      <c r="BZ509" t="e">
        <f>AND(#REF!,"AAAAADWuX00=")</f>
        <v>#REF!</v>
      </c>
      <c r="CA509" t="e">
        <f>AND(#REF!,"AAAAADWuX04=")</f>
        <v>#REF!</v>
      </c>
      <c r="CB509" t="e">
        <f>AND(#REF!,"AAAAADWuX08=")</f>
        <v>#REF!</v>
      </c>
      <c r="CC509" t="e">
        <f>AND(#REF!,"AAAAADWuX1A=")</f>
        <v>#REF!</v>
      </c>
      <c r="CD509" t="e">
        <f>AND(#REF!,"AAAAADWuX1E=")</f>
        <v>#REF!</v>
      </c>
      <c r="CE509" t="e">
        <f>AND(#REF!,"AAAAADWuX1I=")</f>
        <v>#REF!</v>
      </c>
      <c r="CF509" t="e">
        <f>AND(#REF!,"AAAAADWuX1M=")</f>
        <v>#REF!</v>
      </c>
      <c r="CG509" t="e">
        <f>AND(#REF!,"AAAAADWuX1Q=")</f>
        <v>#REF!</v>
      </c>
      <c r="CH509" t="e">
        <f>AND(#REF!,"AAAAADWuX1U=")</f>
        <v>#REF!</v>
      </c>
      <c r="CI509" t="e">
        <f>AND(#REF!,"AAAAADWuX1Y=")</f>
        <v>#REF!</v>
      </c>
      <c r="CJ509" t="e">
        <f>IF(#REF!,"AAAAADWuX1c=",0)</f>
        <v>#REF!</v>
      </c>
      <c r="CK509" t="e">
        <f>AND(#REF!,"AAAAADWuX1g=")</f>
        <v>#REF!</v>
      </c>
      <c r="CL509" t="e">
        <f>AND(#REF!,"AAAAADWuX1k=")</f>
        <v>#REF!</v>
      </c>
      <c r="CM509" t="e">
        <f>AND(#REF!,"AAAAADWuX1o=")</f>
        <v>#REF!</v>
      </c>
      <c r="CN509" t="e">
        <f>AND(#REF!,"AAAAADWuX1s=")</f>
        <v>#REF!</v>
      </c>
      <c r="CO509" t="e">
        <f>AND(#REF!,"AAAAADWuX1w=")</f>
        <v>#REF!</v>
      </c>
      <c r="CP509" t="e">
        <f>AND(#REF!,"AAAAADWuX10=")</f>
        <v>#REF!</v>
      </c>
      <c r="CQ509" t="e">
        <f>AND(#REF!,"AAAAADWuX14=")</f>
        <v>#REF!</v>
      </c>
      <c r="CR509" t="e">
        <f>AND(#REF!,"AAAAADWuX18=")</f>
        <v>#REF!</v>
      </c>
      <c r="CS509" t="e">
        <f>AND(#REF!,"AAAAADWuX2A=")</f>
        <v>#REF!</v>
      </c>
      <c r="CT509" t="e">
        <f>AND(#REF!,"AAAAADWuX2E=")</f>
        <v>#REF!</v>
      </c>
      <c r="CU509" t="e">
        <f>AND(#REF!,"AAAAADWuX2I=")</f>
        <v>#REF!</v>
      </c>
      <c r="CV509" t="e">
        <f>AND(#REF!,"AAAAADWuX2M=")</f>
        <v>#REF!</v>
      </c>
      <c r="CW509" t="e">
        <f>AND(#REF!,"AAAAADWuX2Q=")</f>
        <v>#REF!</v>
      </c>
      <c r="CX509" t="e">
        <f>AND(#REF!,"AAAAADWuX2U=")</f>
        <v>#REF!</v>
      </c>
      <c r="CY509" t="e">
        <f>AND(#REF!,"AAAAADWuX2Y=")</f>
        <v>#REF!</v>
      </c>
      <c r="CZ509" t="e">
        <f>AND(#REF!,"AAAAADWuX2c=")</f>
        <v>#REF!</v>
      </c>
      <c r="DA509" t="e">
        <f>AND(#REF!,"AAAAADWuX2g=")</f>
        <v>#REF!</v>
      </c>
      <c r="DB509" t="e">
        <f>AND(#REF!,"AAAAADWuX2k=")</f>
        <v>#REF!</v>
      </c>
      <c r="DC509" t="e">
        <f>AND(#REF!,"AAAAADWuX2o=")</f>
        <v>#REF!</v>
      </c>
      <c r="DD509" t="e">
        <f>AND(#REF!,"AAAAADWuX2s=")</f>
        <v>#REF!</v>
      </c>
      <c r="DE509" t="e">
        <f>AND(#REF!,"AAAAADWuX2w=")</f>
        <v>#REF!</v>
      </c>
      <c r="DF509" t="e">
        <f>AND(#REF!,"AAAAADWuX20=")</f>
        <v>#REF!</v>
      </c>
      <c r="DG509" t="e">
        <f>AND(#REF!,"AAAAADWuX24=")</f>
        <v>#REF!</v>
      </c>
      <c r="DH509" t="e">
        <f>AND(#REF!,"AAAAADWuX28=")</f>
        <v>#REF!</v>
      </c>
      <c r="DI509" t="e">
        <f>IF(#REF!,"AAAAADWuX3A=",0)</f>
        <v>#REF!</v>
      </c>
      <c r="DJ509" t="e">
        <f>AND(#REF!,"AAAAADWuX3E=")</f>
        <v>#REF!</v>
      </c>
      <c r="DK509" t="e">
        <f>AND(#REF!,"AAAAADWuX3I=")</f>
        <v>#REF!</v>
      </c>
      <c r="DL509" t="e">
        <f>AND(#REF!,"AAAAADWuX3M=")</f>
        <v>#REF!</v>
      </c>
      <c r="DM509" t="e">
        <f>AND(#REF!,"AAAAADWuX3Q=")</f>
        <v>#REF!</v>
      </c>
      <c r="DN509" t="e">
        <f>AND(#REF!,"AAAAADWuX3U=")</f>
        <v>#REF!</v>
      </c>
      <c r="DO509" t="e">
        <f>AND(#REF!,"AAAAADWuX3Y=")</f>
        <v>#REF!</v>
      </c>
      <c r="DP509" t="e">
        <f>AND(#REF!,"AAAAADWuX3c=")</f>
        <v>#REF!</v>
      </c>
      <c r="DQ509" t="e">
        <f>AND(#REF!,"AAAAADWuX3g=")</f>
        <v>#REF!</v>
      </c>
      <c r="DR509" t="e">
        <f>AND(#REF!,"AAAAADWuX3k=")</f>
        <v>#REF!</v>
      </c>
      <c r="DS509" t="e">
        <f>AND(#REF!,"AAAAADWuX3o=")</f>
        <v>#REF!</v>
      </c>
      <c r="DT509" t="e">
        <f>AND(#REF!,"AAAAADWuX3s=")</f>
        <v>#REF!</v>
      </c>
      <c r="DU509" t="e">
        <f>AND(#REF!,"AAAAADWuX3w=")</f>
        <v>#REF!</v>
      </c>
      <c r="DV509" t="e">
        <f>AND(#REF!,"AAAAADWuX30=")</f>
        <v>#REF!</v>
      </c>
      <c r="DW509" t="e">
        <f>AND(#REF!,"AAAAADWuX34=")</f>
        <v>#REF!</v>
      </c>
      <c r="DX509" t="e">
        <f>AND(#REF!,"AAAAADWuX38=")</f>
        <v>#REF!</v>
      </c>
      <c r="DY509" t="e">
        <f>AND(#REF!,"AAAAADWuX4A=")</f>
        <v>#REF!</v>
      </c>
      <c r="DZ509" t="e">
        <f>AND(#REF!,"AAAAADWuX4E=")</f>
        <v>#REF!</v>
      </c>
      <c r="EA509" t="e">
        <f>AND(#REF!,"AAAAADWuX4I=")</f>
        <v>#REF!</v>
      </c>
      <c r="EB509" t="e">
        <f>AND(#REF!,"AAAAADWuX4M=")</f>
        <v>#REF!</v>
      </c>
      <c r="EC509" t="e">
        <f>AND(#REF!,"AAAAADWuX4Q=")</f>
        <v>#REF!</v>
      </c>
      <c r="ED509" t="e">
        <f>AND(#REF!,"AAAAADWuX4U=")</f>
        <v>#REF!</v>
      </c>
      <c r="EE509" t="e">
        <f>AND(#REF!,"AAAAADWuX4Y=")</f>
        <v>#REF!</v>
      </c>
      <c r="EF509" t="e">
        <f>AND(#REF!,"AAAAADWuX4c=")</f>
        <v>#REF!</v>
      </c>
      <c r="EG509" t="e">
        <f>AND(#REF!,"AAAAADWuX4g=")</f>
        <v>#REF!</v>
      </c>
      <c r="EH509" t="e">
        <f>IF(#REF!,"AAAAADWuX4k=",0)</f>
        <v>#REF!</v>
      </c>
      <c r="EI509" t="e">
        <f>AND(#REF!,"AAAAADWuX4o=")</f>
        <v>#REF!</v>
      </c>
      <c r="EJ509" t="e">
        <f>AND(#REF!,"AAAAADWuX4s=")</f>
        <v>#REF!</v>
      </c>
      <c r="EK509" t="e">
        <f>AND(#REF!,"AAAAADWuX4w=")</f>
        <v>#REF!</v>
      </c>
      <c r="EL509" t="e">
        <f>AND(#REF!,"AAAAADWuX40=")</f>
        <v>#REF!</v>
      </c>
      <c r="EM509" t="e">
        <f>AND(#REF!,"AAAAADWuX44=")</f>
        <v>#REF!</v>
      </c>
      <c r="EN509" t="e">
        <f>AND(#REF!,"AAAAADWuX48=")</f>
        <v>#REF!</v>
      </c>
      <c r="EO509" t="e">
        <f>AND(#REF!,"AAAAADWuX5A=")</f>
        <v>#REF!</v>
      </c>
      <c r="EP509" t="e">
        <f>AND(#REF!,"AAAAADWuX5E=")</f>
        <v>#REF!</v>
      </c>
      <c r="EQ509" t="e">
        <f>AND(#REF!,"AAAAADWuX5I=")</f>
        <v>#REF!</v>
      </c>
      <c r="ER509" t="e">
        <f>AND(#REF!,"AAAAADWuX5M=")</f>
        <v>#REF!</v>
      </c>
      <c r="ES509" t="e">
        <f>AND(#REF!,"AAAAADWuX5Q=")</f>
        <v>#REF!</v>
      </c>
      <c r="ET509" t="e">
        <f>AND(#REF!,"AAAAADWuX5U=")</f>
        <v>#REF!</v>
      </c>
      <c r="EU509" t="e">
        <f>AND(#REF!,"AAAAADWuX5Y=")</f>
        <v>#REF!</v>
      </c>
      <c r="EV509" t="e">
        <f>AND(#REF!,"AAAAADWuX5c=")</f>
        <v>#REF!</v>
      </c>
      <c r="EW509" t="e">
        <f>AND(#REF!,"AAAAADWuX5g=")</f>
        <v>#REF!</v>
      </c>
      <c r="EX509" t="e">
        <f>AND(#REF!,"AAAAADWuX5k=")</f>
        <v>#REF!</v>
      </c>
      <c r="EY509" t="e">
        <f>AND(#REF!,"AAAAADWuX5o=")</f>
        <v>#REF!</v>
      </c>
      <c r="EZ509" t="e">
        <f>AND(#REF!,"AAAAADWuX5s=")</f>
        <v>#REF!</v>
      </c>
      <c r="FA509" t="e">
        <f>AND(#REF!,"AAAAADWuX5w=")</f>
        <v>#REF!</v>
      </c>
      <c r="FB509" t="e">
        <f>AND(#REF!,"AAAAADWuX50=")</f>
        <v>#REF!</v>
      </c>
      <c r="FC509" t="e">
        <f>AND(#REF!,"AAAAADWuX54=")</f>
        <v>#REF!</v>
      </c>
      <c r="FD509" t="e">
        <f>AND(#REF!,"AAAAADWuX58=")</f>
        <v>#REF!</v>
      </c>
      <c r="FE509" t="e">
        <f>AND(#REF!,"AAAAADWuX6A=")</f>
        <v>#REF!</v>
      </c>
      <c r="FF509" t="e">
        <f>AND(#REF!,"AAAAADWuX6E=")</f>
        <v>#REF!</v>
      </c>
      <c r="FG509" t="e">
        <f>IF(#REF!,"AAAAADWuX6I=",0)</f>
        <v>#REF!</v>
      </c>
      <c r="FH509" t="e">
        <f>AND(#REF!,"AAAAADWuX6M=")</f>
        <v>#REF!</v>
      </c>
      <c r="FI509" t="e">
        <f>AND(#REF!,"AAAAADWuX6Q=")</f>
        <v>#REF!</v>
      </c>
      <c r="FJ509" t="e">
        <f>AND(#REF!,"AAAAADWuX6U=")</f>
        <v>#REF!</v>
      </c>
      <c r="FK509" t="e">
        <f>AND(#REF!,"AAAAADWuX6Y=")</f>
        <v>#REF!</v>
      </c>
      <c r="FL509" t="e">
        <f>AND(#REF!,"AAAAADWuX6c=")</f>
        <v>#REF!</v>
      </c>
      <c r="FM509" t="e">
        <f>AND(#REF!,"AAAAADWuX6g=")</f>
        <v>#REF!</v>
      </c>
      <c r="FN509" t="e">
        <f>AND(#REF!,"AAAAADWuX6k=")</f>
        <v>#REF!</v>
      </c>
      <c r="FO509" t="e">
        <f>AND(#REF!,"AAAAADWuX6o=")</f>
        <v>#REF!</v>
      </c>
      <c r="FP509" t="e">
        <f>AND(#REF!,"AAAAADWuX6s=")</f>
        <v>#REF!</v>
      </c>
      <c r="FQ509" t="e">
        <f>AND(#REF!,"AAAAADWuX6w=")</f>
        <v>#REF!</v>
      </c>
      <c r="FR509" t="e">
        <f>AND(#REF!,"AAAAADWuX60=")</f>
        <v>#REF!</v>
      </c>
      <c r="FS509" t="e">
        <f>AND(#REF!,"AAAAADWuX64=")</f>
        <v>#REF!</v>
      </c>
      <c r="FT509" t="e">
        <f>AND(#REF!,"AAAAADWuX68=")</f>
        <v>#REF!</v>
      </c>
      <c r="FU509" t="e">
        <f>AND(#REF!,"AAAAADWuX7A=")</f>
        <v>#REF!</v>
      </c>
      <c r="FV509" t="e">
        <f>AND(#REF!,"AAAAADWuX7E=")</f>
        <v>#REF!</v>
      </c>
      <c r="FW509" t="e">
        <f>AND(#REF!,"AAAAADWuX7I=")</f>
        <v>#REF!</v>
      </c>
      <c r="FX509" t="e">
        <f>AND(#REF!,"AAAAADWuX7M=")</f>
        <v>#REF!</v>
      </c>
      <c r="FY509" t="e">
        <f>AND(#REF!,"AAAAADWuX7Q=")</f>
        <v>#REF!</v>
      </c>
      <c r="FZ509" t="e">
        <f>AND(#REF!,"AAAAADWuX7U=")</f>
        <v>#REF!</v>
      </c>
      <c r="GA509" t="e">
        <f>AND(#REF!,"AAAAADWuX7Y=")</f>
        <v>#REF!</v>
      </c>
      <c r="GB509" t="e">
        <f>AND(#REF!,"AAAAADWuX7c=")</f>
        <v>#REF!</v>
      </c>
      <c r="GC509" t="e">
        <f>AND(#REF!,"AAAAADWuX7g=")</f>
        <v>#REF!</v>
      </c>
      <c r="GD509" t="e">
        <f>AND(#REF!,"AAAAADWuX7k=")</f>
        <v>#REF!</v>
      </c>
      <c r="GE509" t="e">
        <f>AND(#REF!,"AAAAADWuX7o=")</f>
        <v>#REF!</v>
      </c>
      <c r="GF509" t="e">
        <f>IF(#REF!,"AAAAADWuX7s=",0)</f>
        <v>#REF!</v>
      </c>
      <c r="GG509" t="e">
        <f>AND(#REF!,"AAAAADWuX7w=")</f>
        <v>#REF!</v>
      </c>
      <c r="GH509" t="e">
        <f>AND(#REF!,"AAAAADWuX70=")</f>
        <v>#REF!</v>
      </c>
      <c r="GI509" t="e">
        <f>AND(#REF!,"AAAAADWuX74=")</f>
        <v>#REF!</v>
      </c>
      <c r="GJ509" t="e">
        <f>AND(#REF!,"AAAAADWuX78=")</f>
        <v>#REF!</v>
      </c>
      <c r="GK509" t="e">
        <f>AND(#REF!,"AAAAADWuX8A=")</f>
        <v>#REF!</v>
      </c>
      <c r="GL509" t="e">
        <f>AND(#REF!,"AAAAADWuX8E=")</f>
        <v>#REF!</v>
      </c>
      <c r="GM509" t="e">
        <f>AND(#REF!,"AAAAADWuX8I=")</f>
        <v>#REF!</v>
      </c>
      <c r="GN509" t="e">
        <f>AND(#REF!,"AAAAADWuX8M=")</f>
        <v>#REF!</v>
      </c>
      <c r="GO509" t="e">
        <f>AND(#REF!,"AAAAADWuX8Q=")</f>
        <v>#REF!</v>
      </c>
      <c r="GP509" t="e">
        <f>AND(#REF!,"AAAAADWuX8U=")</f>
        <v>#REF!</v>
      </c>
      <c r="GQ509" t="e">
        <f>AND(#REF!,"AAAAADWuX8Y=")</f>
        <v>#REF!</v>
      </c>
      <c r="GR509" t="e">
        <f>AND(#REF!,"AAAAADWuX8c=")</f>
        <v>#REF!</v>
      </c>
      <c r="GS509" t="e">
        <f>AND(#REF!,"AAAAADWuX8g=")</f>
        <v>#REF!</v>
      </c>
      <c r="GT509" t="e">
        <f>AND(#REF!,"AAAAADWuX8k=")</f>
        <v>#REF!</v>
      </c>
      <c r="GU509" t="e">
        <f>AND(#REF!,"AAAAADWuX8o=")</f>
        <v>#REF!</v>
      </c>
      <c r="GV509" t="e">
        <f>AND(#REF!,"AAAAADWuX8s=")</f>
        <v>#REF!</v>
      </c>
      <c r="GW509" t="e">
        <f>AND(#REF!,"AAAAADWuX8w=")</f>
        <v>#REF!</v>
      </c>
      <c r="GX509" t="e">
        <f>AND(#REF!,"AAAAADWuX80=")</f>
        <v>#REF!</v>
      </c>
      <c r="GY509" t="e">
        <f>AND(#REF!,"AAAAADWuX84=")</f>
        <v>#REF!</v>
      </c>
      <c r="GZ509" t="e">
        <f>AND(#REF!,"AAAAADWuX88=")</f>
        <v>#REF!</v>
      </c>
      <c r="HA509" t="e">
        <f>AND(#REF!,"AAAAADWuX9A=")</f>
        <v>#REF!</v>
      </c>
      <c r="HB509" t="e">
        <f>AND(#REF!,"AAAAADWuX9E=")</f>
        <v>#REF!</v>
      </c>
      <c r="HC509" t="e">
        <f>AND(#REF!,"AAAAADWuX9I=")</f>
        <v>#REF!</v>
      </c>
      <c r="HD509" t="e">
        <f>AND(#REF!,"AAAAADWuX9M=")</f>
        <v>#REF!</v>
      </c>
      <c r="HE509" t="e">
        <f>IF(#REF!,"AAAAADWuX9Q=",0)</f>
        <v>#REF!</v>
      </c>
      <c r="HF509" t="e">
        <f>AND(#REF!,"AAAAADWuX9U=")</f>
        <v>#REF!</v>
      </c>
      <c r="HG509" t="e">
        <f>AND(#REF!,"AAAAADWuX9Y=")</f>
        <v>#REF!</v>
      </c>
      <c r="HH509" t="e">
        <f>AND(#REF!,"AAAAADWuX9c=")</f>
        <v>#REF!</v>
      </c>
      <c r="HI509" t="e">
        <f>AND(#REF!,"AAAAADWuX9g=")</f>
        <v>#REF!</v>
      </c>
      <c r="HJ509" t="e">
        <f>AND(#REF!,"AAAAADWuX9k=")</f>
        <v>#REF!</v>
      </c>
      <c r="HK509" t="e">
        <f>AND(#REF!,"AAAAADWuX9o=")</f>
        <v>#REF!</v>
      </c>
      <c r="HL509" t="e">
        <f>AND(#REF!,"AAAAADWuX9s=")</f>
        <v>#REF!</v>
      </c>
      <c r="HM509" t="e">
        <f>AND(#REF!,"AAAAADWuX9w=")</f>
        <v>#REF!</v>
      </c>
      <c r="HN509" t="e">
        <f>AND(#REF!,"AAAAADWuX90=")</f>
        <v>#REF!</v>
      </c>
      <c r="HO509" t="e">
        <f>AND(#REF!,"AAAAADWuX94=")</f>
        <v>#REF!</v>
      </c>
      <c r="HP509" t="e">
        <f>AND(#REF!,"AAAAADWuX98=")</f>
        <v>#REF!</v>
      </c>
      <c r="HQ509" t="e">
        <f>AND(#REF!,"AAAAADWuX+A=")</f>
        <v>#REF!</v>
      </c>
      <c r="HR509" t="e">
        <f>AND(#REF!,"AAAAADWuX+E=")</f>
        <v>#REF!</v>
      </c>
      <c r="HS509" t="e">
        <f>AND(#REF!,"AAAAADWuX+I=")</f>
        <v>#REF!</v>
      </c>
      <c r="HT509" t="e">
        <f>AND(#REF!,"AAAAADWuX+M=")</f>
        <v>#REF!</v>
      </c>
      <c r="HU509" t="e">
        <f>AND(#REF!,"AAAAADWuX+Q=")</f>
        <v>#REF!</v>
      </c>
      <c r="HV509" t="e">
        <f>AND(#REF!,"AAAAADWuX+U=")</f>
        <v>#REF!</v>
      </c>
      <c r="HW509" t="e">
        <f>AND(#REF!,"AAAAADWuX+Y=")</f>
        <v>#REF!</v>
      </c>
      <c r="HX509" t="e">
        <f>AND(#REF!,"AAAAADWuX+c=")</f>
        <v>#REF!</v>
      </c>
      <c r="HY509" t="e">
        <f>AND(#REF!,"AAAAADWuX+g=")</f>
        <v>#REF!</v>
      </c>
      <c r="HZ509" t="e">
        <f>AND(#REF!,"AAAAADWuX+k=")</f>
        <v>#REF!</v>
      </c>
      <c r="IA509" t="e">
        <f>AND(#REF!,"AAAAADWuX+o=")</f>
        <v>#REF!</v>
      </c>
      <c r="IB509" t="e">
        <f>AND(#REF!,"AAAAADWuX+s=")</f>
        <v>#REF!</v>
      </c>
      <c r="IC509" t="e">
        <f>AND(#REF!,"AAAAADWuX+w=")</f>
        <v>#REF!</v>
      </c>
      <c r="ID509" t="e">
        <f>IF(#REF!,"AAAAADWuX+0=",0)</f>
        <v>#REF!</v>
      </c>
      <c r="IE509" t="e">
        <f>AND(#REF!,"AAAAADWuX+4=")</f>
        <v>#REF!</v>
      </c>
      <c r="IF509" t="e">
        <f>AND(#REF!,"AAAAADWuX+8=")</f>
        <v>#REF!</v>
      </c>
      <c r="IG509" t="e">
        <f>AND(#REF!,"AAAAADWuX/A=")</f>
        <v>#REF!</v>
      </c>
      <c r="IH509" t="e">
        <f>AND(#REF!,"AAAAADWuX/E=")</f>
        <v>#REF!</v>
      </c>
      <c r="II509" t="e">
        <f>AND(#REF!,"AAAAADWuX/I=")</f>
        <v>#REF!</v>
      </c>
      <c r="IJ509" t="e">
        <f>AND(#REF!,"AAAAADWuX/M=")</f>
        <v>#REF!</v>
      </c>
      <c r="IK509" t="e">
        <f>AND(#REF!,"AAAAADWuX/Q=")</f>
        <v>#REF!</v>
      </c>
      <c r="IL509" t="e">
        <f>AND(#REF!,"AAAAADWuX/U=")</f>
        <v>#REF!</v>
      </c>
      <c r="IM509" t="e">
        <f>AND(#REF!,"AAAAADWuX/Y=")</f>
        <v>#REF!</v>
      </c>
      <c r="IN509" t="e">
        <f>AND(#REF!,"AAAAADWuX/c=")</f>
        <v>#REF!</v>
      </c>
      <c r="IO509" t="e">
        <f>AND(#REF!,"AAAAADWuX/g=")</f>
        <v>#REF!</v>
      </c>
      <c r="IP509" t="e">
        <f>AND(#REF!,"AAAAADWuX/k=")</f>
        <v>#REF!</v>
      </c>
      <c r="IQ509" t="e">
        <f>AND(#REF!,"AAAAADWuX/o=")</f>
        <v>#REF!</v>
      </c>
      <c r="IR509" t="e">
        <f>AND(#REF!,"AAAAADWuX/s=")</f>
        <v>#REF!</v>
      </c>
      <c r="IS509" t="e">
        <f>AND(#REF!,"AAAAADWuX/w=")</f>
        <v>#REF!</v>
      </c>
      <c r="IT509" t="e">
        <f>AND(#REF!,"AAAAADWuX/0=")</f>
        <v>#REF!</v>
      </c>
      <c r="IU509" t="e">
        <f>AND(#REF!,"AAAAADWuX/4=")</f>
        <v>#REF!</v>
      </c>
      <c r="IV509" t="e">
        <f>AND(#REF!,"AAAAADWuX/8=")</f>
        <v>#REF!</v>
      </c>
    </row>
    <row r="510" spans="1:256">
      <c r="A510" t="e">
        <f>AND(#REF!,"AAAAAE2yewA=")</f>
        <v>#REF!</v>
      </c>
      <c r="B510" t="e">
        <f>AND(#REF!,"AAAAAE2yewE=")</f>
        <v>#REF!</v>
      </c>
      <c r="C510" t="e">
        <f>AND(#REF!,"AAAAAE2yewI=")</f>
        <v>#REF!</v>
      </c>
      <c r="D510" t="e">
        <f>AND(#REF!,"AAAAAE2yewM=")</f>
        <v>#REF!</v>
      </c>
      <c r="E510" t="e">
        <f>AND(#REF!,"AAAAAE2yewQ=")</f>
        <v>#REF!</v>
      </c>
      <c r="F510" t="e">
        <f>AND(#REF!,"AAAAAE2yewU=")</f>
        <v>#REF!</v>
      </c>
      <c r="G510" t="e">
        <f>IF(#REF!,"AAAAAE2yewY=",0)</f>
        <v>#REF!</v>
      </c>
      <c r="H510" t="e">
        <f>AND(#REF!,"AAAAAE2yewc=")</f>
        <v>#REF!</v>
      </c>
      <c r="I510" t="e">
        <f>AND(#REF!,"AAAAAE2yewg=")</f>
        <v>#REF!</v>
      </c>
      <c r="J510" t="e">
        <f>AND(#REF!,"AAAAAE2yewk=")</f>
        <v>#REF!</v>
      </c>
      <c r="K510" t="e">
        <f>AND(#REF!,"AAAAAE2yewo=")</f>
        <v>#REF!</v>
      </c>
      <c r="L510" t="e">
        <f>AND(#REF!,"AAAAAE2yews=")</f>
        <v>#REF!</v>
      </c>
      <c r="M510" t="e">
        <f>AND(#REF!,"AAAAAE2yeww=")</f>
        <v>#REF!</v>
      </c>
      <c r="N510" t="e">
        <f>AND(#REF!,"AAAAAE2yew0=")</f>
        <v>#REF!</v>
      </c>
      <c r="O510" t="e">
        <f>AND(#REF!,"AAAAAE2yew4=")</f>
        <v>#REF!</v>
      </c>
      <c r="P510" t="e">
        <f>AND(#REF!,"AAAAAE2yew8=")</f>
        <v>#REF!</v>
      </c>
      <c r="Q510" t="e">
        <f>AND(#REF!,"AAAAAE2yexA=")</f>
        <v>#REF!</v>
      </c>
      <c r="R510" t="e">
        <f>AND(#REF!,"AAAAAE2yexE=")</f>
        <v>#REF!</v>
      </c>
      <c r="S510" t="e">
        <f>AND(#REF!,"AAAAAE2yexI=")</f>
        <v>#REF!</v>
      </c>
      <c r="T510" t="e">
        <f>AND(#REF!,"AAAAAE2yexM=")</f>
        <v>#REF!</v>
      </c>
      <c r="U510" t="e">
        <f>AND(#REF!,"AAAAAE2yexQ=")</f>
        <v>#REF!</v>
      </c>
      <c r="V510" t="e">
        <f>AND(#REF!,"AAAAAE2yexU=")</f>
        <v>#REF!</v>
      </c>
      <c r="W510" t="e">
        <f>AND(#REF!,"AAAAAE2yexY=")</f>
        <v>#REF!</v>
      </c>
      <c r="X510" t="e">
        <f>AND(#REF!,"AAAAAE2yexc=")</f>
        <v>#REF!</v>
      </c>
      <c r="Y510" t="e">
        <f>AND(#REF!,"AAAAAE2yexg=")</f>
        <v>#REF!</v>
      </c>
      <c r="Z510" t="e">
        <f>AND(#REF!,"AAAAAE2yexk=")</f>
        <v>#REF!</v>
      </c>
      <c r="AA510" t="e">
        <f>AND(#REF!,"AAAAAE2yexo=")</f>
        <v>#REF!</v>
      </c>
      <c r="AB510" t="e">
        <f>AND(#REF!,"AAAAAE2yexs=")</f>
        <v>#REF!</v>
      </c>
      <c r="AC510" t="e">
        <f>AND(#REF!,"AAAAAE2yexw=")</f>
        <v>#REF!</v>
      </c>
      <c r="AD510" t="e">
        <f>AND(#REF!,"AAAAAE2yex0=")</f>
        <v>#REF!</v>
      </c>
      <c r="AE510" t="e">
        <f>AND(#REF!,"AAAAAE2yex4=")</f>
        <v>#REF!</v>
      </c>
      <c r="AF510" t="e">
        <f>IF(#REF!,"AAAAAE2yex8=",0)</f>
        <v>#REF!</v>
      </c>
      <c r="AG510" t="e">
        <f>AND(#REF!,"AAAAAE2yeyA=")</f>
        <v>#REF!</v>
      </c>
      <c r="AH510" t="e">
        <f>AND(#REF!,"AAAAAE2yeyE=")</f>
        <v>#REF!</v>
      </c>
      <c r="AI510" t="e">
        <f>AND(#REF!,"AAAAAE2yeyI=")</f>
        <v>#REF!</v>
      </c>
      <c r="AJ510" t="e">
        <f>AND(#REF!,"AAAAAE2yeyM=")</f>
        <v>#REF!</v>
      </c>
      <c r="AK510" t="e">
        <f>AND(#REF!,"AAAAAE2yeyQ=")</f>
        <v>#REF!</v>
      </c>
      <c r="AL510" t="e">
        <f>AND(#REF!,"AAAAAE2yeyU=")</f>
        <v>#REF!</v>
      </c>
      <c r="AM510" t="e">
        <f>AND(#REF!,"AAAAAE2yeyY=")</f>
        <v>#REF!</v>
      </c>
      <c r="AN510" t="e">
        <f>AND(#REF!,"AAAAAE2yeyc=")</f>
        <v>#REF!</v>
      </c>
      <c r="AO510" t="e">
        <f>AND(#REF!,"AAAAAE2yeyg=")</f>
        <v>#REF!</v>
      </c>
      <c r="AP510" t="e">
        <f>AND(#REF!,"AAAAAE2yeyk=")</f>
        <v>#REF!</v>
      </c>
      <c r="AQ510" t="e">
        <f>AND(#REF!,"AAAAAE2yeyo=")</f>
        <v>#REF!</v>
      </c>
      <c r="AR510" t="e">
        <f>AND(#REF!,"AAAAAE2yeys=")</f>
        <v>#REF!</v>
      </c>
      <c r="AS510" t="e">
        <f>AND(#REF!,"AAAAAE2yeyw=")</f>
        <v>#REF!</v>
      </c>
      <c r="AT510" t="e">
        <f>AND(#REF!,"AAAAAE2yey0=")</f>
        <v>#REF!</v>
      </c>
      <c r="AU510" t="e">
        <f>AND(#REF!,"AAAAAE2yey4=")</f>
        <v>#REF!</v>
      </c>
      <c r="AV510" t="e">
        <f>AND(#REF!,"AAAAAE2yey8=")</f>
        <v>#REF!</v>
      </c>
      <c r="AW510" t="e">
        <f>AND(#REF!,"AAAAAE2yezA=")</f>
        <v>#REF!</v>
      </c>
      <c r="AX510" t="e">
        <f>AND(#REF!,"AAAAAE2yezE=")</f>
        <v>#REF!</v>
      </c>
      <c r="AY510" t="e">
        <f>AND(#REF!,"AAAAAE2yezI=")</f>
        <v>#REF!</v>
      </c>
      <c r="AZ510" t="e">
        <f>AND(#REF!,"AAAAAE2yezM=")</f>
        <v>#REF!</v>
      </c>
      <c r="BA510" t="e">
        <f>AND(#REF!,"AAAAAE2yezQ=")</f>
        <v>#REF!</v>
      </c>
      <c r="BB510" t="e">
        <f>AND(#REF!,"AAAAAE2yezU=")</f>
        <v>#REF!</v>
      </c>
      <c r="BC510" t="e">
        <f>AND(#REF!,"AAAAAE2yezY=")</f>
        <v>#REF!</v>
      </c>
      <c r="BD510" t="e">
        <f>AND(#REF!,"AAAAAE2yezc=")</f>
        <v>#REF!</v>
      </c>
      <c r="BE510" t="e">
        <f>IF(#REF!,"AAAAAE2yezg=",0)</f>
        <v>#REF!</v>
      </c>
      <c r="BF510" t="e">
        <f>AND(#REF!,"AAAAAE2yezk=")</f>
        <v>#REF!</v>
      </c>
      <c r="BG510" t="e">
        <f>AND(#REF!,"AAAAAE2yezo=")</f>
        <v>#REF!</v>
      </c>
      <c r="BH510" t="e">
        <f>AND(#REF!,"AAAAAE2yezs=")</f>
        <v>#REF!</v>
      </c>
      <c r="BI510" t="e">
        <f>AND(#REF!,"AAAAAE2yezw=")</f>
        <v>#REF!</v>
      </c>
      <c r="BJ510" t="e">
        <f>AND(#REF!,"AAAAAE2yez0=")</f>
        <v>#REF!</v>
      </c>
      <c r="BK510" t="e">
        <f>AND(#REF!,"AAAAAE2yez4=")</f>
        <v>#REF!</v>
      </c>
      <c r="BL510" t="e">
        <f>AND(#REF!,"AAAAAE2yez8=")</f>
        <v>#REF!</v>
      </c>
      <c r="BM510" t="e">
        <f>AND(#REF!,"AAAAAE2ye0A=")</f>
        <v>#REF!</v>
      </c>
      <c r="BN510" t="e">
        <f>AND(#REF!,"AAAAAE2ye0E=")</f>
        <v>#REF!</v>
      </c>
      <c r="BO510" t="e">
        <f>AND(#REF!,"AAAAAE2ye0I=")</f>
        <v>#REF!</v>
      </c>
      <c r="BP510" t="e">
        <f>AND(#REF!,"AAAAAE2ye0M=")</f>
        <v>#REF!</v>
      </c>
      <c r="BQ510" t="e">
        <f>AND(#REF!,"AAAAAE2ye0Q=")</f>
        <v>#REF!</v>
      </c>
      <c r="BR510" t="e">
        <f>AND(#REF!,"AAAAAE2ye0U=")</f>
        <v>#REF!</v>
      </c>
      <c r="BS510" t="e">
        <f>AND(#REF!,"AAAAAE2ye0Y=")</f>
        <v>#REF!</v>
      </c>
      <c r="BT510" t="e">
        <f>AND(#REF!,"AAAAAE2ye0c=")</f>
        <v>#REF!</v>
      </c>
      <c r="BU510" t="e">
        <f>AND(#REF!,"AAAAAE2ye0g=")</f>
        <v>#REF!</v>
      </c>
      <c r="BV510" t="e">
        <f>AND(#REF!,"AAAAAE2ye0k=")</f>
        <v>#REF!</v>
      </c>
      <c r="BW510" t="e">
        <f>AND(#REF!,"AAAAAE2ye0o=")</f>
        <v>#REF!</v>
      </c>
      <c r="BX510" t="e">
        <f>AND(#REF!,"AAAAAE2ye0s=")</f>
        <v>#REF!</v>
      </c>
      <c r="BY510" t="e">
        <f>AND(#REF!,"AAAAAE2ye0w=")</f>
        <v>#REF!</v>
      </c>
      <c r="BZ510" t="e">
        <f>AND(#REF!,"AAAAAE2ye00=")</f>
        <v>#REF!</v>
      </c>
      <c r="CA510" t="e">
        <f>AND(#REF!,"AAAAAE2ye04=")</f>
        <v>#REF!</v>
      </c>
      <c r="CB510" t="e">
        <f>AND(#REF!,"AAAAAE2ye08=")</f>
        <v>#REF!</v>
      </c>
      <c r="CC510" t="e">
        <f>AND(#REF!,"AAAAAE2ye1A=")</f>
        <v>#REF!</v>
      </c>
      <c r="CD510" t="e">
        <f>IF(#REF!,"AAAAAE2ye1E=",0)</f>
        <v>#REF!</v>
      </c>
      <c r="CE510" t="e">
        <f>AND(#REF!,"AAAAAE2ye1I=")</f>
        <v>#REF!</v>
      </c>
      <c r="CF510" t="e">
        <f>AND(#REF!,"AAAAAE2ye1M=")</f>
        <v>#REF!</v>
      </c>
      <c r="CG510" t="e">
        <f>AND(#REF!,"AAAAAE2ye1Q=")</f>
        <v>#REF!</v>
      </c>
      <c r="CH510" t="e">
        <f>AND(#REF!,"AAAAAE2ye1U=")</f>
        <v>#REF!</v>
      </c>
      <c r="CI510" t="e">
        <f>AND(#REF!,"AAAAAE2ye1Y=")</f>
        <v>#REF!</v>
      </c>
      <c r="CJ510" t="e">
        <f>AND(#REF!,"AAAAAE2ye1c=")</f>
        <v>#REF!</v>
      </c>
      <c r="CK510" t="e">
        <f>AND(#REF!,"AAAAAE2ye1g=")</f>
        <v>#REF!</v>
      </c>
      <c r="CL510" t="e">
        <f>AND(#REF!,"AAAAAE2ye1k=")</f>
        <v>#REF!</v>
      </c>
      <c r="CM510" t="e">
        <f>AND(#REF!,"AAAAAE2ye1o=")</f>
        <v>#REF!</v>
      </c>
      <c r="CN510" t="e">
        <f>AND(#REF!,"AAAAAE2ye1s=")</f>
        <v>#REF!</v>
      </c>
      <c r="CO510" t="e">
        <f>AND(#REF!,"AAAAAE2ye1w=")</f>
        <v>#REF!</v>
      </c>
      <c r="CP510" t="e">
        <f>AND(#REF!,"AAAAAE2ye10=")</f>
        <v>#REF!</v>
      </c>
      <c r="CQ510" t="e">
        <f>AND(#REF!,"AAAAAE2ye14=")</f>
        <v>#REF!</v>
      </c>
      <c r="CR510" t="e">
        <f>AND(#REF!,"AAAAAE2ye18=")</f>
        <v>#REF!</v>
      </c>
      <c r="CS510" t="e">
        <f>AND(#REF!,"AAAAAE2ye2A=")</f>
        <v>#REF!</v>
      </c>
      <c r="CT510" t="e">
        <f>AND(#REF!,"AAAAAE2ye2E=")</f>
        <v>#REF!</v>
      </c>
      <c r="CU510" t="e">
        <f>AND(#REF!,"AAAAAE2ye2I=")</f>
        <v>#REF!</v>
      </c>
      <c r="CV510" t="e">
        <f>AND(#REF!,"AAAAAE2ye2M=")</f>
        <v>#REF!</v>
      </c>
      <c r="CW510" t="e">
        <f>AND(#REF!,"AAAAAE2ye2Q=")</f>
        <v>#REF!</v>
      </c>
      <c r="CX510" t="e">
        <f>AND(#REF!,"AAAAAE2ye2U=")</f>
        <v>#REF!</v>
      </c>
      <c r="CY510" t="e">
        <f>AND(#REF!,"AAAAAE2ye2Y=")</f>
        <v>#REF!</v>
      </c>
      <c r="CZ510" t="e">
        <f>AND(#REF!,"AAAAAE2ye2c=")</f>
        <v>#REF!</v>
      </c>
      <c r="DA510" t="e">
        <f>AND(#REF!,"AAAAAE2ye2g=")</f>
        <v>#REF!</v>
      </c>
      <c r="DB510" t="e">
        <f>AND(#REF!,"AAAAAE2ye2k=")</f>
        <v>#REF!</v>
      </c>
      <c r="DC510" t="e">
        <f>IF(#REF!,"AAAAAE2ye2o=",0)</f>
        <v>#REF!</v>
      </c>
      <c r="DD510" t="e">
        <f>AND(#REF!,"AAAAAE2ye2s=")</f>
        <v>#REF!</v>
      </c>
      <c r="DE510" t="e">
        <f>AND(#REF!,"AAAAAE2ye2w=")</f>
        <v>#REF!</v>
      </c>
      <c r="DF510" t="e">
        <f>AND(#REF!,"AAAAAE2ye20=")</f>
        <v>#REF!</v>
      </c>
      <c r="DG510" t="e">
        <f>AND(#REF!,"AAAAAE2ye24=")</f>
        <v>#REF!</v>
      </c>
      <c r="DH510" t="e">
        <f>AND(#REF!,"AAAAAE2ye28=")</f>
        <v>#REF!</v>
      </c>
      <c r="DI510" t="e">
        <f>AND(#REF!,"AAAAAE2ye3A=")</f>
        <v>#REF!</v>
      </c>
      <c r="DJ510" t="e">
        <f>AND(#REF!,"AAAAAE2ye3E=")</f>
        <v>#REF!</v>
      </c>
      <c r="DK510" t="e">
        <f>AND(#REF!,"AAAAAE2ye3I=")</f>
        <v>#REF!</v>
      </c>
      <c r="DL510" t="e">
        <f>AND(#REF!,"AAAAAE2ye3M=")</f>
        <v>#REF!</v>
      </c>
      <c r="DM510" t="e">
        <f>AND(#REF!,"AAAAAE2ye3Q=")</f>
        <v>#REF!</v>
      </c>
      <c r="DN510" t="e">
        <f>AND(#REF!,"AAAAAE2ye3U=")</f>
        <v>#REF!</v>
      </c>
      <c r="DO510" t="e">
        <f>AND(#REF!,"AAAAAE2ye3Y=")</f>
        <v>#REF!</v>
      </c>
      <c r="DP510" t="e">
        <f>AND(#REF!,"AAAAAE2ye3c=")</f>
        <v>#REF!</v>
      </c>
      <c r="DQ510" t="e">
        <f>AND(#REF!,"AAAAAE2ye3g=")</f>
        <v>#REF!</v>
      </c>
      <c r="DR510" t="e">
        <f>AND(#REF!,"AAAAAE2ye3k=")</f>
        <v>#REF!</v>
      </c>
      <c r="DS510" t="e">
        <f>AND(#REF!,"AAAAAE2ye3o=")</f>
        <v>#REF!</v>
      </c>
      <c r="DT510" t="e">
        <f>AND(#REF!,"AAAAAE2ye3s=")</f>
        <v>#REF!</v>
      </c>
      <c r="DU510" t="e">
        <f>AND(#REF!,"AAAAAE2ye3w=")</f>
        <v>#REF!</v>
      </c>
      <c r="DV510" t="e">
        <f>AND(#REF!,"AAAAAE2ye30=")</f>
        <v>#REF!</v>
      </c>
      <c r="DW510" t="e">
        <f>AND(#REF!,"AAAAAE2ye34=")</f>
        <v>#REF!</v>
      </c>
      <c r="DX510" t="e">
        <f>AND(#REF!,"AAAAAE2ye38=")</f>
        <v>#REF!</v>
      </c>
      <c r="DY510" t="e">
        <f>AND(#REF!,"AAAAAE2ye4A=")</f>
        <v>#REF!</v>
      </c>
      <c r="DZ510" t="e">
        <f>AND(#REF!,"AAAAAE2ye4E=")</f>
        <v>#REF!</v>
      </c>
      <c r="EA510" t="e">
        <f>AND(#REF!,"AAAAAE2ye4I=")</f>
        <v>#REF!</v>
      </c>
      <c r="EB510" t="e">
        <f>IF(#REF!,"AAAAAE2ye4M=",0)</f>
        <v>#REF!</v>
      </c>
      <c r="EC510" t="e">
        <f>AND(#REF!,"AAAAAE2ye4Q=")</f>
        <v>#REF!</v>
      </c>
      <c r="ED510" t="e">
        <f>AND(#REF!,"AAAAAE2ye4U=")</f>
        <v>#REF!</v>
      </c>
      <c r="EE510" t="e">
        <f>AND(#REF!,"AAAAAE2ye4Y=")</f>
        <v>#REF!</v>
      </c>
      <c r="EF510" t="e">
        <f>AND(#REF!,"AAAAAE2ye4c=")</f>
        <v>#REF!</v>
      </c>
      <c r="EG510" t="e">
        <f>AND(#REF!,"AAAAAE2ye4g=")</f>
        <v>#REF!</v>
      </c>
      <c r="EH510" t="e">
        <f>AND(#REF!,"AAAAAE2ye4k=")</f>
        <v>#REF!</v>
      </c>
      <c r="EI510" t="e">
        <f>AND(#REF!,"AAAAAE2ye4o=")</f>
        <v>#REF!</v>
      </c>
      <c r="EJ510" t="e">
        <f>AND(#REF!,"AAAAAE2ye4s=")</f>
        <v>#REF!</v>
      </c>
      <c r="EK510" t="e">
        <f>AND(#REF!,"AAAAAE2ye4w=")</f>
        <v>#REF!</v>
      </c>
      <c r="EL510" t="e">
        <f>AND(#REF!,"AAAAAE2ye40=")</f>
        <v>#REF!</v>
      </c>
      <c r="EM510" t="e">
        <f>AND(#REF!,"AAAAAE2ye44=")</f>
        <v>#REF!</v>
      </c>
      <c r="EN510" t="e">
        <f>AND(#REF!,"AAAAAE2ye48=")</f>
        <v>#REF!</v>
      </c>
      <c r="EO510" t="e">
        <f>AND(#REF!,"AAAAAE2ye5A=")</f>
        <v>#REF!</v>
      </c>
      <c r="EP510" t="e">
        <f>AND(#REF!,"AAAAAE2ye5E=")</f>
        <v>#REF!</v>
      </c>
      <c r="EQ510" t="e">
        <f>AND(#REF!,"AAAAAE2ye5I=")</f>
        <v>#REF!</v>
      </c>
      <c r="ER510" t="e">
        <f>AND(#REF!,"AAAAAE2ye5M=")</f>
        <v>#REF!</v>
      </c>
      <c r="ES510" t="e">
        <f>AND(#REF!,"AAAAAE2ye5Q=")</f>
        <v>#REF!</v>
      </c>
      <c r="ET510" t="e">
        <f>AND(#REF!,"AAAAAE2ye5U=")</f>
        <v>#REF!</v>
      </c>
      <c r="EU510" t="e">
        <f>AND(#REF!,"AAAAAE2ye5Y=")</f>
        <v>#REF!</v>
      </c>
      <c r="EV510" t="e">
        <f>AND(#REF!,"AAAAAE2ye5c=")</f>
        <v>#REF!</v>
      </c>
      <c r="EW510" t="e">
        <f>AND(#REF!,"AAAAAE2ye5g=")</f>
        <v>#REF!</v>
      </c>
      <c r="EX510" t="e">
        <f>AND(#REF!,"AAAAAE2ye5k=")</f>
        <v>#REF!</v>
      </c>
      <c r="EY510" t="e">
        <f>AND(#REF!,"AAAAAE2ye5o=")</f>
        <v>#REF!</v>
      </c>
      <c r="EZ510" t="e">
        <f>AND(#REF!,"AAAAAE2ye5s=")</f>
        <v>#REF!</v>
      </c>
      <c r="FA510" t="e">
        <f>IF(#REF!,"AAAAAE2ye5w=",0)</f>
        <v>#REF!</v>
      </c>
      <c r="FB510" t="e">
        <f>AND(#REF!,"AAAAAE2ye50=")</f>
        <v>#REF!</v>
      </c>
      <c r="FC510" t="e">
        <f>AND(#REF!,"AAAAAE2ye54=")</f>
        <v>#REF!</v>
      </c>
      <c r="FD510" t="e">
        <f>AND(#REF!,"AAAAAE2ye58=")</f>
        <v>#REF!</v>
      </c>
      <c r="FE510" t="e">
        <f>AND(#REF!,"AAAAAE2ye6A=")</f>
        <v>#REF!</v>
      </c>
      <c r="FF510" t="e">
        <f>AND(#REF!,"AAAAAE2ye6E=")</f>
        <v>#REF!</v>
      </c>
      <c r="FG510" t="e">
        <f>AND(#REF!,"AAAAAE2ye6I=")</f>
        <v>#REF!</v>
      </c>
      <c r="FH510" t="e">
        <f>AND(#REF!,"AAAAAE2ye6M=")</f>
        <v>#REF!</v>
      </c>
      <c r="FI510" t="e">
        <f>AND(#REF!,"AAAAAE2ye6Q=")</f>
        <v>#REF!</v>
      </c>
      <c r="FJ510" t="e">
        <f>AND(#REF!,"AAAAAE2ye6U=")</f>
        <v>#REF!</v>
      </c>
      <c r="FK510" t="e">
        <f>AND(#REF!,"AAAAAE2ye6Y=")</f>
        <v>#REF!</v>
      </c>
      <c r="FL510" t="e">
        <f>AND(#REF!,"AAAAAE2ye6c=")</f>
        <v>#REF!</v>
      </c>
      <c r="FM510" t="e">
        <f>AND(#REF!,"AAAAAE2ye6g=")</f>
        <v>#REF!</v>
      </c>
      <c r="FN510" t="e">
        <f>AND(#REF!,"AAAAAE2ye6k=")</f>
        <v>#REF!</v>
      </c>
      <c r="FO510" t="e">
        <f>AND(#REF!,"AAAAAE2ye6o=")</f>
        <v>#REF!</v>
      </c>
      <c r="FP510" t="e">
        <f>AND(#REF!,"AAAAAE2ye6s=")</f>
        <v>#REF!</v>
      </c>
      <c r="FQ510" t="e">
        <f>AND(#REF!,"AAAAAE2ye6w=")</f>
        <v>#REF!</v>
      </c>
      <c r="FR510" t="e">
        <f>AND(#REF!,"AAAAAE2ye60=")</f>
        <v>#REF!</v>
      </c>
      <c r="FS510" t="e">
        <f>AND(#REF!,"AAAAAE2ye64=")</f>
        <v>#REF!</v>
      </c>
      <c r="FT510" t="e">
        <f>AND(#REF!,"AAAAAE2ye68=")</f>
        <v>#REF!</v>
      </c>
      <c r="FU510" t="e">
        <f>AND(#REF!,"AAAAAE2ye7A=")</f>
        <v>#REF!</v>
      </c>
      <c r="FV510" t="e">
        <f>AND(#REF!,"AAAAAE2ye7E=")</f>
        <v>#REF!</v>
      </c>
      <c r="FW510" t="e">
        <f>AND(#REF!,"AAAAAE2ye7I=")</f>
        <v>#REF!</v>
      </c>
      <c r="FX510" t="e">
        <f>AND(#REF!,"AAAAAE2ye7M=")</f>
        <v>#REF!</v>
      </c>
      <c r="FY510" t="e">
        <f>AND(#REF!,"AAAAAE2ye7Q=")</f>
        <v>#REF!</v>
      </c>
      <c r="FZ510" t="e">
        <f>IF(#REF!,"AAAAAE2ye7U=",0)</f>
        <v>#REF!</v>
      </c>
      <c r="GA510" t="e">
        <f>AND(#REF!,"AAAAAE2ye7Y=")</f>
        <v>#REF!</v>
      </c>
      <c r="GB510" t="e">
        <f>AND(#REF!,"AAAAAE2ye7c=")</f>
        <v>#REF!</v>
      </c>
      <c r="GC510" t="e">
        <f>AND(#REF!,"AAAAAE2ye7g=")</f>
        <v>#REF!</v>
      </c>
      <c r="GD510" t="e">
        <f>AND(#REF!,"AAAAAE2ye7k=")</f>
        <v>#REF!</v>
      </c>
      <c r="GE510" t="e">
        <f>AND(#REF!,"AAAAAE2ye7o=")</f>
        <v>#REF!</v>
      </c>
      <c r="GF510" t="e">
        <f>AND(#REF!,"AAAAAE2ye7s=")</f>
        <v>#REF!</v>
      </c>
      <c r="GG510" t="e">
        <f>AND(#REF!,"AAAAAE2ye7w=")</f>
        <v>#REF!</v>
      </c>
      <c r="GH510" t="e">
        <f>AND(#REF!,"AAAAAE2ye70=")</f>
        <v>#REF!</v>
      </c>
      <c r="GI510" t="e">
        <f>AND(#REF!,"AAAAAE2ye74=")</f>
        <v>#REF!</v>
      </c>
      <c r="GJ510" t="e">
        <f>AND(#REF!,"AAAAAE2ye78=")</f>
        <v>#REF!</v>
      </c>
      <c r="GK510" t="e">
        <f>AND(#REF!,"AAAAAE2ye8A=")</f>
        <v>#REF!</v>
      </c>
      <c r="GL510" t="e">
        <f>AND(#REF!,"AAAAAE2ye8E=")</f>
        <v>#REF!</v>
      </c>
      <c r="GM510" t="e">
        <f>AND(#REF!,"AAAAAE2ye8I=")</f>
        <v>#REF!</v>
      </c>
      <c r="GN510" t="e">
        <f>AND(#REF!,"AAAAAE2ye8M=")</f>
        <v>#REF!</v>
      </c>
      <c r="GO510" t="e">
        <f>AND(#REF!,"AAAAAE2ye8Q=")</f>
        <v>#REF!</v>
      </c>
      <c r="GP510" t="e">
        <f>AND(#REF!,"AAAAAE2ye8U=")</f>
        <v>#REF!</v>
      </c>
      <c r="GQ510" t="e">
        <f>AND(#REF!,"AAAAAE2ye8Y=")</f>
        <v>#REF!</v>
      </c>
      <c r="GR510" t="e">
        <f>AND(#REF!,"AAAAAE2ye8c=")</f>
        <v>#REF!</v>
      </c>
      <c r="GS510" t="e">
        <f>AND(#REF!,"AAAAAE2ye8g=")</f>
        <v>#REF!</v>
      </c>
      <c r="GT510" t="e">
        <f>AND(#REF!,"AAAAAE2ye8k=")</f>
        <v>#REF!</v>
      </c>
      <c r="GU510" t="e">
        <f>AND(#REF!,"AAAAAE2ye8o=")</f>
        <v>#REF!</v>
      </c>
      <c r="GV510" t="e">
        <f>AND(#REF!,"AAAAAE2ye8s=")</f>
        <v>#REF!</v>
      </c>
      <c r="GW510" t="e">
        <f>AND(#REF!,"AAAAAE2ye8w=")</f>
        <v>#REF!</v>
      </c>
      <c r="GX510" t="e">
        <f>AND(#REF!,"AAAAAE2ye80=")</f>
        <v>#REF!</v>
      </c>
      <c r="GY510" t="e">
        <f>IF(#REF!,"AAAAAE2ye84=",0)</f>
        <v>#REF!</v>
      </c>
      <c r="GZ510" t="e">
        <f>AND(#REF!,"AAAAAE2ye88=")</f>
        <v>#REF!</v>
      </c>
      <c r="HA510" t="e">
        <f>AND(#REF!,"AAAAAE2ye9A=")</f>
        <v>#REF!</v>
      </c>
      <c r="HB510" t="e">
        <f>AND(#REF!,"AAAAAE2ye9E=")</f>
        <v>#REF!</v>
      </c>
      <c r="HC510" t="e">
        <f>AND(#REF!,"AAAAAE2ye9I=")</f>
        <v>#REF!</v>
      </c>
      <c r="HD510" t="e">
        <f>AND(#REF!,"AAAAAE2ye9M=")</f>
        <v>#REF!</v>
      </c>
      <c r="HE510" t="e">
        <f>AND(#REF!,"AAAAAE2ye9Q=")</f>
        <v>#REF!</v>
      </c>
      <c r="HF510" t="e">
        <f>AND(#REF!,"AAAAAE2ye9U=")</f>
        <v>#REF!</v>
      </c>
      <c r="HG510" t="e">
        <f>AND(#REF!,"AAAAAE2ye9Y=")</f>
        <v>#REF!</v>
      </c>
      <c r="HH510" t="e">
        <f>AND(#REF!,"AAAAAE2ye9c=")</f>
        <v>#REF!</v>
      </c>
      <c r="HI510" t="e">
        <f>AND(#REF!,"AAAAAE2ye9g=")</f>
        <v>#REF!</v>
      </c>
      <c r="HJ510" t="e">
        <f>AND(#REF!,"AAAAAE2ye9k=")</f>
        <v>#REF!</v>
      </c>
      <c r="HK510" t="e">
        <f>AND(#REF!,"AAAAAE2ye9o=")</f>
        <v>#REF!</v>
      </c>
      <c r="HL510" t="e">
        <f>AND(#REF!,"AAAAAE2ye9s=")</f>
        <v>#REF!</v>
      </c>
      <c r="HM510" t="e">
        <f>AND(#REF!,"AAAAAE2ye9w=")</f>
        <v>#REF!</v>
      </c>
      <c r="HN510" t="e">
        <f>AND(#REF!,"AAAAAE2ye90=")</f>
        <v>#REF!</v>
      </c>
      <c r="HO510" t="e">
        <f>AND(#REF!,"AAAAAE2ye94=")</f>
        <v>#REF!</v>
      </c>
      <c r="HP510" t="e">
        <f>AND(#REF!,"AAAAAE2ye98=")</f>
        <v>#REF!</v>
      </c>
      <c r="HQ510" t="e">
        <f>AND(#REF!,"AAAAAE2ye+A=")</f>
        <v>#REF!</v>
      </c>
      <c r="HR510" t="e">
        <f>AND(#REF!,"AAAAAE2ye+E=")</f>
        <v>#REF!</v>
      </c>
      <c r="HS510" t="e">
        <f>AND(#REF!,"AAAAAE2ye+I=")</f>
        <v>#REF!</v>
      </c>
      <c r="HT510" t="e">
        <f>AND(#REF!,"AAAAAE2ye+M=")</f>
        <v>#REF!</v>
      </c>
      <c r="HU510" t="e">
        <f>AND(#REF!,"AAAAAE2ye+Q=")</f>
        <v>#REF!</v>
      </c>
      <c r="HV510" t="e">
        <f>AND(#REF!,"AAAAAE2ye+U=")</f>
        <v>#REF!</v>
      </c>
      <c r="HW510" t="e">
        <f>AND(#REF!,"AAAAAE2ye+Y=")</f>
        <v>#REF!</v>
      </c>
      <c r="HX510" t="e">
        <f>IF(#REF!,"AAAAAE2ye+c=",0)</f>
        <v>#REF!</v>
      </c>
      <c r="HY510" t="e">
        <f>AND(#REF!,"AAAAAE2ye+g=")</f>
        <v>#REF!</v>
      </c>
      <c r="HZ510" t="e">
        <f>AND(#REF!,"AAAAAE2ye+k=")</f>
        <v>#REF!</v>
      </c>
      <c r="IA510" t="e">
        <f>AND(#REF!,"AAAAAE2ye+o=")</f>
        <v>#REF!</v>
      </c>
      <c r="IB510" t="e">
        <f>AND(#REF!,"AAAAAE2ye+s=")</f>
        <v>#REF!</v>
      </c>
      <c r="IC510" t="e">
        <f>AND(#REF!,"AAAAAE2ye+w=")</f>
        <v>#REF!</v>
      </c>
      <c r="ID510" t="e">
        <f>AND(#REF!,"AAAAAE2ye+0=")</f>
        <v>#REF!</v>
      </c>
      <c r="IE510" t="e">
        <f>AND(#REF!,"AAAAAE2ye+4=")</f>
        <v>#REF!</v>
      </c>
      <c r="IF510" t="e">
        <f>AND(#REF!,"AAAAAE2ye+8=")</f>
        <v>#REF!</v>
      </c>
      <c r="IG510" t="e">
        <f>AND(#REF!,"AAAAAE2ye/A=")</f>
        <v>#REF!</v>
      </c>
      <c r="IH510" t="e">
        <f>AND(#REF!,"AAAAAE2ye/E=")</f>
        <v>#REF!</v>
      </c>
      <c r="II510" t="e">
        <f>AND(#REF!,"AAAAAE2ye/I=")</f>
        <v>#REF!</v>
      </c>
      <c r="IJ510" t="e">
        <f>AND(#REF!,"AAAAAE2ye/M=")</f>
        <v>#REF!</v>
      </c>
      <c r="IK510" t="e">
        <f>AND(#REF!,"AAAAAE2ye/Q=")</f>
        <v>#REF!</v>
      </c>
      <c r="IL510" t="e">
        <f>AND(#REF!,"AAAAAE2ye/U=")</f>
        <v>#REF!</v>
      </c>
      <c r="IM510" t="e">
        <f>AND(#REF!,"AAAAAE2ye/Y=")</f>
        <v>#REF!</v>
      </c>
      <c r="IN510" t="e">
        <f>AND(#REF!,"AAAAAE2ye/c=")</f>
        <v>#REF!</v>
      </c>
      <c r="IO510" t="e">
        <f>AND(#REF!,"AAAAAE2ye/g=")</f>
        <v>#REF!</v>
      </c>
      <c r="IP510" t="e">
        <f>AND(#REF!,"AAAAAE2ye/k=")</f>
        <v>#REF!</v>
      </c>
      <c r="IQ510" t="e">
        <f>AND(#REF!,"AAAAAE2ye/o=")</f>
        <v>#REF!</v>
      </c>
      <c r="IR510" t="e">
        <f>AND(#REF!,"AAAAAE2ye/s=")</f>
        <v>#REF!</v>
      </c>
      <c r="IS510" t="e">
        <f>AND(#REF!,"AAAAAE2ye/w=")</f>
        <v>#REF!</v>
      </c>
      <c r="IT510" t="e">
        <f>AND(#REF!,"AAAAAE2ye/0=")</f>
        <v>#REF!</v>
      </c>
      <c r="IU510" t="e">
        <f>AND(#REF!,"AAAAAE2ye/4=")</f>
        <v>#REF!</v>
      </c>
      <c r="IV510" t="e">
        <f>AND(#REF!,"AAAAAE2ye/8=")</f>
        <v>#REF!</v>
      </c>
    </row>
    <row r="511" spans="1:256">
      <c r="A511" t="e">
        <f>IF(#REF!,"AAAAAH9R2wA=",0)</f>
        <v>#REF!</v>
      </c>
      <c r="B511" t="e">
        <f>AND(#REF!,"AAAAAH9R2wE=")</f>
        <v>#REF!</v>
      </c>
      <c r="C511" t="e">
        <f>AND(#REF!,"AAAAAH9R2wI=")</f>
        <v>#REF!</v>
      </c>
      <c r="D511" t="e">
        <f>AND(#REF!,"AAAAAH9R2wM=")</f>
        <v>#REF!</v>
      </c>
      <c r="E511" t="e">
        <f>AND(#REF!,"AAAAAH9R2wQ=")</f>
        <v>#REF!</v>
      </c>
      <c r="F511" t="e">
        <f>AND(#REF!,"AAAAAH9R2wU=")</f>
        <v>#REF!</v>
      </c>
      <c r="G511" t="e">
        <f>AND(#REF!,"AAAAAH9R2wY=")</f>
        <v>#REF!</v>
      </c>
      <c r="H511" t="e">
        <f>AND(#REF!,"AAAAAH9R2wc=")</f>
        <v>#REF!</v>
      </c>
      <c r="I511" t="e">
        <f>AND(#REF!,"AAAAAH9R2wg=")</f>
        <v>#REF!</v>
      </c>
      <c r="J511" t="e">
        <f>AND(#REF!,"AAAAAH9R2wk=")</f>
        <v>#REF!</v>
      </c>
      <c r="K511" t="e">
        <f>AND(#REF!,"AAAAAH9R2wo=")</f>
        <v>#REF!</v>
      </c>
      <c r="L511" t="e">
        <f>AND(#REF!,"AAAAAH9R2ws=")</f>
        <v>#REF!</v>
      </c>
      <c r="M511" t="e">
        <f>AND(#REF!,"AAAAAH9R2ww=")</f>
        <v>#REF!</v>
      </c>
      <c r="N511" t="e">
        <f>AND(#REF!,"AAAAAH9R2w0=")</f>
        <v>#REF!</v>
      </c>
      <c r="O511" t="e">
        <f>AND(#REF!,"AAAAAH9R2w4=")</f>
        <v>#REF!</v>
      </c>
      <c r="P511" t="e">
        <f>AND(#REF!,"AAAAAH9R2w8=")</f>
        <v>#REF!</v>
      </c>
      <c r="Q511" t="e">
        <f>AND(#REF!,"AAAAAH9R2xA=")</f>
        <v>#REF!</v>
      </c>
      <c r="R511" t="e">
        <f>AND(#REF!,"AAAAAH9R2xE=")</f>
        <v>#REF!</v>
      </c>
      <c r="S511" t="e">
        <f>AND(#REF!,"AAAAAH9R2xI=")</f>
        <v>#REF!</v>
      </c>
      <c r="T511" t="e">
        <f>AND(#REF!,"AAAAAH9R2xM=")</f>
        <v>#REF!</v>
      </c>
      <c r="U511" t="e">
        <f>AND(#REF!,"AAAAAH9R2xQ=")</f>
        <v>#REF!</v>
      </c>
      <c r="V511" t="e">
        <f>AND(#REF!,"AAAAAH9R2xU=")</f>
        <v>#REF!</v>
      </c>
      <c r="W511" t="e">
        <f>AND(#REF!,"AAAAAH9R2xY=")</f>
        <v>#REF!</v>
      </c>
      <c r="X511" t="e">
        <f>AND(#REF!,"AAAAAH9R2xc=")</f>
        <v>#REF!</v>
      </c>
      <c r="Y511" t="e">
        <f>AND(#REF!,"AAAAAH9R2xg=")</f>
        <v>#REF!</v>
      </c>
      <c r="Z511" t="e">
        <f>IF(#REF!,"AAAAAH9R2xk=",0)</f>
        <v>#REF!</v>
      </c>
      <c r="AA511" t="e">
        <f>AND(#REF!,"AAAAAH9R2xo=")</f>
        <v>#REF!</v>
      </c>
      <c r="AB511" t="e">
        <f>AND(#REF!,"AAAAAH9R2xs=")</f>
        <v>#REF!</v>
      </c>
      <c r="AC511" t="e">
        <f>AND(#REF!,"AAAAAH9R2xw=")</f>
        <v>#REF!</v>
      </c>
      <c r="AD511" t="e">
        <f>AND(#REF!,"AAAAAH9R2x0=")</f>
        <v>#REF!</v>
      </c>
      <c r="AE511" t="e">
        <f>AND(#REF!,"AAAAAH9R2x4=")</f>
        <v>#REF!</v>
      </c>
      <c r="AF511" t="e">
        <f>AND(#REF!,"AAAAAH9R2x8=")</f>
        <v>#REF!</v>
      </c>
      <c r="AG511" t="e">
        <f>AND(#REF!,"AAAAAH9R2yA=")</f>
        <v>#REF!</v>
      </c>
      <c r="AH511" t="e">
        <f>AND(#REF!,"AAAAAH9R2yE=")</f>
        <v>#REF!</v>
      </c>
      <c r="AI511" t="e">
        <f>AND(#REF!,"AAAAAH9R2yI=")</f>
        <v>#REF!</v>
      </c>
      <c r="AJ511" t="e">
        <f>AND(#REF!,"AAAAAH9R2yM=")</f>
        <v>#REF!</v>
      </c>
      <c r="AK511" t="e">
        <f>AND(#REF!,"AAAAAH9R2yQ=")</f>
        <v>#REF!</v>
      </c>
      <c r="AL511" t="e">
        <f>AND(#REF!,"AAAAAH9R2yU=")</f>
        <v>#REF!</v>
      </c>
      <c r="AM511" t="e">
        <f>AND(#REF!,"AAAAAH9R2yY=")</f>
        <v>#REF!</v>
      </c>
      <c r="AN511" t="e">
        <f>AND(#REF!,"AAAAAH9R2yc=")</f>
        <v>#REF!</v>
      </c>
      <c r="AO511" t="e">
        <f>AND(#REF!,"AAAAAH9R2yg=")</f>
        <v>#REF!</v>
      </c>
      <c r="AP511" t="e">
        <f>AND(#REF!,"AAAAAH9R2yk=")</f>
        <v>#REF!</v>
      </c>
      <c r="AQ511" t="e">
        <f>AND(#REF!,"AAAAAH9R2yo=")</f>
        <v>#REF!</v>
      </c>
      <c r="AR511" t="e">
        <f>AND(#REF!,"AAAAAH9R2ys=")</f>
        <v>#REF!</v>
      </c>
      <c r="AS511" t="e">
        <f>AND(#REF!,"AAAAAH9R2yw=")</f>
        <v>#REF!</v>
      </c>
      <c r="AT511" t="e">
        <f>AND(#REF!,"AAAAAH9R2y0=")</f>
        <v>#REF!</v>
      </c>
      <c r="AU511" t="e">
        <f>AND(#REF!,"AAAAAH9R2y4=")</f>
        <v>#REF!</v>
      </c>
      <c r="AV511" t="e">
        <f>AND(#REF!,"AAAAAH9R2y8=")</f>
        <v>#REF!</v>
      </c>
      <c r="AW511" t="e">
        <f>AND(#REF!,"AAAAAH9R2zA=")</f>
        <v>#REF!</v>
      </c>
      <c r="AX511" t="e">
        <f>AND(#REF!,"AAAAAH9R2zE=")</f>
        <v>#REF!</v>
      </c>
      <c r="AY511" t="e">
        <f>IF(#REF!,"AAAAAH9R2zI=",0)</f>
        <v>#REF!</v>
      </c>
      <c r="AZ511" t="e">
        <f>AND(#REF!,"AAAAAH9R2zM=")</f>
        <v>#REF!</v>
      </c>
      <c r="BA511" t="e">
        <f>AND(#REF!,"AAAAAH9R2zQ=")</f>
        <v>#REF!</v>
      </c>
      <c r="BB511" t="e">
        <f>AND(#REF!,"AAAAAH9R2zU=")</f>
        <v>#REF!</v>
      </c>
      <c r="BC511" t="e">
        <f>AND(#REF!,"AAAAAH9R2zY=")</f>
        <v>#REF!</v>
      </c>
      <c r="BD511" t="e">
        <f>AND(#REF!,"AAAAAH9R2zc=")</f>
        <v>#REF!</v>
      </c>
      <c r="BE511" t="e">
        <f>AND(#REF!,"AAAAAH9R2zg=")</f>
        <v>#REF!</v>
      </c>
      <c r="BF511" t="e">
        <f>AND(#REF!,"AAAAAH9R2zk=")</f>
        <v>#REF!</v>
      </c>
      <c r="BG511" t="e">
        <f>AND(#REF!,"AAAAAH9R2zo=")</f>
        <v>#REF!</v>
      </c>
      <c r="BH511" t="e">
        <f>AND(#REF!,"AAAAAH9R2zs=")</f>
        <v>#REF!</v>
      </c>
      <c r="BI511" t="e">
        <f>AND(#REF!,"AAAAAH9R2zw=")</f>
        <v>#REF!</v>
      </c>
      <c r="BJ511" t="e">
        <f>AND(#REF!,"AAAAAH9R2z0=")</f>
        <v>#REF!</v>
      </c>
      <c r="BK511" t="e">
        <f>AND(#REF!,"AAAAAH9R2z4=")</f>
        <v>#REF!</v>
      </c>
      <c r="BL511" t="e">
        <f>AND(#REF!,"AAAAAH9R2z8=")</f>
        <v>#REF!</v>
      </c>
      <c r="BM511" t="e">
        <f>AND(#REF!,"AAAAAH9R20A=")</f>
        <v>#REF!</v>
      </c>
      <c r="BN511" t="e">
        <f>AND(#REF!,"AAAAAH9R20E=")</f>
        <v>#REF!</v>
      </c>
      <c r="BO511" t="e">
        <f>AND(#REF!,"AAAAAH9R20I=")</f>
        <v>#REF!</v>
      </c>
      <c r="BP511" t="e">
        <f>AND(#REF!,"AAAAAH9R20M=")</f>
        <v>#REF!</v>
      </c>
      <c r="BQ511" t="e">
        <f>AND(#REF!,"AAAAAH9R20Q=")</f>
        <v>#REF!</v>
      </c>
      <c r="BR511" t="e">
        <f>AND(#REF!,"AAAAAH9R20U=")</f>
        <v>#REF!</v>
      </c>
      <c r="BS511" t="e">
        <f>AND(#REF!,"AAAAAH9R20Y=")</f>
        <v>#REF!</v>
      </c>
      <c r="BT511" t="e">
        <f>AND(#REF!,"AAAAAH9R20c=")</f>
        <v>#REF!</v>
      </c>
      <c r="BU511" t="e">
        <f>AND(#REF!,"AAAAAH9R20g=")</f>
        <v>#REF!</v>
      </c>
      <c r="BV511" t="e">
        <f>AND(#REF!,"AAAAAH9R20k=")</f>
        <v>#REF!</v>
      </c>
      <c r="BW511" t="e">
        <f>AND(#REF!,"AAAAAH9R20o=")</f>
        <v>#REF!</v>
      </c>
      <c r="BX511" t="e">
        <f>IF(#REF!,"AAAAAH9R20s=",0)</f>
        <v>#REF!</v>
      </c>
      <c r="BY511" t="e">
        <f>AND(#REF!,"AAAAAH9R20w=")</f>
        <v>#REF!</v>
      </c>
      <c r="BZ511" t="e">
        <f>AND(#REF!,"AAAAAH9R200=")</f>
        <v>#REF!</v>
      </c>
      <c r="CA511" t="e">
        <f>AND(#REF!,"AAAAAH9R204=")</f>
        <v>#REF!</v>
      </c>
      <c r="CB511" t="e">
        <f>AND(#REF!,"AAAAAH9R208=")</f>
        <v>#REF!</v>
      </c>
      <c r="CC511" t="e">
        <f>AND(#REF!,"AAAAAH9R21A=")</f>
        <v>#REF!</v>
      </c>
      <c r="CD511" t="e">
        <f>AND(#REF!,"AAAAAH9R21E=")</f>
        <v>#REF!</v>
      </c>
      <c r="CE511" t="e">
        <f>AND(#REF!,"AAAAAH9R21I=")</f>
        <v>#REF!</v>
      </c>
      <c r="CF511" t="e">
        <f>AND(#REF!,"AAAAAH9R21M=")</f>
        <v>#REF!</v>
      </c>
      <c r="CG511" t="e">
        <f>AND(#REF!,"AAAAAH9R21Q=")</f>
        <v>#REF!</v>
      </c>
      <c r="CH511" t="e">
        <f>AND(#REF!,"AAAAAH9R21U=")</f>
        <v>#REF!</v>
      </c>
      <c r="CI511" t="e">
        <f>AND(#REF!,"AAAAAH9R21Y=")</f>
        <v>#REF!</v>
      </c>
      <c r="CJ511" t="e">
        <f>AND(#REF!,"AAAAAH9R21c=")</f>
        <v>#REF!</v>
      </c>
      <c r="CK511" t="e">
        <f>AND(#REF!,"AAAAAH9R21g=")</f>
        <v>#REF!</v>
      </c>
      <c r="CL511" t="e">
        <f>AND(#REF!,"AAAAAH9R21k=")</f>
        <v>#REF!</v>
      </c>
      <c r="CM511" t="e">
        <f>AND(#REF!,"AAAAAH9R21o=")</f>
        <v>#REF!</v>
      </c>
      <c r="CN511" t="e">
        <f>AND(#REF!,"AAAAAH9R21s=")</f>
        <v>#REF!</v>
      </c>
      <c r="CO511" t="e">
        <f>AND(#REF!,"AAAAAH9R21w=")</f>
        <v>#REF!</v>
      </c>
      <c r="CP511" t="e">
        <f>AND(#REF!,"AAAAAH9R210=")</f>
        <v>#REF!</v>
      </c>
      <c r="CQ511" t="e">
        <f>AND(#REF!,"AAAAAH9R214=")</f>
        <v>#REF!</v>
      </c>
      <c r="CR511" t="e">
        <f>AND(#REF!,"AAAAAH9R218=")</f>
        <v>#REF!</v>
      </c>
      <c r="CS511" t="e">
        <f>AND(#REF!,"AAAAAH9R22A=")</f>
        <v>#REF!</v>
      </c>
      <c r="CT511" t="e">
        <f>AND(#REF!,"AAAAAH9R22E=")</f>
        <v>#REF!</v>
      </c>
      <c r="CU511" t="e">
        <f>AND(#REF!,"AAAAAH9R22I=")</f>
        <v>#REF!</v>
      </c>
      <c r="CV511" t="e">
        <f>AND(#REF!,"AAAAAH9R22M=")</f>
        <v>#REF!</v>
      </c>
      <c r="CW511" t="e">
        <f>IF(#REF!,"AAAAAH9R22Q=",0)</f>
        <v>#REF!</v>
      </c>
      <c r="CX511" t="e">
        <f>AND(#REF!,"AAAAAH9R22U=")</f>
        <v>#REF!</v>
      </c>
      <c r="CY511" t="e">
        <f>AND(#REF!,"AAAAAH9R22Y=")</f>
        <v>#REF!</v>
      </c>
      <c r="CZ511" t="e">
        <f>AND(#REF!,"AAAAAH9R22c=")</f>
        <v>#REF!</v>
      </c>
      <c r="DA511" t="e">
        <f>AND(#REF!,"AAAAAH9R22g=")</f>
        <v>#REF!</v>
      </c>
      <c r="DB511" t="e">
        <f>AND(#REF!,"AAAAAH9R22k=")</f>
        <v>#REF!</v>
      </c>
      <c r="DC511" t="e">
        <f>AND(#REF!,"AAAAAH9R22o=")</f>
        <v>#REF!</v>
      </c>
      <c r="DD511" t="e">
        <f>AND(#REF!,"AAAAAH9R22s=")</f>
        <v>#REF!</v>
      </c>
      <c r="DE511" t="e">
        <f>AND(#REF!,"AAAAAH9R22w=")</f>
        <v>#REF!</v>
      </c>
      <c r="DF511" t="e">
        <f>AND(#REF!,"AAAAAH9R220=")</f>
        <v>#REF!</v>
      </c>
      <c r="DG511" t="e">
        <f>AND(#REF!,"AAAAAH9R224=")</f>
        <v>#REF!</v>
      </c>
      <c r="DH511" t="e">
        <f>AND(#REF!,"AAAAAH9R228=")</f>
        <v>#REF!</v>
      </c>
      <c r="DI511" t="e">
        <f>AND(#REF!,"AAAAAH9R23A=")</f>
        <v>#REF!</v>
      </c>
      <c r="DJ511" t="e">
        <f>AND(#REF!,"AAAAAH9R23E=")</f>
        <v>#REF!</v>
      </c>
      <c r="DK511" t="e">
        <f>AND(#REF!,"AAAAAH9R23I=")</f>
        <v>#REF!</v>
      </c>
      <c r="DL511" t="e">
        <f>AND(#REF!,"AAAAAH9R23M=")</f>
        <v>#REF!</v>
      </c>
      <c r="DM511" t="e">
        <f>AND(#REF!,"AAAAAH9R23Q=")</f>
        <v>#REF!</v>
      </c>
      <c r="DN511" t="e">
        <f>AND(#REF!,"AAAAAH9R23U=")</f>
        <v>#REF!</v>
      </c>
      <c r="DO511" t="e">
        <f>AND(#REF!,"AAAAAH9R23Y=")</f>
        <v>#REF!</v>
      </c>
      <c r="DP511" t="e">
        <f>AND(#REF!,"AAAAAH9R23c=")</f>
        <v>#REF!</v>
      </c>
      <c r="DQ511" t="e">
        <f>AND(#REF!,"AAAAAH9R23g=")</f>
        <v>#REF!</v>
      </c>
      <c r="DR511" t="e">
        <f>AND(#REF!,"AAAAAH9R23k=")</f>
        <v>#REF!</v>
      </c>
      <c r="DS511" t="e">
        <f>AND(#REF!,"AAAAAH9R23o=")</f>
        <v>#REF!</v>
      </c>
      <c r="DT511" t="e">
        <f>AND(#REF!,"AAAAAH9R23s=")</f>
        <v>#REF!</v>
      </c>
      <c r="DU511" t="e">
        <f>AND(#REF!,"AAAAAH9R23w=")</f>
        <v>#REF!</v>
      </c>
      <c r="DV511" t="e">
        <f>IF(#REF!,"AAAAAH9R230=",0)</f>
        <v>#REF!</v>
      </c>
      <c r="DW511" t="e">
        <f>AND(#REF!,"AAAAAH9R234=")</f>
        <v>#REF!</v>
      </c>
      <c r="DX511" t="e">
        <f>AND(#REF!,"AAAAAH9R238=")</f>
        <v>#REF!</v>
      </c>
      <c r="DY511" t="e">
        <f>AND(#REF!,"AAAAAH9R24A=")</f>
        <v>#REF!</v>
      </c>
      <c r="DZ511" t="e">
        <f>AND(#REF!,"AAAAAH9R24E=")</f>
        <v>#REF!</v>
      </c>
      <c r="EA511" t="e">
        <f>AND(#REF!,"AAAAAH9R24I=")</f>
        <v>#REF!</v>
      </c>
      <c r="EB511" t="e">
        <f>AND(#REF!,"AAAAAH9R24M=")</f>
        <v>#REF!</v>
      </c>
      <c r="EC511" t="e">
        <f>AND(#REF!,"AAAAAH9R24Q=")</f>
        <v>#REF!</v>
      </c>
      <c r="ED511" t="e">
        <f>AND(#REF!,"AAAAAH9R24U=")</f>
        <v>#REF!</v>
      </c>
      <c r="EE511" t="e">
        <f>AND(#REF!,"AAAAAH9R24Y=")</f>
        <v>#REF!</v>
      </c>
      <c r="EF511" t="e">
        <f>AND(#REF!,"AAAAAH9R24c=")</f>
        <v>#REF!</v>
      </c>
      <c r="EG511" t="e">
        <f>AND(#REF!,"AAAAAH9R24g=")</f>
        <v>#REF!</v>
      </c>
      <c r="EH511" t="e">
        <f>AND(#REF!,"AAAAAH9R24k=")</f>
        <v>#REF!</v>
      </c>
      <c r="EI511" t="e">
        <f>AND(#REF!,"AAAAAH9R24o=")</f>
        <v>#REF!</v>
      </c>
      <c r="EJ511" t="e">
        <f>AND(#REF!,"AAAAAH9R24s=")</f>
        <v>#REF!</v>
      </c>
      <c r="EK511" t="e">
        <f>AND(#REF!,"AAAAAH9R24w=")</f>
        <v>#REF!</v>
      </c>
      <c r="EL511" t="e">
        <f>AND(#REF!,"AAAAAH9R240=")</f>
        <v>#REF!</v>
      </c>
      <c r="EM511" t="e">
        <f>AND(#REF!,"AAAAAH9R244=")</f>
        <v>#REF!</v>
      </c>
      <c r="EN511" t="e">
        <f>AND(#REF!,"AAAAAH9R248=")</f>
        <v>#REF!</v>
      </c>
      <c r="EO511" t="e">
        <f>AND(#REF!,"AAAAAH9R25A=")</f>
        <v>#REF!</v>
      </c>
      <c r="EP511" t="e">
        <f>AND(#REF!,"AAAAAH9R25E=")</f>
        <v>#REF!</v>
      </c>
      <c r="EQ511" t="e">
        <f>AND(#REF!,"AAAAAH9R25I=")</f>
        <v>#REF!</v>
      </c>
      <c r="ER511" t="e">
        <f>AND(#REF!,"AAAAAH9R25M=")</f>
        <v>#REF!</v>
      </c>
      <c r="ES511" t="e">
        <f>AND(#REF!,"AAAAAH9R25Q=")</f>
        <v>#REF!</v>
      </c>
      <c r="ET511" t="e">
        <f>AND(#REF!,"AAAAAH9R25U=")</f>
        <v>#REF!</v>
      </c>
      <c r="EU511" t="e">
        <f>IF(#REF!,"AAAAAH9R25Y=",0)</f>
        <v>#REF!</v>
      </c>
      <c r="EV511" t="e">
        <f>AND(#REF!,"AAAAAH9R25c=")</f>
        <v>#REF!</v>
      </c>
      <c r="EW511" t="e">
        <f>AND(#REF!,"AAAAAH9R25g=")</f>
        <v>#REF!</v>
      </c>
      <c r="EX511" t="e">
        <f>AND(#REF!,"AAAAAH9R25k=")</f>
        <v>#REF!</v>
      </c>
      <c r="EY511" t="e">
        <f>AND(#REF!,"AAAAAH9R25o=")</f>
        <v>#REF!</v>
      </c>
      <c r="EZ511" t="e">
        <f>AND(#REF!,"AAAAAH9R25s=")</f>
        <v>#REF!</v>
      </c>
      <c r="FA511" t="e">
        <f>AND(#REF!,"AAAAAH9R25w=")</f>
        <v>#REF!</v>
      </c>
      <c r="FB511" t="e">
        <f>AND(#REF!,"AAAAAH9R250=")</f>
        <v>#REF!</v>
      </c>
      <c r="FC511" t="e">
        <f>AND(#REF!,"AAAAAH9R254=")</f>
        <v>#REF!</v>
      </c>
      <c r="FD511" t="e">
        <f>AND(#REF!,"AAAAAH9R258=")</f>
        <v>#REF!</v>
      </c>
      <c r="FE511" t="e">
        <f>AND(#REF!,"AAAAAH9R26A=")</f>
        <v>#REF!</v>
      </c>
      <c r="FF511" t="e">
        <f>AND(#REF!,"AAAAAH9R26E=")</f>
        <v>#REF!</v>
      </c>
      <c r="FG511" t="e">
        <f>AND(#REF!,"AAAAAH9R26I=")</f>
        <v>#REF!</v>
      </c>
      <c r="FH511" t="e">
        <f>AND(#REF!,"AAAAAH9R26M=")</f>
        <v>#REF!</v>
      </c>
      <c r="FI511" t="e">
        <f>AND(#REF!,"AAAAAH9R26Q=")</f>
        <v>#REF!</v>
      </c>
      <c r="FJ511" t="e">
        <f>AND(#REF!,"AAAAAH9R26U=")</f>
        <v>#REF!</v>
      </c>
      <c r="FK511" t="e">
        <f>AND(#REF!,"AAAAAH9R26Y=")</f>
        <v>#REF!</v>
      </c>
      <c r="FL511" t="e">
        <f>AND(#REF!,"AAAAAH9R26c=")</f>
        <v>#REF!</v>
      </c>
      <c r="FM511" t="e">
        <f>AND(#REF!,"AAAAAH9R26g=")</f>
        <v>#REF!</v>
      </c>
      <c r="FN511" t="e">
        <f>AND(#REF!,"AAAAAH9R26k=")</f>
        <v>#REF!</v>
      </c>
      <c r="FO511" t="e">
        <f>AND(#REF!,"AAAAAH9R26o=")</f>
        <v>#REF!</v>
      </c>
      <c r="FP511" t="e">
        <f>AND(#REF!,"AAAAAH9R26s=")</f>
        <v>#REF!</v>
      </c>
      <c r="FQ511" t="e">
        <f>AND(#REF!,"AAAAAH9R26w=")</f>
        <v>#REF!</v>
      </c>
      <c r="FR511" t="e">
        <f>AND(#REF!,"AAAAAH9R260=")</f>
        <v>#REF!</v>
      </c>
      <c r="FS511" t="e">
        <f>AND(#REF!,"AAAAAH9R264=")</f>
        <v>#REF!</v>
      </c>
      <c r="FT511" t="e">
        <f>IF(#REF!,"AAAAAH9R268=",0)</f>
        <v>#REF!</v>
      </c>
      <c r="FU511" t="e">
        <f>AND(#REF!,"AAAAAH9R27A=")</f>
        <v>#REF!</v>
      </c>
      <c r="FV511" t="e">
        <f>AND(#REF!,"AAAAAH9R27E=")</f>
        <v>#REF!</v>
      </c>
      <c r="FW511" t="e">
        <f>AND(#REF!,"AAAAAH9R27I=")</f>
        <v>#REF!</v>
      </c>
      <c r="FX511" t="e">
        <f>AND(#REF!,"AAAAAH9R27M=")</f>
        <v>#REF!</v>
      </c>
      <c r="FY511" t="e">
        <f>AND(#REF!,"AAAAAH9R27Q=")</f>
        <v>#REF!</v>
      </c>
      <c r="FZ511" t="e">
        <f>AND(#REF!,"AAAAAH9R27U=")</f>
        <v>#REF!</v>
      </c>
      <c r="GA511" t="e">
        <f>AND(#REF!,"AAAAAH9R27Y=")</f>
        <v>#REF!</v>
      </c>
      <c r="GB511" t="e">
        <f>AND(#REF!,"AAAAAH9R27c=")</f>
        <v>#REF!</v>
      </c>
      <c r="GC511" t="e">
        <f>AND(#REF!,"AAAAAH9R27g=")</f>
        <v>#REF!</v>
      </c>
      <c r="GD511" t="e">
        <f>AND(#REF!,"AAAAAH9R27k=")</f>
        <v>#REF!</v>
      </c>
      <c r="GE511" t="e">
        <f>AND(#REF!,"AAAAAH9R27o=")</f>
        <v>#REF!</v>
      </c>
      <c r="GF511" t="e">
        <f>AND(#REF!,"AAAAAH9R27s=")</f>
        <v>#REF!</v>
      </c>
      <c r="GG511" t="e">
        <f>AND(#REF!,"AAAAAH9R27w=")</f>
        <v>#REF!</v>
      </c>
      <c r="GH511" t="e">
        <f>AND(#REF!,"AAAAAH9R270=")</f>
        <v>#REF!</v>
      </c>
      <c r="GI511" t="e">
        <f>AND(#REF!,"AAAAAH9R274=")</f>
        <v>#REF!</v>
      </c>
      <c r="GJ511" t="e">
        <f>AND(#REF!,"AAAAAH9R278=")</f>
        <v>#REF!</v>
      </c>
      <c r="GK511" t="e">
        <f>AND(#REF!,"AAAAAH9R28A=")</f>
        <v>#REF!</v>
      </c>
      <c r="GL511" t="e">
        <f>AND(#REF!,"AAAAAH9R28E=")</f>
        <v>#REF!</v>
      </c>
      <c r="GM511" t="e">
        <f>AND(#REF!,"AAAAAH9R28I=")</f>
        <v>#REF!</v>
      </c>
      <c r="GN511" t="e">
        <f>AND(#REF!,"AAAAAH9R28M=")</f>
        <v>#REF!</v>
      </c>
      <c r="GO511" t="e">
        <f>AND(#REF!,"AAAAAH9R28Q=")</f>
        <v>#REF!</v>
      </c>
      <c r="GP511" t="e">
        <f>AND(#REF!,"AAAAAH9R28U=")</f>
        <v>#REF!</v>
      </c>
      <c r="GQ511" t="e">
        <f>AND(#REF!,"AAAAAH9R28Y=")</f>
        <v>#REF!</v>
      </c>
      <c r="GR511" t="e">
        <f>AND(#REF!,"AAAAAH9R28c=")</f>
        <v>#REF!</v>
      </c>
      <c r="GS511" t="e">
        <f>IF(#REF!,"AAAAAH9R28g=",0)</f>
        <v>#REF!</v>
      </c>
      <c r="GT511" t="e">
        <f>AND(#REF!,"AAAAAH9R28k=")</f>
        <v>#REF!</v>
      </c>
      <c r="GU511" t="e">
        <f>AND(#REF!,"AAAAAH9R28o=")</f>
        <v>#REF!</v>
      </c>
      <c r="GV511" t="e">
        <f>AND(#REF!,"AAAAAH9R28s=")</f>
        <v>#REF!</v>
      </c>
      <c r="GW511" t="e">
        <f>AND(#REF!,"AAAAAH9R28w=")</f>
        <v>#REF!</v>
      </c>
      <c r="GX511" t="e">
        <f>AND(#REF!,"AAAAAH9R280=")</f>
        <v>#REF!</v>
      </c>
      <c r="GY511" t="e">
        <f>AND(#REF!,"AAAAAH9R284=")</f>
        <v>#REF!</v>
      </c>
      <c r="GZ511" t="e">
        <f>AND(#REF!,"AAAAAH9R288=")</f>
        <v>#REF!</v>
      </c>
      <c r="HA511" t="e">
        <f>AND(#REF!,"AAAAAH9R29A=")</f>
        <v>#REF!</v>
      </c>
      <c r="HB511" t="e">
        <f>AND(#REF!,"AAAAAH9R29E=")</f>
        <v>#REF!</v>
      </c>
      <c r="HC511" t="e">
        <f>AND(#REF!,"AAAAAH9R29I=")</f>
        <v>#REF!</v>
      </c>
      <c r="HD511" t="e">
        <f>AND(#REF!,"AAAAAH9R29M=")</f>
        <v>#REF!</v>
      </c>
      <c r="HE511" t="e">
        <f>AND(#REF!,"AAAAAH9R29Q=")</f>
        <v>#REF!</v>
      </c>
      <c r="HF511" t="e">
        <f>AND(#REF!,"AAAAAH9R29U=")</f>
        <v>#REF!</v>
      </c>
      <c r="HG511" t="e">
        <f>AND(#REF!,"AAAAAH9R29Y=")</f>
        <v>#REF!</v>
      </c>
      <c r="HH511" t="e">
        <f>AND(#REF!,"AAAAAH9R29c=")</f>
        <v>#REF!</v>
      </c>
      <c r="HI511" t="e">
        <f>AND(#REF!,"AAAAAH9R29g=")</f>
        <v>#REF!</v>
      </c>
      <c r="HJ511" t="e">
        <f>AND(#REF!,"AAAAAH9R29k=")</f>
        <v>#REF!</v>
      </c>
      <c r="HK511" t="e">
        <f>AND(#REF!,"AAAAAH9R29o=")</f>
        <v>#REF!</v>
      </c>
      <c r="HL511" t="e">
        <f>AND(#REF!,"AAAAAH9R29s=")</f>
        <v>#REF!</v>
      </c>
      <c r="HM511" t="e">
        <f>AND(#REF!,"AAAAAH9R29w=")</f>
        <v>#REF!</v>
      </c>
      <c r="HN511" t="e">
        <f>AND(#REF!,"AAAAAH9R290=")</f>
        <v>#REF!</v>
      </c>
      <c r="HO511" t="e">
        <f>AND(#REF!,"AAAAAH9R294=")</f>
        <v>#REF!</v>
      </c>
      <c r="HP511" t="e">
        <f>AND(#REF!,"AAAAAH9R298=")</f>
        <v>#REF!</v>
      </c>
      <c r="HQ511" t="e">
        <f>AND(#REF!,"AAAAAH9R2+A=")</f>
        <v>#REF!</v>
      </c>
      <c r="HR511" t="e">
        <f>IF(#REF!,"AAAAAH9R2+E=",0)</f>
        <v>#REF!</v>
      </c>
      <c r="HS511" t="e">
        <f>AND(#REF!,"AAAAAH9R2+I=")</f>
        <v>#REF!</v>
      </c>
      <c r="HT511" t="e">
        <f>AND(#REF!,"AAAAAH9R2+M=")</f>
        <v>#REF!</v>
      </c>
      <c r="HU511" t="e">
        <f>AND(#REF!,"AAAAAH9R2+Q=")</f>
        <v>#REF!</v>
      </c>
      <c r="HV511" t="e">
        <f>AND(#REF!,"AAAAAH9R2+U=")</f>
        <v>#REF!</v>
      </c>
      <c r="HW511" t="e">
        <f>AND(#REF!,"AAAAAH9R2+Y=")</f>
        <v>#REF!</v>
      </c>
      <c r="HX511" t="e">
        <f>AND(#REF!,"AAAAAH9R2+c=")</f>
        <v>#REF!</v>
      </c>
      <c r="HY511" t="e">
        <f>AND(#REF!,"AAAAAH9R2+g=")</f>
        <v>#REF!</v>
      </c>
      <c r="HZ511" t="e">
        <f>AND(#REF!,"AAAAAH9R2+k=")</f>
        <v>#REF!</v>
      </c>
      <c r="IA511" t="e">
        <f>AND(#REF!,"AAAAAH9R2+o=")</f>
        <v>#REF!</v>
      </c>
      <c r="IB511" t="e">
        <f>AND(#REF!,"AAAAAH9R2+s=")</f>
        <v>#REF!</v>
      </c>
      <c r="IC511" t="e">
        <f>AND(#REF!,"AAAAAH9R2+w=")</f>
        <v>#REF!</v>
      </c>
      <c r="ID511" t="e">
        <f>AND(#REF!,"AAAAAH9R2+0=")</f>
        <v>#REF!</v>
      </c>
      <c r="IE511" t="e">
        <f>AND(#REF!,"AAAAAH9R2+4=")</f>
        <v>#REF!</v>
      </c>
      <c r="IF511" t="e">
        <f>AND(#REF!,"AAAAAH9R2+8=")</f>
        <v>#REF!</v>
      </c>
      <c r="IG511" t="e">
        <f>AND(#REF!,"AAAAAH9R2/A=")</f>
        <v>#REF!</v>
      </c>
      <c r="IH511" t="e">
        <f>AND(#REF!,"AAAAAH9R2/E=")</f>
        <v>#REF!</v>
      </c>
      <c r="II511" t="e">
        <f>AND(#REF!,"AAAAAH9R2/I=")</f>
        <v>#REF!</v>
      </c>
      <c r="IJ511" t="e">
        <f>AND(#REF!,"AAAAAH9R2/M=")</f>
        <v>#REF!</v>
      </c>
      <c r="IK511" t="e">
        <f>AND(#REF!,"AAAAAH9R2/Q=")</f>
        <v>#REF!</v>
      </c>
      <c r="IL511" t="e">
        <f>AND(#REF!,"AAAAAH9R2/U=")</f>
        <v>#REF!</v>
      </c>
      <c r="IM511" t="e">
        <f>AND(#REF!,"AAAAAH9R2/Y=")</f>
        <v>#REF!</v>
      </c>
      <c r="IN511" t="e">
        <f>AND(#REF!,"AAAAAH9R2/c=")</f>
        <v>#REF!</v>
      </c>
      <c r="IO511" t="e">
        <f>AND(#REF!,"AAAAAH9R2/g=")</f>
        <v>#REF!</v>
      </c>
      <c r="IP511" t="e">
        <f>AND(#REF!,"AAAAAH9R2/k=")</f>
        <v>#REF!</v>
      </c>
      <c r="IQ511" t="e">
        <f>IF(#REF!,"AAAAAH9R2/o=",0)</f>
        <v>#REF!</v>
      </c>
      <c r="IR511" t="e">
        <f>AND(#REF!,"AAAAAH9R2/s=")</f>
        <v>#REF!</v>
      </c>
      <c r="IS511" t="e">
        <f>AND(#REF!,"AAAAAH9R2/w=")</f>
        <v>#REF!</v>
      </c>
      <c r="IT511" t="e">
        <f>AND(#REF!,"AAAAAH9R2/0=")</f>
        <v>#REF!</v>
      </c>
      <c r="IU511" t="e">
        <f>AND(#REF!,"AAAAAH9R2/4=")</f>
        <v>#REF!</v>
      </c>
      <c r="IV511" t="e">
        <f>AND(#REF!,"AAAAAH9R2/8=")</f>
        <v>#REF!</v>
      </c>
    </row>
    <row r="512" spans="1:256">
      <c r="A512" t="e">
        <f>AND(#REF!,"AAAAAHHf1wA=")</f>
        <v>#REF!</v>
      </c>
      <c r="B512" t="e">
        <f>AND(#REF!,"AAAAAHHf1wE=")</f>
        <v>#REF!</v>
      </c>
      <c r="C512" t="e">
        <f>AND(#REF!,"AAAAAHHf1wI=")</f>
        <v>#REF!</v>
      </c>
      <c r="D512" t="e">
        <f>AND(#REF!,"AAAAAHHf1wM=")</f>
        <v>#REF!</v>
      </c>
      <c r="E512" t="e">
        <f>AND(#REF!,"AAAAAHHf1wQ=")</f>
        <v>#REF!</v>
      </c>
      <c r="F512" t="e">
        <f>AND(#REF!,"AAAAAHHf1wU=")</f>
        <v>#REF!</v>
      </c>
      <c r="G512" t="e">
        <f>AND(#REF!,"AAAAAHHf1wY=")</f>
        <v>#REF!</v>
      </c>
      <c r="H512" t="e">
        <f>AND(#REF!,"AAAAAHHf1wc=")</f>
        <v>#REF!</v>
      </c>
      <c r="I512" t="e">
        <f>AND(#REF!,"AAAAAHHf1wg=")</f>
        <v>#REF!</v>
      </c>
      <c r="J512" t="e">
        <f>AND(#REF!,"AAAAAHHf1wk=")</f>
        <v>#REF!</v>
      </c>
      <c r="K512" t="e">
        <f>AND(#REF!,"AAAAAHHf1wo=")</f>
        <v>#REF!</v>
      </c>
      <c r="L512" t="e">
        <f>AND(#REF!,"AAAAAHHf1ws=")</f>
        <v>#REF!</v>
      </c>
      <c r="M512" t="e">
        <f>AND(#REF!,"AAAAAHHf1ww=")</f>
        <v>#REF!</v>
      </c>
      <c r="N512" t="e">
        <f>AND(#REF!,"AAAAAHHf1w0=")</f>
        <v>#REF!</v>
      </c>
      <c r="O512" t="e">
        <f>AND(#REF!,"AAAAAHHf1w4=")</f>
        <v>#REF!</v>
      </c>
      <c r="P512" t="e">
        <f>AND(#REF!,"AAAAAHHf1w8=")</f>
        <v>#REF!</v>
      </c>
      <c r="Q512" t="e">
        <f>AND(#REF!,"AAAAAHHf1xA=")</f>
        <v>#REF!</v>
      </c>
      <c r="R512" t="e">
        <f>AND(#REF!,"AAAAAHHf1xE=")</f>
        <v>#REF!</v>
      </c>
      <c r="S512" t="e">
        <f>AND(#REF!,"AAAAAHHf1xI=")</f>
        <v>#REF!</v>
      </c>
      <c r="T512" t="e">
        <f>IF(#REF!,"AAAAAHHf1xM=",0)</f>
        <v>#REF!</v>
      </c>
      <c r="U512" t="e">
        <f>AND(#REF!,"AAAAAHHf1xQ=")</f>
        <v>#REF!</v>
      </c>
      <c r="V512" t="e">
        <f>AND(#REF!,"AAAAAHHf1xU=")</f>
        <v>#REF!</v>
      </c>
      <c r="W512" t="e">
        <f>AND(#REF!,"AAAAAHHf1xY=")</f>
        <v>#REF!</v>
      </c>
      <c r="X512" t="e">
        <f>AND(#REF!,"AAAAAHHf1xc=")</f>
        <v>#REF!</v>
      </c>
      <c r="Y512" t="e">
        <f>AND(#REF!,"AAAAAHHf1xg=")</f>
        <v>#REF!</v>
      </c>
      <c r="Z512" t="e">
        <f>AND(#REF!,"AAAAAHHf1xk=")</f>
        <v>#REF!</v>
      </c>
      <c r="AA512" t="e">
        <f>AND(#REF!,"AAAAAHHf1xo=")</f>
        <v>#REF!</v>
      </c>
      <c r="AB512" t="e">
        <f>AND(#REF!,"AAAAAHHf1xs=")</f>
        <v>#REF!</v>
      </c>
      <c r="AC512" t="e">
        <f>AND(#REF!,"AAAAAHHf1xw=")</f>
        <v>#REF!</v>
      </c>
      <c r="AD512" t="e">
        <f>AND(#REF!,"AAAAAHHf1x0=")</f>
        <v>#REF!</v>
      </c>
      <c r="AE512" t="e">
        <f>AND(#REF!,"AAAAAHHf1x4=")</f>
        <v>#REF!</v>
      </c>
      <c r="AF512" t="e">
        <f>AND(#REF!,"AAAAAHHf1x8=")</f>
        <v>#REF!</v>
      </c>
      <c r="AG512" t="e">
        <f>AND(#REF!,"AAAAAHHf1yA=")</f>
        <v>#REF!</v>
      </c>
      <c r="AH512" t="e">
        <f>AND(#REF!,"AAAAAHHf1yE=")</f>
        <v>#REF!</v>
      </c>
      <c r="AI512" t="e">
        <f>AND(#REF!,"AAAAAHHf1yI=")</f>
        <v>#REF!</v>
      </c>
      <c r="AJ512" t="e">
        <f>AND(#REF!,"AAAAAHHf1yM=")</f>
        <v>#REF!</v>
      </c>
      <c r="AK512" t="e">
        <f>AND(#REF!,"AAAAAHHf1yQ=")</f>
        <v>#REF!</v>
      </c>
      <c r="AL512" t="e">
        <f>AND(#REF!,"AAAAAHHf1yU=")</f>
        <v>#REF!</v>
      </c>
      <c r="AM512" t="e">
        <f>AND(#REF!,"AAAAAHHf1yY=")</f>
        <v>#REF!</v>
      </c>
      <c r="AN512" t="e">
        <f>AND(#REF!,"AAAAAHHf1yc=")</f>
        <v>#REF!</v>
      </c>
      <c r="AO512" t="e">
        <f>AND(#REF!,"AAAAAHHf1yg=")</f>
        <v>#REF!</v>
      </c>
      <c r="AP512" t="e">
        <f>AND(#REF!,"AAAAAHHf1yk=")</f>
        <v>#REF!</v>
      </c>
      <c r="AQ512" t="e">
        <f>AND(#REF!,"AAAAAHHf1yo=")</f>
        <v>#REF!</v>
      </c>
      <c r="AR512" t="e">
        <f>AND(#REF!,"AAAAAHHf1ys=")</f>
        <v>#REF!</v>
      </c>
      <c r="AS512" t="e">
        <f>IF(#REF!,"AAAAAHHf1yw=",0)</f>
        <v>#REF!</v>
      </c>
      <c r="AT512" t="e">
        <f>AND(#REF!,"AAAAAHHf1y0=")</f>
        <v>#REF!</v>
      </c>
      <c r="AU512" t="e">
        <f>AND(#REF!,"AAAAAHHf1y4=")</f>
        <v>#REF!</v>
      </c>
      <c r="AV512" t="e">
        <f>AND(#REF!,"AAAAAHHf1y8=")</f>
        <v>#REF!</v>
      </c>
      <c r="AW512" t="e">
        <f>AND(#REF!,"AAAAAHHf1zA=")</f>
        <v>#REF!</v>
      </c>
      <c r="AX512" t="e">
        <f>AND(#REF!,"AAAAAHHf1zE=")</f>
        <v>#REF!</v>
      </c>
      <c r="AY512" t="e">
        <f>AND(#REF!,"AAAAAHHf1zI=")</f>
        <v>#REF!</v>
      </c>
      <c r="AZ512" t="e">
        <f>AND(#REF!,"AAAAAHHf1zM=")</f>
        <v>#REF!</v>
      </c>
      <c r="BA512" t="e">
        <f>AND(#REF!,"AAAAAHHf1zQ=")</f>
        <v>#REF!</v>
      </c>
      <c r="BB512" t="e">
        <f>AND(#REF!,"AAAAAHHf1zU=")</f>
        <v>#REF!</v>
      </c>
      <c r="BC512" t="e">
        <f>AND(#REF!,"AAAAAHHf1zY=")</f>
        <v>#REF!</v>
      </c>
      <c r="BD512" t="e">
        <f>AND(#REF!,"AAAAAHHf1zc=")</f>
        <v>#REF!</v>
      </c>
      <c r="BE512" t="e">
        <f>AND(#REF!,"AAAAAHHf1zg=")</f>
        <v>#REF!</v>
      </c>
      <c r="BF512" t="e">
        <f>AND(#REF!,"AAAAAHHf1zk=")</f>
        <v>#REF!</v>
      </c>
      <c r="BG512" t="e">
        <f>AND(#REF!,"AAAAAHHf1zo=")</f>
        <v>#REF!</v>
      </c>
      <c r="BH512" t="e">
        <f>AND(#REF!,"AAAAAHHf1zs=")</f>
        <v>#REF!</v>
      </c>
      <c r="BI512" t="e">
        <f>AND(#REF!,"AAAAAHHf1zw=")</f>
        <v>#REF!</v>
      </c>
      <c r="BJ512" t="e">
        <f>AND(#REF!,"AAAAAHHf1z0=")</f>
        <v>#REF!</v>
      </c>
      <c r="BK512" t="e">
        <f>AND(#REF!,"AAAAAHHf1z4=")</f>
        <v>#REF!</v>
      </c>
      <c r="BL512" t="e">
        <f>AND(#REF!,"AAAAAHHf1z8=")</f>
        <v>#REF!</v>
      </c>
      <c r="BM512" t="e">
        <f>AND(#REF!,"AAAAAHHf10A=")</f>
        <v>#REF!</v>
      </c>
      <c r="BN512" t="e">
        <f>AND(#REF!,"AAAAAHHf10E=")</f>
        <v>#REF!</v>
      </c>
      <c r="BO512" t="e">
        <f>AND(#REF!,"AAAAAHHf10I=")</f>
        <v>#REF!</v>
      </c>
      <c r="BP512" t="e">
        <f>AND(#REF!,"AAAAAHHf10M=")</f>
        <v>#REF!</v>
      </c>
      <c r="BQ512" t="e">
        <f>AND(#REF!,"AAAAAHHf10Q=")</f>
        <v>#REF!</v>
      </c>
      <c r="BR512" t="e">
        <f>IF(#REF!,"AAAAAHHf10U=",0)</f>
        <v>#REF!</v>
      </c>
      <c r="BS512" t="e">
        <f>AND(#REF!,"AAAAAHHf10Y=")</f>
        <v>#REF!</v>
      </c>
      <c r="BT512" t="e">
        <f>AND(#REF!,"AAAAAHHf10c=")</f>
        <v>#REF!</v>
      </c>
      <c r="BU512" t="e">
        <f>AND(#REF!,"AAAAAHHf10g=")</f>
        <v>#REF!</v>
      </c>
      <c r="BV512" t="e">
        <f>AND(#REF!,"AAAAAHHf10k=")</f>
        <v>#REF!</v>
      </c>
      <c r="BW512" t="e">
        <f>AND(#REF!,"AAAAAHHf10o=")</f>
        <v>#REF!</v>
      </c>
      <c r="BX512" t="e">
        <f>AND(#REF!,"AAAAAHHf10s=")</f>
        <v>#REF!</v>
      </c>
      <c r="BY512" t="e">
        <f>AND(#REF!,"AAAAAHHf10w=")</f>
        <v>#REF!</v>
      </c>
      <c r="BZ512" t="e">
        <f>AND(#REF!,"AAAAAHHf100=")</f>
        <v>#REF!</v>
      </c>
      <c r="CA512" t="e">
        <f>AND(#REF!,"AAAAAHHf104=")</f>
        <v>#REF!</v>
      </c>
      <c r="CB512" t="e">
        <f>AND(#REF!,"AAAAAHHf108=")</f>
        <v>#REF!</v>
      </c>
      <c r="CC512" t="e">
        <f>AND(#REF!,"AAAAAHHf11A=")</f>
        <v>#REF!</v>
      </c>
      <c r="CD512" t="e">
        <f>AND(#REF!,"AAAAAHHf11E=")</f>
        <v>#REF!</v>
      </c>
      <c r="CE512" t="e">
        <f>AND(#REF!,"AAAAAHHf11I=")</f>
        <v>#REF!</v>
      </c>
      <c r="CF512" t="e">
        <f>AND(#REF!,"AAAAAHHf11M=")</f>
        <v>#REF!</v>
      </c>
      <c r="CG512" t="e">
        <f>AND(#REF!,"AAAAAHHf11Q=")</f>
        <v>#REF!</v>
      </c>
      <c r="CH512" t="e">
        <f>AND(#REF!,"AAAAAHHf11U=")</f>
        <v>#REF!</v>
      </c>
      <c r="CI512" t="e">
        <f>AND(#REF!,"AAAAAHHf11Y=")</f>
        <v>#REF!</v>
      </c>
      <c r="CJ512" t="e">
        <f>AND(#REF!,"AAAAAHHf11c=")</f>
        <v>#REF!</v>
      </c>
      <c r="CK512" t="e">
        <f>AND(#REF!,"AAAAAHHf11g=")</f>
        <v>#REF!</v>
      </c>
      <c r="CL512" t="e">
        <f>AND(#REF!,"AAAAAHHf11k=")</f>
        <v>#REF!</v>
      </c>
      <c r="CM512" t="e">
        <f>AND(#REF!,"AAAAAHHf11o=")</f>
        <v>#REF!</v>
      </c>
      <c r="CN512" t="e">
        <f>AND(#REF!,"AAAAAHHf11s=")</f>
        <v>#REF!</v>
      </c>
      <c r="CO512" t="e">
        <f>AND(#REF!,"AAAAAHHf11w=")</f>
        <v>#REF!</v>
      </c>
      <c r="CP512" t="e">
        <f>AND(#REF!,"AAAAAHHf110=")</f>
        <v>#REF!</v>
      </c>
      <c r="CQ512" t="e">
        <f>IF(#REF!,"AAAAAHHf114=",0)</f>
        <v>#REF!</v>
      </c>
      <c r="CR512" t="e">
        <f>AND(#REF!,"AAAAAHHf118=")</f>
        <v>#REF!</v>
      </c>
      <c r="CS512" t="e">
        <f>AND(#REF!,"AAAAAHHf12A=")</f>
        <v>#REF!</v>
      </c>
      <c r="CT512" t="e">
        <f>AND(#REF!,"AAAAAHHf12E=")</f>
        <v>#REF!</v>
      </c>
      <c r="CU512" t="e">
        <f>AND(#REF!,"AAAAAHHf12I=")</f>
        <v>#REF!</v>
      </c>
      <c r="CV512" t="e">
        <f>AND(#REF!,"AAAAAHHf12M=")</f>
        <v>#REF!</v>
      </c>
      <c r="CW512" t="e">
        <f>AND(#REF!,"AAAAAHHf12Q=")</f>
        <v>#REF!</v>
      </c>
      <c r="CX512" t="e">
        <f>AND(#REF!,"AAAAAHHf12U=")</f>
        <v>#REF!</v>
      </c>
      <c r="CY512" t="e">
        <f>AND(#REF!,"AAAAAHHf12Y=")</f>
        <v>#REF!</v>
      </c>
      <c r="CZ512" t="e">
        <f>AND(#REF!,"AAAAAHHf12c=")</f>
        <v>#REF!</v>
      </c>
      <c r="DA512" t="e">
        <f>AND(#REF!,"AAAAAHHf12g=")</f>
        <v>#REF!</v>
      </c>
      <c r="DB512" t="e">
        <f>AND(#REF!,"AAAAAHHf12k=")</f>
        <v>#REF!</v>
      </c>
      <c r="DC512" t="e">
        <f>AND(#REF!,"AAAAAHHf12o=")</f>
        <v>#REF!</v>
      </c>
      <c r="DD512" t="e">
        <f>AND(#REF!,"AAAAAHHf12s=")</f>
        <v>#REF!</v>
      </c>
      <c r="DE512" t="e">
        <f>AND(#REF!,"AAAAAHHf12w=")</f>
        <v>#REF!</v>
      </c>
      <c r="DF512" t="e">
        <f>AND(#REF!,"AAAAAHHf120=")</f>
        <v>#REF!</v>
      </c>
      <c r="DG512" t="e">
        <f>AND(#REF!,"AAAAAHHf124=")</f>
        <v>#REF!</v>
      </c>
      <c r="DH512" t="e">
        <f>AND(#REF!,"AAAAAHHf128=")</f>
        <v>#REF!</v>
      </c>
      <c r="DI512" t="e">
        <f>AND(#REF!,"AAAAAHHf13A=")</f>
        <v>#REF!</v>
      </c>
      <c r="DJ512" t="e">
        <f>AND(#REF!,"AAAAAHHf13E=")</f>
        <v>#REF!</v>
      </c>
      <c r="DK512" t="e">
        <f>AND(#REF!,"AAAAAHHf13I=")</f>
        <v>#REF!</v>
      </c>
      <c r="DL512" t="e">
        <f>AND(#REF!,"AAAAAHHf13M=")</f>
        <v>#REF!</v>
      </c>
      <c r="DM512" t="e">
        <f>AND(#REF!,"AAAAAHHf13Q=")</f>
        <v>#REF!</v>
      </c>
      <c r="DN512" t="e">
        <f>AND(#REF!,"AAAAAHHf13U=")</f>
        <v>#REF!</v>
      </c>
      <c r="DO512" t="e">
        <f>AND(#REF!,"AAAAAHHf13Y=")</f>
        <v>#REF!</v>
      </c>
      <c r="DP512" t="e">
        <f>IF(#REF!,"AAAAAHHf13c=",0)</f>
        <v>#REF!</v>
      </c>
      <c r="DQ512" t="e">
        <f>AND(#REF!,"AAAAAHHf13g=")</f>
        <v>#REF!</v>
      </c>
      <c r="DR512" t="e">
        <f>AND(#REF!,"AAAAAHHf13k=")</f>
        <v>#REF!</v>
      </c>
      <c r="DS512" t="e">
        <f>AND(#REF!,"AAAAAHHf13o=")</f>
        <v>#REF!</v>
      </c>
      <c r="DT512" t="e">
        <f>AND(#REF!,"AAAAAHHf13s=")</f>
        <v>#REF!</v>
      </c>
      <c r="DU512" t="e">
        <f>AND(#REF!,"AAAAAHHf13w=")</f>
        <v>#REF!</v>
      </c>
      <c r="DV512" t="e">
        <f>AND(#REF!,"AAAAAHHf130=")</f>
        <v>#REF!</v>
      </c>
      <c r="DW512" t="e">
        <f>AND(#REF!,"AAAAAHHf134=")</f>
        <v>#REF!</v>
      </c>
      <c r="DX512" t="e">
        <f>AND(#REF!,"AAAAAHHf138=")</f>
        <v>#REF!</v>
      </c>
      <c r="DY512" t="e">
        <f>AND(#REF!,"AAAAAHHf14A=")</f>
        <v>#REF!</v>
      </c>
      <c r="DZ512" t="e">
        <f>AND(#REF!,"AAAAAHHf14E=")</f>
        <v>#REF!</v>
      </c>
      <c r="EA512" t="e">
        <f>AND(#REF!,"AAAAAHHf14I=")</f>
        <v>#REF!</v>
      </c>
      <c r="EB512" t="e">
        <f>AND(#REF!,"AAAAAHHf14M=")</f>
        <v>#REF!</v>
      </c>
      <c r="EC512" t="e">
        <f>AND(#REF!,"AAAAAHHf14Q=")</f>
        <v>#REF!</v>
      </c>
      <c r="ED512" t="e">
        <f>AND(#REF!,"AAAAAHHf14U=")</f>
        <v>#REF!</v>
      </c>
      <c r="EE512" t="e">
        <f>AND(#REF!,"AAAAAHHf14Y=")</f>
        <v>#REF!</v>
      </c>
      <c r="EF512" t="e">
        <f>AND(#REF!,"AAAAAHHf14c=")</f>
        <v>#REF!</v>
      </c>
      <c r="EG512" t="e">
        <f>AND(#REF!,"AAAAAHHf14g=")</f>
        <v>#REF!</v>
      </c>
      <c r="EH512" t="e">
        <f>AND(#REF!,"AAAAAHHf14k=")</f>
        <v>#REF!</v>
      </c>
      <c r="EI512" t="e">
        <f>AND(#REF!,"AAAAAHHf14o=")</f>
        <v>#REF!</v>
      </c>
      <c r="EJ512" t="e">
        <f>AND(#REF!,"AAAAAHHf14s=")</f>
        <v>#REF!</v>
      </c>
      <c r="EK512" t="e">
        <f>AND(#REF!,"AAAAAHHf14w=")</f>
        <v>#REF!</v>
      </c>
      <c r="EL512" t="e">
        <f>AND(#REF!,"AAAAAHHf140=")</f>
        <v>#REF!</v>
      </c>
      <c r="EM512" t="e">
        <f>AND(#REF!,"AAAAAHHf144=")</f>
        <v>#REF!</v>
      </c>
      <c r="EN512" t="e">
        <f>AND(#REF!,"AAAAAHHf148=")</f>
        <v>#REF!</v>
      </c>
      <c r="EO512" t="e">
        <f>IF(#REF!,"AAAAAHHf15A=",0)</f>
        <v>#REF!</v>
      </c>
      <c r="EP512" t="e">
        <f>AND(#REF!,"AAAAAHHf15E=")</f>
        <v>#REF!</v>
      </c>
      <c r="EQ512" t="e">
        <f>AND(#REF!,"AAAAAHHf15I=")</f>
        <v>#REF!</v>
      </c>
      <c r="ER512" t="e">
        <f>AND(#REF!,"AAAAAHHf15M=")</f>
        <v>#REF!</v>
      </c>
      <c r="ES512" t="e">
        <f>AND(#REF!,"AAAAAHHf15Q=")</f>
        <v>#REF!</v>
      </c>
      <c r="ET512" t="e">
        <f>AND(#REF!,"AAAAAHHf15U=")</f>
        <v>#REF!</v>
      </c>
      <c r="EU512" t="e">
        <f>AND(#REF!,"AAAAAHHf15Y=")</f>
        <v>#REF!</v>
      </c>
      <c r="EV512" t="e">
        <f>AND(#REF!,"AAAAAHHf15c=")</f>
        <v>#REF!</v>
      </c>
      <c r="EW512" t="e">
        <f>AND(#REF!,"AAAAAHHf15g=")</f>
        <v>#REF!</v>
      </c>
      <c r="EX512" t="e">
        <f>AND(#REF!,"AAAAAHHf15k=")</f>
        <v>#REF!</v>
      </c>
      <c r="EY512" t="e">
        <f>AND(#REF!,"AAAAAHHf15o=")</f>
        <v>#REF!</v>
      </c>
      <c r="EZ512" t="e">
        <f>AND(#REF!,"AAAAAHHf15s=")</f>
        <v>#REF!</v>
      </c>
      <c r="FA512" t="e">
        <f>AND(#REF!,"AAAAAHHf15w=")</f>
        <v>#REF!</v>
      </c>
      <c r="FB512" t="e">
        <f>AND(#REF!,"AAAAAHHf150=")</f>
        <v>#REF!</v>
      </c>
      <c r="FC512" t="e">
        <f>AND(#REF!,"AAAAAHHf154=")</f>
        <v>#REF!</v>
      </c>
      <c r="FD512" t="e">
        <f>AND(#REF!,"AAAAAHHf158=")</f>
        <v>#REF!</v>
      </c>
      <c r="FE512" t="e">
        <f>AND(#REF!,"AAAAAHHf16A=")</f>
        <v>#REF!</v>
      </c>
      <c r="FF512" t="e">
        <f>AND(#REF!,"AAAAAHHf16E=")</f>
        <v>#REF!</v>
      </c>
      <c r="FG512" t="e">
        <f>AND(#REF!,"AAAAAHHf16I=")</f>
        <v>#REF!</v>
      </c>
      <c r="FH512" t="e">
        <f>AND(#REF!,"AAAAAHHf16M=")</f>
        <v>#REF!</v>
      </c>
      <c r="FI512" t="e">
        <f>AND(#REF!,"AAAAAHHf16Q=")</f>
        <v>#REF!</v>
      </c>
      <c r="FJ512" t="e">
        <f>AND(#REF!,"AAAAAHHf16U=")</f>
        <v>#REF!</v>
      </c>
      <c r="FK512" t="e">
        <f>AND(#REF!,"AAAAAHHf16Y=")</f>
        <v>#REF!</v>
      </c>
      <c r="FL512" t="e">
        <f>AND(#REF!,"AAAAAHHf16c=")</f>
        <v>#REF!</v>
      </c>
      <c r="FM512" t="e">
        <f>AND(#REF!,"AAAAAHHf16g=")</f>
        <v>#REF!</v>
      </c>
      <c r="FN512" t="e">
        <f>IF(#REF!,"AAAAAHHf16k=",0)</f>
        <v>#REF!</v>
      </c>
      <c r="FO512" t="e">
        <f>AND(#REF!,"AAAAAHHf16o=")</f>
        <v>#REF!</v>
      </c>
      <c r="FP512" t="e">
        <f>AND(#REF!,"AAAAAHHf16s=")</f>
        <v>#REF!</v>
      </c>
      <c r="FQ512" t="e">
        <f>AND(#REF!,"AAAAAHHf16w=")</f>
        <v>#REF!</v>
      </c>
      <c r="FR512" t="e">
        <f>AND(#REF!,"AAAAAHHf160=")</f>
        <v>#REF!</v>
      </c>
      <c r="FS512" t="e">
        <f>AND(#REF!,"AAAAAHHf164=")</f>
        <v>#REF!</v>
      </c>
      <c r="FT512" t="e">
        <f>AND(#REF!,"AAAAAHHf168=")</f>
        <v>#REF!</v>
      </c>
      <c r="FU512" t="e">
        <f>AND(#REF!,"AAAAAHHf17A=")</f>
        <v>#REF!</v>
      </c>
      <c r="FV512" t="e">
        <f>AND(#REF!,"AAAAAHHf17E=")</f>
        <v>#REF!</v>
      </c>
      <c r="FW512" t="e">
        <f>AND(#REF!,"AAAAAHHf17I=")</f>
        <v>#REF!</v>
      </c>
      <c r="FX512" t="e">
        <f>AND(#REF!,"AAAAAHHf17M=")</f>
        <v>#REF!</v>
      </c>
      <c r="FY512" t="e">
        <f>AND(#REF!,"AAAAAHHf17Q=")</f>
        <v>#REF!</v>
      </c>
      <c r="FZ512" t="e">
        <f>AND(#REF!,"AAAAAHHf17U=")</f>
        <v>#REF!</v>
      </c>
      <c r="GA512" t="e">
        <f>AND(#REF!,"AAAAAHHf17Y=")</f>
        <v>#REF!</v>
      </c>
      <c r="GB512" t="e">
        <f>AND(#REF!,"AAAAAHHf17c=")</f>
        <v>#REF!</v>
      </c>
      <c r="GC512" t="e">
        <f>AND(#REF!,"AAAAAHHf17g=")</f>
        <v>#REF!</v>
      </c>
      <c r="GD512" t="e">
        <f>AND(#REF!,"AAAAAHHf17k=")</f>
        <v>#REF!</v>
      </c>
      <c r="GE512" t="e">
        <f>AND(#REF!,"AAAAAHHf17o=")</f>
        <v>#REF!</v>
      </c>
      <c r="GF512" t="e">
        <f>AND(#REF!,"AAAAAHHf17s=")</f>
        <v>#REF!</v>
      </c>
      <c r="GG512" t="e">
        <f>AND(#REF!,"AAAAAHHf17w=")</f>
        <v>#REF!</v>
      </c>
      <c r="GH512" t="e">
        <f>AND(#REF!,"AAAAAHHf170=")</f>
        <v>#REF!</v>
      </c>
      <c r="GI512" t="e">
        <f>AND(#REF!,"AAAAAHHf174=")</f>
        <v>#REF!</v>
      </c>
      <c r="GJ512" t="e">
        <f>AND(#REF!,"AAAAAHHf178=")</f>
        <v>#REF!</v>
      </c>
      <c r="GK512" t="e">
        <f>AND(#REF!,"AAAAAHHf18A=")</f>
        <v>#REF!</v>
      </c>
      <c r="GL512" t="e">
        <f>AND(#REF!,"AAAAAHHf18E=")</f>
        <v>#REF!</v>
      </c>
      <c r="GM512" t="e">
        <f>IF(#REF!,"AAAAAHHf18I=",0)</f>
        <v>#REF!</v>
      </c>
      <c r="GN512" t="e">
        <f>AND(#REF!,"AAAAAHHf18M=")</f>
        <v>#REF!</v>
      </c>
      <c r="GO512" t="e">
        <f>AND(#REF!,"AAAAAHHf18Q=")</f>
        <v>#REF!</v>
      </c>
      <c r="GP512" t="e">
        <f>AND(#REF!,"AAAAAHHf18U=")</f>
        <v>#REF!</v>
      </c>
      <c r="GQ512" t="e">
        <f>AND(#REF!,"AAAAAHHf18Y=")</f>
        <v>#REF!</v>
      </c>
      <c r="GR512" t="e">
        <f>AND(#REF!,"AAAAAHHf18c=")</f>
        <v>#REF!</v>
      </c>
      <c r="GS512" t="e">
        <f>AND(#REF!,"AAAAAHHf18g=")</f>
        <v>#REF!</v>
      </c>
      <c r="GT512" t="e">
        <f>AND(#REF!,"AAAAAHHf18k=")</f>
        <v>#REF!</v>
      </c>
      <c r="GU512" t="e">
        <f>AND(#REF!,"AAAAAHHf18o=")</f>
        <v>#REF!</v>
      </c>
      <c r="GV512" t="e">
        <f>AND(#REF!,"AAAAAHHf18s=")</f>
        <v>#REF!</v>
      </c>
      <c r="GW512" t="e">
        <f>AND(#REF!,"AAAAAHHf18w=")</f>
        <v>#REF!</v>
      </c>
      <c r="GX512" t="e">
        <f>AND(#REF!,"AAAAAHHf180=")</f>
        <v>#REF!</v>
      </c>
      <c r="GY512" t="e">
        <f>AND(#REF!,"AAAAAHHf184=")</f>
        <v>#REF!</v>
      </c>
      <c r="GZ512" t="e">
        <f>AND(#REF!,"AAAAAHHf188=")</f>
        <v>#REF!</v>
      </c>
      <c r="HA512" t="e">
        <f>AND(#REF!,"AAAAAHHf19A=")</f>
        <v>#REF!</v>
      </c>
      <c r="HB512" t="e">
        <f>AND(#REF!,"AAAAAHHf19E=")</f>
        <v>#REF!</v>
      </c>
      <c r="HC512" t="e">
        <f>AND(#REF!,"AAAAAHHf19I=")</f>
        <v>#REF!</v>
      </c>
      <c r="HD512" t="e">
        <f>AND(#REF!,"AAAAAHHf19M=")</f>
        <v>#REF!</v>
      </c>
      <c r="HE512" t="e">
        <f>AND(#REF!,"AAAAAHHf19Q=")</f>
        <v>#REF!</v>
      </c>
      <c r="HF512" t="e">
        <f>AND(#REF!,"AAAAAHHf19U=")</f>
        <v>#REF!</v>
      </c>
      <c r="HG512" t="e">
        <f>AND(#REF!,"AAAAAHHf19Y=")</f>
        <v>#REF!</v>
      </c>
      <c r="HH512" t="e">
        <f>AND(#REF!,"AAAAAHHf19c=")</f>
        <v>#REF!</v>
      </c>
      <c r="HI512" t="e">
        <f>AND(#REF!,"AAAAAHHf19g=")</f>
        <v>#REF!</v>
      </c>
      <c r="HJ512" t="e">
        <f>AND(#REF!,"AAAAAHHf19k=")</f>
        <v>#REF!</v>
      </c>
      <c r="HK512" t="e">
        <f>AND(#REF!,"AAAAAHHf19o=")</f>
        <v>#REF!</v>
      </c>
      <c r="HL512" t="e">
        <f>IF(#REF!,"AAAAAHHf19s=",0)</f>
        <v>#REF!</v>
      </c>
      <c r="HM512" t="e">
        <f>AND(#REF!,"AAAAAHHf19w=")</f>
        <v>#REF!</v>
      </c>
      <c r="HN512" t="e">
        <f>AND(#REF!,"AAAAAHHf190=")</f>
        <v>#REF!</v>
      </c>
      <c r="HO512" t="e">
        <f>AND(#REF!,"AAAAAHHf194=")</f>
        <v>#REF!</v>
      </c>
      <c r="HP512" t="e">
        <f>AND(#REF!,"AAAAAHHf198=")</f>
        <v>#REF!</v>
      </c>
      <c r="HQ512" t="e">
        <f>AND(#REF!,"AAAAAHHf1+A=")</f>
        <v>#REF!</v>
      </c>
      <c r="HR512" t="e">
        <f>AND(#REF!,"AAAAAHHf1+E=")</f>
        <v>#REF!</v>
      </c>
      <c r="HS512" t="e">
        <f>AND(#REF!,"AAAAAHHf1+I=")</f>
        <v>#REF!</v>
      </c>
      <c r="HT512" t="e">
        <f>AND(#REF!,"AAAAAHHf1+M=")</f>
        <v>#REF!</v>
      </c>
      <c r="HU512" t="e">
        <f>AND(#REF!,"AAAAAHHf1+Q=")</f>
        <v>#REF!</v>
      </c>
      <c r="HV512" t="e">
        <f>AND(#REF!,"AAAAAHHf1+U=")</f>
        <v>#REF!</v>
      </c>
      <c r="HW512" t="e">
        <f>AND(#REF!,"AAAAAHHf1+Y=")</f>
        <v>#REF!</v>
      </c>
      <c r="HX512" t="e">
        <f>AND(#REF!,"AAAAAHHf1+c=")</f>
        <v>#REF!</v>
      </c>
      <c r="HY512" t="e">
        <f>AND(#REF!,"AAAAAHHf1+g=")</f>
        <v>#REF!</v>
      </c>
      <c r="HZ512" t="e">
        <f>AND(#REF!,"AAAAAHHf1+k=")</f>
        <v>#REF!</v>
      </c>
      <c r="IA512" t="e">
        <f>AND(#REF!,"AAAAAHHf1+o=")</f>
        <v>#REF!</v>
      </c>
      <c r="IB512" t="e">
        <f>AND(#REF!,"AAAAAHHf1+s=")</f>
        <v>#REF!</v>
      </c>
      <c r="IC512" t="e">
        <f>AND(#REF!,"AAAAAHHf1+w=")</f>
        <v>#REF!</v>
      </c>
      <c r="ID512" t="e">
        <f>AND(#REF!,"AAAAAHHf1+0=")</f>
        <v>#REF!</v>
      </c>
      <c r="IE512" t="e">
        <f>AND(#REF!,"AAAAAHHf1+4=")</f>
        <v>#REF!</v>
      </c>
      <c r="IF512" t="e">
        <f>AND(#REF!,"AAAAAHHf1+8=")</f>
        <v>#REF!</v>
      </c>
      <c r="IG512" t="e">
        <f>AND(#REF!,"AAAAAHHf1/A=")</f>
        <v>#REF!</v>
      </c>
      <c r="IH512" t="e">
        <f>AND(#REF!,"AAAAAHHf1/E=")</f>
        <v>#REF!</v>
      </c>
      <c r="II512" t="e">
        <f>AND(#REF!,"AAAAAHHf1/I=")</f>
        <v>#REF!</v>
      </c>
      <c r="IJ512" t="e">
        <f>AND(#REF!,"AAAAAHHf1/M=")</f>
        <v>#REF!</v>
      </c>
      <c r="IK512" t="e">
        <f>IF(#REF!,"AAAAAHHf1/Q=",0)</f>
        <v>#REF!</v>
      </c>
      <c r="IL512" t="e">
        <f>AND(#REF!,"AAAAAHHf1/U=")</f>
        <v>#REF!</v>
      </c>
      <c r="IM512" t="e">
        <f>AND(#REF!,"AAAAAHHf1/Y=")</f>
        <v>#REF!</v>
      </c>
      <c r="IN512" t="e">
        <f>AND(#REF!,"AAAAAHHf1/c=")</f>
        <v>#REF!</v>
      </c>
      <c r="IO512" t="e">
        <f>AND(#REF!,"AAAAAHHf1/g=")</f>
        <v>#REF!</v>
      </c>
      <c r="IP512" t="e">
        <f>AND(#REF!,"AAAAAHHf1/k=")</f>
        <v>#REF!</v>
      </c>
      <c r="IQ512" t="e">
        <f>AND(#REF!,"AAAAAHHf1/o=")</f>
        <v>#REF!</v>
      </c>
      <c r="IR512" t="e">
        <f>AND(#REF!,"AAAAAHHf1/s=")</f>
        <v>#REF!</v>
      </c>
      <c r="IS512" t="e">
        <f>AND(#REF!,"AAAAAHHf1/w=")</f>
        <v>#REF!</v>
      </c>
      <c r="IT512" t="e">
        <f>AND(#REF!,"AAAAAHHf1/0=")</f>
        <v>#REF!</v>
      </c>
      <c r="IU512" t="e">
        <f>AND(#REF!,"AAAAAHHf1/4=")</f>
        <v>#REF!</v>
      </c>
      <c r="IV512" t="e">
        <f>AND(#REF!,"AAAAAHHf1/8=")</f>
        <v>#REF!</v>
      </c>
    </row>
    <row r="513" spans="1:256">
      <c r="A513" t="e">
        <f>AND(#REF!,"AAAAAG78+wA=")</f>
        <v>#REF!</v>
      </c>
      <c r="B513" t="e">
        <f>AND(#REF!,"AAAAAG78+wE=")</f>
        <v>#REF!</v>
      </c>
      <c r="C513" t="e">
        <f>AND(#REF!,"AAAAAG78+wI=")</f>
        <v>#REF!</v>
      </c>
      <c r="D513" t="e">
        <f>AND(#REF!,"AAAAAG78+wM=")</f>
        <v>#REF!</v>
      </c>
      <c r="E513" t="e">
        <f>AND(#REF!,"AAAAAG78+wQ=")</f>
        <v>#REF!</v>
      </c>
      <c r="F513" t="e">
        <f>AND(#REF!,"AAAAAG78+wU=")</f>
        <v>#REF!</v>
      </c>
      <c r="G513" t="e">
        <f>AND(#REF!,"AAAAAG78+wY=")</f>
        <v>#REF!</v>
      </c>
      <c r="H513" t="e">
        <f>AND(#REF!,"AAAAAG78+wc=")</f>
        <v>#REF!</v>
      </c>
      <c r="I513" t="e">
        <f>AND(#REF!,"AAAAAG78+wg=")</f>
        <v>#REF!</v>
      </c>
      <c r="J513" t="e">
        <f>AND(#REF!,"AAAAAG78+wk=")</f>
        <v>#REF!</v>
      </c>
      <c r="K513" t="e">
        <f>AND(#REF!,"AAAAAG78+wo=")</f>
        <v>#REF!</v>
      </c>
      <c r="L513" t="e">
        <f>AND(#REF!,"AAAAAG78+ws=")</f>
        <v>#REF!</v>
      </c>
      <c r="M513" t="e">
        <f>AND(#REF!,"AAAAAG78+ww=")</f>
        <v>#REF!</v>
      </c>
      <c r="N513" t="e">
        <f>IF(#REF!,"AAAAAG78+w0=",0)</f>
        <v>#REF!</v>
      </c>
      <c r="O513" t="e">
        <f>AND(#REF!,"AAAAAG78+w4=")</f>
        <v>#REF!</v>
      </c>
      <c r="P513" t="e">
        <f>AND(#REF!,"AAAAAG78+w8=")</f>
        <v>#REF!</v>
      </c>
      <c r="Q513" t="e">
        <f>AND(#REF!,"AAAAAG78+xA=")</f>
        <v>#REF!</v>
      </c>
      <c r="R513" t="e">
        <f>AND(#REF!,"AAAAAG78+xE=")</f>
        <v>#REF!</v>
      </c>
      <c r="S513" t="e">
        <f>AND(#REF!,"AAAAAG78+xI=")</f>
        <v>#REF!</v>
      </c>
      <c r="T513" t="e">
        <f>AND(#REF!,"AAAAAG78+xM=")</f>
        <v>#REF!</v>
      </c>
      <c r="U513" t="e">
        <f>AND(#REF!,"AAAAAG78+xQ=")</f>
        <v>#REF!</v>
      </c>
      <c r="V513" t="e">
        <f>AND(#REF!,"AAAAAG78+xU=")</f>
        <v>#REF!</v>
      </c>
      <c r="W513" t="e">
        <f>AND(#REF!,"AAAAAG78+xY=")</f>
        <v>#REF!</v>
      </c>
      <c r="X513" t="e">
        <f>AND(#REF!,"AAAAAG78+xc=")</f>
        <v>#REF!</v>
      </c>
      <c r="Y513" t="e">
        <f>AND(#REF!,"AAAAAG78+xg=")</f>
        <v>#REF!</v>
      </c>
      <c r="Z513" t="e">
        <f>AND(#REF!,"AAAAAG78+xk=")</f>
        <v>#REF!</v>
      </c>
      <c r="AA513" t="e">
        <f>AND(#REF!,"AAAAAG78+xo=")</f>
        <v>#REF!</v>
      </c>
      <c r="AB513" t="e">
        <f>AND(#REF!,"AAAAAG78+xs=")</f>
        <v>#REF!</v>
      </c>
      <c r="AC513" t="e">
        <f>AND(#REF!,"AAAAAG78+xw=")</f>
        <v>#REF!</v>
      </c>
      <c r="AD513" t="e">
        <f>AND(#REF!,"AAAAAG78+x0=")</f>
        <v>#REF!</v>
      </c>
      <c r="AE513" t="e">
        <f>AND(#REF!,"AAAAAG78+x4=")</f>
        <v>#REF!</v>
      </c>
      <c r="AF513" t="e">
        <f>AND(#REF!,"AAAAAG78+x8=")</f>
        <v>#REF!</v>
      </c>
      <c r="AG513" t="e">
        <f>AND(#REF!,"AAAAAG78+yA=")</f>
        <v>#REF!</v>
      </c>
      <c r="AH513" t="e">
        <f>AND(#REF!,"AAAAAG78+yE=")</f>
        <v>#REF!</v>
      </c>
      <c r="AI513" t="e">
        <f>AND(#REF!,"AAAAAG78+yI=")</f>
        <v>#REF!</v>
      </c>
      <c r="AJ513" t="e">
        <f>AND(#REF!,"AAAAAG78+yM=")</f>
        <v>#REF!</v>
      </c>
      <c r="AK513" t="e">
        <f>AND(#REF!,"AAAAAG78+yQ=")</f>
        <v>#REF!</v>
      </c>
      <c r="AL513" t="e">
        <f>AND(#REF!,"AAAAAG78+yU=")</f>
        <v>#REF!</v>
      </c>
      <c r="AM513" t="e">
        <f>IF(#REF!,"AAAAAG78+yY=",0)</f>
        <v>#REF!</v>
      </c>
      <c r="AN513" t="e">
        <f>AND(#REF!,"AAAAAG78+yc=")</f>
        <v>#REF!</v>
      </c>
      <c r="AO513" t="e">
        <f>AND(#REF!,"AAAAAG78+yg=")</f>
        <v>#REF!</v>
      </c>
      <c r="AP513" t="e">
        <f>AND(#REF!,"AAAAAG78+yk=")</f>
        <v>#REF!</v>
      </c>
      <c r="AQ513" t="e">
        <f>AND(#REF!,"AAAAAG78+yo=")</f>
        <v>#REF!</v>
      </c>
      <c r="AR513" t="e">
        <f>AND(#REF!,"AAAAAG78+ys=")</f>
        <v>#REF!</v>
      </c>
      <c r="AS513" t="e">
        <f>AND(#REF!,"AAAAAG78+yw=")</f>
        <v>#REF!</v>
      </c>
      <c r="AT513" t="e">
        <f>AND(#REF!,"AAAAAG78+y0=")</f>
        <v>#REF!</v>
      </c>
      <c r="AU513" t="e">
        <f>AND(#REF!,"AAAAAG78+y4=")</f>
        <v>#REF!</v>
      </c>
      <c r="AV513" t="e">
        <f>AND(#REF!,"AAAAAG78+y8=")</f>
        <v>#REF!</v>
      </c>
      <c r="AW513" t="e">
        <f>AND(#REF!,"AAAAAG78+zA=")</f>
        <v>#REF!</v>
      </c>
      <c r="AX513" t="e">
        <f>AND(#REF!,"AAAAAG78+zE=")</f>
        <v>#REF!</v>
      </c>
      <c r="AY513" t="e">
        <f>AND(#REF!,"AAAAAG78+zI=")</f>
        <v>#REF!</v>
      </c>
      <c r="AZ513" t="e">
        <f>AND(#REF!,"AAAAAG78+zM=")</f>
        <v>#REF!</v>
      </c>
      <c r="BA513" t="e">
        <f>AND(#REF!,"AAAAAG78+zQ=")</f>
        <v>#REF!</v>
      </c>
      <c r="BB513" t="e">
        <f>AND(#REF!,"AAAAAG78+zU=")</f>
        <v>#REF!</v>
      </c>
      <c r="BC513" t="e">
        <f>AND(#REF!,"AAAAAG78+zY=")</f>
        <v>#REF!</v>
      </c>
      <c r="BD513" t="e">
        <f>AND(#REF!,"AAAAAG78+zc=")</f>
        <v>#REF!</v>
      </c>
      <c r="BE513" t="e">
        <f>AND(#REF!,"AAAAAG78+zg=")</f>
        <v>#REF!</v>
      </c>
      <c r="BF513" t="e">
        <f>AND(#REF!,"AAAAAG78+zk=")</f>
        <v>#REF!</v>
      </c>
      <c r="BG513" t="e">
        <f>AND(#REF!,"AAAAAG78+zo=")</f>
        <v>#REF!</v>
      </c>
      <c r="BH513" t="e">
        <f>AND(#REF!,"AAAAAG78+zs=")</f>
        <v>#REF!</v>
      </c>
      <c r="BI513" t="e">
        <f>AND(#REF!,"AAAAAG78+zw=")</f>
        <v>#REF!</v>
      </c>
      <c r="BJ513" t="e">
        <f>AND(#REF!,"AAAAAG78+z0=")</f>
        <v>#REF!</v>
      </c>
      <c r="BK513" t="e">
        <f>AND(#REF!,"AAAAAG78+z4=")</f>
        <v>#REF!</v>
      </c>
      <c r="BL513" t="e">
        <f>IF(#REF!,"AAAAAG78+z8=",0)</f>
        <v>#REF!</v>
      </c>
      <c r="BM513" t="e">
        <f>AND(#REF!,"AAAAAG78+0A=")</f>
        <v>#REF!</v>
      </c>
      <c r="BN513" t="e">
        <f>AND(#REF!,"AAAAAG78+0E=")</f>
        <v>#REF!</v>
      </c>
      <c r="BO513" t="e">
        <f>AND(#REF!,"AAAAAG78+0I=")</f>
        <v>#REF!</v>
      </c>
      <c r="BP513" t="e">
        <f>AND(#REF!,"AAAAAG78+0M=")</f>
        <v>#REF!</v>
      </c>
      <c r="BQ513" t="e">
        <f>AND(#REF!,"AAAAAG78+0Q=")</f>
        <v>#REF!</v>
      </c>
      <c r="BR513" t="e">
        <f>AND(#REF!,"AAAAAG78+0U=")</f>
        <v>#REF!</v>
      </c>
      <c r="BS513" t="e">
        <f>AND(#REF!,"AAAAAG78+0Y=")</f>
        <v>#REF!</v>
      </c>
      <c r="BT513" t="e">
        <f>AND(#REF!,"AAAAAG78+0c=")</f>
        <v>#REF!</v>
      </c>
      <c r="BU513" t="e">
        <f>AND(#REF!,"AAAAAG78+0g=")</f>
        <v>#REF!</v>
      </c>
      <c r="BV513" t="e">
        <f>AND(#REF!,"AAAAAG78+0k=")</f>
        <v>#REF!</v>
      </c>
      <c r="BW513" t="e">
        <f>AND(#REF!,"AAAAAG78+0o=")</f>
        <v>#REF!</v>
      </c>
      <c r="BX513" t="e">
        <f>AND(#REF!,"AAAAAG78+0s=")</f>
        <v>#REF!</v>
      </c>
      <c r="BY513" t="e">
        <f>AND(#REF!,"AAAAAG78+0w=")</f>
        <v>#REF!</v>
      </c>
      <c r="BZ513" t="e">
        <f>AND(#REF!,"AAAAAG78+00=")</f>
        <v>#REF!</v>
      </c>
      <c r="CA513" t="e">
        <f>AND(#REF!,"AAAAAG78+04=")</f>
        <v>#REF!</v>
      </c>
      <c r="CB513" t="e">
        <f>AND(#REF!,"AAAAAG78+08=")</f>
        <v>#REF!</v>
      </c>
      <c r="CC513" t="e">
        <f>AND(#REF!,"AAAAAG78+1A=")</f>
        <v>#REF!</v>
      </c>
      <c r="CD513" t="e">
        <f>AND(#REF!,"AAAAAG78+1E=")</f>
        <v>#REF!</v>
      </c>
      <c r="CE513" t="e">
        <f>AND(#REF!,"AAAAAG78+1I=")</f>
        <v>#REF!</v>
      </c>
      <c r="CF513" t="e">
        <f>AND(#REF!,"AAAAAG78+1M=")</f>
        <v>#REF!</v>
      </c>
      <c r="CG513" t="e">
        <f>AND(#REF!,"AAAAAG78+1Q=")</f>
        <v>#REF!</v>
      </c>
      <c r="CH513" t="e">
        <f>AND(#REF!,"AAAAAG78+1U=")</f>
        <v>#REF!</v>
      </c>
      <c r="CI513" t="e">
        <f>AND(#REF!,"AAAAAG78+1Y=")</f>
        <v>#REF!</v>
      </c>
      <c r="CJ513" t="e">
        <f>AND(#REF!,"AAAAAG78+1c=")</f>
        <v>#REF!</v>
      </c>
      <c r="CK513" t="e">
        <f>IF(#REF!,"AAAAAG78+1g=",0)</f>
        <v>#REF!</v>
      </c>
      <c r="CL513" t="e">
        <f>AND(#REF!,"AAAAAG78+1k=")</f>
        <v>#REF!</v>
      </c>
      <c r="CM513" t="e">
        <f>AND(#REF!,"AAAAAG78+1o=")</f>
        <v>#REF!</v>
      </c>
      <c r="CN513" t="e">
        <f>AND(#REF!,"AAAAAG78+1s=")</f>
        <v>#REF!</v>
      </c>
      <c r="CO513" t="e">
        <f>AND(#REF!,"AAAAAG78+1w=")</f>
        <v>#REF!</v>
      </c>
      <c r="CP513" t="e">
        <f>AND(#REF!,"AAAAAG78+10=")</f>
        <v>#REF!</v>
      </c>
      <c r="CQ513" t="e">
        <f>AND(#REF!,"AAAAAG78+14=")</f>
        <v>#REF!</v>
      </c>
      <c r="CR513" t="e">
        <f>AND(#REF!,"AAAAAG78+18=")</f>
        <v>#REF!</v>
      </c>
      <c r="CS513" t="e">
        <f>AND(#REF!,"AAAAAG78+2A=")</f>
        <v>#REF!</v>
      </c>
      <c r="CT513" t="e">
        <f>AND(#REF!,"AAAAAG78+2E=")</f>
        <v>#REF!</v>
      </c>
      <c r="CU513" t="e">
        <f>AND(#REF!,"AAAAAG78+2I=")</f>
        <v>#REF!</v>
      </c>
      <c r="CV513" t="e">
        <f>AND(#REF!,"AAAAAG78+2M=")</f>
        <v>#REF!</v>
      </c>
      <c r="CW513" t="e">
        <f>AND(#REF!,"AAAAAG78+2Q=")</f>
        <v>#REF!</v>
      </c>
      <c r="CX513" t="e">
        <f>AND(#REF!,"AAAAAG78+2U=")</f>
        <v>#REF!</v>
      </c>
      <c r="CY513" t="e">
        <f>AND(#REF!,"AAAAAG78+2Y=")</f>
        <v>#REF!</v>
      </c>
      <c r="CZ513" t="e">
        <f>AND(#REF!,"AAAAAG78+2c=")</f>
        <v>#REF!</v>
      </c>
      <c r="DA513" t="e">
        <f>AND(#REF!,"AAAAAG78+2g=")</f>
        <v>#REF!</v>
      </c>
      <c r="DB513" t="e">
        <f>AND(#REF!,"AAAAAG78+2k=")</f>
        <v>#REF!</v>
      </c>
      <c r="DC513" t="e">
        <f>AND(#REF!,"AAAAAG78+2o=")</f>
        <v>#REF!</v>
      </c>
      <c r="DD513" t="e">
        <f>AND(#REF!,"AAAAAG78+2s=")</f>
        <v>#REF!</v>
      </c>
      <c r="DE513" t="e">
        <f>AND(#REF!,"AAAAAG78+2w=")</f>
        <v>#REF!</v>
      </c>
      <c r="DF513" t="e">
        <f>AND(#REF!,"AAAAAG78+20=")</f>
        <v>#REF!</v>
      </c>
      <c r="DG513" t="e">
        <f>AND(#REF!,"AAAAAG78+24=")</f>
        <v>#REF!</v>
      </c>
      <c r="DH513" t="e">
        <f>AND(#REF!,"AAAAAG78+28=")</f>
        <v>#REF!</v>
      </c>
      <c r="DI513" t="e">
        <f>AND(#REF!,"AAAAAG78+3A=")</f>
        <v>#REF!</v>
      </c>
      <c r="DJ513" t="e">
        <f>IF(#REF!,"AAAAAG78+3E=",0)</f>
        <v>#REF!</v>
      </c>
      <c r="DK513" t="e">
        <f>AND(#REF!,"AAAAAG78+3I=")</f>
        <v>#REF!</v>
      </c>
      <c r="DL513" t="e">
        <f>AND(#REF!,"AAAAAG78+3M=")</f>
        <v>#REF!</v>
      </c>
      <c r="DM513" t="e">
        <f>AND(#REF!,"AAAAAG78+3Q=")</f>
        <v>#REF!</v>
      </c>
      <c r="DN513" t="e">
        <f>AND(#REF!,"AAAAAG78+3U=")</f>
        <v>#REF!</v>
      </c>
      <c r="DO513" t="e">
        <f>AND(#REF!,"AAAAAG78+3Y=")</f>
        <v>#REF!</v>
      </c>
      <c r="DP513" t="e">
        <f>AND(#REF!,"AAAAAG78+3c=")</f>
        <v>#REF!</v>
      </c>
      <c r="DQ513" t="e">
        <f>AND(#REF!,"AAAAAG78+3g=")</f>
        <v>#REF!</v>
      </c>
      <c r="DR513" t="e">
        <f>AND(#REF!,"AAAAAG78+3k=")</f>
        <v>#REF!</v>
      </c>
      <c r="DS513" t="e">
        <f>AND(#REF!,"AAAAAG78+3o=")</f>
        <v>#REF!</v>
      </c>
      <c r="DT513" t="e">
        <f>AND(#REF!,"AAAAAG78+3s=")</f>
        <v>#REF!</v>
      </c>
      <c r="DU513" t="e">
        <f>AND(#REF!,"AAAAAG78+3w=")</f>
        <v>#REF!</v>
      </c>
      <c r="DV513" t="e">
        <f>AND(#REF!,"AAAAAG78+30=")</f>
        <v>#REF!</v>
      </c>
      <c r="DW513" t="e">
        <f>AND(#REF!,"AAAAAG78+34=")</f>
        <v>#REF!</v>
      </c>
      <c r="DX513" t="e">
        <f>AND(#REF!,"AAAAAG78+38=")</f>
        <v>#REF!</v>
      </c>
      <c r="DY513" t="e">
        <f>AND(#REF!,"AAAAAG78+4A=")</f>
        <v>#REF!</v>
      </c>
      <c r="DZ513" t="e">
        <f>AND(#REF!,"AAAAAG78+4E=")</f>
        <v>#REF!</v>
      </c>
      <c r="EA513" t="e">
        <f>AND(#REF!,"AAAAAG78+4I=")</f>
        <v>#REF!</v>
      </c>
      <c r="EB513" t="e">
        <f>AND(#REF!,"AAAAAG78+4M=")</f>
        <v>#REF!</v>
      </c>
      <c r="EC513" t="e">
        <f>AND(#REF!,"AAAAAG78+4Q=")</f>
        <v>#REF!</v>
      </c>
      <c r="ED513" t="e">
        <f>AND(#REF!,"AAAAAG78+4U=")</f>
        <v>#REF!</v>
      </c>
      <c r="EE513" t="e">
        <f>AND(#REF!,"AAAAAG78+4Y=")</f>
        <v>#REF!</v>
      </c>
      <c r="EF513" t="e">
        <f>AND(#REF!,"AAAAAG78+4c=")</f>
        <v>#REF!</v>
      </c>
      <c r="EG513" t="e">
        <f>AND(#REF!,"AAAAAG78+4g=")</f>
        <v>#REF!</v>
      </c>
      <c r="EH513" t="e">
        <f>AND(#REF!,"AAAAAG78+4k=")</f>
        <v>#REF!</v>
      </c>
      <c r="EI513" t="e">
        <f>IF(#REF!,"AAAAAG78+4o=",0)</f>
        <v>#REF!</v>
      </c>
      <c r="EJ513" t="e">
        <f>AND(#REF!,"AAAAAG78+4s=")</f>
        <v>#REF!</v>
      </c>
      <c r="EK513" t="e">
        <f>AND(#REF!,"AAAAAG78+4w=")</f>
        <v>#REF!</v>
      </c>
      <c r="EL513" t="e">
        <f>AND(#REF!,"AAAAAG78+40=")</f>
        <v>#REF!</v>
      </c>
      <c r="EM513" t="e">
        <f>AND(#REF!,"AAAAAG78+44=")</f>
        <v>#REF!</v>
      </c>
      <c r="EN513" t="e">
        <f>AND(#REF!,"AAAAAG78+48=")</f>
        <v>#REF!</v>
      </c>
      <c r="EO513" t="e">
        <f>AND(#REF!,"AAAAAG78+5A=")</f>
        <v>#REF!</v>
      </c>
      <c r="EP513" t="e">
        <f>AND(#REF!,"AAAAAG78+5E=")</f>
        <v>#REF!</v>
      </c>
      <c r="EQ513" t="e">
        <f>AND(#REF!,"AAAAAG78+5I=")</f>
        <v>#REF!</v>
      </c>
      <c r="ER513" t="e">
        <f>AND(#REF!,"AAAAAG78+5M=")</f>
        <v>#REF!</v>
      </c>
      <c r="ES513" t="e">
        <f>AND(#REF!,"AAAAAG78+5Q=")</f>
        <v>#REF!</v>
      </c>
      <c r="ET513" t="e">
        <f>AND(#REF!,"AAAAAG78+5U=")</f>
        <v>#REF!</v>
      </c>
      <c r="EU513" t="e">
        <f>AND(#REF!,"AAAAAG78+5Y=")</f>
        <v>#REF!</v>
      </c>
      <c r="EV513" t="e">
        <f>AND(#REF!,"AAAAAG78+5c=")</f>
        <v>#REF!</v>
      </c>
      <c r="EW513" t="e">
        <f>AND(#REF!,"AAAAAG78+5g=")</f>
        <v>#REF!</v>
      </c>
      <c r="EX513" t="e">
        <f>AND(#REF!,"AAAAAG78+5k=")</f>
        <v>#REF!</v>
      </c>
      <c r="EY513" t="e">
        <f>AND(#REF!,"AAAAAG78+5o=")</f>
        <v>#REF!</v>
      </c>
      <c r="EZ513" t="e">
        <f>AND(#REF!,"AAAAAG78+5s=")</f>
        <v>#REF!</v>
      </c>
      <c r="FA513" t="e">
        <f>AND(#REF!,"AAAAAG78+5w=")</f>
        <v>#REF!</v>
      </c>
      <c r="FB513" t="e">
        <f>AND(#REF!,"AAAAAG78+50=")</f>
        <v>#REF!</v>
      </c>
      <c r="FC513" t="e">
        <f>AND(#REF!,"AAAAAG78+54=")</f>
        <v>#REF!</v>
      </c>
      <c r="FD513" t="e">
        <f>AND(#REF!,"AAAAAG78+58=")</f>
        <v>#REF!</v>
      </c>
      <c r="FE513" t="e">
        <f>AND(#REF!,"AAAAAG78+6A=")</f>
        <v>#REF!</v>
      </c>
      <c r="FF513" t="e">
        <f>AND(#REF!,"AAAAAG78+6E=")</f>
        <v>#REF!</v>
      </c>
      <c r="FG513" t="e">
        <f>AND(#REF!,"AAAAAG78+6I=")</f>
        <v>#REF!</v>
      </c>
      <c r="FH513" t="e">
        <f>IF(#REF!,"AAAAAG78+6M=",0)</f>
        <v>#REF!</v>
      </c>
      <c r="FI513" t="e">
        <f>AND(#REF!,"AAAAAG78+6Q=")</f>
        <v>#REF!</v>
      </c>
      <c r="FJ513" t="e">
        <f>AND(#REF!,"AAAAAG78+6U=")</f>
        <v>#REF!</v>
      </c>
      <c r="FK513" t="e">
        <f>AND(#REF!,"AAAAAG78+6Y=")</f>
        <v>#REF!</v>
      </c>
      <c r="FL513" t="e">
        <f>AND(#REF!,"AAAAAG78+6c=")</f>
        <v>#REF!</v>
      </c>
      <c r="FM513" t="e">
        <f>AND(#REF!,"AAAAAG78+6g=")</f>
        <v>#REF!</v>
      </c>
      <c r="FN513" t="e">
        <f>AND(#REF!,"AAAAAG78+6k=")</f>
        <v>#REF!</v>
      </c>
      <c r="FO513" t="e">
        <f>AND(#REF!,"AAAAAG78+6o=")</f>
        <v>#REF!</v>
      </c>
      <c r="FP513" t="e">
        <f>AND(#REF!,"AAAAAG78+6s=")</f>
        <v>#REF!</v>
      </c>
      <c r="FQ513" t="e">
        <f>AND(#REF!,"AAAAAG78+6w=")</f>
        <v>#REF!</v>
      </c>
      <c r="FR513" t="e">
        <f>AND(#REF!,"AAAAAG78+60=")</f>
        <v>#REF!</v>
      </c>
      <c r="FS513" t="e">
        <f>AND(#REF!,"AAAAAG78+64=")</f>
        <v>#REF!</v>
      </c>
      <c r="FT513" t="e">
        <f>AND(#REF!,"AAAAAG78+68=")</f>
        <v>#REF!</v>
      </c>
      <c r="FU513" t="e">
        <f>AND(#REF!,"AAAAAG78+7A=")</f>
        <v>#REF!</v>
      </c>
      <c r="FV513" t="e">
        <f>AND(#REF!,"AAAAAG78+7E=")</f>
        <v>#REF!</v>
      </c>
      <c r="FW513" t="e">
        <f>AND(#REF!,"AAAAAG78+7I=")</f>
        <v>#REF!</v>
      </c>
      <c r="FX513" t="e">
        <f>AND(#REF!,"AAAAAG78+7M=")</f>
        <v>#REF!</v>
      </c>
      <c r="FY513" t="e">
        <f>AND(#REF!,"AAAAAG78+7Q=")</f>
        <v>#REF!</v>
      </c>
      <c r="FZ513" t="e">
        <f>AND(#REF!,"AAAAAG78+7U=")</f>
        <v>#REF!</v>
      </c>
      <c r="GA513" t="e">
        <f>AND(#REF!,"AAAAAG78+7Y=")</f>
        <v>#REF!</v>
      </c>
      <c r="GB513" t="e">
        <f>AND(#REF!,"AAAAAG78+7c=")</f>
        <v>#REF!</v>
      </c>
      <c r="GC513" t="e">
        <f>AND(#REF!,"AAAAAG78+7g=")</f>
        <v>#REF!</v>
      </c>
      <c r="GD513" t="e">
        <f>AND(#REF!,"AAAAAG78+7k=")</f>
        <v>#REF!</v>
      </c>
      <c r="GE513" t="e">
        <f>AND(#REF!,"AAAAAG78+7o=")</f>
        <v>#REF!</v>
      </c>
      <c r="GF513" t="e">
        <f>AND(#REF!,"AAAAAG78+7s=")</f>
        <v>#REF!</v>
      </c>
      <c r="GG513" t="e">
        <f>IF(#REF!,"AAAAAG78+7w=",0)</f>
        <v>#REF!</v>
      </c>
      <c r="GH513" t="e">
        <f>AND(#REF!,"AAAAAG78+70=")</f>
        <v>#REF!</v>
      </c>
      <c r="GI513" t="e">
        <f>AND(#REF!,"AAAAAG78+74=")</f>
        <v>#REF!</v>
      </c>
      <c r="GJ513" t="e">
        <f>AND(#REF!,"AAAAAG78+78=")</f>
        <v>#REF!</v>
      </c>
      <c r="GK513" t="e">
        <f>AND(#REF!,"AAAAAG78+8A=")</f>
        <v>#REF!</v>
      </c>
      <c r="GL513" t="e">
        <f>AND(#REF!,"AAAAAG78+8E=")</f>
        <v>#REF!</v>
      </c>
      <c r="GM513" t="e">
        <f>AND(#REF!,"AAAAAG78+8I=")</f>
        <v>#REF!</v>
      </c>
      <c r="GN513" t="e">
        <f>AND(#REF!,"AAAAAG78+8M=")</f>
        <v>#REF!</v>
      </c>
      <c r="GO513" t="e">
        <f>AND(#REF!,"AAAAAG78+8Q=")</f>
        <v>#REF!</v>
      </c>
      <c r="GP513" t="e">
        <f>AND(#REF!,"AAAAAG78+8U=")</f>
        <v>#REF!</v>
      </c>
      <c r="GQ513" t="e">
        <f>AND(#REF!,"AAAAAG78+8Y=")</f>
        <v>#REF!</v>
      </c>
      <c r="GR513" t="e">
        <f>AND(#REF!,"AAAAAG78+8c=")</f>
        <v>#REF!</v>
      </c>
      <c r="GS513" t="e">
        <f>AND(#REF!,"AAAAAG78+8g=")</f>
        <v>#REF!</v>
      </c>
      <c r="GT513" t="e">
        <f>AND(#REF!,"AAAAAG78+8k=")</f>
        <v>#REF!</v>
      </c>
      <c r="GU513" t="e">
        <f>AND(#REF!,"AAAAAG78+8o=")</f>
        <v>#REF!</v>
      </c>
      <c r="GV513" t="e">
        <f>AND(#REF!,"AAAAAG78+8s=")</f>
        <v>#REF!</v>
      </c>
      <c r="GW513" t="e">
        <f>AND(#REF!,"AAAAAG78+8w=")</f>
        <v>#REF!</v>
      </c>
      <c r="GX513" t="e">
        <f>AND(#REF!,"AAAAAG78+80=")</f>
        <v>#REF!</v>
      </c>
      <c r="GY513" t="e">
        <f>AND(#REF!,"AAAAAG78+84=")</f>
        <v>#REF!</v>
      </c>
      <c r="GZ513" t="e">
        <f>AND(#REF!,"AAAAAG78+88=")</f>
        <v>#REF!</v>
      </c>
      <c r="HA513" t="e">
        <f>AND(#REF!,"AAAAAG78+9A=")</f>
        <v>#REF!</v>
      </c>
      <c r="HB513" t="e">
        <f>AND(#REF!,"AAAAAG78+9E=")</f>
        <v>#REF!</v>
      </c>
      <c r="HC513" t="e">
        <f>AND(#REF!,"AAAAAG78+9I=")</f>
        <v>#REF!</v>
      </c>
      <c r="HD513" t="e">
        <f>AND(#REF!,"AAAAAG78+9M=")</f>
        <v>#REF!</v>
      </c>
      <c r="HE513" t="e">
        <f>AND(#REF!,"AAAAAG78+9Q=")</f>
        <v>#REF!</v>
      </c>
      <c r="HF513" t="e">
        <f>IF(#REF!,"AAAAAG78+9U=",0)</f>
        <v>#REF!</v>
      </c>
      <c r="HG513" t="e">
        <f>AND(#REF!,"AAAAAG78+9Y=")</f>
        <v>#REF!</v>
      </c>
      <c r="HH513" t="e">
        <f>AND(#REF!,"AAAAAG78+9c=")</f>
        <v>#REF!</v>
      </c>
      <c r="HI513" t="e">
        <f>AND(#REF!,"AAAAAG78+9g=")</f>
        <v>#REF!</v>
      </c>
      <c r="HJ513" t="e">
        <f>AND(#REF!,"AAAAAG78+9k=")</f>
        <v>#REF!</v>
      </c>
      <c r="HK513" t="e">
        <f>AND(#REF!,"AAAAAG78+9o=")</f>
        <v>#REF!</v>
      </c>
      <c r="HL513" t="e">
        <f>AND(#REF!,"AAAAAG78+9s=")</f>
        <v>#REF!</v>
      </c>
      <c r="HM513" t="e">
        <f>AND(#REF!,"AAAAAG78+9w=")</f>
        <v>#REF!</v>
      </c>
      <c r="HN513" t="e">
        <f>AND(#REF!,"AAAAAG78+90=")</f>
        <v>#REF!</v>
      </c>
      <c r="HO513" t="e">
        <f>AND(#REF!,"AAAAAG78+94=")</f>
        <v>#REF!</v>
      </c>
      <c r="HP513" t="e">
        <f>AND(#REF!,"AAAAAG78+98=")</f>
        <v>#REF!</v>
      </c>
      <c r="HQ513" t="e">
        <f>AND(#REF!,"AAAAAG78++A=")</f>
        <v>#REF!</v>
      </c>
      <c r="HR513" t="e">
        <f>AND(#REF!,"AAAAAG78++E=")</f>
        <v>#REF!</v>
      </c>
      <c r="HS513" t="e">
        <f>AND(#REF!,"AAAAAG78++I=")</f>
        <v>#REF!</v>
      </c>
      <c r="HT513" t="e">
        <f>AND(#REF!,"AAAAAG78++M=")</f>
        <v>#REF!</v>
      </c>
      <c r="HU513" t="e">
        <f>AND(#REF!,"AAAAAG78++Q=")</f>
        <v>#REF!</v>
      </c>
      <c r="HV513" t="e">
        <f>AND(#REF!,"AAAAAG78++U=")</f>
        <v>#REF!</v>
      </c>
      <c r="HW513" t="e">
        <f>AND(#REF!,"AAAAAG78++Y=")</f>
        <v>#REF!</v>
      </c>
      <c r="HX513" t="e">
        <f>AND(#REF!,"AAAAAG78++c=")</f>
        <v>#REF!</v>
      </c>
      <c r="HY513" t="e">
        <f>AND(#REF!,"AAAAAG78++g=")</f>
        <v>#REF!</v>
      </c>
      <c r="HZ513" t="e">
        <f>AND(#REF!,"AAAAAG78++k=")</f>
        <v>#REF!</v>
      </c>
      <c r="IA513" t="e">
        <f>AND(#REF!,"AAAAAG78++o=")</f>
        <v>#REF!</v>
      </c>
      <c r="IB513" t="e">
        <f>AND(#REF!,"AAAAAG78++s=")</f>
        <v>#REF!</v>
      </c>
      <c r="IC513" t="e">
        <f>AND(#REF!,"AAAAAG78++w=")</f>
        <v>#REF!</v>
      </c>
      <c r="ID513" t="e">
        <f>AND(#REF!,"AAAAAG78++0=")</f>
        <v>#REF!</v>
      </c>
      <c r="IE513" t="e">
        <f>IF(#REF!,"AAAAAG78++4=",0)</f>
        <v>#REF!</v>
      </c>
      <c r="IF513" t="e">
        <f>AND(#REF!,"AAAAAG78++8=")</f>
        <v>#REF!</v>
      </c>
      <c r="IG513" t="e">
        <f>AND(#REF!,"AAAAAG78+/A=")</f>
        <v>#REF!</v>
      </c>
      <c r="IH513" t="e">
        <f>AND(#REF!,"AAAAAG78+/E=")</f>
        <v>#REF!</v>
      </c>
      <c r="II513" t="e">
        <f>AND(#REF!,"AAAAAG78+/I=")</f>
        <v>#REF!</v>
      </c>
      <c r="IJ513" t="e">
        <f>AND(#REF!,"AAAAAG78+/M=")</f>
        <v>#REF!</v>
      </c>
      <c r="IK513" t="e">
        <f>AND(#REF!,"AAAAAG78+/Q=")</f>
        <v>#REF!</v>
      </c>
      <c r="IL513" t="e">
        <f>AND(#REF!,"AAAAAG78+/U=")</f>
        <v>#REF!</v>
      </c>
      <c r="IM513" t="e">
        <f>AND(#REF!,"AAAAAG78+/Y=")</f>
        <v>#REF!</v>
      </c>
      <c r="IN513" t="e">
        <f>AND(#REF!,"AAAAAG78+/c=")</f>
        <v>#REF!</v>
      </c>
      <c r="IO513" t="e">
        <f>AND(#REF!,"AAAAAG78+/g=")</f>
        <v>#REF!</v>
      </c>
      <c r="IP513" t="e">
        <f>AND(#REF!,"AAAAAG78+/k=")</f>
        <v>#REF!</v>
      </c>
      <c r="IQ513" t="e">
        <f>AND(#REF!,"AAAAAG78+/o=")</f>
        <v>#REF!</v>
      </c>
      <c r="IR513" t="e">
        <f>AND(#REF!,"AAAAAG78+/s=")</f>
        <v>#REF!</v>
      </c>
      <c r="IS513" t="e">
        <f>AND(#REF!,"AAAAAG78+/w=")</f>
        <v>#REF!</v>
      </c>
      <c r="IT513" t="e">
        <f>AND(#REF!,"AAAAAG78+/0=")</f>
        <v>#REF!</v>
      </c>
      <c r="IU513" t="e">
        <f>AND(#REF!,"AAAAAG78+/4=")</f>
        <v>#REF!</v>
      </c>
      <c r="IV513" t="e">
        <f>AND(#REF!,"AAAAAG78+/8=")</f>
        <v>#REF!</v>
      </c>
    </row>
    <row r="514" spans="1:256">
      <c r="A514" t="e">
        <f>AND(#REF!,"AAAAAG+5vwA=")</f>
        <v>#REF!</v>
      </c>
      <c r="B514" t="e">
        <f>AND(#REF!,"AAAAAG+5vwE=")</f>
        <v>#REF!</v>
      </c>
      <c r="C514" t="e">
        <f>AND(#REF!,"AAAAAG+5vwI=")</f>
        <v>#REF!</v>
      </c>
      <c r="D514" t="e">
        <f>AND(#REF!,"AAAAAG+5vwM=")</f>
        <v>#REF!</v>
      </c>
      <c r="E514" t="e">
        <f>AND(#REF!,"AAAAAG+5vwQ=")</f>
        <v>#REF!</v>
      </c>
      <c r="F514" t="e">
        <f>AND(#REF!,"AAAAAG+5vwU=")</f>
        <v>#REF!</v>
      </c>
      <c r="G514" t="e">
        <f>AND(#REF!,"AAAAAG+5vwY=")</f>
        <v>#REF!</v>
      </c>
      <c r="H514" t="e">
        <f>IF(#REF!,"AAAAAG+5vwc=",0)</f>
        <v>#REF!</v>
      </c>
      <c r="I514" t="e">
        <f>AND(#REF!,"AAAAAG+5vwg=")</f>
        <v>#REF!</v>
      </c>
      <c r="J514" t="e">
        <f>AND(#REF!,"AAAAAG+5vwk=")</f>
        <v>#REF!</v>
      </c>
      <c r="K514" t="e">
        <f>AND(#REF!,"AAAAAG+5vwo=")</f>
        <v>#REF!</v>
      </c>
      <c r="L514" t="e">
        <f>AND(#REF!,"AAAAAG+5vws=")</f>
        <v>#REF!</v>
      </c>
      <c r="M514" t="e">
        <f>AND(#REF!,"AAAAAG+5vww=")</f>
        <v>#REF!</v>
      </c>
      <c r="N514" t="e">
        <f>AND(#REF!,"AAAAAG+5vw0=")</f>
        <v>#REF!</v>
      </c>
      <c r="O514" t="e">
        <f>AND(#REF!,"AAAAAG+5vw4=")</f>
        <v>#REF!</v>
      </c>
      <c r="P514" t="e">
        <f>AND(#REF!,"AAAAAG+5vw8=")</f>
        <v>#REF!</v>
      </c>
      <c r="Q514" t="e">
        <f>AND(#REF!,"AAAAAG+5vxA=")</f>
        <v>#REF!</v>
      </c>
      <c r="R514" t="e">
        <f>AND(#REF!,"AAAAAG+5vxE=")</f>
        <v>#REF!</v>
      </c>
      <c r="S514" t="e">
        <f>AND(#REF!,"AAAAAG+5vxI=")</f>
        <v>#REF!</v>
      </c>
      <c r="T514" t="e">
        <f>AND(#REF!,"AAAAAG+5vxM=")</f>
        <v>#REF!</v>
      </c>
      <c r="U514" t="e">
        <f>AND(#REF!,"AAAAAG+5vxQ=")</f>
        <v>#REF!</v>
      </c>
      <c r="V514" t="e">
        <f>AND(#REF!,"AAAAAG+5vxU=")</f>
        <v>#REF!</v>
      </c>
      <c r="W514" t="e">
        <f>AND(#REF!,"AAAAAG+5vxY=")</f>
        <v>#REF!</v>
      </c>
      <c r="X514" t="e">
        <f>AND(#REF!,"AAAAAG+5vxc=")</f>
        <v>#REF!</v>
      </c>
      <c r="Y514" t="e">
        <f>AND(#REF!,"AAAAAG+5vxg=")</f>
        <v>#REF!</v>
      </c>
      <c r="Z514" t="e">
        <f>AND(#REF!,"AAAAAG+5vxk=")</f>
        <v>#REF!</v>
      </c>
      <c r="AA514" t="e">
        <f>AND(#REF!,"AAAAAG+5vxo=")</f>
        <v>#REF!</v>
      </c>
      <c r="AB514" t="e">
        <f>AND(#REF!,"AAAAAG+5vxs=")</f>
        <v>#REF!</v>
      </c>
      <c r="AC514" t="e">
        <f>AND(#REF!,"AAAAAG+5vxw=")</f>
        <v>#REF!</v>
      </c>
      <c r="AD514" t="e">
        <f>AND(#REF!,"AAAAAG+5vx0=")</f>
        <v>#REF!</v>
      </c>
      <c r="AE514" t="e">
        <f>AND(#REF!,"AAAAAG+5vx4=")</f>
        <v>#REF!</v>
      </c>
      <c r="AF514" t="e">
        <f>AND(#REF!,"AAAAAG+5vx8=")</f>
        <v>#REF!</v>
      </c>
      <c r="AG514" t="e">
        <f>IF(#REF!,"AAAAAG+5vyA=",0)</f>
        <v>#REF!</v>
      </c>
      <c r="AH514" t="e">
        <f>AND(#REF!,"AAAAAG+5vyE=")</f>
        <v>#REF!</v>
      </c>
      <c r="AI514" t="e">
        <f>AND(#REF!,"AAAAAG+5vyI=")</f>
        <v>#REF!</v>
      </c>
      <c r="AJ514" t="e">
        <f>AND(#REF!,"AAAAAG+5vyM=")</f>
        <v>#REF!</v>
      </c>
      <c r="AK514" t="e">
        <f>AND(#REF!,"AAAAAG+5vyQ=")</f>
        <v>#REF!</v>
      </c>
      <c r="AL514" t="e">
        <f>AND(#REF!,"AAAAAG+5vyU=")</f>
        <v>#REF!</v>
      </c>
      <c r="AM514" t="e">
        <f>AND(#REF!,"AAAAAG+5vyY=")</f>
        <v>#REF!</v>
      </c>
      <c r="AN514" t="e">
        <f>AND(#REF!,"AAAAAG+5vyc=")</f>
        <v>#REF!</v>
      </c>
      <c r="AO514" t="e">
        <f>AND(#REF!,"AAAAAG+5vyg=")</f>
        <v>#REF!</v>
      </c>
      <c r="AP514" t="e">
        <f>AND(#REF!,"AAAAAG+5vyk=")</f>
        <v>#REF!</v>
      </c>
      <c r="AQ514" t="e">
        <f>AND(#REF!,"AAAAAG+5vyo=")</f>
        <v>#REF!</v>
      </c>
      <c r="AR514" t="e">
        <f>AND(#REF!,"AAAAAG+5vys=")</f>
        <v>#REF!</v>
      </c>
      <c r="AS514" t="e">
        <f>AND(#REF!,"AAAAAG+5vyw=")</f>
        <v>#REF!</v>
      </c>
      <c r="AT514" t="e">
        <f>AND(#REF!,"AAAAAG+5vy0=")</f>
        <v>#REF!</v>
      </c>
      <c r="AU514" t="e">
        <f>AND(#REF!,"AAAAAG+5vy4=")</f>
        <v>#REF!</v>
      </c>
      <c r="AV514" t="e">
        <f>AND(#REF!,"AAAAAG+5vy8=")</f>
        <v>#REF!</v>
      </c>
      <c r="AW514" t="e">
        <f>AND(#REF!,"AAAAAG+5vzA=")</f>
        <v>#REF!</v>
      </c>
      <c r="AX514" t="e">
        <f>AND(#REF!,"AAAAAG+5vzE=")</f>
        <v>#REF!</v>
      </c>
      <c r="AY514" t="e">
        <f>AND(#REF!,"AAAAAG+5vzI=")</f>
        <v>#REF!</v>
      </c>
      <c r="AZ514" t="e">
        <f>AND(#REF!,"AAAAAG+5vzM=")</f>
        <v>#REF!</v>
      </c>
      <c r="BA514" t="e">
        <f>AND(#REF!,"AAAAAG+5vzQ=")</f>
        <v>#REF!</v>
      </c>
      <c r="BB514" t="e">
        <f>AND(#REF!,"AAAAAG+5vzU=")</f>
        <v>#REF!</v>
      </c>
      <c r="BC514" t="e">
        <f>AND(#REF!,"AAAAAG+5vzY=")</f>
        <v>#REF!</v>
      </c>
      <c r="BD514" t="e">
        <f>AND(#REF!,"AAAAAG+5vzc=")</f>
        <v>#REF!</v>
      </c>
      <c r="BE514" t="e">
        <f>AND(#REF!,"AAAAAG+5vzg=")</f>
        <v>#REF!</v>
      </c>
      <c r="BF514" t="e">
        <f>IF(#REF!,"AAAAAG+5vzk=",0)</f>
        <v>#REF!</v>
      </c>
      <c r="BG514" t="e">
        <f>AND(#REF!,"AAAAAG+5vzo=")</f>
        <v>#REF!</v>
      </c>
      <c r="BH514" t="e">
        <f>AND(#REF!,"AAAAAG+5vzs=")</f>
        <v>#REF!</v>
      </c>
      <c r="BI514" t="e">
        <f>AND(#REF!,"AAAAAG+5vzw=")</f>
        <v>#REF!</v>
      </c>
      <c r="BJ514" t="e">
        <f>AND(#REF!,"AAAAAG+5vz0=")</f>
        <v>#REF!</v>
      </c>
      <c r="BK514" t="e">
        <f>AND(#REF!,"AAAAAG+5vz4=")</f>
        <v>#REF!</v>
      </c>
      <c r="BL514" t="e">
        <f>AND(#REF!,"AAAAAG+5vz8=")</f>
        <v>#REF!</v>
      </c>
      <c r="BM514" t="e">
        <f>AND(#REF!,"AAAAAG+5v0A=")</f>
        <v>#REF!</v>
      </c>
      <c r="BN514" t="e">
        <f>AND(#REF!,"AAAAAG+5v0E=")</f>
        <v>#REF!</v>
      </c>
      <c r="BO514" t="e">
        <f>AND(#REF!,"AAAAAG+5v0I=")</f>
        <v>#REF!</v>
      </c>
      <c r="BP514" t="e">
        <f>AND(#REF!,"AAAAAG+5v0M=")</f>
        <v>#REF!</v>
      </c>
      <c r="BQ514" t="e">
        <f>AND(#REF!,"AAAAAG+5v0Q=")</f>
        <v>#REF!</v>
      </c>
      <c r="BR514" t="e">
        <f>AND(#REF!,"AAAAAG+5v0U=")</f>
        <v>#REF!</v>
      </c>
      <c r="BS514" t="e">
        <f>AND(#REF!,"AAAAAG+5v0Y=")</f>
        <v>#REF!</v>
      </c>
      <c r="BT514" t="e">
        <f>AND(#REF!,"AAAAAG+5v0c=")</f>
        <v>#REF!</v>
      </c>
      <c r="BU514" t="e">
        <f>AND(#REF!,"AAAAAG+5v0g=")</f>
        <v>#REF!</v>
      </c>
      <c r="BV514" t="e">
        <f>AND(#REF!,"AAAAAG+5v0k=")</f>
        <v>#REF!</v>
      </c>
      <c r="BW514" t="e">
        <f>AND(#REF!,"AAAAAG+5v0o=")</f>
        <v>#REF!</v>
      </c>
      <c r="BX514" t="e">
        <f>AND(#REF!,"AAAAAG+5v0s=")</f>
        <v>#REF!</v>
      </c>
      <c r="BY514" t="e">
        <f>AND(#REF!,"AAAAAG+5v0w=")</f>
        <v>#REF!</v>
      </c>
      <c r="BZ514" t="e">
        <f>AND(#REF!,"AAAAAG+5v00=")</f>
        <v>#REF!</v>
      </c>
      <c r="CA514" t="e">
        <f>AND(#REF!,"AAAAAG+5v04=")</f>
        <v>#REF!</v>
      </c>
      <c r="CB514" t="e">
        <f>AND(#REF!,"AAAAAG+5v08=")</f>
        <v>#REF!</v>
      </c>
      <c r="CC514" t="e">
        <f>AND(#REF!,"AAAAAG+5v1A=")</f>
        <v>#REF!</v>
      </c>
      <c r="CD514" t="e">
        <f>AND(#REF!,"AAAAAG+5v1E=")</f>
        <v>#REF!</v>
      </c>
      <c r="CE514" t="e">
        <f>IF(#REF!,"AAAAAG+5v1I=",0)</f>
        <v>#REF!</v>
      </c>
      <c r="CF514" t="e">
        <f>AND(#REF!,"AAAAAG+5v1M=")</f>
        <v>#REF!</v>
      </c>
      <c r="CG514" t="e">
        <f>AND(#REF!,"AAAAAG+5v1Q=")</f>
        <v>#REF!</v>
      </c>
      <c r="CH514" t="e">
        <f>AND(#REF!,"AAAAAG+5v1U=")</f>
        <v>#REF!</v>
      </c>
      <c r="CI514" t="e">
        <f>AND(#REF!,"AAAAAG+5v1Y=")</f>
        <v>#REF!</v>
      </c>
      <c r="CJ514" t="e">
        <f>AND(#REF!,"AAAAAG+5v1c=")</f>
        <v>#REF!</v>
      </c>
      <c r="CK514" t="e">
        <f>AND(#REF!,"AAAAAG+5v1g=")</f>
        <v>#REF!</v>
      </c>
      <c r="CL514" t="e">
        <f>AND(#REF!,"AAAAAG+5v1k=")</f>
        <v>#REF!</v>
      </c>
      <c r="CM514" t="e">
        <f>AND(#REF!,"AAAAAG+5v1o=")</f>
        <v>#REF!</v>
      </c>
      <c r="CN514" t="e">
        <f>AND(#REF!,"AAAAAG+5v1s=")</f>
        <v>#REF!</v>
      </c>
      <c r="CO514" t="e">
        <f>AND(#REF!,"AAAAAG+5v1w=")</f>
        <v>#REF!</v>
      </c>
      <c r="CP514" t="e">
        <f>AND(#REF!,"AAAAAG+5v10=")</f>
        <v>#REF!</v>
      </c>
      <c r="CQ514" t="e">
        <f>AND(#REF!,"AAAAAG+5v14=")</f>
        <v>#REF!</v>
      </c>
      <c r="CR514" t="e">
        <f>AND(#REF!,"AAAAAG+5v18=")</f>
        <v>#REF!</v>
      </c>
      <c r="CS514" t="e">
        <f>AND(#REF!,"AAAAAG+5v2A=")</f>
        <v>#REF!</v>
      </c>
      <c r="CT514" t="e">
        <f>AND(#REF!,"AAAAAG+5v2E=")</f>
        <v>#REF!</v>
      </c>
      <c r="CU514" t="e">
        <f>AND(#REF!,"AAAAAG+5v2I=")</f>
        <v>#REF!</v>
      </c>
      <c r="CV514" t="e">
        <f>AND(#REF!,"AAAAAG+5v2M=")</f>
        <v>#REF!</v>
      </c>
      <c r="CW514" t="e">
        <f>AND(#REF!,"AAAAAG+5v2Q=")</f>
        <v>#REF!</v>
      </c>
      <c r="CX514" t="e">
        <f>AND(#REF!,"AAAAAG+5v2U=")</f>
        <v>#REF!</v>
      </c>
      <c r="CY514" t="e">
        <f>AND(#REF!,"AAAAAG+5v2Y=")</f>
        <v>#REF!</v>
      </c>
      <c r="CZ514" t="e">
        <f>AND(#REF!,"AAAAAG+5v2c=")</f>
        <v>#REF!</v>
      </c>
      <c r="DA514" t="e">
        <f>AND(#REF!,"AAAAAG+5v2g=")</f>
        <v>#REF!</v>
      </c>
      <c r="DB514" t="e">
        <f>AND(#REF!,"AAAAAG+5v2k=")</f>
        <v>#REF!</v>
      </c>
      <c r="DC514" t="e">
        <f>AND(#REF!,"AAAAAG+5v2o=")</f>
        <v>#REF!</v>
      </c>
      <c r="DD514" t="e">
        <f>IF(#REF!,"AAAAAG+5v2s=",0)</f>
        <v>#REF!</v>
      </c>
      <c r="DE514" t="e">
        <f>AND(#REF!,"AAAAAG+5v2w=")</f>
        <v>#REF!</v>
      </c>
      <c r="DF514" t="e">
        <f>AND(#REF!,"AAAAAG+5v20=")</f>
        <v>#REF!</v>
      </c>
      <c r="DG514" t="e">
        <f>AND(#REF!,"AAAAAG+5v24=")</f>
        <v>#REF!</v>
      </c>
      <c r="DH514" t="e">
        <f>AND(#REF!,"AAAAAG+5v28=")</f>
        <v>#REF!</v>
      </c>
      <c r="DI514" t="e">
        <f>AND(#REF!,"AAAAAG+5v3A=")</f>
        <v>#REF!</v>
      </c>
      <c r="DJ514" t="e">
        <f>AND(#REF!,"AAAAAG+5v3E=")</f>
        <v>#REF!</v>
      </c>
      <c r="DK514" t="e">
        <f>AND(#REF!,"AAAAAG+5v3I=")</f>
        <v>#REF!</v>
      </c>
      <c r="DL514" t="e">
        <f>AND(#REF!,"AAAAAG+5v3M=")</f>
        <v>#REF!</v>
      </c>
      <c r="DM514" t="e">
        <f>AND(#REF!,"AAAAAG+5v3Q=")</f>
        <v>#REF!</v>
      </c>
      <c r="DN514" t="e">
        <f>AND(#REF!,"AAAAAG+5v3U=")</f>
        <v>#REF!</v>
      </c>
      <c r="DO514" t="e">
        <f>AND(#REF!,"AAAAAG+5v3Y=")</f>
        <v>#REF!</v>
      </c>
      <c r="DP514" t="e">
        <f>AND(#REF!,"AAAAAG+5v3c=")</f>
        <v>#REF!</v>
      </c>
      <c r="DQ514" t="e">
        <f>AND(#REF!,"AAAAAG+5v3g=")</f>
        <v>#REF!</v>
      </c>
      <c r="DR514" t="e">
        <f>AND(#REF!,"AAAAAG+5v3k=")</f>
        <v>#REF!</v>
      </c>
      <c r="DS514" t="e">
        <f>AND(#REF!,"AAAAAG+5v3o=")</f>
        <v>#REF!</v>
      </c>
      <c r="DT514" t="e">
        <f>AND(#REF!,"AAAAAG+5v3s=")</f>
        <v>#REF!</v>
      </c>
      <c r="DU514" t="e">
        <f>AND(#REF!,"AAAAAG+5v3w=")</f>
        <v>#REF!</v>
      </c>
      <c r="DV514" t="e">
        <f>AND(#REF!,"AAAAAG+5v30=")</f>
        <v>#REF!</v>
      </c>
      <c r="DW514" t="e">
        <f>AND(#REF!,"AAAAAG+5v34=")</f>
        <v>#REF!</v>
      </c>
      <c r="DX514" t="e">
        <f>AND(#REF!,"AAAAAG+5v38=")</f>
        <v>#REF!</v>
      </c>
      <c r="DY514" t="e">
        <f>AND(#REF!,"AAAAAG+5v4A=")</f>
        <v>#REF!</v>
      </c>
      <c r="DZ514" t="e">
        <f>AND(#REF!,"AAAAAG+5v4E=")</f>
        <v>#REF!</v>
      </c>
      <c r="EA514" t="e">
        <f>AND(#REF!,"AAAAAG+5v4I=")</f>
        <v>#REF!</v>
      </c>
      <c r="EB514" t="e">
        <f>AND(#REF!,"AAAAAG+5v4M=")</f>
        <v>#REF!</v>
      </c>
      <c r="EC514" t="e">
        <f>IF(#REF!,"AAAAAG+5v4Q=",0)</f>
        <v>#REF!</v>
      </c>
      <c r="ED514" t="e">
        <f>AND(#REF!,"AAAAAG+5v4U=")</f>
        <v>#REF!</v>
      </c>
      <c r="EE514" t="e">
        <f>AND(#REF!,"AAAAAG+5v4Y=")</f>
        <v>#REF!</v>
      </c>
      <c r="EF514" t="e">
        <f>AND(#REF!,"AAAAAG+5v4c=")</f>
        <v>#REF!</v>
      </c>
      <c r="EG514" t="e">
        <f>AND(#REF!,"AAAAAG+5v4g=")</f>
        <v>#REF!</v>
      </c>
      <c r="EH514" t="e">
        <f>AND(#REF!,"AAAAAG+5v4k=")</f>
        <v>#REF!</v>
      </c>
      <c r="EI514" t="e">
        <f>AND(#REF!,"AAAAAG+5v4o=")</f>
        <v>#REF!</v>
      </c>
      <c r="EJ514" t="e">
        <f>AND(#REF!,"AAAAAG+5v4s=")</f>
        <v>#REF!</v>
      </c>
      <c r="EK514" t="e">
        <f>AND(#REF!,"AAAAAG+5v4w=")</f>
        <v>#REF!</v>
      </c>
      <c r="EL514" t="e">
        <f>AND(#REF!,"AAAAAG+5v40=")</f>
        <v>#REF!</v>
      </c>
      <c r="EM514" t="e">
        <f>AND(#REF!,"AAAAAG+5v44=")</f>
        <v>#REF!</v>
      </c>
      <c r="EN514" t="e">
        <f>AND(#REF!,"AAAAAG+5v48=")</f>
        <v>#REF!</v>
      </c>
      <c r="EO514" t="e">
        <f>AND(#REF!,"AAAAAG+5v5A=")</f>
        <v>#REF!</v>
      </c>
      <c r="EP514" t="e">
        <f>AND(#REF!,"AAAAAG+5v5E=")</f>
        <v>#REF!</v>
      </c>
      <c r="EQ514" t="e">
        <f>AND(#REF!,"AAAAAG+5v5I=")</f>
        <v>#REF!</v>
      </c>
      <c r="ER514" t="e">
        <f>AND(#REF!,"AAAAAG+5v5M=")</f>
        <v>#REF!</v>
      </c>
      <c r="ES514" t="e">
        <f>AND(#REF!,"AAAAAG+5v5Q=")</f>
        <v>#REF!</v>
      </c>
      <c r="ET514" t="e">
        <f>AND(#REF!,"AAAAAG+5v5U=")</f>
        <v>#REF!</v>
      </c>
      <c r="EU514" t="e">
        <f>AND(#REF!,"AAAAAG+5v5Y=")</f>
        <v>#REF!</v>
      </c>
      <c r="EV514" t="e">
        <f>AND(#REF!,"AAAAAG+5v5c=")</f>
        <v>#REF!</v>
      </c>
      <c r="EW514" t="e">
        <f>AND(#REF!,"AAAAAG+5v5g=")</f>
        <v>#REF!</v>
      </c>
      <c r="EX514" t="e">
        <f>AND(#REF!,"AAAAAG+5v5k=")</f>
        <v>#REF!</v>
      </c>
      <c r="EY514" t="e">
        <f>AND(#REF!,"AAAAAG+5v5o=")</f>
        <v>#REF!</v>
      </c>
      <c r="EZ514" t="e">
        <f>AND(#REF!,"AAAAAG+5v5s=")</f>
        <v>#REF!</v>
      </c>
      <c r="FA514" t="e">
        <f>AND(#REF!,"AAAAAG+5v5w=")</f>
        <v>#REF!</v>
      </c>
      <c r="FB514" t="e">
        <f>IF(#REF!,"AAAAAG+5v50=",0)</f>
        <v>#REF!</v>
      </c>
      <c r="FC514" t="e">
        <f>AND(#REF!,"AAAAAG+5v54=")</f>
        <v>#REF!</v>
      </c>
      <c r="FD514" t="e">
        <f>AND(#REF!,"AAAAAG+5v58=")</f>
        <v>#REF!</v>
      </c>
      <c r="FE514" t="e">
        <f>AND(#REF!,"AAAAAG+5v6A=")</f>
        <v>#REF!</v>
      </c>
      <c r="FF514" t="e">
        <f>AND(#REF!,"AAAAAG+5v6E=")</f>
        <v>#REF!</v>
      </c>
      <c r="FG514" t="e">
        <f>AND(#REF!,"AAAAAG+5v6I=")</f>
        <v>#REF!</v>
      </c>
      <c r="FH514" t="e">
        <f>AND(#REF!,"AAAAAG+5v6M=")</f>
        <v>#REF!</v>
      </c>
      <c r="FI514" t="e">
        <f>AND(#REF!,"AAAAAG+5v6Q=")</f>
        <v>#REF!</v>
      </c>
      <c r="FJ514" t="e">
        <f>AND(#REF!,"AAAAAG+5v6U=")</f>
        <v>#REF!</v>
      </c>
      <c r="FK514" t="e">
        <f>AND(#REF!,"AAAAAG+5v6Y=")</f>
        <v>#REF!</v>
      </c>
      <c r="FL514" t="e">
        <f>AND(#REF!,"AAAAAG+5v6c=")</f>
        <v>#REF!</v>
      </c>
      <c r="FM514" t="e">
        <f>AND(#REF!,"AAAAAG+5v6g=")</f>
        <v>#REF!</v>
      </c>
      <c r="FN514" t="e">
        <f>AND(#REF!,"AAAAAG+5v6k=")</f>
        <v>#REF!</v>
      </c>
      <c r="FO514" t="e">
        <f>AND(#REF!,"AAAAAG+5v6o=")</f>
        <v>#REF!</v>
      </c>
      <c r="FP514" t="e">
        <f>AND(#REF!,"AAAAAG+5v6s=")</f>
        <v>#REF!</v>
      </c>
      <c r="FQ514" t="e">
        <f>AND(#REF!,"AAAAAG+5v6w=")</f>
        <v>#REF!</v>
      </c>
      <c r="FR514" t="e">
        <f>AND(#REF!,"AAAAAG+5v60=")</f>
        <v>#REF!</v>
      </c>
      <c r="FS514" t="e">
        <f>AND(#REF!,"AAAAAG+5v64=")</f>
        <v>#REF!</v>
      </c>
      <c r="FT514" t="e">
        <f>AND(#REF!,"AAAAAG+5v68=")</f>
        <v>#REF!</v>
      </c>
      <c r="FU514" t="e">
        <f>AND(#REF!,"AAAAAG+5v7A=")</f>
        <v>#REF!</v>
      </c>
      <c r="FV514" t="e">
        <f>AND(#REF!,"AAAAAG+5v7E=")</f>
        <v>#REF!</v>
      </c>
      <c r="FW514" t="e">
        <f>AND(#REF!,"AAAAAG+5v7I=")</f>
        <v>#REF!</v>
      </c>
      <c r="FX514" t="e">
        <f>AND(#REF!,"AAAAAG+5v7M=")</f>
        <v>#REF!</v>
      </c>
      <c r="FY514" t="e">
        <f>AND(#REF!,"AAAAAG+5v7Q=")</f>
        <v>#REF!</v>
      </c>
      <c r="FZ514" t="e">
        <f>AND(#REF!,"AAAAAG+5v7U=")</f>
        <v>#REF!</v>
      </c>
      <c r="GA514" t="e">
        <f>IF(#REF!,"AAAAAG+5v7Y=",0)</f>
        <v>#REF!</v>
      </c>
      <c r="GB514" t="e">
        <f>AND(#REF!,"AAAAAG+5v7c=")</f>
        <v>#REF!</v>
      </c>
      <c r="GC514" t="e">
        <f>AND(#REF!,"AAAAAG+5v7g=")</f>
        <v>#REF!</v>
      </c>
      <c r="GD514" t="e">
        <f>AND(#REF!,"AAAAAG+5v7k=")</f>
        <v>#REF!</v>
      </c>
      <c r="GE514" t="e">
        <f>AND(#REF!,"AAAAAG+5v7o=")</f>
        <v>#REF!</v>
      </c>
      <c r="GF514" t="e">
        <f>AND(#REF!,"AAAAAG+5v7s=")</f>
        <v>#REF!</v>
      </c>
      <c r="GG514" t="e">
        <f>AND(#REF!,"AAAAAG+5v7w=")</f>
        <v>#REF!</v>
      </c>
      <c r="GH514" t="e">
        <f>AND(#REF!,"AAAAAG+5v70=")</f>
        <v>#REF!</v>
      </c>
      <c r="GI514" t="e">
        <f>AND(#REF!,"AAAAAG+5v74=")</f>
        <v>#REF!</v>
      </c>
      <c r="GJ514" t="e">
        <f>AND(#REF!,"AAAAAG+5v78=")</f>
        <v>#REF!</v>
      </c>
      <c r="GK514" t="e">
        <f>AND(#REF!,"AAAAAG+5v8A=")</f>
        <v>#REF!</v>
      </c>
      <c r="GL514" t="e">
        <f>AND(#REF!,"AAAAAG+5v8E=")</f>
        <v>#REF!</v>
      </c>
      <c r="GM514" t="e">
        <f>AND(#REF!,"AAAAAG+5v8I=")</f>
        <v>#REF!</v>
      </c>
      <c r="GN514" t="e">
        <f>AND(#REF!,"AAAAAG+5v8M=")</f>
        <v>#REF!</v>
      </c>
      <c r="GO514" t="e">
        <f>AND(#REF!,"AAAAAG+5v8Q=")</f>
        <v>#REF!</v>
      </c>
      <c r="GP514" t="e">
        <f>AND(#REF!,"AAAAAG+5v8U=")</f>
        <v>#REF!</v>
      </c>
      <c r="GQ514" t="e">
        <f>AND(#REF!,"AAAAAG+5v8Y=")</f>
        <v>#REF!</v>
      </c>
      <c r="GR514" t="e">
        <f>AND(#REF!,"AAAAAG+5v8c=")</f>
        <v>#REF!</v>
      </c>
      <c r="GS514" t="e">
        <f>AND(#REF!,"AAAAAG+5v8g=")</f>
        <v>#REF!</v>
      </c>
      <c r="GT514" t="e">
        <f>AND(#REF!,"AAAAAG+5v8k=")</f>
        <v>#REF!</v>
      </c>
      <c r="GU514" t="e">
        <f>AND(#REF!,"AAAAAG+5v8o=")</f>
        <v>#REF!</v>
      </c>
      <c r="GV514" t="e">
        <f>AND(#REF!,"AAAAAG+5v8s=")</f>
        <v>#REF!</v>
      </c>
      <c r="GW514" t="e">
        <f>AND(#REF!,"AAAAAG+5v8w=")</f>
        <v>#REF!</v>
      </c>
      <c r="GX514" t="e">
        <f>AND(#REF!,"AAAAAG+5v80=")</f>
        <v>#REF!</v>
      </c>
      <c r="GY514" t="e">
        <f>AND(#REF!,"AAAAAG+5v84=")</f>
        <v>#REF!</v>
      </c>
      <c r="GZ514" t="e">
        <f>IF(#REF!,"AAAAAG+5v88=",0)</f>
        <v>#REF!</v>
      </c>
      <c r="HA514" t="e">
        <f>AND(#REF!,"AAAAAG+5v9A=")</f>
        <v>#REF!</v>
      </c>
      <c r="HB514" t="e">
        <f>AND(#REF!,"AAAAAG+5v9E=")</f>
        <v>#REF!</v>
      </c>
      <c r="HC514" t="e">
        <f>AND(#REF!,"AAAAAG+5v9I=")</f>
        <v>#REF!</v>
      </c>
      <c r="HD514" t="e">
        <f>AND(#REF!,"AAAAAG+5v9M=")</f>
        <v>#REF!</v>
      </c>
      <c r="HE514" t="e">
        <f>AND(#REF!,"AAAAAG+5v9Q=")</f>
        <v>#REF!</v>
      </c>
      <c r="HF514" t="e">
        <f>AND(#REF!,"AAAAAG+5v9U=")</f>
        <v>#REF!</v>
      </c>
      <c r="HG514" t="e">
        <f>AND(#REF!,"AAAAAG+5v9Y=")</f>
        <v>#REF!</v>
      </c>
      <c r="HH514" t="e">
        <f>AND(#REF!,"AAAAAG+5v9c=")</f>
        <v>#REF!</v>
      </c>
      <c r="HI514" t="e">
        <f>AND(#REF!,"AAAAAG+5v9g=")</f>
        <v>#REF!</v>
      </c>
      <c r="HJ514" t="e">
        <f>AND(#REF!,"AAAAAG+5v9k=")</f>
        <v>#REF!</v>
      </c>
      <c r="HK514" t="e">
        <f>AND(#REF!,"AAAAAG+5v9o=")</f>
        <v>#REF!</v>
      </c>
      <c r="HL514" t="e">
        <f>AND(#REF!,"AAAAAG+5v9s=")</f>
        <v>#REF!</v>
      </c>
      <c r="HM514" t="e">
        <f>AND(#REF!,"AAAAAG+5v9w=")</f>
        <v>#REF!</v>
      </c>
      <c r="HN514" t="e">
        <f>AND(#REF!,"AAAAAG+5v90=")</f>
        <v>#REF!</v>
      </c>
      <c r="HO514" t="e">
        <f>AND(#REF!,"AAAAAG+5v94=")</f>
        <v>#REF!</v>
      </c>
      <c r="HP514" t="e">
        <f>AND(#REF!,"AAAAAG+5v98=")</f>
        <v>#REF!</v>
      </c>
      <c r="HQ514" t="e">
        <f>AND(#REF!,"AAAAAG+5v+A=")</f>
        <v>#REF!</v>
      </c>
      <c r="HR514" t="e">
        <f>AND(#REF!,"AAAAAG+5v+E=")</f>
        <v>#REF!</v>
      </c>
      <c r="HS514" t="e">
        <f>AND(#REF!,"AAAAAG+5v+I=")</f>
        <v>#REF!</v>
      </c>
      <c r="HT514" t="e">
        <f>AND(#REF!,"AAAAAG+5v+M=")</f>
        <v>#REF!</v>
      </c>
      <c r="HU514" t="e">
        <f>AND(#REF!,"AAAAAG+5v+Q=")</f>
        <v>#REF!</v>
      </c>
      <c r="HV514" t="e">
        <f>AND(#REF!,"AAAAAG+5v+U=")</f>
        <v>#REF!</v>
      </c>
      <c r="HW514" t="e">
        <f>AND(#REF!,"AAAAAG+5v+Y=")</f>
        <v>#REF!</v>
      </c>
      <c r="HX514" t="e">
        <f>AND(#REF!,"AAAAAG+5v+c=")</f>
        <v>#REF!</v>
      </c>
      <c r="HY514" t="e">
        <f>IF(#REF!,"AAAAAG+5v+g=",0)</f>
        <v>#REF!</v>
      </c>
      <c r="HZ514" t="e">
        <f>AND(#REF!,"AAAAAG+5v+k=")</f>
        <v>#REF!</v>
      </c>
      <c r="IA514" t="e">
        <f>AND(#REF!,"AAAAAG+5v+o=")</f>
        <v>#REF!</v>
      </c>
      <c r="IB514" t="e">
        <f>AND(#REF!,"AAAAAG+5v+s=")</f>
        <v>#REF!</v>
      </c>
      <c r="IC514" t="e">
        <f>AND(#REF!,"AAAAAG+5v+w=")</f>
        <v>#REF!</v>
      </c>
      <c r="ID514" t="e">
        <f>AND(#REF!,"AAAAAG+5v+0=")</f>
        <v>#REF!</v>
      </c>
      <c r="IE514" t="e">
        <f>AND(#REF!,"AAAAAG+5v+4=")</f>
        <v>#REF!</v>
      </c>
      <c r="IF514" t="e">
        <f>AND(#REF!,"AAAAAG+5v+8=")</f>
        <v>#REF!</v>
      </c>
      <c r="IG514" t="e">
        <f>AND(#REF!,"AAAAAG+5v/A=")</f>
        <v>#REF!</v>
      </c>
      <c r="IH514" t="e">
        <f>AND(#REF!,"AAAAAG+5v/E=")</f>
        <v>#REF!</v>
      </c>
      <c r="II514" t="e">
        <f>AND(#REF!,"AAAAAG+5v/I=")</f>
        <v>#REF!</v>
      </c>
      <c r="IJ514" t="e">
        <f>AND(#REF!,"AAAAAG+5v/M=")</f>
        <v>#REF!</v>
      </c>
      <c r="IK514" t="e">
        <f>AND(#REF!,"AAAAAG+5v/Q=")</f>
        <v>#REF!</v>
      </c>
      <c r="IL514" t="e">
        <f>AND(#REF!,"AAAAAG+5v/U=")</f>
        <v>#REF!</v>
      </c>
      <c r="IM514" t="e">
        <f>AND(#REF!,"AAAAAG+5v/Y=")</f>
        <v>#REF!</v>
      </c>
      <c r="IN514" t="e">
        <f>AND(#REF!,"AAAAAG+5v/c=")</f>
        <v>#REF!</v>
      </c>
      <c r="IO514" t="e">
        <f>AND(#REF!,"AAAAAG+5v/g=")</f>
        <v>#REF!</v>
      </c>
      <c r="IP514" t="e">
        <f>AND(#REF!,"AAAAAG+5v/k=")</f>
        <v>#REF!</v>
      </c>
      <c r="IQ514" t="e">
        <f>AND(#REF!,"AAAAAG+5v/o=")</f>
        <v>#REF!</v>
      </c>
      <c r="IR514" t="e">
        <f>AND(#REF!,"AAAAAG+5v/s=")</f>
        <v>#REF!</v>
      </c>
      <c r="IS514" t="e">
        <f>AND(#REF!,"AAAAAG+5v/w=")</f>
        <v>#REF!</v>
      </c>
      <c r="IT514" t="e">
        <f>AND(#REF!,"AAAAAG+5v/0=")</f>
        <v>#REF!</v>
      </c>
      <c r="IU514" t="e">
        <f>AND(#REF!,"AAAAAG+5v/4=")</f>
        <v>#REF!</v>
      </c>
      <c r="IV514" t="e">
        <f>AND(#REF!,"AAAAAG+5v/8=")</f>
        <v>#REF!</v>
      </c>
    </row>
    <row r="515" spans="1:256">
      <c r="A515" t="e">
        <f>AND(#REF!,"AAAAAHz2tQA=")</f>
        <v>#REF!</v>
      </c>
      <c r="B515" t="e">
        <f>IF(#REF!,"AAAAAHz2tQE=",0)</f>
        <v>#REF!</v>
      </c>
      <c r="C515" t="e">
        <f>AND(#REF!,"AAAAAHz2tQI=")</f>
        <v>#REF!</v>
      </c>
      <c r="D515" t="e">
        <f>AND(#REF!,"AAAAAHz2tQM=")</f>
        <v>#REF!</v>
      </c>
      <c r="E515" t="e">
        <f>AND(#REF!,"AAAAAHz2tQQ=")</f>
        <v>#REF!</v>
      </c>
      <c r="F515" t="e">
        <f>AND(#REF!,"AAAAAHz2tQU=")</f>
        <v>#REF!</v>
      </c>
      <c r="G515" t="e">
        <f>AND(#REF!,"AAAAAHz2tQY=")</f>
        <v>#REF!</v>
      </c>
      <c r="H515" t="e">
        <f>AND(#REF!,"AAAAAHz2tQc=")</f>
        <v>#REF!</v>
      </c>
      <c r="I515" t="e">
        <f>AND(#REF!,"AAAAAHz2tQg=")</f>
        <v>#REF!</v>
      </c>
      <c r="J515" t="e">
        <f>AND(#REF!,"AAAAAHz2tQk=")</f>
        <v>#REF!</v>
      </c>
      <c r="K515" t="e">
        <f>AND(#REF!,"AAAAAHz2tQo=")</f>
        <v>#REF!</v>
      </c>
      <c r="L515" t="e">
        <f>AND(#REF!,"AAAAAHz2tQs=")</f>
        <v>#REF!</v>
      </c>
      <c r="M515" t="e">
        <f>AND(#REF!,"AAAAAHz2tQw=")</f>
        <v>#REF!</v>
      </c>
      <c r="N515" t="e">
        <f>AND(#REF!,"AAAAAHz2tQ0=")</f>
        <v>#REF!</v>
      </c>
      <c r="O515" t="e">
        <f>AND(#REF!,"AAAAAHz2tQ4=")</f>
        <v>#REF!</v>
      </c>
      <c r="P515" t="e">
        <f>AND(#REF!,"AAAAAHz2tQ8=")</f>
        <v>#REF!</v>
      </c>
      <c r="Q515" t="e">
        <f>AND(#REF!,"AAAAAHz2tRA=")</f>
        <v>#REF!</v>
      </c>
      <c r="R515" t="e">
        <f>AND(#REF!,"AAAAAHz2tRE=")</f>
        <v>#REF!</v>
      </c>
      <c r="S515" t="e">
        <f>AND(#REF!,"AAAAAHz2tRI=")</f>
        <v>#REF!</v>
      </c>
      <c r="T515" t="e">
        <f>AND(#REF!,"AAAAAHz2tRM=")</f>
        <v>#REF!</v>
      </c>
      <c r="U515" t="e">
        <f>AND(#REF!,"AAAAAHz2tRQ=")</f>
        <v>#REF!</v>
      </c>
      <c r="V515" t="e">
        <f>AND(#REF!,"AAAAAHz2tRU=")</f>
        <v>#REF!</v>
      </c>
      <c r="W515" t="e">
        <f>AND(#REF!,"AAAAAHz2tRY=")</f>
        <v>#REF!</v>
      </c>
      <c r="X515" t="e">
        <f>AND(#REF!,"AAAAAHz2tRc=")</f>
        <v>#REF!</v>
      </c>
      <c r="Y515" t="e">
        <f>AND(#REF!,"AAAAAHz2tRg=")</f>
        <v>#REF!</v>
      </c>
      <c r="Z515" t="e">
        <f>AND(#REF!,"AAAAAHz2tRk=")</f>
        <v>#REF!</v>
      </c>
      <c r="AA515" t="e">
        <f>IF(#REF!,"AAAAAHz2tRo=",0)</f>
        <v>#REF!</v>
      </c>
      <c r="AB515" t="e">
        <f>AND(#REF!,"AAAAAHz2tRs=")</f>
        <v>#REF!</v>
      </c>
      <c r="AC515" t="e">
        <f>AND(#REF!,"AAAAAHz2tRw=")</f>
        <v>#REF!</v>
      </c>
      <c r="AD515" t="e">
        <f>AND(#REF!,"AAAAAHz2tR0=")</f>
        <v>#REF!</v>
      </c>
      <c r="AE515" t="e">
        <f>AND(#REF!,"AAAAAHz2tR4=")</f>
        <v>#REF!</v>
      </c>
      <c r="AF515" t="e">
        <f>AND(#REF!,"AAAAAHz2tR8=")</f>
        <v>#REF!</v>
      </c>
      <c r="AG515" t="e">
        <f>AND(#REF!,"AAAAAHz2tSA=")</f>
        <v>#REF!</v>
      </c>
      <c r="AH515" t="e">
        <f>AND(#REF!,"AAAAAHz2tSE=")</f>
        <v>#REF!</v>
      </c>
      <c r="AI515" t="e">
        <f>AND(#REF!,"AAAAAHz2tSI=")</f>
        <v>#REF!</v>
      </c>
      <c r="AJ515" t="e">
        <f>AND(#REF!,"AAAAAHz2tSM=")</f>
        <v>#REF!</v>
      </c>
      <c r="AK515" t="e">
        <f>AND(#REF!,"AAAAAHz2tSQ=")</f>
        <v>#REF!</v>
      </c>
      <c r="AL515" t="e">
        <f>AND(#REF!,"AAAAAHz2tSU=")</f>
        <v>#REF!</v>
      </c>
      <c r="AM515" t="e">
        <f>AND(#REF!,"AAAAAHz2tSY=")</f>
        <v>#REF!</v>
      </c>
      <c r="AN515" t="e">
        <f>AND(#REF!,"AAAAAHz2tSc=")</f>
        <v>#REF!</v>
      </c>
      <c r="AO515" t="e">
        <f>AND(#REF!,"AAAAAHz2tSg=")</f>
        <v>#REF!</v>
      </c>
      <c r="AP515" t="e">
        <f>AND(#REF!,"AAAAAHz2tSk=")</f>
        <v>#REF!</v>
      </c>
      <c r="AQ515" t="e">
        <f>AND(#REF!,"AAAAAHz2tSo=")</f>
        <v>#REF!</v>
      </c>
      <c r="AR515" t="e">
        <f>AND(#REF!,"AAAAAHz2tSs=")</f>
        <v>#REF!</v>
      </c>
      <c r="AS515" t="e">
        <f>AND(#REF!,"AAAAAHz2tSw=")</f>
        <v>#REF!</v>
      </c>
      <c r="AT515" t="e">
        <f>AND(#REF!,"AAAAAHz2tS0=")</f>
        <v>#REF!</v>
      </c>
      <c r="AU515" t="e">
        <f>AND(#REF!,"AAAAAHz2tS4=")</f>
        <v>#REF!</v>
      </c>
      <c r="AV515" t="e">
        <f>AND(#REF!,"AAAAAHz2tS8=")</f>
        <v>#REF!</v>
      </c>
      <c r="AW515" t="e">
        <f>AND(#REF!,"AAAAAHz2tTA=")</f>
        <v>#REF!</v>
      </c>
      <c r="AX515" t="e">
        <f>AND(#REF!,"AAAAAHz2tTE=")</f>
        <v>#REF!</v>
      </c>
      <c r="AY515" t="e">
        <f>AND(#REF!,"AAAAAHz2tTI=")</f>
        <v>#REF!</v>
      </c>
      <c r="AZ515" t="e">
        <f>IF(#REF!,"AAAAAHz2tTM=",0)</f>
        <v>#REF!</v>
      </c>
      <c r="BA515" t="e">
        <f>AND(#REF!,"AAAAAHz2tTQ=")</f>
        <v>#REF!</v>
      </c>
      <c r="BB515" t="e">
        <f>AND(#REF!,"AAAAAHz2tTU=")</f>
        <v>#REF!</v>
      </c>
      <c r="BC515" t="e">
        <f>AND(#REF!,"AAAAAHz2tTY=")</f>
        <v>#REF!</v>
      </c>
      <c r="BD515" t="e">
        <f>AND(#REF!,"AAAAAHz2tTc=")</f>
        <v>#REF!</v>
      </c>
      <c r="BE515" t="e">
        <f>AND(#REF!,"AAAAAHz2tTg=")</f>
        <v>#REF!</v>
      </c>
      <c r="BF515" t="e">
        <f>AND(#REF!,"AAAAAHz2tTk=")</f>
        <v>#REF!</v>
      </c>
      <c r="BG515" t="e">
        <f>AND(#REF!,"AAAAAHz2tTo=")</f>
        <v>#REF!</v>
      </c>
      <c r="BH515" t="e">
        <f>AND(#REF!,"AAAAAHz2tTs=")</f>
        <v>#REF!</v>
      </c>
      <c r="BI515" t="e">
        <f>AND(#REF!,"AAAAAHz2tTw=")</f>
        <v>#REF!</v>
      </c>
      <c r="BJ515" t="e">
        <f>AND(#REF!,"AAAAAHz2tT0=")</f>
        <v>#REF!</v>
      </c>
      <c r="BK515" t="e">
        <f>AND(#REF!,"AAAAAHz2tT4=")</f>
        <v>#REF!</v>
      </c>
      <c r="BL515" t="e">
        <f>AND(#REF!,"AAAAAHz2tT8=")</f>
        <v>#REF!</v>
      </c>
      <c r="BM515" t="e">
        <f>AND(#REF!,"AAAAAHz2tUA=")</f>
        <v>#REF!</v>
      </c>
      <c r="BN515" t="e">
        <f>AND(#REF!,"AAAAAHz2tUE=")</f>
        <v>#REF!</v>
      </c>
      <c r="BO515" t="e">
        <f>AND(#REF!,"AAAAAHz2tUI=")</f>
        <v>#REF!</v>
      </c>
      <c r="BP515" t="e">
        <f>AND(#REF!,"AAAAAHz2tUM=")</f>
        <v>#REF!</v>
      </c>
      <c r="BQ515" t="e">
        <f>AND(#REF!,"AAAAAHz2tUQ=")</f>
        <v>#REF!</v>
      </c>
      <c r="BR515" t="e">
        <f>AND(#REF!,"AAAAAHz2tUU=")</f>
        <v>#REF!</v>
      </c>
      <c r="BS515" t="e">
        <f>AND(#REF!,"AAAAAHz2tUY=")</f>
        <v>#REF!</v>
      </c>
      <c r="BT515" t="e">
        <f>AND(#REF!,"AAAAAHz2tUc=")</f>
        <v>#REF!</v>
      </c>
      <c r="BU515" t="e">
        <f>AND(#REF!,"AAAAAHz2tUg=")</f>
        <v>#REF!</v>
      </c>
      <c r="BV515" t="e">
        <f>AND(#REF!,"AAAAAHz2tUk=")</f>
        <v>#REF!</v>
      </c>
      <c r="BW515" t="e">
        <f>AND(#REF!,"AAAAAHz2tUo=")</f>
        <v>#REF!</v>
      </c>
      <c r="BX515" t="e">
        <f>AND(#REF!,"AAAAAHz2tUs=")</f>
        <v>#REF!</v>
      </c>
      <c r="BY515" t="e">
        <f>IF(#REF!,"AAAAAHz2tUw=",0)</f>
        <v>#REF!</v>
      </c>
      <c r="BZ515" t="e">
        <f>AND(#REF!,"AAAAAHz2tU0=")</f>
        <v>#REF!</v>
      </c>
      <c r="CA515" t="e">
        <f>AND(#REF!,"AAAAAHz2tU4=")</f>
        <v>#REF!</v>
      </c>
      <c r="CB515" t="e">
        <f>AND(#REF!,"AAAAAHz2tU8=")</f>
        <v>#REF!</v>
      </c>
      <c r="CC515" t="e">
        <f>AND(#REF!,"AAAAAHz2tVA=")</f>
        <v>#REF!</v>
      </c>
      <c r="CD515" t="e">
        <f>AND(#REF!,"AAAAAHz2tVE=")</f>
        <v>#REF!</v>
      </c>
      <c r="CE515" t="e">
        <f>AND(#REF!,"AAAAAHz2tVI=")</f>
        <v>#REF!</v>
      </c>
      <c r="CF515" t="e">
        <f>AND(#REF!,"AAAAAHz2tVM=")</f>
        <v>#REF!</v>
      </c>
      <c r="CG515" t="e">
        <f>AND(#REF!,"AAAAAHz2tVQ=")</f>
        <v>#REF!</v>
      </c>
      <c r="CH515" t="e">
        <f>AND(#REF!,"AAAAAHz2tVU=")</f>
        <v>#REF!</v>
      </c>
      <c r="CI515" t="e">
        <f>AND(#REF!,"AAAAAHz2tVY=")</f>
        <v>#REF!</v>
      </c>
      <c r="CJ515" t="e">
        <f>AND(#REF!,"AAAAAHz2tVc=")</f>
        <v>#REF!</v>
      </c>
      <c r="CK515" t="e">
        <f>AND(#REF!,"AAAAAHz2tVg=")</f>
        <v>#REF!</v>
      </c>
      <c r="CL515" t="e">
        <f>AND(#REF!,"AAAAAHz2tVk=")</f>
        <v>#REF!</v>
      </c>
      <c r="CM515" t="e">
        <f>AND(#REF!,"AAAAAHz2tVo=")</f>
        <v>#REF!</v>
      </c>
      <c r="CN515" t="e">
        <f>AND(#REF!,"AAAAAHz2tVs=")</f>
        <v>#REF!</v>
      </c>
      <c r="CO515" t="e">
        <f>AND(#REF!,"AAAAAHz2tVw=")</f>
        <v>#REF!</v>
      </c>
      <c r="CP515" t="e">
        <f>AND(#REF!,"AAAAAHz2tV0=")</f>
        <v>#REF!</v>
      </c>
      <c r="CQ515" t="e">
        <f>AND(#REF!,"AAAAAHz2tV4=")</f>
        <v>#REF!</v>
      </c>
      <c r="CR515" t="e">
        <f>AND(#REF!,"AAAAAHz2tV8=")</f>
        <v>#REF!</v>
      </c>
      <c r="CS515" t="e">
        <f>AND(#REF!,"AAAAAHz2tWA=")</f>
        <v>#REF!</v>
      </c>
      <c r="CT515" t="e">
        <f>AND(#REF!,"AAAAAHz2tWE=")</f>
        <v>#REF!</v>
      </c>
      <c r="CU515" t="e">
        <f>AND(#REF!,"AAAAAHz2tWI=")</f>
        <v>#REF!</v>
      </c>
      <c r="CV515" t="e">
        <f>AND(#REF!,"AAAAAHz2tWM=")</f>
        <v>#REF!</v>
      </c>
      <c r="CW515" t="e">
        <f>AND(#REF!,"AAAAAHz2tWQ=")</f>
        <v>#REF!</v>
      </c>
      <c r="CX515" t="e">
        <f>IF(#REF!,"AAAAAHz2tWU=",0)</f>
        <v>#REF!</v>
      </c>
      <c r="CY515" t="e">
        <f>AND(#REF!,"AAAAAHz2tWY=")</f>
        <v>#REF!</v>
      </c>
      <c r="CZ515" t="e">
        <f>AND(#REF!,"AAAAAHz2tWc=")</f>
        <v>#REF!</v>
      </c>
      <c r="DA515" t="e">
        <f>AND(#REF!,"AAAAAHz2tWg=")</f>
        <v>#REF!</v>
      </c>
      <c r="DB515" t="e">
        <f>AND(#REF!,"AAAAAHz2tWk=")</f>
        <v>#REF!</v>
      </c>
      <c r="DC515" t="e">
        <f>AND(#REF!,"AAAAAHz2tWo=")</f>
        <v>#REF!</v>
      </c>
      <c r="DD515" t="e">
        <f>AND(#REF!,"AAAAAHz2tWs=")</f>
        <v>#REF!</v>
      </c>
      <c r="DE515" t="e">
        <f>AND(#REF!,"AAAAAHz2tWw=")</f>
        <v>#REF!</v>
      </c>
      <c r="DF515" t="e">
        <f>AND(#REF!,"AAAAAHz2tW0=")</f>
        <v>#REF!</v>
      </c>
      <c r="DG515" t="e">
        <f>AND(#REF!,"AAAAAHz2tW4=")</f>
        <v>#REF!</v>
      </c>
      <c r="DH515" t="e">
        <f>AND(#REF!,"AAAAAHz2tW8=")</f>
        <v>#REF!</v>
      </c>
      <c r="DI515" t="e">
        <f>AND(#REF!,"AAAAAHz2tXA=")</f>
        <v>#REF!</v>
      </c>
      <c r="DJ515" t="e">
        <f>AND(#REF!,"AAAAAHz2tXE=")</f>
        <v>#REF!</v>
      </c>
      <c r="DK515" t="e">
        <f>AND(#REF!,"AAAAAHz2tXI=")</f>
        <v>#REF!</v>
      </c>
      <c r="DL515" t="e">
        <f>AND(#REF!,"AAAAAHz2tXM=")</f>
        <v>#REF!</v>
      </c>
      <c r="DM515" t="e">
        <f>AND(#REF!,"AAAAAHz2tXQ=")</f>
        <v>#REF!</v>
      </c>
      <c r="DN515" t="e">
        <f>AND(#REF!,"AAAAAHz2tXU=")</f>
        <v>#REF!</v>
      </c>
      <c r="DO515" t="e">
        <f>AND(#REF!,"AAAAAHz2tXY=")</f>
        <v>#REF!</v>
      </c>
      <c r="DP515" t="e">
        <f>AND(#REF!,"AAAAAHz2tXc=")</f>
        <v>#REF!</v>
      </c>
      <c r="DQ515" t="e">
        <f>AND(#REF!,"AAAAAHz2tXg=")</f>
        <v>#REF!</v>
      </c>
      <c r="DR515" t="e">
        <f>AND(#REF!,"AAAAAHz2tXk=")</f>
        <v>#REF!</v>
      </c>
      <c r="DS515" t="e">
        <f>AND(#REF!,"AAAAAHz2tXo=")</f>
        <v>#REF!</v>
      </c>
      <c r="DT515" t="e">
        <f>AND(#REF!,"AAAAAHz2tXs=")</f>
        <v>#REF!</v>
      </c>
      <c r="DU515" t="e">
        <f>AND(#REF!,"AAAAAHz2tXw=")</f>
        <v>#REF!</v>
      </c>
      <c r="DV515" t="e">
        <f>AND(#REF!,"AAAAAHz2tX0=")</f>
        <v>#REF!</v>
      </c>
      <c r="DW515" t="e">
        <f>IF(#REF!,"AAAAAHz2tX4=",0)</f>
        <v>#REF!</v>
      </c>
      <c r="DX515" t="e">
        <f>AND(#REF!,"AAAAAHz2tX8=")</f>
        <v>#REF!</v>
      </c>
      <c r="DY515" t="e">
        <f>AND(#REF!,"AAAAAHz2tYA=")</f>
        <v>#REF!</v>
      </c>
      <c r="DZ515" t="e">
        <f>AND(#REF!,"AAAAAHz2tYE=")</f>
        <v>#REF!</v>
      </c>
      <c r="EA515" t="e">
        <f>AND(#REF!,"AAAAAHz2tYI=")</f>
        <v>#REF!</v>
      </c>
      <c r="EB515" t="e">
        <f>AND(#REF!,"AAAAAHz2tYM=")</f>
        <v>#REF!</v>
      </c>
      <c r="EC515" t="e">
        <f>AND(#REF!,"AAAAAHz2tYQ=")</f>
        <v>#REF!</v>
      </c>
      <c r="ED515" t="e">
        <f>AND(#REF!,"AAAAAHz2tYU=")</f>
        <v>#REF!</v>
      </c>
      <c r="EE515" t="e">
        <f>AND(#REF!,"AAAAAHz2tYY=")</f>
        <v>#REF!</v>
      </c>
      <c r="EF515" t="e">
        <f>AND(#REF!,"AAAAAHz2tYc=")</f>
        <v>#REF!</v>
      </c>
      <c r="EG515" t="e">
        <f>AND(#REF!,"AAAAAHz2tYg=")</f>
        <v>#REF!</v>
      </c>
      <c r="EH515" t="e">
        <f>AND(#REF!,"AAAAAHz2tYk=")</f>
        <v>#REF!</v>
      </c>
      <c r="EI515" t="e">
        <f>AND(#REF!,"AAAAAHz2tYo=")</f>
        <v>#REF!</v>
      </c>
      <c r="EJ515" t="e">
        <f>AND(#REF!,"AAAAAHz2tYs=")</f>
        <v>#REF!</v>
      </c>
      <c r="EK515" t="e">
        <f>AND(#REF!,"AAAAAHz2tYw=")</f>
        <v>#REF!</v>
      </c>
      <c r="EL515" t="e">
        <f>AND(#REF!,"AAAAAHz2tY0=")</f>
        <v>#REF!</v>
      </c>
      <c r="EM515" t="e">
        <f>AND(#REF!,"AAAAAHz2tY4=")</f>
        <v>#REF!</v>
      </c>
      <c r="EN515" t="e">
        <f>AND(#REF!,"AAAAAHz2tY8=")</f>
        <v>#REF!</v>
      </c>
      <c r="EO515" t="e">
        <f>AND(#REF!,"AAAAAHz2tZA=")</f>
        <v>#REF!</v>
      </c>
      <c r="EP515" t="e">
        <f>AND(#REF!,"AAAAAHz2tZE=")</f>
        <v>#REF!</v>
      </c>
      <c r="EQ515" t="e">
        <f>AND(#REF!,"AAAAAHz2tZI=")</f>
        <v>#REF!</v>
      </c>
      <c r="ER515" t="e">
        <f>AND(#REF!,"AAAAAHz2tZM=")</f>
        <v>#REF!</v>
      </c>
      <c r="ES515" t="e">
        <f>AND(#REF!,"AAAAAHz2tZQ=")</f>
        <v>#REF!</v>
      </c>
      <c r="ET515" t="e">
        <f>AND(#REF!,"AAAAAHz2tZU=")</f>
        <v>#REF!</v>
      </c>
      <c r="EU515" t="e">
        <f>AND(#REF!,"AAAAAHz2tZY=")</f>
        <v>#REF!</v>
      </c>
      <c r="EV515" t="e">
        <f>IF(#REF!,"AAAAAHz2tZc=",0)</f>
        <v>#REF!</v>
      </c>
      <c r="EW515" t="e">
        <f>AND(#REF!,"AAAAAHz2tZg=")</f>
        <v>#REF!</v>
      </c>
      <c r="EX515" t="e">
        <f>AND(#REF!,"AAAAAHz2tZk=")</f>
        <v>#REF!</v>
      </c>
      <c r="EY515" t="e">
        <f>AND(#REF!,"AAAAAHz2tZo=")</f>
        <v>#REF!</v>
      </c>
      <c r="EZ515" t="e">
        <f>AND(#REF!,"AAAAAHz2tZs=")</f>
        <v>#REF!</v>
      </c>
      <c r="FA515" t="e">
        <f>AND(#REF!,"AAAAAHz2tZw=")</f>
        <v>#REF!</v>
      </c>
      <c r="FB515" t="e">
        <f>AND(#REF!,"AAAAAHz2tZ0=")</f>
        <v>#REF!</v>
      </c>
      <c r="FC515" t="e">
        <f>AND(#REF!,"AAAAAHz2tZ4=")</f>
        <v>#REF!</v>
      </c>
      <c r="FD515" t="e">
        <f>AND(#REF!,"AAAAAHz2tZ8=")</f>
        <v>#REF!</v>
      </c>
      <c r="FE515" t="e">
        <f>AND(#REF!,"AAAAAHz2taA=")</f>
        <v>#REF!</v>
      </c>
      <c r="FF515" t="e">
        <f>AND(#REF!,"AAAAAHz2taE=")</f>
        <v>#REF!</v>
      </c>
      <c r="FG515" t="e">
        <f>AND(#REF!,"AAAAAHz2taI=")</f>
        <v>#REF!</v>
      </c>
      <c r="FH515" t="e">
        <f>AND(#REF!,"AAAAAHz2taM=")</f>
        <v>#REF!</v>
      </c>
      <c r="FI515" t="e">
        <f>AND(#REF!,"AAAAAHz2taQ=")</f>
        <v>#REF!</v>
      </c>
      <c r="FJ515" t="e">
        <f>AND(#REF!,"AAAAAHz2taU=")</f>
        <v>#REF!</v>
      </c>
      <c r="FK515" t="e">
        <f>AND(#REF!,"AAAAAHz2taY=")</f>
        <v>#REF!</v>
      </c>
      <c r="FL515" t="e">
        <f>AND(#REF!,"AAAAAHz2tac=")</f>
        <v>#REF!</v>
      </c>
      <c r="FM515" t="e">
        <f>AND(#REF!,"AAAAAHz2tag=")</f>
        <v>#REF!</v>
      </c>
      <c r="FN515" t="e">
        <f>AND(#REF!,"AAAAAHz2tak=")</f>
        <v>#REF!</v>
      </c>
      <c r="FO515" t="e">
        <f>AND(#REF!,"AAAAAHz2tao=")</f>
        <v>#REF!</v>
      </c>
      <c r="FP515" t="e">
        <f>AND(#REF!,"AAAAAHz2tas=")</f>
        <v>#REF!</v>
      </c>
      <c r="FQ515" t="e">
        <f>AND(#REF!,"AAAAAHz2taw=")</f>
        <v>#REF!</v>
      </c>
      <c r="FR515" t="e">
        <f>AND(#REF!,"AAAAAHz2ta0=")</f>
        <v>#REF!</v>
      </c>
      <c r="FS515" t="e">
        <f>AND(#REF!,"AAAAAHz2ta4=")</f>
        <v>#REF!</v>
      </c>
      <c r="FT515" t="e">
        <f>AND(#REF!,"AAAAAHz2ta8=")</f>
        <v>#REF!</v>
      </c>
      <c r="FU515" t="e">
        <f>IF(#REF!,"AAAAAHz2tbA=",0)</f>
        <v>#REF!</v>
      </c>
      <c r="FV515" t="e">
        <f>AND(#REF!,"AAAAAHz2tbE=")</f>
        <v>#REF!</v>
      </c>
      <c r="FW515" t="e">
        <f>AND(#REF!,"AAAAAHz2tbI=")</f>
        <v>#REF!</v>
      </c>
      <c r="FX515" t="e">
        <f>AND(#REF!,"AAAAAHz2tbM=")</f>
        <v>#REF!</v>
      </c>
      <c r="FY515" t="e">
        <f>AND(#REF!,"AAAAAHz2tbQ=")</f>
        <v>#REF!</v>
      </c>
      <c r="FZ515" t="e">
        <f>AND(#REF!,"AAAAAHz2tbU=")</f>
        <v>#REF!</v>
      </c>
      <c r="GA515" t="e">
        <f>AND(#REF!,"AAAAAHz2tbY=")</f>
        <v>#REF!</v>
      </c>
      <c r="GB515" t="e">
        <f>AND(#REF!,"AAAAAHz2tbc=")</f>
        <v>#REF!</v>
      </c>
      <c r="GC515" t="e">
        <f>AND(#REF!,"AAAAAHz2tbg=")</f>
        <v>#REF!</v>
      </c>
      <c r="GD515" t="e">
        <f>AND(#REF!,"AAAAAHz2tbk=")</f>
        <v>#REF!</v>
      </c>
      <c r="GE515" t="e">
        <f>AND(#REF!,"AAAAAHz2tbo=")</f>
        <v>#REF!</v>
      </c>
      <c r="GF515" t="e">
        <f>AND(#REF!,"AAAAAHz2tbs=")</f>
        <v>#REF!</v>
      </c>
      <c r="GG515" t="e">
        <f>AND(#REF!,"AAAAAHz2tbw=")</f>
        <v>#REF!</v>
      </c>
      <c r="GH515" t="e">
        <f>AND(#REF!,"AAAAAHz2tb0=")</f>
        <v>#REF!</v>
      </c>
      <c r="GI515" t="e">
        <f>AND(#REF!,"AAAAAHz2tb4=")</f>
        <v>#REF!</v>
      </c>
      <c r="GJ515" t="e">
        <f>AND(#REF!,"AAAAAHz2tb8=")</f>
        <v>#REF!</v>
      </c>
      <c r="GK515" t="e">
        <f>AND(#REF!,"AAAAAHz2tcA=")</f>
        <v>#REF!</v>
      </c>
      <c r="GL515" t="e">
        <f>AND(#REF!,"AAAAAHz2tcE=")</f>
        <v>#REF!</v>
      </c>
      <c r="GM515" t="e">
        <f>AND(#REF!,"AAAAAHz2tcI=")</f>
        <v>#REF!</v>
      </c>
      <c r="GN515" t="e">
        <f>AND(#REF!,"AAAAAHz2tcM=")</f>
        <v>#REF!</v>
      </c>
      <c r="GO515" t="e">
        <f>AND(#REF!,"AAAAAHz2tcQ=")</f>
        <v>#REF!</v>
      </c>
      <c r="GP515" t="e">
        <f>AND(#REF!,"AAAAAHz2tcU=")</f>
        <v>#REF!</v>
      </c>
      <c r="GQ515" t="e">
        <f>AND(#REF!,"AAAAAHz2tcY=")</f>
        <v>#REF!</v>
      </c>
      <c r="GR515" t="e">
        <f>AND(#REF!,"AAAAAHz2tcc=")</f>
        <v>#REF!</v>
      </c>
      <c r="GS515" t="e">
        <f>AND(#REF!,"AAAAAHz2tcg=")</f>
        <v>#REF!</v>
      </c>
      <c r="GT515" t="e">
        <f>IF(#REF!,"AAAAAHz2tck=",0)</f>
        <v>#REF!</v>
      </c>
      <c r="GU515" t="e">
        <f>AND(#REF!,"AAAAAHz2tco=")</f>
        <v>#REF!</v>
      </c>
      <c r="GV515" t="e">
        <f>AND(#REF!,"AAAAAHz2tcs=")</f>
        <v>#REF!</v>
      </c>
      <c r="GW515" t="e">
        <f>AND(#REF!,"AAAAAHz2tcw=")</f>
        <v>#REF!</v>
      </c>
      <c r="GX515" t="e">
        <f>AND(#REF!,"AAAAAHz2tc0=")</f>
        <v>#REF!</v>
      </c>
      <c r="GY515" t="e">
        <f>AND(#REF!,"AAAAAHz2tc4=")</f>
        <v>#REF!</v>
      </c>
      <c r="GZ515" t="e">
        <f>AND(#REF!,"AAAAAHz2tc8=")</f>
        <v>#REF!</v>
      </c>
      <c r="HA515" t="e">
        <f>AND(#REF!,"AAAAAHz2tdA=")</f>
        <v>#REF!</v>
      </c>
      <c r="HB515" t="e">
        <f>AND(#REF!,"AAAAAHz2tdE=")</f>
        <v>#REF!</v>
      </c>
      <c r="HC515" t="e">
        <f>AND(#REF!,"AAAAAHz2tdI=")</f>
        <v>#REF!</v>
      </c>
      <c r="HD515" t="e">
        <f>AND(#REF!,"AAAAAHz2tdM=")</f>
        <v>#REF!</v>
      </c>
      <c r="HE515" t="e">
        <f>AND(#REF!,"AAAAAHz2tdQ=")</f>
        <v>#REF!</v>
      </c>
      <c r="HF515" t="e">
        <f>AND(#REF!,"AAAAAHz2tdU=")</f>
        <v>#REF!</v>
      </c>
      <c r="HG515" t="e">
        <f>AND(#REF!,"AAAAAHz2tdY=")</f>
        <v>#REF!</v>
      </c>
      <c r="HH515" t="e">
        <f>AND(#REF!,"AAAAAHz2tdc=")</f>
        <v>#REF!</v>
      </c>
      <c r="HI515" t="e">
        <f>AND(#REF!,"AAAAAHz2tdg=")</f>
        <v>#REF!</v>
      </c>
      <c r="HJ515" t="e">
        <f>AND(#REF!,"AAAAAHz2tdk=")</f>
        <v>#REF!</v>
      </c>
      <c r="HK515" t="e">
        <f>AND(#REF!,"AAAAAHz2tdo=")</f>
        <v>#REF!</v>
      </c>
      <c r="HL515" t="e">
        <f>AND(#REF!,"AAAAAHz2tds=")</f>
        <v>#REF!</v>
      </c>
      <c r="HM515" t="e">
        <f>AND(#REF!,"AAAAAHz2tdw=")</f>
        <v>#REF!</v>
      </c>
      <c r="HN515" t="e">
        <f>AND(#REF!,"AAAAAHz2td0=")</f>
        <v>#REF!</v>
      </c>
      <c r="HO515" t="e">
        <f>AND(#REF!,"AAAAAHz2td4=")</f>
        <v>#REF!</v>
      </c>
      <c r="HP515" t="e">
        <f>AND(#REF!,"AAAAAHz2td8=")</f>
        <v>#REF!</v>
      </c>
      <c r="HQ515" t="e">
        <f>AND(#REF!,"AAAAAHz2teA=")</f>
        <v>#REF!</v>
      </c>
      <c r="HR515" t="e">
        <f>AND(#REF!,"AAAAAHz2teE=")</f>
        <v>#REF!</v>
      </c>
      <c r="HS515" t="e">
        <f>IF(#REF!,"AAAAAHz2teI=",0)</f>
        <v>#REF!</v>
      </c>
      <c r="HT515" t="e">
        <f>AND(#REF!,"AAAAAHz2teM=")</f>
        <v>#REF!</v>
      </c>
      <c r="HU515" t="e">
        <f>AND(#REF!,"AAAAAHz2teQ=")</f>
        <v>#REF!</v>
      </c>
      <c r="HV515" t="e">
        <f>AND(#REF!,"AAAAAHz2teU=")</f>
        <v>#REF!</v>
      </c>
      <c r="HW515" t="e">
        <f>AND(#REF!,"AAAAAHz2teY=")</f>
        <v>#REF!</v>
      </c>
      <c r="HX515" t="e">
        <f>AND(#REF!,"AAAAAHz2tec=")</f>
        <v>#REF!</v>
      </c>
      <c r="HY515" t="e">
        <f>AND(#REF!,"AAAAAHz2teg=")</f>
        <v>#REF!</v>
      </c>
      <c r="HZ515" t="e">
        <f>AND(#REF!,"AAAAAHz2tek=")</f>
        <v>#REF!</v>
      </c>
      <c r="IA515" t="e">
        <f>AND(#REF!,"AAAAAHz2teo=")</f>
        <v>#REF!</v>
      </c>
      <c r="IB515" t="e">
        <f>AND(#REF!,"AAAAAHz2tes=")</f>
        <v>#REF!</v>
      </c>
      <c r="IC515" t="e">
        <f>AND(#REF!,"AAAAAHz2tew=")</f>
        <v>#REF!</v>
      </c>
      <c r="ID515" t="e">
        <f>AND(#REF!,"AAAAAHz2te0=")</f>
        <v>#REF!</v>
      </c>
      <c r="IE515" t="e">
        <f>AND(#REF!,"AAAAAHz2te4=")</f>
        <v>#REF!</v>
      </c>
      <c r="IF515" t="e">
        <f>AND(#REF!,"AAAAAHz2te8=")</f>
        <v>#REF!</v>
      </c>
      <c r="IG515" t="e">
        <f>AND(#REF!,"AAAAAHz2tfA=")</f>
        <v>#REF!</v>
      </c>
      <c r="IH515" t="e">
        <f>AND(#REF!,"AAAAAHz2tfE=")</f>
        <v>#REF!</v>
      </c>
      <c r="II515" t="e">
        <f>AND(#REF!,"AAAAAHz2tfI=")</f>
        <v>#REF!</v>
      </c>
      <c r="IJ515" t="e">
        <f>AND(#REF!,"AAAAAHz2tfM=")</f>
        <v>#REF!</v>
      </c>
      <c r="IK515" t="e">
        <f>AND(#REF!,"AAAAAHz2tfQ=")</f>
        <v>#REF!</v>
      </c>
      <c r="IL515" t="e">
        <f>AND(#REF!,"AAAAAHz2tfU=")</f>
        <v>#REF!</v>
      </c>
      <c r="IM515" t="e">
        <f>AND(#REF!,"AAAAAHz2tfY=")</f>
        <v>#REF!</v>
      </c>
      <c r="IN515" t="e">
        <f>AND(#REF!,"AAAAAHz2tfc=")</f>
        <v>#REF!</v>
      </c>
      <c r="IO515" t="e">
        <f>AND(#REF!,"AAAAAHz2tfg=")</f>
        <v>#REF!</v>
      </c>
      <c r="IP515" t="e">
        <f>AND(#REF!,"AAAAAHz2tfk=")</f>
        <v>#REF!</v>
      </c>
      <c r="IQ515" t="e">
        <f>AND(#REF!,"AAAAAHz2tfo=")</f>
        <v>#REF!</v>
      </c>
      <c r="IR515" t="e">
        <f>IF(#REF!,"AAAAAHz2tfs=",0)</f>
        <v>#REF!</v>
      </c>
      <c r="IS515" t="e">
        <f>AND(#REF!,"AAAAAHz2tfw=")</f>
        <v>#REF!</v>
      </c>
      <c r="IT515" t="e">
        <f>AND(#REF!,"AAAAAHz2tf0=")</f>
        <v>#REF!</v>
      </c>
      <c r="IU515" t="e">
        <f>AND(#REF!,"AAAAAHz2tf4=")</f>
        <v>#REF!</v>
      </c>
      <c r="IV515" t="e">
        <f>AND(#REF!,"AAAAAHz2tf8=")</f>
        <v>#REF!</v>
      </c>
    </row>
    <row r="516" spans="1:256">
      <c r="A516" t="e">
        <f>AND(#REF!,"AAAAAC36MwA=")</f>
        <v>#REF!</v>
      </c>
      <c r="B516" t="e">
        <f>AND(#REF!,"AAAAAC36MwE=")</f>
        <v>#REF!</v>
      </c>
      <c r="C516" t="e">
        <f>AND(#REF!,"AAAAAC36MwI=")</f>
        <v>#REF!</v>
      </c>
      <c r="D516" t="e">
        <f>AND(#REF!,"AAAAAC36MwM=")</f>
        <v>#REF!</v>
      </c>
      <c r="E516" t="e">
        <f>AND(#REF!,"AAAAAC36MwQ=")</f>
        <v>#REF!</v>
      </c>
      <c r="F516" t="e">
        <f>AND(#REF!,"AAAAAC36MwU=")</f>
        <v>#REF!</v>
      </c>
      <c r="G516" t="e">
        <f>AND(#REF!,"AAAAAC36MwY=")</f>
        <v>#REF!</v>
      </c>
      <c r="H516" t="e">
        <f>AND(#REF!,"AAAAAC36Mwc=")</f>
        <v>#REF!</v>
      </c>
      <c r="I516" t="e">
        <f>AND(#REF!,"AAAAAC36Mwg=")</f>
        <v>#REF!</v>
      </c>
      <c r="J516" t="e">
        <f>AND(#REF!,"AAAAAC36Mwk=")</f>
        <v>#REF!</v>
      </c>
      <c r="K516" t="e">
        <f>AND(#REF!,"AAAAAC36Mwo=")</f>
        <v>#REF!</v>
      </c>
      <c r="L516" t="e">
        <f>AND(#REF!,"AAAAAC36Mws=")</f>
        <v>#REF!</v>
      </c>
      <c r="M516" t="e">
        <f>AND(#REF!,"AAAAAC36Mww=")</f>
        <v>#REF!</v>
      </c>
      <c r="N516" t="e">
        <f>AND(#REF!,"AAAAAC36Mw0=")</f>
        <v>#REF!</v>
      </c>
      <c r="O516" t="e">
        <f>AND(#REF!,"AAAAAC36Mw4=")</f>
        <v>#REF!</v>
      </c>
      <c r="P516" t="e">
        <f>AND(#REF!,"AAAAAC36Mw8=")</f>
        <v>#REF!</v>
      </c>
      <c r="Q516" t="e">
        <f>AND(#REF!,"AAAAAC36MxA=")</f>
        <v>#REF!</v>
      </c>
      <c r="R516" t="e">
        <f>AND(#REF!,"AAAAAC36MxE=")</f>
        <v>#REF!</v>
      </c>
      <c r="S516" t="e">
        <f>AND(#REF!,"AAAAAC36MxI=")</f>
        <v>#REF!</v>
      </c>
      <c r="T516" t="e">
        <f>AND(#REF!,"AAAAAC36MxM=")</f>
        <v>#REF!</v>
      </c>
      <c r="U516" t="e">
        <f>IF(#REF!,"AAAAAC36MxQ=",0)</f>
        <v>#REF!</v>
      </c>
      <c r="V516" t="e">
        <f>AND(#REF!,"AAAAAC36MxU=")</f>
        <v>#REF!</v>
      </c>
      <c r="W516" t="e">
        <f>AND(#REF!,"AAAAAC36MxY=")</f>
        <v>#REF!</v>
      </c>
      <c r="X516" t="e">
        <f>AND(#REF!,"AAAAAC36Mxc=")</f>
        <v>#REF!</v>
      </c>
      <c r="Y516" t="e">
        <f>AND(#REF!,"AAAAAC36Mxg=")</f>
        <v>#REF!</v>
      </c>
      <c r="Z516" t="e">
        <f>AND(#REF!,"AAAAAC36Mxk=")</f>
        <v>#REF!</v>
      </c>
      <c r="AA516" t="e">
        <f>AND(#REF!,"AAAAAC36Mxo=")</f>
        <v>#REF!</v>
      </c>
      <c r="AB516" t="e">
        <f>AND(#REF!,"AAAAAC36Mxs=")</f>
        <v>#REF!</v>
      </c>
      <c r="AC516" t="e">
        <f>AND(#REF!,"AAAAAC36Mxw=")</f>
        <v>#REF!</v>
      </c>
      <c r="AD516" t="e">
        <f>AND(#REF!,"AAAAAC36Mx0=")</f>
        <v>#REF!</v>
      </c>
      <c r="AE516" t="e">
        <f>AND(#REF!,"AAAAAC36Mx4=")</f>
        <v>#REF!</v>
      </c>
      <c r="AF516" t="e">
        <f>AND(#REF!,"AAAAAC36Mx8=")</f>
        <v>#REF!</v>
      </c>
      <c r="AG516" t="e">
        <f>AND(#REF!,"AAAAAC36MyA=")</f>
        <v>#REF!</v>
      </c>
      <c r="AH516" t="e">
        <f>AND(#REF!,"AAAAAC36MyE=")</f>
        <v>#REF!</v>
      </c>
      <c r="AI516" t="e">
        <f>AND(#REF!,"AAAAAC36MyI=")</f>
        <v>#REF!</v>
      </c>
      <c r="AJ516" t="e">
        <f>AND(#REF!,"AAAAAC36MyM=")</f>
        <v>#REF!</v>
      </c>
      <c r="AK516" t="e">
        <f>AND(#REF!,"AAAAAC36MyQ=")</f>
        <v>#REF!</v>
      </c>
      <c r="AL516" t="e">
        <f>AND(#REF!,"AAAAAC36MyU=")</f>
        <v>#REF!</v>
      </c>
      <c r="AM516" t="e">
        <f>AND(#REF!,"AAAAAC36MyY=")</f>
        <v>#REF!</v>
      </c>
      <c r="AN516" t="e">
        <f>AND(#REF!,"AAAAAC36Myc=")</f>
        <v>#REF!</v>
      </c>
      <c r="AO516" t="e">
        <f>AND(#REF!,"AAAAAC36Myg=")</f>
        <v>#REF!</v>
      </c>
      <c r="AP516" t="e">
        <f>AND(#REF!,"AAAAAC36Myk=")</f>
        <v>#REF!</v>
      </c>
      <c r="AQ516" t="e">
        <f>AND(#REF!,"AAAAAC36Myo=")</f>
        <v>#REF!</v>
      </c>
      <c r="AR516" t="e">
        <f>AND(#REF!,"AAAAAC36Mys=")</f>
        <v>#REF!</v>
      </c>
      <c r="AS516" t="e">
        <f>AND(#REF!,"AAAAAC36Myw=")</f>
        <v>#REF!</v>
      </c>
      <c r="AT516" t="e">
        <f>IF(#REF!,"AAAAAC36My0=",0)</f>
        <v>#REF!</v>
      </c>
      <c r="AU516" t="e">
        <f>AND(#REF!,"AAAAAC36My4=")</f>
        <v>#REF!</v>
      </c>
      <c r="AV516" t="e">
        <f>AND(#REF!,"AAAAAC36My8=")</f>
        <v>#REF!</v>
      </c>
      <c r="AW516" t="e">
        <f>AND(#REF!,"AAAAAC36MzA=")</f>
        <v>#REF!</v>
      </c>
      <c r="AX516" t="e">
        <f>AND(#REF!,"AAAAAC36MzE=")</f>
        <v>#REF!</v>
      </c>
      <c r="AY516" t="e">
        <f>AND(#REF!,"AAAAAC36MzI=")</f>
        <v>#REF!</v>
      </c>
      <c r="AZ516" t="e">
        <f>AND(#REF!,"AAAAAC36MzM=")</f>
        <v>#REF!</v>
      </c>
      <c r="BA516" t="e">
        <f>AND(#REF!,"AAAAAC36MzQ=")</f>
        <v>#REF!</v>
      </c>
      <c r="BB516" t="e">
        <f>AND(#REF!,"AAAAAC36MzU=")</f>
        <v>#REF!</v>
      </c>
      <c r="BC516" t="e">
        <f>AND(#REF!,"AAAAAC36MzY=")</f>
        <v>#REF!</v>
      </c>
      <c r="BD516" t="e">
        <f>AND(#REF!,"AAAAAC36Mzc=")</f>
        <v>#REF!</v>
      </c>
      <c r="BE516" t="e">
        <f>AND(#REF!,"AAAAAC36Mzg=")</f>
        <v>#REF!</v>
      </c>
      <c r="BF516" t="e">
        <f>AND(#REF!,"AAAAAC36Mzk=")</f>
        <v>#REF!</v>
      </c>
      <c r="BG516" t="e">
        <f>AND(#REF!,"AAAAAC36Mzo=")</f>
        <v>#REF!</v>
      </c>
      <c r="BH516" t="e">
        <f>AND(#REF!,"AAAAAC36Mzs=")</f>
        <v>#REF!</v>
      </c>
      <c r="BI516" t="e">
        <f>AND(#REF!,"AAAAAC36Mzw=")</f>
        <v>#REF!</v>
      </c>
      <c r="BJ516" t="e">
        <f>AND(#REF!,"AAAAAC36Mz0=")</f>
        <v>#REF!</v>
      </c>
      <c r="BK516" t="e">
        <f>AND(#REF!,"AAAAAC36Mz4=")</f>
        <v>#REF!</v>
      </c>
      <c r="BL516" t="e">
        <f>AND(#REF!,"AAAAAC36Mz8=")</f>
        <v>#REF!</v>
      </c>
      <c r="BM516" t="e">
        <f>AND(#REF!,"AAAAAC36M0A=")</f>
        <v>#REF!</v>
      </c>
      <c r="BN516" t="e">
        <f>AND(#REF!,"AAAAAC36M0E=")</f>
        <v>#REF!</v>
      </c>
      <c r="BO516" t="e">
        <f>AND(#REF!,"AAAAAC36M0I=")</f>
        <v>#REF!</v>
      </c>
      <c r="BP516" t="e">
        <f>AND(#REF!,"AAAAAC36M0M=")</f>
        <v>#REF!</v>
      </c>
      <c r="BQ516" t="e">
        <f>AND(#REF!,"AAAAAC36M0Q=")</f>
        <v>#REF!</v>
      </c>
      <c r="BR516" t="e">
        <f>AND(#REF!,"AAAAAC36M0U=")</f>
        <v>#REF!</v>
      </c>
      <c r="BS516" t="e">
        <f>IF(#REF!,"AAAAAC36M0Y=",0)</f>
        <v>#REF!</v>
      </c>
      <c r="BT516" t="e">
        <f>AND(#REF!,"AAAAAC36M0c=")</f>
        <v>#REF!</v>
      </c>
      <c r="BU516" t="e">
        <f>AND(#REF!,"AAAAAC36M0g=")</f>
        <v>#REF!</v>
      </c>
      <c r="BV516" t="e">
        <f>AND(#REF!,"AAAAAC36M0k=")</f>
        <v>#REF!</v>
      </c>
      <c r="BW516" t="e">
        <f>AND(#REF!,"AAAAAC36M0o=")</f>
        <v>#REF!</v>
      </c>
      <c r="BX516" t="e">
        <f>AND(#REF!,"AAAAAC36M0s=")</f>
        <v>#REF!</v>
      </c>
      <c r="BY516" t="e">
        <f>AND(#REF!,"AAAAAC36M0w=")</f>
        <v>#REF!</v>
      </c>
      <c r="BZ516" t="e">
        <f>AND(#REF!,"AAAAAC36M00=")</f>
        <v>#REF!</v>
      </c>
      <c r="CA516" t="e">
        <f>AND(#REF!,"AAAAAC36M04=")</f>
        <v>#REF!</v>
      </c>
      <c r="CB516" t="e">
        <f>AND(#REF!,"AAAAAC36M08=")</f>
        <v>#REF!</v>
      </c>
      <c r="CC516" t="e">
        <f>AND(#REF!,"AAAAAC36M1A=")</f>
        <v>#REF!</v>
      </c>
      <c r="CD516" t="e">
        <f>AND(#REF!,"AAAAAC36M1E=")</f>
        <v>#REF!</v>
      </c>
      <c r="CE516" t="e">
        <f>AND(#REF!,"AAAAAC36M1I=")</f>
        <v>#REF!</v>
      </c>
      <c r="CF516" t="e">
        <f>AND(#REF!,"AAAAAC36M1M=")</f>
        <v>#REF!</v>
      </c>
      <c r="CG516" t="e">
        <f>AND(#REF!,"AAAAAC36M1Q=")</f>
        <v>#REF!</v>
      </c>
      <c r="CH516" t="e">
        <f>AND(#REF!,"AAAAAC36M1U=")</f>
        <v>#REF!</v>
      </c>
      <c r="CI516" t="e">
        <f>AND(#REF!,"AAAAAC36M1Y=")</f>
        <v>#REF!</v>
      </c>
      <c r="CJ516" t="e">
        <f>AND(#REF!,"AAAAAC36M1c=")</f>
        <v>#REF!</v>
      </c>
      <c r="CK516" t="e">
        <f>AND(#REF!,"AAAAAC36M1g=")</f>
        <v>#REF!</v>
      </c>
      <c r="CL516" t="e">
        <f>AND(#REF!,"AAAAAC36M1k=")</f>
        <v>#REF!</v>
      </c>
      <c r="CM516" t="e">
        <f>AND(#REF!,"AAAAAC36M1o=")</f>
        <v>#REF!</v>
      </c>
      <c r="CN516" t="e">
        <f>AND(#REF!,"AAAAAC36M1s=")</f>
        <v>#REF!</v>
      </c>
      <c r="CO516" t="e">
        <f>AND(#REF!,"AAAAAC36M1w=")</f>
        <v>#REF!</v>
      </c>
      <c r="CP516" t="e">
        <f>AND(#REF!,"AAAAAC36M10=")</f>
        <v>#REF!</v>
      </c>
      <c r="CQ516" t="e">
        <f>AND(#REF!,"AAAAAC36M14=")</f>
        <v>#REF!</v>
      </c>
      <c r="CR516" t="e">
        <f>IF(#REF!,"AAAAAC36M18=",0)</f>
        <v>#REF!</v>
      </c>
      <c r="CS516" t="e">
        <f>AND(#REF!,"AAAAAC36M2A=")</f>
        <v>#REF!</v>
      </c>
      <c r="CT516" t="e">
        <f>AND(#REF!,"AAAAAC36M2E=")</f>
        <v>#REF!</v>
      </c>
      <c r="CU516" t="e">
        <f>AND(#REF!,"AAAAAC36M2I=")</f>
        <v>#REF!</v>
      </c>
      <c r="CV516" t="e">
        <f>AND(#REF!,"AAAAAC36M2M=")</f>
        <v>#REF!</v>
      </c>
      <c r="CW516" t="e">
        <f>AND(#REF!,"AAAAAC36M2Q=")</f>
        <v>#REF!</v>
      </c>
      <c r="CX516" t="e">
        <f>AND(#REF!,"AAAAAC36M2U=")</f>
        <v>#REF!</v>
      </c>
      <c r="CY516" t="e">
        <f>AND(#REF!,"AAAAAC36M2Y=")</f>
        <v>#REF!</v>
      </c>
      <c r="CZ516" t="e">
        <f>AND(#REF!,"AAAAAC36M2c=")</f>
        <v>#REF!</v>
      </c>
      <c r="DA516" t="e">
        <f>AND(#REF!,"AAAAAC36M2g=")</f>
        <v>#REF!</v>
      </c>
      <c r="DB516" t="e">
        <f>AND(#REF!,"AAAAAC36M2k=")</f>
        <v>#REF!</v>
      </c>
      <c r="DC516" t="e">
        <f>AND(#REF!,"AAAAAC36M2o=")</f>
        <v>#REF!</v>
      </c>
      <c r="DD516" t="e">
        <f>AND(#REF!,"AAAAAC36M2s=")</f>
        <v>#REF!</v>
      </c>
      <c r="DE516" t="e">
        <f>AND(#REF!,"AAAAAC36M2w=")</f>
        <v>#REF!</v>
      </c>
      <c r="DF516" t="e">
        <f>AND(#REF!,"AAAAAC36M20=")</f>
        <v>#REF!</v>
      </c>
      <c r="DG516" t="e">
        <f>AND(#REF!,"AAAAAC36M24=")</f>
        <v>#REF!</v>
      </c>
      <c r="DH516" t="e">
        <f>AND(#REF!,"AAAAAC36M28=")</f>
        <v>#REF!</v>
      </c>
      <c r="DI516" t="e">
        <f>AND(#REF!,"AAAAAC36M3A=")</f>
        <v>#REF!</v>
      </c>
      <c r="DJ516" t="e">
        <f>AND(#REF!,"AAAAAC36M3E=")</f>
        <v>#REF!</v>
      </c>
      <c r="DK516" t="e">
        <f>AND(#REF!,"AAAAAC36M3I=")</f>
        <v>#REF!</v>
      </c>
      <c r="DL516" t="e">
        <f>AND(#REF!,"AAAAAC36M3M=")</f>
        <v>#REF!</v>
      </c>
      <c r="DM516" t="e">
        <f>AND(#REF!,"AAAAAC36M3Q=")</f>
        <v>#REF!</v>
      </c>
      <c r="DN516" t="e">
        <f>AND(#REF!,"AAAAAC36M3U=")</f>
        <v>#REF!</v>
      </c>
      <c r="DO516" t="e">
        <f>AND(#REF!,"AAAAAC36M3Y=")</f>
        <v>#REF!</v>
      </c>
      <c r="DP516" t="e">
        <f>AND(#REF!,"AAAAAC36M3c=")</f>
        <v>#REF!</v>
      </c>
      <c r="DQ516" t="e">
        <f>IF(#REF!,"AAAAAC36M3g=",0)</f>
        <v>#REF!</v>
      </c>
      <c r="DR516" t="e">
        <f>AND(#REF!,"AAAAAC36M3k=")</f>
        <v>#REF!</v>
      </c>
      <c r="DS516" t="e">
        <f>AND(#REF!,"AAAAAC36M3o=")</f>
        <v>#REF!</v>
      </c>
      <c r="DT516" t="e">
        <f>AND(#REF!,"AAAAAC36M3s=")</f>
        <v>#REF!</v>
      </c>
      <c r="DU516" t="e">
        <f>AND(#REF!,"AAAAAC36M3w=")</f>
        <v>#REF!</v>
      </c>
      <c r="DV516" t="e">
        <f>AND(#REF!,"AAAAAC36M30=")</f>
        <v>#REF!</v>
      </c>
      <c r="DW516" t="e">
        <f>AND(#REF!,"AAAAAC36M34=")</f>
        <v>#REF!</v>
      </c>
      <c r="DX516" t="e">
        <f>AND(#REF!,"AAAAAC36M38=")</f>
        <v>#REF!</v>
      </c>
      <c r="DY516" t="e">
        <f>AND(#REF!,"AAAAAC36M4A=")</f>
        <v>#REF!</v>
      </c>
      <c r="DZ516" t="e">
        <f>AND(#REF!,"AAAAAC36M4E=")</f>
        <v>#REF!</v>
      </c>
      <c r="EA516" t="e">
        <f>AND(#REF!,"AAAAAC36M4I=")</f>
        <v>#REF!</v>
      </c>
      <c r="EB516" t="e">
        <f>AND(#REF!,"AAAAAC36M4M=")</f>
        <v>#REF!</v>
      </c>
      <c r="EC516" t="e">
        <f>AND(#REF!,"AAAAAC36M4Q=")</f>
        <v>#REF!</v>
      </c>
      <c r="ED516" t="e">
        <f>AND(#REF!,"AAAAAC36M4U=")</f>
        <v>#REF!</v>
      </c>
      <c r="EE516" t="e">
        <f>AND(#REF!,"AAAAAC36M4Y=")</f>
        <v>#REF!</v>
      </c>
      <c r="EF516" t="e">
        <f>AND(#REF!,"AAAAAC36M4c=")</f>
        <v>#REF!</v>
      </c>
      <c r="EG516" t="e">
        <f>AND(#REF!,"AAAAAC36M4g=")</f>
        <v>#REF!</v>
      </c>
      <c r="EH516" t="e">
        <f>AND(#REF!,"AAAAAC36M4k=")</f>
        <v>#REF!</v>
      </c>
      <c r="EI516" t="e">
        <f>AND(#REF!,"AAAAAC36M4o=")</f>
        <v>#REF!</v>
      </c>
      <c r="EJ516" t="e">
        <f>AND(#REF!,"AAAAAC36M4s=")</f>
        <v>#REF!</v>
      </c>
      <c r="EK516" t="e">
        <f>AND(#REF!,"AAAAAC36M4w=")</f>
        <v>#REF!</v>
      </c>
      <c r="EL516" t="e">
        <f>AND(#REF!,"AAAAAC36M40=")</f>
        <v>#REF!</v>
      </c>
      <c r="EM516" t="e">
        <f>AND(#REF!,"AAAAAC36M44=")</f>
        <v>#REF!</v>
      </c>
      <c r="EN516" t="e">
        <f>AND(#REF!,"AAAAAC36M48=")</f>
        <v>#REF!</v>
      </c>
      <c r="EO516" t="e">
        <f>AND(#REF!,"AAAAAC36M5A=")</f>
        <v>#REF!</v>
      </c>
      <c r="EP516" t="e">
        <f>IF(#REF!,"AAAAAC36M5E=",0)</f>
        <v>#REF!</v>
      </c>
      <c r="EQ516" t="e">
        <f>AND(#REF!,"AAAAAC36M5I=")</f>
        <v>#REF!</v>
      </c>
      <c r="ER516" t="e">
        <f>AND(#REF!,"AAAAAC36M5M=")</f>
        <v>#REF!</v>
      </c>
      <c r="ES516" t="e">
        <f>AND(#REF!,"AAAAAC36M5Q=")</f>
        <v>#REF!</v>
      </c>
      <c r="ET516" t="e">
        <f>AND(#REF!,"AAAAAC36M5U=")</f>
        <v>#REF!</v>
      </c>
      <c r="EU516" t="e">
        <f>AND(#REF!,"AAAAAC36M5Y=")</f>
        <v>#REF!</v>
      </c>
      <c r="EV516" t="e">
        <f>AND(#REF!,"AAAAAC36M5c=")</f>
        <v>#REF!</v>
      </c>
      <c r="EW516" t="e">
        <f>AND(#REF!,"AAAAAC36M5g=")</f>
        <v>#REF!</v>
      </c>
      <c r="EX516" t="e">
        <f>AND(#REF!,"AAAAAC36M5k=")</f>
        <v>#REF!</v>
      </c>
      <c r="EY516" t="e">
        <f>AND(#REF!,"AAAAAC36M5o=")</f>
        <v>#REF!</v>
      </c>
      <c r="EZ516" t="e">
        <f>AND(#REF!,"AAAAAC36M5s=")</f>
        <v>#REF!</v>
      </c>
      <c r="FA516" t="e">
        <f>AND(#REF!,"AAAAAC36M5w=")</f>
        <v>#REF!</v>
      </c>
      <c r="FB516" t="e">
        <f>AND(#REF!,"AAAAAC36M50=")</f>
        <v>#REF!</v>
      </c>
      <c r="FC516" t="e">
        <f>AND(#REF!,"AAAAAC36M54=")</f>
        <v>#REF!</v>
      </c>
      <c r="FD516" t="e">
        <f>AND(#REF!,"AAAAAC36M58=")</f>
        <v>#REF!</v>
      </c>
      <c r="FE516" t="e">
        <f>AND(#REF!,"AAAAAC36M6A=")</f>
        <v>#REF!</v>
      </c>
      <c r="FF516" t="e">
        <f>AND(#REF!,"AAAAAC36M6E=")</f>
        <v>#REF!</v>
      </c>
      <c r="FG516" t="e">
        <f>AND(#REF!,"AAAAAC36M6I=")</f>
        <v>#REF!</v>
      </c>
      <c r="FH516" t="e">
        <f>AND(#REF!,"AAAAAC36M6M=")</f>
        <v>#REF!</v>
      </c>
      <c r="FI516" t="e">
        <f>AND(#REF!,"AAAAAC36M6Q=")</f>
        <v>#REF!</v>
      </c>
      <c r="FJ516" t="e">
        <f>AND(#REF!,"AAAAAC36M6U=")</f>
        <v>#REF!</v>
      </c>
      <c r="FK516" t="e">
        <f>AND(#REF!,"AAAAAC36M6Y=")</f>
        <v>#REF!</v>
      </c>
      <c r="FL516" t="e">
        <f>AND(#REF!,"AAAAAC36M6c=")</f>
        <v>#REF!</v>
      </c>
      <c r="FM516" t="e">
        <f>AND(#REF!,"AAAAAC36M6g=")</f>
        <v>#REF!</v>
      </c>
      <c r="FN516" t="e">
        <f>AND(#REF!,"AAAAAC36M6k=")</f>
        <v>#REF!</v>
      </c>
      <c r="FO516" t="e">
        <f>IF(#REF!,"AAAAAC36M6o=",0)</f>
        <v>#REF!</v>
      </c>
      <c r="FP516" t="e">
        <f>AND(#REF!,"AAAAAC36M6s=")</f>
        <v>#REF!</v>
      </c>
      <c r="FQ516" t="e">
        <f>AND(#REF!,"AAAAAC36M6w=")</f>
        <v>#REF!</v>
      </c>
      <c r="FR516" t="e">
        <f>AND(#REF!,"AAAAAC36M60=")</f>
        <v>#REF!</v>
      </c>
      <c r="FS516" t="e">
        <f>AND(#REF!,"AAAAAC36M64=")</f>
        <v>#REF!</v>
      </c>
      <c r="FT516" t="e">
        <f>AND(#REF!,"AAAAAC36M68=")</f>
        <v>#REF!</v>
      </c>
      <c r="FU516" t="e">
        <f>AND(#REF!,"AAAAAC36M7A=")</f>
        <v>#REF!</v>
      </c>
      <c r="FV516" t="e">
        <f>AND(#REF!,"AAAAAC36M7E=")</f>
        <v>#REF!</v>
      </c>
      <c r="FW516" t="e">
        <f>AND(#REF!,"AAAAAC36M7I=")</f>
        <v>#REF!</v>
      </c>
      <c r="FX516" t="e">
        <f>AND(#REF!,"AAAAAC36M7M=")</f>
        <v>#REF!</v>
      </c>
      <c r="FY516" t="e">
        <f>AND(#REF!,"AAAAAC36M7Q=")</f>
        <v>#REF!</v>
      </c>
      <c r="FZ516" t="e">
        <f>AND(#REF!,"AAAAAC36M7U=")</f>
        <v>#REF!</v>
      </c>
      <c r="GA516" t="e">
        <f>AND(#REF!,"AAAAAC36M7Y=")</f>
        <v>#REF!</v>
      </c>
      <c r="GB516" t="e">
        <f>AND(#REF!,"AAAAAC36M7c=")</f>
        <v>#REF!</v>
      </c>
      <c r="GC516" t="e">
        <f>AND(#REF!,"AAAAAC36M7g=")</f>
        <v>#REF!</v>
      </c>
      <c r="GD516" t="e">
        <f>AND(#REF!,"AAAAAC36M7k=")</f>
        <v>#REF!</v>
      </c>
      <c r="GE516" t="e">
        <f>AND(#REF!,"AAAAAC36M7o=")</f>
        <v>#REF!</v>
      </c>
      <c r="GF516" t="e">
        <f>AND(#REF!,"AAAAAC36M7s=")</f>
        <v>#REF!</v>
      </c>
      <c r="GG516" t="e">
        <f>AND(#REF!,"AAAAAC36M7w=")</f>
        <v>#REF!</v>
      </c>
      <c r="GH516" t="e">
        <f>AND(#REF!,"AAAAAC36M70=")</f>
        <v>#REF!</v>
      </c>
      <c r="GI516" t="e">
        <f>AND(#REF!,"AAAAAC36M74=")</f>
        <v>#REF!</v>
      </c>
      <c r="GJ516" t="e">
        <f>AND(#REF!,"AAAAAC36M78=")</f>
        <v>#REF!</v>
      </c>
      <c r="GK516" t="e">
        <f>AND(#REF!,"AAAAAC36M8A=")</f>
        <v>#REF!</v>
      </c>
      <c r="GL516" t="e">
        <f>AND(#REF!,"AAAAAC36M8E=")</f>
        <v>#REF!</v>
      </c>
      <c r="GM516" t="e">
        <f>AND(#REF!,"AAAAAC36M8I=")</f>
        <v>#REF!</v>
      </c>
      <c r="GN516" t="e">
        <f>IF(#REF!,"AAAAAC36M8M=",0)</f>
        <v>#REF!</v>
      </c>
      <c r="GO516" t="e">
        <f>AND(#REF!,"AAAAAC36M8Q=")</f>
        <v>#REF!</v>
      </c>
      <c r="GP516" t="e">
        <f>AND(#REF!,"AAAAAC36M8U=")</f>
        <v>#REF!</v>
      </c>
      <c r="GQ516" t="e">
        <f>AND(#REF!,"AAAAAC36M8Y=")</f>
        <v>#REF!</v>
      </c>
      <c r="GR516" t="e">
        <f>AND(#REF!,"AAAAAC36M8c=")</f>
        <v>#REF!</v>
      </c>
      <c r="GS516" t="e">
        <f>AND(#REF!,"AAAAAC36M8g=")</f>
        <v>#REF!</v>
      </c>
      <c r="GT516" t="e">
        <f>AND(#REF!,"AAAAAC36M8k=")</f>
        <v>#REF!</v>
      </c>
      <c r="GU516" t="e">
        <f>AND(#REF!,"AAAAAC36M8o=")</f>
        <v>#REF!</v>
      </c>
      <c r="GV516" t="e">
        <f>AND(#REF!,"AAAAAC36M8s=")</f>
        <v>#REF!</v>
      </c>
      <c r="GW516" t="e">
        <f>AND(#REF!,"AAAAAC36M8w=")</f>
        <v>#REF!</v>
      </c>
      <c r="GX516" t="e">
        <f>AND(#REF!,"AAAAAC36M80=")</f>
        <v>#REF!</v>
      </c>
      <c r="GY516" t="e">
        <f>AND(#REF!,"AAAAAC36M84=")</f>
        <v>#REF!</v>
      </c>
      <c r="GZ516" t="e">
        <f>AND(#REF!,"AAAAAC36M88=")</f>
        <v>#REF!</v>
      </c>
      <c r="HA516" t="e">
        <f>AND(#REF!,"AAAAAC36M9A=")</f>
        <v>#REF!</v>
      </c>
      <c r="HB516" t="e">
        <f>AND(#REF!,"AAAAAC36M9E=")</f>
        <v>#REF!</v>
      </c>
      <c r="HC516" t="e">
        <f>AND(#REF!,"AAAAAC36M9I=")</f>
        <v>#REF!</v>
      </c>
      <c r="HD516" t="e">
        <f>AND(#REF!,"AAAAAC36M9M=")</f>
        <v>#REF!</v>
      </c>
      <c r="HE516" t="e">
        <f>AND(#REF!,"AAAAAC36M9Q=")</f>
        <v>#REF!</v>
      </c>
      <c r="HF516" t="e">
        <f>AND(#REF!,"AAAAAC36M9U=")</f>
        <v>#REF!</v>
      </c>
      <c r="HG516" t="e">
        <f>AND(#REF!,"AAAAAC36M9Y=")</f>
        <v>#REF!</v>
      </c>
      <c r="HH516" t="e">
        <f>AND(#REF!,"AAAAAC36M9c=")</f>
        <v>#REF!</v>
      </c>
      <c r="HI516" t="e">
        <f>AND(#REF!,"AAAAAC36M9g=")</f>
        <v>#REF!</v>
      </c>
      <c r="HJ516" t="e">
        <f>AND(#REF!,"AAAAAC36M9k=")</f>
        <v>#REF!</v>
      </c>
      <c r="HK516" t="e">
        <f>AND(#REF!,"AAAAAC36M9o=")</f>
        <v>#REF!</v>
      </c>
      <c r="HL516" t="e">
        <f>AND(#REF!,"AAAAAC36M9s=")</f>
        <v>#REF!</v>
      </c>
      <c r="HM516" t="e">
        <f>IF(#REF!,"AAAAAC36M9w=",0)</f>
        <v>#REF!</v>
      </c>
      <c r="HN516" t="e">
        <f>AND(#REF!,"AAAAAC36M90=")</f>
        <v>#REF!</v>
      </c>
      <c r="HO516" t="e">
        <f>AND(#REF!,"AAAAAC36M94=")</f>
        <v>#REF!</v>
      </c>
      <c r="HP516" t="e">
        <f>AND(#REF!,"AAAAAC36M98=")</f>
        <v>#REF!</v>
      </c>
      <c r="HQ516" t="e">
        <f>AND(#REF!,"AAAAAC36M+A=")</f>
        <v>#REF!</v>
      </c>
      <c r="HR516" t="e">
        <f>AND(#REF!,"AAAAAC36M+E=")</f>
        <v>#REF!</v>
      </c>
      <c r="HS516" t="e">
        <f>AND(#REF!,"AAAAAC36M+I=")</f>
        <v>#REF!</v>
      </c>
      <c r="HT516" t="e">
        <f>AND(#REF!,"AAAAAC36M+M=")</f>
        <v>#REF!</v>
      </c>
      <c r="HU516" t="e">
        <f>AND(#REF!,"AAAAAC36M+Q=")</f>
        <v>#REF!</v>
      </c>
      <c r="HV516" t="e">
        <f>AND(#REF!,"AAAAAC36M+U=")</f>
        <v>#REF!</v>
      </c>
      <c r="HW516" t="e">
        <f>AND(#REF!,"AAAAAC36M+Y=")</f>
        <v>#REF!</v>
      </c>
      <c r="HX516" t="e">
        <f>AND(#REF!,"AAAAAC36M+c=")</f>
        <v>#REF!</v>
      </c>
      <c r="HY516" t="e">
        <f>AND(#REF!,"AAAAAC36M+g=")</f>
        <v>#REF!</v>
      </c>
      <c r="HZ516" t="e">
        <f>AND(#REF!,"AAAAAC36M+k=")</f>
        <v>#REF!</v>
      </c>
      <c r="IA516" t="e">
        <f>AND(#REF!,"AAAAAC36M+o=")</f>
        <v>#REF!</v>
      </c>
      <c r="IB516" t="e">
        <f>AND(#REF!,"AAAAAC36M+s=")</f>
        <v>#REF!</v>
      </c>
      <c r="IC516" t="e">
        <f>AND(#REF!,"AAAAAC36M+w=")</f>
        <v>#REF!</v>
      </c>
      <c r="ID516" t="e">
        <f>AND(#REF!,"AAAAAC36M+0=")</f>
        <v>#REF!</v>
      </c>
      <c r="IE516" t="e">
        <f>AND(#REF!,"AAAAAC36M+4=")</f>
        <v>#REF!</v>
      </c>
      <c r="IF516" t="e">
        <f>AND(#REF!,"AAAAAC36M+8=")</f>
        <v>#REF!</v>
      </c>
      <c r="IG516" t="e">
        <f>AND(#REF!,"AAAAAC36M/A=")</f>
        <v>#REF!</v>
      </c>
      <c r="IH516" t="e">
        <f>AND(#REF!,"AAAAAC36M/E=")</f>
        <v>#REF!</v>
      </c>
      <c r="II516" t="e">
        <f>AND(#REF!,"AAAAAC36M/I=")</f>
        <v>#REF!</v>
      </c>
      <c r="IJ516" t="e">
        <f>AND(#REF!,"AAAAAC36M/M=")</f>
        <v>#REF!</v>
      </c>
      <c r="IK516" t="e">
        <f>AND(#REF!,"AAAAAC36M/Q=")</f>
        <v>#REF!</v>
      </c>
      <c r="IL516" t="e">
        <f>IF(#REF!,"AAAAAC36M/U=",0)</f>
        <v>#REF!</v>
      </c>
      <c r="IM516" t="e">
        <f>AND(#REF!,"AAAAAC36M/Y=")</f>
        <v>#REF!</v>
      </c>
      <c r="IN516" t="e">
        <f>AND(#REF!,"AAAAAC36M/c=")</f>
        <v>#REF!</v>
      </c>
      <c r="IO516" t="e">
        <f>AND(#REF!,"AAAAAC36M/g=")</f>
        <v>#REF!</v>
      </c>
      <c r="IP516" t="e">
        <f>AND(#REF!,"AAAAAC36M/k=")</f>
        <v>#REF!</v>
      </c>
      <c r="IQ516" t="e">
        <f>AND(#REF!,"AAAAAC36M/o=")</f>
        <v>#REF!</v>
      </c>
      <c r="IR516" t="e">
        <f>AND(#REF!,"AAAAAC36M/s=")</f>
        <v>#REF!</v>
      </c>
      <c r="IS516" t="e">
        <f>AND(#REF!,"AAAAAC36M/w=")</f>
        <v>#REF!</v>
      </c>
      <c r="IT516" t="e">
        <f>AND(#REF!,"AAAAAC36M/0=")</f>
        <v>#REF!</v>
      </c>
      <c r="IU516" t="e">
        <f>AND(#REF!,"AAAAAC36M/4=")</f>
        <v>#REF!</v>
      </c>
      <c r="IV516" t="e">
        <f>AND(#REF!,"AAAAAC36M/8=")</f>
        <v>#REF!</v>
      </c>
    </row>
    <row r="517" spans="1:256">
      <c r="A517" t="e">
        <f>AND(#REF!,"AAAAADy+/wA=")</f>
        <v>#REF!</v>
      </c>
      <c r="B517" t="e">
        <f>AND(#REF!,"AAAAADy+/wE=")</f>
        <v>#REF!</v>
      </c>
      <c r="C517" t="e">
        <f>AND(#REF!,"AAAAADy+/wI=")</f>
        <v>#REF!</v>
      </c>
      <c r="D517" t="e">
        <f>AND(#REF!,"AAAAADy+/wM=")</f>
        <v>#REF!</v>
      </c>
      <c r="E517" t="e">
        <f>AND(#REF!,"AAAAADy+/wQ=")</f>
        <v>#REF!</v>
      </c>
      <c r="F517" t="e">
        <f>AND(#REF!,"AAAAADy+/wU=")</f>
        <v>#REF!</v>
      </c>
      <c r="G517" t="e">
        <f>AND(#REF!,"AAAAADy+/wY=")</f>
        <v>#REF!</v>
      </c>
      <c r="H517" t="e">
        <f>AND(#REF!,"AAAAADy+/wc=")</f>
        <v>#REF!</v>
      </c>
      <c r="I517" t="e">
        <f>AND(#REF!,"AAAAADy+/wg=")</f>
        <v>#REF!</v>
      </c>
      <c r="J517" t="e">
        <f>AND(#REF!,"AAAAADy+/wk=")</f>
        <v>#REF!</v>
      </c>
      <c r="K517" t="e">
        <f>AND(#REF!,"AAAAADy+/wo=")</f>
        <v>#REF!</v>
      </c>
      <c r="L517" t="e">
        <f>AND(#REF!,"AAAAADy+/ws=")</f>
        <v>#REF!</v>
      </c>
      <c r="M517" t="e">
        <f>AND(#REF!,"AAAAADy+/ww=")</f>
        <v>#REF!</v>
      </c>
      <c r="N517" t="e">
        <f>AND(#REF!,"AAAAADy+/w0=")</f>
        <v>#REF!</v>
      </c>
      <c r="O517" t="e">
        <f>IF(#REF!,"AAAAADy+/w4=",0)</f>
        <v>#REF!</v>
      </c>
      <c r="P517" t="e">
        <f>AND(#REF!,"AAAAADy+/w8=")</f>
        <v>#REF!</v>
      </c>
      <c r="Q517" t="e">
        <f>AND(#REF!,"AAAAADy+/xA=")</f>
        <v>#REF!</v>
      </c>
      <c r="R517" t="e">
        <f>AND(#REF!,"AAAAADy+/xE=")</f>
        <v>#REF!</v>
      </c>
      <c r="S517" t="e">
        <f>AND(#REF!,"AAAAADy+/xI=")</f>
        <v>#REF!</v>
      </c>
      <c r="T517" t="e">
        <f>AND(#REF!,"AAAAADy+/xM=")</f>
        <v>#REF!</v>
      </c>
      <c r="U517" t="e">
        <f>AND(#REF!,"AAAAADy+/xQ=")</f>
        <v>#REF!</v>
      </c>
      <c r="V517" t="e">
        <f>AND(#REF!,"AAAAADy+/xU=")</f>
        <v>#REF!</v>
      </c>
      <c r="W517" t="e">
        <f>AND(#REF!,"AAAAADy+/xY=")</f>
        <v>#REF!</v>
      </c>
      <c r="X517" t="e">
        <f>AND(#REF!,"AAAAADy+/xc=")</f>
        <v>#REF!</v>
      </c>
      <c r="Y517" t="e">
        <f>AND(#REF!,"AAAAADy+/xg=")</f>
        <v>#REF!</v>
      </c>
      <c r="Z517" t="e">
        <f>AND(#REF!,"AAAAADy+/xk=")</f>
        <v>#REF!</v>
      </c>
      <c r="AA517" t="e">
        <f>AND(#REF!,"AAAAADy+/xo=")</f>
        <v>#REF!</v>
      </c>
      <c r="AB517" t="e">
        <f>AND(#REF!,"AAAAADy+/xs=")</f>
        <v>#REF!</v>
      </c>
      <c r="AC517" t="e">
        <f>AND(#REF!,"AAAAADy+/xw=")</f>
        <v>#REF!</v>
      </c>
      <c r="AD517" t="e">
        <f>AND(#REF!,"AAAAADy+/x0=")</f>
        <v>#REF!</v>
      </c>
      <c r="AE517" t="e">
        <f>AND(#REF!,"AAAAADy+/x4=")</f>
        <v>#REF!</v>
      </c>
      <c r="AF517" t="e">
        <f>AND(#REF!,"AAAAADy+/x8=")</f>
        <v>#REF!</v>
      </c>
      <c r="AG517" t="e">
        <f>AND(#REF!,"AAAAADy+/yA=")</f>
        <v>#REF!</v>
      </c>
      <c r="AH517" t="e">
        <f>AND(#REF!,"AAAAADy+/yE=")</f>
        <v>#REF!</v>
      </c>
      <c r="AI517" t="e">
        <f>AND(#REF!,"AAAAADy+/yI=")</f>
        <v>#REF!</v>
      </c>
      <c r="AJ517" t="e">
        <f>AND(#REF!,"AAAAADy+/yM=")</f>
        <v>#REF!</v>
      </c>
      <c r="AK517" t="e">
        <f>AND(#REF!,"AAAAADy+/yQ=")</f>
        <v>#REF!</v>
      </c>
      <c r="AL517" t="e">
        <f>AND(#REF!,"AAAAADy+/yU=")</f>
        <v>#REF!</v>
      </c>
      <c r="AM517" t="e">
        <f>AND(#REF!,"AAAAADy+/yY=")</f>
        <v>#REF!</v>
      </c>
      <c r="AN517" t="e">
        <f>IF(#REF!,"AAAAADy+/yc=",0)</f>
        <v>#REF!</v>
      </c>
      <c r="AO517" t="e">
        <f>AND(#REF!,"AAAAADy+/yg=")</f>
        <v>#REF!</v>
      </c>
      <c r="AP517" t="e">
        <f>AND(#REF!,"AAAAADy+/yk=")</f>
        <v>#REF!</v>
      </c>
      <c r="AQ517" t="e">
        <f>AND(#REF!,"AAAAADy+/yo=")</f>
        <v>#REF!</v>
      </c>
      <c r="AR517" t="e">
        <f>AND(#REF!,"AAAAADy+/ys=")</f>
        <v>#REF!</v>
      </c>
      <c r="AS517" t="e">
        <f>AND(#REF!,"AAAAADy+/yw=")</f>
        <v>#REF!</v>
      </c>
      <c r="AT517" t="e">
        <f>AND(#REF!,"AAAAADy+/y0=")</f>
        <v>#REF!</v>
      </c>
      <c r="AU517" t="e">
        <f>AND(#REF!,"AAAAADy+/y4=")</f>
        <v>#REF!</v>
      </c>
      <c r="AV517" t="e">
        <f>AND(#REF!,"AAAAADy+/y8=")</f>
        <v>#REF!</v>
      </c>
      <c r="AW517" t="e">
        <f>AND(#REF!,"AAAAADy+/zA=")</f>
        <v>#REF!</v>
      </c>
      <c r="AX517" t="e">
        <f>AND(#REF!,"AAAAADy+/zE=")</f>
        <v>#REF!</v>
      </c>
      <c r="AY517" t="e">
        <f>AND(#REF!,"AAAAADy+/zI=")</f>
        <v>#REF!</v>
      </c>
      <c r="AZ517" t="e">
        <f>AND(#REF!,"AAAAADy+/zM=")</f>
        <v>#REF!</v>
      </c>
      <c r="BA517" t="e">
        <f>AND(#REF!,"AAAAADy+/zQ=")</f>
        <v>#REF!</v>
      </c>
      <c r="BB517" t="e">
        <f>AND(#REF!,"AAAAADy+/zU=")</f>
        <v>#REF!</v>
      </c>
      <c r="BC517" t="e">
        <f>AND(#REF!,"AAAAADy+/zY=")</f>
        <v>#REF!</v>
      </c>
      <c r="BD517" t="e">
        <f>AND(#REF!,"AAAAADy+/zc=")</f>
        <v>#REF!</v>
      </c>
      <c r="BE517" t="e">
        <f>AND(#REF!,"AAAAADy+/zg=")</f>
        <v>#REF!</v>
      </c>
      <c r="BF517" t="e">
        <f>AND(#REF!,"AAAAADy+/zk=")</f>
        <v>#REF!</v>
      </c>
      <c r="BG517" t="e">
        <f>AND(#REF!,"AAAAADy+/zo=")</f>
        <v>#REF!</v>
      </c>
      <c r="BH517" t="e">
        <f>AND(#REF!,"AAAAADy+/zs=")</f>
        <v>#REF!</v>
      </c>
      <c r="BI517" t="e">
        <f>AND(#REF!,"AAAAADy+/zw=")</f>
        <v>#REF!</v>
      </c>
      <c r="BJ517" t="e">
        <f>AND(#REF!,"AAAAADy+/z0=")</f>
        <v>#REF!</v>
      </c>
      <c r="BK517" t="e">
        <f>AND(#REF!,"AAAAADy+/z4=")</f>
        <v>#REF!</v>
      </c>
      <c r="BL517" t="e">
        <f>AND(#REF!,"AAAAADy+/z8=")</f>
        <v>#REF!</v>
      </c>
      <c r="BM517" t="e">
        <f>IF(#REF!,"AAAAADy+/0A=",0)</f>
        <v>#REF!</v>
      </c>
      <c r="BN517" t="e">
        <f>AND(#REF!,"AAAAADy+/0E=")</f>
        <v>#REF!</v>
      </c>
      <c r="BO517" t="e">
        <f>AND(#REF!,"AAAAADy+/0I=")</f>
        <v>#REF!</v>
      </c>
      <c r="BP517" t="e">
        <f>AND(#REF!,"AAAAADy+/0M=")</f>
        <v>#REF!</v>
      </c>
      <c r="BQ517" t="e">
        <f>AND(#REF!,"AAAAADy+/0Q=")</f>
        <v>#REF!</v>
      </c>
      <c r="BR517" t="e">
        <f>AND(#REF!,"AAAAADy+/0U=")</f>
        <v>#REF!</v>
      </c>
      <c r="BS517" t="e">
        <f>AND(#REF!,"AAAAADy+/0Y=")</f>
        <v>#REF!</v>
      </c>
      <c r="BT517" t="e">
        <f>AND(#REF!,"AAAAADy+/0c=")</f>
        <v>#REF!</v>
      </c>
      <c r="BU517" t="e">
        <f>AND(#REF!,"AAAAADy+/0g=")</f>
        <v>#REF!</v>
      </c>
      <c r="BV517" t="e">
        <f>AND(#REF!,"AAAAADy+/0k=")</f>
        <v>#REF!</v>
      </c>
      <c r="BW517" t="e">
        <f>AND(#REF!,"AAAAADy+/0o=")</f>
        <v>#REF!</v>
      </c>
      <c r="BX517" t="e">
        <f>AND(#REF!,"AAAAADy+/0s=")</f>
        <v>#REF!</v>
      </c>
      <c r="BY517" t="e">
        <f>AND(#REF!,"AAAAADy+/0w=")</f>
        <v>#REF!</v>
      </c>
      <c r="BZ517" t="e">
        <f>AND(#REF!,"AAAAADy+/00=")</f>
        <v>#REF!</v>
      </c>
      <c r="CA517" t="e">
        <f>AND(#REF!,"AAAAADy+/04=")</f>
        <v>#REF!</v>
      </c>
      <c r="CB517" t="e">
        <f>AND(#REF!,"AAAAADy+/08=")</f>
        <v>#REF!</v>
      </c>
      <c r="CC517" t="e">
        <f>AND(#REF!,"AAAAADy+/1A=")</f>
        <v>#REF!</v>
      </c>
      <c r="CD517" t="e">
        <f>AND(#REF!,"AAAAADy+/1E=")</f>
        <v>#REF!</v>
      </c>
      <c r="CE517" t="e">
        <f>AND(#REF!,"AAAAADy+/1I=")</f>
        <v>#REF!</v>
      </c>
      <c r="CF517" t="e">
        <f>AND(#REF!,"AAAAADy+/1M=")</f>
        <v>#REF!</v>
      </c>
      <c r="CG517" t="e">
        <f>AND(#REF!,"AAAAADy+/1Q=")</f>
        <v>#REF!</v>
      </c>
      <c r="CH517" t="e">
        <f>AND(#REF!,"AAAAADy+/1U=")</f>
        <v>#REF!</v>
      </c>
      <c r="CI517" t="e">
        <f>AND(#REF!,"AAAAADy+/1Y=")</f>
        <v>#REF!</v>
      </c>
      <c r="CJ517" t="e">
        <f>AND(#REF!,"AAAAADy+/1c=")</f>
        <v>#REF!</v>
      </c>
      <c r="CK517" t="e">
        <f>AND(#REF!,"AAAAADy+/1g=")</f>
        <v>#REF!</v>
      </c>
      <c r="CL517" t="e">
        <f>IF(#REF!,"AAAAADy+/1k=",0)</f>
        <v>#REF!</v>
      </c>
      <c r="CM517" t="e">
        <f>AND(#REF!,"AAAAADy+/1o=")</f>
        <v>#REF!</v>
      </c>
      <c r="CN517" t="e">
        <f>AND(#REF!,"AAAAADy+/1s=")</f>
        <v>#REF!</v>
      </c>
      <c r="CO517" t="e">
        <f>AND(#REF!,"AAAAADy+/1w=")</f>
        <v>#REF!</v>
      </c>
      <c r="CP517" t="e">
        <f>AND(#REF!,"AAAAADy+/10=")</f>
        <v>#REF!</v>
      </c>
      <c r="CQ517" t="e">
        <f>AND(#REF!,"AAAAADy+/14=")</f>
        <v>#REF!</v>
      </c>
      <c r="CR517" t="e">
        <f>AND(#REF!,"AAAAADy+/18=")</f>
        <v>#REF!</v>
      </c>
      <c r="CS517" t="e">
        <f>AND(#REF!,"AAAAADy+/2A=")</f>
        <v>#REF!</v>
      </c>
      <c r="CT517" t="e">
        <f>AND(#REF!,"AAAAADy+/2E=")</f>
        <v>#REF!</v>
      </c>
      <c r="CU517" t="e">
        <f>AND(#REF!,"AAAAADy+/2I=")</f>
        <v>#REF!</v>
      </c>
      <c r="CV517" t="e">
        <f>AND(#REF!,"AAAAADy+/2M=")</f>
        <v>#REF!</v>
      </c>
      <c r="CW517" t="e">
        <f>AND(#REF!,"AAAAADy+/2Q=")</f>
        <v>#REF!</v>
      </c>
      <c r="CX517" t="e">
        <f>AND(#REF!,"AAAAADy+/2U=")</f>
        <v>#REF!</v>
      </c>
      <c r="CY517" t="e">
        <f>AND(#REF!,"AAAAADy+/2Y=")</f>
        <v>#REF!</v>
      </c>
      <c r="CZ517" t="e">
        <f>AND(#REF!,"AAAAADy+/2c=")</f>
        <v>#REF!</v>
      </c>
      <c r="DA517" t="e">
        <f>AND(#REF!,"AAAAADy+/2g=")</f>
        <v>#REF!</v>
      </c>
      <c r="DB517" t="e">
        <f>AND(#REF!,"AAAAADy+/2k=")</f>
        <v>#REF!</v>
      </c>
      <c r="DC517" t="e">
        <f>AND(#REF!,"AAAAADy+/2o=")</f>
        <v>#REF!</v>
      </c>
      <c r="DD517" t="e">
        <f>AND(#REF!,"AAAAADy+/2s=")</f>
        <v>#REF!</v>
      </c>
      <c r="DE517" t="e">
        <f>AND(#REF!,"AAAAADy+/2w=")</f>
        <v>#REF!</v>
      </c>
      <c r="DF517" t="e">
        <f>AND(#REF!,"AAAAADy+/20=")</f>
        <v>#REF!</v>
      </c>
      <c r="DG517" t="e">
        <f>AND(#REF!,"AAAAADy+/24=")</f>
        <v>#REF!</v>
      </c>
      <c r="DH517" t="e">
        <f>AND(#REF!,"AAAAADy+/28=")</f>
        <v>#REF!</v>
      </c>
      <c r="DI517" t="e">
        <f>AND(#REF!,"AAAAADy+/3A=")</f>
        <v>#REF!</v>
      </c>
      <c r="DJ517" t="e">
        <f>AND(#REF!,"AAAAADy+/3E=")</f>
        <v>#REF!</v>
      </c>
      <c r="DK517" t="e">
        <f>IF(#REF!,"AAAAADy+/3I=",0)</f>
        <v>#REF!</v>
      </c>
      <c r="DL517" t="e">
        <f>AND(#REF!,"AAAAADy+/3M=")</f>
        <v>#REF!</v>
      </c>
      <c r="DM517" t="e">
        <f>AND(#REF!,"AAAAADy+/3Q=")</f>
        <v>#REF!</v>
      </c>
      <c r="DN517" t="e">
        <f>AND(#REF!,"AAAAADy+/3U=")</f>
        <v>#REF!</v>
      </c>
      <c r="DO517" t="e">
        <f>AND(#REF!,"AAAAADy+/3Y=")</f>
        <v>#REF!</v>
      </c>
      <c r="DP517" t="e">
        <f>AND(#REF!,"AAAAADy+/3c=")</f>
        <v>#REF!</v>
      </c>
      <c r="DQ517" t="e">
        <f>AND(#REF!,"AAAAADy+/3g=")</f>
        <v>#REF!</v>
      </c>
      <c r="DR517" t="e">
        <f>AND(#REF!,"AAAAADy+/3k=")</f>
        <v>#REF!</v>
      </c>
      <c r="DS517" t="e">
        <f>AND(#REF!,"AAAAADy+/3o=")</f>
        <v>#REF!</v>
      </c>
      <c r="DT517" t="e">
        <f>AND(#REF!,"AAAAADy+/3s=")</f>
        <v>#REF!</v>
      </c>
      <c r="DU517" t="e">
        <f>AND(#REF!,"AAAAADy+/3w=")</f>
        <v>#REF!</v>
      </c>
      <c r="DV517" t="e">
        <f>AND(#REF!,"AAAAADy+/30=")</f>
        <v>#REF!</v>
      </c>
      <c r="DW517" t="e">
        <f>AND(#REF!,"AAAAADy+/34=")</f>
        <v>#REF!</v>
      </c>
      <c r="DX517" t="e">
        <f>AND(#REF!,"AAAAADy+/38=")</f>
        <v>#REF!</v>
      </c>
      <c r="DY517" t="e">
        <f>AND(#REF!,"AAAAADy+/4A=")</f>
        <v>#REF!</v>
      </c>
      <c r="DZ517" t="e">
        <f>AND(#REF!,"AAAAADy+/4E=")</f>
        <v>#REF!</v>
      </c>
      <c r="EA517" t="e">
        <f>AND(#REF!,"AAAAADy+/4I=")</f>
        <v>#REF!</v>
      </c>
      <c r="EB517" t="e">
        <f>AND(#REF!,"AAAAADy+/4M=")</f>
        <v>#REF!</v>
      </c>
      <c r="EC517" t="e">
        <f>AND(#REF!,"AAAAADy+/4Q=")</f>
        <v>#REF!</v>
      </c>
      <c r="ED517" t="e">
        <f>AND(#REF!,"AAAAADy+/4U=")</f>
        <v>#REF!</v>
      </c>
      <c r="EE517" t="e">
        <f>AND(#REF!,"AAAAADy+/4Y=")</f>
        <v>#REF!</v>
      </c>
      <c r="EF517" t="e">
        <f>AND(#REF!,"AAAAADy+/4c=")</f>
        <v>#REF!</v>
      </c>
      <c r="EG517" t="e">
        <f>AND(#REF!,"AAAAADy+/4g=")</f>
        <v>#REF!</v>
      </c>
      <c r="EH517" t="e">
        <f>AND(#REF!,"AAAAADy+/4k=")</f>
        <v>#REF!</v>
      </c>
      <c r="EI517" t="e">
        <f>AND(#REF!,"AAAAADy+/4o=")</f>
        <v>#REF!</v>
      </c>
      <c r="EJ517" t="e">
        <f>IF(#REF!,"AAAAADy+/4s=",0)</f>
        <v>#REF!</v>
      </c>
      <c r="EK517" t="e">
        <f>AND(#REF!,"AAAAADy+/4w=")</f>
        <v>#REF!</v>
      </c>
      <c r="EL517" t="e">
        <f>AND(#REF!,"AAAAADy+/40=")</f>
        <v>#REF!</v>
      </c>
      <c r="EM517" t="e">
        <f>AND(#REF!,"AAAAADy+/44=")</f>
        <v>#REF!</v>
      </c>
      <c r="EN517" t="e">
        <f>AND(#REF!,"AAAAADy+/48=")</f>
        <v>#REF!</v>
      </c>
      <c r="EO517" t="e">
        <f>AND(#REF!,"AAAAADy+/5A=")</f>
        <v>#REF!</v>
      </c>
      <c r="EP517" t="e">
        <f>AND(#REF!,"AAAAADy+/5E=")</f>
        <v>#REF!</v>
      </c>
      <c r="EQ517" t="e">
        <f>AND(#REF!,"AAAAADy+/5I=")</f>
        <v>#REF!</v>
      </c>
      <c r="ER517" t="e">
        <f>AND(#REF!,"AAAAADy+/5M=")</f>
        <v>#REF!</v>
      </c>
      <c r="ES517" t="e">
        <f>AND(#REF!,"AAAAADy+/5Q=")</f>
        <v>#REF!</v>
      </c>
      <c r="ET517" t="e">
        <f>AND(#REF!,"AAAAADy+/5U=")</f>
        <v>#REF!</v>
      </c>
      <c r="EU517" t="e">
        <f>AND(#REF!,"AAAAADy+/5Y=")</f>
        <v>#REF!</v>
      </c>
      <c r="EV517" t="e">
        <f>AND(#REF!,"AAAAADy+/5c=")</f>
        <v>#REF!</v>
      </c>
      <c r="EW517" t="e">
        <f>AND(#REF!,"AAAAADy+/5g=")</f>
        <v>#REF!</v>
      </c>
      <c r="EX517" t="e">
        <f>AND(#REF!,"AAAAADy+/5k=")</f>
        <v>#REF!</v>
      </c>
      <c r="EY517" t="e">
        <f>AND(#REF!,"AAAAADy+/5o=")</f>
        <v>#REF!</v>
      </c>
      <c r="EZ517" t="e">
        <f>AND(#REF!,"AAAAADy+/5s=")</f>
        <v>#REF!</v>
      </c>
      <c r="FA517" t="e">
        <f>AND(#REF!,"AAAAADy+/5w=")</f>
        <v>#REF!</v>
      </c>
      <c r="FB517" t="e">
        <f>AND(#REF!,"AAAAADy+/50=")</f>
        <v>#REF!</v>
      </c>
      <c r="FC517" t="e">
        <f>AND(#REF!,"AAAAADy+/54=")</f>
        <v>#REF!</v>
      </c>
      <c r="FD517" t="e">
        <f>AND(#REF!,"AAAAADy+/58=")</f>
        <v>#REF!</v>
      </c>
      <c r="FE517" t="e">
        <f>AND(#REF!,"AAAAADy+/6A=")</f>
        <v>#REF!</v>
      </c>
      <c r="FF517" t="e">
        <f>AND(#REF!,"AAAAADy+/6E=")</f>
        <v>#REF!</v>
      </c>
      <c r="FG517" t="e">
        <f>AND(#REF!,"AAAAADy+/6I=")</f>
        <v>#REF!</v>
      </c>
      <c r="FH517" t="e">
        <f>AND(#REF!,"AAAAADy+/6M=")</f>
        <v>#REF!</v>
      </c>
      <c r="FI517" t="e">
        <f>IF(#REF!,"AAAAADy+/6Q=",0)</f>
        <v>#REF!</v>
      </c>
      <c r="FJ517" t="e">
        <f>AND(#REF!,"AAAAADy+/6U=")</f>
        <v>#REF!</v>
      </c>
      <c r="FK517" t="e">
        <f>AND(#REF!,"AAAAADy+/6Y=")</f>
        <v>#REF!</v>
      </c>
      <c r="FL517" t="e">
        <f>AND(#REF!,"AAAAADy+/6c=")</f>
        <v>#REF!</v>
      </c>
      <c r="FM517" t="e">
        <f>AND(#REF!,"AAAAADy+/6g=")</f>
        <v>#REF!</v>
      </c>
      <c r="FN517" t="e">
        <f>AND(#REF!,"AAAAADy+/6k=")</f>
        <v>#REF!</v>
      </c>
      <c r="FO517" t="e">
        <f>AND(#REF!,"AAAAADy+/6o=")</f>
        <v>#REF!</v>
      </c>
      <c r="FP517" t="e">
        <f>AND(#REF!,"AAAAADy+/6s=")</f>
        <v>#REF!</v>
      </c>
      <c r="FQ517" t="e">
        <f>AND(#REF!,"AAAAADy+/6w=")</f>
        <v>#REF!</v>
      </c>
      <c r="FR517" t="e">
        <f>AND(#REF!,"AAAAADy+/60=")</f>
        <v>#REF!</v>
      </c>
      <c r="FS517" t="e">
        <f>AND(#REF!,"AAAAADy+/64=")</f>
        <v>#REF!</v>
      </c>
      <c r="FT517" t="e">
        <f>AND(#REF!,"AAAAADy+/68=")</f>
        <v>#REF!</v>
      </c>
      <c r="FU517" t="e">
        <f>AND(#REF!,"AAAAADy+/7A=")</f>
        <v>#REF!</v>
      </c>
      <c r="FV517" t="e">
        <f>AND(#REF!,"AAAAADy+/7E=")</f>
        <v>#REF!</v>
      </c>
      <c r="FW517" t="e">
        <f>AND(#REF!,"AAAAADy+/7I=")</f>
        <v>#REF!</v>
      </c>
      <c r="FX517" t="e">
        <f>AND(#REF!,"AAAAADy+/7M=")</f>
        <v>#REF!</v>
      </c>
      <c r="FY517" t="e">
        <f>AND(#REF!,"AAAAADy+/7Q=")</f>
        <v>#REF!</v>
      </c>
      <c r="FZ517" t="e">
        <f>AND(#REF!,"AAAAADy+/7U=")</f>
        <v>#REF!</v>
      </c>
      <c r="GA517" t="e">
        <f>AND(#REF!,"AAAAADy+/7Y=")</f>
        <v>#REF!</v>
      </c>
      <c r="GB517" t="e">
        <f>AND(#REF!,"AAAAADy+/7c=")</f>
        <v>#REF!</v>
      </c>
      <c r="GC517" t="e">
        <f>AND(#REF!,"AAAAADy+/7g=")</f>
        <v>#REF!</v>
      </c>
      <c r="GD517" t="e">
        <f>AND(#REF!,"AAAAADy+/7k=")</f>
        <v>#REF!</v>
      </c>
      <c r="GE517" t="e">
        <f>AND(#REF!,"AAAAADy+/7o=")</f>
        <v>#REF!</v>
      </c>
      <c r="GF517" t="e">
        <f>AND(#REF!,"AAAAADy+/7s=")</f>
        <v>#REF!</v>
      </c>
      <c r="GG517" t="e">
        <f>AND(#REF!,"AAAAADy+/7w=")</f>
        <v>#REF!</v>
      </c>
      <c r="GH517" t="e">
        <f>IF(#REF!,"AAAAADy+/70=",0)</f>
        <v>#REF!</v>
      </c>
      <c r="GI517" t="e">
        <f>AND(#REF!,"AAAAADy+/74=")</f>
        <v>#REF!</v>
      </c>
      <c r="GJ517" t="e">
        <f>AND(#REF!,"AAAAADy+/78=")</f>
        <v>#REF!</v>
      </c>
      <c r="GK517" t="e">
        <f>AND(#REF!,"AAAAADy+/8A=")</f>
        <v>#REF!</v>
      </c>
      <c r="GL517" t="e">
        <f>AND(#REF!,"AAAAADy+/8E=")</f>
        <v>#REF!</v>
      </c>
      <c r="GM517" t="e">
        <f>AND(#REF!,"AAAAADy+/8I=")</f>
        <v>#REF!</v>
      </c>
      <c r="GN517" t="e">
        <f>AND(#REF!,"AAAAADy+/8M=")</f>
        <v>#REF!</v>
      </c>
      <c r="GO517" t="e">
        <f>AND(#REF!,"AAAAADy+/8Q=")</f>
        <v>#REF!</v>
      </c>
      <c r="GP517" t="e">
        <f>AND(#REF!,"AAAAADy+/8U=")</f>
        <v>#REF!</v>
      </c>
      <c r="GQ517" t="e">
        <f>AND(#REF!,"AAAAADy+/8Y=")</f>
        <v>#REF!</v>
      </c>
      <c r="GR517" t="e">
        <f>AND(#REF!,"AAAAADy+/8c=")</f>
        <v>#REF!</v>
      </c>
      <c r="GS517" t="e">
        <f>AND(#REF!,"AAAAADy+/8g=")</f>
        <v>#REF!</v>
      </c>
      <c r="GT517" t="e">
        <f>AND(#REF!,"AAAAADy+/8k=")</f>
        <v>#REF!</v>
      </c>
      <c r="GU517" t="e">
        <f>AND(#REF!,"AAAAADy+/8o=")</f>
        <v>#REF!</v>
      </c>
      <c r="GV517" t="e">
        <f>AND(#REF!,"AAAAADy+/8s=")</f>
        <v>#REF!</v>
      </c>
      <c r="GW517" t="e">
        <f>AND(#REF!,"AAAAADy+/8w=")</f>
        <v>#REF!</v>
      </c>
      <c r="GX517" t="e">
        <f>AND(#REF!,"AAAAADy+/80=")</f>
        <v>#REF!</v>
      </c>
      <c r="GY517" t="e">
        <f>AND(#REF!,"AAAAADy+/84=")</f>
        <v>#REF!</v>
      </c>
      <c r="GZ517" t="e">
        <f>AND(#REF!,"AAAAADy+/88=")</f>
        <v>#REF!</v>
      </c>
      <c r="HA517" t="e">
        <f>AND(#REF!,"AAAAADy+/9A=")</f>
        <v>#REF!</v>
      </c>
      <c r="HB517" t="e">
        <f>AND(#REF!,"AAAAADy+/9E=")</f>
        <v>#REF!</v>
      </c>
      <c r="HC517" t="e">
        <f>AND(#REF!,"AAAAADy+/9I=")</f>
        <v>#REF!</v>
      </c>
      <c r="HD517" t="e">
        <f>AND(#REF!,"AAAAADy+/9M=")</f>
        <v>#REF!</v>
      </c>
      <c r="HE517" t="e">
        <f>AND(#REF!,"AAAAADy+/9Q=")</f>
        <v>#REF!</v>
      </c>
      <c r="HF517" t="e">
        <f>AND(#REF!,"AAAAADy+/9U=")</f>
        <v>#REF!</v>
      </c>
      <c r="HG517" t="e">
        <f>IF(#REF!,"AAAAADy+/9Y=",0)</f>
        <v>#REF!</v>
      </c>
      <c r="HH517" t="e">
        <f>AND(#REF!,"AAAAADy+/9c=")</f>
        <v>#REF!</v>
      </c>
      <c r="HI517" t="e">
        <f>AND(#REF!,"AAAAADy+/9g=")</f>
        <v>#REF!</v>
      </c>
      <c r="HJ517" t="e">
        <f>AND(#REF!,"AAAAADy+/9k=")</f>
        <v>#REF!</v>
      </c>
      <c r="HK517" t="e">
        <f>AND(#REF!,"AAAAADy+/9o=")</f>
        <v>#REF!</v>
      </c>
      <c r="HL517" t="e">
        <f>AND(#REF!,"AAAAADy+/9s=")</f>
        <v>#REF!</v>
      </c>
      <c r="HM517" t="e">
        <f>AND(#REF!,"AAAAADy+/9w=")</f>
        <v>#REF!</v>
      </c>
      <c r="HN517" t="e">
        <f>AND(#REF!,"AAAAADy+/90=")</f>
        <v>#REF!</v>
      </c>
      <c r="HO517" t="e">
        <f>AND(#REF!,"AAAAADy+/94=")</f>
        <v>#REF!</v>
      </c>
      <c r="HP517" t="e">
        <f>AND(#REF!,"AAAAADy+/98=")</f>
        <v>#REF!</v>
      </c>
      <c r="HQ517" t="e">
        <f>AND(#REF!,"AAAAADy+/+A=")</f>
        <v>#REF!</v>
      </c>
      <c r="HR517" t="e">
        <f>AND(#REF!,"AAAAADy+/+E=")</f>
        <v>#REF!</v>
      </c>
      <c r="HS517" t="e">
        <f>AND(#REF!,"AAAAADy+/+I=")</f>
        <v>#REF!</v>
      </c>
      <c r="HT517" t="e">
        <f>AND(#REF!,"AAAAADy+/+M=")</f>
        <v>#REF!</v>
      </c>
      <c r="HU517" t="e">
        <f>AND(#REF!,"AAAAADy+/+Q=")</f>
        <v>#REF!</v>
      </c>
      <c r="HV517" t="e">
        <f>AND(#REF!,"AAAAADy+/+U=")</f>
        <v>#REF!</v>
      </c>
      <c r="HW517" t="e">
        <f>AND(#REF!,"AAAAADy+/+Y=")</f>
        <v>#REF!</v>
      </c>
      <c r="HX517" t="e">
        <f>AND(#REF!,"AAAAADy+/+c=")</f>
        <v>#REF!</v>
      </c>
      <c r="HY517" t="e">
        <f>AND(#REF!,"AAAAADy+/+g=")</f>
        <v>#REF!</v>
      </c>
      <c r="HZ517" t="e">
        <f>AND(#REF!,"AAAAADy+/+k=")</f>
        <v>#REF!</v>
      </c>
      <c r="IA517" t="e">
        <f>AND(#REF!,"AAAAADy+/+o=")</f>
        <v>#REF!</v>
      </c>
      <c r="IB517" t="e">
        <f>AND(#REF!,"AAAAADy+/+s=")</f>
        <v>#REF!</v>
      </c>
      <c r="IC517" t="e">
        <f>AND(#REF!,"AAAAADy+/+w=")</f>
        <v>#REF!</v>
      </c>
      <c r="ID517" t="e">
        <f>AND(#REF!,"AAAAADy+/+0=")</f>
        <v>#REF!</v>
      </c>
      <c r="IE517" t="e">
        <f>AND(#REF!,"AAAAADy+/+4=")</f>
        <v>#REF!</v>
      </c>
      <c r="IF517" t="e">
        <f>IF(#REF!,"AAAAADy+/+8=",0)</f>
        <v>#REF!</v>
      </c>
      <c r="IG517" t="e">
        <f>AND(#REF!,"AAAAADy+//A=")</f>
        <v>#REF!</v>
      </c>
      <c r="IH517" t="e">
        <f>AND(#REF!,"AAAAADy+//E=")</f>
        <v>#REF!</v>
      </c>
      <c r="II517" t="e">
        <f>AND(#REF!,"AAAAADy+//I=")</f>
        <v>#REF!</v>
      </c>
      <c r="IJ517" t="e">
        <f>AND(#REF!,"AAAAADy+//M=")</f>
        <v>#REF!</v>
      </c>
      <c r="IK517" t="e">
        <f>AND(#REF!,"AAAAADy+//Q=")</f>
        <v>#REF!</v>
      </c>
      <c r="IL517" t="e">
        <f>AND(#REF!,"AAAAADy+//U=")</f>
        <v>#REF!</v>
      </c>
      <c r="IM517" t="e">
        <f>AND(#REF!,"AAAAADy+//Y=")</f>
        <v>#REF!</v>
      </c>
      <c r="IN517" t="e">
        <f>AND(#REF!,"AAAAADy+//c=")</f>
        <v>#REF!</v>
      </c>
      <c r="IO517" t="e">
        <f>AND(#REF!,"AAAAADy+//g=")</f>
        <v>#REF!</v>
      </c>
      <c r="IP517" t="e">
        <f>AND(#REF!,"AAAAADy+//k=")</f>
        <v>#REF!</v>
      </c>
      <c r="IQ517" t="e">
        <f>AND(#REF!,"AAAAADy+//o=")</f>
        <v>#REF!</v>
      </c>
      <c r="IR517" t="e">
        <f>AND(#REF!,"AAAAADy+//s=")</f>
        <v>#REF!</v>
      </c>
      <c r="IS517" t="e">
        <f>AND(#REF!,"AAAAADy+//w=")</f>
        <v>#REF!</v>
      </c>
      <c r="IT517" t="e">
        <f>AND(#REF!,"AAAAADy+//0=")</f>
        <v>#REF!</v>
      </c>
      <c r="IU517" t="e">
        <f>AND(#REF!,"AAAAADy+//4=")</f>
        <v>#REF!</v>
      </c>
      <c r="IV517" t="e">
        <f>AND(#REF!,"AAAAADy+//8=")</f>
        <v>#REF!</v>
      </c>
    </row>
    <row r="518" spans="1:256">
      <c r="A518" t="e">
        <f>AND(#REF!,"AAAAAH/71QA=")</f>
        <v>#REF!</v>
      </c>
      <c r="B518" t="e">
        <f>AND(#REF!,"AAAAAH/71QE=")</f>
        <v>#REF!</v>
      </c>
      <c r="C518" t="e">
        <f>AND(#REF!,"AAAAAH/71QI=")</f>
        <v>#REF!</v>
      </c>
      <c r="D518" t="e">
        <f>AND(#REF!,"AAAAAH/71QM=")</f>
        <v>#REF!</v>
      </c>
      <c r="E518" t="e">
        <f>AND(#REF!,"AAAAAH/71QQ=")</f>
        <v>#REF!</v>
      </c>
      <c r="F518" t="e">
        <f>AND(#REF!,"AAAAAH/71QU=")</f>
        <v>#REF!</v>
      </c>
      <c r="G518" t="e">
        <f>AND(#REF!,"AAAAAH/71QY=")</f>
        <v>#REF!</v>
      </c>
      <c r="H518" t="e">
        <f>AND(#REF!,"AAAAAH/71Qc=")</f>
        <v>#REF!</v>
      </c>
      <c r="I518" t="e">
        <f>IF(#REF!,"AAAAAH/71Qg=",0)</f>
        <v>#REF!</v>
      </c>
      <c r="J518" t="e">
        <f>AND(#REF!,"AAAAAH/71Qk=")</f>
        <v>#REF!</v>
      </c>
      <c r="K518" t="e">
        <f>AND(#REF!,"AAAAAH/71Qo=")</f>
        <v>#REF!</v>
      </c>
      <c r="L518" t="e">
        <f>AND(#REF!,"AAAAAH/71Qs=")</f>
        <v>#REF!</v>
      </c>
      <c r="M518" t="e">
        <f>AND(#REF!,"AAAAAH/71Qw=")</f>
        <v>#REF!</v>
      </c>
      <c r="N518" t="e">
        <f>AND(#REF!,"AAAAAH/71Q0=")</f>
        <v>#REF!</v>
      </c>
      <c r="O518" t="e">
        <f>AND(#REF!,"AAAAAH/71Q4=")</f>
        <v>#REF!</v>
      </c>
      <c r="P518" t="e">
        <f>AND(#REF!,"AAAAAH/71Q8=")</f>
        <v>#REF!</v>
      </c>
      <c r="Q518" t="e">
        <f>AND(#REF!,"AAAAAH/71RA=")</f>
        <v>#REF!</v>
      </c>
      <c r="R518" t="e">
        <f>AND(#REF!,"AAAAAH/71RE=")</f>
        <v>#REF!</v>
      </c>
      <c r="S518" t="e">
        <f>AND(#REF!,"AAAAAH/71RI=")</f>
        <v>#REF!</v>
      </c>
      <c r="T518" t="e">
        <f>AND(#REF!,"AAAAAH/71RM=")</f>
        <v>#REF!</v>
      </c>
      <c r="U518" t="e">
        <f>AND(#REF!,"AAAAAH/71RQ=")</f>
        <v>#REF!</v>
      </c>
      <c r="V518" t="e">
        <f>AND(#REF!,"AAAAAH/71RU=")</f>
        <v>#REF!</v>
      </c>
      <c r="W518" t="e">
        <f>AND(#REF!,"AAAAAH/71RY=")</f>
        <v>#REF!</v>
      </c>
      <c r="X518" t="e">
        <f>AND(#REF!,"AAAAAH/71Rc=")</f>
        <v>#REF!</v>
      </c>
      <c r="Y518" t="e">
        <f>AND(#REF!,"AAAAAH/71Rg=")</f>
        <v>#REF!</v>
      </c>
      <c r="Z518" t="e">
        <f>AND(#REF!,"AAAAAH/71Rk=")</f>
        <v>#REF!</v>
      </c>
      <c r="AA518" t="e">
        <f>AND(#REF!,"AAAAAH/71Ro=")</f>
        <v>#REF!</v>
      </c>
      <c r="AB518" t="e">
        <f>AND(#REF!,"AAAAAH/71Rs=")</f>
        <v>#REF!</v>
      </c>
      <c r="AC518" t="e">
        <f>AND(#REF!,"AAAAAH/71Rw=")</f>
        <v>#REF!</v>
      </c>
      <c r="AD518" t="e">
        <f>AND(#REF!,"AAAAAH/71R0=")</f>
        <v>#REF!</v>
      </c>
      <c r="AE518" t="e">
        <f>AND(#REF!,"AAAAAH/71R4=")</f>
        <v>#REF!</v>
      </c>
      <c r="AF518" t="e">
        <f>AND(#REF!,"AAAAAH/71R8=")</f>
        <v>#REF!</v>
      </c>
      <c r="AG518" t="e">
        <f>AND(#REF!,"AAAAAH/71SA=")</f>
        <v>#REF!</v>
      </c>
      <c r="AH518" t="e">
        <f>IF(#REF!,"AAAAAH/71SE=",0)</f>
        <v>#REF!</v>
      </c>
      <c r="AI518" t="e">
        <f>AND(#REF!,"AAAAAH/71SI=")</f>
        <v>#REF!</v>
      </c>
      <c r="AJ518" t="e">
        <f>AND(#REF!,"AAAAAH/71SM=")</f>
        <v>#REF!</v>
      </c>
      <c r="AK518" t="e">
        <f>AND(#REF!,"AAAAAH/71SQ=")</f>
        <v>#REF!</v>
      </c>
      <c r="AL518" t="e">
        <f>AND(#REF!,"AAAAAH/71SU=")</f>
        <v>#REF!</v>
      </c>
      <c r="AM518" t="e">
        <f>AND(#REF!,"AAAAAH/71SY=")</f>
        <v>#REF!</v>
      </c>
      <c r="AN518" t="e">
        <f>AND(#REF!,"AAAAAH/71Sc=")</f>
        <v>#REF!</v>
      </c>
      <c r="AO518" t="e">
        <f>AND(#REF!,"AAAAAH/71Sg=")</f>
        <v>#REF!</v>
      </c>
      <c r="AP518" t="e">
        <f>AND(#REF!,"AAAAAH/71Sk=")</f>
        <v>#REF!</v>
      </c>
      <c r="AQ518" t="e">
        <f>AND(#REF!,"AAAAAH/71So=")</f>
        <v>#REF!</v>
      </c>
      <c r="AR518" t="e">
        <f>AND(#REF!,"AAAAAH/71Ss=")</f>
        <v>#REF!</v>
      </c>
      <c r="AS518" t="e">
        <f>AND(#REF!,"AAAAAH/71Sw=")</f>
        <v>#REF!</v>
      </c>
      <c r="AT518" t="e">
        <f>AND(#REF!,"AAAAAH/71S0=")</f>
        <v>#REF!</v>
      </c>
      <c r="AU518" t="e">
        <f>AND(#REF!,"AAAAAH/71S4=")</f>
        <v>#REF!</v>
      </c>
      <c r="AV518" t="e">
        <f>AND(#REF!,"AAAAAH/71S8=")</f>
        <v>#REF!</v>
      </c>
      <c r="AW518" t="e">
        <f>AND(#REF!,"AAAAAH/71TA=")</f>
        <v>#REF!</v>
      </c>
      <c r="AX518" t="e">
        <f>AND(#REF!,"AAAAAH/71TE=")</f>
        <v>#REF!</v>
      </c>
      <c r="AY518" t="e">
        <f>AND(#REF!,"AAAAAH/71TI=")</f>
        <v>#REF!</v>
      </c>
      <c r="AZ518" t="e">
        <f>AND(#REF!,"AAAAAH/71TM=")</f>
        <v>#REF!</v>
      </c>
      <c r="BA518" t="e">
        <f>AND(#REF!,"AAAAAH/71TQ=")</f>
        <v>#REF!</v>
      </c>
      <c r="BB518" t="e">
        <f>AND(#REF!,"AAAAAH/71TU=")</f>
        <v>#REF!</v>
      </c>
      <c r="BC518" t="e">
        <f>AND(#REF!,"AAAAAH/71TY=")</f>
        <v>#REF!</v>
      </c>
      <c r="BD518" t="e">
        <f>AND(#REF!,"AAAAAH/71Tc=")</f>
        <v>#REF!</v>
      </c>
      <c r="BE518" t="e">
        <f>AND(#REF!,"AAAAAH/71Tg=")</f>
        <v>#REF!</v>
      </c>
      <c r="BF518" t="e">
        <f>AND(#REF!,"AAAAAH/71Tk=")</f>
        <v>#REF!</v>
      </c>
      <c r="BG518" t="e">
        <f>IF(#REF!,"AAAAAH/71To=",0)</f>
        <v>#REF!</v>
      </c>
      <c r="BH518" t="e">
        <f>AND(#REF!,"AAAAAH/71Ts=")</f>
        <v>#REF!</v>
      </c>
      <c r="BI518" t="e">
        <f>AND(#REF!,"AAAAAH/71Tw=")</f>
        <v>#REF!</v>
      </c>
      <c r="BJ518" t="e">
        <f>AND(#REF!,"AAAAAH/71T0=")</f>
        <v>#REF!</v>
      </c>
      <c r="BK518" t="e">
        <f>AND(#REF!,"AAAAAH/71T4=")</f>
        <v>#REF!</v>
      </c>
      <c r="BL518" t="e">
        <f>AND(#REF!,"AAAAAH/71T8=")</f>
        <v>#REF!</v>
      </c>
      <c r="BM518" t="e">
        <f>AND(#REF!,"AAAAAH/71UA=")</f>
        <v>#REF!</v>
      </c>
      <c r="BN518" t="e">
        <f>AND(#REF!,"AAAAAH/71UE=")</f>
        <v>#REF!</v>
      </c>
      <c r="BO518" t="e">
        <f>AND(#REF!,"AAAAAH/71UI=")</f>
        <v>#REF!</v>
      </c>
      <c r="BP518" t="e">
        <f>AND(#REF!,"AAAAAH/71UM=")</f>
        <v>#REF!</v>
      </c>
      <c r="BQ518" t="e">
        <f>AND(#REF!,"AAAAAH/71UQ=")</f>
        <v>#REF!</v>
      </c>
      <c r="BR518" t="e">
        <f>AND(#REF!,"AAAAAH/71UU=")</f>
        <v>#REF!</v>
      </c>
      <c r="BS518" t="e">
        <f>AND(#REF!,"AAAAAH/71UY=")</f>
        <v>#REF!</v>
      </c>
      <c r="BT518" t="e">
        <f>AND(#REF!,"AAAAAH/71Uc=")</f>
        <v>#REF!</v>
      </c>
      <c r="BU518" t="e">
        <f>AND(#REF!,"AAAAAH/71Ug=")</f>
        <v>#REF!</v>
      </c>
      <c r="BV518" t="e">
        <f>AND(#REF!,"AAAAAH/71Uk=")</f>
        <v>#REF!</v>
      </c>
      <c r="BW518" t="e">
        <f>AND(#REF!,"AAAAAH/71Uo=")</f>
        <v>#REF!</v>
      </c>
      <c r="BX518" t="e">
        <f>AND(#REF!,"AAAAAH/71Us=")</f>
        <v>#REF!</v>
      </c>
      <c r="BY518" t="e">
        <f>AND(#REF!,"AAAAAH/71Uw=")</f>
        <v>#REF!</v>
      </c>
      <c r="BZ518" t="e">
        <f>AND(#REF!,"AAAAAH/71U0=")</f>
        <v>#REF!</v>
      </c>
      <c r="CA518" t="e">
        <f>AND(#REF!,"AAAAAH/71U4=")</f>
        <v>#REF!</v>
      </c>
      <c r="CB518" t="e">
        <f>AND(#REF!,"AAAAAH/71U8=")</f>
        <v>#REF!</v>
      </c>
      <c r="CC518" t="e">
        <f>AND(#REF!,"AAAAAH/71VA=")</f>
        <v>#REF!</v>
      </c>
      <c r="CD518" t="e">
        <f>AND(#REF!,"AAAAAH/71VE=")</f>
        <v>#REF!</v>
      </c>
      <c r="CE518" t="e">
        <f>AND(#REF!,"AAAAAH/71VI=")</f>
        <v>#REF!</v>
      </c>
      <c r="CF518" t="e">
        <f>IF(#REF!,"AAAAAH/71VM=",0)</f>
        <v>#REF!</v>
      </c>
      <c r="CG518" t="e">
        <f>AND(#REF!,"AAAAAH/71VQ=")</f>
        <v>#REF!</v>
      </c>
      <c r="CH518" t="e">
        <f>AND(#REF!,"AAAAAH/71VU=")</f>
        <v>#REF!</v>
      </c>
      <c r="CI518" t="e">
        <f>AND(#REF!,"AAAAAH/71VY=")</f>
        <v>#REF!</v>
      </c>
      <c r="CJ518" t="e">
        <f>AND(#REF!,"AAAAAH/71Vc=")</f>
        <v>#REF!</v>
      </c>
      <c r="CK518" t="e">
        <f>AND(#REF!,"AAAAAH/71Vg=")</f>
        <v>#REF!</v>
      </c>
      <c r="CL518" t="e">
        <f>AND(#REF!,"AAAAAH/71Vk=")</f>
        <v>#REF!</v>
      </c>
      <c r="CM518" t="e">
        <f>AND(#REF!,"AAAAAH/71Vo=")</f>
        <v>#REF!</v>
      </c>
      <c r="CN518" t="e">
        <f>AND(#REF!,"AAAAAH/71Vs=")</f>
        <v>#REF!</v>
      </c>
      <c r="CO518" t="e">
        <f>AND(#REF!,"AAAAAH/71Vw=")</f>
        <v>#REF!</v>
      </c>
      <c r="CP518" t="e">
        <f>AND(#REF!,"AAAAAH/71V0=")</f>
        <v>#REF!</v>
      </c>
      <c r="CQ518" t="e">
        <f>AND(#REF!,"AAAAAH/71V4=")</f>
        <v>#REF!</v>
      </c>
      <c r="CR518" t="e">
        <f>AND(#REF!,"AAAAAH/71V8=")</f>
        <v>#REF!</v>
      </c>
      <c r="CS518" t="e">
        <f>AND(#REF!,"AAAAAH/71WA=")</f>
        <v>#REF!</v>
      </c>
      <c r="CT518" t="e">
        <f>AND(#REF!,"AAAAAH/71WE=")</f>
        <v>#REF!</v>
      </c>
      <c r="CU518" t="e">
        <f>AND(#REF!,"AAAAAH/71WI=")</f>
        <v>#REF!</v>
      </c>
      <c r="CV518" t="e">
        <f>AND(#REF!,"AAAAAH/71WM=")</f>
        <v>#REF!</v>
      </c>
      <c r="CW518" t="e">
        <f>AND(#REF!,"AAAAAH/71WQ=")</f>
        <v>#REF!</v>
      </c>
      <c r="CX518" t="e">
        <f>AND(#REF!,"AAAAAH/71WU=")</f>
        <v>#REF!</v>
      </c>
      <c r="CY518" t="e">
        <f>AND(#REF!,"AAAAAH/71WY=")</f>
        <v>#REF!</v>
      </c>
      <c r="CZ518" t="e">
        <f>AND(#REF!,"AAAAAH/71Wc=")</f>
        <v>#REF!</v>
      </c>
      <c r="DA518" t="e">
        <f>AND(#REF!,"AAAAAH/71Wg=")</f>
        <v>#REF!</v>
      </c>
      <c r="DB518" t="e">
        <f>AND(#REF!,"AAAAAH/71Wk=")</f>
        <v>#REF!</v>
      </c>
      <c r="DC518" t="e">
        <f>AND(#REF!,"AAAAAH/71Wo=")</f>
        <v>#REF!</v>
      </c>
      <c r="DD518" t="e">
        <f>AND(#REF!,"AAAAAH/71Ws=")</f>
        <v>#REF!</v>
      </c>
      <c r="DE518" t="e">
        <f>IF(#REF!,"AAAAAH/71Ww=",0)</f>
        <v>#REF!</v>
      </c>
      <c r="DF518" t="e">
        <f>AND(#REF!,"AAAAAH/71W0=")</f>
        <v>#REF!</v>
      </c>
      <c r="DG518" t="e">
        <f>AND(#REF!,"AAAAAH/71W4=")</f>
        <v>#REF!</v>
      </c>
      <c r="DH518" t="e">
        <f>AND(#REF!,"AAAAAH/71W8=")</f>
        <v>#REF!</v>
      </c>
      <c r="DI518" t="e">
        <f>AND(#REF!,"AAAAAH/71XA=")</f>
        <v>#REF!</v>
      </c>
      <c r="DJ518" t="e">
        <f>AND(#REF!,"AAAAAH/71XE=")</f>
        <v>#REF!</v>
      </c>
      <c r="DK518" t="e">
        <f>AND(#REF!,"AAAAAH/71XI=")</f>
        <v>#REF!</v>
      </c>
      <c r="DL518" t="e">
        <f>AND(#REF!,"AAAAAH/71XM=")</f>
        <v>#REF!</v>
      </c>
      <c r="DM518" t="e">
        <f>AND(#REF!,"AAAAAH/71XQ=")</f>
        <v>#REF!</v>
      </c>
      <c r="DN518" t="e">
        <f>AND(#REF!,"AAAAAH/71XU=")</f>
        <v>#REF!</v>
      </c>
      <c r="DO518" t="e">
        <f>AND(#REF!,"AAAAAH/71XY=")</f>
        <v>#REF!</v>
      </c>
      <c r="DP518" t="e">
        <f>AND(#REF!,"AAAAAH/71Xc=")</f>
        <v>#REF!</v>
      </c>
      <c r="DQ518" t="e">
        <f>AND(#REF!,"AAAAAH/71Xg=")</f>
        <v>#REF!</v>
      </c>
      <c r="DR518" t="e">
        <f>AND(#REF!,"AAAAAH/71Xk=")</f>
        <v>#REF!</v>
      </c>
      <c r="DS518" t="e">
        <f>AND(#REF!,"AAAAAH/71Xo=")</f>
        <v>#REF!</v>
      </c>
      <c r="DT518" t="e">
        <f>AND(#REF!,"AAAAAH/71Xs=")</f>
        <v>#REF!</v>
      </c>
      <c r="DU518" t="e">
        <f>AND(#REF!,"AAAAAH/71Xw=")</f>
        <v>#REF!</v>
      </c>
      <c r="DV518" t="e">
        <f>AND(#REF!,"AAAAAH/71X0=")</f>
        <v>#REF!</v>
      </c>
      <c r="DW518" t="e">
        <f>AND(#REF!,"AAAAAH/71X4=")</f>
        <v>#REF!</v>
      </c>
      <c r="DX518" t="e">
        <f>AND(#REF!,"AAAAAH/71X8=")</f>
        <v>#REF!</v>
      </c>
      <c r="DY518" t="e">
        <f>AND(#REF!,"AAAAAH/71YA=")</f>
        <v>#REF!</v>
      </c>
      <c r="DZ518" t="e">
        <f>AND(#REF!,"AAAAAH/71YE=")</f>
        <v>#REF!</v>
      </c>
      <c r="EA518" t="e">
        <f>AND(#REF!,"AAAAAH/71YI=")</f>
        <v>#REF!</v>
      </c>
      <c r="EB518" t="e">
        <f>AND(#REF!,"AAAAAH/71YM=")</f>
        <v>#REF!</v>
      </c>
      <c r="EC518" t="e">
        <f>AND(#REF!,"AAAAAH/71YQ=")</f>
        <v>#REF!</v>
      </c>
      <c r="ED518" t="e">
        <f>IF(#REF!,"AAAAAH/71YU=",0)</f>
        <v>#REF!</v>
      </c>
      <c r="EE518" t="e">
        <f>AND(#REF!,"AAAAAH/71YY=")</f>
        <v>#REF!</v>
      </c>
      <c r="EF518" t="e">
        <f>AND(#REF!,"AAAAAH/71Yc=")</f>
        <v>#REF!</v>
      </c>
      <c r="EG518" t="e">
        <f>AND(#REF!,"AAAAAH/71Yg=")</f>
        <v>#REF!</v>
      </c>
      <c r="EH518" t="e">
        <f>AND(#REF!,"AAAAAH/71Yk=")</f>
        <v>#REF!</v>
      </c>
      <c r="EI518" t="e">
        <f>AND(#REF!,"AAAAAH/71Yo=")</f>
        <v>#REF!</v>
      </c>
      <c r="EJ518" t="e">
        <f>AND(#REF!,"AAAAAH/71Ys=")</f>
        <v>#REF!</v>
      </c>
      <c r="EK518" t="e">
        <f>AND(#REF!,"AAAAAH/71Yw=")</f>
        <v>#REF!</v>
      </c>
      <c r="EL518" t="e">
        <f>AND(#REF!,"AAAAAH/71Y0=")</f>
        <v>#REF!</v>
      </c>
      <c r="EM518" t="e">
        <f>AND(#REF!,"AAAAAH/71Y4=")</f>
        <v>#REF!</v>
      </c>
      <c r="EN518" t="e">
        <f>AND(#REF!,"AAAAAH/71Y8=")</f>
        <v>#REF!</v>
      </c>
      <c r="EO518" t="e">
        <f>AND(#REF!,"AAAAAH/71ZA=")</f>
        <v>#REF!</v>
      </c>
      <c r="EP518" t="e">
        <f>AND(#REF!,"AAAAAH/71ZE=")</f>
        <v>#REF!</v>
      </c>
      <c r="EQ518" t="e">
        <f>AND(#REF!,"AAAAAH/71ZI=")</f>
        <v>#REF!</v>
      </c>
      <c r="ER518" t="e">
        <f>AND(#REF!,"AAAAAH/71ZM=")</f>
        <v>#REF!</v>
      </c>
      <c r="ES518" t="e">
        <f>AND(#REF!,"AAAAAH/71ZQ=")</f>
        <v>#REF!</v>
      </c>
      <c r="ET518" t="e">
        <f>AND(#REF!,"AAAAAH/71ZU=")</f>
        <v>#REF!</v>
      </c>
      <c r="EU518" t="e">
        <f>AND(#REF!,"AAAAAH/71ZY=")</f>
        <v>#REF!</v>
      </c>
      <c r="EV518" t="e">
        <f>AND(#REF!,"AAAAAH/71Zc=")</f>
        <v>#REF!</v>
      </c>
      <c r="EW518" t="e">
        <f>AND(#REF!,"AAAAAH/71Zg=")</f>
        <v>#REF!</v>
      </c>
      <c r="EX518" t="e">
        <f>AND(#REF!,"AAAAAH/71Zk=")</f>
        <v>#REF!</v>
      </c>
      <c r="EY518" t="e">
        <f>AND(#REF!,"AAAAAH/71Zo=")</f>
        <v>#REF!</v>
      </c>
      <c r="EZ518" t="e">
        <f>AND(#REF!,"AAAAAH/71Zs=")</f>
        <v>#REF!</v>
      </c>
      <c r="FA518" t="e">
        <f>AND(#REF!,"AAAAAH/71Zw=")</f>
        <v>#REF!</v>
      </c>
      <c r="FB518" t="e">
        <f>AND(#REF!,"AAAAAH/71Z0=")</f>
        <v>#REF!</v>
      </c>
      <c r="FC518" t="e">
        <f>IF(#REF!,"AAAAAH/71Z4=",0)</f>
        <v>#REF!</v>
      </c>
      <c r="FD518" t="e">
        <f>AND(#REF!,"AAAAAH/71Z8=")</f>
        <v>#REF!</v>
      </c>
      <c r="FE518" t="e">
        <f>AND(#REF!,"AAAAAH/71aA=")</f>
        <v>#REF!</v>
      </c>
      <c r="FF518" t="e">
        <f>AND(#REF!,"AAAAAH/71aE=")</f>
        <v>#REF!</v>
      </c>
      <c r="FG518" t="e">
        <f>AND(#REF!,"AAAAAH/71aI=")</f>
        <v>#REF!</v>
      </c>
      <c r="FH518" t="e">
        <f>AND(#REF!,"AAAAAH/71aM=")</f>
        <v>#REF!</v>
      </c>
      <c r="FI518" t="e">
        <f>AND(#REF!,"AAAAAH/71aQ=")</f>
        <v>#REF!</v>
      </c>
      <c r="FJ518" t="e">
        <f>AND(#REF!,"AAAAAH/71aU=")</f>
        <v>#REF!</v>
      </c>
      <c r="FK518" t="e">
        <f>AND(#REF!,"AAAAAH/71aY=")</f>
        <v>#REF!</v>
      </c>
      <c r="FL518" t="e">
        <f>AND(#REF!,"AAAAAH/71ac=")</f>
        <v>#REF!</v>
      </c>
      <c r="FM518" t="e">
        <f>AND(#REF!,"AAAAAH/71ag=")</f>
        <v>#REF!</v>
      </c>
      <c r="FN518" t="e">
        <f>AND(#REF!,"AAAAAH/71ak=")</f>
        <v>#REF!</v>
      </c>
      <c r="FO518" t="e">
        <f>AND(#REF!,"AAAAAH/71ao=")</f>
        <v>#REF!</v>
      </c>
      <c r="FP518" t="e">
        <f>AND(#REF!,"AAAAAH/71as=")</f>
        <v>#REF!</v>
      </c>
      <c r="FQ518" t="e">
        <f>AND(#REF!,"AAAAAH/71aw=")</f>
        <v>#REF!</v>
      </c>
      <c r="FR518" t="e">
        <f>AND(#REF!,"AAAAAH/71a0=")</f>
        <v>#REF!</v>
      </c>
      <c r="FS518" t="e">
        <f>AND(#REF!,"AAAAAH/71a4=")</f>
        <v>#REF!</v>
      </c>
      <c r="FT518" t="e">
        <f>AND(#REF!,"AAAAAH/71a8=")</f>
        <v>#REF!</v>
      </c>
      <c r="FU518" t="e">
        <f>AND(#REF!,"AAAAAH/71bA=")</f>
        <v>#REF!</v>
      </c>
      <c r="FV518" t="e">
        <f>AND(#REF!,"AAAAAH/71bE=")</f>
        <v>#REF!</v>
      </c>
      <c r="FW518" t="e">
        <f>AND(#REF!,"AAAAAH/71bI=")</f>
        <v>#REF!</v>
      </c>
      <c r="FX518" t="e">
        <f>AND(#REF!,"AAAAAH/71bM=")</f>
        <v>#REF!</v>
      </c>
      <c r="FY518" t="e">
        <f>AND(#REF!,"AAAAAH/71bQ=")</f>
        <v>#REF!</v>
      </c>
      <c r="FZ518" t="e">
        <f>AND(#REF!,"AAAAAH/71bU=")</f>
        <v>#REF!</v>
      </c>
      <c r="GA518" t="e">
        <f>AND(#REF!,"AAAAAH/71bY=")</f>
        <v>#REF!</v>
      </c>
      <c r="GB518" t="e">
        <f>IF(#REF!,"AAAAAH/71bc=",0)</f>
        <v>#REF!</v>
      </c>
      <c r="GC518" t="e">
        <f>AND(#REF!,"AAAAAH/71bg=")</f>
        <v>#REF!</v>
      </c>
      <c r="GD518" t="e">
        <f>AND(#REF!,"AAAAAH/71bk=")</f>
        <v>#REF!</v>
      </c>
      <c r="GE518" t="e">
        <f>AND(#REF!,"AAAAAH/71bo=")</f>
        <v>#REF!</v>
      </c>
      <c r="GF518" t="e">
        <f>AND(#REF!,"AAAAAH/71bs=")</f>
        <v>#REF!</v>
      </c>
      <c r="GG518" t="e">
        <f>AND(#REF!,"AAAAAH/71bw=")</f>
        <v>#REF!</v>
      </c>
      <c r="GH518" t="e">
        <f>AND(#REF!,"AAAAAH/71b0=")</f>
        <v>#REF!</v>
      </c>
      <c r="GI518" t="e">
        <f>AND(#REF!,"AAAAAH/71b4=")</f>
        <v>#REF!</v>
      </c>
      <c r="GJ518" t="e">
        <f>AND(#REF!,"AAAAAH/71b8=")</f>
        <v>#REF!</v>
      </c>
      <c r="GK518" t="e">
        <f>AND(#REF!,"AAAAAH/71cA=")</f>
        <v>#REF!</v>
      </c>
      <c r="GL518" t="e">
        <f>AND(#REF!,"AAAAAH/71cE=")</f>
        <v>#REF!</v>
      </c>
      <c r="GM518" t="e">
        <f>AND(#REF!,"AAAAAH/71cI=")</f>
        <v>#REF!</v>
      </c>
      <c r="GN518" t="e">
        <f>AND(#REF!,"AAAAAH/71cM=")</f>
        <v>#REF!</v>
      </c>
      <c r="GO518" t="e">
        <f>AND(#REF!,"AAAAAH/71cQ=")</f>
        <v>#REF!</v>
      </c>
      <c r="GP518" t="e">
        <f>AND(#REF!,"AAAAAH/71cU=")</f>
        <v>#REF!</v>
      </c>
      <c r="GQ518" t="e">
        <f>AND(#REF!,"AAAAAH/71cY=")</f>
        <v>#REF!</v>
      </c>
      <c r="GR518" t="e">
        <f>AND(#REF!,"AAAAAH/71cc=")</f>
        <v>#REF!</v>
      </c>
      <c r="GS518" t="e">
        <f>AND(#REF!,"AAAAAH/71cg=")</f>
        <v>#REF!</v>
      </c>
      <c r="GT518" t="e">
        <f>AND(#REF!,"AAAAAH/71ck=")</f>
        <v>#REF!</v>
      </c>
      <c r="GU518" t="e">
        <f>AND(#REF!,"AAAAAH/71co=")</f>
        <v>#REF!</v>
      </c>
      <c r="GV518" t="e">
        <f>AND(#REF!,"AAAAAH/71cs=")</f>
        <v>#REF!</v>
      </c>
      <c r="GW518" t="e">
        <f>AND(#REF!,"AAAAAH/71cw=")</f>
        <v>#REF!</v>
      </c>
      <c r="GX518" t="e">
        <f>AND(#REF!,"AAAAAH/71c0=")</f>
        <v>#REF!</v>
      </c>
      <c r="GY518" t="e">
        <f>AND(#REF!,"AAAAAH/71c4=")</f>
        <v>#REF!</v>
      </c>
      <c r="GZ518" t="e">
        <f>AND(#REF!,"AAAAAH/71c8=")</f>
        <v>#REF!</v>
      </c>
      <c r="HA518" t="e">
        <f>IF(#REF!,"AAAAAH/71dA=",0)</f>
        <v>#REF!</v>
      </c>
      <c r="HB518" t="e">
        <f>AND(#REF!,"AAAAAH/71dE=")</f>
        <v>#REF!</v>
      </c>
      <c r="HC518" t="e">
        <f>AND(#REF!,"AAAAAH/71dI=")</f>
        <v>#REF!</v>
      </c>
      <c r="HD518" t="e">
        <f>AND(#REF!,"AAAAAH/71dM=")</f>
        <v>#REF!</v>
      </c>
      <c r="HE518" t="e">
        <f>AND(#REF!,"AAAAAH/71dQ=")</f>
        <v>#REF!</v>
      </c>
      <c r="HF518" t="e">
        <f>AND(#REF!,"AAAAAH/71dU=")</f>
        <v>#REF!</v>
      </c>
      <c r="HG518" t="e">
        <f>AND(#REF!,"AAAAAH/71dY=")</f>
        <v>#REF!</v>
      </c>
      <c r="HH518" t="e">
        <f>AND(#REF!,"AAAAAH/71dc=")</f>
        <v>#REF!</v>
      </c>
      <c r="HI518" t="e">
        <f>AND(#REF!,"AAAAAH/71dg=")</f>
        <v>#REF!</v>
      </c>
      <c r="HJ518" t="e">
        <f>AND(#REF!,"AAAAAH/71dk=")</f>
        <v>#REF!</v>
      </c>
      <c r="HK518" t="e">
        <f>AND(#REF!,"AAAAAH/71do=")</f>
        <v>#REF!</v>
      </c>
      <c r="HL518" t="e">
        <f>AND(#REF!,"AAAAAH/71ds=")</f>
        <v>#REF!</v>
      </c>
      <c r="HM518" t="e">
        <f>AND(#REF!,"AAAAAH/71dw=")</f>
        <v>#REF!</v>
      </c>
      <c r="HN518" t="e">
        <f>AND(#REF!,"AAAAAH/71d0=")</f>
        <v>#REF!</v>
      </c>
      <c r="HO518" t="e">
        <f>AND(#REF!,"AAAAAH/71d4=")</f>
        <v>#REF!</v>
      </c>
      <c r="HP518" t="e">
        <f>AND(#REF!,"AAAAAH/71d8=")</f>
        <v>#REF!</v>
      </c>
      <c r="HQ518" t="e">
        <f>AND(#REF!,"AAAAAH/71eA=")</f>
        <v>#REF!</v>
      </c>
      <c r="HR518" t="e">
        <f>AND(#REF!,"AAAAAH/71eE=")</f>
        <v>#REF!</v>
      </c>
      <c r="HS518" t="e">
        <f>AND(#REF!,"AAAAAH/71eI=")</f>
        <v>#REF!</v>
      </c>
      <c r="HT518" t="e">
        <f>AND(#REF!,"AAAAAH/71eM=")</f>
        <v>#REF!</v>
      </c>
      <c r="HU518" t="e">
        <f>AND(#REF!,"AAAAAH/71eQ=")</f>
        <v>#REF!</v>
      </c>
      <c r="HV518" t="e">
        <f>AND(#REF!,"AAAAAH/71eU=")</f>
        <v>#REF!</v>
      </c>
      <c r="HW518" t="e">
        <f>AND(#REF!,"AAAAAH/71eY=")</f>
        <v>#REF!</v>
      </c>
      <c r="HX518" t="e">
        <f>AND(#REF!,"AAAAAH/71ec=")</f>
        <v>#REF!</v>
      </c>
      <c r="HY518" t="e">
        <f>AND(#REF!,"AAAAAH/71eg=")</f>
        <v>#REF!</v>
      </c>
      <c r="HZ518" t="e">
        <f>IF(#REF!,"AAAAAH/71ek=",0)</f>
        <v>#REF!</v>
      </c>
      <c r="IA518" t="e">
        <f>AND(#REF!,"AAAAAH/71eo=")</f>
        <v>#REF!</v>
      </c>
      <c r="IB518" t="e">
        <f>AND(#REF!,"AAAAAH/71es=")</f>
        <v>#REF!</v>
      </c>
      <c r="IC518" t="e">
        <f>AND(#REF!,"AAAAAH/71ew=")</f>
        <v>#REF!</v>
      </c>
      <c r="ID518" t="e">
        <f>AND(#REF!,"AAAAAH/71e0=")</f>
        <v>#REF!</v>
      </c>
      <c r="IE518" t="e">
        <f>AND(#REF!,"AAAAAH/71e4=")</f>
        <v>#REF!</v>
      </c>
      <c r="IF518" t="e">
        <f>AND(#REF!,"AAAAAH/71e8=")</f>
        <v>#REF!</v>
      </c>
      <c r="IG518" t="e">
        <f>AND(#REF!,"AAAAAH/71fA=")</f>
        <v>#REF!</v>
      </c>
      <c r="IH518" t="e">
        <f>AND(#REF!,"AAAAAH/71fE=")</f>
        <v>#REF!</v>
      </c>
      <c r="II518" t="e">
        <f>AND(#REF!,"AAAAAH/71fI=")</f>
        <v>#REF!</v>
      </c>
      <c r="IJ518" t="e">
        <f>AND(#REF!,"AAAAAH/71fM=")</f>
        <v>#REF!</v>
      </c>
      <c r="IK518" t="e">
        <f>AND(#REF!,"AAAAAH/71fQ=")</f>
        <v>#REF!</v>
      </c>
      <c r="IL518" t="e">
        <f>AND(#REF!,"AAAAAH/71fU=")</f>
        <v>#REF!</v>
      </c>
      <c r="IM518" t="e">
        <f>AND(#REF!,"AAAAAH/71fY=")</f>
        <v>#REF!</v>
      </c>
      <c r="IN518" t="e">
        <f>AND(#REF!,"AAAAAH/71fc=")</f>
        <v>#REF!</v>
      </c>
      <c r="IO518" t="e">
        <f>AND(#REF!,"AAAAAH/71fg=")</f>
        <v>#REF!</v>
      </c>
      <c r="IP518" t="e">
        <f>AND(#REF!,"AAAAAH/71fk=")</f>
        <v>#REF!</v>
      </c>
      <c r="IQ518" t="e">
        <f>AND(#REF!,"AAAAAH/71fo=")</f>
        <v>#REF!</v>
      </c>
      <c r="IR518" t="e">
        <f>AND(#REF!,"AAAAAH/71fs=")</f>
        <v>#REF!</v>
      </c>
      <c r="IS518" t="e">
        <f>AND(#REF!,"AAAAAH/71fw=")</f>
        <v>#REF!</v>
      </c>
      <c r="IT518" t="e">
        <f>AND(#REF!,"AAAAAH/71f0=")</f>
        <v>#REF!</v>
      </c>
      <c r="IU518" t="e">
        <f>AND(#REF!,"AAAAAH/71f4=")</f>
        <v>#REF!</v>
      </c>
      <c r="IV518" t="e">
        <f>AND(#REF!,"AAAAAH/71f8=")</f>
        <v>#REF!</v>
      </c>
    </row>
    <row r="519" spans="1:256">
      <c r="A519" t="e">
        <f>AND(#REF!,"AAAAAH7+TwA=")</f>
        <v>#REF!</v>
      </c>
      <c r="B519" t="e">
        <f>AND(#REF!,"AAAAAH7+TwE=")</f>
        <v>#REF!</v>
      </c>
      <c r="C519" t="e">
        <f>IF(#REF!,"AAAAAH7+TwI=",0)</f>
        <v>#REF!</v>
      </c>
      <c r="D519" t="e">
        <f>AND(#REF!,"AAAAAH7+TwM=")</f>
        <v>#REF!</v>
      </c>
      <c r="E519" t="e">
        <f>AND(#REF!,"AAAAAH7+TwQ=")</f>
        <v>#REF!</v>
      </c>
      <c r="F519" t="e">
        <f>AND(#REF!,"AAAAAH7+TwU=")</f>
        <v>#REF!</v>
      </c>
      <c r="G519" t="e">
        <f>AND(#REF!,"AAAAAH7+TwY=")</f>
        <v>#REF!</v>
      </c>
      <c r="H519" t="e">
        <f>AND(#REF!,"AAAAAH7+Twc=")</f>
        <v>#REF!</v>
      </c>
      <c r="I519" t="e">
        <f>AND(#REF!,"AAAAAH7+Twg=")</f>
        <v>#REF!</v>
      </c>
      <c r="J519" t="e">
        <f>AND(#REF!,"AAAAAH7+Twk=")</f>
        <v>#REF!</v>
      </c>
      <c r="K519" t="e">
        <f>AND(#REF!,"AAAAAH7+Two=")</f>
        <v>#REF!</v>
      </c>
      <c r="L519" t="e">
        <f>AND(#REF!,"AAAAAH7+Tws=")</f>
        <v>#REF!</v>
      </c>
      <c r="M519" t="e">
        <f>AND(#REF!,"AAAAAH7+Tww=")</f>
        <v>#REF!</v>
      </c>
      <c r="N519" t="e">
        <f>AND(#REF!,"AAAAAH7+Tw0=")</f>
        <v>#REF!</v>
      </c>
      <c r="O519" t="e">
        <f>AND(#REF!,"AAAAAH7+Tw4=")</f>
        <v>#REF!</v>
      </c>
      <c r="P519" t="e">
        <f>AND(#REF!,"AAAAAH7+Tw8=")</f>
        <v>#REF!</v>
      </c>
      <c r="Q519" t="e">
        <f>AND(#REF!,"AAAAAH7+TxA=")</f>
        <v>#REF!</v>
      </c>
      <c r="R519" t="e">
        <f>AND(#REF!,"AAAAAH7+TxE=")</f>
        <v>#REF!</v>
      </c>
      <c r="S519" t="e">
        <f>AND(#REF!,"AAAAAH7+TxI=")</f>
        <v>#REF!</v>
      </c>
      <c r="T519" t="e">
        <f>AND(#REF!,"AAAAAH7+TxM=")</f>
        <v>#REF!</v>
      </c>
      <c r="U519" t="e">
        <f>AND(#REF!,"AAAAAH7+TxQ=")</f>
        <v>#REF!</v>
      </c>
      <c r="V519" t="e">
        <f>AND(#REF!,"AAAAAH7+TxU=")</f>
        <v>#REF!</v>
      </c>
      <c r="W519" t="e">
        <f>AND(#REF!,"AAAAAH7+TxY=")</f>
        <v>#REF!</v>
      </c>
      <c r="X519" t="e">
        <f>AND(#REF!,"AAAAAH7+Txc=")</f>
        <v>#REF!</v>
      </c>
      <c r="Y519" t="e">
        <f>AND(#REF!,"AAAAAH7+Txg=")</f>
        <v>#REF!</v>
      </c>
      <c r="Z519" t="e">
        <f>AND(#REF!,"AAAAAH7+Txk=")</f>
        <v>#REF!</v>
      </c>
      <c r="AA519" t="e">
        <f>AND(#REF!,"AAAAAH7+Txo=")</f>
        <v>#REF!</v>
      </c>
      <c r="AB519" t="e">
        <f>IF(#REF!,"AAAAAH7+Txs=",0)</f>
        <v>#REF!</v>
      </c>
      <c r="AC519" t="e">
        <f>AND(#REF!,"AAAAAH7+Txw=")</f>
        <v>#REF!</v>
      </c>
      <c r="AD519" t="e">
        <f>AND(#REF!,"AAAAAH7+Tx0=")</f>
        <v>#REF!</v>
      </c>
      <c r="AE519" t="e">
        <f>AND(#REF!,"AAAAAH7+Tx4=")</f>
        <v>#REF!</v>
      </c>
      <c r="AF519" t="e">
        <f>AND(#REF!,"AAAAAH7+Tx8=")</f>
        <v>#REF!</v>
      </c>
      <c r="AG519" t="e">
        <f>AND(#REF!,"AAAAAH7+TyA=")</f>
        <v>#REF!</v>
      </c>
      <c r="AH519" t="e">
        <f>AND(#REF!,"AAAAAH7+TyE=")</f>
        <v>#REF!</v>
      </c>
      <c r="AI519" t="e">
        <f>AND(#REF!,"AAAAAH7+TyI=")</f>
        <v>#REF!</v>
      </c>
      <c r="AJ519" t="e">
        <f>AND(#REF!,"AAAAAH7+TyM=")</f>
        <v>#REF!</v>
      </c>
      <c r="AK519" t="e">
        <f>AND(#REF!,"AAAAAH7+TyQ=")</f>
        <v>#REF!</v>
      </c>
      <c r="AL519" t="e">
        <f>AND(#REF!,"AAAAAH7+TyU=")</f>
        <v>#REF!</v>
      </c>
      <c r="AM519" t="e">
        <f>AND(#REF!,"AAAAAH7+TyY=")</f>
        <v>#REF!</v>
      </c>
      <c r="AN519" t="e">
        <f>AND(#REF!,"AAAAAH7+Tyc=")</f>
        <v>#REF!</v>
      </c>
      <c r="AO519" t="e">
        <f>AND(#REF!,"AAAAAH7+Tyg=")</f>
        <v>#REF!</v>
      </c>
      <c r="AP519" t="e">
        <f>AND(#REF!,"AAAAAH7+Tyk=")</f>
        <v>#REF!</v>
      </c>
      <c r="AQ519" t="e">
        <f>AND(#REF!,"AAAAAH7+Tyo=")</f>
        <v>#REF!</v>
      </c>
      <c r="AR519" t="e">
        <f>AND(#REF!,"AAAAAH7+Tys=")</f>
        <v>#REF!</v>
      </c>
      <c r="AS519" t="e">
        <f>AND(#REF!,"AAAAAH7+Tyw=")</f>
        <v>#REF!</v>
      </c>
      <c r="AT519" t="e">
        <f>AND(#REF!,"AAAAAH7+Ty0=")</f>
        <v>#REF!</v>
      </c>
      <c r="AU519" t="e">
        <f>AND(#REF!,"AAAAAH7+Ty4=")</f>
        <v>#REF!</v>
      </c>
      <c r="AV519" t="e">
        <f>AND(#REF!,"AAAAAH7+Ty8=")</f>
        <v>#REF!</v>
      </c>
      <c r="AW519" t="e">
        <f>AND(#REF!,"AAAAAH7+TzA=")</f>
        <v>#REF!</v>
      </c>
      <c r="AX519" t="e">
        <f>AND(#REF!,"AAAAAH7+TzE=")</f>
        <v>#REF!</v>
      </c>
      <c r="AY519" t="e">
        <f>AND(#REF!,"AAAAAH7+TzI=")</f>
        <v>#REF!</v>
      </c>
      <c r="AZ519" t="e">
        <f>AND(#REF!,"AAAAAH7+TzM=")</f>
        <v>#REF!</v>
      </c>
      <c r="BA519" t="e">
        <f>IF(#REF!,"AAAAAH7+TzQ=",0)</f>
        <v>#REF!</v>
      </c>
      <c r="BB519" t="e">
        <f>AND(#REF!,"AAAAAH7+TzU=")</f>
        <v>#REF!</v>
      </c>
      <c r="BC519" t="e">
        <f>AND(#REF!,"AAAAAH7+TzY=")</f>
        <v>#REF!</v>
      </c>
      <c r="BD519" t="e">
        <f>AND(#REF!,"AAAAAH7+Tzc=")</f>
        <v>#REF!</v>
      </c>
      <c r="BE519" t="e">
        <f>AND(#REF!,"AAAAAH7+Tzg=")</f>
        <v>#REF!</v>
      </c>
      <c r="BF519" t="e">
        <f>AND(#REF!,"AAAAAH7+Tzk=")</f>
        <v>#REF!</v>
      </c>
      <c r="BG519" t="e">
        <f>AND(#REF!,"AAAAAH7+Tzo=")</f>
        <v>#REF!</v>
      </c>
      <c r="BH519" t="e">
        <f>AND(#REF!,"AAAAAH7+Tzs=")</f>
        <v>#REF!</v>
      </c>
      <c r="BI519" t="e">
        <f>AND(#REF!,"AAAAAH7+Tzw=")</f>
        <v>#REF!</v>
      </c>
      <c r="BJ519" t="e">
        <f>AND(#REF!,"AAAAAH7+Tz0=")</f>
        <v>#REF!</v>
      </c>
      <c r="BK519" t="e">
        <f>AND(#REF!,"AAAAAH7+Tz4=")</f>
        <v>#REF!</v>
      </c>
      <c r="BL519" t="e">
        <f>AND(#REF!,"AAAAAH7+Tz8=")</f>
        <v>#REF!</v>
      </c>
      <c r="BM519" t="e">
        <f>AND(#REF!,"AAAAAH7+T0A=")</f>
        <v>#REF!</v>
      </c>
      <c r="BN519" t="e">
        <f>AND(#REF!,"AAAAAH7+T0E=")</f>
        <v>#REF!</v>
      </c>
      <c r="BO519" t="e">
        <f>AND(#REF!,"AAAAAH7+T0I=")</f>
        <v>#REF!</v>
      </c>
      <c r="BP519" t="e">
        <f>AND(#REF!,"AAAAAH7+T0M=")</f>
        <v>#REF!</v>
      </c>
      <c r="BQ519" t="e">
        <f>AND(#REF!,"AAAAAH7+T0Q=")</f>
        <v>#REF!</v>
      </c>
      <c r="BR519" t="e">
        <f>AND(#REF!,"AAAAAH7+T0U=")</f>
        <v>#REF!</v>
      </c>
      <c r="BS519" t="e">
        <f>AND(#REF!,"AAAAAH7+T0Y=")</f>
        <v>#REF!</v>
      </c>
      <c r="BT519" t="e">
        <f>AND(#REF!,"AAAAAH7+T0c=")</f>
        <v>#REF!</v>
      </c>
      <c r="BU519" t="e">
        <f>AND(#REF!,"AAAAAH7+T0g=")</f>
        <v>#REF!</v>
      </c>
      <c r="BV519" t="e">
        <f>AND(#REF!,"AAAAAH7+T0k=")</f>
        <v>#REF!</v>
      </c>
      <c r="BW519" t="e">
        <f>AND(#REF!,"AAAAAH7+T0o=")</f>
        <v>#REF!</v>
      </c>
      <c r="BX519" t="e">
        <f>AND(#REF!,"AAAAAH7+T0s=")</f>
        <v>#REF!</v>
      </c>
      <c r="BY519" t="e">
        <f>AND(#REF!,"AAAAAH7+T0w=")</f>
        <v>#REF!</v>
      </c>
      <c r="BZ519" t="e">
        <f>IF(#REF!,"AAAAAH7+T00=",0)</f>
        <v>#REF!</v>
      </c>
      <c r="CA519" t="e">
        <f>AND(#REF!,"AAAAAH7+T04=")</f>
        <v>#REF!</v>
      </c>
      <c r="CB519" t="e">
        <f>AND(#REF!,"AAAAAH7+T08=")</f>
        <v>#REF!</v>
      </c>
      <c r="CC519" t="e">
        <f>AND(#REF!,"AAAAAH7+T1A=")</f>
        <v>#REF!</v>
      </c>
      <c r="CD519" t="e">
        <f>AND(#REF!,"AAAAAH7+T1E=")</f>
        <v>#REF!</v>
      </c>
      <c r="CE519" t="e">
        <f>AND(#REF!,"AAAAAH7+T1I=")</f>
        <v>#REF!</v>
      </c>
      <c r="CF519" t="e">
        <f>AND(#REF!,"AAAAAH7+T1M=")</f>
        <v>#REF!</v>
      </c>
      <c r="CG519" t="e">
        <f>AND(#REF!,"AAAAAH7+T1Q=")</f>
        <v>#REF!</v>
      </c>
      <c r="CH519" t="e">
        <f>AND(#REF!,"AAAAAH7+T1U=")</f>
        <v>#REF!</v>
      </c>
      <c r="CI519" t="e">
        <f>AND(#REF!,"AAAAAH7+T1Y=")</f>
        <v>#REF!</v>
      </c>
      <c r="CJ519" t="e">
        <f>AND(#REF!,"AAAAAH7+T1c=")</f>
        <v>#REF!</v>
      </c>
      <c r="CK519" t="e">
        <f>AND(#REF!,"AAAAAH7+T1g=")</f>
        <v>#REF!</v>
      </c>
      <c r="CL519" t="e">
        <f>AND(#REF!,"AAAAAH7+T1k=")</f>
        <v>#REF!</v>
      </c>
      <c r="CM519" t="e">
        <f>AND(#REF!,"AAAAAH7+T1o=")</f>
        <v>#REF!</v>
      </c>
      <c r="CN519" t="e">
        <f>AND(#REF!,"AAAAAH7+T1s=")</f>
        <v>#REF!</v>
      </c>
      <c r="CO519" t="e">
        <f>AND(#REF!,"AAAAAH7+T1w=")</f>
        <v>#REF!</v>
      </c>
      <c r="CP519" t="e">
        <f>AND(#REF!,"AAAAAH7+T10=")</f>
        <v>#REF!</v>
      </c>
      <c r="CQ519" t="e">
        <f>AND(#REF!,"AAAAAH7+T14=")</f>
        <v>#REF!</v>
      </c>
      <c r="CR519" t="e">
        <f>AND(#REF!,"AAAAAH7+T18=")</f>
        <v>#REF!</v>
      </c>
      <c r="CS519" t="e">
        <f>AND(#REF!,"AAAAAH7+T2A=")</f>
        <v>#REF!</v>
      </c>
      <c r="CT519" t="e">
        <f>AND(#REF!,"AAAAAH7+T2E=")</f>
        <v>#REF!</v>
      </c>
      <c r="CU519" t="e">
        <f>AND(#REF!,"AAAAAH7+T2I=")</f>
        <v>#REF!</v>
      </c>
      <c r="CV519" t="e">
        <f>AND(#REF!,"AAAAAH7+T2M=")</f>
        <v>#REF!</v>
      </c>
      <c r="CW519" t="e">
        <f>AND(#REF!,"AAAAAH7+T2Q=")</f>
        <v>#REF!</v>
      </c>
      <c r="CX519" t="e">
        <f>AND(#REF!,"AAAAAH7+T2U=")</f>
        <v>#REF!</v>
      </c>
      <c r="CY519" t="e">
        <f>IF(#REF!,"AAAAAH7+T2Y=",0)</f>
        <v>#REF!</v>
      </c>
      <c r="CZ519" t="e">
        <f>AND(#REF!,"AAAAAH7+T2c=")</f>
        <v>#REF!</v>
      </c>
      <c r="DA519" t="e">
        <f>AND(#REF!,"AAAAAH7+T2g=")</f>
        <v>#REF!</v>
      </c>
      <c r="DB519" t="e">
        <f>AND(#REF!,"AAAAAH7+T2k=")</f>
        <v>#REF!</v>
      </c>
      <c r="DC519" t="e">
        <f>AND(#REF!,"AAAAAH7+T2o=")</f>
        <v>#REF!</v>
      </c>
      <c r="DD519" t="e">
        <f>AND(#REF!,"AAAAAH7+T2s=")</f>
        <v>#REF!</v>
      </c>
      <c r="DE519" t="e">
        <f>AND(#REF!,"AAAAAH7+T2w=")</f>
        <v>#REF!</v>
      </c>
      <c r="DF519" t="e">
        <f>AND(#REF!,"AAAAAH7+T20=")</f>
        <v>#REF!</v>
      </c>
      <c r="DG519" t="e">
        <f>AND(#REF!,"AAAAAH7+T24=")</f>
        <v>#REF!</v>
      </c>
      <c r="DH519" t="e">
        <f>AND(#REF!,"AAAAAH7+T28=")</f>
        <v>#REF!</v>
      </c>
      <c r="DI519" t="e">
        <f>AND(#REF!,"AAAAAH7+T3A=")</f>
        <v>#REF!</v>
      </c>
      <c r="DJ519" t="e">
        <f>AND(#REF!,"AAAAAH7+T3E=")</f>
        <v>#REF!</v>
      </c>
      <c r="DK519" t="e">
        <f>AND(#REF!,"AAAAAH7+T3I=")</f>
        <v>#REF!</v>
      </c>
      <c r="DL519" t="e">
        <f>AND(#REF!,"AAAAAH7+T3M=")</f>
        <v>#REF!</v>
      </c>
      <c r="DM519" t="e">
        <f>AND(#REF!,"AAAAAH7+T3Q=")</f>
        <v>#REF!</v>
      </c>
      <c r="DN519" t="e">
        <f>AND(#REF!,"AAAAAH7+T3U=")</f>
        <v>#REF!</v>
      </c>
      <c r="DO519" t="e">
        <f>AND(#REF!,"AAAAAH7+T3Y=")</f>
        <v>#REF!</v>
      </c>
      <c r="DP519" t="e">
        <f>AND(#REF!,"AAAAAH7+T3c=")</f>
        <v>#REF!</v>
      </c>
      <c r="DQ519" t="e">
        <f>AND(#REF!,"AAAAAH7+T3g=")</f>
        <v>#REF!</v>
      </c>
      <c r="DR519" t="e">
        <f>AND(#REF!,"AAAAAH7+T3k=")</f>
        <v>#REF!</v>
      </c>
      <c r="DS519" t="e">
        <f>AND(#REF!,"AAAAAH7+T3o=")</f>
        <v>#REF!</v>
      </c>
      <c r="DT519" t="e">
        <f>AND(#REF!,"AAAAAH7+T3s=")</f>
        <v>#REF!</v>
      </c>
      <c r="DU519" t="e">
        <f>AND(#REF!,"AAAAAH7+T3w=")</f>
        <v>#REF!</v>
      </c>
      <c r="DV519" t="e">
        <f>AND(#REF!,"AAAAAH7+T30=")</f>
        <v>#REF!</v>
      </c>
      <c r="DW519" t="e">
        <f>AND(#REF!,"AAAAAH7+T34=")</f>
        <v>#REF!</v>
      </c>
      <c r="DX519" t="e">
        <f>IF(#REF!,"AAAAAH7+T38=",0)</f>
        <v>#REF!</v>
      </c>
      <c r="DY519" t="e">
        <f>AND(#REF!,"AAAAAH7+T4A=")</f>
        <v>#REF!</v>
      </c>
      <c r="DZ519" t="e">
        <f>AND(#REF!,"AAAAAH7+T4E=")</f>
        <v>#REF!</v>
      </c>
      <c r="EA519" t="e">
        <f>AND(#REF!,"AAAAAH7+T4I=")</f>
        <v>#REF!</v>
      </c>
      <c r="EB519" t="e">
        <f>AND(#REF!,"AAAAAH7+T4M=")</f>
        <v>#REF!</v>
      </c>
      <c r="EC519" t="e">
        <f>AND(#REF!,"AAAAAH7+T4Q=")</f>
        <v>#REF!</v>
      </c>
      <c r="ED519" t="e">
        <f>AND(#REF!,"AAAAAH7+T4U=")</f>
        <v>#REF!</v>
      </c>
      <c r="EE519" t="e">
        <f>AND(#REF!,"AAAAAH7+T4Y=")</f>
        <v>#REF!</v>
      </c>
      <c r="EF519" t="e">
        <f>AND(#REF!,"AAAAAH7+T4c=")</f>
        <v>#REF!</v>
      </c>
      <c r="EG519" t="e">
        <f>AND(#REF!,"AAAAAH7+T4g=")</f>
        <v>#REF!</v>
      </c>
      <c r="EH519" t="e">
        <f>AND(#REF!,"AAAAAH7+T4k=")</f>
        <v>#REF!</v>
      </c>
      <c r="EI519" t="e">
        <f>AND(#REF!,"AAAAAH7+T4o=")</f>
        <v>#REF!</v>
      </c>
      <c r="EJ519" t="e">
        <f>AND(#REF!,"AAAAAH7+T4s=")</f>
        <v>#REF!</v>
      </c>
      <c r="EK519" t="e">
        <f>AND(#REF!,"AAAAAH7+T4w=")</f>
        <v>#REF!</v>
      </c>
      <c r="EL519" t="e">
        <f>AND(#REF!,"AAAAAH7+T40=")</f>
        <v>#REF!</v>
      </c>
      <c r="EM519" t="e">
        <f>AND(#REF!,"AAAAAH7+T44=")</f>
        <v>#REF!</v>
      </c>
      <c r="EN519" t="e">
        <f>AND(#REF!,"AAAAAH7+T48=")</f>
        <v>#REF!</v>
      </c>
      <c r="EO519" t="e">
        <f>AND(#REF!,"AAAAAH7+T5A=")</f>
        <v>#REF!</v>
      </c>
      <c r="EP519" t="e">
        <f>AND(#REF!,"AAAAAH7+T5E=")</f>
        <v>#REF!</v>
      </c>
      <c r="EQ519" t="e">
        <f>AND(#REF!,"AAAAAH7+T5I=")</f>
        <v>#REF!</v>
      </c>
      <c r="ER519" t="e">
        <f>AND(#REF!,"AAAAAH7+T5M=")</f>
        <v>#REF!</v>
      </c>
      <c r="ES519" t="e">
        <f>AND(#REF!,"AAAAAH7+T5Q=")</f>
        <v>#REF!</v>
      </c>
      <c r="ET519" t="e">
        <f>AND(#REF!,"AAAAAH7+T5U=")</f>
        <v>#REF!</v>
      </c>
      <c r="EU519" t="e">
        <f>AND(#REF!,"AAAAAH7+T5Y=")</f>
        <v>#REF!</v>
      </c>
      <c r="EV519" t="e">
        <f>AND(#REF!,"AAAAAH7+T5c=")</f>
        <v>#REF!</v>
      </c>
      <c r="EW519" t="e">
        <f>IF(#REF!,"AAAAAH7+T5g=",0)</f>
        <v>#REF!</v>
      </c>
      <c r="EX519" t="e">
        <f>AND(#REF!,"AAAAAH7+T5k=")</f>
        <v>#REF!</v>
      </c>
      <c r="EY519" t="e">
        <f>AND(#REF!,"AAAAAH7+T5o=")</f>
        <v>#REF!</v>
      </c>
      <c r="EZ519" t="e">
        <f>AND(#REF!,"AAAAAH7+T5s=")</f>
        <v>#REF!</v>
      </c>
      <c r="FA519" t="e">
        <f>AND(#REF!,"AAAAAH7+T5w=")</f>
        <v>#REF!</v>
      </c>
      <c r="FB519" t="e">
        <f>AND(#REF!,"AAAAAH7+T50=")</f>
        <v>#REF!</v>
      </c>
      <c r="FC519" t="e">
        <f>AND(#REF!,"AAAAAH7+T54=")</f>
        <v>#REF!</v>
      </c>
      <c r="FD519" t="e">
        <f>AND(#REF!,"AAAAAH7+T58=")</f>
        <v>#REF!</v>
      </c>
      <c r="FE519" t="e">
        <f>AND(#REF!,"AAAAAH7+T6A=")</f>
        <v>#REF!</v>
      </c>
      <c r="FF519" t="e">
        <f>AND(#REF!,"AAAAAH7+T6E=")</f>
        <v>#REF!</v>
      </c>
      <c r="FG519" t="e">
        <f>AND(#REF!,"AAAAAH7+T6I=")</f>
        <v>#REF!</v>
      </c>
      <c r="FH519" t="e">
        <f>AND(#REF!,"AAAAAH7+T6M=")</f>
        <v>#REF!</v>
      </c>
      <c r="FI519" t="e">
        <f>AND(#REF!,"AAAAAH7+T6Q=")</f>
        <v>#REF!</v>
      </c>
      <c r="FJ519" t="e">
        <f>AND(#REF!,"AAAAAH7+T6U=")</f>
        <v>#REF!</v>
      </c>
      <c r="FK519" t="e">
        <f>AND(#REF!,"AAAAAH7+T6Y=")</f>
        <v>#REF!</v>
      </c>
      <c r="FL519" t="e">
        <f>AND(#REF!,"AAAAAH7+T6c=")</f>
        <v>#REF!</v>
      </c>
      <c r="FM519" t="e">
        <f>AND(#REF!,"AAAAAH7+T6g=")</f>
        <v>#REF!</v>
      </c>
      <c r="FN519" t="e">
        <f>AND(#REF!,"AAAAAH7+T6k=")</f>
        <v>#REF!</v>
      </c>
      <c r="FO519" t="e">
        <f>AND(#REF!,"AAAAAH7+T6o=")</f>
        <v>#REF!</v>
      </c>
      <c r="FP519" t="e">
        <f>AND(#REF!,"AAAAAH7+T6s=")</f>
        <v>#REF!</v>
      </c>
      <c r="FQ519" t="e">
        <f>AND(#REF!,"AAAAAH7+T6w=")</f>
        <v>#REF!</v>
      </c>
      <c r="FR519" t="e">
        <f>AND(#REF!,"AAAAAH7+T60=")</f>
        <v>#REF!</v>
      </c>
      <c r="FS519" t="e">
        <f>AND(#REF!,"AAAAAH7+T64=")</f>
        <v>#REF!</v>
      </c>
      <c r="FT519" t="e">
        <f>AND(#REF!,"AAAAAH7+T68=")</f>
        <v>#REF!</v>
      </c>
      <c r="FU519" t="e">
        <f>AND(#REF!,"AAAAAH7+T7A=")</f>
        <v>#REF!</v>
      </c>
      <c r="FV519" t="e">
        <f>IF(#REF!,"AAAAAH7+T7E=",0)</f>
        <v>#REF!</v>
      </c>
      <c r="FW519" t="e">
        <f>AND(#REF!,"AAAAAH7+T7I=")</f>
        <v>#REF!</v>
      </c>
      <c r="FX519" t="e">
        <f>AND(#REF!,"AAAAAH7+T7M=")</f>
        <v>#REF!</v>
      </c>
      <c r="FY519" t="e">
        <f>AND(#REF!,"AAAAAH7+T7Q=")</f>
        <v>#REF!</v>
      </c>
      <c r="FZ519" t="e">
        <f>AND(#REF!,"AAAAAH7+T7U=")</f>
        <v>#REF!</v>
      </c>
      <c r="GA519" t="e">
        <f>AND(#REF!,"AAAAAH7+T7Y=")</f>
        <v>#REF!</v>
      </c>
      <c r="GB519" t="e">
        <f>AND(#REF!,"AAAAAH7+T7c=")</f>
        <v>#REF!</v>
      </c>
      <c r="GC519" t="e">
        <f>AND(#REF!,"AAAAAH7+T7g=")</f>
        <v>#REF!</v>
      </c>
      <c r="GD519" t="e">
        <f>AND(#REF!,"AAAAAH7+T7k=")</f>
        <v>#REF!</v>
      </c>
      <c r="GE519" t="e">
        <f>AND(#REF!,"AAAAAH7+T7o=")</f>
        <v>#REF!</v>
      </c>
      <c r="GF519" t="e">
        <f>AND(#REF!,"AAAAAH7+T7s=")</f>
        <v>#REF!</v>
      </c>
      <c r="GG519" t="e">
        <f>AND(#REF!,"AAAAAH7+T7w=")</f>
        <v>#REF!</v>
      </c>
      <c r="GH519" t="e">
        <f>AND(#REF!,"AAAAAH7+T70=")</f>
        <v>#REF!</v>
      </c>
      <c r="GI519" t="e">
        <f>AND(#REF!,"AAAAAH7+T74=")</f>
        <v>#REF!</v>
      </c>
      <c r="GJ519" t="e">
        <f>AND(#REF!,"AAAAAH7+T78=")</f>
        <v>#REF!</v>
      </c>
      <c r="GK519" t="e">
        <f>AND(#REF!,"AAAAAH7+T8A=")</f>
        <v>#REF!</v>
      </c>
      <c r="GL519" t="e">
        <f>AND(#REF!,"AAAAAH7+T8E=")</f>
        <v>#REF!</v>
      </c>
      <c r="GM519" t="e">
        <f>AND(#REF!,"AAAAAH7+T8I=")</f>
        <v>#REF!</v>
      </c>
      <c r="GN519" t="e">
        <f>AND(#REF!,"AAAAAH7+T8M=")</f>
        <v>#REF!</v>
      </c>
      <c r="GO519" t="e">
        <f>AND(#REF!,"AAAAAH7+T8Q=")</f>
        <v>#REF!</v>
      </c>
      <c r="GP519" t="e">
        <f>AND(#REF!,"AAAAAH7+T8U=")</f>
        <v>#REF!</v>
      </c>
      <c r="GQ519" t="e">
        <f>AND(#REF!,"AAAAAH7+T8Y=")</f>
        <v>#REF!</v>
      </c>
      <c r="GR519" t="e">
        <f>AND(#REF!,"AAAAAH7+T8c=")</f>
        <v>#REF!</v>
      </c>
      <c r="GS519" t="e">
        <f>AND(#REF!,"AAAAAH7+T8g=")</f>
        <v>#REF!</v>
      </c>
      <c r="GT519" t="e">
        <f>AND(#REF!,"AAAAAH7+T8k=")</f>
        <v>#REF!</v>
      </c>
      <c r="GU519" t="e">
        <f>IF(#REF!,"AAAAAH7+T8o=",0)</f>
        <v>#REF!</v>
      </c>
      <c r="GV519" t="e">
        <f>AND(#REF!,"AAAAAH7+T8s=")</f>
        <v>#REF!</v>
      </c>
      <c r="GW519" t="e">
        <f>AND(#REF!,"AAAAAH7+T8w=")</f>
        <v>#REF!</v>
      </c>
      <c r="GX519" t="e">
        <f>AND(#REF!,"AAAAAH7+T80=")</f>
        <v>#REF!</v>
      </c>
      <c r="GY519" t="e">
        <f>AND(#REF!,"AAAAAH7+T84=")</f>
        <v>#REF!</v>
      </c>
      <c r="GZ519" t="e">
        <f>AND(#REF!,"AAAAAH7+T88=")</f>
        <v>#REF!</v>
      </c>
      <c r="HA519" t="e">
        <f>AND(#REF!,"AAAAAH7+T9A=")</f>
        <v>#REF!</v>
      </c>
      <c r="HB519" t="e">
        <f>AND(#REF!,"AAAAAH7+T9E=")</f>
        <v>#REF!</v>
      </c>
      <c r="HC519" t="e">
        <f>AND(#REF!,"AAAAAH7+T9I=")</f>
        <v>#REF!</v>
      </c>
      <c r="HD519" t="e">
        <f>AND(#REF!,"AAAAAH7+T9M=")</f>
        <v>#REF!</v>
      </c>
      <c r="HE519" t="e">
        <f>AND(#REF!,"AAAAAH7+T9Q=")</f>
        <v>#REF!</v>
      </c>
      <c r="HF519" t="e">
        <f>AND(#REF!,"AAAAAH7+T9U=")</f>
        <v>#REF!</v>
      </c>
      <c r="HG519" t="e">
        <f>AND(#REF!,"AAAAAH7+T9Y=")</f>
        <v>#REF!</v>
      </c>
      <c r="HH519" t="e">
        <f>AND(#REF!,"AAAAAH7+T9c=")</f>
        <v>#REF!</v>
      </c>
      <c r="HI519" t="e">
        <f>AND(#REF!,"AAAAAH7+T9g=")</f>
        <v>#REF!</v>
      </c>
      <c r="HJ519" t="e">
        <f>AND(#REF!,"AAAAAH7+T9k=")</f>
        <v>#REF!</v>
      </c>
      <c r="HK519" t="e">
        <f>AND(#REF!,"AAAAAH7+T9o=")</f>
        <v>#REF!</v>
      </c>
      <c r="HL519" t="e">
        <f>AND(#REF!,"AAAAAH7+T9s=")</f>
        <v>#REF!</v>
      </c>
      <c r="HM519" t="e">
        <f>AND(#REF!,"AAAAAH7+T9w=")</f>
        <v>#REF!</v>
      </c>
      <c r="HN519" t="e">
        <f>AND(#REF!,"AAAAAH7+T90=")</f>
        <v>#REF!</v>
      </c>
      <c r="HO519" t="e">
        <f>AND(#REF!,"AAAAAH7+T94=")</f>
        <v>#REF!</v>
      </c>
      <c r="HP519" t="e">
        <f>AND(#REF!,"AAAAAH7+T98=")</f>
        <v>#REF!</v>
      </c>
      <c r="HQ519" t="e">
        <f>AND(#REF!,"AAAAAH7+T+A=")</f>
        <v>#REF!</v>
      </c>
      <c r="HR519" t="e">
        <f>AND(#REF!,"AAAAAH7+T+E=")</f>
        <v>#REF!</v>
      </c>
      <c r="HS519" t="e">
        <f>AND(#REF!,"AAAAAH7+T+I=")</f>
        <v>#REF!</v>
      </c>
      <c r="HT519" t="e">
        <f>IF(#REF!,"AAAAAH7+T+M=",0)</f>
        <v>#REF!</v>
      </c>
      <c r="HU519" t="e">
        <f>AND(#REF!,"AAAAAH7+T+Q=")</f>
        <v>#REF!</v>
      </c>
      <c r="HV519" t="e">
        <f>AND(#REF!,"AAAAAH7+T+U=")</f>
        <v>#REF!</v>
      </c>
      <c r="HW519" t="e">
        <f>AND(#REF!,"AAAAAH7+T+Y=")</f>
        <v>#REF!</v>
      </c>
      <c r="HX519" t="e">
        <f>AND(#REF!,"AAAAAH7+T+c=")</f>
        <v>#REF!</v>
      </c>
      <c r="HY519" t="e">
        <f>AND(#REF!,"AAAAAH7+T+g=")</f>
        <v>#REF!</v>
      </c>
      <c r="HZ519" t="e">
        <f>AND(#REF!,"AAAAAH7+T+k=")</f>
        <v>#REF!</v>
      </c>
      <c r="IA519" t="e">
        <f>AND(#REF!,"AAAAAH7+T+o=")</f>
        <v>#REF!</v>
      </c>
      <c r="IB519" t="e">
        <f>AND(#REF!,"AAAAAH7+T+s=")</f>
        <v>#REF!</v>
      </c>
      <c r="IC519" t="e">
        <f>AND(#REF!,"AAAAAH7+T+w=")</f>
        <v>#REF!</v>
      </c>
      <c r="ID519" t="e">
        <f>AND(#REF!,"AAAAAH7+T+0=")</f>
        <v>#REF!</v>
      </c>
      <c r="IE519" t="e">
        <f>AND(#REF!,"AAAAAH7+T+4=")</f>
        <v>#REF!</v>
      </c>
      <c r="IF519" t="e">
        <f>AND(#REF!,"AAAAAH7+T+8=")</f>
        <v>#REF!</v>
      </c>
      <c r="IG519" t="e">
        <f>AND(#REF!,"AAAAAH7+T/A=")</f>
        <v>#REF!</v>
      </c>
      <c r="IH519" t="e">
        <f>AND(#REF!,"AAAAAH7+T/E=")</f>
        <v>#REF!</v>
      </c>
      <c r="II519" t="e">
        <f>AND(#REF!,"AAAAAH7+T/I=")</f>
        <v>#REF!</v>
      </c>
      <c r="IJ519" t="e">
        <f>AND(#REF!,"AAAAAH7+T/M=")</f>
        <v>#REF!</v>
      </c>
      <c r="IK519" t="e">
        <f>AND(#REF!,"AAAAAH7+T/Q=")</f>
        <v>#REF!</v>
      </c>
      <c r="IL519" t="e">
        <f>AND(#REF!,"AAAAAH7+T/U=")</f>
        <v>#REF!</v>
      </c>
      <c r="IM519" t="e">
        <f>AND(#REF!,"AAAAAH7+T/Y=")</f>
        <v>#REF!</v>
      </c>
      <c r="IN519" t="e">
        <f>AND(#REF!,"AAAAAH7+T/c=")</f>
        <v>#REF!</v>
      </c>
      <c r="IO519" t="e">
        <f>AND(#REF!,"AAAAAH7+T/g=")</f>
        <v>#REF!</v>
      </c>
      <c r="IP519" t="e">
        <f>AND(#REF!,"AAAAAH7+T/k=")</f>
        <v>#REF!</v>
      </c>
      <c r="IQ519" t="e">
        <f>AND(#REF!,"AAAAAH7+T/o=")</f>
        <v>#REF!</v>
      </c>
      <c r="IR519" t="e">
        <f>AND(#REF!,"AAAAAH7+T/s=")</f>
        <v>#REF!</v>
      </c>
      <c r="IS519" t="e">
        <f>IF(#REF!,"AAAAAH7+T/w=",0)</f>
        <v>#REF!</v>
      </c>
      <c r="IT519" t="e">
        <f>AND(#REF!,"AAAAAH7+T/0=")</f>
        <v>#REF!</v>
      </c>
      <c r="IU519" t="e">
        <f>AND(#REF!,"AAAAAH7+T/4=")</f>
        <v>#REF!</v>
      </c>
      <c r="IV519" t="e">
        <f>AND(#REF!,"AAAAAH7+T/8=")</f>
        <v>#REF!</v>
      </c>
    </row>
    <row r="520" spans="1:256">
      <c r="A520" t="e">
        <f>AND(#REF!,"AAAAABqf/QA=")</f>
        <v>#REF!</v>
      </c>
      <c r="B520" t="e">
        <f>AND(#REF!,"AAAAABqf/QE=")</f>
        <v>#REF!</v>
      </c>
      <c r="C520" t="e">
        <f>AND(#REF!,"AAAAABqf/QI=")</f>
        <v>#REF!</v>
      </c>
      <c r="D520" t="e">
        <f>AND(#REF!,"AAAAABqf/QM=")</f>
        <v>#REF!</v>
      </c>
      <c r="E520" t="e">
        <f>AND(#REF!,"AAAAABqf/QQ=")</f>
        <v>#REF!</v>
      </c>
      <c r="F520" t="e">
        <f>AND(#REF!,"AAAAABqf/QU=")</f>
        <v>#REF!</v>
      </c>
      <c r="G520" t="e">
        <f>AND(#REF!,"AAAAABqf/QY=")</f>
        <v>#REF!</v>
      </c>
      <c r="H520" t="e">
        <f>AND(#REF!,"AAAAABqf/Qc=")</f>
        <v>#REF!</v>
      </c>
      <c r="I520" t="e">
        <f>AND(#REF!,"AAAAABqf/Qg=")</f>
        <v>#REF!</v>
      </c>
      <c r="J520" t="e">
        <f>AND(#REF!,"AAAAABqf/Qk=")</f>
        <v>#REF!</v>
      </c>
      <c r="K520" t="e">
        <f>AND(#REF!,"AAAAABqf/Qo=")</f>
        <v>#REF!</v>
      </c>
      <c r="L520" t="e">
        <f>AND(#REF!,"AAAAABqf/Qs=")</f>
        <v>#REF!</v>
      </c>
      <c r="M520" t="e">
        <f>AND(#REF!,"AAAAABqf/Qw=")</f>
        <v>#REF!</v>
      </c>
      <c r="N520" t="e">
        <f>AND(#REF!,"AAAAABqf/Q0=")</f>
        <v>#REF!</v>
      </c>
      <c r="O520" t="e">
        <f>AND(#REF!,"AAAAABqf/Q4=")</f>
        <v>#REF!</v>
      </c>
      <c r="P520" t="e">
        <f>AND(#REF!,"AAAAABqf/Q8=")</f>
        <v>#REF!</v>
      </c>
      <c r="Q520" t="e">
        <f>AND(#REF!,"AAAAABqf/RA=")</f>
        <v>#REF!</v>
      </c>
      <c r="R520" t="e">
        <f>AND(#REF!,"AAAAABqf/RE=")</f>
        <v>#REF!</v>
      </c>
      <c r="S520" t="e">
        <f>AND(#REF!,"AAAAABqf/RI=")</f>
        <v>#REF!</v>
      </c>
      <c r="T520" t="e">
        <f>AND(#REF!,"AAAAABqf/RM=")</f>
        <v>#REF!</v>
      </c>
      <c r="U520" t="e">
        <f>AND(#REF!,"AAAAABqf/RQ=")</f>
        <v>#REF!</v>
      </c>
      <c r="V520" t="e">
        <f>IF(#REF!,"AAAAABqf/RU=",0)</f>
        <v>#REF!</v>
      </c>
      <c r="W520" t="e">
        <f>AND(#REF!,"AAAAABqf/RY=")</f>
        <v>#REF!</v>
      </c>
      <c r="X520" t="e">
        <f>AND(#REF!,"AAAAABqf/Rc=")</f>
        <v>#REF!</v>
      </c>
      <c r="Y520" t="e">
        <f>AND(#REF!,"AAAAABqf/Rg=")</f>
        <v>#REF!</v>
      </c>
      <c r="Z520" t="e">
        <f>AND(#REF!,"AAAAABqf/Rk=")</f>
        <v>#REF!</v>
      </c>
      <c r="AA520" t="e">
        <f>AND(#REF!,"AAAAABqf/Ro=")</f>
        <v>#REF!</v>
      </c>
      <c r="AB520" t="e">
        <f>AND(#REF!,"AAAAABqf/Rs=")</f>
        <v>#REF!</v>
      </c>
      <c r="AC520" t="e">
        <f>AND(#REF!,"AAAAABqf/Rw=")</f>
        <v>#REF!</v>
      </c>
      <c r="AD520" t="e">
        <f>AND(#REF!,"AAAAABqf/R0=")</f>
        <v>#REF!</v>
      </c>
      <c r="AE520" t="e">
        <f>AND(#REF!,"AAAAABqf/R4=")</f>
        <v>#REF!</v>
      </c>
      <c r="AF520" t="e">
        <f>AND(#REF!,"AAAAABqf/R8=")</f>
        <v>#REF!</v>
      </c>
      <c r="AG520" t="e">
        <f>AND(#REF!,"AAAAABqf/SA=")</f>
        <v>#REF!</v>
      </c>
      <c r="AH520" t="e">
        <f>AND(#REF!,"AAAAABqf/SE=")</f>
        <v>#REF!</v>
      </c>
      <c r="AI520" t="e">
        <f>AND(#REF!,"AAAAABqf/SI=")</f>
        <v>#REF!</v>
      </c>
      <c r="AJ520" t="e">
        <f>AND(#REF!,"AAAAABqf/SM=")</f>
        <v>#REF!</v>
      </c>
      <c r="AK520" t="e">
        <f>AND(#REF!,"AAAAABqf/SQ=")</f>
        <v>#REF!</v>
      </c>
      <c r="AL520" t="e">
        <f>AND(#REF!,"AAAAABqf/SU=")</f>
        <v>#REF!</v>
      </c>
      <c r="AM520" t="e">
        <f>AND(#REF!,"AAAAABqf/SY=")</f>
        <v>#REF!</v>
      </c>
      <c r="AN520" t="e">
        <f>AND(#REF!,"AAAAABqf/Sc=")</f>
        <v>#REF!</v>
      </c>
      <c r="AO520" t="e">
        <f>AND(#REF!,"AAAAABqf/Sg=")</f>
        <v>#REF!</v>
      </c>
      <c r="AP520" t="e">
        <f>AND(#REF!,"AAAAABqf/Sk=")</f>
        <v>#REF!</v>
      </c>
      <c r="AQ520" t="e">
        <f>AND(#REF!,"AAAAABqf/So=")</f>
        <v>#REF!</v>
      </c>
      <c r="AR520" t="e">
        <f>AND(#REF!,"AAAAABqf/Ss=")</f>
        <v>#REF!</v>
      </c>
      <c r="AS520" t="e">
        <f>AND(#REF!,"AAAAABqf/Sw=")</f>
        <v>#REF!</v>
      </c>
      <c r="AT520" t="e">
        <f>AND(#REF!,"AAAAABqf/S0=")</f>
        <v>#REF!</v>
      </c>
      <c r="AU520" t="e">
        <f>IF(#REF!,"AAAAABqf/S4=",0)</f>
        <v>#REF!</v>
      </c>
      <c r="AV520" t="e">
        <f>AND(#REF!,"AAAAABqf/S8=")</f>
        <v>#REF!</v>
      </c>
      <c r="AW520" t="e">
        <f>AND(#REF!,"AAAAABqf/TA=")</f>
        <v>#REF!</v>
      </c>
      <c r="AX520" t="e">
        <f>AND(#REF!,"AAAAABqf/TE=")</f>
        <v>#REF!</v>
      </c>
      <c r="AY520" t="e">
        <f>AND(#REF!,"AAAAABqf/TI=")</f>
        <v>#REF!</v>
      </c>
      <c r="AZ520" t="e">
        <f>AND(#REF!,"AAAAABqf/TM=")</f>
        <v>#REF!</v>
      </c>
      <c r="BA520" t="e">
        <f>AND(#REF!,"AAAAABqf/TQ=")</f>
        <v>#REF!</v>
      </c>
      <c r="BB520" t="e">
        <f>AND(#REF!,"AAAAABqf/TU=")</f>
        <v>#REF!</v>
      </c>
      <c r="BC520" t="e">
        <f>AND(#REF!,"AAAAABqf/TY=")</f>
        <v>#REF!</v>
      </c>
      <c r="BD520" t="e">
        <f>AND(#REF!,"AAAAABqf/Tc=")</f>
        <v>#REF!</v>
      </c>
      <c r="BE520" t="e">
        <f>AND(#REF!,"AAAAABqf/Tg=")</f>
        <v>#REF!</v>
      </c>
      <c r="BF520" t="e">
        <f>AND(#REF!,"AAAAABqf/Tk=")</f>
        <v>#REF!</v>
      </c>
      <c r="BG520" t="e">
        <f>AND(#REF!,"AAAAABqf/To=")</f>
        <v>#REF!</v>
      </c>
      <c r="BH520" t="e">
        <f>AND(#REF!,"AAAAABqf/Ts=")</f>
        <v>#REF!</v>
      </c>
      <c r="BI520" t="e">
        <f>AND(#REF!,"AAAAABqf/Tw=")</f>
        <v>#REF!</v>
      </c>
      <c r="BJ520" t="e">
        <f>AND(#REF!,"AAAAABqf/T0=")</f>
        <v>#REF!</v>
      </c>
      <c r="BK520" t="e">
        <f>AND(#REF!,"AAAAABqf/T4=")</f>
        <v>#REF!</v>
      </c>
      <c r="BL520" t="e">
        <f>AND(#REF!,"AAAAABqf/T8=")</f>
        <v>#REF!</v>
      </c>
      <c r="BM520" t="e">
        <f>AND(#REF!,"AAAAABqf/UA=")</f>
        <v>#REF!</v>
      </c>
      <c r="BN520" t="e">
        <f>AND(#REF!,"AAAAABqf/UE=")</f>
        <v>#REF!</v>
      </c>
      <c r="BO520" t="e">
        <f>AND(#REF!,"AAAAABqf/UI=")</f>
        <v>#REF!</v>
      </c>
      <c r="BP520" t="e">
        <f>AND(#REF!,"AAAAABqf/UM=")</f>
        <v>#REF!</v>
      </c>
      <c r="BQ520" t="e">
        <f>AND(#REF!,"AAAAABqf/UQ=")</f>
        <v>#REF!</v>
      </c>
      <c r="BR520" t="e">
        <f>AND(#REF!,"AAAAABqf/UU=")</f>
        <v>#REF!</v>
      </c>
      <c r="BS520" t="e">
        <f>AND(#REF!,"AAAAABqf/UY=")</f>
        <v>#REF!</v>
      </c>
      <c r="BT520" t="e">
        <f>IF(#REF!,"AAAAABqf/Uc=",0)</f>
        <v>#REF!</v>
      </c>
      <c r="BU520" t="e">
        <f>AND(#REF!,"AAAAABqf/Ug=")</f>
        <v>#REF!</v>
      </c>
      <c r="BV520" t="e">
        <f>AND(#REF!,"AAAAABqf/Uk=")</f>
        <v>#REF!</v>
      </c>
      <c r="BW520" t="e">
        <f>AND(#REF!,"AAAAABqf/Uo=")</f>
        <v>#REF!</v>
      </c>
      <c r="BX520" t="e">
        <f>AND(#REF!,"AAAAABqf/Us=")</f>
        <v>#REF!</v>
      </c>
      <c r="BY520" t="e">
        <f>AND(#REF!,"AAAAABqf/Uw=")</f>
        <v>#REF!</v>
      </c>
      <c r="BZ520" t="e">
        <f>AND(#REF!,"AAAAABqf/U0=")</f>
        <v>#REF!</v>
      </c>
      <c r="CA520" t="e">
        <f>AND(#REF!,"AAAAABqf/U4=")</f>
        <v>#REF!</v>
      </c>
      <c r="CB520" t="e">
        <f>AND(#REF!,"AAAAABqf/U8=")</f>
        <v>#REF!</v>
      </c>
      <c r="CC520" t="e">
        <f>AND(#REF!,"AAAAABqf/VA=")</f>
        <v>#REF!</v>
      </c>
      <c r="CD520" t="e">
        <f>AND(#REF!,"AAAAABqf/VE=")</f>
        <v>#REF!</v>
      </c>
      <c r="CE520" t="e">
        <f>AND(#REF!,"AAAAABqf/VI=")</f>
        <v>#REF!</v>
      </c>
      <c r="CF520" t="e">
        <f>AND(#REF!,"AAAAABqf/VM=")</f>
        <v>#REF!</v>
      </c>
      <c r="CG520" t="e">
        <f>AND(#REF!,"AAAAABqf/VQ=")</f>
        <v>#REF!</v>
      </c>
      <c r="CH520" t="e">
        <f>AND(#REF!,"AAAAABqf/VU=")</f>
        <v>#REF!</v>
      </c>
      <c r="CI520" t="e">
        <f>AND(#REF!,"AAAAABqf/VY=")</f>
        <v>#REF!</v>
      </c>
      <c r="CJ520" t="e">
        <f>AND(#REF!,"AAAAABqf/Vc=")</f>
        <v>#REF!</v>
      </c>
      <c r="CK520" t="e">
        <f>AND(#REF!,"AAAAABqf/Vg=")</f>
        <v>#REF!</v>
      </c>
      <c r="CL520" t="e">
        <f>AND(#REF!,"AAAAABqf/Vk=")</f>
        <v>#REF!</v>
      </c>
      <c r="CM520" t="e">
        <f>AND(#REF!,"AAAAABqf/Vo=")</f>
        <v>#REF!</v>
      </c>
      <c r="CN520" t="e">
        <f>AND(#REF!,"AAAAABqf/Vs=")</f>
        <v>#REF!</v>
      </c>
      <c r="CO520" t="e">
        <f>AND(#REF!,"AAAAABqf/Vw=")</f>
        <v>#REF!</v>
      </c>
      <c r="CP520" t="e">
        <f>AND(#REF!,"AAAAABqf/V0=")</f>
        <v>#REF!</v>
      </c>
      <c r="CQ520" t="e">
        <f>AND(#REF!,"AAAAABqf/V4=")</f>
        <v>#REF!</v>
      </c>
      <c r="CR520" t="e">
        <f>AND(#REF!,"AAAAABqf/V8=")</f>
        <v>#REF!</v>
      </c>
      <c r="CS520" t="e">
        <f>IF(#REF!,"AAAAABqf/WA=",0)</f>
        <v>#REF!</v>
      </c>
      <c r="CT520" t="e">
        <f>AND(#REF!,"AAAAABqf/WE=")</f>
        <v>#REF!</v>
      </c>
      <c r="CU520" t="e">
        <f>AND(#REF!,"AAAAABqf/WI=")</f>
        <v>#REF!</v>
      </c>
      <c r="CV520" t="e">
        <f>AND(#REF!,"AAAAABqf/WM=")</f>
        <v>#REF!</v>
      </c>
      <c r="CW520" t="e">
        <f>AND(#REF!,"AAAAABqf/WQ=")</f>
        <v>#REF!</v>
      </c>
      <c r="CX520" t="e">
        <f>AND(#REF!,"AAAAABqf/WU=")</f>
        <v>#REF!</v>
      </c>
      <c r="CY520" t="e">
        <f>AND(#REF!,"AAAAABqf/WY=")</f>
        <v>#REF!</v>
      </c>
      <c r="CZ520" t="e">
        <f>AND(#REF!,"AAAAABqf/Wc=")</f>
        <v>#REF!</v>
      </c>
      <c r="DA520" t="e">
        <f>AND(#REF!,"AAAAABqf/Wg=")</f>
        <v>#REF!</v>
      </c>
      <c r="DB520" t="e">
        <f>AND(#REF!,"AAAAABqf/Wk=")</f>
        <v>#REF!</v>
      </c>
      <c r="DC520" t="e">
        <f>AND(#REF!,"AAAAABqf/Wo=")</f>
        <v>#REF!</v>
      </c>
      <c r="DD520" t="e">
        <f>AND(#REF!,"AAAAABqf/Ws=")</f>
        <v>#REF!</v>
      </c>
      <c r="DE520" t="e">
        <f>AND(#REF!,"AAAAABqf/Ww=")</f>
        <v>#REF!</v>
      </c>
      <c r="DF520" t="e">
        <f>AND(#REF!,"AAAAABqf/W0=")</f>
        <v>#REF!</v>
      </c>
      <c r="DG520" t="e">
        <f>AND(#REF!,"AAAAABqf/W4=")</f>
        <v>#REF!</v>
      </c>
      <c r="DH520" t="e">
        <f>AND(#REF!,"AAAAABqf/W8=")</f>
        <v>#REF!</v>
      </c>
      <c r="DI520" t="e">
        <f>AND(#REF!,"AAAAABqf/XA=")</f>
        <v>#REF!</v>
      </c>
      <c r="DJ520" t="e">
        <f>AND(#REF!,"AAAAABqf/XE=")</f>
        <v>#REF!</v>
      </c>
      <c r="DK520" t="e">
        <f>AND(#REF!,"AAAAABqf/XI=")</f>
        <v>#REF!</v>
      </c>
      <c r="DL520" t="e">
        <f>AND(#REF!,"AAAAABqf/XM=")</f>
        <v>#REF!</v>
      </c>
      <c r="DM520" t="e">
        <f>AND(#REF!,"AAAAABqf/XQ=")</f>
        <v>#REF!</v>
      </c>
      <c r="DN520" t="e">
        <f>AND(#REF!,"AAAAABqf/XU=")</f>
        <v>#REF!</v>
      </c>
      <c r="DO520" t="e">
        <f>AND(#REF!,"AAAAABqf/XY=")</f>
        <v>#REF!</v>
      </c>
      <c r="DP520" t="e">
        <f>AND(#REF!,"AAAAABqf/Xc=")</f>
        <v>#REF!</v>
      </c>
      <c r="DQ520" t="e">
        <f>AND(#REF!,"AAAAABqf/Xg=")</f>
        <v>#REF!</v>
      </c>
      <c r="DR520" t="e">
        <f>IF(#REF!,"AAAAABqf/Xk=",0)</f>
        <v>#REF!</v>
      </c>
      <c r="DS520" t="e">
        <f>AND(#REF!,"AAAAABqf/Xo=")</f>
        <v>#REF!</v>
      </c>
      <c r="DT520" t="e">
        <f>AND(#REF!,"AAAAABqf/Xs=")</f>
        <v>#REF!</v>
      </c>
      <c r="DU520" t="e">
        <f>AND(#REF!,"AAAAABqf/Xw=")</f>
        <v>#REF!</v>
      </c>
      <c r="DV520" t="e">
        <f>AND(#REF!,"AAAAABqf/X0=")</f>
        <v>#REF!</v>
      </c>
      <c r="DW520" t="e">
        <f>AND(#REF!,"AAAAABqf/X4=")</f>
        <v>#REF!</v>
      </c>
      <c r="DX520" t="e">
        <f>AND(#REF!,"AAAAABqf/X8=")</f>
        <v>#REF!</v>
      </c>
      <c r="DY520" t="e">
        <f>AND(#REF!,"AAAAABqf/YA=")</f>
        <v>#REF!</v>
      </c>
      <c r="DZ520" t="e">
        <f>AND(#REF!,"AAAAABqf/YE=")</f>
        <v>#REF!</v>
      </c>
      <c r="EA520" t="e">
        <f>AND(#REF!,"AAAAABqf/YI=")</f>
        <v>#REF!</v>
      </c>
      <c r="EB520" t="e">
        <f>AND(#REF!,"AAAAABqf/YM=")</f>
        <v>#REF!</v>
      </c>
      <c r="EC520" t="e">
        <f>AND(#REF!,"AAAAABqf/YQ=")</f>
        <v>#REF!</v>
      </c>
      <c r="ED520" t="e">
        <f>AND(#REF!,"AAAAABqf/YU=")</f>
        <v>#REF!</v>
      </c>
      <c r="EE520" t="e">
        <f>AND(#REF!,"AAAAABqf/YY=")</f>
        <v>#REF!</v>
      </c>
      <c r="EF520" t="e">
        <f>AND(#REF!,"AAAAABqf/Yc=")</f>
        <v>#REF!</v>
      </c>
      <c r="EG520" t="e">
        <f>AND(#REF!,"AAAAABqf/Yg=")</f>
        <v>#REF!</v>
      </c>
      <c r="EH520" t="e">
        <f>AND(#REF!,"AAAAABqf/Yk=")</f>
        <v>#REF!</v>
      </c>
      <c r="EI520" t="e">
        <f>AND(#REF!,"AAAAABqf/Yo=")</f>
        <v>#REF!</v>
      </c>
      <c r="EJ520" t="e">
        <f>AND(#REF!,"AAAAABqf/Ys=")</f>
        <v>#REF!</v>
      </c>
      <c r="EK520" t="e">
        <f>AND(#REF!,"AAAAABqf/Yw=")</f>
        <v>#REF!</v>
      </c>
      <c r="EL520" t="e">
        <f>AND(#REF!,"AAAAABqf/Y0=")</f>
        <v>#REF!</v>
      </c>
      <c r="EM520" t="e">
        <f>AND(#REF!,"AAAAABqf/Y4=")</f>
        <v>#REF!</v>
      </c>
      <c r="EN520" t="e">
        <f>AND(#REF!,"AAAAABqf/Y8=")</f>
        <v>#REF!</v>
      </c>
      <c r="EO520" t="e">
        <f>AND(#REF!,"AAAAABqf/ZA=")</f>
        <v>#REF!</v>
      </c>
      <c r="EP520" t="e">
        <f>AND(#REF!,"AAAAABqf/ZE=")</f>
        <v>#REF!</v>
      </c>
      <c r="EQ520" t="e">
        <f>IF(#REF!,"AAAAABqf/ZI=",0)</f>
        <v>#REF!</v>
      </c>
      <c r="ER520" t="e">
        <f>AND(#REF!,"AAAAABqf/ZM=")</f>
        <v>#REF!</v>
      </c>
      <c r="ES520" t="e">
        <f>AND(#REF!,"AAAAABqf/ZQ=")</f>
        <v>#REF!</v>
      </c>
      <c r="ET520" t="e">
        <f>AND(#REF!,"AAAAABqf/ZU=")</f>
        <v>#REF!</v>
      </c>
      <c r="EU520" t="e">
        <f>AND(#REF!,"AAAAABqf/ZY=")</f>
        <v>#REF!</v>
      </c>
      <c r="EV520" t="e">
        <f>AND(#REF!,"AAAAABqf/Zc=")</f>
        <v>#REF!</v>
      </c>
      <c r="EW520" t="e">
        <f>AND(#REF!,"AAAAABqf/Zg=")</f>
        <v>#REF!</v>
      </c>
      <c r="EX520" t="e">
        <f>AND(#REF!,"AAAAABqf/Zk=")</f>
        <v>#REF!</v>
      </c>
      <c r="EY520" t="e">
        <f>AND(#REF!,"AAAAABqf/Zo=")</f>
        <v>#REF!</v>
      </c>
      <c r="EZ520" t="e">
        <f>AND(#REF!,"AAAAABqf/Zs=")</f>
        <v>#REF!</v>
      </c>
      <c r="FA520" t="e">
        <f>AND(#REF!,"AAAAABqf/Zw=")</f>
        <v>#REF!</v>
      </c>
      <c r="FB520" t="e">
        <f>AND(#REF!,"AAAAABqf/Z0=")</f>
        <v>#REF!</v>
      </c>
      <c r="FC520" t="e">
        <f>AND(#REF!,"AAAAABqf/Z4=")</f>
        <v>#REF!</v>
      </c>
      <c r="FD520" t="e">
        <f>AND(#REF!,"AAAAABqf/Z8=")</f>
        <v>#REF!</v>
      </c>
      <c r="FE520" t="e">
        <f>AND(#REF!,"AAAAABqf/aA=")</f>
        <v>#REF!</v>
      </c>
      <c r="FF520" t="e">
        <f>AND(#REF!,"AAAAABqf/aE=")</f>
        <v>#REF!</v>
      </c>
      <c r="FG520" t="e">
        <f>AND(#REF!,"AAAAABqf/aI=")</f>
        <v>#REF!</v>
      </c>
      <c r="FH520" t="e">
        <f>AND(#REF!,"AAAAABqf/aM=")</f>
        <v>#REF!</v>
      </c>
      <c r="FI520" t="e">
        <f>AND(#REF!,"AAAAABqf/aQ=")</f>
        <v>#REF!</v>
      </c>
      <c r="FJ520" t="e">
        <f>AND(#REF!,"AAAAABqf/aU=")</f>
        <v>#REF!</v>
      </c>
      <c r="FK520" t="e">
        <f>AND(#REF!,"AAAAABqf/aY=")</f>
        <v>#REF!</v>
      </c>
      <c r="FL520" t="e">
        <f>AND(#REF!,"AAAAABqf/ac=")</f>
        <v>#REF!</v>
      </c>
      <c r="FM520" t="e">
        <f>AND(#REF!,"AAAAABqf/ag=")</f>
        <v>#REF!</v>
      </c>
      <c r="FN520" t="e">
        <f>AND(#REF!,"AAAAABqf/ak=")</f>
        <v>#REF!</v>
      </c>
      <c r="FO520" t="e">
        <f>AND(#REF!,"AAAAABqf/ao=")</f>
        <v>#REF!</v>
      </c>
      <c r="FP520" t="e">
        <f>IF(#REF!,"AAAAABqf/as=",0)</f>
        <v>#REF!</v>
      </c>
      <c r="FQ520" t="e">
        <f>AND(#REF!,"AAAAABqf/aw=")</f>
        <v>#REF!</v>
      </c>
      <c r="FR520" t="e">
        <f>AND(#REF!,"AAAAABqf/a0=")</f>
        <v>#REF!</v>
      </c>
      <c r="FS520" t="e">
        <f>AND(#REF!,"AAAAABqf/a4=")</f>
        <v>#REF!</v>
      </c>
      <c r="FT520" t="e">
        <f>AND(#REF!,"AAAAABqf/a8=")</f>
        <v>#REF!</v>
      </c>
      <c r="FU520" t="e">
        <f>AND(#REF!,"AAAAABqf/bA=")</f>
        <v>#REF!</v>
      </c>
      <c r="FV520" t="e">
        <f>AND(#REF!,"AAAAABqf/bE=")</f>
        <v>#REF!</v>
      </c>
      <c r="FW520" t="e">
        <f>AND(#REF!,"AAAAABqf/bI=")</f>
        <v>#REF!</v>
      </c>
      <c r="FX520" t="e">
        <f>AND(#REF!,"AAAAABqf/bM=")</f>
        <v>#REF!</v>
      </c>
      <c r="FY520" t="e">
        <f>AND(#REF!,"AAAAABqf/bQ=")</f>
        <v>#REF!</v>
      </c>
      <c r="FZ520" t="e">
        <f>AND(#REF!,"AAAAABqf/bU=")</f>
        <v>#REF!</v>
      </c>
      <c r="GA520" t="e">
        <f>AND(#REF!,"AAAAABqf/bY=")</f>
        <v>#REF!</v>
      </c>
      <c r="GB520" t="e">
        <f>AND(#REF!,"AAAAABqf/bc=")</f>
        <v>#REF!</v>
      </c>
      <c r="GC520" t="e">
        <f>AND(#REF!,"AAAAABqf/bg=")</f>
        <v>#REF!</v>
      </c>
      <c r="GD520" t="e">
        <f>AND(#REF!,"AAAAABqf/bk=")</f>
        <v>#REF!</v>
      </c>
      <c r="GE520" t="e">
        <f>AND(#REF!,"AAAAABqf/bo=")</f>
        <v>#REF!</v>
      </c>
      <c r="GF520" t="e">
        <f>AND(#REF!,"AAAAABqf/bs=")</f>
        <v>#REF!</v>
      </c>
      <c r="GG520" t="e">
        <f>AND(#REF!,"AAAAABqf/bw=")</f>
        <v>#REF!</v>
      </c>
      <c r="GH520" t="e">
        <f>AND(#REF!,"AAAAABqf/b0=")</f>
        <v>#REF!</v>
      </c>
      <c r="GI520" t="e">
        <f>AND(#REF!,"AAAAABqf/b4=")</f>
        <v>#REF!</v>
      </c>
      <c r="GJ520" t="e">
        <f>AND(#REF!,"AAAAABqf/b8=")</f>
        <v>#REF!</v>
      </c>
      <c r="GK520" t="e">
        <f>AND(#REF!,"AAAAABqf/cA=")</f>
        <v>#REF!</v>
      </c>
      <c r="GL520" t="e">
        <f>AND(#REF!,"AAAAABqf/cE=")</f>
        <v>#REF!</v>
      </c>
      <c r="GM520" t="e">
        <f>AND(#REF!,"AAAAABqf/cI=")</f>
        <v>#REF!</v>
      </c>
      <c r="GN520" t="e">
        <f>AND(#REF!,"AAAAABqf/cM=")</f>
        <v>#REF!</v>
      </c>
      <c r="GO520" t="e">
        <f>IF(#REF!,"AAAAABqf/cQ=",0)</f>
        <v>#REF!</v>
      </c>
      <c r="GP520" t="e">
        <f>AND(#REF!,"AAAAABqf/cU=")</f>
        <v>#REF!</v>
      </c>
      <c r="GQ520" t="e">
        <f>AND(#REF!,"AAAAABqf/cY=")</f>
        <v>#REF!</v>
      </c>
      <c r="GR520" t="e">
        <f>AND(#REF!,"AAAAABqf/cc=")</f>
        <v>#REF!</v>
      </c>
      <c r="GS520" t="e">
        <f>AND(#REF!,"AAAAABqf/cg=")</f>
        <v>#REF!</v>
      </c>
      <c r="GT520" t="e">
        <f>AND(#REF!,"AAAAABqf/ck=")</f>
        <v>#REF!</v>
      </c>
      <c r="GU520" t="e">
        <f>AND(#REF!,"AAAAABqf/co=")</f>
        <v>#REF!</v>
      </c>
      <c r="GV520" t="e">
        <f>AND(#REF!,"AAAAABqf/cs=")</f>
        <v>#REF!</v>
      </c>
      <c r="GW520" t="e">
        <f>AND(#REF!,"AAAAABqf/cw=")</f>
        <v>#REF!</v>
      </c>
      <c r="GX520" t="e">
        <f>AND(#REF!,"AAAAABqf/c0=")</f>
        <v>#REF!</v>
      </c>
      <c r="GY520" t="e">
        <f>AND(#REF!,"AAAAABqf/c4=")</f>
        <v>#REF!</v>
      </c>
      <c r="GZ520" t="e">
        <f>AND(#REF!,"AAAAABqf/c8=")</f>
        <v>#REF!</v>
      </c>
      <c r="HA520" t="e">
        <f>AND(#REF!,"AAAAABqf/dA=")</f>
        <v>#REF!</v>
      </c>
      <c r="HB520" t="e">
        <f>AND(#REF!,"AAAAABqf/dE=")</f>
        <v>#REF!</v>
      </c>
      <c r="HC520" t="e">
        <f>AND(#REF!,"AAAAABqf/dI=")</f>
        <v>#REF!</v>
      </c>
      <c r="HD520" t="e">
        <f>AND(#REF!,"AAAAABqf/dM=")</f>
        <v>#REF!</v>
      </c>
      <c r="HE520" t="e">
        <f>AND(#REF!,"AAAAABqf/dQ=")</f>
        <v>#REF!</v>
      </c>
      <c r="HF520" t="e">
        <f>AND(#REF!,"AAAAABqf/dU=")</f>
        <v>#REF!</v>
      </c>
      <c r="HG520" t="e">
        <f>AND(#REF!,"AAAAABqf/dY=")</f>
        <v>#REF!</v>
      </c>
      <c r="HH520" t="e">
        <f>AND(#REF!,"AAAAABqf/dc=")</f>
        <v>#REF!</v>
      </c>
      <c r="HI520" t="e">
        <f>AND(#REF!,"AAAAABqf/dg=")</f>
        <v>#REF!</v>
      </c>
      <c r="HJ520" t="e">
        <f>AND(#REF!,"AAAAABqf/dk=")</f>
        <v>#REF!</v>
      </c>
      <c r="HK520" t="e">
        <f>AND(#REF!,"AAAAABqf/do=")</f>
        <v>#REF!</v>
      </c>
      <c r="HL520" t="e">
        <f>AND(#REF!,"AAAAABqf/ds=")</f>
        <v>#REF!</v>
      </c>
      <c r="HM520" t="e">
        <f>AND(#REF!,"AAAAABqf/dw=")</f>
        <v>#REF!</v>
      </c>
      <c r="HN520" t="e">
        <f>IF(#REF!,"AAAAABqf/d0=",0)</f>
        <v>#REF!</v>
      </c>
      <c r="HO520" t="e">
        <f>AND(#REF!,"AAAAABqf/d4=")</f>
        <v>#REF!</v>
      </c>
      <c r="HP520" t="e">
        <f>AND(#REF!,"AAAAABqf/d8=")</f>
        <v>#REF!</v>
      </c>
      <c r="HQ520" t="e">
        <f>AND(#REF!,"AAAAABqf/eA=")</f>
        <v>#REF!</v>
      </c>
      <c r="HR520" t="e">
        <f>AND(#REF!,"AAAAABqf/eE=")</f>
        <v>#REF!</v>
      </c>
      <c r="HS520" t="e">
        <f>AND(#REF!,"AAAAABqf/eI=")</f>
        <v>#REF!</v>
      </c>
      <c r="HT520" t="e">
        <f>AND(#REF!,"AAAAABqf/eM=")</f>
        <v>#REF!</v>
      </c>
      <c r="HU520" t="e">
        <f>AND(#REF!,"AAAAABqf/eQ=")</f>
        <v>#REF!</v>
      </c>
      <c r="HV520" t="e">
        <f>AND(#REF!,"AAAAABqf/eU=")</f>
        <v>#REF!</v>
      </c>
      <c r="HW520" t="e">
        <f>AND(#REF!,"AAAAABqf/eY=")</f>
        <v>#REF!</v>
      </c>
      <c r="HX520" t="e">
        <f>AND(#REF!,"AAAAABqf/ec=")</f>
        <v>#REF!</v>
      </c>
      <c r="HY520" t="e">
        <f>AND(#REF!,"AAAAABqf/eg=")</f>
        <v>#REF!</v>
      </c>
      <c r="HZ520" t="e">
        <f>AND(#REF!,"AAAAABqf/ek=")</f>
        <v>#REF!</v>
      </c>
      <c r="IA520" t="e">
        <f>AND(#REF!,"AAAAABqf/eo=")</f>
        <v>#REF!</v>
      </c>
      <c r="IB520" t="e">
        <f>AND(#REF!,"AAAAABqf/es=")</f>
        <v>#REF!</v>
      </c>
      <c r="IC520" t="e">
        <f>AND(#REF!,"AAAAABqf/ew=")</f>
        <v>#REF!</v>
      </c>
      <c r="ID520" t="e">
        <f>AND(#REF!,"AAAAABqf/e0=")</f>
        <v>#REF!</v>
      </c>
      <c r="IE520" t="e">
        <f>AND(#REF!,"AAAAABqf/e4=")</f>
        <v>#REF!</v>
      </c>
      <c r="IF520" t="e">
        <f>AND(#REF!,"AAAAABqf/e8=")</f>
        <v>#REF!</v>
      </c>
      <c r="IG520" t="e">
        <f>AND(#REF!,"AAAAABqf/fA=")</f>
        <v>#REF!</v>
      </c>
      <c r="IH520" t="e">
        <f>AND(#REF!,"AAAAABqf/fE=")</f>
        <v>#REF!</v>
      </c>
      <c r="II520" t="e">
        <f>AND(#REF!,"AAAAABqf/fI=")</f>
        <v>#REF!</v>
      </c>
      <c r="IJ520" t="e">
        <f>AND(#REF!,"AAAAABqf/fM=")</f>
        <v>#REF!</v>
      </c>
      <c r="IK520" t="e">
        <f>AND(#REF!,"AAAAABqf/fQ=")</f>
        <v>#REF!</v>
      </c>
      <c r="IL520" t="e">
        <f>AND(#REF!,"AAAAABqf/fU=")</f>
        <v>#REF!</v>
      </c>
      <c r="IM520" t="e">
        <f>IF(#REF!,"AAAAABqf/fY=",0)</f>
        <v>#REF!</v>
      </c>
      <c r="IN520" t="e">
        <f>AND(#REF!,"AAAAABqf/fc=")</f>
        <v>#REF!</v>
      </c>
      <c r="IO520" t="e">
        <f>AND(#REF!,"AAAAABqf/fg=")</f>
        <v>#REF!</v>
      </c>
      <c r="IP520" t="e">
        <f>AND(#REF!,"AAAAABqf/fk=")</f>
        <v>#REF!</v>
      </c>
      <c r="IQ520" t="e">
        <f>AND(#REF!,"AAAAABqf/fo=")</f>
        <v>#REF!</v>
      </c>
      <c r="IR520" t="e">
        <f>AND(#REF!,"AAAAABqf/fs=")</f>
        <v>#REF!</v>
      </c>
      <c r="IS520" t="e">
        <f>AND(#REF!,"AAAAABqf/fw=")</f>
        <v>#REF!</v>
      </c>
      <c r="IT520" t="e">
        <f>AND(#REF!,"AAAAABqf/f0=")</f>
        <v>#REF!</v>
      </c>
      <c r="IU520" t="e">
        <f>AND(#REF!,"AAAAABqf/f4=")</f>
        <v>#REF!</v>
      </c>
      <c r="IV520" t="e">
        <f>AND(#REF!,"AAAAABqf/f8=")</f>
        <v>#REF!</v>
      </c>
    </row>
    <row r="521" spans="1:256">
      <c r="A521" t="e">
        <f>AND(#REF!,"AAAAAHPf/QA=")</f>
        <v>#REF!</v>
      </c>
      <c r="B521" t="e">
        <f>AND(#REF!,"AAAAAHPf/QE=")</f>
        <v>#REF!</v>
      </c>
      <c r="C521" t="e">
        <f>AND(#REF!,"AAAAAHPf/QI=")</f>
        <v>#REF!</v>
      </c>
      <c r="D521" t="e">
        <f>AND(#REF!,"AAAAAHPf/QM=")</f>
        <v>#REF!</v>
      </c>
      <c r="E521" t="e">
        <f>AND(#REF!,"AAAAAHPf/QQ=")</f>
        <v>#REF!</v>
      </c>
      <c r="F521" t="e">
        <f>AND(#REF!,"AAAAAHPf/QU=")</f>
        <v>#REF!</v>
      </c>
      <c r="G521" t="e">
        <f>AND(#REF!,"AAAAAHPf/QY=")</f>
        <v>#REF!</v>
      </c>
      <c r="H521" t="e">
        <f>AND(#REF!,"AAAAAHPf/Qc=")</f>
        <v>#REF!</v>
      </c>
      <c r="I521" t="e">
        <f>AND(#REF!,"AAAAAHPf/Qg=")</f>
        <v>#REF!</v>
      </c>
      <c r="J521" t="e">
        <f>AND(#REF!,"AAAAAHPf/Qk=")</f>
        <v>#REF!</v>
      </c>
      <c r="K521" t="e">
        <f>AND(#REF!,"AAAAAHPf/Qo=")</f>
        <v>#REF!</v>
      </c>
      <c r="L521" t="e">
        <f>AND(#REF!,"AAAAAHPf/Qs=")</f>
        <v>#REF!</v>
      </c>
      <c r="M521" t="e">
        <f>AND(#REF!,"AAAAAHPf/Qw=")</f>
        <v>#REF!</v>
      </c>
      <c r="N521" t="e">
        <f>AND(#REF!,"AAAAAHPf/Q0=")</f>
        <v>#REF!</v>
      </c>
      <c r="O521" t="e">
        <f>AND(#REF!,"AAAAAHPf/Q4=")</f>
        <v>#REF!</v>
      </c>
      <c r="P521" t="e">
        <f>IF(#REF!,"AAAAAHPf/Q8=",0)</f>
        <v>#REF!</v>
      </c>
      <c r="Q521" t="e">
        <f>AND(#REF!,"AAAAAHPf/RA=")</f>
        <v>#REF!</v>
      </c>
      <c r="R521" t="e">
        <f>AND(#REF!,"AAAAAHPf/RE=")</f>
        <v>#REF!</v>
      </c>
      <c r="S521" t="e">
        <f>AND(#REF!,"AAAAAHPf/RI=")</f>
        <v>#REF!</v>
      </c>
      <c r="T521" t="e">
        <f>AND(#REF!,"AAAAAHPf/RM=")</f>
        <v>#REF!</v>
      </c>
      <c r="U521" t="e">
        <f>AND(#REF!,"AAAAAHPf/RQ=")</f>
        <v>#REF!</v>
      </c>
      <c r="V521" t="e">
        <f>AND(#REF!,"AAAAAHPf/RU=")</f>
        <v>#REF!</v>
      </c>
      <c r="W521" t="e">
        <f>AND(#REF!,"AAAAAHPf/RY=")</f>
        <v>#REF!</v>
      </c>
      <c r="X521" t="e">
        <f>AND(#REF!,"AAAAAHPf/Rc=")</f>
        <v>#REF!</v>
      </c>
      <c r="Y521" t="e">
        <f>AND(#REF!,"AAAAAHPf/Rg=")</f>
        <v>#REF!</v>
      </c>
      <c r="Z521" t="e">
        <f>AND(#REF!,"AAAAAHPf/Rk=")</f>
        <v>#REF!</v>
      </c>
      <c r="AA521" t="e">
        <f>AND(#REF!,"AAAAAHPf/Ro=")</f>
        <v>#REF!</v>
      </c>
      <c r="AB521" t="e">
        <f>AND(#REF!,"AAAAAHPf/Rs=")</f>
        <v>#REF!</v>
      </c>
      <c r="AC521" t="e">
        <f>AND(#REF!,"AAAAAHPf/Rw=")</f>
        <v>#REF!</v>
      </c>
      <c r="AD521" t="e">
        <f>AND(#REF!,"AAAAAHPf/R0=")</f>
        <v>#REF!</v>
      </c>
      <c r="AE521" t="e">
        <f>AND(#REF!,"AAAAAHPf/R4=")</f>
        <v>#REF!</v>
      </c>
      <c r="AF521" t="e">
        <f>AND(#REF!,"AAAAAHPf/R8=")</f>
        <v>#REF!</v>
      </c>
      <c r="AG521" t="e">
        <f>AND(#REF!,"AAAAAHPf/SA=")</f>
        <v>#REF!</v>
      </c>
      <c r="AH521" t="e">
        <f>AND(#REF!,"AAAAAHPf/SE=")</f>
        <v>#REF!</v>
      </c>
      <c r="AI521" t="e">
        <f>AND(#REF!,"AAAAAHPf/SI=")</f>
        <v>#REF!</v>
      </c>
      <c r="AJ521" t="e">
        <f>AND(#REF!,"AAAAAHPf/SM=")</f>
        <v>#REF!</v>
      </c>
      <c r="AK521" t="e">
        <f>AND(#REF!,"AAAAAHPf/SQ=")</f>
        <v>#REF!</v>
      </c>
      <c r="AL521" t="e">
        <f>AND(#REF!,"AAAAAHPf/SU=")</f>
        <v>#REF!</v>
      </c>
      <c r="AM521" t="e">
        <f>AND(#REF!,"AAAAAHPf/SY=")</f>
        <v>#REF!</v>
      </c>
      <c r="AN521" t="e">
        <f>AND(#REF!,"AAAAAHPf/Sc=")</f>
        <v>#REF!</v>
      </c>
      <c r="AO521" t="e">
        <f>IF(#REF!,"AAAAAHPf/Sg=",0)</f>
        <v>#REF!</v>
      </c>
      <c r="AP521" t="e">
        <f>AND(#REF!,"AAAAAHPf/Sk=")</f>
        <v>#REF!</v>
      </c>
      <c r="AQ521" t="e">
        <f>AND(#REF!,"AAAAAHPf/So=")</f>
        <v>#REF!</v>
      </c>
      <c r="AR521" t="e">
        <f>AND(#REF!,"AAAAAHPf/Ss=")</f>
        <v>#REF!</v>
      </c>
      <c r="AS521" t="e">
        <f>AND(#REF!,"AAAAAHPf/Sw=")</f>
        <v>#REF!</v>
      </c>
      <c r="AT521" t="e">
        <f>AND(#REF!,"AAAAAHPf/S0=")</f>
        <v>#REF!</v>
      </c>
      <c r="AU521" t="e">
        <f>AND(#REF!,"AAAAAHPf/S4=")</f>
        <v>#REF!</v>
      </c>
      <c r="AV521" t="e">
        <f>AND(#REF!,"AAAAAHPf/S8=")</f>
        <v>#REF!</v>
      </c>
      <c r="AW521" t="e">
        <f>AND(#REF!,"AAAAAHPf/TA=")</f>
        <v>#REF!</v>
      </c>
      <c r="AX521" t="e">
        <f>AND(#REF!,"AAAAAHPf/TE=")</f>
        <v>#REF!</v>
      </c>
      <c r="AY521" t="e">
        <f>AND(#REF!,"AAAAAHPf/TI=")</f>
        <v>#REF!</v>
      </c>
      <c r="AZ521" t="e">
        <f>AND(#REF!,"AAAAAHPf/TM=")</f>
        <v>#REF!</v>
      </c>
      <c r="BA521" t="e">
        <f>AND(#REF!,"AAAAAHPf/TQ=")</f>
        <v>#REF!</v>
      </c>
      <c r="BB521" t="e">
        <f>AND(#REF!,"AAAAAHPf/TU=")</f>
        <v>#REF!</v>
      </c>
      <c r="BC521" t="e">
        <f>AND(#REF!,"AAAAAHPf/TY=")</f>
        <v>#REF!</v>
      </c>
      <c r="BD521" t="e">
        <f>AND(#REF!,"AAAAAHPf/Tc=")</f>
        <v>#REF!</v>
      </c>
      <c r="BE521" t="e">
        <f>AND(#REF!,"AAAAAHPf/Tg=")</f>
        <v>#REF!</v>
      </c>
      <c r="BF521" t="e">
        <f>AND(#REF!,"AAAAAHPf/Tk=")</f>
        <v>#REF!</v>
      </c>
      <c r="BG521" t="e">
        <f>AND(#REF!,"AAAAAHPf/To=")</f>
        <v>#REF!</v>
      </c>
      <c r="BH521" t="e">
        <f>AND(#REF!,"AAAAAHPf/Ts=")</f>
        <v>#REF!</v>
      </c>
      <c r="BI521" t="e">
        <f>AND(#REF!,"AAAAAHPf/Tw=")</f>
        <v>#REF!</v>
      </c>
      <c r="BJ521" t="e">
        <f>AND(#REF!,"AAAAAHPf/T0=")</f>
        <v>#REF!</v>
      </c>
      <c r="BK521" t="e">
        <f>AND(#REF!,"AAAAAHPf/T4=")</f>
        <v>#REF!</v>
      </c>
      <c r="BL521" t="e">
        <f>AND(#REF!,"AAAAAHPf/T8=")</f>
        <v>#REF!</v>
      </c>
      <c r="BM521" t="e">
        <f>AND(#REF!,"AAAAAHPf/UA=")</f>
        <v>#REF!</v>
      </c>
      <c r="BN521" t="e">
        <f>IF(#REF!,"AAAAAHPf/UE=",0)</f>
        <v>#REF!</v>
      </c>
      <c r="BO521" t="e">
        <f>AND(#REF!,"AAAAAHPf/UI=")</f>
        <v>#REF!</v>
      </c>
      <c r="BP521" t="e">
        <f>AND(#REF!,"AAAAAHPf/UM=")</f>
        <v>#REF!</v>
      </c>
      <c r="BQ521" t="e">
        <f>AND(#REF!,"AAAAAHPf/UQ=")</f>
        <v>#REF!</v>
      </c>
      <c r="BR521" t="e">
        <f>AND(#REF!,"AAAAAHPf/UU=")</f>
        <v>#REF!</v>
      </c>
      <c r="BS521" t="e">
        <f>AND(#REF!,"AAAAAHPf/UY=")</f>
        <v>#REF!</v>
      </c>
      <c r="BT521" t="e">
        <f>AND(#REF!,"AAAAAHPf/Uc=")</f>
        <v>#REF!</v>
      </c>
      <c r="BU521" t="e">
        <f>AND(#REF!,"AAAAAHPf/Ug=")</f>
        <v>#REF!</v>
      </c>
      <c r="BV521" t="e">
        <f>AND(#REF!,"AAAAAHPf/Uk=")</f>
        <v>#REF!</v>
      </c>
      <c r="BW521" t="e">
        <f>AND(#REF!,"AAAAAHPf/Uo=")</f>
        <v>#REF!</v>
      </c>
      <c r="BX521" t="e">
        <f>AND(#REF!,"AAAAAHPf/Us=")</f>
        <v>#REF!</v>
      </c>
      <c r="BY521" t="e">
        <f>AND(#REF!,"AAAAAHPf/Uw=")</f>
        <v>#REF!</v>
      </c>
      <c r="BZ521" t="e">
        <f>AND(#REF!,"AAAAAHPf/U0=")</f>
        <v>#REF!</v>
      </c>
      <c r="CA521" t="e">
        <f>AND(#REF!,"AAAAAHPf/U4=")</f>
        <v>#REF!</v>
      </c>
      <c r="CB521" t="e">
        <f>AND(#REF!,"AAAAAHPf/U8=")</f>
        <v>#REF!</v>
      </c>
      <c r="CC521" t="e">
        <f>AND(#REF!,"AAAAAHPf/VA=")</f>
        <v>#REF!</v>
      </c>
      <c r="CD521" t="e">
        <f>AND(#REF!,"AAAAAHPf/VE=")</f>
        <v>#REF!</v>
      </c>
      <c r="CE521" t="e">
        <f>AND(#REF!,"AAAAAHPf/VI=")</f>
        <v>#REF!</v>
      </c>
      <c r="CF521" t="e">
        <f>AND(#REF!,"AAAAAHPf/VM=")</f>
        <v>#REF!</v>
      </c>
      <c r="CG521" t="e">
        <f>AND(#REF!,"AAAAAHPf/VQ=")</f>
        <v>#REF!</v>
      </c>
      <c r="CH521" t="e">
        <f>AND(#REF!,"AAAAAHPf/VU=")</f>
        <v>#REF!</v>
      </c>
      <c r="CI521" t="e">
        <f>AND(#REF!,"AAAAAHPf/VY=")</f>
        <v>#REF!</v>
      </c>
      <c r="CJ521" t="e">
        <f>AND(#REF!,"AAAAAHPf/Vc=")</f>
        <v>#REF!</v>
      </c>
      <c r="CK521" t="e">
        <f>AND(#REF!,"AAAAAHPf/Vg=")</f>
        <v>#REF!</v>
      </c>
      <c r="CL521" t="e">
        <f>AND(#REF!,"AAAAAHPf/Vk=")</f>
        <v>#REF!</v>
      </c>
      <c r="CM521" t="e">
        <f>IF(#REF!,"AAAAAHPf/Vo=",0)</f>
        <v>#REF!</v>
      </c>
      <c r="CN521" t="e">
        <f>AND(#REF!,"AAAAAHPf/Vs=")</f>
        <v>#REF!</v>
      </c>
      <c r="CO521" t="e">
        <f>AND(#REF!,"AAAAAHPf/Vw=")</f>
        <v>#REF!</v>
      </c>
      <c r="CP521" t="e">
        <f>AND(#REF!,"AAAAAHPf/V0=")</f>
        <v>#REF!</v>
      </c>
      <c r="CQ521" t="e">
        <f>AND(#REF!,"AAAAAHPf/V4=")</f>
        <v>#REF!</v>
      </c>
      <c r="CR521" t="e">
        <f>AND(#REF!,"AAAAAHPf/V8=")</f>
        <v>#REF!</v>
      </c>
      <c r="CS521" t="e">
        <f>AND(#REF!,"AAAAAHPf/WA=")</f>
        <v>#REF!</v>
      </c>
      <c r="CT521" t="e">
        <f>AND(#REF!,"AAAAAHPf/WE=")</f>
        <v>#REF!</v>
      </c>
      <c r="CU521" t="e">
        <f>AND(#REF!,"AAAAAHPf/WI=")</f>
        <v>#REF!</v>
      </c>
      <c r="CV521" t="e">
        <f>AND(#REF!,"AAAAAHPf/WM=")</f>
        <v>#REF!</v>
      </c>
      <c r="CW521" t="e">
        <f>AND(#REF!,"AAAAAHPf/WQ=")</f>
        <v>#REF!</v>
      </c>
      <c r="CX521" t="e">
        <f>AND(#REF!,"AAAAAHPf/WU=")</f>
        <v>#REF!</v>
      </c>
      <c r="CY521" t="e">
        <f>AND(#REF!,"AAAAAHPf/WY=")</f>
        <v>#REF!</v>
      </c>
      <c r="CZ521" t="e">
        <f>AND(#REF!,"AAAAAHPf/Wc=")</f>
        <v>#REF!</v>
      </c>
      <c r="DA521" t="e">
        <f>AND(#REF!,"AAAAAHPf/Wg=")</f>
        <v>#REF!</v>
      </c>
      <c r="DB521" t="e">
        <f>AND(#REF!,"AAAAAHPf/Wk=")</f>
        <v>#REF!</v>
      </c>
      <c r="DC521" t="e">
        <f>AND(#REF!,"AAAAAHPf/Wo=")</f>
        <v>#REF!</v>
      </c>
      <c r="DD521" t="e">
        <f>AND(#REF!,"AAAAAHPf/Ws=")</f>
        <v>#REF!</v>
      </c>
      <c r="DE521" t="e">
        <f>AND(#REF!,"AAAAAHPf/Ww=")</f>
        <v>#REF!</v>
      </c>
      <c r="DF521" t="e">
        <f>AND(#REF!,"AAAAAHPf/W0=")</f>
        <v>#REF!</v>
      </c>
      <c r="DG521" t="e">
        <f>AND(#REF!,"AAAAAHPf/W4=")</f>
        <v>#REF!</v>
      </c>
      <c r="DH521" t="e">
        <f>AND(#REF!,"AAAAAHPf/W8=")</f>
        <v>#REF!</v>
      </c>
      <c r="DI521" t="e">
        <f>AND(#REF!,"AAAAAHPf/XA=")</f>
        <v>#REF!</v>
      </c>
      <c r="DJ521" t="e">
        <f>AND(#REF!,"AAAAAHPf/XE=")</f>
        <v>#REF!</v>
      </c>
      <c r="DK521" t="e">
        <f>AND(#REF!,"AAAAAHPf/XI=")</f>
        <v>#REF!</v>
      </c>
      <c r="DL521" t="e">
        <f>IF(#REF!,"AAAAAHPf/XM=",0)</f>
        <v>#REF!</v>
      </c>
      <c r="DM521" t="e">
        <f>AND(#REF!,"AAAAAHPf/XQ=")</f>
        <v>#REF!</v>
      </c>
      <c r="DN521" t="e">
        <f>AND(#REF!,"AAAAAHPf/XU=")</f>
        <v>#REF!</v>
      </c>
      <c r="DO521" t="e">
        <f>AND(#REF!,"AAAAAHPf/XY=")</f>
        <v>#REF!</v>
      </c>
      <c r="DP521" t="e">
        <f>AND(#REF!,"AAAAAHPf/Xc=")</f>
        <v>#REF!</v>
      </c>
      <c r="DQ521" t="e">
        <f>AND(#REF!,"AAAAAHPf/Xg=")</f>
        <v>#REF!</v>
      </c>
      <c r="DR521" t="e">
        <f>AND(#REF!,"AAAAAHPf/Xk=")</f>
        <v>#REF!</v>
      </c>
      <c r="DS521" t="e">
        <f>AND(#REF!,"AAAAAHPf/Xo=")</f>
        <v>#REF!</v>
      </c>
      <c r="DT521" t="e">
        <f>AND(#REF!,"AAAAAHPf/Xs=")</f>
        <v>#REF!</v>
      </c>
      <c r="DU521" t="e">
        <f>AND(#REF!,"AAAAAHPf/Xw=")</f>
        <v>#REF!</v>
      </c>
      <c r="DV521" t="e">
        <f>AND(#REF!,"AAAAAHPf/X0=")</f>
        <v>#REF!</v>
      </c>
      <c r="DW521" t="e">
        <f>AND(#REF!,"AAAAAHPf/X4=")</f>
        <v>#REF!</v>
      </c>
      <c r="DX521" t="e">
        <f>AND(#REF!,"AAAAAHPf/X8=")</f>
        <v>#REF!</v>
      </c>
      <c r="DY521" t="e">
        <f>AND(#REF!,"AAAAAHPf/YA=")</f>
        <v>#REF!</v>
      </c>
      <c r="DZ521" t="e">
        <f>AND(#REF!,"AAAAAHPf/YE=")</f>
        <v>#REF!</v>
      </c>
      <c r="EA521" t="e">
        <f>AND(#REF!,"AAAAAHPf/YI=")</f>
        <v>#REF!</v>
      </c>
      <c r="EB521" t="e">
        <f>AND(#REF!,"AAAAAHPf/YM=")</f>
        <v>#REF!</v>
      </c>
      <c r="EC521" t="e">
        <f>AND(#REF!,"AAAAAHPf/YQ=")</f>
        <v>#REF!</v>
      </c>
      <c r="ED521" t="e">
        <f>AND(#REF!,"AAAAAHPf/YU=")</f>
        <v>#REF!</v>
      </c>
      <c r="EE521" t="e">
        <f>AND(#REF!,"AAAAAHPf/YY=")</f>
        <v>#REF!</v>
      </c>
      <c r="EF521" t="e">
        <f>AND(#REF!,"AAAAAHPf/Yc=")</f>
        <v>#REF!</v>
      </c>
      <c r="EG521" t="e">
        <f>AND(#REF!,"AAAAAHPf/Yg=")</f>
        <v>#REF!</v>
      </c>
      <c r="EH521" t="e">
        <f>AND(#REF!,"AAAAAHPf/Yk=")</f>
        <v>#REF!</v>
      </c>
      <c r="EI521" t="e">
        <f>AND(#REF!,"AAAAAHPf/Yo=")</f>
        <v>#REF!</v>
      </c>
      <c r="EJ521" t="e">
        <f>AND(#REF!,"AAAAAHPf/Ys=")</f>
        <v>#REF!</v>
      </c>
      <c r="EK521" t="e">
        <f>IF(#REF!,"AAAAAHPf/Yw=",0)</f>
        <v>#REF!</v>
      </c>
      <c r="EL521" t="e">
        <f>AND(#REF!,"AAAAAHPf/Y0=")</f>
        <v>#REF!</v>
      </c>
      <c r="EM521" t="e">
        <f>AND(#REF!,"AAAAAHPf/Y4=")</f>
        <v>#REF!</v>
      </c>
      <c r="EN521" t="e">
        <f>AND(#REF!,"AAAAAHPf/Y8=")</f>
        <v>#REF!</v>
      </c>
      <c r="EO521" t="e">
        <f>AND(#REF!,"AAAAAHPf/ZA=")</f>
        <v>#REF!</v>
      </c>
      <c r="EP521" t="e">
        <f>AND(#REF!,"AAAAAHPf/ZE=")</f>
        <v>#REF!</v>
      </c>
      <c r="EQ521" t="e">
        <f>AND(#REF!,"AAAAAHPf/ZI=")</f>
        <v>#REF!</v>
      </c>
      <c r="ER521" t="e">
        <f>AND(#REF!,"AAAAAHPf/ZM=")</f>
        <v>#REF!</v>
      </c>
      <c r="ES521" t="e">
        <f>AND(#REF!,"AAAAAHPf/ZQ=")</f>
        <v>#REF!</v>
      </c>
      <c r="ET521" t="e">
        <f>AND(#REF!,"AAAAAHPf/ZU=")</f>
        <v>#REF!</v>
      </c>
      <c r="EU521" t="e">
        <f>AND(#REF!,"AAAAAHPf/ZY=")</f>
        <v>#REF!</v>
      </c>
      <c r="EV521" t="e">
        <f>AND(#REF!,"AAAAAHPf/Zc=")</f>
        <v>#REF!</v>
      </c>
      <c r="EW521" t="e">
        <f>AND(#REF!,"AAAAAHPf/Zg=")</f>
        <v>#REF!</v>
      </c>
      <c r="EX521" t="e">
        <f>AND(#REF!,"AAAAAHPf/Zk=")</f>
        <v>#REF!</v>
      </c>
      <c r="EY521" t="e">
        <f>AND(#REF!,"AAAAAHPf/Zo=")</f>
        <v>#REF!</v>
      </c>
      <c r="EZ521" t="e">
        <f>AND(#REF!,"AAAAAHPf/Zs=")</f>
        <v>#REF!</v>
      </c>
      <c r="FA521" t="e">
        <f>AND(#REF!,"AAAAAHPf/Zw=")</f>
        <v>#REF!</v>
      </c>
      <c r="FB521" t="e">
        <f>AND(#REF!,"AAAAAHPf/Z0=")</f>
        <v>#REF!</v>
      </c>
      <c r="FC521" t="e">
        <f>AND(#REF!,"AAAAAHPf/Z4=")</f>
        <v>#REF!</v>
      </c>
      <c r="FD521" t="e">
        <f>AND(#REF!,"AAAAAHPf/Z8=")</f>
        <v>#REF!</v>
      </c>
      <c r="FE521" t="e">
        <f>AND(#REF!,"AAAAAHPf/aA=")</f>
        <v>#REF!</v>
      </c>
      <c r="FF521" t="e">
        <f>AND(#REF!,"AAAAAHPf/aE=")</f>
        <v>#REF!</v>
      </c>
      <c r="FG521" t="e">
        <f>AND(#REF!,"AAAAAHPf/aI=")</f>
        <v>#REF!</v>
      </c>
      <c r="FH521" t="e">
        <f>AND(#REF!,"AAAAAHPf/aM=")</f>
        <v>#REF!</v>
      </c>
      <c r="FI521" t="e">
        <f>AND(#REF!,"AAAAAHPf/aQ=")</f>
        <v>#REF!</v>
      </c>
      <c r="FJ521" t="e">
        <f>IF(#REF!,"AAAAAHPf/aU=",0)</f>
        <v>#REF!</v>
      </c>
      <c r="FK521" t="e">
        <f>AND(#REF!,"AAAAAHPf/aY=")</f>
        <v>#REF!</v>
      </c>
      <c r="FL521" t="e">
        <f>AND(#REF!,"AAAAAHPf/ac=")</f>
        <v>#REF!</v>
      </c>
      <c r="FM521" t="e">
        <f>AND(#REF!,"AAAAAHPf/ag=")</f>
        <v>#REF!</v>
      </c>
      <c r="FN521" t="e">
        <f>AND(#REF!,"AAAAAHPf/ak=")</f>
        <v>#REF!</v>
      </c>
      <c r="FO521" t="e">
        <f>AND(#REF!,"AAAAAHPf/ao=")</f>
        <v>#REF!</v>
      </c>
      <c r="FP521" t="e">
        <f>AND(#REF!,"AAAAAHPf/as=")</f>
        <v>#REF!</v>
      </c>
      <c r="FQ521" t="e">
        <f>AND(#REF!,"AAAAAHPf/aw=")</f>
        <v>#REF!</v>
      </c>
      <c r="FR521" t="e">
        <f>AND(#REF!,"AAAAAHPf/a0=")</f>
        <v>#REF!</v>
      </c>
      <c r="FS521" t="e">
        <f>AND(#REF!,"AAAAAHPf/a4=")</f>
        <v>#REF!</v>
      </c>
      <c r="FT521" t="e">
        <f>AND(#REF!,"AAAAAHPf/a8=")</f>
        <v>#REF!</v>
      </c>
      <c r="FU521" t="e">
        <f>AND(#REF!,"AAAAAHPf/bA=")</f>
        <v>#REF!</v>
      </c>
      <c r="FV521" t="e">
        <f>AND(#REF!,"AAAAAHPf/bE=")</f>
        <v>#REF!</v>
      </c>
      <c r="FW521" t="e">
        <f>AND(#REF!,"AAAAAHPf/bI=")</f>
        <v>#REF!</v>
      </c>
      <c r="FX521" t="e">
        <f>AND(#REF!,"AAAAAHPf/bM=")</f>
        <v>#REF!</v>
      </c>
      <c r="FY521" t="e">
        <f>AND(#REF!,"AAAAAHPf/bQ=")</f>
        <v>#REF!</v>
      </c>
      <c r="FZ521" t="e">
        <f>AND(#REF!,"AAAAAHPf/bU=")</f>
        <v>#REF!</v>
      </c>
      <c r="GA521" t="e">
        <f>AND(#REF!,"AAAAAHPf/bY=")</f>
        <v>#REF!</v>
      </c>
      <c r="GB521" t="e">
        <f>AND(#REF!,"AAAAAHPf/bc=")</f>
        <v>#REF!</v>
      </c>
      <c r="GC521" t="e">
        <f>AND(#REF!,"AAAAAHPf/bg=")</f>
        <v>#REF!</v>
      </c>
      <c r="GD521" t="e">
        <f>AND(#REF!,"AAAAAHPf/bk=")</f>
        <v>#REF!</v>
      </c>
      <c r="GE521" t="e">
        <f>AND(#REF!,"AAAAAHPf/bo=")</f>
        <v>#REF!</v>
      </c>
      <c r="GF521" t="e">
        <f>AND(#REF!,"AAAAAHPf/bs=")</f>
        <v>#REF!</v>
      </c>
      <c r="GG521" t="e">
        <f>AND(#REF!,"AAAAAHPf/bw=")</f>
        <v>#REF!</v>
      </c>
      <c r="GH521" t="e">
        <f>AND(#REF!,"AAAAAHPf/b0=")</f>
        <v>#REF!</v>
      </c>
      <c r="GI521" t="e">
        <f>IF(#REF!,"AAAAAHPf/b4=",0)</f>
        <v>#REF!</v>
      </c>
      <c r="GJ521" t="e">
        <f>AND(#REF!,"AAAAAHPf/b8=")</f>
        <v>#REF!</v>
      </c>
      <c r="GK521" t="e">
        <f>AND(#REF!,"AAAAAHPf/cA=")</f>
        <v>#REF!</v>
      </c>
      <c r="GL521" t="e">
        <f>AND(#REF!,"AAAAAHPf/cE=")</f>
        <v>#REF!</v>
      </c>
      <c r="GM521" t="e">
        <f>AND(#REF!,"AAAAAHPf/cI=")</f>
        <v>#REF!</v>
      </c>
      <c r="GN521" t="e">
        <f>AND(#REF!,"AAAAAHPf/cM=")</f>
        <v>#REF!</v>
      </c>
      <c r="GO521" t="e">
        <f>AND(#REF!,"AAAAAHPf/cQ=")</f>
        <v>#REF!</v>
      </c>
      <c r="GP521" t="e">
        <f>AND(#REF!,"AAAAAHPf/cU=")</f>
        <v>#REF!</v>
      </c>
      <c r="GQ521" t="e">
        <f>AND(#REF!,"AAAAAHPf/cY=")</f>
        <v>#REF!</v>
      </c>
      <c r="GR521" t="e">
        <f>AND(#REF!,"AAAAAHPf/cc=")</f>
        <v>#REF!</v>
      </c>
      <c r="GS521" t="e">
        <f>AND(#REF!,"AAAAAHPf/cg=")</f>
        <v>#REF!</v>
      </c>
      <c r="GT521" t="e">
        <f>AND(#REF!,"AAAAAHPf/ck=")</f>
        <v>#REF!</v>
      </c>
      <c r="GU521" t="e">
        <f>AND(#REF!,"AAAAAHPf/co=")</f>
        <v>#REF!</v>
      </c>
      <c r="GV521" t="e">
        <f>AND(#REF!,"AAAAAHPf/cs=")</f>
        <v>#REF!</v>
      </c>
      <c r="GW521" t="e">
        <f>AND(#REF!,"AAAAAHPf/cw=")</f>
        <v>#REF!</v>
      </c>
      <c r="GX521" t="e">
        <f>AND(#REF!,"AAAAAHPf/c0=")</f>
        <v>#REF!</v>
      </c>
      <c r="GY521" t="e">
        <f>AND(#REF!,"AAAAAHPf/c4=")</f>
        <v>#REF!</v>
      </c>
      <c r="GZ521" t="e">
        <f>AND(#REF!,"AAAAAHPf/c8=")</f>
        <v>#REF!</v>
      </c>
      <c r="HA521" t="e">
        <f>AND(#REF!,"AAAAAHPf/dA=")</f>
        <v>#REF!</v>
      </c>
      <c r="HB521" t="e">
        <f>AND(#REF!,"AAAAAHPf/dE=")</f>
        <v>#REF!</v>
      </c>
      <c r="HC521" t="e">
        <f>AND(#REF!,"AAAAAHPf/dI=")</f>
        <v>#REF!</v>
      </c>
      <c r="HD521" t="e">
        <f>AND(#REF!,"AAAAAHPf/dM=")</f>
        <v>#REF!</v>
      </c>
      <c r="HE521" t="e">
        <f>AND(#REF!,"AAAAAHPf/dQ=")</f>
        <v>#REF!</v>
      </c>
      <c r="HF521" t="e">
        <f>AND(#REF!,"AAAAAHPf/dU=")</f>
        <v>#REF!</v>
      </c>
      <c r="HG521" t="e">
        <f>AND(#REF!,"AAAAAHPf/dY=")</f>
        <v>#REF!</v>
      </c>
      <c r="HH521" t="e">
        <f>IF(#REF!,"AAAAAHPf/dc=",0)</f>
        <v>#REF!</v>
      </c>
      <c r="HI521" t="e">
        <f>AND(#REF!,"AAAAAHPf/dg=")</f>
        <v>#REF!</v>
      </c>
      <c r="HJ521" t="e">
        <f>AND(#REF!,"AAAAAHPf/dk=")</f>
        <v>#REF!</v>
      </c>
      <c r="HK521" t="e">
        <f>AND(#REF!,"AAAAAHPf/do=")</f>
        <v>#REF!</v>
      </c>
      <c r="HL521" t="e">
        <f>AND(#REF!,"AAAAAHPf/ds=")</f>
        <v>#REF!</v>
      </c>
      <c r="HM521" t="e">
        <f>AND(#REF!,"AAAAAHPf/dw=")</f>
        <v>#REF!</v>
      </c>
      <c r="HN521" t="e">
        <f>AND(#REF!,"AAAAAHPf/d0=")</f>
        <v>#REF!</v>
      </c>
      <c r="HO521" t="e">
        <f>AND(#REF!,"AAAAAHPf/d4=")</f>
        <v>#REF!</v>
      </c>
      <c r="HP521" t="e">
        <f>AND(#REF!,"AAAAAHPf/d8=")</f>
        <v>#REF!</v>
      </c>
      <c r="HQ521" t="e">
        <f>AND(#REF!,"AAAAAHPf/eA=")</f>
        <v>#REF!</v>
      </c>
      <c r="HR521" t="e">
        <f>AND(#REF!,"AAAAAHPf/eE=")</f>
        <v>#REF!</v>
      </c>
      <c r="HS521" t="e">
        <f>AND(#REF!,"AAAAAHPf/eI=")</f>
        <v>#REF!</v>
      </c>
      <c r="HT521" t="e">
        <f>AND(#REF!,"AAAAAHPf/eM=")</f>
        <v>#REF!</v>
      </c>
      <c r="HU521" t="e">
        <f>AND(#REF!,"AAAAAHPf/eQ=")</f>
        <v>#REF!</v>
      </c>
      <c r="HV521" t="e">
        <f>AND(#REF!,"AAAAAHPf/eU=")</f>
        <v>#REF!</v>
      </c>
      <c r="HW521" t="e">
        <f>AND(#REF!,"AAAAAHPf/eY=")</f>
        <v>#REF!</v>
      </c>
      <c r="HX521" t="e">
        <f>AND(#REF!,"AAAAAHPf/ec=")</f>
        <v>#REF!</v>
      </c>
      <c r="HY521" t="e">
        <f>AND(#REF!,"AAAAAHPf/eg=")</f>
        <v>#REF!</v>
      </c>
      <c r="HZ521" t="e">
        <f>AND(#REF!,"AAAAAHPf/ek=")</f>
        <v>#REF!</v>
      </c>
      <c r="IA521" t="e">
        <f>AND(#REF!,"AAAAAHPf/eo=")</f>
        <v>#REF!</v>
      </c>
      <c r="IB521" t="e">
        <f>AND(#REF!,"AAAAAHPf/es=")</f>
        <v>#REF!</v>
      </c>
      <c r="IC521" t="e">
        <f>AND(#REF!,"AAAAAHPf/ew=")</f>
        <v>#REF!</v>
      </c>
      <c r="ID521" t="e">
        <f>AND(#REF!,"AAAAAHPf/e0=")</f>
        <v>#REF!</v>
      </c>
      <c r="IE521" t="e">
        <f>AND(#REF!,"AAAAAHPf/e4=")</f>
        <v>#REF!</v>
      </c>
      <c r="IF521" t="e">
        <f>AND(#REF!,"AAAAAHPf/e8=")</f>
        <v>#REF!</v>
      </c>
      <c r="IG521" t="e">
        <f>IF(#REF!,"AAAAAHPf/fA=",0)</f>
        <v>#REF!</v>
      </c>
      <c r="IH521" t="e">
        <f>AND(#REF!,"AAAAAHPf/fE=")</f>
        <v>#REF!</v>
      </c>
      <c r="II521" t="e">
        <f>AND(#REF!,"AAAAAHPf/fI=")</f>
        <v>#REF!</v>
      </c>
      <c r="IJ521" t="e">
        <f>AND(#REF!,"AAAAAHPf/fM=")</f>
        <v>#REF!</v>
      </c>
      <c r="IK521" t="e">
        <f>AND(#REF!,"AAAAAHPf/fQ=")</f>
        <v>#REF!</v>
      </c>
      <c r="IL521" t="e">
        <f>AND(#REF!,"AAAAAHPf/fU=")</f>
        <v>#REF!</v>
      </c>
      <c r="IM521" t="e">
        <f>AND(#REF!,"AAAAAHPf/fY=")</f>
        <v>#REF!</v>
      </c>
      <c r="IN521" t="e">
        <f>AND(#REF!,"AAAAAHPf/fc=")</f>
        <v>#REF!</v>
      </c>
      <c r="IO521" t="e">
        <f>AND(#REF!,"AAAAAHPf/fg=")</f>
        <v>#REF!</v>
      </c>
      <c r="IP521" t="e">
        <f>AND(#REF!,"AAAAAHPf/fk=")</f>
        <v>#REF!</v>
      </c>
      <c r="IQ521" t="e">
        <f>AND(#REF!,"AAAAAHPf/fo=")</f>
        <v>#REF!</v>
      </c>
      <c r="IR521" t="e">
        <f>AND(#REF!,"AAAAAHPf/fs=")</f>
        <v>#REF!</v>
      </c>
      <c r="IS521" t="e">
        <f>AND(#REF!,"AAAAAHPf/fw=")</f>
        <v>#REF!</v>
      </c>
      <c r="IT521" t="e">
        <f>AND(#REF!,"AAAAAHPf/f0=")</f>
        <v>#REF!</v>
      </c>
      <c r="IU521" t="e">
        <f>AND(#REF!,"AAAAAHPf/f4=")</f>
        <v>#REF!</v>
      </c>
      <c r="IV521" t="e">
        <f>AND(#REF!,"AAAAAHPf/f8=")</f>
        <v>#REF!</v>
      </c>
    </row>
    <row r="522" spans="1:256">
      <c r="A522" t="e">
        <f>AND(#REF!,"AAAAAD4f+wA=")</f>
        <v>#REF!</v>
      </c>
      <c r="B522" t="e">
        <f>AND(#REF!,"AAAAAD4f+wE=")</f>
        <v>#REF!</v>
      </c>
      <c r="C522" t="e">
        <f>AND(#REF!,"AAAAAD4f+wI=")</f>
        <v>#REF!</v>
      </c>
      <c r="D522" t="e">
        <f>AND(#REF!,"AAAAAD4f+wM=")</f>
        <v>#REF!</v>
      </c>
      <c r="E522" t="e">
        <f>AND(#REF!,"AAAAAD4f+wQ=")</f>
        <v>#REF!</v>
      </c>
      <c r="F522" t="e">
        <f>AND(#REF!,"AAAAAD4f+wU=")</f>
        <v>#REF!</v>
      </c>
      <c r="G522" t="e">
        <f>AND(#REF!,"AAAAAD4f+wY=")</f>
        <v>#REF!</v>
      </c>
      <c r="H522" t="e">
        <f>AND(#REF!,"AAAAAD4f+wc=")</f>
        <v>#REF!</v>
      </c>
      <c r="I522" t="e">
        <f>AND(#REF!,"AAAAAD4f+wg=")</f>
        <v>#REF!</v>
      </c>
      <c r="J522" t="e">
        <f>IF(#REF!,"AAAAAD4f+wk=",0)</f>
        <v>#REF!</v>
      </c>
      <c r="K522" t="e">
        <f>AND(#REF!,"AAAAAD4f+wo=")</f>
        <v>#REF!</v>
      </c>
      <c r="L522" t="e">
        <f>AND(#REF!,"AAAAAD4f+ws=")</f>
        <v>#REF!</v>
      </c>
      <c r="M522" t="e">
        <f>AND(#REF!,"AAAAAD4f+ww=")</f>
        <v>#REF!</v>
      </c>
      <c r="N522" t="e">
        <f>AND(#REF!,"AAAAAD4f+w0=")</f>
        <v>#REF!</v>
      </c>
      <c r="O522" t="e">
        <f>AND(#REF!,"AAAAAD4f+w4=")</f>
        <v>#REF!</v>
      </c>
      <c r="P522" t="e">
        <f>AND(#REF!,"AAAAAD4f+w8=")</f>
        <v>#REF!</v>
      </c>
      <c r="Q522" t="e">
        <f>AND(#REF!,"AAAAAD4f+xA=")</f>
        <v>#REF!</v>
      </c>
      <c r="R522" t="e">
        <f>AND(#REF!,"AAAAAD4f+xE=")</f>
        <v>#REF!</v>
      </c>
      <c r="S522" t="e">
        <f>AND(#REF!,"AAAAAD4f+xI=")</f>
        <v>#REF!</v>
      </c>
      <c r="T522" t="e">
        <f>AND(#REF!,"AAAAAD4f+xM=")</f>
        <v>#REF!</v>
      </c>
      <c r="U522" t="e">
        <f>AND(#REF!,"AAAAAD4f+xQ=")</f>
        <v>#REF!</v>
      </c>
      <c r="V522" t="e">
        <f>AND(#REF!,"AAAAAD4f+xU=")</f>
        <v>#REF!</v>
      </c>
      <c r="W522" t="e">
        <f>AND(#REF!,"AAAAAD4f+xY=")</f>
        <v>#REF!</v>
      </c>
      <c r="X522" t="e">
        <f>AND(#REF!,"AAAAAD4f+xc=")</f>
        <v>#REF!</v>
      </c>
      <c r="Y522" t="e">
        <f>AND(#REF!,"AAAAAD4f+xg=")</f>
        <v>#REF!</v>
      </c>
      <c r="Z522" t="e">
        <f>AND(#REF!,"AAAAAD4f+xk=")</f>
        <v>#REF!</v>
      </c>
      <c r="AA522" t="e">
        <f>AND(#REF!,"AAAAAD4f+xo=")</f>
        <v>#REF!</v>
      </c>
      <c r="AB522" t="e">
        <f>AND(#REF!,"AAAAAD4f+xs=")</f>
        <v>#REF!</v>
      </c>
      <c r="AC522" t="e">
        <f>AND(#REF!,"AAAAAD4f+xw=")</f>
        <v>#REF!</v>
      </c>
      <c r="AD522" t="e">
        <f>AND(#REF!,"AAAAAD4f+x0=")</f>
        <v>#REF!</v>
      </c>
      <c r="AE522" t="e">
        <f>AND(#REF!,"AAAAAD4f+x4=")</f>
        <v>#REF!</v>
      </c>
      <c r="AF522" t="e">
        <f>AND(#REF!,"AAAAAD4f+x8=")</f>
        <v>#REF!</v>
      </c>
      <c r="AG522" t="e">
        <f>AND(#REF!,"AAAAAD4f+yA=")</f>
        <v>#REF!</v>
      </c>
      <c r="AH522" t="e">
        <f>AND(#REF!,"AAAAAD4f+yE=")</f>
        <v>#REF!</v>
      </c>
      <c r="AI522" t="e">
        <f>IF(#REF!,"AAAAAD4f+yI=",0)</f>
        <v>#REF!</v>
      </c>
      <c r="AJ522" t="e">
        <f>AND(#REF!,"AAAAAD4f+yM=")</f>
        <v>#REF!</v>
      </c>
      <c r="AK522" t="e">
        <f>AND(#REF!,"AAAAAD4f+yQ=")</f>
        <v>#REF!</v>
      </c>
      <c r="AL522" t="e">
        <f>AND(#REF!,"AAAAAD4f+yU=")</f>
        <v>#REF!</v>
      </c>
      <c r="AM522" t="e">
        <f>AND(#REF!,"AAAAAD4f+yY=")</f>
        <v>#REF!</v>
      </c>
      <c r="AN522" t="e">
        <f>AND(#REF!,"AAAAAD4f+yc=")</f>
        <v>#REF!</v>
      </c>
      <c r="AO522" t="e">
        <f>AND(#REF!,"AAAAAD4f+yg=")</f>
        <v>#REF!</v>
      </c>
      <c r="AP522" t="e">
        <f>AND(#REF!,"AAAAAD4f+yk=")</f>
        <v>#REF!</v>
      </c>
      <c r="AQ522" t="e">
        <f>AND(#REF!,"AAAAAD4f+yo=")</f>
        <v>#REF!</v>
      </c>
      <c r="AR522" t="e">
        <f>AND(#REF!,"AAAAAD4f+ys=")</f>
        <v>#REF!</v>
      </c>
      <c r="AS522" t="e">
        <f>AND(#REF!,"AAAAAD4f+yw=")</f>
        <v>#REF!</v>
      </c>
      <c r="AT522" t="e">
        <f>AND(#REF!,"AAAAAD4f+y0=")</f>
        <v>#REF!</v>
      </c>
      <c r="AU522" t="e">
        <f>AND(#REF!,"AAAAAD4f+y4=")</f>
        <v>#REF!</v>
      </c>
      <c r="AV522" t="e">
        <f>AND(#REF!,"AAAAAD4f+y8=")</f>
        <v>#REF!</v>
      </c>
      <c r="AW522" t="e">
        <f>AND(#REF!,"AAAAAD4f+zA=")</f>
        <v>#REF!</v>
      </c>
      <c r="AX522" t="e">
        <f>AND(#REF!,"AAAAAD4f+zE=")</f>
        <v>#REF!</v>
      </c>
      <c r="AY522" t="e">
        <f>AND(#REF!,"AAAAAD4f+zI=")</f>
        <v>#REF!</v>
      </c>
      <c r="AZ522" t="e">
        <f>AND(#REF!,"AAAAAD4f+zM=")</f>
        <v>#REF!</v>
      </c>
      <c r="BA522" t="e">
        <f>AND(#REF!,"AAAAAD4f+zQ=")</f>
        <v>#REF!</v>
      </c>
      <c r="BB522" t="e">
        <f>AND(#REF!,"AAAAAD4f+zU=")</f>
        <v>#REF!</v>
      </c>
      <c r="BC522" t="e">
        <f>AND(#REF!,"AAAAAD4f+zY=")</f>
        <v>#REF!</v>
      </c>
      <c r="BD522" t="e">
        <f>AND(#REF!,"AAAAAD4f+zc=")</f>
        <v>#REF!</v>
      </c>
      <c r="BE522" t="e">
        <f>AND(#REF!,"AAAAAD4f+zg=")</f>
        <v>#REF!</v>
      </c>
      <c r="BF522" t="e">
        <f>AND(#REF!,"AAAAAD4f+zk=")</f>
        <v>#REF!</v>
      </c>
      <c r="BG522" t="e">
        <f>AND(#REF!,"AAAAAD4f+zo=")</f>
        <v>#REF!</v>
      </c>
      <c r="BH522" t="e">
        <f>IF(#REF!,"AAAAAD4f+zs=",0)</f>
        <v>#REF!</v>
      </c>
      <c r="BI522" t="e">
        <f>AND(#REF!,"AAAAAD4f+zw=")</f>
        <v>#REF!</v>
      </c>
      <c r="BJ522" t="e">
        <f>AND(#REF!,"AAAAAD4f+z0=")</f>
        <v>#REF!</v>
      </c>
      <c r="BK522" t="e">
        <f>AND(#REF!,"AAAAAD4f+z4=")</f>
        <v>#REF!</v>
      </c>
      <c r="BL522" t="e">
        <f>AND(#REF!,"AAAAAD4f+z8=")</f>
        <v>#REF!</v>
      </c>
      <c r="BM522" t="e">
        <f>AND(#REF!,"AAAAAD4f+0A=")</f>
        <v>#REF!</v>
      </c>
      <c r="BN522" t="e">
        <f>AND(#REF!,"AAAAAD4f+0E=")</f>
        <v>#REF!</v>
      </c>
      <c r="BO522" t="e">
        <f>AND(#REF!,"AAAAAD4f+0I=")</f>
        <v>#REF!</v>
      </c>
      <c r="BP522" t="e">
        <f>AND(#REF!,"AAAAAD4f+0M=")</f>
        <v>#REF!</v>
      </c>
      <c r="BQ522" t="e">
        <f>AND(#REF!,"AAAAAD4f+0Q=")</f>
        <v>#REF!</v>
      </c>
      <c r="BR522" t="e">
        <f>AND(#REF!,"AAAAAD4f+0U=")</f>
        <v>#REF!</v>
      </c>
      <c r="BS522" t="e">
        <f>AND(#REF!,"AAAAAD4f+0Y=")</f>
        <v>#REF!</v>
      </c>
      <c r="BT522" t="e">
        <f>AND(#REF!,"AAAAAD4f+0c=")</f>
        <v>#REF!</v>
      </c>
      <c r="BU522" t="e">
        <f>AND(#REF!,"AAAAAD4f+0g=")</f>
        <v>#REF!</v>
      </c>
      <c r="BV522" t="e">
        <f>AND(#REF!,"AAAAAD4f+0k=")</f>
        <v>#REF!</v>
      </c>
      <c r="BW522" t="e">
        <f>AND(#REF!,"AAAAAD4f+0o=")</f>
        <v>#REF!</v>
      </c>
      <c r="BX522" t="e">
        <f>AND(#REF!,"AAAAAD4f+0s=")</f>
        <v>#REF!</v>
      </c>
      <c r="BY522" t="e">
        <f>AND(#REF!,"AAAAAD4f+0w=")</f>
        <v>#REF!</v>
      </c>
      <c r="BZ522" t="e">
        <f>AND(#REF!,"AAAAAD4f+00=")</f>
        <v>#REF!</v>
      </c>
      <c r="CA522" t="e">
        <f>AND(#REF!,"AAAAAD4f+04=")</f>
        <v>#REF!</v>
      </c>
      <c r="CB522" t="e">
        <f>AND(#REF!,"AAAAAD4f+08=")</f>
        <v>#REF!</v>
      </c>
      <c r="CC522" t="e">
        <f>AND(#REF!,"AAAAAD4f+1A=")</f>
        <v>#REF!</v>
      </c>
      <c r="CD522" t="e">
        <f>AND(#REF!,"AAAAAD4f+1E=")</f>
        <v>#REF!</v>
      </c>
      <c r="CE522" t="e">
        <f>AND(#REF!,"AAAAAD4f+1I=")</f>
        <v>#REF!</v>
      </c>
      <c r="CF522" t="e">
        <f>AND(#REF!,"AAAAAD4f+1M=")</f>
        <v>#REF!</v>
      </c>
      <c r="CG522" t="e">
        <f>IF(#REF!,"AAAAAD4f+1Q=",0)</f>
        <v>#REF!</v>
      </c>
      <c r="CH522" t="e">
        <f>AND(#REF!,"AAAAAD4f+1U=")</f>
        <v>#REF!</v>
      </c>
      <c r="CI522" t="e">
        <f>AND(#REF!,"AAAAAD4f+1Y=")</f>
        <v>#REF!</v>
      </c>
      <c r="CJ522" t="e">
        <f>AND(#REF!,"AAAAAD4f+1c=")</f>
        <v>#REF!</v>
      </c>
      <c r="CK522" t="e">
        <f>AND(#REF!,"AAAAAD4f+1g=")</f>
        <v>#REF!</v>
      </c>
      <c r="CL522" t="e">
        <f>AND(#REF!,"AAAAAD4f+1k=")</f>
        <v>#REF!</v>
      </c>
      <c r="CM522" t="e">
        <f>AND(#REF!,"AAAAAD4f+1o=")</f>
        <v>#REF!</v>
      </c>
      <c r="CN522" t="e">
        <f>AND(#REF!,"AAAAAD4f+1s=")</f>
        <v>#REF!</v>
      </c>
      <c r="CO522" t="e">
        <f>AND(#REF!,"AAAAAD4f+1w=")</f>
        <v>#REF!</v>
      </c>
      <c r="CP522" t="e">
        <f>AND(#REF!,"AAAAAD4f+10=")</f>
        <v>#REF!</v>
      </c>
      <c r="CQ522" t="e">
        <f>AND(#REF!,"AAAAAD4f+14=")</f>
        <v>#REF!</v>
      </c>
      <c r="CR522" t="e">
        <f>AND(#REF!,"AAAAAD4f+18=")</f>
        <v>#REF!</v>
      </c>
      <c r="CS522" t="e">
        <f>AND(#REF!,"AAAAAD4f+2A=")</f>
        <v>#REF!</v>
      </c>
      <c r="CT522" t="e">
        <f>AND(#REF!,"AAAAAD4f+2E=")</f>
        <v>#REF!</v>
      </c>
      <c r="CU522" t="e">
        <f>AND(#REF!,"AAAAAD4f+2I=")</f>
        <v>#REF!</v>
      </c>
      <c r="CV522" t="e">
        <f>AND(#REF!,"AAAAAD4f+2M=")</f>
        <v>#REF!</v>
      </c>
      <c r="CW522" t="e">
        <f>AND(#REF!,"AAAAAD4f+2Q=")</f>
        <v>#REF!</v>
      </c>
      <c r="CX522" t="e">
        <f>AND(#REF!,"AAAAAD4f+2U=")</f>
        <v>#REF!</v>
      </c>
      <c r="CY522" t="e">
        <f>AND(#REF!,"AAAAAD4f+2Y=")</f>
        <v>#REF!</v>
      </c>
      <c r="CZ522" t="e">
        <f>AND(#REF!,"AAAAAD4f+2c=")</f>
        <v>#REF!</v>
      </c>
      <c r="DA522" t="e">
        <f>AND(#REF!,"AAAAAD4f+2g=")</f>
        <v>#REF!</v>
      </c>
      <c r="DB522" t="e">
        <f>AND(#REF!,"AAAAAD4f+2k=")</f>
        <v>#REF!</v>
      </c>
      <c r="DC522" t="e">
        <f>AND(#REF!,"AAAAAD4f+2o=")</f>
        <v>#REF!</v>
      </c>
      <c r="DD522" t="e">
        <f>AND(#REF!,"AAAAAD4f+2s=")</f>
        <v>#REF!</v>
      </c>
      <c r="DE522" t="e">
        <f>AND(#REF!,"AAAAAD4f+2w=")</f>
        <v>#REF!</v>
      </c>
      <c r="DF522" t="e">
        <f>IF(#REF!,"AAAAAD4f+20=",0)</f>
        <v>#REF!</v>
      </c>
      <c r="DG522" t="e">
        <f>AND(#REF!,"AAAAAD4f+24=")</f>
        <v>#REF!</v>
      </c>
      <c r="DH522" t="e">
        <f>AND(#REF!,"AAAAAD4f+28=")</f>
        <v>#REF!</v>
      </c>
      <c r="DI522" t="e">
        <f>AND(#REF!,"AAAAAD4f+3A=")</f>
        <v>#REF!</v>
      </c>
      <c r="DJ522" t="e">
        <f>AND(#REF!,"AAAAAD4f+3E=")</f>
        <v>#REF!</v>
      </c>
      <c r="DK522" t="e">
        <f>AND(#REF!,"AAAAAD4f+3I=")</f>
        <v>#REF!</v>
      </c>
      <c r="DL522" t="e">
        <f>AND(#REF!,"AAAAAD4f+3M=")</f>
        <v>#REF!</v>
      </c>
      <c r="DM522" t="e">
        <f>AND(#REF!,"AAAAAD4f+3Q=")</f>
        <v>#REF!</v>
      </c>
      <c r="DN522" t="e">
        <f>AND(#REF!,"AAAAAD4f+3U=")</f>
        <v>#REF!</v>
      </c>
      <c r="DO522" t="e">
        <f>AND(#REF!,"AAAAAD4f+3Y=")</f>
        <v>#REF!</v>
      </c>
      <c r="DP522" t="e">
        <f>AND(#REF!,"AAAAAD4f+3c=")</f>
        <v>#REF!</v>
      </c>
      <c r="DQ522" t="e">
        <f>AND(#REF!,"AAAAAD4f+3g=")</f>
        <v>#REF!</v>
      </c>
      <c r="DR522" t="e">
        <f>AND(#REF!,"AAAAAD4f+3k=")</f>
        <v>#REF!</v>
      </c>
      <c r="DS522" t="e">
        <f>AND(#REF!,"AAAAAD4f+3o=")</f>
        <v>#REF!</v>
      </c>
      <c r="DT522" t="e">
        <f>AND(#REF!,"AAAAAD4f+3s=")</f>
        <v>#REF!</v>
      </c>
      <c r="DU522" t="e">
        <f>AND(#REF!,"AAAAAD4f+3w=")</f>
        <v>#REF!</v>
      </c>
      <c r="DV522" t="e">
        <f>AND(#REF!,"AAAAAD4f+30=")</f>
        <v>#REF!</v>
      </c>
      <c r="DW522" t="e">
        <f>AND(#REF!,"AAAAAD4f+34=")</f>
        <v>#REF!</v>
      </c>
      <c r="DX522" t="e">
        <f>AND(#REF!,"AAAAAD4f+38=")</f>
        <v>#REF!</v>
      </c>
      <c r="DY522" t="e">
        <f>AND(#REF!,"AAAAAD4f+4A=")</f>
        <v>#REF!</v>
      </c>
      <c r="DZ522" t="e">
        <f>AND(#REF!,"AAAAAD4f+4E=")</f>
        <v>#REF!</v>
      </c>
      <c r="EA522" t="e">
        <f>AND(#REF!,"AAAAAD4f+4I=")</f>
        <v>#REF!</v>
      </c>
      <c r="EB522" t="e">
        <f>AND(#REF!,"AAAAAD4f+4M=")</f>
        <v>#REF!</v>
      </c>
      <c r="EC522" t="e">
        <f>AND(#REF!,"AAAAAD4f+4Q=")</f>
        <v>#REF!</v>
      </c>
      <c r="ED522" t="e">
        <f>AND(#REF!,"AAAAAD4f+4U=")</f>
        <v>#REF!</v>
      </c>
      <c r="EE522" t="e">
        <f>IF(#REF!,"AAAAAD4f+4Y=",0)</f>
        <v>#REF!</v>
      </c>
      <c r="EF522" t="e">
        <f>AND(#REF!,"AAAAAD4f+4c=")</f>
        <v>#REF!</v>
      </c>
      <c r="EG522" t="e">
        <f>AND(#REF!,"AAAAAD4f+4g=")</f>
        <v>#REF!</v>
      </c>
      <c r="EH522" t="e">
        <f>AND(#REF!,"AAAAAD4f+4k=")</f>
        <v>#REF!</v>
      </c>
      <c r="EI522" t="e">
        <f>AND(#REF!,"AAAAAD4f+4o=")</f>
        <v>#REF!</v>
      </c>
      <c r="EJ522" t="e">
        <f>AND(#REF!,"AAAAAD4f+4s=")</f>
        <v>#REF!</v>
      </c>
      <c r="EK522" t="e">
        <f>AND(#REF!,"AAAAAD4f+4w=")</f>
        <v>#REF!</v>
      </c>
      <c r="EL522" t="e">
        <f>AND(#REF!,"AAAAAD4f+40=")</f>
        <v>#REF!</v>
      </c>
      <c r="EM522" t="e">
        <f>AND(#REF!,"AAAAAD4f+44=")</f>
        <v>#REF!</v>
      </c>
      <c r="EN522" t="e">
        <f>AND(#REF!,"AAAAAD4f+48=")</f>
        <v>#REF!</v>
      </c>
      <c r="EO522" t="e">
        <f>AND(#REF!,"AAAAAD4f+5A=")</f>
        <v>#REF!</v>
      </c>
      <c r="EP522" t="e">
        <f>AND(#REF!,"AAAAAD4f+5E=")</f>
        <v>#REF!</v>
      </c>
      <c r="EQ522" t="e">
        <f>AND(#REF!,"AAAAAD4f+5I=")</f>
        <v>#REF!</v>
      </c>
      <c r="ER522" t="e">
        <f>AND(#REF!,"AAAAAD4f+5M=")</f>
        <v>#REF!</v>
      </c>
      <c r="ES522" t="e">
        <f>AND(#REF!,"AAAAAD4f+5Q=")</f>
        <v>#REF!</v>
      </c>
      <c r="ET522" t="e">
        <f>AND(#REF!,"AAAAAD4f+5U=")</f>
        <v>#REF!</v>
      </c>
      <c r="EU522" t="e">
        <f>AND(#REF!,"AAAAAD4f+5Y=")</f>
        <v>#REF!</v>
      </c>
      <c r="EV522" t="e">
        <f>AND(#REF!,"AAAAAD4f+5c=")</f>
        <v>#REF!</v>
      </c>
      <c r="EW522" t="e">
        <f>AND(#REF!,"AAAAAD4f+5g=")</f>
        <v>#REF!</v>
      </c>
      <c r="EX522" t="e">
        <f>AND(#REF!,"AAAAAD4f+5k=")</f>
        <v>#REF!</v>
      </c>
      <c r="EY522" t="e">
        <f>AND(#REF!,"AAAAAD4f+5o=")</f>
        <v>#REF!</v>
      </c>
      <c r="EZ522" t="e">
        <f>AND(#REF!,"AAAAAD4f+5s=")</f>
        <v>#REF!</v>
      </c>
      <c r="FA522" t="e">
        <f>AND(#REF!,"AAAAAD4f+5w=")</f>
        <v>#REF!</v>
      </c>
      <c r="FB522" t="e">
        <f>AND(#REF!,"AAAAAD4f+50=")</f>
        <v>#REF!</v>
      </c>
      <c r="FC522" t="e">
        <f>AND(#REF!,"AAAAAD4f+54=")</f>
        <v>#REF!</v>
      </c>
      <c r="FD522" t="e">
        <f>IF(#REF!,"AAAAAD4f+58=",0)</f>
        <v>#REF!</v>
      </c>
      <c r="FE522" t="e">
        <f>AND(#REF!,"AAAAAD4f+6A=")</f>
        <v>#REF!</v>
      </c>
      <c r="FF522" t="e">
        <f>AND(#REF!,"AAAAAD4f+6E=")</f>
        <v>#REF!</v>
      </c>
      <c r="FG522" t="e">
        <f>AND(#REF!,"AAAAAD4f+6I=")</f>
        <v>#REF!</v>
      </c>
      <c r="FH522" t="e">
        <f>AND(#REF!,"AAAAAD4f+6M=")</f>
        <v>#REF!</v>
      </c>
      <c r="FI522" t="e">
        <f>AND(#REF!,"AAAAAD4f+6Q=")</f>
        <v>#REF!</v>
      </c>
      <c r="FJ522" t="e">
        <f>AND(#REF!,"AAAAAD4f+6U=")</f>
        <v>#REF!</v>
      </c>
      <c r="FK522" t="e">
        <f>AND(#REF!,"AAAAAD4f+6Y=")</f>
        <v>#REF!</v>
      </c>
      <c r="FL522" t="e">
        <f>AND(#REF!,"AAAAAD4f+6c=")</f>
        <v>#REF!</v>
      </c>
      <c r="FM522" t="e">
        <f>AND(#REF!,"AAAAAD4f+6g=")</f>
        <v>#REF!</v>
      </c>
      <c r="FN522" t="e">
        <f>AND(#REF!,"AAAAAD4f+6k=")</f>
        <v>#REF!</v>
      </c>
      <c r="FO522" t="e">
        <f>AND(#REF!,"AAAAAD4f+6o=")</f>
        <v>#REF!</v>
      </c>
      <c r="FP522" t="e">
        <f>AND(#REF!,"AAAAAD4f+6s=")</f>
        <v>#REF!</v>
      </c>
      <c r="FQ522" t="e">
        <f>AND(#REF!,"AAAAAD4f+6w=")</f>
        <v>#REF!</v>
      </c>
      <c r="FR522" t="e">
        <f>AND(#REF!,"AAAAAD4f+60=")</f>
        <v>#REF!</v>
      </c>
      <c r="FS522" t="e">
        <f>AND(#REF!,"AAAAAD4f+64=")</f>
        <v>#REF!</v>
      </c>
      <c r="FT522" t="e">
        <f>AND(#REF!,"AAAAAD4f+68=")</f>
        <v>#REF!</v>
      </c>
      <c r="FU522" t="e">
        <f>AND(#REF!,"AAAAAD4f+7A=")</f>
        <v>#REF!</v>
      </c>
      <c r="FV522" t="e">
        <f>AND(#REF!,"AAAAAD4f+7E=")</f>
        <v>#REF!</v>
      </c>
      <c r="FW522" t="e">
        <f>AND(#REF!,"AAAAAD4f+7I=")</f>
        <v>#REF!</v>
      </c>
      <c r="FX522" t="e">
        <f>AND(#REF!,"AAAAAD4f+7M=")</f>
        <v>#REF!</v>
      </c>
      <c r="FY522" t="e">
        <f>AND(#REF!,"AAAAAD4f+7Q=")</f>
        <v>#REF!</v>
      </c>
      <c r="FZ522" t="e">
        <f>AND(#REF!,"AAAAAD4f+7U=")</f>
        <v>#REF!</v>
      </c>
      <c r="GA522" t="e">
        <f>AND(#REF!,"AAAAAD4f+7Y=")</f>
        <v>#REF!</v>
      </c>
      <c r="GB522" t="e">
        <f>AND(#REF!,"AAAAAD4f+7c=")</f>
        <v>#REF!</v>
      </c>
      <c r="GC522" t="e">
        <f>IF(#REF!,"AAAAAD4f+7g=",0)</f>
        <v>#REF!</v>
      </c>
      <c r="GD522" t="e">
        <f>AND(#REF!,"AAAAAD4f+7k=")</f>
        <v>#REF!</v>
      </c>
      <c r="GE522" t="e">
        <f>AND(#REF!,"AAAAAD4f+7o=")</f>
        <v>#REF!</v>
      </c>
      <c r="GF522" t="e">
        <f>AND(#REF!,"AAAAAD4f+7s=")</f>
        <v>#REF!</v>
      </c>
      <c r="GG522" t="e">
        <f>AND(#REF!,"AAAAAD4f+7w=")</f>
        <v>#REF!</v>
      </c>
      <c r="GH522" t="e">
        <f>AND(#REF!,"AAAAAD4f+70=")</f>
        <v>#REF!</v>
      </c>
      <c r="GI522" t="e">
        <f>AND(#REF!,"AAAAAD4f+74=")</f>
        <v>#REF!</v>
      </c>
      <c r="GJ522" t="e">
        <f>AND(#REF!,"AAAAAD4f+78=")</f>
        <v>#REF!</v>
      </c>
      <c r="GK522" t="e">
        <f>AND(#REF!,"AAAAAD4f+8A=")</f>
        <v>#REF!</v>
      </c>
      <c r="GL522" t="e">
        <f>AND(#REF!,"AAAAAD4f+8E=")</f>
        <v>#REF!</v>
      </c>
      <c r="GM522" t="e">
        <f>AND(#REF!,"AAAAAD4f+8I=")</f>
        <v>#REF!</v>
      </c>
      <c r="GN522" t="e">
        <f>AND(#REF!,"AAAAAD4f+8M=")</f>
        <v>#REF!</v>
      </c>
      <c r="GO522" t="e">
        <f>AND(#REF!,"AAAAAD4f+8Q=")</f>
        <v>#REF!</v>
      </c>
      <c r="GP522" t="e">
        <f>AND(#REF!,"AAAAAD4f+8U=")</f>
        <v>#REF!</v>
      </c>
      <c r="GQ522" t="e">
        <f>AND(#REF!,"AAAAAD4f+8Y=")</f>
        <v>#REF!</v>
      </c>
      <c r="GR522" t="e">
        <f>AND(#REF!,"AAAAAD4f+8c=")</f>
        <v>#REF!</v>
      </c>
      <c r="GS522" t="e">
        <f>AND(#REF!,"AAAAAD4f+8g=")</f>
        <v>#REF!</v>
      </c>
      <c r="GT522" t="e">
        <f>AND(#REF!,"AAAAAD4f+8k=")</f>
        <v>#REF!</v>
      </c>
      <c r="GU522" t="e">
        <f>AND(#REF!,"AAAAAD4f+8o=")</f>
        <v>#REF!</v>
      </c>
      <c r="GV522" t="e">
        <f>AND(#REF!,"AAAAAD4f+8s=")</f>
        <v>#REF!</v>
      </c>
      <c r="GW522" t="e">
        <f>AND(#REF!,"AAAAAD4f+8w=")</f>
        <v>#REF!</v>
      </c>
      <c r="GX522" t="e">
        <f>AND(#REF!,"AAAAAD4f+80=")</f>
        <v>#REF!</v>
      </c>
      <c r="GY522" t="e">
        <f>AND(#REF!,"AAAAAD4f+84=")</f>
        <v>#REF!</v>
      </c>
      <c r="GZ522" t="e">
        <f>AND(#REF!,"AAAAAD4f+88=")</f>
        <v>#REF!</v>
      </c>
      <c r="HA522" t="e">
        <f>AND(#REF!,"AAAAAD4f+9A=")</f>
        <v>#REF!</v>
      </c>
      <c r="HB522" t="e">
        <f>IF(#REF!,"AAAAAD4f+9E=",0)</f>
        <v>#REF!</v>
      </c>
      <c r="HC522" t="e">
        <f>AND(#REF!,"AAAAAD4f+9I=")</f>
        <v>#REF!</v>
      </c>
      <c r="HD522" t="e">
        <f>AND(#REF!,"AAAAAD4f+9M=")</f>
        <v>#REF!</v>
      </c>
      <c r="HE522" t="e">
        <f>AND(#REF!,"AAAAAD4f+9Q=")</f>
        <v>#REF!</v>
      </c>
      <c r="HF522" t="e">
        <f>AND(#REF!,"AAAAAD4f+9U=")</f>
        <v>#REF!</v>
      </c>
      <c r="HG522" t="e">
        <f>AND(#REF!,"AAAAAD4f+9Y=")</f>
        <v>#REF!</v>
      </c>
      <c r="HH522" t="e">
        <f>AND(#REF!,"AAAAAD4f+9c=")</f>
        <v>#REF!</v>
      </c>
      <c r="HI522" t="e">
        <f>AND(#REF!,"AAAAAD4f+9g=")</f>
        <v>#REF!</v>
      </c>
      <c r="HJ522" t="e">
        <f>AND(#REF!,"AAAAAD4f+9k=")</f>
        <v>#REF!</v>
      </c>
      <c r="HK522" t="e">
        <f>AND(#REF!,"AAAAAD4f+9o=")</f>
        <v>#REF!</v>
      </c>
      <c r="HL522" t="e">
        <f>AND(#REF!,"AAAAAD4f+9s=")</f>
        <v>#REF!</v>
      </c>
      <c r="HM522" t="e">
        <f>AND(#REF!,"AAAAAD4f+9w=")</f>
        <v>#REF!</v>
      </c>
      <c r="HN522" t="e">
        <f>AND(#REF!,"AAAAAD4f+90=")</f>
        <v>#REF!</v>
      </c>
      <c r="HO522" t="e">
        <f>AND(#REF!,"AAAAAD4f+94=")</f>
        <v>#REF!</v>
      </c>
      <c r="HP522" t="e">
        <f>AND(#REF!,"AAAAAD4f+98=")</f>
        <v>#REF!</v>
      </c>
      <c r="HQ522" t="e">
        <f>AND(#REF!,"AAAAAD4f++A=")</f>
        <v>#REF!</v>
      </c>
      <c r="HR522" t="e">
        <f>AND(#REF!,"AAAAAD4f++E=")</f>
        <v>#REF!</v>
      </c>
      <c r="HS522" t="e">
        <f>AND(#REF!,"AAAAAD4f++I=")</f>
        <v>#REF!</v>
      </c>
      <c r="HT522" t="e">
        <f>AND(#REF!,"AAAAAD4f++M=")</f>
        <v>#REF!</v>
      </c>
      <c r="HU522" t="e">
        <f>AND(#REF!,"AAAAAD4f++Q=")</f>
        <v>#REF!</v>
      </c>
      <c r="HV522" t="e">
        <f>AND(#REF!,"AAAAAD4f++U=")</f>
        <v>#REF!</v>
      </c>
      <c r="HW522" t="e">
        <f>AND(#REF!,"AAAAAD4f++Y=")</f>
        <v>#REF!</v>
      </c>
      <c r="HX522" t="e">
        <f>AND(#REF!,"AAAAAD4f++c=")</f>
        <v>#REF!</v>
      </c>
      <c r="HY522" t="e">
        <f>AND(#REF!,"AAAAAD4f++g=")</f>
        <v>#REF!</v>
      </c>
      <c r="HZ522" t="e">
        <f>AND(#REF!,"AAAAAD4f++k=")</f>
        <v>#REF!</v>
      </c>
      <c r="IA522" t="e">
        <f>IF(#REF!,"AAAAAD4f++o=",0)</f>
        <v>#REF!</v>
      </c>
      <c r="IB522" t="e">
        <f>AND(#REF!,"AAAAAD4f++s=")</f>
        <v>#REF!</v>
      </c>
      <c r="IC522" t="e">
        <f>AND(#REF!,"AAAAAD4f++w=")</f>
        <v>#REF!</v>
      </c>
      <c r="ID522" t="e">
        <f>AND(#REF!,"AAAAAD4f++0=")</f>
        <v>#REF!</v>
      </c>
      <c r="IE522" t="e">
        <f>AND(#REF!,"AAAAAD4f++4=")</f>
        <v>#REF!</v>
      </c>
      <c r="IF522" t="e">
        <f>AND(#REF!,"AAAAAD4f++8=")</f>
        <v>#REF!</v>
      </c>
      <c r="IG522" t="e">
        <f>AND(#REF!,"AAAAAD4f+/A=")</f>
        <v>#REF!</v>
      </c>
      <c r="IH522" t="e">
        <f>AND(#REF!,"AAAAAD4f+/E=")</f>
        <v>#REF!</v>
      </c>
      <c r="II522" t="e">
        <f>AND(#REF!,"AAAAAD4f+/I=")</f>
        <v>#REF!</v>
      </c>
      <c r="IJ522" t="e">
        <f>AND(#REF!,"AAAAAD4f+/M=")</f>
        <v>#REF!</v>
      </c>
      <c r="IK522" t="e">
        <f>AND(#REF!,"AAAAAD4f+/Q=")</f>
        <v>#REF!</v>
      </c>
      <c r="IL522" t="e">
        <f>AND(#REF!,"AAAAAD4f+/U=")</f>
        <v>#REF!</v>
      </c>
      <c r="IM522" t="e">
        <f>AND(#REF!,"AAAAAD4f+/Y=")</f>
        <v>#REF!</v>
      </c>
      <c r="IN522" t="e">
        <f>AND(#REF!,"AAAAAD4f+/c=")</f>
        <v>#REF!</v>
      </c>
      <c r="IO522" t="e">
        <f>AND(#REF!,"AAAAAD4f+/g=")</f>
        <v>#REF!</v>
      </c>
      <c r="IP522" t="e">
        <f>AND(#REF!,"AAAAAD4f+/k=")</f>
        <v>#REF!</v>
      </c>
      <c r="IQ522" t="e">
        <f>AND(#REF!,"AAAAAD4f+/o=")</f>
        <v>#REF!</v>
      </c>
      <c r="IR522" t="e">
        <f>AND(#REF!,"AAAAAD4f+/s=")</f>
        <v>#REF!</v>
      </c>
      <c r="IS522" t="e">
        <f>AND(#REF!,"AAAAAD4f+/w=")</f>
        <v>#REF!</v>
      </c>
      <c r="IT522" t="e">
        <f>AND(#REF!,"AAAAAD4f+/0=")</f>
        <v>#REF!</v>
      </c>
      <c r="IU522" t="e">
        <f>AND(#REF!,"AAAAAD4f+/4=")</f>
        <v>#REF!</v>
      </c>
      <c r="IV522" t="e">
        <f>AND(#REF!,"AAAAAD4f+/8=")</f>
        <v>#REF!</v>
      </c>
    </row>
    <row r="523" spans="1:256">
      <c r="A523" t="e">
        <f>AND(#REF!,"AAAAAHlp/gA=")</f>
        <v>#REF!</v>
      </c>
      <c r="B523" t="e">
        <f>AND(#REF!,"AAAAAHlp/gE=")</f>
        <v>#REF!</v>
      </c>
      <c r="C523" t="e">
        <f>AND(#REF!,"AAAAAHlp/gI=")</f>
        <v>#REF!</v>
      </c>
      <c r="D523" t="e">
        <f>IF(#REF!,"AAAAAHlp/gM=",0)</f>
        <v>#REF!</v>
      </c>
      <c r="E523" t="e">
        <f>AND(#REF!,"AAAAAHlp/gQ=")</f>
        <v>#REF!</v>
      </c>
      <c r="F523" t="e">
        <f>AND(#REF!,"AAAAAHlp/gU=")</f>
        <v>#REF!</v>
      </c>
      <c r="G523" t="e">
        <f>AND(#REF!,"AAAAAHlp/gY=")</f>
        <v>#REF!</v>
      </c>
      <c r="H523" t="e">
        <f>AND(#REF!,"AAAAAHlp/gc=")</f>
        <v>#REF!</v>
      </c>
      <c r="I523" t="e">
        <f>AND(#REF!,"AAAAAHlp/gg=")</f>
        <v>#REF!</v>
      </c>
      <c r="J523" t="e">
        <f>AND(#REF!,"AAAAAHlp/gk=")</f>
        <v>#REF!</v>
      </c>
      <c r="K523" t="e">
        <f>AND(#REF!,"AAAAAHlp/go=")</f>
        <v>#REF!</v>
      </c>
      <c r="L523" t="e">
        <f>AND(#REF!,"AAAAAHlp/gs=")</f>
        <v>#REF!</v>
      </c>
      <c r="M523" t="e">
        <f>AND(#REF!,"AAAAAHlp/gw=")</f>
        <v>#REF!</v>
      </c>
      <c r="N523" t="e">
        <f>AND(#REF!,"AAAAAHlp/g0=")</f>
        <v>#REF!</v>
      </c>
      <c r="O523" t="e">
        <f>AND(#REF!,"AAAAAHlp/g4=")</f>
        <v>#REF!</v>
      </c>
      <c r="P523" t="e">
        <f>AND(#REF!,"AAAAAHlp/g8=")</f>
        <v>#REF!</v>
      </c>
      <c r="Q523" t="e">
        <f>AND(#REF!,"AAAAAHlp/hA=")</f>
        <v>#REF!</v>
      </c>
      <c r="R523" t="e">
        <f>AND(#REF!,"AAAAAHlp/hE=")</f>
        <v>#REF!</v>
      </c>
      <c r="S523" t="e">
        <f>AND(#REF!,"AAAAAHlp/hI=")</f>
        <v>#REF!</v>
      </c>
      <c r="T523" t="e">
        <f>AND(#REF!,"AAAAAHlp/hM=")</f>
        <v>#REF!</v>
      </c>
      <c r="U523" t="e">
        <f>AND(#REF!,"AAAAAHlp/hQ=")</f>
        <v>#REF!</v>
      </c>
      <c r="V523" t="e">
        <f>AND(#REF!,"AAAAAHlp/hU=")</f>
        <v>#REF!</v>
      </c>
      <c r="W523" t="e">
        <f>AND(#REF!,"AAAAAHlp/hY=")</f>
        <v>#REF!</v>
      </c>
      <c r="X523" t="e">
        <f>AND(#REF!,"AAAAAHlp/hc=")</f>
        <v>#REF!</v>
      </c>
      <c r="Y523" t="e">
        <f>AND(#REF!,"AAAAAHlp/hg=")</f>
        <v>#REF!</v>
      </c>
      <c r="Z523" t="e">
        <f>AND(#REF!,"AAAAAHlp/hk=")</f>
        <v>#REF!</v>
      </c>
      <c r="AA523" t="e">
        <f>AND(#REF!,"AAAAAHlp/ho=")</f>
        <v>#REF!</v>
      </c>
      <c r="AB523" t="e">
        <f>AND(#REF!,"AAAAAHlp/hs=")</f>
        <v>#REF!</v>
      </c>
      <c r="AC523" t="e">
        <f>IF(#REF!,"AAAAAHlp/hw=",0)</f>
        <v>#REF!</v>
      </c>
      <c r="AD523" t="e">
        <f>AND(#REF!,"AAAAAHlp/h0=")</f>
        <v>#REF!</v>
      </c>
      <c r="AE523" t="e">
        <f>AND(#REF!,"AAAAAHlp/h4=")</f>
        <v>#REF!</v>
      </c>
      <c r="AF523" t="e">
        <f>AND(#REF!,"AAAAAHlp/h8=")</f>
        <v>#REF!</v>
      </c>
      <c r="AG523" t="e">
        <f>AND(#REF!,"AAAAAHlp/iA=")</f>
        <v>#REF!</v>
      </c>
      <c r="AH523" t="e">
        <f>AND(#REF!,"AAAAAHlp/iE=")</f>
        <v>#REF!</v>
      </c>
      <c r="AI523" t="e">
        <f>AND(#REF!,"AAAAAHlp/iI=")</f>
        <v>#REF!</v>
      </c>
      <c r="AJ523" t="e">
        <f>AND(#REF!,"AAAAAHlp/iM=")</f>
        <v>#REF!</v>
      </c>
      <c r="AK523" t="e">
        <f>AND(#REF!,"AAAAAHlp/iQ=")</f>
        <v>#REF!</v>
      </c>
      <c r="AL523" t="e">
        <f>AND(#REF!,"AAAAAHlp/iU=")</f>
        <v>#REF!</v>
      </c>
      <c r="AM523" t="e">
        <f>AND(#REF!,"AAAAAHlp/iY=")</f>
        <v>#REF!</v>
      </c>
      <c r="AN523" t="e">
        <f>AND(#REF!,"AAAAAHlp/ic=")</f>
        <v>#REF!</v>
      </c>
      <c r="AO523" t="e">
        <f>AND(#REF!,"AAAAAHlp/ig=")</f>
        <v>#REF!</v>
      </c>
      <c r="AP523" t="e">
        <f>AND(#REF!,"AAAAAHlp/ik=")</f>
        <v>#REF!</v>
      </c>
      <c r="AQ523" t="e">
        <f>AND(#REF!,"AAAAAHlp/io=")</f>
        <v>#REF!</v>
      </c>
      <c r="AR523" t="e">
        <f>AND(#REF!,"AAAAAHlp/is=")</f>
        <v>#REF!</v>
      </c>
      <c r="AS523" t="e">
        <f>AND(#REF!,"AAAAAHlp/iw=")</f>
        <v>#REF!</v>
      </c>
      <c r="AT523" t="e">
        <f>AND(#REF!,"AAAAAHlp/i0=")</f>
        <v>#REF!</v>
      </c>
      <c r="AU523" t="e">
        <f>AND(#REF!,"AAAAAHlp/i4=")</f>
        <v>#REF!</v>
      </c>
      <c r="AV523" t="e">
        <f>AND(#REF!,"AAAAAHlp/i8=")</f>
        <v>#REF!</v>
      </c>
      <c r="AW523" t="e">
        <f>AND(#REF!,"AAAAAHlp/jA=")</f>
        <v>#REF!</v>
      </c>
      <c r="AX523" t="e">
        <f>AND(#REF!,"AAAAAHlp/jE=")</f>
        <v>#REF!</v>
      </c>
      <c r="AY523" t="e">
        <f>AND(#REF!,"AAAAAHlp/jI=")</f>
        <v>#REF!</v>
      </c>
      <c r="AZ523" t="e">
        <f>AND(#REF!,"AAAAAHlp/jM=")</f>
        <v>#REF!</v>
      </c>
      <c r="BA523" t="e">
        <f>AND(#REF!,"AAAAAHlp/jQ=")</f>
        <v>#REF!</v>
      </c>
      <c r="BB523" t="e">
        <f>IF(#REF!,"AAAAAHlp/jU=",0)</f>
        <v>#REF!</v>
      </c>
      <c r="BC523" t="e">
        <f>AND(#REF!,"AAAAAHlp/jY=")</f>
        <v>#REF!</v>
      </c>
      <c r="BD523" t="e">
        <f>AND(#REF!,"AAAAAHlp/jc=")</f>
        <v>#REF!</v>
      </c>
      <c r="BE523" t="e">
        <f>AND(#REF!,"AAAAAHlp/jg=")</f>
        <v>#REF!</v>
      </c>
      <c r="BF523" t="e">
        <f>AND(#REF!,"AAAAAHlp/jk=")</f>
        <v>#REF!</v>
      </c>
      <c r="BG523" t="e">
        <f>AND(#REF!,"AAAAAHlp/jo=")</f>
        <v>#REF!</v>
      </c>
      <c r="BH523" t="e">
        <f>AND(#REF!,"AAAAAHlp/js=")</f>
        <v>#REF!</v>
      </c>
      <c r="BI523" t="e">
        <f>AND(#REF!,"AAAAAHlp/jw=")</f>
        <v>#REF!</v>
      </c>
      <c r="BJ523" t="e">
        <f>AND(#REF!,"AAAAAHlp/j0=")</f>
        <v>#REF!</v>
      </c>
      <c r="BK523" t="e">
        <f>AND(#REF!,"AAAAAHlp/j4=")</f>
        <v>#REF!</v>
      </c>
      <c r="BL523" t="e">
        <f>AND(#REF!,"AAAAAHlp/j8=")</f>
        <v>#REF!</v>
      </c>
      <c r="BM523" t="e">
        <f>AND(#REF!,"AAAAAHlp/kA=")</f>
        <v>#REF!</v>
      </c>
      <c r="BN523" t="e">
        <f>AND(#REF!,"AAAAAHlp/kE=")</f>
        <v>#REF!</v>
      </c>
      <c r="BO523" t="e">
        <f>AND(#REF!,"AAAAAHlp/kI=")</f>
        <v>#REF!</v>
      </c>
      <c r="BP523" t="e">
        <f>AND(#REF!,"AAAAAHlp/kM=")</f>
        <v>#REF!</v>
      </c>
      <c r="BQ523" t="e">
        <f>AND(#REF!,"AAAAAHlp/kQ=")</f>
        <v>#REF!</v>
      </c>
      <c r="BR523" t="e">
        <f>AND(#REF!,"AAAAAHlp/kU=")</f>
        <v>#REF!</v>
      </c>
      <c r="BS523" t="e">
        <f>AND(#REF!,"AAAAAHlp/kY=")</f>
        <v>#REF!</v>
      </c>
      <c r="BT523" t="e">
        <f>AND(#REF!,"AAAAAHlp/kc=")</f>
        <v>#REF!</v>
      </c>
      <c r="BU523" t="e">
        <f>AND(#REF!,"AAAAAHlp/kg=")</f>
        <v>#REF!</v>
      </c>
      <c r="BV523" t="e">
        <f>AND(#REF!,"AAAAAHlp/kk=")</f>
        <v>#REF!</v>
      </c>
      <c r="BW523" t="e">
        <f>AND(#REF!,"AAAAAHlp/ko=")</f>
        <v>#REF!</v>
      </c>
      <c r="BX523" t="e">
        <f>AND(#REF!,"AAAAAHlp/ks=")</f>
        <v>#REF!</v>
      </c>
      <c r="BY523" t="e">
        <f>AND(#REF!,"AAAAAHlp/kw=")</f>
        <v>#REF!</v>
      </c>
      <c r="BZ523" t="e">
        <f>AND(#REF!,"AAAAAHlp/k0=")</f>
        <v>#REF!</v>
      </c>
      <c r="CA523" t="e">
        <f>IF(#REF!,"AAAAAHlp/k4=",0)</f>
        <v>#REF!</v>
      </c>
      <c r="CB523" t="e">
        <f>AND(#REF!,"AAAAAHlp/k8=")</f>
        <v>#REF!</v>
      </c>
      <c r="CC523" t="e">
        <f>AND(#REF!,"AAAAAHlp/lA=")</f>
        <v>#REF!</v>
      </c>
      <c r="CD523" t="e">
        <f>AND(#REF!,"AAAAAHlp/lE=")</f>
        <v>#REF!</v>
      </c>
      <c r="CE523" t="e">
        <f>AND(#REF!,"AAAAAHlp/lI=")</f>
        <v>#REF!</v>
      </c>
      <c r="CF523" t="e">
        <f>AND(#REF!,"AAAAAHlp/lM=")</f>
        <v>#REF!</v>
      </c>
      <c r="CG523" t="e">
        <f>AND(#REF!,"AAAAAHlp/lQ=")</f>
        <v>#REF!</v>
      </c>
      <c r="CH523" t="e">
        <f>AND(#REF!,"AAAAAHlp/lU=")</f>
        <v>#REF!</v>
      </c>
      <c r="CI523" t="e">
        <f>AND(#REF!,"AAAAAHlp/lY=")</f>
        <v>#REF!</v>
      </c>
      <c r="CJ523" t="e">
        <f>AND(#REF!,"AAAAAHlp/lc=")</f>
        <v>#REF!</v>
      </c>
      <c r="CK523" t="e">
        <f>AND(#REF!,"AAAAAHlp/lg=")</f>
        <v>#REF!</v>
      </c>
      <c r="CL523" t="e">
        <f>AND(#REF!,"AAAAAHlp/lk=")</f>
        <v>#REF!</v>
      </c>
      <c r="CM523" t="e">
        <f>AND(#REF!,"AAAAAHlp/lo=")</f>
        <v>#REF!</v>
      </c>
      <c r="CN523" t="e">
        <f>AND(#REF!,"AAAAAHlp/ls=")</f>
        <v>#REF!</v>
      </c>
      <c r="CO523" t="e">
        <f>AND(#REF!,"AAAAAHlp/lw=")</f>
        <v>#REF!</v>
      </c>
      <c r="CP523" t="e">
        <f>AND(#REF!,"AAAAAHlp/l0=")</f>
        <v>#REF!</v>
      </c>
      <c r="CQ523" t="e">
        <f>AND(#REF!,"AAAAAHlp/l4=")</f>
        <v>#REF!</v>
      </c>
      <c r="CR523" t="e">
        <f>AND(#REF!,"AAAAAHlp/l8=")</f>
        <v>#REF!</v>
      </c>
      <c r="CS523" t="e">
        <f>AND(#REF!,"AAAAAHlp/mA=")</f>
        <v>#REF!</v>
      </c>
      <c r="CT523" t="e">
        <f>AND(#REF!,"AAAAAHlp/mE=")</f>
        <v>#REF!</v>
      </c>
      <c r="CU523" t="e">
        <f>AND(#REF!,"AAAAAHlp/mI=")</f>
        <v>#REF!</v>
      </c>
      <c r="CV523" t="e">
        <f>AND(#REF!,"AAAAAHlp/mM=")</f>
        <v>#REF!</v>
      </c>
      <c r="CW523" t="e">
        <f>AND(#REF!,"AAAAAHlp/mQ=")</f>
        <v>#REF!</v>
      </c>
      <c r="CX523" t="e">
        <f>AND(#REF!,"AAAAAHlp/mU=")</f>
        <v>#REF!</v>
      </c>
      <c r="CY523" t="e">
        <f>AND(#REF!,"AAAAAHlp/mY=")</f>
        <v>#REF!</v>
      </c>
      <c r="CZ523" t="e">
        <f>IF(#REF!,"AAAAAHlp/mc=",0)</f>
        <v>#REF!</v>
      </c>
      <c r="DA523" t="e">
        <f>AND(#REF!,"AAAAAHlp/mg=")</f>
        <v>#REF!</v>
      </c>
      <c r="DB523" t="e">
        <f>AND(#REF!,"AAAAAHlp/mk=")</f>
        <v>#REF!</v>
      </c>
      <c r="DC523" t="e">
        <f>AND(#REF!,"AAAAAHlp/mo=")</f>
        <v>#REF!</v>
      </c>
      <c r="DD523" t="e">
        <f>AND(#REF!,"AAAAAHlp/ms=")</f>
        <v>#REF!</v>
      </c>
      <c r="DE523" t="e">
        <f>AND(#REF!,"AAAAAHlp/mw=")</f>
        <v>#REF!</v>
      </c>
      <c r="DF523" t="e">
        <f>AND(#REF!,"AAAAAHlp/m0=")</f>
        <v>#REF!</v>
      </c>
      <c r="DG523" t="e">
        <f>AND(#REF!,"AAAAAHlp/m4=")</f>
        <v>#REF!</v>
      </c>
      <c r="DH523" t="e">
        <f>AND(#REF!,"AAAAAHlp/m8=")</f>
        <v>#REF!</v>
      </c>
      <c r="DI523" t="e">
        <f>AND(#REF!,"AAAAAHlp/nA=")</f>
        <v>#REF!</v>
      </c>
      <c r="DJ523" t="e">
        <f>AND(#REF!,"AAAAAHlp/nE=")</f>
        <v>#REF!</v>
      </c>
      <c r="DK523" t="e">
        <f>AND(#REF!,"AAAAAHlp/nI=")</f>
        <v>#REF!</v>
      </c>
      <c r="DL523" t="e">
        <f>AND(#REF!,"AAAAAHlp/nM=")</f>
        <v>#REF!</v>
      </c>
      <c r="DM523" t="e">
        <f>AND(#REF!,"AAAAAHlp/nQ=")</f>
        <v>#REF!</v>
      </c>
      <c r="DN523" t="e">
        <f>AND(#REF!,"AAAAAHlp/nU=")</f>
        <v>#REF!</v>
      </c>
      <c r="DO523" t="e">
        <f>AND(#REF!,"AAAAAHlp/nY=")</f>
        <v>#REF!</v>
      </c>
      <c r="DP523" t="e">
        <f>AND(#REF!,"AAAAAHlp/nc=")</f>
        <v>#REF!</v>
      </c>
      <c r="DQ523" t="e">
        <f>AND(#REF!,"AAAAAHlp/ng=")</f>
        <v>#REF!</v>
      </c>
      <c r="DR523" t="e">
        <f>AND(#REF!,"AAAAAHlp/nk=")</f>
        <v>#REF!</v>
      </c>
      <c r="DS523" t="e">
        <f>AND(#REF!,"AAAAAHlp/no=")</f>
        <v>#REF!</v>
      </c>
      <c r="DT523" t="e">
        <f>AND(#REF!,"AAAAAHlp/ns=")</f>
        <v>#REF!</v>
      </c>
      <c r="DU523" t="e">
        <f>AND(#REF!,"AAAAAHlp/nw=")</f>
        <v>#REF!</v>
      </c>
      <c r="DV523" t="e">
        <f>AND(#REF!,"AAAAAHlp/n0=")</f>
        <v>#REF!</v>
      </c>
      <c r="DW523" t="e">
        <f>AND(#REF!,"AAAAAHlp/n4=")</f>
        <v>#REF!</v>
      </c>
      <c r="DX523" t="e">
        <f>AND(#REF!,"AAAAAHlp/n8=")</f>
        <v>#REF!</v>
      </c>
      <c r="DY523" t="e">
        <f>IF(#REF!,"AAAAAHlp/oA=",0)</f>
        <v>#REF!</v>
      </c>
      <c r="DZ523" t="e">
        <f>AND(#REF!,"AAAAAHlp/oE=")</f>
        <v>#REF!</v>
      </c>
      <c r="EA523" t="e">
        <f>AND(#REF!,"AAAAAHlp/oI=")</f>
        <v>#REF!</v>
      </c>
      <c r="EB523" t="e">
        <f>AND(#REF!,"AAAAAHlp/oM=")</f>
        <v>#REF!</v>
      </c>
      <c r="EC523" t="e">
        <f>AND(#REF!,"AAAAAHlp/oQ=")</f>
        <v>#REF!</v>
      </c>
      <c r="ED523" t="e">
        <f>AND(#REF!,"AAAAAHlp/oU=")</f>
        <v>#REF!</v>
      </c>
      <c r="EE523" t="e">
        <f>AND(#REF!,"AAAAAHlp/oY=")</f>
        <v>#REF!</v>
      </c>
      <c r="EF523" t="e">
        <f>AND(#REF!,"AAAAAHlp/oc=")</f>
        <v>#REF!</v>
      </c>
      <c r="EG523" t="e">
        <f>AND(#REF!,"AAAAAHlp/og=")</f>
        <v>#REF!</v>
      </c>
      <c r="EH523" t="e">
        <f>AND(#REF!,"AAAAAHlp/ok=")</f>
        <v>#REF!</v>
      </c>
      <c r="EI523" t="e">
        <f>AND(#REF!,"AAAAAHlp/oo=")</f>
        <v>#REF!</v>
      </c>
      <c r="EJ523" t="e">
        <f>AND(#REF!,"AAAAAHlp/os=")</f>
        <v>#REF!</v>
      </c>
      <c r="EK523" t="e">
        <f>AND(#REF!,"AAAAAHlp/ow=")</f>
        <v>#REF!</v>
      </c>
      <c r="EL523" t="e">
        <f>AND(#REF!,"AAAAAHlp/o0=")</f>
        <v>#REF!</v>
      </c>
      <c r="EM523" t="e">
        <f>AND(#REF!,"AAAAAHlp/o4=")</f>
        <v>#REF!</v>
      </c>
      <c r="EN523" t="e">
        <f>AND(#REF!,"AAAAAHlp/o8=")</f>
        <v>#REF!</v>
      </c>
      <c r="EO523" t="e">
        <f>AND(#REF!,"AAAAAHlp/pA=")</f>
        <v>#REF!</v>
      </c>
      <c r="EP523" t="e">
        <f>AND(#REF!,"AAAAAHlp/pE=")</f>
        <v>#REF!</v>
      </c>
      <c r="EQ523" t="e">
        <f>AND(#REF!,"AAAAAHlp/pI=")</f>
        <v>#REF!</v>
      </c>
      <c r="ER523" t="e">
        <f>AND(#REF!,"AAAAAHlp/pM=")</f>
        <v>#REF!</v>
      </c>
      <c r="ES523" t="e">
        <f>AND(#REF!,"AAAAAHlp/pQ=")</f>
        <v>#REF!</v>
      </c>
      <c r="ET523" t="e">
        <f>AND(#REF!,"AAAAAHlp/pU=")</f>
        <v>#REF!</v>
      </c>
      <c r="EU523" t="e">
        <f>AND(#REF!,"AAAAAHlp/pY=")</f>
        <v>#REF!</v>
      </c>
      <c r="EV523" t="e">
        <f>AND(#REF!,"AAAAAHlp/pc=")</f>
        <v>#REF!</v>
      </c>
      <c r="EW523" t="e">
        <f>AND(#REF!,"AAAAAHlp/pg=")</f>
        <v>#REF!</v>
      </c>
      <c r="EX523" t="e">
        <f>IF(#REF!,"AAAAAHlp/pk=",0)</f>
        <v>#REF!</v>
      </c>
      <c r="EY523" t="e">
        <f>AND(#REF!,"AAAAAHlp/po=")</f>
        <v>#REF!</v>
      </c>
      <c r="EZ523" t="e">
        <f>AND(#REF!,"AAAAAHlp/ps=")</f>
        <v>#REF!</v>
      </c>
      <c r="FA523" t="e">
        <f>AND(#REF!,"AAAAAHlp/pw=")</f>
        <v>#REF!</v>
      </c>
      <c r="FB523" t="e">
        <f>AND(#REF!,"AAAAAHlp/p0=")</f>
        <v>#REF!</v>
      </c>
      <c r="FC523" t="e">
        <f>AND(#REF!,"AAAAAHlp/p4=")</f>
        <v>#REF!</v>
      </c>
      <c r="FD523" t="e">
        <f>AND(#REF!,"AAAAAHlp/p8=")</f>
        <v>#REF!</v>
      </c>
      <c r="FE523" t="e">
        <f>AND(#REF!,"AAAAAHlp/qA=")</f>
        <v>#REF!</v>
      </c>
      <c r="FF523" t="e">
        <f>AND(#REF!,"AAAAAHlp/qE=")</f>
        <v>#REF!</v>
      </c>
      <c r="FG523" t="e">
        <f>AND(#REF!,"AAAAAHlp/qI=")</f>
        <v>#REF!</v>
      </c>
      <c r="FH523" t="e">
        <f>AND(#REF!,"AAAAAHlp/qM=")</f>
        <v>#REF!</v>
      </c>
      <c r="FI523" t="e">
        <f>AND(#REF!,"AAAAAHlp/qQ=")</f>
        <v>#REF!</v>
      </c>
      <c r="FJ523" t="e">
        <f>AND(#REF!,"AAAAAHlp/qU=")</f>
        <v>#REF!</v>
      </c>
      <c r="FK523" t="e">
        <f>AND(#REF!,"AAAAAHlp/qY=")</f>
        <v>#REF!</v>
      </c>
      <c r="FL523" t="e">
        <f>AND(#REF!,"AAAAAHlp/qc=")</f>
        <v>#REF!</v>
      </c>
      <c r="FM523" t="e">
        <f>AND(#REF!,"AAAAAHlp/qg=")</f>
        <v>#REF!</v>
      </c>
      <c r="FN523" t="e">
        <f>AND(#REF!,"AAAAAHlp/qk=")</f>
        <v>#REF!</v>
      </c>
      <c r="FO523" t="e">
        <f>AND(#REF!,"AAAAAHlp/qo=")</f>
        <v>#REF!</v>
      </c>
      <c r="FP523" t="e">
        <f>AND(#REF!,"AAAAAHlp/qs=")</f>
        <v>#REF!</v>
      </c>
      <c r="FQ523" t="e">
        <f>AND(#REF!,"AAAAAHlp/qw=")</f>
        <v>#REF!</v>
      </c>
      <c r="FR523" t="e">
        <f>AND(#REF!,"AAAAAHlp/q0=")</f>
        <v>#REF!</v>
      </c>
      <c r="FS523" t="e">
        <f>AND(#REF!,"AAAAAHlp/q4=")</f>
        <v>#REF!</v>
      </c>
      <c r="FT523" t="e">
        <f>AND(#REF!,"AAAAAHlp/q8=")</f>
        <v>#REF!</v>
      </c>
      <c r="FU523" t="e">
        <f>AND(#REF!,"AAAAAHlp/rA=")</f>
        <v>#REF!</v>
      </c>
      <c r="FV523" t="e">
        <f>AND(#REF!,"AAAAAHlp/rE=")</f>
        <v>#REF!</v>
      </c>
      <c r="FW523" t="e">
        <f>IF(#REF!,"AAAAAHlp/rI=",0)</f>
        <v>#REF!</v>
      </c>
      <c r="FX523" t="e">
        <f>AND(#REF!,"AAAAAHlp/rM=")</f>
        <v>#REF!</v>
      </c>
      <c r="FY523" t="e">
        <f>AND(#REF!,"AAAAAHlp/rQ=")</f>
        <v>#REF!</v>
      </c>
      <c r="FZ523" t="e">
        <f>AND(#REF!,"AAAAAHlp/rU=")</f>
        <v>#REF!</v>
      </c>
      <c r="GA523" t="e">
        <f>AND(#REF!,"AAAAAHlp/rY=")</f>
        <v>#REF!</v>
      </c>
      <c r="GB523" t="e">
        <f>AND(#REF!,"AAAAAHlp/rc=")</f>
        <v>#REF!</v>
      </c>
      <c r="GC523" t="e">
        <f>AND(#REF!,"AAAAAHlp/rg=")</f>
        <v>#REF!</v>
      </c>
      <c r="GD523" t="e">
        <f>AND(#REF!,"AAAAAHlp/rk=")</f>
        <v>#REF!</v>
      </c>
      <c r="GE523" t="e">
        <f>AND(#REF!,"AAAAAHlp/ro=")</f>
        <v>#REF!</v>
      </c>
      <c r="GF523" t="e">
        <f>AND(#REF!,"AAAAAHlp/rs=")</f>
        <v>#REF!</v>
      </c>
      <c r="GG523" t="e">
        <f>AND(#REF!,"AAAAAHlp/rw=")</f>
        <v>#REF!</v>
      </c>
      <c r="GH523" t="e">
        <f>AND(#REF!,"AAAAAHlp/r0=")</f>
        <v>#REF!</v>
      </c>
      <c r="GI523" t="e">
        <f>AND(#REF!,"AAAAAHlp/r4=")</f>
        <v>#REF!</v>
      </c>
      <c r="GJ523" t="e">
        <f>AND(#REF!,"AAAAAHlp/r8=")</f>
        <v>#REF!</v>
      </c>
      <c r="GK523" t="e">
        <f>AND(#REF!,"AAAAAHlp/sA=")</f>
        <v>#REF!</v>
      </c>
      <c r="GL523" t="e">
        <f>AND(#REF!,"AAAAAHlp/sE=")</f>
        <v>#REF!</v>
      </c>
      <c r="GM523" t="e">
        <f>AND(#REF!,"AAAAAHlp/sI=")</f>
        <v>#REF!</v>
      </c>
      <c r="GN523" t="e">
        <f>AND(#REF!,"AAAAAHlp/sM=")</f>
        <v>#REF!</v>
      </c>
      <c r="GO523" t="e">
        <f>AND(#REF!,"AAAAAHlp/sQ=")</f>
        <v>#REF!</v>
      </c>
      <c r="GP523" t="e">
        <f>AND(#REF!,"AAAAAHlp/sU=")</f>
        <v>#REF!</v>
      </c>
      <c r="GQ523" t="e">
        <f>AND(#REF!,"AAAAAHlp/sY=")</f>
        <v>#REF!</v>
      </c>
      <c r="GR523" t="e">
        <f>AND(#REF!,"AAAAAHlp/sc=")</f>
        <v>#REF!</v>
      </c>
      <c r="GS523" t="e">
        <f>AND(#REF!,"AAAAAHlp/sg=")</f>
        <v>#REF!</v>
      </c>
      <c r="GT523" t="e">
        <f>AND(#REF!,"AAAAAHlp/sk=")</f>
        <v>#REF!</v>
      </c>
      <c r="GU523" t="e">
        <f>AND(#REF!,"AAAAAHlp/so=")</f>
        <v>#REF!</v>
      </c>
      <c r="GV523" t="e">
        <f>IF(#REF!,"AAAAAHlp/ss=",0)</f>
        <v>#REF!</v>
      </c>
      <c r="GW523" t="e">
        <f>AND(#REF!,"AAAAAHlp/sw=")</f>
        <v>#REF!</v>
      </c>
      <c r="GX523" t="e">
        <f>AND(#REF!,"AAAAAHlp/s0=")</f>
        <v>#REF!</v>
      </c>
      <c r="GY523" t="e">
        <f>AND(#REF!,"AAAAAHlp/s4=")</f>
        <v>#REF!</v>
      </c>
      <c r="GZ523" t="e">
        <f>AND(#REF!,"AAAAAHlp/s8=")</f>
        <v>#REF!</v>
      </c>
      <c r="HA523" t="e">
        <f>AND(#REF!,"AAAAAHlp/tA=")</f>
        <v>#REF!</v>
      </c>
      <c r="HB523" t="e">
        <f>AND(#REF!,"AAAAAHlp/tE=")</f>
        <v>#REF!</v>
      </c>
      <c r="HC523" t="e">
        <f>AND(#REF!,"AAAAAHlp/tI=")</f>
        <v>#REF!</v>
      </c>
      <c r="HD523" t="e">
        <f>AND(#REF!,"AAAAAHlp/tM=")</f>
        <v>#REF!</v>
      </c>
      <c r="HE523" t="e">
        <f>AND(#REF!,"AAAAAHlp/tQ=")</f>
        <v>#REF!</v>
      </c>
      <c r="HF523" t="e">
        <f>AND(#REF!,"AAAAAHlp/tU=")</f>
        <v>#REF!</v>
      </c>
      <c r="HG523" t="e">
        <f>AND(#REF!,"AAAAAHlp/tY=")</f>
        <v>#REF!</v>
      </c>
      <c r="HH523" t="e">
        <f>AND(#REF!,"AAAAAHlp/tc=")</f>
        <v>#REF!</v>
      </c>
      <c r="HI523" t="e">
        <f>AND(#REF!,"AAAAAHlp/tg=")</f>
        <v>#REF!</v>
      </c>
      <c r="HJ523" t="e">
        <f>AND(#REF!,"AAAAAHlp/tk=")</f>
        <v>#REF!</v>
      </c>
      <c r="HK523" t="e">
        <f>AND(#REF!,"AAAAAHlp/to=")</f>
        <v>#REF!</v>
      </c>
      <c r="HL523" t="e">
        <f>AND(#REF!,"AAAAAHlp/ts=")</f>
        <v>#REF!</v>
      </c>
      <c r="HM523" t="e">
        <f>AND(#REF!,"AAAAAHlp/tw=")</f>
        <v>#REF!</v>
      </c>
      <c r="HN523" t="e">
        <f>AND(#REF!,"AAAAAHlp/t0=")</f>
        <v>#REF!</v>
      </c>
      <c r="HO523" t="e">
        <f>AND(#REF!,"AAAAAHlp/t4=")</f>
        <v>#REF!</v>
      </c>
      <c r="HP523" t="e">
        <f>AND(#REF!,"AAAAAHlp/t8=")</f>
        <v>#REF!</v>
      </c>
      <c r="HQ523" t="e">
        <f>AND(#REF!,"AAAAAHlp/uA=")</f>
        <v>#REF!</v>
      </c>
      <c r="HR523" t="e">
        <f>AND(#REF!,"AAAAAHlp/uE=")</f>
        <v>#REF!</v>
      </c>
      <c r="HS523" t="e">
        <f>AND(#REF!,"AAAAAHlp/uI=")</f>
        <v>#REF!</v>
      </c>
      <c r="HT523" t="e">
        <f>AND(#REF!,"AAAAAHlp/uM=")</f>
        <v>#REF!</v>
      </c>
      <c r="HU523" t="e">
        <f>IF(#REF!,"AAAAAHlp/uQ=",0)</f>
        <v>#REF!</v>
      </c>
      <c r="HV523" t="e">
        <f>AND(#REF!,"AAAAAHlp/uU=")</f>
        <v>#REF!</v>
      </c>
      <c r="HW523" t="e">
        <f>AND(#REF!,"AAAAAHlp/uY=")</f>
        <v>#REF!</v>
      </c>
      <c r="HX523" t="e">
        <f>AND(#REF!,"AAAAAHlp/uc=")</f>
        <v>#REF!</v>
      </c>
      <c r="HY523" t="e">
        <f>AND(#REF!,"AAAAAHlp/ug=")</f>
        <v>#REF!</v>
      </c>
      <c r="HZ523" t="e">
        <f>AND(#REF!,"AAAAAHlp/uk=")</f>
        <v>#REF!</v>
      </c>
      <c r="IA523" t="e">
        <f>AND(#REF!,"AAAAAHlp/uo=")</f>
        <v>#REF!</v>
      </c>
      <c r="IB523" t="e">
        <f>AND(#REF!,"AAAAAHlp/us=")</f>
        <v>#REF!</v>
      </c>
      <c r="IC523" t="e">
        <f>AND(#REF!,"AAAAAHlp/uw=")</f>
        <v>#REF!</v>
      </c>
      <c r="ID523" t="e">
        <f>AND(#REF!,"AAAAAHlp/u0=")</f>
        <v>#REF!</v>
      </c>
      <c r="IE523" t="e">
        <f>AND(#REF!,"AAAAAHlp/u4=")</f>
        <v>#REF!</v>
      </c>
      <c r="IF523" t="e">
        <f>AND(#REF!,"AAAAAHlp/u8=")</f>
        <v>#REF!</v>
      </c>
      <c r="IG523" t="e">
        <f>AND(#REF!,"AAAAAHlp/vA=")</f>
        <v>#REF!</v>
      </c>
      <c r="IH523" t="e">
        <f>AND(#REF!,"AAAAAHlp/vE=")</f>
        <v>#REF!</v>
      </c>
      <c r="II523" t="e">
        <f>AND(#REF!,"AAAAAHlp/vI=")</f>
        <v>#REF!</v>
      </c>
      <c r="IJ523" t="e">
        <f>AND(#REF!,"AAAAAHlp/vM=")</f>
        <v>#REF!</v>
      </c>
      <c r="IK523" t="e">
        <f>AND(#REF!,"AAAAAHlp/vQ=")</f>
        <v>#REF!</v>
      </c>
      <c r="IL523" t="e">
        <f>AND(#REF!,"AAAAAHlp/vU=")</f>
        <v>#REF!</v>
      </c>
      <c r="IM523" t="e">
        <f>AND(#REF!,"AAAAAHlp/vY=")</f>
        <v>#REF!</v>
      </c>
      <c r="IN523" t="e">
        <f>AND(#REF!,"AAAAAHlp/vc=")</f>
        <v>#REF!</v>
      </c>
      <c r="IO523" t="e">
        <f>AND(#REF!,"AAAAAHlp/vg=")</f>
        <v>#REF!</v>
      </c>
      <c r="IP523" t="e">
        <f>AND(#REF!,"AAAAAHlp/vk=")</f>
        <v>#REF!</v>
      </c>
      <c r="IQ523" t="e">
        <f>AND(#REF!,"AAAAAHlp/vo=")</f>
        <v>#REF!</v>
      </c>
      <c r="IR523" t="e">
        <f>AND(#REF!,"AAAAAHlp/vs=")</f>
        <v>#REF!</v>
      </c>
      <c r="IS523" t="e">
        <f>AND(#REF!,"AAAAAHlp/vw=")</f>
        <v>#REF!</v>
      </c>
      <c r="IT523" t="e">
        <f>IF(#REF!,"AAAAAHlp/v0=",0)</f>
        <v>#REF!</v>
      </c>
      <c r="IU523" t="e">
        <f>AND(#REF!,"AAAAAHlp/v4=")</f>
        <v>#REF!</v>
      </c>
      <c r="IV523" t="e">
        <f>AND(#REF!,"AAAAAHlp/v8=")</f>
        <v>#REF!</v>
      </c>
    </row>
    <row r="524" spans="1:256">
      <c r="A524" t="e">
        <f>AND(#REF!,"AAAAAH7/PgA=")</f>
        <v>#REF!</v>
      </c>
      <c r="B524" t="e">
        <f>AND(#REF!,"AAAAAH7/PgE=")</f>
        <v>#REF!</v>
      </c>
      <c r="C524" t="e">
        <f>AND(#REF!,"AAAAAH7/PgI=")</f>
        <v>#REF!</v>
      </c>
      <c r="D524" t="e">
        <f>AND(#REF!,"AAAAAH7/PgM=")</f>
        <v>#REF!</v>
      </c>
      <c r="E524" t="e">
        <f>AND(#REF!,"AAAAAH7/PgQ=")</f>
        <v>#REF!</v>
      </c>
      <c r="F524" t="e">
        <f>AND(#REF!,"AAAAAH7/PgU=")</f>
        <v>#REF!</v>
      </c>
      <c r="G524" t="e">
        <f>AND(#REF!,"AAAAAH7/PgY=")</f>
        <v>#REF!</v>
      </c>
      <c r="H524" t="e">
        <f>AND(#REF!,"AAAAAH7/Pgc=")</f>
        <v>#REF!</v>
      </c>
      <c r="I524" t="e">
        <f>AND(#REF!,"AAAAAH7/Pgg=")</f>
        <v>#REF!</v>
      </c>
      <c r="J524" t="e">
        <f>AND(#REF!,"AAAAAH7/Pgk=")</f>
        <v>#REF!</v>
      </c>
      <c r="K524" t="e">
        <f>AND(#REF!,"AAAAAH7/Pgo=")</f>
        <v>#REF!</v>
      </c>
      <c r="L524" t="e">
        <f>AND(#REF!,"AAAAAH7/Pgs=")</f>
        <v>#REF!</v>
      </c>
      <c r="M524" t="e">
        <f>AND(#REF!,"AAAAAH7/Pgw=")</f>
        <v>#REF!</v>
      </c>
      <c r="N524" t="e">
        <f>AND(#REF!,"AAAAAH7/Pg0=")</f>
        <v>#REF!</v>
      </c>
      <c r="O524" t="e">
        <f>AND(#REF!,"AAAAAH7/Pg4=")</f>
        <v>#REF!</v>
      </c>
      <c r="P524" t="e">
        <f>AND(#REF!,"AAAAAH7/Pg8=")</f>
        <v>#REF!</v>
      </c>
      <c r="Q524" t="e">
        <f>AND(#REF!,"AAAAAH7/PhA=")</f>
        <v>#REF!</v>
      </c>
      <c r="R524" t="e">
        <f>AND(#REF!,"AAAAAH7/PhE=")</f>
        <v>#REF!</v>
      </c>
      <c r="S524" t="e">
        <f>AND(#REF!,"AAAAAH7/PhI=")</f>
        <v>#REF!</v>
      </c>
      <c r="T524" t="e">
        <f>AND(#REF!,"AAAAAH7/PhM=")</f>
        <v>#REF!</v>
      </c>
      <c r="U524" t="e">
        <f>AND(#REF!,"AAAAAH7/PhQ=")</f>
        <v>#REF!</v>
      </c>
      <c r="V524" t="e">
        <f>AND(#REF!,"AAAAAH7/PhU=")</f>
        <v>#REF!</v>
      </c>
      <c r="W524" t="e">
        <f>IF(#REF!,"AAAAAH7/PhY=",0)</f>
        <v>#REF!</v>
      </c>
      <c r="X524" t="e">
        <f>AND(#REF!,"AAAAAH7/Phc=")</f>
        <v>#REF!</v>
      </c>
      <c r="Y524" t="e">
        <f>AND(#REF!,"AAAAAH7/Phg=")</f>
        <v>#REF!</v>
      </c>
      <c r="Z524" t="e">
        <f>AND(#REF!,"AAAAAH7/Phk=")</f>
        <v>#REF!</v>
      </c>
      <c r="AA524" t="e">
        <f>AND(#REF!,"AAAAAH7/Pho=")</f>
        <v>#REF!</v>
      </c>
      <c r="AB524" t="e">
        <f>AND(#REF!,"AAAAAH7/Phs=")</f>
        <v>#REF!</v>
      </c>
      <c r="AC524" t="e">
        <f>AND(#REF!,"AAAAAH7/Phw=")</f>
        <v>#REF!</v>
      </c>
      <c r="AD524" t="e">
        <f>AND(#REF!,"AAAAAH7/Ph0=")</f>
        <v>#REF!</v>
      </c>
      <c r="AE524" t="e">
        <f>AND(#REF!,"AAAAAH7/Ph4=")</f>
        <v>#REF!</v>
      </c>
      <c r="AF524" t="e">
        <f>AND(#REF!,"AAAAAH7/Ph8=")</f>
        <v>#REF!</v>
      </c>
      <c r="AG524" t="e">
        <f>AND(#REF!,"AAAAAH7/PiA=")</f>
        <v>#REF!</v>
      </c>
      <c r="AH524" t="e">
        <f>AND(#REF!,"AAAAAH7/PiE=")</f>
        <v>#REF!</v>
      </c>
      <c r="AI524" t="e">
        <f>AND(#REF!,"AAAAAH7/PiI=")</f>
        <v>#REF!</v>
      </c>
      <c r="AJ524" t="e">
        <f>AND(#REF!,"AAAAAH7/PiM=")</f>
        <v>#REF!</v>
      </c>
      <c r="AK524" t="e">
        <f>AND(#REF!,"AAAAAH7/PiQ=")</f>
        <v>#REF!</v>
      </c>
      <c r="AL524" t="e">
        <f>AND(#REF!,"AAAAAH7/PiU=")</f>
        <v>#REF!</v>
      </c>
      <c r="AM524" t="e">
        <f>AND(#REF!,"AAAAAH7/PiY=")</f>
        <v>#REF!</v>
      </c>
      <c r="AN524" t="e">
        <f>AND(#REF!,"AAAAAH7/Pic=")</f>
        <v>#REF!</v>
      </c>
      <c r="AO524" t="e">
        <f>AND(#REF!,"AAAAAH7/Pig=")</f>
        <v>#REF!</v>
      </c>
      <c r="AP524" t="e">
        <f>AND(#REF!,"AAAAAH7/Pik=")</f>
        <v>#REF!</v>
      </c>
      <c r="AQ524" t="e">
        <f>AND(#REF!,"AAAAAH7/Pio=")</f>
        <v>#REF!</v>
      </c>
      <c r="AR524" t="e">
        <f>AND(#REF!,"AAAAAH7/Pis=")</f>
        <v>#REF!</v>
      </c>
      <c r="AS524" t="e">
        <f>AND(#REF!,"AAAAAH7/Piw=")</f>
        <v>#REF!</v>
      </c>
      <c r="AT524" t="e">
        <f>AND(#REF!,"AAAAAH7/Pi0=")</f>
        <v>#REF!</v>
      </c>
      <c r="AU524" t="e">
        <f>AND(#REF!,"AAAAAH7/Pi4=")</f>
        <v>#REF!</v>
      </c>
      <c r="AV524" t="e">
        <f>IF(#REF!,"AAAAAH7/Pi8=",0)</f>
        <v>#REF!</v>
      </c>
      <c r="AW524" t="e">
        <f>AND(#REF!,"AAAAAH7/PjA=")</f>
        <v>#REF!</v>
      </c>
      <c r="AX524" t="e">
        <f>AND(#REF!,"AAAAAH7/PjE=")</f>
        <v>#REF!</v>
      </c>
      <c r="AY524" t="e">
        <f>AND(#REF!,"AAAAAH7/PjI=")</f>
        <v>#REF!</v>
      </c>
      <c r="AZ524" t="e">
        <f>AND(#REF!,"AAAAAH7/PjM=")</f>
        <v>#REF!</v>
      </c>
      <c r="BA524" t="e">
        <f>AND(#REF!,"AAAAAH7/PjQ=")</f>
        <v>#REF!</v>
      </c>
      <c r="BB524" t="e">
        <f>AND(#REF!,"AAAAAH7/PjU=")</f>
        <v>#REF!</v>
      </c>
      <c r="BC524" t="e">
        <f>AND(#REF!,"AAAAAH7/PjY=")</f>
        <v>#REF!</v>
      </c>
      <c r="BD524" t="e">
        <f>AND(#REF!,"AAAAAH7/Pjc=")</f>
        <v>#REF!</v>
      </c>
      <c r="BE524" t="e">
        <f>AND(#REF!,"AAAAAH7/Pjg=")</f>
        <v>#REF!</v>
      </c>
      <c r="BF524" t="e">
        <f>AND(#REF!,"AAAAAH7/Pjk=")</f>
        <v>#REF!</v>
      </c>
      <c r="BG524" t="e">
        <f>AND(#REF!,"AAAAAH7/Pjo=")</f>
        <v>#REF!</v>
      </c>
      <c r="BH524" t="e">
        <f>AND(#REF!,"AAAAAH7/Pjs=")</f>
        <v>#REF!</v>
      </c>
      <c r="BI524" t="e">
        <f>AND(#REF!,"AAAAAH7/Pjw=")</f>
        <v>#REF!</v>
      </c>
      <c r="BJ524" t="e">
        <f>AND(#REF!,"AAAAAH7/Pj0=")</f>
        <v>#REF!</v>
      </c>
      <c r="BK524" t="e">
        <f>AND(#REF!,"AAAAAH7/Pj4=")</f>
        <v>#REF!</v>
      </c>
      <c r="BL524" t="e">
        <f>AND(#REF!,"AAAAAH7/Pj8=")</f>
        <v>#REF!</v>
      </c>
      <c r="BM524" t="e">
        <f>AND(#REF!,"AAAAAH7/PkA=")</f>
        <v>#REF!</v>
      </c>
      <c r="BN524" t="e">
        <f>AND(#REF!,"AAAAAH7/PkE=")</f>
        <v>#REF!</v>
      </c>
      <c r="BO524" t="e">
        <f>AND(#REF!,"AAAAAH7/PkI=")</f>
        <v>#REF!</v>
      </c>
      <c r="BP524" t="e">
        <f>AND(#REF!,"AAAAAH7/PkM=")</f>
        <v>#REF!</v>
      </c>
      <c r="BQ524" t="e">
        <f>AND(#REF!,"AAAAAH7/PkQ=")</f>
        <v>#REF!</v>
      </c>
      <c r="BR524" t="e">
        <f>AND(#REF!,"AAAAAH7/PkU=")</f>
        <v>#REF!</v>
      </c>
      <c r="BS524" t="e">
        <f>AND(#REF!,"AAAAAH7/PkY=")</f>
        <v>#REF!</v>
      </c>
      <c r="BT524" t="e">
        <f>AND(#REF!,"AAAAAH7/Pkc=")</f>
        <v>#REF!</v>
      </c>
      <c r="BU524" t="e">
        <f>IF(#REF!,"AAAAAH7/Pkg=",0)</f>
        <v>#REF!</v>
      </c>
      <c r="BV524" t="e">
        <f>AND(#REF!,"AAAAAH7/Pkk=")</f>
        <v>#REF!</v>
      </c>
      <c r="BW524" t="e">
        <f>AND(#REF!,"AAAAAH7/Pko=")</f>
        <v>#REF!</v>
      </c>
      <c r="BX524" t="e">
        <f>AND(#REF!,"AAAAAH7/Pks=")</f>
        <v>#REF!</v>
      </c>
      <c r="BY524" t="e">
        <f>AND(#REF!,"AAAAAH7/Pkw=")</f>
        <v>#REF!</v>
      </c>
      <c r="BZ524" t="e">
        <f>AND(#REF!,"AAAAAH7/Pk0=")</f>
        <v>#REF!</v>
      </c>
      <c r="CA524" t="e">
        <f>AND(#REF!,"AAAAAH7/Pk4=")</f>
        <v>#REF!</v>
      </c>
      <c r="CB524" t="e">
        <f>AND(#REF!,"AAAAAH7/Pk8=")</f>
        <v>#REF!</v>
      </c>
      <c r="CC524" t="e">
        <f>AND(#REF!,"AAAAAH7/PlA=")</f>
        <v>#REF!</v>
      </c>
      <c r="CD524" t="e">
        <f>AND(#REF!,"AAAAAH7/PlE=")</f>
        <v>#REF!</v>
      </c>
      <c r="CE524" t="e">
        <f>AND(#REF!,"AAAAAH7/PlI=")</f>
        <v>#REF!</v>
      </c>
      <c r="CF524" t="e">
        <f>AND(#REF!,"AAAAAH7/PlM=")</f>
        <v>#REF!</v>
      </c>
      <c r="CG524" t="e">
        <f>AND(#REF!,"AAAAAH7/PlQ=")</f>
        <v>#REF!</v>
      </c>
      <c r="CH524" t="e">
        <f>AND(#REF!,"AAAAAH7/PlU=")</f>
        <v>#REF!</v>
      </c>
      <c r="CI524" t="e">
        <f>AND(#REF!,"AAAAAH7/PlY=")</f>
        <v>#REF!</v>
      </c>
      <c r="CJ524" t="e">
        <f>AND(#REF!,"AAAAAH7/Plc=")</f>
        <v>#REF!</v>
      </c>
      <c r="CK524" t="e">
        <f>AND(#REF!,"AAAAAH7/Plg=")</f>
        <v>#REF!</v>
      </c>
      <c r="CL524" t="e">
        <f>AND(#REF!,"AAAAAH7/Plk=")</f>
        <v>#REF!</v>
      </c>
      <c r="CM524" t="e">
        <f>AND(#REF!,"AAAAAH7/Plo=")</f>
        <v>#REF!</v>
      </c>
      <c r="CN524" t="e">
        <f>AND(#REF!,"AAAAAH7/Pls=")</f>
        <v>#REF!</v>
      </c>
      <c r="CO524" t="e">
        <f>AND(#REF!,"AAAAAH7/Plw=")</f>
        <v>#REF!</v>
      </c>
      <c r="CP524" t="e">
        <f>AND(#REF!,"AAAAAH7/Pl0=")</f>
        <v>#REF!</v>
      </c>
      <c r="CQ524" t="e">
        <f>AND(#REF!,"AAAAAH7/Pl4=")</f>
        <v>#REF!</v>
      </c>
      <c r="CR524" t="e">
        <f>AND(#REF!,"AAAAAH7/Pl8=")</f>
        <v>#REF!</v>
      </c>
      <c r="CS524" t="e">
        <f>AND(#REF!,"AAAAAH7/PmA=")</f>
        <v>#REF!</v>
      </c>
      <c r="CT524" t="e">
        <f>IF(#REF!,"AAAAAH7/PmE=",0)</f>
        <v>#REF!</v>
      </c>
      <c r="CU524" t="e">
        <f>AND(#REF!,"AAAAAH7/PmI=")</f>
        <v>#REF!</v>
      </c>
      <c r="CV524" t="e">
        <f>AND(#REF!,"AAAAAH7/PmM=")</f>
        <v>#REF!</v>
      </c>
      <c r="CW524" t="e">
        <f>AND(#REF!,"AAAAAH7/PmQ=")</f>
        <v>#REF!</v>
      </c>
      <c r="CX524" t="e">
        <f>AND(#REF!,"AAAAAH7/PmU=")</f>
        <v>#REF!</v>
      </c>
      <c r="CY524" t="e">
        <f>AND(#REF!,"AAAAAH7/PmY=")</f>
        <v>#REF!</v>
      </c>
      <c r="CZ524" t="e">
        <f>AND(#REF!,"AAAAAH7/Pmc=")</f>
        <v>#REF!</v>
      </c>
      <c r="DA524" t="e">
        <f>AND(#REF!,"AAAAAH7/Pmg=")</f>
        <v>#REF!</v>
      </c>
      <c r="DB524" t="e">
        <f>AND(#REF!,"AAAAAH7/Pmk=")</f>
        <v>#REF!</v>
      </c>
      <c r="DC524" t="e">
        <f>AND(#REF!,"AAAAAH7/Pmo=")</f>
        <v>#REF!</v>
      </c>
      <c r="DD524" t="e">
        <f>AND(#REF!,"AAAAAH7/Pms=")</f>
        <v>#REF!</v>
      </c>
      <c r="DE524" t="e">
        <f>AND(#REF!,"AAAAAH7/Pmw=")</f>
        <v>#REF!</v>
      </c>
      <c r="DF524" t="e">
        <f>AND(#REF!,"AAAAAH7/Pm0=")</f>
        <v>#REF!</v>
      </c>
      <c r="DG524" t="e">
        <f>AND(#REF!,"AAAAAH7/Pm4=")</f>
        <v>#REF!</v>
      </c>
      <c r="DH524" t="e">
        <f>AND(#REF!,"AAAAAH7/Pm8=")</f>
        <v>#REF!</v>
      </c>
      <c r="DI524" t="e">
        <f>AND(#REF!,"AAAAAH7/PnA=")</f>
        <v>#REF!</v>
      </c>
      <c r="DJ524" t="e">
        <f>AND(#REF!,"AAAAAH7/PnE=")</f>
        <v>#REF!</v>
      </c>
      <c r="DK524" t="e">
        <f>AND(#REF!,"AAAAAH7/PnI=")</f>
        <v>#REF!</v>
      </c>
      <c r="DL524" t="e">
        <f>AND(#REF!,"AAAAAH7/PnM=")</f>
        <v>#REF!</v>
      </c>
      <c r="DM524" t="e">
        <f>AND(#REF!,"AAAAAH7/PnQ=")</f>
        <v>#REF!</v>
      </c>
      <c r="DN524" t="e">
        <f>AND(#REF!,"AAAAAH7/PnU=")</f>
        <v>#REF!</v>
      </c>
      <c r="DO524" t="e">
        <f>AND(#REF!,"AAAAAH7/PnY=")</f>
        <v>#REF!</v>
      </c>
      <c r="DP524" t="e">
        <f>AND(#REF!,"AAAAAH7/Pnc=")</f>
        <v>#REF!</v>
      </c>
      <c r="DQ524" t="e">
        <f>AND(#REF!,"AAAAAH7/Png=")</f>
        <v>#REF!</v>
      </c>
      <c r="DR524" t="e">
        <f>AND(#REF!,"AAAAAH7/Pnk=")</f>
        <v>#REF!</v>
      </c>
      <c r="DS524" t="e">
        <f>IF(#REF!,"AAAAAH7/Pno=",0)</f>
        <v>#REF!</v>
      </c>
      <c r="DT524" t="e">
        <f>AND(#REF!,"AAAAAH7/Pns=")</f>
        <v>#REF!</v>
      </c>
      <c r="DU524" t="e">
        <f>AND(#REF!,"AAAAAH7/Pnw=")</f>
        <v>#REF!</v>
      </c>
      <c r="DV524" t="e">
        <f>AND(#REF!,"AAAAAH7/Pn0=")</f>
        <v>#REF!</v>
      </c>
      <c r="DW524" t="e">
        <f>AND(#REF!,"AAAAAH7/Pn4=")</f>
        <v>#REF!</v>
      </c>
      <c r="DX524" t="e">
        <f>AND(#REF!,"AAAAAH7/Pn8=")</f>
        <v>#REF!</v>
      </c>
      <c r="DY524" t="e">
        <f>AND(#REF!,"AAAAAH7/PoA=")</f>
        <v>#REF!</v>
      </c>
      <c r="DZ524" t="e">
        <f>AND(#REF!,"AAAAAH7/PoE=")</f>
        <v>#REF!</v>
      </c>
      <c r="EA524" t="e">
        <f>AND(#REF!,"AAAAAH7/PoI=")</f>
        <v>#REF!</v>
      </c>
      <c r="EB524" t="e">
        <f>AND(#REF!,"AAAAAH7/PoM=")</f>
        <v>#REF!</v>
      </c>
      <c r="EC524" t="e">
        <f>AND(#REF!,"AAAAAH7/PoQ=")</f>
        <v>#REF!</v>
      </c>
      <c r="ED524" t="e">
        <f>AND(#REF!,"AAAAAH7/PoU=")</f>
        <v>#REF!</v>
      </c>
      <c r="EE524" t="e">
        <f>AND(#REF!,"AAAAAH7/PoY=")</f>
        <v>#REF!</v>
      </c>
      <c r="EF524" t="e">
        <f>AND(#REF!,"AAAAAH7/Poc=")</f>
        <v>#REF!</v>
      </c>
      <c r="EG524" t="e">
        <f>AND(#REF!,"AAAAAH7/Pog=")</f>
        <v>#REF!</v>
      </c>
      <c r="EH524" t="e">
        <f>AND(#REF!,"AAAAAH7/Pok=")</f>
        <v>#REF!</v>
      </c>
      <c r="EI524" t="e">
        <f>AND(#REF!,"AAAAAH7/Poo=")</f>
        <v>#REF!</v>
      </c>
      <c r="EJ524" t="e">
        <f>AND(#REF!,"AAAAAH7/Pos=")</f>
        <v>#REF!</v>
      </c>
      <c r="EK524" t="e">
        <f>AND(#REF!,"AAAAAH7/Pow=")</f>
        <v>#REF!</v>
      </c>
      <c r="EL524" t="e">
        <f>AND(#REF!,"AAAAAH7/Po0=")</f>
        <v>#REF!</v>
      </c>
      <c r="EM524" t="e">
        <f>AND(#REF!,"AAAAAH7/Po4=")</f>
        <v>#REF!</v>
      </c>
      <c r="EN524" t="e">
        <f>AND(#REF!,"AAAAAH7/Po8=")</f>
        <v>#REF!</v>
      </c>
      <c r="EO524" t="e">
        <f>AND(#REF!,"AAAAAH7/PpA=")</f>
        <v>#REF!</v>
      </c>
      <c r="EP524" t="e">
        <f>AND(#REF!,"AAAAAH7/PpE=")</f>
        <v>#REF!</v>
      </c>
      <c r="EQ524" t="e">
        <f>AND(#REF!,"AAAAAH7/PpI=")</f>
        <v>#REF!</v>
      </c>
      <c r="ER524" t="e">
        <f>IF(#REF!,"AAAAAH7/PpM=",0)</f>
        <v>#REF!</v>
      </c>
      <c r="ES524" t="e">
        <f>AND(#REF!,"AAAAAH7/PpQ=")</f>
        <v>#REF!</v>
      </c>
      <c r="ET524" t="e">
        <f>AND(#REF!,"AAAAAH7/PpU=")</f>
        <v>#REF!</v>
      </c>
      <c r="EU524" t="e">
        <f>AND(#REF!,"AAAAAH7/PpY=")</f>
        <v>#REF!</v>
      </c>
      <c r="EV524" t="e">
        <f>AND(#REF!,"AAAAAH7/Ppc=")</f>
        <v>#REF!</v>
      </c>
      <c r="EW524" t="e">
        <f>AND(#REF!,"AAAAAH7/Ppg=")</f>
        <v>#REF!</v>
      </c>
      <c r="EX524" t="e">
        <f>AND(#REF!,"AAAAAH7/Ppk=")</f>
        <v>#REF!</v>
      </c>
      <c r="EY524" t="e">
        <f>AND(#REF!,"AAAAAH7/Ppo=")</f>
        <v>#REF!</v>
      </c>
      <c r="EZ524" t="e">
        <f>AND(#REF!,"AAAAAH7/Pps=")</f>
        <v>#REF!</v>
      </c>
      <c r="FA524" t="e">
        <f>AND(#REF!,"AAAAAH7/Ppw=")</f>
        <v>#REF!</v>
      </c>
      <c r="FB524" t="e">
        <f>AND(#REF!,"AAAAAH7/Pp0=")</f>
        <v>#REF!</v>
      </c>
      <c r="FC524" t="e">
        <f>AND(#REF!,"AAAAAH7/Pp4=")</f>
        <v>#REF!</v>
      </c>
      <c r="FD524" t="e">
        <f>AND(#REF!,"AAAAAH7/Pp8=")</f>
        <v>#REF!</v>
      </c>
      <c r="FE524" t="e">
        <f>AND(#REF!,"AAAAAH7/PqA=")</f>
        <v>#REF!</v>
      </c>
      <c r="FF524" t="e">
        <f>AND(#REF!,"AAAAAH7/PqE=")</f>
        <v>#REF!</v>
      </c>
      <c r="FG524" t="e">
        <f>AND(#REF!,"AAAAAH7/PqI=")</f>
        <v>#REF!</v>
      </c>
      <c r="FH524" t="e">
        <f>AND(#REF!,"AAAAAH7/PqM=")</f>
        <v>#REF!</v>
      </c>
      <c r="FI524" t="e">
        <f>AND(#REF!,"AAAAAH7/PqQ=")</f>
        <v>#REF!</v>
      </c>
      <c r="FJ524" t="e">
        <f>AND(#REF!,"AAAAAH7/PqU=")</f>
        <v>#REF!</v>
      </c>
      <c r="FK524" t="e">
        <f>AND(#REF!,"AAAAAH7/PqY=")</f>
        <v>#REF!</v>
      </c>
      <c r="FL524" t="e">
        <f>AND(#REF!,"AAAAAH7/Pqc=")</f>
        <v>#REF!</v>
      </c>
      <c r="FM524" t="e">
        <f>AND(#REF!,"AAAAAH7/Pqg=")</f>
        <v>#REF!</v>
      </c>
      <c r="FN524" t="e">
        <f>AND(#REF!,"AAAAAH7/Pqk=")</f>
        <v>#REF!</v>
      </c>
      <c r="FO524" t="e">
        <f>AND(#REF!,"AAAAAH7/Pqo=")</f>
        <v>#REF!</v>
      </c>
      <c r="FP524" t="e">
        <f>AND(#REF!,"AAAAAH7/Pqs=")</f>
        <v>#REF!</v>
      </c>
      <c r="FQ524" t="e">
        <f>IF(#REF!,"AAAAAH7/Pqw=",0)</f>
        <v>#REF!</v>
      </c>
      <c r="FR524" t="e">
        <f>AND(#REF!,"AAAAAH7/Pq0=")</f>
        <v>#REF!</v>
      </c>
      <c r="FS524" t="e">
        <f>AND(#REF!,"AAAAAH7/Pq4=")</f>
        <v>#REF!</v>
      </c>
      <c r="FT524" t="e">
        <f>AND(#REF!,"AAAAAH7/Pq8=")</f>
        <v>#REF!</v>
      </c>
      <c r="FU524" t="e">
        <f>AND(#REF!,"AAAAAH7/PrA=")</f>
        <v>#REF!</v>
      </c>
      <c r="FV524" t="e">
        <f>AND(#REF!,"AAAAAH7/PrE=")</f>
        <v>#REF!</v>
      </c>
      <c r="FW524" t="e">
        <f>AND(#REF!,"AAAAAH7/PrI=")</f>
        <v>#REF!</v>
      </c>
      <c r="FX524" t="e">
        <f>AND(#REF!,"AAAAAH7/PrM=")</f>
        <v>#REF!</v>
      </c>
      <c r="FY524" t="e">
        <f>AND(#REF!,"AAAAAH7/PrQ=")</f>
        <v>#REF!</v>
      </c>
      <c r="FZ524" t="e">
        <f>AND(#REF!,"AAAAAH7/PrU=")</f>
        <v>#REF!</v>
      </c>
      <c r="GA524" t="e">
        <f>AND(#REF!,"AAAAAH7/PrY=")</f>
        <v>#REF!</v>
      </c>
      <c r="GB524" t="e">
        <f>AND(#REF!,"AAAAAH7/Prc=")</f>
        <v>#REF!</v>
      </c>
      <c r="GC524" t="e">
        <f>AND(#REF!,"AAAAAH7/Prg=")</f>
        <v>#REF!</v>
      </c>
      <c r="GD524" t="e">
        <f>AND(#REF!,"AAAAAH7/Prk=")</f>
        <v>#REF!</v>
      </c>
      <c r="GE524" t="e">
        <f>AND(#REF!,"AAAAAH7/Pro=")</f>
        <v>#REF!</v>
      </c>
      <c r="GF524" t="e">
        <f>AND(#REF!,"AAAAAH7/Prs=")</f>
        <v>#REF!</v>
      </c>
      <c r="GG524" t="e">
        <f>AND(#REF!,"AAAAAH7/Prw=")</f>
        <v>#REF!</v>
      </c>
      <c r="GH524" t="e">
        <f>AND(#REF!,"AAAAAH7/Pr0=")</f>
        <v>#REF!</v>
      </c>
      <c r="GI524" t="e">
        <f>AND(#REF!,"AAAAAH7/Pr4=")</f>
        <v>#REF!</v>
      </c>
      <c r="GJ524" t="e">
        <f>AND(#REF!,"AAAAAH7/Pr8=")</f>
        <v>#REF!</v>
      </c>
      <c r="GK524" t="e">
        <f>AND(#REF!,"AAAAAH7/PsA=")</f>
        <v>#REF!</v>
      </c>
      <c r="GL524" t="e">
        <f>AND(#REF!,"AAAAAH7/PsE=")</f>
        <v>#REF!</v>
      </c>
      <c r="GM524" t="e">
        <f>AND(#REF!,"AAAAAH7/PsI=")</f>
        <v>#REF!</v>
      </c>
      <c r="GN524" t="e">
        <f>AND(#REF!,"AAAAAH7/PsM=")</f>
        <v>#REF!</v>
      </c>
      <c r="GO524" t="e">
        <f>AND(#REF!,"AAAAAH7/PsQ=")</f>
        <v>#REF!</v>
      </c>
      <c r="GP524" t="e">
        <f>IF(#REF!,"AAAAAH7/PsU=",0)</f>
        <v>#REF!</v>
      </c>
      <c r="GQ524" t="e">
        <f>AND(#REF!,"AAAAAH7/PsY=")</f>
        <v>#REF!</v>
      </c>
      <c r="GR524" t="e">
        <f>AND(#REF!,"AAAAAH7/Psc=")</f>
        <v>#REF!</v>
      </c>
      <c r="GS524" t="e">
        <f>AND(#REF!,"AAAAAH7/Psg=")</f>
        <v>#REF!</v>
      </c>
      <c r="GT524" t="e">
        <f>AND(#REF!,"AAAAAH7/Psk=")</f>
        <v>#REF!</v>
      </c>
      <c r="GU524" t="e">
        <f>AND(#REF!,"AAAAAH7/Pso=")</f>
        <v>#REF!</v>
      </c>
      <c r="GV524" t="e">
        <f>AND(#REF!,"AAAAAH7/Pss=")</f>
        <v>#REF!</v>
      </c>
      <c r="GW524" t="e">
        <f>AND(#REF!,"AAAAAH7/Psw=")</f>
        <v>#REF!</v>
      </c>
      <c r="GX524" t="e">
        <f>AND(#REF!,"AAAAAH7/Ps0=")</f>
        <v>#REF!</v>
      </c>
      <c r="GY524" t="e">
        <f>AND(#REF!,"AAAAAH7/Ps4=")</f>
        <v>#REF!</v>
      </c>
      <c r="GZ524" t="e">
        <f>AND(#REF!,"AAAAAH7/Ps8=")</f>
        <v>#REF!</v>
      </c>
      <c r="HA524" t="e">
        <f>AND(#REF!,"AAAAAH7/PtA=")</f>
        <v>#REF!</v>
      </c>
      <c r="HB524" t="e">
        <f>AND(#REF!,"AAAAAH7/PtE=")</f>
        <v>#REF!</v>
      </c>
      <c r="HC524" t="e">
        <f>AND(#REF!,"AAAAAH7/PtI=")</f>
        <v>#REF!</v>
      </c>
      <c r="HD524" t="e">
        <f>AND(#REF!,"AAAAAH7/PtM=")</f>
        <v>#REF!</v>
      </c>
      <c r="HE524" t="e">
        <f>AND(#REF!,"AAAAAH7/PtQ=")</f>
        <v>#REF!</v>
      </c>
      <c r="HF524" t="e">
        <f>AND(#REF!,"AAAAAH7/PtU=")</f>
        <v>#REF!</v>
      </c>
      <c r="HG524" t="e">
        <f>AND(#REF!,"AAAAAH7/PtY=")</f>
        <v>#REF!</v>
      </c>
      <c r="HH524" t="e">
        <f>AND(#REF!,"AAAAAH7/Ptc=")</f>
        <v>#REF!</v>
      </c>
      <c r="HI524" t="e">
        <f>AND(#REF!,"AAAAAH7/Ptg=")</f>
        <v>#REF!</v>
      </c>
      <c r="HJ524" t="e">
        <f>AND(#REF!,"AAAAAH7/Ptk=")</f>
        <v>#REF!</v>
      </c>
      <c r="HK524" t="e">
        <f>AND(#REF!,"AAAAAH7/Pto=")</f>
        <v>#REF!</v>
      </c>
      <c r="HL524" t="e">
        <f>AND(#REF!,"AAAAAH7/Pts=")</f>
        <v>#REF!</v>
      </c>
      <c r="HM524" t="e">
        <f>AND(#REF!,"AAAAAH7/Ptw=")</f>
        <v>#REF!</v>
      </c>
      <c r="HN524" t="e">
        <f>AND(#REF!,"AAAAAH7/Pt0=")</f>
        <v>#REF!</v>
      </c>
      <c r="HO524" t="e">
        <f>IF(#REF!,"AAAAAH7/Pt4=",0)</f>
        <v>#REF!</v>
      </c>
      <c r="HP524" t="e">
        <f>AND(#REF!,"AAAAAH7/Pt8=")</f>
        <v>#REF!</v>
      </c>
      <c r="HQ524" t="e">
        <f>AND(#REF!,"AAAAAH7/PuA=")</f>
        <v>#REF!</v>
      </c>
      <c r="HR524" t="e">
        <f>AND(#REF!,"AAAAAH7/PuE=")</f>
        <v>#REF!</v>
      </c>
      <c r="HS524" t="e">
        <f>AND(#REF!,"AAAAAH7/PuI=")</f>
        <v>#REF!</v>
      </c>
      <c r="HT524" t="e">
        <f>AND(#REF!,"AAAAAH7/PuM=")</f>
        <v>#REF!</v>
      </c>
      <c r="HU524" t="e">
        <f>AND(#REF!,"AAAAAH7/PuQ=")</f>
        <v>#REF!</v>
      </c>
      <c r="HV524" t="e">
        <f>AND(#REF!,"AAAAAH7/PuU=")</f>
        <v>#REF!</v>
      </c>
      <c r="HW524" t="e">
        <f>AND(#REF!,"AAAAAH7/PuY=")</f>
        <v>#REF!</v>
      </c>
      <c r="HX524" t="e">
        <f>AND(#REF!,"AAAAAH7/Puc=")</f>
        <v>#REF!</v>
      </c>
      <c r="HY524" t="e">
        <f>AND(#REF!,"AAAAAH7/Pug=")</f>
        <v>#REF!</v>
      </c>
      <c r="HZ524" t="e">
        <f>AND(#REF!,"AAAAAH7/Puk=")</f>
        <v>#REF!</v>
      </c>
      <c r="IA524" t="e">
        <f>AND(#REF!,"AAAAAH7/Puo=")</f>
        <v>#REF!</v>
      </c>
      <c r="IB524" t="e">
        <f>AND(#REF!,"AAAAAH7/Pus=")</f>
        <v>#REF!</v>
      </c>
      <c r="IC524" t="e">
        <f>AND(#REF!,"AAAAAH7/Puw=")</f>
        <v>#REF!</v>
      </c>
      <c r="ID524" t="e">
        <f>AND(#REF!,"AAAAAH7/Pu0=")</f>
        <v>#REF!</v>
      </c>
      <c r="IE524" t="e">
        <f>AND(#REF!,"AAAAAH7/Pu4=")</f>
        <v>#REF!</v>
      </c>
      <c r="IF524" t="e">
        <f>AND(#REF!,"AAAAAH7/Pu8=")</f>
        <v>#REF!</v>
      </c>
      <c r="IG524" t="e">
        <f>AND(#REF!,"AAAAAH7/PvA=")</f>
        <v>#REF!</v>
      </c>
      <c r="IH524" t="e">
        <f>AND(#REF!,"AAAAAH7/PvE=")</f>
        <v>#REF!</v>
      </c>
      <c r="II524" t="e">
        <f>AND(#REF!,"AAAAAH7/PvI=")</f>
        <v>#REF!</v>
      </c>
      <c r="IJ524" t="e">
        <f>AND(#REF!,"AAAAAH7/PvM=")</f>
        <v>#REF!</v>
      </c>
      <c r="IK524" t="e">
        <f>AND(#REF!,"AAAAAH7/PvQ=")</f>
        <v>#REF!</v>
      </c>
      <c r="IL524" t="e">
        <f>AND(#REF!,"AAAAAH7/PvU=")</f>
        <v>#REF!</v>
      </c>
      <c r="IM524" t="e">
        <f>AND(#REF!,"AAAAAH7/PvY=")</f>
        <v>#REF!</v>
      </c>
      <c r="IN524" t="e">
        <f>IF(#REF!,"AAAAAH7/Pvc=",0)</f>
        <v>#REF!</v>
      </c>
      <c r="IO524" t="e">
        <f>AND(#REF!,"AAAAAH7/Pvg=")</f>
        <v>#REF!</v>
      </c>
      <c r="IP524" t="e">
        <f>AND(#REF!,"AAAAAH7/Pvk=")</f>
        <v>#REF!</v>
      </c>
      <c r="IQ524" t="e">
        <f>AND(#REF!,"AAAAAH7/Pvo=")</f>
        <v>#REF!</v>
      </c>
      <c r="IR524" t="e">
        <f>AND(#REF!,"AAAAAH7/Pvs=")</f>
        <v>#REF!</v>
      </c>
      <c r="IS524" t="e">
        <f>AND(#REF!,"AAAAAH7/Pvw=")</f>
        <v>#REF!</v>
      </c>
      <c r="IT524" t="e">
        <f>AND(#REF!,"AAAAAH7/Pv0=")</f>
        <v>#REF!</v>
      </c>
      <c r="IU524" t="e">
        <f>AND(#REF!,"AAAAAH7/Pv4=")</f>
        <v>#REF!</v>
      </c>
      <c r="IV524" t="e">
        <f>AND(#REF!,"AAAAAH7/Pv8=")</f>
        <v>#REF!</v>
      </c>
    </row>
    <row r="525" spans="1:256">
      <c r="A525" t="e">
        <f>AND(#REF!,"AAAAAH93uwA=")</f>
        <v>#REF!</v>
      </c>
      <c r="B525" t="e">
        <f>AND(#REF!,"AAAAAH93uwE=")</f>
        <v>#REF!</v>
      </c>
      <c r="C525" t="e">
        <f>AND(#REF!,"AAAAAH93uwI=")</f>
        <v>#REF!</v>
      </c>
      <c r="D525" t="e">
        <f>AND(#REF!,"AAAAAH93uwM=")</f>
        <v>#REF!</v>
      </c>
      <c r="E525" t="e">
        <f>AND(#REF!,"AAAAAH93uwQ=")</f>
        <v>#REF!</v>
      </c>
      <c r="F525" t="e">
        <f>AND(#REF!,"AAAAAH93uwU=")</f>
        <v>#REF!</v>
      </c>
      <c r="G525" t="e">
        <f>AND(#REF!,"AAAAAH93uwY=")</f>
        <v>#REF!</v>
      </c>
      <c r="H525" t="e">
        <f>AND(#REF!,"AAAAAH93uwc=")</f>
        <v>#REF!</v>
      </c>
      <c r="I525" t="e">
        <f>AND(#REF!,"AAAAAH93uwg=")</f>
        <v>#REF!</v>
      </c>
      <c r="J525" t="e">
        <f>AND(#REF!,"AAAAAH93uwk=")</f>
        <v>#REF!</v>
      </c>
      <c r="K525" t="e">
        <f>AND(#REF!,"AAAAAH93uwo=")</f>
        <v>#REF!</v>
      </c>
      <c r="L525" t="e">
        <f>AND(#REF!,"AAAAAH93uws=")</f>
        <v>#REF!</v>
      </c>
      <c r="M525" t="e">
        <f>AND(#REF!,"AAAAAH93uww=")</f>
        <v>#REF!</v>
      </c>
      <c r="N525" t="e">
        <f>AND(#REF!,"AAAAAH93uw0=")</f>
        <v>#REF!</v>
      </c>
      <c r="O525" t="e">
        <f>AND(#REF!,"AAAAAH93uw4=")</f>
        <v>#REF!</v>
      </c>
      <c r="P525" t="e">
        <f>AND(#REF!,"AAAAAH93uw8=")</f>
        <v>#REF!</v>
      </c>
      <c r="Q525" t="e">
        <f>IF(#REF!,"AAAAAH93uxA=",0)</f>
        <v>#REF!</v>
      </c>
      <c r="R525" t="e">
        <f>AND(#REF!,"AAAAAH93uxE=")</f>
        <v>#REF!</v>
      </c>
      <c r="S525" t="e">
        <f>AND(#REF!,"AAAAAH93uxI=")</f>
        <v>#REF!</v>
      </c>
      <c r="T525" t="e">
        <f>AND(#REF!,"AAAAAH93uxM=")</f>
        <v>#REF!</v>
      </c>
      <c r="U525" t="e">
        <f>AND(#REF!,"AAAAAH93uxQ=")</f>
        <v>#REF!</v>
      </c>
      <c r="V525" t="e">
        <f>AND(#REF!,"AAAAAH93uxU=")</f>
        <v>#REF!</v>
      </c>
      <c r="W525" t="e">
        <f>AND(#REF!,"AAAAAH93uxY=")</f>
        <v>#REF!</v>
      </c>
      <c r="X525" t="e">
        <f>AND(#REF!,"AAAAAH93uxc=")</f>
        <v>#REF!</v>
      </c>
      <c r="Y525" t="e">
        <f>AND(#REF!,"AAAAAH93uxg=")</f>
        <v>#REF!</v>
      </c>
      <c r="Z525" t="e">
        <f>AND(#REF!,"AAAAAH93uxk=")</f>
        <v>#REF!</v>
      </c>
      <c r="AA525" t="e">
        <f>AND(#REF!,"AAAAAH93uxo=")</f>
        <v>#REF!</v>
      </c>
      <c r="AB525" t="e">
        <f>AND(#REF!,"AAAAAH93uxs=")</f>
        <v>#REF!</v>
      </c>
      <c r="AC525" t="e">
        <f>AND(#REF!,"AAAAAH93uxw=")</f>
        <v>#REF!</v>
      </c>
      <c r="AD525" t="e">
        <f>AND(#REF!,"AAAAAH93ux0=")</f>
        <v>#REF!</v>
      </c>
      <c r="AE525" t="e">
        <f>AND(#REF!,"AAAAAH93ux4=")</f>
        <v>#REF!</v>
      </c>
      <c r="AF525" t="e">
        <f>AND(#REF!,"AAAAAH93ux8=")</f>
        <v>#REF!</v>
      </c>
      <c r="AG525" t="e">
        <f>AND(#REF!,"AAAAAH93uyA=")</f>
        <v>#REF!</v>
      </c>
      <c r="AH525" t="e">
        <f>AND(#REF!,"AAAAAH93uyE=")</f>
        <v>#REF!</v>
      </c>
      <c r="AI525" t="e">
        <f>AND(#REF!,"AAAAAH93uyI=")</f>
        <v>#REF!</v>
      </c>
      <c r="AJ525" t="e">
        <f>AND(#REF!,"AAAAAH93uyM=")</f>
        <v>#REF!</v>
      </c>
      <c r="AK525" t="e">
        <f>AND(#REF!,"AAAAAH93uyQ=")</f>
        <v>#REF!</v>
      </c>
      <c r="AL525" t="e">
        <f>AND(#REF!,"AAAAAH93uyU=")</f>
        <v>#REF!</v>
      </c>
      <c r="AM525" t="e">
        <f>AND(#REF!,"AAAAAH93uyY=")</f>
        <v>#REF!</v>
      </c>
      <c r="AN525" t="e">
        <f>AND(#REF!,"AAAAAH93uyc=")</f>
        <v>#REF!</v>
      </c>
      <c r="AO525" t="e">
        <f>AND(#REF!,"AAAAAH93uyg=")</f>
        <v>#REF!</v>
      </c>
      <c r="AP525" t="e">
        <f>IF(#REF!,"AAAAAH93uyk=",0)</f>
        <v>#REF!</v>
      </c>
      <c r="AQ525" t="e">
        <f>AND(#REF!,"AAAAAH93uyo=")</f>
        <v>#REF!</v>
      </c>
      <c r="AR525" t="e">
        <f>AND(#REF!,"AAAAAH93uys=")</f>
        <v>#REF!</v>
      </c>
      <c r="AS525" t="e">
        <f>AND(#REF!,"AAAAAH93uyw=")</f>
        <v>#REF!</v>
      </c>
      <c r="AT525" t="e">
        <f>AND(#REF!,"AAAAAH93uy0=")</f>
        <v>#REF!</v>
      </c>
      <c r="AU525" t="e">
        <f>AND(#REF!,"AAAAAH93uy4=")</f>
        <v>#REF!</v>
      </c>
      <c r="AV525" t="e">
        <f>AND(#REF!,"AAAAAH93uy8=")</f>
        <v>#REF!</v>
      </c>
      <c r="AW525" t="e">
        <f>AND(#REF!,"AAAAAH93uzA=")</f>
        <v>#REF!</v>
      </c>
      <c r="AX525" t="e">
        <f>AND(#REF!,"AAAAAH93uzE=")</f>
        <v>#REF!</v>
      </c>
      <c r="AY525" t="e">
        <f>AND(#REF!,"AAAAAH93uzI=")</f>
        <v>#REF!</v>
      </c>
      <c r="AZ525" t="e">
        <f>AND(#REF!,"AAAAAH93uzM=")</f>
        <v>#REF!</v>
      </c>
      <c r="BA525" t="e">
        <f>AND(#REF!,"AAAAAH93uzQ=")</f>
        <v>#REF!</v>
      </c>
      <c r="BB525" t="e">
        <f>AND(#REF!,"AAAAAH93uzU=")</f>
        <v>#REF!</v>
      </c>
      <c r="BC525" t="e">
        <f>AND(#REF!,"AAAAAH93uzY=")</f>
        <v>#REF!</v>
      </c>
      <c r="BD525" t="e">
        <f>AND(#REF!,"AAAAAH93uzc=")</f>
        <v>#REF!</v>
      </c>
      <c r="BE525" t="e">
        <f>AND(#REF!,"AAAAAH93uzg=")</f>
        <v>#REF!</v>
      </c>
      <c r="BF525" t="e">
        <f>AND(#REF!,"AAAAAH93uzk=")</f>
        <v>#REF!</v>
      </c>
      <c r="BG525" t="e">
        <f>AND(#REF!,"AAAAAH93uzo=")</f>
        <v>#REF!</v>
      </c>
      <c r="BH525" t="e">
        <f>AND(#REF!,"AAAAAH93uzs=")</f>
        <v>#REF!</v>
      </c>
      <c r="BI525" t="e">
        <f>AND(#REF!,"AAAAAH93uzw=")</f>
        <v>#REF!</v>
      </c>
      <c r="BJ525" t="e">
        <f>AND(#REF!,"AAAAAH93uz0=")</f>
        <v>#REF!</v>
      </c>
      <c r="BK525" t="e">
        <f>AND(#REF!,"AAAAAH93uz4=")</f>
        <v>#REF!</v>
      </c>
      <c r="BL525" t="e">
        <f>AND(#REF!,"AAAAAH93uz8=")</f>
        <v>#REF!</v>
      </c>
      <c r="BM525" t="e">
        <f>AND(#REF!,"AAAAAH93u0A=")</f>
        <v>#REF!</v>
      </c>
      <c r="BN525" t="e">
        <f>AND(#REF!,"AAAAAH93u0E=")</f>
        <v>#REF!</v>
      </c>
      <c r="BO525" t="e">
        <f>IF(#REF!,"AAAAAH93u0I=",0)</f>
        <v>#REF!</v>
      </c>
      <c r="BP525" t="e">
        <f>AND(#REF!,"AAAAAH93u0M=")</f>
        <v>#REF!</v>
      </c>
      <c r="BQ525" t="e">
        <f>AND(#REF!,"AAAAAH93u0Q=")</f>
        <v>#REF!</v>
      </c>
      <c r="BR525" t="e">
        <f>AND(#REF!,"AAAAAH93u0U=")</f>
        <v>#REF!</v>
      </c>
      <c r="BS525" t="e">
        <f>AND(#REF!,"AAAAAH93u0Y=")</f>
        <v>#REF!</v>
      </c>
      <c r="BT525" t="e">
        <f>AND(#REF!,"AAAAAH93u0c=")</f>
        <v>#REF!</v>
      </c>
      <c r="BU525" t="e">
        <f>AND(#REF!,"AAAAAH93u0g=")</f>
        <v>#REF!</v>
      </c>
      <c r="BV525" t="e">
        <f>AND(#REF!,"AAAAAH93u0k=")</f>
        <v>#REF!</v>
      </c>
      <c r="BW525" t="e">
        <f>AND(#REF!,"AAAAAH93u0o=")</f>
        <v>#REF!</v>
      </c>
      <c r="BX525" t="e">
        <f>AND(#REF!,"AAAAAH93u0s=")</f>
        <v>#REF!</v>
      </c>
      <c r="BY525" t="e">
        <f>AND(#REF!,"AAAAAH93u0w=")</f>
        <v>#REF!</v>
      </c>
      <c r="BZ525" t="e">
        <f>AND(#REF!,"AAAAAH93u00=")</f>
        <v>#REF!</v>
      </c>
      <c r="CA525" t="e">
        <f>AND(#REF!,"AAAAAH93u04=")</f>
        <v>#REF!</v>
      </c>
      <c r="CB525" t="e">
        <f>AND(#REF!,"AAAAAH93u08=")</f>
        <v>#REF!</v>
      </c>
      <c r="CC525" t="e">
        <f>AND(#REF!,"AAAAAH93u1A=")</f>
        <v>#REF!</v>
      </c>
      <c r="CD525" t="e">
        <f>AND(#REF!,"AAAAAH93u1E=")</f>
        <v>#REF!</v>
      </c>
      <c r="CE525" t="e">
        <f>AND(#REF!,"AAAAAH93u1I=")</f>
        <v>#REF!</v>
      </c>
      <c r="CF525" t="e">
        <f>AND(#REF!,"AAAAAH93u1M=")</f>
        <v>#REF!</v>
      </c>
      <c r="CG525" t="e">
        <f>AND(#REF!,"AAAAAH93u1Q=")</f>
        <v>#REF!</v>
      </c>
      <c r="CH525" t="e">
        <f>AND(#REF!,"AAAAAH93u1U=")</f>
        <v>#REF!</v>
      </c>
      <c r="CI525" t="e">
        <f>AND(#REF!,"AAAAAH93u1Y=")</f>
        <v>#REF!</v>
      </c>
      <c r="CJ525" t="e">
        <f>AND(#REF!,"AAAAAH93u1c=")</f>
        <v>#REF!</v>
      </c>
      <c r="CK525" t="e">
        <f>AND(#REF!,"AAAAAH93u1g=")</f>
        <v>#REF!</v>
      </c>
      <c r="CL525" t="e">
        <f>AND(#REF!,"AAAAAH93u1k=")</f>
        <v>#REF!</v>
      </c>
      <c r="CM525" t="e">
        <f>AND(#REF!,"AAAAAH93u1o=")</f>
        <v>#REF!</v>
      </c>
      <c r="CN525" t="e">
        <f>IF(#REF!,"AAAAAH93u1s=",0)</f>
        <v>#REF!</v>
      </c>
      <c r="CO525" t="e">
        <f>AND(#REF!,"AAAAAH93u1w=")</f>
        <v>#REF!</v>
      </c>
      <c r="CP525" t="e">
        <f>AND(#REF!,"AAAAAH93u10=")</f>
        <v>#REF!</v>
      </c>
      <c r="CQ525" t="e">
        <f>AND(#REF!,"AAAAAH93u14=")</f>
        <v>#REF!</v>
      </c>
      <c r="CR525" t="e">
        <f>AND(#REF!,"AAAAAH93u18=")</f>
        <v>#REF!</v>
      </c>
      <c r="CS525" t="e">
        <f>AND(#REF!,"AAAAAH93u2A=")</f>
        <v>#REF!</v>
      </c>
      <c r="CT525" t="e">
        <f>AND(#REF!,"AAAAAH93u2E=")</f>
        <v>#REF!</v>
      </c>
      <c r="CU525" t="e">
        <f>AND(#REF!,"AAAAAH93u2I=")</f>
        <v>#REF!</v>
      </c>
      <c r="CV525" t="e">
        <f>AND(#REF!,"AAAAAH93u2M=")</f>
        <v>#REF!</v>
      </c>
      <c r="CW525" t="e">
        <f>AND(#REF!,"AAAAAH93u2Q=")</f>
        <v>#REF!</v>
      </c>
      <c r="CX525" t="e">
        <f>AND(#REF!,"AAAAAH93u2U=")</f>
        <v>#REF!</v>
      </c>
      <c r="CY525" t="e">
        <f>AND(#REF!,"AAAAAH93u2Y=")</f>
        <v>#REF!</v>
      </c>
      <c r="CZ525" t="e">
        <f>AND(#REF!,"AAAAAH93u2c=")</f>
        <v>#REF!</v>
      </c>
      <c r="DA525" t="e">
        <f>AND(#REF!,"AAAAAH93u2g=")</f>
        <v>#REF!</v>
      </c>
      <c r="DB525" t="e">
        <f>AND(#REF!,"AAAAAH93u2k=")</f>
        <v>#REF!</v>
      </c>
      <c r="DC525" t="e">
        <f>AND(#REF!,"AAAAAH93u2o=")</f>
        <v>#REF!</v>
      </c>
      <c r="DD525" t="e">
        <f>AND(#REF!,"AAAAAH93u2s=")</f>
        <v>#REF!</v>
      </c>
      <c r="DE525" t="e">
        <f>AND(#REF!,"AAAAAH93u2w=")</f>
        <v>#REF!</v>
      </c>
      <c r="DF525" t="e">
        <f>AND(#REF!,"AAAAAH93u20=")</f>
        <v>#REF!</v>
      </c>
      <c r="DG525" t="e">
        <f>AND(#REF!,"AAAAAH93u24=")</f>
        <v>#REF!</v>
      </c>
      <c r="DH525" t="e">
        <f>AND(#REF!,"AAAAAH93u28=")</f>
        <v>#REF!</v>
      </c>
      <c r="DI525" t="e">
        <f>AND(#REF!,"AAAAAH93u3A=")</f>
        <v>#REF!</v>
      </c>
      <c r="DJ525" t="e">
        <f>AND(#REF!,"AAAAAH93u3E=")</f>
        <v>#REF!</v>
      </c>
      <c r="DK525" t="e">
        <f>AND(#REF!,"AAAAAH93u3I=")</f>
        <v>#REF!</v>
      </c>
      <c r="DL525" t="e">
        <f>AND(#REF!,"AAAAAH93u3M=")</f>
        <v>#REF!</v>
      </c>
      <c r="DM525" t="e">
        <f>IF(#REF!,"AAAAAH93u3Q=",0)</f>
        <v>#REF!</v>
      </c>
      <c r="DN525" t="e">
        <f>AND(#REF!,"AAAAAH93u3U=")</f>
        <v>#REF!</v>
      </c>
      <c r="DO525" t="e">
        <f>AND(#REF!,"AAAAAH93u3Y=")</f>
        <v>#REF!</v>
      </c>
      <c r="DP525" t="e">
        <f>AND(#REF!,"AAAAAH93u3c=")</f>
        <v>#REF!</v>
      </c>
      <c r="DQ525" t="e">
        <f>AND(#REF!,"AAAAAH93u3g=")</f>
        <v>#REF!</v>
      </c>
      <c r="DR525" t="e">
        <f>AND(#REF!,"AAAAAH93u3k=")</f>
        <v>#REF!</v>
      </c>
      <c r="DS525" t="e">
        <f>AND(#REF!,"AAAAAH93u3o=")</f>
        <v>#REF!</v>
      </c>
      <c r="DT525" t="e">
        <f>AND(#REF!,"AAAAAH93u3s=")</f>
        <v>#REF!</v>
      </c>
      <c r="DU525" t="e">
        <f>AND(#REF!,"AAAAAH93u3w=")</f>
        <v>#REF!</v>
      </c>
      <c r="DV525" t="e">
        <f>AND(#REF!,"AAAAAH93u30=")</f>
        <v>#REF!</v>
      </c>
      <c r="DW525" t="e">
        <f>AND(#REF!,"AAAAAH93u34=")</f>
        <v>#REF!</v>
      </c>
      <c r="DX525" t="e">
        <f>AND(#REF!,"AAAAAH93u38=")</f>
        <v>#REF!</v>
      </c>
      <c r="DY525" t="e">
        <f>AND(#REF!,"AAAAAH93u4A=")</f>
        <v>#REF!</v>
      </c>
      <c r="DZ525" t="e">
        <f>AND(#REF!,"AAAAAH93u4E=")</f>
        <v>#REF!</v>
      </c>
      <c r="EA525" t="e">
        <f>AND(#REF!,"AAAAAH93u4I=")</f>
        <v>#REF!</v>
      </c>
      <c r="EB525" t="e">
        <f>AND(#REF!,"AAAAAH93u4M=")</f>
        <v>#REF!</v>
      </c>
      <c r="EC525" t="e">
        <f>AND(#REF!,"AAAAAH93u4Q=")</f>
        <v>#REF!</v>
      </c>
      <c r="ED525" t="e">
        <f>AND(#REF!,"AAAAAH93u4U=")</f>
        <v>#REF!</v>
      </c>
      <c r="EE525" t="e">
        <f>AND(#REF!,"AAAAAH93u4Y=")</f>
        <v>#REF!</v>
      </c>
      <c r="EF525" t="e">
        <f>AND(#REF!,"AAAAAH93u4c=")</f>
        <v>#REF!</v>
      </c>
      <c r="EG525" t="e">
        <f>AND(#REF!,"AAAAAH93u4g=")</f>
        <v>#REF!</v>
      </c>
      <c r="EH525" t="e">
        <f>AND(#REF!,"AAAAAH93u4k=")</f>
        <v>#REF!</v>
      </c>
      <c r="EI525" t="e">
        <f>AND(#REF!,"AAAAAH93u4o=")</f>
        <v>#REF!</v>
      </c>
      <c r="EJ525" t="e">
        <f>AND(#REF!,"AAAAAH93u4s=")</f>
        <v>#REF!</v>
      </c>
      <c r="EK525" t="e">
        <f>AND(#REF!,"AAAAAH93u4w=")</f>
        <v>#REF!</v>
      </c>
      <c r="EL525" t="e">
        <f>IF(#REF!,"AAAAAH93u40=",0)</f>
        <v>#REF!</v>
      </c>
      <c r="EM525" t="e">
        <f>AND(#REF!,"AAAAAH93u44=")</f>
        <v>#REF!</v>
      </c>
      <c r="EN525" t="e">
        <f>AND(#REF!,"AAAAAH93u48=")</f>
        <v>#REF!</v>
      </c>
      <c r="EO525" t="e">
        <f>AND(#REF!,"AAAAAH93u5A=")</f>
        <v>#REF!</v>
      </c>
      <c r="EP525" t="e">
        <f>AND(#REF!,"AAAAAH93u5E=")</f>
        <v>#REF!</v>
      </c>
      <c r="EQ525" t="e">
        <f>AND(#REF!,"AAAAAH93u5I=")</f>
        <v>#REF!</v>
      </c>
      <c r="ER525" t="e">
        <f>AND(#REF!,"AAAAAH93u5M=")</f>
        <v>#REF!</v>
      </c>
      <c r="ES525" t="e">
        <f>AND(#REF!,"AAAAAH93u5Q=")</f>
        <v>#REF!</v>
      </c>
      <c r="ET525" t="e">
        <f>AND(#REF!,"AAAAAH93u5U=")</f>
        <v>#REF!</v>
      </c>
      <c r="EU525" t="e">
        <f>AND(#REF!,"AAAAAH93u5Y=")</f>
        <v>#REF!</v>
      </c>
      <c r="EV525" t="e">
        <f>AND(#REF!,"AAAAAH93u5c=")</f>
        <v>#REF!</v>
      </c>
      <c r="EW525" t="e">
        <f>AND(#REF!,"AAAAAH93u5g=")</f>
        <v>#REF!</v>
      </c>
      <c r="EX525" t="e">
        <f>AND(#REF!,"AAAAAH93u5k=")</f>
        <v>#REF!</v>
      </c>
      <c r="EY525" t="e">
        <f>AND(#REF!,"AAAAAH93u5o=")</f>
        <v>#REF!</v>
      </c>
      <c r="EZ525" t="e">
        <f>AND(#REF!,"AAAAAH93u5s=")</f>
        <v>#REF!</v>
      </c>
      <c r="FA525" t="e">
        <f>AND(#REF!,"AAAAAH93u5w=")</f>
        <v>#REF!</v>
      </c>
      <c r="FB525" t="e">
        <f>AND(#REF!,"AAAAAH93u50=")</f>
        <v>#REF!</v>
      </c>
      <c r="FC525" t="e">
        <f>AND(#REF!,"AAAAAH93u54=")</f>
        <v>#REF!</v>
      </c>
      <c r="FD525" t="e">
        <f>AND(#REF!,"AAAAAH93u58=")</f>
        <v>#REF!</v>
      </c>
      <c r="FE525" t="e">
        <f>AND(#REF!,"AAAAAH93u6A=")</f>
        <v>#REF!</v>
      </c>
      <c r="FF525" t="e">
        <f>AND(#REF!,"AAAAAH93u6E=")</f>
        <v>#REF!</v>
      </c>
      <c r="FG525" t="e">
        <f>AND(#REF!,"AAAAAH93u6I=")</f>
        <v>#REF!</v>
      </c>
      <c r="FH525" t="e">
        <f>AND(#REF!,"AAAAAH93u6M=")</f>
        <v>#REF!</v>
      </c>
      <c r="FI525" t="e">
        <f>AND(#REF!,"AAAAAH93u6Q=")</f>
        <v>#REF!</v>
      </c>
      <c r="FJ525" t="e">
        <f>AND(#REF!,"AAAAAH93u6U=")</f>
        <v>#REF!</v>
      </c>
      <c r="FK525" t="e">
        <f>IF(#REF!,"AAAAAH93u6Y=",0)</f>
        <v>#REF!</v>
      </c>
      <c r="FL525" t="e">
        <f>AND(#REF!,"AAAAAH93u6c=")</f>
        <v>#REF!</v>
      </c>
      <c r="FM525" t="e">
        <f>AND(#REF!,"AAAAAH93u6g=")</f>
        <v>#REF!</v>
      </c>
      <c r="FN525" t="e">
        <f>AND(#REF!,"AAAAAH93u6k=")</f>
        <v>#REF!</v>
      </c>
      <c r="FO525" t="e">
        <f>AND(#REF!,"AAAAAH93u6o=")</f>
        <v>#REF!</v>
      </c>
      <c r="FP525" t="e">
        <f>AND(#REF!,"AAAAAH93u6s=")</f>
        <v>#REF!</v>
      </c>
      <c r="FQ525" t="e">
        <f>AND(#REF!,"AAAAAH93u6w=")</f>
        <v>#REF!</v>
      </c>
      <c r="FR525" t="e">
        <f>AND(#REF!,"AAAAAH93u60=")</f>
        <v>#REF!</v>
      </c>
      <c r="FS525" t="e">
        <f>AND(#REF!,"AAAAAH93u64=")</f>
        <v>#REF!</v>
      </c>
      <c r="FT525" t="e">
        <f>AND(#REF!,"AAAAAH93u68=")</f>
        <v>#REF!</v>
      </c>
      <c r="FU525" t="e">
        <f>AND(#REF!,"AAAAAH93u7A=")</f>
        <v>#REF!</v>
      </c>
      <c r="FV525" t="e">
        <f>AND(#REF!,"AAAAAH93u7E=")</f>
        <v>#REF!</v>
      </c>
      <c r="FW525" t="e">
        <f>AND(#REF!,"AAAAAH93u7I=")</f>
        <v>#REF!</v>
      </c>
      <c r="FX525" t="e">
        <f>AND(#REF!,"AAAAAH93u7M=")</f>
        <v>#REF!</v>
      </c>
      <c r="FY525" t="e">
        <f>AND(#REF!,"AAAAAH93u7Q=")</f>
        <v>#REF!</v>
      </c>
      <c r="FZ525" t="e">
        <f>AND(#REF!,"AAAAAH93u7U=")</f>
        <v>#REF!</v>
      </c>
      <c r="GA525" t="e">
        <f>AND(#REF!,"AAAAAH93u7Y=")</f>
        <v>#REF!</v>
      </c>
      <c r="GB525" t="e">
        <f>AND(#REF!,"AAAAAH93u7c=")</f>
        <v>#REF!</v>
      </c>
      <c r="GC525" t="e">
        <f>AND(#REF!,"AAAAAH93u7g=")</f>
        <v>#REF!</v>
      </c>
      <c r="GD525" t="e">
        <f>AND(#REF!,"AAAAAH93u7k=")</f>
        <v>#REF!</v>
      </c>
      <c r="GE525" t="e">
        <f>AND(#REF!,"AAAAAH93u7o=")</f>
        <v>#REF!</v>
      </c>
      <c r="GF525" t="e">
        <f>AND(#REF!,"AAAAAH93u7s=")</f>
        <v>#REF!</v>
      </c>
      <c r="GG525" t="e">
        <f>AND(#REF!,"AAAAAH93u7w=")</f>
        <v>#REF!</v>
      </c>
      <c r="GH525" t="e">
        <f>AND(#REF!,"AAAAAH93u70=")</f>
        <v>#REF!</v>
      </c>
      <c r="GI525" t="e">
        <f>AND(#REF!,"AAAAAH93u74=")</f>
        <v>#REF!</v>
      </c>
      <c r="GJ525" t="e">
        <f>IF(#REF!,"AAAAAH93u78=",0)</f>
        <v>#REF!</v>
      </c>
      <c r="GK525" t="e">
        <f>AND(#REF!,"AAAAAH93u8A=")</f>
        <v>#REF!</v>
      </c>
      <c r="GL525" t="e">
        <f>AND(#REF!,"AAAAAH93u8E=")</f>
        <v>#REF!</v>
      </c>
      <c r="GM525" t="e">
        <f>AND(#REF!,"AAAAAH93u8I=")</f>
        <v>#REF!</v>
      </c>
      <c r="GN525" t="e">
        <f>AND(#REF!,"AAAAAH93u8M=")</f>
        <v>#REF!</v>
      </c>
      <c r="GO525" t="e">
        <f>AND(#REF!,"AAAAAH93u8Q=")</f>
        <v>#REF!</v>
      </c>
      <c r="GP525" t="e">
        <f>AND(#REF!,"AAAAAH93u8U=")</f>
        <v>#REF!</v>
      </c>
      <c r="GQ525" t="e">
        <f>AND(#REF!,"AAAAAH93u8Y=")</f>
        <v>#REF!</v>
      </c>
      <c r="GR525" t="e">
        <f>AND(#REF!,"AAAAAH93u8c=")</f>
        <v>#REF!</v>
      </c>
      <c r="GS525" t="e">
        <f>AND(#REF!,"AAAAAH93u8g=")</f>
        <v>#REF!</v>
      </c>
      <c r="GT525" t="e">
        <f>AND(#REF!,"AAAAAH93u8k=")</f>
        <v>#REF!</v>
      </c>
      <c r="GU525" t="e">
        <f>AND(#REF!,"AAAAAH93u8o=")</f>
        <v>#REF!</v>
      </c>
      <c r="GV525" t="e">
        <f>AND(#REF!,"AAAAAH93u8s=")</f>
        <v>#REF!</v>
      </c>
      <c r="GW525" t="e">
        <f>AND(#REF!,"AAAAAH93u8w=")</f>
        <v>#REF!</v>
      </c>
      <c r="GX525" t="e">
        <f>AND(#REF!,"AAAAAH93u80=")</f>
        <v>#REF!</v>
      </c>
      <c r="GY525" t="e">
        <f>AND(#REF!,"AAAAAH93u84=")</f>
        <v>#REF!</v>
      </c>
      <c r="GZ525" t="e">
        <f>AND(#REF!,"AAAAAH93u88=")</f>
        <v>#REF!</v>
      </c>
      <c r="HA525" t="e">
        <f>AND(#REF!,"AAAAAH93u9A=")</f>
        <v>#REF!</v>
      </c>
      <c r="HB525" t="e">
        <f>AND(#REF!,"AAAAAH93u9E=")</f>
        <v>#REF!</v>
      </c>
      <c r="HC525" t="e">
        <f>AND(#REF!,"AAAAAH93u9I=")</f>
        <v>#REF!</v>
      </c>
      <c r="HD525" t="e">
        <f>AND(#REF!,"AAAAAH93u9M=")</f>
        <v>#REF!</v>
      </c>
      <c r="HE525" t="e">
        <f>AND(#REF!,"AAAAAH93u9Q=")</f>
        <v>#REF!</v>
      </c>
      <c r="HF525" t="e">
        <f>AND(#REF!,"AAAAAH93u9U=")</f>
        <v>#REF!</v>
      </c>
      <c r="HG525" t="e">
        <f>AND(#REF!,"AAAAAH93u9Y=")</f>
        <v>#REF!</v>
      </c>
      <c r="HH525" t="e">
        <f>AND(#REF!,"AAAAAH93u9c=")</f>
        <v>#REF!</v>
      </c>
      <c r="HI525" t="e">
        <f>IF(#REF!,"AAAAAH93u9g=",0)</f>
        <v>#REF!</v>
      </c>
      <c r="HJ525" t="e">
        <f>AND(#REF!,"AAAAAH93u9k=")</f>
        <v>#REF!</v>
      </c>
      <c r="HK525" t="e">
        <f>AND(#REF!,"AAAAAH93u9o=")</f>
        <v>#REF!</v>
      </c>
      <c r="HL525" t="e">
        <f>AND(#REF!,"AAAAAH93u9s=")</f>
        <v>#REF!</v>
      </c>
      <c r="HM525" t="e">
        <f>AND(#REF!,"AAAAAH93u9w=")</f>
        <v>#REF!</v>
      </c>
      <c r="HN525" t="e">
        <f>AND(#REF!,"AAAAAH93u90=")</f>
        <v>#REF!</v>
      </c>
      <c r="HO525" t="e">
        <f>AND(#REF!,"AAAAAH93u94=")</f>
        <v>#REF!</v>
      </c>
      <c r="HP525" t="e">
        <f>AND(#REF!,"AAAAAH93u98=")</f>
        <v>#REF!</v>
      </c>
      <c r="HQ525" t="e">
        <f>AND(#REF!,"AAAAAH93u+A=")</f>
        <v>#REF!</v>
      </c>
      <c r="HR525" t="e">
        <f>AND(#REF!,"AAAAAH93u+E=")</f>
        <v>#REF!</v>
      </c>
      <c r="HS525" t="e">
        <f>AND(#REF!,"AAAAAH93u+I=")</f>
        <v>#REF!</v>
      </c>
      <c r="HT525" t="e">
        <f>AND(#REF!,"AAAAAH93u+M=")</f>
        <v>#REF!</v>
      </c>
      <c r="HU525" t="e">
        <f>AND(#REF!,"AAAAAH93u+Q=")</f>
        <v>#REF!</v>
      </c>
      <c r="HV525" t="e">
        <f>AND(#REF!,"AAAAAH93u+U=")</f>
        <v>#REF!</v>
      </c>
      <c r="HW525" t="e">
        <f>AND(#REF!,"AAAAAH93u+Y=")</f>
        <v>#REF!</v>
      </c>
      <c r="HX525" t="e">
        <f>AND(#REF!,"AAAAAH93u+c=")</f>
        <v>#REF!</v>
      </c>
      <c r="HY525" t="e">
        <f>AND(#REF!,"AAAAAH93u+g=")</f>
        <v>#REF!</v>
      </c>
      <c r="HZ525" t="e">
        <f>AND(#REF!,"AAAAAH93u+k=")</f>
        <v>#REF!</v>
      </c>
      <c r="IA525" t="e">
        <f>AND(#REF!,"AAAAAH93u+o=")</f>
        <v>#REF!</v>
      </c>
      <c r="IB525" t="e">
        <f>AND(#REF!,"AAAAAH93u+s=")</f>
        <v>#REF!</v>
      </c>
      <c r="IC525" t="e">
        <f>AND(#REF!,"AAAAAH93u+w=")</f>
        <v>#REF!</v>
      </c>
      <c r="ID525" t="e">
        <f>AND(#REF!,"AAAAAH93u+0=")</f>
        <v>#REF!</v>
      </c>
      <c r="IE525" t="e">
        <f>AND(#REF!,"AAAAAH93u+4=")</f>
        <v>#REF!</v>
      </c>
      <c r="IF525" t="e">
        <f>AND(#REF!,"AAAAAH93u+8=")</f>
        <v>#REF!</v>
      </c>
      <c r="IG525" t="e">
        <f>AND(#REF!,"AAAAAH93u/A=")</f>
        <v>#REF!</v>
      </c>
      <c r="IH525" t="e">
        <f>IF(#REF!,"AAAAAH93u/E=",0)</f>
        <v>#REF!</v>
      </c>
      <c r="II525" t="e">
        <f>AND(#REF!,"AAAAAH93u/I=")</f>
        <v>#REF!</v>
      </c>
      <c r="IJ525" t="e">
        <f>AND(#REF!,"AAAAAH93u/M=")</f>
        <v>#REF!</v>
      </c>
      <c r="IK525" t="e">
        <f>AND(#REF!,"AAAAAH93u/Q=")</f>
        <v>#REF!</v>
      </c>
      <c r="IL525" t="e">
        <f>AND(#REF!,"AAAAAH93u/U=")</f>
        <v>#REF!</v>
      </c>
      <c r="IM525" t="e">
        <f>AND(#REF!,"AAAAAH93u/Y=")</f>
        <v>#REF!</v>
      </c>
      <c r="IN525" t="e">
        <f>AND(#REF!,"AAAAAH93u/c=")</f>
        <v>#REF!</v>
      </c>
      <c r="IO525" t="e">
        <f>AND(#REF!,"AAAAAH93u/g=")</f>
        <v>#REF!</v>
      </c>
      <c r="IP525" t="e">
        <f>AND(#REF!,"AAAAAH93u/k=")</f>
        <v>#REF!</v>
      </c>
      <c r="IQ525" t="e">
        <f>AND(#REF!,"AAAAAH93u/o=")</f>
        <v>#REF!</v>
      </c>
      <c r="IR525" t="e">
        <f>AND(#REF!,"AAAAAH93u/s=")</f>
        <v>#REF!</v>
      </c>
      <c r="IS525" t="e">
        <f>AND(#REF!,"AAAAAH93u/w=")</f>
        <v>#REF!</v>
      </c>
      <c r="IT525" t="e">
        <f>AND(#REF!,"AAAAAH93u/0=")</f>
        <v>#REF!</v>
      </c>
      <c r="IU525" t="e">
        <f>AND(#REF!,"AAAAAH93u/4=")</f>
        <v>#REF!</v>
      </c>
      <c r="IV525" t="e">
        <f>AND(#REF!,"AAAAAH93u/8=")</f>
        <v>#REF!</v>
      </c>
    </row>
    <row r="526" spans="1:256">
      <c r="A526" t="e">
        <f>AND(#REF!,"AAAAAG4/vgA=")</f>
        <v>#REF!</v>
      </c>
      <c r="B526" t="e">
        <f>AND(#REF!,"AAAAAG4/vgE=")</f>
        <v>#REF!</v>
      </c>
      <c r="C526" t="e">
        <f>AND(#REF!,"AAAAAG4/vgI=")</f>
        <v>#REF!</v>
      </c>
      <c r="D526" t="e">
        <f>AND(#REF!,"AAAAAG4/vgM=")</f>
        <v>#REF!</v>
      </c>
      <c r="E526" t="e">
        <f>AND(#REF!,"AAAAAG4/vgQ=")</f>
        <v>#REF!</v>
      </c>
      <c r="F526" t="e">
        <f>AND(#REF!,"AAAAAG4/vgU=")</f>
        <v>#REF!</v>
      </c>
      <c r="G526" t="e">
        <f>AND(#REF!,"AAAAAG4/vgY=")</f>
        <v>#REF!</v>
      </c>
      <c r="H526" t="e">
        <f>AND(#REF!,"AAAAAG4/vgc=")</f>
        <v>#REF!</v>
      </c>
      <c r="I526" t="e">
        <f>AND(#REF!,"AAAAAG4/vgg=")</f>
        <v>#REF!</v>
      </c>
      <c r="J526" t="e">
        <f>AND(#REF!,"AAAAAG4/vgk=")</f>
        <v>#REF!</v>
      </c>
      <c r="K526" t="e">
        <f>IF(#REF!,"AAAAAG4/vgo=",0)</f>
        <v>#REF!</v>
      </c>
      <c r="L526" t="e">
        <f>AND(#REF!,"AAAAAG4/vgs=")</f>
        <v>#REF!</v>
      </c>
      <c r="M526" t="e">
        <f>AND(#REF!,"AAAAAG4/vgw=")</f>
        <v>#REF!</v>
      </c>
      <c r="N526" t="e">
        <f>AND(#REF!,"AAAAAG4/vg0=")</f>
        <v>#REF!</v>
      </c>
      <c r="O526" t="e">
        <f>AND(#REF!,"AAAAAG4/vg4=")</f>
        <v>#REF!</v>
      </c>
      <c r="P526" t="e">
        <f>AND(#REF!,"AAAAAG4/vg8=")</f>
        <v>#REF!</v>
      </c>
      <c r="Q526" t="e">
        <f>AND(#REF!,"AAAAAG4/vhA=")</f>
        <v>#REF!</v>
      </c>
      <c r="R526" t="e">
        <f>AND(#REF!,"AAAAAG4/vhE=")</f>
        <v>#REF!</v>
      </c>
      <c r="S526" t="e">
        <f>AND(#REF!,"AAAAAG4/vhI=")</f>
        <v>#REF!</v>
      </c>
      <c r="T526" t="e">
        <f>AND(#REF!,"AAAAAG4/vhM=")</f>
        <v>#REF!</v>
      </c>
      <c r="U526" t="e">
        <f>AND(#REF!,"AAAAAG4/vhQ=")</f>
        <v>#REF!</v>
      </c>
      <c r="V526" t="e">
        <f>AND(#REF!,"AAAAAG4/vhU=")</f>
        <v>#REF!</v>
      </c>
      <c r="W526" t="e">
        <f>AND(#REF!,"AAAAAG4/vhY=")</f>
        <v>#REF!</v>
      </c>
      <c r="X526" t="e">
        <f>AND(#REF!,"AAAAAG4/vhc=")</f>
        <v>#REF!</v>
      </c>
      <c r="Y526" t="e">
        <f>AND(#REF!,"AAAAAG4/vhg=")</f>
        <v>#REF!</v>
      </c>
      <c r="Z526" t="e">
        <f>AND(#REF!,"AAAAAG4/vhk=")</f>
        <v>#REF!</v>
      </c>
      <c r="AA526" t="e">
        <f>AND(#REF!,"AAAAAG4/vho=")</f>
        <v>#REF!</v>
      </c>
      <c r="AB526" t="e">
        <f>AND(#REF!,"AAAAAG4/vhs=")</f>
        <v>#REF!</v>
      </c>
      <c r="AC526" t="e">
        <f>AND(#REF!,"AAAAAG4/vhw=")</f>
        <v>#REF!</v>
      </c>
      <c r="AD526" t="e">
        <f>AND(#REF!,"AAAAAG4/vh0=")</f>
        <v>#REF!</v>
      </c>
      <c r="AE526" t="e">
        <f>AND(#REF!,"AAAAAG4/vh4=")</f>
        <v>#REF!</v>
      </c>
      <c r="AF526" t="e">
        <f>AND(#REF!,"AAAAAG4/vh8=")</f>
        <v>#REF!</v>
      </c>
      <c r="AG526" t="e">
        <f>AND(#REF!,"AAAAAG4/viA=")</f>
        <v>#REF!</v>
      </c>
      <c r="AH526" t="e">
        <f>AND(#REF!,"AAAAAG4/viE=")</f>
        <v>#REF!</v>
      </c>
      <c r="AI526" t="e">
        <f>AND(#REF!,"AAAAAG4/viI=")</f>
        <v>#REF!</v>
      </c>
      <c r="AJ526" t="e">
        <f>IF(#REF!,"AAAAAG4/viM=",0)</f>
        <v>#REF!</v>
      </c>
      <c r="AK526" t="e">
        <f>AND(#REF!,"AAAAAG4/viQ=")</f>
        <v>#REF!</v>
      </c>
      <c r="AL526" t="e">
        <f>AND(#REF!,"AAAAAG4/viU=")</f>
        <v>#REF!</v>
      </c>
      <c r="AM526" t="e">
        <f>AND(#REF!,"AAAAAG4/viY=")</f>
        <v>#REF!</v>
      </c>
      <c r="AN526" t="e">
        <f>AND(#REF!,"AAAAAG4/vic=")</f>
        <v>#REF!</v>
      </c>
      <c r="AO526" t="e">
        <f>AND(#REF!,"AAAAAG4/vig=")</f>
        <v>#REF!</v>
      </c>
      <c r="AP526" t="e">
        <f>AND(#REF!,"AAAAAG4/vik=")</f>
        <v>#REF!</v>
      </c>
      <c r="AQ526" t="e">
        <f>AND(#REF!,"AAAAAG4/vio=")</f>
        <v>#REF!</v>
      </c>
      <c r="AR526" t="e">
        <f>AND(#REF!,"AAAAAG4/vis=")</f>
        <v>#REF!</v>
      </c>
      <c r="AS526" t="e">
        <f>AND(#REF!,"AAAAAG4/viw=")</f>
        <v>#REF!</v>
      </c>
      <c r="AT526" t="e">
        <f>AND(#REF!,"AAAAAG4/vi0=")</f>
        <v>#REF!</v>
      </c>
      <c r="AU526" t="e">
        <f>AND(#REF!,"AAAAAG4/vi4=")</f>
        <v>#REF!</v>
      </c>
      <c r="AV526" t="e">
        <f>AND(#REF!,"AAAAAG4/vi8=")</f>
        <v>#REF!</v>
      </c>
      <c r="AW526" t="e">
        <f>AND(#REF!,"AAAAAG4/vjA=")</f>
        <v>#REF!</v>
      </c>
      <c r="AX526" t="e">
        <f>AND(#REF!,"AAAAAG4/vjE=")</f>
        <v>#REF!</v>
      </c>
      <c r="AY526" t="e">
        <f>AND(#REF!,"AAAAAG4/vjI=")</f>
        <v>#REF!</v>
      </c>
      <c r="AZ526" t="e">
        <f>AND(#REF!,"AAAAAG4/vjM=")</f>
        <v>#REF!</v>
      </c>
      <c r="BA526" t="e">
        <f>AND(#REF!,"AAAAAG4/vjQ=")</f>
        <v>#REF!</v>
      </c>
      <c r="BB526" t="e">
        <f>AND(#REF!,"AAAAAG4/vjU=")</f>
        <v>#REF!</v>
      </c>
      <c r="BC526" t="e">
        <f>AND(#REF!,"AAAAAG4/vjY=")</f>
        <v>#REF!</v>
      </c>
      <c r="BD526" t="e">
        <f>AND(#REF!,"AAAAAG4/vjc=")</f>
        <v>#REF!</v>
      </c>
      <c r="BE526" t="e">
        <f>AND(#REF!,"AAAAAG4/vjg=")</f>
        <v>#REF!</v>
      </c>
      <c r="BF526" t="e">
        <f>AND(#REF!,"AAAAAG4/vjk=")</f>
        <v>#REF!</v>
      </c>
      <c r="BG526" t="e">
        <f>AND(#REF!,"AAAAAG4/vjo=")</f>
        <v>#REF!</v>
      </c>
      <c r="BH526" t="e">
        <f>AND(#REF!,"AAAAAG4/vjs=")</f>
        <v>#REF!</v>
      </c>
      <c r="BI526" t="e">
        <f>IF(#REF!,"AAAAAG4/vjw=",0)</f>
        <v>#REF!</v>
      </c>
      <c r="BJ526" t="e">
        <f>AND(#REF!,"AAAAAG4/vj0=")</f>
        <v>#REF!</v>
      </c>
      <c r="BK526" t="e">
        <f>AND(#REF!,"AAAAAG4/vj4=")</f>
        <v>#REF!</v>
      </c>
      <c r="BL526" t="e">
        <f>AND(#REF!,"AAAAAG4/vj8=")</f>
        <v>#REF!</v>
      </c>
      <c r="BM526" t="e">
        <f>AND(#REF!,"AAAAAG4/vkA=")</f>
        <v>#REF!</v>
      </c>
      <c r="BN526" t="e">
        <f>AND(#REF!,"AAAAAG4/vkE=")</f>
        <v>#REF!</v>
      </c>
      <c r="BO526" t="e">
        <f>AND(#REF!,"AAAAAG4/vkI=")</f>
        <v>#REF!</v>
      </c>
      <c r="BP526" t="e">
        <f>AND(#REF!,"AAAAAG4/vkM=")</f>
        <v>#REF!</v>
      </c>
      <c r="BQ526" t="e">
        <f>AND(#REF!,"AAAAAG4/vkQ=")</f>
        <v>#REF!</v>
      </c>
      <c r="BR526" t="e">
        <f>AND(#REF!,"AAAAAG4/vkU=")</f>
        <v>#REF!</v>
      </c>
      <c r="BS526" t="e">
        <f>AND(#REF!,"AAAAAG4/vkY=")</f>
        <v>#REF!</v>
      </c>
      <c r="BT526" t="e">
        <f>AND(#REF!,"AAAAAG4/vkc=")</f>
        <v>#REF!</v>
      </c>
      <c r="BU526" t="e">
        <f>AND(#REF!,"AAAAAG4/vkg=")</f>
        <v>#REF!</v>
      </c>
      <c r="BV526" t="e">
        <f>AND(#REF!,"AAAAAG4/vkk=")</f>
        <v>#REF!</v>
      </c>
      <c r="BW526" t="e">
        <f>AND(#REF!,"AAAAAG4/vko=")</f>
        <v>#REF!</v>
      </c>
      <c r="BX526" t="e">
        <f>AND(#REF!,"AAAAAG4/vks=")</f>
        <v>#REF!</v>
      </c>
      <c r="BY526" t="e">
        <f>AND(#REF!,"AAAAAG4/vkw=")</f>
        <v>#REF!</v>
      </c>
      <c r="BZ526" t="e">
        <f>AND(#REF!,"AAAAAG4/vk0=")</f>
        <v>#REF!</v>
      </c>
      <c r="CA526" t="e">
        <f>AND(#REF!,"AAAAAG4/vk4=")</f>
        <v>#REF!</v>
      </c>
      <c r="CB526" t="e">
        <f>AND(#REF!,"AAAAAG4/vk8=")</f>
        <v>#REF!</v>
      </c>
      <c r="CC526" t="e">
        <f>AND(#REF!,"AAAAAG4/vlA=")</f>
        <v>#REF!</v>
      </c>
      <c r="CD526" t="e">
        <f>AND(#REF!,"AAAAAG4/vlE=")</f>
        <v>#REF!</v>
      </c>
      <c r="CE526" t="e">
        <f>AND(#REF!,"AAAAAG4/vlI=")</f>
        <v>#REF!</v>
      </c>
      <c r="CF526" t="e">
        <f>AND(#REF!,"AAAAAG4/vlM=")</f>
        <v>#REF!</v>
      </c>
      <c r="CG526" t="e">
        <f>AND(#REF!,"AAAAAG4/vlQ=")</f>
        <v>#REF!</v>
      </c>
      <c r="CH526" t="e">
        <f>IF(#REF!,"AAAAAG4/vlU=",0)</f>
        <v>#REF!</v>
      </c>
      <c r="CI526" t="e">
        <f>AND(#REF!,"AAAAAG4/vlY=")</f>
        <v>#REF!</v>
      </c>
      <c r="CJ526" t="e">
        <f>AND(#REF!,"AAAAAG4/vlc=")</f>
        <v>#REF!</v>
      </c>
      <c r="CK526" t="e">
        <f>AND(#REF!,"AAAAAG4/vlg=")</f>
        <v>#REF!</v>
      </c>
      <c r="CL526" t="e">
        <f>AND(#REF!,"AAAAAG4/vlk=")</f>
        <v>#REF!</v>
      </c>
      <c r="CM526" t="e">
        <f>AND(#REF!,"AAAAAG4/vlo=")</f>
        <v>#REF!</v>
      </c>
      <c r="CN526" t="e">
        <f>AND(#REF!,"AAAAAG4/vls=")</f>
        <v>#REF!</v>
      </c>
      <c r="CO526" t="e">
        <f>AND(#REF!,"AAAAAG4/vlw=")</f>
        <v>#REF!</v>
      </c>
      <c r="CP526" t="e">
        <f>AND(#REF!,"AAAAAG4/vl0=")</f>
        <v>#REF!</v>
      </c>
      <c r="CQ526" t="e">
        <f>AND(#REF!,"AAAAAG4/vl4=")</f>
        <v>#REF!</v>
      </c>
      <c r="CR526" t="e">
        <f>AND(#REF!,"AAAAAG4/vl8=")</f>
        <v>#REF!</v>
      </c>
      <c r="CS526" t="e">
        <f>AND(#REF!,"AAAAAG4/vmA=")</f>
        <v>#REF!</v>
      </c>
      <c r="CT526" t="e">
        <f>AND(#REF!,"AAAAAG4/vmE=")</f>
        <v>#REF!</v>
      </c>
      <c r="CU526" t="e">
        <f>AND(#REF!,"AAAAAG4/vmI=")</f>
        <v>#REF!</v>
      </c>
      <c r="CV526" t="e">
        <f>AND(#REF!,"AAAAAG4/vmM=")</f>
        <v>#REF!</v>
      </c>
      <c r="CW526" t="e">
        <f>AND(#REF!,"AAAAAG4/vmQ=")</f>
        <v>#REF!</v>
      </c>
      <c r="CX526" t="e">
        <f>AND(#REF!,"AAAAAG4/vmU=")</f>
        <v>#REF!</v>
      </c>
      <c r="CY526" t="e">
        <f>AND(#REF!,"AAAAAG4/vmY=")</f>
        <v>#REF!</v>
      </c>
      <c r="CZ526" t="e">
        <f>AND(#REF!,"AAAAAG4/vmc=")</f>
        <v>#REF!</v>
      </c>
      <c r="DA526" t="e">
        <f>AND(#REF!,"AAAAAG4/vmg=")</f>
        <v>#REF!</v>
      </c>
      <c r="DB526" t="e">
        <f>AND(#REF!,"AAAAAG4/vmk=")</f>
        <v>#REF!</v>
      </c>
      <c r="DC526" t="e">
        <f>AND(#REF!,"AAAAAG4/vmo=")</f>
        <v>#REF!</v>
      </c>
      <c r="DD526" t="e">
        <f>AND(#REF!,"AAAAAG4/vms=")</f>
        <v>#REF!</v>
      </c>
      <c r="DE526" t="e">
        <f>AND(#REF!,"AAAAAG4/vmw=")</f>
        <v>#REF!</v>
      </c>
      <c r="DF526" t="e">
        <f>AND(#REF!,"AAAAAG4/vm0=")</f>
        <v>#REF!</v>
      </c>
      <c r="DG526" t="e">
        <f>IF(#REF!,"AAAAAG4/vm4=",0)</f>
        <v>#REF!</v>
      </c>
      <c r="DH526" t="e">
        <f>AND(#REF!,"AAAAAG4/vm8=")</f>
        <v>#REF!</v>
      </c>
      <c r="DI526" t="e">
        <f>AND(#REF!,"AAAAAG4/vnA=")</f>
        <v>#REF!</v>
      </c>
      <c r="DJ526" t="e">
        <f>AND(#REF!,"AAAAAG4/vnE=")</f>
        <v>#REF!</v>
      </c>
      <c r="DK526" t="e">
        <f>AND(#REF!,"AAAAAG4/vnI=")</f>
        <v>#REF!</v>
      </c>
      <c r="DL526" t="e">
        <f>AND(#REF!,"AAAAAG4/vnM=")</f>
        <v>#REF!</v>
      </c>
      <c r="DM526" t="e">
        <f>AND(#REF!,"AAAAAG4/vnQ=")</f>
        <v>#REF!</v>
      </c>
      <c r="DN526" t="e">
        <f>AND(#REF!,"AAAAAG4/vnU=")</f>
        <v>#REF!</v>
      </c>
      <c r="DO526" t="e">
        <f>AND(#REF!,"AAAAAG4/vnY=")</f>
        <v>#REF!</v>
      </c>
      <c r="DP526" t="e">
        <f>AND(#REF!,"AAAAAG4/vnc=")</f>
        <v>#REF!</v>
      </c>
      <c r="DQ526" t="e">
        <f>AND(#REF!,"AAAAAG4/vng=")</f>
        <v>#REF!</v>
      </c>
      <c r="DR526" t="e">
        <f>AND(#REF!,"AAAAAG4/vnk=")</f>
        <v>#REF!</v>
      </c>
      <c r="DS526" t="e">
        <f>AND(#REF!,"AAAAAG4/vno=")</f>
        <v>#REF!</v>
      </c>
      <c r="DT526" t="e">
        <f>AND(#REF!,"AAAAAG4/vns=")</f>
        <v>#REF!</v>
      </c>
      <c r="DU526" t="e">
        <f>AND(#REF!,"AAAAAG4/vnw=")</f>
        <v>#REF!</v>
      </c>
      <c r="DV526" t="e">
        <f>AND(#REF!,"AAAAAG4/vn0=")</f>
        <v>#REF!</v>
      </c>
      <c r="DW526" t="e">
        <f>AND(#REF!,"AAAAAG4/vn4=")</f>
        <v>#REF!</v>
      </c>
      <c r="DX526" t="e">
        <f>AND(#REF!,"AAAAAG4/vn8=")</f>
        <v>#REF!</v>
      </c>
      <c r="DY526" t="e">
        <f>AND(#REF!,"AAAAAG4/voA=")</f>
        <v>#REF!</v>
      </c>
      <c r="DZ526" t="e">
        <f>AND(#REF!,"AAAAAG4/voE=")</f>
        <v>#REF!</v>
      </c>
      <c r="EA526" t="e">
        <f>AND(#REF!,"AAAAAG4/voI=")</f>
        <v>#REF!</v>
      </c>
      <c r="EB526" t="e">
        <f>AND(#REF!,"AAAAAG4/voM=")</f>
        <v>#REF!</v>
      </c>
      <c r="EC526" t="e">
        <f>AND(#REF!,"AAAAAG4/voQ=")</f>
        <v>#REF!</v>
      </c>
      <c r="ED526" t="e">
        <f>AND(#REF!,"AAAAAG4/voU=")</f>
        <v>#REF!</v>
      </c>
      <c r="EE526" t="e">
        <f>AND(#REF!,"AAAAAG4/voY=")</f>
        <v>#REF!</v>
      </c>
      <c r="EF526" t="e">
        <f>IF(#REF!,"AAAAAG4/voc=",0)</f>
        <v>#REF!</v>
      </c>
      <c r="EG526" t="e">
        <f>AND(#REF!,"AAAAAG4/vog=")</f>
        <v>#REF!</v>
      </c>
      <c r="EH526" t="e">
        <f>AND(#REF!,"AAAAAG4/vok=")</f>
        <v>#REF!</v>
      </c>
      <c r="EI526" t="e">
        <f>AND(#REF!,"AAAAAG4/voo=")</f>
        <v>#REF!</v>
      </c>
      <c r="EJ526" t="e">
        <f>AND(#REF!,"AAAAAG4/vos=")</f>
        <v>#REF!</v>
      </c>
      <c r="EK526" t="e">
        <f>AND(#REF!,"AAAAAG4/vow=")</f>
        <v>#REF!</v>
      </c>
      <c r="EL526" t="e">
        <f>AND(#REF!,"AAAAAG4/vo0=")</f>
        <v>#REF!</v>
      </c>
      <c r="EM526" t="e">
        <f>AND(#REF!,"AAAAAG4/vo4=")</f>
        <v>#REF!</v>
      </c>
      <c r="EN526" t="e">
        <f>AND(#REF!,"AAAAAG4/vo8=")</f>
        <v>#REF!</v>
      </c>
      <c r="EO526" t="e">
        <f>AND(#REF!,"AAAAAG4/vpA=")</f>
        <v>#REF!</v>
      </c>
      <c r="EP526" t="e">
        <f>AND(#REF!,"AAAAAG4/vpE=")</f>
        <v>#REF!</v>
      </c>
      <c r="EQ526" t="e">
        <f>AND(#REF!,"AAAAAG4/vpI=")</f>
        <v>#REF!</v>
      </c>
      <c r="ER526" t="e">
        <f>AND(#REF!,"AAAAAG4/vpM=")</f>
        <v>#REF!</v>
      </c>
      <c r="ES526" t="e">
        <f>AND(#REF!,"AAAAAG4/vpQ=")</f>
        <v>#REF!</v>
      </c>
      <c r="ET526" t="e">
        <f>AND(#REF!,"AAAAAG4/vpU=")</f>
        <v>#REF!</v>
      </c>
      <c r="EU526" t="e">
        <f>AND(#REF!,"AAAAAG4/vpY=")</f>
        <v>#REF!</v>
      </c>
      <c r="EV526" t="e">
        <f>AND(#REF!,"AAAAAG4/vpc=")</f>
        <v>#REF!</v>
      </c>
      <c r="EW526" t="e">
        <f>AND(#REF!,"AAAAAG4/vpg=")</f>
        <v>#REF!</v>
      </c>
      <c r="EX526" t="e">
        <f>AND(#REF!,"AAAAAG4/vpk=")</f>
        <v>#REF!</v>
      </c>
      <c r="EY526" t="e">
        <f>AND(#REF!,"AAAAAG4/vpo=")</f>
        <v>#REF!</v>
      </c>
      <c r="EZ526" t="e">
        <f>AND(#REF!,"AAAAAG4/vps=")</f>
        <v>#REF!</v>
      </c>
      <c r="FA526" t="e">
        <f>AND(#REF!,"AAAAAG4/vpw=")</f>
        <v>#REF!</v>
      </c>
      <c r="FB526" t="e">
        <f>AND(#REF!,"AAAAAG4/vp0=")</f>
        <v>#REF!</v>
      </c>
      <c r="FC526" t="e">
        <f>AND(#REF!,"AAAAAG4/vp4=")</f>
        <v>#REF!</v>
      </c>
      <c r="FD526" t="e">
        <f>AND(#REF!,"AAAAAG4/vp8=")</f>
        <v>#REF!</v>
      </c>
      <c r="FE526" t="e">
        <f>IF(#REF!,"AAAAAG4/vqA=",0)</f>
        <v>#REF!</v>
      </c>
      <c r="FF526" t="e">
        <f>AND(#REF!,"AAAAAG4/vqE=")</f>
        <v>#REF!</v>
      </c>
      <c r="FG526" t="e">
        <f>AND(#REF!,"AAAAAG4/vqI=")</f>
        <v>#REF!</v>
      </c>
      <c r="FH526" t="e">
        <f>AND(#REF!,"AAAAAG4/vqM=")</f>
        <v>#REF!</v>
      </c>
      <c r="FI526" t="e">
        <f>AND(#REF!,"AAAAAG4/vqQ=")</f>
        <v>#REF!</v>
      </c>
      <c r="FJ526" t="e">
        <f>AND(#REF!,"AAAAAG4/vqU=")</f>
        <v>#REF!</v>
      </c>
      <c r="FK526" t="e">
        <f>AND(#REF!,"AAAAAG4/vqY=")</f>
        <v>#REF!</v>
      </c>
      <c r="FL526" t="e">
        <f>AND(#REF!,"AAAAAG4/vqc=")</f>
        <v>#REF!</v>
      </c>
      <c r="FM526" t="e">
        <f>AND(#REF!,"AAAAAG4/vqg=")</f>
        <v>#REF!</v>
      </c>
      <c r="FN526" t="e">
        <f>AND(#REF!,"AAAAAG4/vqk=")</f>
        <v>#REF!</v>
      </c>
      <c r="FO526" t="e">
        <f>AND(#REF!,"AAAAAG4/vqo=")</f>
        <v>#REF!</v>
      </c>
      <c r="FP526" t="e">
        <f>AND(#REF!,"AAAAAG4/vqs=")</f>
        <v>#REF!</v>
      </c>
      <c r="FQ526" t="e">
        <f>AND(#REF!,"AAAAAG4/vqw=")</f>
        <v>#REF!</v>
      </c>
      <c r="FR526" t="e">
        <f>AND(#REF!,"AAAAAG4/vq0=")</f>
        <v>#REF!</v>
      </c>
      <c r="FS526" t="e">
        <f>AND(#REF!,"AAAAAG4/vq4=")</f>
        <v>#REF!</v>
      </c>
      <c r="FT526" t="e">
        <f>AND(#REF!,"AAAAAG4/vq8=")</f>
        <v>#REF!</v>
      </c>
      <c r="FU526" t="e">
        <f>AND(#REF!,"AAAAAG4/vrA=")</f>
        <v>#REF!</v>
      </c>
      <c r="FV526" t="e">
        <f>AND(#REF!,"AAAAAG4/vrE=")</f>
        <v>#REF!</v>
      </c>
      <c r="FW526" t="e">
        <f>AND(#REF!,"AAAAAG4/vrI=")</f>
        <v>#REF!</v>
      </c>
      <c r="FX526" t="e">
        <f>AND(#REF!,"AAAAAG4/vrM=")</f>
        <v>#REF!</v>
      </c>
      <c r="FY526" t="e">
        <f>AND(#REF!,"AAAAAG4/vrQ=")</f>
        <v>#REF!</v>
      </c>
      <c r="FZ526" t="e">
        <f>AND(#REF!,"AAAAAG4/vrU=")</f>
        <v>#REF!</v>
      </c>
      <c r="GA526" t="e">
        <f>AND(#REF!,"AAAAAG4/vrY=")</f>
        <v>#REF!</v>
      </c>
      <c r="GB526" t="e">
        <f>AND(#REF!,"AAAAAG4/vrc=")</f>
        <v>#REF!</v>
      </c>
      <c r="GC526" t="e">
        <f>AND(#REF!,"AAAAAG4/vrg=")</f>
        <v>#REF!</v>
      </c>
      <c r="GD526" t="e">
        <f>IF(#REF!,"AAAAAG4/vrk=",0)</f>
        <v>#REF!</v>
      </c>
      <c r="GE526" t="e">
        <f>AND(#REF!,"AAAAAG4/vro=")</f>
        <v>#REF!</v>
      </c>
      <c r="GF526" t="e">
        <f>AND(#REF!,"AAAAAG4/vrs=")</f>
        <v>#REF!</v>
      </c>
      <c r="GG526" t="e">
        <f>AND(#REF!,"AAAAAG4/vrw=")</f>
        <v>#REF!</v>
      </c>
      <c r="GH526" t="e">
        <f>AND(#REF!,"AAAAAG4/vr0=")</f>
        <v>#REF!</v>
      </c>
      <c r="GI526" t="e">
        <f>AND(#REF!,"AAAAAG4/vr4=")</f>
        <v>#REF!</v>
      </c>
      <c r="GJ526" t="e">
        <f>AND(#REF!,"AAAAAG4/vr8=")</f>
        <v>#REF!</v>
      </c>
      <c r="GK526" t="e">
        <f>AND(#REF!,"AAAAAG4/vsA=")</f>
        <v>#REF!</v>
      </c>
      <c r="GL526" t="e">
        <f>AND(#REF!,"AAAAAG4/vsE=")</f>
        <v>#REF!</v>
      </c>
      <c r="GM526" t="e">
        <f>AND(#REF!,"AAAAAG4/vsI=")</f>
        <v>#REF!</v>
      </c>
      <c r="GN526" t="e">
        <f>AND(#REF!,"AAAAAG4/vsM=")</f>
        <v>#REF!</v>
      </c>
      <c r="GO526" t="e">
        <f>AND(#REF!,"AAAAAG4/vsQ=")</f>
        <v>#REF!</v>
      </c>
      <c r="GP526" t="e">
        <f>AND(#REF!,"AAAAAG4/vsU=")</f>
        <v>#REF!</v>
      </c>
      <c r="GQ526" t="e">
        <f>AND(#REF!,"AAAAAG4/vsY=")</f>
        <v>#REF!</v>
      </c>
      <c r="GR526" t="e">
        <f>AND(#REF!,"AAAAAG4/vsc=")</f>
        <v>#REF!</v>
      </c>
      <c r="GS526" t="e">
        <f>AND(#REF!,"AAAAAG4/vsg=")</f>
        <v>#REF!</v>
      </c>
      <c r="GT526" t="e">
        <f>AND(#REF!,"AAAAAG4/vsk=")</f>
        <v>#REF!</v>
      </c>
      <c r="GU526" t="e">
        <f>AND(#REF!,"AAAAAG4/vso=")</f>
        <v>#REF!</v>
      </c>
      <c r="GV526" t="e">
        <f>AND(#REF!,"AAAAAG4/vss=")</f>
        <v>#REF!</v>
      </c>
      <c r="GW526" t="e">
        <f>AND(#REF!,"AAAAAG4/vsw=")</f>
        <v>#REF!</v>
      </c>
      <c r="GX526" t="e">
        <f>AND(#REF!,"AAAAAG4/vs0=")</f>
        <v>#REF!</v>
      </c>
      <c r="GY526" t="e">
        <f>AND(#REF!,"AAAAAG4/vs4=")</f>
        <v>#REF!</v>
      </c>
      <c r="GZ526" t="e">
        <f>AND(#REF!,"AAAAAG4/vs8=")</f>
        <v>#REF!</v>
      </c>
      <c r="HA526" t="e">
        <f>AND(#REF!,"AAAAAG4/vtA=")</f>
        <v>#REF!</v>
      </c>
      <c r="HB526" t="e">
        <f>AND(#REF!,"AAAAAG4/vtE=")</f>
        <v>#REF!</v>
      </c>
      <c r="HC526" t="e">
        <f>IF(#REF!,"AAAAAG4/vtI=",0)</f>
        <v>#REF!</v>
      </c>
      <c r="HD526" t="e">
        <f>AND(#REF!,"AAAAAG4/vtM=")</f>
        <v>#REF!</v>
      </c>
      <c r="HE526" t="e">
        <f>AND(#REF!,"AAAAAG4/vtQ=")</f>
        <v>#REF!</v>
      </c>
      <c r="HF526" t="e">
        <f>AND(#REF!,"AAAAAG4/vtU=")</f>
        <v>#REF!</v>
      </c>
      <c r="HG526" t="e">
        <f>AND(#REF!,"AAAAAG4/vtY=")</f>
        <v>#REF!</v>
      </c>
      <c r="HH526" t="e">
        <f>AND(#REF!,"AAAAAG4/vtc=")</f>
        <v>#REF!</v>
      </c>
      <c r="HI526" t="e">
        <f>AND(#REF!,"AAAAAG4/vtg=")</f>
        <v>#REF!</v>
      </c>
      <c r="HJ526" t="e">
        <f>AND(#REF!,"AAAAAG4/vtk=")</f>
        <v>#REF!</v>
      </c>
      <c r="HK526" t="e">
        <f>AND(#REF!,"AAAAAG4/vto=")</f>
        <v>#REF!</v>
      </c>
      <c r="HL526" t="e">
        <f>AND(#REF!,"AAAAAG4/vts=")</f>
        <v>#REF!</v>
      </c>
      <c r="HM526" t="e">
        <f>AND(#REF!,"AAAAAG4/vtw=")</f>
        <v>#REF!</v>
      </c>
      <c r="HN526" t="e">
        <f>AND(#REF!,"AAAAAG4/vt0=")</f>
        <v>#REF!</v>
      </c>
      <c r="HO526" t="e">
        <f>AND(#REF!,"AAAAAG4/vt4=")</f>
        <v>#REF!</v>
      </c>
      <c r="HP526" t="e">
        <f>AND(#REF!,"AAAAAG4/vt8=")</f>
        <v>#REF!</v>
      </c>
      <c r="HQ526" t="e">
        <f>AND(#REF!,"AAAAAG4/vuA=")</f>
        <v>#REF!</v>
      </c>
      <c r="HR526" t="e">
        <f>AND(#REF!,"AAAAAG4/vuE=")</f>
        <v>#REF!</v>
      </c>
      <c r="HS526" t="e">
        <f>AND(#REF!,"AAAAAG4/vuI=")</f>
        <v>#REF!</v>
      </c>
      <c r="HT526" t="e">
        <f>AND(#REF!,"AAAAAG4/vuM=")</f>
        <v>#REF!</v>
      </c>
      <c r="HU526" t="e">
        <f>AND(#REF!,"AAAAAG4/vuQ=")</f>
        <v>#REF!</v>
      </c>
      <c r="HV526" t="e">
        <f>AND(#REF!,"AAAAAG4/vuU=")</f>
        <v>#REF!</v>
      </c>
      <c r="HW526" t="e">
        <f>AND(#REF!,"AAAAAG4/vuY=")</f>
        <v>#REF!</v>
      </c>
      <c r="HX526" t="e">
        <f>AND(#REF!,"AAAAAG4/vuc=")</f>
        <v>#REF!</v>
      </c>
      <c r="HY526" t="e">
        <f>AND(#REF!,"AAAAAG4/vug=")</f>
        <v>#REF!</v>
      </c>
      <c r="HZ526" t="e">
        <f>AND(#REF!,"AAAAAG4/vuk=")</f>
        <v>#REF!</v>
      </c>
      <c r="IA526" t="e">
        <f>AND(#REF!,"AAAAAG4/vuo=")</f>
        <v>#REF!</v>
      </c>
      <c r="IB526" t="e">
        <f>IF(#REF!,"AAAAAG4/vus=",0)</f>
        <v>#REF!</v>
      </c>
      <c r="IC526" t="e">
        <f>AND(#REF!,"AAAAAG4/vuw=")</f>
        <v>#REF!</v>
      </c>
      <c r="ID526" t="e">
        <f>AND(#REF!,"AAAAAG4/vu0=")</f>
        <v>#REF!</v>
      </c>
      <c r="IE526" t="e">
        <f>AND(#REF!,"AAAAAG4/vu4=")</f>
        <v>#REF!</v>
      </c>
      <c r="IF526" t="e">
        <f>AND(#REF!,"AAAAAG4/vu8=")</f>
        <v>#REF!</v>
      </c>
      <c r="IG526" t="e">
        <f>AND(#REF!,"AAAAAG4/vvA=")</f>
        <v>#REF!</v>
      </c>
      <c r="IH526" t="e">
        <f>AND(#REF!,"AAAAAG4/vvE=")</f>
        <v>#REF!</v>
      </c>
      <c r="II526" t="e">
        <f>AND(#REF!,"AAAAAG4/vvI=")</f>
        <v>#REF!</v>
      </c>
      <c r="IJ526" t="e">
        <f>AND(#REF!,"AAAAAG4/vvM=")</f>
        <v>#REF!</v>
      </c>
      <c r="IK526" t="e">
        <f>AND(#REF!,"AAAAAG4/vvQ=")</f>
        <v>#REF!</v>
      </c>
      <c r="IL526" t="e">
        <f>AND(#REF!,"AAAAAG4/vvU=")</f>
        <v>#REF!</v>
      </c>
      <c r="IM526" t="e">
        <f>AND(#REF!,"AAAAAG4/vvY=")</f>
        <v>#REF!</v>
      </c>
      <c r="IN526" t="e">
        <f>AND(#REF!,"AAAAAG4/vvc=")</f>
        <v>#REF!</v>
      </c>
      <c r="IO526" t="e">
        <f>AND(#REF!,"AAAAAG4/vvg=")</f>
        <v>#REF!</v>
      </c>
      <c r="IP526" t="e">
        <f>AND(#REF!,"AAAAAG4/vvk=")</f>
        <v>#REF!</v>
      </c>
      <c r="IQ526" t="e">
        <f>AND(#REF!,"AAAAAG4/vvo=")</f>
        <v>#REF!</v>
      </c>
      <c r="IR526" t="e">
        <f>AND(#REF!,"AAAAAG4/vvs=")</f>
        <v>#REF!</v>
      </c>
      <c r="IS526" t="e">
        <f>AND(#REF!,"AAAAAG4/vvw=")</f>
        <v>#REF!</v>
      </c>
      <c r="IT526" t="e">
        <f>AND(#REF!,"AAAAAG4/vv0=")</f>
        <v>#REF!</v>
      </c>
      <c r="IU526" t="e">
        <f>AND(#REF!,"AAAAAG4/vv4=")</f>
        <v>#REF!</v>
      </c>
      <c r="IV526" t="e">
        <f>AND(#REF!,"AAAAAG4/vv8=")</f>
        <v>#REF!</v>
      </c>
    </row>
    <row r="527" spans="1:256">
      <c r="A527" t="e">
        <f>AND(#REF!,"AAAAAH+67QA=")</f>
        <v>#REF!</v>
      </c>
      <c r="B527" t="e">
        <f>AND(#REF!,"AAAAAH+67QE=")</f>
        <v>#REF!</v>
      </c>
      <c r="C527" t="e">
        <f>AND(#REF!,"AAAAAH+67QI=")</f>
        <v>#REF!</v>
      </c>
      <c r="D527" t="e">
        <f>AND(#REF!,"AAAAAH+67QM=")</f>
        <v>#REF!</v>
      </c>
      <c r="E527" t="e">
        <f>IF(#REF!,"AAAAAH+67QQ=",0)</f>
        <v>#REF!</v>
      </c>
      <c r="F527" t="e">
        <f>AND(#REF!,"AAAAAH+67QU=")</f>
        <v>#REF!</v>
      </c>
      <c r="G527" t="e">
        <f>AND(#REF!,"AAAAAH+67QY=")</f>
        <v>#REF!</v>
      </c>
      <c r="H527" t="e">
        <f>AND(#REF!,"AAAAAH+67Qc=")</f>
        <v>#REF!</v>
      </c>
      <c r="I527" t="e">
        <f>AND(#REF!,"AAAAAH+67Qg=")</f>
        <v>#REF!</v>
      </c>
      <c r="J527" t="e">
        <f>AND(#REF!,"AAAAAH+67Qk=")</f>
        <v>#REF!</v>
      </c>
      <c r="K527" t="e">
        <f>AND(#REF!,"AAAAAH+67Qo=")</f>
        <v>#REF!</v>
      </c>
      <c r="L527" t="e">
        <f>AND(#REF!,"AAAAAH+67Qs=")</f>
        <v>#REF!</v>
      </c>
      <c r="M527" t="e">
        <f>AND(#REF!,"AAAAAH+67Qw=")</f>
        <v>#REF!</v>
      </c>
      <c r="N527" t="e">
        <f>AND(#REF!,"AAAAAH+67Q0=")</f>
        <v>#REF!</v>
      </c>
      <c r="O527" t="e">
        <f>AND(#REF!,"AAAAAH+67Q4=")</f>
        <v>#REF!</v>
      </c>
      <c r="P527" t="e">
        <f>AND(#REF!,"AAAAAH+67Q8=")</f>
        <v>#REF!</v>
      </c>
      <c r="Q527" t="e">
        <f>AND(#REF!,"AAAAAH+67RA=")</f>
        <v>#REF!</v>
      </c>
      <c r="R527" t="e">
        <f>AND(#REF!,"AAAAAH+67RE=")</f>
        <v>#REF!</v>
      </c>
      <c r="S527" t="e">
        <f>AND(#REF!,"AAAAAH+67RI=")</f>
        <v>#REF!</v>
      </c>
      <c r="T527" t="e">
        <f>AND(#REF!,"AAAAAH+67RM=")</f>
        <v>#REF!</v>
      </c>
      <c r="U527" t="e">
        <f>AND(#REF!,"AAAAAH+67RQ=")</f>
        <v>#REF!</v>
      </c>
      <c r="V527" t="e">
        <f>AND(#REF!,"AAAAAH+67RU=")</f>
        <v>#REF!</v>
      </c>
      <c r="W527" t="e">
        <f>AND(#REF!,"AAAAAH+67RY=")</f>
        <v>#REF!</v>
      </c>
      <c r="X527" t="e">
        <f>AND(#REF!,"AAAAAH+67Rc=")</f>
        <v>#REF!</v>
      </c>
      <c r="Y527" t="e">
        <f>AND(#REF!,"AAAAAH+67Rg=")</f>
        <v>#REF!</v>
      </c>
      <c r="Z527" t="e">
        <f>AND(#REF!,"AAAAAH+67Rk=")</f>
        <v>#REF!</v>
      </c>
      <c r="AA527" t="e">
        <f>AND(#REF!,"AAAAAH+67Ro=")</f>
        <v>#REF!</v>
      </c>
      <c r="AB527" t="e">
        <f>AND(#REF!,"AAAAAH+67Rs=")</f>
        <v>#REF!</v>
      </c>
      <c r="AC527" t="e">
        <f>AND(#REF!,"AAAAAH+67Rw=")</f>
        <v>#REF!</v>
      </c>
      <c r="AD527" t="e">
        <f>IF(#REF!,"AAAAAH+67R0=",0)</f>
        <v>#REF!</v>
      </c>
      <c r="AE527" t="e">
        <f>AND(#REF!,"AAAAAH+67R4=")</f>
        <v>#REF!</v>
      </c>
      <c r="AF527" t="e">
        <f>AND(#REF!,"AAAAAH+67R8=")</f>
        <v>#REF!</v>
      </c>
      <c r="AG527" t="e">
        <f>AND(#REF!,"AAAAAH+67SA=")</f>
        <v>#REF!</v>
      </c>
      <c r="AH527" t="e">
        <f>AND(#REF!,"AAAAAH+67SE=")</f>
        <v>#REF!</v>
      </c>
      <c r="AI527" t="e">
        <f>AND(#REF!,"AAAAAH+67SI=")</f>
        <v>#REF!</v>
      </c>
      <c r="AJ527" t="e">
        <f>AND(#REF!,"AAAAAH+67SM=")</f>
        <v>#REF!</v>
      </c>
      <c r="AK527" t="e">
        <f>AND(#REF!,"AAAAAH+67SQ=")</f>
        <v>#REF!</v>
      </c>
      <c r="AL527" t="e">
        <f>AND(#REF!,"AAAAAH+67SU=")</f>
        <v>#REF!</v>
      </c>
      <c r="AM527" t="e">
        <f>AND(#REF!,"AAAAAH+67SY=")</f>
        <v>#REF!</v>
      </c>
      <c r="AN527" t="e">
        <f>AND(#REF!,"AAAAAH+67Sc=")</f>
        <v>#REF!</v>
      </c>
      <c r="AO527" t="e">
        <f>AND(#REF!,"AAAAAH+67Sg=")</f>
        <v>#REF!</v>
      </c>
      <c r="AP527" t="e">
        <f>AND(#REF!,"AAAAAH+67Sk=")</f>
        <v>#REF!</v>
      </c>
      <c r="AQ527" t="e">
        <f>AND(#REF!,"AAAAAH+67So=")</f>
        <v>#REF!</v>
      </c>
      <c r="AR527" t="e">
        <f>AND(#REF!,"AAAAAH+67Ss=")</f>
        <v>#REF!</v>
      </c>
      <c r="AS527" t="e">
        <f>AND(#REF!,"AAAAAH+67Sw=")</f>
        <v>#REF!</v>
      </c>
      <c r="AT527" t="e">
        <f>AND(#REF!,"AAAAAH+67S0=")</f>
        <v>#REF!</v>
      </c>
      <c r="AU527" t="e">
        <f>AND(#REF!,"AAAAAH+67S4=")</f>
        <v>#REF!</v>
      </c>
      <c r="AV527" t="e">
        <f>AND(#REF!,"AAAAAH+67S8=")</f>
        <v>#REF!</v>
      </c>
      <c r="AW527" t="e">
        <f>AND(#REF!,"AAAAAH+67TA=")</f>
        <v>#REF!</v>
      </c>
      <c r="AX527" t="e">
        <f>AND(#REF!,"AAAAAH+67TE=")</f>
        <v>#REF!</v>
      </c>
      <c r="AY527" t="e">
        <f>AND(#REF!,"AAAAAH+67TI=")</f>
        <v>#REF!</v>
      </c>
      <c r="AZ527" t="e">
        <f>AND(#REF!,"AAAAAH+67TM=")</f>
        <v>#REF!</v>
      </c>
      <c r="BA527" t="e">
        <f>AND(#REF!,"AAAAAH+67TQ=")</f>
        <v>#REF!</v>
      </c>
      <c r="BB527" t="e">
        <f>AND(#REF!,"AAAAAH+67TU=")</f>
        <v>#REF!</v>
      </c>
      <c r="BC527" t="e">
        <f>IF(#REF!,"AAAAAH+67TY=",0)</f>
        <v>#REF!</v>
      </c>
      <c r="BD527" t="e">
        <f>AND(#REF!,"AAAAAH+67Tc=")</f>
        <v>#REF!</v>
      </c>
      <c r="BE527" t="e">
        <f>AND(#REF!,"AAAAAH+67Tg=")</f>
        <v>#REF!</v>
      </c>
      <c r="BF527" t="e">
        <f>AND(#REF!,"AAAAAH+67Tk=")</f>
        <v>#REF!</v>
      </c>
      <c r="BG527" t="e">
        <f>AND(#REF!,"AAAAAH+67To=")</f>
        <v>#REF!</v>
      </c>
      <c r="BH527" t="e">
        <f>AND(#REF!,"AAAAAH+67Ts=")</f>
        <v>#REF!</v>
      </c>
      <c r="BI527" t="e">
        <f>AND(#REF!,"AAAAAH+67Tw=")</f>
        <v>#REF!</v>
      </c>
      <c r="BJ527" t="e">
        <f>AND(#REF!,"AAAAAH+67T0=")</f>
        <v>#REF!</v>
      </c>
      <c r="BK527" t="e">
        <f>AND(#REF!,"AAAAAH+67T4=")</f>
        <v>#REF!</v>
      </c>
      <c r="BL527" t="e">
        <f>AND(#REF!,"AAAAAH+67T8=")</f>
        <v>#REF!</v>
      </c>
      <c r="BM527" t="e">
        <f>AND(#REF!,"AAAAAH+67UA=")</f>
        <v>#REF!</v>
      </c>
      <c r="BN527" t="e">
        <f>AND(#REF!,"AAAAAH+67UE=")</f>
        <v>#REF!</v>
      </c>
      <c r="BO527" t="e">
        <f>AND(#REF!,"AAAAAH+67UI=")</f>
        <v>#REF!</v>
      </c>
      <c r="BP527" t="e">
        <f>AND(#REF!,"AAAAAH+67UM=")</f>
        <v>#REF!</v>
      </c>
      <c r="BQ527" t="e">
        <f>AND(#REF!,"AAAAAH+67UQ=")</f>
        <v>#REF!</v>
      </c>
      <c r="BR527" t="e">
        <f>AND(#REF!,"AAAAAH+67UU=")</f>
        <v>#REF!</v>
      </c>
      <c r="BS527" t="e">
        <f>AND(#REF!,"AAAAAH+67UY=")</f>
        <v>#REF!</v>
      </c>
      <c r="BT527" t="e">
        <f>AND(#REF!,"AAAAAH+67Uc=")</f>
        <v>#REF!</v>
      </c>
      <c r="BU527" t="e">
        <f>AND(#REF!,"AAAAAH+67Ug=")</f>
        <v>#REF!</v>
      </c>
      <c r="BV527" t="e">
        <f>AND(#REF!,"AAAAAH+67Uk=")</f>
        <v>#REF!</v>
      </c>
      <c r="BW527" t="e">
        <f>AND(#REF!,"AAAAAH+67Uo=")</f>
        <v>#REF!</v>
      </c>
      <c r="BX527" t="e">
        <f>AND(#REF!,"AAAAAH+67Us=")</f>
        <v>#REF!</v>
      </c>
      <c r="BY527" t="e">
        <f>AND(#REF!,"AAAAAH+67Uw=")</f>
        <v>#REF!</v>
      </c>
      <c r="BZ527" t="e">
        <f>AND(#REF!,"AAAAAH+67U0=")</f>
        <v>#REF!</v>
      </c>
      <c r="CA527" t="e">
        <f>AND(#REF!,"AAAAAH+67U4=")</f>
        <v>#REF!</v>
      </c>
      <c r="CB527" t="e">
        <f>IF(#REF!,"AAAAAH+67U8=",0)</f>
        <v>#REF!</v>
      </c>
      <c r="CC527" t="e">
        <f>AND(#REF!,"AAAAAH+67VA=")</f>
        <v>#REF!</v>
      </c>
      <c r="CD527" t="e">
        <f>AND(#REF!,"AAAAAH+67VE=")</f>
        <v>#REF!</v>
      </c>
      <c r="CE527" t="e">
        <f>AND(#REF!,"AAAAAH+67VI=")</f>
        <v>#REF!</v>
      </c>
      <c r="CF527" t="e">
        <f>AND(#REF!,"AAAAAH+67VM=")</f>
        <v>#REF!</v>
      </c>
      <c r="CG527" t="e">
        <f>AND(#REF!,"AAAAAH+67VQ=")</f>
        <v>#REF!</v>
      </c>
      <c r="CH527" t="e">
        <f>AND(#REF!,"AAAAAH+67VU=")</f>
        <v>#REF!</v>
      </c>
      <c r="CI527" t="e">
        <f>AND(#REF!,"AAAAAH+67VY=")</f>
        <v>#REF!</v>
      </c>
      <c r="CJ527" t="e">
        <f>AND(#REF!,"AAAAAH+67Vc=")</f>
        <v>#REF!</v>
      </c>
      <c r="CK527" t="e">
        <f>AND(#REF!,"AAAAAH+67Vg=")</f>
        <v>#REF!</v>
      </c>
      <c r="CL527" t="e">
        <f>AND(#REF!,"AAAAAH+67Vk=")</f>
        <v>#REF!</v>
      </c>
      <c r="CM527" t="e">
        <f>AND(#REF!,"AAAAAH+67Vo=")</f>
        <v>#REF!</v>
      </c>
      <c r="CN527" t="e">
        <f>AND(#REF!,"AAAAAH+67Vs=")</f>
        <v>#REF!</v>
      </c>
      <c r="CO527" t="e">
        <f>AND(#REF!,"AAAAAH+67Vw=")</f>
        <v>#REF!</v>
      </c>
      <c r="CP527" t="e">
        <f>AND(#REF!,"AAAAAH+67V0=")</f>
        <v>#REF!</v>
      </c>
      <c r="CQ527" t="e">
        <f>AND(#REF!,"AAAAAH+67V4=")</f>
        <v>#REF!</v>
      </c>
      <c r="CR527" t="e">
        <f>AND(#REF!,"AAAAAH+67V8=")</f>
        <v>#REF!</v>
      </c>
      <c r="CS527" t="e">
        <f>AND(#REF!,"AAAAAH+67WA=")</f>
        <v>#REF!</v>
      </c>
      <c r="CT527" t="e">
        <f>AND(#REF!,"AAAAAH+67WE=")</f>
        <v>#REF!</v>
      </c>
      <c r="CU527" t="e">
        <f>AND(#REF!,"AAAAAH+67WI=")</f>
        <v>#REF!</v>
      </c>
      <c r="CV527" t="e">
        <f>AND(#REF!,"AAAAAH+67WM=")</f>
        <v>#REF!</v>
      </c>
      <c r="CW527" t="e">
        <f>AND(#REF!,"AAAAAH+67WQ=")</f>
        <v>#REF!</v>
      </c>
      <c r="CX527" t="e">
        <f>AND(#REF!,"AAAAAH+67WU=")</f>
        <v>#REF!</v>
      </c>
      <c r="CY527" t="e">
        <f>AND(#REF!,"AAAAAH+67WY=")</f>
        <v>#REF!</v>
      </c>
      <c r="CZ527" t="e">
        <f>AND(#REF!,"AAAAAH+67Wc=")</f>
        <v>#REF!</v>
      </c>
      <c r="DA527" t="e">
        <f>IF(#REF!,"AAAAAH+67Wg=",0)</f>
        <v>#REF!</v>
      </c>
      <c r="DB527" t="e">
        <f>AND(#REF!,"AAAAAH+67Wk=")</f>
        <v>#REF!</v>
      </c>
      <c r="DC527" t="e">
        <f>AND(#REF!,"AAAAAH+67Wo=")</f>
        <v>#REF!</v>
      </c>
      <c r="DD527" t="e">
        <f>AND(#REF!,"AAAAAH+67Ws=")</f>
        <v>#REF!</v>
      </c>
      <c r="DE527" t="e">
        <f>AND(#REF!,"AAAAAH+67Ww=")</f>
        <v>#REF!</v>
      </c>
      <c r="DF527" t="e">
        <f>AND(#REF!,"AAAAAH+67W0=")</f>
        <v>#REF!</v>
      </c>
      <c r="DG527" t="e">
        <f>AND(#REF!,"AAAAAH+67W4=")</f>
        <v>#REF!</v>
      </c>
      <c r="DH527" t="e">
        <f>AND(#REF!,"AAAAAH+67W8=")</f>
        <v>#REF!</v>
      </c>
      <c r="DI527" t="e">
        <f>AND(#REF!,"AAAAAH+67XA=")</f>
        <v>#REF!</v>
      </c>
      <c r="DJ527" t="e">
        <f>AND(#REF!,"AAAAAH+67XE=")</f>
        <v>#REF!</v>
      </c>
      <c r="DK527" t="e">
        <f>AND(#REF!,"AAAAAH+67XI=")</f>
        <v>#REF!</v>
      </c>
      <c r="DL527" t="e">
        <f>AND(#REF!,"AAAAAH+67XM=")</f>
        <v>#REF!</v>
      </c>
      <c r="DM527" t="e">
        <f>AND(#REF!,"AAAAAH+67XQ=")</f>
        <v>#REF!</v>
      </c>
      <c r="DN527" t="e">
        <f>AND(#REF!,"AAAAAH+67XU=")</f>
        <v>#REF!</v>
      </c>
      <c r="DO527" t="e">
        <f>AND(#REF!,"AAAAAH+67XY=")</f>
        <v>#REF!</v>
      </c>
      <c r="DP527" t="e">
        <f>AND(#REF!,"AAAAAH+67Xc=")</f>
        <v>#REF!</v>
      </c>
      <c r="DQ527" t="e">
        <f>AND(#REF!,"AAAAAH+67Xg=")</f>
        <v>#REF!</v>
      </c>
      <c r="DR527" t="e">
        <f>AND(#REF!,"AAAAAH+67Xk=")</f>
        <v>#REF!</v>
      </c>
      <c r="DS527" t="e">
        <f>AND(#REF!,"AAAAAH+67Xo=")</f>
        <v>#REF!</v>
      </c>
      <c r="DT527" t="e">
        <f>AND(#REF!,"AAAAAH+67Xs=")</f>
        <v>#REF!</v>
      </c>
      <c r="DU527" t="e">
        <f>AND(#REF!,"AAAAAH+67Xw=")</f>
        <v>#REF!</v>
      </c>
      <c r="DV527" t="e">
        <f>AND(#REF!,"AAAAAH+67X0=")</f>
        <v>#REF!</v>
      </c>
      <c r="DW527" t="e">
        <f>AND(#REF!,"AAAAAH+67X4=")</f>
        <v>#REF!</v>
      </c>
      <c r="DX527" t="e">
        <f>AND(#REF!,"AAAAAH+67X8=")</f>
        <v>#REF!</v>
      </c>
      <c r="DY527" t="e">
        <f>AND(#REF!,"AAAAAH+67YA=")</f>
        <v>#REF!</v>
      </c>
      <c r="DZ527" t="e">
        <f>IF(#REF!,"AAAAAH+67YE=",0)</f>
        <v>#REF!</v>
      </c>
      <c r="EA527" t="e">
        <f>AND(#REF!,"AAAAAH+67YI=")</f>
        <v>#REF!</v>
      </c>
      <c r="EB527" t="e">
        <f>AND(#REF!,"AAAAAH+67YM=")</f>
        <v>#REF!</v>
      </c>
      <c r="EC527" t="e">
        <f>AND(#REF!,"AAAAAH+67YQ=")</f>
        <v>#REF!</v>
      </c>
      <c r="ED527" t="e">
        <f>AND(#REF!,"AAAAAH+67YU=")</f>
        <v>#REF!</v>
      </c>
      <c r="EE527" t="e">
        <f>AND(#REF!,"AAAAAH+67YY=")</f>
        <v>#REF!</v>
      </c>
      <c r="EF527" t="e">
        <f>AND(#REF!,"AAAAAH+67Yc=")</f>
        <v>#REF!</v>
      </c>
      <c r="EG527" t="e">
        <f>AND(#REF!,"AAAAAH+67Yg=")</f>
        <v>#REF!</v>
      </c>
      <c r="EH527" t="e">
        <f>AND(#REF!,"AAAAAH+67Yk=")</f>
        <v>#REF!</v>
      </c>
      <c r="EI527" t="e">
        <f>AND(#REF!,"AAAAAH+67Yo=")</f>
        <v>#REF!</v>
      </c>
      <c r="EJ527" t="e">
        <f>AND(#REF!,"AAAAAH+67Ys=")</f>
        <v>#REF!</v>
      </c>
      <c r="EK527" t="e">
        <f>AND(#REF!,"AAAAAH+67Yw=")</f>
        <v>#REF!</v>
      </c>
      <c r="EL527" t="e">
        <f>AND(#REF!,"AAAAAH+67Y0=")</f>
        <v>#REF!</v>
      </c>
      <c r="EM527" t="e">
        <f>AND(#REF!,"AAAAAH+67Y4=")</f>
        <v>#REF!</v>
      </c>
      <c r="EN527" t="e">
        <f>AND(#REF!,"AAAAAH+67Y8=")</f>
        <v>#REF!</v>
      </c>
      <c r="EO527" t="e">
        <f>AND(#REF!,"AAAAAH+67ZA=")</f>
        <v>#REF!</v>
      </c>
      <c r="EP527" t="e">
        <f>AND(#REF!,"AAAAAH+67ZE=")</f>
        <v>#REF!</v>
      </c>
      <c r="EQ527" t="e">
        <f>AND(#REF!,"AAAAAH+67ZI=")</f>
        <v>#REF!</v>
      </c>
      <c r="ER527" t="e">
        <f>AND(#REF!,"AAAAAH+67ZM=")</f>
        <v>#REF!</v>
      </c>
      <c r="ES527" t="e">
        <f>AND(#REF!,"AAAAAH+67ZQ=")</f>
        <v>#REF!</v>
      </c>
      <c r="ET527" t="e">
        <f>AND(#REF!,"AAAAAH+67ZU=")</f>
        <v>#REF!</v>
      </c>
      <c r="EU527" t="e">
        <f>AND(#REF!,"AAAAAH+67ZY=")</f>
        <v>#REF!</v>
      </c>
      <c r="EV527" t="e">
        <f>AND(#REF!,"AAAAAH+67Zc=")</f>
        <v>#REF!</v>
      </c>
      <c r="EW527" t="e">
        <f>AND(#REF!,"AAAAAH+67Zg=")</f>
        <v>#REF!</v>
      </c>
      <c r="EX527" t="e">
        <f>AND(#REF!,"AAAAAH+67Zk=")</f>
        <v>#REF!</v>
      </c>
      <c r="EY527" t="e">
        <f>IF(#REF!,"AAAAAH+67Zo=",0)</f>
        <v>#REF!</v>
      </c>
      <c r="EZ527" t="e">
        <f>AND(#REF!,"AAAAAH+67Zs=")</f>
        <v>#REF!</v>
      </c>
      <c r="FA527" t="e">
        <f>AND(#REF!,"AAAAAH+67Zw=")</f>
        <v>#REF!</v>
      </c>
      <c r="FB527" t="e">
        <f>AND(#REF!,"AAAAAH+67Z0=")</f>
        <v>#REF!</v>
      </c>
      <c r="FC527" t="e">
        <f>AND(#REF!,"AAAAAH+67Z4=")</f>
        <v>#REF!</v>
      </c>
      <c r="FD527" t="e">
        <f>AND(#REF!,"AAAAAH+67Z8=")</f>
        <v>#REF!</v>
      </c>
      <c r="FE527" t="e">
        <f>AND(#REF!,"AAAAAH+67aA=")</f>
        <v>#REF!</v>
      </c>
      <c r="FF527" t="e">
        <f>AND(#REF!,"AAAAAH+67aE=")</f>
        <v>#REF!</v>
      </c>
      <c r="FG527" t="e">
        <f>AND(#REF!,"AAAAAH+67aI=")</f>
        <v>#REF!</v>
      </c>
      <c r="FH527" t="e">
        <f>AND(#REF!,"AAAAAH+67aM=")</f>
        <v>#REF!</v>
      </c>
      <c r="FI527" t="e">
        <f>AND(#REF!,"AAAAAH+67aQ=")</f>
        <v>#REF!</v>
      </c>
      <c r="FJ527" t="e">
        <f>AND(#REF!,"AAAAAH+67aU=")</f>
        <v>#REF!</v>
      </c>
      <c r="FK527" t="e">
        <f>AND(#REF!,"AAAAAH+67aY=")</f>
        <v>#REF!</v>
      </c>
      <c r="FL527" t="e">
        <f>AND(#REF!,"AAAAAH+67ac=")</f>
        <v>#REF!</v>
      </c>
      <c r="FM527" t="e">
        <f>AND(#REF!,"AAAAAH+67ag=")</f>
        <v>#REF!</v>
      </c>
      <c r="FN527" t="e">
        <f>AND(#REF!,"AAAAAH+67ak=")</f>
        <v>#REF!</v>
      </c>
      <c r="FO527" t="e">
        <f>AND(#REF!,"AAAAAH+67ao=")</f>
        <v>#REF!</v>
      </c>
      <c r="FP527" t="e">
        <f>AND(#REF!,"AAAAAH+67as=")</f>
        <v>#REF!</v>
      </c>
      <c r="FQ527" t="e">
        <f>AND(#REF!,"AAAAAH+67aw=")</f>
        <v>#REF!</v>
      </c>
      <c r="FR527" t="e">
        <f>AND(#REF!,"AAAAAH+67a0=")</f>
        <v>#REF!</v>
      </c>
      <c r="FS527" t="e">
        <f>AND(#REF!,"AAAAAH+67a4=")</f>
        <v>#REF!</v>
      </c>
      <c r="FT527" t="e">
        <f>AND(#REF!,"AAAAAH+67a8=")</f>
        <v>#REF!</v>
      </c>
      <c r="FU527" t="e">
        <f>AND(#REF!,"AAAAAH+67bA=")</f>
        <v>#REF!</v>
      </c>
      <c r="FV527" t="e">
        <f>AND(#REF!,"AAAAAH+67bE=")</f>
        <v>#REF!</v>
      </c>
      <c r="FW527" t="e">
        <f>AND(#REF!,"AAAAAH+67bI=")</f>
        <v>#REF!</v>
      </c>
      <c r="FX527" t="e">
        <f>IF(#REF!,"AAAAAH+67bM=",0)</f>
        <v>#REF!</v>
      </c>
      <c r="FY527" t="e">
        <f>AND(#REF!,"AAAAAH+67bQ=")</f>
        <v>#REF!</v>
      </c>
      <c r="FZ527" t="e">
        <f>AND(#REF!,"AAAAAH+67bU=")</f>
        <v>#REF!</v>
      </c>
      <c r="GA527" t="e">
        <f>AND(#REF!,"AAAAAH+67bY=")</f>
        <v>#REF!</v>
      </c>
      <c r="GB527" t="e">
        <f>AND(#REF!,"AAAAAH+67bc=")</f>
        <v>#REF!</v>
      </c>
      <c r="GC527" t="e">
        <f>AND(#REF!,"AAAAAH+67bg=")</f>
        <v>#REF!</v>
      </c>
      <c r="GD527" t="e">
        <f>AND(#REF!,"AAAAAH+67bk=")</f>
        <v>#REF!</v>
      </c>
      <c r="GE527" t="e">
        <f>AND(#REF!,"AAAAAH+67bo=")</f>
        <v>#REF!</v>
      </c>
      <c r="GF527" t="e">
        <f>AND(#REF!,"AAAAAH+67bs=")</f>
        <v>#REF!</v>
      </c>
      <c r="GG527" t="e">
        <f>AND(#REF!,"AAAAAH+67bw=")</f>
        <v>#REF!</v>
      </c>
      <c r="GH527" t="e">
        <f>AND(#REF!,"AAAAAH+67b0=")</f>
        <v>#REF!</v>
      </c>
      <c r="GI527" t="e">
        <f>AND(#REF!,"AAAAAH+67b4=")</f>
        <v>#REF!</v>
      </c>
      <c r="GJ527" t="e">
        <f>AND(#REF!,"AAAAAH+67b8=")</f>
        <v>#REF!</v>
      </c>
      <c r="GK527" t="e">
        <f>AND(#REF!,"AAAAAH+67cA=")</f>
        <v>#REF!</v>
      </c>
      <c r="GL527" t="e">
        <f>AND(#REF!,"AAAAAH+67cE=")</f>
        <v>#REF!</v>
      </c>
      <c r="GM527" t="e">
        <f>AND(#REF!,"AAAAAH+67cI=")</f>
        <v>#REF!</v>
      </c>
      <c r="GN527" t="e">
        <f>AND(#REF!,"AAAAAH+67cM=")</f>
        <v>#REF!</v>
      </c>
      <c r="GO527" t="e">
        <f>AND(#REF!,"AAAAAH+67cQ=")</f>
        <v>#REF!</v>
      </c>
      <c r="GP527" t="e">
        <f>AND(#REF!,"AAAAAH+67cU=")</f>
        <v>#REF!</v>
      </c>
      <c r="GQ527" t="e">
        <f>AND(#REF!,"AAAAAH+67cY=")</f>
        <v>#REF!</v>
      </c>
      <c r="GR527" t="e">
        <f>AND(#REF!,"AAAAAH+67cc=")</f>
        <v>#REF!</v>
      </c>
      <c r="GS527" t="e">
        <f>AND(#REF!,"AAAAAH+67cg=")</f>
        <v>#REF!</v>
      </c>
      <c r="GT527" t="e">
        <f>AND(#REF!,"AAAAAH+67ck=")</f>
        <v>#REF!</v>
      </c>
      <c r="GU527" t="e">
        <f>AND(#REF!,"AAAAAH+67co=")</f>
        <v>#REF!</v>
      </c>
      <c r="GV527" t="e">
        <f>AND(#REF!,"AAAAAH+67cs=")</f>
        <v>#REF!</v>
      </c>
      <c r="GW527" t="e">
        <f>IF(#REF!,"AAAAAH+67cw=",0)</f>
        <v>#REF!</v>
      </c>
      <c r="GX527" t="e">
        <f>AND(#REF!,"AAAAAH+67c0=")</f>
        <v>#REF!</v>
      </c>
      <c r="GY527" t="e">
        <f>AND(#REF!,"AAAAAH+67c4=")</f>
        <v>#REF!</v>
      </c>
      <c r="GZ527" t="e">
        <f>AND(#REF!,"AAAAAH+67c8=")</f>
        <v>#REF!</v>
      </c>
      <c r="HA527" t="e">
        <f>AND(#REF!,"AAAAAH+67dA=")</f>
        <v>#REF!</v>
      </c>
      <c r="HB527" t="e">
        <f>AND(#REF!,"AAAAAH+67dE=")</f>
        <v>#REF!</v>
      </c>
      <c r="HC527" t="e">
        <f>AND(#REF!,"AAAAAH+67dI=")</f>
        <v>#REF!</v>
      </c>
      <c r="HD527" t="e">
        <f>AND(#REF!,"AAAAAH+67dM=")</f>
        <v>#REF!</v>
      </c>
      <c r="HE527" t="e">
        <f>AND(#REF!,"AAAAAH+67dQ=")</f>
        <v>#REF!</v>
      </c>
      <c r="HF527" t="e">
        <f>AND(#REF!,"AAAAAH+67dU=")</f>
        <v>#REF!</v>
      </c>
      <c r="HG527" t="e">
        <f>AND(#REF!,"AAAAAH+67dY=")</f>
        <v>#REF!</v>
      </c>
      <c r="HH527" t="e">
        <f>AND(#REF!,"AAAAAH+67dc=")</f>
        <v>#REF!</v>
      </c>
      <c r="HI527" t="e">
        <f>AND(#REF!,"AAAAAH+67dg=")</f>
        <v>#REF!</v>
      </c>
      <c r="HJ527" t="e">
        <f>AND(#REF!,"AAAAAH+67dk=")</f>
        <v>#REF!</v>
      </c>
      <c r="HK527" t="e">
        <f>AND(#REF!,"AAAAAH+67do=")</f>
        <v>#REF!</v>
      </c>
      <c r="HL527" t="e">
        <f>AND(#REF!,"AAAAAH+67ds=")</f>
        <v>#REF!</v>
      </c>
      <c r="HM527" t="e">
        <f>AND(#REF!,"AAAAAH+67dw=")</f>
        <v>#REF!</v>
      </c>
      <c r="HN527" t="e">
        <f>AND(#REF!,"AAAAAH+67d0=")</f>
        <v>#REF!</v>
      </c>
      <c r="HO527" t="e">
        <f>AND(#REF!,"AAAAAH+67d4=")</f>
        <v>#REF!</v>
      </c>
      <c r="HP527" t="e">
        <f>AND(#REF!,"AAAAAH+67d8=")</f>
        <v>#REF!</v>
      </c>
      <c r="HQ527" t="e">
        <f>AND(#REF!,"AAAAAH+67eA=")</f>
        <v>#REF!</v>
      </c>
      <c r="HR527" t="e">
        <f>AND(#REF!,"AAAAAH+67eE=")</f>
        <v>#REF!</v>
      </c>
      <c r="HS527" t="e">
        <f>AND(#REF!,"AAAAAH+67eI=")</f>
        <v>#REF!</v>
      </c>
      <c r="HT527" t="e">
        <f>AND(#REF!,"AAAAAH+67eM=")</f>
        <v>#REF!</v>
      </c>
      <c r="HU527" t="e">
        <f>AND(#REF!,"AAAAAH+67eQ=")</f>
        <v>#REF!</v>
      </c>
      <c r="HV527" t="e">
        <f>IF(#REF!,"AAAAAH+67eU=",0)</f>
        <v>#REF!</v>
      </c>
      <c r="HW527" t="e">
        <f>AND(#REF!,"AAAAAH+67eY=")</f>
        <v>#REF!</v>
      </c>
      <c r="HX527" t="e">
        <f>AND(#REF!,"AAAAAH+67ec=")</f>
        <v>#REF!</v>
      </c>
      <c r="HY527" t="e">
        <f>AND(#REF!,"AAAAAH+67eg=")</f>
        <v>#REF!</v>
      </c>
      <c r="HZ527" t="e">
        <f>AND(#REF!,"AAAAAH+67ek=")</f>
        <v>#REF!</v>
      </c>
      <c r="IA527" t="e">
        <f>AND(#REF!,"AAAAAH+67eo=")</f>
        <v>#REF!</v>
      </c>
      <c r="IB527" t="e">
        <f>AND(#REF!,"AAAAAH+67es=")</f>
        <v>#REF!</v>
      </c>
      <c r="IC527" t="e">
        <f>AND(#REF!,"AAAAAH+67ew=")</f>
        <v>#REF!</v>
      </c>
      <c r="ID527" t="e">
        <f>AND(#REF!,"AAAAAH+67e0=")</f>
        <v>#REF!</v>
      </c>
      <c r="IE527" t="e">
        <f>AND(#REF!,"AAAAAH+67e4=")</f>
        <v>#REF!</v>
      </c>
      <c r="IF527" t="e">
        <f>AND(#REF!,"AAAAAH+67e8=")</f>
        <v>#REF!</v>
      </c>
      <c r="IG527" t="e">
        <f>AND(#REF!,"AAAAAH+67fA=")</f>
        <v>#REF!</v>
      </c>
      <c r="IH527" t="e">
        <f>AND(#REF!,"AAAAAH+67fE=")</f>
        <v>#REF!</v>
      </c>
      <c r="II527" t="e">
        <f>AND(#REF!,"AAAAAH+67fI=")</f>
        <v>#REF!</v>
      </c>
      <c r="IJ527" t="e">
        <f>AND(#REF!,"AAAAAH+67fM=")</f>
        <v>#REF!</v>
      </c>
      <c r="IK527" t="e">
        <f>AND(#REF!,"AAAAAH+67fQ=")</f>
        <v>#REF!</v>
      </c>
      <c r="IL527" t="e">
        <f>AND(#REF!,"AAAAAH+67fU=")</f>
        <v>#REF!</v>
      </c>
      <c r="IM527" t="e">
        <f>AND(#REF!,"AAAAAH+67fY=")</f>
        <v>#REF!</v>
      </c>
      <c r="IN527" t="e">
        <f>AND(#REF!,"AAAAAH+67fc=")</f>
        <v>#REF!</v>
      </c>
      <c r="IO527" t="e">
        <f>AND(#REF!,"AAAAAH+67fg=")</f>
        <v>#REF!</v>
      </c>
      <c r="IP527" t="e">
        <f>AND(#REF!,"AAAAAH+67fk=")</f>
        <v>#REF!</v>
      </c>
      <c r="IQ527" t="e">
        <f>AND(#REF!,"AAAAAH+67fo=")</f>
        <v>#REF!</v>
      </c>
      <c r="IR527" t="e">
        <f>AND(#REF!,"AAAAAH+67fs=")</f>
        <v>#REF!</v>
      </c>
      <c r="IS527" t="e">
        <f>AND(#REF!,"AAAAAH+67fw=")</f>
        <v>#REF!</v>
      </c>
      <c r="IT527" t="e">
        <f>AND(#REF!,"AAAAAH+67f0=")</f>
        <v>#REF!</v>
      </c>
      <c r="IU527" t="e">
        <f>IF(#REF!,"AAAAAH+67f4=",0)</f>
        <v>#REF!</v>
      </c>
      <c r="IV527" t="e">
        <f>AND(#REF!,"AAAAAH+67f8=")</f>
        <v>#REF!</v>
      </c>
    </row>
    <row r="528" spans="1:256">
      <c r="A528" t="e">
        <f>AND(#REF!,"AAAAAH85/wA=")</f>
        <v>#REF!</v>
      </c>
      <c r="B528" t="e">
        <f>AND(#REF!,"AAAAAH85/wE=")</f>
        <v>#REF!</v>
      </c>
      <c r="C528" t="e">
        <f>AND(#REF!,"AAAAAH85/wI=")</f>
        <v>#REF!</v>
      </c>
      <c r="D528" t="e">
        <f>AND(#REF!,"AAAAAH85/wM=")</f>
        <v>#REF!</v>
      </c>
      <c r="E528" t="e">
        <f>AND(#REF!,"AAAAAH85/wQ=")</f>
        <v>#REF!</v>
      </c>
      <c r="F528" t="e">
        <f>AND(#REF!,"AAAAAH85/wU=")</f>
        <v>#REF!</v>
      </c>
      <c r="G528" t="e">
        <f>AND(#REF!,"AAAAAH85/wY=")</f>
        <v>#REF!</v>
      </c>
      <c r="H528" t="e">
        <f>AND(#REF!,"AAAAAH85/wc=")</f>
        <v>#REF!</v>
      </c>
      <c r="I528" t="e">
        <f>AND(#REF!,"AAAAAH85/wg=")</f>
        <v>#REF!</v>
      </c>
      <c r="J528" t="e">
        <f>AND(#REF!,"AAAAAH85/wk=")</f>
        <v>#REF!</v>
      </c>
      <c r="K528" t="e">
        <f>AND(#REF!,"AAAAAH85/wo=")</f>
        <v>#REF!</v>
      </c>
      <c r="L528" t="e">
        <f>AND(#REF!,"AAAAAH85/ws=")</f>
        <v>#REF!</v>
      </c>
      <c r="M528" t="e">
        <f>AND(#REF!,"AAAAAH85/ww=")</f>
        <v>#REF!</v>
      </c>
      <c r="N528" t="e">
        <f>AND(#REF!,"AAAAAH85/w0=")</f>
        <v>#REF!</v>
      </c>
      <c r="O528" t="e">
        <f>AND(#REF!,"AAAAAH85/w4=")</f>
        <v>#REF!</v>
      </c>
      <c r="P528" t="e">
        <f>AND(#REF!,"AAAAAH85/w8=")</f>
        <v>#REF!</v>
      </c>
      <c r="Q528" t="e">
        <f>AND(#REF!,"AAAAAH85/xA=")</f>
        <v>#REF!</v>
      </c>
      <c r="R528" t="e">
        <f>AND(#REF!,"AAAAAH85/xE=")</f>
        <v>#REF!</v>
      </c>
      <c r="S528" t="e">
        <f>AND(#REF!,"AAAAAH85/xI=")</f>
        <v>#REF!</v>
      </c>
      <c r="T528" t="e">
        <f>AND(#REF!,"AAAAAH85/xM=")</f>
        <v>#REF!</v>
      </c>
      <c r="U528" t="e">
        <f>AND(#REF!,"AAAAAH85/xQ=")</f>
        <v>#REF!</v>
      </c>
      <c r="V528" t="e">
        <f>AND(#REF!,"AAAAAH85/xU=")</f>
        <v>#REF!</v>
      </c>
      <c r="W528" t="e">
        <f>AND(#REF!,"AAAAAH85/xY=")</f>
        <v>#REF!</v>
      </c>
      <c r="X528" t="e">
        <f>IF(#REF!,"AAAAAH85/xc=",0)</f>
        <v>#REF!</v>
      </c>
      <c r="Y528" t="e">
        <f>AND(#REF!,"AAAAAH85/xg=")</f>
        <v>#REF!</v>
      </c>
      <c r="Z528" t="e">
        <f>AND(#REF!,"AAAAAH85/xk=")</f>
        <v>#REF!</v>
      </c>
      <c r="AA528" t="e">
        <f>AND(#REF!,"AAAAAH85/xo=")</f>
        <v>#REF!</v>
      </c>
      <c r="AB528" t="e">
        <f>AND(#REF!,"AAAAAH85/xs=")</f>
        <v>#REF!</v>
      </c>
      <c r="AC528" t="e">
        <f>AND(#REF!,"AAAAAH85/xw=")</f>
        <v>#REF!</v>
      </c>
      <c r="AD528" t="e">
        <f>AND(#REF!,"AAAAAH85/x0=")</f>
        <v>#REF!</v>
      </c>
      <c r="AE528" t="e">
        <f>AND(#REF!,"AAAAAH85/x4=")</f>
        <v>#REF!</v>
      </c>
      <c r="AF528" t="e">
        <f>AND(#REF!,"AAAAAH85/x8=")</f>
        <v>#REF!</v>
      </c>
      <c r="AG528" t="e">
        <f>AND(#REF!,"AAAAAH85/yA=")</f>
        <v>#REF!</v>
      </c>
      <c r="AH528" t="e">
        <f>AND(#REF!,"AAAAAH85/yE=")</f>
        <v>#REF!</v>
      </c>
      <c r="AI528" t="e">
        <f>AND(#REF!,"AAAAAH85/yI=")</f>
        <v>#REF!</v>
      </c>
      <c r="AJ528" t="e">
        <f>AND(#REF!,"AAAAAH85/yM=")</f>
        <v>#REF!</v>
      </c>
      <c r="AK528" t="e">
        <f>AND(#REF!,"AAAAAH85/yQ=")</f>
        <v>#REF!</v>
      </c>
      <c r="AL528" t="e">
        <f>AND(#REF!,"AAAAAH85/yU=")</f>
        <v>#REF!</v>
      </c>
      <c r="AM528" t="e">
        <f>AND(#REF!,"AAAAAH85/yY=")</f>
        <v>#REF!</v>
      </c>
      <c r="AN528" t="e">
        <f>AND(#REF!,"AAAAAH85/yc=")</f>
        <v>#REF!</v>
      </c>
      <c r="AO528" t="e">
        <f>AND(#REF!,"AAAAAH85/yg=")</f>
        <v>#REF!</v>
      </c>
      <c r="AP528" t="e">
        <f>AND(#REF!,"AAAAAH85/yk=")</f>
        <v>#REF!</v>
      </c>
      <c r="AQ528" t="e">
        <f>AND(#REF!,"AAAAAH85/yo=")</f>
        <v>#REF!</v>
      </c>
      <c r="AR528" t="e">
        <f>AND(#REF!,"AAAAAH85/ys=")</f>
        <v>#REF!</v>
      </c>
      <c r="AS528" t="e">
        <f>AND(#REF!,"AAAAAH85/yw=")</f>
        <v>#REF!</v>
      </c>
      <c r="AT528" t="e">
        <f>AND(#REF!,"AAAAAH85/y0=")</f>
        <v>#REF!</v>
      </c>
      <c r="AU528" t="e">
        <f>AND(#REF!,"AAAAAH85/y4=")</f>
        <v>#REF!</v>
      </c>
      <c r="AV528" t="e">
        <f>AND(#REF!,"AAAAAH85/y8=")</f>
        <v>#REF!</v>
      </c>
      <c r="AW528" t="e">
        <f>IF(#REF!,"AAAAAH85/zA=",0)</f>
        <v>#REF!</v>
      </c>
      <c r="AX528" t="e">
        <f>AND(#REF!,"AAAAAH85/zE=")</f>
        <v>#REF!</v>
      </c>
      <c r="AY528" t="e">
        <f>AND(#REF!,"AAAAAH85/zI=")</f>
        <v>#REF!</v>
      </c>
      <c r="AZ528" t="e">
        <f>AND(#REF!,"AAAAAH85/zM=")</f>
        <v>#REF!</v>
      </c>
      <c r="BA528" t="e">
        <f>AND(#REF!,"AAAAAH85/zQ=")</f>
        <v>#REF!</v>
      </c>
      <c r="BB528" t="e">
        <f>AND(#REF!,"AAAAAH85/zU=")</f>
        <v>#REF!</v>
      </c>
      <c r="BC528" t="e">
        <f>AND(#REF!,"AAAAAH85/zY=")</f>
        <v>#REF!</v>
      </c>
      <c r="BD528" t="e">
        <f>AND(#REF!,"AAAAAH85/zc=")</f>
        <v>#REF!</v>
      </c>
      <c r="BE528" t="e">
        <f>AND(#REF!,"AAAAAH85/zg=")</f>
        <v>#REF!</v>
      </c>
      <c r="BF528" t="e">
        <f>AND(#REF!,"AAAAAH85/zk=")</f>
        <v>#REF!</v>
      </c>
      <c r="BG528" t="e">
        <f>AND(#REF!,"AAAAAH85/zo=")</f>
        <v>#REF!</v>
      </c>
      <c r="BH528" t="e">
        <f>AND(#REF!,"AAAAAH85/zs=")</f>
        <v>#REF!</v>
      </c>
      <c r="BI528" t="e">
        <f>AND(#REF!,"AAAAAH85/zw=")</f>
        <v>#REF!</v>
      </c>
      <c r="BJ528" t="e">
        <f>AND(#REF!,"AAAAAH85/z0=")</f>
        <v>#REF!</v>
      </c>
      <c r="BK528" t="e">
        <f>AND(#REF!,"AAAAAH85/z4=")</f>
        <v>#REF!</v>
      </c>
      <c r="BL528" t="e">
        <f>AND(#REF!,"AAAAAH85/z8=")</f>
        <v>#REF!</v>
      </c>
      <c r="BM528" t="e">
        <f>AND(#REF!,"AAAAAH85/0A=")</f>
        <v>#REF!</v>
      </c>
      <c r="BN528" t="e">
        <f>AND(#REF!,"AAAAAH85/0E=")</f>
        <v>#REF!</v>
      </c>
      <c r="BO528" t="e">
        <f>AND(#REF!,"AAAAAH85/0I=")</f>
        <v>#REF!</v>
      </c>
      <c r="BP528" t="e">
        <f>AND(#REF!,"AAAAAH85/0M=")</f>
        <v>#REF!</v>
      </c>
      <c r="BQ528" t="e">
        <f>AND(#REF!,"AAAAAH85/0Q=")</f>
        <v>#REF!</v>
      </c>
      <c r="BR528" t="e">
        <f>AND(#REF!,"AAAAAH85/0U=")</f>
        <v>#REF!</v>
      </c>
      <c r="BS528" t="e">
        <f>AND(#REF!,"AAAAAH85/0Y=")</f>
        <v>#REF!</v>
      </c>
      <c r="BT528" t="e">
        <f>AND(#REF!,"AAAAAH85/0c=")</f>
        <v>#REF!</v>
      </c>
      <c r="BU528" t="e">
        <f>AND(#REF!,"AAAAAH85/0g=")</f>
        <v>#REF!</v>
      </c>
      <c r="BV528" t="e">
        <f>IF(#REF!,"AAAAAH85/0k=",0)</f>
        <v>#REF!</v>
      </c>
      <c r="BW528" t="e">
        <f>AND(#REF!,"AAAAAH85/0o=")</f>
        <v>#REF!</v>
      </c>
      <c r="BX528" t="e">
        <f>AND(#REF!,"AAAAAH85/0s=")</f>
        <v>#REF!</v>
      </c>
      <c r="BY528" t="e">
        <f>AND(#REF!,"AAAAAH85/0w=")</f>
        <v>#REF!</v>
      </c>
      <c r="BZ528" t="e">
        <f>AND(#REF!,"AAAAAH85/00=")</f>
        <v>#REF!</v>
      </c>
      <c r="CA528" t="e">
        <f>AND(#REF!,"AAAAAH85/04=")</f>
        <v>#REF!</v>
      </c>
      <c r="CB528" t="e">
        <f>AND(#REF!,"AAAAAH85/08=")</f>
        <v>#REF!</v>
      </c>
      <c r="CC528" t="e">
        <f>AND(#REF!,"AAAAAH85/1A=")</f>
        <v>#REF!</v>
      </c>
      <c r="CD528" t="e">
        <f>AND(#REF!,"AAAAAH85/1E=")</f>
        <v>#REF!</v>
      </c>
      <c r="CE528" t="e">
        <f>AND(#REF!,"AAAAAH85/1I=")</f>
        <v>#REF!</v>
      </c>
      <c r="CF528" t="e">
        <f>AND(#REF!,"AAAAAH85/1M=")</f>
        <v>#REF!</v>
      </c>
      <c r="CG528" t="e">
        <f>AND(#REF!,"AAAAAH85/1Q=")</f>
        <v>#REF!</v>
      </c>
      <c r="CH528" t="e">
        <f>AND(#REF!,"AAAAAH85/1U=")</f>
        <v>#REF!</v>
      </c>
      <c r="CI528" t="e">
        <f>AND(#REF!,"AAAAAH85/1Y=")</f>
        <v>#REF!</v>
      </c>
      <c r="CJ528" t="e">
        <f>AND(#REF!,"AAAAAH85/1c=")</f>
        <v>#REF!</v>
      </c>
      <c r="CK528" t="e">
        <f>AND(#REF!,"AAAAAH85/1g=")</f>
        <v>#REF!</v>
      </c>
      <c r="CL528" t="e">
        <f>AND(#REF!,"AAAAAH85/1k=")</f>
        <v>#REF!</v>
      </c>
      <c r="CM528" t="e">
        <f>AND(#REF!,"AAAAAH85/1o=")</f>
        <v>#REF!</v>
      </c>
      <c r="CN528" t="e">
        <f>AND(#REF!,"AAAAAH85/1s=")</f>
        <v>#REF!</v>
      </c>
      <c r="CO528" t="e">
        <f>AND(#REF!,"AAAAAH85/1w=")</f>
        <v>#REF!</v>
      </c>
      <c r="CP528" t="e">
        <f>AND(#REF!,"AAAAAH85/10=")</f>
        <v>#REF!</v>
      </c>
      <c r="CQ528" t="e">
        <f>AND(#REF!,"AAAAAH85/14=")</f>
        <v>#REF!</v>
      </c>
      <c r="CR528" t="e">
        <f>AND(#REF!,"AAAAAH85/18=")</f>
        <v>#REF!</v>
      </c>
      <c r="CS528" t="e">
        <f>AND(#REF!,"AAAAAH85/2A=")</f>
        <v>#REF!</v>
      </c>
      <c r="CT528" t="e">
        <f>AND(#REF!,"AAAAAH85/2E=")</f>
        <v>#REF!</v>
      </c>
      <c r="CU528" t="e">
        <f>IF(#REF!,"AAAAAH85/2I=",0)</f>
        <v>#REF!</v>
      </c>
      <c r="CV528" t="e">
        <f>AND(#REF!,"AAAAAH85/2M=")</f>
        <v>#REF!</v>
      </c>
      <c r="CW528" t="e">
        <f>AND(#REF!,"AAAAAH85/2Q=")</f>
        <v>#REF!</v>
      </c>
      <c r="CX528" t="e">
        <f>AND(#REF!,"AAAAAH85/2U=")</f>
        <v>#REF!</v>
      </c>
      <c r="CY528" t="e">
        <f>AND(#REF!,"AAAAAH85/2Y=")</f>
        <v>#REF!</v>
      </c>
      <c r="CZ528" t="e">
        <f>AND(#REF!,"AAAAAH85/2c=")</f>
        <v>#REF!</v>
      </c>
      <c r="DA528" t="e">
        <f>AND(#REF!,"AAAAAH85/2g=")</f>
        <v>#REF!</v>
      </c>
      <c r="DB528" t="e">
        <f>AND(#REF!,"AAAAAH85/2k=")</f>
        <v>#REF!</v>
      </c>
      <c r="DC528" t="e">
        <f>AND(#REF!,"AAAAAH85/2o=")</f>
        <v>#REF!</v>
      </c>
      <c r="DD528" t="e">
        <f>AND(#REF!,"AAAAAH85/2s=")</f>
        <v>#REF!</v>
      </c>
      <c r="DE528" t="e">
        <f>AND(#REF!,"AAAAAH85/2w=")</f>
        <v>#REF!</v>
      </c>
      <c r="DF528" t="e">
        <f>AND(#REF!,"AAAAAH85/20=")</f>
        <v>#REF!</v>
      </c>
      <c r="DG528" t="e">
        <f>AND(#REF!,"AAAAAH85/24=")</f>
        <v>#REF!</v>
      </c>
      <c r="DH528" t="e">
        <f>AND(#REF!,"AAAAAH85/28=")</f>
        <v>#REF!</v>
      </c>
      <c r="DI528" t="e">
        <f>AND(#REF!,"AAAAAH85/3A=")</f>
        <v>#REF!</v>
      </c>
      <c r="DJ528" t="e">
        <f>AND(#REF!,"AAAAAH85/3E=")</f>
        <v>#REF!</v>
      </c>
      <c r="DK528" t="e">
        <f>AND(#REF!,"AAAAAH85/3I=")</f>
        <v>#REF!</v>
      </c>
      <c r="DL528" t="e">
        <f>AND(#REF!,"AAAAAH85/3M=")</f>
        <v>#REF!</v>
      </c>
      <c r="DM528" t="e">
        <f>AND(#REF!,"AAAAAH85/3Q=")</f>
        <v>#REF!</v>
      </c>
      <c r="DN528" t="e">
        <f>AND(#REF!,"AAAAAH85/3U=")</f>
        <v>#REF!</v>
      </c>
      <c r="DO528" t="e">
        <f>AND(#REF!,"AAAAAH85/3Y=")</f>
        <v>#REF!</v>
      </c>
      <c r="DP528" t="e">
        <f>AND(#REF!,"AAAAAH85/3c=")</f>
        <v>#REF!</v>
      </c>
      <c r="DQ528" t="e">
        <f>AND(#REF!,"AAAAAH85/3g=")</f>
        <v>#REF!</v>
      </c>
      <c r="DR528" t="e">
        <f>AND(#REF!,"AAAAAH85/3k=")</f>
        <v>#REF!</v>
      </c>
      <c r="DS528" t="e">
        <f>AND(#REF!,"AAAAAH85/3o=")</f>
        <v>#REF!</v>
      </c>
      <c r="DT528" t="e">
        <f>IF(#REF!,"AAAAAH85/3s=",0)</f>
        <v>#REF!</v>
      </c>
      <c r="DU528" t="e">
        <f>AND(#REF!,"AAAAAH85/3w=")</f>
        <v>#REF!</v>
      </c>
      <c r="DV528" t="e">
        <f>AND(#REF!,"AAAAAH85/30=")</f>
        <v>#REF!</v>
      </c>
      <c r="DW528" t="e">
        <f>AND(#REF!,"AAAAAH85/34=")</f>
        <v>#REF!</v>
      </c>
      <c r="DX528" t="e">
        <f>AND(#REF!,"AAAAAH85/38=")</f>
        <v>#REF!</v>
      </c>
      <c r="DY528" t="e">
        <f>AND(#REF!,"AAAAAH85/4A=")</f>
        <v>#REF!</v>
      </c>
      <c r="DZ528" t="e">
        <f>AND(#REF!,"AAAAAH85/4E=")</f>
        <v>#REF!</v>
      </c>
      <c r="EA528" t="e">
        <f>AND(#REF!,"AAAAAH85/4I=")</f>
        <v>#REF!</v>
      </c>
      <c r="EB528" t="e">
        <f>AND(#REF!,"AAAAAH85/4M=")</f>
        <v>#REF!</v>
      </c>
      <c r="EC528" t="e">
        <f>AND(#REF!,"AAAAAH85/4Q=")</f>
        <v>#REF!</v>
      </c>
      <c r="ED528" t="e">
        <f>AND(#REF!,"AAAAAH85/4U=")</f>
        <v>#REF!</v>
      </c>
      <c r="EE528" t="e">
        <f>AND(#REF!,"AAAAAH85/4Y=")</f>
        <v>#REF!</v>
      </c>
      <c r="EF528" t="e">
        <f>AND(#REF!,"AAAAAH85/4c=")</f>
        <v>#REF!</v>
      </c>
      <c r="EG528" t="e">
        <f>AND(#REF!,"AAAAAH85/4g=")</f>
        <v>#REF!</v>
      </c>
      <c r="EH528" t="e">
        <f>AND(#REF!,"AAAAAH85/4k=")</f>
        <v>#REF!</v>
      </c>
      <c r="EI528" t="e">
        <f>AND(#REF!,"AAAAAH85/4o=")</f>
        <v>#REF!</v>
      </c>
      <c r="EJ528" t="e">
        <f>AND(#REF!,"AAAAAH85/4s=")</f>
        <v>#REF!</v>
      </c>
      <c r="EK528" t="e">
        <f>AND(#REF!,"AAAAAH85/4w=")</f>
        <v>#REF!</v>
      </c>
      <c r="EL528" t="e">
        <f>AND(#REF!,"AAAAAH85/40=")</f>
        <v>#REF!</v>
      </c>
      <c r="EM528" t="e">
        <f>AND(#REF!,"AAAAAH85/44=")</f>
        <v>#REF!</v>
      </c>
      <c r="EN528" t="e">
        <f>AND(#REF!,"AAAAAH85/48=")</f>
        <v>#REF!</v>
      </c>
      <c r="EO528" t="e">
        <f>AND(#REF!,"AAAAAH85/5A=")</f>
        <v>#REF!</v>
      </c>
      <c r="EP528" t="e">
        <f>AND(#REF!,"AAAAAH85/5E=")</f>
        <v>#REF!</v>
      </c>
      <c r="EQ528" t="e">
        <f>AND(#REF!,"AAAAAH85/5I=")</f>
        <v>#REF!</v>
      </c>
      <c r="ER528" t="e">
        <f>AND(#REF!,"AAAAAH85/5M=")</f>
        <v>#REF!</v>
      </c>
      <c r="ES528" t="e">
        <f>IF(#REF!,"AAAAAH85/5Q=",0)</f>
        <v>#REF!</v>
      </c>
      <c r="ET528" t="e">
        <f>AND(#REF!,"AAAAAH85/5U=")</f>
        <v>#REF!</v>
      </c>
      <c r="EU528" t="e">
        <f>AND(#REF!,"AAAAAH85/5Y=")</f>
        <v>#REF!</v>
      </c>
      <c r="EV528" t="e">
        <f>AND(#REF!,"AAAAAH85/5c=")</f>
        <v>#REF!</v>
      </c>
      <c r="EW528" t="e">
        <f>AND(#REF!,"AAAAAH85/5g=")</f>
        <v>#REF!</v>
      </c>
      <c r="EX528" t="e">
        <f>AND(#REF!,"AAAAAH85/5k=")</f>
        <v>#REF!</v>
      </c>
      <c r="EY528" t="e">
        <f>AND(#REF!,"AAAAAH85/5o=")</f>
        <v>#REF!</v>
      </c>
      <c r="EZ528" t="e">
        <f>AND(#REF!,"AAAAAH85/5s=")</f>
        <v>#REF!</v>
      </c>
      <c r="FA528" t="e">
        <f>AND(#REF!,"AAAAAH85/5w=")</f>
        <v>#REF!</v>
      </c>
      <c r="FB528" t="e">
        <f>AND(#REF!,"AAAAAH85/50=")</f>
        <v>#REF!</v>
      </c>
      <c r="FC528" t="e">
        <f>AND(#REF!,"AAAAAH85/54=")</f>
        <v>#REF!</v>
      </c>
      <c r="FD528" t="e">
        <f>AND(#REF!,"AAAAAH85/58=")</f>
        <v>#REF!</v>
      </c>
      <c r="FE528" t="e">
        <f>AND(#REF!,"AAAAAH85/6A=")</f>
        <v>#REF!</v>
      </c>
      <c r="FF528" t="e">
        <f>AND(#REF!,"AAAAAH85/6E=")</f>
        <v>#REF!</v>
      </c>
      <c r="FG528" t="e">
        <f>AND(#REF!,"AAAAAH85/6I=")</f>
        <v>#REF!</v>
      </c>
      <c r="FH528" t="e">
        <f>AND(#REF!,"AAAAAH85/6M=")</f>
        <v>#REF!</v>
      </c>
      <c r="FI528" t="e">
        <f>AND(#REF!,"AAAAAH85/6Q=")</f>
        <v>#REF!</v>
      </c>
      <c r="FJ528" t="e">
        <f>AND(#REF!,"AAAAAH85/6U=")</f>
        <v>#REF!</v>
      </c>
      <c r="FK528" t="e">
        <f>AND(#REF!,"AAAAAH85/6Y=")</f>
        <v>#REF!</v>
      </c>
      <c r="FL528" t="e">
        <f>AND(#REF!,"AAAAAH85/6c=")</f>
        <v>#REF!</v>
      </c>
      <c r="FM528" t="e">
        <f>AND(#REF!,"AAAAAH85/6g=")</f>
        <v>#REF!</v>
      </c>
      <c r="FN528" t="e">
        <f>AND(#REF!,"AAAAAH85/6k=")</f>
        <v>#REF!</v>
      </c>
      <c r="FO528" t="e">
        <f>AND(#REF!,"AAAAAH85/6o=")</f>
        <v>#REF!</v>
      </c>
      <c r="FP528" t="e">
        <f>AND(#REF!,"AAAAAH85/6s=")</f>
        <v>#REF!</v>
      </c>
      <c r="FQ528" t="e">
        <f>AND(#REF!,"AAAAAH85/6w=")</f>
        <v>#REF!</v>
      </c>
      <c r="FR528" t="e">
        <f>IF(#REF!,"AAAAAH85/60=",0)</f>
        <v>#REF!</v>
      </c>
      <c r="FS528" t="e">
        <f>AND(#REF!,"AAAAAH85/64=")</f>
        <v>#REF!</v>
      </c>
      <c r="FT528" t="e">
        <f>AND(#REF!,"AAAAAH85/68=")</f>
        <v>#REF!</v>
      </c>
      <c r="FU528" t="e">
        <f>AND(#REF!,"AAAAAH85/7A=")</f>
        <v>#REF!</v>
      </c>
      <c r="FV528" t="e">
        <f>AND(#REF!,"AAAAAH85/7E=")</f>
        <v>#REF!</v>
      </c>
      <c r="FW528" t="e">
        <f>AND(#REF!,"AAAAAH85/7I=")</f>
        <v>#REF!</v>
      </c>
      <c r="FX528" t="e">
        <f>AND(#REF!,"AAAAAH85/7M=")</f>
        <v>#REF!</v>
      </c>
      <c r="FY528" t="e">
        <f>AND(#REF!,"AAAAAH85/7Q=")</f>
        <v>#REF!</v>
      </c>
      <c r="FZ528" t="e">
        <f>AND(#REF!,"AAAAAH85/7U=")</f>
        <v>#REF!</v>
      </c>
      <c r="GA528" t="e">
        <f>AND(#REF!,"AAAAAH85/7Y=")</f>
        <v>#REF!</v>
      </c>
      <c r="GB528" t="e">
        <f>AND(#REF!,"AAAAAH85/7c=")</f>
        <v>#REF!</v>
      </c>
      <c r="GC528" t="e">
        <f>AND(#REF!,"AAAAAH85/7g=")</f>
        <v>#REF!</v>
      </c>
      <c r="GD528" t="e">
        <f>AND(#REF!,"AAAAAH85/7k=")</f>
        <v>#REF!</v>
      </c>
      <c r="GE528" t="e">
        <f>AND(#REF!,"AAAAAH85/7o=")</f>
        <v>#REF!</v>
      </c>
      <c r="GF528" t="e">
        <f>AND(#REF!,"AAAAAH85/7s=")</f>
        <v>#REF!</v>
      </c>
      <c r="GG528" t="e">
        <f>AND(#REF!,"AAAAAH85/7w=")</f>
        <v>#REF!</v>
      </c>
      <c r="GH528" t="e">
        <f>AND(#REF!,"AAAAAH85/70=")</f>
        <v>#REF!</v>
      </c>
      <c r="GI528" t="e">
        <f>AND(#REF!,"AAAAAH85/74=")</f>
        <v>#REF!</v>
      </c>
      <c r="GJ528" t="e">
        <f>AND(#REF!,"AAAAAH85/78=")</f>
        <v>#REF!</v>
      </c>
      <c r="GK528" t="e">
        <f>AND(#REF!,"AAAAAH85/8A=")</f>
        <v>#REF!</v>
      </c>
      <c r="GL528" t="e">
        <f>AND(#REF!,"AAAAAH85/8E=")</f>
        <v>#REF!</v>
      </c>
      <c r="GM528" t="e">
        <f>AND(#REF!,"AAAAAH85/8I=")</f>
        <v>#REF!</v>
      </c>
      <c r="GN528" t="e">
        <f>AND(#REF!,"AAAAAH85/8M=")</f>
        <v>#REF!</v>
      </c>
      <c r="GO528" t="e">
        <f>AND(#REF!,"AAAAAH85/8Q=")</f>
        <v>#REF!</v>
      </c>
      <c r="GP528" t="e">
        <f>AND(#REF!,"AAAAAH85/8U=")</f>
        <v>#REF!</v>
      </c>
      <c r="GQ528" t="e">
        <f>IF(#REF!,"AAAAAH85/8Y=",0)</f>
        <v>#REF!</v>
      </c>
      <c r="GR528" t="e">
        <f>AND(#REF!,"AAAAAH85/8c=")</f>
        <v>#REF!</v>
      </c>
      <c r="GS528" t="e">
        <f>AND(#REF!,"AAAAAH85/8g=")</f>
        <v>#REF!</v>
      </c>
      <c r="GT528" t="e">
        <f>AND(#REF!,"AAAAAH85/8k=")</f>
        <v>#REF!</v>
      </c>
      <c r="GU528" t="e">
        <f>AND(#REF!,"AAAAAH85/8o=")</f>
        <v>#REF!</v>
      </c>
      <c r="GV528" t="e">
        <f>AND(#REF!,"AAAAAH85/8s=")</f>
        <v>#REF!</v>
      </c>
      <c r="GW528" t="e">
        <f>AND(#REF!,"AAAAAH85/8w=")</f>
        <v>#REF!</v>
      </c>
      <c r="GX528" t="e">
        <f>AND(#REF!,"AAAAAH85/80=")</f>
        <v>#REF!</v>
      </c>
      <c r="GY528" t="e">
        <f>AND(#REF!,"AAAAAH85/84=")</f>
        <v>#REF!</v>
      </c>
      <c r="GZ528" t="e">
        <f>AND(#REF!,"AAAAAH85/88=")</f>
        <v>#REF!</v>
      </c>
      <c r="HA528" t="e">
        <f>AND(#REF!,"AAAAAH85/9A=")</f>
        <v>#REF!</v>
      </c>
      <c r="HB528" t="e">
        <f>AND(#REF!,"AAAAAH85/9E=")</f>
        <v>#REF!</v>
      </c>
      <c r="HC528" t="e">
        <f>AND(#REF!,"AAAAAH85/9I=")</f>
        <v>#REF!</v>
      </c>
      <c r="HD528" t="e">
        <f>AND(#REF!,"AAAAAH85/9M=")</f>
        <v>#REF!</v>
      </c>
      <c r="HE528" t="e">
        <f>AND(#REF!,"AAAAAH85/9Q=")</f>
        <v>#REF!</v>
      </c>
      <c r="HF528" t="e">
        <f>AND(#REF!,"AAAAAH85/9U=")</f>
        <v>#REF!</v>
      </c>
      <c r="HG528" t="e">
        <f>AND(#REF!,"AAAAAH85/9Y=")</f>
        <v>#REF!</v>
      </c>
      <c r="HH528" t="e">
        <f>AND(#REF!,"AAAAAH85/9c=")</f>
        <v>#REF!</v>
      </c>
      <c r="HI528" t="e">
        <f>AND(#REF!,"AAAAAH85/9g=")</f>
        <v>#REF!</v>
      </c>
      <c r="HJ528" t="e">
        <f>AND(#REF!,"AAAAAH85/9k=")</f>
        <v>#REF!</v>
      </c>
      <c r="HK528" t="e">
        <f>AND(#REF!,"AAAAAH85/9o=")</f>
        <v>#REF!</v>
      </c>
      <c r="HL528" t="e">
        <f>AND(#REF!,"AAAAAH85/9s=")</f>
        <v>#REF!</v>
      </c>
      <c r="HM528" t="e">
        <f>AND(#REF!,"AAAAAH85/9w=")</f>
        <v>#REF!</v>
      </c>
      <c r="HN528" t="e">
        <f>AND(#REF!,"AAAAAH85/90=")</f>
        <v>#REF!</v>
      </c>
      <c r="HO528" t="e">
        <f>AND(#REF!,"AAAAAH85/94=")</f>
        <v>#REF!</v>
      </c>
      <c r="HP528" t="e">
        <f>IF(#REF!,"AAAAAH85/98=",0)</f>
        <v>#REF!</v>
      </c>
      <c r="HQ528" t="e">
        <f>AND(#REF!,"AAAAAH85/+A=")</f>
        <v>#REF!</v>
      </c>
      <c r="HR528" t="e">
        <f>AND(#REF!,"AAAAAH85/+E=")</f>
        <v>#REF!</v>
      </c>
      <c r="HS528" t="e">
        <f>AND(#REF!,"AAAAAH85/+I=")</f>
        <v>#REF!</v>
      </c>
      <c r="HT528" t="e">
        <f>AND(#REF!,"AAAAAH85/+M=")</f>
        <v>#REF!</v>
      </c>
      <c r="HU528" t="e">
        <f>AND(#REF!,"AAAAAH85/+Q=")</f>
        <v>#REF!</v>
      </c>
      <c r="HV528" t="e">
        <f>AND(#REF!,"AAAAAH85/+U=")</f>
        <v>#REF!</v>
      </c>
      <c r="HW528" t="e">
        <f>AND(#REF!,"AAAAAH85/+Y=")</f>
        <v>#REF!</v>
      </c>
      <c r="HX528" t="e">
        <f>AND(#REF!,"AAAAAH85/+c=")</f>
        <v>#REF!</v>
      </c>
      <c r="HY528" t="e">
        <f>AND(#REF!,"AAAAAH85/+g=")</f>
        <v>#REF!</v>
      </c>
      <c r="HZ528" t="e">
        <f>AND(#REF!,"AAAAAH85/+k=")</f>
        <v>#REF!</v>
      </c>
      <c r="IA528" t="e">
        <f>AND(#REF!,"AAAAAH85/+o=")</f>
        <v>#REF!</v>
      </c>
      <c r="IB528" t="e">
        <f>AND(#REF!,"AAAAAH85/+s=")</f>
        <v>#REF!</v>
      </c>
      <c r="IC528" t="e">
        <f>AND(#REF!,"AAAAAH85/+w=")</f>
        <v>#REF!</v>
      </c>
      <c r="ID528" t="e">
        <f>AND(#REF!,"AAAAAH85/+0=")</f>
        <v>#REF!</v>
      </c>
      <c r="IE528" t="e">
        <f>AND(#REF!,"AAAAAH85/+4=")</f>
        <v>#REF!</v>
      </c>
      <c r="IF528" t="e">
        <f>AND(#REF!,"AAAAAH85/+8=")</f>
        <v>#REF!</v>
      </c>
      <c r="IG528" t="e">
        <f>AND(#REF!,"AAAAAH85//A=")</f>
        <v>#REF!</v>
      </c>
      <c r="IH528" t="e">
        <f>AND(#REF!,"AAAAAH85//E=")</f>
        <v>#REF!</v>
      </c>
      <c r="II528" t="e">
        <f>AND(#REF!,"AAAAAH85//I=")</f>
        <v>#REF!</v>
      </c>
      <c r="IJ528" t="e">
        <f>AND(#REF!,"AAAAAH85//M=")</f>
        <v>#REF!</v>
      </c>
      <c r="IK528" t="e">
        <f>AND(#REF!,"AAAAAH85//Q=")</f>
        <v>#REF!</v>
      </c>
      <c r="IL528" t="e">
        <f>AND(#REF!,"AAAAAH85//U=")</f>
        <v>#REF!</v>
      </c>
      <c r="IM528" t="e">
        <f>AND(#REF!,"AAAAAH85//Y=")</f>
        <v>#REF!</v>
      </c>
      <c r="IN528" t="e">
        <f>AND(#REF!,"AAAAAH85//c=")</f>
        <v>#REF!</v>
      </c>
      <c r="IO528" t="e">
        <f>IF(#REF!,"AAAAAH85//g=",0)</f>
        <v>#REF!</v>
      </c>
      <c r="IP528" t="e">
        <f>AND(#REF!,"AAAAAH85//k=")</f>
        <v>#REF!</v>
      </c>
      <c r="IQ528" t="e">
        <f>AND(#REF!,"AAAAAH85//o=")</f>
        <v>#REF!</v>
      </c>
      <c r="IR528" t="e">
        <f>AND(#REF!,"AAAAAH85//s=")</f>
        <v>#REF!</v>
      </c>
      <c r="IS528" t="e">
        <f>AND(#REF!,"AAAAAH85//w=")</f>
        <v>#REF!</v>
      </c>
      <c r="IT528" t="e">
        <f>AND(#REF!,"AAAAAH85//0=")</f>
        <v>#REF!</v>
      </c>
      <c r="IU528" t="e">
        <f>AND(#REF!,"AAAAAH85//4=")</f>
        <v>#REF!</v>
      </c>
      <c r="IV528" t="e">
        <f>AND(#REF!,"AAAAAH85//8=")</f>
        <v>#REF!</v>
      </c>
    </row>
    <row r="529" spans="1:256">
      <c r="A529" t="e">
        <f>AND(#REF!,"AAAAAFu92wA=")</f>
        <v>#REF!</v>
      </c>
      <c r="B529" t="e">
        <f>AND(#REF!,"AAAAAFu92wE=")</f>
        <v>#REF!</v>
      </c>
      <c r="C529" t="e">
        <f>AND(#REF!,"AAAAAFu92wI=")</f>
        <v>#REF!</v>
      </c>
      <c r="D529" t="e">
        <f>AND(#REF!,"AAAAAFu92wM=")</f>
        <v>#REF!</v>
      </c>
      <c r="E529" t="e">
        <f>AND(#REF!,"AAAAAFu92wQ=")</f>
        <v>#REF!</v>
      </c>
      <c r="F529" t="e">
        <f>AND(#REF!,"AAAAAFu92wU=")</f>
        <v>#REF!</v>
      </c>
      <c r="G529" t="e">
        <f>AND(#REF!,"AAAAAFu92wY=")</f>
        <v>#REF!</v>
      </c>
      <c r="H529" t="e">
        <f>AND(#REF!,"AAAAAFu92wc=")</f>
        <v>#REF!</v>
      </c>
      <c r="I529" t="e">
        <f>AND(#REF!,"AAAAAFu92wg=")</f>
        <v>#REF!</v>
      </c>
      <c r="J529" t="e">
        <f>AND(#REF!,"AAAAAFu92wk=")</f>
        <v>#REF!</v>
      </c>
      <c r="K529" t="e">
        <f>AND(#REF!,"AAAAAFu92wo=")</f>
        <v>#REF!</v>
      </c>
      <c r="L529" t="e">
        <f>AND(#REF!,"AAAAAFu92ws=")</f>
        <v>#REF!</v>
      </c>
      <c r="M529" t="e">
        <f>AND(#REF!,"AAAAAFu92ww=")</f>
        <v>#REF!</v>
      </c>
      <c r="N529" t="e">
        <f>AND(#REF!,"AAAAAFu92w0=")</f>
        <v>#REF!</v>
      </c>
      <c r="O529" t="e">
        <f>AND(#REF!,"AAAAAFu92w4=")</f>
        <v>#REF!</v>
      </c>
      <c r="P529" t="e">
        <f>AND(#REF!,"AAAAAFu92w8=")</f>
        <v>#REF!</v>
      </c>
      <c r="Q529" t="e">
        <f>AND(#REF!,"AAAAAFu92xA=")</f>
        <v>#REF!</v>
      </c>
      <c r="R529" t="e">
        <f>IF(#REF!,"AAAAAFu92xE=",0)</f>
        <v>#REF!</v>
      </c>
      <c r="S529" t="e">
        <f>AND(#REF!,"AAAAAFu92xI=")</f>
        <v>#REF!</v>
      </c>
      <c r="T529" t="e">
        <f>AND(#REF!,"AAAAAFu92xM=")</f>
        <v>#REF!</v>
      </c>
      <c r="U529" t="e">
        <f>AND(#REF!,"AAAAAFu92xQ=")</f>
        <v>#REF!</v>
      </c>
      <c r="V529" t="e">
        <f>AND(#REF!,"AAAAAFu92xU=")</f>
        <v>#REF!</v>
      </c>
      <c r="W529" t="e">
        <f>AND(#REF!,"AAAAAFu92xY=")</f>
        <v>#REF!</v>
      </c>
      <c r="X529" t="e">
        <f>AND(#REF!,"AAAAAFu92xc=")</f>
        <v>#REF!</v>
      </c>
      <c r="Y529" t="e">
        <f>AND(#REF!,"AAAAAFu92xg=")</f>
        <v>#REF!</v>
      </c>
      <c r="Z529" t="e">
        <f>AND(#REF!,"AAAAAFu92xk=")</f>
        <v>#REF!</v>
      </c>
      <c r="AA529" t="e">
        <f>AND(#REF!,"AAAAAFu92xo=")</f>
        <v>#REF!</v>
      </c>
      <c r="AB529" t="e">
        <f>AND(#REF!,"AAAAAFu92xs=")</f>
        <v>#REF!</v>
      </c>
      <c r="AC529" t="e">
        <f>AND(#REF!,"AAAAAFu92xw=")</f>
        <v>#REF!</v>
      </c>
      <c r="AD529" t="e">
        <f>AND(#REF!,"AAAAAFu92x0=")</f>
        <v>#REF!</v>
      </c>
      <c r="AE529" t="e">
        <f>AND(#REF!,"AAAAAFu92x4=")</f>
        <v>#REF!</v>
      </c>
      <c r="AF529" t="e">
        <f>AND(#REF!,"AAAAAFu92x8=")</f>
        <v>#REF!</v>
      </c>
      <c r="AG529" t="e">
        <f>AND(#REF!,"AAAAAFu92yA=")</f>
        <v>#REF!</v>
      </c>
      <c r="AH529" t="e">
        <f>AND(#REF!,"AAAAAFu92yE=")</f>
        <v>#REF!</v>
      </c>
      <c r="AI529" t="e">
        <f>AND(#REF!,"AAAAAFu92yI=")</f>
        <v>#REF!</v>
      </c>
      <c r="AJ529" t="e">
        <f>AND(#REF!,"AAAAAFu92yM=")</f>
        <v>#REF!</v>
      </c>
      <c r="AK529" t="e">
        <f>AND(#REF!,"AAAAAFu92yQ=")</f>
        <v>#REF!</v>
      </c>
      <c r="AL529" t="e">
        <f>AND(#REF!,"AAAAAFu92yU=")</f>
        <v>#REF!</v>
      </c>
      <c r="AM529" t="e">
        <f>AND(#REF!,"AAAAAFu92yY=")</f>
        <v>#REF!</v>
      </c>
      <c r="AN529" t="e">
        <f>AND(#REF!,"AAAAAFu92yc=")</f>
        <v>#REF!</v>
      </c>
      <c r="AO529" t="e">
        <f>AND(#REF!,"AAAAAFu92yg=")</f>
        <v>#REF!</v>
      </c>
      <c r="AP529" t="e">
        <f>AND(#REF!,"AAAAAFu92yk=")</f>
        <v>#REF!</v>
      </c>
      <c r="AQ529" t="e">
        <f>IF(#REF!,"AAAAAFu92yo=",0)</f>
        <v>#REF!</v>
      </c>
      <c r="AR529" t="e">
        <f>AND(#REF!,"AAAAAFu92ys=")</f>
        <v>#REF!</v>
      </c>
      <c r="AS529" t="e">
        <f>AND(#REF!,"AAAAAFu92yw=")</f>
        <v>#REF!</v>
      </c>
      <c r="AT529" t="e">
        <f>AND(#REF!,"AAAAAFu92y0=")</f>
        <v>#REF!</v>
      </c>
      <c r="AU529" t="e">
        <f>AND(#REF!,"AAAAAFu92y4=")</f>
        <v>#REF!</v>
      </c>
      <c r="AV529" t="e">
        <f>AND(#REF!,"AAAAAFu92y8=")</f>
        <v>#REF!</v>
      </c>
      <c r="AW529" t="e">
        <f>AND(#REF!,"AAAAAFu92zA=")</f>
        <v>#REF!</v>
      </c>
      <c r="AX529" t="e">
        <f>AND(#REF!,"AAAAAFu92zE=")</f>
        <v>#REF!</v>
      </c>
      <c r="AY529" t="e">
        <f>AND(#REF!,"AAAAAFu92zI=")</f>
        <v>#REF!</v>
      </c>
      <c r="AZ529" t="e">
        <f>AND(#REF!,"AAAAAFu92zM=")</f>
        <v>#REF!</v>
      </c>
      <c r="BA529" t="e">
        <f>AND(#REF!,"AAAAAFu92zQ=")</f>
        <v>#REF!</v>
      </c>
      <c r="BB529" t="e">
        <f>AND(#REF!,"AAAAAFu92zU=")</f>
        <v>#REF!</v>
      </c>
      <c r="BC529" t="e">
        <f>AND(#REF!,"AAAAAFu92zY=")</f>
        <v>#REF!</v>
      </c>
      <c r="BD529" t="e">
        <f>AND(#REF!,"AAAAAFu92zc=")</f>
        <v>#REF!</v>
      </c>
      <c r="BE529" t="e">
        <f>AND(#REF!,"AAAAAFu92zg=")</f>
        <v>#REF!</v>
      </c>
      <c r="BF529" t="e">
        <f>AND(#REF!,"AAAAAFu92zk=")</f>
        <v>#REF!</v>
      </c>
      <c r="BG529" t="e">
        <f>AND(#REF!,"AAAAAFu92zo=")</f>
        <v>#REF!</v>
      </c>
      <c r="BH529" t="e">
        <f>AND(#REF!,"AAAAAFu92zs=")</f>
        <v>#REF!</v>
      </c>
      <c r="BI529" t="e">
        <f>AND(#REF!,"AAAAAFu92zw=")</f>
        <v>#REF!</v>
      </c>
      <c r="BJ529" t="e">
        <f>AND(#REF!,"AAAAAFu92z0=")</f>
        <v>#REF!</v>
      </c>
      <c r="BK529" t="e">
        <f>AND(#REF!,"AAAAAFu92z4=")</f>
        <v>#REF!</v>
      </c>
      <c r="BL529" t="e">
        <f>AND(#REF!,"AAAAAFu92z8=")</f>
        <v>#REF!</v>
      </c>
      <c r="BM529" t="e">
        <f>AND(#REF!,"AAAAAFu920A=")</f>
        <v>#REF!</v>
      </c>
      <c r="BN529" t="e">
        <f>AND(#REF!,"AAAAAFu920E=")</f>
        <v>#REF!</v>
      </c>
      <c r="BO529" t="e">
        <f>AND(#REF!,"AAAAAFu920I=")</f>
        <v>#REF!</v>
      </c>
      <c r="BP529" t="e">
        <f>IF(#REF!,"AAAAAFu920M=",0)</f>
        <v>#REF!</v>
      </c>
      <c r="BQ529" t="e">
        <f>AND(#REF!,"AAAAAFu920Q=")</f>
        <v>#REF!</v>
      </c>
      <c r="BR529" t="e">
        <f>AND(#REF!,"AAAAAFu920U=")</f>
        <v>#REF!</v>
      </c>
      <c r="BS529" t="e">
        <f>AND(#REF!,"AAAAAFu920Y=")</f>
        <v>#REF!</v>
      </c>
      <c r="BT529" t="e">
        <f>AND(#REF!,"AAAAAFu920c=")</f>
        <v>#REF!</v>
      </c>
      <c r="BU529" t="e">
        <f>AND(#REF!,"AAAAAFu920g=")</f>
        <v>#REF!</v>
      </c>
      <c r="BV529" t="e">
        <f>AND(#REF!,"AAAAAFu920k=")</f>
        <v>#REF!</v>
      </c>
      <c r="BW529" t="e">
        <f>AND(#REF!,"AAAAAFu920o=")</f>
        <v>#REF!</v>
      </c>
      <c r="BX529" t="e">
        <f>AND(#REF!,"AAAAAFu920s=")</f>
        <v>#REF!</v>
      </c>
      <c r="BY529" t="e">
        <f>AND(#REF!,"AAAAAFu920w=")</f>
        <v>#REF!</v>
      </c>
      <c r="BZ529" t="e">
        <f>AND(#REF!,"AAAAAFu9200=")</f>
        <v>#REF!</v>
      </c>
      <c r="CA529" t="e">
        <f>AND(#REF!,"AAAAAFu9204=")</f>
        <v>#REF!</v>
      </c>
      <c r="CB529" t="e">
        <f>AND(#REF!,"AAAAAFu9208=")</f>
        <v>#REF!</v>
      </c>
      <c r="CC529" t="e">
        <f>AND(#REF!,"AAAAAFu921A=")</f>
        <v>#REF!</v>
      </c>
      <c r="CD529" t="e">
        <f>AND(#REF!,"AAAAAFu921E=")</f>
        <v>#REF!</v>
      </c>
      <c r="CE529" t="e">
        <f>AND(#REF!,"AAAAAFu921I=")</f>
        <v>#REF!</v>
      </c>
      <c r="CF529" t="e">
        <f>AND(#REF!,"AAAAAFu921M=")</f>
        <v>#REF!</v>
      </c>
      <c r="CG529" t="e">
        <f>AND(#REF!,"AAAAAFu921Q=")</f>
        <v>#REF!</v>
      </c>
      <c r="CH529" t="e">
        <f>AND(#REF!,"AAAAAFu921U=")</f>
        <v>#REF!</v>
      </c>
      <c r="CI529" t="e">
        <f>AND(#REF!,"AAAAAFu921Y=")</f>
        <v>#REF!</v>
      </c>
      <c r="CJ529" t="e">
        <f>AND(#REF!,"AAAAAFu921c=")</f>
        <v>#REF!</v>
      </c>
      <c r="CK529" t="e">
        <f>AND(#REF!,"AAAAAFu921g=")</f>
        <v>#REF!</v>
      </c>
      <c r="CL529" t="e">
        <f>AND(#REF!,"AAAAAFu921k=")</f>
        <v>#REF!</v>
      </c>
      <c r="CM529" t="e">
        <f>AND(#REF!,"AAAAAFu921o=")</f>
        <v>#REF!</v>
      </c>
      <c r="CN529" t="e">
        <f>AND(#REF!,"AAAAAFu921s=")</f>
        <v>#REF!</v>
      </c>
      <c r="CO529" t="e">
        <f>IF(#REF!,"AAAAAFu921w=",0)</f>
        <v>#REF!</v>
      </c>
      <c r="CP529" t="e">
        <f>AND(#REF!,"AAAAAFu9210=")</f>
        <v>#REF!</v>
      </c>
      <c r="CQ529" t="e">
        <f>AND(#REF!,"AAAAAFu9214=")</f>
        <v>#REF!</v>
      </c>
      <c r="CR529" t="e">
        <f>AND(#REF!,"AAAAAFu9218=")</f>
        <v>#REF!</v>
      </c>
      <c r="CS529" t="e">
        <f>AND(#REF!,"AAAAAFu922A=")</f>
        <v>#REF!</v>
      </c>
      <c r="CT529" t="e">
        <f>AND(#REF!,"AAAAAFu922E=")</f>
        <v>#REF!</v>
      </c>
      <c r="CU529" t="e">
        <f>AND(#REF!,"AAAAAFu922I=")</f>
        <v>#REF!</v>
      </c>
      <c r="CV529" t="e">
        <f>AND(#REF!,"AAAAAFu922M=")</f>
        <v>#REF!</v>
      </c>
      <c r="CW529" t="e">
        <f>AND(#REF!,"AAAAAFu922Q=")</f>
        <v>#REF!</v>
      </c>
      <c r="CX529" t="e">
        <f>AND(#REF!,"AAAAAFu922U=")</f>
        <v>#REF!</v>
      </c>
      <c r="CY529" t="e">
        <f>AND(#REF!,"AAAAAFu922Y=")</f>
        <v>#REF!</v>
      </c>
      <c r="CZ529" t="e">
        <f>AND(#REF!,"AAAAAFu922c=")</f>
        <v>#REF!</v>
      </c>
      <c r="DA529" t="e">
        <f>AND(#REF!,"AAAAAFu922g=")</f>
        <v>#REF!</v>
      </c>
      <c r="DB529" t="e">
        <f>AND(#REF!,"AAAAAFu922k=")</f>
        <v>#REF!</v>
      </c>
      <c r="DC529" t="e">
        <f>AND(#REF!,"AAAAAFu922o=")</f>
        <v>#REF!</v>
      </c>
      <c r="DD529" t="e">
        <f>AND(#REF!,"AAAAAFu922s=")</f>
        <v>#REF!</v>
      </c>
      <c r="DE529" t="e">
        <f>AND(#REF!,"AAAAAFu922w=")</f>
        <v>#REF!</v>
      </c>
      <c r="DF529" t="e">
        <f>AND(#REF!,"AAAAAFu9220=")</f>
        <v>#REF!</v>
      </c>
      <c r="DG529" t="e">
        <f>AND(#REF!,"AAAAAFu9224=")</f>
        <v>#REF!</v>
      </c>
      <c r="DH529" t="e">
        <f>AND(#REF!,"AAAAAFu9228=")</f>
        <v>#REF!</v>
      </c>
      <c r="DI529" t="e">
        <f>AND(#REF!,"AAAAAFu923A=")</f>
        <v>#REF!</v>
      </c>
      <c r="DJ529" t="e">
        <f>AND(#REF!,"AAAAAFu923E=")</f>
        <v>#REF!</v>
      </c>
      <c r="DK529" t="e">
        <f>AND(#REF!,"AAAAAFu923I=")</f>
        <v>#REF!</v>
      </c>
      <c r="DL529" t="e">
        <f>AND(#REF!,"AAAAAFu923M=")</f>
        <v>#REF!</v>
      </c>
      <c r="DM529" t="e">
        <f>AND(#REF!,"AAAAAFu923Q=")</f>
        <v>#REF!</v>
      </c>
      <c r="DN529" t="e">
        <f>IF(#REF!,"AAAAAFu923U=",0)</f>
        <v>#REF!</v>
      </c>
      <c r="DO529" t="e">
        <f>AND(#REF!,"AAAAAFu923Y=")</f>
        <v>#REF!</v>
      </c>
      <c r="DP529" t="e">
        <f>AND(#REF!,"AAAAAFu923c=")</f>
        <v>#REF!</v>
      </c>
      <c r="DQ529" t="e">
        <f>AND(#REF!,"AAAAAFu923g=")</f>
        <v>#REF!</v>
      </c>
      <c r="DR529" t="e">
        <f>AND(#REF!,"AAAAAFu923k=")</f>
        <v>#REF!</v>
      </c>
      <c r="DS529" t="e">
        <f>AND(#REF!,"AAAAAFu923o=")</f>
        <v>#REF!</v>
      </c>
      <c r="DT529" t="e">
        <f>AND(#REF!,"AAAAAFu923s=")</f>
        <v>#REF!</v>
      </c>
      <c r="DU529" t="e">
        <f>AND(#REF!,"AAAAAFu923w=")</f>
        <v>#REF!</v>
      </c>
      <c r="DV529" t="e">
        <f>AND(#REF!,"AAAAAFu9230=")</f>
        <v>#REF!</v>
      </c>
      <c r="DW529" t="e">
        <f>AND(#REF!,"AAAAAFu9234=")</f>
        <v>#REF!</v>
      </c>
      <c r="DX529" t="e">
        <f>AND(#REF!,"AAAAAFu9238=")</f>
        <v>#REF!</v>
      </c>
      <c r="DY529" t="e">
        <f>AND(#REF!,"AAAAAFu924A=")</f>
        <v>#REF!</v>
      </c>
      <c r="DZ529" t="e">
        <f>AND(#REF!,"AAAAAFu924E=")</f>
        <v>#REF!</v>
      </c>
      <c r="EA529" t="e">
        <f>AND(#REF!,"AAAAAFu924I=")</f>
        <v>#REF!</v>
      </c>
      <c r="EB529" t="e">
        <f>AND(#REF!,"AAAAAFu924M=")</f>
        <v>#REF!</v>
      </c>
      <c r="EC529" t="e">
        <f>AND(#REF!,"AAAAAFu924Q=")</f>
        <v>#REF!</v>
      </c>
      <c r="ED529" t="e">
        <f>AND(#REF!,"AAAAAFu924U=")</f>
        <v>#REF!</v>
      </c>
      <c r="EE529" t="e">
        <f>AND(#REF!,"AAAAAFu924Y=")</f>
        <v>#REF!</v>
      </c>
      <c r="EF529" t="e">
        <f>AND(#REF!,"AAAAAFu924c=")</f>
        <v>#REF!</v>
      </c>
      <c r="EG529" t="e">
        <f>AND(#REF!,"AAAAAFu924g=")</f>
        <v>#REF!</v>
      </c>
      <c r="EH529" t="e">
        <f>AND(#REF!,"AAAAAFu924k=")</f>
        <v>#REF!</v>
      </c>
      <c r="EI529" t="e">
        <f>AND(#REF!,"AAAAAFu924o=")</f>
        <v>#REF!</v>
      </c>
      <c r="EJ529" t="e">
        <f>AND(#REF!,"AAAAAFu924s=")</f>
        <v>#REF!</v>
      </c>
      <c r="EK529" t="e">
        <f>AND(#REF!,"AAAAAFu924w=")</f>
        <v>#REF!</v>
      </c>
      <c r="EL529" t="e">
        <f>AND(#REF!,"AAAAAFu9240=")</f>
        <v>#REF!</v>
      </c>
      <c r="EM529" t="e">
        <f>IF(#REF!,"AAAAAFu9244=",0)</f>
        <v>#REF!</v>
      </c>
      <c r="EN529" t="e">
        <f>AND(#REF!,"AAAAAFu9248=")</f>
        <v>#REF!</v>
      </c>
      <c r="EO529" t="e">
        <f>AND(#REF!,"AAAAAFu925A=")</f>
        <v>#REF!</v>
      </c>
      <c r="EP529" t="e">
        <f>AND(#REF!,"AAAAAFu925E=")</f>
        <v>#REF!</v>
      </c>
      <c r="EQ529" t="e">
        <f>AND(#REF!,"AAAAAFu925I=")</f>
        <v>#REF!</v>
      </c>
      <c r="ER529" t="e">
        <f>AND(#REF!,"AAAAAFu925M=")</f>
        <v>#REF!</v>
      </c>
      <c r="ES529" t="e">
        <f>AND(#REF!,"AAAAAFu925Q=")</f>
        <v>#REF!</v>
      </c>
      <c r="ET529" t="e">
        <f>AND(#REF!,"AAAAAFu925U=")</f>
        <v>#REF!</v>
      </c>
      <c r="EU529" t="e">
        <f>AND(#REF!,"AAAAAFu925Y=")</f>
        <v>#REF!</v>
      </c>
      <c r="EV529" t="e">
        <f>AND(#REF!,"AAAAAFu925c=")</f>
        <v>#REF!</v>
      </c>
      <c r="EW529" t="e">
        <f>AND(#REF!,"AAAAAFu925g=")</f>
        <v>#REF!</v>
      </c>
      <c r="EX529" t="e">
        <f>AND(#REF!,"AAAAAFu925k=")</f>
        <v>#REF!</v>
      </c>
      <c r="EY529" t="e">
        <f>AND(#REF!,"AAAAAFu925o=")</f>
        <v>#REF!</v>
      </c>
      <c r="EZ529" t="e">
        <f>AND(#REF!,"AAAAAFu925s=")</f>
        <v>#REF!</v>
      </c>
      <c r="FA529" t="e">
        <f>AND(#REF!,"AAAAAFu925w=")</f>
        <v>#REF!</v>
      </c>
      <c r="FB529" t="e">
        <f>AND(#REF!,"AAAAAFu9250=")</f>
        <v>#REF!</v>
      </c>
      <c r="FC529" t="e">
        <f>AND(#REF!,"AAAAAFu9254=")</f>
        <v>#REF!</v>
      </c>
      <c r="FD529" t="e">
        <f>AND(#REF!,"AAAAAFu9258=")</f>
        <v>#REF!</v>
      </c>
      <c r="FE529" t="e">
        <f>AND(#REF!,"AAAAAFu926A=")</f>
        <v>#REF!</v>
      </c>
      <c r="FF529" t="e">
        <f>AND(#REF!,"AAAAAFu926E=")</f>
        <v>#REF!</v>
      </c>
      <c r="FG529" t="e">
        <f>AND(#REF!,"AAAAAFu926I=")</f>
        <v>#REF!</v>
      </c>
      <c r="FH529" t="e">
        <f>AND(#REF!,"AAAAAFu926M=")</f>
        <v>#REF!</v>
      </c>
      <c r="FI529" t="e">
        <f>AND(#REF!,"AAAAAFu926Q=")</f>
        <v>#REF!</v>
      </c>
      <c r="FJ529" t="e">
        <f>AND(#REF!,"AAAAAFu926U=")</f>
        <v>#REF!</v>
      </c>
      <c r="FK529" t="e">
        <f>AND(#REF!,"AAAAAFu926Y=")</f>
        <v>#REF!</v>
      </c>
      <c r="FL529" t="e">
        <f>IF(#REF!,"AAAAAFu926c=",0)</f>
        <v>#REF!</v>
      </c>
      <c r="FM529" t="e">
        <f>AND(#REF!,"AAAAAFu926g=")</f>
        <v>#REF!</v>
      </c>
      <c r="FN529" t="e">
        <f>AND(#REF!,"AAAAAFu926k=")</f>
        <v>#REF!</v>
      </c>
      <c r="FO529" t="e">
        <f>AND(#REF!,"AAAAAFu926o=")</f>
        <v>#REF!</v>
      </c>
      <c r="FP529" t="e">
        <f>AND(#REF!,"AAAAAFu926s=")</f>
        <v>#REF!</v>
      </c>
      <c r="FQ529" t="e">
        <f>AND(#REF!,"AAAAAFu926w=")</f>
        <v>#REF!</v>
      </c>
      <c r="FR529" t="e">
        <f>AND(#REF!,"AAAAAFu9260=")</f>
        <v>#REF!</v>
      </c>
      <c r="FS529" t="e">
        <f>AND(#REF!,"AAAAAFu9264=")</f>
        <v>#REF!</v>
      </c>
      <c r="FT529" t="e">
        <f>AND(#REF!,"AAAAAFu9268=")</f>
        <v>#REF!</v>
      </c>
      <c r="FU529" t="e">
        <f>AND(#REF!,"AAAAAFu927A=")</f>
        <v>#REF!</v>
      </c>
      <c r="FV529" t="e">
        <f>AND(#REF!,"AAAAAFu927E=")</f>
        <v>#REF!</v>
      </c>
      <c r="FW529" t="e">
        <f>AND(#REF!,"AAAAAFu927I=")</f>
        <v>#REF!</v>
      </c>
      <c r="FX529" t="e">
        <f>AND(#REF!,"AAAAAFu927M=")</f>
        <v>#REF!</v>
      </c>
      <c r="FY529" t="e">
        <f>AND(#REF!,"AAAAAFu927Q=")</f>
        <v>#REF!</v>
      </c>
      <c r="FZ529" t="e">
        <f>AND(#REF!,"AAAAAFu927U=")</f>
        <v>#REF!</v>
      </c>
      <c r="GA529" t="e">
        <f>AND(#REF!,"AAAAAFu927Y=")</f>
        <v>#REF!</v>
      </c>
      <c r="GB529" t="e">
        <f>AND(#REF!,"AAAAAFu927c=")</f>
        <v>#REF!</v>
      </c>
      <c r="GC529" t="e">
        <f>AND(#REF!,"AAAAAFu927g=")</f>
        <v>#REF!</v>
      </c>
      <c r="GD529" t="e">
        <f>AND(#REF!,"AAAAAFu927k=")</f>
        <v>#REF!</v>
      </c>
      <c r="GE529" t="e">
        <f>AND(#REF!,"AAAAAFu927o=")</f>
        <v>#REF!</v>
      </c>
      <c r="GF529" t="e">
        <f>AND(#REF!,"AAAAAFu927s=")</f>
        <v>#REF!</v>
      </c>
      <c r="GG529" t="e">
        <f>AND(#REF!,"AAAAAFu927w=")</f>
        <v>#REF!</v>
      </c>
      <c r="GH529" t="e">
        <f>AND(#REF!,"AAAAAFu9270=")</f>
        <v>#REF!</v>
      </c>
      <c r="GI529" t="e">
        <f>AND(#REF!,"AAAAAFu9274=")</f>
        <v>#REF!</v>
      </c>
      <c r="GJ529" t="e">
        <f>AND(#REF!,"AAAAAFu9278=")</f>
        <v>#REF!</v>
      </c>
      <c r="GK529" t="e">
        <f>IF(#REF!,"AAAAAFu928A=",0)</f>
        <v>#REF!</v>
      </c>
      <c r="GL529" t="e">
        <f>AND(#REF!,"AAAAAFu928E=")</f>
        <v>#REF!</v>
      </c>
      <c r="GM529" t="e">
        <f>AND(#REF!,"AAAAAFu928I=")</f>
        <v>#REF!</v>
      </c>
      <c r="GN529" t="e">
        <f>AND(#REF!,"AAAAAFu928M=")</f>
        <v>#REF!</v>
      </c>
      <c r="GO529" t="e">
        <f>AND(#REF!,"AAAAAFu928Q=")</f>
        <v>#REF!</v>
      </c>
      <c r="GP529" t="e">
        <f>AND(#REF!,"AAAAAFu928U=")</f>
        <v>#REF!</v>
      </c>
      <c r="GQ529" t="e">
        <f>AND(#REF!,"AAAAAFu928Y=")</f>
        <v>#REF!</v>
      </c>
      <c r="GR529" t="e">
        <f>AND(#REF!,"AAAAAFu928c=")</f>
        <v>#REF!</v>
      </c>
      <c r="GS529" t="e">
        <f>AND(#REF!,"AAAAAFu928g=")</f>
        <v>#REF!</v>
      </c>
      <c r="GT529" t="e">
        <f>AND(#REF!,"AAAAAFu928k=")</f>
        <v>#REF!</v>
      </c>
      <c r="GU529" t="e">
        <f>AND(#REF!,"AAAAAFu928o=")</f>
        <v>#REF!</v>
      </c>
      <c r="GV529" t="e">
        <f>AND(#REF!,"AAAAAFu928s=")</f>
        <v>#REF!</v>
      </c>
      <c r="GW529" t="e">
        <f>AND(#REF!,"AAAAAFu928w=")</f>
        <v>#REF!</v>
      </c>
      <c r="GX529" t="e">
        <f>AND(#REF!,"AAAAAFu9280=")</f>
        <v>#REF!</v>
      </c>
      <c r="GY529" t="e">
        <f>AND(#REF!,"AAAAAFu9284=")</f>
        <v>#REF!</v>
      </c>
      <c r="GZ529" t="e">
        <f>AND(#REF!,"AAAAAFu9288=")</f>
        <v>#REF!</v>
      </c>
      <c r="HA529" t="e">
        <f>AND(#REF!,"AAAAAFu929A=")</f>
        <v>#REF!</v>
      </c>
      <c r="HB529" t="e">
        <f>AND(#REF!,"AAAAAFu929E=")</f>
        <v>#REF!</v>
      </c>
      <c r="HC529" t="e">
        <f>AND(#REF!,"AAAAAFu929I=")</f>
        <v>#REF!</v>
      </c>
      <c r="HD529" t="e">
        <f>AND(#REF!,"AAAAAFu929M=")</f>
        <v>#REF!</v>
      </c>
      <c r="HE529" t="e">
        <f>AND(#REF!,"AAAAAFu929Q=")</f>
        <v>#REF!</v>
      </c>
      <c r="HF529" t="e">
        <f>AND(#REF!,"AAAAAFu929U=")</f>
        <v>#REF!</v>
      </c>
      <c r="HG529" t="e">
        <f>AND(#REF!,"AAAAAFu929Y=")</f>
        <v>#REF!</v>
      </c>
      <c r="HH529" t="e">
        <f>AND(#REF!,"AAAAAFu929c=")</f>
        <v>#REF!</v>
      </c>
      <c r="HI529" t="e">
        <f>AND(#REF!,"AAAAAFu929g=")</f>
        <v>#REF!</v>
      </c>
      <c r="HJ529" t="e">
        <f>IF(#REF!,"AAAAAFu929k=",0)</f>
        <v>#REF!</v>
      </c>
      <c r="HK529" t="e">
        <f>AND(#REF!,"AAAAAFu929o=")</f>
        <v>#REF!</v>
      </c>
      <c r="HL529" t="e">
        <f>AND(#REF!,"AAAAAFu929s=")</f>
        <v>#REF!</v>
      </c>
      <c r="HM529" t="e">
        <f>AND(#REF!,"AAAAAFu929w=")</f>
        <v>#REF!</v>
      </c>
      <c r="HN529" t="e">
        <f>AND(#REF!,"AAAAAFu9290=")</f>
        <v>#REF!</v>
      </c>
      <c r="HO529" t="e">
        <f>AND(#REF!,"AAAAAFu9294=")</f>
        <v>#REF!</v>
      </c>
      <c r="HP529" t="e">
        <f>AND(#REF!,"AAAAAFu9298=")</f>
        <v>#REF!</v>
      </c>
      <c r="HQ529" t="e">
        <f>AND(#REF!,"AAAAAFu92+A=")</f>
        <v>#REF!</v>
      </c>
      <c r="HR529" t="e">
        <f>AND(#REF!,"AAAAAFu92+E=")</f>
        <v>#REF!</v>
      </c>
      <c r="HS529" t="e">
        <f>AND(#REF!,"AAAAAFu92+I=")</f>
        <v>#REF!</v>
      </c>
      <c r="HT529" t="e">
        <f>AND(#REF!,"AAAAAFu92+M=")</f>
        <v>#REF!</v>
      </c>
      <c r="HU529" t="e">
        <f>AND(#REF!,"AAAAAFu92+Q=")</f>
        <v>#REF!</v>
      </c>
      <c r="HV529" t="e">
        <f>AND(#REF!,"AAAAAFu92+U=")</f>
        <v>#REF!</v>
      </c>
      <c r="HW529" t="e">
        <f>AND(#REF!,"AAAAAFu92+Y=")</f>
        <v>#REF!</v>
      </c>
      <c r="HX529" t="e">
        <f>AND(#REF!,"AAAAAFu92+c=")</f>
        <v>#REF!</v>
      </c>
      <c r="HY529" t="e">
        <f>AND(#REF!,"AAAAAFu92+g=")</f>
        <v>#REF!</v>
      </c>
      <c r="HZ529" t="e">
        <f>AND(#REF!,"AAAAAFu92+k=")</f>
        <v>#REF!</v>
      </c>
      <c r="IA529" t="e">
        <f>AND(#REF!,"AAAAAFu92+o=")</f>
        <v>#REF!</v>
      </c>
      <c r="IB529" t="e">
        <f>AND(#REF!,"AAAAAFu92+s=")</f>
        <v>#REF!</v>
      </c>
      <c r="IC529" t="e">
        <f>AND(#REF!,"AAAAAFu92+w=")</f>
        <v>#REF!</v>
      </c>
      <c r="ID529" t="e">
        <f>AND(#REF!,"AAAAAFu92+0=")</f>
        <v>#REF!</v>
      </c>
      <c r="IE529" t="e">
        <f>AND(#REF!,"AAAAAFu92+4=")</f>
        <v>#REF!</v>
      </c>
      <c r="IF529" t="e">
        <f>AND(#REF!,"AAAAAFu92+8=")</f>
        <v>#REF!</v>
      </c>
      <c r="IG529" t="e">
        <f>AND(#REF!,"AAAAAFu92/A=")</f>
        <v>#REF!</v>
      </c>
      <c r="IH529" t="e">
        <f>AND(#REF!,"AAAAAFu92/E=")</f>
        <v>#REF!</v>
      </c>
      <c r="II529" t="e">
        <f>IF(#REF!,"AAAAAFu92/I=",0)</f>
        <v>#REF!</v>
      </c>
      <c r="IJ529" t="e">
        <f>AND(#REF!,"AAAAAFu92/M=")</f>
        <v>#REF!</v>
      </c>
      <c r="IK529" t="e">
        <f>AND(#REF!,"AAAAAFu92/Q=")</f>
        <v>#REF!</v>
      </c>
      <c r="IL529" t="e">
        <f>AND(#REF!,"AAAAAFu92/U=")</f>
        <v>#REF!</v>
      </c>
      <c r="IM529" t="e">
        <f>AND(#REF!,"AAAAAFu92/Y=")</f>
        <v>#REF!</v>
      </c>
      <c r="IN529" t="e">
        <f>AND(#REF!,"AAAAAFu92/c=")</f>
        <v>#REF!</v>
      </c>
      <c r="IO529" t="e">
        <f>AND(#REF!,"AAAAAFu92/g=")</f>
        <v>#REF!</v>
      </c>
      <c r="IP529" t="e">
        <f>AND(#REF!,"AAAAAFu92/k=")</f>
        <v>#REF!</v>
      </c>
      <c r="IQ529" t="e">
        <f>AND(#REF!,"AAAAAFu92/o=")</f>
        <v>#REF!</v>
      </c>
      <c r="IR529" t="e">
        <f>AND(#REF!,"AAAAAFu92/s=")</f>
        <v>#REF!</v>
      </c>
      <c r="IS529" t="e">
        <f>AND(#REF!,"AAAAAFu92/w=")</f>
        <v>#REF!</v>
      </c>
      <c r="IT529" t="e">
        <f>AND(#REF!,"AAAAAFu92/0=")</f>
        <v>#REF!</v>
      </c>
      <c r="IU529" t="e">
        <f>AND(#REF!,"AAAAAFu92/4=")</f>
        <v>#REF!</v>
      </c>
      <c r="IV529" t="e">
        <f>AND(#REF!,"AAAAAFu92/8=")</f>
        <v>#REF!</v>
      </c>
    </row>
    <row r="530" spans="1:256">
      <c r="A530" t="e">
        <f>AND(#REF!,"AAAAAE3edgA=")</f>
        <v>#REF!</v>
      </c>
      <c r="B530" t="e">
        <f>AND(#REF!,"AAAAAE3edgE=")</f>
        <v>#REF!</v>
      </c>
      <c r="C530" t="e">
        <f>AND(#REF!,"AAAAAE3edgI=")</f>
        <v>#REF!</v>
      </c>
      <c r="D530" t="e">
        <f>AND(#REF!,"AAAAAE3edgM=")</f>
        <v>#REF!</v>
      </c>
      <c r="E530" t="e">
        <f>AND(#REF!,"AAAAAE3edgQ=")</f>
        <v>#REF!</v>
      </c>
      <c r="F530" t="e">
        <f>AND(#REF!,"AAAAAE3edgU=")</f>
        <v>#REF!</v>
      </c>
      <c r="G530" t="e">
        <f>AND(#REF!,"AAAAAE3edgY=")</f>
        <v>#REF!</v>
      </c>
      <c r="H530" t="e">
        <f>AND(#REF!,"AAAAAE3edgc=")</f>
        <v>#REF!</v>
      </c>
      <c r="I530" t="e">
        <f>AND(#REF!,"AAAAAE3edgg=")</f>
        <v>#REF!</v>
      </c>
      <c r="J530" t="e">
        <f>AND(#REF!,"AAAAAE3edgk=")</f>
        <v>#REF!</v>
      </c>
      <c r="K530" t="e">
        <f>AND(#REF!,"AAAAAE3edgo=")</f>
        <v>#REF!</v>
      </c>
      <c r="L530" t="e">
        <f>IF(#REF!,"AAAAAE3edgs=",0)</f>
        <v>#REF!</v>
      </c>
      <c r="M530" t="e">
        <f>AND(#REF!,"AAAAAE3edgw=")</f>
        <v>#REF!</v>
      </c>
      <c r="N530" t="e">
        <f>AND(#REF!,"AAAAAE3edg0=")</f>
        <v>#REF!</v>
      </c>
      <c r="O530" t="e">
        <f>AND(#REF!,"AAAAAE3edg4=")</f>
        <v>#REF!</v>
      </c>
      <c r="P530" t="e">
        <f>AND(#REF!,"AAAAAE3edg8=")</f>
        <v>#REF!</v>
      </c>
      <c r="Q530" t="e">
        <f>AND(#REF!,"AAAAAE3edhA=")</f>
        <v>#REF!</v>
      </c>
      <c r="R530" t="e">
        <f>AND(#REF!,"AAAAAE3edhE=")</f>
        <v>#REF!</v>
      </c>
      <c r="S530" t="e">
        <f>AND(#REF!,"AAAAAE3edhI=")</f>
        <v>#REF!</v>
      </c>
      <c r="T530" t="e">
        <f>AND(#REF!,"AAAAAE3edhM=")</f>
        <v>#REF!</v>
      </c>
      <c r="U530" t="e">
        <f>AND(#REF!,"AAAAAE3edhQ=")</f>
        <v>#REF!</v>
      </c>
      <c r="V530" t="e">
        <f>AND(#REF!,"AAAAAE3edhU=")</f>
        <v>#REF!</v>
      </c>
      <c r="W530" t="e">
        <f>AND(#REF!,"AAAAAE3edhY=")</f>
        <v>#REF!</v>
      </c>
      <c r="X530" t="e">
        <f>AND(#REF!,"AAAAAE3edhc=")</f>
        <v>#REF!</v>
      </c>
      <c r="Y530" t="e">
        <f>AND(#REF!,"AAAAAE3edhg=")</f>
        <v>#REF!</v>
      </c>
      <c r="Z530" t="e">
        <f>AND(#REF!,"AAAAAE3edhk=")</f>
        <v>#REF!</v>
      </c>
      <c r="AA530" t="e">
        <f>AND(#REF!,"AAAAAE3edho=")</f>
        <v>#REF!</v>
      </c>
      <c r="AB530" t="e">
        <f>AND(#REF!,"AAAAAE3edhs=")</f>
        <v>#REF!</v>
      </c>
      <c r="AC530" t="e">
        <f>AND(#REF!,"AAAAAE3edhw=")</f>
        <v>#REF!</v>
      </c>
      <c r="AD530" t="e">
        <f>AND(#REF!,"AAAAAE3edh0=")</f>
        <v>#REF!</v>
      </c>
      <c r="AE530" t="e">
        <f>AND(#REF!,"AAAAAE3edh4=")</f>
        <v>#REF!</v>
      </c>
      <c r="AF530" t="e">
        <f>AND(#REF!,"AAAAAE3edh8=")</f>
        <v>#REF!</v>
      </c>
      <c r="AG530" t="e">
        <f>AND(#REF!,"AAAAAE3ediA=")</f>
        <v>#REF!</v>
      </c>
      <c r="AH530" t="e">
        <f>AND(#REF!,"AAAAAE3ediE=")</f>
        <v>#REF!</v>
      </c>
      <c r="AI530" t="e">
        <f>AND(#REF!,"AAAAAE3ediI=")</f>
        <v>#REF!</v>
      </c>
      <c r="AJ530" t="e">
        <f>AND(#REF!,"AAAAAE3ediM=")</f>
        <v>#REF!</v>
      </c>
      <c r="AK530" t="e">
        <f>IF(#REF!,"AAAAAE3ediQ=",0)</f>
        <v>#REF!</v>
      </c>
      <c r="AL530" t="e">
        <f>AND(#REF!,"AAAAAE3ediU=")</f>
        <v>#REF!</v>
      </c>
      <c r="AM530" t="e">
        <f>AND(#REF!,"AAAAAE3ediY=")</f>
        <v>#REF!</v>
      </c>
      <c r="AN530" t="e">
        <f>AND(#REF!,"AAAAAE3edic=")</f>
        <v>#REF!</v>
      </c>
      <c r="AO530" t="e">
        <f>AND(#REF!,"AAAAAE3edig=")</f>
        <v>#REF!</v>
      </c>
      <c r="AP530" t="e">
        <f>AND(#REF!,"AAAAAE3edik=")</f>
        <v>#REF!</v>
      </c>
      <c r="AQ530" t="e">
        <f>AND(#REF!,"AAAAAE3edio=")</f>
        <v>#REF!</v>
      </c>
      <c r="AR530" t="e">
        <f>AND(#REF!,"AAAAAE3edis=")</f>
        <v>#REF!</v>
      </c>
      <c r="AS530" t="e">
        <f>AND(#REF!,"AAAAAE3ediw=")</f>
        <v>#REF!</v>
      </c>
      <c r="AT530" t="e">
        <f>AND(#REF!,"AAAAAE3edi0=")</f>
        <v>#REF!</v>
      </c>
      <c r="AU530" t="e">
        <f>AND(#REF!,"AAAAAE3edi4=")</f>
        <v>#REF!</v>
      </c>
      <c r="AV530" t="e">
        <f>AND(#REF!,"AAAAAE3edi8=")</f>
        <v>#REF!</v>
      </c>
      <c r="AW530" t="e">
        <f>AND(#REF!,"AAAAAE3edjA=")</f>
        <v>#REF!</v>
      </c>
      <c r="AX530" t="e">
        <f>AND(#REF!,"AAAAAE3edjE=")</f>
        <v>#REF!</v>
      </c>
      <c r="AY530" t="e">
        <f>AND(#REF!,"AAAAAE3edjI=")</f>
        <v>#REF!</v>
      </c>
      <c r="AZ530" t="e">
        <f>AND(#REF!,"AAAAAE3edjM=")</f>
        <v>#REF!</v>
      </c>
      <c r="BA530" t="e">
        <f>AND(#REF!,"AAAAAE3edjQ=")</f>
        <v>#REF!</v>
      </c>
      <c r="BB530" t="e">
        <f>AND(#REF!,"AAAAAE3edjU=")</f>
        <v>#REF!</v>
      </c>
      <c r="BC530" t="e">
        <f>AND(#REF!,"AAAAAE3edjY=")</f>
        <v>#REF!</v>
      </c>
      <c r="BD530" t="e">
        <f>AND(#REF!,"AAAAAE3edjc=")</f>
        <v>#REF!</v>
      </c>
      <c r="BE530" t="e">
        <f>AND(#REF!,"AAAAAE3edjg=")</f>
        <v>#REF!</v>
      </c>
      <c r="BF530" t="e">
        <f>AND(#REF!,"AAAAAE3edjk=")</f>
        <v>#REF!</v>
      </c>
      <c r="BG530" t="e">
        <f>AND(#REF!,"AAAAAE3edjo=")</f>
        <v>#REF!</v>
      </c>
      <c r="BH530" t="e">
        <f>AND(#REF!,"AAAAAE3edjs=")</f>
        <v>#REF!</v>
      </c>
      <c r="BI530" t="e">
        <f>AND(#REF!,"AAAAAE3edjw=")</f>
        <v>#REF!</v>
      </c>
      <c r="BJ530" t="e">
        <f>IF(#REF!,"AAAAAE3edj0=",0)</f>
        <v>#REF!</v>
      </c>
      <c r="BK530" t="e">
        <f>AND(#REF!,"AAAAAE3edj4=")</f>
        <v>#REF!</v>
      </c>
      <c r="BL530" t="e">
        <f>AND(#REF!,"AAAAAE3edj8=")</f>
        <v>#REF!</v>
      </c>
      <c r="BM530" t="e">
        <f>AND(#REF!,"AAAAAE3edkA=")</f>
        <v>#REF!</v>
      </c>
      <c r="BN530" t="e">
        <f>AND(#REF!,"AAAAAE3edkE=")</f>
        <v>#REF!</v>
      </c>
      <c r="BO530" t="e">
        <f>AND(#REF!,"AAAAAE3edkI=")</f>
        <v>#REF!</v>
      </c>
      <c r="BP530" t="e">
        <f>AND(#REF!,"AAAAAE3edkM=")</f>
        <v>#REF!</v>
      </c>
      <c r="BQ530" t="e">
        <f>AND(#REF!,"AAAAAE3edkQ=")</f>
        <v>#REF!</v>
      </c>
      <c r="BR530" t="e">
        <f>AND(#REF!,"AAAAAE3edkU=")</f>
        <v>#REF!</v>
      </c>
      <c r="BS530" t="e">
        <f>AND(#REF!,"AAAAAE3edkY=")</f>
        <v>#REF!</v>
      </c>
      <c r="BT530" t="e">
        <f>AND(#REF!,"AAAAAE3edkc=")</f>
        <v>#REF!</v>
      </c>
      <c r="BU530" t="e">
        <f>AND(#REF!,"AAAAAE3edkg=")</f>
        <v>#REF!</v>
      </c>
      <c r="BV530" t="e">
        <f>AND(#REF!,"AAAAAE3edkk=")</f>
        <v>#REF!</v>
      </c>
      <c r="BW530" t="e">
        <f>AND(#REF!,"AAAAAE3edko=")</f>
        <v>#REF!</v>
      </c>
      <c r="BX530" t="e">
        <f>AND(#REF!,"AAAAAE3edks=")</f>
        <v>#REF!</v>
      </c>
      <c r="BY530" t="e">
        <f>AND(#REF!,"AAAAAE3edkw=")</f>
        <v>#REF!</v>
      </c>
      <c r="BZ530" t="e">
        <f>AND(#REF!,"AAAAAE3edk0=")</f>
        <v>#REF!</v>
      </c>
      <c r="CA530" t="e">
        <f>AND(#REF!,"AAAAAE3edk4=")</f>
        <v>#REF!</v>
      </c>
      <c r="CB530" t="e">
        <f>AND(#REF!,"AAAAAE3edk8=")</f>
        <v>#REF!</v>
      </c>
      <c r="CC530" t="e">
        <f>AND(#REF!,"AAAAAE3edlA=")</f>
        <v>#REF!</v>
      </c>
      <c r="CD530" t="e">
        <f>AND(#REF!,"AAAAAE3edlE=")</f>
        <v>#REF!</v>
      </c>
      <c r="CE530" t="e">
        <f>AND(#REF!,"AAAAAE3edlI=")</f>
        <v>#REF!</v>
      </c>
      <c r="CF530" t="e">
        <f>AND(#REF!,"AAAAAE3edlM=")</f>
        <v>#REF!</v>
      </c>
      <c r="CG530" t="e">
        <f>AND(#REF!,"AAAAAE3edlQ=")</f>
        <v>#REF!</v>
      </c>
      <c r="CH530" t="e">
        <f>AND(#REF!,"AAAAAE3edlU=")</f>
        <v>#REF!</v>
      </c>
      <c r="CI530" t="e">
        <f>IF(#REF!,"AAAAAE3edlY=",0)</f>
        <v>#REF!</v>
      </c>
      <c r="CJ530" t="e">
        <f>AND(#REF!,"AAAAAE3edlc=")</f>
        <v>#REF!</v>
      </c>
      <c r="CK530" t="e">
        <f>AND(#REF!,"AAAAAE3edlg=")</f>
        <v>#REF!</v>
      </c>
      <c r="CL530" t="e">
        <f>AND(#REF!,"AAAAAE3edlk=")</f>
        <v>#REF!</v>
      </c>
      <c r="CM530" t="e">
        <f>AND(#REF!,"AAAAAE3edlo=")</f>
        <v>#REF!</v>
      </c>
      <c r="CN530" t="e">
        <f>AND(#REF!,"AAAAAE3edls=")</f>
        <v>#REF!</v>
      </c>
      <c r="CO530" t="e">
        <f>AND(#REF!,"AAAAAE3edlw=")</f>
        <v>#REF!</v>
      </c>
      <c r="CP530" t="e">
        <f>AND(#REF!,"AAAAAE3edl0=")</f>
        <v>#REF!</v>
      </c>
      <c r="CQ530" t="e">
        <f>AND(#REF!,"AAAAAE3edl4=")</f>
        <v>#REF!</v>
      </c>
      <c r="CR530" t="e">
        <f>AND(#REF!,"AAAAAE3edl8=")</f>
        <v>#REF!</v>
      </c>
      <c r="CS530" t="e">
        <f>AND(#REF!,"AAAAAE3edmA=")</f>
        <v>#REF!</v>
      </c>
      <c r="CT530" t="e">
        <f>AND(#REF!,"AAAAAE3edmE=")</f>
        <v>#REF!</v>
      </c>
      <c r="CU530" t="e">
        <f>AND(#REF!,"AAAAAE3edmI=")</f>
        <v>#REF!</v>
      </c>
      <c r="CV530" t="e">
        <f>AND(#REF!,"AAAAAE3edmM=")</f>
        <v>#REF!</v>
      </c>
      <c r="CW530" t="e">
        <f>AND(#REF!,"AAAAAE3edmQ=")</f>
        <v>#REF!</v>
      </c>
      <c r="CX530" t="e">
        <f>AND(#REF!,"AAAAAE3edmU=")</f>
        <v>#REF!</v>
      </c>
      <c r="CY530" t="e">
        <f>AND(#REF!,"AAAAAE3edmY=")</f>
        <v>#REF!</v>
      </c>
      <c r="CZ530" t="e">
        <f>AND(#REF!,"AAAAAE3edmc=")</f>
        <v>#REF!</v>
      </c>
      <c r="DA530" t="e">
        <f>AND(#REF!,"AAAAAE3edmg=")</f>
        <v>#REF!</v>
      </c>
      <c r="DB530" t="e">
        <f>AND(#REF!,"AAAAAE3edmk=")</f>
        <v>#REF!</v>
      </c>
      <c r="DC530" t="e">
        <f>AND(#REF!,"AAAAAE3edmo=")</f>
        <v>#REF!</v>
      </c>
      <c r="DD530" t="e">
        <f>AND(#REF!,"AAAAAE3edms=")</f>
        <v>#REF!</v>
      </c>
      <c r="DE530" t="e">
        <f>AND(#REF!,"AAAAAE3edmw=")</f>
        <v>#REF!</v>
      </c>
      <c r="DF530" t="e">
        <f>AND(#REF!,"AAAAAE3edm0=")</f>
        <v>#REF!</v>
      </c>
      <c r="DG530" t="e">
        <f>AND(#REF!,"AAAAAE3edm4=")</f>
        <v>#REF!</v>
      </c>
      <c r="DH530" t="e">
        <f>IF(#REF!,"AAAAAE3edm8=",0)</f>
        <v>#REF!</v>
      </c>
      <c r="DI530" t="e">
        <f>AND(#REF!,"AAAAAE3ednA=")</f>
        <v>#REF!</v>
      </c>
      <c r="DJ530" t="e">
        <f>AND(#REF!,"AAAAAE3ednE=")</f>
        <v>#REF!</v>
      </c>
      <c r="DK530" t="e">
        <f>AND(#REF!,"AAAAAE3ednI=")</f>
        <v>#REF!</v>
      </c>
      <c r="DL530" t="e">
        <f>AND(#REF!,"AAAAAE3ednM=")</f>
        <v>#REF!</v>
      </c>
      <c r="DM530" t="e">
        <f>AND(#REF!,"AAAAAE3ednQ=")</f>
        <v>#REF!</v>
      </c>
      <c r="DN530" t="e">
        <f>AND(#REF!,"AAAAAE3ednU=")</f>
        <v>#REF!</v>
      </c>
      <c r="DO530" t="e">
        <f>AND(#REF!,"AAAAAE3ednY=")</f>
        <v>#REF!</v>
      </c>
      <c r="DP530" t="e">
        <f>AND(#REF!,"AAAAAE3ednc=")</f>
        <v>#REF!</v>
      </c>
      <c r="DQ530" t="e">
        <f>AND(#REF!,"AAAAAE3edng=")</f>
        <v>#REF!</v>
      </c>
      <c r="DR530" t="e">
        <f>AND(#REF!,"AAAAAE3ednk=")</f>
        <v>#REF!</v>
      </c>
      <c r="DS530" t="e">
        <f>AND(#REF!,"AAAAAE3edno=")</f>
        <v>#REF!</v>
      </c>
      <c r="DT530" t="e">
        <f>AND(#REF!,"AAAAAE3edns=")</f>
        <v>#REF!</v>
      </c>
      <c r="DU530" t="e">
        <f>AND(#REF!,"AAAAAE3ednw=")</f>
        <v>#REF!</v>
      </c>
      <c r="DV530" t="e">
        <f>AND(#REF!,"AAAAAE3edn0=")</f>
        <v>#REF!</v>
      </c>
      <c r="DW530" t="e">
        <f>AND(#REF!,"AAAAAE3edn4=")</f>
        <v>#REF!</v>
      </c>
      <c r="DX530" t="e">
        <f>AND(#REF!,"AAAAAE3edn8=")</f>
        <v>#REF!</v>
      </c>
      <c r="DY530" t="e">
        <f>AND(#REF!,"AAAAAE3edoA=")</f>
        <v>#REF!</v>
      </c>
      <c r="DZ530" t="e">
        <f>AND(#REF!,"AAAAAE3edoE=")</f>
        <v>#REF!</v>
      </c>
      <c r="EA530" t="e">
        <f>AND(#REF!,"AAAAAE3edoI=")</f>
        <v>#REF!</v>
      </c>
      <c r="EB530" t="e">
        <f>AND(#REF!,"AAAAAE3edoM=")</f>
        <v>#REF!</v>
      </c>
      <c r="EC530" t="e">
        <f>AND(#REF!,"AAAAAE3edoQ=")</f>
        <v>#REF!</v>
      </c>
      <c r="ED530" t="e">
        <f>AND(#REF!,"AAAAAE3edoU=")</f>
        <v>#REF!</v>
      </c>
      <c r="EE530" t="e">
        <f>AND(#REF!,"AAAAAE3edoY=")</f>
        <v>#REF!</v>
      </c>
      <c r="EF530" t="e">
        <f>AND(#REF!,"AAAAAE3edoc=")</f>
        <v>#REF!</v>
      </c>
      <c r="EG530" t="e">
        <f>IF(#REF!,"AAAAAE3edog=",0)</f>
        <v>#REF!</v>
      </c>
      <c r="EH530" t="e">
        <f>AND(#REF!,"AAAAAE3edok=")</f>
        <v>#REF!</v>
      </c>
      <c r="EI530" t="e">
        <f>AND(#REF!,"AAAAAE3edoo=")</f>
        <v>#REF!</v>
      </c>
      <c r="EJ530" t="e">
        <f>AND(#REF!,"AAAAAE3edos=")</f>
        <v>#REF!</v>
      </c>
      <c r="EK530" t="e">
        <f>AND(#REF!,"AAAAAE3edow=")</f>
        <v>#REF!</v>
      </c>
      <c r="EL530" t="e">
        <f>AND(#REF!,"AAAAAE3edo0=")</f>
        <v>#REF!</v>
      </c>
      <c r="EM530" t="e">
        <f>AND(#REF!,"AAAAAE3edo4=")</f>
        <v>#REF!</v>
      </c>
      <c r="EN530" t="e">
        <f>AND(#REF!,"AAAAAE3edo8=")</f>
        <v>#REF!</v>
      </c>
      <c r="EO530" t="e">
        <f>AND(#REF!,"AAAAAE3edpA=")</f>
        <v>#REF!</v>
      </c>
      <c r="EP530" t="e">
        <f>AND(#REF!,"AAAAAE3edpE=")</f>
        <v>#REF!</v>
      </c>
      <c r="EQ530" t="e">
        <f>AND(#REF!,"AAAAAE3edpI=")</f>
        <v>#REF!</v>
      </c>
      <c r="ER530" t="e">
        <f>AND(#REF!,"AAAAAE3edpM=")</f>
        <v>#REF!</v>
      </c>
      <c r="ES530" t="e">
        <f>AND(#REF!,"AAAAAE3edpQ=")</f>
        <v>#REF!</v>
      </c>
      <c r="ET530" t="e">
        <f>AND(#REF!,"AAAAAE3edpU=")</f>
        <v>#REF!</v>
      </c>
      <c r="EU530" t="e">
        <f>AND(#REF!,"AAAAAE3edpY=")</f>
        <v>#REF!</v>
      </c>
      <c r="EV530" t="e">
        <f>AND(#REF!,"AAAAAE3edpc=")</f>
        <v>#REF!</v>
      </c>
      <c r="EW530" t="e">
        <f>AND(#REF!,"AAAAAE3edpg=")</f>
        <v>#REF!</v>
      </c>
      <c r="EX530" t="e">
        <f>AND(#REF!,"AAAAAE3edpk=")</f>
        <v>#REF!</v>
      </c>
      <c r="EY530" t="e">
        <f>AND(#REF!,"AAAAAE3edpo=")</f>
        <v>#REF!</v>
      </c>
      <c r="EZ530" t="e">
        <f>AND(#REF!,"AAAAAE3edps=")</f>
        <v>#REF!</v>
      </c>
      <c r="FA530" t="e">
        <f>AND(#REF!,"AAAAAE3edpw=")</f>
        <v>#REF!</v>
      </c>
      <c r="FB530" t="e">
        <f>AND(#REF!,"AAAAAE3edp0=")</f>
        <v>#REF!</v>
      </c>
      <c r="FC530" t="e">
        <f>AND(#REF!,"AAAAAE3edp4=")</f>
        <v>#REF!</v>
      </c>
      <c r="FD530" t="e">
        <f>AND(#REF!,"AAAAAE3edp8=")</f>
        <v>#REF!</v>
      </c>
      <c r="FE530" t="e">
        <f>AND(#REF!,"AAAAAE3edqA=")</f>
        <v>#REF!</v>
      </c>
      <c r="FF530" t="e">
        <f>IF(#REF!,"AAAAAE3edqE=",0)</f>
        <v>#REF!</v>
      </c>
      <c r="FG530" t="e">
        <f>AND(#REF!,"AAAAAE3edqI=")</f>
        <v>#REF!</v>
      </c>
      <c r="FH530" t="e">
        <f>AND(#REF!,"AAAAAE3edqM=")</f>
        <v>#REF!</v>
      </c>
      <c r="FI530" t="e">
        <f>AND(#REF!,"AAAAAE3edqQ=")</f>
        <v>#REF!</v>
      </c>
      <c r="FJ530" t="e">
        <f>AND(#REF!,"AAAAAE3edqU=")</f>
        <v>#REF!</v>
      </c>
      <c r="FK530" t="e">
        <f>AND(#REF!,"AAAAAE3edqY=")</f>
        <v>#REF!</v>
      </c>
      <c r="FL530" t="e">
        <f>AND(#REF!,"AAAAAE3edqc=")</f>
        <v>#REF!</v>
      </c>
      <c r="FM530" t="e">
        <f>AND(#REF!,"AAAAAE3edqg=")</f>
        <v>#REF!</v>
      </c>
      <c r="FN530" t="e">
        <f>AND(#REF!,"AAAAAE3edqk=")</f>
        <v>#REF!</v>
      </c>
      <c r="FO530" t="e">
        <f>AND(#REF!,"AAAAAE3edqo=")</f>
        <v>#REF!</v>
      </c>
      <c r="FP530" t="e">
        <f>AND(#REF!,"AAAAAE3edqs=")</f>
        <v>#REF!</v>
      </c>
      <c r="FQ530" t="e">
        <f>AND(#REF!,"AAAAAE3edqw=")</f>
        <v>#REF!</v>
      </c>
      <c r="FR530" t="e">
        <f>AND(#REF!,"AAAAAE3edq0=")</f>
        <v>#REF!</v>
      </c>
      <c r="FS530" t="e">
        <f>AND(#REF!,"AAAAAE3edq4=")</f>
        <v>#REF!</v>
      </c>
      <c r="FT530" t="e">
        <f>AND(#REF!,"AAAAAE3edq8=")</f>
        <v>#REF!</v>
      </c>
      <c r="FU530" t="e">
        <f>AND(#REF!,"AAAAAE3edrA=")</f>
        <v>#REF!</v>
      </c>
      <c r="FV530" t="e">
        <f>AND(#REF!,"AAAAAE3edrE=")</f>
        <v>#REF!</v>
      </c>
      <c r="FW530" t="e">
        <f>AND(#REF!,"AAAAAE3edrI=")</f>
        <v>#REF!</v>
      </c>
      <c r="FX530" t="e">
        <f>AND(#REF!,"AAAAAE3edrM=")</f>
        <v>#REF!</v>
      </c>
      <c r="FY530" t="e">
        <f>AND(#REF!,"AAAAAE3edrQ=")</f>
        <v>#REF!</v>
      </c>
      <c r="FZ530" t="e">
        <f>AND(#REF!,"AAAAAE3edrU=")</f>
        <v>#REF!</v>
      </c>
      <c r="GA530" t="e">
        <f>AND(#REF!,"AAAAAE3edrY=")</f>
        <v>#REF!</v>
      </c>
      <c r="GB530" t="e">
        <f>AND(#REF!,"AAAAAE3edrc=")</f>
        <v>#REF!</v>
      </c>
      <c r="GC530" t="e">
        <f>AND(#REF!,"AAAAAE3edrg=")</f>
        <v>#REF!</v>
      </c>
      <c r="GD530" t="e">
        <f>AND(#REF!,"AAAAAE3edrk=")</f>
        <v>#REF!</v>
      </c>
      <c r="GE530" t="e">
        <f>IF(#REF!,"AAAAAE3edro=",0)</f>
        <v>#REF!</v>
      </c>
      <c r="GF530" t="e">
        <f>AND(#REF!,"AAAAAE3edrs=")</f>
        <v>#REF!</v>
      </c>
      <c r="GG530" t="e">
        <f>AND(#REF!,"AAAAAE3edrw=")</f>
        <v>#REF!</v>
      </c>
      <c r="GH530" t="e">
        <f>AND(#REF!,"AAAAAE3edr0=")</f>
        <v>#REF!</v>
      </c>
      <c r="GI530" t="e">
        <f>AND(#REF!,"AAAAAE3edr4=")</f>
        <v>#REF!</v>
      </c>
      <c r="GJ530" t="e">
        <f>AND(#REF!,"AAAAAE3edr8=")</f>
        <v>#REF!</v>
      </c>
      <c r="GK530" t="e">
        <f>AND(#REF!,"AAAAAE3edsA=")</f>
        <v>#REF!</v>
      </c>
      <c r="GL530" t="e">
        <f>AND(#REF!,"AAAAAE3edsE=")</f>
        <v>#REF!</v>
      </c>
      <c r="GM530" t="e">
        <f>AND(#REF!,"AAAAAE3edsI=")</f>
        <v>#REF!</v>
      </c>
      <c r="GN530" t="e">
        <f>AND(#REF!,"AAAAAE3edsM=")</f>
        <v>#REF!</v>
      </c>
      <c r="GO530" t="e">
        <f>AND(#REF!,"AAAAAE3edsQ=")</f>
        <v>#REF!</v>
      </c>
      <c r="GP530" t="e">
        <f>AND(#REF!,"AAAAAE3edsU=")</f>
        <v>#REF!</v>
      </c>
      <c r="GQ530" t="e">
        <f>AND(#REF!,"AAAAAE3edsY=")</f>
        <v>#REF!</v>
      </c>
      <c r="GR530" t="e">
        <f>AND(#REF!,"AAAAAE3edsc=")</f>
        <v>#REF!</v>
      </c>
      <c r="GS530" t="e">
        <f>AND(#REF!,"AAAAAE3edsg=")</f>
        <v>#REF!</v>
      </c>
      <c r="GT530" t="e">
        <f>AND(#REF!,"AAAAAE3edsk=")</f>
        <v>#REF!</v>
      </c>
      <c r="GU530" t="e">
        <f>AND(#REF!,"AAAAAE3edso=")</f>
        <v>#REF!</v>
      </c>
      <c r="GV530" t="e">
        <f>AND(#REF!,"AAAAAE3edss=")</f>
        <v>#REF!</v>
      </c>
      <c r="GW530" t="e">
        <f>AND(#REF!,"AAAAAE3edsw=")</f>
        <v>#REF!</v>
      </c>
      <c r="GX530" t="e">
        <f>AND(#REF!,"AAAAAE3eds0=")</f>
        <v>#REF!</v>
      </c>
      <c r="GY530" t="e">
        <f>AND(#REF!,"AAAAAE3eds4=")</f>
        <v>#REF!</v>
      </c>
      <c r="GZ530" t="e">
        <f>AND(#REF!,"AAAAAE3eds8=")</f>
        <v>#REF!</v>
      </c>
      <c r="HA530" t="e">
        <f>AND(#REF!,"AAAAAE3edtA=")</f>
        <v>#REF!</v>
      </c>
      <c r="HB530" t="e">
        <f>AND(#REF!,"AAAAAE3edtE=")</f>
        <v>#REF!</v>
      </c>
      <c r="HC530" t="e">
        <f>AND(#REF!,"AAAAAE3edtI=")</f>
        <v>#REF!</v>
      </c>
      <c r="HD530" t="e">
        <f>IF(#REF!,"AAAAAE3edtM=",0)</f>
        <v>#REF!</v>
      </c>
      <c r="HE530" t="e">
        <f>AND(#REF!,"AAAAAE3edtQ=")</f>
        <v>#REF!</v>
      </c>
      <c r="HF530" t="e">
        <f>AND(#REF!,"AAAAAE3edtU=")</f>
        <v>#REF!</v>
      </c>
      <c r="HG530" t="e">
        <f>AND(#REF!,"AAAAAE3edtY=")</f>
        <v>#REF!</v>
      </c>
      <c r="HH530" t="e">
        <f>AND(#REF!,"AAAAAE3edtc=")</f>
        <v>#REF!</v>
      </c>
      <c r="HI530" t="e">
        <f>AND(#REF!,"AAAAAE3edtg=")</f>
        <v>#REF!</v>
      </c>
      <c r="HJ530" t="e">
        <f>AND(#REF!,"AAAAAE3edtk=")</f>
        <v>#REF!</v>
      </c>
      <c r="HK530" t="e">
        <f>AND(#REF!,"AAAAAE3edto=")</f>
        <v>#REF!</v>
      </c>
      <c r="HL530" t="e">
        <f>AND(#REF!,"AAAAAE3edts=")</f>
        <v>#REF!</v>
      </c>
      <c r="HM530" t="e">
        <f>AND(#REF!,"AAAAAE3edtw=")</f>
        <v>#REF!</v>
      </c>
      <c r="HN530" t="e">
        <f>AND(#REF!,"AAAAAE3edt0=")</f>
        <v>#REF!</v>
      </c>
      <c r="HO530" t="e">
        <f>AND(#REF!,"AAAAAE3edt4=")</f>
        <v>#REF!</v>
      </c>
      <c r="HP530" t="e">
        <f>AND(#REF!,"AAAAAE3edt8=")</f>
        <v>#REF!</v>
      </c>
      <c r="HQ530" t="e">
        <f>AND(#REF!,"AAAAAE3eduA=")</f>
        <v>#REF!</v>
      </c>
      <c r="HR530" t="e">
        <f>AND(#REF!,"AAAAAE3eduE=")</f>
        <v>#REF!</v>
      </c>
      <c r="HS530" t="e">
        <f>AND(#REF!,"AAAAAE3eduI=")</f>
        <v>#REF!</v>
      </c>
      <c r="HT530" t="e">
        <f>AND(#REF!,"AAAAAE3eduM=")</f>
        <v>#REF!</v>
      </c>
      <c r="HU530" t="e">
        <f>AND(#REF!,"AAAAAE3eduQ=")</f>
        <v>#REF!</v>
      </c>
      <c r="HV530" t="e">
        <f>AND(#REF!,"AAAAAE3eduU=")</f>
        <v>#REF!</v>
      </c>
      <c r="HW530" t="e">
        <f>AND(#REF!,"AAAAAE3eduY=")</f>
        <v>#REF!</v>
      </c>
      <c r="HX530" t="e">
        <f>AND(#REF!,"AAAAAE3educ=")</f>
        <v>#REF!</v>
      </c>
      <c r="HY530" t="e">
        <f>AND(#REF!,"AAAAAE3edug=")</f>
        <v>#REF!</v>
      </c>
      <c r="HZ530" t="e">
        <f>AND(#REF!,"AAAAAE3eduk=")</f>
        <v>#REF!</v>
      </c>
      <c r="IA530" t="e">
        <f>AND(#REF!,"AAAAAE3eduo=")</f>
        <v>#REF!</v>
      </c>
      <c r="IB530" t="e">
        <f>AND(#REF!,"AAAAAE3edus=")</f>
        <v>#REF!</v>
      </c>
      <c r="IC530" t="e">
        <f>IF(#REF!,"AAAAAE3eduw=",0)</f>
        <v>#REF!</v>
      </c>
      <c r="ID530" t="e">
        <f>AND(#REF!,"AAAAAE3edu0=")</f>
        <v>#REF!</v>
      </c>
      <c r="IE530" t="e">
        <f>AND(#REF!,"AAAAAE3edu4=")</f>
        <v>#REF!</v>
      </c>
      <c r="IF530" t="e">
        <f>AND(#REF!,"AAAAAE3edu8=")</f>
        <v>#REF!</v>
      </c>
      <c r="IG530" t="e">
        <f>AND(#REF!,"AAAAAE3edvA=")</f>
        <v>#REF!</v>
      </c>
      <c r="IH530" t="e">
        <f>AND(#REF!,"AAAAAE3edvE=")</f>
        <v>#REF!</v>
      </c>
      <c r="II530" t="e">
        <f>AND(#REF!,"AAAAAE3edvI=")</f>
        <v>#REF!</v>
      </c>
      <c r="IJ530" t="e">
        <f>AND(#REF!,"AAAAAE3edvM=")</f>
        <v>#REF!</v>
      </c>
      <c r="IK530" t="e">
        <f>AND(#REF!,"AAAAAE3edvQ=")</f>
        <v>#REF!</v>
      </c>
      <c r="IL530" t="e">
        <f>AND(#REF!,"AAAAAE3edvU=")</f>
        <v>#REF!</v>
      </c>
      <c r="IM530" t="e">
        <f>AND(#REF!,"AAAAAE3edvY=")</f>
        <v>#REF!</v>
      </c>
      <c r="IN530" t="e">
        <f>AND(#REF!,"AAAAAE3edvc=")</f>
        <v>#REF!</v>
      </c>
      <c r="IO530" t="e">
        <f>AND(#REF!,"AAAAAE3edvg=")</f>
        <v>#REF!</v>
      </c>
      <c r="IP530" t="e">
        <f>AND(#REF!,"AAAAAE3edvk=")</f>
        <v>#REF!</v>
      </c>
      <c r="IQ530" t="e">
        <f>AND(#REF!,"AAAAAE3edvo=")</f>
        <v>#REF!</v>
      </c>
      <c r="IR530" t="e">
        <f>AND(#REF!,"AAAAAE3edvs=")</f>
        <v>#REF!</v>
      </c>
      <c r="IS530" t="e">
        <f>AND(#REF!,"AAAAAE3edvw=")</f>
        <v>#REF!</v>
      </c>
      <c r="IT530" t="e">
        <f>AND(#REF!,"AAAAAE3edv0=")</f>
        <v>#REF!</v>
      </c>
      <c r="IU530" t="e">
        <f>AND(#REF!,"AAAAAE3edv4=")</f>
        <v>#REF!</v>
      </c>
      <c r="IV530" t="e">
        <f>AND(#REF!,"AAAAAE3edv8=")</f>
        <v>#REF!</v>
      </c>
    </row>
    <row r="531" spans="1:256">
      <c r="A531" t="e">
        <f>AND(#REF!,"AAAAAHffywA=")</f>
        <v>#REF!</v>
      </c>
      <c r="B531" t="e">
        <f>AND(#REF!,"AAAAAHffywE=")</f>
        <v>#REF!</v>
      </c>
      <c r="C531" t="e">
        <f>AND(#REF!,"AAAAAHffywI=")</f>
        <v>#REF!</v>
      </c>
      <c r="D531" t="e">
        <f>AND(#REF!,"AAAAAHffywM=")</f>
        <v>#REF!</v>
      </c>
      <c r="E531" t="e">
        <f>AND(#REF!,"AAAAAHffywQ=")</f>
        <v>#REF!</v>
      </c>
      <c r="F531" t="e">
        <f>IF(#REF!,"AAAAAHffywU=",0)</f>
        <v>#REF!</v>
      </c>
      <c r="G531" t="e">
        <f>AND(#REF!,"AAAAAHffywY=")</f>
        <v>#REF!</v>
      </c>
      <c r="H531" t="e">
        <f>AND(#REF!,"AAAAAHffywc=")</f>
        <v>#REF!</v>
      </c>
      <c r="I531" t="e">
        <f>AND(#REF!,"AAAAAHffywg=")</f>
        <v>#REF!</v>
      </c>
      <c r="J531" t="e">
        <f>AND(#REF!,"AAAAAHffywk=")</f>
        <v>#REF!</v>
      </c>
      <c r="K531" t="e">
        <f>AND(#REF!,"AAAAAHffywo=")</f>
        <v>#REF!</v>
      </c>
      <c r="L531" t="e">
        <f>AND(#REF!,"AAAAAHffyws=")</f>
        <v>#REF!</v>
      </c>
      <c r="M531" t="e">
        <f>AND(#REF!,"AAAAAHffyww=")</f>
        <v>#REF!</v>
      </c>
      <c r="N531" t="e">
        <f>AND(#REF!,"AAAAAHffyw0=")</f>
        <v>#REF!</v>
      </c>
      <c r="O531" t="e">
        <f>AND(#REF!,"AAAAAHffyw4=")</f>
        <v>#REF!</v>
      </c>
      <c r="P531" t="e">
        <f>AND(#REF!,"AAAAAHffyw8=")</f>
        <v>#REF!</v>
      </c>
      <c r="Q531" t="e">
        <f>AND(#REF!,"AAAAAHffyxA=")</f>
        <v>#REF!</v>
      </c>
      <c r="R531" t="e">
        <f>AND(#REF!,"AAAAAHffyxE=")</f>
        <v>#REF!</v>
      </c>
      <c r="S531" t="e">
        <f>AND(#REF!,"AAAAAHffyxI=")</f>
        <v>#REF!</v>
      </c>
      <c r="T531" t="e">
        <f>AND(#REF!,"AAAAAHffyxM=")</f>
        <v>#REF!</v>
      </c>
      <c r="U531" t="e">
        <f>AND(#REF!,"AAAAAHffyxQ=")</f>
        <v>#REF!</v>
      </c>
      <c r="V531" t="e">
        <f>AND(#REF!,"AAAAAHffyxU=")</f>
        <v>#REF!</v>
      </c>
      <c r="W531" t="e">
        <f>AND(#REF!,"AAAAAHffyxY=")</f>
        <v>#REF!</v>
      </c>
      <c r="X531" t="e">
        <f>AND(#REF!,"AAAAAHffyxc=")</f>
        <v>#REF!</v>
      </c>
      <c r="Y531" t="e">
        <f>AND(#REF!,"AAAAAHffyxg=")</f>
        <v>#REF!</v>
      </c>
      <c r="Z531" t="e">
        <f>AND(#REF!,"AAAAAHffyxk=")</f>
        <v>#REF!</v>
      </c>
      <c r="AA531" t="e">
        <f>AND(#REF!,"AAAAAHffyxo=")</f>
        <v>#REF!</v>
      </c>
      <c r="AB531" t="e">
        <f>AND(#REF!,"AAAAAHffyxs=")</f>
        <v>#REF!</v>
      </c>
      <c r="AC531" t="e">
        <f>AND(#REF!,"AAAAAHffyxw=")</f>
        <v>#REF!</v>
      </c>
      <c r="AD531" t="e">
        <f>AND(#REF!,"AAAAAHffyx0=")</f>
        <v>#REF!</v>
      </c>
      <c r="AE531" t="e">
        <f>IF(#REF!,"AAAAAHffyx4=",0)</f>
        <v>#REF!</v>
      </c>
      <c r="AF531" t="e">
        <f>AND(#REF!,"AAAAAHffyx8=")</f>
        <v>#REF!</v>
      </c>
      <c r="AG531" t="e">
        <f>AND(#REF!,"AAAAAHffyyA=")</f>
        <v>#REF!</v>
      </c>
      <c r="AH531" t="e">
        <f>AND(#REF!,"AAAAAHffyyE=")</f>
        <v>#REF!</v>
      </c>
      <c r="AI531" t="e">
        <f>AND(#REF!,"AAAAAHffyyI=")</f>
        <v>#REF!</v>
      </c>
      <c r="AJ531" t="e">
        <f>AND(#REF!,"AAAAAHffyyM=")</f>
        <v>#REF!</v>
      </c>
      <c r="AK531" t="e">
        <f>AND(#REF!,"AAAAAHffyyQ=")</f>
        <v>#REF!</v>
      </c>
      <c r="AL531" t="e">
        <f>AND(#REF!,"AAAAAHffyyU=")</f>
        <v>#REF!</v>
      </c>
      <c r="AM531" t="e">
        <f>AND(#REF!,"AAAAAHffyyY=")</f>
        <v>#REF!</v>
      </c>
      <c r="AN531" t="e">
        <f>AND(#REF!,"AAAAAHffyyc=")</f>
        <v>#REF!</v>
      </c>
      <c r="AO531" t="e">
        <f>AND(#REF!,"AAAAAHffyyg=")</f>
        <v>#REF!</v>
      </c>
      <c r="AP531" t="e">
        <f>AND(#REF!,"AAAAAHffyyk=")</f>
        <v>#REF!</v>
      </c>
      <c r="AQ531" t="e">
        <f>AND(#REF!,"AAAAAHffyyo=")</f>
        <v>#REF!</v>
      </c>
      <c r="AR531" t="e">
        <f>AND(#REF!,"AAAAAHffyys=")</f>
        <v>#REF!</v>
      </c>
      <c r="AS531" t="e">
        <f>AND(#REF!,"AAAAAHffyyw=")</f>
        <v>#REF!</v>
      </c>
      <c r="AT531" t="e">
        <f>AND(#REF!,"AAAAAHffyy0=")</f>
        <v>#REF!</v>
      </c>
      <c r="AU531" t="e">
        <f>AND(#REF!,"AAAAAHffyy4=")</f>
        <v>#REF!</v>
      </c>
      <c r="AV531" t="e">
        <f>AND(#REF!,"AAAAAHffyy8=")</f>
        <v>#REF!</v>
      </c>
      <c r="AW531" t="e">
        <f>AND(#REF!,"AAAAAHffyzA=")</f>
        <v>#REF!</v>
      </c>
      <c r="AX531" t="e">
        <f>AND(#REF!,"AAAAAHffyzE=")</f>
        <v>#REF!</v>
      </c>
      <c r="AY531" t="e">
        <f>AND(#REF!,"AAAAAHffyzI=")</f>
        <v>#REF!</v>
      </c>
      <c r="AZ531" t="e">
        <f>AND(#REF!,"AAAAAHffyzM=")</f>
        <v>#REF!</v>
      </c>
      <c r="BA531" t="e">
        <f>AND(#REF!,"AAAAAHffyzQ=")</f>
        <v>#REF!</v>
      </c>
      <c r="BB531" t="e">
        <f>AND(#REF!,"AAAAAHffyzU=")</f>
        <v>#REF!</v>
      </c>
      <c r="BC531" t="e">
        <f>AND(#REF!,"AAAAAHffyzY=")</f>
        <v>#REF!</v>
      </c>
      <c r="BD531" t="e">
        <f>IF(#REF!,"AAAAAHffyzc=",0)</f>
        <v>#REF!</v>
      </c>
      <c r="BE531" t="e">
        <f>AND(#REF!,"AAAAAHffyzg=")</f>
        <v>#REF!</v>
      </c>
      <c r="BF531" t="e">
        <f>AND(#REF!,"AAAAAHffyzk=")</f>
        <v>#REF!</v>
      </c>
      <c r="BG531" t="e">
        <f>AND(#REF!,"AAAAAHffyzo=")</f>
        <v>#REF!</v>
      </c>
      <c r="BH531" t="e">
        <f>AND(#REF!,"AAAAAHffyzs=")</f>
        <v>#REF!</v>
      </c>
      <c r="BI531" t="e">
        <f>AND(#REF!,"AAAAAHffyzw=")</f>
        <v>#REF!</v>
      </c>
      <c r="BJ531" t="e">
        <f>AND(#REF!,"AAAAAHffyz0=")</f>
        <v>#REF!</v>
      </c>
      <c r="BK531" t="e">
        <f>AND(#REF!,"AAAAAHffyz4=")</f>
        <v>#REF!</v>
      </c>
      <c r="BL531" t="e">
        <f>AND(#REF!,"AAAAAHffyz8=")</f>
        <v>#REF!</v>
      </c>
      <c r="BM531" t="e">
        <f>AND(#REF!,"AAAAAHffy0A=")</f>
        <v>#REF!</v>
      </c>
      <c r="BN531" t="e">
        <f>AND(#REF!,"AAAAAHffy0E=")</f>
        <v>#REF!</v>
      </c>
      <c r="BO531" t="e">
        <f>AND(#REF!,"AAAAAHffy0I=")</f>
        <v>#REF!</v>
      </c>
      <c r="BP531" t="e">
        <f>AND(#REF!,"AAAAAHffy0M=")</f>
        <v>#REF!</v>
      </c>
      <c r="BQ531" t="e">
        <f>AND(#REF!,"AAAAAHffy0Q=")</f>
        <v>#REF!</v>
      </c>
      <c r="BR531" t="e">
        <f>AND(#REF!,"AAAAAHffy0U=")</f>
        <v>#REF!</v>
      </c>
      <c r="BS531" t="e">
        <f>AND(#REF!,"AAAAAHffy0Y=")</f>
        <v>#REF!</v>
      </c>
      <c r="BT531" t="e">
        <f>AND(#REF!,"AAAAAHffy0c=")</f>
        <v>#REF!</v>
      </c>
      <c r="BU531" t="e">
        <f>AND(#REF!,"AAAAAHffy0g=")</f>
        <v>#REF!</v>
      </c>
      <c r="BV531" t="e">
        <f>AND(#REF!,"AAAAAHffy0k=")</f>
        <v>#REF!</v>
      </c>
      <c r="BW531" t="e">
        <f>AND(#REF!,"AAAAAHffy0o=")</f>
        <v>#REF!</v>
      </c>
      <c r="BX531" t="e">
        <f>AND(#REF!,"AAAAAHffy0s=")</f>
        <v>#REF!</v>
      </c>
      <c r="BY531" t="e">
        <f>AND(#REF!,"AAAAAHffy0w=")</f>
        <v>#REF!</v>
      </c>
      <c r="BZ531" t="e">
        <f>AND(#REF!,"AAAAAHffy00=")</f>
        <v>#REF!</v>
      </c>
      <c r="CA531" t="e">
        <f>AND(#REF!,"AAAAAHffy04=")</f>
        <v>#REF!</v>
      </c>
      <c r="CB531" t="e">
        <f>AND(#REF!,"AAAAAHffy08=")</f>
        <v>#REF!</v>
      </c>
      <c r="CC531" t="e">
        <f>IF(#REF!,"AAAAAHffy1A=",0)</f>
        <v>#REF!</v>
      </c>
      <c r="CD531" t="e">
        <f>AND(#REF!,"AAAAAHffy1E=")</f>
        <v>#REF!</v>
      </c>
      <c r="CE531" t="e">
        <f>AND(#REF!,"AAAAAHffy1I=")</f>
        <v>#REF!</v>
      </c>
      <c r="CF531" t="e">
        <f>AND(#REF!,"AAAAAHffy1M=")</f>
        <v>#REF!</v>
      </c>
      <c r="CG531" t="e">
        <f>AND(#REF!,"AAAAAHffy1Q=")</f>
        <v>#REF!</v>
      </c>
      <c r="CH531" t="e">
        <f>AND(#REF!,"AAAAAHffy1U=")</f>
        <v>#REF!</v>
      </c>
      <c r="CI531" t="e">
        <f>AND(#REF!,"AAAAAHffy1Y=")</f>
        <v>#REF!</v>
      </c>
      <c r="CJ531" t="e">
        <f>AND(#REF!,"AAAAAHffy1c=")</f>
        <v>#REF!</v>
      </c>
      <c r="CK531" t="e">
        <f>AND(#REF!,"AAAAAHffy1g=")</f>
        <v>#REF!</v>
      </c>
      <c r="CL531" t="e">
        <f>AND(#REF!,"AAAAAHffy1k=")</f>
        <v>#REF!</v>
      </c>
      <c r="CM531" t="e">
        <f>AND(#REF!,"AAAAAHffy1o=")</f>
        <v>#REF!</v>
      </c>
      <c r="CN531" t="e">
        <f>AND(#REF!,"AAAAAHffy1s=")</f>
        <v>#REF!</v>
      </c>
      <c r="CO531" t="e">
        <f>AND(#REF!,"AAAAAHffy1w=")</f>
        <v>#REF!</v>
      </c>
      <c r="CP531" t="e">
        <f>AND(#REF!,"AAAAAHffy10=")</f>
        <v>#REF!</v>
      </c>
      <c r="CQ531" t="e">
        <f>AND(#REF!,"AAAAAHffy14=")</f>
        <v>#REF!</v>
      </c>
      <c r="CR531" t="e">
        <f>AND(#REF!,"AAAAAHffy18=")</f>
        <v>#REF!</v>
      </c>
      <c r="CS531" t="e">
        <f>AND(#REF!,"AAAAAHffy2A=")</f>
        <v>#REF!</v>
      </c>
      <c r="CT531" t="e">
        <f>AND(#REF!,"AAAAAHffy2E=")</f>
        <v>#REF!</v>
      </c>
      <c r="CU531" t="e">
        <f>AND(#REF!,"AAAAAHffy2I=")</f>
        <v>#REF!</v>
      </c>
      <c r="CV531" t="e">
        <f>AND(#REF!,"AAAAAHffy2M=")</f>
        <v>#REF!</v>
      </c>
      <c r="CW531" t="e">
        <f>AND(#REF!,"AAAAAHffy2Q=")</f>
        <v>#REF!</v>
      </c>
      <c r="CX531" t="e">
        <f>AND(#REF!,"AAAAAHffy2U=")</f>
        <v>#REF!</v>
      </c>
      <c r="CY531" t="e">
        <f>AND(#REF!,"AAAAAHffy2Y=")</f>
        <v>#REF!</v>
      </c>
      <c r="CZ531" t="e">
        <f>AND(#REF!,"AAAAAHffy2c=")</f>
        <v>#REF!</v>
      </c>
      <c r="DA531" t="e">
        <f>AND(#REF!,"AAAAAHffy2g=")</f>
        <v>#REF!</v>
      </c>
      <c r="DB531" t="e">
        <f>IF(#REF!,"AAAAAHffy2k=",0)</f>
        <v>#REF!</v>
      </c>
      <c r="DC531" t="e">
        <f>AND(#REF!,"AAAAAHffy2o=")</f>
        <v>#REF!</v>
      </c>
      <c r="DD531" t="e">
        <f>AND(#REF!,"AAAAAHffy2s=")</f>
        <v>#REF!</v>
      </c>
      <c r="DE531" t="e">
        <f>AND(#REF!,"AAAAAHffy2w=")</f>
        <v>#REF!</v>
      </c>
      <c r="DF531" t="e">
        <f>AND(#REF!,"AAAAAHffy20=")</f>
        <v>#REF!</v>
      </c>
      <c r="DG531" t="e">
        <f>AND(#REF!,"AAAAAHffy24=")</f>
        <v>#REF!</v>
      </c>
      <c r="DH531" t="e">
        <f>AND(#REF!,"AAAAAHffy28=")</f>
        <v>#REF!</v>
      </c>
      <c r="DI531" t="e">
        <f>AND(#REF!,"AAAAAHffy3A=")</f>
        <v>#REF!</v>
      </c>
      <c r="DJ531" t="e">
        <f>AND(#REF!,"AAAAAHffy3E=")</f>
        <v>#REF!</v>
      </c>
      <c r="DK531" t="e">
        <f>AND(#REF!,"AAAAAHffy3I=")</f>
        <v>#REF!</v>
      </c>
      <c r="DL531" t="e">
        <f>AND(#REF!,"AAAAAHffy3M=")</f>
        <v>#REF!</v>
      </c>
      <c r="DM531" t="e">
        <f>AND(#REF!,"AAAAAHffy3Q=")</f>
        <v>#REF!</v>
      </c>
      <c r="DN531" t="e">
        <f>AND(#REF!,"AAAAAHffy3U=")</f>
        <v>#REF!</v>
      </c>
      <c r="DO531" t="e">
        <f>AND(#REF!,"AAAAAHffy3Y=")</f>
        <v>#REF!</v>
      </c>
      <c r="DP531" t="e">
        <f>AND(#REF!,"AAAAAHffy3c=")</f>
        <v>#REF!</v>
      </c>
      <c r="DQ531" t="e">
        <f>AND(#REF!,"AAAAAHffy3g=")</f>
        <v>#REF!</v>
      </c>
      <c r="DR531" t="e">
        <f>AND(#REF!,"AAAAAHffy3k=")</f>
        <v>#REF!</v>
      </c>
      <c r="DS531" t="e">
        <f>AND(#REF!,"AAAAAHffy3o=")</f>
        <v>#REF!</v>
      </c>
      <c r="DT531" t="e">
        <f>AND(#REF!,"AAAAAHffy3s=")</f>
        <v>#REF!</v>
      </c>
      <c r="DU531" t="e">
        <f>AND(#REF!,"AAAAAHffy3w=")</f>
        <v>#REF!</v>
      </c>
      <c r="DV531" t="e">
        <f>AND(#REF!,"AAAAAHffy30=")</f>
        <v>#REF!</v>
      </c>
      <c r="DW531" t="e">
        <f>AND(#REF!,"AAAAAHffy34=")</f>
        <v>#REF!</v>
      </c>
      <c r="DX531" t="e">
        <f>AND(#REF!,"AAAAAHffy38=")</f>
        <v>#REF!</v>
      </c>
      <c r="DY531" t="e">
        <f>AND(#REF!,"AAAAAHffy4A=")</f>
        <v>#REF!</v>
      </c>
      <c r="DZ531" t="e">
        <f>AND(#REF!,"AAAAAHffy4E=")</f>
        <v>#REF!</v>
      </c>
      <c r="EA531" t="e">
        <f>IF(#REF!,"AAAAAHffy4I=",0)</f>
        <v>#REF!</v>
      </c>
      <c r="EB531" t="e">
        <f>AND(#REF!,"AAAAAHffy4M=")</f>
        <v>#REF!</v>
      </c>
      <c r="EC531" t="e">
        <f>AND(#REF!,"AAAAAHffy4Q=")</f>
        <v>#REF!</v>
      </c>
      <c r="ED531" t="e">
        <f>AND(#REF!,"AAAAAHffy4U=")</f>
        <v>#REF!</v>
      </c>
      <c r="EE531" t="e">
        <f>AND(#REF!,"AAAAAHffy4Y=")</f>
        <v>#REF!</v>
      </c>
      <c r="EF531" t="e">
        <f>AND(#REF!,"AAAAAHffy4c=")</f>
        <v>#REF!</v>
      </c>
      <c r="EG531" t="e">
        <f>AND(#REF!,"AAAAAHffy4g=")</f>
        <v>#REF!</v>
      </c>
      <c r="EH531" t="e">
        <f>AND(#REF!,"AAAAAHffy4k=")</f>
        <v>#REF!</v>
      </c>
      <c r="EI531" t="e">
        <f>AND(#REF!,"AAAAAHffy4o=")</f>
        <v>#REF!</v>
      </c>
      <c r="EJ531" t="e">
        <f>AND(#REF!,"AAAAAHffy4s=")</f>
        <v>#REF!</v>
      </c>
      <c r="EK531" t="e">
        <f>AND(#REF!,"AAAAAHffy4w=")</f>
        <v>#REF!</v>
      </c>
      <c r="EL531" t="e">
        <f>AND(#REF!,"AAAAAHffy40=")</f>
        <v>#REF!</v>
      </c>
      <c r="EM531" t="e">
        <f>AND(#REF!,"AAAAAHffy44=")</f>
        <v>#REF!</v>
      </c>
      <c r="EN531" t="e">
        <f>AND(#REF!,"AAAAAHffy48=")</f>
        <v>#REF!</v>
      </c>
      <c r="EO531" t="e">
        <f>AND(#REF!,"AAAAAHffy5A=")</f>
        <v>#REF!</v>
      </c>
      <c r="EP531" t="e">
        <f>AND(#REF!,"AAAAAHffy5E=")</f>
        <v>#REF!</v>
      </c>
      <c r="EQ531" t="e">
        <f>AND(#REF!,"AAAAAHffy5I=")</f>
        <v>#REF!</v>
      </c>
      <c r="ER531" t="e">
        <f>AND(#REF!,"AAAAAHffy5M=")</f>
        <v>#REF!</v>
      </c>
      <c r="ES531" t="e">
        <f>AND(#REF!,"AAAAAHffy5Q=")</f>
        <v>#REF!</v>
      </c>
      <c r="ET531" t="e">
        <f>AND(#REF!,"AAAAAHffy5U=")</f>
        <v>#REF!</v>
      </c>
      <c r="EU531" t="e">
        <f>AND(#REF!,"AAAAAHffy5Y=")</f>
        <v>#REF!</v>
      </c>
      <c r="EV531" t="e">
        <f>AND(#REF!,"AAAAAHffy5c=")</f>
        <v>#REF!</v>
      </c>
      <c r="EW531" t="e">
        <f>AND(#REF!,"AAAAAHffy5g=")</f>
        <v>#REF!</v>
      </c>
      <c r="EX531" t="e">
        <f>AND(#REF!,"AAAAAHffy5k=")</f>
        <v>#REF!</v>
      </c>
      <c r="EY531" t="e">
        <f>AND(#REF!,"AAAAAHffy5o=")</f>
        <v>#REF!</v>
      </c>
      <c r="EZ531" t="e">
        <f>IF(#REF!,"AAAAAHffy5s=",0)</f>
        <v>#REF!</v>
      </c>
      <c r="FA531" t="e">
        <f>AND(#REF!,"AAAAAHffy5w=")</f>
        <v>#REF!</v>
      </c>
      <c r="FB531" t="e">
        <f>AND(#REF!,"AAAAAHffy50=")</f>
        <v>#REF!</v>
      </c>
      <c r="FC531" t="e">
        <f>AND(#REF!,"AAAAAHffy54=")</f>
        <v>#REF!</v>
      </c>
      <c r="FD531" t="e">
        <f>AND(#REF!,"AAAAAHffy58=")</f>
        <v>#REF!</v>
      </c>
      <c r="FE531" t="e">
        <f>AND(#REF!,"AAAAAHffy6A=")</f>
        <v>#REF!</v>
      </c>
      <c r="FF531" t="e">
        <f>AND(#REF!,"AAAAAHffy6E=")</f>
        <v>#REF!</v>
      </c>
      <c r="FG531" t="e">
        <f>AND(#REF!,"AAAAAHffy6I=")</f>
        <v>#REF!</v>
      </c>
      <c r="FH531" t="e">
        <f>AND(#REF!,"AAAAAHffy6M=")</f>
        <v>#REF!</v>
      </c>
      <c r="FI531" t="e">
        <f>AND(#REF!,"AAAAAHffy6Q=")</f>
        <v>#REF!</v>
      </c>
      <c r="FJ531" t="e">
        <f>AND(#REF!,"AAAAAHffy6U=")</f>
        <v>#REF!</v>
      </c>
      <c r="FK531" t="e">
        <f>AND(#REF!,"AAAAAHffy6Y=")</f>
        <v>#REF!</v>
      </c>
      <c r="FL531" t="e">
        <f>AND(#REF!,"AAAAAHffy6c=")</f>
        <v>#REF!</v>
      </c>
      <c r="FM531" t="e">
        <f>AND(#REF!,"AAAAAHffy6g=")</f>
        <v>#REF!</v>
      </c>
      <c r="FN531" t="e">
        <f>AND(#REF!,"AAAAAHffy6k=")</f>
        <v>#REF!</v>
      </c>
      <c r="FO531" t="e">
        <f>AND(#REF!,"AAAAAHffy6o=")</f>
        <v>#REF!</v>
      </c>
      <c r="FP531" t="e">
        <f>AND(#REF!,"AAAAAHffy6s=")</f>
        <v>#REF!</v>
      </c>
      <c r="FQ531" t="e">
        <f>AND(#REF!,"AAAAAHffy6w=")</f>
        <v>#REF!</v>
      </c>
      <c r="FR531" t="e">
        <f>AND(#REF!,"AAAAAHffy60=")</f>
        <v>#REF!</v>
      </c>
      <c r="FS531" t="e">
        <f>AND(#REF!,"AAAAAHffy64=")</f>
        <v>#REF!</v>
      </c>
      <c r="FT531" t="e">
        <f>AND(#REF!,"AAAAAHffy68=")</f>
        <v>#REF!</v>
      </c>
      <c r="FU531" t="e">
        <f>AND(#REF!,"AAAAAHffy7A=")</f>
        <v>#REF!</v>
      </c>
      <c r="FV531" t="e">
        <f>AND(#REF!,"AAAAAHffy7E=")</f>
        <v>#REF!</v>
      </c>
      <c r="FW531" t="e">
        <f>AND(#REF!,"AAAAAHffy7I=")</f>
        <v>#REF!</v>
      </c>
      <c r="FX531" t="e">
        <f>AND(#REF!,"AAAAAHffy7M=")</f>
        <v>#REF!</v>
      </c>
      <c r="FY531" t="e">
        <f>IF(#REF!,"AAAAAHffy7Q=",0)</f>
        <v>#REF!</v>
      </c>
      <c r="FZ531" t="e">
        <f>AND(#REF!,"AAAAAHffy7U=")</f>
        <v>#REF!</v>
      </c>
      <c r="GA531" t="e">
        <f>AND(#REF!,"AAAAAHffy7Y=")</f>
        <v>#REF!</v>
      </c>
      <c r="GB531" t="e">
        <f>AND(#REF!,"AAAAAHffy7c=")</f>
        <v>#REF!</v>
      </c>
      <c r="GC531" t="e">
        <f>AND(#REF!,"AAAAAHffy7g=")</f>
        <v>#REF!</v>
      </c>
      <c r="GD531" t="e">
        <f>AND(#REF!,"AAAAAHffy7k=")</f>
        <v>#REF!</v>
      </c>
      <c r="GE531" t="e">
        <f>AND(#REF!,"AAAAAHffy7o=")</f>
        <v>#REF!</v>
      </c>
      <c r="GF531" t="e">
        <f>AND(#REF!,"AAAAAHffy7s=")</f>
        <v>#REF!</v>
      </c>
      <c r="GG531" t="e">
        <f>AND(#REF!,"AAAAAHffy7w=")</f>
        <v>#REF!</v>
      </c>
      <c r="GH531" t="e">
        <f>AND(#REF!,"AAAAAHffy70=")</f>
        <v>#REF!</v>
      </c>
      <c r="GI531" t="e">
        <f>AND(#REF!,"AAAAAHffy74=")</f>
        <v>#REF!</v>
      </c>
      <c r="GJ531" t="e">
        <f>AND(#REF!,"AAAAAHffy78=")</f>
        <v>#REF!</v>
      </c>
      <c r="GK531" t="e">
        <f>AND(#REF!,"AAAAAHffy8A=")</f>
        <v>#REF!</v>
      </c>
      <c r="GL531" t="e">
        <f>AND(#REF!,"AAAAAHffy8E=")</f>
        <v>#REF!</v>
      </c>
      <c r="GM531" t="e">
        <f>AND(#REF!,"AAAAAHffy8I=")</f>
        <v>#REF!</v>
      </c>
      <c r="GN531" t="e">
        <f>AND(#REF!,"AAAAAHffy8M=")</f>
        <v>#REF!</v>
      </c>
      <c r="GO531" t="e">
        <f>AND(#REF!,"AAAAAHffy8Q=")</f>
        <v>#REF!</v>
      </c>
      <c r="GP531" t="e">
        <f>AND(#REF!,"AAAAAHffy8U=")</f>
        <v>#REF!</v>
      </c>
      <c r="GQ531" t="e">
        <f>AND(#REF!,"AAAAAHffy8Y=")</f>
        <v>#REF!</v>
      </c>
      <c r="GR531" t="e">
        <f>AND(#REF!,"AAAAAHffy8c=")</f>
        <v>#REF!</v>
      </c>
      <c r="GS531" t="e">
        <f>AND(#REF!,"AAAAAHffy8g=")</f>
        <v>#REF!</v>
      </c>
      <c r="GT531" t="e">
        <f>AND(#REF!,"AAAAAHffy8k=")</f>
        <v>#REF!</v>
      </c>
      <c r="GU531" t="e">
        <f>AND(#REF!,"AAAAAHffy8o=")</f>
        <v>#REF!</v>
      </c>
      <c r="GV531" t="e">
        <f>AND(#REF!,"AAAAAHffy8s=")</f>
        <v>#REF!</v>
      </c>
      <c r="GW531" t="e">
        <f>AND(#REF!,"AAAAAHffy8w=")</f>
        <v>#REF!</v>
      </c>
      <c r="GX531" t="e">
        <f>IF(#REF!,"AAAAAHffy80=",0)</f>
        <v>#REF!</v>
      </c>
      <c r="GY531" t="e">
        <f>AND(#REF!,"AAAAAHffy84=")</f>
        <v>#REF!</v>
      </c>
      <c r="GZ531" t="e">
        <f>AND(#REF!,"AAAAAHffy88=")</f>
        <v>#REF!</v>
      </c>
      <c r="HA531" t="e">
        <f>AND(#REF!,"AAAAAHffy9A=")</f>
        <v>#REF!</v>
      </c>
      <c r="HB531" t="e">
        <f>AND(#REF!,"AAAAAHffy9E=")</f>
        <v>#REF!</v>
      </c>
      <c r="HC531" t="e">
        <f>AND(#REF!,"AAAAAHffy9I=")</f>
        <v>#REF!</v>
      </c>
      <c r="HD531" t="e">
        <f>AND(#REF!,"AAAAAHffy9M=")</f>
        <v>#REF!</v>
      </c>
      <c r="HE531" t="e">
        <f>AND(#REF!,"AAAAAHffy9Q=")</f>
        <v>#REF!</v>
      </c>
      <c r="HF531" t="e">
        <f>AND(#REF!,"AAAAAHffy9U=")</f>
        <v>#REF!</v>
      </c>
      <c r="HG531" t="e">
        <f>AND(#REF!,"AAAAAHffy9Y=")</f>
        <v>#REF!</v>
      </c>
      <c r="HH531" t="e">
        <f>AND(#REF!,"AAAAAHffy9c=")</f>
        <v>#REF!</v>
      </c>
      <c r="HI531" t="e">
        <f>AND(#REF!,"AAAAAHffy9g=")</f>
        <v>#REF!</v>
      </c>
      <c r="HJ531" t="e">
        <f>AND(#REF!,"AAAAAHffy9k=")</f>
        <v>#REF!</v>
      </c>
      <c r="HK531" t="e">
        <f>AND(#REF!,"AAAAAHffy9o=")</f>
        <v>#REF!</v>
      </c>
      <c r="HL531" t="e">
        <f>AND(#REF!,"AAAAAHffy9s=")</f>
        <v>#REF!</v>
      </c>
      <c r="HM531" t="e">
        <f>AND(#REF!,"AAAAAHffy9w=")</f>
        <v>#REF!</v>
      </c>
      <c r="HN531" t="e">
        <f>AND(#REF!,"AAAAAHffy90=")</f>
        <v>#REF!</v>
      </c>
      <c r="HO531" t="e">
        <f>AND(#REF!,"AAAAAHffy94=")</f>
        <v>#REF!</v>
      </c>
      <c r="HP531" t="e">
        <f>AND(#REF!,"AAAAAHffy98=")</f>
        <v>#REF!</v>
      </c>
      <c r="HQ531" t="e">
        <f>AND(#REF!,"AAAAAHffy+A=")</f>
        <v>#REF!</v>
      </c>
      <c r="HR531" t="e">
        <f>AND(#REF!,"AAAAAHffy+E=")</f>
        <v>#REF!</v>
      </c>
      <c r="HS531" t="e">
        <f>AND(#REF!,"AAAAAHffy+I=")</f>
        <v>#REF!</v>
      </c>
      <c r="HT531" t="e">
        <f>AND(#REF!,"AAAAAHffy+M=")</f>
        <v>#REF!</v>
      </c>
      <c r="HU531" t="e">
        <f>AND(#REF!,"AAAAAHffy+Q=")</f>
        <v>#REF!</v>
      </c>
      <c r="HV531" t="e">
        <f>AND(#REF!,"AAAAAHffy+U=")</f>
        <v>#REF!</v>
      </c>
      <c r="HW531" t="e">
        <f>IF(#REF!,"AAAAAHffy+Y=",0)</f>
        <v>#REF!</v>
      </c>
      <c r="HX531" t="e">
        <f>AND(#REF!,"AAAAAHffy+c=")</f>
        <v>#REF!</v>
      </c>
      <c r="HY531" t="e">
        <f>AND(#REF!,"AAAAAHffy+g=")</f>
        <v>#REF!</v>
      </c>
      <c r="HZ531" t="e">
        <f>AND(#REF!,"AAAAAHffy+k=")</f>
        <v>#REF!</v>
      </c>
      <c r="IA531" t="e">
        <f>AND(#REF!,"AAAAAHffy+o=")</f>
        <v>#REF!</v>
      </c>
      <c r="IB531" t="e">
        <f>AND(#REF!,"AAAAAHffy+s=")</f>
        <v>#REF!</v>
      </c>
      <c r="IC531" t="e">
        <f>AND(#REF!,"AAAAAHffy+w=")</f>
        <v>#REF!</v>
      </c>
      <c r="ID531" t="e">
        <f>AND(#REF!,"AAAAAHffy+0=")</f>
        <v>#REF!</v>
      </c>
      <c r="IE531" t="e">
        <f>AND(#REF!,"AAAAAHffy+4=")</f>
        <v>#REF!</v>
      </c>
      <c r="IF531" t="e">
        <f>AND(#REF!,"AAAAAHffy+8=")</f>
        <v>#REF!</v>
      </c>
      <c r="IG531" t="e">
        <f>AND(#REF!,"AAAAAHffy/A=")</f>
        <v>#REF!</v>
      </c>
      <c r="IH531" t="e">
        <f>AND(#REF!,"AAAAAHffy/E=")</f>
        <v>#REF!</v>
      </c>
      <c r="II531" t="e">
        <f>AND(#REF!,"AAAAAHffy/I=")</f>
        <v>#REF!</v>
      </c>
      <c r="IJ531" t="e">
        <f>AND(#REF!,"AAAAAHffy/M=")</f>
        <v>#REF!</v>
      </c>
      <c r="IK531" t="e">
        <f>AND(#REF!,"AAAAAHffy/Q=")</f>
        <v>#REF!</v>
      </c>
      <c r="IL531" t="e">
        <f>AND(#REF!,"AAAAAHffy/U=")</f>
        <v>#REF!</v>
      </c>
      <c r="IM531" t="e">
        <f>AND(#REF!,"AAAAAHffy/Y=")</f>
        <v>#REF!</v>
      </c>
      <c r="IN531" t="e">
        <f>AND(#REF!,"AAAAAHffy/c=")</f>
        <v>#REF!</v>
      </c>
      <c r="IO531" t="e">
        <f>AND(#REF!,"AAAAAHffy/g=")</f>
        <v>#REF!</v>
      </c>
      <c r="IP531" t="e">
        <f>AND(#REF!,"AAAAAHffy/k=")</f>
        <v>#REF!</v>
      </c>
      <c r="IQ531" t="e">
        <f>AND(#REF!,"AAAAAHffy/o=")</f>
        <v>#REF!</v>
      </c>
      <c r="IR531" t="e">
        <f>AND(#REF!,"AAAAAHffy/s=")</f>
        <v>#REF!</v>
      </c>
      <c r="IS531" t="e">
        <f>AND(#REF!,"AAAAAHffy/w=")</f>
        <v>#REF!</v>
      </c>
      <c r="IT531" t="e">
        <f>AND(#REF!,"AAAAAHffy/0=")</f>
        <v>#REF!</v>
      </c>
      <c r="IU531" t="e">
        <f>AND(#REF!,"AAAAAHffy/4=")</f>
        <v>#REF!</v>
      </c>
      <c r="IV531" t="e">
        <f>IF(#REF!,"AAAAAHffy/8=",0)</f>
        <v>#REF!</v>
      </c>
    </row>
    <row r="532" spans="1:256">
      <c r="A532" t="e">
        <f>AND(#REF!,"AAAAADem3wA=")</f>
        <v>#REF!</v>
      </c>
      <c r="B532" t="e">
        <f>AND(#REF!,"AAAAADem3wE=")</f>
        <v>#REF!</v>
      </c>
      <c r="C532" t="e">
        <f>AND(#REF!,"AAAAADem3wI=")</f>
        <v>#REF!</v>
      </c>
      <c r="D532" t="e">
        <f>AND(#REF!,"AAAAADem3wM=")</f>
        <v>#REF!</v>
      </c>
      <c r="E532" t="e">
        <f>AND(#REF!,"AAAAADem3wQ=")</f>
        <v>#REF!</v>
      </c>
      <c r="F532" t="e">
        <f>AND(#REF!,"AAAAADem3wU=")</f>
        <v>#REF!</v>
      </c>
      <c r="G532" t="e">
        <f>AND(#REF!,"AAAAADem3wY=")</f>
        <v>#REF!</v>
      </c>
      <c r="H532" t="e">
        <f>AND(#REF!,"AAAAADem3wc=")</f>
        <v>#REF!</v>
      </c>
      <c r="I532" t="e">
        <f>AND(#REF!,"AAAAADem3wg=")</f>
        <v>#REF!</v>
      </c>
      <c r="J532" t="e">
        <f>AND(#REF!,"AAAAADem3wk=")</f>
        <v>#REF!</v>
      </c>
      <c r="K532" t="e">
        <f>AND(#REF!,"AAAAADem3wo=")</f>
        <v>#REF!</v>
      </c>
      <c r="L532" t="e">
        <f>AND(#REF!,"AAAAADem3ws=")</f>
        <v>#REF!</v>
      </c>
      <c r="M532" t="e">
        <f>AND(#REF!,"AAAAADem3ww=")</f>
        <v>#REF!</v>
      </c>
      <c r="N532" t="e">
        <f>AND(#REF!,"AAAAADem3w0=")</f>
        <v>#REF!</v>
      </c>
      <c r="O532" t="e">
        <f>AND(#REF!,"AAAAADem3w4=")</f>
        <v>#REF!</v>
      </c>
      <c r="P532" t="e">
        <f>AND(#REF!,"AAAAADem3w8=")</f>
        <v>#REF!</v>
      </c>
      <c r="Q532" t="e">
        <f>AND(#REF!,"AAAAADem3xA=")</f>
        <v>#REF!</v>
      </c>
      <c r="R532" t="e">
        <f>AND(#REF!,"AAAAADem3xE=")</f>
        <v>#REF!</v>
      </c>
      <c r="S532" t="e">
        <f>AND(#REF!,"AAAAADem3xI=")</f>
        <v>#REF!</v>
      </c>
      <c r="T532" t="e">
        <f>AND(#REF!,"AAAAADem3xM=")</f>
        <v>#REF!</v>
      </c>
      <c r="U532" t="e">
        <f>AND(#REF!,"AAAAADem3xQ=")</f>
        <v>#REF!</v>
      </c>
      <c r="V532" t="e">
        <f>AND(#REF!,"AAAAADem3xU=")</f>
        <v>#REF!</v>
      </c>
      <c r="W532" t="e">
        <f>AND(#REF!,"AAAAADem3xY=")</f>
        <v>#REF!</v>
      </c>
      <c r="X532" t="e">
        <f>AND(#REF!,"AAAAADem3xc=")</f>
        <v>#REF!</v>
      </c>
      <c r="Y532" t="e">
        <f>IF(#REF!,"AAAAADem3xg=",0)</f>
        <v>#REF!</v>
      </c>
      <c r="Z532" t="e">
        <f>AND(#REF!,"AAAAADem3xk=")</f>
        <v>#REF!</v>
      </c>
      <c r="AA532" t="e">
        <f>AND(#REF!,"AAAAADem3xo=")</f>
        <v>#REF!</v>
      </c>
      <c r="AB532" t="e">
        <f>AND(#REF!,"AAAAADem3xs=")</f>
        <v>#REF!</v>
      </c>
      <c r="AC532" t="e">
        <f>AND(#REF!,"AAAAADem3xw=")</f>
        <v>#REF!</v>
      </c>
      <c r="AD532" t="e">
        <f>AND(#REF!,"AAAAADem3x0=")</f>
        <v>#REF!</v>
      </c>
      <c r="AE532" t="e">
        <f>AND(#REF!,"AAAAADem3x4=")</f>
        <v>#REF!</v>
      </c>
      <c r="AF532" t="e">
        <f>AND(#REF!,"AAAAADem3x8=")</f>
        <v>#REF!</v>
      </c>
      <c r="AG532" t="e">
        <f>AND(#REF!,"AAAAADem3yA=")</f>
        <v>#REF!</v>
      </c>
      <c r="AH532" t="e">
        <f>AND(#REF!,"AAAAADem3yE=")</f>
        <v>#REF!</v>
      </c>
      <c r="AI532" t="e">
        <f>AND(#REF!,"AAAAADem3yI=")</f>
        <v>#REF!</v>
      </c>
      <c r="AJ532" t="e">
        <f>AND(#REF!,"AAAAADem3yM=")</f>
        <v>#REF!</v>
      </c>
      <c r="AK532" t="e">
        <f>AND(#REF!,"AAAAADem3yQ=")</f>
        <v>#REF!</v>
      </c>
      <c r="AL532" t="e">
        <f>AND(#REF!,"AAAAADem3yU=")</f>
        <v>#REF!</v>
      </c>
      <c r="AM532" t="e">
        <f>AND(#REF!,"AAAAADem3yY=")</f>
        <v>#REF!</v>
      </c>
      <c r="AN532" t="e">
        <f>AND(#REF!,"AAAAADem3yc=")</f>
        <v>#REF!</v>
      </c>
      <c r="AO532" t="e">
        <f>AND(#REF!,"AAAAADem3yg=")</f>
        <v>#REF!</v>
      </c>
      <c r="AP532" t="e">
        <f>AND(#REF!,"AAAAADem3yk=")</f>
        <v>#REF!</v>
      </c>
      <c r="AQ532" t="e">
        <f>AND(#REF!,"AAAAADem3yo=")</f>
        <v>#REF!</v>
      </c>
      <c r="AR532" t="e">
        <f>AND(#REF!,"AAAAADem3ys=")</f>
        <v>#REF!</v>
      </c>
      <c r="AS532" t="e">
        <f>AND(#REF!,"AAAAADem3yw=")</f>
        <v>#REF!</v>
      </c>
      <c r="AT532" t="e">
        <f>AND(#REF!,"AAAAADem3y0=")</f>
        <v>#REF!</v>
      </c>
      <c r="AU532" t="e">
        <f>AND(#REF!,"AAAAADem3y4=")</f>
        <v>#REF!</v>
      </c>
      <c r="AV532" t="e">
        <f>AND(#REF!,"AAAAADem3y8=")</f>
        <v>#REF!</v>
      </c>
      <c r="AW532" t="e">
        <f>AND(#REF!,"AAAAADem3zA=")</f>
        <v>#REF!</v>
      </c>
      <c r="AX532" t="e">
        <f>IF(#REF!,"AAAAADem3zE=",0)</f>
        <v>#REF!</v>
      </c>
      <c r="AY532" t="e">
        <f>AND(#REF!,"AAAAADem3zI=")</f>
        <v>#REF!</v>
      </c>
      <c r="AZ532" t="e">
        <f>AND(#REF!,"AAAAADem3zM=")</f>
        <v>#REF!</v>
      </c>
      <c r="BA532" t="e">
        <f>AND(#REF!,"AAAAADem3zQ=")</f>
        <v>#REF!</v>
      </c>
      <c r="BB532" t="e">
        <f>AND(#REF!,"AAAAADem3zU=")</f>
        <v>#REF!</v>
      </c>
      <c r="BC532" t="e">
        <f>AND(#REF!,"AAAAADem3zY=")</f>
        <v>#REF!</v>
      </c>
      <c r="BD532" t="e">
        <f>AND(#REF!,"AAAAADem3zc=")</f>
        <v>#REF!</v>
      </c>
      <c r="BE532" t="e">
        <f>AND(#REF!,"AAAAADem3zg=")</f>
        <v>#REF!</v>
      </c>
      <c r="BF532" t="e">
        <f>AND(#REF!,"AAAAADem3zk=")</f>
        <v>#REF!</v>
      </c>
      <c r="BG532" t="e">
        <f>AND(#REF!,"AAAAADem3zo=")</f>
        <v>#REF!</v>
      </c>
      <c r="BH532" t="e">
        <f>AND(#REF!,"AAAAADem3zs=")</f>
        <v>#REF!</v>
      </c>
      <c r="BI532" t="e">
        <f>AND(#REF!,"AAAAADem3zw=")</f>
        <v>#REF!</v>
      </c>
      <c r="BJ532" t="e">
        <f>AND(#REF!,"AAAAADem3z0=")</f>
        <v>#REF!</v>
      </c>
      <c r="BK532" t="e">
        <f>AND(#REF!,"AAAAADem3z4=")</f>
        <v>#REF!</v>
      </c>
      <c r="BL532" t="e">
        <f>AND(#REF!,"AAAAADem3z8=")</f>
        <v>#REF!</v>
      </c>
      <c r="BM532" t="e">
        <f>AND(#REF!,"AAAAADem30A=")</f>
        <v>#REF!</v>
      </c>
      <c r="BN532" t="e">
        <f>AND(#REF!,"AAAAADem30E=")</f>
        <v>#REF!</v>
      </c>
      <c r="BO532" t="e">
        <f>AND(#REF!,"AAAAADem30I=")</f>
        <v>#REF!</v>
      </c>
      <c r="BP532" t="e">
        <f>AND(#REF!,"AAAAADem30M=")</f>
        <v>#REF!</v>
      </c>
      <c r="BQ532" t="e">
        <f>AND(#REF!,"AAAAADem30Q=")</f>
        <v>#REF!</v>
      </c>
      <c r="BR532" t="e">
        <f>AND(#REF!,"AAAAADem30U=")</f>
        <v>#REF!</v>
      </c>
      <c r="BS532" t="e">
        <f>AND(#REF!,"AAAAADem30Y=")</f>
        <v>#REF!</v>
      </c>
      <c r="BT532" t="e">
        <f>AND(#REF!,"AAAAADem30c=")</f>
        <v>#REF!</v>
      </c>
      <c r="BU532" t="e">
        <f>AND(#REF!,"AAAAADem30g=")</f>
        <v>#REF!</v>
      </c>
      <c r="BV532" t="e">
        <f>AND(#REF!,"AAAAADem30k=")</f>
        <v>#REF!</v>
      </c>
      <c r="BW532" t="e">
        <f>IF(#REF!,"AAAAADem30o=",0)</f>
        <v>#REF!</v>
      </c>
      <c r="BX532" t="e">
        <f>AND(#REF!,"AAAAADem30s=")</f>
        <v>#REF!</v>
      </c>
      <c r="BY532" t="e">
        <f>AND(#REF!,"AAAAADem30w=")</f>
        <v>#REF!</v>
      </c>
      <c r="BZ532" t="e">
        <f>AND(#REF!,"AAAAADem300=")</f>
        <v>#REF!</v>
      </c>
      <c r="CA532" t="e">
        <f>AND(#REF!,"AAAAADem304=")</f>
        <v>#REF!</v>
      </c>
      <c r="CB532" t="e">
        <f>AND(#REF!,"AAAAADem308=")</f>
        <v>#REF!</v>
      </c>
      <c r="CC532" t="e">
        <f>AND(#REF!,"AAAAADem31A=")</f>
        <v>#REF!</v>
      </c>
      <c r="CD532" t="e">
        <f>AND(#REF!,"AAAAADem31E=")</f>
        <v>#REF!</v>
      </c>
      <c r="CE532" t="e">
        <f>AND(#REF!,"AAAAADem31I=")</f>
        <v>#REF!</v>
      </c>
      <c r="CF532" t="e">
        <f>AND(#REF!,"AAAAADem31M=")</f>
        <v>#REF!</v>
      </c>
      <c r="CG532" t="e">
        <f>AND(#REF!,"AAAAADem31Q=")</f>
        <v>#REF!</v>
      </c>
      <c r="CH532" t="e">
        <f>AND(#REF!,"AAAAADem31U=")</f>
        <v>#REF!</v>
      </c>
      <c r="CI532" t="e">
        <f>AND(#REF!,"AAAAADem31Y=")</f>
        <v>#REF!</v>
      </c>
      <c r="CJ532" t="e">
        <f>AND(#REF!,"AAAAADem31c=")</f>
        <v>#REF!</v>
      </c>
      <c r="CK532" t="e">
        <f>AND(#REF!,"AAAAADem31g=")</f>
        <v>#REF!</v>
      </c>
      <c r="CL532" t="e">
        <f>AND(#REF!,"AAAAADem31k=")</f>
        <v>#REF!</v>
      </c>
      <c r="CM532" t="e">
        <f>AND(#REF!,"AAAAADem31o=")</f>
        <v>#REF!</v>
      </c>
      <c r="CN532" t="e">
        <f>AND(#REF!,"AAAAADem31s=")</f>
        <v>#REF!</v>
      </c>
      <c r="CO532" t="e">
        <f>AND(#REF!,"AAAAADem31w=")</f>
        <v>#REF!</v>
      </c>
      <c r="CP532" t="e">
        <f>AND(#REF!,"AAAAADem310=")</f>
        <v>#REF!</v>
      </c>
      <c r="CQ532" t="e">
        <f>AND(#REF!,"AAAAADem314=")</f>
        <v>#REF!</v>
      </c>
      <c r="CR532" t="e">
        <f>AND(#REF!,"AAAAADem318=")</f>
        <v>#REF!</v>
      </c>
      <c r="CS532" t="e">
        <f>AND(#REF!,"AAAAADem32A=")</f>
        <v>#REF!</v>
      </c>
      <c r="CT532" t="e">
        <f>AND(#REF!,"AAAAADem32E=")</f>
        <v>#REF!</v>
      </c>
      <c r="CU532" t="e">
        <f>AND(#REF!,"AAAAADem32I=")</f>
        <v>#REF!</v>
      </c>
      <c r="CV532" t="e">
        <f>IF(#REF!,"AAAAADem32M=",0)</f>
        <v>#REF!</v>
      </c>
      <c r="CW532" t="e">
        <f>AND(#REF!,"AAAAADem32Q=")</f>
        <v>#REF!</v>
      </c>
      <c r="CX532" t="e">
        <f>AND(#REF!,"AAAAADem32U=")</f>
        <v>#REF!</v>
      </c>
      <c r="CY532" t="e">
        <f>AND(#REF!,"AAAAADem32Y=")</f>
        <v>#REF!</v>
      </c>
      <c r="CZ532" t="e">
        <f>AND(#REF!,"AAAAADem32c=")</f>
        <v>#REF!</v>
      </c>
      <c r="DA532" t="e">
        <f>AND(#REF!,"AAAAADem32g=")</f>
        <v>#REF!</v>
      </c>
      <c r="DB532" t="e">
        <f>AND(#REF!,"AAAAADem32k=")</f>
        <v>#REF!</v>
      </c>
      <c r="DC532" t="e">
        <f>AND(#REF!,"AAAAADem32o=")</f>
        <v>#REF!</v>
      </c>
      <c r="DD532" t="e">
        <f>AND(#REF!,"AAAAADem32s=")</f>
        <v>#REF!</v>
      </c>
      <c r="DE532" t="e">
        <f>AND(#REF!,"AAAAADem32w=")</f>
        <v>#REF!</v>
      </c>
      <c r="DF532" t="e">
        <f>AND(#REF!,"AAAAADem320=")</f>
        <v>#REF!</v>
      </c>
      <c r="DG532" t="e">
        <f>AND(#REF!,"AAAAADem324=")</f>
        <v>#REF!</v>
      </c>
      <c r="DH532" t="e">
        <f>AND(#REF!,"AAAAADem328=")</f>
        <v>#REF!</v>
      </c>
      <c r="DI532" t="e">
        <f>AND(#REF!,"AAAAADem33A=")</f>
        <v>#REF!</v>
      </c>
      <c r="DJ532" t="e">
        <f>AND(#REF!,"AAAAADem33E=")</f>
        <v>#REF!</v>
      </c>
      <c r="DK532" t="e">
        <f>AND(#REF!,"AAAAADem33I=")</f>
        <v>#REF!</v>
      </c>
      <c r="DL532" t="e">
        <f>AND(#REF!,"AAAAADem33M=")</f>
        <v>#REF!</v>
      </c>
      <c r="DM532" t="e">
        <f>AND(#REF!,"AAAAADem33Q=")</f>
        <v>#REF!</v>
      </c>
      <c r="DN532" t="e">
        <f>AND(#REF!,"AAAAADem33U=")</f>
        <v>#REF!</v>
      </c>
      <c r="DO532" t="e">
        <f>AND(#REF!,"AAAAADem33Y=")</f>
        <v>#REF!</v>
      </c>
      <c r="DP532" t="e">
        <f>AND(#REF!,"AAAAADem33c=")</f>
        <v>#REF!</v>
      </c>
      <c r="DQ532" t="e">
        <f>AND(#REF!,"AAAAADem33g=")</f>
        <v>#REF!</v>
      </c>
      <c r="DR532" t="e">
        <f>AND(#REF!,"AAAAADem33k=")</f>
        <v>#REF!</v>
      </c>
      <c r="DS532" t="e">
        <f>AND(#REF!,"AAAAADem33o=")</f>
        <v>#REF!</v>
      </c>
      <c r="DT532" t="e">
        <f>AND(#REF!,"AAAAADem33s=")</f>
        <v>#REF!</v>
      </c>
      <c r="DU532" t="e">
        <f>IF(#REF!,"AAAAADem33w=",0)</f>
        <v>#REF!</v>
      </c>
      <c r="DV532" t="e">
        <f>AND(#REF!,"AAAAADem330=")</f>
        <v>#REF!</v>
      </c>
      <c r="DW532" t="e">
        <f>AND(#REF!,"AAAAADem334=")</f>
        <v>#REF!</v>
      </c>
      <c r="DX532" t="e">
        <f>AND(#REF!,"AAAAADem338=")</f>
        <v>#REF!</v>
      </c>
      <c r="DY532" t="e">
        <f>AND(#REF!,"AAAAADem34A=")</f>
        <v>#REF!</v>
      </c>
      <c r="DZ532" t="e">
        <f>AND(#REF!,"AAAAADem34E=")</f>
        <v>#REF!</v>
      </c>
      <c r="EA532" t="e">
        <f>AND(#REF!,"AAAAADem34I=")</f>
        <v>#REF!</v>
      </c>
      <c r="EB532" t="e">
        <f>AND(#REF!,"AAAAADem34M=")</f>
        <v>#REF!</v>
      </c>
      <c r="EC532" t="e">
        <f>AND(#REF!,"AAAAADem34Q=")</f>
        <v>#REF!</v>
      </c>
      <c r="ED532" t="e">
        <f>AND(#REF!,"AAAAADem34U=")</f>
        <v>#REF!</v>
      </c>
      <c r="EE532" t="e">
        <f>AND(#REF!,"AAAAADem34Y=")</f>
        <v>#REF!</v>
      </c>
      <c r="EF532" t="e">
        <f>AND(#REF!,"AAAAADem34c=")</f>
        <v>#REF!</v>
      </c>
      <c r="EG532" t="e">
        <f>AND(#REF!,"AAAAADem34g=")</f>
        <v>#REF!</v>
      </c>
      <c r="EH532" t="e">
        <f>AND(#REF!,"AAAAADem34k=")</f>
        <v>#REF!</v>
      </c>
      <c r="EI532" t="e">
        <f>AND(#REF!,"AAAAADem34o=")</f>
        <v>#REF!</v>
      </c>
      <c r="EJ532" t="e">
        <f>AND(#REF!,"AAAAADem34s=")</f>
        <v>#REF!</v>
      </c>
      <c r="EK532" t="e">
        <f>AND(#REF!,"AAAAADem34w=")</f>
        <v>#REF!</v>
      </c>
      <c r="EL532" t="e">
        <f>AND(#REF!,"AAAAADem340=")</f>
        <v>#REF!</v>
      </c>
      <c r="EM532" t="e">
        <f>AND(#REF!,"AAAAADem344=")</f>
        <v>#REF!</v>
      </c>
      <c r="EN532" t="e">
        <f>AND(#REF!,"AAAAADem348=")</f>
        <v>#REF!</v>
      </c>
      <c r="EO532" t="e">
        <f>AND(#REF!,"AAAAADem35A=")</f>
        <v>#REF!</v>
      </c>
      <c r="EP532" t="e">
        <f>AND(#REF!,"AAAAADem35E=")</f>
        <v>#REF!</v>
      </c>
      <c r="EQ532" t="e">
        <f>AND(#REF!,"AAAAADem35I=")</f>
        <v>#REF!</v>
      </c>
      <c r="ER532" t="e">
        <f>AND(#REF!,"AAAAADem35M=")</f>
        <v>#REF!</v>
      </c>
      <c r="ES532" t="e">
        <f>AND(#REF!,"AAAAADem35Q=")</f>
        <v>#REF!</v>
      </c>
      <c r="ET532" t="e">
        <f>IF(#REF!,"AAAAADem35U=",0)</f>
        <v>#REF!</v>
      </c>
      <c r="EU532" t="e">
        <f>AND(#REF!,"AAAAADem35Y=")</f>
        <v>#REF!</v>
      </c>
      <c r="EV532" t="e">
        <f>AND(#REF!,"AAAAADem35c=")</f>
        <v>#REF!</v>
      </c>
      <c r="EW532" t="e">
        <f>AND(#REF!,"AAAAADem35g=")</f>
        <v>#REF!</v>
      </c>
      <c r="EX532" t="e">
        <f>AND(#REF!,"AAAAADem35k=")</f>
        <v>#REF!</v>
      </c>
      <c r="EY532" t="e">
        <f>AND(#REF!,"AAAAADem35o=")</f>
        <v>#REF!</v>
      </c>
      <c r="EZ532" t="e">
        <f>AND(#REF!,"AAAAADem35s=")</f>
        <v>#REF!</v>
      </c>
      <c r="FA532" t="e">
        <f>AND(#REF!,"AAAAADem35w=")</f>
        <v>#REF!</v>
      </c>
      <c r="FB532" t="e">
        <f>AND(#REF!,"AAAAADem350=")</f>
        <v>#REF!</v>
      </c>
      <c r="FC532" t="e">
        <f>AND(#REF!,"AAAAADem354=")</f>
        <v>#REF!</v>
      </c>
      <c r="FD532" t="e">
        <f>AND(#REF!,"AAAAADem358=")</f>
        <v>#REF!</v>
      </c>
      <c r="FE532" t="e">
        <f>AND(#REF!,"AAAAADem36A=")</f>
        <v>#REF!</v>
      </c>
      <c r="FF532" t="e">
        <f>AND(#REF!,"AAAAADem36E=")</f>
        <v>#REF!</v>
      </c>
      <c r="FG532" t="e">
        <f>AND(#REF!,"AAAAADem36I=")</f>
        <v>#REF!</v>
      </c>
      <c r="FH532" t="e">
        <f>AND(#REF!,"AAAAADem36M=")</f>
        <v>#REF!</v>
      </c>
      <c r="FI532" t="e">
        <f>AND(#REF!,"AAAAADem36Q=")</f>
        <v>#REF!</v>
      </c>
      <c r="FJ532" t="e">
        <f>AND(#REF!,"AAAAADem36U=")</f>
        <v>#REF!</v>
      </c>
      <c r="FK532" t="e">
        <f>AND(#REF!,"AAAAADem36Y=")</f>
        <v>#REF!</v>
      </c>
      <c r="FL532" t="e">
        <f>AND(#REF!,"AAAAADem36c=")</f>
        <v>#REF!</v>
      </c>
      <c r="FM532" t="e">
        <f>AND(#REF!,"AAAAADem36g=")</f>
        <v>#REF!</v>
      </c>
      <c r="FN532" t="e">
        <f>AND(#REF!,"AAAAADem36k=")</f>
        <v>#REF!</v>
      </c>
      <c r="FO532" t="e">
        <f>AND(#REF!,"AAAAADem36o=")</f>
        <v>#REF!</v>
      </c>
      <c r="FP532" t="e">
        <f>AND(#REF!,"AAAAADem36s=")</f>
        <v>#REF!</v>
      </c>
      <c r="FQ532" t="e">
        <f>AND(#REF!,"AAAAADem36w=")</f>
        <v>#REF!</v>
      </c>
      <c r="FR532" t="e">
        <f>AND(#REF!,"AAAAADem360=")</f>
        <v>#REF!</v>
      </c>
      <c r="FS532" t="e">
        <f>IF(#REF!,"AAAAADem364=",0)</f>
        <v>#REF!</v>
      </c>
      <c r="FT532" t="e">
        <f>AND(#REF!,"AAAAADem368=")</f>
        <v>#REF!</v>
      </c>
      <c r="FU532" t="e">
        <f>AND(#REF!,"AAAAADem37A=")</f>
        <v>#REF!</v>
      </c>
      <c r="FV532" t="e">
        <f>AND(#REF!,"AAAAADem37E=")</f>
        <v>#REF!</v>
      </c>
      <c r="FW532" t="e">
        <f>AND(#REF!,"AAAAADem37I=")</f>
        <v>#REF!</v>
      </c>
      <c r="FX532" t="e">
        <f>AND(#REF!,"AAAAADem37M=")</f>
        <v>#REF!</v>
      </c>
      <c r="FY532" t="e">
        <f>AND(#REF!,"AAAAADem37Q=")</f>
        <v>#REF!</v>
      </c>
      <c r="FZ532" t="e">
        <f>AND(#REF!,"AAAAADem37U=")</f>
        <v>#REF!</v>
      </c>
      <c r="GA532" t="e">
        <f>AND(#REF!,"AAAAADem37Y=")</f>
        <v>#REF!</v>
      </c>
      <c r="GB532" t="e">
        <f>AND(#REF!,"AAAAADem37c=")</f>
        <v>#REF!</v>
      </c>
      <c r="GC532" t="e">
        <f>AND(#REF!,"AAAAADem37g=")</f>
        <v>#REF!</v>
      </c>
      <c r="GD532" t="e">
        <f>AND(#REF!,"AAAAADem37k=")</f>
        <v>#REF!</v>
      </c>
      <c r="GE532" t="e">
        <f>AND(#REF!,"AAAAADem37o=")</f>
        <v>#REF!</v>
      </c>
      <c r="GF532" t="e">
        <f>AND(#REF!,"AAAAADem37s=")</f>
        <v>#REF!</v>
      </c>
      <c r="GG532" t="e">
        <f>AND(#REF!,"AAAAADem37w=")</f>
        <v>#REF!</v>
      </c>
      <c r="GH532" t="e">
        <f>AND(#REF!,"AAAAADem370=")</f>
        <v>#REF!</v>
      </c>
      <c r="GI532" t="e">
        <f>AND(#REF!,"AAAAADem374=")</f>
        <v>#REF!</v>
      </c>
      <c r="GJ532" t="e">
        <f>AND(#REF!,"AAAAADem378=")</f>
        <v>#REF!</v>
      </c>
      <c r="GK532" t="e">
        <f>AND(#REF!,"AAAAADem38A=")</f>
        <v>#REF!</v>
      </c>
      <c r="GL532" t="e">
        <f>AND(#REF!,"AAAAADem38E=")</f>
        <v>#REF!</v>
      </c>
      <c r="GM532" t="e">
        <f>AND(#REF!,"AAAAADem38I=")</f>
        <v>#REF!</v>
      </c>
      <c r="GN532" t="e">
        <f>AND(#REF!,"AAAAADem38M=")</f>
        <v>#REF!</v>
      </c>
      <c r="GO532" t="e">
        <f>AND(#REF!,"AAAAADem38Q=")</f>
        <v>#REF!</v>
      </c>
      <c r="GP532" t="e">
        <f>AND(#REF!,"AAAAADem38U=")</f>
        <v>#REF!</v>
      </c>
      <c r="GQ532" t="e">
        <f>AND(#REF!,"AAAAADem38Y=")</f>
        <v>#REF!</v>
      </c>
      <c r="GR532" t="e">
        <f>IF(#REF!,"AAAAADem38c=",0)</f>
        <v>#REF!</v>
      </c>
      <c r="GS532" t="e">
        <f>AND(#REF!,"AAAAADem38g=")</f>
        <v>#REF!</v>
      </c>
      <c r="GT532" t="e">
        <f>AND(#REF!,"AAAAADem38k=")</f>
        <v>#REF!</v>
      </c>
      <c r="GU532" t="e">
        <f>AND(#REF!,"AAAAADem38o=")</f>
        <v>#REF!</v>
      </c>
      <c r="GV532" t="e">
        <f>AND(#REF!,"AAAAADem38s=")</f>
        <v>#REF!</v>
      </c>
      <c r="GW532" t="e">
        <f>AND(#REF!,"AAAAADem38w=")</f>
        <v>#REF!</v>
      </c>
      <c r="GX532" t="e">
        <f>AND(#REF!,"AAAAADem380=")</f>
        <v>#REF!</v>
      </c>
      <c r="GY532" t="e">
        <f>AND(#REF!,"AAAAADem384=")</f>
        <v>#REF!</v>
      </c>
      <c r="GZ532" t="e">
        <f>AND(#REF!,"AAAAADem388=")</f>
        <v>#REF!</v>
      </c>
      <c r="HA532" t="e">
        <f>AND(#REF!,"AAAAADem39A=")</f>
        <v>#REF!</v>
      </c>
      <c r="HB532" t="e">
        <f>AND(#REF!,"AAAAADem39E=")</f>
        <v>#REF!</v>
      </c>
      <c r="HC532" t="e">
        <f>AND(#REF!,"AAAAADem39I=")</f>
        <v>#REF!</v>
      </c>
      <c r="HD532" t="e">
        <f>AND(#REF!,"AAAAADem39M=")</f>
        <v>#REF!</v>
      </c>
      <c r="HE532" t="e">
        <f>AND(#REF!,"AAAAADem39Q=")</f>
        <v>#REF!</v>
      </c>
      <c r="HF532" t="e">
        <f>AND(#REF!,"AAAAADem39U=")</f>
        <v>#REF!</v>
      </c>
      <c r="HG532" t="e">
        <f>AND(#REF!,"AAAAADem39Y=")</f>
        <v>#REF!</v>
      </c>
      <c r="HH532" t="e">
        <f>AND(#REF!,"AAAAADem39c=")</f>
        <v>#REF!</v>
      </c>
      <c r="HI532" t="e">
        <f>AND(#REF!,"AAAAADem39g=")</f>
        <v>#REF!</v>
      </c>
      <c r="HJ532" t="e">
        <f>AND(#REF!,"AAAAADem39k=")</f>
        <v>#REF!</v>
      </c>
      <c r="HK532" t="e">
        <f>AND(#REF!,"AAAAADem39o=")</f>
        <v>#REF!</v>
      </c>
      <c r="HL532" t="e">
        <f>AND(#REF!,"AAAAADem39s=")</f>
        <v>#REF!</v>
      </c>
      <c r="HM532" t="e">
        <f>AND(#REF!,"AAAAADem39w=")</f>
        <v>#REF!</v>
      </c>
      <c r="HN532" t="e">
        <f>AND(#REF!,"AAAAADem390=")</f>
        <v>#REF!</v>
      </c>
      <c r="HO532" t="e">
        <f>AND(#REF!,"AAAAADem394=")</f>
        <v>#REF!</v>
      </c>
      <c r="HP532" t="e">
        <f>AND(#REF!,"AAAAADem398=")</f>
        <v>#REF!</v>
      </c>
      <c r="HQ532" t="e">
        <f>IF(#REF!,"AAAAADem3+A=",0)</f>
        <v>#REF!</v>
      </c>
      <c r="HR532" t="e">
        <f>AND(#REF!,"AAAAADem3+E=")</f>
        <v>#REF!</v>
      </c>
      <c r="HS532" t="e">
        <f>AND(#REF!,"AAAAADem3+I=")</f>
        <v>#REF!</v>
      </c>
      <c r="HT532" t="e">
        <f>AND(#REF!,"AAAAADem3+M=")</f>
        <v>#REF!</v>
      </c>
      <c r="HU532" t="e">
        <f>AND(#REF!,"AAAAADem3+Q=")</f>
        <v>#REF!</v>
      </c>
      <c r="HV532" t="e">
        <f>AND(#REF!,"AAAAADem3+U=")</f>
        <v>#REF!</v>
      </c>
      <c r="HW532" t="e">
        <f>AND(#REF!,"AAAAADem3+Y=")</f>
        <v>#REF!</v>
      </c>
      <c r="HX532" t="e">
        <f>AND(#REF!,"AAAAADem3+c=")</f>
        <v>#REF!</v>
      </c>
      <c r="HY532" t="e">
        <f>AND(#REF!,"AAAAADem3+g=")</f>
        <v>#REF!</v>
      </c>
      <c r="HZ532" t="e">
        <f>AND(#REF!,"AAAAADem3+k=")</f>
        <v>#REF!</v>
      </c>
      <c r="IA532" t="e">
        <f>AND(#REF!,"AAAAADem3+o=")</f>
        <v>#REF!</v>
      </c>
      <c r="IB532" t="e">
        <f>AND(#REF!,"AAAAADem3+s=")</f>
        <v>#REF!</v>
      </c>
      <c r="IC532" t="e">
        <f>AND(#REF!,"AAAAADem3+w=")</f>
        <v>#REF!</v>
      </c>
      <c r="ID532" t="e">
        <f>AND(#REF!,"AAAAADem3+0=")</f>
        <v>#REF!</v>
      </c>
      <c r="IE532" t="e">
        <f>AND(#REF!,"AAAAADem3+4=")</f>
        <v>#REF!</v>
      </c>
      <c r="IF532" t="e">
        <f>AND(#REF!,"AAAAADem3+8=")</f>
        <v>#REF!</v>
      </c>
      <c r="IG532" t="e">
        <f>AND(#REF!,"AAAAADem3/A=")</f>
        <v>#REF!</v>
      </c>
      <c r="IH532" t="e">
        <f>AND(#REF!,"AAAAADem3/E=")</f>
        <v>#REF!</v>
      </c>
      <c r="II532" t="e">
        <f>AND(#REF!,"AAAAADem3/I=")</f>
        <v>#REF!</v>
      </c>
      <c r="IJ532" t="e">
        <f>AND(#REF!,"AAAAADem3/M=")</f>
        <v>#REF!</v>
      </c>
      <c r="IK532" t="e">
        <f>AND(#REF!,"AAAAADem3/Q=")</f>
        <v>#REF!</v>
      </c>
      <c r="IL532" t="e">
        <f>AND(#REF!,"AAAAADem3/U=")</f>
        <v>#REF!</v>
      </c>
      <c r="IM532" t="e">
        <f>AND(#REF!,"AAAAADem3/Y=")</f>
        <v>#REF!</v>
      </c>
      <c r="IN532" t="e">
        <f>AND(#REF!,"AAAAADem3/c=")</f>
        <v>#REF!</v>
      </c>
      <c r="IO532" t="e">
        <f>AND(#REF!,"AAAAADem3/g=")</f>
        <v>#REF!</v>
      </c>
      <c r="IP532" t="e">
        <f>IF(#REF!,"AAAAADem3/k=",0)</f>
        <v>#REF!</v>
      </c>
      <c r="IQ532" t="e">
        <f>AND(#REF!,"AAAAADem3/o=")</f>
        <v>#REF!</v>
      </c>
      <c r="IR532" t="e">
        <f>AND(#REF!,"AAAAADem3/s=")</f>
        <v>#REF!</v>
      </c>
      <c r="IS532" t="e">
        <f>AND(#REF!,"AAAAADem3/w=")</f>
        <v>#REF!</v>
      </c>
      <c r="IT532" t="e">
        <f>AND(#REF!,"AAAAADem3/0=")</f>
        <v>#REF!</v>
      </c>
      <c r="IU532" t="e">
        <f>AND(#REF!,"AAAAADem3/4=")</f>
        <v>#REF!</v>
      </c>
      <c r="IV532" t="e">
        <f>AND(#REF!,"AAAAADem3/8=")</f>
        <v>#REF!</v>
      </c>
    </row>
    <row r="533" spans="1:256">
      <c r="A533" t="e">
        <f>AND(#REF!,"AAAAAH7+7gA=")</f>
        <v>#REF!</v>
      </c>
      <c r="B533" t="e">
        <f>AND(#REF!,"AAAAAH7+7gE=")</f>
        <v>#REF!</v>
      </c>
      <c r="C533" t="e">
        <f>AND(#REF!,"AAAAAH7+7gI=")</f>
        <v>#REF!</v>
      </c>
      <c r="D533" t="e">
        <f>AND(#REF!,"AAAAAH7+7gM=")</f>
        <v>#REF!</v>
      </c>
      <c r="E533" t="e">
        <f>AND(#REF!,"AAAAAH7+7gQ=")</f>
        <v>#REF!</v>
      </c>
      <c r="F533" t="e">
        <f>AND(#REF!,"AAAAAH7+7gU=")</f>
        <v>#REF!</v>
      </c>
      <c r="G533" t="e">
        <f>AND(#REF!,"AAAAAH7+7gY=")</f>
        <v>#REF!</v>
      </c>
      <c r="H533" t="e">
        <f>AND(#REF!,"AAAAAH7+7gc=")</f>
        <v>#REF!</v>
      </c>
      <c r="I533" t="e">
        <f>AND(#REF!,"AAAAAH7+7gg=")</f>
        <v>#REF!</v>
      </c>
      <c r="J533" t="e">
        <f>AND(#REF!,"AAAAAH7+7gk=")</f>
        <v>#REF!</v>
      </c>
      <c r="K533" t="e">
        <f>AND(#REF!,"AAAAAH7+7go=")</f>
        <v>#REF!</v>
      </c>
      <c r="L533" t="e">
        <f>AND(#REF!,"AAAAAH7+7gs=")</f>
        <v>#REF!</v>
      </c>
      <c r="M533" t="e">
        <f>AND(#REF!,"AAAAAH7+7gw=")</f>
        <v>#REF!</v>
      </c>
      <c r="N533" t="e">
        <f>AND(#REF!,"AAAAAH7+7g0=")</f>
        <v>#REF!</v>
      </c>
      <c r="O533" t="e">
        <f>AND(#REF!,"AAAAAH7+7g4=")</f>
        <v>#REF!</v>
      </c>
      <c r="P533" t="e">
        <f>AND(#REF!,"AAAAAH7+7g8=")</f>
        <v>#REF!</v>
      </c>
      <c r="Q533" t="e">
        <f>AND(#REF!,"AAAAAH7+7hA=")</f>
        <v>#REF!</v>
      </c>
      <c r="R533" t="e">
        <f>AND(#REF!,"AAAAAH7+7hE=")</f>
        <v>#REF!</v>
      </c>
      <c r="S533" t="e">
        <f>IF(#REF!,"AAAAAH7+7hI=",0)</f>
        <v>#REF!</v>
      </c>
      <c r="T533" t="e">
        <f>AND(#REF!,"AAAAAH7+7hM=")</f>
        <v>#REF!</v>
      </c>
      <c r="U533" t="e">
        <f>AND(#REF!,"AAAAAH7+7hQ=")</f>
        <v>#REF!</v>
      </c>
      <c r="V533" t="e">
        <f>AND(#REF!,"AAAAAH7+7hU=")</f>
        <v>#REF!</v>
      </c>
      <c r="W533" t="e">
        <f>AND(#REF!,"AAAAAH7+7hY=")</f>
        <v>#REF!</v>
      </c>
      <c r="X533" t="e">
        <f>AND(#REF!,"AAAAAH7+7hc=")</f>
        <v>#REF!</v>
      </c>
      <c r="Y533" t="e">
        <f>AND(#REF!,"AAAAAH7+7hg=")</f>
        <v>#REF!</v>
      </c>
      <c r="Z533" t="e">
        <f>AND(#REF!,"AAAAAH7+7hk=")</f>
        <v>#REF!</v>
      </c>
      <c r="AA533" t="e">
        <f>AND(#REF!,"AAAAAH7+7ho=")</f>
        <v>#REF!</v>
      </c>
      <c r="AB533" t="e">
        <f>AND(#REF!,"AAAAAH7+7hs=")</f>
        <v>#REF!</v>
      </c>
      <c r="AC533" t="e">
        <f>AND(#REF!,"AAAAAH7+7hw=")</f>
        <v>#REF!</v>
      </c>
      <c r="AD533" t="e">
        <f>AND(#REF!,"AAAAAH7+7h0=")</f>
        <v>#REF!</v>
      </c>
      <c r="AE533" t="e">
        <f>AND(#REF!,"AAAAAH7+7h4=")</f>
        <v>#REF!</v>
      </c>
      <c r="AF533" t="e">
        <f>AND(#REF!,"AAAAAH7+7h8=")</f>
        <v>#REF!</v>
      </c>
      <c r="AG533" t="e">
        <f>AND(#REF!,"AAAAAH7+7iA=")</f>
        <v>#REF!</v>
      </c>
      <c r="AH533" t="e">
        <f>AND(#REF!,"AAAAAH7+7iE=")</f>
        <v>#REF!</v>
      </c>
      <c r="AI533" t="e">
        <f>AND(#REF!,"AAAAAH7+7iI=")</f>
        <v>#REF!</v>
      </c>
      <c r="AJ533" t="e">
        <f>AND(#REF!,"AAAAAH7+7iM=")</f>
        <v>#REF!</v>
      </c>
      <c r="AK533" t="e">
        <f>AND(#REF!,"AAAAAH7+7iQ=")</f>
        <v>#REF!</v>
      </c>
      <c r="AL533" t="e">
        <f>AND(#REF!,"AAAAAH7+7iU=")</f>
        <v>#REF!</v>
      </c>
      <c r="AM533" t="e">
        <f>AND(#REF!,"AAAAAH7+7iY=")</f>
        <v>#REF!</v>
      </c>
      <c r="AN533" t="e">
        <f>AND(#REF!,"AAAAAH7+7ic=")</f>
        <v>#REF!</v>
      </c>
      <c r="AO533" t="e">
        <f>AND(#REF!,"AAAAAH7+7ig=")</f>
        <v>#REF!</v>
      </c>
      <c r="AP533" t="e">
        <f>AND(#REF!,"AAAAAH7+7ik=")</f>
        <v>#REF!</v>
      </c>
      <c r="AQ533" t="e">
        <f>AND(#REF!,"AAAAAH7+7io=")</f>
        <v>#REF!</v>
      </c>
      <c r="AR533" t="e">
        <f>IF(#REF!,"AAAAAH7+7is=",0)</f>
        <v>#REF!</v>
      </c>
      <c r="AS533" t="e">
        <f>AND(#REF!,"AAAAAH7+7iw=")</f>
        <v>#REF!</v>
      </c>
      <c r="AT533" t="e">
        <f>AND(#REF!,"AAAAAH7+7i0=")</f>
        <v>#REF!</v>
      </c>
      <c r="AU533" t="e">
        <f>AND(#REF!,"AAAAAH7+7i4=")</f>
        <v>#REF!</v>
      </c>
      <c r="AV533" t="e">
        <f>AND(#REF!,"AAAAAH7+7i8=")</f>
        <v>#REF!</v>
      </c>
      <c r="AW533" t="e">
        <f>AND(#REF!,"AAAAAH7+7jA=")</f>
        <v>#REF!</v>
      </c>
      <c r="AX533" t="e">
        <f>AND(#REF!,"AAAAAH7+7jE=")</f>
        <v>#REF!</v>
      </c>
      <c r="AY533" t="e">
        <f>AND(#REF!,"AAAAAH7+7jI=")</f>
        <v>#REF!</v>
      </c>
      <c r="AZ533" t="e">
        <f>AND(#REF!,"AAAAAH7+7jM=")</f>
        <v>#REF!</v>
      </c>
      <c r="BA533" t="e">
        <f>AND(#REF!,"AAAAAH7+7jQ=")</f>
        <v>#REF!</v>
      </c>
      <c r="BB533" t="e">
        <f>AND(#REF!,"AAAAAH7+7jU=")</f>
        <v>#REF!</v>
      </c>
      <c r="BC533" t="e">
        <f>AND(#REF!,"AAAAAH7+7jY=")</f>
        <v>#REF!</v>
      </c>
      <c r="BD533" t="e">
        <f>AND(#REF!,"AAAAAH7+7jc=")</f>
        <v>#REF!</v>
      </c>
      <c r="BE533" t="e">
        <f>AND(#REF!,"AAAAAH7+7jg=")</f>
        <v>#REF!</v>
      </c>
      <c r="BF533" t="e">
        <f>AND(#REF!,"AAAAAH7+7jk=")</f>
        <v>#REF!</v>
      </c>
      <c r="BG533" t="e">
        <f>AND(#REF!,"AAAAAH7+7jo=")</f>
        <v>#REF!</v>
      </c>
      <c r="BH533" t="e">
        <f>AND(#REF!,"AAAAAH7+7js=")</f>
        <v>#REF!</v>
      </c>
      <c r="BI533" t="e">
        <f>AND(#REF!,"AAAAAH7+7jw=")</f>
        <v>#REF!</v>
      </c>
      <c r="BJ533" t="e">
        <f>AND(#REF!,"AAAAAH7+7j0=")</f>
        <v>#REF!</v>
      </c>
      <c r="BK533" t="e">
        <f>AND(#REF!,"AAAAAH7+7j4=")</f>
        <v>#REF!</v>
      </c>
      <c r="BL533" t="e">
        <f>AND(#REF!,"AAAAAH7+7j8=")</f>
        <v>#REF!</v>
      </c>
      <c r="BM533" t="e">
        <f>AND(#REF!,"AAAAAH7+7kA=")</f>
        <v>#REF!</v>
      </c>
      <c r="BN533" t="e">
        <f>AND(#REF!,"AAAAAH7+7kE=")</f>
        <v>#REF!</v>
      </c>
      <c r="BO533" t="e">
        <f>AND(#REF!,"AAAAAH7+7kI=")</f>
        <v>#REF!</v>
      </c>
      <c r="BP533" t="e">
        <f>AND(#REF!,"AAAAAH7+7kM=")</f>
        <v>#REF!</v>
      </c>
      <c r="BQ533" t="e">
        <f>IF(#REF!,"AAAAAH7+7kQ=",0)</f>
        <v>#REF!</v>
      </c>
      <c r="BR533" t="e">
        <f>AND(#REF!,"AAAAAH7+7kU=")</f>
        <v>#REF!</v>
      </c>
      <c r="BS533" t="e">
        <f>AND(#REF!,"AAAAAH7+7kY=")</f>
        <v>#REF!</v>
      </c>
      <c r="BT533" t="e">
        <f>AND(#REF!,"AAAAAH7+7kc=")</f>
        <v>#REF!</v>
      </c>
      <c r="BU533" t="e">
        <f>AND(#REF!,"AAAAAH7+7kg=")</f>
        <v>#REF!</v>
      </c>
      <c r="BV533" t="e">
        <f>AND(#REF!,"AAAAAH7+7kk=")</f>
        <v>#REF!</v>
      </c>
      <c r="BW533" t="e">
        <f>AND(#REF!,"AAAAAH7+7ko=")</f>
        <v>#REF!</v>
      </c>
      <c r="BX533" t="e">
        <f>AND(#REF!,"AAAAAH7+7ks=")</f>
        <v>#REF!</v>
      </c>
      <c r="BY533" t="e">
        <f>AND(#REF!,"AAAAAH7+7kw=")</f>
        <v>#REF!</v>
      </c>
      <c r="BZ533" t="e">
        <f>AND(#REF!,"AAAAAH7+7k0=")</f>
        <v>#REF!</v>
      </c>
      <c r="CA533" t="e">
        <f>AND(#REF!,"AAAAAH7+7k4=")</f>
        <v>#REF!</v>
      </c>
      <c r="CB533" t="e">
        <f>AND(#REF!,"AAAAAH7+7k8=")</f>
        <v>#REF!</v>
      </c>
      <c r="CC533" t="e">
        <f>AND(#REF!,"AAAAAH7+7lA=")</f>
        <v>#REF!</v>
      </c>
      <c r="CD533" t="e">
        <f>AND(#REF!,"AAAAAH7+7lE=")</f>
        <v>#REF!</v>
      </c>
      <c r="CE533" t="e">
        <f>AND(#REF!,"AAAAAH7+7lI=")</f>
        <v>#REF!</v>
      </c>
      <c r="CF533" t="e">
        <f>AND(#REF!,"AAAAAH7+7lM=")</f>
        <v>#REF!</v>
      </c>
      <c r="CG533" t="e">
        <f>AND(#REF!,"AAAAAH7+7lQ=")</f>
        <v>#REF!</v>
      </c>
      <c r="CH533" t="e">
        <f>AND(#REF!,"AAAAAH7+7lU=")</f>
        <v>#REF!</v>
      </c>
      <c r="CI533" t="e">
        <f>AND(#REF!,"AAAAAH7+7lY=")</f>
        <v>#REF!</v>
      </c>
      <c r="CJ533" t="e">
        <f>AND(#REF!,"AAAAAH7+7lc=")</f>
        <v>#REF!</v>
      </c>
      <c r="CK533" t="e">
        <f>AND(#REF!,"AAAAAH7+7lg=")</f>
        <v>#REF!</v>
      </c>
      <c r="CL533" t="e">
        <f>AND(#REF!,"AAAAAH7+7lk=")</f>
        <v>#REF!</v>
      </c>
      <c r="CM533" t="e">
        <f>AND(#REF!,"AAAAAH7+7lo=")</f>
        <v>#REF!</v>
      </c>
      <c r="CN533" t="e">
        <f>AND(#REF!,"AAAAAH7+7ls=")</f>
        <v>#REF!</v>
      </c>
      <c r="CO533" t="e">
        <f>AND(#REF!,"AAAAAH7+7lw=")</f>
        <v>#REF!</v>
      </c>
      <c r="CP533" t="e">
        <f>IF(#REF!,"AAAAAH7+7l0=",0)</f>
        <v>#REF!</v>
      </c>
      <c r="CQ533" t="e">
        <f>AND(#REF!,"AAAAAH7+7l4=")</f>
        <v>#REF!</v>
      </c>
      <c r="CR533" t="e">
        <f>AND(#REF!,"AAAAAH7+7l8=")</f>
        <v>#REF!</v>
      </c>
      <c r="CS533" t="e">
        <f>AND(#REF!,"AAAAAH7+7mA=")</f>
        <v>#REF!</v>
      </c>
      <c r="CT533" t="e">
        <f>AND(#REF!,"AAAAAH7+7mE=")</f>
        <v>#REF!</v>
      </c>
      <c r="CU533" t="e">
        <f>AND(#REF!,"AAAAAH7+7mI=")</f>
        <v>#REF!</v>
      </c>
      <c r="CV533" t="e">
        <f>AND(#REF!,"AAAAAH7+7mM=")</f>
        <v>#REF!</v>
      </c>
      <c r="CW533" t="e">
        <f>AND(#REF!,"AAAAAH7+7mQ=")</f>
        <v>#REF!</v>
      </c>
      <c r="CX533" t="e">
        <f>AND(#REF!,"AAAAAH7+7mU=")</f>
        <v>#REF!</v>
      </c>
      <c r="CY533" t="e">
        <f>AND(#REF!,"AAAAAH7+7mY=")</f>
        <v>#REF!</v>
      </c>
      <c r="CZ533" t="e">
        <f>AND(#REF!,"AAAAAH7+7mc=")</f>
        <v>#REF!</v>
      </c>
      <c r="DA533" t="e">
        <f>AND(#REF!,"AAAAAH7+7mg=")</f>
        <v>#REF!</v>
      </c>
      <c r="DB533" t="e">
        <f>AND(#REF!,"AAAAAH7+7mk=")</f>
        <v>#REF!</v>
      </c>
      <c r="DC533" t="e">
        <f>AND(#REF!,"AAAAAH7+7mo=")</f>
        <v>#REF!</v>
      </c>
      <c r="DD533" t="e">
        <f>AND(#REF!,"AAAAAH7+7ms=")</f>
        <v>#REF!</v>
      </c>
      <c r="DE533" t="e">
        <f>AND(#REF!,"AAAAAH7+7mw=")</f>
        <v>#REF!</v>
      </c>
      <c r="DF533" t="e">
        <f>AND(#REF!,"AAAAAH7+7m0=")</f>
        <v>#REF!</v>
      </c>
      <c r="DG533" t="e">
        <f>AND(#REF!,"AAAAAH7+7m4=")</f>
        <v>#REF!</v>
      </c>
      <c r="DH533" t="e">
        <f>AND(#REF!,"AAAAAH7+7m8=")</f>
        <v>#REF!</v>
      </c>
      <c r="DI533" t="e">
        <f>AND(#REF!,"AAAAAH7+7nA=")</f>
        <v>#REF!</v>
      </c>
      <c r="DJ533" t="e">
        <f>AND(#REF!,"AAAAAH7+7nE=")</f>
        <v>#REF!</v>
      </c>
      <c r="DK533" t="e">
        <f>AND(#REF!,"AAAAAH7+7nI=")</f>
        <v>#REF!</v>
      </c>
      <c r="DL533" t="e">
        <f>AND(#REF!,"AAAAAH7+7nM=")</f>
        <v>#REF!</v>
      </c>
      <c r="DM533" t="e">
        <f>AND(#REF!,"AAAAAH7+7nQ=")</f>
        <v>#REF!</v>
      </c>
      <c r="DN533" t="e">
        <f>AND(#REF!,"AAAAAH7+7nU=")</f>
        <v>#REF!</v>
      </c>
      <c r="DO533" t="e">
        <f>IF(#REF!,"AAAAAH7+7nY=",0)</f>
        <v>#REF!</v>
      </c>
      <c r="DP533" t="e">
        <f>AND(#REF!,"AAAAAH7+7nc=")</f>
        <v>#REF!</v>
      </c>
      <c r="DQ533" t="e">
        <f>AND(#REF!,"AAAAAH7+7ng=")</f>
        <v>#REF!</v>
      </c>
      <c r="DR533" t="e">
        <f>AND(#REF!,"AAAAAH7+7nk=")</f>
        <v>#REF!</v>
      </c>
      <c r="DS533" t="e">
        <f>AND(#REF!,"AAAAAH7+7no=")</f>
        <v>#REF!</v>
      </c>
      <c r="DT533" t="e">
        <f>AND(#REF!,"AAAAAH7+7ns=")</f>
        <v>#REF!</v>
      </c>
      <c r="DU533" t="e">
        <f>AND(#REF!,"AAAAAH7+7nw=")</f>
        <v>#REF!</v>
      </c>
      <c r="DV533" t="e">
        <f>AND(#REF!,"AAAAAH7+7n0=")</f>
        <v>#REF!</v>
      </c>
      <c r="DW533" t="e">
        <f>AND(#REF!,"AAAAAH7+7n4=")</f>
        <v>#REF!</v>
      </c>
      <c r="DX533" t="e">
        <f>AND(#REF!,"AAAAAH7+7n8=")</f>
        <v>#REF!</v>
      </c>
      <c r="DY533" t="e">
        <f>AND(#REF!,"AAAAAH7+7oA=")</f>
        <v>#REF!</v>
      </c>
      <c r="DZ533" t="e">
        <f>AND(#REF!,"AAAAAH7+7oE=")</f>
        <v>#REF!</v>
      </c>
      <c r="EA533" t="e">
        <f>AND(#REF!,"AAAAAH7+7oI=")</f>
        <v>#REF!</v>
      </c>
      <c r="EB533" t="e">
        <f>AND(#REF!,"AAAAAH7+7oM=")</f>
        <v>#REF!</v>
      </c>
      <c r="EC533" t="e">
        <f>AND(#REF!,"AAAAAH7+7oQ=")</f>
        <v>#REF!</v>
      </c>
      <c r="ED533" t="e">
        <f>AND(#REF!,"AAAAAH7+7oU=")</f>
        <v>#REF!</v>
      </c>
      <c r="EE533" t="e">
        <f>AND(#REF!,"AAAAAH7+7oY=")</f>
        <v>#REF!</v>
      </c>
      <c r="EF533" t="e">
        <f>AND(#REF!,"AAAAAH7+7oc=")</f>
        <v>#REF!</v>
      </c>
      <c r="EG533" t="e">
        <f>AND(#REF!,"AAAAAH7+7og=")</f>
        <v>#REF!</v>
      </c>
      <c r="EH533" t="e">
        <f>AND(#REF!,"AAAAAH7+7ok=")</f>
        <v>#REF!</v>
      </c>
      <c r="EI533" t="e">
        <f>AND(#REF!,"AAAAAH7+7oo=")</f>
        <v>#REF!</v>
      </c>
      <c r="EJ533" t="e">
        <f>AND(#REF!,"AAAAAH7+7os=")</f>
        <v>#REF!</v>
      </c>
      <c r="EK533" t="e">
        <f>AND(#REF!,"AAAAAH7+7ow=")</f>
        <v>#REF!</v>
      </c>
      <c r="EL533" t="e">
        <f>AND(#REF!,"AAAAAH7+7o0=")</f>
        <v>#REF!</v>
      </c>
      <c r="EM533" t="e">
        <f>AND(#REF!,"AAAAAH7+7o4=")</f>
        <v>#REF!</v>
      </c>
      <c r="EN533" t="e">
        <f>IF(#REF!,"AAAAAH7+7o8=",0)</f>
        <v>#REF!</v>
      </c>
      <c r="EO533" t="e">
        <f>AND(#REF!,"AAAAAH7+7pA=")</f>
        <v>#REF!</v>
      </c>
      <c r="EP533" t="e">
        <f>AND(#REF!,"AAAAAH7+7pE=")</f>
        <v>#REF!</v>
      </c>
      <c r="EQ533" t="e">
        <f>AND(#REF!,"AAAAAH7+7pI=")</f>
        <v>#REF!</v>
      </c>
      <c r="ER533" t="e">
        <f>AND(#REF!,"AAAAAH7+7pM=")</f>
        <v>#REF!</v>
      </c>
      <c r="ES533" t="e">
        <f>AND(#REF!,"AAAAAH7+7pQ=")</f>
        <v>#REF!</v>
      </c>
      <c r="ET533" t="e">
        <f>AND(#REF!,"AAAAAH7+7pU=")</f>
        <v>#REF!</v>
      </c>
      <c r="EU533" t="e">
        <f>AND(#REF!,"AAAAAH7+7pY=")</f>
        <v>#REF!</v>
      </c>
      <c r="EV533" t="e">
        <f>AND(#REF!,"AAAAAH7+7pc=")</f>
        <v>#REF!</v>
      </c>
      <c r="EW533" t="e">
        <f>AND(#REF!,"AAAAAH7+7pg=")</f>
        <v>#REF!</v>
      </c>
      <c r="EX533" t="e">
        <f>AND(#REF!,"AAAAAH7+7pk=")</f>
        <v>#REF!</v>
      </c>
      <c r="EY533" t="e">
        <f>AND(#REF!,"AAAAAH7+7po=")</f>
        <v>#REF!</v>
      </c>
      <c r="EZ533" t="e">
        <f>AND(#REF!,"AAAAAH7+7ps=")</f>
        <v>#REF!</v>
      </c>
      <c r="FA533" t="e">
        <f>AND(#REF!,"AAAAAH7+7pw=")</f>
        <v>#REF!</v>
      </c>
      <c r="FB533" t="e">
        <f>AND(#REF!,"AAAAAH7+7p0=")</f>
        <v>#REF!</v>
      </c>
      <c r="FC533" t="e">
        <f>AND(#REF!,"AAAAAH7+7p4=")</f>
        <v>#REF!</v>
      </c>
      <c r="FD533" t="e">
        <f>AND(#REF!,"AAAAAH7+7p8=")</f>
        <v>#REF!</v>
      </c>
      <c r="FE533" t="e">
        <f>AND(#REF!,"AAAAAH7+7qA=")</f>
        <v>#REF!</v>
      </c>
      <c r="FF533" t="e">
        <f>AND(#REF!,"AAAAAH7+7qE=")</f>
        <v>#REF!</v>
      </c>
      <c r="FG533" t="e">
        <f>AND(#REF!,"AAAAAH7+7qI=")</f>
        <v>#REF!</v>
      </c>
      <c r="FH533" t="e">
        <f>AND(#REF!,"AAAAAH7+7qM=")</f>
        <v>#REF!</v>
      </c>
      <c r="FI533" t="e">
        <f>AND(#REF!,"AAAAAH7+7qQ=")</f>
        <v>#REF!</v>
      </c>
      <c r="FJ533" t="e">
        <f>AND(#REF!,"AAAAAH7+7qU=")</f>
        <v>#REF!</v>
      </c>
      <c r="FK533" t="e">
        <f>AND(#REF!,"AAAAAH7+7qY=")</f>
        <v>#REF!</v>
      </c>
      <c r="FL533" t="e">
        <f>AND(#REF!,"AAAAAH7+7qc=")</f>
        <v>#REF!</v>
      </c>
      <c r="FM533" t="e">
        <f>IF(#REF!,"AAAAAH7+7qg=",0)</f>
        <v>#REF!</v>
      </c>
      <c r="FN533" t="e">
        <f>AND(#REF!,"AAAAAH7+7qk=")</f>
        <v>#REF!</v>
      </c>
      <c r="FO533" t="e">
        <f>AND(#REF!,"AAAAAH7+7qo=")</f>
        <v>#REF!</v>
      </c>
      <c r="FP533" t="e">
        <f>AND(#REF!,"AAAAAH7+7qs=")</f>
        <v>#REF!</v>
      </c>
      <c r="FQ533" t="e">
        <f>AND(#REF!,"AAAAAH7+7qw=")</f>
        <v>#REF!</v>
      </c>
      <c r="FR533" t="e">
        <f>AND(#REF!,"AAAAAH7+7q0=")</f>
        <v>#REF!</v>
      </c>
      <c r="FS533" t="e">
        <f>AND(#REF!,"AAAAAH7+7q4=")</f>
        <v>#REF!</v>
      </c>
      <c r="FT533" t="e">
        <f>AND(#REF!,"AAAAAH7+7q8=")</f>
        <v>#REF!</v>
      </c>
      <c r="FU533" t="e">
        <f>AND(#REF!,"AAAAAH7+7rA=")</f>
        <v>#REF!</v>
      </c>
      <c r="FV533" t="e">
        <f>AND(#REF!,"AAAAAH7+7rE=")</f>
        <v>#REF!</v>
      </c>
      <c r="FW533" t="e">
        <f>AND(#REF!,"AAAAAH7+7rI=")</f>
        <v>#REF!</v>
      </c>
      <c r="FX533" t="e">
        <f>AND(#REF!,"AAAAAH7+7rM=")</f>
        <v>#REF!</v>
      </c>
      <c r="FY533" t="e">
        <f>AND(#REF!,"AAAAAH7+7rQ=")</f>
        <v>#REF!</v>
      </c>
      <c r="FZ533" t="e">
        <f>AND(#REF!,"AAAAAH7+7rU=")</f>
        <v>#REF!</v>
      </c>
      <c r="GA533" t="e">
        <f>AND(#REF!,"AAAAAH7+7rY=")</f>
        <v>#REF!</v>
      </c>
      <c r="GB533" t="e">
        <f>AND(#REF!,"AAAAAH7+7rc=")</f>
        <v>#REF!</v>
      </c>
      <c r="GC533" t="e">
        <f>AND(#REF!,"AAAAAH7+7rg=")</f>
        <v>#REF!</v>
      </c>
      <c r="GD533" t="e">
        <f>AND(#REF!,"AAAAAH7+7rk=")</f>
        <v>#REF!</v>
      </c>
      <c r="GE533" t="e">
        <f>AND(#REF!,"AAAAAH7+7ro=")</f>
        <v>#REF!</v>
      </c>
      <c r="GF533" t="e">
        <f>AND(#REF!,"AAAAAH7+7rs=")</f>
        <v>#REF!</v>
      </c>
      <c r="GG533" t="e">
        <f>AND(#REF!,"AAAAAH7+7rw=")</f>
        <v>#REF!</v>
      </c>
      <c r="GH533" t="e">
        <f>AND(#REF!,"AAAAAH7+7r0=")</f>
        <v>#REF!</v>
      </c>
      <c r="GI533" t="e">
        <f>AND(#REF!,"AAAAAH7+7r4=")</f>
        <v>#REF!</v>
      </c>
      <c r="GJ533" t="e">
        <f>AND(#REF!,"AAAAAH7+7r8=")</f>
        <v>#REF!</v>
      </c>
      <c r="GK533" t="e">
        <f>AND(#REF!,"AAAAAH7+7sA=")</f>
        <v>#REF!</v>
      </c>
      <c r="GL533" t="e">
        <f>IF(#REF!,"AAAAAH7+7sE=",0)</f>
        <v>#REF!</v>
      </c>
      <c r="GM533" t="e">
        <f>AND(#REF!,"AAAAAH7+7sI=")</f>
        <v>#REF!</v>
      </c>
      <c r="GN533" t="e">
        <f>AND(#REF!,"AAAAAH7+7sM=")</f>
        <v>#REF!</v>
      </c>
      <c r="GO533" t="e">
        <f>AND(#REF!,"AAAAAH7+7sQ=")</f>
        <v>#REF!</v>
      </c>
      <c r="GP533" t="e">
        <f>AND(#REF!,"AAAAAH7+7sU=")</f>
        <v>#REF!</v>
      </c>
      <c r="GQ533" t="e">
        <f>AND(#REF!,"AAAAAH7+7sY=")</f>
        <v>#REF!</v>
      </c>
      <c r="GR533" t="e">
        <f>AND(#REF!,"AAAAAH7+7sc=")</f>
        <v>#REF!</v>
      </c>
      <c r="GS533" t="e">
        <f>AND(#REF!,"AAAAAH7+7sg=")</f>
        <v>#REF!</v>
      </c>
      <c r="GT533" t="e">
        <f>AND(#REF!,"AAAAAH7+7sk=")</f>
        <v>#REF!</v>
      </c>
      <c r="GU533" t="e">
        <f>AND(#REF!,"AAAAAH7+7so=")</f>
        <v>#REF!</v>
      </c>
      <c r="GV533" t="e">
        <f>AND(#REF!,"AAAAAH7+7ss=")</f>
        <v>#REF!</v>
      </c>
      <c r="GW533" t="e">
        <f>AND(#REF!,"AAAAAH7+7sw=")</f>
        <v>#REF!</v>
      </c>
      <c r="GX533" t="e">
        <f>AND(#REF!,"AAAAAH7+7s0=")</f>
        <v>#REF!</v>
      </c>
      <c r="GY533" t="e">
        <f>AND(#REF!,"AAAAAH7+7s4=")</f>
        <v>#REF!</v>
      </c>
      <c r="GZ533" t="e">
        <f>AND(#REF!,"AAAAAH7+7s8=")</f>
        <v>#REF!</v>
      </c>
      <c r="HA533" t="e">
        <f>AND(#REF!,"AAAAAH7+7tA=")</f>
        <v>#REF!</v>
      </c>
      <c r="HB533" t="e">
        <f>AND(#REF!,"AAAAAH7+7tE=")</f>
        <v>#REF!</v>
      </c>
      <c r="HC533" t="e">
        <f>AND(#REF!,"AAAAAH7+7tI=")</f>
        <v>#REF!</v>
      </c>
      <c r="HD533" t="e">
        <f>AND(#REF!,"AAAAAH7+7tM=")</f>
        <v>#REF!</v>
      </c>
      <c r="HE533" t="e">
        <f>AND(#REF!,"AAAAAH7+7tQ=")</f>
        <v>#REF!</v>
      </c>
      <c r="HF533" t="e">
        <f>AND(#REF!,"AAAAAH7+7tU=")</f>
        <v>#REF!</v>
      </c>
      <c r="HG533" t="e">
        <f>AND(#REF!,"AAAAAH7+7tY=")</f>
        <v>#REF!</v>
      </c>
      <c r="HH533" t="e">
        <f>AND(#REF!,"AAAAAH7+7tc=")</f>
        <v>#REF!</v>
      </c>
      <c r="HI533" t="e">
        <f>AND(#REF!,"AAAAAH7+7tg=")</f>
        <v>#REF!</v>
      </c>
      <c r="HJ533" t="e">
        <f>AND(#REF!,"AAAAAH7+7tk=")</f>
        <v>#REF!</v>
      </c>
      <c r="HK533" t="e">
        <f>IF(#REF!,"AAAAAH7+7to=",0)</f>
        <v>#REF!</v>
      </c>
      <c r="HL533" t="e">
        <f>AND(#REF!,"AAAAAH7+7ts=")</f>
        <v>#REF!</v>
      </c>
      <c r="HM533" t="e">
        <f>AND(#REF!,"AAAAAH7+7tw=")</f>
        <v>#REF!</v>
      </c>
      <c r="HN533" t="e">
        <f>AND(#REF!,"AAAAAH7+7t0=")</f>
        <v>#REF!</v>
      </c>
      <c r="HO533" t="e">
        <f>AND(#REF!,"AAAAAH7+7t4=")</f>
        <v>#REF!</v>
      </c>
      <c r="HP533" t="e">
        <f>AND(#REF!,"AAAAAH7+7t8=")</f>
        <v>#REF!</v>
      </c>
      <c r="HQ533" t="e">
        <f>AND(#REF!,"AAAAAH7+7uA=")</f>
        <v>#REF!</v>
      </c>
      <c r="HR533" t="e">
        <f>AND(#REF!,"AAAAAH7+7uE=")</f>
        <v>#REF!</v>
      </c>
      <c r="HS533" t="e">
        <f>AND(#REF!,"AAAAAH7+7uI=")</f>
        <v>#REF!</v>
      </c>
      <c r="HT533" t="e">
        <f>AND(#REF!,"AAAAAH7+7uM=")</f>
        <v>#REF!</v>
      </c>
      <c r="HU533" t="e">
        <f>AND(#REF!,"AAAAAH7+7uQ=")</f>
        <v>#REF!</v>
      </c>
      <c r="HV533" t="e">
        <f>AND(#REF!,"AAAAAH7+7uU=")</f>
        <v>#REF!</v>
      </c>
      <c r="HW533" t="e">
        <f>AND(#REF!,"AAAAAH7+7uY=")</f>
        <v>#REF!</v>
      </c>
      <c r="HX533" t="e">
        <f>AND(#REF!,"AAAAAH7+7uc=")</f>
        <v>#REF!</v>
      </c>
      <c r="HY533" t="e">
        <f>AND(#REF!,"AAAAAH7+7ug=")</f>
        <v>#REF!</v>
      </c>
      <c r="HZ533" t="e">
        <f>AND(#REF!,"AAAAAH7+7uk=")</f>
        <v>#REF!</v>
      </c>
      <c r="IA533" t="e">
        <f>AND(#REF!,"AAAAAH7+7uo=")</f>
        <v>#REF!</v>
      </c>
      <c r="IB533" t="e">
        <f>AND(#REF!,"AAAAAH7+7us=")</f>
        <v>#REF!</v>
      </c>
      <c r="IC533" t="e">
        <f>AND(#REF!,"AAAAAH7+7uw=")</f>
        <v>#REF!</v>
      </c>
      <c r="ID533" t="e">
        <f>AND(#REF!,"AAAAAH7+7u0=")</f>
        <v>#REF!</v>
      </c>
      <c r="IE533" t="e">
        <f>AND(#REF!,"AAAAAH7+7u4=")</f>
        <v>#REF!</v>
      </c>
      <c r="IF533" t="e">
        <f>AND(#REF!,"AAAAAH7+7u8=")</f>
        <v>#REF!</v>
      </c>
      <c r="IG533" t="e">
        <f>AND(#REF!,"AAAAAH7+7vA=")</f>
        <v>#REF!</v>
      </c>
      <c r="IH533" t="e">
        <f>AND(#REF!,"AAAAAH7+7vE=")</f>
        <v>#REF!</v>
      </c>
      <c r="II533" t="e">
        <f>AND(#REF!,"AAAAAH7+7vI=")</f>
        <v>#REF!</v>
      </c>
      <c r="IJ533" t="e">
        <f>IF(#REF!,"AAAAAH7+7vM=",0)</f>
        <v>#REF!</v>
      </c>
      <c r="IK533" t="e">
        <f>AND(#REF!,"AAAAAH7+7vQ=")</f>
        <v>#REF!</v>
      </c>
      <c r="IL533" t="e">
        <f>AND(#REF!,"AAAAAH7+7vU=")</f>
        <v>#REF!</v>
      </c>
      <c r="IM533" t="e">
        <f>AND(#REF!,"AAAAAH7+7vY=")</f>
        <v>#REF!</v>
      </c>
      <c r="IN533" t="e">
        <f>AND(#REF!,"AAAAAH7+7vc=")</f>
        <v>#REF!</v>
      </c>
      <c r="IO533" t="e">
        <f>AND(#REF!,"AAAAAH7+7vg=")</f>
        <v>#REF!</v>
      </c>
      <c r="IP533" t="e">
        <f>AND(#REF!,"AAAAAH7+7vk=")</f>
        <v>#REF!</v>
      </c>
      <c r="IQ533" t="e">
        <f>AND(#REF!,"AAAAAH7+7vo=")</f>
        <v>#REF!</v>
      </c>
      <c r="IR533" t="e">
        <f>AND(#REF!,"AAAAAH7+7vs=")</f>
        <v>#REF!</v>
      </c>
      <c r="IS533" t="e">
        <f>AND(#REF!,"AAAAAH7+7vw=")</f>
        <v>#REF!</v>
      </c>
      <c r="IT533" t="e">
        <f>AND(#REF!,"AAAAAH7+7v0=")</f>
        <v>#REF!</v>
      </c>
      <c r="IU533" t="e">
        <f>AND(#REF!,"AAAAAH7+7v4=")</f>
        <v>#REF!</v>
      </c>
      <c r="IV533" t="e">
        <f>AND(#REF!,"AAAAAH7+7v8=")</f>
        <v>#REF!</v>
      </c>
    </row>
    <row r="534" spans="1:256">
      <c r="A534" t="e">
        <f>AND(#REF!,"AAAAAC6vPwA=")</f>
        <v>#REF!</v>
      </c>
      <c r="B534" t="e">
        <f>AND(#REF!,"AAAAAC6vPwE=")</f>
        <v>#REF!</v>
      </c>
      <c r="C534" t="e">
        <f>AND(#REF!,"AAAAAC6vPwI=")</f>
        <v>#REF!</v>
      </c>
      <c r="D534" t="e">
        <f>AND(#REF!,"AAAAAC6vPwM=")</f>
        <v>#REF!</v>
      </c>
      <c r="E534" t="e">
        <f>AND(#REF!,"AAAAAC6vPwQ=")</f>
        <v>#REF!</v>
      </c>
      <c r="F534" t="e">
        <f>AND(#REF!,"AAAAAC6vPwU=")</f>
        <v>#REF!</v>
      </c>
      <c r="G534" t="e">
        <f>AND(#REF!,"AAAAAC6vPwY=")</f>
        <v>#REF!</v>
      </c>
      <c r="H534" t="e">
        <f>AND(#REF!,"AAAAAC6vPwc=")</f>
        <v>#REF!</v>
      </c>
      <c r="I534" t="e">
        <f>AND(#REF!,"AAAAAC6vPwg=")</f>
        <v>#REF!</v>
      </c>
      <c r="J534" t="e">
        <f>AND(#REF!,"AAAAAC6vPwk=")</f>
        <v>#REF!</v>
      </c>
      <c r="K534" t="e">
        <f>AND(#REF!,"AAAAAC6vPwo=")</f>
        <v>#REF!</v>
      </c>
      <c r="L534" t="e">
        <f>AND(#REF!,"AAAAAC6vPws=")</f>
        <v>#REF!</v>
      </c>
      <c r="M534" t="e">
        <f>IF(#REF!,"AAAAAC6vPww=",0)</f>
        <v>#REF!</v>
      </c>
      <c r="N534" t="e">
        <f>AND(#REF!,"AAAAAC6vPw0=")</f>
        <v>#REF!</v>
      </c>
      <c r="O534" t="e">
        <f>AND(#REF!,"AAAAAC6vPw4=")</f>
        <v>#REF!</v>
      </c>
      <c r="P534" t="e">
        <f>AND(#REF!,"AAAAAC6vPw8=")</f>
        <v>#REF!</v>
      </c>
      <c r="Q534" t="e">
        <f>AND(#REF!,"AAAAAC6vPxA=")</f>
        <v>#REF!</v>
      </c>
      <c r="R534" t="e">
        <f>AND(#REF!,"AAAAAC6vPxE=")</f>
        <v>#REF!</v>
      </c>
      <c r="S534" t="e">
        <f>AND(#REF!,"AAAAAC6vPxI=")</f>
        <v>#REF!</v>
      </c>
      <c r="T534" t="e">
        <f>AND(#REF!,"AAAAAC6vPxM=")</f>
        <v>#REF!</v>
      </c>
      <c r="U534" t="e">
        <f>AND(#REF!,"AAAAAC6vPxQ=")</f>
        <v>#REF!</v>
      </c>
      <c r="V534" t="e">
        <f>AND(#REF!,"AAAAAC6vPxU=")</f>
        <v>#REF!</v>
      </c>
      <c r="W534" t="e">
        <f>AND(#REF!,"AAAAAC6vPxY=")</f>
        <v>#REF!</v>
      </c>
      <c r="X534" t="e">
        <f>AND(#REF!,"AAAAAC6vPxc=")</f>
        <v>#REF!</v>
      </c>
      <c r="Y534" t="e">
        <f>AND(#REF!,"AAAAAC6vPxg=")</f>
        <v>#REF!</v>
      </c>
      <c r="Z534" t="e">
        <f>AND(#REF!,"AAAAAC6vPxk=")</f>
        <v>#REF!</v>
      </c>
      <c r="AA534" t="e">
        <f>AND(#REF!,"AAAAAC6vPxo=")</f>
        <v>#REF!</v>
      </c>
      <c r="AB534" t="e">
        <f>AND(#REF!,"AAAAAC6vPxs=")</f>
        <v>#REF!</v>
      </c>
      <c r="AC534" t="e">
        <f>AND(#REF!,"AAAAAC6vPxw=")</f>
        <v>#REF!</v>
      </c>
      <c r="AD534" t="e">
        <f>AND(#REF!,"AAAAAC6vPx0=")</f>
        <v>#REF!</v>
      </c>
      <c r="AE534" t="e">
        <f>AND(#REF!,"AAAAAC6vPx4=")</f>
        <v>#REF!</v>
      </c>
      <c r="AF534" t="e">
        <f>AND(#REF!,"AAAAAC6vPx8=")</f>
        <v>#REF!</v>
      </c>
      <c r="AG534" t="e">
        <f>AND(#REF!,"AAAAAC6vPyA=")</f>
        <v>#REF!</v>
      </c>
      <c r="AH534" t="e">
        <f>AND(#REF!,"AAAAAC6vPyE=")</f>
        <v>#REF!</v>
      </c>
      <c r="AI534" t="e">
        <f>AND(#REF!,"AAAAAC6vPyI=")</f>
        <v>#REF!</v>
      </c>
      <c r="AJ534" t="e">
        <f>AND(#REF!,"AAAAAC6vPyM=")</f>
        <v>#REF!</v>
      </c>
      <c r="AK534" t="e">
        <f>AND(#REF!,"AAAAAC6vPyQ=")</f>
        <v>#REF!</v>
      </c>
      <c r="AL534" t="e">
        <f>IF(#REF!,"AAAAAC6vPyU=",0)</f>
        <v>#REF!</v>
      </c>
      <c r="AM534" t="e">
        <f>AND(#REF!,"AAAAAC6vPyY=")</f>
        <v>#REF!</v>
      </c>
      <c r="AN534" t="e">
        <f>AND(#REF!,"AAAAAC6vPyc=")</f>
        <v>#REF!</v>
      </c>
      <c r="AO534" t="e">
        <f>AND(#REF!,"AAAAAC6vPyg=")</f>
        <v>#REF!</v>
      </c>
      <c r="AP534" t="e">
        <f>AND(#REF!,"AAAAAC6vPyk=")</f>
        <v>#REF!</v>
      </c>
      <c r="AQ534" t="e">
        <f>AND(#REF!,"AAAAAC6vPyo=")</f>
        <v>#REF!</v>
      </c>
      <c r="AR534" t="e">
        <f>AND(#REF!,"AAAAAC6vPys=")</f>
        <v>#REF!</v>
      </c>
      <c r="AS534" t="e">
        <f>AND(#REF!,"AAAAAC6vPyw=")</f>
        <v>#REF!</v>
      </c>
      <c r="AT534" t="e">
        <f>AND(#REF!,"AAAAAC6vPy0=")</f>
        <v>#REF!</v>
      </c>
      <c r="AU534" t="e">
        <f>AND(#REF!,"AAAAAC6vPy4=")</f>
        <v>#REF!</v>
      </c>
      <c r="AV534" t="e">
        <f>AND(#REF!,"AAAAAC6vPy8=")</f>
        <v>#REF!</v>
      </c>
      <c r="AW534" t="e">
        <f>AND(#REF!,"AAAAAC6vPzA=")</f>
        <v>#REF!</v>
      </c>
      <c r="AX534" t="e">
        <f>AND(#REF!,"AAAAAC6vPzE=")</f>
        <v>#REF!</v>
      </c>
      <c r="AY534" t="e">
        <f>AND(#REF!,"AAAAAC6vPzI=")</f>
        <v>#REF!</v>
      </c>
      <c r="AZ534" t="e">
        <f>AND(#REF!,"AAAAAC6vPzM=")</f>
        <v>#REF!</v>
      </c>
      <c r="BA534" t="e">
        <f>AND(#REF!,"AAAAAC6vPzQ=")</f>
        <v>#REF!</v>
      </c>
      <c r="BB534" t="e">
        <f>AND(#REF!,"AAAAAC6vPzU=")</f>
        <v>#REF!</v>
      </c>
      <c r="BC534" t="e">
        <f>AND(#REF!,"AAAAAC6vPzY=")</f>
        <v>#REF!</v>
      </c>
      <c r="BD534" t="e">
        <f>AND(#REF!,"AAAAAC6vPzc=")</f>
        <v>#REF!</v>
      </c>
      <c r="BE534" t="e">
        <f>AND(#REF!,"AAAAAC6vPzg=")</f>
        <v>#REF!</v>
      </c>
      <c r="BF534" t="e">
        <f>AND(#REF!,"AAAAAC6vPzk=")</f>
        <v>#REF!</v>
      </c>
      <c r="BG534" t="e">
        <f>AND(#REF!,"AAAAAC6vPzo=")</f>
        <v>#REF!</v>
      </c>
      <c r="BH534" t="e">
        <f>AND(#REF!,"AAAAAC6vPzs=")</f>
        <v>#REF!</v>
      </c>
      <c r="BI534" t="e">
        <f>AND(#REF!,"AAAAAC6vPzw=")</f>
        <v>#REF!</v>
      </c>
      <c r="BJ534" t="e">
        <f>AND(#REF!,"AAAAAC6vPz0=")</f>
        <v>#REF!</v>
      </c>
      <c r="BK534" t="e">
        <f>IF(#REF!,"AAAAAC6vPz4=",0)</f>
        <v>#REF!</v>
      </c>
      <c r="BL534" t="e">
        <f>AND(#REF!,"AAAAAC6vPz8=")</f>
        <v>#REF!</v>
      </c>
      <c r="BM534" t="e">
        <f>AND(#REF!,"AAAAAC6vP0A=")</f>
        <v>#REF!</v>
      </c>
      <c r="BN534" t="e">
        <f>AND(#REF!,"AAAAAC6vP0E=")</f>
        <v>#REF!</v>
      </c>
      <c r="BO534" t="e">
        <f>AND(#REF!,"AAAAAC6vP0I=")</f>
        <v>#REF!</v>
      </c>
      <c r="BP534" t="e">
        <f>AND(#REF!,"AAAAAC6vP0M=")</f>
        <v>#REF!</v>
      </c>
      <c r="BQ534" t="e">
        <f>AND(#REF!,"AAAAAC6vP0Q=")</f>
        <v>#REF!</v>
      </c>
      <c r="BR534" t="e">
        <f>AND(#REF!,"AAAAAC6vP0U=")</f>
        <v>#REF!</v>
      </c>
      <c r="BS534" t="e">
        <f>AND(#REF!,"AAAAAC6vP0Y=")</f>
        <v>#REF!</v>
      </c>
      <c r="BT534" t="e">
        <f>AND(#REF!,"AAAAAC6vP0c=")</f>
        <v>#REF!</v>
      </c>
      <c r="BU534" t="e">
        <f>AND(#REF!,"AAAAAC6vP0g=")</f>
        <v>#REF!</v>
      </c>
      <c r="BV534" t="e">
        <f>AND(#REF!,"AAAAAC6vP0k=")</f>
        <v>#REF!</v>
      </c>
      <c r="BW534" t="e">
        <f>AND(#REF!,"AAAAAC6vP0o=")</f>
        <v>#REF!</v>
      </c>
      <c r="BX534" t="e">
        <f>AND(#REF!,"AAAAAC6vP0s=")</f>
        <v>#REF!</v>
      </c>
      <c r="BY534" t="e">
        <f>AND(#REF!,"AAAAAC6vP0w=")</f>
        <v>#REF!</v>
      </c>
      <c r="BZ534" t="e">
        <f>AND(#REF!,"AAAAAC6vP00=")</f>
        <v>#REF!</v>
      </c>
      <c r="CA534" t="e">
        <f>AND(#REF!,"AAAAAC6vP04=")</f>
        <v>#REF!</v>
      </c>
      <c r="CB534" t="e">
        <f>AND(#REF!,"AAAAAC6vP08=")</f>
        <v>#REF!</v>
      </c>
      <c r="CC534" t="e">
        <f>AND(#REF!,"AAAAAC6vP1A=")</f>
        <v>#REF!</v>
      </c>
      <c r="CD534" t="e">
        <f>AND(#REF!,"AAAAAC6vP1E=")</f>
        <v>#REF!</v>
      </c>
      <c r="CE534" t="e">
        <f>AND(#REF!,"AAAAAC6vP1I=")</f>
        <v>#REF!</v>
      </c>
      <c r="CF534" t="e">
        <f>AND(#REF!,"AAAAAC6vP1M=")</f>
        <v>#REF!</v>
      </c>
      <c r="CG534" t="e">
        <f>AND(#REF!,"AAAAAC6vP1Q=")</f>
        <v>#REF!</v>
      </c>
      <c r="CH534" t="e">
        <f>AND(#REF!,"AAAAAC6vP1U=")</f>
        <v>#REF!</v>
      </c>
      <c r="CI534" t="e">
        <f>AND(#REF!,"AAAAAC6vP1Y=")</f>
        <v>#REF!</v>
      </c>
      <c r="CJ534" t="e">
        <f>IF(#REF!,"AAAAAC6vP1c=",0)</f>
        <v>#REF!</v>
      </c>
      <c r="CK534" t="e">
        <f>AND(#REF!,"AAAAAC6vP1g=")</f>
        <v>#REF!</v>
      </c>
      <c r="CL534" t="e">
        <f>AND(#REF!,"AAAAAC6vP1k=")</f>
        <v>#REF!</v>
      </c>
      <c r="CM534" t="e">
        <f>AND(#REF!,"AAAAAC6vP1o=")</f>
        <v>#REF!</v>
      </c>
      <c r="CN534" t="e">
        <f>AND(#REF!,"AAAAAC6vP1s=")</f>
        <v>#REF!</v>
      </c>
      <c r="CO534" t="e">
        <f>AND(#REF!,"AAAAAC6vP1w=")</f>
        <v>#REF!</v>
      </c>
      <c r="CP534" t="e">
        <f>AND(#REF!,"AAAAAC6vP10=")</f>
        <v>#REF!</v>
      </c>
      <c r="CQ534" t="e">
        <f>AND(#REF!,"AAAAAC6vP14=")</f>
        <v>#REF!</v>
      </c>
      <c r="CR534" t="e">
        <f>AND(#REF!,"AAAAAC6vP18=")</f>
        <v>#REF!</v>
      </c>
      <c r="CS534" t="e">
        <f>AND(#REF!,"AAAAAC6vP2A=")</f>
        <v>#REF!</v>
      </c>
      <c r="CT534" t="e">
        <f>AND(#REF!,"AAAAAC6vP2E=")</f>
        <v>#REF!</v>
      </c>
      <c r="CU534" t="e">
        <f>AND(#REF!,"AAAAAC6vP2I=")</f>
        <v>#REF!</v>
      </c>
      <c r="CV534" t="e">
        <f>AND(#REF!,"AAAAAC6vP2M=")</f>
        <v>#REF!</v>
      </c>
      <c r="CW534" t="e">
        <f>AND(#REF!,"AAAAAC6vP2Q=")</f>
        <v>#REF!</v>
      </c>
      <c r="CX534" t="e">
        <f>AND(#REF!,"AAAAAC6vP2U=")</f>
        <v>#REF!</v>
      </c>
      <c r="CY534" t="e">
        <f>AND(#REF!,"AAAAAC6vP2Y=")</f>
        <v>#REF!</v>
      </c>
      <c r="CZ534" t="e">
        <f>AND(#REF!,"AAAAAC6vP2c=")</f>
        <v>#REF!</v>
      </c>
      <c r="DA534" t="e">
        <f>AND(#REF!,"AAAAAC6vP2g=")</f>
        <v>#REF!</v>
      </c>
      <c r="DB534" t="e">
        <f>AND(#REF!,"AAAAAC6vP2k=")</f>
        <v>#REF!</v>
      </c>
      <c r="DC534" t="e">
        <f>AND(#REF!,"AAAAAC6vP2o=")</f>
        <v>#REF!</v>
      </c>
      <c r="DD534" t="e">
        <f>AND(#REF!,"AAAAAC6vP2s=")</f>
        <v>#REF!</v>
      </c>
      <c r="DE534" t="e">
        <f>AND(#REF!,"AAAAAC6vP2w=")</f>
        <v>#REF!</v>
      </c>
      <c r="DF534" t="e">
        <f>AND(#REF!,"AAAAAC6vP20=")</f>
        <v>#REF!</v>
      </c>
      <c r="DG534" t="e">
        <f>AND(#REF!,"AAAAAC6vP24=")</f>
        <v>#REF!</v>
      </c>
      <c r="DH534" t="e">
        <f>AND(#REF!,"AAAAAC6vP28=")</f>
        <v>#REF!</v>
      </c>
      <c r="DI534" t="e">
        <f>IF(#REF!,"AAAAAC6vP3A=",0)</f>
        <v>#REF!</v>
      </c>
      <c r="DJ534" t="e">
        <f>AND(#REF!,"AAAAAC6vP3E=")</f>
        <v>#REF!</v>
      </c>
      <c r="DK534" t="e">
        <f>AND(#REF!,"AAAAAC6vP3I=")</f>
        <v>#REF!</v>
      </c>
      <c r="DL534" t="e">
        <f>AND(#REF!,"AAAAAC6vP3M=")</f>
        <v>#REF!</v>
      </c>
      <c r="DM534" t="e">
        <f>AND(#REF!,"AAAAAC6vP3Q=")</f>
        <v>#REF!</v>
      </c>
      <c r="DN534" t="e">
        <f>AND(#REF!,"AAAAAC6vP3U=")</f>
        <v>#REF!</v>
      </c>
      <c r="DO534" t="e">
        <f>AND(#REF!,"AAAAAC6vP3Y=")</f>
        <v>#REF!</v>
      </c>
      <c r="DP534" t="e">
        <f>AND(#REF!,"AAAAAC6vP3c=")</f>
        <v>#REF!</v>
      </c>
      <c r="DQ534" t="e">
        <f>AND(#REF!,"AAAAAC6vP3g=")</f>
        <v>#REF!</v>
      </c>
      <c r="DR534" t="e">
        <f>AND(#REF!,"AAAAAC6vP3k=")</f>
        <v>#REF!</v>
      </c>
      <c r="DS534" t="e">
        <f>AND(#REF!,"AAAAAC6vP3o=")</f>
        <v>#REF!</v>
      </c>
      <c r="DT534" t="e">
        <f>AND(#REF!,"AAAAAC6vP3s=")</f>
        <v>#REF!</v>
      </c>
      <c r="DU534" t="e">
        <f>AND(#REF!,"AAAAAC6vP3w=")</f>
        <v>#REF!</v>
      </c>
      <c r="DV534" t="e">
        <f>AND(#REF!,"AAAAAC6vP30=")</f>
        <v>#REF!</v>
      </c>
      <c r="DW534" t="e">
        <f>AND(#REF!,"AAAAAC6vP34=")</f>
        <v>#REF!</v>
      </c>
      <c r="DX534" t="e">
        <f>AND(#REF!,"AAAAAC6vP38=")</f>
        <v>#REF!</v>
      </c>
      <c r="DY534" t="e">
        <f>AND(#REF!,"AAAAAC6vP4A=")</f>
        <v>#REF!</v>
      </c>
      <c r="DZ534" t="e">
        <f>AND(#REF!,"AAAAAC6vP4E=")</f>
        <v>#REF!</v>
      </c>
      <c r="EA534" t="e">
        <f>AND(#REF!,"AAAAAC6vP4I=")</f>
        <v>#REF!</v>
      </c>
      <c r="EB534" t="e">
        <f>AND(#REF!,"AAAAAC6vP4M=")</f>
        <v>#REF!</v>
      </c>
      <c r="EC534" t="e">
        <f>AND(#REF!,"AAAAAC6vP4Q=")</f>
        <v>#REF!</v>
      </c>
      <c r="ED534" t="e">
        <f>AND(#REF!,"AAAAAC6vP4U=")</f>
        <v>#REF!</v>
      </c>
      <c r="EE534" t="e">
        <f>AND(#REF!,"AAAAAC6vP4Y=")</f>
        <v>#REF!</v>
      </c>
      <c r="EF534" t="e">
        <f>AND(#REF!,"AAAAAC6vP4c=")</f>
        <v>#REF!</v>
      </c>
      <c r="EG534" t="e">
        <f>AND(#REF!,"AAAAAC6vP4g=")</f>
        <v>#REF!</v>
      </c>
      <c r="EH534" t="e">
        <f>IF(#REF!,"AAAAAC6vP4k=",0)</f>
        <v>#REF!</v>
      </c>
      <c r="EI534" t="e">
        <f>AND(#REF!,"AAAAAC6vP4o=")</f>
        <v>#REF!</v>
      </c>
      <c r="EJ534" t="e">
        <f>AND(#REF!,"AAAAAC6vP4s=")</f>
        <v>#REF!</v>
      </c>
      <c r="EK534" t="e">
        <f>AND(#REF!,"AAAAAC6vP4w=")</f>
        <v>#REF!</v>
      </c>
      <c r="EL534" t="e">
        <f>AND(#REF!,"AAAAAC6vP40=")</f>
        <v>#REF!</v>
      </c>
      <c r="EM534" t="e">
        <f>AND(#REF!,"AAAAAC6vP44=")</f>
        <v>#REF!</v>
      </c>
      <c r="EN534" t="e">
        <f>AND(#REF!,"AAAAAC6vP48=")</f>
        <v>#REF!</v>
      </c>
      <c r="EO534" t="e">
        <f>AND(#REF!,"AAAAAC6vP5A=")</f>
        <v>#REF!</v>
      </c>
      <c r="EP534" t="e">
        <f>AND(#REF!,"AAAAAC6vP5E=")</f>
        <v>#REF!</v>
      </c>
      <c r="EQ534" t="e">
        <f>AND(#REF!,"AAAAAC6vP5I=")</f>
        <v>#REF!</v>
      </c>
      <c r="ER534" t="e">
        <f>AND(#REF!,"AAAAAC6vP5M=")</f>
        <v>#REF!</v>
      </c>
      <c r="ES534" t="e">
        <f>AND(#REF!,"AAAAAC6vP5Q=")</f>
        <v>#REF!</v>
      </c>
      <c r="ET534" t="e">
        <f>AND(#REF!,"AAAAAC6vP5U=")</f>
        <v>#REF!</v>
      </c>
      <c r="EU534" t="e">
        <f>AND(#REF!,"AAAAAC6vP5Y=")</f>
        <v>#REF!</v>
      </c>
      <c r="EV534" t="e">
        <f>AND(#REF!,"AAAAAC6vP5c=")</f>
        <v>#REF!</v>
      </c>
      <c r="EW534" t="e">
        <f>AND(#REF!,"AAAAAC6vP5g=")</f>
        <v>#REF!</v>
      </c>
      <c r="EX534" t="e">
        <f>AND(#REF!,"AAAAAC6vP5k=")</f>
        <v>#REF!</v>
      </c>
      <c r="EY534" t="e">
        <f>AND(#REF!,"AAAAAC6vP5o=")</f>
        <v>#REF!</v>
      </c>
      <c r="EZ534" t="e">
        <f>AND(#REF!,"AAAAAC6vP5s=")</f>
        <v>#REF!</v>
      </c>
      <c r="FA534" t="e">
        <f>AND(#REF!,"AAAAAC6vP5w=")</f>
        <v>#REF!</v>
      </c>
      <c r="FB534" t="e">
        <f>AND(#REF!,"AAAAAC6vP50=")</f>
        <v>#REF!</v>
      </c>
      <c r="FC534" t="e">
        <f>AND(#REF!,"AAAAAC6vP54=")</f>
        <v>#REF!</v>
      </c>
      <c r="FD534" t="e">
        <f>AND(#REF!,"AAAAAC6vP58=")</f>
        <v>#REF!</v>
      </c>
      <c r="FE534" t="e">
        <f>AND(#REF!,"AAAAAC6vP6A=")</f>
        <v>#REF!</v>
      </c>
      <c r="FF534" t="e">
        <f>AND(#REF!,"AAAAAC6vP6E=")</f>
        <v>#REF!</v>
      </c>
      <c r="FG534" t="e">
        <f>IF(#REF!,"AAAAAC6vP6I=",0)</f>
        <v>#REF!</v>
      </c>
      <c r="FH534" t="e">
        <f>AND(#REF!,"AAAAAC6vP6M=")</f>
        <v>#REF!</v>
      </c>
      <c r="FI534" t="e">
        <f>AND(#REF!,"AAAAAC6vP6Q=")</f>
        <v>#REF!</v>
      </c>
      <c r="FJ534" t="e">
        <f>AND(#REF!,"AAAAAC6vP6U=")</f>
        <v>#REF!</v>
      </c>
      <c r="FK534" t="e">
        <f>AND(#REF!,"AAAAAC6vP6Y=")</f>
        <v>#REF!</v>
      </c>
      <c r="FL534" t="e">
        <f>AND(#REF!,"AAAAAC6vP6c=")</f>
        <v>#REF!</v>
      </c>
      <c r="FM534" t="e">
        <f>AND(#REF!,"AAAAAC6vP6g=")</f>
        <v>#REF!</v>
      </c>
      <c r="FN534" t="e">
        <f>AND(#REF!,"AAAAAC6vP6k=")</f>
        <v>#REF!</v>
      </c>
      <c r="FO534" t="e">
        <f>AND(#REF!,"AAAAAC6vP6o=")</f>
        <v>#REF!</v>
      </c>
      <c r="FP534" t="e">
        <f>AND(#REF!,"AAAAAC6vP6s=")</f>
        <v>#REF!</v>
      </c>
      <c r="FQ534" t="e">
        <f>AND(#REF!,"AAAAAC6vP6w=")</f>
        <v>#REF!</v>
      </c>
      <c r="FR534" t="e">
        <f>AND(#REF!,"AAAAAC6vP60=")</f>
        <v>#REF!</v>
      </c>
      <c r="FS534" t="e">
        <f>AND(#REF!,"AAAAAC6vP64=")</f>
        <v>#REF!</v>
      </c>
      <c r="FT534" t="e">
        <f>AND(#REF!,"AAAAAC6vP68=")</f>
        <v>#REF!</v>
      </c>
      <c r="FU534" t="e">
        <f>AND(#REF!,"AAAAAC6vP7A=")</f>
        <v>#REF!</v>
      </c>
      <c r="FV534" t="e">
        <f>AND(#REF!,"AAAAAC6vP7E=")</f>
        <v>#REF!</v>
      </c>
      <c r="FW534" t="e">
        <f>AND(#REF!,"AAAAAC6vP7I=")</f>
        <v>#REF!</v>
      </c>
      <c r="FX534" t="e">
        <f>AND(#REF!,"AAAAAC6vP7M=")</f>
        <v>#REF!</v>
      </c>
      <c r="FY534" t="e">
        <f>AND(#REF!,"AAAAAC6vP7Q=")</f>
        <v>#REF!</v>
      </c>
      <c r="FZ534" t="e">
        <f>AND(#REF!,"AAAAAC6vP7U=")</f>
        <v>#REF!</v>
      </c>
      <c r="GA534" t="e">
        <f>AND(#REF!,"AAAAAC6vP7Y=")</f>
        <v>#REF!</v>
      </c>
      <c r="GB534" t="e">
        <f>AND(#REF!,"AAAAAC6vP7c=")</f>
        <v>#REF!</v>
      </c>
      <c r="GC534" t="e">
        <f>AND(#REF!,"AAAAAC6vP7g=")</f>
        <v>#REF!</v>
      </c>
      <c r="GD534" t="e">
        <f>AND(#REF!,"AAAAAC6vP7k=")</f>
        <v>#REF!</v>
      </c>
      <c r="GE534" t="e">
        <f>AND(#REF!,"AAAAAC6vP7o=")</f>
        <v>#REF!</v>
      </c>
      <c r="GF534" t="e">
        <f>IF(#REF!,"AAAAAC6vP7s=",0)</f>
        <v>#REF!</v>
      </c>
      <c r="GG534" t="e">
        <f>AND(#REF!,"AAAAAC6vP7w=")</f>
        <v>#REF!</v>
      </c>
      <c r="GH534" t="e">
        <f>AND(#REF!,"AAAAAC6vP70=")</f>
        <v>#REF!</v>
      </c>
      <c r="GI534" t="e">
        <f>AND(#REF!,"AAAAAC6vP74=")</f>
        <v>#REF!</v>
      </c>
      <c r="GJ534" t="e">
        <f>AND(#REF!,"AAAAAC6vP78=")</f>
        <v>#REF!</v>
      </c>
      <c r="GK534" t="e">
        <f>AND(#REF!,"AAAAAC6vP8A=")</f>
        <v>#REF!</v>
      </c>
      <c r="GL534" t="e">
        <f>AND(#REF!,"AAAAAC6vP8E=")</f>
        <v>#REF!</v>
      </c>
      <c r="GM534" t="e">
        <f>AND(#REF!,"AAAAAC6vP8I=")</f>
        <v>#REF!</v>
      </c>
      <c r="GN534" t="e">
        <f>AND(#REF!,"AAAAAC6vP8M=")</f>
        <v>#REF!</v>
      </c>
      <c r="GO534" t="e">
        <f>AND(#REF!,"AAAAAC6vP8Q=")</f>
        <v>#REF!</v>
      </c>
      <c r="GP534" t="e">
        <f>AND(#REF!,"AAAAAC6vP8U=")</f>
        <v>#REF!</v>
      </c>
      <c r="GQ534" t="e">
        <f>AND(#REF!,"AAAAAC6vP8Y=")</f>
        <v>#REF!</v>
      </c>
      <c r="GR534" t="e">
        <f>AND(#REF!,"AAAAAC6vP8c=")</f>
        <v>#REF!</v>
      </c>
      <c r="GS534" t="e">
        <f>AND(#REF!,"AAAAAC6vP8g=")</f>
        <v>#REF!</v>
      </c>
      <c r="GT534" t="e">
        <f>AND(#REF!,"AAAAAC6vP8k=")</f>
        <v>#REF!</v>
      </c>
      <c r="GU534" t="e">
        <f>AND(#REF!,"AAAAAC6vP8o=")</f>
        <v>#REF!</v>
      </c>
      <c r="GV534" t="e">
        <f>AND(#REF!,"AAAAAC6vP8s=")</f>
        <v>#REF!</v>
      </c>
      <c r="GW534" t="e">
        <f>AND(#REF!,"AAAAAC6vP8w=")</f>
        <v>#REF!</v>
      </c>
      <c r="GX534" t="e">
        <f>AND(#REF!,"AAAAAC6vP80=")</f>
        <v>#REF!</v>
      </c>
      <c r="GY534" t="e">
        <f>AND(#REF!,"AAAAAC6vP84=")</f>
        <v>#REF!</v>
      </c>
      <c r="GZ534" t="e">
        <f>AND(#REF!,"AAAAAC6vP88=")</f>
        <v>#REF!</v>
      </c>
      <c r="HA534" t="e">
        <f>AND(#REF!,"AAAAAC6vP9A=")</f>
        <v>#REF!</v>
      </c>
      <c r="HB534" t="e">
        <f>AND(#REF!,"AAAAAC6vP9E=")</f>
        <v>#REF!</v>
      </c>
      <c r="HC534" t="e">
        <f>AND(#REF!,"AAAAAC6vP9I=")</f>
        <v>#REF!</v>
      </c>
      <c r="HD534" t="e">
        <f>AND(#REF!,"AAAAAC6vP9M=")</f>
        <v>#REF!</v>
      </c>
      <c r="HE534" t="e">
        <f>IF(#REF!,"AAAAAC6vP9Q=",0)</f>
        <v>#REF!</v>
      </c>
      <c r="HF534" t="e">
        <f>AND(#REF!,"AAAAAC6vP9U=")</f>
        <v>#REF!</v>
      </c>
      <c r="HG534" t="e">
        <f>AND(#REF!,"AAAAAC6vP9Y=")</f>
        <v>#REF!</v>
      </c>
      <c r="HH534" t="e">
        <f>AND(#REF!,"AAAAAC6vP9c=")</f>
        <v>#REF!</v>
      </c>
      <c r="HI534" t="e">
        <f>AND(#REF!,"AAAAAC6vP9g=")</f>
        <v>#REF!</v>
      </c>
      <c r="HJ534" t="e">
        <f>AND(#REF!,"AAAAAC6vP9k=")</f>
        <v>#REF!</v>
      </c>
      <c r="HK534" t="e">
        <f>AND(#REF!,"AAAAAC6vP9o=")</f>
        <v>#REF!</v>
      </c>
      <c r="HL534" t="e">
        <f>AND(#REF!,"AAAAAC6vP9s=")</f>
        <v>#REF!</v>
      </c>
      <c r="HM534" t="e">
        <f>AND(#REF!,"AAAAAC6vP9w=")</f>
        <v>#REF!</v>
      </c>
      <c r="HN534" t="e">
        <f>AND(#REF!,"AAAAAC6vP90=")</f>
        <v>#REF!</v>
      </c>
      <c r="HO534" t="e">
        <f>AND(#REF!,"AAAAAC6vP94=")</f>
        <v>#REF!</v>
      </c>
      <c r="HP534" t="e">
        <f>AND(#REF!,"AAAAAC6vP98=")</f>
        <v>#REF!</v>
      </c>
      <c r="HQ534" t="e">
        <f>AND(#REF!,"AAAAAC6vP+A=")</f>
        <v>#REF!</v>
      </c>
      <c r="HR534" t="e">
        <f>AND(#REF!,"AAAAAC6vP+E=")</f>
        <v>#REF!</v>
      </c>
      <c r="HS534" t="e">
        <f>AND(#REF!,"AAAAAC6vP+I=")</f>
        <v>#REF!</v>
      </c>
      <c r="HT534" t="e">
        <f>AND(#REF!,"AAAAAC6vP+M=")</f>
        <v>#REF!</v>
      </c>
      <c r="HU534" t="e">
        <f>AND(#REF!,"AAAAAC6vP+Q=")</f>
        <v>#REF!</v>
      </c>
      <c r="HV534" t="e">
        <f>AND(#REF!,"AAAAAC6vP+U=")</f>
        <v>#REF!</v>
      </c>
      <c r="HW534" t="e">
        <f>AND(#REF!,"AAAAAC6vP+Y=")</f>
        <v>#REF!</v>
      </c>
      <c r="HX534" t="e">
        <f>AND(#REF!,"AAAAAC6vP+c=")</f>
        <v>#REF!</v>
      </c>
      <c r="HY534" t="e">
        <f>AND(#REF!,"AAAAAC6vP+g=")</f>
        <v>#REF!</v>
      </c>
      <c r="HZ534" t="e">
        <f>AND(#REF!,"AAAAAC6vP+k=")</f>
        <v>#REF!</v>
      </c>
      <c r="IA534" t="e">
        <f>AND(#REF!,"AAAAAC6vP+o=")</f>
        <v>#REF!</v>
      </c>
      <c r="IB534" t="e">
        <f>AND(#REF!,"AAAAAC6vP+s=")</f>
        <v>#REF!</v>
      </c>
      <c r="IC534" t="e">
        <f>AND(#REF!,"AAAAAC6vP+w=")</f>
        <v>#REF!</v>
      </c>
      <c r="ID534" t="e">
        <f>IF(#REF!,"AAAAAC6vP+0=",0)</f>
        <v>#REF!</v>
      </c>
      <c r="IE534" t="e">
        <f>AND(#REF!,"AAAAAC6vP+4=")</f>
        <v>#REF!</v>
      </c>
      <c r="IF534" t="e">
        <f>AND(#REF!,"AAAAAC6vP+8=")</f>
        <v>#REF!</v>
      </c>
      <c r="IG534" t="e">
        <f>AND(#REF!,"AAAAAC6vP/A=")</f>
        <v>#REF!</v>
      </c>
      <c r="IH534" t="e">
        <f>AND(#REF!,"AAAAAC6vP/E=")</f>
        <v>#REF!</v>
      </c>
      <c r="II534" t="e">
        <f>AND(#REF!,"AAAAAC6vP/I=")</f>
        <v>#REF!</v>
      </c>
      <c r="IJ534" t="e">
        <f>AND(#REF!,"AAAAAC6vP/M=")</f>
        <v>#REF!</v>
      </c>
      <c r="IK534" t="e">
        <f>AND(#REF!,"AAAAAC6vP/Q=")</f>
        <v>#REF!</v>
      </c>
      <c r="IL534" t="e">
        <f>AND(#REF!,"AAAAAC6vP/U=")</f>
        <v>#REF!</v>
      </c>
      <c r="IM534" t="e">
        <f>AND(#REF!,"AAAAAC6vP/Y=")</f>
        <v>#REF!</v>
      </c>
      <c r="IN534" t="e">
        <f>AND(#REF!,"AAAAAC6vP/c=")</f>
        <v>#REF!</v>
      </c>
      <c r="IO534" t="e">
        <f>AND(#REF!,"AAAAAC6vP/g=")</f>
        <v>#REF!</v>
      </c>
      <c r="IP534" t="e">
        <f>AND(#REF!,"AAAAAC6vP/k=")</f>
        <v>#REF!</v>
      </c>
      <c r="IQ534" t="e">
        <f>AND(#REF!,"AAAAAC6vP/o=")</f>
        <v>#REF!</v>
      </c>
      <c r="IR534" t="e">
        <f>AND(#REF!,"AAAAAC6vP/s=")</f>
        <v>#REF!</v>
      </c>
      <c r="IS534" t="e">
        <f>AND(#REF!,"AAAAAC6vP/w=")</f>
        <v>#REF!</v>
      </c>
      <c r="IT534" t="e">
        <f>AND(#REF!,"AAAAAC6vP/0=")</f>
        <v>#REF!</v>
      </c>
      <c r="IU534" t="e">
        <f>AND(#REF!,"AAAAAC6vP/4=")</f>
        <v>#REF!</v>
      </c>
      <c r="IV534" t="e">
        <f>AND(#REF!,"AAAAAC6vP/8=")</f>
        <v>#REF!</v>
      </c>
    </row>
    <row r="535" spans="1:256">
      <c r="A535" t="e">
        <f>AND(#REF!,"AAAAAH96rgA=")</f>
        <v>#REF!</v>
      </c>
      <c r="B535" t="e">
        <f>AND(#REF!,"AAAAAH96rgE=")</f>
        <v>#REF!</v>
      </c>
      <c r="C535" t="e">
        <f>AND(#REF!,"AAAAAH96rgI=")</f>
        <v>#REF!</v>
      </c>
      <c r="D535" t="e">
        <f>AND(#REF!,"AAAAAH96rgM=")</f>
        <v>#REF!</v>
      </c>
      <c r="E535" t="e">
        <f>AND(#REF!,"AAAAAH96rgQ=")</f>
        <v>#REF!</v>
      </c>
      <c r="F535" t="e">
        <f>AND(#REF!,"AAAAAH96rgU=")</f>
        <v>#REF!</v>
      </c>
      <c r="G535" t="e">
        <f>IF(#REF!,"AAAAAH96rgY=",0)</f>
        <v>#REF!</v>
      </c>
      <c r="H535" t="e">
        <f>AND(#REF!,"AAAAAH96rgc=")</f>
        <v>#REF!</v>
      </c>
      <c r="I535" t="e">
        <f>AND(#REF!,"AAAAAH96rgg=")</f>
        <v>#REF!</v>
      </c>
      <c r="J535" t="e">
        <f>AND(#REF!,"AAAAAH96rgk=")</f>
        <v>#REF!</v>
      </c>
      <c r="K535" t="e">
        <f>AND(#REF!,"AAAAAH96rgo=")</f>
        <v>#REF!</v>
      </c>
      <c r="L535" t="e">
        <f>AND(#REF!,"AAAAAH96rgs=")</f>
        <v>#REF!</v>
      </c>
      <c r="M535" t="e">
        <f>AND(#REF!,"AAAAAH96rgw=")</f>
        <v>#REF!</v>
      </c>
      <c r="N535" t="e">
        <f>AND(#REF!,"AAAAAH96rg0=")</f>
        <v>#REF!</v>
      </c>
      <c r="O535" t="e">
        <f>AND(#REF!,"AAAAAH96rg4=")</f>
        <v>#REF!</v>
      </c>
      <c r="P535" t="e">
        <f>AND(#REF!,"AAAAAH96rg8=")</f>
        <v>#REF!</v>
      </c>
      <c r="Q535" t="e">
        <f>AND(#REF!,"AAAAAH96rhA=")</f>
        <v>#REF!</v>
      </c>
      <c r="R535" t="e">
        <f>AND(#REF!,"AAAAAH96rhE=")</f>
        <v>#REF!</v>
      </c>
      <c r="S535" t="e">
        <f>AND(#REF!,"AAAAAH96rhI=")</f>
        <v>#REF!</v>
      </c>
      <c r="T535" t="e">
        <f>AND(#REF!,"AAAAAH96rhM=")</f>
        <v>#REF!</v>
      </c>
      <c r="U535" t="e">
        <f>AND(#REF!,"AAAAAH96rhQ=")</f>
        <v>#REF!</v>
      </c>
      <c r="V535" t="e">
        <f>AND(#REF!,"AAAAAH96rhU=")</f>
        <v>#REF!</v>
      </c>
      <c r="W535" t="e">
        <f>AND(#REF!,"AAAAAH96rhY=")</f>
        <v>#REF!</v>
      </c>
      <c r="X535" t="e">
        <f>AND(#REF!,"AAAAAH96rhc=")</f>
        <v>#REF!</v>
      </c>
      <c r="Y535" t="e">
        <f>AND(#REF!,"AAAAAH96rhg=")</f>
        <v>#REF!</v>
      </c>
      <c r="Z535" t="e">
        <f>AND(#REF!,"AAAAAH96rhk=")</f>
        <v>#REF!</v>
      </c>
      <c r="AA535" t="e">
        <f>AND(#REF!,"AAAAAH96rho=")</f>
        <v>#REF!</v>
      </c>
      <c r="AB535" t="e">
        <f>AND(#REF!,"AAAAAH96rhs=")</f>
        <v>#REF!</v>
      </c>
      <c r="AC535" t="e">
        <f>AND(#REF!,"AAAAAH96rhw=")</f>
        <v>#REF!</v>
      </c>
      <c r="AD535" t="e">
        <f>AND(#REF!,"AAAAAH96rh0=")</f>
        <v>#REF!</v>
      </c>
      <c r="AE535" t="e">
        <f>AND(#REF!,"AAAAAH96rh4=")</f>
        <v>#REF!</v>
      </c>
      <c r="AF535" t="e">
        <f>IF(#REF!,"AAAAAH96rh8=",0)</f>
        <v>#REF!</v>
      </c>
      <c r="AG535" t="e">
        <f>AND(#REF!,"AAAAAH96riA=")</f>
        <v>#REF!</v>
      </c>
      <c r="AH535" t="e">
        <f>AND(#REF!,"AAAAAH96riE=")</f>
        <v>#REF!</v>
      </c>
      <c r="AI535" t="e">
        <f>AND(#REF!,"AAAAAH96riI=")</f>
        <v>#REF!</v>
      </c>
      <c r="AJ535" t="e">
        <f>AND(#REF!,"AAAAAH96riM=")</f>
        <v>#REF!</v>
      </c>
      <c r="AK535" t="e">
        <f>AND(#REF!,"AAAAAH96riQ=")</f>
        <v>#REF!</v>
      </c>
      <c r="AL535" t="e">
        <f>AND(#REF!,"AAAAAH96riU=")</f>
        <v>#REF!</v>
      </c>
      <c r="AM535" t="e">
        <f>AND(#REF!,"AAAAAH96riY=")</f>
        <v>#REF!</v>
      </c>
      <c r="AN535" t="e">
        <f>AND(#REF!,"AAAAAH96ric=")</f>
        <v>#REF!</v>
      </c>
      <c r="AO535" t="e">
        <f>AND(#REF!,"AAAAAH96rig=")</f>
        <v>#REF!</v>
      </c>
      <c r="AP535" t="e">
        <f>AND(#REF!,"AAAAAH96rik=")</f>
        <v>#REF!</v>
      </c>
      <c r="AQ535" t="e">
        <f>AND(#REF!,"AAAAAH96rio=")</f>
        <v>#REF!</v>
      </c>
      <c r="AR535" t="e">
        <f>AND(#REF!,"AAAAAH96ris=")</f>
        <v>#REF!</v>
      </c>
      <c r="AS535" t="e">
        <f>AND(#REF!,"AAAAAH96riw=")</f>
        <v>#REF!</v>
      </c>
      <c r="AT535" t="e">
        <f>AND(#REF!,"AAAAAH96ri0=")</f>
        <v>#REF!</v>
      </c>
      <c r="AU535" t="e">
        <f>AND(#REF!,"AAAAAH96ri4=")</f>
        <v>#REF!</v>
      </c>
      <c r="AV535" t="e">
        <f>AND(#REF!,"AAAAAH96ri8=")</f>
        <v>#REF!</v>
      </c>
      <c r="AW535" t="e">
        <f>AND(#REF!,"AAAAAH96rjA=")</f>
        <v>#REF!</v>
      </c>
      <c r="AX535" t="e">
        <f>AND(#REF!,"AAAAAH96rjE=")</f>
        <v>#REF!</v>
      </c>
      <c r="AY535" t="e">
        <f>AND(#REF!,"AAAAAH96rjI=")</f>
        <v>#REF!</v>
      </c>
      <c r="AZ535" t="e">
        <f>AND(#REF!,"AAAAAH96rjM=")</f>
        <v>#REF!</v>
      </c>
      <c r="BA535" t="e">
        <f>AND(#REF!,"AAAAAH96rjQ=")</f>
        <v>#REF!</v>
      </c>
      <c r="BB535" t="e">
        <f>AND(#REF!,"AAAAAH96rjU=")</f>
        <v>#REF!</v>
      </c>
      <c r="BC535" t="e">
        <f>AND(#REF!,"AAAAAH96rjY=")</f>
        <v>#REF!</v>
      </c>
      <c r="BD535" t="e">
        <f>AND(#REF!,"AAAAAH96rjc=")</f>
        <v>#REF!</v>
      </c>
      <c r="BE535" t="e">
        <f>IF(#REF!,"AAAAAH96rjg=",0)</f>
        <v>#REF!</v>
      </c>
      <c r="BF535" t="e">
        <f>AND(#REF!,"AAAAAH96rjk=")</f>
        <v>#REF!</v>
      </c>
      <c r="BG535" t="e">
        <f>AND(#REF!,"AAAAAH96rjo=")</f>
        <v>#REF!</v>
      </c>
      <c r="BH535" t="e">
        <f>AND(#REF!,"AAAAAH96rjs=")</f>
        <v>#REF!</v>
      </c>
      <c r="BI535" t="e">
        <f>AND(#REF!,"AAAAAH96rjw=")</f>
        <v>#REF!</v>
      </c>
      <c r="BJ535" t="e">
        <f>AND(#REF!,"AAAAAH96rj0=")</f>
        <v>#REF!</v>
      </c>
      <c r="BK535" t="e">
        <f>AND(#REF!,"AAAAAH96rj4=")</f>
        <v>#REF!</v>
      </c>
      <c r="BL535" t="e">
        <f>AND(#REF!,"AAAAAH96rj8=")</f>
        <v>#REF!</v>
      </c>
      <c r="BM535" t="e">
        <f>AND(#REF!,"AAAAAH96rkA=")</f>
        <v>#REF!</v>
      </c>
      <c r="BN535" t="e">
        <f>AND(#REF!,"AAAAAH96rkE=")</f>
        <v>#REF!</v>
      </c>
      <c r="BO535" t="e">
        <f>AND(#REF!,"AAAAAH96rkI=")</f>
        <v>#REF!</v>
      </c>
      <c r="BP535" t="e">
        <f>AND(#REF!,"AAAAAH96rkM=")</f>
        <v>#REF!</v>
      </c>
      <c r="BQ535" t="e">
        <f>AND(#REF!,"AAAAAH96rkQ=")</f>
        <v>#REF!</v>
      </c>
      <c r="BR535" t="e">
        <f>AND(#REF!,"AAAAAH96rkU=")</f>
        <v>#REF!</v>
      </c>
      <c r="BS535" t="e">
        <f>AND(#REF!,"AAAAAH96rkY=")</f>
        <v>#REF!</v>
      </c>
      <c r="BT535" t="e">
        <f>AND(#REF!,"AAAAAH96rkc=")</f>
        <v>#REF!</v>
      </c>
      <c r="BU535" t="e">
        <f>AND(#REF!,"AAAAAH96rkg=")</f>
        <v>#REF!</v>
      </c>
      <c r="BV535" t="e">
        <f>AND(#REF!,"AAAAAH96rkk=")</f>
        <v>#REF!</v>
      </c>
      <c r="BW535" t="e">
        <f>AND(#REF!,"AAAAAH96rko=")</f>
        <v>#REF!</v>
      </c>
      <c r="BX535" t="e">
        <f>AND(#REF!,"AAAAAH96rks=")</f>
        <v>#REF!</v>
      </c>
      <c r="BY535" t="e">
        <f>AND(#REF!,"AAAAAH96rkw=")</f>
        <v>#REF!</v>
      </c>
      <c r="BZ535" t="e">
        <f>AND(#REF!,"AAAAAH96rk0=")</f>
        <v>#REF!</v>
      </c>
      <c r="CA535" t="e">
        <f>AND(#REF!,"AAAAAH96rk4=")</f>
        <v>#REF!</v>
      </c>
      <c r="CB535" t="e">
        <f>AND(#REF!,"AAAAAH96rk8=")</f>
        <v>#REF!</v>
      </c>
      <c r="CC535" t="e">
        <f>AND(#REF!,"AAAAAH96rlA=")</f>
        <v>#REF!</v>
      </c>
      <c r="CD535" t="e">
        <f>IF(#REF!,"AAAAAH96rlE=",0)</f>
        <v>#REF!</v>
      </c>
      <c r="CE535" t="e">
        <f>AND(#REF!,"AAAAAH96rlI=")</f>
        <v>#REF!</v>
      </c>
      <c r="CF535" t="e">
        <f>AND(#REF!,"AAAAAH96rlM=")</f>
        <v>#REF!</v>
      </c>
      <c r="CG535" t="e">
        <f>AND(#REF!,"AAAAAH96rlQ=")</f>
        <v>#REF!</v>
      </c>
      <c r="CH535" t="e">
        <f>AND(#REF!,"AAAAAH96rlU=")</f>
        <v>#REF!</v>
      </c>
      <c r="CI535" t="e">
        <f>AND(#REF!,"AAAAAH96rlY=")</f>
        <v>#REF!</v>
      </c>
      <c r="CJ535" t="e">
        <f>AND(#REF!,"AAAAAH96rlc=")</f>
        <v>#REF!</v>
      </c>
      <c r="CK535" t="e">
        <f>AND(#REF!,"AAAAAH96rlg=")</f>
        <v>#REF!</v>
      </c>
      <c r="CL535" t="e">
        <f>AND(#REF!,"AAAAAH96rlk=")</f>
        <v>#REF!</v>
      </c>
      <c r="CM535" t="e">
        <f>AND(#REF!,"AAAAAH96rlo=")</f>
        <v>#REF!</v>
      </c>
      <c r="CN535" t="e">
        <f>AND(#REF!,"AAAAAH96rls=")</f>
        <v>#REF!</v>
      </c>
      <c r="CO535" t="e">
        <f>AND(#REF!,"AAAAAH96rlw=")</f>
        <v>#REF!</v>
      </c>
      <c r="CP535" t="e">
        <f>AND(#REF!,"AAAAAH96rl0=")</f>
        <v>#REF!</v>
      </c>
      <c r="CQ535" t="e">
        <f>AND(#REF!,"AAAAAH96rl4=")</f>
        <v>#REF!</v>
      </c>
      <c r="CR535" t="e">
        <f>AND(#REF!,"AAAAAH96rl8=")</f>
        <v>#REF!</v>
      </c>
      <c r="CS535" t="e">
        <f>AND(#REF!,"AAAAAH96rmA=")</f>
        <v>#REF!</v>
      </c>
      <c r="CT535" t="e">
        <f>AND(#REF!,"AAAAAH96rmE=")</f>
        <v>#REF!</v>
      </c>
      <c r="CU535" t="e">
        <f>AND(#REF!,"AAAAAH96rmI=")</f>
        <v>#REF!</v>
      </c>
      <c r="CV535" t="e">
        <f>AND(#REF!,"AAAAAH96rmM=")</f>
        <v>#REF!</v>
      </c>
      <c r="CW535" t="e">
        <f>AND(#REF!,"AAAAAH96rmQ=")</f>
        <v>#REF!</v>
      </c>
      <c r="CX535" t="e">
        <f>AND(#REF!,"AAAAAH96rmU=")</f>
        <v>#REF!</v>
      </c>
      <c r="CY535" t="e">
        <f>AND(#REF!,"AAAAAH96rmY=")</f>
        <v>#REF!</v>
      </c>
      <c r="CZ535" t="e">
        <f>AND(#REF!,"AAAAAH96rmc=")</f>
        <v>#REF!</v>
      </c>
      <c r="DA535" t="e">
        <f>AND(#REF!,"AAAAAH96rmg=")</f>
        <v>#REF!</v>
      </c>
      <c r="DB535" t="e">
        <f>AND(#REF!,"AAAAAH96rmk=")</f>
        <v>#REF!</v>
      </c>
      <c r="DC535" t="e">
        <f>IF(#REF!,"AAAAAH96rmo=",0)</f>
        <v>#REF!</v>
      </c>
      <c r="DD535" t="e">
        <f>AND(#REF!,"AAAAAH96rms=")</f>
        <v>#REF!</v>
      </c>
      <c r="DE535" t="e">
        <f>AND(#REF!,"AAAAAH96rmw=")</f>
        <v>#REF!</v>
      </c>
      <c r="DF535" t="e">
        <f>AND(#REF!,"AAAAAH96rm0=")</f>
        <v>#REF!</v>
      </c>
      <c r="DG535" t="e">
        <f>AND(#REF!,"AAAAAH96rm4=")</f>
        <v>#REF!</v>
      </c>
      <c r="DH535" t="e">
        <f>AND(#REF!,"AAAAAH96rm8=")</f>
        <v>#REF!</v>
      </c>
      <c r="DI535" t="e">
        <f>AND(#REF!,"AAAAAH96rnA=")</f>
        <v>#REF!</v>
      </c>
      <c r="DJ535" t="e">
        <f>AND(#REF!,"AAAAAH96rnE=")</f>
        <v>#REF!</v>
      </c>
      <c r="DK535" t="e">
        <f>AND(#REF!,"AAAAAH96rnI=")</f>
        <v>#REF!</v>
      </c>
      <c r="DL535" t="e">
        <f>AND(#REF!,"AAAAAH96rnM=")</f>
        <v>#REF!</v>
      </c>
      <c r="DM535" t="e">
        <f>AND(#REF!,"AAAAAH96rnQ=")</f>
        <v>#REF!</v>
      </c>
      <c r="DN535" t="e">
        <f>AND(#REF!,"AAAAAH96rnU=")</f>
        <v>#REF!</v>
      </c>
      <c r="DO535" t="e">
        <f>AND(#REF!,"AAAAAH96rnY=")</f>
        <v>#REF!</v>
      </c>
      <c r="DP535" t="e">
        <f>AND(#REF!,"AAAAAH96rnc=")</f>
        <v>#REF!</v>
      </c>
      <c r="DQ535" t="e">
        <f>AND(#REF!,"AAAAAH96rng=")</f>
        <v>#REF!</v>
      </c>
      <c r="DR535" t="e">
        <f>AND(#REF!,"AAAAAH96rnk=")</f>
        <v>#REF!</v>
      </c>
      <c r="DS535" t="e">
        <f>AND(#REF!,"AAAAAH96rno=")</f>
        <v>#REF!</v>
      </c>
      <c r="DT535" t="e">
        <f>AND(#REF!,"AAAAAH96rns=")</f>
        <v>#REF!</v>
      </c>
      <c r="DU535" t="e">
        <f>AND(#REF!,"AAAAAH96rnw=")</f>
        <v>#REF!</v>
      </c>
      <c r="DV535" t="e">
        <f>AND(#REF!,"AAAAAH96rn0=")</f>
        <v>#REF!</v>
      </c>
      <c r="DW535" t="e">
        <f>AND(#REF!,"AAAAAH96rn4=")</f>
        <v>#REF!</v>
      </c>
      <c r="DX535" t="e">
        <f>AND(#REF!,"AAAAAH96rn8=")</f>
        <v>#REF!</v>
      </c>
      <c r="DY535" t="e">
        <f>AND(#REF!,"AAAAAH96roA=")</f>
        <v>#REF!</v>
      </c>
      <c r="DZ535" t="e">
        <f>AND(#REF!,"AAAAAH96roE=")</f>
        <v>#REF!</v>
      </c>
      <c r="EA535" t="e">
        <f>AND(#REF!,"AAAAAH96roI=")</f>
        <v>#REF!</v>
      </c>
      <c r="EB535" t="e">
        <f>IF(#REF!,"AAAAAH96roM=",0)</f>
        <v>#REF!</v>
      </c>
      <c r="EC535" t="e">
        <f>AND(#REF!,"AAAAAH96roQ=")</f>
        <v>#REF!</v>
      </c>
      <c r="ED535" t="e">
        <f>AND(#REF!,"AAAAAH96roU=")</f>
        <v>#REF!</v>
      </c>
      <c r="EE535" t="e">
        <f>AND(#REF!,"AAAAAH96roY=")</f>
        <v>#REF!</v>
      </c>
      <c r="EF535" t="e">
        <f>AND(#REF!,"AAAAAH96roc=")</f>
        <v>#REF!</v>
      </c>
      <c r="EG535" t="e">
        <f>AND(#REF!,"AAAAAH96rog=")</f>
        <v>#REF!</v>
      </c>
      <c r="EH535" t="e">
        <f>AND(#REF!,"AAAAAH96rok=")</f>
        <v>#REF!</v>
      </c>
      <c r="EI535" t="e">
        <f>AND(#REF!,"AAAAAH96roo=")</f>
        <v>#REF!</v>
      </c>
      <c r="EJ535" t="e">
        <f>AND(#REF!,"AAAAAH96ros=")</f>
        <v>#REF!</v>
      </c>
      <c r="EK535" t="e">
        <f>AND(#REF!,"AAAAAH96row=")</f>
        <v>#REF!</v>
      </c>
      <c r="EL535" t="e">
        <f>AND(#REF!,"AAAAAH96ro0=")</f>
        <v>#REF!</v>
      </c>
      <c r="EM535" t="e">
        <f>AND(#REF!,"AAAAAH96ro4=")</f>
        <v>#REF!</v>
      </c>
      <c r="EN535" t="e">
        <f>AND(#REF!,"AAAAAH96ro8=")</f>
        <v>#REF!</v>
      </c>
      <c r="EO535" t="e">
        <f>AND(#REF!,"AAAAAH96rpA=")</f>
        <v>#REF!</v>
      </c>
      <c r="EP535" t="e">
        <f>AND(#REF!,"AAAAAH96rpE=")</f>
        <v>#REF!</v>
      </c>
      <c r="EQ535" t="e">
        <f>AND(#REF!,"AAAAAH96rpI=")</f>
        <v>#REF!</v>
      </c>
      <c r="ER535" t="e">
        <f>AND(#REF!,"AAAAAH96rpM=")</f>
        <v>#REF!</v>
      </c>
      <c r="ES535" t="e">
        <f>AND(#REF!,"AAAAAH96rpQ=")</f>
        <v>#REF!</v>
      </c>
      <c r="ET535" t="e">
        <f>AND(#REF!,"AAAAAH96rpU=")</f>
        <v>#REF!</v>
      </c>
      <c r="EU535" t="e">
        <f>AND(#REF!,"AAAAAH96rpY=")</f>
        <v>#REF!</v>
      </c>
      <c r="EV535" t="e">
        <f>AND(#REF!,"AAAAAH96rpc=")</f>
        <v>#REF!</v>
      </c>
      <c r="EW535" t="e">
        <f>AND(#REF!,"AAAAAH96rpg=")</f>
        <v>#REF!</v>
      </c>
      <c r="EX535" t="e">
        <f>AND(#REF!,"AAAAAH96rpk=")</f>
        <v>#REF!</v>
      </c>
      <c r="EY535" t="e">
        <f>AND(#REF!,"AAAAAH96rpo=")</f>
        <v>#REF!</v>
      </c>
      <c r="EZ535" t="e">
        <f>AND(#REF!,"AAAAAH96rps=")</f>
        <v>#REF!</v>
      </c>
      <c r="FA535" t="e">
        <f>IF(#REF!,"AAAAAH96rpw=",0)</f>
        <v>#REF!</v>
      </c>
      <c r="FB535" t="e">
        <f>AND(#REF!,"AAAAAH96rp0=")</f>
        <v>#REF!</v>
      </c>
      <c r="FC535" t="e">
        <f>AND(#REF!,"AAAAAH96rp4=")</f>
        <v>#REF!</v>
      </c>
      <c r="FD535" t="e">
        <f>AND(#REF!,"AAAAAH96rp8=")</f>
        <v>#REF!</v>
      </c>
      <c r="FE535" t="e">
        <f>AND(#REF!,"AAAAAH96rqA=")</f>
        <v>#REF!</v>
      </c>
      <c r="FF535" t="e">
        <f>AND(#REF!,"AAAAAH96rqE=")</f>
        <v>#REF!</v>
      </c>
      <c r="FG535" t="e">
        <f>AND(#REF!,"AAAAAH96rqI=")</f>
        <v>#REF!</v>
      </c>
      <c r="FH535" t="e">
        <f>AND(#REF!,"AAAAAH96rqM=")</f>
        <v>#REF!</v>
      </c>
      <c r="FI535" t="e">
        <f>AND(#REF!,"AAAAAH96rqQ=")</f>
        <v>#REF!</v>
      </c>
      <c r="FJ535" t="e">
        <f>AND(#REF!,"AAAAAH96rqU=")</f>
        <v>#REF!</v>
      </c>
      <c r="FK535" t="e">
        <f>AND(#REF!,"AAAAAH96rqY=")</f>
        <v>#REF!</v>
      </c>
      <c r="FL535" t="e">
        <f>AND(#REF!,"AAAAAH96rqc=")</f>
        <v>#REF!</v>
      </c>
      <c r="FM535" t="e">
        <f>AND(#REF!,"AAAAAH96rqg=")</f>
        <v>#REF!</v>
      </c>
      <c r="FN535" t="e">
        <f>AND(#REF!,"AAAAAH96rqk=")</f>
        <v>#REF!</v>
      </c>
      <c r="FO535" t="e">
        <f>AND(#REF!,"AAAAAH96rqo=")</f>
        <v>#REF!</v>
      </c>
      <c r="FP535" t="e">
        <f>AND(#REF!,"AAAAAH96rqs=")</f>
        <v>#REF!</v>
      </c>
      <c r="FQ535" t="e">
        <f>AND(#REF!,"AAAAAH96rqw=")</f>
        <v>#REF!</v>
      </c>
      <c r="FR535" t="e">
        <f>AND(#REF!,"AAAAAH96rq0=")</f>
        <v>#REF!</v>
      </c>
      <c r="FS535" t="e">
        <f>AND(#REF!,"AAAAAH96rq4=")</f>
        <v>#REF!</v>
      </c>
      <c r="FT535" t="e">
        <f>AND(#REF!,"AAAAAH96rq8=")</f>
        <v>#REF!</v>
      </c>
      <c r="FU535" t="e">
        <f>AND(#REF!,"AAAAAH96rrA=")</f>
        <v>#REF!</v>
      </c>
      <c r="FV535" t="e">
        <f>AND(#REF!,"AAAAAH96rrE=")</f>
        <v>#REF!</v>
      </c>
      <c r="FW535" t="e">
        <f>AND(#REF!,"AAAAAH96rrI=")</f>
        <v>#REF!</v>
      </c>
      <c r="FX535" t="e">
        <f>AND(#REF!,"AAAAAH96rrM=")</f>
        <v>#REF!</v>
      </c>
      <c r="FY535" t="e">
        <f>AND(#REF!,"AAAAAH96rrQ=")</f>
        <v>#REF!</v>
      </c>
      <c r="FZ535" t="e">
        <f>IF(#REF!,"AAAAAH96rrU=",0)</f>
        <v>#REF!</v>
      </c>
      <c r="GA535" t="e">
        <f>AND(#REF!,"AAAAAH96rrY=")</f>
        <v>#REF!</v>
      </c>
      <c r="GB535" t="e">
        <f>AND(#REF!,"AAAAAH96rrc=")</f>
        <v>#REF!</v>
      </c>
      <c r="GC535" t="e">
        <f>AND(#REF!,"AAAAAH96rrg=")</f>
        <v>#REF!</v>
      </c>
      <c r="GD535" t="e">
        <f>AND(#REF!,"AAAAAH96rrk=")</f>
        <v>#REF!</v>
      </c>
      <c r="GE535" t="e">
        <f>AND(#REF!,"AAAAAH96rro=")</f>
        <v>#REF!</v>
      </c>
      <c r="GF535" t="e">
        <f>AND(#REF!,"AAAAAH96rrs=")</f>
        <v>#REF!</v>
      </c>
      <c r="GG535" t="e">
        <f>AND(#REF!,"AAAAAH96rrw=")</f>
        <v>#REF!</v>
      </c>
      <c r="GH535" t="e">
        <f>AND(#REF!,"AAAAAH96rr0=")</f>
        <v>#REF!</v>
      </c>
      <c r="GI535" t="e">
        <f>AND(#REF!,"AAAAAH96rr4=")</f>
        <v>#REF!</v>
      </c>
      <c r="GJ535" t="e">
        <f>AND(#REF!,"AAAAAH96rr8=")</f>
        <v>#REF!</v>
      </c>
      <c r="GK535" t="e">
        <f>AND(#REF!,"AAAAAH96rsA=")</f>
        <v>#REF!</v>
      </c>
      <c r="GL535" t="e">
        <f>AND(#REF!,"AAAAAH96rsE=")</f>
        <v>#REF!</v>
      </c>
      <c r="GM535" t="e">
        <f>AND(#REF!,"AAAAAH96rsI=")</f>
        <v>#REF!</v>
      </c>
      <c r="GN535" t="e">
        <f>AND(#REF!,"AAAAAH96rsM=")</f>
        <v>#REF!</v>
      </c>
      <c r="GO535" t="e">
        <f>AND(#REF!,"AAAAAH96rsQ=")</f>
        <v>#REF!</v>
      </c>
      <c r="GP535" t="e">
        <f>AND(#REF!,"AAAAAH96rsU=")</f>
        <v>#REF!</v>
      </c>
      <c r="GQ535" t="e">
        <f>AND(#REF!,"AAAAAH96rsY=")</f>
        <v>#REF!</v>
      </c>
      <c r="GR535" t="e">
        <f>AND(#REF!,"AAAAAH96rsc=")</f>
        <v>#REF!</v>
      </c>
      <c r="GS535" t="e">
        <f>AND(#REF!,"AAAAAH96rsg=")</f>
        <v>#REF!</v>
      </c>
      <c r="GT535" t="e">
        <f>AND(#REF!,"AAAAAH96rsk=")</f>
        <v>#REF!</v>
      </c>
      <c r="GU535" t="e">
        <f>AND(#REF!,"AAAAAH96rso=")</f>
        <v>#REF!</v>
      </c>
      <c r="GV535" t="e">
        <f>AND(#REF!,"AAAAAH96rss=")</f>
        <v>#REF!</v>
      </c>
      <c r="GW535" t="e">
        <f>AND(#REF!,"AAAAAH96rsw=")</f>
        <v>#REF!</v>
      </c>
      <c r="GX535" t="e">
        <f>AND(#REF!,"AAAAAH96rs0=")</f>
        <v>#REF!</v>
      </c>
      <c r="GY535" t="e">
        <f>IF(#REF!,"AAAAAH96rs4=",0)</f>
        <v>#REF!</v>
      </c>
      <c r="GZ535" t="e">
        <f>AND(#REF!,"AAAAAH96rs8=")</f>
        <v>#REF!</v>
      </c>
      <c r="HA535" t="e">
        <f>AND(#REF!,"AAAAAH96rtA=")</f>
        <v>#REF!</v>
      </c>
      <c r="HB535" t="e">
        <f>AND(#REF!,"AAAAAH96rtE=")</f>
        <v>#REF!</v>
      </c>
      <c r="HC535" t="e">
        <f>AND(#REF!,"AAAAAH96rtI=")</f>
        <v>#REF!</v>
      </c>
      <c r="HD535" t="e">
        <f>AND(#REF!,"AAAAAH96rtM=")</f>
        <v>#REF!</v>
      </c>
      <c r="HE535" t="e">
        <f>AND(#REF!,"AAAAAH96rtQ=")</f>
        <v>#REF!</v>
      </c>
      <c r="HF535" t="e">
        <f>AND(#REF!,"AAAAAH96rtU=")</f>
        <v>#REF!</v>
      </c>
      <c r="HG535" t="e">
        <f>AND(#REF!,"AAAAAH96rtY=")</f>
        <v>#REF!</v>
      </c>
      <c r="HH535" t="e">
        <f>AND(#REF!,"AAAAAH96rtc=")</f>
        <v>#REF!</v>
      </c>
      <c r="HI535" t="e">
        <f>AND(#REF!,"AAAAAH96rtg=")</f>
        <v>#REF!</v>
      </c>
      <c r="HJ535" t="e">
        <f>AND(#REF!,"AAAAAH96rtk=")</f>
        <v>#REF!</v>
      </c>
      <c r="HK535" t="e">
        <f>AND(#REF!,"AAAAAH96rto=")</f>
        <v>#REF!</v>
      </c>
      <c r="HL535" t="e">
        <f>AND(#REF!,"AAAAAH96rts=")</f>
        <v>#REF!</v>
      </c>
      <c r="HM535" t="e">
        <f>AND(#REF!,"AAAAAH96rtw=")</f>
        <v>#REF!</v>
      </c>
      <c r="HN535" t="e">
        <f>AND(#REF!,"AAAAAH96rt0=")</f>
        <v>#REF!</v>
      </c>
      <c r="HO535" t="e">
        <f>AND(#REF!,"AAAAAH96rt4=")</f>
        <v>#REF!</v>
      </c>
      <c r="HP535" t="e">
        <f>AND(#REF!,"AAAAAH96rt8=")</f>
        <v>#REF!</v>
      </c>
      <c r="HQ535" t="e">
        <f>AND(#REF!,"AAAAAH96ruA=")</f>
        <v>#REF!</v>
      </c>
      <c r="HR535" t="e">
        <f>AND(#REF!,"AAAAAH96ruE=")</f>
        <v>#REF!</v>
      </c>
      <c r="HS535" t="e">
        <f>AND(#REF!,"AAAAAH96ruI=")</f>
        <v>#REF!</v>
      </c>
      <c r="HT535" t="e">
        <f>AND(#REF!,"AAAAAH96ruM=")</f>
        <v>#REF!</v>
      </c>
      <c r="HU535" t="e">
        <f>AND(#REF!,"AAAAAH96ruQ=")</f>
        <v>#REF!</v>
      </c>
      <c r="HV535" t="e">
        <f>AND(#REF!,"AAAAAH96ruU=")</f>
        <v>#REF!</v>
      </c>
      <c r="HW535" t="e">
        <f>AND(#REF!,"AAAAAH96ruY=")</f>
        <v>#REF!</v>
      </c>
      <c r="HX535" t="e">
        <f>IF(#REF!,"AAAAAH96ruc=",0)</f>
        <v>#REF!</v>
      </c>
      <c r="HY535" t="e">
        <f>AND(#REF!,"AAAAAH96rug=")</f>
        <v>#REF!</v>
      </c>
      <c r="HZ535" t="e">
        <f>AND(#REF!,"AAAAAH96ruk=")</f>
        <v>#REF!</v>
      </c>
      <c r="IA535" t="e">
        <f>AND(#REF!,"AAAAAH96ruo=")</f>
        <v>#REF!</v>
      </c>
      <c r="IB535" t="e">
        <f>AND(#REF!,"AAAAAH96rus=")</f>
        <v>#REF!</v>
      </c>
      <c r="IC535" t="e">
        <f>AND(#REF!,"AAAAAH96ruw=")</f>
        <v>#REF!</v>
      </c>
      <c r="ID535" t="e">
        <f>AND(#REF!,"AAAAAH96ru0=")</f>
        <v>#REF!</v>
      </c>
      <c r="IE535" t="e">
        <f>AND(#REF!,"AAAAAH96ru4=")</f>
        <v>#REF!</v>
      </c>
      <c r="IF535" t="e">
        <f>AND(#REF!,"AAAAAH96ru8=")</f>
        <v>#REF!</v>
      </c>
      <c r="IG535" t="e">
        <f>AND(#REF!,"AAAAAH96rvA=")</f>
        <v>#REF!</v>
      </c>
      <c r="IH535" t="e">
        <f>AND(#REF!,"AAAAAH96rvE=")</f>
        <v>#REF!</v>
      </c>
      <c r="II535" t="e">
        <f>AND(#REF!,"AAAAAH96rvI=")</f>
        <v>#REF!</v>
      </c>
      <c r="IJ535" t="e">
        <f>AND(#REF!,"AAAAAH96rvM=")</f>
        <v>#REF!</v>
      </c>
      <c r="IK535" t="e">
        <f>AND(#REF!,"AAAAAH96rvQ=")</f>
        <v>#REF!</v>
      </c>
      <c r="IL535" t="e">
        <f>AND(#REF!,"AAAAAH96rvU=")</f>
        <v>#REF!</v>
      </c>
      <c r="IM535" t="e">
        <f>AND(#REF!,"AAAAAH96rvY=")</f>
        <v>#REF!</v>
      </c>
      <c r="IN535" t="e">
        <f>AND(#REF!,"AAAAAH96rvc=")</f>
        <v>#REF!</v>
      </c>
      <c r="IO535" t="e">
        <f>AND(#REF!,"AAAAAH96rvg=")</f>
        <v>#REF!</v>
      </c>
      <c r="IP535" t="e">
        <f>AND(#REF!,"AAAAAH96rvk=")</f>
        <v>#REF!</v>
      </c>
      <c r="IQ535" t="e">
        <f>AND(#REF!,"AAAAAH96rvo=")</f>
        <v>#REF!</v>
      </c>
      <c r="IR535" t="e">
        <f>AND(#REF!,"AAAAAH96rvs=")</f>
        <v>#REF!</v>
      </c>
      <c r="IS535" t="e">
        <f>AND(#REF!,"AAAAAH96rvw=")</f>
        <v>#REF!</v>
      </c>
      <c r="IT535" t="e">
        <f>AND(#REF!,"AAAAAH96rv0=")</f>
        <v>#REF!</v>
      </c>
      <c r="IU535" t="e">
        <f>AND(#REF!,"AAAAAH96rv4=")</f>
        <v>#REF!</v>
      </c>
      <c r="IV535" t="e">
        <f>AND(#REF!,"AAAAAH96rv8=")</f>
        <v>#REF!</v>
      </c>
    </row>
    <row r="536" spans="1:256">
      <c r="A536" t="e">
        <f>IF(#REF!,"AAAAAHfqPQA=",0)</f>
        <v>#REF!</v>
      </c>
      <c r="B536" t="e">
        <f>AND(#REF!,"AAAAAHfqPQE=")</f>
        <v>#REF!</v>
      </c>
      <c r="C536" t="e">
        <f>AND(#REF!,"AAAAAHfqPQI=")</f>
        <v>#REF!</v>
      </c>
      <c r="D536" t="e">
        <f>AND(#REF!,"AAAAAHfqPQM=")</f>
        <v>#REF!</v>
      </c>
      <c r="E536" t="e">
        <f>AND(#REF!,"AAAAAHfqPQQ=")</f>
        <v>#REF!</v>
      </c>
      <c r="F536" t="e">
        <f>AND(#REF!,"AAAAAHfqPQU=")</f>
        <v>#REF!</v>
      </c>
      <c r="G536" t="e">
        <f>AND(#REF!,"AAAAAHfqPQY=")</f>
        <v>#REF!</v>
      </c>
      <c r="H536" t="e">
        <f>AND(#REF!,"AAAAAHfqPQc=")</f>
        <v>#REF!</v>
      </c>
      <c r="I536" t="e">
        <f>AND(#REF!,"AAAAAHfqPQg=")</f>
        <v>#REF!</v>
      </c>
      <c r="J536" t="e">
        <f>AND(#REF!,"AAAAAHfqPQk=")</f>
        <v>#REF!</v>
      </c>
      <c r="K536" t="e">
        <f>AND(#REF!,"AAAAAHfqPQo=")</f>
        <v>#REF!</v>
      </c>
      <c r="L536" t="e">
        <f>AND(#REF!,"AAAAAHfqPQs=")</f>
        <v>#REF!</v>
      </c>
      <c r="M536" t="e">
        <f>AND(#REF!,"AAAAAHfqPQw=")</f>
        <v>#REF!</v>
      </c>
      <c r="N536" t="e">
        <f>AND(#REF!,"AAAAAHfqPQ0=")</f>
        <v>#REF!</v>
      </c>
      <c r="O536" t="e">
        <f>AND(#REF!,"AAAAAHfqPQ4=")</f>
        <v>#REF!</v>
      </c>
      <c r="P536" t="e">
        <f>AND(#REF!,"AAAAAHfqPQ8=")</f>
        <v>#REF!</v>
      </c>
      <c r="Q536" t="e">
        <f>AND(#REF!,"AAAAAHfqPRA=")</f>
        <v>#REF!</v>
      </c>
      <c r="R536" t="e">
        <f>AND(#REF!,"AAAAAHfqPRE=")</f>
        <v>#REF!</v>
      </c>
      <c r="S536" t="e">
        <f>AND(#REF!,"AAAAAHfqPRI=")</f>
        <v>#REF!</v>
      </c>
      <c r="T536" t="e">
        <f>AND(#REF!,"AAAAAHfqPRM=")</f>
        <v>#REF!</v>
      </c>
      <c r="U536" t="e">
        <f>AND(#REF!,"AAAAAHfqPRQ=")</f>
        <v>#REF!</v>
      </c>
      <c r="V536" t="e">
        <f>AND(#REF!,"AAAAAHfqPRU=")</f>
        <v>#REF!</v>
      </c>
      <c r="W536" t="e">
        <f>AND(#REF!,"AAAAAHfqPRY=")</f>
        <v>#REF!</v>
      </c>
      <c r="X536" t="e">
        <f>AND(#REF!,"AAAAAHfqPRc=")</f>
        <v>#REF!</v>
      </c>
      <c r="Y536" t="e">
        <f>AND(#REF!,"AAAAAHfqPRg=")</f>
        <v>#REF!</v>
      </c>
      <c r="Z536" t="e">
        <f>IF(#REF!,"AAAAAHfqPRk=",0)</f>
        <v>#REF!</v>
      </c>
      <c r="AA536" t="e">
        <f>AND(#REF!,"AAAAAHfqPRo=")</f>
        <v>#REF!</v>
      </c>
      <c r="AB536" t="e">
        <f>AND(#REF!,"AAAAAHfqPRs=")</f>
        <v>#REF!</v>
      </c>
      <c r="AC536" t="e">
        <f>AND(#REF!,"AAAAAHfqPRw=")</f>
        <v>#REF!</v>
      </c>
      <c r="AD536" t="e">
        <f>AND(#REF!,"AAAAAHfqPR0=")</f>
        <v>#REF!</v>
      </c>
      <c r="AE536" t="e">
        <f>AND(#REF!,"AAAAAHfqPR4=")</f>
        <v>#REF!</v>
      </c>
      <c r="AF536" t="e">
        <f>AND(#REF!,"AAAAAHfqPR8=")</f>
        <v>#REF!</v>
      </c>
      <c r="AG536" t="e">
        <f>AND(#REF!,"AAAAAHfqPSA=")</f>
        <v>#REF!</v>
      </c>
      <c r="AH536" t="e">
        <f>AND(#REF!,"AAAAAHfqPSE=")</f>
        <v>#REF!</v>
      </c>
      <c r="AI536" t="e">
        <f>AND(#REF!,"AAAAAHfqPSI=")</f>
        <v>#REF!</v>
      </c>
      <c r="AJ536" t="e">
        <f>AND(#REF!,"AAAAAHfqPSM=")</f>
        <v>#REF!</v>
      </c>
      <c r="AK536" t="e">
        <f>AND(#REF!,"AAAAAHfqPSQ=")</f>
        <v>#REF!</v>
      </c>
      <c r="AL536" t="e">
        <f>AND(#REF!,"AAAAAHfqPSU=")</f>
        <v>#REF!</v>
      </c>
      <c r="AM536" t="e">
        <f>AND(#REF!,"AAAAAHfqPSY=")</f>
        <v>#REF!</v>
      </c>
      <c r="AN536" t="e">
        <f>AND(#REF!,"AAAAAHfqPSc=")</f>
        <v>#REF!</v>
      </c>
      <c r="AO536" t="e">
        <f>AND(#REF!,"AAAAAHfqPSg=")</f>
        <v>#REF!</v>
      </c>
      <c r="AP536" t="e">
        <f>AND(#REF!,"AAAAAHfqPSk=")</f>
        <v>#REF!</v>
      </c>
      <c r="AQ536" t="e">
        <f>AND(#REF!,"AAAAAHfqPSo=")</f>
        <v>#REF!</v>
      </c>
      <c r="AR536" t="e">
        <f>AND(#REF!,"AAAAAHfqPSs=")</f>
        <v>#REF!</v>
      </c>
      <c r="AS536" t="e">
        <f>AND(#REF!,"AAAAAHfqPSw=")</f>
        <v>#REF!</v>
      </c>
      <c r="AT536" t="e">
        <f>AND(#REF!,"AAAAAHfqPS0=")</f>
        <v>#REF!</v>
      </c>
      <c r="AU536" t="e">
        <f>AND(#REF!,"AAAAAHfqPS4=")</f>
        <v>#REF!</v>
      </c>
      <c r="AV536" t="e">
        <f>AND(#REF!,"AAAAAHfqPS8=")</f>
        <v>#REF!</v>
      </c>
      <c r="AW536" t="e">
        <f>AND(#REF!,"AAAAAHfqPTA=")</f>
        <v>#REF!</v>
      </c>
      <c r="AX536" t="e">
        <f>AND(#REF!,"AAAAAHfqPTE=")</f>
        <v>#REF!</v>
      </c>
      <c r="AY536" t="e">
        <f>IF(#REF!,"AAAAAHfqPTI=",0)</f>
        <v>#REF!</v>
      </c>
      <c r="AZ536" t="e">
        <f>AND(#REF!,"AAAAAHfqPTM=")</f>
        <v>#REF!</v>
      </c>
      <c r="BA536" t="e">
        <f>AND(#REF!,"AAAAAHfqPTQ=")</f>
        <v>#REF!</v>
      </c>
      <c r="BB536" t="e">
        <f>AND(#REF!,"AAAAAHfqPTU=")</f>
        <v>#REF!</v>
      </c>
      <c r="BC536" t="e">
        <f>AND(#REF!,"AAAAAHfqPTY=")</f>
        <v>#REF!</v>
      </c>
      <c r="BD536" t="e">
        <f>AND(#REF!,"AAAAAHfqPTc=")</f>
        <v>#REF!</v>
      </c>
      <c r="BE536" t="e">
        <f>AND(#REF!,"AAAAAHfqPTg=")</f>
        <v>#REF!</v>
      </c>
      <c r="BF536" t="e">
        <f>AND(#REF!,"AAAAAHfqPTk=")</f>
        <v>#REF!</v>
      </c>
      <c r="BG536" t="e">
        <f>AND(#REF!,"AAAAAHfqPTo=")</f>
        <v>#REF!</v>
      </c>
      <c r="BH536" t="e">
        <f>AND(#REF!,"AAAAAHfqPTs=")</f>
        <v>#REF!</v>
      </c>
      <c r="BI536" t="e">
        <f>AND(#REF!,"AAAAAHfqPTw=")</f>
        <v>#REF!</v>
      </c>
      <c r="BJ536" t="e">
        <f>AND(#REF!,"AAAAAHfqPT0=")</f>
        <v>#REF!</v>
      </c>
      <c r="BK536" t="e">
        <f>AND(#REF!,"AAAAAHfqPT4=")</f>
        <v>#REF!</v>
      </c>
      <c r="BL536" t="e">
        <f>AND(#REF!,"AAAAAHfqPT8=")</f>
        <v>#REF!</v>
      </c>
      <c r="BM536" t="e">
        <f>AND(#REF!,"AAAAAHfqPUA=")</f>
        <v>#REF!</v>
      </c>
      <c r="BN536" t="e">
        <f>AND(#REF!,"AAAAAHfqPUE=")</f>
        <v>#REF!</v>
      </c>
      <c r="BO536" t="e">
        <f>AND(#REF!,"AAAAAHfqPUI=")</f>
        <v>#REF!</v>
      </c>
      <c r="BP536" t="e">
        <f>AND(#REF!,"AAAAAHfqPUM=")</f>
        <v>#REF!</v>
      </c>
      <c r="BQ536" t="e">
        <f>AND(#REF!,"AAAAAHfqPUQ=")</f>
        <v>#REF!</v>
      </c>
      <c r="BR536" t="e">
        <f>AND(#REF!,"AAAAAHfqPUU=")</f>
        <v>#REF!</v>
      </c>
      <c r="BS536" t="e">
        <f>AND(#REF!,"AAAAAHfqPUY=")</f>
        <v>#REF!</v>
      </c>
      <c r="BT536" t="e">
        <f>AND(#REF!,"AAAAAHfqPUc=")</f>
        <v>#REF!</v>
      </c>
      <c r="BU536" t="e">
        <f>AND(#REF!,"AAAAAHfqPUg=")</f>
        <v>#REF!</v>
      </c>
      <c r="BV536" t="e">
        <f>AND(#REF!,"AAAAAHfqPUk=")</f>
        <v>#REF!</v>
      </c>
      <c r="BW536" t="e">
        <f>AND(#REF!,"AAAAAHfqPUo=")</f>
        <v>#REF!</v>
      </c>
      <c r="BX536" t="e">
        <f>IF(#REF!,"AAAAAHfqPUs=",0)</f>
        <v>#REF!</v>
      </c>
      <c r="BY536" t="e">
        <f>AND(#REF!,"AAAAAHfqPUw=")</f>
        <v>#REF!</v>
      </c>
      <c r="BZ536" t="e">
        <f>AND(#REF!,"AAAAAHfqPU0=")</f>
        <v>#REF!</v>
      </c>
      <c r="CA536" t="e">
        <f>AND(#REF!,"AAAAAHfqPU4=")</f>
        <v>#REF!</v>
      </c>
      <c r="CB536" t="e">
        <f>AND(#REF!,"AAAAAHfqPU8=")</f>
        <v>#REF!</v>
      </c>
      <c r="CC536" t="e">
        <f>AND(#REF!,"AAAAAHfqPVA=")</f>
        <v>#REF!</v>
      </c>
      <c r="CD536" t="e">
        <f>AND(#REF!,"AAAAAHfqPVE=")</f>
        <v>#REF!</v>
      </c>
      <c r="CE536" t="e">
        <f>AND(#REF!,"AAAAAHfqPVI=")</f>
        <v>#REF!</v>
      </c>
      <c r="CF536" t="e">
        <f>AND(#REF!,"AAAAAHfqPVM=")</f>
        <v>#REF!</v>
      </c>
      <c r="CG536" t="e">
        <f>AND(#REF!,"AAAAAHfqPVQ=")</f>
        <v>#REF!</v>
      </c>
      <c r="CH536" t="e">
        <f>AND(#REF!,"AAAAAHfqPVU=")</f>
        <v>#REF!</v>
      </c>
      <c r="CI536" t="e">
        <f>AND(#REF!,"AAAAAHfqPVY=")</f>
        <v>#REF!</v>
      </c>
      <c r="CJ536" t="e">
        <f>AND(#REF!,"AAAAAHfqPVc=")</f>
        <v>#REF!</v>
      </c>
      <c r="CK536" t="e">
        <f>AND(#REF!,"AAAAAHfqPVg=")</f>
        <v>#REF!</v>
      </c>
      <c r="CL536" t="e">
        <f>AND(#REF!,"AAAAAHfqPVk=")</f>
        <v>#REF!</v>
      </c>
      <c r="CM536" t="e">
        <f>AND(#REF!,"AAAAAHfqPVo=")</f>
        <v>#REF!</v>
      </c>
      <c r="CN536" t="e">
        <f>AND(#REF!,"AAAAAHfqPVs=")</f>
        <v>#REF!</v>
      </c>
      <c r="CO536" t="e">
        <f>AND(#REF!,"AAAAAHfqPVw=")</f>
        <v>#REF!</v>
      </c>
      <c r="CP536" t="e">
        <f>AND(#REF!,"AAAAAHfqPV0=")</f>
        <v>#REF!</v>
      </c>
      <c r="CQ536" t="e">
        <f>AND(#REF!,"AAAAAHfqPV4=")</f>
        <v>#REF!</v>
      </c>
      <c r="CR536" t="e">
        <f>AND(#REF!,"AAAAAHfqPV8=")</f>
        <v>#REF!</v>
      </c>
      <c r="CS536" t="e">
        <f>AND(#REF!,"AAAAAHfqPWA=")</f>
        <v>#REF!</v>
      </c>
      <c r="CT536" t="e">
        <f>AND(#REF!,"AAAAAHfqPWE=")</f>
        <v>#REF!</v>
      </c>
      <c r="CU536" t="e">
        <f>AND(#REF!,"AAAAAHfqPWI=")</f>
        <v>#REF!</v>
      </c>
      <c r="CV536" t="e">
        <f>AND(#REF!,"AAAAAHfqPWM=")</f>
        <v>#REF!</v>
      </c>
      <c r="CW536" t="e">
        <f>IF(#REF!,"AAAAAHfqPWQ=",0)</f>
        <v>#REF!</v>
      </c>
      <c r="CX536" t="e">
        <f>AND(#REF!,"AAAAAHfqPWU=")</f>
        <v>#REF!</v>
      </c>
      <c r="CY536" t="e">
        <f>AND(#REF!,"AAAAAHfqPWY=")</f>
        <v>#REF!</v>
      </c>
      <c r="CZ536" t="e">
        <f>AND(#REF!,"AAAAAHfqPWc=")</f>
        <v>#REF!</v>
      </c>
      <c r="DA536" t="e">
        <f>AND(#REF!,"AAAAAHfqPWg=")</f>
        <v>#REF!</v>
      </c>
      <c r="DB536" t="e">
        <f>AND(#REF!,"AAAAAHfqPWk=")</f>
        <v>#REF!</v>
      </c>
      <c r="DC536" t="e">
        <f>AND(#REF!,"AAAAAHfqPWo=")</f>
        <v>#REF!</v>
      </c>
      <c r="DD536" t="e">
        <f>AND(#REF!,"AAAAAHfqPWs=")</f>
        <v>#REF!</v>
      </c>
      <c r="DE536" t="e">
        <f>AND(#REF!,"AAAAAHfqPWw=")</f>
        <v>#REF!</v>
      </c>
      <c r="DF536" t="e">
        <f>AND(#REF!,"AAAAAHfqPW0=")</f>
        <v>#REF!</v>
      </c>
      <c r="DG536" t="e">
        <f>AND(#REF!,"AAAAAHfqPW4=")</f>
        <v>#REF!</v>
      </c>
      <c r="DH536" t="e">
        <f>AND(#REF!,"AAAAAHfqPW8=")</f>
        <v>#REF!</v>
      </c>
      <c r="DI536" t="e">
        <f>AND(#REF!,"AAAAAHfqPXA=")</f>
        <v>#REF!</v>
      </c>
      <c r="DJ536" t="e">
        <f>AND(#REF!,"AAAAAHfqPXE=")</f>
        <v>#REF!</v>
      </c>
      <c r="DK536" t="e">
        <f>AND(#REF!,"AAAAAHfqPXI=")</f>
        <v>#REF!</v>
      </c>
      <c r="DL536" t="e">
        <f>AND(#REF!,"AAAAAHfqPXM=")</f>
        <v>#REF!</v>
      </c>
      <c r="DM536" t="e">
        <f>AND(#REF!,"AAAAAHfqPXQ=")</f>
        <v>#REF!</v>
      </c>
      <c r="DN536" t="e">
        <f>AND(#REF!,"AAAAAHfqPXU=")</f>
        <v>#REF!</v>
      </c>
      <c r="DO536" t="e">
        <f>AND(#REF!,"AAAAAHfqPXY=")</f>
        <v>#REF!</v>
      </c>
      <c r="DP536" t="e">
        <f>AND(#REF!,"AAAAAHfqPXc=")</f>
        <v>#REF!</v>
      </c>
      <c r="DQ536" t="e">
        <f>AND(#REF!,"AAAAAHfqPXg=")</f>
        <v>#REF!</v>
      </c>
      <c r="DR536" t="e">
        <f>AND(#REF!,"AAAAAHfqPXk=")</f>
        <v>#REF!</v>
      </c>
      <c r="DS536" t="e">
        <f>AND(#REF!,"AAAAAHfqPXo=")</f>
        <v>#REF!</v>
      </c>
      <c r="DT536" t="e">
        <f>AND(#REF!,"AAAAAHfqPXs=")</f>
        <v>#REF!</v>
      </c>
      <c r="DU536" t="e">
        <f>AND(#REF!,"AAAAAHfqPXw=")</f>
        <v>#REF!</v>
      </c>
      <c r="DV536" t="e">
        <f>IF(#REF!,"AAAAAHfqPX0=",0)</f>
        <v>#REF!</v>
      </c>
      <c r="DW536" t="e">
        <f>AND(#REF!,"AAAAAHfqPX4=")</f>
        <v>#REF!</v>
      </c>
      <c r="DX536" t="e">
        <f>AND(#REF!,"AAAAAHfqPX8=")</f>
        <v>#REF!</v>
      </c>
      <c r="DY536" t="e">
        <f>AND(#REF!,"AAAAAHfqPYA=")</f>
        <v>#REF!</v>
      </c>
      <c r="DZ536" t="e">
        <f>AND(#REF!,"AAAAAHfqPYE=")</f>
        <v>#REF!</v>
      </c>
      <c r="EA536" t="e">
        <f>AND(#REF!,"AAAAAHfqPYI=")</f>
        <v>#REF!</v>
      </c>
      <c r="EB536" t="e">
        <f>AND(#REF!,"AAAAAHfqPYM=")</f>
        <v>#REF!</v>
      </c>
      <c r="EC536" t="e">
        <f>AND(#REF!,"AAAAAHfqPYQ=")</f>
        <v>#REF!</v>
      </c>
      <c r="ED536" t="e">
        <f>AND(#REF!,"AAAAAHfqPYU=")</f>
        <v>#REF!</v>
      </c>
      <c r="EE536" t="e">
        <f>AND(#REF!,"AAAAAHfqPYY=")</f>
        <v>#REF!</v>
      </c>
      <c r="EF536" t="e">
        <f>AND(#REF!,"AAAAAHfqPYc=")</f>
        <v>#REF!</v>
      </c>
      <c r="EG536" t="e">
        <f>AND(#REF!,"AAAAAHfqPYg=")</f>
        <v>#REF!</v>
      </c>
      <c r="EH536" t="e">
        <f>AND(#REF!,"AAAAAHfqPYk=")</f>
        <v>#REF!</v>
      </c>
      <c r="EI536" t="e">
        <f>AND(#REF!,"AAAAAHfqPYo=")</f>
        <v>#REF!</v>
      </c>
      <c r="EJ536" t="e">
        <f>AND(#REF!,"AAAAAHfqPYs=")</f>
        <v>#REF!</v>
      </c>
      <c r="EK536" t="e">
        <f>AND(#REF!,"AAAAAHfqPYw=")</f>
        <v>#REF!</v>
      </c>
      <c r="EL536" t="e">
        <f>AND(#REF!,"AAAAAHfqPY0=")</f>
        <v>#REF!</v>
      </c>
      <c r="EM536" t="e">
        <f>AND(#REF!,"AAAAAHfqPY4=")</f>
        <v>#REF!</v>
      </c>
      <c r="EN536" t="e">
        <f>AND(#REF!,"AAAAAHfqPY8=")</f>
        <v>#REF!</v>
      </c>
      <c r="EO536" t="e">
        <f>AND(#REF!,"AAAAAHfqPZA=")</f>
        <v>#REF!</v>
      </c>
      <c r="EP536" t="e">
        <f>AND(#REF!,"AAAAAHfqPZE=")</f>
        <v>#REF!</v>
      </c>
      <c r="EQ536" t="e">
        <f>AND(#REF!,"AAAAAHfqPZI=")</f>
        <v>#REF!</v>
      </c>
      <c r="ER536" t="e">
        <f>AND(#REF!,"AAAAAHfqPZM=")</f>
        <v>#REF!</v>
      </c>
      <c r="ES536" t="e">
        <f>AND(#REF!,"AAAAAHfqPZQ=")</f>
        <v>#REF!</v>
      </c>
      <c r="ET536" t="e">
        <f>AND(#REF!,"AAAAAHfqPZU=")</f>
        <v>#REF!</v>
      </c>
      <c r="EU536" t="e">
        <f>IF(#REF!,"AAAAAHfqPZY=",0)</f>
        <v>#REF!</v>
      </c>
      <c r="EV536" t="e">
        <f>AND(#REF!,"AAAAAHfqPZc=")</f>
        <v>#REF!</v>
      </c>
      <c r="EW536" t="e">
        <f>AND(#REF!,"AAAAAHfqPZg=")</f>
        <v>#REF!</v>
      </c>
      <c r="EX536" t="e">
        <f>AND(#REF!,"AAAAAHfqPZk=")</f>
        <v>#REF!</v>
      </c>
      <c r="EY536" t="e">
        <f>AND(#REF!,"AAAAAHfqPZo=")</f>
        <v>#REF!</v>
      </c>
      <c r="EZ536" t="e">
        <f>AND(#REF!,"AAAAAHfqPZs=")</f>
        <v>#REF!</v>
      </c>
      <c r="FA536" t="e">
        <f>AND(#REF!,"AAAAAHfqPZw=")</f>
        <v>#REF!</v>
      </c>
      <c r="FB536" t="e">
        <f>AND(#REF!,"AAAAAHfqPZ0=")</f>
        <v>#REF!</v>
      </c>
      <c r="FC536" t="e">
        <f>AND(#REF!,"AAAAAHfqPZ4=")</f>
        <v>#REF!</v>
      </c>
      <c r="FD536" t="e">
        <f>AND(#REF!,"AAAAAHfqPZ8=")</f>
        <v>#REF!</v>
      </c>
      <c r="FE536" t="e">
        <f>AND(#REF!,"AAAAAHfqPaA=")</f>
        <v>#REF!</v>
      </c>
      <c r="FF536" t="e">
        <f>AND(#REF!,"AAAAAHfqPaE=")</f>
        <v>#REF!</v>
      </c>
      <c r="FG536" t="e">
        <f>AND(#REF!,"AAAAAHfqPaI=")</f>
        <v>#REF!</v>
      </c>
      <c r="FH536" t="e">
        <f>AND(#REF!,"AAAAAHfqPaM=")</f>
        <v>#REF!</v>
      </c>
      <c r="FI536" t="e">
        <f>AND(#REF!,"AAAAAHfqPaQ=")</f>
        <v>#REF!</v>
      </c>
      <c r="FJ536" t="e">
        <f>AND(#REF!,"AAAAAHfqPaU=")</f>
        <v>#REF!</v>
      </c>
      <c r="FK536" t="e">
        <f>AND(#REF!,"AAAAAHfqPaY=")</f>
        <v>#REF!</v>
      </c>
      <c r="FL536" t="e">
        <f>AND(#REF!,"AAAAAHfqPac=")</f>
        <v>#REF!</v>
      </c>
      <c r="FM536" t="e">
        <f>AND(#REF!,"AAAAAHfqPag=")</f>
        <v>#REF!</v>
      </c>
      <c r="FN536" t="e">
        <f>AND(#REF!,"AAAAAHfqPak=")</f>
        <v>#REF!</v>
      </c>
      <c r="FO536" t="e">
        <f>AND(#REF!,"AAAAAHfqPao=")</f>
        <v>#REF!</v>
      </c>
      <c r="FP536" t="e">
        <f>AND(#REF!,"AAAAAHfqPas=")</f>
        <v>#REF!</v>
      </c>
      <c r="FQ536" t="e">
        <f>AND(#REF!,"AAAAAHfqPaw=")</f>
        <v>#REF!</v>
      </c>
      <c r="FR536" t="e">
        <f>AND(#REF!,"AAAAAHfqPa0=")</f>
        <v>#REF!</v>
      </c>
      <c r="FS536" t="e">
        <f>AND(#REF!,"AAAAAHfqPa4=")</f>
        <v>#REF!</v>
      </c>
      <c r="FT536" t="e">
        <f>IF(#REF!,"AAAAAHfqPa8=",0)</f>
        <v>#REF!</v>
      </c>
      <c r="FU536" t="e">
        <f>AND(#REF!,"AAAAAHfqPbA=")</f>
        <v>#REF!</v>
      </c>
      <c r="FV536" t="e">
        <f>AND(#REF!,"AAAAAHfqPbE=")</f>
        <v>#REF!</v>
      </c>
      <c r="FW536" t="e">
        <f>AND(#REF!,"AAAAAHfqPbI=")</f>
        <v>#REF!</v>
      </c>
      <c r="FX536" t="e">
        <f>AND(#REF!,"AAAAAHfqPbM=")</f>
        <v>#REF!</v>
      </c>
      <c r="FY536" t="e">
        <f>AND(#REF!,"AAAAAHfqPbQ=")</f>
        <v>#REF!</v>
      </c>
      <c r="FZ536" t="e">
        <f>AND(#REF!,"AAAAAHfqPbU=")</f>
        <v>#REF!</v>
      </c>
      <c r="GA536" t="e">
        <f>AND(#REF!,"AAAAAHfqPbY=")</f>
        <v>#REF!</v>
      </c>
      <c r="GB536" t="e">
        <f>AND(#REF!,"AAAAAHfqPbc=")</f>
        <v>#REF!</v>
      </c>
      <c r="GC536" t="e">
        <f>AND(#REF!,"AAAAAHfqPbg=")</f>
        <v>#REF!</v>
      </c>
      <c r="GD536" t="e">
        <f>AND(#REF!,"AAAAAHfqPbk=")</f>
        <v>#REF!</v>
      </c>
      <c r="GE536" t="e">
        <f>AND(#REF!,"AAAAAHfqPbo=")</f>
        <v>#REF!</v>
      </c>
      <c r="GF536" t="e">
        <f>AND(#REF!,"AAAAAHfqPbs=")</f>
        <v>#REF!</v>
      </c>
      <c r="GG536" t="e">
        <f>AND(#REF!,"AAAAAHfqPbw=")</f>
        <v>#REF!</v>
      </c>
      <c r="GH536" t="e">
        <f>AND(#REF!,"AAAAAHfqPb0=")</f>
        <v>#REF!</v>
      </c>
      <c r="GI536" t="e">
        <f>AND(#REF!,"AAAAAHfqPb4=")</f>
        <v>#REF!</v>
      </c>
      <c r="GJ536" t="e">
        <f>AND(#REF!,"AAAAAHfqPb8=")</f>
        <v>#REF!</v>
      </c>
      <c r="GK536" t="e">
        <f>AND(#REF!,"AAAAAHfqPcA=")</f>
        <v>#REF!</v>
      </c>
      <c r="GL536" t="e">
        <f>AND(#REF!,"AAAAAHfqPcE=")</f>
        <v>#REF!</v>
      </c>
      <c r="GM536" t="e">
        <f>AND(#REF!,"AAAAAHfqPcI=")</f>
        <v>#REF!</v>
      </c>
      <c r="GN536" t="e">
        <f>AND(#REF!,"AAAAAHfqPcM=")</f>
        <v>#REF!</v>
      </c>
      <c r="GO536" t="e">
        <f>AND(#REF!,"AAAAAHfqPcQ=")</f>
        <v>#REF!</v>
      </c>
      <c r="GP536" t="e">
        <f>AND(#REF!,"AAAAAHfqPcU=")</f>
        <v>#REF!</v>
      </c>
      <c r="GQ536" t="e">
        <f>AND(#REF!,"AAAAAHfqPcY=")</f>
        <v>#REF!</v>
      </c>
      <c r="GR536" t="e">
        <f>AND(#REF!,"AAAAAHfqPcc=")</f>
        <v>#REF!</v>
      </c>
      <c r="GS536" t="e">
        <f>IF(#REF!,"AAAAAHfqPcg=",0)</f>
        <v>#REF!</v>
      </c>
      <c r="GT536" t="e">
        <f>AND(#REF!,"AAAAAHfqPck=")</f>
        <v>#REF!</v>
      </c>
      <c r="GU536" t="e">
        <f>AND(#REF!,"AAAAAHfqPco=")</f>
        <v>#REF!</v>
      </c>
      <c r="GV536" t="e">
        <f>AND(#REF!,"AAAAAHfqPcs=")</f>
        <v>#REF!</v>
      </c>
      <c r="GW536" t="e">
        <f>AND(#REF!,"AAAAAHfqPcw=")</f>
        <v>#REF!</v>
      </c>
      <c r="GX536" t="e">
        <f>AND(#REF!,"AAAAAHfqPc0=")</f>
        <v>#REF!</v>
      </c>
      <c r="GY536" t="e">
        <f>AND(#REF!,"AAAAAHfqPc4=")</f>
        <v>#REF!</v>
      </c>
      <c r="GZ536" t="e">
        <f>AND(#REF!,"AAAAAHfqPc8=")</f>
        <v>#REF!</v>
      </c>
      <c r="HA536" t="e">
        <f>AND(#REF!,"AAAAAHfqPdA=")</f>
        <v>#REF!</v>
      </c>
      <c r="HB536" t="e">
        <f>AND(#REF!,"AAAAAHfqPdE=")</f>
        <v>#REF!</v>
      </c>
      <c r="HC536" t="e">
        <f>AND(#REF!,"AAAAAHfqPdI=")</f>
        <v>#REF!</v>
      </c>
      <c r="HD536" t="e">
        <f>AND(#REF!,"AAAAAHfqPdM=")</f>
        <v>#REF!</v>
      </c>
      <c r="HE536" t="e">
        <f>AND(#REF!,"AAAAAHfqPdQ=")</f>
        <v>#REF!</v>
      </c>
      <c r="HF536" t="e">
        <f>AND(#REF!,"AAAAAHfqPdU=")</f>
        <v>#REF!</v>
      </c>
      <c r="HG536" t="e">
        <f>AND(#REF!,"AAAAAHfqPdY=")</f>
        <v>#REF!</v>
      </c>
      <c r="HH536" t="e">
        <f>AND(#REF!,"AAAAAHfqPdc=")</f>
        <v>#REF!</v>
      </c>
      <c r="HI536" t="e">
        <f>AND(#REF!,"AAAAAHfqPdg=")</f>
        <v>#REF!</v>
      </c>
      <c r="HJ536" t="e">
        <f>AND(#REF!,"AAAAAHfqPdk=")</f>
        <v>#REF!</v>
      </c>
      <c r="HK536" t="e">
        <f>AND(#REF!,"AAAAAHfqPdo=")</f>
        <v>#REF!</v>
      </c>
      <c r="HL536" t="e">
        <f>AND(#REF!,"AAAAAHfqPds=")</f>
        <v>#REF!</v>
      </c>
      <c r="HM536" t="e">
        <f>AND(#REF!,"AAAAAHfqPdw=")</f>
        <v>#REF!</v>
      </c>
      <c r="HN536" t="e">
        <f>AND(#REF!,"AAAAAHfqPd0=")</f>
        <v>#REF!</v>
      </c>
      <c r="HO536" t="e">
        <f>AND(#REF!,"AAAAAHfqPd4=")</f>
        <v>#REF!</v>
      </c>
      <c r="HP536" t="e">
        <f>AND(#REF!,"AAAAAHfqPd8=")</f>
        <v>#REF!</v>
      </c>
      <c r="HQ536" t="e">
        <f>AND(#REF!,"AAAAAHfqPeA=")</f>
        <v>#REF!</v>
      </c>
      <c r="HR536" t="e">
        <f>IF(#REF!,"AAAAAHfqPeE=",0)</f>
        <v>#REF!</v>
      </c>
      <c r="HS536" t="e">
        <f>AND(#REF!,"AAAAAHfqPeI=")</f>
        <v>#REF!</v>
      </c>
      <c r="HT536" t="e">
        <f>AND(#REF!,"AAAAAHfqPeM=")</f>
        <v>#REF!</v>
      </c>
      <c r="HU536" t="e">
        <f>AND(#REF!,"AAAAAHfqPeQ=")</f>
        <v>#REF!</v>
      </c>
      <c r="HV536" t="e">
        <f>AND(#REF!,"AAAAAHfqPeU=")</f>
        <v>#REF!</v>
      </c>
      <c r="HW536" t="e">
        <f>AND(#REF!,"AAAAAHfqPeY=")</f>
        <v>#REF!</v>
      </c>
      <c r="HX536" t="e">
        <f>AND(#REF!,"AAAAAHfqPec=")</f>
        <v>#REF!</v>
      </c>
      <c r="HY536" t="e">
        <f>AND(#REF!,"AAAAAHfqPeg=")</f>
        <v>#REF!</v>
      </c>
      <c r="HZ536" t="e">
        <f>AND(#REF!,"AAAAAHfqPek=")</f>
        <v>#REF!</v>
      </c>
      <c r="IA536" t="e">
        <f>AND(#REF!,"AAAAAHfqPeo=")</f>
        <v>#REF!</v>
      </c>
      <c r="IB536" t="e">
        <f>AND(#REF!,"AAAAAHfqPes=")</f>
        <v>#REF!</v>
      </c>
      <c r="IC536" t="e">
        <f>AND(#REF!,"AAAAAHfqPew=")</f>
        <v>#REF!</v>
      </c>
      <c r="ID536" t="e">
        <f>AND(#REF!,"AAAAAHfqPe0=")</f>
        <v>#REF!</v>
      </c>
      <c r="IE536" t="e">
        <f>AND(#REF!,"AAAAAHfqPe4=")</f>
        <v>#REF!</v>
      </c>
      <c r="IF536" t="e">
        <f>AND(#REF!,"AAAAAHfqPe8=")</f>
        <v>#REF!</v>
      </c>
      <c r="IG536" t="e">
        <f>AND(#REF!,"AAAAAHfqPfA=")</f>
        <v>#REF!</v>
      </c>
      <c r="IH536" t="e">
        <f>AND(#REF!,"AAAAAHfqPfE=")</f>
        <v>#REF!</v>
      </c>
      <c r="II536" t="e">
        <f>AND(#REF!,"AAAAAHfqPfI=")</f>
        <v>#REF!</v>
      </c>
      <c r="IJ536" t="e">
        <f>AND(#REF!,"AAAAAHfqPfM=")</f>
        <v>#REF!</v>
      </c>
      <c r="IK536" t="e">
        <f>AND(#REF!,"AAAAAHfqPfQ=")</f>
        <v>#REF!</v>
      </c>
      <c r="IL536" t="e">
        <f>AND(#REF!,"AAAAAHfqPfU=")</f>
        <v>#REF!</v>
      </c>
      <c r="IM536" t="e">
        <f>AND(#REF!,"AAAAAHfqPfY=")</f>
        <v>#REF!</v>
      </c>
      <c r="IN536" t="e">
        <f>AND(#REF!,"AAAAAHfqPfc=")</f>
        <v>#REF!</v>
      </c>
      <c r="IO536" t="e">
        <f>AND(#REF!,"AAAAAHfqPfg=")</f>
        <v>#REF!</v>
      </c>
      <c r="IP536" t="e">
        <f>AND(#REF!,"AAAAAHfqPfk=")</f>
        <v>#REF!</v>
      </c>
      <c r="IQ536" t="e">
        <f>IF(#REF!,"AAAAAHfqPfo=",0)</f>
        <v>#REF!</v>
      </c>
      <c r="IR536" t="e">
        <f>AND(#REF!,"AAAAAHfqPfs=")</f>
        <v>#REF!</v>
      </c>
      <c r="IS536" t="e">
        <f>AND(#REF!,"AAAAAHfqPfw=")</f>
        <v>#REF!</v>
      </c>
      <c r="IT536" t="e">
        <f>AND(#REF!,"AAAAAHfqPf0=")</f>
        <v>#REF!</v>
      </c>
      <c r="IU536" t="e">
        <f>AND(#REF!,"AAAAAHfqPf4=")</f>
        <v>#REF!</v>
      </c>
      <c r="IV536" t="e">
        <f>AND(#REF!,"AAAAAHfqPf8=")</f>
        <v>#REF!</v>
      </c>
    </row>
    <row r="537" spans="1:256">
      <c r="A537" t="e">
        <f>AND(#REF!,"AAAAAH+z/QA=")</f>
        <v>#REF!</v>
      </c>
      <c r="B537" t="e">
        <f>AND(#REF!,"AAAAAH+z/QE=")</f>
        <v>#REF!</v>
      </c>
      <c r="C537" t="e">
        <f>AND(#REF!,"AAAAAH+z/QI=")</f>
        <v>#REF!</v>
      </c>
      <c r="D537" t="e">
        <f>AND(#REF!,"AAAAAH+z/QM=")</f>
        <v>#REF!</v>
      </c>
      <c r="E537" t="e">
        <f>AND(#REF!,"AAAAAH+z/QQ=")</f>
        <v>#REF!</v>
      </c>
      <c r="F537" t="e">
        <f>AND(#REF!,"AAAAAH+z/QU=")</f>
        <v>#REF!</v>
      </c>
      <c r="G537" t="e">
        <f>AND(#REF!,"AAAAAH+z/QY=")</f>
        <v>#REF!</v>
      </c>
      <c r="H537" t="e">
        <f>AND(#REF!,"AAAAAH+z/Qc=")</f>
        <v>#REF!</v>
      </c>
      <c r="I537" t="e">
        <f>AND(#REF!,"AAAAAH+z/Qg=")</f>
        <v>#REF!</v>
      </c>
      <c r="J537" t="e">
        <f>AND(#REF!,"AAAAAH+z/Qk=")</f>
        <v>#REF!</v>
      </c>
      <c r="K537" t="e">
        <f>AND(#REF!,"AAAAAH+z/Qo=")</f>
        <v>#REF!</v>
      </c>
      <c r="L537" t="e">
        <f>AND(#REF!,"AAAAAH+z/Qs=")</f>
        <v>#REF!</v>
      </c>
      <c r="M537" t="e">
        <f>AND(#REF!,"AAAAAH+z/Qw=")</f>
        <v>#REF!</v>
      </c>
      <c r="N537" t="e">
        <f>AND(#REF!,"AAAAAH+z/Q0=")</f>
        <v>#REF!</v>
      </c>
      <c r="O537" t="e">
        <f>AND(#REF!,"AAAAAH+z/Q4=")</f>
        <v>#REF!</v>
      </c>
      <c r="P537" t="e">
        <f>AND(#REF!,"AAAAAH+z/Q8=")</f>
        <v>#REF!</v>
      </c>
      <c r="Q537" t="e">
        <f>AND(#REF!,"AAAAAH+z/RA=")</f>
        <v>#REF!</v>
      </c>
      <c r="R537" t="e">
        <f>AND(#REF!,"AAAAAH+z/RE=")</f>
        <v>#REF!</v>
      </c>
      <c r="S537" t="e">
        <f>AND(#REF!,"AAAAAH+z/RI=")</f>
        <v>#REF!</v>
      </c>
      <c r="T537" t="e">
        <f>IF(#REF!,"AAAAAH+z/RM=",0)</f>
        <v>#REF!</v>
      </c>
      <c r="U537" t="e">
        <f>AND(#REF!,"AAAAAH+z/RQ=")</f>
        <v>#REF!</v>
      </c>
      <c r="V537" t="e">
        <f>AND(#REF!,"AAAAAH+z/RU=")</f>
        <v>#REF!</v>
      </c>
      <c r="W537" t="e">
        <f>AND(#REF!,"AAAAAH+z/RY=")</f>
        <v>#REF!</v>
      </c>
      <c r="X537" t="e">
        <f>AND(#REF!,"AAAAAH+z/Rc=")</f>
        <v>#REF!</v>
      </c>
      <c r="Y537" t="e">
        <f>AND(#REF!,"AAAAAH+z/Rg=")</f>
        <v>#REF!</v>
      </c>
      <c r="Z537" t="e">
        <f>AND(#REF!,"AAAAAH+z/Rk=")</f>
        <v>#REF!</v>
      </c>
      <c r="AA537" t="e">
        <f>AND(#REF!,"AAAAAH+z/Ro=")</f>
        <v>#REF!</v>
      </c>
      <c r="AB537" t="e">
        <f>AND(#REF!,"AAAAAH+z/Rs=")</f>
        <v>#REF!</v>
      </c>
      <c r="AC537" t="e">
        <f>AND(#REF!,"AAAAAH+z/Rw=")</f>
        <v>#REF!</v>
      </c>
      <c r="AD537" t="e">
        <f>AND(#REF!,"AAAAAH+z/R0=")</f>
        <v>#REF!</v>
      </c>
      <c r="AE537" t="e">
        <f>AND(#REF!,"AAAAAH+z/R4=")</f>
        <v>#REF!</v>
      </c>
      <c r="AF537" t="e">
        <f>AND(#REF!,"AAAAAH+z/R8=")</f>
        <v>#REF!</v>
      </c>
      <c r="AG537" t="e">
        <f>AND(#REF!,"AAAAAH+z/SA=")</f>
        <v>#REF!</v>
      </c>
      <c r="AH537" t="e">
        <f>AND(#REF!,"AAAAAH+z/SE=")</f>
        <v>#REF!</v>
      </c>
      <c r="AI537" t="e">
        <f>AND(#REF!,"AAAAAH+z/SI=")</f>
        <v>#REF!</v>
      </c>
      <c r="AJ537" t="e">
        <f>AND(#REF!,"AAAAAH+z/SM=")</f>
        <v>#REF!</v>
      </c>
      <c r="AK537" t="e">
        <f>AND(#REF!,"AAAAAH+z/SQ=")</f>
        <v>#REF!</v>
      </c>
      <c r="AL537" t="e">
        <f>AND(#REF!,"AAAAAH+z/SU=")</f>
        <v>#REF!</v>
      </c>
      <c r="AM537" t="e">
        <f>AND(#REF!,"AAAAAH+z/SY=")</f>
        <v>#REF!</v>
      </c>
      <c r="AN537" t="e">
        <f>AND(#REF!,"AAAAAH+z/Sc=")</f>
        <v>#REF!</v>
      </c>
      <c r="AO537" t="e">
        <f>AND(#REF!,"AAAAAH+z/Sg=")</f>
        <v>#REF!</v>
      </c>
      <c r="AP537" t="e">
        <f>AND(#REF!,"AAAAAH+z/Sk=")</f>
        <v>#REF!</v>
      </c>
      <c r="AQ537" t="e">
        <f>AND(#REF!,"AAAAAH+z/So=")</f>
        <v>#REF!</v>
      </c>
      <c r="AR537" t="e">
        <f>AND(#REF!,"AAAAAH+z/Ss=")</f>
        <v>#REF!</v>
      </c>
      <c r="AS537" t="e">
        <f>IF(#REF!,"AAAAAH+z/Sw=",0)</f>
        <v>#REF!</v>
      </c>
      <c r="AT537" t="e">
        <f>AND(#REF!,"AAAAAH+z/S0=")</f>
        <v>#REF!</v>
      </c>
      <c r="AU537" t="e">
        <f>AND(#REF!,"AAAAAH+z/S4=")</f>
        <v>#REF!</v>
      </c>
      <c r="AV537" t="e">
        <f>AND(#REF!,"AAAAAH+z/S8=")</f>
        <v>#REF!</v>
      </c>
      <c r="AW537" t="e">
        <f>AND(#REF!,"AAAAAH+z/TA=")</f>
        <v>#REF!</v>
      </c>
      <c r="AX537" t="e">
        <f>AND(#REF!,"AAAAAH+z/TE=")</f>
        <v>#REF!</v>
      </c>
      <c r="AY537" t="e">
        <f>AND(#REF!,"AAAAAH+z/TI=")</f>
        <v>#REF!</v>
      </c>
      <c r="AZ537" t="e">
        <f>AND(#REF!,"AAAAAH+z/TM=")</f>
        <v>#REF!</v>
      </c>
      <c r="BA537" t="e">
        <f>AND(#REF!,"AAAAAH+z/TQ=")</f>
        <v>#REF!</v>
      </c>
      <c r="BB537" t="e">
        <f>AND(#REF!,"AAAAAH+z/TU=")</f>
        <v>#REF!</v>
      </c>
      <c r="BC537" t="e">
        <f>AND(#REF!,"AAAAAH+z/TY=")</f>
        <v>#REF!</v>
      </c>
      <c r="BD537" t="e">
        <f>AND(#REF!,"AAAAAH+z/Tc=")</f>
        <v>#REF!</v>
      </c>
      <c r="BE537" t="e">
        <f>AND(#REF!,"AAAAAH+z/Tg=")</f>
        <v>#REF!</v>
      </c>
      <c r="BF537" t="e">
        <f>AND(#REF!,"AAAAAH+z/Tk=")</f>
        <v>#REF!</v>
      </c>
      <c r="BG537" t="e">
        <f>AND(#REF!,"AAAAAH+z/To=")</f>
        <v>#REF!</v>
      </c>
      <c r="BH537" t="e">
        <f>AND(#REF!,"AAAAAH+z/Ts=")</f>
        <v>#REF!</v>
      </c>
      <c r="BI537" t="e">
        <f>AND(#REF!,"AAAAAH+z/Tw=")</f>
        <v>#REF!</v>
      </c>
      <c r="BJ537" t="e">
        <f>AND(#REF!,"AAAAAH+z/T0=")</f>
        <v>#REF!</v>
      </c>
      <c r="BK537" t="e">
        <f>AND(#REF!,"AAAAAH+z/T4=")</f>
        <v>#REF!</v>
      </c>
      <c r="BL537" t="e">
        <f>AND(#REF!,"AAAAAH+z/T8=")</f>
        <v>#REF!</v>
      </c>
      <c r="BM537" t="e">
        <f>AND(#REF!,"AAAAAH+z/UA=")</f>
        <v>#REF!</v>
      </c>
      <c r="BN537" t="e">
        <f>AND(#REF!,"AAAAAH+z/UE=")</f>
        <v>#REF!</v>
      </c>
      <c r="BO537" t="e">
        <f>AND(#REF!,"AAAAAH+z/UI=")</f>
        <v>#REF!</v>
      </c>
      <c r="BP537" t="e">
        <f>AND(#REF!,"AAAAAH+z/UM=")</f>
        <v>#REF!</v>
      </c>
      <c r="BQ537" t="e">
        <f>AND(#REF!,"AAAAAH+z/UQ=")</f>
        <v>#REF!</v>
      </c>
      <c r="BR537" t="e">
        <f>IF(#REF!,"AAAAAH+z/UU=",0)</f>
        <v>#REF!</v>
      </c>
      <c r="BS537" t="e">
        <f>AND(#REF!,"AAAAAH+z/UY=")</f>
        <v>#REF!</v>
      </c>
      <c r="BT537" t="e">
        <f>AND(#REF!,"AAAAAH+z/Uc=")</f>
        <v>#REF!</v>
      </c>
      <c r="BU537" t="e">
        <f>AND(#REF!,"AAAAAH+z/Ug=")</f>
        <v>#REF!</v>
      </c>
      <c r="BV537" t="e">
        <f>AND(#REF!,"AAAAAH+z/Uk=")</f>
        <v>#REF!</v>
      </c>
      <c r="BW537" t="e">
        <f>AND(#REF!,"AAAAAH+z/Uo=")</f>
        <v>#REF!</v>
      </c>
      <c r="BX537" t="e">
        <f>AND(#REF!,"AAAAAH+z/Us=")</f>
        <v>#REF!</v>
      </c>
      <c r="BY537" t="e">
        <f>AND(#REF!,"AAAAAH+z/Uw=")</f>
        <v>#REF!</v>
      </c>
      <c r="BZ537" t="e">
        <f>AND(#REF!,"AAAAAH+z/U0=")</f>
        <v>#REF!</v>
      </c>
      <c r="CA537" t="e">
        <f>AND(#REF!,"AAAAAH+z/U4=")</f>
        <v>#REF!</v>
      </c>
      <c r="CB537" t="e">
        <f>AND(#REF!,"AAAAAH+z/U8=")</f>
        <v>#REF!</v>
      </c>
      <c r="CC537" t="e">
        <f>AND(#REF!,"AAAAAH+z/VA=")</f>
        <v>#REF!</v>
      </c>
      <c r="CD537" t="e">
        <f>AND(#REF!,"AAAAAH+z/VE=")</f>
        <v>#REF!</v>
      </c>
      <c r="CE537" t="e">
        <f>AND(#REF!,"AAAAAH+z/VI=")</f>
        <v>#REF!</v>
      </c>
      <c r="CF537" t="e">
        <f>AND(#REF!,"AAAAAH+z/VM=")</f>
        <v>#REF!</v>
      </c>
      <c r="CG537" t="e">
        <f>AND(#REF!,"AAAAAH+z/VQ=")</f>
        <v>#REF!</v>
      </c>
      <c r="CH537" t="e">
        <f>AND(#REF!,"AAAAAH+z/VU=")</f>
        <v>#REF!</v>
      </c>
      <c r="CI537" t="e">
        <f>AND(#REF!,"AAAAAH+z/VY=")</f>
        <v>#REF!</v>
      </c>
      <c r="CJ537" t="e">
        <f>AND(#REF!,"AAAAAH+z/Vc=")</f>
        <v>#REF!</v>
      </c>
      <c r="CK537" t="e">
        <f>AND(#REF!,"AAAAAH+z/Vg=")</f>
        <v>#REF!</v>
      </c>
      <c r="CL537" t="e">
        <f>AND(#REF!,"AAAAAH+z/Vk=")</f>
        <v>#REF!</v>
      </c>
      <c r="CM537" t="e">
        <f>AND(#REF!,"AAAAAH+z/Vo=")</f>
        <v>#REF!</v>
      </c>
      <c r="CN537" t="e">
        <f>AND(#REF!,"AAAAAH+z/Vs=")</f>
        <v>#REF!</v>
      </c>
      <c r="CO537" t="e">
        <f>AND(#REF!,"AAAAAH+z/Vw=")</f>
        <v>#REF!</v>
      </c>
      <c r="CP537" t="e">
        <f>AND(#REF!,"AAAAAH+z/V0=")</f>
        <v>#REF!</v>
      </c>
      <c r="CQ537" t="e">
        <f>IF(#REF!,"AAAAAH+z/V4=",0)</f>
        <v>#REF!</v>
      </c>
      <c r="CR537" t="e">
        <f>AND(#REF!,"AAAAAH+z/V8=")</f>
        <v>#REF!</v>
      </c>
      <c r="CS537" t="e">
        <f>AND(#REF!,"AAAAAH+z/WA=")</f>
        <v>#REF!</v>
      </c>
      <c r="CT537" t="e">
        <f>AND(#REF!,"AAAAAH+z/WE=")</f>
        <v>#REF!</v>
      </c>
      <c r="CU537" t="e">
        <f>AND(#REF!,"AAAAAH+z/WI=")</f>
        <v>#REF!</v>
      </c>
      <c r="CV537" t="e">
        <f>AND(#REF!,"AAAAAH+z/WM=")</f>
        <v>#REF!</v>
      </c>
      <c r="CW537" t="e">
        <f>AND(#REF!,"AAAAAH+z/WQ=")</f>
        <v>#REF!</v>
      </c>
      <c r="CX537" t="e">
        <f>AND(#REF!,"AAAAAH+z/WU=")</f>
        <v>#REF!</v>
      </c>
      <c r="CY537" t="e">
        <f>AND(#REF!,"AAAAAH+z/WY=")</f>
        <v>#REF!</v>
      </c>
      <c r="CZ537" t="e">
        <f>AND(#REF!,"AAAAAH+z/Wc=")</f>
        <v>#REF!</v>
      </c>
      <c r="DA537" t="e">
        <f>AND(#REF!,"AAAAAH+z/Wg=")</f>
        <v>#REF!</v>
      </c>
      <c r="DB537" t="e">
        <f>AND(#REF!,"AAAAAH+z/Wk=")</f>
        <v>#REF!</v>
      </c>
      <c r="DC537" t="e">
        <f>AND(#REF!,"AAAAAH+z/Wo=")</f>
        <v>#REF!</v>
      </c>
      <c r="DD537" t="e">
        <f>AND(#REF!,"AAAAAH+z/Ws=")</f>
        <v>#REF!</v>
      </c>
      <c r="DE537" t="e">
        <f>AND(#REF!,"AAAAAH+z/Ww=")</f>
        <v>#REF!</v>
      </c>
      <c r="DF537" t="e">
        <f>AND(#REF!,"AAAAAH+z/W0=")</f>
        <v>#REF!</v>
      </c>
      <c r="DG537" t="e">
        <f>AND(#REF!,"AAAAAH+z/W4=")</f>
        <v>#REF!</v>
      </c>
      <c r="DH537" t="e">
        <f>AND(#REF!,"AAAAAH+z/W8=")</f>
        <v>#REF!</v>
      </c>
      <c r="DI537" t="e">
        <f>AND(#REF!,"AAAAAH+z/XA=")</f>
        <v>#REF!</v>
      </c>
      <c r="DJ537" t="e">
        <f>AND(#REF!,"AAAAAH+z/XE=")</f>
        <v>#REF!</v>
      </c>
      <c r="DK537" t="e">
        <f>AND(#REF!,"AAAAAH+z/XI=")</f>
        <v>#REF!</v>
      </c>
      <c r="DL537" t="e">
        <f>AND(#REF!,"AAAAAH+z/XM=")</f>
        <v>#REF!</v>
      </c>
      <c r="DM537" t="e">
        <f>AND(#REF!,"AAAAAH+z/XQ=")</f>
        <v>#REF!</v>
      </c>
      <c r="DN537" t="e">
        <f>AND(#REF!,"AAAAAH+z/XU=")</f>
        <v>#REF!</v>
      </c>
      <c r="DO537" t="e">
        <f>AND(#REF!,"AAAAAH+z/XY=")</f>
        <v>#REF!</v>
      </c>
      <c r="DP537" t="e">
        <f>IF(#REF!,"AAAAAH+z/Xc=",0)</f>
        <v>#REF!</v>
      </c>
      <c r="DQ537" t="e">
        <f>AND(#REF!,"AAAAAH+z/Xg=")</f>
        <v>#REF!</v>
      </c>
      <c r="DR537" t="e">
        <f>AND(#REF!,"AAAAAH+z/Xk=")</f>
        <v>#REF!</v>
      </c>
      <c r="DS537" t="e">
        <f>AND(#REF!,"AAAAAH+z/Xo=")</f>
        <v>#REF!</v>
      </c>
      <c r="DT537" t="e">
        <f>AND(#REF!,"AAAAAH+z/Xs=")</f>
        <v>#REF!</v>
      </c>
      <c r="DU537" t="e">
        <f>AND(#REF!,"AAAAAH+z/Xw=")</f>
        <v>#REF!</v>
      </c>
      <c r="DV537" t="e">
        <f>AND(#REF!,"AAAAAH+z/X0=")</f>
        <v>#REF!</v>
      </c>
      <c r="DW537" t="e">
        <f>AND(#REF!,"AAAAAH+z/X4=")</f>
        <v>#REF!</v>
      </c>
      <c r="DX537" t="e">
        <f>AND(#REF!,"AAAAAH+z/X8=")</f>
        <v>#REF!</v>
      </c>
      <c r="DY537" t="e">
        <f>AND(#REF!,"AAAAAH+z/YA=")</f>
        <v>#REF!</v>
      </c>
      <c r="DZ537" t="e">
        <f>AND(#REF!,"AAAAAH+z/YE=")</f>
        <v>#REF!</v>
      </c>
      <c r="EA537" t="e">
        <f>AND(#REF!,"AAAAAH+z/YI=")</f>
        <v>#REF!</v>
      </c>
      <c r="EB537" t="e">
        <f>AND(#REF!,"AAAAAH+z/YM=")</f>
        <v>#REF!</v>
      </c>
      <c r="EC537" t="e">
        <f>AND(#REF!,"AAAAAH+z/YQ=")</f>
        <v>#REF!</v>
      </c>
      <c r="ED537" t="e">
        <f>AND(#REF!,"AAAAAH+z/YU=")</f>
        <v>#REF!</v>
      </c>
      <c r="EE537" t="e">
        <f>AND(#REF!,"AAAAAH+z/YY=")</f>
        <v>#REF!</v>
      </c>
      <c r="EF537" t="e">
        <f>AND(#REF!,"AAAAAH+z/Yc=")</f>
        <v>#REF!</v>
      </c>
      <c r="EG537" t="e">
        <f>AND(#REF!,"AAAAAH+z/Yg=")</f>
        <v>#REF!</v>
      </c>
      <c r="EH537" t="e">
        <f>AND(#REF!,"AAAAAH+z/Yk=")</f>
        <v>#REF!</v>
      </c>
      <c r="EI537" t="e">
        <f>AND(#REF!,"AAAAAH+z/Yo=")</f>
        <v>#REF!</v>
      </c>
      <c r="EJ537" t="e">
        <f>AND(#REF!,"AAAAAH+z/Ys=")</f>
        <v>#REF!</v>
      </c>
      <c r="EK537" t="e">
        <f>AND(#REF!,"AAAAAH+z/Yw=")</f>
        <v>#REF!</v>
      </c>
      <c r="EL537" t="e">
        <f>AND(#REF!,"AAAAAH+z/Y0=")</f>
        <v>#REF!</v>
      </c>
      <c r="EM537" t="e">
        <f>AND(#REF!,"AAAAAH+z/Y4=")</f>
        <v>#REF!</v>
      </c>
      <c r="EN537" t="e">
        <f>AND(#REF!,"AAAAAH+z/Y8=")</f>
        <v>#REF!</v>
      </c>
      <c r="EO537" t="e">
        <f>IF(#REF!,"AAAAAH+z/ZA=",0)</f>
        <v>#REF!</v>
      </c>
      <c r="EP537" t="e">
        <f>AND(#REF!,"AAAAAH+z/ZE=")</f>
        <v>#REF!</v>
      </c>
      <c r="EQ537" t="e">
        <f>AND(#REF!,"AAAAAH+z/ZI=")</f>
        <v>#REF!</v>
      </c>
      <c r="ER537" t="e">
        <f>AND(#REF!,"AAAAAH+z/ZM=")</f>
        <v>#REF!</v>
      </c>
      <c r="ES537" t="e">
        <f>AND(#REF!,"AAAAAH+z/ZQ=")</f>
        <v>#REF!</v>
      </c>
      <c r="ET537" t="e">
        <f>AND(#REF!,"AAAAAH+z/ZU=")</f>
        <v>#REF!</v>
      </c>
      <c r="EU537" t="e">
        <f>AND(#REF!,"AAAAAH+z/ZY=")</f>
        <v>#REF!</v>
      </c>
      <c r="EV537" t="e">
        <f>AND(#REF!,"AAAAAH+z/Zc=")</f>
        <v>#REF!</v>
      </c>
      <c r="EW537" t="e">
        <f>AND(#REF!,"AAAAAH+z/Zg=")</f>
        <v>#REF!</v>
      </c>
      <c r="EX537" t="e">
        <f>AND(#REF!,"AAAAAH+z/Zk=")</f>
        <v>#REF!</v>
      </c>
      <c r="EY537" t="e">
        <f>AND(#REF!,"AAAAAH+z/Zo=")</f>
        <v>#REF!</v>
      </c>
      <c r="EZ537" t="e">
        <f>AND(#REF!,"AAAAAH+z/Zs=")</f>
        <v>#REF!</v>
      </c>
      <c r="FA537" t="e">
        <f>AND(#REF!,"AAAAAH+z/Zw=")</f>
        <v>#REF!</v>
      </c>
      <c r="FB537" t="e">
        <f>AND(#REF!,"AAAAAH+z/Z0=")</f>
        <v>#REF!</v>
      </c>
      <c r="FC537" t="e">
        <f>AND(#REF!,"AAAAAH+z/Z4=")</f>
        <v>#REF!</v>
      </c>
      <c r="FD537" t="e">
        <f>AND(#REF!,"AAAAAH+z/Z8=")</f>
        <v>#REF!</v>
      </c>
      <c r="FE537" t="e">
        <f>AND(#REF!,"AAAAAH+z/aA=")</f>
        <v>#REF!</v>
      </c>
      <c r="FF537" t="e">
        <f>AND(#REF!,"AAAAAH+z/aE=")</f>
        <v>#REF!</v>
      </c>
      <c r="FG537" t="e">
        <f>AND(#REF!,"AAAAAH+z/aI=")</f>
        <v>#REF!</v>
      </c>
      <c r="FH537" t="e">
        <f>AND(#REF!,"AAAAAH+z/aM=")</f>
        <v>#REF!</v>
      </c>
      <c r="FI537" t="e">
        <f>AND(#REF!,"AAAAAH+z/aQ=")</f>
        <v>#REF!</v>
      </c>
      <c r="FJ537" t="e">
        <f>AND(#REF!,"AAAAAH+z/aU=")</f>
        <v>#REF!</v>
      </c>
      <c r="FK537" t="e">
        <f>AND(#REF!,"AAAAAH+z/aY=")</f>
        <v>#REF!</v>
      </c>
      <c r="FL537" t="e">
        <f>AND(#REF!,"AAAAAH+z/ac=")</f>
        <v>#REF!</v>
      </c>
      <c r="FM537" t="e">
        <f>AND(#REF!,"AAAAAH+z/ag=")</f>
        <v>#REF!</v>
      </c>
      <c r="FN537" t="e">
        <f>IF(#REF!,"AAAAAH+z/ak=",0)</f>
        <v>#REF!</v>
      </c>
      <c r="FO537" t="e">
        <f>AND(#REF!,"AAAAAH+z/ao=")</f>
        <v>#REF!</v>
      </c>
      <c r="FP537" t="e">
        <f>AND(#REF!,"AAAAAH+z/as=")</f>
        <v>#REF!</v>
      </c>
      <c r="FQ537" t="e">
        <f>AND(#REF!,"AAAAAH+z/aw=")</f>
        <v>#REF!</v>
      </c>
      <c r="FR537" t="e">
        <f>AND(#REF!,"AAAAAH+z/a0=")</f>
        <v>#REF!</v>
      </c>
      <c r="FS537" t="e">
        <f>AND(#REF!,"AAAAAH+z/a4=")</f>
        <v>#REF!</v>
      </c>
      <c r="FT537" t="e">
        <f>AND(#REF!,"AAAAAH+z/a8=")</f>
        <v>#REF!</v>
      </c>
      <c r="FU537" t="e">
        <f>AND(#REF!,"AAAAAH+z/bA=")</f>
        <v>#REF!</v>
      </c>
      <c r="FV537" t="e">
        <f>AND(#REF!,"AAAAAH+z/bE=")</f>
        <v>#REF!</v>
      </c>
      <c r="FW537" t="e">
        <f>AND(#REF!,"AAAAAH+z/bI=")</f>
        <v>#REF!</v>
      </c>
      <c r="FX537" t="e">
        <f>AND(#REF!,"AAAAAH+z/bM=")</f>
        <v>#REF!</v>
      </c>
      <c r="FY537" t="e">
        <f>AND(#REF!,"AAAAAH+z/bQ=")</f>
        <v>#REF!</v>
      </c>
      <c r="FZ537" t="e">
        <f>AND(#REF!,"AAAAAH+z/bU=")</f>
        <v>#REF!</v>
      </c>
      <c r="GA537" t="e">
        <f>AND(#REF!,"AAAAAH+z/bY=")</f>
        <v>#REF!</v>
      </c>
      <c r="GB537" t="e">
        <f>AND(#REF!,"AAAAAH+z/bc=")</f>
        <v>#REF!</v>
      </c>
      <c r="GC537" t="e">
        <f>AND(#REF!,"AAAAAH+z/bg=")</f>
        <v>#REF!</v>
      </c>
      <c r="GD537" t="e">
        <f>AND(#REF!,"AAAAAH+z/bk=")</f>
        <v>#REF!</v>
      </c>
      <c r="GE537" t="e">
        <f>AND(#REF!,"AAAAAH+z/bo=")</f>
        <v>#REF!</v>
      </c>
      <c r="GF537" t="e">
        <f>AND(#REF!,"AAAAAH+z/bs=")</f>
        <v>#REF!</v>
      </c>
      <c r="GG537" t="e">
        <f>AND(#REF!,"AAAAAH+z/bw=")</f>
        <v>#REF!</v>
      </c>
      <c r="GH537" t="e">
        <f>AND(#REF!,"AAAAAH+z/b0=")</f>
        <v>#REF!</v>
      </c>
      <c r="GI537" t="e">
        <f>AND(#REF!,"AAAAAH+z/b4=")</f>
        <v>#REF!</v>
      </c>
      <c r="GJ537" t="e">
        <f>AND(#REF!,"AAAAAH+z/b8=")</f>
        <v>#REF!</v>
      </c>
      <c r="GK537" t="e">
        <f>AND(#REF!,"AAAAAH+z/cA=")</f>
        <v>#REF!</v>
      </c>
      <c r="GL537" t="e">
        <f>AND(#REF!,"AAAAAH+z/cE=")</f>
        <v>#REF!</v>
      </c>
      <c r="GM537" t="e">
        <f>IF(#REF!,"AAAAAH+z/cI=",0)</f>
        <v>#REF!</v>
      </c>
      <c r="GN537" t="e">
        <f>AND(#REF!,"AAAAAH+z/cM=")</f>
        <v>#REF!</v>
      </c>
      <c r="GO537" t="e">
        <f>AND(#REF!,"AAAAAH+z/cQ=")</f>
        <v>#REF!</v>
      </c>
      <c r="GP537" t="e">
        <f>AND(#REF!,"AAAAAH+z/cU=")</f>
        <v>#REF!</v>
      </c>
      <c r="GQ537" t="e">
        <f>AND(#REF!,"AAAAAH+z/cY=")</f>
        <v>#REF!</v>
      </c>
      <c r="GR537" t="e">
        <f>AND(#REF!,"AAAAAH+z/cc=")</f>
        <v>#REF!</v>
      </c>
      <c r="GS537" t="e">
        <f>AND(#REF!,"AAAAAH+z/cg=")</f>
        <v>#REF!</v>
      </c>
      <c r="GT537" t="e">
        <f>AND(#REF!,"AAAAAH+z/ck=")</f>
        <v>#REF!</v>
      </c>
      <c r="GU537" t="e">
        <f>AND(#REF!,"AAAAAH+z/co=")</f>
        <v>#REF!</v>
      </c>
      <c r="GV537" t="e">
        <f>AND(#REF!,"AAAAAH+z/cs=")</f>
        <v>#REF!</v>
      </c>
      <c r="GW537" t="e">
        <f>AND(#REF!,"AAAAAH+z/cw=")</f>
        <v>#REF!</v>
      </c>
      <c r="GX537" t="e">
        <f>AND(#REF!,"AAAAAH+z/c0=")</f>
        <v>#REF!</v>
      </c>
      <c r="GY537" t="e">
        <f>AND(#REF!,"AAAAAH+z/c4=")</f>
        <v>#REF!</v>
      </c>
      <c r="GZ537" t="e">
        <f>AND(#REF!,"AAAAAH+z/c8=")</f>
        <v>#REF!</v>
      </c>
      <c r="HA537" t="e">
        <f>AND(#REF!,"AAAAAH+z/dA=")</f>
        <v>#REF!</v>
      </c>
      <c r="HB537" t="e">
        <f>AND(#REF!,"AAAAAH+z/dE=")</f>
        <v>#REF!</v>
      </c>
      <c r="HC537" t="e">
        <f>AND(#REF!,"AAAAAH+z/dI=")</f>
        <v>#REF!</v>
      </c>
      <c r="HD537" t="e">
        <f>AND(#REF!,"AAAAAH+z/dM=")</f>
        <v>#REF!</v>
      </c>
      <c r="HE537" t="e">
        <f>AND(#REF!,"AAAAAH+z/dQ=")</f>
        <v>#REF!</v>
      </c>
      <c r="HF537" t="e">
        <f>AND(#REF!,"AAAAAH+z/dU=")</f>
        <v>#REF!</v>
      </c>
      <c r="HG537" t="e">
        <f>AND(#REF!,"AAAAAH+z/dY=")</f>
        <v>#REF!</v>
      </c>
      <c r="HH537" t="e">
        <f>AND(#REF!,"AAAAAH+z/dc=")</f>
        <v>#REF!</v>
      </c>
      <c r="HI537" t="e">
        <f>AND(#REF!,"AAAAAH+z/dg=")</f>
        <v>#REF!</v>
      </c>
      <c r="HJ537" t="e">
        <f>AND(#REF!,"AAAAAH+z/dk=")</f>
        <v>#REF!</v>
      </c>
      <c r="HK537" t="e">
        <f>AND(#REF!,"AAAAAH+z/do=")</f>
        <v>#REF!</v>
      </c>
      <c r="HL537" t="e">
        <f>IF(#REF!,"AAAAAH+z/ds=",0)</f>
        <v>#REF!</v>
      </c>
      <c r="HM537" t="e">
        <f>AND(#REF!,"AAAAAH+z/dw=")</f>
        <v>#REF!</v>
      </c>
      <c r="HN537" t="e">
        <f>AND(#REF!,"AAAAAH+z/d0=")</f>
        <v>#REF!</v>
      </c>
      <c r="HO537" t="e">
        <f>AND(#REF!,"AAAAAH+z/d4=")</f>
        <v>#REF!</v>
      </c>
      <c r="HP537" t="e">
        <f>AND(#REF!,"AAAAAH+z/d8=")</f>
        <v>#REF!</v>
      </c>
      <c r="HQ537" t="e">
        <f>AND(#REF!,"AAAAAH+z/eA=")</f>
        <v>#REF!</v>
      </c>
      <c r="HR537" t="e">
        <f>AND(#REF!,"AAAAAH+z/eE=")</f>
        <v>#REF!</v>
      </c>
      <c r="HS537" t="e">
        <f>AND(#REF!,"AAAAAH+z/eI=")</f>
        <v>#REF!</v>
      </c>
      <c r="HT537" t="e">
        <f>AND(#REF!,"AAAAAH+z/eM=")</f>
        <v>#REF!</v>
      </c>
      <c r="HU537" t="e">
        <f>AND(#REF!,"AAAAAH+z/eQ=")</f>
        <v>#REF!</v>
      </c>
      <c r="HV537" t="e">
        <f>AND(#REF!,"AAAAAH+z/eU=")</f>
        <v>#REF!</v>
      </c>
      <c r="HW537" t="e">
        <f>AND(#REF!,"AAAAAH+z/eY=")</f>
        <v>#REF!</v>
      </c>
      <c r="HX537" t="e">
        <f>AND(#REF!,"AAAAAH+z/ec=")</f>
        <v>#REF!</v>
      </c>
      <c r="HY537" t="e">
        <f>AND(#REF!,"AAAAAH+z/eg=")</f>
        <v>#REF!</v>
      </c>
      <c r="HZ537" t="e">
        <f>AND(#REF!,"AAAAAH+z/ek=")</f>
        <v>#REF!</v>
      </c>
      <c r="IA537" t="e">
        <f>AND(#REF!,"AAAAAH+z/eo=")</f>
        <v>#REF!</v>
      </c>
      <c r="IB537" t="e">
        <f>AND(#REF!,"AAAAAH+z/es=")</f>
        <v>#REF!</v>
      </c>
      <c r="IC537" t="e">
        <f>AND(#REF!,"AAAAAH+z/ew=")</f>
        <v>#REF!</v>
      </c>
      <c r="ID537" t="e">
        <f>AND(#REF!,"AAAAAH+z/e0=")</f>
        <v>#REF!</v>
      </c>
      <c r="IE537" t="e">
        <f>AND(#REF!,"AAAAAH+z/e4=")</f>
        <v>#REF!</v>
      </c>
      <c r="IF537" t="e">
        <f>AND(#REF!,"AAAAAH+z/e8=")</f>
        <v>#REF!</v>
      </c>
      <c r="IG537" t="e">
        <f>AND(#REF!,"AAAAAH+z/fA=")</f>
        <v>#REF!</v>
      </c>
      <c r="IH537" t="e">
        <f>AND(#REF!,"AAAAAH+z/fE=")</f>
        <v>#REF!</v>
      </c>
      <c r="II537" t="e">
        <f>AND(#REF!,"AAAAAH+z/fI=")</f>
        <v>#REF!</v>
      </c>
      <c r="IJ537" t="e">
        <f>AND(#REF!,"AAAAAH+z/fM=")</f>
        <v>#REF!</v>
      </c>
      <c r="IK537" t="e">
        <f>IF(#REF!,"AAAAAH+z/fQ=",0)</f>
        <v>#REF!</v>
      </c>
      <c r="IL537" t="e">
        <f>AND(#REF!,"AAAAAH+z/fU=")</f>
        <v>#REF!</v>
      </c>
      <c r="IM537" t="e">
        <f>AND(#REF!,"AAAAAH+z/fY=")</f>
        <v>#REF!</v>
      </c>
      <c r="IN537" t="e">
        <f>AND(#REF!,"AAAAAH+z/fc=")</f>
        <v>#REF!</v>
      </c>
      <c r="IO537" t="e">
        <f>AND(#REF!,"AAAAAH+z/fg=")</f>
        <v>#REF!</v>
      </c>
      <c r="IP537" t="e">
        <f>AND(#REF!,"AAAAAH+z/fk=")</f>
        <v>#REF!</v>
      </c>
      <c r="IQ537" t="e">
        <f>AND(#REF!,"AAAAAH+z/fo=")</f>
        <v>#REF!</v>
      </c>
      <c r="IR537" t="e">
        <f>AND(#REF!,"AAAAAH+z/fs=")</f>
        <v>#REF!</v>
      </c>
      <c r="IS537" t="e">
        <f>AND(#REF!,"AAAAAH+z/fw=")</f>
        <v>#REF!</v>
      </c>
      <c r="IT537" t="e">
        <f>AND(#REF!,"AAAAAH+z/f0=")</f>
        <v>#REF!</v>
      </c>
      <c r="IU537" t="e">
        <f>AND(#REF!,"AAAAAH+z/f4=")</f>
        <v>#REF!</v>
      </c>
      <c r="IV537" t="e">
        <f>AND(#REF!,"AAAAAH+z/f8=")</f>
        <v>#REF!</v>
      </c>
    </row>
    <row r="538" spans="1:256">
      <c r="A538" t="e">
        <f>AND(#REF!,"AAAAAH/tswA=")</f>
        <v>#REF!</v>
      </c>
      <c r="B538" t="e">
        <f>AND(#REF!,"AAAAAH/tswE=")</f>
        <v>#REF!</v>
      </c>
      <c r="C538" t="e">
        <f>AND(#REF!,"AAAAAH/tswI=")</f>
        <v>#REF!</v>
      </c>
      <c r="D538" t="e">
        <f>AND(#REF!,"AAAAAH/tswM=")</f>
        <v>#REF!</v>
      </c>
      <c r="E538" t="e">
        <f>AND(#REF!,"AAAAAH/tswQ=")</f>
        <v>#REF!</v>
      </c>
      <c r="F538" t="e">
        <f>AND(#REF!,"AAAAAH/tswU=")</f>
        <v>#REF!</v>
      </c>
      <c r="G538" t="e">
        <f>AND(#REF!,"AAAAAH/tswY=")</f>
        <v>#REF!</v>
      </c>
      <c r="H538" t="e">
        <f>AND(#REF!,"AAAAAH/tswc=")</f>
        <v>#REF!</v>
      </c>
      <c r="I538" t="e">
        <f>AND(#REF!,"AAAAAH/tswg=")</f>
        <v>#REF!</v>
      </c>
      <c r="J538" t="e">
        <f>AND(#REF!,"AAAAAH/tswk=")</f>
        <v>#REF!</v>
      </c>
      <c r="K538" t="e">
        <f>AND(#REF!,"AAAAAH/tswo=")</f>
        <v>#REF!</v>
      </c>
      <c r="L538" t="e">
        <f>AND(#REF!,"AAAAAH/tsws=")</f>
        <v>#REF!</v>
      </c>
      <c r="M538" t="e">
        <f>AND(#REF!,"AAAAAH/tsww=")</f>
        <v>#REF!</v>
      </c>
      <c r="N538" t="e">
        <f>IF(#REF!,"AAAAAH/tsw0=",0)</f>
        <v>#REF!</v>
      </c>
      <c r="O538" t="e">
        <f>AND(#REF!,"AAAAAH/tsw4=")</f>
        <v>#REF!</v>
      </c>
      <c r="P538" t="e">
        <f>AND(#REF!,"AAAAAH/tsw8=")</f>
        <v>#REF!</v>
      </c>
      <c r="Q538" t="e">
        <f>AND(#REF!,"AAAAAH/tsxA=")</f>
        <v>#REF!</v>
      </c>
      <c r="R538" t="e">
        <f>AND(#REF!,"AAAAAH/tsxE=")</f>
        <v>#REF!</v>
      </c>
      <c r="S538" t="e">
        <f>AND(#REF!,"AAAAAH/tsxI=")</f>
        <v>#REF!</v>
      </c>
      <c r="T538" t="e">
        <f>AND(#REF!,"AAAAAH/tsxM=")</f>
        <v>#REF!</v>
      </c>
      <c r="U538" t="e">
        <f>AND(#REF!,"AAAAAH/tsxQ=")</f>
        <v>#REF!</v>
      </c>
      <c r="V538" t="e">
        <f>AND(#REF!,"AAAAAH/tsxU=")</f>
        <v>#REF!</v>
      </c>
      <c r="W538" t="e">
        <f>AND(#REF!,"AAAAAH/tsxY=")</f>
        <v>#REF!</v>
      </c>
      <c r="X538" t="e">
        <f>AND(#REF!,"AAAAAH/tsxc=")</f>
        <v>#REF!</v>
      </c>
      <c r="Y538" t="e">
        <f>AND(#REF!,"AAAAAH/tsxg=")</f>
        <v>#REF!</v>
      </c>
      <c r="Z538" t="e">
        <f>AND(#REF!,"AAAAAH/tsxk=")</f>
        <v>#REF!</v>
      </c>
      <c r="AA538" t="e">
        <f>AND(#REF!,"AAAAAH/tsxo=")</f>
        <v>#REF!</v>
      </c>
      <c r="AB538" t="e">
        <f>AND(#REF!,"AAAAAH/tsxs=")</f>
        <v>#REF!</v>
      </c>
      <c r="AC538" t="e">
        <f>AND(#REF!,"AAAAAH/tsxw=")</f>
        <v>#REF!</v>
      </c>
      <c r="AD538" t="e">
        <f>AND(#REF!,"AAAAAH/tsx0=")</f>
        <v>#REF!</v>
      </c>
      <c r="AE538" t="e">
        <f>AND(#REF!,"AAAAAH/tsx4=")</f>
        <v>#REF!</v>
      </c>
      <c r="AF538" t="e">
        <f>AND(#REF!,"AAAAAH/tsx8=")</f>
        <v>#REF!</v>
      </c>
      <c r="AG538" t="e">
        <f>AND(#REF!,"AAAAAH/tsyA=")</f>
        <v>#REF!</v>
      </c>
      <c r="AH538" t="e">
        <f>AND(#REF!,"AAAAAH/tsyE=")</f>
        <v>#REF!</v>
      </c>
      <c r="AI538" t="e">
        <f>AND(#REF!,"AAAAAH/tsyI=")</f>
        <v>#REF!</v>
      </c>
      <c r="AJ538" t="e">
        <f>AND(#REF!,"AAAAAH/tsyM=")</f>
        <v>#REF!</v>
      </c>
      <c r="AK538" t="e">
        <f>AND(#REF!,"AAAAAH/tsyQ=")</f>
        <v>#REF!</v>
      </c>
      <c r="AL538" t="e">
        <f>AND(#REF!,"AAAAAH/tsyU=")</f>
        <v>#REF!</v>
      </c>
      <c r="AM538" t="e">
        <f>IF(#REF!,"AAAAAH/tsyY=",0)</f>
        <v>#REF!</v>
      </c>
      <c r="AN538" t="e">
        <f>AND(#REF!,"AAAAAH/tsyc=")</f>
        <v>#REF!</v>
      </c>
      <c r="AO538" t="e">
        <f>AND(#REF!,"AAAAAH/tsyg=")</f>
        <v>#REF!</v>
      </c>
      <c r="AP538" t="e">
        <f>AND(#REF!,"AAAAAH/tsyk=")</f>
        <v>#REF!</v>
      </c>
      <c r="AQ538" t="e">
        <f>AND(#REF!,"AAAAAH/tsyo=")</f>
        <v>#REF!</v>
      </c>
      <c r="AR538" t="e">
        <f>AND(#REF!,"AAAAAH/tsys=")</f>
        <v>#REF!</v>
      </c>
      <c r="AS538" t="e">
        <f>AND(#REF!,"AAAAAH/tsyw=")</f>
        <v>#REF!</v>
      </c>
      <c r="AT538" t="e">
        <f>AND(#REF!,"AAAAAH/tsy0=")</f>
        <v>#REF!</v>
      </c>
      <c r="AU538" t="e">
        <f>AND(#REF!,"AAAAAH/tsy4=")</f>
        <v>#REF!</v>
      </c>
      <c r="AV538" t="e">
        <f>AND(#REF!,"AAAAAH/tsy8=")</f>
        <v>#REF!</v>
      </c>
      <c r="AW538" t="e">
        <f>AND(#REF!,"AAAAAH/tszA=")</f>
        <v>#REF!</v>
      </c>
      <c r="AX538" t="e">
        <f>AND(#REF!,"AAAAAH/tszE=")</f>
        <v>#REF!</v>
      </c>
      <c r="AY538" t="e">
        <f>AND(#REF!,"AAAAAH/tszI=")</f>
        <v>#REF!</v>
      </c>
      <c r="AZ538" t="e">
        <f>AND(#REF!,"AAAAAH/tszM=")</f>
        <v>#REF!</v>
      </c>
      <c r="BA538" t="e">
        <f>AND(#REF!,"AAAAAH/tszQ=")</f>
        <v>#REF!</v>
      </c>
      <c r="BB538" t="e">
        <f>AND(#REF!,"AAAAAH/tszU=")</f>
        <v>#REF!</v>
      </c>
      <c r="BC538" t="e">
        <f>AND(#REF!,"AAAAAH/tszY=")</f>
        <v>#REF!</v>
      </c>
      <c r="BD538" t="e">
        <f>AND(#REF!,"AAAAAH/tszc=")</f>
        <v>#REF!</v>
      </c>
      <c r="BE538" t="e">
        <f>AND(#REF!,"AAAAAH/tszg=")</f>
        <v>#REF!</v>
      </c>
      <c r="BF538" t="e">
        <f>AND(#REF!,"AAAAAH/tszk=")</f>
        <v>#REF!</v>
      </c>
      <c r="BG538" t="e">
        <f>AND(#REF!,"AAAAAH/tszo=")</f>
        <v>#REF!</v>
      </c>
      <c r="BH538" t="e">
        <f>AND(#REF!,"AAAAAH/tszs=")</f>
        <v>#REF!</v>
      </c>
      <c r="BI538" t="e">
        <f>AND(#REF!,"AAAAAH/tszw=")</f>
        <v>#REF!</v>
      </c>
      <c r="BJ538" t="e">
        <f>AND(#REF!,"AAAAAH/tsz0=")</f>
        <v>#REF!</v>
      </c>
      <c r="BK538" t="e">
        <f>AND(#REF!,"AAAAAH/tsz4=")</f>
        <v>#REF!</v>
      </c>
      <c r="BL538" t="e">
        <f>IF(#REF!,"AAAAAH/tsz8=",0)</f>
        <v>#REF!</v>
      </c>
      <c r="BM538" t="e">
        <f>AND(#REF!,"AAAAAH/ts0A=")</f>
        <v>#REF!</v>
      </c>
      <c r="BN538" t="e">
        <f>AND(#REF!,"AAAAAH/ts0E=")</f>
        <v>#REF!</v>
      </c>
      <c r="BO538" t="e">
        <f>AND(#REF!,"AAAAAH/ts0I=")</f>
        <v>#REF!</v>
      </c>
      <c r="BP538" t="e">
        <f>AND(#REF!,"AAAAAH/ts0M=")</f>
        <v>#REF!</v>
      </c>
      <c r="BQ538" t="e">
        <f>AND(#REF!,"AAAAAH/ts0Q=")</f>
        <v>#REF!</v>
      </c>
      <c r="BR538" t="e">
        <f>AND(#REF!,"AAAAAH/ts0U=")</f>
        <v>#REF!</v>
      </c>
      <c r="BS538" t="e">
        <f>AND(#REF!,"AAAAAH/ts0Y=")</f>
        <v>#REF!</v>
      </c>
      <c r="BT538" t="e">
        <f>AND(#REF!,"AAAAAH/ts0c=")</f>
        <v>#REF!</v>
      </c>
      <c r="BU538" t="e">
        <f>AND(#REF!,"AAAAAH/ts0g=")</f>
        <v>#REF!</v>
      </c>
      <c r="BV538" t="e">
        <f>AND(#REF!,"AAAAAH/ts0k=")</f>
        <v>#REF!</v>
      </c>
      <c r="BW538" t="e">
        <f>AND(#REF!,"AAAAAH/ts0o=")</f>
        <v>#REF!</v>
      </c>
      <c r="BX538" t="e">
        <f>AND(#REF!,"AAAAAH/ts0s=")</f>
        <v>#REF!</v>
      </c>
      <c r="BY538" t="e">
        <f>AND(#REF!,"AAAAAH/ts0w=")</f>
        <v>#REF!</v>
      </c>
      <c r="BZ538" t="e">
        <f>AND(#REF!,"AAAAAH/ts00=")</f>
        <v>#REF!</v>
      </c>
      <c r="CA538" t="e">
        <f>AND(#REF!,"AAAAAH/ts04=")</f>
        <v>#REF!</v>
      </c>
      <c r="CB538" t="e">
        <f>AND(#REF!,"AAAAAH/ts08=")</f>
        <v>#REF!</v>
      </c>
      <c r="CC538" t="e">
        <f>AND(#REF!,"AAAAAH/ts1A=")</f>
        <v>#REF!</v>
      </c>
      <c r="CD538" t="e">
        <f>AND(#REF!,"AAAAAH/ts1E=")</f>
        <v>#REF!</v>
      </c>
      <c r="CE538" t="e">
        <f>AND(#REF!,"AAAAAH/ts1I=")</f>
        <v>#REF!</v>
      </c>
      <c r="CF538" t="e">
        <f>AND(#REF!,"AAAAAH/ts1M=")</f>
        <v>#REF!</v>
      </c>
      <c r="CG538" t="e">
        <f>AND(#REF!,"AAAAAH/ts1Q=")</f>
        <v>#REF!</v>
      </c>
      <c r="CH538" t="e">
        <f>AND(#REF!,"AAAAAH/ts1U=")</f>
        <v>#REF!</v>
      </c>
      <c r="CI538" t="e">
        <f>AND(#REF!,"AAAAAH/ts1Y=")</f>
        <v>#REF!</v>
      </c>
      <c r="CJ538" t="e">
        <f>AND(#REF!,"AAAAAH/ts1c=")</f>
        <v>#REF!</v>
      </c>
      <c r="CK538" t="e">
        <f>IF(#REF!,"AAAAAH/ts1g=",0)</f>
        <v>#REF!</v>
      </c>
      <c r="CL538" t="e">
        <f>AND(#REF!,"AAAAAH/ts1k=")</f>
        <v>#REF!</v>
      </c>
      <c r="CM538" t="e">
        <f>AND(#REF!,"AAAAAH/ts1o=")</f>
        <v>#REF!</v>
      </c>
      <c r="CN538" t="e">
        <f>AND(#REF!,"AAAAAH/ts1s=")</f>
        <v>#REF!</v>
      </c>
      <c r="CO538" t="e">
        <f>AND(#REF!,"AAAAAH/ts1w=")</f>
        <v>#REF!</v>
      </c>
      <c r="CP538" t="e">
        <f>AND(#REF!,"AAAAAH/ts10=")</f>
        <v>#REF!</v>
      </c>
      <c r="CQ538" t="e">
        <f>AND(#REF!,"AAAAAH/ts14=")</f>
        <v>#REF!</v>
      </c>
      <c r="CR538" t="e">
        <f>AND(#REF!,"AAAAAH/ts18=")</f>
        <v>#REF!</v>
      </c>
      <c r="CS538" t="e">
        <f>AND(#REF!,"AAAAAH/ts2A=")</f>
        <v>#REF!</v>
      </c>
      <c r="CT538" t="e">
        <f>AND(#REF!,"AAAAAH/ts2E=")</f>
        <v>#REF!</v>
      </c>
      <c r="CU538" t="e">
        <f>AND(#REF!,"AAAAAH/ts2I=")</f>
        <v>#REF!</v>
      </c>
      <c r="CV538" t="e">
        <f>AND(#REF!,"AAAAAH/ts2M=")</f>
        <v>#REF!</v>
      </c>
      <c r="CW538" t="e">
        <f>AND(#REF!,"AAAAAH/ts2Q=")</f>
        <v>#REF!</v>
      </c>
      <c r="CX538" t="e">
        <f>AND(#REF!,"AAAAAH/ts2U=")</f>
        <v>#REF!</v>
      </c>
      <c r="CY538" t="e">
        <f>AND(#REF!,"AAAAAH/ts2Y=")</f>
        <v>#REF!</v>
      </c>
      <c r="CZ538" t="e">
        <f>AND(#REF!,"AAAAAH/ts2c=")</f>
        <v>#REF!</v>
      </c>
      <c r="DA538" t="e">
        <f>AND(#REF!,"AAAAAH/ts2g=")</f>
        <v>#REF!</v>
      </c>
      <c r="DB538" t="e">
        <f>AND(#REF!,"AAAAAH/ts2k=")</f>
        <v>#REF!</v>
      </c>
      <c r="DC538" t="e">
        <f>AND(#REF!,"AAAAAH/ts2o=")</f>
        <v>#REF!</v>
      </c>
      <c r="DD538" t="e">
        <f>AND(#REF!,"AAAAAH/ts2s=")</f>
        <v>#REF!</v>
      </c>
      <c r="DE538" t="e">
        <f>AND(#REF!,"AAAAAH/ts2w=")</f>
        <v>#REF!</v>
      </c>
      <c r="DF538" t="e">
        <f>AND(#REF!,"AAAAAH/ts20=")</f>
        <v>#REF!</v>
      </c>
      <c r="DG538" t="e">
        <f>AND(#REF!,"AAAAAH/ts24=")</f>
        <v>#REF!</v>
      </c>
      <c r="DH538" t="e">
        <f>AND(#REF!,"AAAAAH/ts28=")</f>
        <v>#REF!</v>
      </c>
      <c r="DI538" t="e">
        <f>AND(#REF!,"AAAAAH/ts3A=")</f>
        <v>#REF!</v>
      </c>
      <c r="DJ538" t="e">
        <f>IF(#REF!,"AAAAAH/ts3E=",0)</f>
        <v>#REF!</v>
      </c>
      <c r="DK538" t="e">
        <f>AND(#REF!,"AAAAAH/ts3I=")</f>
        <v>#REF!</v>
      </c>
      <c r="DL538" t="e">
        <f>AND(#REF!,"AAAAAH/ts3M=")</f>
        <v>#REF!</v>
      </c>
      <c r="DM538" t="e">
        <f>AND(#REF!,"AAAAAH/ts3Q=")</f>
        <v>#REF!</v>
      </c>
      <c r="DN538" t="e">
        <f>AND(#REF!,"AAAAAH/ts3U=")</f>
        <v>#REF!</v>
      </c>
      <c r="DO538" t="e">
        <f>AND(#REF!,"AAAAAH/ts3Y=")</f>
        <v>#REF!</v>
      </c>
      <c r="DP538" t="e">
        <f>AND(#REF!,"AAAAAH/ts3c=")</f>
        <v>#REF!</v>
      </c>
      <c r="DQ538" t="e">
        <f>AND(#REF!,"AAAAAH/ts3g=")</f>
        <v>#REF!</v>
      </c>
      <c r="DR538" t="e">
        <f>AND(#REF!,"AAAAAH/ts3k=")</f>
        <v>#REF!</v>
      </c>
      <c r="DS538" t="e">
        <f>AND(#REF!,"AAAAAH/ts3o=")</f>
        <v>#REF!</v>
      </c>
      <c r="DT538" t="e">
        <f>AND(#REF!,"AAAAAH/ts3s=")</f>
        <v>#REF!</v>
      </c>
      <c r="DU538" t="e">
        <f>AND(#REF!,"AAAAAH/ts3w=")</f>
        <v>#REF!</v>
      </c>
      <c r="DV538" t="e">
        <f>AND(#REF!,"AAAAAH/ts30=")</f>
        <v>#REF!</v>
      </c>
      <c r="DW538" t="e">
        <f>AND(#REF!,"AAAAAH/ts34=")</f>
        <v>#REF!</v>
      </c>
      <c r="DX538" t="e">
        <f>AND(#REF!,"AAAAAH/ts38=")</f>
        <v>#REF!</v>
      </c>
      <c r="DY538" t="e">
        <f>AND(#REF!,"AAAAAH/ts4A=")</f>
        <v>#REF!</v>
      </c>
      <c r="DZ538" t="e">
        <f>AND(#REF!,"AAAAAH/ts4E=")</f>
        <v>#REF!</v>
      </c>
      <c r="EA538" t="e">
        <f>AND(#REF!,"AAAAAH/ts4I=")</f>
        <v>#REF!</v>
      </c>
      <c r="EB538" t="e">
        <f>AND(#REF!,"AAAAAH/ts4M=")</f>
        <v>#REF!</v>
      </c>
      <c r="EC538" t="e">
        <f>AND(#REF!,"AAAAAH/ts4Q=")</f>
        <v>#REF!</v>
      </c>
      <c r="ED538" t="e">
        <f>AND(#REF!,"AAAAAH/ts4U=")</f>
        <v>#REF!</v>
      </c>
      <c r="EE538" t="e">
        <f>AND(#REF!,"AAAAAH/ts4Y=")</f>
        <v>#REF!</v>
      </c>
      <c r="EF538" t="e">
        <f>AND(#REF!,"AAAAAH/ts4c=")</f>
        <v>#REF!</v>
      </c>
      <c r="EG538" t="e">
        <f>AND(#REF!,"AAAAAH/ts4g=")</f>
        <v>#REF!</v>
      </c>
      <c r="EH538" t="e">
        <f>AND(#REF!,"AAAAAH/ts4k=")</f>
        <v>#REF!</v>
      </c>
      <c r="EI538" t="e">
        <f>IF(#REF!,"AAAAAH/ts4o=",0)</f>
        <v>#REF!</v>
      </c>
      <c r="EJ538" t="e">
        <f>AND(#REF!,"AAAAAH/ts4s=")</f>
        <v>#REF!</v>
      </c>
      <c r="EK538" t="e">
        <f>AND(#REF!,"AAAAAH/ts4w=")</f>
        <v>#REF!</v>
      </c>
      <c r="EL538" t="e">
        <f>AND(#REF!,"AAAAAH/ts40=")</f>
        <v>#REF!</v>
      </c>
      <c r="EM538" t="e">
        <f>AND(#REF!,"AAAAAH/ts44=")</f>
        <v>#REF!</v>
      </c>
      <c r="EN538" t="e">
        <f>AND(#REF!,"AAAAAH/ts48=")</f>
        <v>#REF!</v>
      </c>
      <c r="EO538" t="e">
        <f>AND(#REF!,"AAAAAH/ts5A=")</f>
        <v>#REF!</v>
      </c>
      <c r="EP538" t="e">
        <f>AND(#REF!,"AAAAAH/ts5E=")</f>
        <v>#REF!</v>
      </c>
      <c r="EQ538" t="e">
        <f>AND(#REF!,"AAAAAH/ts5I=")</f>
        <v>#REF!</v>
      </c>
      <c r="ER538" t="e">
        <f>AND(#REF!,"AAAAAH/ts5M=")</f>
        <v>#REF!</v>
      </c>
      <c r="ES538" t="e">
        <f>AND(#REF!,"AAAAAH/ts5Q=")</f>
        <v>#REF!</v>
      </c>
      <c r="ET538" t="e">
        <f>AND(#REF!,"AAAAAH/ts5U=")</f>
        <v>#REF!</v>
      </c>
      <c r="EU538" t="e">
        <f>AND(#REF!,"AAAAAH/ts5Y=")</f>
        <v>#REF!</v>
      </c>
      <c r="EV538" t="e">
        <f>AND(#REF!,"AAAAAH/ts5c=")</f>
        <v>#REF!</v>
      </c>
      <c r="EW538" t="e">
        <f>AND(#REF!,"AAAAAH/ts5g=")</f>
        <v>#REF!</v>
      </c>
      <c r="EX538" t="e">
        <f>AND(#REF!,"AAAAAH/ts5k=")</f>
        <v>#REF!</v>
      </c>
      <c r="EY538" t="e">
        <f>AND(#REF!,"AAAAAH/ts5o=")</f>
        <v>#REF!</v>
      </c>
      <c r="EZ538" t="e">
        <f>AND(#REF!,"AAAAAH/ts5s=")</f>
        <v>#REF!</v>
      </c>
      <c r="FA538" t="e">
        <f>AND(#REF!,"AAAAAH/ts5w=")</f>
        <v>#REF!</v>
      </c>
      <c r="FB538" t="e">
        <f>AND(#REF!,"AAAAAH/ts50=")</f>
        <v>#REF!</v>
      </c>
      <c r="FC538" t="e">
        <f>AND(#REF!,"AAAAAH/ts54=")</f>
        <v>#REF!</v>
      </c>
      <c r="FD538" t="e">
        <f>AND(#REF!,"AAAAAH/ts58=")</f>
        <v>#REF!</v>
      </c>
      <c r="FE538" t="e">
        <f>AND(#REF!,"AAAAAH/ts6A=")</f>
        <v>#REF!</v>
      </c>
      <c r="FF538" t="e">
        <f>AND(#REF!,"AAAAAH/ts6E=")</f>
        <v>#REF!</v>
      </c>
      <c r="FG538" t="e">
        <f>AND(#REF!,"AAAAAH/ts6I=")</f>
        <v>#REF!</v>
      </c>
      <c r="FH538" t="e">
        <f>IF(#REF!,"AAAAAH/ts6M=",0)</f>
        <v>#REF!</v>
      </c>
      <c r="FI538" t="e">
        <f>AND(#REF!,"AAAAAH/ts6Q=")</f>
        <v>#REF!</v>
      </c>
      <c r="FJ538" t="e">
        <f>AND(#REF!,"AAAAAH/ts6U=")</f>
        <v>#REF!</v>
      </c>
      <c r="FK538" t="e">
        <f>AND(#REF!,"AAAAAH/ts6Y=")</f>
        <v>#REF!</v>
      </c>
      <c r="FL538" t="e">
        <f>AND(#REF!,"AAAAAH/ts6c=")</f>
        <v>#REF!</v>
      </c>
      <c r="FM538" t="e">
        <f>AND(#REF!,"AAAAAH/ts6g=")</f>
        <v>#REF!</v>
      </c>
      <c r="FN538" t="e">
        <f>AND(#REF!,"AAAAAH/ts6k=")</f>
        <v>#REF!</v>
      </c>
      <c r="FO538" t="e">
        <f>AND(#REF!,"AAAAAH/ts6o=")</f>
        <v>#REF!</v>
      </c>
      <c r="FP538" t="e">
        <f>AND(#REF!,"AAAAAH/ts6s=")</f>
        <v>#REF!</v>
      </c>
      <c r="FQ538" t="e">
        <f>AND(#REF!,"AAAAAH/ts6w=")</f>
        <v>#REF!</v>
      </c>
      <c r="FR538" t="e">
        <f>AND(#REF!,"AAAAAH/ts60=")</f>
        <v>#REF!</v>
      </c>
      <c r="FS538" t="e">
        <f>AND(#REF!,"AAAAAH/ts64=")</f>
        <v>#REF!</v>
      </c>
      <c r="FT538" t="e">
        <f>AND(#REF!,"AAAAAH/ts68=")</f>
        <v>#REF!</v>
      </c>
      <c r="FU538" t="e">
        <f>AND(#REF!,"AAAAAH/ts7A=")</f>
        <v>#REF!</v>
      </c>
      <c r="FV538" t="e">
        <f>AND(#REF!,"AAAAAH/ts7E=")</f>
        <v>#REF!</v>
      </c>
      <c r="FW538" t="e">
        <f>AND(#REF!,"AAAAAH/ts7I=")</f>
        <v>#REF!</v>
      </c>
      <c r="FX538" t="e">
        <f>AND(#REF!,"AAAAAH/ts7M=")</f>
        <v>#REF!</v>
      </c>
      <c r="FY538" t="e">
        <f>AND(#REF!,"AAAAAH/ts7Q=")</f>
        <v>#REF!</v>
      </c>
      <c r="FZ538" t="e">
        <f>AND(#REF!,"AAAAAH/ts7U=")</f>
        <v>#REF!</v>
      </c>
      <c r="GA538" t="e">
        <f>AND(#REF!,"AAAAAH/ts7Y=")</f>
        <v>#REF!</v>
      </c>
      <c r="GB538" t="e">
        <f>AND(#REF!,"AAAAAH/ts7c=")</f>
        <v>#REF!</v>
      </c>
      <c r="GC538" t="e">
        <f>AND(#REF!,"AAAAAH/ts7g=")</f>
        <v>#REF!</v>
      </c>
      <c r="GD538" t="e">
        <f>AND(#REF!,"AAAAAH/ts7k=")</f>
        <v>#REF!</v>
      </c>
      <c r="GE538" t="e">
        <f>AND(#REF!,"AAAAAH/ts7o=")</f>
        <v>#REF!</v>
      </c>
      <c r="GF538" t="e">
        <f>AND(#REF!,"AAAAAH/ts7s=")</f>
        <v>#REF!</v>
      </c>
      <c r="GG538" t="e">
        <f>IF(#REF!,"AAAAAH/ts7w=",0)</f>
        <v>#REF!</v>
      </c>
      <c r="GH538" t="e">
        <f>AND(#REF!,"AAAAAH/ts70=")</f>
        <v>#REF!</v>
      </c>
      <c r="GI538" t="e">
        <f>AND(#REF!,"AAAAAH/ts74=")</f>
        <v>#REF!</v>
      </c>
      <c r="GJ538" t="e">
        <f>AND(#REF!,"AAAAAH/ts78=")</f>
        <v>#REF!</v>
      </c>
      <c r="GK538" t="e">
        <f>AND(#REF!,"AAAAAH/ts8A=")</f>
        <v>#REF!</v>
      </c>
      <c r="GL538" t="e">
        <f>AND(#REF!,"AAAAAH/ts8E=")</f>
        <v>#REF!</v>
      </c>
      <c r="GM538" t="e">
        <f>AND(#REF!,"AAAAAH/ts8I=")</f>
        <v>#REF!</v>
      </c>
      <c r="GN538" t="e">
        <f>AND(#REF!,"AAAAAH/ts8M=")</f>
        <v>#REF!</v>
      </c>
      <c r="GO538" t="e">
        <f>AND(#REF!,"AAAAAH/ts8Q=")</f>
        <v>#REF!</v>
      </c>
      <c r="GP538" t="e">
        <f>AND(#REF!,"AAAAAH/ts8U=")</f>
        <v>#REF!</v>
      </c>
      <c r="GQ538" t="e">
        <f>AND(#REF!,"AAAAAH/ts8Y=")</f>
        <v>#REF!</v>
      </c>
      <c r="GR538" t="e">
        <f>AND(#REF!,"AAAAAH/ts8c=")</f>
        <v>#REF!</v>
      </c>
      <c r="GS538" t="e">
        <f>AND(#REF!,"AAAAAH/ts8g=")</f>
        <v>#REF!</v>
      </c>
      <c r="GT538" t="e">
        <f>AND(#REF!,"AAAAAH/ts8k=")</f>
        <v>#REF!</v>
      </c>
      <c r="GU538" t="e">
        <f>AND(#REF!,"AAAAAH/ts8o=")</f>
        <v>#REF!</v>
      </c>
      <c r="GV538" t="e">
        <f>AND(#REF!,"AAAAAH/ts8s=")</f>
        <v>#REF!</v>
      </c>
      <c r="GW538" t="e">
        <f>AND(#REF!,"AAAAAH/ts8w=")</f>
        <v>#REF!</v>
      </c>
      <c r="GX538" t="e">
        <f>AND(#REF!,"AAAAAH/ts80=")</f>
        <v>#REF!</v>
      </c>
      <c r="GY538" t="e">
        <f>AND(#REF!,"AAAAAH/ts84=")</f>
        <v>#REF!</v>
      </c>
      <c r="GZ538" t="e">
        <f>AND(#REF!,"AAAAAH/ts88=")</f>
        <v>#REF!</v>
      </c>
      <c r="HA538" t="e">
        <f>AND(#REF!,"AAAAAH/ts9A=")</f>
        <v>#REF!</v>
      </c>
      <c r="HB538" t="e">
        <f>AND(#REF!,"AAAAAH/ts9E=")</f>
        <v>#REF!</v>
      </c>
      <c r="HC538" t="e">
        <f>AND(#REF!,"AAAAAH/ts9I=")</f>
        <v>#REF!</v>
      </c>
      <c r="HD538" t="e">
        <f>AND(#REF!,"AAAAAH/ts9M=")</f>
        <v>#REF!</v>
      </c>
      <c r="HE538" t="e">
        <f>AND(#REF!,"AAAAAH/ts9Q=")</f>
        <v>#REF!</v>
      </c>
      <c r="HF538" t="e">
        <f>IF(#REF!,"AAAAAH/ts9U=",0)</f>
        <v>#REF!</v>
      </c>
      <c r="HG538" t="e">
        <f>AND(#REF!,"AAAAAH/ts9Y=")</f>
        <v>#REF!</v>
      </c>
      <c r="HH538" t="e">
        <f>AND(#REF!,"AAAAAH/ts9c=")</f>
        <v>#REF!</v>
      </c>
      <c r="HI538" t="e">
        <f>AND(#REF!,"AAAAAH/ts9g=")</f>
        <v>#REF!</v>
      </c>
      <c r="HJ538" t="e">
        <f>AND(#REF!,"AAAAAH/ts9k=")</f>
        <v>#REF!</v>
      </c>
      <c r="HK538" t="e">
        <f>AND(#REF!,"AAAAAH/ts9o=")</f>
        <v>#REF!</v>
      </c>
      <c r="HL538" t="e">
        <f>AND(#REF!,"AAAAAH/ts9s=")</f>
        <v>#REF!</v>
      </c>
      <c r="HM538" t="e">
        <f>AND(#REF!,"AAAAAH/ts9w=")</f>
        <v>#REF!</v>
      </c>
      <c r="HN538" t="e">
        <f>AND(#REF!,"AAAAAH/ts90=")</f>
        <v>#REF!</v>
      </c>
      <c r="HO538" t="e">
        <f>AND(#REF!,"AAAAAH/ts94=")</f>
        <v>#REF!</v>
      </c>
      <c r="HP538" t="e">
        <f>AND(#REF!,"AAAAAH/ts98=")</f>
        <v>#REF!</v>
      </c>
      <c r="HQ538" t="e">
        <f>AND(#REF!,"AAAAAH/ts+A=")</f>
        <v>#REF!</v>
      </c>
      <c r="HR538" t="e">
        <f>AND(#REF!,"AAAAAH/ts+E=")</f>
        <v>#REF!</v>
      </c>
      <c r="HS538" t="e">
        <f>AND(#REF!,"AAAAAH/ts+I=")</f>
        <v>#REF!</v>
      </c>
      <c r="HT538" t="e">
        <f>AND(#REF!,"AAAAAH/ts+M=")</f>
        <v>#REF!</v>
      </c>
      <c r="HU538" t="e">
        <f>AND(#REF!,"AAAAAH/ts+Q=")</f>
        <v>#REF!</v>
      </c>
      <c r="HV538" t="e">
        <f>AND(#REF!,"AAAAAH/ts+U=")</f>
        <v>#REF!</v>
      </c>
      <c r="HW538" t="e">
        <f>AND(#REF!,"AAAAAH/ts+Y=")</f>
        <v>#REF!</v>
      </c>
      <c r="HX538" t="e">
        <f>AND(#REF!,"AAAAAH/ts+c=")</f>
        <v>#REF!</v>
      </c>
      <c r="HY538" t="e">
        <f>AND(#REF!,"AAAAAH/ts+g=")</f>
        <v>#REF!</v>
      </c>
      <c r="HZ538" t="e">
        <f>AND(#REF!,"AAAAAH/ts+k=")</f>
        <v>#REF!</v>
      </c>
      <c r="IA538" t="e">
        <f>AND(#REF!,"AAAAAH/ts+o=")</f>
        <v>#REF!</v>
      </c>
      <c r="IB538" t="e">
        <f>AND(#REF!,"AAAAAH/ts+s=")</f>
        <v>#REF!</v>
      </c>
      <c r="IC538" t="e">
        <f>AND(#REF!,"AAAAAH/ts+w=")</f>
        <v>#REF!</v>
      </c>
      <c r="ID538" t="e">
        <f>AND(#REF!,"AAAAAH/ts+0=")</f>
        <v>#REF!</v>
      </c>
      <c r="IE538" t="e">
        <f>IF(#REF!,"AAAAAH/ts+4=",0)</f>
        <v>#REF!</v>
      </c>
      <c r="IF538" t="e">
        <f>AND(#REF!,"AAAAAH/ts+8=")</f>
        <v>#REF!</v>
      </c>
      <c r="IG538" t="e">
        <f>AND(#REF!,"AAAAAH/ts/A=")</f>
        <v>#REF!</v>
      </c>
      <c r="IH538" t="e">
        <f>AND(#REF!,"AAAAAH/ts/E=")</f>
        <v>#REF!</v>
      </c>
      <c r="II538" t="e">
        <f>AND(#REF!,"AAAAAH/ts/I=")</f>
        <v>#REF!</v>
      </c>
      <c r="IJ538" t="e">
        <f>AND(#REF!,"AAAAAH/ts/M=")</f>
        <v>#REF!</v>
      </c>
      <c r="IK538" t="e">
        <f>AND(#REF!,"AAAAAH/ts/Q=")</f>
        <v>#REF!</v>
      </c>
      <c r="IL538" t="e">
        <f>AND(#REF!,"AAAAAH/ts/U=")</f>
        <v>#REF!</v>
      </c>
      <c r="IM538" t="e">
        <f>AND(#REF!,"AAAAAH/ts/Y=")</f>
        <v>#REF!</v>
      </c>
      <c r="IN538" t="e">
        <f>AND(#REF!,"AAAAAH/ts/c=")</f>
        <v>#REF!</v>
      </c>
      <c r="IO538" t="e">
        <f>AND(#REF!,"AAAAAH/ts/g=")</f>
        <v>#REF!</v>
      </c>
      <c r="IP538" t="e">
        <f>AND(#REF!,"AAAAAH/ts/k=")</f>
        <v>#REF!</v>
      </c>
      <c r="IQ538" t="e">
        <f>AND(#REF!,"AAAAAH/ts/o=")</f>
        <v>#REF!</v>
      </c>
      <c r="IR538" t="e">
        <f>AND(#REF!,"AAAAAH/ts/s=")</f>
        <v>#REF!</v>
      </c>
      <c r="IS538" t="e">
        <f>AND(#REF!,"AAAAAH/ts/w=")</f>
        <v>#REF!</v>
      </c>
      <c r="IT538" t="e">
        <f>AND(#REF!,"AAAAAH/ts/0=")</f>
        <v>#REF!</v>
      </c>
      <c r="IU538" t="e">
        <f>AND(#REF!,"AAAAAH/ts/4=")</f>
        <v>#REF!</v>
      </c>
      <c r="IV538" t="e">
        <f>AND(#REF!,"AAAAAH/ts/8=")</f>
        <v>#REF!</v>
      </c>
    </row>
    <row r="539" spans="1:256">
      <c r="A539" t="e">
        <f>AND(#REF!,"AAAAAH39dwA=")</f>
        <v>#REF!</v>
      </c>
      <c r="B539" t="e">
        <f>AND(#REF!,"AAAAAH39dwE=")</f>
        <v>#REF!</v>
      </c>
      <c r="C539" t="e">
        <f>AND(#REF!,"AAAAAH39dwI=")</f>
        <v>#REF!</v>
      </c>
      <c r="D539" t="e">
        <f>AND(#REF!,"AAAAAH39dwM=")</f>
        <v>#REF!</v>
      </c>
      <c r="E539" t="e">
        <f>AND(#REF!,"AAAAAH39dwQ=")</f>
        <v>#REF!</v>
      </c>
      <c r="F539" t="e">
        <f>AND(#REF!,"AAAAAH39dwU=")</f>
        <v>#REF!</v>
      </c>
      <c r="G539" t="e">
        <f>AND(#REF!,"AAAAAH39dwY=")</f>
        <v>#REF!</v>
      </c>
      <c r="H539" t="e">
        <f>IF(#REF!,"AAAAAH39dwc=",0)</f>
        <v>#REF!</v>
      </c>
      <c r="I539" t="e">
        <f>AND(#REF!,"AAAAAH39dwg=")</f>
        <v>#REF!</v>
      </c>
      <c r="J539" t="e">
        <f>AND(#REF!,"AAAAAH39dwk=")</f>
        <v>#REF!</v>
      </c>
      <c r="K539" t="e">
        <f>AND(#REF!,"AAAAAH39dwo=")</f>
        <v>#REF!</v>
      </c>
      <c r="L539" t="e">
        <f>AND(#REF!,"AAAAAH39dws=")</f>
        <v>#REF!</v>
      </c>
      <c r="M539" t="e">
        <f>AND(#REF!,"AAAAAH39dww=")</f>
        <v>#REF!</v>
      </c>
      <c r="N539" t="e">
        <f>AND(#REF!,"AAAAAH39dw0=")</f>
        <v>#REF!</v>
      </c>
      <c r="O539" t="e">
        <f>AND(#REF!,"AAAAAH39dw4=")</f>
        <v>#REF!</v>
      </c>
      <c r="P539" t="e">
        <f>AND(#REF!,"AAAAAH39dw8=")</f>
        <v>#REF!</v>
      </c>
      <c r="Q539" t="e">
        <f>AND(#REF!,"AAAAAH39dxA=")</f>
        <v>#REF!</v>
      </c>
      <c r="R539" t="e">
        <f>AND(#REF!,"AAAAAH39dxE=")</f>
        <v>#REF!</v>
      </c>
      <c r="S539" t="e">
        <f>AND(#REF!,"AAAAAH39dxI=")</f>
        <v>#REF!</v>
      </c>
      <c r="T539" t="e">
        <f>AND(#REF!,"AAAAAH39dxM=")</f>
        <v>#REF!</v>
      </c>
      <c r="U539" t="e">
        <f>AND(#REF!,"AAAAAH39dxQ=")</f>
        <v>#REF!</v>
      </c>
      <c r="V539" t="e">
        <f>AND(#REF!,"AAAAAH39dxU=")</f>
        <v>#REF!</v>
      </c>
      <c r="W539" t="e">
        <f>AND(#REF!,"AAAAAH39dxY=")</f>
        <v>#REF!</v>
      </c>
      <c r="X539" t="e">
        <f>AND(#REF!,"AAAAAH39dxc=")</f>
        <v>#REF!</v>
      </c>
      <c r="Y539" t="e">
        <f>AND(#REF!,"AAAAAH39dxg=")</f>
        <v>#REF!</v>
      </c>
      <c r="Z539" t="e">
        <f>AND(#REF!,"AAAAAH39dxk=")</f>
        <v>#REF!</v>
      </c>
      <c r="AA539" t="e">
        <f>AND(#REF!,"AAAAAH39dxo=")</f>
        <v>#REF!</v>
      </c>
      <c r="AB539" t="e">
        <f>AND(#REF!,"AAAAAH39dxs=")</f>
        <v>#REF!</v>
      </c>
      <c r="AC539" t="e">
        <f>AND(#REF!,"AAAAAH39dxw=")</f>
        <v>#REF!</v>
      </c>
      <c r="AD539" t="e">
        <f>AND(#REF!,"AAAAAH39dx0=")</f>
        <v>#REF!</v>
      </c>
      <c r="AE539" t="e">
        <f>AND(#REF!,"AAAAAH39dx4=")</f>
        <v>#REF!</v>
      </c>
      <c r="AF539" t="e">
        <f>AND(#REF!,"AAAAAH39dx8=")</f>
        <v>#REF!</v>
      </c>
      <c r="AG539" t="e">
        <f>IF(#REF!,"AAAAAH39dyA=",0)</f>
        <v>#REF!</v>
      </c>
      <c r="AH539" t="e">
        <f>AND(#REF!,"AAAAAH39dyE=")</f>
        <v>#REF!</v>
      </c>
      <c r="AI539" t="e">
        <f>AND(#REF!,"AAAAAH39dyI=")</f>
        <v>#REF!</v>
      </c>
      <c r="AJ539" t="e">
        <f>AND(#REF!,"AAAAAH39dyM=")</f>
        <v>#REF!</v>
      </c>
      <c r="AK539" t="e">
        <f>AND(#REF!,"AAAAAH39dyQ=")</f>
        <v>#REF!</v>
      </c>
      <c r="AL539" t="e">
        <f>AND(#REF!,"AAAAAH39dyU=")</f>
        <v>#REF!</v>
      </c>
      <c r="AM539" t="e">
        <f>AND(#REF!,"AAAAAH39dyY=")</f>
        <v>#REF!</v>
      </c>
      <c r="AN539" t="e">
        <f>AND(#REF!,"AAAAAH39dyc=")</f>
        <v>#REF!</v>
      </c>
      <c r="AO539" t="e">
        <f>AND(#REF!,"AAAAAH39dyg=")</f>
        <v>#REF!</v>
      </c>
      <c r="AP539" t="e">
        <f>AND(#REF!,"AAAAAH39dyk=")</f>
        <v>#REF!</v>
      </c>
      <c r="AQ539" t="e">
        <f>AND(#REF!,"AAAAAH39dyo=")</f>
        <v>#REF!</v>
      </c>
      <c r="AR539" t="e">
        <f>AND(#REF!,"AAAAAH39dys=")</f>
        <v>#REF!</v>
      </c>
      <c r="AS539" t="e">
        <f>AND(#REF!,"AAAAAH39dyw=")</f>
        <v>#REF!</v>
      </c>
      <c r="AT539" t="e">
        <f>AND(#REF!,"AAAAAH39dy0=")</f>
        <v>#REF!</v>
      </c>
      <c r="AU539" t="e">
        <f>AND(#REF!,"AAAAAH39dy4=")</f>
        <v>#REF!</v>
      </c>
      <c r="AV539" t="e">
        <f>AND(#REF!,"AAAAAH39dy8=")</f>
        <v>#REF!</v>
      </c>
      <c r="AW539" t="e">
        <f>AND(#REF!,"AAAAAH39dzA=")</f>
        <v>#REF!</v>
      </c>
      <c r="AX539" t="e">
        <f>AND(#REF!,"AAAAAH39dzE=")</f>
        <v>#REF!</v>
      </c>
      <c r="AY539" t="e">
        <f>AND(#REF!,"AAAAAH39dzI=")</f>
        <v>#REF!</v>
      </c>
      <c r="AZ539" t="e">
        <f>AND(#REF!,"AAAAAH39dzM=")</f>
        <v>#REF!</v>
      </c>
      <c r="BA539" t="e">
        <f>AND(#REF!,"AAAAAH39dzQ=")</f>
        <v>#REF!</v>
      </c>
      <c r="BB539" t="e">
        <f>AND(#REF!,"AAAAAH39dzU=")</f>
        <v>#REF!</v>
      </c>
      <c r="BC539" t="e">
        <f>AND(#REF!,"AAAAAH39dzY=")</f>
        <v>#REF!</v>
      </c>
      <c r="BD539" t="e">
        <f>AND(#REF!,"AAAAAH39dzc=")</f>
        <v>#REF!</v>
      </c>
      <c r="BE539" t="e">
        <f>AND(#REF!,"AAAAAH39dzg=")</f>
        <v>#REF!</v>
      </c>
      <c r="BF539" t="e">
        <f>IF(#REF!,"AAAAAH39dzk=",0)</f>
        <v>#REF!</v>
      </c>
      <c r="BG539" t="e">
        <f>AND(#REF!,"AAAAAH39dzo=")</f>
        <v>#REF!</v>
      </c>
      <c r="BH539" t="e">
        <f>AND(#REF!,"AAAAAH39dzs=")</f>
        <v>#REF!</v>
      </c>
      <c r="BI539" t="e">
        <f>AND(#REF!,"AAAAAH39dzw=")</f>
        <v>#REF!</v>
      </c>
      <c r="BJ539" t="e">
        <f>AND(#REF!,"AAAAAH39dz0=")</f>
        <v>#REF!</v>
      </c>
      <c r="BK539" t="e">
        <f>AND(#REF!,"AAAAAH39dz4=")</f>
        <v>#REF!</v>
      </c>
      <c r="BL539" t="e">
        <f>AND(#REF!,"AAAAAH39dz8=")</f>
        <v>#REF!</v>
      </c>
      <c r="BM539" t="e">
        <f>AND(#REF!,"AAAAAH39d0A=")</f>
        <v>#REF!</v>
      </c>
      <c r="BN539" t="e">
        <f>AND(#REF!,"AAAAAH39d0E=")</f>
        <v>#REF!</v>
      </c>
      <c r="BO539" t="e">
        <f>AND(#REF!,"AAAAAH39d0I=")</f>
        <v>#REF!</v>
      </c>
      <c r="BP539" t="e">
        <f>AND(#REF!,"AAAAAH39d0M=")</f>
        <v>#REF!</v>
      </c>
      <c r="BQ539" t="e">
        <f>AND(#REF!,"AAAAAH39d0Q=")</f>
        <v>#REF!</v>
      </c>
      <c r="BR539" t="e">
        <f>AND(#REF!,"AAAAAH39d0U=")</f>
        <v>#REF!</v>
      </c>
      <c r="BS539" t="e">
        <f>AND(#REF!,"AAAAAH39d0Y=")</f>
        <v>#REF!</v>
      </c>
      <c r="BT539" t="e">
        <f>AND(#REF!,"AAAAAH39d0c=")</f>
        <v>#REF!</v>
      </c>
      <c r="BU539" t="e">
        <f>AND(#REF!,"AAAAAH39d0g=")</f>
        <v>#REF!</v>
      </c>
      <c r="BV539" t="e">
        <f>AND(#REF!,"AAAAAH39d0k=")</f>
        <v>#REF!</v>
      </c>
      <c r="BW539" t="e">
        <f>AND(#REF!,"AAAAAH39d0o=")</f>
        <v>#REF!</v>
      </c>
      <c r="BX539" t="e">
        <f>AND(#REF!,"AAAAAH39d0s=")</f>
        <v>#REF!</v>
      </c>
      <c r="BY539" t="e">
        <f>AND(#REF!,"AAAAAH39d0w=")</f>
        <v>#REF!</v>
      </c>
      <c r="BZ539" t="e">
        <f>AND(#REF!,"AAAAAH39d00=")</f>
        <v>#REF!</v>
      </c>
      <c r="CA539" t="e">
        <f>AND(#REF!,"AAAAAH39d04=")</f>
        <v>#REF!</v>
      </c>
      <c r="CB539" t="e">
        <f>AND(#REF!,"AAAAAH39d08=")</f>
        <v>#REF!</v>
      </c>
      <c r="CC539" t="e">
        <f>AND(#REF!,"AAAAAH39d1A=")</f>
        <v>#REF!</v>
      </c>
      <c r="CD539" t="e">
        <f>AND(#REF!,"AAAAAH39d1E=")</f>
        <v>#REF!</v>
      </c>
      <c r="CE539" t="e">
        <f>IF(#REF!,"AAAAAH39d1I=",0)</f>
        <v>#REF!</v>
      </c>
      <c r="CF539" t="e">
        <f>AND(#REF!,"AAAAAH39d1M=")</f>
        <v>#REF!</v>
      </c>
      <c r="CG539" t="e">
        <f>AND(#REF!,"AAAAAH39d1Q=")</f>
        <v>#REF!</v>
      </c>
      <c r="CH539" t="e">
        <f>AND(#REF!,"AAAAAH39d1U=")</f>
        <v>#REF!</v>
      </c>
      <c r="CI539" t="e">
        <f>AND(#REF!,"AAAAAH39d1Y=")</f>
        <v>#REF!</v>
      </c>
      <c r="CJ539" t="e">
        <f>AND(#REF!,"AAAAAH39d1c=")</f>
        <v>#REF!</v>
      </c>
      <c r="CK539" t="e">
        <f>AND(#REF!,"AAAAAH39d1g=")</f>
        <v>#REF!</v>
      </c>
      <c r="CL539" t="e">
        <f>AND(#REF!,"AAAAAH39d1k=")</f>
        <v>#REF!</v>
      </c>
      <c r="CM539" t="e">
        <f>AND(#REF!,"AAAAAH39d1o=")</f>
        <v>#REF!</v>
      </c>
      <c r="CN539" t="e">
        <f>AND(#REF!,"AAAAAH39d1s=")</f>
        <v>#REF!</v>
      </c>
      <c r="CO539" t="e">
        <f>AND(#REF!,"AAAAAH39d1w=")</f>
        <v>#REF!</v>
      </c>
      <c r="CP539" t="e">
        <f>AND(#REF!,"AAAAAH39d10=")</f>
        <v>#REF!</v>
      </c>
      <c r="CQ539" t="e">
        <f>AND(#REF!,"AAAAAH39d14=")</f>
        <v>#REF!</v>
      </c>
      <c r="CR539" t="e">
        <f>AND(#REF!,"AAAAAH39d18=")</f>
        <v>#REF!</v>
      </c>
      <c r="CS539" t="e">
        <f>AND(#REF!,"AAAAAH39d2A=")</f>
        <v>#REF!</v>
      </c>
      <c r="CT539" t="e">
        <f>AND(#REF!,"AAAAAH39d2E=")</f>
        <v>#REF!</v>
      </c>
      <c r="CU539" t="e">
        <f>AND(#REF!,"AAAAAH39d2I=")</f>
        <v>#REF!</v>
      </c>
      <c r="CV539" t="e">
        <f>AND(#REF!,"AAAAAH39d2M=")</f>
        <v>#REF!</v>
      </c>
      <c r="CW539" t="e">
        <f>AND(#REF!,"AAAAAH39d2Q=")</f>
        <v>#REF!</v>
      </c>
      <c r="CX539" t="e">
        <f>AND(#REF!,"AAAAAH39d2U=")</f>
        <v>#REF!</v>
      </c>
      <c r="CY539" t="e">
        <f>AND(#REF!,"AAAAAH39d2Y=")</f>
        <v>#REF!</v>
      </c>
      <c r="CZ539" t="e">
        <f>AND(#REF!,"AAAAAH39d2c=")</f>
        <v>#REF!</v>
      </c>
      <c r="DA539" t="e">
        <f>AND(#REF!,"AAAAAH39d2g=")</f>
        <v>#REF!</v>
      </c>
      <c r="DB539" t="e">
        <f>AND(#REF!,"AAAAAH39d2k=")</f>
        <v>#REF!</v>
      </c>
      <c r="DC539" t="e">
        <f>AND(#REF!,"AAAAAH39d2o=")</f>
        <v>#REF!</v>
      </c>
      <c r="DD539" t="e">
        <f>IF(#REF!,"AAAAAH39d2s=",0)</f>
        <v>#REF!</v>
      </c>
      <c r="DE539" t="e">
        <f>AND(#REF!,"AAAAAH39d2w=")</f>
        <v>#REF!</v>
      </c>
      <c r="DF539" t="e">
        <f>AND(#REF!,"AAAAAH39d20=")</f>
        <v>#REF!</v>
      </c>
      <c r="DG539" t="e">
        <f>AND(#REF!,"AAAAAH39d24=")</f>
        <v>#REF!</v>
      </c>
      <c r="DH539" t="e">
        <f>AND(#REF!,"AAAAAH39d28=")</f>
        <v>#REF!</v>
      </c>
      <c r="DI539" t="e">
        <f>AND(#REF!,"AAAAAH39d3A=")</f>
        <v>#REF!</v>
      </c>
      <c r="DJ539" t="e">
        <f>AND(#REF!,"AAAAAH39d3E=")</f>
        <v>#REF!</v>
      </c>
      <c r="DK539" t="e">
        <f>AND(#REF!,"AAAAAH39d3I=")</f>
        <v>#REF!</v>
      </c>
      <c r="DL539" t="e">
        <f>AND(#REF!,"AAAAAH39d3M=")</f>
        <v>#REF!</v>
      </c>
      <c r="DM539" t="e">
        <f>AND(#REF!,"AAAAAH39d3Q=")</f>
        <v>#REF!</v>
      </c>
      <c r="DN539" t="e">
        <f>AND(#REF!,"AAAAAH39d3U=")</f>
        <v>#REF!</v>
      </c>
      <c r="DO539" t="e">
        <f>AND(#REF!,"AAAAAH39d3Y=")</f>
        <v>#REF!</v>
      </c>
      <c r="DP539" t="e">
        <f>AND(#REF!,"AAAAAH39d3c=")</f>
        <v>#REF!</v>
      </c>
      <c r="DQ539" t="e">
        <f>AND(#REF!,"AAAAAH39d3g=")</f>
        <v>#REF!</v>
      </c>
      <c r="DR539" t="e">
        <f>AND(#REF!,"AAAAAH39d3k=")</f>
        <v>#REF!</v>
      </c>
      <c r="DS539" t="e">
        <f>AND(#REF!,"AAAAAH39d3o=")</f>
        <v>#REF!</v>
      </c>
      <c r="DT539" t="e">
        <f>AND(#REF!,"AAAAAH39d3s=")</f>
        <v>#REF!</v>
      </c>
      <c r="DU539" t="e">
        <f>AND(#REF!,"AAAAAH39d3w=")</f>
        <v>#REF!</v>
      </c>
      <c r="DV539" t="e">
        <f>AND(#REF!,"AAAAAH39d30=")</f>
        <v>#REF!</v>
      </c>
      <c r="DW539" t="e">
        <f>AND(#REF!,"AAAAAH39d34=")</f>
        <v>#REF!</v>
      </c>
      <c r="DX539" t="e">
        <f>AND(#REF!,"AAAAAH39d38=")</f>
        <v>#REF!</v>
      </c>
      <c r="DY539" t="e">
        <f>AND(#REF!,"AAAAAH39d4A=")</f>
        <v>#REF!</v>
      </c>
      <c r="DZ539" t="e">
        <f>AND(#REF!,"AAAAAH39d4E=")</f>
        <v>#REF!</v>
      </c>
      <c r="EA539" t="e">
        <f>AND(#REF!,"AAAAAH39d4I=")</f>
        <v>#REF!</v>
      </c>
      <c r="EB539" t="e">
        <f>AND(#REF!,"AAAAAH39d4M=")</f>
        <v>#REF!</v>
      </c>
      <c r="EC539" t="e">
        <f>IF(#REF!,"AAAAAH39d4Q=",0)</f>
        <v>#REF!</v>
      </c>
      <c r="ED539" t="e">
        <f>AND(#REF!,"AAAAAH39d4U=")</f>
        <v>#REF!</v>
      </c>
      <c r="EE539" t="e">
        <f>AND(#REF!,"AAAAAH39d4Y=")</f>
        <v>#REF!</v>
      </c>
      <c r="EF539" t="e">
        <f>AND(#REF!,"AAAAAH39d4c=")</f>
        <v>#REF!</v>
      </c>
      <c r="EG539" t="e">
        <f>AND(#REF!,"AAAAAH39d4g=")</f>
        <v>#REF!</v>
      </c>
      <c r="EH539" t="e">
        <f>AND(#REF!,"AAAAAH39d4k=")</f>
        <v>#REF!</v>
      </c>
      <c r="EI539" t="e">
        <f>AND(#REF!,"AAAAAH39d4o=")</f>
        <v>#REF!</v>
      </c>
      <c r="EJ539" t="e">
        <f>AND(#REF!,"AAAAAH39d4s=")</f>
        <v>#REF!</v>
      </c>
      <c r="EK539" t="e">
        <f>AND(#REF!,"AAAAAH39d4w=")</f>
        <v>#REF!</v>
      </c>
      <c r="EL539" t="e">
        <f>AND(#REF!,"AAAAAH39d40=")</f>
        <v>#REF!</v>
      </c>
      <c r="EM539" t="e">
        <f>AND(#REF!,"AAAAAH39d44=")</f>
        <v>#REF!</v>
      </c>
      <c r="EN539" t="e">
        <f>AND(#REF!,"AAAAAH39d48=")</f>
        <v>#REF!</v>
      </c>
      <c r="EO539" t="e">
        <f>AND(#REF!,"AAAAAH39d5A=")</f>
        <v>#REF!</v>
      </c>
      <c r="EP539" t="e">
        <f>AND(#REF!,"AAAAAH39d5E=")</f>
        <v>#REF!</v>
      </c>
      <c r="EQ539" t="e">
        <f>AND(#REF!,"AAAAAH39d5I=")</f>
        <v>#REF!</v>
      </c>
      <c r="ER539" t="e">
        <f>AND(#REF!,"AAAAAH39d5M=")</f>
        <v>#REF!</v>
      </c>
      <c r="ES539" t="e">
        <f>AND(#REF!,"AAAAAH39d5Q=")</f>
        <v>#REF!</v>
      </c>
      <c r="ET539" t="e">
        <f>AND(#REF!,"AAAAAH39d5U=")</f>
        <v>#REF!</v>
      </c>
      <c r="EU539" t="e">
        <f>AND(#REF!,"AAAAAH39d5Y=")</f>
        <v>#REF!</v>
      </c>
      <c r="EV539" t="e">
        <f>AND(#REF!,"AAAAAH39d5c=")</f>
        <v>#REF!</v>
      </c>
      <c r="EW539" t="e">
        <f>AND(#REF!,"AAAAAH39d5g=")</f>
        <v>#REF!</v>
      </c>
      <c r="EX539" t="e">
        <f>AND(#REF!,"AAAAAH39d5k=")</f>
        <v>#REF!</v>
      </c>
      <c r="EY539" t="e">
        <f>AND(#REF!,"AAAAAH39d5o=")</f>
        <v>#REF!</v>
      </c>
      <c r="EZ539" t="e">
        <f>AND(#REF!,"AAAAAH39d5s=")</f>
        <v>#REF!</v>
      </c>
      <c r="FA539" t="e">
        <f>AND(#REF!,"AAAAAH39d5w=")</f>
        <v>#REF!</v>
      </c>
      <c r="FB539" t="e">
        <f>IF(#REF!,"AAAAAH39d50=",0)</f>
        <v>#REF!</v>
      </c>
      <c r="FC539" t="e">
        <f>AND(#REF!,"AAAAAH39d54=")</f>
        <v>#REF!</v>
      </c>
      <c r="FD539" t="e">
        <f>AND(#REF!,"AAAAAH39d58=")</f>
        <v>#REF!</v>
      </c>
      <c r="FE539" t="e">
        <f>AND(#REF!,"AAAAAH39d6A=")</f>
        <v>#REF!</v>
      </c>
      <c r="FF539" t="e">
        <f>AND(#REF!,"AAAAAH39d6E=")</f>
        <v>#REF!</v>
      </c>
      <c r="FG539" t="e">
        <f>AND(#REF!,"AAAAAH39d6I=")</f>
        <v>#REF!</v>
      </c>
      <c r="FH539" t="e">
        <f>AND(#REF!,"AAAAAH39d6M=")</f>
        <v>#REF!</v>
      </c>
      <c r="FI539" t="e">
        <f>AND(#REF!,"AAAAAH39d6Q=")</f>
        <v>#REF!</v>
      </c>
      <c r="FJ539" t="e">
        <f>AND(#REF!,"AAAAAH39d6U=")</f>
        <v>#REF!</v>
      </c>
      <c r="FK539" t="e">
        <f>AND(#REF!,"AAAAAH39d6Y=")</f>
        <v>#REF!</v>
      </c>
      <c r="FL539" t="e">
        <f>AND(#REF!,"AAAAAH39d6c=")</f>
        <v>#REF!</v>
      </c>
      <c r="FM539" t="e">
        <f>AND(#REF!,"AAAAAH39d6g=")</f>
        <v>#REF!</v>
      </c>
      <c r="FN539" t="e">
        <f>AND(#REF!,"AAAAAH39d6k=")</f>
        <v>#REF!</v>
      </c>
      <c r="FO539" t="e">
        <f>AND(#REF!,"AAAAAH39d6o=")</f>
        <v>#REF!</v>
      </c>
      <c r="FP539" t="e">
        <f>AND(#REF!,"AAAAAH39d6s=")</f>
        <v>#REF!</v>
      </c>
      <c r="FQ539" t="e">
        <f>AND(#REF!,"AAAAAH39d6w=")</f>
        <v>#REF!</v>
      </c>
      <c r="FR539" t="e">
        <f>AND(#REF!,"AAAAAH39d60=")</f>
        <v>#REF!</v>
      </c>
      <c r="FS539" t="e">
        <f>AND(#REF!,"AAAAAH39d64=")</f>
        <v>#REF!</v>
      </c>
      <c r="FT539" t="e">
        <f>AND(#REF!,"AAAAAH39d68=")</f>
        <v>#REF!</v>
      </c>
      <c r="FU539" t="e">
        <f>AND(#REF!,"AAAAAH39d7A=")</f>
        <v>#REF!</v>
      </c>
      <c r="FV539" t="e">
        <f>AND(#REF!,"AAAAAH39d7E=")</f>
        <v>#REF!</v>
      </c>
      <c r="FW539" t="e">
        <f>AND(#REF!,"AAAAAH39d7I=")</f>
        <v>#REF!</v>
      </c>
      <c r="FX539" t="e">
        <f>AND(#REF!,"AAAAAH39d7M=")</f>
        <v>#REF!</v>
      </c>
      <c r="FY539" t="e">
        <f>AND(#REF!,"AAAAAH39d7Q=")</f>
        <v>#REF!</v>
      </c>
      <c r="FZ539" t="e">
        <f>AND(#REF!,"AAAAAH39d7U=")</f>
        <v>#REF!</v>
      </c>
      <c r="GA539" t="e">
        <f>IF(#REF!,"AAAAAH39d7Y=",0)</f>
        <v>#REF!</v>
      </c>
      <c r="GB539" t="e">
        <f>AND(#REF!,"AAAAAH39d7c=")</f>
        <v>#REF!</v>
      </c>
      <c r="GC539" t="e">
        <f>AND(#REF!,"AAAAAH39d7g=")</f>
        <v>#REF!</v>
      </c>
      <c r="GD539" t="e">
        <f>AND(#REF!,"AAAAAH39d7k=")</f>
        <v>#REF!</v>
      </c>
      <c r="GE539" t="e">
        <f>AND(#REF!,"AAAAAH39d7o=")</f>
        <v>#REF!</v>
      </c>
      <c r="GF539" t="e">
        <f>AND(#REF!,"AAAAAH39d7s=")</f>
        <v>#REF!</v>
      </c>
      <c r="GG539" t="e">
        <f>AND(#REF!,"AAAAAH39d7w=")</f>
        <v>#REF!</v>
      </c>
      <c r="GH539" t="e">
        <f>AND(#REF!,"AAAAAH39d70=")</f>
        <v>#REF!</v>
      </c>
      <c r="GI539" t="e">
        <f>AND(#REF!,"AAAAAH39d74=")</f>
        <v>#REF!</v>
      </c>
      <c r="GJ539" t="e">
        <f>AND(#REF!,"AAAAAH39d78=")</f>
        <v>#REF!</v>
      </c>
      <c r="GK539" t="e">
        <f>AND(#REF!,"AAAAAH39d8A=")</f>
        <v>#REF!</v>
      </c>
      <c r="GL539" t="e">
        <f>AND(#REF!,"AAAAAH39d8E=")</f>
        <v>#REF!</v>
      </c>
      <c r="GM539" t="e">
        <f>AND(#REF!,"AAAAAH39d8I=")</f>
        <v>#REF!</v>
      </c>
      <c r="GN539" t="e">
        <f>AND(#REF!,"AAAAAH39d8M=")</f>
        <v>#REF!</v>
      </c>
      <c r="GO539" t="e">
        <f>AND(#REF!,"AAAAAH39d8Q=")</f>
        <v>#REF!</v>
      </c>
      <c r="GP539" t="e">
        <f>AND(#REF!,"AAAAAH39d8U=")</f>
        <v>#REF!</v>
      </c>
      <c r="GQ539" t="e">
        <f>AND(#REF!,"AAAAAH39d8Y=")</f>
        <v>#REF!</v>
      </c>
      <c r="GR539" t="e">
        <f>AND(#REF!,"AAAAAH39d8c=")</f>
        <v>#REF!</v>
      </c>
      <c r="GS539" t="e">
        <f>AND(#REF!,"AAAAAH39d8g=")</f>
        <v>#REF!</v>
      </c>
      <c r="GT539" t="e">
        <f>AND(#REF!,"AAAAAH39d8k=")</f>
        <v>#REF!</v>
      </c>
      <c r="GU539" t="e">
        <f>AND(#REF!,"AAAAAH39d8o=")</f>
        <v>#REF!</v>
      </c>
      <c r="GV539" t="e">
        <f>AND(#REF!,"AAAAAH39d8s=")</f>
        <v>#REF!</v>
      </c>
      <c r="GW539" t="e">
        <f>AND(#REF!,"AAAAAH39d8w=")</f>
        <v>#REF!</v>
      </c>
      <c r="GX539" t="e">
        <f>AND(#REF!,"AAAAAH39d80=")</f>
        <v>#REF!</v>
      </c>
      <c r="GY539" t="e">
        <f>AND(#REF!,"AAAAAH39d84=")</f>
        <v>#REF!</v>
      </c>
      <c r="GZ539" t="e">
        <f>IF(#REF!,"AAAAAH39d88=",0)</f>
        <v>#REF!</v>
      </c>
      <c r="HA539" t="e">
        <f>AND(#REF!,"AAAAAH39d9A=")</f>
        <v>#REF!</v>
      </c>
      <c r="HB539" t="e">
        <f>AND(#REF!,"AAAAAH39d9E=")</f>
        <v>#REF!</v>
      </c>
      <c r="HC539" t="e">
        <f>AND(#REF!,"AAAAAH39d9I=")</f>
        <v>#REF!</v>
      </c>
      <c r="HD539" t="e">
        <f>AND(#REF!,"AAAAAH39d9M=")</f>
        <v>#REF!</v>
      </c>
      <c r="HE539" t="e">
        <f>AND(#REF!,"AAAAAH39d9Q=")</f>
        <v>#REF!</v>
      </c>
      <c r="HF539" t="e">
        <f>AND(#REF!,"AAAAAH39d9U=")</f>
        <v>#REF!</v>
      </c>
      <c r="HG539" t="e">
        <f>AND(#REF!,"AAAAAH39d9Y=")</f>
        <v>#REF!</v>
      </c>
      <c r="HH539" t="e">
        <f>AND(#REF!,"AAAAAH39d9c=")</f>
        <v>#REF!</v>
      </c>
      <c r="HI539" t="e">
        <f>AND(#REF!,"AAAAAH39d9g=")</f>
        <v>#REF!</v>
      </c>
      <c r="HJ539" t="e">
        <f>AND(#REF!,"AAAAAH39d9k=")</f>
        <v>#REF!</v>
      </c>
      <c r="HK539" t="e">
        <f>AND(#REF!,"AAAAAH39d9o=")</f>
        <v>#REF!</v>
      </c>
      <c r="HL539" t="e">
        <f>AND(#REF!,"AAAAAH39d9s=")</f>
        <v>#REF!</v>
      </c>
      <c r="HM539" t="e">
        <f>AND(#REF!,"AAAAAH39d9w=")</f>
        <v>#REF!</v>
      </c>
      <c r="HN539" t="e">
        <f>AND(#REF!,"AAAAAH39d90=")</f>
        <v>#REF!</v>
      </c>
      <c r="HO539" t="e">
        <f>AND(#REF!,"AAAAAH39d94=")</f>
        <v>#REF!</v>
      </c>
      <c r="HP539" t="e">
        <f>AND(#REF!,"AAAAAH39d98=")</f>
        <v>#REF!</v>
      </c>
      <c r="HQ539" t="e">
        <f>AND(#REF!,"AAAAAH39d+A=")</f>
        <v>#REF!</v>
      </c>
      <c r="HR539" t="e">
        <f>AND(#REF!,"AAAAAH39d+E=")</f>
        <v>#REF!</v>
      </c>
      <c r="HS539" t="e">
        <f>AND(#REF!,"AAAAAH39d+I=")</f>
        <v>#REF!</v>
      </c>
      <c r="HT539" t="e">
        <f>AND(#REF!,"AAAAAH39d+M=")</f>
        <v>#REF!</v>
      </c>
      <c r="HU539" t="e">
        <f>AND(#REF!,"AAAAAH39d+Q=")</f>
        <v>#REF!</v>
      </c>
      <c r="HV539" t="e">
        <f>AND(#REF!,"AAAAAH39d+U=")</f>
        <v>#REF!</v>
      </c>
      <c r="HW539" t="e">
        <f>AND(#REF!,"AAAAAH39d+Y=")</f>
        <v>#REF!</v>
      </c>
      <c r="HX539" t="e">
        <f>AND(#REF!,"AAAAAH39d+c=")</f>
        <v>#REF!</v>
      </c>
      <c r="HY539" t="e">
        <f>IF(#REF!,"AAAAAH39d+g=",0)</f>
        <v>#REF!</v>
      </c>
      <c r="HZ539" t="e">
        <f>AND(#REF!,"AAAAAH39d+k=")</f>
        <v>#REF!</v>
      </c>
      <c r="IA539" t="e">
        <f>AND(#REF!,"AAAAAH39d+o=")</f>
        <v>#REF!</v>
      </c>
      <c r="IB539" t="e">
        <f>AND(#REF!,"AAAAAH39d+s=")</f>
        <v>#REF!</v>
      </c>
      <c r="IC539" t="e">
        <f>AND(#REF!,"AAAAAH39d+w=")</f>
        <v>#REF!</v>
      </c>
      <c r="ID539" t="e">
        <f>AND(#REF!,"AAAAAH39d+0=")</f>
        <v>#REF!</v>
      </c>
      <c r="IE539" t="e">
        <f>AND(#REF!,"AAAAAH39d+4=")</f>
        <v>#REF!</v>
      </c>
      <c r="IF539" t="e">
        <f>AND(#REF!,"AAAAAH39d+8=")</f>
        <v>#REF!</v>
      </c>
      <c r="IG539" t="e">
        <f>AND(#REF!,"AAAAAH39d/A=")</f>
        <v>#REF!</v>
      </c>
      <c r="IH539" t="e">
        <f>AND(#REF!,"AAAAAH39d/E=")</f>
        <v>#REF!</v>
      </c>
      <c r="II539" t="e">
        <f>AND(#REF!,"AAAAAH39d/I=")</f>
        <v>#REF!</v>
      </c>
      <c r="IJ539" t="e">
        <f>AND(#REF!,"AAAAAH39d/M=")</f>
        <v>#REF!</v>
      </c>
      <c r="IK539" t="e">
        <f>AND(#REF!,"AAAAAH39d/Q=")</f>
        <v>#REF!</v>
      </c>
      <c r="IL539" t="e">
        <f>AND(#REF!,"AAAAAH39d/U=")</f>
        <v>#REF!</v>
      </c>
      <c r="IM539" t="e">
        <f>AND(#REF!,"AAAAAH39d/Y=")</f>
        <v>#REF!</v>
      </c>
      <c r="IN539" t="e">
        <f>AND(#REF!,"AAAAAH39d/c=")</f>
        <v>#REF!</v>
      </c>
      <c r="IO539" t="e">
        <f>AND(#REF!,"AAAAAH39d/g=")</f>
        <v>#REF!</v>
      </c>
      <c r="IP539" t="e">
        <f>AND(#REF!,"AAAAAH39d/k=")</f>
        <v>#REF!</v>
      </c>
      <c r="IQ539" t="e">
        <f>AND(#REF!,"AAAAAH39d/o=")</f>
        <v>#REF!</v>
      </c>
      <c r="IR539" t="e">
        <f>AND(#REF!,"AAAAAH39d/s=")</f>
        <v>#REF!</v>
      </c>
      <c r="IS539" t="e">
        <f>AND(#REF!,"AAAAAH39d/w=")</f>
        <v>#REF!</v>
      </c>
      <c r="IT539" t="e">
        <f>AND(#REF!,"AAAAAH39d/0=")</f>
        <v>#REF!</v>
      </c>
      <c r="IU539" t="e">
        <f>AND(#REF!,"AAAAAH39d/4=")</f>
        <v>#REF!</v>
      </c>
      <c r="IV539" t="e">
        <f>AND(#REF!,"AAAAAH39d/8=")</f>
        <v>#REF!</v>
      </c>
    </row>
    <row r="540" spans="1:256">
      <c r="A540" t="e">
        <f>AND(#REF!,"AAAAAG9X3gA=")</f>
        <v>#REF!</v>
      </c>
      <c r="B540" t="e">
        <f>IF(#REF!,"AAAAAG9X3gE=",0)</f>
        <v>#REF!</v>
      </c>
      <c r="C540" t="e">
        <f>AND(#REF!,"AAAAAG9X3gI=")</f>
        <v>#REF!</v>
      </c>
      <c r="D540" t="e">
        <f>AND(#REF!,"AAAAAG9X3gM=")</f>
        <v>#REF!</v>
      </c>
      <c r="E540" t="e">
        <f>AND(#REF!,"AAAAAG9X3gQ=")</f>
        <v>#REF!</v>
      </c>
      <c r="F540" t="e">
        <f>AND(#REF!,"AAAAAG9X3gU=")</f>
        <v>#REF!</v>
      </c>
      <c r="G540" t="e">
        <f>AND(#REF!,"AAAAAG9X3gY=")</f>
        <v>#REF!</v>
      </c>
      <c r="H540" t="e">
        <f>AND(#REF!,"AAAAAG9X3gc=")</f>
        <v>#REF!</v>
      </c>
      <c r="I540" t="e">
        <f>AND(#REF!,"AAAAAG9X3gg=")</f>
        <v>#REF!</v>
      </c>
      <c r="J540" t="e">
        <f>AND(#REF!,"AAAAAG9X3gk=")</f>
        <v>#REF!</v>
      </c>
      <c r="K540" t="e">
        <f>AND(#REF!,"AAAAAG9X3go=")</f>
        <v>#REF!</v>
      </c>
      <c r="L540" t="e">
        <f>AND(#REF!,"AAAAAG9X3gs=")</f>
        <v>#REF!</v>
      </c>
      <c r="M540" t="e">
        <f>AND(#REF!,"AAAAAG9X3gw=")</f>
        <v>#REF!</v>
      </c>
      <c r="N540" t="e">
        <f>AND(#REF!,"AAAAAG9X3g0=")</f>
        <v>#REF!</v>
      </c>
      <c r="O540" t="e">
        <f>AND(#REF!,"AAAAAG9X3g4=")</f>
        <v>#REF!</v>
      </c>
      <c r="P540" t="e">
        <f>AND(#REF!,"AAAAAG9X3g8=")</f>
        <v>#REF!</v>
      </c>
      <c r="Q540" t="e">
        <f>AND(#REF!,"AAAAAG9X3hA=")</f>
        <v>#REF!</v>
      </c>
      <c r="R540" t="e">
        <f>AND(#REF!,"AAAAAG9X3hE=")</f>
        <v>#REF!</v>
      </c>
      <c r="S540" t="e">
        <f>AND(#REF!,"AAAAAG9X3hI=")</f>
        <v>#REF!</v>
      </c>
      <c r="T540" t="e">
        <f>AND(#REF!,"AAAAAG9X3hM=")</f>
        <v>#REF!</v>
      </c>
      <c r="U540" t="e">
        <f>AND(#REF!,"AAAAAG9X3hQ=")</f>
        <v>#REF!</v>
      </c>
      <c r="V540" t="e">
        <f>AND(#REF!,"AAAAAG9X3hU=")</f>
        <v>#REF!</v>
      </c>
      <c r="W540" t="e">
        <f>AND(#REF!,"AAAAAG9X3hY=")</f>
        <v>#REF!</v>
      </c>
      <c r="X540" t="e">
        <f>AND(#REF!,"AAAAAG9X3hc=")</f>
        <v>#REF!</v>
      </c>
      <c r="Y540" t="e">
        <f>AND(#REF!,"AAAAAG9X3hg=")</f>
        <v>#REF!</v>
      </c>
      <c r="Z540" t="e">
        <f>AND(#REF!,"AAAAAG9X3hk=")</f>
        <v>#REF!</v>
      </c>
      <c r="AA540" t="e">
        <f>IF(#REF!,"AAAAAG9X3ho=",0)</f>
        <v>#REF!</v>
      </c>
      <c r="AB540" t="e">
        <f>AND(#REF!,"AAAAAG9X3hs=")</f>
        <v>#REF!</v>
      </c>
      <c r="AC540" t="e">
        <f>AND(#REF!,"AAAAAG9X3hw=")</f>
        <v>#REF!</v>
      </c>
      <c r="AD540" t="e">
        <f>AND(#REF!,"AAAAAG9X3h0=")</f>
        <v>#REF!</v>
      </c>
      <c r="AE540" t="e">
        <f>AND(#REF!,"AAAAAG9X3h4=")</f>
        <v>#REF!</v>
      </c>
      <c r="AF540" t="e">
        <f>AND(#REF!,"AAAAAG9X3h8=")</f>
        <v>#REF!</v>
      </c>
      <c r="AG540" t="e">
        <f>AND(#REF!,"AAAAAG9X3iA=")</f>
        <v>#REF!</v>
      </c>
      <c r="AH540" t="e">
        <f>AND(#REF!,"AAAAAG9X3iE=")</f>
        <v>#REF!</v>
      </c>
      <c r="AI540" t="e">
        <f>AND(#REF!,"AAAAAG9X3iI=")</f>
        <v>#REF!</v>
      </c>
      <c r="AJ540" t="e">
        <f>AND(#REF!,"AAAAAG9X3iM=")</f>
        <v>#REF!</v>
      </c>
      <c r="AK540" t="e">
        <f>AND(#REF!,"AAAAAG9X3iQ=")</f>
        <v>#REF!</v>
      </c>
      <c r="AL540" t="e">
        <f>AND(#REF!,"AAAAAG9X3iU=")</f>
        <v>#REF!</v>
      </c>
      <c r="AM540" t="e">
        <f>AND(#REF!,"AAAAAG9X3iY=")</f>
        <v>#REF!</v>
      </c>
      <c r="AN540" t="e">
        <f>AND(#REF!,"AAAAAG9X3ic=")</f>
        <v>#REF!</v>
      </c>
      <c r="AO540" t="e">
        <f>AND(#REF!,"AAAAAG9X3ig=")</f>
        <v>#REF!</v>
      </c>
      <c r="AP540" t="e">
        <f>AND(#REF!,"AAAAAG9X3ik=")</f>
        <v>#REF!</v>
      </c>
      <c r="AQ540" t="e">
        <f>AND(#REF!,"AAAAAG9X3io=")</f>
        <v>#REF!</v>
      </c>
      <c r="AR540" t="e">
        <f>AND(#REF!,"AAAAAG9X3is=")</f>
        <v>#REF!</v>
      </c>
      <c r="AS540" t="e">
        <f>AND(#REF!,"AAAAAG9X3iw=")</f>
        <v>#REF!</v>
      </c>
      <c r="AT540" t="e">
        <f>AND(#REF!,"AAAAAG9X3i0=")</f>
        <v>#REF!</v>
      </c>
      <c r="AU540" t="e">
        <f>AND(#REF!,"AAAAAG9X3i4=")</f>
        <v>#REF!</v>
      </c>
      <c r="AV540" t="e">
        <f>AND(#REF!,"AAAAAG9X3i8=")</f>
        <v>#REF!</v>
      </c>
      <c r="AW540" t="e">
        <f>AND(#REF!,"AAAAAG9X3jA=")</f>
        <v>#REF!</v>
      </c>
      <c r="AX540" t="e">
        <f>AND(#REF!,"AAAAAG9X3jE=")</f>
        <v>#REF!</v>
      </c>
      <c r="AY540" t="e">
        <f>AND(#REF!,"AAAAAG9X3jI=")</f>
        <v>#REF!</v>
      </c>
      <c r="AZ540" t="e">
        <f>IF(#REF!,"AAAAAG9X3jM=",0)</f>
        <v>#REF!</v>
      </c>
      <c r="BA540" t="e">
        <f>AND(#REF!,"AAAAAG9X3jQ=")</f>
        <v>#REF!</v>
      </c>
      <c r="BB540" t="e">
        <f>AND(#REF!,"AAAAAG9X3jU=")</f>
        <v>#REF!</v>
      </c>
      <c r="BC540" t="e">
        <f>AND(#REF!,"AAAAAG9X3jY=")</f>
        <v>#REF!</v>
      </c>
      <c r="BD540" t="e">
        <f>AND(#REF!,"AAAAAG9X3jc=")</f>
        <v>#REF!</v>
      </c>
      <c r="BE540" t="e">
        <f>AND(#REF!,"AAAAAG9X3jg=")</f>
        <v>#REF!</v>
      </c>
      <c r="BF540" t="e">
        <f>AND(#REF!,"AAAAAG9X3jk=")</f>
        <v>#REF!</v>
      </c>
      <c r="BG540" t="e">
        <f>AND(#REF!,"AAAAAG9X3jo=")</f>
        <v>#REF!</v>
      </c>
      <c r="BH540" t="e">
        <f>AND(#REF!,"AAAAAG9X3js=")</f>
        <v>#REF!</v>
      </c>
      <c r="BI540" t="e">
        <f>AND(#REF!,"AAAAAG9X3jw=")</f>
        <v>#REF!</v>
      </c>
      <c r="BJ540" t="e">
        <f>AND(#REF!,"AAAAAG9X3j0=")</f>
        <v>#REF!</v>
      </c>
      <c r="BK540" t="e">
        <f>AND(#REF!,"AAAAAG9X3j4=")</f>
        <v>#REF!</v>
      </c>
      <c r="BL540" t="e">
        <f>AND(#REF!,"AAAAAG9X3j8=")</f>
        <v>#REF!</v>
      </c>
      <c r="BM540" t="e">
        <f>AND(#REF!,"AAAAAG9X3kA=")</f>
        <v>#REF!</v>
      </c>
      <c r="BN540" t="e">
        <f>AND(#REF!,"AAAAAG9X3kE=")</f>
        <v>#REF!</v>
      </c>
      <c r="BO540" t="e">
        <f>AND(#REF!,"AAAAAG9X3kI=")</f>
        <v>#REF!</v>
      </c>
      <c r="BP540" t="e">
        <f>AND(#REF!,"AAAAAG9X3kM=")</f>
        <v>#REF!</v>
      </c>
      <c r="BQ540" t="e">
        <f>AND(#REF!,"AAAAAG9X3kQ=")</f>
        <v>#REF!</v>
      </c>
      <c r="BR540" t="e">
        <f>AND(#REF!,"AAAAAG9X3kU=")</f>
        <v>#REF!</v>
      </c>
      <c r="BS540" t="e">
        <f>AND(#REF!,"AAAAAG9X3kY=")</f>
        <v>#REF!</v>
      </c>
      <c r="BT540" t="e">
        <f>AND(#REF!,"AAAAAG9X3kc=")</f>
        <v>#REF!</v>
      </c>
      <c r="BU540" t="e">
        <f>AND(#REF!,"AAAAAG9X3kg=")</f>
        <v>#REF!</v>
      </c>
      <c r="BV540" t="e">
        <f>AND(#REF!,"AAAAAG9X3kk=")</f>
        <v>#REF!</v>
      </c>
      <c r="BW540" t="e">
        <f>AND(#REF!,"AAAAAG9X3ko=")</f>
        <v>#REF!</v>
      </c>
      <c r="BX540" t="e">
        <f>AND(#REF!,"AAAAAG9X3ks=")</f>
        <v>#REF!</v>
      </c>
      <c r="BY540" t="e">
        <f>IF(#REF!,"AAAAAG9X3kw=",0)</f>
        <v>#REF!</v>
      </c>
      <c r="BZ540" t="e">
        <f>AND(#REF!,"AAAAAG9X3k0=")</f>
        <v>#REF!</v>
      </c>
      <c r="CA540" t="e">
        <f>AND(#REF!,"AAAAAG9X3k4=")</f>
        <v>#REF!</v>
      </c>
      <c r="CB540" t="e">
        <f>AND(#REF!,"AAAAAG9X3k8=")</f>
        <v>#REF!</v>
      </c>
      <c r="CC540" t="e">
        <f>AND(#REF!,"AAAAAG9X3lA=")</f>
        <v>#REF!</v>
      </c>
      <c r="CD540" t="e">
        <f>AND(#REF!,"AAAAAG9X3lE=")</f>
        <v>#REF!</v>
      </c>
      <c r="CE540" t="e">
        <f>AND(#REF!,"AAAAAG9X3lI=")</f>
        <v>#REF!</v>
      </c>
      <c r="CF540" t="e">
        <f>AND(#REF!,"AAAAAG9X3lM=")</f>
        <v>#REF!</v>
      </c>
      <c r="CG540" t="e">
        <f>AND(#REF!,"AAAAAG9X3lQ=")</f>
        <v>#REF!</v>
      </c>
      <c r="CH540" t="e">
        <f>AND(#REF!,"AAAAAG9X3lU=")</f>
        <v>#REF!</v>
      </c>
      <c r="CI540" t="e">
        <f>AND(#REF!,"AAAAAG9X3lY=")</f>
        <v>#REF!</v>
      </c>
      <c r="CJ540" t="e">
        <f>AND(#REF!,"AAAAAG9X3lc=")</f>
        <v>#REF!</v>
      </c>
      <c r="CK540" t="e">
        <f>AND(#REF!,"AAAAAG9X3lg=")</f>
        <v>#REF!</v>
      </c>
      <c r="CL540" t="e">
        <f>AND(#REF!,"AAAAAG9X3lk=")</f>
        <v>#REF!</v>
      </c>
      <c r="CM540" t="e">
        <f>AND(#REF!,"AAAAAG9X3lo=")</f>
        <v>#REF!</v>
      </c>
      <c r="CN540" t="e">
        <f>AND(#REF!,"AAAAAG9X3ls=")</f>
        <v>#REF!</v>
      </c>
      <c r="CO540" t="e">
        <f>AND(#REF!,"AAAAAG9X3lw=")</f>
        <v>#REF!</v>
      </c>
      <c r="CP540" t="e">
        <f>AND(#REF!,"AAAAAG9X3l0=")</f>
        <v>#REF!</v>
      </c>
      <c r="CQ540" t="e">
        <f>AND(#REF!,"AAAAAG9X3l4=")</f>
        <v>#REF!</v>
      </c>
      <c r="CR540" t="e">
        <f>AND(#REF!,"AAAAAG9X3l8=")</f>
        <v>#REF!</v>
      </c>
      <c r="CS540" t="e">
        <f>AND(#REF!,"AAAAAG9X3mA=")</f>
        <v>#REF!</v>
      </c>
      <c r="CT540" t="e">
        <f>AND(#REF!,"AAAAAG9X3mE=")</f>
        <v>#REF!</v>
      </c>
      <c r="CU540" t="e">
        <f>AND(#REF!,"AAAAAG9X3mI=")</f>
        <v>#REF!</v>
      </c>
      <c r="CV540" t="e">
        <f>AND(#REF!,"AAAAAG9X3mM=")</f>
        <v>#REF!</v>
      </c>
      <c r="CW540" t="e">
        <f>AND(#REF!,"AAAAAG9X3mQ=")</f>
        <v>#REF!</v>
      </c>
      <c r="CX540" t="e">
        <f>IF(#REF!,"AAAAAG9X3mU=",0)</f>
        <v>#REF!</v>
      </c>
      <c r="CY540" t="e">
        <f>AND(#REF!,"AAAAAG9X3mY=")</f>
        <v>#REF!</v>
      </c>
      <c r="CZ540" t="e">
        <f>AND(#REF!,"AAAAAG9X3mc=")</f>
        <v>#REF!</v>
      </c>
      <c r="DA540" t="e">
        <f>AND(#REF!,"AAAAAG9X3mg=")</f>
        <v>#REF!</v>
      </c>
      <c r="DB540" t="e">
        <f>AND(#REF!,"AAAAAG9X3mk=")</f>
        <v>#REF!</v>
      </c>
      <c r="DC540" t="e">
        <f>AND(#REF!,"AAAAAG9X3mo=")</f>
        <v>#REF!</v>
      </c>
      <c r="DD540" t="e">
        <f>AND(#REF!,"AAAAAG9X3ms=")</f>
        <v>#REF!</v>
      </c>
      <c r="DE540" t="e">
        <f>AND(#REF!,"AAAAAG9X3mw=")</f>
        <v>#REF!</v>
      </c>
      <c r="DF540" t="e">
        <f>AND(#REF!,"AAAAAG9X3m0=")</f>
        <v>#REF!</v>
      </c>
      <c r="DG540" t="e">
        <f>AND(#REF!,"AAAAAG9X3m4=")</f>
        <v>#REF!</v>
      </c>
      <c r="DH540" t="e">
        <f>AND(#REF!,"AAAAAG9X3m8=")</f>
        <v>#REF!</v>
      </c>
      <c r="DI540" t="e">
        <f>AND(#REF!,"AAAAAG9X3nA=")</f>
        <v>#REF!</v>
      </c>
      <c r="DJ540" t="e">
        <f>AND(#REF!,"AAAAAG9X3nE=")</f>
        <v>#REF!</v>
      </c>
      <c r="DK540" t="e">
        <f>AND(#REF!,"AAAAAG9X3nI=")</f>
        <v>#REF!</v>
      </c>
      <c r="DL540" t="e">
        <f>AND(#REF!,"AAAAAG9X3nM=")</f>
        <v>#REF!</v>
      </c>
      <c r="DM540" t="e">
        <f>AND(#REF!,"AAAAAG9X3nQ=")</f>
        <v>#REF!</v>
      </c>
      <c r="DN540" t="e">
        <f>AND(#REF!,"AAAAAG9X3nU=")</f>
        <v>#REF!</v>
      </c>
      <c r="DO540" t="e">
        <f>AND(#REF!,"AAAAAG9X3nY=")</f>
        <v>#REF!</v>
      </c>
      <c r="DP540" t="e">
        <f>AND(#REF!,"AAAAAG9X3nc=")</f>
        <v>#REF!</v>
      </c>
      <c r="DQ540" t="e">
        <f>AND(#REF!,"AAAAAG9X3ng=")</f>
        <v>#REF!</v>
      </c>
      <c r="DR540" t="e">
        <f>AND(#REF!,"AAAAAG9X3nk=")</f>
        <v>#REF!</v>
      </c>
      <c r="DS540" t="e">
        <f>AND(#REF!,"AAAAAG9X3no=")</f>
        <v>#REF!</v>
      </c>
      <c r="DT540" t="e">
        <f>AND(#REF!,"AAAAAG9X3ns=")</f>
        <v>#REF!</v>
      </c>
      <c r="DU540" t="e">
        <f>AND(#REF!,"AAAAAG9X3nw=")</f>
        <v>#REF!</v>
      </c>
      <c r="DV540" t="e">
        <f>AND(#REF!,"AAAAAG9X3n0=")</f>
        <v>#REF!</v>
      </c>
      <c r="DW540" t="e">
        <f>IF(#REF!,"AAAAAG9X3n4=",0)</f>
        <v>#REF!</v>
      </c>
      <c r="DX540" t="e">
        <f>AND(#REF!,"AAAAAG9X3n8=")</f>
        <v>#REF!</v>
      </c>
      <c r="DY540" t="e">
        <f>AND(#REF!,"AAAAAG9X3oA=")</f>
        <v>#REF!</v>
      </c>
      <c r="DZ540" t="e">
        <f>AND(#REF!,"AAAAAG9X3oE=")</f>
        <v>#REF!</v>
      </c>
      <c r="EA540" t="e">
        <f>AND(#REF!,"AAAAAG9X3oI=")</f>
        <v>#REF!</v>
      </c>
      <c r="EB540" t="e">
        <f>AND(#REF!,"AAAAAG9X3oM=")</f>
        <v>#REF!</v>
      </c>
      <c r="EC540" t="e">
        <f>AND(#REF!,"AAAAAG9X3oQ=")</f>
        <v>#REF!</v>
      </c>
      <c r="ED540" t="e">
        <f>AND(#REF!,"AAAAAG9X3oU=")</f>
        <v>#REF!</v>
      </c>
      <c r="EE540" t="e">
        <f>AND(#REF!,"AAAAAG9X3oY=")</f>
        <v>#REF!</v>
      </c>
      <c r="EF540" t="e">
        <f>AND(#REF!,"AAAAAG9X3oc=")</f>
        <v>#REF!</v>
      </c>
      <c r="EG540" t="e">
        <f>AND(#REF!,"AAAAAG9X3og=")</f>
        <v>#REF!</v>
      </c>
      <c r="EH540" t="e">
        <f>AND(#REF!,"AAAAAG9X3ok=")</f>
        <v>#REF!</v>
      </c>
      <c r="EI540" t="e">
        <f>AND(#REF!,"AAAAAG9X3oo=")</f>
        <v>#REF!</v>
      </c>
      <c r="EJ540" t="e">
        <f>AND(#REF!,"AAAAAG9X3os=")</f>
        <v>#REF!</v>
      </c>
      <c r="EK540" t="e">
        <f>AND(#REF!,"AAAAAG9X3ow=")</f>
        <v>#REF!</v>
      </c>
      <c r="EL540" t="e">
        <f>AND(#REF!,"AAAAAG9X3o0=")</f>
        <v>#REF!</v>
      </c>
      <c r="EM540" t="e">
        <f>AND(#REF!,"AAAAAG9X3o4=")</f>
        <v>#REF!</v>
      </c>
      <c r="EN540" t="e">
        <f>AND(#REF!,"AAAAAG9X3o8=")</f>
        <v>#REF!</v>
      </c>
      <c r="EO540" t="e">
        <f>AND(#REF!,"AAAAAG9X3pA=")</f>
        <v>#REF!</v>
      </c>
      <c r="EP540" t="e">
        <f>AND(#REF!,"AAAAAG9X3pE=")</f>
        <v>#REF!</v>
      </c>
      <c r="EQ540" t="e">
        <f>AND(#REF!,"AAAAAG9X3pI=")</f>
        <v>#REF!</v>
      </c>
      <c r="ER540" t="e">
        <f>AND(#REF!,"AAAAAG9X3pM=")</f>
        <v>#REF!</v>
      </c>
      <c r="ES540" t="e">
        <f>AND(#REF!,"AAAAAG9X3pQ=")</f>
        <v>#REF!</v>
      </c>
      <c r="ET540" t="e">
        <f>AND(#REF!,"AAAAAG9X3pU=")</f>
        <v>#REF!</v>
      </c>
      <c r="EU540" t="e">
        <f>AND(#REF!,"AAAAAG9X3pY=")</f>
        <v>#REF!</v>
      </c>
      <c r="EV540" t="e">
        <f>IF(#REF!,"AAAAAG9X3pc=",0)</f>
        <v>#REF!</v>
      </c>
      <c r="EW540" t="e">
        <f>AND(#REF!,"AAAAAG9X3pg=")</f>
        <v>#REF!</v>
      </c>
      <c r="EX540" t="e">
        <f>AND(#REF!,"AAAAAG9X3pk=")</f>
        <v>#REF!</v>
      </c>
      <c r="EY540" t="e">
        <f>AND(#REF!,"AAAAAG9X3po=")</f>
        <v>#REF!</v>
      </c>
      <c r="EZ540" t="e">
        <f>AND(#REF!,"AAAAAG9X3ps=")</f>
        <v>#REF!</v>
      </c>
      <c r="FA540" t="e">
        <f>AND(#REF!,"AAAAAG9X3pw=")</f>
        <v>#REF!</v>
      </c>
      <c r="FB540" t="e">
        <f>AND(#REF!,"AAAAAG9X3p0=")</f>
        <v>#REF!</v>
      </c>
      <c r="FC540" t="e">
        <f>AND(#REF!,"AAAAAG9X3p4=")</f>
        <v>#REF!</v>
      </c>
      <c r="FD540" t="e">
        <f>AND(#REF!,"AAAAAG9X3p8=")</f>
        <v>#REF!</v>
      </c>
      <c r="FE540" t="e">
        <f>AND(#REF!,"AAAAAG9X3qA=")</f>
        <v>#REF!</v>
      </c>
      <c r="FF540" t="e">
        <f>AND(#REF!,"AAAAAG9X3qE=")</f>
        <v>#REF!</v>
      </c>
      <c r="FG540" t="e">
        <f>AND(#REF!,"AAAAAG9X3qI=")</f>
        <v>#REF!</v>
      </c>
      <c r="FH540" t="e">
        <f>AND(#REF!,"AAAAAG9X3qM=")</f>
        <v>#REF!</v>
      </c>
      <c r="FI540" t="e">
        <f>AND(#REF!,"AAAAAG9X3qQ=")</f>
        <v>#REF!</v>
      </c>
      <c r="FJ540" t="e">
        <f>AND(#REF!,"AAAAAG9X3qU=")</f>
        <v>#REF!</v>
      </c>
      <c r="FK540" t="e">
        <f>AND(#REF!,"AAAAAG9X3qY=")</f>
        <v>#REF!</v>
      </c>
      <c r="FL540" t="e">
        <f>AND(#REF!,"AAAAAG9X3qc=")</f>
        <v>#REF!</v>
      </c>
      <c r="FM540" t="e">
        <f>AND(#REF!,"AAAAAG9X3qg=")</f>
        <v>#REF!</v>
      </c>
      <c r="FN540" t="e">
        <f>AND(#REF!,"AAAAAG9X3qk=")</f>
        <v>#REF!</v>
      </c>
      <c r="FO540" t="e">
        <f>AND(#REF!,"AAAAAG9X3qo=")</f>
        <v>#REF!</v>
      </c>
      <c r="FP540" t="e">
        <f>AND(#REF!,"AAAAAG9X3qs=")</f>
        <v>#REF!</v>
      </c>
      <c r="FQ540" t="e">
        <f>AND(#REF!,"AAAAAG9X3qw=")</f>
        <v>#REF!</v>
      </c>
      <c r="FR540" t="e">
        <f>AND(#REF!,"AAAAAG9X3q0=")</f>
        <v>#REF!</v>
      </c>
      <c r="FS540" t="e">
        <f>AND(#REF!,"AAAAAG9X3q4=")</f>
        <v>#REF!</v>
      </c>
      <c r="FT540" t="e">
        <f>AND(#REF!,"AAAAAG9X3q8=")</f>
        <v>#REF!</v>
      </c>
      <c r="FU540" t="e">
        <f>IF(#REF!,"AAAAAG9X3rA=",0)</f>
        <v>#REF!</v>
      </c>
      <c r="FV540" t="e">
        <f>AND(#REF!,"AAAAAG9X3rE=")</f>
        <v>#REF!</v>
      </c>
      <c r="FW540" t="e">
        <f>AND(#REF!,"AAAAAG9X3rI=")</f>
        <v>#REF!</v>
      </c>
      <c r="FX540" t="e">
        <f>AND(#REF!,"AAAAAG9X3rM=")</f>
        <v>#REF!</v>
      </c>
      <c r="FY540" t="e">
        <f>AND(#REF!,"AAAAAG9X3rQ=")</f>
        <v>#REF!</v>
      </c>
      <c r="FZ540" t="e">
        <f>AND(#REF!,"AAAAAG9X3rU=")</f>
        <v>#REF!</v>
      </c>
      <c r="GA540" t="e">
        <f>AND(#REF!,"AAAAAG9X3rY=")</f>
        <v>#REF!</v>
      </c>
      <c r="GB540" t="e">
        <f>AND(#REF!,"AAAAAG9X3rc=")</f>
        <v>#REF!</v>
      </c>
      <c r="GC540" t="e">
        <f>AND(#REF!,"AAAAAG9X3rg=")</f>
        <v>#REF!</v>
      </c>
      <c r="GD540" t="e">
        <f>AND(#REF!,"AAAAAG9X3rk=")</f>
        <v>#REF!</v>
      </c>
      <c r="GE540" t="e">
        <f>AND(#REF!,"AAAAAG9X3ro=")</f>
        <v>#REF!</v>
      </c>
      <c r="GF540" t="e">
        <f>AND(#REF!,"AAAAAG9X3rs=")</f>
        <v>#REF!</v>
      </c>
      <c r="GG540" t="e">
        <f>AND(#REF!,"AAAAAG9X3rw=")</f>
        <v>#REF!</v>
      </c>
      <c r="GH540" t="e">
        <f>AND(#REF!,"AAAAAG9X3r0=")</f>
        <v>#REF!</v>
      </c>
      <c r="GI540" t="e">
        <f>AND(#REF!,"AAAAAG9X3r4=")</f>
        <v>#REF!</v>
      </c>
      <c r="GJ540" t="e">
        <f>AND(#REF!,"AAAAAG9X3r8=")</f>
        <v>#REF!</v>
      </c>
      <c r="GK540" t="e">
        <f>AND(#REF!,"AAAAAG9X3sA=")</f>
        <v>#REF!</v>
      </c>
      <c r="GL540" t="e">
        <f>AND(#REF!,"AAAAAG9X3sE=")</f>
        <v>#REF!</v>
      </c>
      <c r="GM540" t="e">
        <f>AND(#REF!,"AAAAAG9X3sI=")</f>
        <v>#REF!</v>
      </c>
      <c r="GN540" t="e">
        <f>AND(#REF!,"AAAAAG9X3sM=")</f>
        <v>#REF!</v>
      </c>
      <c r="GO540" t="e">
        <f>AND(#REF!,"AAAAAG9X3sQ=")</f>
        <v>#REF!</v>
      </c>
      <c r="GP540" t="e">
        <f>AND(#REF!,"AAAAAG9X3sU=")</f>
        <v>#REF!</v>
      </c>
      <c r="GQ540" t="e">
        <f>AND(#REF!,"AAAAAG9X3sY=")</f>
        <v>#REF!</v>
      </c>
      <c r="GR540" t="e">
        <f>AND(#REF!,"AAAAAG9X3sc=")</f>
        <v>#REF!</v>
      </c>
      <c r="GS540" t="e">
        <f>AND(#REF!,"AAAAAG9X3sg=")</f>
        <v>#REF!</v>
      </c>
      <c r="GT540" t="e">
        <f>IF(#REF!,"AAAAAG9X3sk=",0)</f>
        <v>#REF!</v>
      </c>
      <c r="GU540" t="e">
        <f>AND(#REF!,"AAAAAG9X3so=")</f>
        <v>#REF!</v>
      </c>
      <c r="GV540" t="e">
        <f>AND(#REF!,"AAAAAG9X3ss=")</f>
        <v>#REF!</v>
      </c>
      <c r="GW540" t="e">
        <f>AND(#REF!,"AAAAAG9X3sw=")</f>
        <v>#REF!</v>
      </c>
      <c r="GX540" t="e">
        <f>AND(#REF!,"AAAAAG9X3s0=")</f>
        <v>#REF!</v>
      </c>
      <c r="GY540" t="e">
        <f>AND(#REF!,"AAAAAG9X3s4=")</f>
        <v>#REF!</v>
      </c>
      <c r="GZ540" t="e">
        <f>AND(#REF!,"AAAAAG9X3s8=")</f>
        <v>#REF!</v>
      </c>
      <c r="HA540" t="e">
        <f>AND(#REF!,"AAAAAG9X3tA=")</f>
        <v>#REF!</v>
      </c>
      <c r="HB540" t="e">
        <f>AND(#REF!,"AAAAAG9X3tE=")</f>
        <v>#REF!</v>
      </c>
      <c r="HC540" t="e">
        <f>AND(#REF!,"AAAAAG9X3tI=")</f>
        <v>#REF!</v>
      </c>
      <c r="HD540" t="e">
        <f>AND(#REF!,"AAAAAG9X3tM=")</f>
        <v>#REF!</v>
      </c>
      <c r="HE540" t="e">
        <f>AND(#REF!,"AAAAAG9X3tQ=")</f>
        <v>#REF!</v>
      </c>
      <c r="HF540" t="e">
        <f>AND(#REF!,"AAAAAG9X3tU=")</f>
        <v>#REF!</v>
      </c>
      <c r="HG540" t="e">
        <f>AND(#REF!,"AAAAAG9X3tY=")</f>
        <v>#REF!</v>
      </c>
      <c r="HH540" t="e">
        <f>AND(#REF!,"AAAAAG9X3tc=")</f>
        <v>#REF!</v>
      </c>
      <c r="HI540" t="e">
        <f>AND(#REF!,"AAAAAG9X3tg=")</f>
        <v>#REF!</v>
      </c>
      <c r="HJ540" t="e">
        <f>AND(#REF!,"AAAAAG9X3tk=")</f>
        <v>#REF!</v>
      </c>
      <c r="HK540" t="e">
        <f>AND(#REF!,"AAAAAG9X3to=")</f>
        <v>#REF!</v>
      </c>
      <c r="HL540" t="e">
        <f>AND(#REF!,"AAAAAG9X3ts=")</f>
        <v>#REF!</v>
      </c>
      <c r="HM540" t="e">
        <f>AND(#REF!,"AAAAAG9X3tw=")</f>
        <v>#REF!</v>
      </c>
      <c r="HN540" t="e">
        <f>AND(#REF!,"AAAAAG9X3t0=")</f>
        <v>#REF!</v>
      </c>
      <c r="HO540" t="e">
        <f>AND(#REF!,"AAAAAG9X3t4=")</f>
        <v>#REF!</v>
      </c>
      <c r="HP540" t="e">
        <f>AND(#REF!,"AAAAAG9X3t8=")</f>
        <v>#REF!</v>
      </c>
      <c r="HQ540" t="e">
        <f>AND(#REF!,"AAAAAG9X3uA=")</f>
        <v>#REF!</v>
      </c>
      <c r="HR540" t="e">
        <f>AND(#REF!,"AAAAAG9X3uE=")</f>
        <v>#REF!</v>
      </c>
      <c r="HS540" t="e">
        <f>IF(#REF!,"AAAAAG9X3uI=",0)</f>
        <v>#REF!</v>
      </c>
      <c r="HT540" t="e">
        <f>AND(#REF!,"AAAAAG9X3uM=")</f>
        <v>#REF!</v>
      </c>
      <c r="HU540" t="e">
        <f>AND(#REF!,"AAAAAG9X3uQ=")</f>
        <v>#REF!</v>
      </c>
      <c r="HV540" t="e">
        <f>AND(#REF!,"AAAAAG9X3uU=")</f>
        <v>#REF!</v>
      </c>
      <c r="HW540" t="e">
        <f>AND(#REF!,"AAAAAG9X3uY=")</f>
        <v>#REF!</v>
      </c>
      <c r="HX540" t="e">
        <f>AND(#REF!,"AAAAAG9X3uc=")</f>
        <v>#REF!</v>
      </c>
      <c r="HY540" t="e">
        <f>AND(#REF!,"AAAAAG9X3ug=")</f>
        <v>#REF!</v>
      </c>
      <c r="HZ540" t="e">
        <f>AND(#REF!,"AAAAAG9X3uk=")</f>
        <v>#REF!</v>
      </c>
      <c r="IA540" t="e">
        <f>AND(#REF!,"AAAAAG9X3uo=")</f>
        <v>#REF!</v>
      </c>
      <c r="IB540" t="e">
        <f>AND(#REF!,"AAAAAG9X3us=")</f>
        <v>#REF!</v>
      </c>
      <c r="IC540" t="e">
        <f>AND(#REF!,"AAAAAG9X3uw=")</f>
        <v>#REF!</v>
      </c>
      <c r="ID540" t="e">
        <f>AND(#REF!,"AAAAAG9X3u0=")</f>
        <v>#REF!</v>
      </c>
      <c r="IE540" t="e">
        <f>AND(#REF!,"AAAAAG9X3u4=")</f>
        <v>#REF!</v>
      </c>
      <c r="IF540" t="e">
        <f>AND(#REF!,"AAAAAG9X3u8=")</f>
        <v>#REF!</v>
      </c>
      <c r="IG540" t="e">
        <f>AND(#REF!,"AAAAAG9X3vA=")</f>
        <v>#REF!</v>
      </c>
      <c r="IH540" t="e">
        <f>AND(#REF!,"AAAAAG9X3vE=")</f>
        <v>#REF!</v>
      </c>
      <c r="II540" t="e">
        <f>AND(#REF!,"AAAAAG9X3vI=")</f>
        <v>#REF!</v>
      </c>
      <c r="IJ540" t="e">
        <f>AND(#REF!,"AAAAAG9X3vM=")</f>
        <v>#REF!</v>
      </c>
      <c r="IK540" t="e">
        <f>AND(#REF!,"AAAAAG9X3vQ=")</f>
        <v>#REF!</v>
      </c>
      <c r="IL540" t="e">
        <f>AND(#REF!,"AAAAAG9X3vU=")</f>
        <v>#REF!</v>
      </c>
      <c r="IM540" t="e">
        <f>AND(#REF!,"AAAAAG9X3vY=")</f>
        <v>#REF!</v>
      </c>
      <c r="IN540" t="e">
        <f>AND(#REF!,"AAAAAG9X3vc=")</f>
        <v>#REF!</v>
      </c>
      <c r="IO540" t="e">
        <f>AND(#REF!,"AAAAAG9X3vg=")</f>
        <v>#REF!</v>
      </c>
      <c r="IP540" t="e">
        <f>AND(#REF!,"AAAAAG9X3vk=")</f>
        <v>#REF!</v>
      </c>
      <c r="IQ540" t="e">
        <f>AND(#REF!,"AAAAAG9X3vo=")</f>
        <v>#REF!</v>
      </c>
      <c r="IR540" t="e">
        <f>IF(#REF!,"AAAAAG9X3vs=",0)</f>
        <v>#REF!</v>
      </c>
      <c r="IS540" t="e">
        <f>AND(#REF!,"AAAAAG9X3vw=")</f>
        <v>#REF!</v>
      </c>
      <c r="IT540" t="e">
        <f>AND(#REF!,"AAAAAG9X3v0=")</f>
        <v>#REF!</v>
      </c>
      <c r="IU540" t="e">
        <f>AND(#REF!,"AAAAAG9X3v4=")</f>
        <v>#REF!</v>
      </c>
      <c r="IV540" t="e">
        <f>AND(#REF!,"AAAAAG9X3v8=")</f>
        <v>#REF!</v>
      </c>
    </row>
    <row r="541" spans="1:256">
      <c r="A541" t="e">
        <f>AND(#REF!,"AAAAAHL/rgA=")</f>
        <v>#REF!</v>
      </c>
      <c r="B541" t="e">
        <f>AND(#REF!,"AAAAAHL/rgE=")</f>
        <v>#REF!</v>
      </c>
      <c r="C541" t="e">
        <f>AND(#REF!,"AAAAAHL/rgI=")</f>
        <v>#REF!</v>
      </c>
      <c r="D541" t="e">
        <f>AND(#REF!,"AAAAAHL/rgM=")</f>
        <v>#REF!</v>
      </c>
      <c r="E541" t="e">
        <f>AND(#REF!,"AAAAAHL/rgQ=")</f>
        <v>#REF!</v>
      </c>
      <c r="F541" t="e">
        <f>AND(#REF!,"AAAAAHL/rgU=")</f>
        <v>#REF!</v>
      </c>
      <c r="G541" t="e">
        <f>AND(#REF!,"AAAAAHL/rgY=")</f>
        <v>#REF!</v>
      </c>
      <c r="H541" t="e">
        <f>AND(#REF!,"AAAAAHL/rgc=")</f>
        <v>#REF!</v>
      </c>
      <c r="I541" t="e">
        <f>AND(#REF!,"AAAAAHL/rgg=")</f>
        <v>#REF!</v>
      </c>
      <c r="J541" t="e">
        <f>AND(#REF!,"AAAAAHL/rgk=")</f>
        <v>#REF!</v>
      </c>
      <c r="K541" t="e">
        <f>AND(#REF!,"AAAAAHL/rgo=")</f>
        <v>#REF!</v>
      </c>
      <c r="L541" t="e">
        <f>AND(#REF!,"AAAAAHL/rgs=")</f>
        <v>#REF!</v>
      </c>
      <c r="M541" t="e">
        <f>AND(#REF!,"AAAAAHL/rgw=")</f>
        <v>#REF!</v>
      </c>
      <c r="N541" t="e">
        <f>AND(#REF!,"AAAAAHL/rg0=")</f>
        <v>#REF!</v>
      </c>
      <c r="O541" t="e">
        <f>AND(#REF!,"AAAAAHL/rg4=")</f>
        <v>#REF!</v>
      </c>
      <c r="P541" t="e">
        <f>AND(#REF!,"AAAAAHL/rg8=")</f>
        <v>#REF!</v>
      </c>
      <c r="Q541" t="e">
        <f>AND(#REF!,"AAAAAHL/rhA=")</f>
        <v>#REF!</v>
      </c>
      <c r="R541" t="e">
        <f>AND(#REF!,"AAAAAHL/rhE=")</f>
        <v>#REF!</v>
      </c>
      <c r="S541" t="e">
        <f>AND(#REF!,"AAAAAHL/rhI=")</f>
        <v>#REF!</v>
      </c>
      <c r="T541" t="e">
        <f>AND(#REF!,"AAAAAHL/rhM=")</f>
        <v>#REF!</v>
      </c>
      <c r="U541" t="e">
        <f>IF(#REF!,"AAAAAHL/rhQ=",0)</f>
        <v>#REF!</v>
      </c>
      <c r="V541" t="e">
        <f>AND(#REF!,"AAAAAHL/rhU=")</f>
        <v>#REF!</v>
      </c>
      <c r="W541" t="e">
        <f>AND(#REF!,"AAAAAHL/rhY=")</f>
        <v>#REF!</v>
      </c>
      <c r="X541" t="e">
        <f>AND(#REF!,"AAAAAHL/rhc=")</f>
        <v>#REF!</v>
      </c>
      <c r="Y541" t="e">
        <f>AND(#REF!,"AAAAAHL/rhg=")</f>
        <v>#REF!</v>
      </c>
      <c r="Z541" t="e">
        <f>AND(#REF!,"AAAAAHL/rhk=")</f>
        <v>#REF!</v>
      </c>
      <c r="AA541" t="e">
        <f>AND(#REF!,"AAAAAHL/rho=")</f>
        <v>#REF!</v>
      </c>
      <c r="AB541" t="e">
        <f>AND(#REF!,"AAAAAHL/rhs=")</f>
        <v>#REF!</v>
      </c>
      <c r="AC541" t="e">
        <f>AND(#REF!,"AAAAAHL/rhw=")</f>
        <v>#REF!</v>
      </c>
      <c r="AD541" t="e">
        <f>AND(#REF!,"AAAAAHL/rh0=")</f>
        <v>#REF!</v>
      </c>
      <c r="AE541" t="e">
        <f>AND(#REF!,"AAAAAHL/rh4=")</f>
        <v>#REF!</v>
      </c>
      <c r="AF541" t="e">
        <f>AND(#REF!,"AAAAAHL/rh8=")</f>
        <v>#REF!</v>
      </c>
      <c r="AG541" t="e">
        <f>AND(#REF!,"AAAAAHL/riA=")</f>
        <v>#REF!</v>
      </c>
      <c r="AH541" t="e">
        <f>AND(#REF!,"AAAAAHL/riE=")</f>
        <v>#REF!</v>
      </c>
      <c r="AI541" t="e">
        <f>AND(#REF!,"AAAAAHL/riI=")</f>
        <v>#REF!</v>
      </c>
      <c r="AJ541" t="e">
        <f>AND(#REF!,"AAAAAHL/riM=")</f>
        <v>#REF!</v>
      </c>
      <c r="AK541" t="e">
        <f>AND(#REF!,"AAAAAHL/riQ=")</f>
        <v>#REF!</v>
      </c>
      <c r="AL541" t="e">
        <f>AND(#REF!,"AAAAAHL/riU=")</f>
        <v>#REF!</v>
      </c>
      <c r="AM541" t="e">
        <f>AND(#REF!,"AAAAAHL/riY=")</f>
        <v>#REF!</v>
      </c>
      <c r="AN541" t="e">
        <f>AND(#REF!,"AAAAAHL/ric=")</f>
        <v>#REF!</v>
      </c>
      <c r="AO541" t="e">
        <f>AND(#REF!,"AAAAAHL/rig=")</f>
        <v>#REF!</v>
      </c>
      <c r="AP541" t="e">
        <f>AND(#REF!,"AAAAAHL/rik=")</f>
        <v>#REF!</v>
      </c>
      <c r="AQ541" t="e">
        <f>AND(#REF!,"AAAAAHL/rio=")</f>
        <v>#REF!</v>
      </c>
      <c r="AR541" t="e">
        <f>AND(#REF!,"AAAAAHL/ris=")</f>
        <v>#REF!</v>
      </c>
      <c r="AS541" t="e">
        <f>AND(#REF!,"AAAAAHL/riw=")</f>
        <v>#REF!</v>
      </c>
      <c r="AT541" t="e">
        <f>IF(#REF!,"AAAAAHL/ri0=",0)</f>
        <v>#REF!</v>
      </c>
      <c r="AU541" t="e">
        <f>AND(#REF!,"AAAAAHL/ri4=")</f>
        <v>#REF!</v>
      </c>
      <c r="AV541" t="e">
        <f>AND(#REF!,"AAAAAHL/ri8=")</f>
        <v>#REF!</v>
      </c>
      <c r="AW541" t="e">
        <f>AND(#REF!,"AAAAAHL/rjA=")</f>
        <v>#REF!</v>
      </c>
      <c r="AX541" t="e">
        <f>AND(#REF!,"AAAAAHL/rjE=")</f>
        <v>#REF!</v>
      </c>
      <c r="AY541" t="e">
        <f>AND(#REF!,"AAAAAHL/rjI=")</f>
        <v>#REF!</v>
      </c>
      <c r="AZ541" t="e">
        <f>AND(#REF!,"AAAAAHL/rjM=")</f>
        <v>#REF!</v>
      </c>
      <c r="BA541" t="e">
        <f>AND(#REF!,"AAAAAHL/rjQ=")</f>
        <v>#REF!</v>
      </c>
      <c r="BB541" t="e">
        <f>AND(#REF!,"AAAAAHL/rjU=")</f>
        <v>#REF!</v>
      </c>
      <c r="BC541" t="e">
        <f>AND(#REF!,"AAAAAHL/rjY=")</f>
        <v>#REF!</v>
      </c>
      <c r="BD541" t="e">
        <f>AND(#REF!,"AAAAAHL/rjc=")</f>
        <v>#REF!</v>
      </c>
      <c r="BE541" t="e">
        <f>AND(#REF!,"AAAAAHL/rjg=")</f>
        <v>#REF!</v>
      </c>
      <c r="BF541" t="e">
        <f>AND(#REF!,"AAAAAHL/rjk=")</f>
        <v>#REF!</v>
      </c>
      <c r="BG541" t="e">
        <f>AND(#REF!,"AAAAAHL/rjo=")</f>
        <v>#REF!</v>
      </c>
      <c r="BH541" t="e">
        <f>AND(#REF!,"AAAAAHL/rjs=")</f>
        <v>#REF!</v>
      </c>
      <c r="BI541" t="e">
        <f>AND(#REF!,"AAAAAHL/rjw=")</f>
        <v>#REF!</v>
      </c>
      <c r="BJ541" t="e">
        <f>AND(#REF!,"AAAAAHL/rj0=")</f>
        <v>#REF!</v>
      </c>
      <c r="BK541" t="e">
        <f>AND(#REF!,"AAAAAHL/rj4=")</f>
        <v>#REF!</v>
      </c>
      <c r="BL541" t="e">
        <f>AND(#REF!,"AAAAAHL/rj8=")</f>
        <v>#REF!</v>
      </c>
      <c r="BM541" t="e">
        <f>AND(#REF!,"AAAAAHL/rkA=")</f>
        <v>#REF!</v>
      </c>
      <c r="BN541" t="e">
        <f>AND(#REF!,"AAAAAHL/rkE=")</f>
        <v>#REF!</v>
      </c>
      <c r="BO541" t="e">
        <f>AND(#REF!,"AAAAAHL/rkI=")</f>
        <v>#REF!</v>
      </c>
      <c r="BP541" t="e">
        <f>AND(#REF!,"AAAAAHL/rkM=")</f>
        <v>#REF!</v>
      </c>
      <c r="BQ541" t="e">
        <f>AND(#REF!,"AAAAAHL/rkQ=")</f>
        <v>#REF!</v>
      </c>
      <c r="BR541" t="e">
        <f>AND(#REF!,"AAAAAHL/rkU=")</f>
        <v>#REF!</v>
      </c>
      <c r="BS541" t="e">
        <f>IF(#REF!,"AAAAAHL/rkY=",0)</f>
        <v>#REF!</v>
      </c>
      <c r="BT541" t="e">
        <f>AND(#REF!,"AAAAAHL/rkc=")</f>
        <v>#REF!</v>
      </c>
      <c r="BU541" t="e">
        <f>AND(#REF!,"AAAAAHL/rkg=")</f>
        <v>#REF!</v>
      </c>
      <c r="BV541" t="e">
        <f>AND(#REF!,"AAAAAHL/rkk=")</f>
        <v>#REF!</v>
      </c>
      <c r="BW541" t="e">
        <f>AND(#REF!,"AAAAAHL/rko=")</f>
        <v>#REF!</v>
      </c>
      <c r="BX541" t="e">
        <f>AND(#REF!,"AAAAAHL/rks=")</f>
        <v>#REF!</v>
      </c>
      <c r="BY541" t="e">
        <f>AND(#REF!,"AAAAAHL/rkw=")</f>
        <v>#REF!</v>
      </c>
      <c r="BZ541" t="e">
        <f>AND(#REF!,"AAAAAHL/rk0=")</f>
        <v>#REF!</v>
      </c>
      <c r="CA541" t="e">
        <f>AND(#REF!,"AAAAAHL/rk4=")</f>
        <v>#REF!</v>
      </c>
      <c r="CB541" t="e">
        <f>AND(#REF!,"AAAAAHL/rk8=")</f>
        <v>#REF!</v>
      </c>
      <c r="CC541" t="e">
        <f>AND(#REF!,"AAAAAHL/rlA=")</f>
        <v>#REF!</v>
      </c>
      <c r="CD541" t="e">
        <f>AND(#REF!,"AAAAAHL/rlE=")</f>
        <v>#REF!</v>
      </c>
      <c r="CE541" t="e">
        <f>AND(#REF!,"AAAAAHL/rlI=")</f>
        <v>#REF!</v>
      </c>
      <c r="CF541" t="e">
        <f>AND(#REF!,"AAAAAHL/rlM=")</f>
        <v>#REF!</v>
      </c>
      <c r="CG541" t="e">
        <f>AND(#REF!,"AAAAAHL/rlQ=")</f>
        <v>#REF!</v>
      </c>
      <c r="CH541" t="e">
        <f>AND(#REF!,"AAAAAHL/rlU=")</f>
        <v>#REF!</v>
      </c>
      <c r="CI541" t="e">
        <f>AND(#REF!,"AAAAAHL/rlY=")</f>
        <v>#REF!</v>
      </c>
      <c r="CJ541" t="e">
        <f>AND(#REF!,"AAAAAHL/rlc=")</f>
        <v>#REF!</v>
      </c>
      <c r="CK541" t="e">
        <f>AND(#REF!,"AAAAAHL/rlg=")</f>
        <v>#REF!</v>
      </c>
      <c r="CL541" t="e">
        <f>AND(#REF!,"AAAAAHL/rlk=")</f>
        <v>#REF!</v>
      </c>
      <c r="CM541" t="e">
        <f>AND(#REF!,"AAAAAHL/rlo=")</f>
        <v>#REF!</v>
      </c>
      <c r="CN541" t="e">
        <f>AND(#REF!,"AAAAAHL/rls=")</f>
        <v>#REF!</v>
      </c>
      <c r="CO541" t="e">
        <f>AND(#REF!,"AAAAAHL/rlw=")</f>
        <v>#REF!</v>
      </c>
      <c r="CP541" t="e">
        <f>AND(#REF!,"AAAAAHL/rl0=")</f>
        <v>#REF!</v>
      </c>
      <c r="CQ541" t="e">
        <f>AND(#REF!,"AAAAAHL/rl4=")</f>
        <v>#REF!</v>
      </c>
      <c r="CR541" t="e">
        <f>IF(#REF!,"AAAAAHL/rl8=",0)</f>
        <v>#REF!</v>
      </c>
      <c r="CS541" t="e">
        <f>AND(#REF!,"AAAAAHL/rmA=")</f>
        <v>#REF!</v>
      </c>
      <c r="CT541" t="e">
        <f>AND(#REF!,"AAAAAHL/rmE=")</f>
        <v>#REF!</v>
      </c>
      <c r="CU541" t="e">
        <f>AND(#REF!,"AAAAAHL/rmI=")</f>
        <v>#REF!</v>
      </c>
      <c r="CV541" t="e">
        <f>AND(#REF!,"AAAAAHL/rmM=")</f>
        <v>#REF!</v>
      </c>
      <c r="CW541" t="e">
        <f>AND(#REF!,"AAAAAHL/rmQ=")</f>
        <v>#REF!</v>
      </c>
      <c r="CX541" t="e">
        <f>AND(#REF!,"AAAAAHL/rmU=")</f>
        <v>#REF!</v>
      </c>
      <c r="CY541" t="e">
        <f>AND(#REF!,"AAAAAHL/rmY=")</f>
        <v>#REF!</v>
      </c>
      <c r="CZ541" t="e">
        <f>AND(#REF!,"AAAAAHL/rmc=")</f>
        <v>#REF!</v>
      </c>
      <c r="DA541" t="e">
        <f>AND(#REF!,"AAAAAHL/rmg=")</f>
        <v>#REF!</v>
      </c>
      <c r="DB541" t="e">
        <f>AND(#REF!,"AAAAAHL/rmk=")</f>
        <v>#REF!</v>
      </c>
      <c r="DC541" t="e">
        <f>AND(#REF!,"AAAAAHL/rmo=")</f>
        <v>#REF!</v>
      </c>
      <c r="DD541" t="e">
        <f>AND(#REF!,"AAAAAHL/rms=")</f>
        <v>#REF!</v>
      </c>
      <c r="DE541" t="e">
        <f>AND(#REF!,"AAAAAHL/rmw=")</f>
        <v>#REF!</v>
      </c>
      <c r="DF541" t="e">
        <f>AND(#REF!,"AAAAAHL/rm0=")</f>
        <v>#REF!</v>
      </c>
      <c r="DG541" t="e">
        <f>AND(#REF!,"AAAAAHL/rm4=")</f>
        <v>#REF!</v>
      </c>
      <c r="DH541" t="e">
        <f>AND(#REF!,"AAAAAHL/rm8=")</f>
        <v>#REF!</v>
      </c>
      <c r="DI541" t="e">
        <f>AND(#REF!,"AAAAAHL/rnA=")</f>
        <v>#REF!</v>
      </c>
      <c r="DJ541" t="e">
        <f>AND(#REF!,"AAAAAHL/rnE=")</f>
        <v>#REF!</v>
      </c>
      <c r="DK541" t="e">
        <f>AND(#REF!,"AAAAAHL/rnI=")</f>
        <v>#REF!</v>
      </c>
      <c r="DL541" t="e">
        <f>AND(#REF!,"AAAAAHL/rnM=")</f>
        <v>#REF!</v>
      </c>
      <c r="DM541" t="e">
        <f>AND(#REF!,"AAAAAHL/rnQ=")</f>
        <v>#REF!</v>
      </c>
      <c r="DN541" t="e">
        <f>AND(#REF!,"AAAAAHL/rnU=")</f>
        <v>#REF!</v>
      </c>
      <c r="DO541" t="e">
        <f>AND(#REF!,"AAAAAHL/rnY=")</f>
        <v>#REF!</v>
      </c>
      <c r="DP541" t="e">
        <f>AND(#REF!,"AAAAAHL/rnc=")</f>
        <v>#REF!</v>
      </c>
      <c r="DQ541" t="e">
        <f>IF(#REF!,"AAAAAHL/rng=",0)</f>
        <v>#REF!</v>
      </c>
      <c r="DR541" t="e">
        <f>AND(#REF!,"AAAAAHL/rnk=")</f>
        <v>#REF!</v>
      </c>
      <c r="DS541" t="e">
        <f>AND(#REF!,"AAAAAHL/rno=")</f>
        <v>#REF!</v>
      </c>
      <c r="DT541" t="e">
        <f>AND(#REF!,"AAAAAHL/rns=")</f>
        <v>#REF!</v>
      </c>
      <c r="DU541" t="e">
        <f>AND(#REF!,"AAAAAHL/rnw=")</f>
        <v>#REF!</v>
      </c>
      <c r="DV541" t="e">
        <f>AND(#REF!,"AAAAAHL/rn0=")</f>
        <v>#REF!</v>
      </c>
      <c r="DW541" t="e">
        <f>AND(#REF!,"AAAAAHL/rn4=")</f>
        <v>#REF!</v>
      </c>
      <c r="DX541" t="e">
        <f>AND(#REF!,"AAAAAHL/rn8=")</f>
        <v>#REF!</v>
      </c>
      <c r="DY541" t="e">
        <f>AND(#REF!,"AAAAAHL/roA=")</f>
        <v>#REF!</v>
      </c>
      <c r="DZ541" t="e">
        <f>AND(#REF!,"AAAAAHL/roE=")</f>
        <v>#REF!</v>
      </c>
      <c r="EA541" t="e">
        <f>AND(#REF!,"AAAAAHL/roI=")</f>
        <v>#REF!</v>
      </c>
      <c r="EB541" t="e">
        <f>AND(#REF!,"AAAAAHL/roM=")</f>
        <v>#REF!</v>
      </c>
      <c r="EC541" t="e">
        <f>AND(#REF!,"AAAAAHL/roQ=")</f>
        <v>#REF!</v>
      </c>
      <c r="ED541" t="e">
        <f>AND(#REF!,"AAAAAHL/roU=")</f>
        <v>#REF!</v>
      </c>
      <c r="EE541" t="e">
        <f>AND(#REF!,"AAAAAHL/roY=")</f>
        <v>#REF!</v>
      </c>
      <c r="EF541" t="e">
        <f>AND(#REF!,"AAAAAHL/roc=")</f>
        <v>#REF!</v>
      </c>
      <c r="EG541" t="e">
        <f>AND(#REF!,"AAAAAHL/rog=")</f>
        <v>#REF!</v>
      </c>
      <c r="EH541" t="e">
        <f>AND(#REF!,"AAAAAHL/rok=")</f>
        <v>#REF!</v>
      </c>
      <c r="EI541" t="e">
        <f>AND(#REF!,"AAAAAHL/roo=")</f>
        <v>#REF!</v>
      </c>
      <c r="EJ541" t="e">
        <f>AND(#REF!,"AAAAAHL/ros=")</f>
        <v>#REF!</v>
      </c>
      <c r="EK541" t="e">
        <f>AND(#REF!,"AAAAAHL/row=")</f>
        <v>#REF!</v>
      </c>
      <c r="EL541" t="e">
        <f>AND(#REF!,"AAAAAHL/ro0=")</f>
        <v>#REF!</v>
      </c>
      <c r="EM541" t="e">
        <f>AND(#REF!,"AAAAAHL/ro4=")</f>
        <v>#REF!</v>
      </c>
      <c r="EN541" t="e">
        <f>AND(#REF!,"AAAAAHL/ro8=")</f>
        <v>#REF!</v>
      </c>
      <c r="EO541" t="e">
        <f>AND(#REF!,"AAAAAHL/rpA=")</f>
        <v>#REF!</v>
      </c>
      <c r="EP541" t="e">
        <f>IF(#REF!,"AAAAAHL/rpE=",0)</f>
        <v>#REF!</v>
      </c>
      <c r="EQ541" t="e">
        <f>AND(#REF!,"AAAAAHL/rpI=")</f>
        <v>#REF!</v>
      </c>
      <c r="ER541" t="e">
        <f>AND(#REF!,"AAAAAHL/rpM=")</f>
        <v>#REF!</v>
      </c>
      <c r="ES541" t="e">
        <f>AND(#REF!,"AAAAAHL/rpQ=")</f>
        <v>#REF!</v>
      </c>
      <c r="ET541" t="e">
        <f>AND(#REF!,"AAAAAHL/rpU=")</f>
        <v>#REF!</v>
      </c>
      <c r="EU541" t="e">
        <f>AND(#REF!,"AAAAAHL/rpY=")</f>
        <v>#REF!</v>
      </c>
      <c r="EV541" t="e">
        <f>AND(#REF!,"AAAAAHL/rpc=")</f>
        <v>#REF!</v>
      </c>
      <c r="EW541" t="e">
        <f>AND(#REF!,"AAAAAHL/rpg=")</f>
        <v>#REF!</v>
      </c>
      <c r="EX541" t="e">
        <f>AND(#REF!,"AAAAAHL/rpk=")</f>
        <v>#REF!</v>
      </c>
      <c r="EY541" t="e">
        <f>AND(#REF!,"AAAAAHL/rpo=")</f>
        <v>#REF!</v>
      </c>
      <c r="EZ541" t="e">
        <f>AND(#REF!,"AAAAAHL/rps=")</f>
        <v>#REF!</v>
      </c>
      <c r="FA541" t="e">
        <f>AND(#REF!,"AAAAAHL/rpw=")</f>
        <v>#REF!</v>
      </c>
      <c r="FB541" t="e">
        <f>AND(#REF!,"AAAAAHL/rp0=")</f>
        <v>#REF!</v>
      </c>
      <c r="FC541" t="e">
        <f>AND(#REF!,"AAAAAHL/rp4=")</f>
        <v>#REF!</v>
      </c>
      <c r="FD541" t="e">
        <f>AND(#REF!,"AAAAAHL/rp8=")</f>
        <v>#REF!</v>
      </c>
      <c r="FE541" t="e">
        <f>AND(#REF!,"AAAAAHL/rqA=")</f>
        <v>#REF!</v>
      </c>
      <c r="FF541" t="e">
        <f>AND(#REF!,"AAAAAHL/rqE=")</f>
        <v>#REF!</v>
      </c>
      <c r="FG541" t="e">
        <f>AND(#REF!,"AAAAAHL/rqI=")</f>
        <v>#REF!</v>
      </c>
      <c r="FH541" t="e">
        <f>AND(#REF!,"AAAAAHL/rqM=")</f>
        <v>#REF!</v>
      </c>
      <c r="FI541" t="e">
        <f>AND(#REF!,"AAAAAHL/rqQ=")</f>
        <v>#REF!</v>
      </c>
      <c r="FJ541" t="e">
        <f>AND(#REF!,"AAAAAHL/rqU=")</f>
        <v>#REF!</v>
      </c>
      <c r="FK541" t="e">
        <f>AND(#REF!,"AAAAAHL/rqY=")</f>
        <v>#REF!</v>
      </c>
      <c r="FL541" t="e">
        <f>AND(#REF!,"AAAAAHL/rqc=")</f>
        <v>#REF!</v>
      </c>
      <c r="FM541" t="e">
        <f>AND(#REF!,"AAAAAHL/rqg=")</f>
        <v>#REF!</v>
      </c>
      <c r="FN541" t="e">
        <f>AND(#REF!,"AAAAAHL/rqk=")</f>
        <v>#REF!</v>
      </c>
      <c r="FO541" t="e">
        <f>IF(#REF!,"AAAAAHL/rqo=",0)</f>
        <v>#REF!</v>
      </c>
      <c r="FP541" t="e">
        <f>AND(#REF!,"AAAAAHL/rqs=")</f>
        <v>#REF!</v>
      </c>
      <c r="FQ541" t="e">
        <f>AND(#REF!,"AAAAAHL/rqw=")</f>
        <v>#REF!</v>
      </c>
      <c r="FR541" t="e">
        <f>AND(#REF!,"AAAAAHL/rq0=")</f>
        <v>#REF!</v>
      </c>
      <c r="FS541" t="e">
        <f>AND(#REF!,"AAAAAHL/rq4=")</f>
        <v>#REF!</v>
      </c>
      <c r="FT541" t="e">
        <f>AND(#REF!,"AAAAAHL/rq8=")</f>
        <v>#REF!</v>
      </c>
      <c r="FU541" t="e">
        <f>AND(#REF!,"AAAAAHL/rrA=")</f>
        <v>#REF!</v>
      </c>
      <c r="FV541" t="e">
        <f>AND(#REF!,"AAAAAHL/rrE=")</f>
        <v>#REF!</v>
      </c>
      <c r="FW541" t="e">
        <f>AND(#REF!,"AAAAAHL/rrI=")</f>
        <v>#REF!</v>
      </c>
      <c r="FX541" t="e">
        <f>AND(#REF!,"AAAAAHL/rrM=")</f>
        <v>#REF!</v>
      </c>
      <c r="FY541" t="e">
        <f>AND(#REF!,"AAAAAHL/rrQ=")</f>
        <v>#REF!</v>
      </c>
      <c r="FZ541" t="e">
        <f>AND(#REF!,"AAAAAHL/rrU=")</f>
        <v>#REF!</v>
      </c>
      <c r="GA541" t="e">
        <f>AND(#REF!,"AAAAAHL/rrY=")</f>
        <v>#REF!</v>
      </c>
      <c r="GB541" t="e">
        <f>AND(#REF!,"AAAAAHL/rrc=")</f>
        <v>#REF!</v>
      </c>
      <c r="GC541" t="e">
        <f>AND(#REF!,"AAAAAHL/rrg=")</f>
        <v>#REF!</v>
      </c>
      <c r="GD541" t="e">
        <f>AND(#REF!,"AAAAAHL/rrk=")</f>
        <v>#REF!</v>
      </c>
      <c r="GE541" t="e">
        <f>AND(#REF!,"AAAAAHL/rro=")</f>
        <v>#REF!</v>
      </c>
      <c r="GF541" t="e">
        <f>AND(#REF!,"AAAAAHL/rrs=")</f>
        <v>#REF!</v>
      </c>
      <c r="GG541" t="e">
        <f>AND(#REF!,"AAAAAHL/rrw=")</f>
        <v>#REF!</v>
      </c>
      <c r="GH541" t="e">
        <f>AND(#REF!,"AAAAAHL/rr0=")</f>
        <v>#REF!</v>
      </c>
      <c r="GI541" t="e">
        <f>AND(#REF!,"AAAAAHL/rr4=")</f>
        <v>#REF!</v>
      </c>
      <c r="GJ541" t="e">
        <f>AND(#REF!,"AAAAAHL/rr8=")</f>
        <v>#REF!</v>
      </c>
      <c r="GK541" t="e">
        <f>AND(#REF!,"AAAAAHL/rsA=")</f>
        <v>#REF!</v>
      </c>
      <c r="GL541" t="e">
        <f>AND(#REF!,"AAAAAHL/rsE=")</f>
        <v>#REF!</v>
      </c>
      <c r="GM541" t="e">
        <f>AND(#REF!,"AAAAAHL/rsI=")</f>
        <v>#REF!</v>
      </c>
      <c r="GN541" t="e">
        <f>IF(#REF!,"AAAAAHL/rsM=",0)</f>
        <v>#REF!</v>
      </c>
      <c r="GO541" t="e">
        <f>AND(#REF!,"AAAAAHL/rsQ=")</f>
        <v>#REF!</v>
      </c>
      <c r="GP541" t="e">
        <f>AND(#REF!,"AAAAAHL/rsU=")</f>
        <v>#REF!</v>
      </c>
      <c r="GQ541" t="e">
        <f>AND(#REF!,"AAAAAHL/rsY=")</f>
        <v>#REF!</v>
      </c>
      <c r="GR541" t="e">
        <f>AND(#REF!,"AAAAAHL/rsc=")</f>
        <v>#REF!</v>
      </c>
      <c r="GS541" t="e">
        <f>AND(#REF!,"AAAAAHL/rsg=")</f>
        <v>#REF!</v>
      </c>
      <c r="GT541" t="e">
        <f>AND(#REF!,"AAAAAHL/rsk=")</f>
        <v>#REF!</v>
      </c>
      <c r="GU541" t="e">
        <f>AND(#REF!,"AAAAAHL/rso=")</f>
        <v>#REF!</v>
      </c>
      <c r="GV541" t="e">
        <f>AND(#REF!,"AAAAAHL/rss=")</f>
        <v>#REF!</v>
      </c>
      <c r="GW541" t="e">
        <f>AND(#REF!,"AAAAAHL/rsw=")</f>
        <v>#REF!</v>
      </c>
      <c r="GX541" t="e">
        <f>AND(#REF!,"AAAAAHL/rs0=")</f>
        <v>#REF!</v>
      </c>
      <c r="GY541" t="e">
        <f>AND(#REF!,"AAAAAHL/rs4=")</f>
        <v>#REF!</v>
      </c>
      <c r="GZ541" t="e">
        <f>AND(#REF!,"AAAAAHL/rs8=")</f>
        <v>#REF!</v>
      </c>
      <c r="HA541" t="e">
        <f>AND(#REF!,"AAAAAHL/rtA=")</f>
        <v>#REF!</v>
      </c>
      <c r="HB541" t="e">
        <f>AND(#REF!,"AAAAAHL/rtE=")</f>
        <v>#REF!</v>
      </c>
      <c r="HC541" t="e">
        <f>AND(#REF!,"AAAAAHL/rtI=")</f>
        <v>#REF!</v>
      </c>
      <c r="HD541" t="e">
        <f>AND(#REF!,"AAAAAHL/rtM=")</f>
        <v>#REF!</v>
      </c>
      <c r="HE541" t="e">
        <f>AND(#REF!,"AAAAAHL/rtQ=")</f>
        <v>#REF!</v>
      </c>
      <c r="HF541" t="e">
        <f>AND(#REF!,"AAAAAHL/rtU=")</f>
        <v>#REF!</v>
      </c>
      <c r="HG541" t="e">
        <f>AND(#REF!,"AAAAAHL/rtY=")</f>
        <v>#REF!</v>
      </c>
      <c r="HH541" t="e">
        <f>AND(#REF!,"AAAAAHL/rtc=")</f>
        <v>#REF!</v>
      </c>
      <c r="HI541" t="e">
        <f>AND(#REF!,"AAAAAHL/rtg=")</f>
        <v>#REF!</v>
      </c>
      <c r="HJ541" t="e">
        <f>AND(#REF!,"AAAAAHL/rtk=")</f>
        <v>#REF!</v>
      </c>
      <c r="HK541" t="e">
        <f>AND(#REF!,"AAAAAHL/rto=")</f>
        <v>#REF!</v>
      </c>
      <c r="HL541" t="e">
        <f>AND(#REF!,"AAAAAHL/rts=")</f>
        <v>#REF!</v>
      </c>
      <c r="HM541" t="e">
        <f>IF(#REF!,"AAAAAHL/rtw=",0)</f>
        <v>#REF!</v>
      </c>
      <c r="HN541" t="e">
        <f>AND(#REF!,"AAAAAHL/rt0=")</f>
        <v>#REF!</v>
      </c>
      <c r="HO541" t="e">
        <f>AND(#REF!,"AAAAAHL/rt4=")</f>
        <v>#REF!</v>
      </c>
      <c r="HP541" t="e">
        <f>AND(#REF!,"AAAAAHL/rt8=")</f>
        <v>#REF!</v>
      </c>
      <c r="HQ541" t="e">
        <f>AND(#REF!,"AAAAAHL/ruA=")</f>
        <v>#REF!</v>
      </c>
      <c r="HR541" t="e">
        <f>AND(#REF!,"AAAAAHL/ruE=")</f>
        <v>#REF!</v>
      </c>
      <c r="HS541" t="e">
        <f>AND(#REF!,"AAAAAHL/ruI=")</f>
        <v>#REF!</v>
      </c>
      <c r="HT541" t="e">
        <f>AND(#REF!,"AAAAAHL/ruM=")</f>
        <v>#REF!</v>
      </c>
      <c r="HU541" t="e">
        <f>AND(#REF!,"AAAAAHL/ruQ=")</f>
        <v>#REF!</v>
      </c>
      <c r="HV541" t="e">
        <f>AND(#REF!,"AAAAAHL/ruU=")</f>
        <v>#REF!</v>
      </c>
      <c r="HW541" t="e">
        <f>AND(#REF!,"AAAAAHL/ruY=")</f>
        <v>#REF!</v>
      </c>
      <c r="HX541" t="e">
        <f>AND(#REF!,"AAAAAHL/ruc=")</f>
        <v>#REF!</v>
      </c>
      <c r="HY541" t="e">
        <f>AND(#REF!,"AAAAAHL/rug=")</f>
        <v>#REF!</v>
      </c>
      <c r="HZ541" t="e">
        <f>AND(#REF!,"AAAAAHL/ruk=")</f>
        <v>#REF!</v>
      </c>
      <c r="IA541" t="e">
        <f>AND(#REF!,"AAAAAHL/ruo=")</f>
        <v>#REF!</v>
      </c>
      <c r="IB541" t="e">
        <f>AND(#REF!,"AAAAAHL/rus=")</f>
        <v>#REF!</v>
      </c>
      <c r="IC541" t="e">
        <f>AND(#REF!,"AAAAAHL/ruw=")</f>
        <v>#REF!</v>
      </c>
      <c r="ID541" t="e">
        <f>AND(#REF!,"AAAAAHL/ru0=")</f>
        <v>#REF!</v>
      </c>
      <c r="IE541" t="e">
        <f>AND(#REF!,"AAAAAHL/ru4=")</f>
        <v>#REF!</v>
      </c>
      <c r="IF541" t="e">
        <f>AND(#REF!,"AAAAAHL/ru8=")</f>
        <v>#REF!</v>
      </c>
      <c r="IG541" t="e">
        <f>AND(#REF!,"AAAAAHL/rvA=")</f>
        <v>#REF!</v>
      </c>
      <c r="IH541" t="e">
        <f>AND(#REF!,"AAAAAHL/rvE=")</f>
        <v>#REF!</v>
      </c>
      <c r="II541" t="e">
        <f>AND(#REF!,"AAAAAHL/rvI=")</f>
        <v>#REF!</v>
      </c>
      <c r="IJ541" t="e">
        <f>AND(#REF!,"AAAAAHL/rvM=")</f>
        <v>#REF!</v>
      </c>
      <c r="IK541" t="e">
        <f>AND(#REF!,"AAAAAHL/rvQ=")</f>
        <v>#REF!</v>
      </c>
      <c r="IL541" t="e">
        <f>IF(#REF!,"AAAAAHL/rvU=",0)</f>
        <v>#REF!</v>
      </c>
      <c r="IM541" t="e">
        <f>AND(#REF!,"AAAAAHL/rvY=")</f>
        <v>#REF!</v>
      </c>
      <c r="IN541" t="e">
        <f>AND(#REF!,"AAAAAHL/rvc=")</f>
        <v>#REF!</v>
      </c>
      <c r="IO541" t="e">
        <f>AND(#REF!,"AAAAAHL/rvg=")</f>
        <v>#REF!</v>
      </c>
      <c r="IP541" t="e">
        <f>AND(#REF!,"AAAAAHL/rvk=")</f>
        <v>#REF!</v>
      </c>
      <c r="IQ541" t="e">
        <f>AND(#REF!,"AAAAAHL/rvo=")</f>
        <v>#REF!</v>
      </c>
      <c r="IR541" t="e">
        <f>AND(#REF!,"AAAAAHL/rvs=")</f>
        <v>#REF!</v>
      </c>
      <c r="IS541" t="e">
        <f>AND(#REF!,"AAAAAHL/rvw=")</f>
        <v>#REF!</v>
      </c>
      <c r="IT541" t="e">
        <f>AND(#REF!,"AAAAAHL/rv0=")</f>
        <v>#REF!</v>
      </c>
      <c r="IU541" t="e">
        <f>AND(#REF!,"AAAAAHL/rv4=")</f>
        <v>#REF!</v>
      </c>
      <c r="IV541" t="e">
        <f>AND(#REF!,"AAAAAHL/rv8=")</f>
        <v>#REF!</v>
      </c>
    </row>
    <row r="542" spans="1:256">
      <c r="A542" t="e">
        <f>AND(#REF!,"AAAAAH3//gA=")</f>
        <v>#REF!</v>
      </c>
      <c r="B542" t="e">
        <f>AND(#REF!,"AAAAAH3//gE=")</f>
        <v>#REF!</v>
      </c>
      <c r="C542" t="e">
        <f>AND(#REF!,"AAAAAH3//gI=")</f>
        <v>#REF!</v>
      </c>
      <c r="D542" t="e">
        <f>AND(#REF!,"AAAAAH3//gM=")</f>
        <v>#REF!</v>
      </c>
      <c r="E542" t="e">
        <f>AND(#REF!,"AAAAAH3//gQ=")</f>
        <v>#REF!</v>
      </c>
      <c r="F542" t="e">
        <f>AND(#REF!,"AAAAAH3//gU=")</f>
        <v>#REF!</v>
      </c>
      <c r="G542" t="e">
        <f>AND(#REF!,"AAAAAH3//gY=")</f>
        <v>#REF!</v>
      </c>
      <c r="H542" t="e">
        <f>AND(#REF!,"AAAAAH3//gc=")</f>
        <v>#REF!</v>
      </c>
      <c r="I542" t="e">
        <f>AND(#REF!,"AAAAAH3//gg=")</f>
        <v>#REF!</v>
      </c>
      <c r="J542" t="e">
        <f>AND(#REF!,"AAAAAH3//gk=")</f>
        <v>#REF!</v>
      </c>
      <c r="K542" t="e">
        <f>AND(#REF!,"AAAAAH3//go=")</f>
        <v>#REF!</v>
      </c>
      <c r="L542" t="e">
        <f>AND(#REF!,"AAAAAH3//gs=")</f>
        <v>#REF!</v>
      </c>
      <c r="M542" t="e">
        <f>AND(#REF!,"AAAAAH3//gw=")</f>
        <v>#REF!</v>
      </c>
      <c r="N542" t="e">
        <f>AND(#REF!,"AAAAAH3//g0=")</f>
        <v>#REF!</v>
      </c>
      <c r="O542" t="e">
        <f>IF(#REF!,"AAAAAH3//g4=",0)</f>
        <v>#REF!</v>
      </c>
      <c r="P542" t="e">
        <f>AND(#REF!,"AAAAAH3//g8=")</f>
        <v>#REF!</v>
      </c>
      <c r="Q542" t="e">
        <f>AND(#REF!,"AAAAAH3//hA=")</f>
        <v>#REF!</v>
      </c>
      <c r="R542" t="e">
        <f>AND(#REF!,"AAAAAH3//hE=")</f>
        <v>#REF!</v>
      </c>
      <c r="S542" t="e">
        <f>AND(#REF!,"AAAAAH3//hI=")</f>
        <v>#REF!</v>
      </c>
      <c r="T542" t="e">
        <f>AND(#REF!,"AAAAAH3//hM=")</f>
        <v>#REF!</v>
      </c>
      <c r="U542" t="e">
        <f>AND(#REF!,"AAAAAH3//hQ=")</f>
        <v>#REF!</v>
      </c>
      <c r="V542" t="e">
        <f>AND(#REF!,"AAAAAH3//hU=")</f>
        <v>#REF!</v>
      </c>
      <c r="W542" t="e">
        <f>AND(#REF!,"AAAAAH3//hY=")</f>
        <v>#REF!</v>
      </c>
      <c r="X542" t="e">
        <f>AND(#REF!,"AAAAAH3//hc=")</f>
        <v>#REF!</v>
      </c>
      <c r="Y542" t="e">
        <f>AND(#REF!,"AAAAAH3//hg=")</f>
        <v>#REF!</v>
      </c>
      <c r="Z542" t="e">
        <f>AND(#REF!,"AAAAAH3//hk=")</f>
        <v>#REF!</v>
      </c>
      <c r="AA542" t="e">
        <f>AND(#REF!,"AAAAAH3//ho=")</f>
        <v>#REF!</v>
      </c>
      <c r="AB542" t="e">
        <f>AND(#REF!,"AAAAAH3//hs=")</f>
        <v>#REF!</v>
      </c>
      <c r="AC542" t="e">
        <f>AND(#REF!,"AAAAAH3//hw=")</f>
        <v>#REF!</v>
      </c>
      <c r="AD542" t="e">
        <f>AND(#REF!,"AAAAAH3//h0=")</f>
        <v>#REF!</v>
      </c>
      <c r="AE542" t="e">
        <f>AND(#REF!,"AAAAAH3//h4=")</f>
        <v>#REF!</v>
      </c>
      <c r="AF542" t="e">
        <f>AND(#REF!,"AAAAAH3//h8=")</f>
        <v>#REF!</v>
      </c>
      <c r="AG542" t="e">
        <f>AND(#REF!,"AAAAAH3//iA=")</f>
        <v>#REF!</v>
      </c>
      <c r="AH542" t="e">
        <f>AND(#REF!,"AAAAAH3//iE=")</f>
        <v>#REF!</v>
      </c>
      <c r="AI542" t="e">
        <f>AND(#REF!,"AAAAAH3//iI=")</f>
        <v>#REF!</v>
      </c>
      <c r="AJ542" t="e">
        <f>AND(#REF!,"AAAAAH3//iM=")</f>
        <v>#REF!</v>
      </c>
      <c r="AK542" t="e">
        <f>AND(#REF!,"AAAAAH3//iQ=")</f>
        <v>#REF!</v>
      </c>
      <c r="AL542" t="e">
        <f>AND(#REF!,"AAAAAH3//iU=")</f>
        <v>#REF!</v>
      </c>
      <c r="AM542" t="e">
        <f>AND(#REF!,"AAAAAH3//iY=")</f>
        <v>#REF!</v>
      </c>
      <c r="AN542" t="e">
        <f>IF(#REF!,"AAAAAH3//ic=",0)</f>
        <v>#REF!</v>
      </c>
      <c r="AO542" t="e">
        <f>AND(#REF!,"AAAAAH3//ig=")</f>
        <v>#REF!</v>
      </c>
      <c r="AP542" t="e">
        <f>AND(#REF!,"AAAAAH3//ik=")</f>
        <v>#REF!</v>
      </c>
      <c r="AQ542" t="e">
        <f>AND(#REF!,"AAAAAH3//io=")</f>
        <v>#REF!</v>
      </c>
      <c r="AR542" t="e">
        <f>AND(#REF!,"AAAAAH3//is=")</f>
        <v>#REF!</v>
      </c>
      <c r="AS542" t="e">
        <f>AND(#REF!,"AAAAAH3//iw=")</f>
        <v>#REF!</v>
      </c>
      <c r="AT542" t="e">
        <f>AND(#REF!,"AAAAAH3//i0=")</f>
        <v>#REF!</v>
      </c>
      <c r="AU542" t="e">
        <f>AND(#REF!,"AAAAAH3//i4=")</f>
        <v>#REF!</v>
      </c>
      <c r="AV542" t="e">
        <f>AND(#REF!,"AAAAAH3//i8=")</f>
        <v>#REF!</v>
      </c>
      <c r="AW542" t="e">
        <f>AND(#REF!,"AAAAAH3//jA=")</f>
        <v>#REF!</v>
      </c>
      <c r="AX542" t="e">
        <f>AND(#REF!,"AAAAAH3//jE=")</f>
        <v>#REF!</v>
      </c>
      <c r="AY542" t="e">
        <f>AND(#REF!,"AAAAAH3//jI=")</f>
        <v>#REF!</v>
      </c>
      <c r="AZ542" t="e">
        <f>AND(#REF!,"AAAAAH3//jM=")</f>
        <v>#REF!</v>
      </c>
      <c r="BA542" t="e">
        <f>AND(#REF!,"AAAAAH3//jQ=")</f>
        <v>#REF!</v>
      </c>
      <c r="BB542" t="e">
        <f>AND(#REF!,"AAAAAH3//jU=")</f>
        <v>#REF!</v>
      </c>
      <c r="BC542" t="e">
        <f>AND(#REF!,"AAAAAH3//jY=")</f>
        <v>#REF!</v>
      </c>
      <c r="BD542" t="e">
        <f>AND(#REF!,"AAAAAH3//jc=")</f>
        <v>#REF!</v>
      </c>
      <c r="BE542" t="e">
        <f>AND(#REF!,"AAAAAH3//jg=")</f>
        <v>#REF!</v>
      </c>
      <c r="BF542" t="e">
        <f>AND(#REF!,"AAAAAH3//jk=")</f>
        <v>#REF!</v>
      </c>
      <c r="BG542" t="e">
        <f>AND(#REF!,"AAAAAH3//jo=")</f>
        <v>#REF!</v>
      </c>
      <c r="BH542" t="e">
        <f>AND(#REF!,"AAAAAH3//js=")</f>
        <v>#REF!</v>
      </c>
      <c r="BI542" t="e">
        <f>AND(#REF!,"AAAAAH3//jw=")</f>
        <v>#REF!</v>
      </c>
      <c r="BJ542" t="e">
        <f>AND(#REF!,"AAAAAH3//j0=")</f>
        <v>#REF!</v>
      </c>
      <c r="BK542" t="e">
        <f>AND(#REF!,"AAAAAH3//j4=")</f>
        <v>#REF!</v>
      </c>
      <c r="BL542" t="e">
        <f>AND(#REF!,"AAAAAH3//j8=")</f>
        <v>#REF!</v>
      </c>
      <c r="BM542" t="e">
        <f>IF(#REF!,"AAAAAH3//kA=",0)</f>
        <v>#REF!</v>
      </c>
      <c r="BN542" t="e">
        <f>AND(#REF!,"AAAAAH3//kE=")</f>
        <v>#REF!</v>
      </c>
      <c r="BO542" t="e">
        <f>AND(#REF!,"AAAAAH3//kI=")</f>
        <v>#REF!</v>
      </c>
      <c r="BP542" t="e">
        <f>AND(#REF!,"AAAAAH3//kM=")</f>
        <v>#REF!</v>
      </c>
      <c r="BQ542" t="e">
        <f>AND(#REF!,"AAAAAH3//kQ=")</f>
        <v>#REF!</v>
      </c>
      <c r="BR542" t="e">
        <f>AND(#REF!,"AAAAAH3//kU=")</f>
        <v>#REF!</v>
      </c>
      <c r="BS542" t="e">
        <f>AND(#REF!,"AAAAAH3//kY=")</f>
        <v>#REF!</v>
      </c>
      <c r="BT542" t="e">
        <f>AND(#REF!,"AAAAAH3//kc=")</f>
        <v>#REF!</v>
      </c>
      <c r="BU542" t="e">
        <f>AND(#REF!,"AAAAAH3//kg=")</f>
        <v>#REF!</v>
      </c>
      <c r="BV542" t="e">
        <f>AND(#REF!,"AAAAAH3//kk=")</f>
        <v>#REF!</v>
      </c>
      <c r="BW542" t="e">
        <f>AND(#REF!,"AAAAAH3//ko=")</f>
        <v>#REF!</v>
      </c>
      <c r="BX542" t="e">
        <f>AND(#REF!,"AAAAAH3//ks=")</f>
        <v>#REF!</v>
      </c>
      <c r="BY542" t="e">
        <f>AND(#REF!,"AAAAAH3//kw=")</f>
        <v>#REF!</v>
      </c>
      <c r="BZ542" t="e">
        <f>AND(#REF!,"AAAAAH3//k0=")</f>
        <v>#REF!</v>
      </c>
      <c r="CA542" t="e">
        <f>AND(#REF!,"AAAAAH3//k4=")</f>
        <v>#REF!</v>
      </c>
      <c r="CB542" t="e">
        <f>AND(#REF!,"AAAAAH3//k8=")</f>
        <v>#REF!</v>
      </c>
      <c r="CC542" t="e">
        <f>AND(#REF!,"AAAAAH3//lA=")</f>
        <v>#REF!</v>
      </c>
      <c r="CD542" t="e">
        <f>AND(#REF!,"AAAAAH3//lE=")</f>
        <v>#REF!</v>
      </c>
      <c r="CE542" t="e">
        <f>AND(#REF!,"AAAAAH3//lI=")</f>
        <v>#REF!</v>
      </c>
      <c r="CF542" t="e">
        <f>AND(#REF!,"AAAAAH3//lM=")</f>
        <v>#REF!</v>
      </c>
      <c r="CG542" t="e">
        <f>AND(#REF!,"AAAAAH3//lQ=")</f>
        <v>#REF!</v>
      </c>
      <c r="CH542" t="e">
        <f>AND(#REF!,"AAAAAH3//lU=")</f>
        <v>#REF!</v>
      </c>
      <c r="CI542" t="e">
        <f>AND(#REF!,"AAAAAH3//lY=")</f>
        <v>#REF!</v>
      </c>
      <c r="CJ542" t="e">
        <f>AND(#REF!,"AAAAAH3//lc=")</f>
        <v>#REF!</v>
      </c>
      <c r="CK542" t="e">
        <f>AND(#REF!,"AAAAAH3//lg=")</f>
        <v>#REF!</v>
      </c>
      <c r="CL542" t="e">
        <f>IF(#REF!,"AAAAAH3//lk=",0)</f>
        <v>#REF!</v>
      </c>
      <c r="CM542" t="e">
        <f>AND(#REF!,"AAAAAH3//lo=")</f>
        <v>#REF!</v>
      </c>
      <c r="CN542" t="e">
        <f>AND(#REF!,"AAAAAH3//ls=")</f>
        <v>#REF!</v>
      </c>
      <c r="CO542" t="e">
        <f>AND(#REF!,"AAAAAH3//lw=")</f>
        <v>#REF!</v>
      </c>
      <c r="CP542" t="e">
        <f>AND(#REF!,"AAAAAH3//l0=")</f>
        <v>#REF!</v>
      </c>
      <c r="CQ542" t="e">
        <f>AND(#REF!,"AAAAAH3//l4=")</f>
        <v>#REF!</v>
      </c>
      <c r="CR542" t="e">
        <f>AND(#REF!,"AAAAAH3//l8=")</f>
        <v>#REF!</v>
      </c>
      <c r="CS542" t="e">
        <f>AND(#REF!,"AAAAAH3//mA=")</f>
        <v>#REF!</v>
      </c>
      <c r="CT542" t="e">
        <f>AND(#REF!,"AAAAAH3//mE=")</f>
        <v>#REF!</v>
      </c>
      <c r="CU542" t="e">
        <f>AND(#REF!,"AAAAAH3//mI=")</f>
        <v>#REF!</v>
      </c>
      <c r="CV542" t="e">
        <f>AND(#REF!,"AAAAAH3//mM=")</f>
        <v>#REF!</v>
      </c>
      <c r="CW542" t="e">
        <f>AND(#REF!,"AAAAAH3//mQ=")</f>
        <v>#REF!</v>
      </c>
      <c r="CX542" t="e">
        <f>AND(#REF!,"AAAAAH3//mU=")</f>
        <v>#REF!</v>
      </c>
      <c r="CY542" t="e">
        <f>AND(#REF!,"AAAAAH3//mY=")</f>
        <v>#REF!</v>
      </c>
      <c r="CZ542" t="e">
        <f>AND(#REF!,"AAAAAH3//mc=")</f>
        <v>#REF!</v>
      </c>
      <c r="DA542" t="e">
        <f>AND(#REF!,"AAAAAH3//mg=")</f>
        <v>#REF!</v>
      </c>
      <c r="DB542" t="e">
        <f>AND(#REF!,"AAAAAH3//mk=")</f>
        <v>#REF!</v>
      </c>
      <c r="DC542" t="e">
        <f>AND(#REF!,"AAAAAH3//mo=")</f>
        <v>#REF!</v>
      </c>
      <c r="DD542" t="e">
        <f>AND(#REF!,"AAAAAH3//ms=")</f>
        <v>#REF!</v>
      </c>
      <c r="DE542" t="e">
        <f>AND(#REF!,"AAAAAH3//mw=")</f>
        <v>#REF!</v>
      </c>
      <c r="DF542" t="e">
        <f>AND(#REF!,"AAAAAH3//m0=")</f>
        <v>#REF!</v>
      </c>
      <c r="DG542" t="e">
        <f>AND(#REF!,"AAAAAH3//m4=")</f>
        <v>#REF!</v>
      </c>
      <c r="DH542" t="e">
        <f>AND(#REF!,"AAAAAH3//m8=")</f>
        <v>#REF!</v>
      </c>
      <c r="DI542" t="e">
        <f>AND(#REF!,"AAAAAH3//nA=")</f>
        <v>#REF!</v>
      </c>
      <c r="DJ542" t="e">
        <f>AND(#REF!,"AAAAAH3//nE=")</f>
        <v>#REF!</v>
      </c>
      <c r="DK542" t="e">
        <f>IF(#REF!,"AAAAAH3//nI=",0)</f>
        <v>#REF!</v>
      </c>
      <c r="DL542" t="e">
        <f>AND(#REF!,"AAAAAH3//nM=")</f>
        <v>#REF!</v>
      </c>
      <c r="DM542" t="e">
        <f>AND(#REF!,"AAAAAH3//nQ=")</f>
        <v>#REF!</v>
      </c>
      <c r="DN542" t="e">
        <f>AND(#REF!,"AAAAAH3//nU=")</f>
        <v>#REF!</v>
      </c>
      <c r="DO542" t="e">
        <f>AND(#REF!,"AAAAAH3//nY=")</f>
        <v>#REF!</v>
      </c>
      <c r="DP542" t="e">
        <f>AND(#REF!,"AAAAAH3//nc=")</f>
        <v>#REF!</v>
      </c>
      <c r="DQ542" t="e">
        <f>AND(#REF!,"AAAAAH3//ng=")</f>
        <v>#REF!</v>
      </c>
      <c r="DR542" t="e">
        <f>AND(#REF!,"AAAAAH3//nk=")</f>
        <v>#REF!</v>
      </c>
      <c r="DS542" t="e">
        <f>AND(#REF!,"AAAAAH3//no=")</f>
        <v>#REF!</v>
      </c>
      <c r="DT542" t="e">
        <f>AND(#REF!,"AAAAAH3//ns=")</f>
        <v>#REF!</v>
      </c>
      <c r="DU542" t="e">
        <f>AND(#REF!,"AAAAAH3//nw=")</f>
        <v>#REF!</v>
      </c>
      <c r="DV542" t="e">
        <f>AND(#REF!,"AAAAAH3//n0=")</f>
        <v>#REF!</v>
      </c>
      <c r="DW542" t="e">
        <f>AND(#REF!,"AAAAAH3//n4=")</f>
        <v>#REF!</v>
      </c>
      <c r="DX542" t="e">
        <f>AND(#REF!,"AAAAAH3//n8=")</f>
        <v>#REF!</v>
      </c>
      <c r="DY542" t="e">
        <f>AND(#REF!,"AAAAAH3//oA=")</f>
        <v>#REF!</v>
      </c>
      <c r="DZ542" t="e">
        <f>AND(#REF!,"AAAAAH3//oE=")</f>
        <v>#REF!</v>
      </c>
      <c r="EA542" t="e">
        <f>AND(#REF!,"AAAAAH3//oI=")</f>
        <v>#REF!</v>
      </c>
      <c r="EB542" t="e">
        <f>AND(#REF!,"AAAAAH3//oM=")</f>
        <v>#REF!</v>
      </c>
      <c r="EC542" t="e">
        <f>AND(#REF!,"AAAAAH3//oQ=")</f>
        <v>#REF!</v>
      </c>
      <c r="ED542" t="e">
        <f>AND(#REF!,"AAAAAH3//oU=")</f>
        <v>#REF!</v>
      </c>
      <c r="EE542" t="e">
        <f>AND(#REF!,"AAAAAH3//oY=")</f>
        <v>#REF!</v>
      </c>
      <c r="EF542" t="e">
        <f>AND(#REF!,"AAAAAH3//oc=")</f>
        <v>#REF!</v>
      </c>
      <c r="EG542" t="e">
        <f>AND(#REF!,"AAAAAH3//og=")</f>
        <v>#REF!</v>
      </c>
      <c r="EH542" t="e">
        <f>AND(#REF!,"AAAAAH3//ok=")</f>
        <v>#REF!</v>
      </c>
      <c r="EI542" t="e">
        <f>AND(#REF!,"AAAAAH3//oo=")</f>
        <v>#REF!</v>
      </c>
      <c r="EJ542" t="e">
        <f>IF(#REF!,"AAAAAH3//os=",0)</f>
        <v>#REF!</v>
      </c>
      <c r="EK542" t="e">
        <f>AND(#REF!,"AAAAAH3//ow=")</f>
        <v>#REF!</v>
      </c>
      <c r="EL542" t="e">
        <f>AND(#REF!,"AAAAAH3//o0=")</f>
        <v>#REF!</v>
      </c>
      <c r="EM542" t="e">
        <f>AND(#REF!,"AAAAAH3//o4=")</f>
        <v>#REF!</v>
      </c>
      <c r="EN542" t="e">
        <f>AND(#REF!,"AAAAAH3//o8=")</f>
        <v>#REF!</v>
      </c>
      <c r="EO542" t="e">
        <f>AND(#REF!,"AAAAAH3//pA=")</f>
        <v>#REF!</v>
      </c>
      <c r="EP542" t="e">
        <f>AND(#REF!,"AAAAAH3//pE=")</f>
        <v>#REF!</v>
      </c>
      <c r="EQ542" t="e">
        <f>AND(#REF!,"AAAAAH3//pI=")</f>
        <v>#REF!</v>
      </c>
      <c r="ER542" t="e">
        <f>AND(#REF!,"AAAAAH3//pM=")</f>
        <v>#REF!</v>
      </c>
      <c r="ES542" t="e">
        <f>AND(#REF!,"AAAAAH3//pQ=")</f>
        <v>#REF!</v>
      </c>
      <c r="ET542" t="e">
        <f>AND(#REF!,"AAAAAH3//pU=")</f>
        <v>#REF!</v>
      </c>
      <c r="EU542" t="e">
        <f>AND(#REF!,"AAAAAH3//pY=")</f>
        <v>#REF!</v>
      </c>
      <c r="EV542" t="e">
        <f>AND(#REF!,"AAAAAH3//pc=")</f>
        <v>#REF!</v>
      </c>
      <c r="EW542" t="e">
        <f>AND(#REF!,"AAAAAH3//pg=")</f>
        <v>#REF!</v>
      </c>
      <c r="EX542" t="e">
        <f>AND(#REF!,"AAAAAH3//pk=")</f>
        <v>#REF!</v>
      </c>
      <c r="EY542" t="e">
        <f>AND(#REF!,"AAAAAH3//po=")</f>
        <v>#REF!</v>
      </c>
      <c r="EZ542" t="e">
        <f>AND(#REF!,"AAAAAH3//ps=")</f>
        <v>#REF!</v>
      </c>
      <c r="FA542" t="e">
        <f>AND(#REF!,"AAAAAH3//pw=")</f>
        <v>#REF!</v>
      </c>
      <c r="FB542" t="e">
        <f>AND(#REF!,"AAAAAH3//p0=")</f>
        <v>#REF!</v>
      </c>
      <c r="FC542" t="e">
        <f>AND(#REF!,"AAAAAH3//p4=")</f>
        <v>#REF!</v>
      </c>
      <c r="FD542" t="e">
        <f>AND(#REF!,"AAAAAH3//p8=")</f>
        <v>#REF!</v>
      </c>
      <c r="FE542" t="e">
        <f>AND(#REF!,"AAAAAH3//qA=")</f>
        <v>#REF!</v>
      </c>
      <c r="FF542" t="e">
        <f>AND(#REF!,"AAAAAH3//qE=")</f>
        <v>#REF!</v>
      </c>
      <c r="FG542" t="e">
        <f>AND(#REF!,"AAAAAH3//qI=")</f>
        <v>#REF!</v>
      </c>
      <c r="FH542" t="e">
        <f>AND(#REF!,"AAAAAH3//qM=")</f>
        <v>#REF!</v>
      </c>
      <c r="FI542" t="e">
        <f>IF(#REF!,"AAAAAH3//qQ=",0)</f>
        <v>#REF!</v>
      </c>
      <c r="FJ542" t="e">
        <f>AND(#REF!,"AAAAAH3//qU=")</f>
        <v>#REF!</v>
      </c>
      <c r="FK542" t="e">
        <f>AND(#REF!,"AAAAAH3//qY=")</f>
        <v>#REF!</v>
      </c>
      <c r="FL542" t="e">
        <f>AND(#REF!,"AAAAAH3//qc=")</f>
        <v>#REF!</v>
      </c>
      <c r="FM542" t="e">
        <f>AND(#REF!,"AAAAAH3//qg=")</f>
        <v>#REF!</v>
      </c>
      <c r="FN542" t="e">
        <f>AND(#REF!,"AAAAAH3//qk=")</f>
        <v>#REF!</v>
      </c>
      <c r="FO542" t="e">
        <f>AND(#REF!,"AAAAAH3//qo=")</f>
        <v>#REF!</v>
      </c>
      <c r="FP542" t="e">
        <f>AND(#REF!,"AAAAAH3//qs=")</f>
        <v>#REF!</v>
      </c>
      <c r="FQ542" t="e">
        <f>AND(#REF!,"AAAAAH3//qw=")</f>
        <v>#REF!</v>
      </c>
      <c r="FR542" t="e">
        <f>AND(#REF!,"AAAAAH3//q0=")</f>
        <v>#REF!</v>
      </c>
      <c r="FS542" t="e">
        <f>AND(#REF!,"AAAAAH3//q4=")</f>
        <v>#REF!</v>
      </c>
      <c r="FT542" t="e">
        <f>AND(#REF!,"AAAAAH3//q8=")</f>
        <v>#REF!</v>
      </c>
      <c r="FU542" t="e">
        <f>AND(#REF!,"AAAAAH3//rA=")</f>
        <v>#REF!</v>
      </c>
      <c r="FV542" t="e">
        <f>AND(#REF!,"AAAAAH3//rE=")</f>
        <v>#REF!</v>
      </c>
      <c r="FW542" t="e">
        <f>AND(#REF!,"AAAAAH3//rI=")</f>
        <v>#REF!</v>
      </c>
      <c r="FX542" t="e">
        <f>AND(#REF!,"AAAAAH3//rM=")</f>
        <v>#REF!</v>
      </c>
      <c r="FY542" t="e">
        <f>AND(#REF!,"AAAAAH3//rQ=")</f>
        <v>#REF!</v>
      </c>
      <c r="FZ542" t="e">
        <f>AND(#REF!,"AAAAAH3//rU=")</f>
        <v>#REF!</v>
      </c>
      <c r="GA542" t="e">
        <f>AND(#REF!,"AAAAAH3//rY=")</f>
        <v>#REF!</v>
      </c>
      <c r="GB542" t="e">
        <f>AND(#REF!,"AAAAAH3//rc=")</f>
        <v>#REF!</v>
      </c>
      <c r="GC542" t="e">
        <f>AND(#REF!,"AAAAAH3//rg=")</f>
        <v>#REF!</v>
      </c>
      <c r="GD542" t="e">
        <f>AND(#REF!,"AAAAAH3//rk=")</f>
        <v>#REF!</v>
      </c>
      <c r="GE542" t="e">
        <f>AND(#REF!,"AAAAAH3//ro=")</f>
        <v>#REF!</v>
      </c>
      <c r="GF542" t="e">
        <f>AND(#REF!,"AAAAAH3//rs=")</f>
        <v>#REF!</v>
      </c>
      <c r="GG542" t="e">
        <f>AND(#REF!,"AAAAAH3//rw=")</f>
        <v>#REF!</v>
      </c>
      <c r="GH542" t="e">
        <f>IF(#REF!,"AAAAAH3//r0=",0)</f>
        <v>#REF!</v>
      </c>
      <c r="GI542" t="e">
        <f>AND(#REF!,"AAAAAH3//r4=")</f>
        <v>#REF!</v>
      </c>
      <c r="GJ542" t="e">
        <f>AND(#REF!,"AAAAAH3//r8=")</f>
        <v>#REF!</v>
      </c>
      <c r="GK542" t="e">
        <f>AND(#REF!,"AAAAAH3//sA=")</f>
        <v>#REF!</v>
      </c>
      <c r="GL542" t="e">
        <f>AND(#REF!,"AAAAAH3//sE=")</f>
        <v>#REF!</v>
      </c>
      <c r="GM542" t="e">
        <f>AND(#REF!,"AAAAAH3//sI=")</f>
        <v>#REF!</v>
      </c>
      <c r="GN542" t="e">
        <f>AND(#REF!,"AAAAAH3//sM=")</f>
        <v>#REF!</v>
      </c>
      <c r="GO542" t="e">
        <f>AND(#REF!,"AAAAAH3//sQ=")</f>
        <v>#REF!</v>
      </c>
      <c r="GP542" t="e">
        <f>AND(#REF!,"AAAAAH3//sU=")</f>
        <v>#REF!</v>
      </c>
      <c r="GQ542" t="e">
        <f>AND(#REF!,"AAAAAH3//sY=")</f>
        <v>#REF!</v>
      </c>
      <c r="GR542" t="e">
        <f>AND(#REF!,"AAAAAH3//sc=")</f>
        <v>#REF!</v>
      </c>
      <c r="GS542" t="e">
        <f>AND(#REF!,"AAAAAH3//sg=")</f>
        <v>#REF!</v>
      </c>
      <c r="GT542" t="e">
        <f>AND(#REF!,"AAAAAH3//sk=")</f>
        <v>#REF!</v>
      </c>
      <c r="GU542" t="e">
        <f>AND(#REF!,"AAAAAH3//so=")</f>
        <v>#REF!</v>
      </c>
      <c r="GV542" t="e">
        <f>AND(#REF!,"AAAAAH3//ss=")</f>
        <v>#REF!</v>
      </c>
      <c r="GW542" t="e">
        <f>AND(#REF!,"AAAAAH3//sw=")</f>
        <v>#REF!</v>
      </c>
      <c r="GX542" t="e">
        <f>AND(#REF!,"AAAAAH3//s0=")</f>
        <v>#REF!</v>
      </c>
      <c r="GY542" t="e">
        <f>AND(#REF!,"AAAAAH3//s4=")</f>
        <v>#REF!</v>
      </c>
      <c r="GZ542" t="e">
        <f>AND(#REF!,"AAAAAH3//s8=")</f>
        <v>#REF!</v>
      </c>
      <c r="HA542" t="e">
        <f>AND(#REF!,"AAAAAH3//tA=")</f>
        <v>#REF!</v>
      </c>
      <c r="HB542" t="e">
        <f>AND(#REF!,"AAAAAH3//tE=")</f>
        <v>#REF!</v>
      </c>
      <c r="HC542" t="e">
        <f>AND(#REF!,"AAAAAH3//tI=")</f>
        <v>#REF!</v>
      </c>
      <c r="HD542" t="e">
        <f>AND(#REF!,"AAAAAH3//tM=")</f>
        <v>#REF!</v>
      </c>
      <c r="HE542" t="e">
        <f>AND(#REF!,"AAAAAH3//tQ=")</f>
        <v>#REF!</v>
      </c>
      <c r="HF542" t="e">
        <f>AND(#REF!,"AAAAAH3//tU=")</f>
        <v>#REF!</v>
      </c>
      <c r="HG542" t="e">
        <f>IF(#REF!,"AAAAAH3//tY=",0)</f>
        <v>#REF!</v>
      </c>
      <c r="HH542" t="e">
        <f>AND(#REF!,"AAAAAH3//tc=")</f>
        <v>#REF!</v>
      </c>
      <c r="HI542" t="e">
        <f>AND(#REF!,"AAAAAH3//tg=")</f>
        <v>#REF!</v>
      </c>
      <c r="HJ542" t="e">
        <f>AND(#REF!,"AAAAAH3//tk=")</f>
        <v>#REF!</v>
      </c>
      <c r="HK542" t="e">
        <f>AND(#REF!,"AAAAAH3//to=")</f>
        <v>#REF!</v>
      </c>
      <c r="HL542" t="e">
        <f>AND(#REF!,"AAAAAH3//ts=")</f>
        <v>#REF!</v>
      </c>
      <c r="HM542" t="e">
        <f>AND(#REF!,"AAAAAH3//tw=")</f>
        <v>#REF!</v>
      </c>
      <c r="HN542" t="e">
        <f>AND(#REF!,"AAAAAH3//t0=")</f>
        <v>#REF!</v>
      </c>
      <c r="HO542" t="e">
        <f>AND(#REF!,"AAAAAH3//t4=")</f>
        <v>#REF!</v>
      </c>
      <c r="HP542" t="e">
        <f>AND(#REF!,"AAAAAH3//t8=")</f>
        <v>#REF!</v>
      </c>
      <c r="HQ542" t="e">
        <f>AND(#REF!,"AAAAAH3//uA=")</f>
        <v>#REF!</v>
      </c>
      <c r="HR542" t="e">
        <f>AND(#REF!,"AAAAAH3//uE=")</f>
        <v>#REF!</v>
      </c>
      <c r="HS542" t="e">
        <f>AND(#REF!,"AAAAAH3//uI=")</f>
        <v>#REF!</v>
      </c>
      <c r="HT542" t="e">
        <f>AND(#REF!,"AAAAAH3//uM=")</f>
        <v>#REF!</v>
      </c>
      <c r="HU542" t="e">
        <f>AND(#REF!,"AAAAAH3//uQ=")</f>
        <v>#REF!</v>
      </c>
      <c r="HV542" t="e">
        <f>AND(#REF!,"AAAAAH3//uU=")</f>
        <v>#REF!</v>
      </c>
      <c r="HW542" t="e">
        <f>AND(#REF!,"AAAAAH3//uY=")</f>
        <v>#REF!</v>
      </c>
      <c r="HX542" t="e">
        <f>AND(#REF!,"AAAAAH3//uc=")</f>
        <v>#REF!</v>
      </c>
      <c r="HY542" t="e">
        <f>AND(#REF!,"AAAAAH3//ug=")</f>
        <v>#REF!</v>
      </c>
      <c r="HZ542" t="e">
        <f>AND(#REF!,"AAAAAH3//uk=")</f>
        <v>#REF!</v>
      </c>
      <c r="IA542" t="e">
        <f>AND(#REF!,"AAAAAH3//uo=")</f>
        <v>#REF!</v>
      </c>
      <c r="IB542" t="e">
        <f>AND(#REF!,"AAAAAH3//us=")</f>
        <v>#REF!</v>
      </c>
      <c r="IC542" t="e">
        <f>AND(#REF!,"AAAAAH3//uw=")</f>
        <v>#REF!</v>
      </c>
      <c r="ID542" t="e">
        <f>AND(#REF!,"AAAAAH3//u0=")</f>
        <v>#REF!</v>
      </c>
      <c r="IE542" t="e">
        <f>AND(#REF!,"AAAAAH3//u4=")</f>
        <v>#REF!</v>
      </c>
      <c r="IF542" t="e">
        <f>IF(#REF!,"AAAAAH3//u8=",0)</f>
        <v>#REF!</v>
      </c>
      <c r="IG542" t="e">
        <f>AND(#REF!,"AAAAAH3//vA=")</f>
        <v>#REF!</v>
      </c>
      <c r="IH542" t="e">
        <f>AND(#REF!,"AAAAAH3//vE=")</f>
        <v>#REF!</v>
      </c>
      <c r="II542" t="e">
        <f>AND(#REF!,"AAAAAH3//vI=")</f>
        <v>#REF!</v>
      </c>
      <c r="IJ542" t="e">
        <f>AND(#REF!,"AAAAAH3//vM=")</f>
        <v>#REF!</v>
      </c>
      <c r="IK542" t="e">
        <f>AND(#REF!,"AAAAAH3//vQ=")</f>
        <v>#REF!</v>
      </c>
      <c r="IL542" t="e">
        <f>AND(#REF!,"AAAAAH3//vU=")</f>
        <v>#REF!</v>
      </c>
      <c r="IM542" t="e">
        <f>AND(#REF!,"AAAAAH3//vY=")</f>
        <v>#REF!</v>
      </c>
      <c r="IN542" t="e">
        <f>AND(#REF!,"AAAAAH3//vc=")</f>
        <v>#REF!</v>
      </c>
      <c r="IO542" t="e">
        <f>AND(#REF!,"AAAAAH3//vg=")</f>
        <v>#REF!</v>
      </c>
      <c r="IP542" t="e">
        <f>AND(#REF!,"AAAAAH3//vk=")</f>
        <v>#REF!</v>
      </c>
      <c r="IQ542" t="e">
        <f>AND(#REF!,"AAAAAH3//vo=")</f>
        <v>#REF!</v>
      </c>
      <c r="IR542" t="e">
        <f>AND(#REF!,"AAAAAH3//vs=")</f>
        <v>#REF!</v>
      </c>
      <c r="IS542" t="e">
        <f>AND(#REF!,"AAAAAH3//vw=")</f>
        <v>#REF!</v>
      </c>
      <c r="IT542" t="e">
        <f>AND(#REF!,"AAAAAH3//v0=")</f>
        <v>#REF!</v>
      </c>
      <c r="IU542" t="e">
        <f>AND(#REF!,"AAAAAH3//v4=")</f>
        <v>#REF!</v>
      </c>
      <c r="IV542" t="e">
        <f>AND(#REF!,"AAAAAH3//v8=")</f>
        <v>#REF!</v>
      </c>
    </row>
    <row r="543" spans="1:256">
      <c r="A543" t="e">
        <f>AND(#REF!,"AAAAAD55/wA=")</f>
        <v>#REF!</v>
      </c>
      <c r="B543" t="e">
        <f>AND(#REF!,"AAAAAD55/wE=")</f>
        <v>#REF!</v>
      </c>
      <c r="C543" t="e">
        <f>AND(#REF!,"AAAAAD55/wI=")</f>
        <v>#REF!</v>
      </c>
      <c r="D543" t="e">
        <f>AND(#REF!,"AAAAAD55/wM=")</f>
        <v>#REF!</v>
      </c>
      <c r="E543" t="e">
        <f>AND(#REF!,"AAAAAD55/wQ=")</f>
        <v>#REF!</v>
      </c>
      <c r="F543" t="e">
        <f>AND(#REF!,"AAAAAD55/wU=")</f>
        <v>#REF!</v>
      </c>
      <c r="G543" t="e">
        <f>AND(#REF!,"AAAAAD55/wY=")</f>
        <v>#REF!</v>
      </c>
      <c r="H543" t="e">
        <f>AND(#REF!,"AAAAAD55/wc=")</f>
        <v>#REF!</v>
      </c>
      <c r="I543" t="e">
        <f>IF(#REF!,"AAAAAD55/wg=",0)</f>
        <v>#REF!</v>
      </c>
      <c r="J543" t="e">
        <f>AND(#REF!,"AAAAAD55/wk=")</f>
        <v>#REF!</v>
      </c>
      <c r="K543" t="e">
        <f>AND(#REF!,"AAAAAD55/wo=")</f>
        <v>#REF!</v>
      </c>
      <c r="L543" t="e">
        <f>AND(#REF!,"AAAAAD55/ws=")</f>
        <v>#REF!</v>
      </c>
      <c r="M543" t="e">
        <f>AND(#REF!,"AAAAAD55/ww=")</f>
        <v>#REF!</v>
      </c>
      <c r="N543" t="e">
        <f>AND(#REF!,"AAAAAD55/w0=")</f>
        <v>#REF!</v>
      </c>
      <c r="O543" t="e">
        <f>AND(#REF!,"AAAAAD55/w4=")</f>
        <v>#REF!</v>
      </c>
      <c r="P543" t="e">
        <f>AND(#REF!,"AAAAAD55/w8=")</f>
        <v>#REF!</v>
      </c>
      <c r="Q543" t="e">
        <f>AND(#REF!,"AAAAAD55/xA=")</f>
        <v>#REF!</v>
      </c>
      <c r="R543" t="e">
        <f>AND(#REF!,"AAAAAD55/xE=")</f>
        <v>#REF!</v>
      </c>
      <c r="S543" t="e">
        <f>AND(#REF!,"AAAAAD55/xI=")</f>
        <v>#REF!</v>
      </c>
      <c r="T543" t="e">
        <f>AND(#REF!,"AAAAAD55/xM=")</f>
        <v>#REF!</v>
      </c>
      <c r="U543" t="e">
        <f>AND(#REF!,"AAAAAD55/xQ=")</f>
        <v>#REF!</v>
      </c>
      <c r="V543" t="e">
        <f>AND(#REF!,"AAAAAD55/xU=")</f>
        <v>#REF!</v>
      </c>
      <c r="W543" t="e">
        <f>AND(#REF!,"AAAAAD55/xY=")</f>
        <v>#REF!</v>
      </c>
      <c r="X543" t="e">
        <f>AND(#REF!,"AAAAAD55/xc=")</f>
        <v>#REF!</v>
      </c>
      <c r="Y543" t="e">
        <f>AND(#REF!,"AAAAAD55/xg=")</f>
        <v>#REF!</v>
      </c>
      <c r="Z543" t="e">
        <f>AND(#REF!,"AAAAAD55/xk=")</f>
        <v>#REF!</v>
      </c>
      <c r="AA543" t="e">
        <f>AND(#REF!,"AAAAAD55/xo=")</f>
        <v>#REF!</v>
      </c>
      <c r="AB543" t="e">
        <f>AND(#REF!,"AAAAAD55/xs=")</f>
        <v>#REF!</v>
      </c>
      <c r="AC543" t="e">
        <f>AND(#REF!,"AAAAAD55/xw=")</f>
        <v>#REF!</v>
      </c>
      <c r="AD543" t="e">
        <f>AND(#REF!,"AAAAAD55/x0=")</f>
        <v>#REF!</v>
      </c>
      <c r="AE543" t="e">
        <f>AND(#REF!,"AAAAAD55/x4=")</f>
        <v>#REF!</v>
      </c>
      <c r="AF543" t="e">
        <f>AND(#REF!,"AAAAAD55/x8=")</f>
        <v>#REF!</v>
      </c>
      <c r="AG543" t="e">
        <f>AND(#REF!,"AAAAAD55/yA=")</f>
        <v>#REF!</v>
      </c>
      <c r="AH543" t="e">
        <f>IF(#REF!,"AAAAAD55/yE=",0)</f>
        <v>#REF!</v>
      </c>
      <c r="AI543" t="e">
        <f>AND(#REF!,"AAAAAD55/yI=")</f>
        <v>#REF!</v>
      </c>
      <c r="AJ543" t="e">
        <f>AND(#REF!,"AAAAAD55/yM=")</f>
        <v>#REF!</v>
      </c>
      <c r="AK543" t="e">
        <f>AND(#REF!,"AAAAAD55/yQ=")</f>
        <v>#REF!</v>
      </c>
      <c r="AL543" t="e">
        <f>AND(#REF!,"AAAAAD55/yU=")</f>
        <v>#REF!</v>
      </c>
      <c r="AM543" t="e">
        <f>AND(#REF!,"AAAAAD55/yY=")</f>
        <v>#REF!</v>
      </c>
      <c r="AN543" t="e">
        <f>AND(#REF!,"AAAAAD55/yc=")</f>
        <v>#REF!</v>
      </c>
      <c r="AO543" t="e">
        <f>AND(#REF!,"AAAAAD55/yg=")</f>
        <v>#REF!</v>
      </c>
      <c r="AP543" t="e">
        <f>AND(#REF!,"AAAAAD55/yk=")</f>
        <v>#REF!</v>
      </c>
      <c r="AQ543" t="e">
        <f>AND(#REF!,"AAAAAD55/yo=")</f>
        <v>#REF!</v>
      </c>
      <c r="AR543" t="e">
        <f>AND(#REF!,"AAAAAD55/ys=")</f>
        <v>#REF!</v>
      </c>
      <c r="AS543" t="e">
        <f>AND(#REF!,"AAAAAD55/yw=")</f>
        <v>#REF!</v>
      </c>
      <c r="AT543" t="e">
        <f>AND(#REF!,"AAAAAD55/y0=")</f>
        <v>#REF!</v>
      </c>
      <c r="AU543" t="e">
        <f>AND(#REF!,"AAAAAD55/y4=")</f>
        <v>#REF!</v>
      </c>
      <c r="AV543" t="e">
        <f>AND(#REF!,"AAAAAD55/y8=")</f>
        <v>#REF!</v>
      </c>
      <c r="AW543" t="e">
        <f>AND(#REF!,"AAAAAD55/zA=")</f>
        <v>#REF!</v>
      </c>
      <c r="AX543" t="e">
        <f>AND(#REF!,"AAAAAD55/zE=")</f>
        <v>#REF!</v>
      </c>
      <c r="AY543" t="e">
        <f>AND(#REF!,"AAAAAD55/zI=")</f>
        <v>#REF!</v>
      </c>
      <c r="AZ543" t="e">
        <f>AND(#REF!,"AAAAAD55/zM=")</f>
        <v>#REF!</v>
      </c>
      <c r="BA543" t="e">
        <f>AND(#REF!,"AAAAAD55/zQ=")</f>
        <v>#REF!</v>
      </c>
      <c r="BB543" t="e">
        <f>AND(#REF!,"AAAAAD55/zU=")</f>
        <v>#REF!</v>
      </c>
      <c r="BC543" t="e">
        <f>AND(#REF!,"AAAAAD55/zY=")</f>
        <v>#REF!</v>
      </c>
      <c r="BD543" t="e">
        <f>AND(#REF!,"AAAAAD55/zc=")</f>
        <v>#REF!</v>
      </c>
      <c r="BE543" t="e">
        <f>AND(#REF!,"AAAAAD55/zg=")</f>
        <v>#REF!</v>
      </c>
      <c r="BF543" t="e">
        <f>AND(#REF!,"AAAAAD55/zk=")</f>
        <v>#REF!</v>
      </c>
      <c r="BG543" t="e">
        <f>IF(#REF!,"AAAAAD55/zo=",0)</f>
        <v>#REF!</v>
      </c>
      <c r="BH543" t="e">
        <f>AND(#REF!,"AAAAAD55/zs=")</f>
        <v>#REF!</v>
      </c>
      <c r="BI543" t="e">
        <f>AND(#REF!,"AAAAAD55/zw=")</f>
        <v>#REF!</v>
      </c>
      <c r="BJ543" t="e">
        <f>AND(#REF!,"AAAAAD55/z0=")</f>
        <v>#REF!</v>
      </c>
      <c r="BK543" t="e">
        <f>AND(#REF!,"AAAAAD55/z4=")</f>
        <v>#REF!</v>
      </c>
      <c r="BL543" t="e">
        <f>AND(#REF!,"AAAAAD55/z8=")</f>
        <v>#REF!</v>
      </c>
      <c r="BM543" t="e">
        <f>AND(#REF!,"AAAAAD55/0A=")</f>
        <v>#REF!</v>
      </c>
      <c r="BN543" t="e">
        <f>AND(#REF!,"AAAAAD55/0E=")</f>
        <v>#REF!</v>
      </c>
      <c r="BO543" t="e">
        <f>AND(#REF!,"AAAAAD55/0I=")</f>
        <v>#REF!</v>
      </c>
      <c r="BP543" t="e">
        <f>AND(#REF!,"AAAAAD55/0M=")</f>
        <v>#REF!</v>
      </c>
      <c r="BQ543" t="e">
        <f>AND(#REF!,"AAAAAD55/0Q=")</f>
        <v>#REF!</v>
      </c>
      <c r="BR543" t="e">
        <f>AND(#REF!,"AAAAAD55/0U=")</f>
        <v>#REF!</v>
      </c>
      <c r="BS543" t="e">
        <f>AND(#REF!,"AAAAAD55/0Y=")</f>
        <v>#REF!</v>
      </c>
      <c r="BT543" t="e">
        <f>AND(#REF!,"AAAAAD55/0c=")</f>
        <v>#REF!</v>
      </c>
      <c r="BU543" t="e">
        <f>AND(#REF!,"AAAAAD55/0g=")</f>
        <v>#REF!</v>
      </c>
      <c r="BV543" t="e">
        <f>AND(#REF!,"AAAAAD55/0k=")</f>
        <v>#REF!</v>
      </c>
      <c r="BW543" t="e">
        <f>AND(#REF!,"AAAAAD55/0o=")</f>
        <v>#REF!</v>
      </c>
      <c r="BX543" t="e">
        <f>AND(#REF!,"AAAAAD55/0s=")</f>
        <v>#REF!</v>
      </c>
      <c r="BY543" t="e">
        <f>AND(#REF!,"AAAAAD55/0w=")</f>
        <v>#REF!</v>
      </c>
      <c r="BZ543" t="e">
        <f>AND(#REF!,"AAAAAD55/00=")</f>
        <v>#REF!</v>
      </c>
      <c r="CA543" t="e">
        <f>AND(#REF!,"AAAAAD55/04=")</f>
        <v>#REF!</v>
      </c>
      <c r="CB543" t="e">
        <f>AND(#REF!,"AAAAAD55/08=")</f>
        <v>#REF!</v>
      </c>
      <c r="CC543" t="e">
        <f>AND(#REF!,"AAAAAD55/1A=")</f>
        <v>#REF!</v>
      </c>
      <c r="CD543" t="e">
        <f>AND(#REF!,"AAAAAD55/1E=")</f>
        <v>#REF!</v>
      </c>
      <c r="CE543" t="e">
        <f>AND(#REF!,"AAAAAD55/1I=")</f>
        <v>#REF!</v>
      </c>
      <c r="CF543" t="e">
        <f>IF(#REF!,"AAAAAD55/1M=",0)</f>
        <v>#REF!</v>
      </c>
      <c r="CG543" t="e">
        <f>AND(#REF!,"AAAAAD55/1Q=")</f>
        <v>#REF!</v>
      </c>
      <c r="CH543" t="e">
        <f>AND(#REF!,"AAAAAD55/1U=")</f>
        <v>#REF!</v>
      </c>
      <c r="CI543" t="e">
        <f>AND(#REF!,"AAAAAD55/1Y=")</f>
        <v>#REF!</v>
      </c>
      <c r="CJ543" t="e">
        <f>AND(#REF!,"AAAAAD55/1c=")</f>
        <v>#REF!</v>
      </c>
      <c r="CK543" t="e">
        <f>AND(#REF!,"AAAAAD55/1g=")</f>
        <v>#REF!</v>
      </c>
      <c r="CL543" t="e">
        <f>AND(#REF!,"AAAAAD55/1k=")</f>
        <v>#REF!</v>
      </c>
      <c r="CM543" t="e">
        <f>AND(#REF!,"AAAAAD55/1o=")</f>
        <v>#REF!</v>
      </c>
      <c r="CN543" t="e">
        <f>AND(#REF!,"AAAAAD55/1s=")</f>
        <v>#REF!</v>
      </c>
      <c r="CO543" t="e">
        <f>AND(#REF!,"AAAAAD55/1w=")</f>
        <v>#REF!</v>
      </c>
      <c r="CP543" t="e">
        <f>AND(#REF!,"AAAAAD55/10=")</f>
        <v>#REF!</v>
      </c>
      <c r="CQ543" t="e">
        <f>AND(#REF!,"AAAAAD55/14=")</f>
        <v>#REF!</v>
      </c>
      <c r="CR543" t="e">
        <f>AND(#REF!,"AAAAAD55/18=")</f>
        <v>#REF!</v>
      </c>
      <c r="CS543" t="e">
        <f>AND(#REF!,"AAAAAD55/2A=")</f>
        <v>#REF!</v>
      </c>
      <c r="CT543" t="e">
        <f>AND(#REF!,"AAAAAD55/2E=")</f>
        <v>#REF!</v>
      </c>
      <c r="CU543" t="e">
        <f>AND(#REF!,"AAAAAD55/2I=")</f>
        <v>#REF!</v>
      </c>
      <c r="CV543" t="e">
        <f>AND(#REF!,"AAAAAD55/2M=")</f>
        <v>#REF!</v>
      </c>
      <c r="CW543" t="e">
        <f>AND(#REF!,"AAAAAD55/2Q=")</f>
        <v>#REF!</v>
      </c>
      <c r="CX543" t="e">
        <f>AND(#REF!,"AAAAAD55/2U=")</f>
        <v>#REF!</v>
      </c>
      <c r="CY543" t="e">
        <f>AND(#REF!,"AAAAAD55/2Y=")</f>
        <v>#REF!</v>
      </c>
      <c r="CZ543" t="e">
        <f>AND(#REF!,"AAAAAD55/2c=")</f>
        <v>#REF!</v>
      </c>
      <c r="DA543" t="e">
        <f>AND(#REF!,"AAAAAD55/2g=")</f>
        <v>#REF!</v>
      </c>
      <c r="DB543" t="e">
        <f>AND(#REF!,"AAAAAD55/2k=")</f>
        <v>#REF!</v>
      </c>
      <c r="DC543" t="e">
        <f>AND(#REF!,"AAAAAD55/2o=")</f>
        <v>#REF!</v>
      </c>
      <c r="DD543" t="e">
        <f>AND(#REF!,"AAAAAD55/2s=")</f>
        <v>#REF!</v>
      </c>
      <c r="DE543" t="e">
        <f>IF(#REF!,"AAAAAD55/2w=",0)</f>
        <v>#REF!</v>
      </c>
      <c r="DF543" t="e">
        <f>AND(#REF!,"AAAAAD55/20=")</f>
        <v>#REF!</v>
      </c>
      <c r="DG543" t="e">
        <f>AND(#REF!,"AAAAAD55/24=")</f>
        <v>#REF!</v>
      </c>
      <c r="DH543" t="e">
        <f>AND(#REF!,"AAAAAD55/28=")</f>
        <v>#REF!</v>
      </c>
      <c r="DI543" t="e">
        <f>AND(#REF!,"AAAAAD55/3A=")</f>
        <v>#REF!</v>
      </c>
      <c r="DJ543" t="e">
        <f>AND(#REF!,"AAAAAD55/3E=")</f>
        <v>#REF!</v>
      </c>
      <c r="DK543" t="e">
        <f>AND(#REF!,"AAAAAD55/3I=")</f>
        <v>#REF!</v>
      </c>
      <c r="DL543" t="e">
        <f>AND(#REF!,"AAAAAD55/3M=")</f>
        <v>#REF!</v>
      </c>
      <c r="DM543" t="e">
        <f>AND(#REF!,"AAAAAD55/3Q=")</f>
        <v>#REF!</v>
      </c>
      <c r="DN543" t="e">
        <f>AND(#REF!,"AAAAAD55/3U=")</f>
        <v>#REF!</v>
      </c>
      <c r="DO543" t="e">
        <f>AND(#REF!,"AAAAAD55/3Y=")</f>
        <v>#REF!</v>
      </c>
      <c r="DP543" t="e">
        <f>AND(#REF!,"AAAAAD55/3c=")</f>
        <v>#REF!</v>
      </c>
      <c r="DQ543" t="e">
        <f>AND(#REF!,"AAAAAD55/3g=")</f>
        <v>#REF!</v>
      </c>
      <c r="DR543" t="e">
        <f>AND(#REF!,"AAAAAD55/3k=")</f>
        <v>#REF!</v>
      </c>
      <c r="DS543" t="e">
        <f>AND(#REF!,"AAAAAD55/3o=")</f>
        <v>#REF!</v>
      </c>
      <c r="DT543" t="e">
        <f>AND(#REF!,"AAAAAD55/3s=")</f>
        <v>#REF!</v>
      </c>
      <c r="DU543" t="e">
        <f>AND(#REF!,"AAAAAD55/3w=")</f>
        <v>#REF!</v>
      </c>
      <c r="DV543" t="e">
        <f>AND(#REF!,"AAAAAD55/30=")</f>
        <v>#REF!</v>
      </c>
      <c r="DW543" t="e">
        <f>AND(#REF!,"AAAAAD55/34=")</f>
        <v>#REF!</v>
      </c>
      <c r="DX543" t="e">
        <f>AND(#REF!,"AAAAAD55/38=")</f>
        <v>#REF!</v>
      </c>
      <c r="DY543" t="e">
        <f>AND(#REF!,"AAAAAD55/4A=")</f>
        <v>#REF!</v>
      </c>
      <c r="DZ543" t="e">
        <f>AND(#REF!,"AAAAAD55/4E=")</f>
        <v>#REF!</v>
      </c>
      <c r="EA543" t="e">
        <f>AND(#REF!,"AAAAAD55/4I=")</f>
        <v>#REF!</v>
      </c>
      <c r="EB543" t="e">
        <f>AND(#REF!,"AAAAAD55/4M=")</f>
        <v>#REF!</v>
      </c>
      <c r="EC543" t="e">
        <f>AND(#REF!,"AAAAAD55/4Q=")</f>
        <v>#REF!</v>
      </c>
      <c r="ED543" t="e">
        <f>IF(#REF!,"AAAAAD55/4U=",0)</f>
        <v>#REF!</v>
      </c>
      <c r="EE543" t="e">
        <f>AND(#REF!,"AAAAAD55/4Y=")</f>
        <v>#REF!</v>
      </c>
      <c r="EF543" t="e">
        <f>AND(#REF!,"AAAAAD55/4c=")</f>
        <v>#REF!</v>
      </c>
      <c r="EG543" t="e">
        <f>AND(#REF!,"AAAAAD55/4g=")</f>
        <v>#REF!</v>
      </c>
      <c r="EH543" t="e">
        <f>AND(#REF!,"AAAAAD55/4k=")</f>
        <v>#REF!</v>
      </c>
      <c r="EI543" t="e">
        <f>AND(#REF!,"AAAAAD55/4o=")</f>
        <v>#REF!</v>
      </c>
      <c r="EJ543" t="e">
        <f>AND(#REF!,"AAAAAD55/4s=")</f>
        <v>#REF!</v>
      </c>
      <c r="EK543" t="e">
        <f>AND(#REF!,"AAAAAD55/4w=")</f>
        <v>#REF!</v>
      </c>
      <c r="EL543" t="e">
        <f>AND(#REF!,"AAAAAD55/40=")</f>
        <v>#REF!</v>
      </c>
      <c r="EM543" t="e">
        <f>AND(#REF!,"AAAAAD55/44=")</f>
        <v>#REF!</v>
      </c>
      <c r="EN543" t="e">
        <f>AND(#REF!,"AAAAAD55/48=")</f>
        <v>#REF!</v>
      </c>
      <c r="EO543" t="e">
        <f>AND(#REF!,"AAAAAD55/5A=")</f>
        <v>#REF!</v>
      </c>
      <c r="EP543" t="e">
        <f>AND(#REF!,"AAAAAD55/5E=")</f>
        <v>#REF!</v>
      </c>
      <c r="EQ543" t="e">
        <f>AND(#REF!,"AAAAAD55/5I=")</f>
        <v>#REF!</v>
      </c>
      <c r="ER543" t="e">
        <f>AND(#REF!,"AAAAAD55/5M=")</f>
        <v>#REF!</v>
      </c>
      <c r="ES543" t="e">
        <f>AND(#REF!,"AAAAAD55/5Q=")</f>
        <v>#REF!</v>
      </c>
      <c r="ET543" t="e">
        <f>AND(#REF!,"AAAAAD55/5U=")</f>
        <v>#REF!</v>
      </c>
      <c r="EU543" t="e">
        <f>AND(#REF!,"AAAAAD55/5Y=")</f>
        <v>#REF!</v>
      </c>
      <c r="EV543" t="e">
        <f>AND(#REF!,"AAAAAD55/5c=")</f>
        <v>#REF!</v>
      </c>
      <c r="EW543" t="e">
        <f>AND(#REF!,"AAAAAD55/5g=")</f>
        <v>#REF!</v>
      </c>
      <c r="EX543" t="e">
        <f>AND(#REF!,"AAAAAD55/5k=")</f>
        <v>#REF!</v>
      </c>
      <c r="EY543" t="e">
        <f>AND(#REF!,"AAAAAD55/5o=")</f>
        <v>#REF!</v>
      </c>
      <c r="EZ543" t="e">
        <f>AND(#REF!,"AAAAAD55/5s=")</f>
        <v>#REF!</v>
      </c>
      <c r="FA543" t="e">
        <f>AND(#REF!,"AAAAAD55/5w=")</f>
        <v>#REF!</v>
      </c>
      <c r="FB543" t="e">
        <f>AND(#REF!,"AAAAAD55/50=")</f>
        <v>#REF!</v>
      </c>
      <c r="FC543" t="e">
        <f>IF(#REF!,"AAAAAD55/54=",0)</f>
        <v>#REF!</v>
      </c>
      <c r="FD543" t="e">
        <f>AND(#REF!,"AAAAAD55/58=")</f>
        <v>#REF!</v>
      </c>
      <c r="FE543" t="e">
        <f>AND(#REF!,"AAAAAD55/6A=")</f>
        <v>#REF!</v>
      </c>
      <c r="FF543" t="e">
        <f>AND(#REF!,"AAAAAD55/6E=")</f>
        <v>#REF!</v>
      </c>
      <c r="FG543" t="e">
        <f>AND(#REF!,"AAAAAD55/6I=")</f>
        <v>#REF!</v>
      </c>
      <c r="FH543" t="e">
        <f>AND(#REF!,"AAAAAD55/6M=")</f>
        <v>#REF!</v>
      </c>
      <c r="FI543" t="e">
        <f>AND(#REF!,"AAAAAD55/6Q=")</f>
        <v>#REF!</v>
      </c>
      <c r="FJ543" t="e">
        <f>AND(#REF!,"AAAAAD55/6U=")</f>
        <v>#REF!</v>
      </c>
      <c r="FK543" t="e">
        <f>AND(#REF!,"AAAAAD55/6Y=")</f>
        <v>#REF!</v>
      </c>
      <c r="FL543" t="e">
        <f>AND(#REF!,"AAAAAD55/6c=")</f>
        <v>#REF!</v>
      </c>
      <c r="FM543" t="e">
        <f>AND(#REF!,"AAAAAD55/6g=")</f>
        <v>#REF!</v>
      </c>
      <c r="FN543" t="e">
        <f>AND(#REF!,"AAAAAD55/6k=")</f>
        <v>#REF!</v>
      </c>
      <c r="FO543" t="e">
        <f>AND(#REF!,"AAAAAD55/6o=")</f>
        <v>#REF!</v>
      </c>
      <c r="FP543" t="e">
        <f>AND(#REF!,"AAAAAD55/6s=")</f>
        <v>#REF!</v>
      </c>
      <c r="FQ543" t="e">
        <f>AND(#REF!,"AAAAAD55/6w=")</f>
        <v>#REF!</v>
      </c>
      <c r="FR543" t="e">
        <f>AND(#REF!,"AAAAAD55/60=")</f>
        <v>#REF!</v>
      </c>
      <c r="FS543" t="e">
        <f>AND(#REF!,"AAAAAD55/64=")</f>
        <v>#REF!</v>
      </c>
      <c r="FT543" t="e">
        <f>AND(#REF!,"AAAAAD55/68=")</f>
        <v>#REF!</v>
      </c>
      <c r="FU543" t="e">
        <f>AND(#REF!,"AAAAAD55/7A=")</f>
        <v>#REF!</v>
      </c>
      <c r="FV543" t="e">
        <f>AND(#REF!,"AAAAAD55/7E=")</f>
        <v>#REF!</v>
      </c>
      <c r="FW543" t="e">
        <f>AND(#REF!,"AAAAAD55/7I=")</f>
        <v>#REF!</v>
      </c>
      <c r="FX543" t="e">
        <f>AND(#REF!,"AAAAAD55/7M=")</f>
        <v>#REF!</v>
      </c>
      <c r="FY543" t="e">
        <f>AND(#REF!,"AAAAAD55/7Q=")</f>
        <v>#REF!</v>
      </c>
      <c r="FZ543" t="e">
        <f>AND(#REF!,"AAAAAD55/7U=")</f>
        <v>#REF!</v>
      </c>
      <c r="GA543" t="e">
        <f>AND(#REF!,"AAAAAD55/7Y=")</f>
        <v>#REF!</v>
      </c>
      <c r="GB543" t="e">
        <f>IF(#REF!,"AAAAAD55/7c=",0)</f>
        <v>#REF!</v>
      </c>
      <c r="GC543" t="e">
        <f>AND(#REF!,"AAAAAD55/7g=")</f>
        <v>#REF!</v>
      </c>
      <c r="GD543" t="e">
        <f>AND(#REF!,"AAAAAD55/7k=")</f>
        <v>#REF!</v>
      </c>
      <c r="GE543" t="e">
        <f>AND(#REF!,"AAAAAD55/7o=")</f>
        <v>#REF!</v>
      </c>
      <c r="GF543" t="e">
        <f>AND(#REF!,"AAAAAD55/7s=")</f>
        <v>#REF!</v>
      </c>
      <c r="GG543" t="e">
        <f>AND(#REF!,"AAAAAD55/7w=")</f>
        <v>#REF!</v>
      </c>
      <c r="GH543" t="e">
        <f>AND(#REF!,"AAAAAD55/70=")</f>
        <v>#REF!</v>
      </c>
      <c r="GI543" t="e">
        <f>AND(#REF!,"AAAAAD55/74=")</f>
        <v>#REF!</v>
      </c>
      <c r="GJ543" t="e">
        <f>AND(#REF!,"AAAAAD55/78=")</f>
        <v>#REF!</v>
      </c>
      <c r="GK543" t="e">
        <f>AND(#REF!,"AAAAAD55/8A=")</f>
        <v>#REF!</v>
      </c>
      <c r="GL543" t="e">
        <f>AND(#REF!,"AAAAAD55/8E=")</f>
        <v>#REF!</v>
      </c>
      <c r="GM543" t="e">
        <f>AND(#REF!,"AAAAAD55/8I=")</f>
        <v>#REF!</v>
      </c>
      <c r="GN543" t="e">
        <f>AND(#REF!,"AAAAAD55/8M=")</f>
        <v>#REF!</v>
      </c>
      <c r="GO543" t="e">
        <f>AND(#REF!,"AAAAAD55/8Q=")</f>
        <v>#REF!</v>
      </c>
      <c r="GP543" t="e">
        <f>AND(#REF!,"AAAAAD55/8U=")</f>
        <v>#REF!</v>
      </c>
      <c r="GQ543" t="e">
        <f>AND(#REF!,"AAAAAD55/8Y=")</f>
        <v>#REF!</v>
      </c>
      <c r="GR543" t="e">
        <f>AND(#REF!,"AAAAAD55/8c=")</f>
        <v>#REF!</v>
      </c>
      <c r="GS543" t="e">
        <f>AND(#REF!,"AAAAAD55/8g=")</f>
        <v>#REF!</v>
      </c>
      <c r="GT543" t="e">
        <f>AND(#REF!,"AAAAAD55/8k=")</f>
        <v>#REF!</v>
      </c>
      <c r="GU543" t="e">
        <f>AND(#REF!,"AAAAAD55/8o=")</f>
        <v>#REF!</v>
      </c>
      <c r="GV543" t="e">
        <f>AND(#REF!,"AAAAAD55/8s=")</f>
        <v>#REF!</v>
      </c>
      <c r="GW543" t="e">
        <f>AND(#REF!,"AAAAAD55/8w=")</f>
        <v>#REF!</v>
      </c>
      <c r="GX543" t="e">
        <f>AND(#REF!,"AAAAAD55/80=")</f>
        <v>#REF!</v>
      </c>
      <c r="GY543" t="e">
        <f>AND(#REF!,"AAAAAD55/84=")</f>
        <v>#REF!</v>
      </c>
      <c r="GZ543" t="e">
        <f>AND(#REF!,"AAAAAD55/88=")</f>
        <v>#REF!</v>
      </c>
      <c r="HA543" t="e">
        <f>IF(#REF!,"AAAAAD55/9A=",0)</f>
        <v>#REF!</v>
      </c>
      <c r="HB543" t="e">
        <f>AND(#REF!,"AAAAAD55/9E=")</f>
        <v>#REF!</v>
      </c>
      <c r="HC543" t="e">
        <f>AND(#REF!,"AAAAAD55/9I=")</f>
        <v>#REF!</v>
      </c>
      <c r="HD543" t="e">
        <f>AND(#REF!,"AAAAAD55/9M=")</f>
        <v>#REF!</v>
      </c>
      <c r="HE543" t="e">
        <f>AND(#REF!,"AAAAAD55/9Q=")</f>
        <v>#REF!</v>
      </c>
      <c r="HF543" t="e">
        <f>AND(#REF!,"AAAAAD55/9U=")</f>
        <v>#REF!</v>
      </c>
      <c r="HG543" t="e">
        <f>AND(#REF!,"AAAAAD55/9Y=")</f>
        <v>#REF!</v>
      </c>
      <c r="HH543" t="e">
        <f>AND(#REF!,"AAAAAD55/9c=")</f>
        <v>#REF!</v>
      </c>
      <c r="HI543" t="e">
        <f>AND(#REF!,"AAAAAD55/9g=")</f>
        <v>#REF!</v>
      </c>
      <c r="HJ543" t="e">
        <f>AND(#REF!,"AAAAAD55/9k=")</f>
        <v>#REF!</v>
      </c>
      <c r="HK543" t="e">
        <f>AND(#REF!,"AAAAAD55/9o=")</f>
        <v>#REF!</v>
      </c>
      <c r="HL543" t="e">
        <f>AND(#REF!,"AAAAAD55/9s=")</f>
        <v>#REF!</v>
      </c>
      <c r="HM543" t="e">
        <f>AND(#REF!,"AAAAAD55/9w=")</f>
        <v>#REF!</v>
      </c>
      <c r="HN543" t="e">
        <f>AND(#REF!,"AAAAAD55/90=")</f>
        <v>#REF!</v>
      </c>
      <c r="HO543" t="e">
        <f>AND(#REF!,"AAAAAD55/94=")</f>
        <v>#REF!</v>
      </c>
      <c r="HP543" t="e">
        <f>AND(#REF!,"AAAAAD55/98=")</f>
        <v>#REF!</v>
      </c>
      <c r="HQ543" t="e">
        <f>AND(#REF!,"AAAAAD55/+A=")</f>
        <v>#REF!</v>
      </c>
      <c r="HR543" t="e">
        <f>AND(#REF!,"AAAAAD55/+E=")</f>
        <v>#REF!</v>
      </c>
      <c r="HS543" t="e">
        <f>AND(#REF!,"AAAAAD55/+I=")</f>
        <v>#REF!</v>
      </c>
      <c r="HT543" t="e">
        <f>AND(#REF!,"AAAAAD55/+M=")</f>
        <v>#REF!</v>
      </c>
      <c r="HU543" t="e">
        <f>AND(#REF!,"AAAAAD55/+Q=")</f>
        <v>#REF!</v>
      </c>
      <c r="HV543" t="e">
        <f>AND(#REF!,"AAAAAD55/+U=")</f>
        <v>#REF!</v>
      </c>
      <c r="HW543" t="e">
        <f>AND(#REF!,"AAAAAD55/+Y=")</f>
        <v>#REF!</v>
      </c>
      <c r="HX543" t="e">
        <f>AND(#REF!,"AAAAAD55/+c=")</f>
        <v>#REF!</v>
      </c>
      <c r="HY543" t="e">
        <f>AND(#REF!,"AAAAAD55/+g=")</f>
        <v>#REF!</v>
      </c>
      <c r="HZ543" t="e">
        <f>IF(#REF!,"AAAAAD55/+k=",0)</f>
        <v>#REF!</v>
      </c>
      <c r="IA543" t="e">
        <f>AND(#REF!,"AAAAAD55/+o=")</f>
        <v>#REF!</v>
      </c>
      <c r="IB543" t="e">
        <f>AND(#REF!,"AAAAAD55/+s=")</f>
        <v>#REF!</v>
      </c>
      <c r="IC543" t="e">
        <f>AND(#REF!,"AAAAAD55/+w=")</f>
        <v>#REF!</v>
      </c>
      <c r="ID543" t="e">
        <f>AND(#REF!,"AAAAAD55/+0=")</f>
        <v>#REF!</v>
      </c>
      <c r="IE543" t="e">
        <f>AND(#REF!,"AAAAAD55/+4=")</f>
        <v>#REF!</v>
      </c>
      <c r="IF543" t="e">
        <f>AND(#REF!,"AAAAAD55/+8=")</f>
        <v>#REF!</v>
      </c>
      <c r="IG543" t="e">
        <f>AND(#REF!,"AAAAAD55//A=")</f>
        <v>#REF!</v>
      </c>
      <c r="IH543" t="e">
        <f>AND(#REF!,"AAAAAD55//E=")</f>
        <v>#REF!</v>
      </c>
      <c r="II543" t="e">
        <f>AND(#REF!,"AAAAAD55//I=")</f>
        <v>#REF!</v>
      </c>
      <c r="IJ543" t="e">
        <f>AND(#REF!,"AAAAAD55//M=")</f>
        <v>#REF!</v>
      </c>
      <c r="IK543" t="e">
        <f>AND(#REF!,"AAAAAD55//Q=")</f>
        <v>#REF!</v>
      </c>
      <c r="IL543" t="e">
        <f>AND(#REF!,"AAAAAD55//U=")</f>
        <v>#REF!</v>
      </c>
      <c r="IM543" t="e">
        <f>AND(#REF!,"AAAAAD55//Y=")</f>
        <v>#REF!</v>
      </c>
      <c r="IN543" t="e">
        <f>AND(#REF!,"AAAAAD55//c=")</f>
        <v>#REF!</v>
      </c>
      <c r="IO543" t="e">
        <f>AND(#REF!,"AAAAAD55//g=")</f>
        <v>#REF!</v>
      </c>
      <c r="IP543" t="e">
        <f>AND(#REF!,"AAAAAD55//k=")</f>
        <v>#REF!</v>
      </c>
      <c r="IQ543" t="e">
        <f>AND(#REF!,"AAAAAD55//o=")</f>
        <v>#REF!</v>
      </c>
      <c r="IR543" t="e">
        <f>AND(#REF!,"AAAAAD55//s=")</f>
        <v>#REF!</v>
      </c>
      <c r="IS543" t="e">
        <f>AND(#REF!,"AAAAAD55//w=")</f>
        <v>#REF!</v>
      </c>
      <c r="IT543" t="e">
        <f>AND(#REF!,"AAAAAD55//0=")</f>
        <v>#REF!</v>
      </c>
      <c r="IU543" t="e">
        <f>AND(#REF!,"AAAAAD55//4=")</f>
        <v>#REF!</v>
      </c>
      <c r="IV543" t="e">
        <f>AND(#REF!,"AAAAAD55//8=")</f>
        <v>#REF!</v>
      </c>
    </row>
    <row r="544" spans="1:256">
      <c r="A544" t="e">
        <f>AND(#REF!,"AAAAAG+XywA=")</f>
        <v>#REF!</v>
      </c>
      <c r="B544" t="e">
        <f>AND(#REF!,"AAAAAG+XywE=")</f>
        <v>#REF!</v>
      </c>
      <c r="C544" t="e">
        <f>IF(#REF!,"AAAAAG+XywI=",0)</f>
        <v>#REF!</v>
      </c>
      <c r="D544" t="e">
        <f>AND(#REF!,"AAAAAG+XywM=")</f>
        <v>#REF!</v>
      </c>
      <c r="E544" t="e">
        <f>AND(#REF!,"AAAAAG+XywQ=")</f>
        <v>#REF!</v>
      </c>
      <c r="F544" t="e">
        <f>AND(#REF!,"AAAAAG+XywU=")</f>
        <v>#REF!</v>
      </c>
      <c r="G544" t="e">
        <f>AND(#REF!,"AAAAAG+XywY=")</f>
        <v>#REF!</v>
      </c>
      <c r="H544" t="e">
        <f>AND(#REF!,"AAAAAG+Xywc=")</f>
        <v>#REF!</v>
      </c>
      <c r="I544" t="e">
        <f>AND(#REF!,"AAAAAG+Xywg=")</f>
        <v>#REF!</v>
      </c>
      <c r="J544" t="e">
        <f>AND(#REF!,"AAAAAG+Xywk=")</f>
        <v>#REF!</v>
      </c>
      <c r="K544" t="e">
        <f>AND(#REF!,"AAAAAG+Xywo=")</f>
        <v>#REF!</v>
      </c>
      <c r="L544" t="e">
        <f>AND(#REF!,"AAAAAG+Xyws=")</f>
        <v>#REF!</v>
      </c>
      <c r="M544" t="e">
        <f>AND(#REF!,"AAAAAG+Xyww=")</f>
        <v>#REF!</v>
      </c>
      <c r="N544" t="e">
        <f>AND(#REF!,"AAAAAG+Xyw0=")</f>
        <v>#REF!</v>
      </c>
      <c r="O544" t="e">
        <f>AND(#REF!,"AAAAAG+Xyw4=")</f>
        <v>#REF!</v>
      </c>
      <c r="P544" t="e">
        <f>AND(#REF!,"AAAAAG+Xyw8=")</f>
        <v>#REF!</v>
      </c>
      <c r="Q544" t="e">
        <f>AND(#REF!,"AAAAAG+XyxA=")</f>
        <v>#REF!</v>
      </c>
      <c r="R544" t="e">
        <f>AND(#REF!,"AAAAAG+XyxE=")</f>
        <v>#REF!</v>
      </c>
      <c r="S544" t="e">
        <f>AND(#REF!,"AAAAAG+XyxI=")</f>
        <v>#REF!</v>
      </c>
      <c r="T544" t="e">
        <f>AND(#REF!,"AAAAAG+XyxM=")</f>
        <v>#REF!</v>
      </c>
      <c r="U544" t="e">
        <f>AND(#REF!,"AAAAAG+XyxQ=")</f>
        <v>#REF!</v>
      </c>
      <c r="V544" t="e">
        <f>AND(#REF!,"AAAAAG+XyxU=")</f>
        <v>#REF!</v>
      </c>
      <c r="W544" t="e">
        <f>AND(#REF!,"AAAAAG+XyxY=")</f>
        <v>#REF!</v>
      </c>
      <c r="X544" t="e">
        <f>AND(#REF!,"AAAAAG+Xyxc=")</f>
        <v>#REF!</v>
      </c>
      <c r="Y544" t="e">
        <f>AND(#REF!,"AAAAAG+Xyxg=")</f>
        <v>#REF!</v>
      </c>
      <c r="Z544" t="e">
        <f>AND(#REF!,"AAAAAG+Xyxk=")</f>
        <v>#REF!</v>
      </c>
      <c r="AA544" t="e">
        <f>AND(#REF!,"AAAAAG+Xyxo=")</f>
        <v>#REF!</v>
      </c>
      <c r="AB544" t="e">
        <f>IF(#REF!,"AAAAAG+Xyxs=",0)</f>
        <v>#REF!</v>
      </c>
      <c r="AC544" t="e">
        <f>AND(#REF!,"AAAAAG+Xyxw=")</f>
        <v>#REF!</v>
      </c>
      <c r="AD544" t="e">
        <f>AND(#REF!,"AAAAAG+Xyx0=")</f>
        <v>#REF!</v>
      </c>
      <c r="AE544" t="e">
        <f>AND(#REF!,"AAAAAG+Xyx4=")</f>
        <v>#REF!</v>
      </c>
      <c r="AF544" t="e">
        <f>AND(#REF!,"AAAAAG+Xyx8=")</f>
        <v>#REF!</v>
      </c>
      <c r="AG544" t="e">
        <f>AND(#REF!,"AAAAAG+XyyA=")</f>
        <v>#REF!</v>
      </c>
      <c r="AH544" t="e">
        <f>AND(#REF!,"AAAAAG+XyyE=")</f>
        <v>#REF!</v>
      </c>
      <c r="AI544" t="e">
        <f>AND(#REF!,"AAAAAG+XyyI=")</f>
        <v>#REF!</v>
      </c>
      <c r="AJ544" t="e">
        <f>AND(#REF!,"AAAAAG+XyyM=")</f>
        <v>#REF!</v>
      </c>
      <c r="AK544" t="e">
        <f>AND(#REF!,"AAAAAG+XyyQ=")</f>
        <v>#REF!</v>
      </c>
      <c r="AL544" t="e">
        <f>AND(#REF!,"AAAAAG+XyyU=")</f>
        <v>#REF!</v>
      </c>
      <c r="AM544" t="e">
        <f>AND(#REF!,"AAAAAG+XyyY=")</f>
        <v>#REF!</v>
      </c>
      <c r="AN544" t="e">
        <f>AND(#REF!,"AAAAAG+Xyyc=")</f>
        <v>#REF!</v>
      </c>
      <c r="AO544" t="e">
        <f>AND(#REF!,"AAAAAG+Xyyg=")</f>
        <v>#REF!</v>
      </c>
      <c r="AP544" t="e">
        <f>AND(#REF!,"AAAAAG+Xyyk=")</f>
        <v>#REF!</v>
      </c>
      <c r="AQ544" t="e">
        <f>AND(#REF!,"AAAAAG+Xyyo=")</f>
        <v>#REF!</v>
      </c>
      <c r="AR544" t="e">
        <f>AND(#REF!,"AAAAAG+Xyys=")</f>
        <v>#REF!</v>
      </c>
      <c r="AS544" t="e">
        <f>AND(#REF!,"AAAAAG+Xyyw=")</f>
        <v>#REF!</v>
      </c>
      <c r="AT544" t="e">
        <f>AND(#REF!,"AAAAAG+Xyy0=")</f>
        <v>#REF!</v>
      </c>
      <c r="AU544" t="e">
        <f>AND(#REF!,"AAAAAG+Xyy4=")</f>
        <v>#REF!</v>
      </c>
      <c r="AV544" t="e">
        <f>AND(#REF!,"AAAAAG+Xyy8=")</f>
        <v>#REF!</v>
      </c>
      <c r="AW544" t="e">
        <f>AND(#REF!,"AAAAAG+XyzA=")</f>
        <v>#REF!</v>
      </c>
      <c r="AX544" t="e">
        <f>AND(#REF!,"AAAAAG+XyzE=")</f>
        <v>#REF!</v>
      </c>
      <c r="AY544" t="e">
        <f>AND(#REF!,"AAAAAG+XyzI=")</f>
        <v>#REF!</v>
      </c>
      <c r="AZ544" t="e">
        <f>AND(#REF!,"AAAAAG+XyzM=")</f>
        <v>#REF!</v>
      </c>
      <c r="BA544" t="e">
        <f>IF(#REF!,"AAAAAG+XyzQ=",0)</f>
        <v>#REF!</v>
      </c>
      <c r="BB544" t="e">
        <f>AND(#REF!,"AAAAAG+XyzU=")</f>
        <v>#REF!</v>
      </c>
      <c r="BC544" t="e">
        <f>AND(#REF!,"AAAAAG+XyzY=")</f>
        <v>#REF!</v>
      </c>
      <c r="BD544" t="e">
        <f>AND(#REF!,"AAAAAG+Xyzc=")</f>
        <v>#REF!</v>
      </c>
      <c r="BE544" t="e">
        <f>AND(#REF!,"AAAAAG+Xyzg=")</f>
        <v>#REF!</v>
      </c>
      <c r="BF544" t="e">
        <f>AND(#REF!,"AAAAAG+Xyzk=")</f>
        <v>#REF!</v>
      </c>
      <c r="BG544" t="e">
        <f>AND(#REF!,"AAAAAG+Xyzo=")</f>
        <v>#REF!</v>
      </c>
      <c r="BH544" t="e">
        <f>AND(#REF!,"AAAAAG+Xyzs=")</f>
        <v>#REF!</v>
      </c>
      <c r="BI544" t="e">
        <f>AND(#REF!,"AAAAAG+Xyzw=")</f>
        <v>#REF!</v>
      </c>
      <c r="BJ544" t="e">
        <f>AND(#REF!,"AAAAAG+Xyz0=")</f>
        <v>#REF!</v>
      </c>
      <c r="BK544" t="e">
        <f>AND(#REF!,"AAAAAG+Xyz4=")</f>
        <v>#REF!</v>
      </c>
      <c r="BL544" t="e">
        <f>AND(#REF!,"AAAAAG+Xyz8=")</f>
        <v>#REF!</v>
      </c>
      <c r="BM544" t="e">
        <f>AND(#REF!,"AAAAAG+Xy0A=")</f>
        <v>#REF!</v>
      </c>
      <c r="BN544" t="e">
        <f>AND(#REF!,"AAAAAG+Xy0E=")</f>
        <v>#REF!</v>
      </c>
      <c r="BO544" t="e">
        <f>AND(#REF!,"AAAAAG+Xy0I=")</f>
        <v>#REF!</v>
      </c>
      <c r="BP544" t="e">
        <f>AND(#REF!,"AAAAAG+Xy0M=")</f>
        <v>#REF!</v>
      </c>
      <c r="BQ544" t="e">
        <f>AND(#REF!,"AAAAAG+Xy0Q=")</f>
        <v>#REF!</v>
      </c>
      <c r="BR544" t="e">
        <f>AND(#REF!,"AAAAAG+Xy0U=")</f>
        <v>#REF!</v>
      </c>
      <c r="BS544" t="e">
        <f>AND(#REF!,"AAAAAG+Xy0Y=")</f>
        <v>#REF!</v>
      </c>
      <c r="BT544" t="e">
        <f>AND(#REF!,"AAAAAG+Xy0c=")</f>
        <v>#REF!</v>
      </c>
      <c r="BU544" t="e">
        <f>AND(#REF!,"AAAAAG+Xy0g=")</f>
        <v>#REF!</v>
      </c>
      <c r="BV544" t="e">
        <f>AND(#REF!,"AAAAAG+Xy0k=")</f>
        <v>#REF!</v>
      </c>
      <c r="BW544" t="e">
        <f>AND(#REF!,"AAAAAG+Xy0o=")</f>
        <v>#REF!</v>
      </c>
      <c r="BX544" t="e">
        <f>AND(#REF!,"AAAAAG+Xy0s=")</f>
        <v>#REF!</v>
      </c>
      <c r="BY544" t="e">
        <f>AND(#REF!,"AAAAAG+Xy0w=")</f>
        <v>#REF!</v>
      </c>
      <c r="BZ544" t="e">
        <f>IF(#REF!,"AAAAAG+Xy00=",0)</f>
        <v>#REF!</v>
      </c>
      <c r="CA544" t="e">
        <f>AND(#REF!,"AAAAAG+Xy04=")</f>
        <v>#REF!</v>
      </c>
      <c r="CB544" t="e">
        <f>AND(#REF!,"AAAAAG+Xy08=")</f>
        <v>#REF!</v>
      </c>
      <c r="CC544" t="e">
        <f>AND(#REF!,"AAAAAG+Xy1A=")</f>
        <v>#REF!</v>
      </c>
      <c r="CD544" t="e">
        <f>AND(#REF!,"AAAAAG+Xy1E=")</f>
        <v>#REF!</v>
      </c>
      <c r="CE544" t="e">
        <f>AND(#REF!,"AAAAAG+Xy1I=")</f>
        <v>#REF!</v>
      </c>
      <c r="CF544" t="e">
        <f>AND(#REF!,"AAAAAG+Xy1M=")</f>
        <v>#REF!</v>
      </c>
      <c r="CG544" t="e">
        <f>AND(#REF!,"AAAAAG+Xy1Q=")</f>
        <v>#REF!</v>
      </c>
      <c r="CH544" t="e">
        <f>AND(#REF!,"AAAAAG+Xy1U=")</f>
        <v>#REF!</v>
      </c>
      <c r="CI544" t="e">
        <f>AND(#REF!,"AAAAAG+Xy1Y=")</f>
        <v>#REF!</v>
      </c>
      <c r="CJ544" t="e">
        <f>AND(#REF!,"AAAAAG+Xy1c=")</f>
        <v>#REF!</v>
      </c>
      <c r="CK544" t="e">
        <f>AND(#REF!,"AAAAAG+Xy1g=")</f>
        <v>#REF!</v>
      </c>
      <c r="CL544" t="e">
        <f>AND(#REF!,"AAAAAG+Xy1k=")</f>
        <v>#REF!</v>
      </c>
      <c r="CM544" t="e">
        <f>AND(#REF!,"AAAAAG+Xy1o=")</f>
        <v>#REF!</v>
      </c>
      <c r="CN544" t="e">
        <f>AND(#REF!,"AAAAAG+Xy1s=")</f>
        <v>#REF!</v>
      </c>
      <c r="CO544" t="e">
        <f>AND(#REF!,"AAAAAG+Xy1w=")</f>
        <v>#REF!</v>
      </c>
      <c r="CP544" t="e">
        <f>AND(#REF!,"AAAAAG+Xy10=")</f>
        <v>#REF!</v>
      </c>
      <c r="CQ544" t="e">
        <f>AND(#REF!,"AAAAAG+Xy14=")</f>
        <v>#REF!</v>
      </c>
      <c r="CR544" t="e">
        <f>AND(#REF!,"AAAAAG+Xy18=")</f>
        <v>#REF!</v>
      </c>
      <c r="CS544" t="e">
        <f>AND(#REF!,"AAAAAG+Xy2A=")</f>
        <v>#REF!</v>
      </c>
      <c r="CT544" t="e">
        <f>AND(#REF!,"AAAAAG+Xy2E=")</f>
        <v>#REF!</v>
      </c>
      <c r="CU544" t="e">
        <f>AND(#REF!,"AAAAAG+Xy2I=")</f>
        <v>#REF!</v>
      </c>
      <c r="CV544" t="e">
        <f>AND(#REF!,"AAAAAG+Xy2M=")</f>
        <v>#REF!</v>
      </c>
      <c r="CW544" t="e">
        <f>AND(#REF!,"AAAAAG+Xy2Q=")</f>
        <v>#REF!</v>
      </c>
      <c r="CX544" t="e">
        <f>AND(#REF!,"AAAAAG+Xy2U=")</f>
        <v>#REF!</v>
      </c>
      <c r="CY544" t="e">
        <f>IF(#REF!,"AAAAAG+Xy2Y=",0)</f>
        <v>#REF!</v>
      </c>
      <c r="CZ544" t="e">
        <f>AND(#REF!,"AAAAAG+Xy2c=")</f>
        <v>#REF!</v>
      </c>
      <c r="DA544" t="e">
        <f>AND(#REF!,"AAAAAG+Xy2g=")</f>
        <v>#REF!</v>
      </c>
      <c r="DB544" t="e">
        <f>AND(#REF!,"AAAAAG+Xy2k=")</f>
        <v>#REF!</v>
      </c>
      <c r="DC544" t="e">
        <f>AND(#REF!,"AAAAAG+Xy2o=")</f>
        <v>#REF!</v>
      </c>
      <c r="DD544" t="e">
        <f>AND(#REF!,"AAAAAG+Xy2s=")</f>
        <v>#REF!</v>
      </c>
      <c r="DE544" t="e">
        <f>AND(#REF!,"AAAAAG+Xy2w=")</f>
        <v>#REF!</v>
      </c>
      <c r="DF544" t="e">
        <f>AND(#REF!,"AAAAAG+Xy20=")</f>
        <v>#REF!</v>
      </c>
      <c r="DG544" t="e">
        <f>AND(#REF!,"AAAAAG+Xy24=")</f>
        <v>#REF!</v>
      </c>
      <c r="DH544" t="e">
        <f>AND(#REF!,"AAAAAG+Xy28=")</f>
        <v>#REF!</v>
      </c>
      <c r="DI544" t="e">
        <f>AND(#REF!,"AAAAAG+Xy3A=")</f>
        <v>#REF!</v>
      </c>
      <c r="DJ544" t="e">
        <f>AND(#REF!,"AAAAAG+Xy3E=")</f>
        <v>#REF!</v>
      </c>
      <c r="DK544" t="e">
        <f>AND(#REF!,"AAAAAG+Xy3I=")</f>
        <v>#REF!</v>
      </c>
      <c r="DL544" t="e">
        <f>AND(#REF!,"AAAAAG+Xy3M=")</f>
        <v>#REF!</v>
      </c>
      <c r="DM544" t="e">
        <f>AND(#REF!,"AAAAAG+Xy3Q=")</f>
        <v>#REF!</v>
      </c>
      <c r="DN544" t="e">
        <f>AND(#REF!,"AAAAAG+Xy3U=")</f>
        <v>#REF!</v>
      </c>
      <c r="DO544" t="e">
        <f>AND(#REF!,"AAAAAG+Xy3Y=")</f>
        <v>#REF!</v>
      </c>
      <c r="DP544" t="e">
        <f>AND(#REF!,"AAAAAG+Xy3c=")</f>
        <v>#REF!</v>
      </c>
      <c r="DQ544" t="e">
        <f>AND(#REF!,"AAAAAG+Xy3g=")</f>
        <v>#REF!</v>
      </c>
      <c r="DR544" t="e">
        <f>AND(#REF!,"AAAAAG+Xy3k=")</f>
        <v>#REF!</v>
      </c>
      <c r="DS544" t="e">
        <f>AND(#REF!,"AAAAAG+Xy3o=")</f>
        <v>#REF!</v>
      </c>
      <c r="DT544" t="e">
        <f>AND(#REF!,"AAAAAG+Xy3s=")</f>
        <v>#REF!</v>
      </c>
      <c r="DU544" t="e">
        <f>AND(#REF!,"AAAAAG+Xy3w=")</f>
        <v>#REF!</v>
      </c>
      <c r="DV544" t="e">
        <f>AND(#REF!,"AAAAAG+Xy30=")</f>
        <v>#REF!</v>
      </c>
      <c r="DW544" t="e">
        <f>AND(#REF!,"AAAAAG+Xy34=")</f>
        <v>#REF!</v>
      </c>
      <c r="DX544" t="e">
        <f>IF(#REF!,"AAAAAG+Xy38=",0)</f>
        <v>#REF!</v>
      </c>
      <c r="DY544" t="e">
        <f>AND(#REF!,"AAAAAG+Xy4A=")</f>
        <v>#REF!</v>
      </c>
      <c r="DZ544" t="e">
        <f>AND(#REF!,"AAAAAG+Xy4E=")</f>
        <v>#REF!</v>
      </c>
      <c r="EA544" t="e">
        <f>AND(#REF!,"AAAAAG+Xy4I=")</f>
        <v>#REF!</v>
      </c>
      <c r="EB544" t="e">
        <f>AND(#REF!,"AAAAAG+Xy4M=")</f>
        <v>#REF!</v>
      </c>
      <c r="EC544" t="e">
        <f>AND(#REF!,"AAAAAG+Xy4Q=")</f>
        <v>#REF!</v>
      </c>
      <c r="ED544" t="e">
        <f>AND(#REF!,"AAAAAG+Xy4U=")</f>
        <v>#REF!</v>
      </c>
      <c r="EE544" t="e">
        <f>AND(#REF!,"AAAAAG+Xy4Y=")</f>
        <v>#REF!</v>
      </c>
      <c r="EF544" t="e">
        <f>AND(#REF!,"AAAAAG+Xy4c=")</f>
        <v>#REF!</v>
      </c>
      <c r="EG544" t="e">
        <f>AND(#REF!,"AAAAAG+Xy4g=")</f>
        <v>#REF!</v>
      </c>
      <c r="EH544" t="e">
        <f>AND(#REF!,"AAAAAG+Xy4k=")</f>
        <v>#REF!</v>
      </c>
      <c r="EI544" t="e">
        <f>AND(#REF!,"AAAAAG+Xy4o=")</f>
        <v>#REF!</v>
      </c>
      <c r="EJ544" t="e">
        <f>AND(#REF!,"AAAAAG+Xy4s=")</f>
        <v>#REF!</v>
      </c>
      <c r="EK544" t="e">
        <f>AND(#REF!,"AAAAAG+Xy4w=")</f>
        <v>#REF!</v>
      </c>
      <c r="EL544" t="e">
        <f>AND(#REF!,"AAAAAG+Xy40=")</f>
        <v>#REF!</v>
      </c>
      <c r="EM544" t="e">
        <f>AND(#REF!,"AAAAAG+Xy44=")</f>
        <v>#REF!</v>
      </c>
      <c r="EN544" t="e">
        <f>AND(#REF!,"AAAAAG+Xy48=")</f>
        <v>#REF!</v>
      </c>
      <c r="EO544" t="e">
        <f>AND(#REF!,"AAAAAG+Xy5A=")</f>
        <v>#REF!</v>
      </c>
      <c r="EP544" t="e">
        <f>AND(#REF!,"AAAAAG+Xy5E=")</f>
        <v>#REF!</v>
      </c>
      <c r="EQ544" t="e">
        <f>AND(#REF!,"AAAAAG+Xy5I=")</f>
        <v>#REF!</v>
      </c>
      <c r="ER544" t="e">
        <f>AND(#REF!,"AAAAAG+Xy5M=")</f>
        <v>#REF!</v>
      </c>
      <c r="ES544" t="e">
        <f>AND(#REF!,"AAAAAG+Xy5Q=")</f>
        <v>#REF!</v>
      </c>
      <c r="ET544" t="e">
        <f>AND(#REF!,"AAAAAG+Xy5U=")</f>
        <v>#REF!</v>
      </c>
      <c r="EU544" t="e">
        <f>AND(#REF!,"AAAAAG+Xy5Y=")</f>
        <v>#REF!</v>
      </c>
      <c r="EV544" t="e">
        <f>AND(#REF!,"AAAAAG+Xy5c=")</f>
        <v>#REF!</v>
      </c>
      <c r="EW544" t="e">
        <f>IF(#REF!,"AAAAAG+Xy5g=",0)</f>
        <v>#REF!</v>
      </c>
      <c r="EX544" t="e">
        <f>AND(#REF!,"AAAAAG+Xy5k=")</f>
        <v>#REF!</v>
      </c>
      <c r="EY544" t="e">
        <f>AND(#REF!,"AAAAAG+Xy5o=")</f>
        <v>#REF!</v>
      </c>
      <c r="EZ544" t="e">
        <f>AND(#REF!,"AAAAAG+Xy5s=")</f>
        <v>#REF!</v>
      </c>
      <c r="FA544" t="e">
        <f>AND(#REF!,"AAAAAG+Xy5w=")</f>
        <v>#REF!</v>
      </c>
      <c r="FB544" t="e">
        <f>AND(#REF!,"AAAAAG+Xy50=")</f>
        <v>#REF!</v>
      </c>
      <c r="FC544" t="e">
        <f>AND(#REF!,"AAAAAG+Xy54=")</f>
        <v>#REF!</v>
      </c>
      <c r="FD544" t="e">
        <f>AND(#REF!,"AAAAAG+Xy58=")</f>
        <v>#REF!</v>
      </c>
      <c r="FE544" t="e">
        <f>AND(#REF!,"AAAAAG+Xy6A=")</f>
        <v>#REF!</v>
      </c>
      <c r="FF544" t="e">
        <f>AND(#REF!,"AAAAAG+Xy6E=")</f>
        <v>#REF!</v>
      </c>
      <c r="FG544" t="e">
        <f>AND(#REF!,"AAAAAG+Xy6I=")</f>
        <v>#REF!</v>
      </c>
      <c r="FH544" t="e">
        <f>AND(#REF!,"AAAAAG+Xy6M=")</f>
        <v>#REF!</v>
      </c>
      <c r="FI544" t="e">
        <f>AND(#REF!,"AAAAAG+Xy6Q=")</f>
        <v>#REF!</v>
      </c>
      <c r="FJ544" t="e">
        <f>AND(#REF!,"AAAAAG+Xy6U=")</f>
        <v>#REF!</v>
      </c>
      <c r="FK544" t="e">
        <f>AND(#REF!,"AAAAAG+Xy6Y=")</f>
        <v>#REF!</v>
      </c>
      <c r="FL544" t="e">
        <f>AND(#REF!,"AAAAAG+Xy6c=")</f>
        <v>#REF!</v>
      </c>
      <c r="FM544" t="e">
        <f>AND(#REF!,"AAAAAG+Xy6g=")</f>
        <v>#REF!</v>
      </c>
      <c r="FN544" t="e">
        <f>AND(#REF!,"AAAAAG+Xy6k=")</f>
        <v>#REF!</v>
      </c>
      <c r="FO544" t="e">
        <f>AND(#REF!,"AAAAAG+Xy6o=")</f>
        <v>#REF!</v>
      </c>
      <c r="FP544" t="e">
        <f>AND(#REF!,"AAAAAG+Xy6s=")</f>
        <v>#REF!</v>
      </c>
      <c r="FQ544" t="e">
        <f>AND(#REF!,"AAAAAG+Xy6w=")</f>
        <v>#REF!</v>
      </c>
      <c r="FR544" t="e">
        <f>AND(#REF!,"AAAAAG+Xy60=")</f>
        <v>#REF!</v>
      </c>
      <c r="FS544" t="e">
        <f>AND(#REF!,"AAAAAG+Xy64=")</f>
        <v>#REF!</v>
      </c>
      <c r="FT544" t="e">
        <f>AND(#REF!,"AAAAAG+Xy68=")</f>
        <v>#REF!</v>
      </c>
      <c r="FU544" t="e">
        <f>AND(#REF!,"AAAAAG+Xy7A=")</f>
        <v>#REF!</v>
      </c>
      <c r="FV544" t="e">
        <f>IF(#REF!,"AAAAAG+Xy7E=",0)</f>
        <v>#REF!</v>
      </c>
      <c r="FW544" t="e">
        <f>AND(#REF!,"AAAAAG+Xy7I=")</f>
        <v>#REF!</v>
      </c>
      <c r="FX544" t="e">
        <f>AND(#REF!,"AAAAAG+Xy7M=")</f>
        <v>#REF!</v>
      </c>
      <c r="FY544" t="e">
        <f>AND(#REF!,"AAAAAG+Xy7Q=")</f>
        <v>#REF!</v>
      </c>
      <c r="FZ544" t="e">
        <f>AND(#REF!,"AAAAAG+Xy7U=")</f>
        <v>#REF!</v>
      </c>
      <c r="GA544" t="e">
        <f>AND(#REF!,"AAAAAG+Xy7Y=")</f>
        <v>#REF!</v>
      </c>
      <c r="GB544" t="e">
        <f>AND(#REF!,"AAAAAG+Xy7c=")</f>
        <v>#REF!</v>
      </c>
      <c r="GC544" t="e">
        <f>AND(#REF!,"AAAAAG+Xy7g=")</f>
        <v>#REF!</v>
      </c>
      <c r="GD544" t="e">
        <f>AND(#REF!,"AAAAAG+Xy7k=")</f>
        <v>#REF!</v>
      </c>
      <c r="GE544" t="e">
        <f>AND(#REF!,"AAAAAG+Xy7o=")</f>
        <v>#REF!</v>
      </c>
      <c r="GF544" t="e">
        <f>AND(#REF!,"AAAAAG+Xy7s=")</f>
        <v>#REF!</v>
      </c>
      <c r="GG544" t="e">
        <f>AND(#REF!,"AAAAAG+Xy7w=")</f>
        <v>#REF!</v>
      </c>
      <c r="GH544" t="e">
        <f>AND(#REF!,"AAAAAG+Xy70=")</f>
        <v>#REF!</v>
      </c>
      <c r="GI544" t="e">
        <f>AND(#REF!,"AAAAAG+Xy74=")</f>
        <v>#REF!</v>
      </c>
      <c r="GJ544" t="e">
        <f>AND(#REF!,"AAAAAG+Xy78=")</f>
        <v>#REF!</v>
      </c>
      <c r="GK544" t="e">
        <f>AND(#REF!,"AAAAAG+Xy8A=")</f>
        <v>#REF!</v>
      </c>
      <c r="GL544" t="e">
        <f>AND(#REF!,"AAAAAG+Xy8E=")</f>
        <v>#REF!</v>
      </c>
      <c r="GM544" t="e">
        <f>AND(#REF!,"AAAAAG+Xy8I=")</f>
        <v>#REF!</v>
      </c>
      <c r="GN544" t="e">
        <f>AND(#REF!,"AAAAAG+Xy8M=")</f>
        <v>#REF!</v>
      </c>
      <c r="GO544" t="e">
        <f>AND(#REF!,"AAAAAG+Xy8Q=")</f>
        <v>#REF!</v>
      </c>
      <c r="GP544" t="e">
        <f>AND(#REF!,"AAAAAG+Xy8U=")</f>
        <v>#REF!</v>
      </c>
      <c r="GQ544" t="e">
        <f>AND(#REF!,"AAAAAG+Xy8Y=")</f>
        <v>#REF!</v>
      </c>
      <c r="GR544" t="e">
        <f>AND(#REF!,"AAAAAG+Xy8c=")</f>
        <v>#REF!</v>
      </c>
      <c r="GS544" t="e">
        <f>AND(#REF!,"AAAAAG+Xy8g=")</f>
        <v>#REF!</v>
      </c>
      <c r="GT544" t="e">
        <f>AND(#REF!,"AAAAAG+Xy8k=")</f>
        <v>#REF!</v>
      </c>
      <c r="GU544" t="e">
        <f>IF(#REF!,"AAAAAG+Xy8o=",0)</f>
        <v>#REF!</v>
      </c>
      <c r="GV544" t="e">
        <f>AND(#REF!,"AAAAAG+Xy8s=")</f>
        <v>#REF!</v>
      </c>
      <c r="GW544" t="e">
        <f>AND(#REF!,"AAAAAG+Xy8w=")</f>
        <v>#REF!</v>
      </c>
      <c r="GX544" t="e">
        <f>AND(#REF!,"AAAAAG+Xy80=")</f>
        <v>#REF!</v>
      </c>
      <c r="GY544" t="e">
        <f>AND(#REF!,"AAAAAG+Xy84=")</f>
        <v>#REF!</v>
      </c>
      <c r="GZ544" t="e">
        <f>AND(#REF!,"AAAAAG+Xy88=")</f>
        <v>#REF!</v>
      </c>
      <c r="HA544" t="e">
        <f>AND(#REF!,"AAAAAG+Xy9A=")</f>
        <v>#REF!</v>
      </c>
      <c r="HB544" t="e">
        <f>AND(#REF!,"AAAAAG+Xy9E=")</f>
        <v>#REF!</v>
      </c>
      <c r="HC544" t="e">
        <f>AND(#REF!,"AAAAAG+Xy9I=")</f>
        <v>#REF!</v>
      </c>
      <c r="HD544" t="e">
        <f>AND(#REF!,"AAAAAG+Xy9M=")</f>
        <v>#REF!</v>
      </c>
      <c r="HE544" t="e">
        <f>AND(#REF!,"AAAAAG+Xy9Q=")</f>
        <v>#REF!</v>
      </c>
      <c r="HF544" t="e">
        <f>AND(#REF!,"AAAAAG+Xy9U=")</f>
        <v>#REF!</v>
      </c>
      <c r="HG544" t="e">
        <f>AND(#REF!,"AAAAAG+Xy9Y=")</f>
        <v>#REF!</v>
      </c>
      <c r="HH544" t="e">
        <f>AND(#REF!,"AAAAAG+Xy9c=")</f>
        <v>#REF!</v>
      </c>
      <c r="HI544" t="e">
        <f>AND(#REF!,"AAAAAG+Xy9g=")</f>
        <v>#REF!</v>
      </c>
      <c r="HJ544" t="e">
        <f>AND(#REF!,"AAAAAG+Xy9k=")</f>
        <v>#REF!</v>
      </c>
      <c r="HK544" t="e">
        <f>AND(#REF!,"AAAAAG+Xy9o=")</f>
        <v>#REF!</v>
      </c>
      <c r="HL544" t="e">
        <f>AND(#REF!,"AAAAAG+Xy9s=")</f>
        <v>#REF!</v>
      </c>
      <c r="HM544" t="e">
        <f>AND(#REF!,"AAAAAG+Xy9w=")</f>
        <v>#REF!</v>
      </c>
      <c r="HN544" t="e">
        <f>AND(#REF!,"AAAAAG+Xy90=")</f>
        <v>#REF!</v>
      </c>
      <c r="HO544" t="e">
        <f>AND(#REF!,"AAAAAG+Xy94=")</f>
        <v>#REF!</v>
      </c>
      <c r="HP544" t="e">
        <f>AND(#REF!,"AAAAAG+Xy98=")</f>
        <v>#REF!</v>
      </c>
      <c r="HQ544" t="e">
        <f>AND(#REF!,"AAAAAG+Xy+A=")</f>
        <v>#REF!</v>
      </c>
      <c r="HR544" t="e">
        <f>AND(#REF!,"AAAAAG+Xy+E=")</f>
        <v>#REF!</v>
      </c>
      <c r="HS544" t="e">
        <f>AND(#REF!,"AAAAAG+Xy+I=")</f>
        <v>#REF!</v>
      </c>
      <c r="HT544" t="e">
        <f>IF(#REF!,"AAAAAG+Xy+M=",0)</f>
        <v>#REF!</v>
      </c>
      <c r="HU544" t="e">
        <f>AND(#REF!,"AAAAAG+Xy+Q=")</f>
        <v>#REF!</v>
      </c>
      <c r="HV544" t="e">
        <f>AND(#REF!,"AAAAAG+Xy+U=")</f>
        <v>#REF!</v>
      </c>
      <c r="HW544" t="e">
        <f>AND(#REF!,"AAAAAG+Xy+Y=")</f>
        <v>#REF!</v>
      </c>
      <c r="HX544" t="e">
        <f>AND(#REF!,"AAAAAG+Xy+c=")</f>
        <v>#REF!</v>
      </c>
      <c r="HY544" t="e">
        <f>AND(#REF!,"AAAAAG+Xy+g=")</f>
        <v>#REF!</v>
      </c>
      <c r="HZ544" t="e">
        <f>AND(#REF!,"AAAAAG+Xy+k=")</f>
        <v>#REF!</v>
      </c>
      <c r="IA544" t="e">
        <f>AND(#REF!,"AAAAAG+Xy+o=")</f>
        <v>#REF!</v>
      </c>
      <c r="IB544" t="e">
        <f>AND(#REF!,"AAAAAG+Xy+s=")</f>
        <v>#REF!</v>
      </c>
      <c r="IC544" t="e">
        <f>AND(#REF!,"AAAAAG+Xy+w=")</f>
        <v>#REF!</v>
      </c>
      <c r="ID544" t="e">
        <f>AND(#REF!,"AAAAAG+Xy+0=")</f>
        <v>#REF!</v>
      </c>
      <c r="IE544" t="e">
        <f>AND(#REF!,"AAAAAG+Xy+4=")</f>
        <v>#REF!</v>
      </c>
      <c r="IF544" t="e">
        <f>AND(#REF!,"AAAAAG+Xy+8=")</f>
        <v>#REF!</v>
      </c>
      <c r="IG544" t="e">
        <f>AND(#REF!,"AAAAAG+Xy/A=")</f>
        <v>#REF!</v>
      </c>
      <c r="IH544" t="e">
        <f>AND(#REF!,"AAAAAG+Xy/E=")</f>
        <v>#REF!</v>
      </c>
      <c r="II544" t="e">
        <f>AND(#REF!,"AAAAAG+Xy/I=")</f>
        <v>#REF!</v>
      </c>
      <c r="IJ544" t="e">
        <f>AND(#REF!,"AAAAAG+Xy/M=")</f>
        <v>#REF!</v>
      </c>
      <c r="IK544" t="e">
        <f>AND(#REF!,"AAAAAG+Xy/Q=")</f>
        <v>#REF!</v>
      </c>
      <c r="IL544" t="e">
        <f>AND(#REF!,"AAAAAG+Xy/U=")</f>
        <v>#REF!</v>
      </c>
      <c r="IM544" t="e">
        <f>AND(#REF!,"AAAAAG+Xy/Y=")</f>
        <v>#REF!</v>
      </c>
      <c r="IN544" t="e">
        <f>AND(#REF!,"AAAAAG+Xy/c=")</f>
        <v>#REF!</v>
      </c>
      <c r="IO544" t="e">
        <f>AND(#REF!,"AAAAAG+Xy/g=")</f>
        <v>#REF!</v>
      </c>
      <c r="IP544" t="e">
        <f>AND(#REF!,"AAAAAG+Xy/k=")</f>
        <v>#REF!</v>
      </c>
      <c r="IQ544" t="e">
        <f>AND(#REF!,"AAAAAG+Xy/o=")</f>
        <v>#REF!</v>
      </c>
      <c r="IR544" t="e">
        <f>AND(#REF!,"AAAAAG+Xy/s=")</f>
        <v>#REF!</v>
      </c>
      <c r="IS544" t="e">
        <f>IF(#REF!,"AAAAAG+Xy/w=",0)</f>
        <v>#REF!</v>
      </c>
      <c r="IT544" t="e">
        <f>AND(#REF!,"AAAAAG+Xy/0=")</f>
        <v>#REF!</v>
      </c>
      <c r="IU544" t="e">
        <f>AND(#REF!,"AAAAAG+Xy/4=")</f>
        <v>#REF!</v>
      </c>
      <c r="IV544" t="e">
        <f>AND(#REF!,"AAAAAG+Xy/8=")</f>
        <v>#REF!</v>
      </c>
    </row>
    <row r="545" spans="1:256">
      <c r="A545" t="e">
        <f>AND(#REF!,"AAAAAF8d3wA=")</f>
        <v>#REF!</v>
      </c>
      <c r="B545" t="e">
        <f>AND(#REF!,"AAAAAF8d3wE=")</f>
        <v>#REF!</v>
      </c>
      <c r="C545" t="e">
        <f>AND(#REF!,"AAAAAF8d3wI=")</f>
        <v>#REF!</v>
      </c>
      <c r="D545" t="e">
        <f>AND(#REF!,"AAAAAF8d3wM=")</f>
        <v>#REF!</v>
      </c>
      <c r="E545" t="e">
        <f>AND(#REF!,"AAAAAF8d3wQ=")</f>
        <v>#REF!</v>
      </c>
      <c r="F545" t="e">
        <f>AND(#REF!,"AAAAAF8d3wU=")</f>
        <v>#REF!</v>
      </c>
      <c r="G545" t="e">
        <f>AND(#REF!,"AAAAAF8d3wY=")</f>
        <v>#REF!</v>
      </c>
      <c r="H545" t="e">
        <f>AND(#REF!,"AAAAAF8d3wc=")</f>
        <v>#REF!</v>
      </c>
      <c r="I545" t="e">
        <f>AND(#REF!,"AAAAAF8d3wg=")</f>
        <v>#REF!</v>
      </c>
      <c r="J545" t="e">
        <f>AND(#REF!,"AAAAAF8d3wk=")</f>
        <v>#REF!</v>
      </c>
      <c r="K545" t="e">
        <f>AND(#REF!,"AAAAAF8d3wo=")</f>
        <v>#REF!</v>
      </c>
      <c r="L545" t="e">
        <f>AND(#REF!,"AAAAAF8d3ws=")</f>
        <v>#REF!</v>
      </c>
      <c r="M545" t="e">
        <f>AND(#REF!,"AAAAAF8d3ww=")</f>
        <v>#REF!</v>
      </c>
      <c r="N545" t="e">
        <f>AND(#REF!,"AAAAAF8d3w0=")</f>
        <v>#REF!</v>
      </c>
      <c r="O545" t="e">
        <f>AND(#REF!,"AAAAAF8d3w4=")</f>
        <v>#REF!</v>
      </c>
      <c r="P545" t="e">
        <f>AND(#REF!,"AAAAAF8d3w8=")</f>
        <v>#REF!</v>
      </c>
      <c r="Q545" t="e">
        <f>AND(#REF!,"AAAAAF8d3xA=")</f>
        <v>#REF!</v>
      </c>
      <c r="R545" t="e">
        <f>AND(#REF!,"AAAAAF8d3xE=")</f>
        <v>#REF!</v>
      </c>
      <c r="S545" t="e">
        <f>AND(#REF!,"AAAAAF8d3xI=")</f>
        <v>#REF!</v>
      </c>
      <c r="T545" t="e">
        <f>AND(#REF!,"AAAAAF8d3xM=")</f>
        <v>#REF!</v>
      </c>
      <c r="U545" t="e">
        <f>AND(#REF!,"AAAAAF8d3xQ=")</f>
        <v>#REF!</v>
      </c>
      <c r="V545" t="e">
        <f>IF(#REF!,"AAAAAF8d3xU=",0)</f>
        <v>#REF!</v>
      </c>
      <c r="W545" t="e">
        <f>AND(#REF!,"AAAAAF8d3xY=")</f>
        <v>#REF!</v>
      </c>
      <c r="X545" t="e">
        <f>AND(#REF!,"AAAAAF8d3xc=")</f>
        <v>#REF!</v>
      </c>
      <c r="Y545" t="e">
        <f>AND(#REF!,"AAAAAF8d3xg=")</f>
        <v>#REF!</v>
      </c>
      <c r="Z545" t="e">
        <f>AND(#REF!,"AAAAAF8d3xk=")</f>
        <v>#REF!</v>
      </c>
      <c r="AA545" t="e">
        <f>AND(#REF!,"AAAAAF8d3xo=")</f>
        <v>#REF!</v>
      </c>
      <c r="AB545" t="e">
        <f>AND(#REF!,"AAAAAF8d3xs=")</f>
        <v>#REF!</v>
      </c>
      <c r="AC545" t="e">
        <f>AND(#REF!,"AAAAAF8d3xw=")</f>
        <v>#REF!</v>
      </c>
      <c r="AD545" t="e">
        <f>AND(#REF!,"AAAAAF8d3x0=")</f>
        <v>#REF!</v>
      </c>
      <c r="AE545" t="e">
        <f>AND(#REF!,"AAAAAF8d3x4=")</f>
        <v>#REF!</v>
      </c>
      <c r="AF545" t="e">
        <f>AND(#REF!,"AAAAAF8d3x8=")</f>
        <v>#REF!</v>
      </c>
      <c r="AG545" t="e">
        <f>AND(#REF!,"AAAAAF8d3yA=")</f>
        <v>#REF!</v>
      </c>
      <c r="AH545" t="e">
        <f>AND(#REF!,"AAAAAF8d3yE=")</f>
        <v>#REF!</v>
      </c>
      <c r="AI545" t="e">
        <f>AND(#REF!,"AAAAAF8d3yI=")</f>
        <v>#REF!</v>
      </c>
      <c r="AJ545" t="e">
        <f>AND(#REF!,"AAAAAF8d3yM=")</f>
        <v>#REF!</v>
      </c>
      <c r="AK545" t="e">
        <f>AND(#REF!,"AAAAAF8d3yQ=")</f>
        <v>#REF!</v>
      </c>
      <c r="AL545" t="e">
        <f>AND(#REF!,"AAAAAF8d3yU=")</f>
        <v>#REF!</v>
      </c>
      <c r="AM545" t="e">
        <f>AND(#REF!,"AAAAAF8d3yY=")</f>
        <v>#REF!</v>
      </c>
      <c r="AN545" t="e">
        <f>AND(#REF!,"AAAAAF8d3yc=")</f>
        <v>#REF!</v>
      </c>
      <c r="AO545" t="e">
        <f>AND(#REF!,"AAAAAF8d3yg=")</f>
        <v>#REF!</v>
      </c>
      <c r="AP545" t="e">
        <f>AND(#REF!,"AAAAAF8d3yk=")</f>
        <v>#REF!</v>
      </c>
      <c r="AQ545" t="e">
        <f>AND(#REF!,"AAAAAF8d3yo=")</f>
        <v>#REF!</v>
      </c>
      <c r="AR545" t="e">
        <f>AND(#REF!,"AAAAAF8d3ys=")</f>
        <v>#REF!</v>
      </c>
      <c r="AS545" t="e">
        <f>AND(#REF!,"AAAAAF8d3yw=")</f>
        <v>#REF!</v>
      </c>
      <c r="AT545" t="e">
        <f>AND(#REF!,"AAAAAF8d3y0=")</f>
        <v>#REF!</v>
      </c>
      <c r="AU545" t="e">
        <f>IF(#REF!,"AAAAAF8d3y4=",0)</f>
        <v>#REF!</v>
      </c>
      <c r="AV545" t="e">
        <f>AND(#REF!,"AAAAAF8d3y8=")</f>
        <v>#REF!</v>
      </c>
      <c r="AW545" t="e">
        <f>AND(#REF!,"AAAAAF8d3zA=")</f>
        <v>#REF!</v>
      </c>
      <c r="AX545" t="e">
        <f>AND(#REF!,"AAAAAF8d3zE=")</f>
        <v>#REF!</v>
      </c>
      <c r="AY545" t="e">
        <f>AND(#REF!,"AAAAAF8d3zI=")</f>
        <v>#REF!</v>
      </c>
      <c r="AZ545" t="e">
        <f>AND(#REF!,"AAAAAF8d3zM=")</f>
        <v>#REF!</v>
      </c>
      <c r="BA545" t="e">
        <f>AND(#REF!,"AAAAAF8d3zQ=")</f>
        <v>#REF!</v>
      </c>
      <c r="BB545" t="e">
        <f>AND(#REF!,"AAAAAF8d3zU=")</f>
        <v>#REF!</v>
      </c>
      <c r="BC545" t="e">
        <f>AND(#REF!,"AAAAAF8d3zY=")</f>
        <v>#REF!</v>
      </c>
      <c r="BD545" t="e">
        <f>AND(#REF!,"AAAAAF8d3zc=")</f>
        <v>#REF!</v>
      </c>
      <c r="BE545" t="e">
        <f>AND(#REF!,"AAAAAF8d3zg=")</f>
        <v>#REF!</v>
      </c>
      <c r="BF545" t="e">
        <f>AND(#REF!,"AAAAAF8d3zk=")</f>
        <v>#REF!</v>
      </c>
      <c r="BG545" t="e">
        <f>AND(#REF!,"AAAAAF8d3zo=")</f>
        <v>#REF!</v>
      </c>
      <c r="BH545" t="e">
        <f>AND(#REF!,"AAAAAF8d3zs=")</f>
        <v>#REF!</v>
      </c>
      <c r="BI545" t="e">
        <f>AND(#REF!,"AAAAAF8d3zw=")</f>
        <v>#REF!</v>
      </c>
      <c r="BJ545" t="e">
        <f>AND(#REF!,"AAAAAF8d3z0=")</f>
        <v>#REF!</v>
      </c>
      <c r="BK545" t="e">
        <f>AND(#REF!,"AAAAAF8d3z4=")</f>
        <v>#REF!</v>
      </c>
      <c r="BL545" t="e">
        <f>AND(#REF!,"AAAAAF8d3z8=")</f>
        <v>#REF!</v>
      </c>
      <c r="BM545" t="e">
        <f>AND(#REF!,"AAAAAF8d30A=")</f>
        <v>#REF!</v>
      </c>
      <c r="BN545" t="e">
        <f>AND(#REF!,"AAAAAF8d30E=")</f>
        <v>#REF!</v>
      </c>
      <c r="BO545" t="e">
        <f>AND(#REF!,"AAAAAF8d30I=")</f>
        <v>#REF!</v>
      </c>
      <c r="BP545" t="e">
        <f>AND(#REF!,"AAAAAF8d30M=")</f>
        <v>#REF!</v>
      </c>
      <c r="BQ545" t="e">
        <f>AND(#REF!,"AAAAAF8d30Q=")</f>
        <v>#REF!</v>
      </c>
      <c r="BR545" t="e">
        <f>AND(#REF!,"AAAAAF8d30U=")</f>
        <v>#REF!</v>
      </c>
      <c r="BS545" t="e">
        <f>AND(#REF!,"AAAAAF8d30Y=")</f>
        <v>#REF!</v>
      </c>
      <c r="BT545" t="e">
        <f>IF(#REF!,"AAAAAF8d30c=",0)</f>
        <v>#REF!</v>
      </c>
      <c r="BU545" t="e">
        <f>AND(#REF!,"AAAAAF8d30g=")</f>
        <v>#REF!</v>
      </c>
      <c r="BV545" t="e">
        <f>AND(#REF!,"AAAAAF8d30k=")</f>
        <v>#REF!</v>
      </c>
      <c r="BW545" t="e">
        <f>AND(#REF!,"AAAAAF8d30o=")</f>
        <v>#REF!</v>
      </c>
      <c r="BX545" t="e">
        <f>AND(#REF!,"AAAAAF8d30s=")</f>
        <v>#REF!</v>
      </c>
      <c r="BY545" t="e">
        <f>AND(#REF!,"AAAAAF8d30w=")</f>
        <v>#REF!</v>
      </c>
      <c r="BZ545" t="e">
        <f>AND(#REF!,"AAAAAF8d300=")</f>
        <v>#REF!</v>
      </c>
      <c r="CA545" t="e">
        <f>AND(#REF!,"AAAAAF8d304=")</f>
        <v>#REF!</v>
      </c>
      <c r="CB545" t="e">
        <f>AND(#REF!,"AAAAAF8d308=")</f>
        <v>#REF!</v>
      </c>
      <c r="CC545" t="e">
        <f>AND(#REF!,"AAAAAF8d31A=")</f>
        <v>#REF!</v>
      </c>
      <c r="CD545" t="e">
        <f>AND(#REF!,"AAAAAF8d31E=")</f>
        <v>#REF!</v>
      </c>
      <c r="CE545" t="e">
        <f>AND(#REF!,"AAAAAF8d31I=")</f>
        <v>#REF!</v>
      </c>
      <c r="CF545" t="e">
        <f>AND(#REF!,"AAAAAF8d31M=")</f>
        <v>#REF!</v>
      </c>
      <c r="CG545" t="e">
        <f>AND(#REF!,"AAAAAF8d31Q=")</f>
        <v>#REF!</v>
      </c>
      <c r="CH545" t="e">
        <f>AND(#REF!,"AAAAAF8d31U=")</f>
        <v>#REF!</v>
      </c>
      <c r="CI545" t="e">
        <f>AND(#REF!,"AAAAAF8d31Y=")</f>
        <v>#REF!</v>
      </c>
      <c r="CJ545" t="e">
        <f>AND(#REF!,"AAAAAF8d31c=")</f>
        <v>#REF!</v>
      </c>
      <c r="CK545" t="e">
        <f>AND(#REF!,"AAAAAF8d31g=")</f>
        <v>#REF!</v>
      </c>
      <c r="CL545" t="e">
        <f>AND(#REF!,"AAAAAF8d31k=")</f>
        <v>#REF!</v>
      </c>
      <c r="CM545" t="e">
        <f>AND(#REF!,"AAAAAF8d31o=")</f>
        <v>#REF!</v>
      </c>
      <c r="CN545" t="e">
        <f>AND(#REF!,"AAAAAF8d31s=")</f>
        <v>#REF!</v>
      </c>
      <c r="CO545" t="e">
        <f>AND(#REF!,"AAAAAF8d31w=")</f>
        <v>#REF!</v>
      </c>
      <c r="CP545" t="e">
        <f>AND(#REF!,"AAAAAF8d310=")</f>
        <v>#REF!</v>
      </c>
      <c r="CQ545" t="e">
        <f>AND(#REF!,"AAAAAF8d314=")</f>
        <v>#REF!</v>
      </c>
      <c r="CR545" t="e">
        <f>AND(#REF!,"AAAAAF8d318=")</f>
        <v>#REF!</v>
      </c>
      <c r="CS545" t="e">
        <f>IF(#REF!,"AAAAAF8d32A=",0)</f>
        <v>#REF!</v>
      </c>
      <c r="CT545" t="e">
        <f>AND(#REF!,"AAAAAF8d32E=")</f>
        <v>#REF!</v>
      </c>
      <c r="CU545" t="e">
        <f>AND(#REF!,"AAAAAF8d32I=")</f>
        <v>#REF!</v>
      </c>
      <c r="CV545" t="e">
        <f>AND(#REF!,"AAAAAF8d32M=")</f>
        <v>#REF!</v>
      </c>
      <c r="CW545" t="e">
        <f>AND(#REF!,"AAAAAF8d32Q=")</f>
        <v>#REF!</v>
      </c>
      <c r="CX545" t="e">
        <f>AND(#REF!,"AAAAAF8d32U=")</f>
        <v>#REF!</v>
      </c>
      <c r="CY545" t="e">
        <f>AND(#REF!,"AAAAAF8d32Y=")</f>
        <v>#REF!</v>
      </c>
      <c r="CZ545" t="e">
        <f>AND(#REF!,"AAAAAF8d32c=")</f>
        <v>#REF!</v>
      </c>
      <c r="DA545" t="e">
        <f>AND(#REF!,"AAAAAF8d32g=")</f>
        <v>#REF!</v>
      </c>
      <c r="DB545" t="e">
        <f>AND(#REF!,"AAAAAF8d32k=")</f>
        <v>#REF!</v>
      </c>
      <c r="DC545" t="e">
        <f>AND(#REF!,"AAAAAF8d32o=")</f>
        <v>#REF!</v>
      </c>
      <c r="DD545" t="e">
        <f>AND(#REF!,"AAAAAF8d32s=")</f>
        <v>#REF!</v>
      </c>
      <c r="DE545" t="e">
        <f>AND(#REF!,"AAAAAF8d32w=")</f>
        <v>#REF!</v>
      </c>
      <c r="DF545" t="e">
        <f>AND(#REF!,"AAAAAF8d320=")</f>
        <v>#REF!</v>
      </c>
      <c r="DG545" t="e">
        <f>AND(#REF!,"AAAAAF8d324=")</f>
        <v>#REF!</v>
      </c>
      <c r="DH545" t="e">
        <f>AND(#REF!,"AAAAAF8d328=")</f>
        <v>#REF!</v>
      </c>
      <c r="DI545" t="e">
        <f>AND(#REF!,"AAAAAF8d33A=")</f>
        <v>#REF!</v>
      </c>
      <c r="DJ545" t="e">
        <f>AND(#REF!,"AAAAAF8d33E=")</f>
        <v>#REF!</v>
      </c>
      <c r="DK545" t="e">
        <f>AND(#REF!,"AAAAAF8d33I=")</f>
        <v>#REF!</v>
      </c>
      <c r="DL545" t="e">
        <f>AND(#REF!,"AAAAAF8d33M=")</f>
        <v>#REF!</v>
      </c>
      <c r="DM545" t="e">
        <f>AND(#REF!,"AAAAAF8d33Q=")</f>
        <v>#REF!</v>
      </c>
      <c r="DN545" t="e">
        <f>AND(#REF!,"AAAAAF8d33U=")</f>
        <v>#REF!</v>
      </c>
      <c r="DO545" t="e">
        <f>AND(#REF!,"AAAAAF8d33Y=")</f>
        <v>#REF!</v>
      </c>
      <c r="DP545" t="e">
        <f>AND(#REF!,"AAAAAF8d33c=")</f>
        <v>#REF!</v>
      </c>
      <c r="DQ545" t="e">
        <f>AND(#REF!,"AAAAAF8d33g=")</f>
        <v>#REF!</v>
      </c>
      <c r="DR545" t="e">
        <f>IF(#REF!,"AAAAAF8d33k=",0)</f>
        <v>#REF!</v>
      </c>
      <c r="DS545" t="e">
        <f>AND(#REF!,"AAAAAF8d33o=")</f>
        <v>#REF!</v>
      </c>
      <c r="DT545" t="e">
        <f>AND(#REF!,"AAAAAF8d33s=")</f>
        <v>#REF!</v>
      </c>
      <c r="DU545" t="e">
        <f>AND(#REF!,"AAAAAF8d33w=")</f>
        <v>#REF!</v>
      </c>
      <c r="DV545" t="e">
        <f>AND(#REF!,"AAAAAF8d330=")</f>
        <v>#REF!</v>
      </c>
      <c r="DW545" t="e">
        <f>AND(#REF!,"AAAAAF8d334=")</f>
        <v>#REF!</v>
      </c>
      <c r="DX545" t="e">
        <f>AND(#REF!,"AAAAAF8d338=")</f>
        <v>#REF!</v>
      </c>
      <c r="DY545" t="e">
        <f>AND(#REF!,"AAAAAF8d34A=")</f>
        <v>#REF!</v>
      </c>
      <c r="DZ545" t="e">
        <f>AND(#REF!,"AAAAAF8d34E=")</f>
        <v>#REF!</v>
      </c>
      <c r="EA545" t="e">
        <f>AND(#REF!,"AAAAAF8d34I=")</f>
        <v>#REF!</v>
      </c>
      <c r="EB545" t="e">
        <f>AND(#REF!,"AAAAAF8d34M=")</f>
        <v>#REF!</v>
      </c>
      <c r="EC545" t="e">
        <f>AND(#REF!,"AAAAAF8d34Q=")</f>
        <v>#REF!</v>
      </c>
      <c r="ED545" t="e">
        <f>AND(#REF!,"AAAAAF8d34U=")</f>
        <v>#REF!</v>
      </c>
      <c r="EE545" t="e">
        <f>AND(#REF!,"AAAAAF8d34Y=")</f>
        <v>#REF!</v>
      </c>
      <c r="EF545" t="e">
        <f>AND(#REF!,"AAAAAF8d34c=")</f>
        <v>#REF!</v>
      </c>
      <c r="EG545" t="e">
        <f>AND(#REF!,"AAAAAF8d34g=")</f>
        <v>#REF!</v>
      </c>
      <c r="EH545" t="e">
        <f>AND(#REF!,"AAAAAF8d34k=")</f>
        <v>#REF!</v>
      </c>
      <c r="EI545" t="e">
        <f>AND(#REF!,"AAAAAF8d34o=")</f>
        <v>#REF!</v>
      </c>
      <c r="EJ545" t="e">
        <f>AND(#REF!,"AAAAAF8d34s=")</f>
        <v>#REF!</v>
      </c>
      <c r="EK545" t="e">
        <f>AND(#REF!,"AAAAAF8d34w=")</f>
        <v>#REF!</v>
      </c>
      <c r="EL545" t="e">
        <f>AND(#REF!,"AAAAAF8d340=")</f>
        <v>#REF!</v>
      </c>
      <c r="EM545" t="e">
        <f>AND(#REF!,"AAAAAF8d344=")</f>
        <v>#REF!</v>
      </c>
      <c r="EN545" t="e">
        <f>AND(#REF!,"AAAAAF8d348=")</f>
        <v>#REF!</v>
      </c>
      <c r="EO545" t="e">
        <f>AND(#REF!,"AAAAAF8d35A=")</f>
        <v>#REF!</v>
      </c>
      <c r="EP545" t="e">
        <f>AND(#REF!,"AAAAAF8d35E=")</f>
        <v>#REF!</v>
      </c>
      <c r="EQ545" t="e">
        <f>IF(#REF!,"AAAAAF8d35I=",0)</f>
        <v>#REF!</v>
      </c>
      <c r="ER545" t="e">
        <f>AND(#REF!,"AAAAAF8d35M=")</f>
        <v>#REF!</v>
      </c>
      <c r="ES545" t="e">
        <f>AND(#REF!,"AAAAAF8d35Q=")</f>
        <v>#REF!</v>
      </c>
      <c r="ET545" t="e">
        <f>AND(#REF!,"AAAAAF8d35U=")</f>
        <v>#REF!</v>
      </c>
      <c r="EU545" t="e">
        <f>AND(#REF!,"AAAAAF8d35Y=")</f>
        <v>#REF!</v>
      </c>
      <c r="EV545" t="e">
        <f>AND(#REF!,"AAAAAF8d35c=")</f>
        <v>#REF!</v>
      </c>
      <c r="EW545" t="e">
        <f>AND(#REF!,"AAAAAF8d35g=")</f>
        <v>#REF!</v>
      </c>
      <c r="EX545" t="e">
        <f>AND(#REF!,"AAAAAF8d35k=")</f>
        <v>#REF!</v>
      </c>
      <c r="EY545" t="e">
        <f>AND(#REF!,"AAAAAF8d35o=")</f>
        <v>#REF!</v>
      </c>
      <c r="EZ545" t="e">
        <f>AND(#REF!,"AAAAAF8d35s=")</f>
        <v>#REF!</v>
      </c>
      <c r="FA545" t="e">
        <f>AND(#REF!,"AAAAAF8d35w=")</f>
        <v>#REF!</v>
      </c>
      <c r="FB545" t="e">
        <f>AND(#REF!,"AAAAAF8d350=")</f>
        <v>#REF!</v>
      </c>
      <c r="FC545" t="e">
        <f>AND(#REF!,"AAAAAF8d354=")</f>
        <v>#REF!</v>
      </c>
      <c r="FD545" t="e">
        <f>AND(#REF!,"AAAAAF8d358=")</f>
        <v>#REF!</v>
      </c>
      <c r="FE545" t="e">
        <f>AND(#REF!,"AAAAAF8d36A=")</f>
        <v>#REF!</v>
      </c>
      <c r="FF545" t="e">
        <f>AND(#REF!,"AAAAAF8d36E=")</f>
        <v>#REF!</v>
      </c>
      <c r="FG545" t="e">
        <f>AND(#REF!,"AAAAAF8d36I=")</f>
        <v>#REF!</v>
      </c>
      <c r="FH545" t="e">
        <f>AND(#REF!,"AAAAAF8d36M=")</f>
        <v>#REF!</v>
      </c>
      <c r="FI545" t="e">
        <f>AND(#REF!,"AAAAAF8d36Q=")</f>
        <v>#REF!</v>
      </c>
      <c r="FJ545" t="e">
        <f>AND(#REF!,"AAAAAF8d36U=")</f>
        <v>#REF!</v>
      </c>
      <c r="FK545" t="e">
        <f>AND(#REF!,"AAAAAF8d36Y=")</f>
        <v>#REF!</v>
      </c>
      <c r="FL545" t="e">
        <f>AND(#REF!,"AAAAAF8d36c=")</f>
        <v>#REF!</v>
      </c>
      <c r="FM545" t="e">
        <f>AND(#REF!,"AAAAAF8d36g=")</f>
        <v>#REF!</v>
      </c>
      <c r="FN545" t="e">
        <f>AND(#REF!,"AAAAAF8d36k=")</f>
        <v>#REF!</v>
      </c>
      <c r="FO545" t="e">
        <f>AND(#REF!,"AAAAAF8d36o=")</f>
        <v>#REF!</v>
      </c>
      <c r="FP545" t="e">
        <f>IF(#REF!,"AAAAAF8d36s=",0)</f>
        <v>#REF!</v>
      </c>
      <c r="FQ545" t="e">
        <f>AND(#REF!,"AAAAAF8d36w=")</f>
        <v>#REF!</v>
      </c>
      <c r="FR545" t="e">
        <f>AND(#REF!,"AAAAAF8d360=")</f>
        <v>#REF!</v>
      </c>
      <c r="FS545" t="e">
        <f>AND(#REF!,"AAAAAF8d364=")</f>
        <v>#REF!</v>
      </c>
      <c r="FT545" t="e">
        <f>AND(#REF!,"AAAAAF8d368=")</f>
        <v>#REF!</v>
      </c>
      <c r="FU545" t="e">
        <f>AND(#REF!,"AAAAAF8d37A=")</f>
        <v>#REF!</v>
      </c>
      <c r="FV545" t="e">
        <f>AND(#REF!,"AAAAAF8d37E=")</f>
        <v>#REF!</v>
      </c>
      <c r="FW545" t="e">
        <f>AND(#REF!,"AAAAAF8d37I=")</f>
        <v>#REF!</v>
      </c>
      <c r="FX545" t="e">
        <f>AND(#REF!,"AAAAAF8d37M=")</f>
        <v>#REF!</v>
      </c>
      <c r="FY545" t="e">
        <f>AND(#REF!,"AAAAAF8d37Q=")</f>
        <v>#REF!</v>
      </c>
      <c r="FZ545" t="e">
        <f>AND(#REF!,"AAAAAF8d37U=")</f>
        <v>#REF!</v>
      </c>
      <c r="GA545" t="e">
        <f>AND(#REF!,"AAAAAF8d37Y=")</f>
        <v>#REF!</v>
      </c>
      <c r="GB545" t="e">
        <f>AND(#REF!,"AAAAAF8d37c=")</f>
        <v>#REF!</v>
      </c>
      <c r="GC545" t="e">
        <f>AND(#REF!,"AAAAAF8d37g=")</f>
        <v>#REF!</v>
      </c>
      <c r="GD545" t="e">
        <f>AND(#REF!,"AAAAAF8d37k=")</f>
        <v>#REF!</v>
      </c>
      <c r="GE545" t="e">
        <f>AND(#REF!,"AAAAAF8d37o=")</f>
        <v>#REF!</v>
      </c>
      <c r="GF545" t="e">
        <f>AND(#REF!,"AAAAAF8d37s=")</f>
        <v>#REF!</v>
      </c>
      <c r="GG545" t="e">
        <f>AND(#REF!,"AAAAAF8d37w=")</f>
        <v>#REF!</v>
      </c>
      <c r="GH545" t="e">
        <f>AND(#REF!,"AAAAAF8d370=")</f>
        <v>#REF!</v>
      </c>
      <c r="GI545" t="e">
        <f>AND(#REF!,"AAAAAF8d374=")</f>
        <v>#REF!</v>
      </c>
      <c r="GJ545" t="e">
        <f>AND(#REF!,"AAAAAF8d378=")</f>
        <v>#REF!</v>
      </c>
      <c r="GK545" t="e">
        <f>AND(#REF!,"AAAAAF8d38A=")</f>
        <v>#REF!</v>
      </c>
      <c r="GL545" t="e">
        <f>AND(#REF!,"AAAAAF8d38E=")</f>
        <v>#REF!</v>
      </c>
      <c r="GM545" t="e">
        <f>AND(#REF!,"AAAAAF8d38I=")</f>
        <v>#REF!</v>
      </c>
      <c r="GN545" t="e">
        <f>AND(#REF!,"AAAAAF8d38M=")</f>
        <v>#REF!</v>
      </c>
      <c r="GO545" t="e">
        <f>IF(#REF!,"AAAAAF8d38Q=",0)</f>
        <v>#REF!</v>
      </c>
      <c r="GP545" t="e">
        <f>AND(#REF!,"AAAAAF8d38U=")</f>
        <v>#REF!</v>
      </c>
      <c r="GQ545" t="e">
        <f>AND(#REF!,"AAAAAF8d38Y=")</f>
        <v>#REF!</v>
      </c>
      <c r="GR545" t="e">
        <f>AND(#REF!,"AAAAAF8d38c=")</f>
        <v>#REF!</v>
      </c>
      <c r="GS545" t="e">
        <f>AND(#REF!,"AAAAAF8d38g=")</f>
        <v>#REF!</v>
      </c>
      <c r="GT545" t="e">
        <f>AND(#REF!,"AAAAAF8d38k=")</f>
        <v>#REF!</v>
      </c>
      <c r="GU545" t="e">
        <f>AND(#REF!,"AAAAAF8d38o=")</f>
        <v>#REF!</v>
      </c>
      <c r="GV545" t="e">
        <f>AND(#REF!,"AAAAAF8d38s=")</f>
        <v>#REF!</v>
      </c>
      <c r="GW545" t="e">
        <f>AND(#REF!,"AAAAAF8d38w=")</f>
        <v>#REF!</v>
      </c>
      <c r="GX545" t="e">
        <f>AND(#REF!,"AAAAAF8d380=")</f>
        <v>#REF!</v>
      </c>
      <c r="GY545" t="e">
        <f>AND(#REF!,"AAAAAF8d384=")</f>
        <v>#REF!</v>
      </c>
      <c r="GZ545" t="e">
        <f>AND(#REF!,"AAAAAF8d388=")</f>
        <v>#REF!</v>
      </c>
      <c r="HA545" t="e">
        <f>AND(#REF!,"AAAAAF8d39A=")</f>
        <v>#REF!</v>
      </c>
      <c r="HB545" t="e">
        <f>AND(#REF!,"AAAAAF8d39E=")</f>
        <v>#REF!</v>
      </c>
      <c r="HC545" t="e">
        <f>AND(#REF!,"AAAAAF8d39I=")</f>
        <v>#REF!</v>
      </c>
      <c r="HD545" t="e">
        <f>AND(#REF!,"AAAAAF8d39M=")</f>
        <v>#REF!</v>
      </c>
      <c r="HE545" t="e">
        <f>AND(#REF!,"AAAAAF8d39Q=")</f>
        <v>#REF!</v>
      </c>
      <c r="HF545" t="e">
        <f>AND(#REF!,"AAAAAF8d39U=")</f>
        <v>#REF!</v>
      </c>
      <c r="HG545" t="e">
        <f>AND(#REF!,"AAAAAF8d39Y=")</f>
        <v>#REF!</v>
      </c>
      <c r="HH545" t="e">
        <f>AND(#REF!,"AAAAAF8d39c=")</f>
        <v>#REF!</v>
      </c>
      <c r="HI545" t="e">
        <f>AND(#REF!,"AAAAAF8d39g=")</f>
        <v>#REF!</v>
      </c>
      <c r="HJ545" t="e">
        <f>AND(#REF!,"AAAAAF8d39k=")</f>
        <v>#REF!</v>
      </c>
      <c r="HK545" t="e">
        <f>AND(#REF!,"AAAAAF8d39o=")</f>
        <v>#REF!</v>
      </c>
      <c r="HL545" t="e">
        <f>AND(#REF!,"AAAAAF8d39s=")</f>
        <v>#REF!</v>
      </c>
      <c r="HM545" t="e">
        <f>AND(#REF!,"AAAAAF8d39w=")</f>
        <v>#REF!</v>
      </c>
      <c r="HN545" t="e">
        <f>IF(#REF!,"AAAAAF8d390=",0)</f>
        <v>#REF!</v>
      </c>
      <c r="HO545" t="e">
        <f>AND(#REF!,"AAAAAF8d394=")</f>
        <v>#REF!</v>
      </c>
      <c r="HP545" t="e">
        <f>AND(#REF!,"AAAAAF8d398=")</f>
        <v>#REF!</v>
      </c>
      <c r="HQ545" t="e">
        <f>AND(#REF!,"AAAAAF8d3+A=")</f>
        <v>#REF!</v>
      </c>
      <c r="HR545" t="e">
        <f>AND(#REF!,"AAAAAF8d3+E=")</f>
        <v>#REF!</v>
      </c>
      <c r="HS545" t="e">
        <f>AND(#REF!,"AAAAAF8d3+I=")</f>
        <v>#REF!</v>
      </c>
      <c r="HT545" t="e">
        <f>AND(#REF!,"AAAAAF8d3+M=")</f>
        <v>#REF!</v>
      </c>
      <c r="HU545" t="e">
        <f>AND(#REF!,"AAAAAF8d3+Q=")</f>
        <v>#REF!</v>
      </c>
      <c r="HV545" t="e">
        <f>AND(#REF!,"AAAAAF8d3+U=")</f>
        <v>#REF!</v>
      </c>
      <c r="HW545" t="e">
        <f>AND(#REF!,"AAAAAF8d3+Y=")</f>
        <v>#REF!</v>
      </c>
      <c r="HX545" t="e">
        <f>AND(#REF!,"AAAAAF8d3+c=")</f>
        <v>#REF!</v>
      </c>
      <c r="HY545" t="e">
        <f>AND(#REF!,"AAAAAF8d3+g=")</f>
        <v>#REF!</v>
      </c>
      <c r="HZ545" t="e">
        <f>AND(#REF!,"AAAAAF8d3+k=")</f>
        <v>#REF!</v>
      </c>
      <c r="IA545" t="e">
        <f>AND(#REF!,"AAAAAF8d3+o=")</f>
        <v>#REF!</v>
      </c>
      <c r="IB545" t="e">
        <f>AND(#REF!,"AAAAAF8d3+s=")</f>
        <v>#REF!</v>
      </c>
      <c r="IC545" t="e">
        <f>AND(#REF!,"AAAAAF8d3+w=")</f>
        <v>#REF!</v>
      </c>
      <c r="ID545" t="e">
        <f>AND(#REF!,"AAAAAF8d3+0=")</f>
        <v>#REF!</v>
      </c>
      <c r="IE545" t="e">
        <f>AND(#REF!,"AAAAAF8d3+4=")</f>
        <v>#REF!</v>
      </c>
      <c r="IF545" t="e">
        <f>AND(#REF!,"AAAAAF8d3+8=")</f>
        <v>#REF!</v>
      </c>
      <c r="IG545" t="e">
        <f>AND(#REF!,"AAAAAF8d3/A=")</f>
        <v>#REF!</v>
      </c>
      <c r="IH545" t="e">
        <f>AND(#REF!,"AAAAAF8d3/E=")</f>
        <v>#REF!</v>
      </c>
      <c r="II545" t="e">
        <f>AND(#REF!,"AAAAAF8d3/I=")</f>
        <v>#REF!</v>
      </c>
      <c r="IJ545" t="e">
        <f>AND(#REF!,"AAAAAF8d3/M=")</f>
        <v>#REF!</v>
      </c>
      <c r="IK545" t="e">
        <f>AND(#REF!,"AAAAAF8d3/Q=")</f>
        <v>#REF!</v>
      </c>
      <c r="IL545" t="e">
        <f>AND(#REF!,"AAAAAF8d3/U=")</f>
        <v>#REF!</v>
      </c>
      <c r="IM545" t="e">
        <f>IF(#REF!,"AAAAAF8d3/Y=",0)</f>
        <v>#REF!</v>
      </c>
      <c r="IN545" t="e">
        <f>AND(#REF!,"AAAAAF8d3/c=")</f>
        <v>#REF!</v>
      </c>
      <c r="IO545" t="e">
        <f>AND(#REF!,"AAAAAF8d3/g=")</f>
        <v>#REF!</v>
      </c>
      <c r="IP545" t="e">
        <f>AND(#REF!,"AAAAAF8d3/k=")</f>
        <v>#REF!</v>
      </c>
      <c r="IQ545" t="e">
        <f>AND(#REF!,"AAAAAF8d3/o=")</f>
        <v>#REF!</v>
      </c>
      <c r="IR545" t="e">
        <f>AND(#REF!,"AAAAAF8d3/s=")</f>
        <v>#REF!</v>
      </c>
      <c r="IS545" t="e">
        <f>AND(#REF!,"AAAAAF8d3/w=")</f>
        <v>#REF!</v>
      </c>
      <c r="IT545" t="e">
        <f>AND(#REF!,"AAAAAF8d3/0=")</f>
        <v>#REF!</v>
      </c>
      <c r="IU545" t="e">
        <f>AND(#REF!,"AAAAAF8d3/4=")</f>
        <v>#REF!</v>
      </c>
      <c r="IV545" t="e">
        <f>AND(#REF!,"AAAAAF8d3/8=")</f>
        <v>#REF!</v>
      </c>
    </row>
    <row r="546" spans="1:256">
      <c r="A546" t="e">
        <f>AND(#REF!,"AAAAAF827AA=")</f>
        <v>#REF!</v>
      </c>
      <c r="B546" t="e">
        <f>AND(#REF!,"AAAAAF827AE=")</f>
        <v>#REF!</v>
      </c>
      <c r="C546" t="e">
        <f>AND(#REF!,"AAAAAF827AI=")</f>
        <v>#REF!</v>
      </c>
      <c r="D546" t="e">
        <f>AND(#REF!,"AAAAAF827AM=")</f>
        <v>#REF!</v>
      </c>
      <c r="E546" t="e">
        <f>AND(#REF!,"AAAAAF827AQ=")</f>
        <v>#REF!</v>
      </c>
      <c r="F546" t="e">
        <f>AND(#REF!,"AAAAAF827AU=")</f>
        <v>#REF!</v>
      </c>
      <c r="G546" t="e">
        <f>AND(#REF!,"AAAAAF827AY=")</f>
        <v>#REF!</v>
      </c>
      <c r="H546" t="e">
        <f>AND(#REF!,"AAAAAF827Ac=")</f>
        <v>#REF!</v>
      </c>
      <c r="I546" t="e">
        <f>AND(#REF!,"AAAAAF827Ag=")</f>
        <v>#REF!</v>
      </c>
      <c r="J546" t="e">
        <f>AND(#REF!,"AAAAAF827Ak=")</f>
        <v>#REF!</v>
      </c>
      <c r="K546" t="e">
        <f>AND(#REF!,"AAAAAF827Ao=")</f>
        <v>#REF!</v>
      </c>
      <c r="L546" t="e">
        <f>AND(#REF!,"AAAAAF827As=")</f>
        <v>#REF!</v>
      </c>
      <c r="M546" t="e">
        <f>AND(#REF!,"AAAAAF827Aw=")</f>
        <v>#REF!</v>
      </c>
      <c r="N546" t="e">
        <f>AND(#REF!,"AAAAAF827A0=")</f>
        <v>#REF!</v>
      </c>
      <c r="O546" t="e">
        <f>AND(#REF!,"AAAAAF827A4=")</f>
        <v>#REF!</v>
      </c>
      <c r="P546" t="e">
        <f>IF(#REF!,"AAAAAF827A8=",0)</f>
        <v>#REF!</v>
      </c>
      <c r="Q546" t="e">
        <f>AND(#REF!,"AAAAAF827BA=")</f>
        <v>#REF!</v>
      </c>
      <c r="R546" t="e">
        <f>AND(#REF!,"AAAAAF827BE=")</f>
        <v>#REF!</v>
      </c>
      <c r="S546" t="e">
        <f>AND(#REF!,"AAAAAF827BI=")</f>
        <v>#REF!</v>
      </c>
      <c r="T546" t="e">
        <f>AND(#REF!,"AAAAAF827BM=")</f>
        <v>#REF!</v>
      </c>
      <c r="U546" t="e">
        <f>AND(#REF!,"AAAAAF827BQ=")</f>
        <v>#REF!</v>
      </c>
      <c r="V546" t="e">
        <f>AND(#REF!,"AAAAAF827BU=")</f>
        <v>#REF!</v>
      </c>
      <c r="W546" t="e">
        <f>AND(#REF!,"AAAAAF827BY=")</f>
        <v>#REF!</v>
      </c>
      <c r="X546" t="e">
        <f>AND(#REF!,"AAAAAF827Bc=")</f>
        <v>#REF!</v>
      </c>
      <c r="Y546" t="e">
        <f>AND(#REF!,"AAAAAF827Bg=")</f>
        <v>#REF!</v>
      </c>
      <c r="Z546" t="e">
        <f>AND(#REF!,"AAAAAF827Bk=")</f>
        <v>#REF!</v>
      </c>
      <c r="AA546" t="e">
        <f>AND(#REF!,"AAAAAF827Bo=")</f>
        <v>#REF!</v>
      </c>
      <c r="AB546" t="e">
        <f>AND(#REF!,"AAAAAF827Bs=")</f>
        <v>#REF!</v>
      </c>
      <c r="AC546" t="e">
        <f>AND(#REF!,"AAAAAF827Bw=")</f>
        <v>#REF!</v>
      </c>
      <c r="AD546" t="e">
        <f>AND(#REF!,"AAAAAF827B0=")</f>
        <v>#REF!</v>
      </c>
      <c r="AE546" t="e">
        <f>AND(#REF!,"AAAAAF827B4=")</f>
        <v>#REF!</v>
      </c>
      <c r="AF546" t="e">
        <f>AND(#REF!,"AAAAAF827B8=")</f>
        <v>#REF!</v>
      </c>
      <c r="AG546" t="e">
        <f>AND(#REF!,"AAAAAF827CA=")</f>
        <v>#REF!</v>
      </c>
      <c r="AH546" t="e">
        <f>AND(#REF!,"AAAAAF827CE=")</f>
        <v>#REF!</v>
      </c>
      <c r="AI546" t="e">
        <f>AND(#REF!,"AAAAAF827CI=")</f>
        <v>#REF!</v>
      </c>
      <c r="AJ546" t="e">
        <f>AND(#REF!,"AAAAAF827CM=")</f>
        <v>#REF!</v>
      </c>
      <c r="AK546" t="e">
        <f>AND(#REF!,"AAAAAF827CQ=")</f>
        <v>#REF!</v>
      </c>
      <c r="AL546" t="e">
        <f>AND(#REF!,"AAAAAF827CU=")</f>
        <v>#REF!</v>
      </c>
      <c r="AM546" t="e">
        <f>AND(#REF!,"AAAAAF827CY=")</f>
        <v>#REF!</v>
      </c>
      <c r="AN546" t="e">
        <f>AND(#REF!,"AAAAAF827Cc=")</f>
        <v>#REF!</v>
      </c>
      <c r="AO546" t="e">
        <f>IF(#REF!,"AAAAAF827Cg=",0)</f>
        <v>#REF!</v>
      </c>
      <c r="AP546" t="e">
        <f>AND(#REF!,"AAAAAF827Ck=")</f>
        <v>#REF!</v>
      </c>
      <c r="AQ546" t="e">
        <f>AND(#REF!,"AAAAAF827Co=")</f>
        <v>#REF!</v>
      </c>
      <c r="AR546" t="e">
        <f>AND(#REF!,"AAAAAF827Cs=")</f>
        <v>#REF!</v>
      </c>
      <c r="AS546" t="e">
        <f>AND(#REF!,"AAAAAF827Cw=")</f>
        <v>#REF!</v>
      </c>
      <c r="AT546" t="e">
        <f>AND(#REF!,"AAAAAF827C0=")</f>
        <v>#REF!</v>
      </c>
      <c r="AU546" t="e">
        <f>AND(#REF!,"AAAAAF827C4=")</f>
        <v>#REF!</v>
      </c>
      <c r="AV546" t="e">
        <f>AND(#REF!,"AAAAAF827C8=")</f>
        <v>#REF!</v>
      </c>
      <c r="AW546" t="e">
        <f>AND(#REF!,"AAAAAF827DA=")</f>
        <v>#REF!</v>
      </c>
      <c r="AX546" t="e">
        <f>AND(#REF!,"AAAAAF827DE=")</f>
        <v>#REF!</v>
      </c>
      <c r="AY546" t="e">
        <f>AND(#REF!,"AAAAAF827DI=")</f>
        <v>#REF!</v>
      </c>
      <c r="AZ546" t="e">
        <f>AND(#REF!,"AAAAAF827DM=")</f>
        <v>#REF!</v>
      </c>
      <c r="BA546" t="e">
        <f>AND(#REF!,"AAAAAF827DQ=")</f>
        <v>#REF!</v>
      </c>
      <c r="BB546" t="e">
        <f>AND(#REF!,"AAAAAF827DU=")</f>
        <v>#REF!</v>
      </c>
      <c r="BC546" t="e">
        <f>AND(#REF!,"AAAAAF827DY=")</f>
        <v>#REF!</v>
      </c>
      <c r="BD546" t="e">
        <f>AND(#REF!,"AAAAAF827Dc=")</f>
        <v>#REF!</v>
      </c>
      <c r="BE546" t="e">
        <f>AND(#REF!,"AAAAAF827Dg=")</f>
        <v>#REF!</v>
      </c>
      <c r="BF546" t="e">
        <f>AND(#REF!,"AAAAAF827Dk=")</f>
        <v>#REF!</v>
      </c>
      <c r="BG546" t="e">
        <f>AND(#REF!,"AAAAAF827Do=")</f>
        <v>#REF!</v>
      </c>
      <c r="BH546" t="e">
        <f>AND(#REF!,"AAAAAF827Ds=")</f>
        <v>#REF!</v>
      </c>
      <c r="BI546" t="e">
        <f>AND(#REF!,"AAAAAF827Dw=")</f>
        <v>#REF!</v>
      </c>
      <c r="BJ546" t="e">
        <f>AND(#REF!,"AAAAAF827D0=")</f>
        <v>#REF!</v>
      </c>
      <c r="BK546" t="e">
        <f>AND(#REF!,"AAAAAF827D4=")</f>
        <v>#REF!</v>
      </c>
      <c r="BL546" t="e">
        <f>AND(#REF!,"AAAAAF827D8=")</f>
        <v>#REF!</v>
      </c>
      <c r="BM546" t="e">
        <f>AND(#REF!,"AAAAAF827EA=")</f>
        <v>#REF!</v>
      </c>
      <c r="BN546" t="e">
        <f>IF(#REF!,"AAAAAF827EE=",0)</f>
        <v>#REF!</v>
      </c>
      <c r="BO546" t="e">
        <f>AND(#REF!,"AAAAAF827EI=")</f>
        <v>#REF!</v>
      </c>
      <c r="BP546" t="e">
        <f>AND(#REF!,"AAAAAF827EM=")</f>
        <v>#REF!</v>
      </c>
      <c r="BQ546" t="e">
        <f>AND(#REF!,"AAAAAF827EQ=")</f>
        <v>#REF!</v>
      </c>
      <c r="BR546" t="e">
        <f>AND(#REF!,"AAAAAF827EU=")</f>
        <v>#REF!</v>
      </c>
      <c r="BS546" t="e">
        <f>AND(#REF!,"AAAAAF827EY=")</f>
        <v>#REF!</v>
      </c>
      <c r="BT546" t="e">
        <f>AND(#REF!,"AAAAAF827Ec=")</f>
        <v>#REF!</v>
      </c>
      <c r="BU546" t="e">
        <f>AND(#REF!,"AAAAAF827Eg=")</f>
        <v>#REF!</v>
      </c>
      <c r="BV546" t="e">
        <f>AND(#REF!,"AAAAAF827Ek=")</f>
        <v>#REF!</v>
      </c>
      <c r="BW546" t="e">
        <f>AND(#REF!,"AAAAAF827Eo=")</f>
        <v>#REF!</v>
      </c>
      <c r="BX546" t="e">
        <f>AND(#REF!,"AAAAAF827Es=")</f>
        <v>#REF!</v>
      </c>
      <c r="BY546" t="e">
        <f>AND(#REF!,"AAAAAF827Ew=")</f>
        <v>#REF!</v>
      </c>
      <c r="BZ546" t="e">
        <f>AND(#REF!,"AAAAAF827E0=")</f>
        <v>#REF!</v>
      </c>
      <c r="CA546" t="e">
        <f>AND(#REF!,"AAAAAF827E4=")</f>
        <v>#REF!</v>
      </c>
      <c r="CB546" t="e">
        <f>AND(#REF!,"AAAAAF827E8=")</f>
        <v>#REF!</v>
      </c>
      <c r="CC546" t="e">
        <f>AND(#REF!,"AAAAAF827FA=")</f>
        <v>#REF!</v>
      </c>
      <c r="CD546" t="e">
        <f>AND(#REF!,"AAAAAF827FE=")</f>
        <v>#REF!</v>
      </c>
      <c r="CE546" t="e">
        <f>AND(#REF!,"AAAAAF827FI=")</f>
        <v>#REF!</v>
      </c>
      <c r="CF546" t="e">
        <f>AND(#REF!,"AAAAAF827FM=")</f>
        <v>#REF!</v>
      </c>
      <c r="CG546" t="e">
        <f>AND(#REF!,"AAAAAF827FQ=")</f>
        <v>#REF!</v>
      </c>
      <c r="CH546" t="e">
        <f>AND(#REF!,"AAAAAF827FU=")</f>
        <v>#REF!</v>
      </c>
      <c r="CI546" t="e">
        <f>AND(#REF!,"AAAAAF827FY=")</f>
        <v>#REF!</v>
      </c>
      <c r="CJ546" t="e">
        <f>AND(#REF!,"AAAAAF827Fc=")</f>
        <v>#REF!</v>
      </c>
      <c r="CK546" t="e">
        <f>AND(#REF!,"AAAAAF827Fg=")</f>
        <v>#REF!</v>
      </c>
      <c r="CL546" t="e">
        <f>AND(#REF!,"AAAAAF827Fk=")</f>
        <v>#REF!</v>
      </c>
      <c r="CM546" t="e">
        <f>IF(#REF!,"AAAAAF827Fo=",0)</f>
        <v>#REF!</v>
      </c>
      <c r="CN546" t="e">
        <f>AND(#REF!,"AAAAAF827Fs=")</f>
        <v>#REF!</v>
      </c>
      <c r="CO546" t="e">
        <f>AND(#REF!,"AAAAAF827Fw=")</f>
        <v>#REF!</v>
      </c>
      <c r="CP546" t="e">
        <f>AND(#REF!,"AAAAAF827F0=")</f>
        <v>#REF!</v>
      </c>
      <c r="CQ546" t="e">
        <f>AND(#REF!,"AAAAAF827F4=")</f>
        <v>#REF!</v>
      </c>
      <c r="CR546" t="e">
        <f>AND(#REF!,"AAAAAF827F8=")</f>
        <v>#REF!</v>
      </c>
      <c r="CS546" t="e">
        <f>AND(#REF!,"AAAAAF827GA=")</f>
        <v>#REF!</v>
      </c>
      <c r="CT546" t="e">
        <f>AND(#REF!,"AAAAAF827GE=")</f>
        <v>#REF!</v>
      </c>
      <c r="CU546" t="e">
        <f>AND(#REF!,"AAAAAF827GI=")</f>
        <v>#REF!</v>
      </c>
      <c r="CV546" t="e">
        <f>AND(#REF!,"AAAAAF827GM=")</f>
        <v>#REF!</v>
      </c>
      <c r="CW546" t="e">
        <f>AND(#REF!,"AAAAAF827GQ=")</f>
        <v>#REF!</v>
      </c>
      <c r="CX546" t="e">
        <f>AND(#REF!,"AAAAAF827GU=")</f>
        <v>#REF!</v>
      </c>
      <c r="CY546" t="e">
        <f>AND(#REF!,"AAAAAF827GY=")</f>
        <v>#REF!</v>
      </c>
      <c r="CZ546" t="e">
        <f>AND(#REF!,"AAAAAF827Gc=")</f>
        <v>#REF!</v>
      </c>
      <c r="DA546" t="e">
        <f>AND(#REF!,"AAAAAF827Gg=")</f>
        <v>#REF!</v>
      </c>
      <c r="DB546" t="e">
        <f>AND(#REF!,"AAAAAF827Gk=")</f>
        <v>#REF!</v>
      </c>
      <c r="DC546" t="e">
        <f>AND(#REF!,"AAAAAF827Go=")</f>
        <v>#REF!</v>
      </c>
      <c r="DD546" t="e">
        <f>AND(#REF!,"AAAAAF827Gs=")</f>
        <v>#REF!</v>
      </c>
      <c r="DE546" t="e">
        <f>AND(#REF!,"AAAAAF827Gw=")</f>
        <v>#REF!</v>
      </c>
      <c r="DF546" t="e">
        <f>AND(#REF!,"AAAAAF827G0=")</f>
        <v>#REF!</v>
      </c>
      <c r="DG546" t="e">
        <f>AND(#REF!,"AAAAAF827G4=")</f>
        <v>#REF!</v>
      </c>
      <c r="DH546" t="e">
        <f>AND(#REF!,"AAAAAF827G8=")</f>
        <v>#REF!</v>
      </c>
      <c r="DI546" t="e">
        <f>AND(#REF!,"AAAAAF827HA=")</f>
        <v>#REF!</v>
      </c>
      <c r="DJ546" t="e">
        <f>AND(#REF!,"AAAAAF827HE=")</f>
        <v>#REF!</v>
      </c>
      <c r="DK546" t="e">
        <f>AND(#REF!,"AAAAAF827HI=")</f>
        <v>#REF!</v>
      </c>
      <c r="DL546" t="e">
        <f>IF(#REF!,"AAAAAF827HM=",0)</f>
        <v>#REF!</v>
      </c>
      <c r="DM546" t="e">
        <f>AND(#REF!,"AAAAAF827HQ=")</f>
        <v>#REF!</v>
      </c>
      <c r="DN546" t="e">
        <f>AND(#REF!,"AAAAAF827HU=")</f>
        <v>#REF!</v>
      </c>
      <c r="DO546" t="e">
        <f>AND(#REF!,"AAAAAF827HY=")</f>
        <v>#REF!</v>
      </c>
      <c r="DP546" t="e">
        <f>AND(#REF!,"AAAAAF827Hc=")</f>
        <v>#REF!</v>
      </c>
      <c r="DQ546" t="e">
        <f>AND(#REF!,"AAAAAF827Hg=")</f>
        <v>#REF!</v>
      </c>
      <c r="DR546" t="e">
        <f>AND(#REF!,"AAAAAF827Hk=")</f>
        <v>#REF!</v>
      </c>
      <c r="DS546" t="e">
        <f>AND(#REF!,"AAAAAF827Ho=")</f>
        <v>#REF!</v>
      </c>
      <c r="DT546" t="e">
        <f>AND(#REF!,"AAAAAF827Hs=")</f>
        <v>#REF!</v>
      </c>
      <c r="DU546" t="e">
        <f>AND(#REF!,"AAAAAF827Hw=")</f>
        <v>#REF!</v>
      </c>
      <c r="DV546" t="e">
        <f>AND(#REF!,"AAAAAF827H0=")</f>
        <v>#REF!</v>
      </c>
      <c r="DW546" t="e">
        <f>AND(#REF!,"AAAAAF827H4=")</f>
        <v>#REF!</v>
      </c>
      <c r="DX546" t="e">
        <f>AND(#REF!,"AAAAAF827H8=")</f>
        <v>#REF!</v>
      </c>
      <c r="DY546" t="e">
        <f>AND(#REF!,"AAAAAF827IA=")</f>
        <v>#REF!</v>
      </c>
      <c r="DZ546" t="e">
        <f>AND(#REF!,"AAAAAF827IE=")</f>
        <v>#REF!</v>
      </c>
      <c r="EA546" t="e">
        <f>AND(#REF!,"AAAAAF827II=")</f>
        <v>#REF!</v>
      </c>
      <c r="EB546" t="e">
        <f>AND(#REF!,"AAAAAF827IM=")</f>
        <v>#REF!</v>
      </c>
      <c r="EC546" t="e">
        <f>AND(#REF!,"AAAAAF827IQ=")</f>
        <v>#REF!</v>
      </c>
      <c r="ED546" t="e">
        <f>AND(#REF!,"AAAAAF827IU=")</f>
        <v>#REF!</v>
      </c>
      <c r="EE546" t="e">
        <f>AND(#REF!,"AAAAAF827IY=")</f>
        <v>#REF!</v>
      </c>
      <c r="EF546" t="e">
        <f>AND(#REF!,"AAAAAF827Ic=")</f>
        <v>#REF!</v>
      </c>
      <c r="EG546" t="e">
        <f>AND(#REF!,"AAAAAF827Ig=")</f>
        <v>#REF!</v>
      </c>
      <c r="EH546" t="e">
        <f>AND(#REF!,"AAAAAF827Ik=")</f>
        <v>#REF!</v>
      </c>
      <c r="EI546" t="e">
        <f>AND(#REF!,"AAAAAF827Io=")</f>
        <v>#REF!</v>
      </c>
      <c r="EJ546" t="e">
        <f>AND(#REF!,"AAAAAF827Is=")</f>
        <v>#REF!</v>
      </c>
      <c r="EK546" t="e">
        <f>IF(#REF!,"AAAAAF827Iw=",0)</f>
        <v>#REF!</v>
      </c>
      <c r="EL546" t="e">
        <f>AND(#REF!,"AAAAAF827I0=")</f>
        <v>#REF!</v>
      </c>
      <c r="EM546" t="e">
        <f>AND(#REF!,"AAAAAF827I4=")</f>
        <v>#REF!</v>
      </c>
      <c r="EN546" t="e">
        <f>AND(#REF!,"AAAAAF827I8=")</f>
        <v>#REF!</v>
      </c>
      <c r="EO546" t="e">
        <f>AND(#REF!,"AAAAAF827JA=")</f>
        <v>#REF!</v>
      </c>
      <c r="EP546" t="e">
        <f>AND(#REF!,"AAAAAF827JE=")</f>
        <v>#REF!</v>
      </c>
      <c r="EQ546" t="e">
        <f>AND(#REF!,"AAAAAF827JI=")</f>
        <v>#REF!</v>
      </c>
      <c r="ER546" t="e">
        <f>AND(#REF!,"AAAAAF827JM=")</f>
        <v>#REF!</v>
      </c>
      <c r="ES546" t="e">
        <f>AND(#REF!,"AAAAAF827JQ=")</f>
        <v>#REF!</v>
      </c>
      <c r="ET546" t="e">
        <f>AND(#REF!,"AAAAAF827JU=")</f>
        <v>#REF!</v>
      </c>
      <c r="EU546" t="e">
        <f>AND(#REF!,"AAAAAF827JY=")</f>
        <v>#REF!</v>
      </c>
      <c r="EV546" t="e">
        <f>AND(#REF!,"AAAAAF827Jc=")</f>
        <v>#REF!</v>
      </c>
      <c r="EW546" t="e">
        <f>AND(#REF!,"AAAAAF827Jg=")</f>
        <v>#REF!</v>
      </c>
      <c r="EX546" t="e">
        <f>AND(#REF!,"AAAAAF827Jk=")</f>
        <v>#REF!</v>
      </c>
      <c r="EY546" t="e">
        <f>AND(#REF!,"AAAAAF827Jo=")</f>
        <v>#REF!</v>
      </c>
      <c r="EZ546" t="e">
        <f>AND(#REF!,"AAAAAF827Js=")</f>
        <v>#REF!</v>
      </c>
      <c r="FA546" t="e">
        <f>AND(#REF!,"AAAAAF827Jw=")</f>
        <v>#REF!</v>
      </c>
      <c r="FB546" t="e">
        <f>AND(#REF!,"AAAAAF827J0=")</f>
        <v>#REF!</v>
      </c>
      <c r="FC546" t="e">
        <f>AND(#REF!,"AAAAAF827J4=")</f>
        <v>#REF!</v>
      </c>
      <c r="FD546" t="e">
        <f>AND(#REF!,"AAAAAF827J8=")</f>
        <v>#REF!</v>
      </c>
      <c r="FE546" t="e">
        <f>AND(#REF!,"AAAAAF827KA=")</f>
        <v>#REF!</v>
      </c>
      <c r="FF546" t="e">
        <f>AND(#REF!,"AAAAAF827KE=")</f>
        <v>#REF!</v>
      </c>
      <c r="FG546" t="e">
        <f>AND(#REF!,"AAAAAF827KI=")</f>
        <v>#REF!</v>
      </c>
      <c r="FH546" t="e">
        <f>AND(#REF!,"AAAAAF827KM=")</f>
        <v>#REF!</v>
      </c>
      <c r="FI546" t="e">
        <f>AND(#REF!,"AAAAAF827KQ=")</f>
        <v>#REF!</v>
      </c>
      <c r="FJ546" t="e">
        <f>IF(#REF!,"AAAAAF827KU=",0)</f>
        <v>#REF!</v>
      </c>
      <c r="FK546" t="e">
        <f>AND(#REF!,"AAAAAF827KY=")</f>
        <v>#REF!</v>
      </c>
      <c r="FL546" t="e">
        <f>AND(#REF!,"AAAAAF827Kc=")</f>
        <v>#REF!</v>
      </c>
      <c r="FM546" t="e">
        <f>AND(#REF!,"AAAAAF827Kg=")</f>
        <v>#REF!</v>
      </c>
      <c r="FN546" t="e">
        <f>AND(#REF!,"AAAAAF827Kk=")</f>
        <v>#REF!</v>
      </c>
      <c r="FO546" t="e">
        <f>AND(#REF!,"AAAAAF827Ko=")</f>
        <v>#REF!</v>
      </c>
      <c r="FP546" t="e">
        <f>AND(#REF!,"AAAAAF827Ks=")</f>
        <v>#REF!</v>
      </c>
      <c r="FQ546" t="e">
        <f>AND(#REF!,"AAAAAF827Kw=")</f>
        <v>#REF!</v>
      </c>
      <c r="FR546" t="e">
        <f>AND(#REF!,"AAAAAF827K0=")</f>
        <v>#REF!</v>
      </c>
      <c r="FS546" t="e">
        <f>AND(#REF!,"AAAAAF827K4=")</f>
        <v>#REF!</v>
      </c>
      <c r="FT546" t="e">
        <f>AND(#REF!,"AAAAAF827K8=")</f>
        <v>#REF!</v>
      </c>
      <c r="FU546" t="e">
        <f>AND(#REF!,"AAAAAF827LA=")</f>
        <v>#REF!</v>
      </c>
      <c r="FV546" t="e">
        <f>AND(#REF!,"AAAAAF827LE=")</f>
        <v>#REF!</v>
      </c>
      <c r="FW546" t="e">
        <f>AND(#REF!,"AAAAAF827LI=")</f>
        <v>#REF!</v>
      </c>
      <c r="FX546" t="e">
        <f>AND(#REF!,"AAAAAF827LM=")</f>
        <v>#REF!</v>
      </c>
      <c r="FY546" t="e">
        <f>AND(#REF!,"AAAAAF827LQ=")</f>
        <v>#REF!</v>
      </c>
      <c r="FZ546" t="e">
        <f>AND(#REF!,"AAAAAF827LU=")</f>
        <v>#REF!</v>
      </c>
      <c r="GA546" t="e">
        <f>AND(#REF!,"AAAAAF827LY=")</f>
        <v>#REF!</v>
      </c>
      <c r="GB546" t="e">
        <f>AND(#REF!,"AAAAAF827Lc=")</f>
        <v>#REF!</v>
      </c>
      <c r="GC546" t="e">
        <f>AND(#REF!,"AAAAAF827Lg=")</f>
        <v>#REF!</v>
      </c>
      <c r="GD546" t="e">
        <f>AND(#REF!,"AAAAAF827Lk=")</f>
        <v>#REF!</v>
      </c>
      <c r="GE546" t="e">
        <f>AND(#REF!,"AAAAAF827Lo=")</f>
        <v>#REF!</v>
      </c>
      <c r="GF546" t="e">
        <f>AND(#REF!,"AAAAAF827Ls=")</f>
        <v>#REF!</v>
      </c>
      <c r="GG546" t="e">
        <f>AND(#REF!,"AAAAAF827Lw=")</f>
        <v>#REF!</v>
      </c>
      <c r="GH546" t="e">
        <f>AND(#REF!,"AAAAAF827L0=")</f>
        <v>#REF!</v>
      </c>
      <c r="GI546" t="e">
        <f>IF(#REF!,"AAAAAF827L4=",0)</f>
        <v>#REF!</v>
      </c>
      <c r="GJ546" t="e">
        <f>AND(#REF!,"AAAAAF827L8=")</f>
        <v>#REF!</v>
      </c>
      <c r="GK546" t="e">
        <f>AND(#REF!,"AAAAAF827MA=")</f>
        <v>#REF!</v>
      </c>
      <c r="GL546" t="e">
        <f>AND(#REF!,"AAAAAF827ME=")</f>
        <v>#REF!</v>
      </c>
      <c r="GM546" t="e">
        <f>AND(#REF!,"AAAAAF827MI=")</f>
        <v>#REF!</v>
      </c>
      <c r="GN546" t="e">
        <f>AND(#REF!,"AAAAAF827MM=")</f>
        <v>#REF!</v>
      </c>
      <c r="GO546" t="e">
        <f>AND(#REF!,"AAAAAF827MQ=")</f>
        <v>#REF!</v>
      </c>
      <c r="GP546" t="e">
        <f>AND(#REF!,"AAAAAF827MU=")</f>
        <v>#REF!</v>
      </c>
      <c r="GQ546" t="e">
        <f>AND(#REF!,"AAAAAF827MY=")</f>
        <v>#REF!</v>
      </c>
      <c r="GR546" t="e">
        <f>AND(#REF!,"AAAAAF827Mc=")</f>
        <v>#REF!</v>
      </c>
      <c r="GS546" t="e">
        <f>AND(#REF!,"AAAAAF827Mg=")</f>
        <v>#REF!</v>
      </c>
      <c r="GT546" t="e">
        <f>AND(#REF!,"AAAAAF827Mk=")</f>
        <v>#REF!</v>
      </c>
      <c r="GU546" t="e">
        <f>AND(#REF!,"AAAAAF827Mo=")</f>
        <v>#REF!</v>
      </c>
      <c r="GV546" t="e">
        <f>AND(#REF!,"AAAAAF827Ms=")</f>
        <v>#REF!</v>
      </c>
      <c r="GW546" t="e">
        <f>AND(#REF!,"AAAAAF827Mw=")</f>
        <v>#REF!</v>
      </c>
      <c r="GX546" t="e">
        <f>AND(#REF!,"AAAAAF827M0=")</f>
        <v>#REF!</v>
      </c>
      <c r="GY546" t="e">
        <f>AND(#REF!,"AAAAAF827M4=")</f>
        <v>#REF!</v>
      </c>
      <c r="GZ546" t="e">
        <f>AND(#REF!,"AAAAAF827M8=")</f>
        <v>#REF!</v>
      </c>
      <c r="HA546" t="e">
        <f>AND(#REF!,"AAAAAF827NA=")</f>
        <v>#REF!</v>
      </c>
      <c r="HB546" t="e">
        <f>AND(#REF!,"AAAAAF827NE=")</f>
        <v>#REF!</v>
      </c>
      <c r="HC546" t="e">
        <f>AND(#REF!,"AAAAAF827NI=")</f>
        <v>#REF!</v>
      </c>
      <c r="HD546" t="e">
        <f>AND(#REF!,"AAAAAF827NM=")</f>
        <v>#REF!</v>
      </c>
      <c r="HE546" t="e">
        <f>AND(#REF!,"AAAAAF827NQ=")</f>
        <v>#REF!</v>
      </c>
      <c r="HF546" t="e">
        <f>AND(#REF!,"AAAAAF827NU=")</f>
        <v>#REF!</v>
      </c>
      <c r="HG546" t="e">
        <f>AND(#REF!,"AAAAAF827NY=")</f>
        <v>#REF!</v>
      </c>
      <c r="HH546" t="e">
        <f>IF(#REF!,"AAAAAF827Nc=",0)</f>
        <v>#REF!</v>
      </c>
      <c r="HI546" t="e">
        <f>AND(#REF!,"AAAAAF827Ng=")</f>
        <v>#REF!</v>
      </c>
      <c r="HJ546" t="e">
        <f>AND(#REF!,"AAAAAF827Nk=")</f>
        <v>#REF!</v>
      </c>
      <c r="HK546" t="e">
        <f>AND(#REF!,"AAAAAF827No=")</f>
        <v>#REF!</v>
      </c>
      <c r="HL546" t="e">
        <f>AND(#REF!,"AAAAAF827Ns=")</f>
        <v>#REF!</v>
      </c>
      <c r="HM546" t="e">
        <f>AND(#REF!,"AAAAAF827Nw=")</f>
        <v>#REF!</v>
      </c>
      <c r="HN546" t="e">
        <f>AND(#REF!,"AAAAAF827N0=")</f>
        <v>#REF!</v>
      </c>
      <c r="HO546" t="e">
        <f>AND(#REF!,"AAAAAF827N4=")</f>
        <v>#REF!</v>
      </c>
      <c r="HP546" t="e">
        <f>AND(#REF!,"AAAAAF827N8=")</f>
        <v>#REF!</v>
      </c>
      <c r="HQ546" t="e">
        <f>AND(#REF!,"AAAAAF827OA=")</f>
        <v>#REF!</v>
      </c>
      <c r="HR546" t="e">
        <f>AND(#REF!,"AAAAAF827OE=")</f>
        <v>#REF!</v>
      </c>
      <c r="HS546" t="e">
        <f>AND(#REF!,"AAAAAF827OI=")</f>
        <v>#REF!</v>
      </c>
      <c r="HT546" t="e">
        <f>AND(#REF!,"AAAAAF827OM=")</f>
        <v>#REF!</v>
      </c>
      <c r="HU546" t="e">
        <f>AND(#REF!,"AAAAAF827OQ=")</f>
        <v>#REF!</v>
      </c>
      <c r="HV546" t="e">
        <f>AND(#REF!,"AAAAAF827OU=")</f>
        <v>#REF!</v>
      </c>
      <c r="HW546" t="e">
        <f>AND(#REF!,"AAAAAF827OY=")</f>
        <v>#REF!</v>
      </c>
      <c r="HX546" t="e">
        <f>AND(#REF!,"AAAAAF827Oc=")</f>
        <v>#REF!</v>
      </c>
      <c r="HY546" t="e">
        <f>AND(#REF!,"AAAAAF827Og=")</f>
        <v>#REF!</v>
      </c>
      <c r="HZ546" t="e">
        <f>AND(#REF!,"AAAAAF827Ok=")</f>
        <v>#REF!</v>
      </c>
      <c r="IA546" t="e">
        <f>AND(#REF!,"AAAAAF827Oo=")</f>
        <v>#REF!</v>
      </c>
      <c r="IB546" t="e">
        <f>AND(#REF!,"AAAAAF827Os=")</f>
        <v>#REF!</v>
      </c>
      <c r="IC546" t="e">
        <f>AND(#REF!,"AAAAAF827Ow=")</f>
        <v>#REF!</v>
      </c>
      <c r="ID546" t="e">
        <f>AND(#REF!,"AAAAAF827O0=")</f>
        <v>#REF!</v>
      </c>
      <c r="IE546" t="e">
        <f>AND(#REF!,"AAAAAF827O4=")</f>
        <v>#REF!</v>
      </c>
      <c r="IF546" t="e">
        <f>AND(#REF!,"AAAAAF827O8=")</f>
        <v>#REF!</v>
      </c>
      <c r="IG546" t="e">
        <f>IF(#REF!,"AAAAAF827PA=",0)</f>
        <v>#REF!</v>
      </c>
      <c r="IH546" t="e">
        <f>AND(#REF!,"AAAAAF827PE=")</f>
        <v>#REF!</v>
      </c>
      <c r="II546" t="e">
        <f>AND(#REF!,"AAAAAF827PI=")</f>
        <v>#REF!</v>
      </c>
      <c r="IJ546" t="e">
        <f>AND(#REF!,"AAAAAF827PM=")</f>
        <v>#REF!</v>
      </c>
      <c r="IK546" t="e">
        <f>AND(#REF!,"AAAAAF827PQ=")</f>
        <v>#REF!</v>
      </c>
      <c r="IL546" t="e">
        <f>AND(#REF!,"AAAAAF827PU=")</f>
        <v>#REF!</v>
      </c>
      <c r="IM546" t="e">
        <f>AND(#REF!,"AAAAAF827PY=")</f>
        <v>#REF!</v>
      </c>
      <c r="IN546" t="e">
        <f>AND(#REF!,"AAAAAF827Pc=")</f>
        <v>#REF!</v>
      </c>
      <c r="IO546" t="e">
        <f>AND(#REF!,"AAAAAF827Pg=")</f>
        <v>#REF!</v>
      </c>
      <c r="IP546" t="e">
        <f>AND(#REF!,"AAAAAF827Pk=")</f>
        <v>#REF!</v>
      </c>
      <c r="IQ546" t="e">
        <f>AND(#REF!,"AAAAAF827Po=")</f>
        <v>#REF!</v>
      </c>
      <c r="IR546" t="e">
        <f>AND(#REF!,"AAAAAF827Ps=")</f>
        <v>#REF!</v>
      </c>
      <c r="IS546" t="e">
        <f>AND(#REF!,"AAAAAF827Pw=")</f>
        <v>#REF!</v>
      </c>
      <c r="IT546" t="e">
        <f>AND(#REF!,"AAAAAF827P0=")</f>
        <v>#REF!</v>
      </c>
      <c r="IU546" t="e">
        <f>AND(#REF!,"AAAAAF827P4=")</f>
        <v>#REF!</v>
      </c>
      <c r="IV546" t="e">
        <f>AND(#REF!,"AAAAAF827P8=")</f>
        <v>#REF!</v>
      </c>
    </row>
    <row r="547" spans="1:256">
      <c r="A547" t="e">
        <f>AND(#REF!,"AAAAAFfP3wA=")</f>
        <v>#REF!</v>
      </c>
      <c r="B547" t="e">
        <f>AND(#REF!,"AAAAAFfP3wE=")</f>
        <v>#REF!</v>
      </c>
      <c r="C547" t="e">
        <f>AND(#REF!,"AAAAAFfP3wI=")</f>
        <v>#REF!</v>
      </c>
      <c r="D547" t="e">
        <f>AND(#REF!,"AAAAAFfP3wM=")</f>
        <v>#REF!</v>
      </c>
      <c r="E547" t="e">
        <f>AND(#REF!,"AAAAAFfP3wQ=")</f>
        <v>#REF!</v>
      </c>
      <c r="F547" t="e">
        <f>AND(#REF!,"AAAAAFfP3wU=")</f>
        <v>#REF!</v>
      </c>
      <c r="G547" t="e">
        <f>AND(#REF!,"AAAAAFfP3wY=")</f>
        <v>#REF!</v>
      </c>
      <c r="H547" t="e">
        <f>AND(#REF!,"AAAAAFfP3wc=")</f>
        <v>#REF!</v>
      </c>
      <c r="I547" t="e">
        <f>AND(#REF!,"AAAAAFfP3wg=")</f>
        <v>#REF!</v>
      </c>
      <c r="J547" t="e">
        <f>IF(#REF!,"AAAAAFfP3wk=",0)</f>
        <v>#REF!</v>
      </c>
      <c r="K547" t="e">
        <f>AND(#REF!,"AAAAAFfP3wo=")</f>
        <v>#REF!</v>
      </c>
      <c r="L547" t="e">
        <f>AND(#REF!,"AAAAAFfP3ws=")</f>
        <v>#REF!</v>
      </c>
      <c r="M547" t="e">
        <f>AND(#REF!,"AAAAAFfP3ww=")</f>
        <v>#REF!</v>
      </c>
      <c r="N547" t="e">
        <f>AND(#REF!,"AAAAAFfP3w0=")</f>
        <v>#REF!</v>
      </c>
      <c r="O547" t="e">
        <f>AND(#REF!,"AAAAAFfP3w4=")</f>
        <v>#REF!</v>
      </c>
      <c r="P547" t="e">
        <f>AND(#REF!,"AAAAAFfP3w8=")</f>
        <v>#REF!</v>
      </c>
      <c r="Q547" t="e">
        <f>AND(#REF!,"AAAAAFfP3xA=")</f>
        <v>#REF!</v>
      </c>
      <c r="R547" t="e">
        <f>AND(#REF!,"AAAAAFfP3xE=")</f>
        <v>#REF!</v>
      </c>
      <c r="S547" t="e">
        <f>AND(#REF!,"AAAAAFfP3xI=")</f>
        <v>#REF!</v>
      </c>
      <c r="T547" t="e">
        <f>AND(#REF!,"AAAAAFfP3xM=")</f>
        <v>#REF!</v>
      </c>
      <c r="U547" t="e">
        <f>AND(#REF!,"AAAAAFfP3xQ=")</f>
        <v>#REF!</v>
      </c>
      <c r="V547" t="e">
        <f>AND(#REF!,"AAAAAFfP3xU=")</f>
        <v>#REF!</v>
      </c>
      <c r="W547" t="e">
        <f>AND(#REF!,"AAAAAFfP3xY=")</f>
        <v>#REF!</v>
      </c>
      <c r="X547" t="e">
        <f>AND(#REF!,"AAAAAFfP3xc=")</f>
        <v>#REF!</v>
      </c>
      <c r="Y547" t="e">
        <f>AND(#REF!,"AAAAAFfP3xg=")</f>
        <v>#REF!</v>
      </c>
      <c r="Z547" t="e">
        <f>AND(#REF!,"AAAAAFfP3xk=")</f>
        <v>#REF!</v>
      </c>
      <c r="AA547" t="e">
        <f>AND(#REF!,"AAAAAFfP3xo=")</f>
        <v>#REF!</v>
      </c>
      <c r="AB547" t="e">
        <f>AND(#REF!,"AAAAAFfP3xs=")</f>
        <v>#REF!</v>
      </c>
      <c r="AC547" t="e">
        <f>AND(#REF!,"AAAAAFfP3xw=")</f>
        <v>#REF!</v>
      </c>
      <c r="AD547" t="e">
        <f>AND(#REF!,"AAAAAFfP3x0=")</f>
        <v>#REF!</v>
      </c>
      <c r="AE547" t="e">
        <f>AND(#REF!,"AAAAAFfP3x4=")</f>
        <v>#REF!</v>
      </c>
      <c r="AF547" t="e">
        <f>AND(#REF!,"AAAAAFfP3x8=")</f>
        <v>#REF!</v>
      </c>
      <c r="AG547" t="e">
        <f>AND(#REF!,"AAAAAFfP3yA=")</f>
        <v>#REF!</v>
      </c>
      <c r="AH547" t="e">
        <f>AND(#REF!,"AAAAAFfP3yE=")</f>
        <v>#REF!</v>
      </c>
      <c r="AI547" t="e">
        <f>IF(#REF!,"AAAAAFfP3yI=",0)</f>
        <v>#REF!</v>
      </c>
      <c r="AJ547" t="e">
        <f>AND(#REF!,"AAAAAFfP3yM=")</f>
        <v>#REF!</v>
      </c>
      <c r="AK547" t="e">
        <f>AND(#REF!,"AAAAAFfP3yQ=")</f>
        <v>#REF!</v>
      </c>
      <c r="AL547" t="e">
        <f>AND(#REF!,"AAAAAFfP3yU=")</f>
        <v>#REF!</v>
      </c>
      <c r="AM547" t="e">
        <f>AND(#REF!,"AAAAAFfP3yY=")</f>
        <v>#REF!</v>
      </c>
      <c r="AN547" t="e">
        <f>AND(#REF!,"AAAAAFfP3yc=")</f>
        <v>#REF!</v>
      </c>
      <c r="AO547" t="e">
        <f>AND(#REF!,"AAAAAFfP3yg=")</f>
        <v>#REF!</v>
      </c>
      <c r="AP547" t="e">
        <f>AND(#REF!,"AAAAAFfP3yk=")</f>
        <v>#REF!</v>
      </c>
      <c r="AQ547" t="e">
        <f>AND(#REF!,"AAAAAFfP3yo=")</f>
        <v>#REF!</v>
      </c>
      <c r="AR547" t="e">
        <f>AND(#REF!,"AAAAAFfP3ys=")</f>
        <v>#REF!</v>
      </c>
      <c r="AS547" t="e">
        <f>AND(#REF!,"AAAAAFfP3yw=")</f>
        <v>#REF!</v>
      </c>
      <c r="AT547" t="e">
        <f>AND(#REF!,"AAAAAFfP3y0=")</f>
        <v>#REF!</v>
      </c>
      <c r="AU547" t="e">
        <f>AND(#REF!,"AAAAAFfP3y4=")</f>
        <v>#REF!</v>
      </c>
      <c r="AV547" t="e">
        <f>AND(#REF!,"AAAAAFfP3y8=")</f>
        <v>#REF!</v>
      </c>
      <c r="AW547" t="e">
        <f>AND(#REF!,"AAAAAFfP3zA=")</f>
        <v>#REF!</v>
      </c>
      <c r="AX547" t="e">
        <f>AND(#REF!,"AAAAAFfP3zE=")</f>
        <v>#REF!</v>
      </c>
      <c r="AY547" t="e">
        <f>AND(#REF!,"AAAAAFfP3zI=")</f>
        <v>#REF!</v>
      </c>
      <c r="AZ547" t="e">
        <f>AND(#REF!,"AAAAAFfP3zM=")</f>
        <v>#REF!</v>
      </c>
      <c r="BA547" t="e">
        <f>AND(#REF!,"AAAAAFfP3zQ=")</f>
        <v>#REF!</v>
      </c>
      <c r="BB547" t="e">
        <f>AND(#REF!,"AAAAAFfP3zU=")</f>
        <v>#REF!</v>
      </c>
      <c r="BC547" t="e">
        <f>AND(#REF!,"AAAAAFfP3zY=")</f>
        <v>#REF!</v>
      </c>
      <c r="BD547" t="e">
        <f>AND(#REF!,"AAAAAFfP3zc=")</f>
        <v>#REF!</v>
      </c>
      <c r="BE547" t="e">
        <f>AND(#REF!,"AAAAAFfP3zg=")</f>
        <v>#REF!</v>
      </c>
      <c r="BF547" t="e">
        <f>AND(#REF!,"AAAAAFfP3zk=")</f>
        <v>#REF!</v>
      </c>
      <c r="BG547" t="e">
        <f>AND(#REF!,"AAAAAFfP3zo=")</f>
        <v>#REF!</v>
      </c>
      <c r="BH547" t="e">
        <f>IF(#REF!,"AAAAAFfP3zs=",0)</f>
        <v>#REF!</v>
      </c>
      <c r="BI547" t="e">
        <f>AND(#REF!,"AAAAAFfP3zw=")</f>
        <v>#REF!</v>
      </c>
      <c r="BJ547" t="e">
        <f>AND(#REF!,"AAAAAFfP3z0=")</f>
        <v>#REF!</v>
      </c>
      <c r="BK547" t="e">
        <f>AND(#REF!,"AAAAAFfP3z4=")</f>
        <v>#REF!</v>
      </c>
      <c r="BL547" t="e">
        <f>AND(#REF!,"AAAAAFfP3z8=")</f>
        <v>#REF!</v>
      </c>
      <c r="BM547" t="e">
        <f>AND(#REF!,"AAAAAFfP30A=")</f>
        <v>#REF!</v>
      </c>
      <c r="BN547" t="e">
        <f>AND(#REF!,"AAAAAFfP30E=")</f>
        <v>#REF!</v>
      </c>
      <c r="BO547" t="e">
        <f>AND(#REF!,"AAAAAFfP30I=")</f>
        <v>#REF!</v>
      </c>
      <c r="BP547" t="e">
        <f>AND(#REF!,"AAAAAFfP30M=")</f>
        <v>#REF!</v>
      </c>
      <c r="BQ547" t="e">
        <f>AND(#REF!,"AAAAAFfP30Q=")</f>
        <v>#REF!</v>
      </c>
      <c r="BR547" t="e">
        <f>AND(#REF!,"AAAAAFfP30U=")</f>
        <v>#REF!</v>
      </c>
      <c r="BS547" t="e">
        <f>AND(#REF!,"AAAAAFfP30Y=")</f>
        <v>#REF!</v>
      </c>
      <c r="BT547" t="e">
        <f>AND(#REF!,"AAAAAFfP30c=")</f>
        <v>#REF!</v>
      </c>
      <c r="BU547" t="e">
        <f>AND(#REF!,"AAAAAFfP30g=")</f>
        <v>#REF!</v>
      </c>
      <c r="BV547" t="e">
        <f>AND(#REF!,"AAAAAFfP30k=")</f>
        <v>#REF!</v>
      </c>
      <c r="BW547" t="e">
        <f>AND(#REF!,"AAAAAFfP30o=")</f>
        <v>#REF!</v>
      </c>
      <c r="BX547" t="e">
        <f>AND(#REF!,"AAAAAFfP30s=")</f>
        <v>#REF!</v>
      </c>
      <c r="BY547" t="e">
        <f>AND(#REF!,"AAAAAFfP30w=")</f>
        <v>#REF!</v>
      </c>
      <c r="BZ547" t="e">
        <f>AND(#REF!,"AAAAAFfP300=")</f>
        <v>#REF!</v>
      </c>
      <c r="CA547" t="e">
        <f>AND(#REF!,"AAAAAFfP304=")</f>
        <v>#REF!</v>
      </c>
      <c r="CB547" t="e">
        <f>AND(#REF!,"AAAAAFfP308=")</f>
        <v>#REF!</v>
      </c>
      <c r="CC547" t="e">
        <f>AND(#REF!,"AAAAAFfP31A=")</f>
        <v>#REF!</v>
      </c>
      <c r="CD547" t="e">
        <f>AND(#REF!,"AAAAAFfP31E=")</f>
        <v>#REF!</v>
      </c>
      <c r="CE547" t="e">
        <f>AND(#REF!,"AAAAAFfP31I=")</f>
        <v>#REF!</v>
      </c>
      <c r="CF547" t="e">
        <f>AND(#REF!,"AAAAAFfP31M=")</f>
        <v>#REF!</v>
      </c>
      <c r="CG547" t="e">
        <f>IF(#REF!,"AAAAAFfP31Q=",0)</f>
        <v>#REF!</v>
      </c>
      <c r="CH547" t="e">
        <f>AND(#REF!,"AAAAAFfP31U=")</f>
        <v>#REF!</v>
      </c>
      <c r="CI547" t="e">
        <f>AND(#REF!,"AAAAAFfP31Y=")</f>
        <v>#REF!</v>
      </c>
      <c r="CJ547" t="e">
        <f>AND(#REF!,"AAAAAFfP31c=")</f>
        <v>#REF!</v>
      </c>
      <c r="CK547" t="e">
        <f>AND(#REF!,"AAAAAFfP31g=")</f>
        <v>#REF!</v>
      </c>
      <c r="CL547" t="e">
        <f>AND(#REF!,"AAAAAFfP31k=")</f>
        <v>#REF!</v>
      </c>
      <c r="CM547" t="e">
        <f>AND(#REF!,"AAAAAFfP31o=")</f>
        <v>#REF!</v>
      </c>
      <c r="CN547" t="e">
        <f>AND(#REF!,"AAAAAFfP31s=")</f>
        <v>#REF!</v>
      </c>
      <c r="CO547" t="e">
        <f>AND(#REF!,"AAAAAFfP31w=")</f>
        <v>#REF!</v>
      </c>
      <c r="CP547" t="e">
        <f>AND(#REF!,"AAAAAFfP310=")</f>
        <v>#REF!</v>
      </c>
      <c r="CQ547" t="e">
        <f>AND(#REF!,"AAAAAFfP314=")</f>
        <v>#REF!</v>
      </c>
      <c r="CR547" t="e">
        <f>AND(#REF!,"AAAAAFfP318=")</f>
        <v>#REF!</v>
      </c>
      <c r="CS547" t="e">
        <f>AND(#REF!,"AAAAAFfP32A=")</f>
        <v>#REF!</v>
      </c>
      <c r="CT547" t="e">
        <f>AND(#REF!,"AAAAAFfP32E=")</f>
        <v>#REF!</v>
      </c>
      <c r="CU547" t="e">
        <f>AND(#REF!,"AAAAAFfP32I=")</f>
        <v>#REF!</v>
      </c>
      <c r="CV547" t="e">
        <f>AND(#REF!,"AAAAAFfP32M=")</f>
        <v>#REF!</v>
      </c>
      <c r="CW547" t="e">
        <f>AND(#REF!,"AAAAAFfP32Q=")</f>
        <v>#REF!</v>
      </c>
      <c r="CX547" t="e">
        <f>AND(#REF!,"AAAAAFfP32U=")</f>
        <v>#REF!</v>
      </c>
      <c r="CY547" t="e">
        <f>AND(#REF!,"AAAAAFfP32Y=")</f>
        <v>#REF!</v>
      </c>
      <c r="CZ547" t="e">
        <f>AND(#REF!,"AAAAAFfP32c=")</f>
        <v>#REF!</v>
      </c>
      <c r="DA547" t="e">
        <f>AND(#REF!,"AAAAAFfP32g=")</f>
        <v>#REF!</v>
      </c>
      <c r="DB547" t="e">
        <f>AND(#REF!,"AAAAAFfP32k=")</f>
        <v>#REF!</v>
      </c>
      <c r="DC547" t="e">
        <f>AND(#REF!,"AAAAAFfP32o=")</f>
        <v>#REF!</v>
      </c>
      <c r="DD547" t="e">
        <f>AND(#REF!,"AAAAAFfP32s=")</f>
        <v>#REF!</v>
      </c>
      <c r="DE547" t="e">
        <f>AND(#REF!,"AAAAAFfP32w=")</f>
        <v>#REF!</v>
      </c>
      <c r="DF547" t="e">
        <f>IF(#REF!,"AAAAAFfP320=",0)</f>
        <v>#REF!</v>
      </c>
      <c r="DG547" t="e">
        <f>AND(#REF!,"AAAAAFfP324=")</f>
        <v>#REF!</v>
      </c>
      <c r="DH547" t="e">
        <f>AND(#REF!,"AAAAAFfP328=")</f>
        <v>#REF!</v>
      </c>
      <c r="DI547" t="e">
        <f>AND(#REF!,"AAAAAFfP33A=")</f>
        <v>#REF!</v>
      </c>
      <c r="DJ547" t="e">
        <f>AND(#REF!,"AAAAAFfP33E=")</f>
        <v>#REF!</v>
      </c>
      <c r="DK547" t="e">
        <f>AND(#REF!,"AAAAAFfP33I=")</f>
        <v>#REF!</v>
      </c>
      <c r="DL547" t="e">
        <f>AND(#REF!,"AAAAAFfP33M=")</f>
        <v>#REF!</v>
      </c>
      <c r="DM547" t="e">
        <f>AND(#REF!,"AAAAAFfP33Q=")</f>
        <v>#REF!</v>
      </c>
      <c r="DN547" t="e">
        <f>AND(#REF!,"AAAAAFfP33U=")</f>
        <v>#REF!</v>
      </c>
      <c r="DO547" t="e">
        <f>AND(#REF!,"AAAAAFfP33Y=")</f>
        <v>#REF!</v>
      </c>
      <c r="DP547" t="e">
        <f>AND(#REF!,"AAAAAFfP33c=")</f>
        <v>#REF!</v>
      </c>
      <c r="DQ547" t="e">
        <f>AND(#REF!,"AAAAAFfP33g=")</f>
        <v>#REF!</v>
      </c>
      <c r="DR547" t="e">
        <f>AND(#REF!,"AAAAAFfP33k=")</f>
        <v>#REF!</v>
      </c>
      <c r="DS547" t="e">
        <f>AND(#REF!,"AAAAAFfP33o=")</f>
        <v>#REF!</v>
      </c>
      <c r="DT547" t="e">
        <f>AND(#REF!,"AAAAAFfP33s=")</f>
        <v>#REF!</v>
      </c>
      <c r="DU547" t="e">
        <f>AND(#REF!,"AAAAAFfP33w=")</f>
        <v>#REF!</v>
      </c>
      <c r="DV547" t="e">
        <f>AND(#REF!,"AAAAAFfP330=")</f>
        <v>#REF!</v>
      </c>
      <c r="DW547" t="e">
        <f>AND(#REF!,"AAAAAFfP334=")</f>
        <v>#REF!</v>
      </c>
      <c r="DX547" t="e">
        <f>AND(#REF!,"AAAAAFfP338=")</f>
        <v>#REF!</v>
      </c>
      <c r="DY547" t="e">
        <f>AND(#REF!,"AAAAAFfP34A=")</f>
        <v>#REF!</v>
      </c>
      <c r="DZ547" t="e">
        <f>AND(#REF!,"AAAAAFfP34E=")</f>
        <v>#REF!</v>
      </c>
      <c r="EA547" t="e">
        <f>AND(#REF!,"AAAAAFfP34I=")</f>
        <v>#REF!</v>
      </c>
      <c r="EB547" t="e">
        <f>AND(#REF!,"AAAAAFfP34M=")</f>
        <v>#REF!</v>
      </c>
      <c r="EC547" t="e">
        <f>AND(#REF!,"AAAAAFfP34Q=")</f>
        <v>#REF!</v>
      </c>
      <c r="ED547" t="e">
        <f>AND(#REF!,"AAAAAFfP34U=")</f>
        <v>#REF!</v>
      </c>
      <c r="EE547" t="e">
        <f>IF(#REF!,"AAAAAFfP34Y=",0)</f>
        <v>#REF!</v>
      </c>
      <c r="EF547" t="e">
        <f>AND(#REF!,"AAAAAFfP34c=")</f>
        <v>#REF!</v>
      </c>
      <c r="EG547" t="e">
        <f>AND(#REF!,"AAAAAFfP34g=")</f>
        <v>#REF!</v>
      </c>
      <c r="EH547" t="e">
        <f>AND(#REF!,"AAAAAFfP34k=")</f>
        <v>#REF!</v>
      </c>
      <c r="EI547" t="e">
        <f>AND(#REF!,"AAAAAFfP34o=")</f>
        <v>#REF!</v>
      </c>
      <c r="EJ547" t="e">
        <f>AND(#REF!,"AAAAAFfP34s=")</f>
        <v>#REF!</v>
      </c>
      <c r="EK547" t="e">
        <f>AND(#REF!,"AAAAAFfP34w=")</f>
        <v>#REF!</v>
      </c>
      <c r="EL547" t="e">
        <f>AND(#REF!,"AAAAAFfP340=")</f>
        <v>#REF!</v>
      </c>
      <c r="EM547" t="e">
        <f>AND(#REF!,"AAAAAFfP344=")</f>
        <v>#REF!</v>
      </c>
      <c r="EN547" t="e">
        <f>AND(#REF!,"AAAAAFfP348=")</f>
        <v>#REF!</v>
      </c>
      <c r="EO547" t="e">
        <f>AND(#REF!,"AAAAAFfP35A=")</f>
        <v>#REF!</v>
      </c>
      <c r="EP547" t="e">
        <f>AND(#REF!,"AAAAAFfP35E=")</f>
        <v>#REF!</v>
      </c>
      <c r="EQ547" t="e">
        <f>AND(#REF!,"AAAAAFfP35I=")</f>
        <v>#REF!</v>
      </c>
      <c r="ER547" t="e">
        <f>AND(#REF!,"AAAAAFfP35M=")</f>
        <v>#REF!</v>
      </c>
      <c r="ES547" t="e">
        <f>AND(#REF!,"AAAAAFfP35Q=")</f>
        <v>#REF!</v>
      </c>
      <c r="ET547" t="e">
        <f>AND(#REF!,"AAAAAFfP35U=")</f>
        <v>#REF!</v>
      </c>
      <c r="EU547" t="e">
        <f>AND(#REF!,"AAAAAFfP35Y=")</f>
        <v>#REF!</v>
      </c>
      <c r="EV547" t="e">
        <f>AND(#REF!,"AAAAAFfP35c=")</f>
        <v>#REF!</v>
      </c>
      <c r="EW547" t="e">
        <f>AND(#REF!,"AAAAAFfP35g=")</f>
        <v>#REF!</v>
      </c>
      <c r="EX547" t="e">
        <f>AND(#REF!,"AAAAAFfP35k=")</f>
        <v>#REF!</v>
      </c>
      <c r="EY547" t="e">
        <f>AND(#REF!,"AAAAAFfP35o=")</f>
        <v>#REF!</v>
      </c>
      <c r="EZ547" t="e">
        <f>AND(#REF!,"AAAAAFfP35s=")</f>
        <v>#REF!</v>
      </c>
      <c r="FA547" t="e">
        <f>AND(#REF!,"AAAAAFfP35w=")</f>
        <v>#REF!</v>
      </c>
      <c r="FB547" t="e">
        <f>AND(#REF!,"AAAAAFfP350=")</f>
        <v>#REF!</v>
      </c>
      <c r="FC547" t="e">
        <f>AND(#REF!,"AAAAAFfP354=")</f>
        <v>#REF!</v>
      </c>
      <c r="FD547" t="e">
        <f>IF(#REF!,"AAAAAFfP358=",0)</f>
        <v>#REF!</v>
      </c>
      <c r="FE547" t="e">
        <f>AND(#REF!,"AAAAAFfP36A=")</f>
        <v>#REF!</v>
      </c>
      <c r="FF547" t="e">
        <f>AND(#REF!,"AAAAAFfP36E=")</f>
        <v>#REF!</v>
      </c>
      <c r="FG547" t="e">
        <f>AND(#REF!,"AAAAAFfP36I=")</f>
        <v>#REF!</v>
      </c>
      <c r="FH547" t="e">
        <f>AND(#REF!,"AAAAAFfP36M=")</f>
        <v>#REF!</v>
      </c>
      <c r="FI547" t="e">
        <f>AND(#REF!,"AAAAAFfP36Q=")</f>
        <v>#REF!</v>
      </c>
      <c r="FJ547" t="e">
        <f>AND(#REF!,"AAAAAFfP36U=")</f>
        <v>#REF!</v>
      </c>
      <c r="FK547" t="e">
        <f>AND(#REF!,"AAAAAFfP36Y=")</f>
        <v>#REF!</v>
      </c>
      <c r="FL547" t="e">
        <f>AND(#REF!,"AAAAAFfP36c=")</f>
        <v>#REF!</v>
      </c>
      <c r="FM547" t="e">
        <f>AND(#REF!,"AAAAAFfP36g=")</f>
        <v>#REF!</v>
      </c>
      <c r="FN547" t="e">
        <f>AND(#REF!,"AAAAAFfP36k=")</f>
        <v>#REF!</v>
      </c>
      <c r="FO547" t="e">
        <f>AND(#REF!,"AAAAAFfP36o=")</f>
        <v>#REF!</v>
      </c>
      <c r="FP547" t="e">
        <f>AND(#REF!,"AAAAAFfP36s=")</f>
        <v>#REF!</v>
      </c>
      <c r="FQ547" t="e">
        <f>AND(#REF!,"AAAAAFfP36w=")</f>
        <v>#REF!</v>
      </c>
      <c r="FR547" t="e">
        <f>AND(#REF!,"AAAAAFfP360=")</f>
        <v>#REF!</v>
      </c>
      <c r="FS547" t="e">
        <f>AND(#REF!,"AAAAAFfP364=")</f>
        <v>#REF!</v>
      </c>
      <c r="FT547" t="e">
        <f>AND(#REF!,"AAAAAFfP368=")</f>
        <v>#REF!</v>
      </c>
      <c r="FU547" t="e">
        <f>AND(#REF!,"AAAAAFfP37A=")</f>
        <v>#REF!</v>
      </c>
      <c r="FV547" t="e">
        <f>AND(#REF!,"AAAAAFfP37E=")</f>
        <v>#REF!</v>
      </c>
      <c r="FW547" t="e">
        <f>AND(#REF!,"AAAAAFfP37I=")</f>
        <v>#REF!</v>
      </c>
      <c r="FX547" t="e">
        <f>AND(#REF!,"AAAAAFfP37M=")</f>
        <v>#REF!</v>
      </c>
      <c r="FY547" t="e">
        <f>AND(#REF!,"AAAAAFfP37Q=")</f>
        <v>#REF!</v>
      </c>
      <c r="FZ547" t="e">
        <f>AND(#REF!,"AAAAAFfP37U=")</f>
        <v>#REF!</v>
      </c>
      <c r="GA547" t="e">
        <f>AND(#REF!,"AAAAAFfP37Y=")</f>
        <v>#REF!</v>
      </c>
      <c r="GB547" t="e">
        <f>AND(#REF!,"AAAAAFfP37c=")</f>
        <v>#REF!</v>
      </c>
      <c r="GC547" t="e">
        <f>IF(#REF!,"AAAAAFfP37g=",0)</f>
        <v>#REF!</v>
      </c>
      <c r="GD547" t="e">
        <f>AND(#REF!,"AAAAAFfP37k=")</f>
        <v>#REF!</v>
      </c>
      <c r="GE547" t="e">
        <f>AND(#REF!,"AAAAAFfP37o=")</f>
        <v>#REF!</v>
      </c>
      <c r="GF547" t="e">
        <f>AND(#REF!,"AAAAAFfP37s=")</f>
        <v>#REF!</v>
      </c>
      <c r="GG547" t="e">
        <f>AND(#REF!,"AAAAAFfP37w=")</f>
        <v>#REF!</v>
      </c>
      <c r="GH547" t="e">
        <f>AND(#REF!,"AAAAAFfP370=")</f>
        <v>#REF!</v>
      </c>
      <c r="GI547" t="e">
        <f>AND(#REF!,"AAAAAFfP374=")</f>
        <v>#REF!</v>
      </c>
      <c r="GJ547" t="e">
        <f>AND(#REF!,"AAAAAFfP378=")</f>
        <v>#REF!</v>
      </c>
      <c r="GK547" t="e">
        <f>AND(#REF!,"AAAAAFfP38A=")</f>
        <v>#REF!</v>
      </c>
      <c r="GL547" t="e">
        <f>AND(#REF!,"AAAAAFfP38E=")</f>
        <v>#REF!</v>
      </c>
      <c r="GM547" t="e">
        <f>AND(#REF!,"AAAAAFfP38I=")</f>
        <v>#REF!</v>
      </c>
      <c r="GN547" t="e">
        <f>AND(#REF!,"AAAAAFfP38M=")</f>
        <v>#REF!</v>
      </c>
      <c r="GO547" t="e">
        <f>AND(#REF!,"AAAAAFfP38Q=")</f>
        <v>#REF!</v>
      </c>
      <c r="GP547" t="e">
        <f>AND(#REF!,"AAAAAFfP38U=")</f>
        <v>#REF!</v>
      </c>
      <c r="GQ547" t="e">
        <f>AND(#REF!,"AAAAAFfP38Y=")</f>
        <v>#REF!</v>
      </c>
      <c r="GR547" t="e">
        <f>AND(#REF!,"AAAAAFfP38c=")</f>
        <v>#REF!</v>
      </c>
      <c r="GS547" t="e">
        <f>AND(#REF!,"AAAAAFfP38g=")</f>
        <v>#REF!</v>
      </c>
      <c r="GT547" t="e">
        <f>AND(#REF!,"AAAAAFfP38k=")</f>
        <v>#REF!</v>
      </c>
      <c r="GU547" t="e">
        <f>AND(#REF!,"AAAAAFfP38o=")</f>
        <v>#REF!</v>
      </c>
      <c r="GV547" t="e">
        <f>AND(#REF!,"AAAAAFfP38s=")</f>
        <v>#REF!</v>
      </c>
      <c r="GW547" t="e">
        <f>AND(#REF!,"AAAAAFfP38w=")</f>
        <v>#REF!</v>
      </c>
      <c r="GX547" t="e">
        <f>AND(#REF!,"AAAAAFfP380=")</f>
        <v>#REF!</v>
      </c>
      <c r="GY547" t="e">
        <f>AND(#REF!,"AAAAAFfP384=")</f>
        <v>#REF!</v>
      </c>
      <c r="GZ547" t="e">
        <f>AND(#REF!,"AAAAAFfP388=")</f>
        <v>#REF!</v>
      </c>
      <c r="HA547" t="e">
        <f>AND(#REF!,"AAAAAFfP39A=")</f>
        <v>#REF!</v>
      </c>
      <c r="HB547" t="e">
        <f>IF(#REF!,"AAAAAFfP39E=",0)</f>
        <v>#REF!</v>
      </c>
      <c r="HC547" t="e">
        <f>AND(#REF!,"AAAAAFfP39I=")</f>
        <v>#REF!</v>
      </c>
      <c r="HD547" t="e">
        <f>AND(#REF!,"AAAAAFfP39M=")</f>
        <v>#REF!</v>
      </c>
      <c r="HE547" t="e">
        <f>AND(#REF!,"AAAAAFfP39Q=")</f>
        <v>#REF!</v>
      </c>
      <c r="HF547" t="e">
        <f>AND(#REF!,"AAAAAFfP39U=")</f>
        <v>#REF!</v>
      </c>
      <c r="HG547" t="e">
        <f>AND(#REF!,"AAAAAFfP39Y=")</f>
        <v>#REF!</v>
      </c>
      <c r="HH547" t="e">
        <f>AND(#REF!,"AAAAAFfP39c=")</f>
        <v>#REF!</v>
      </c>
      <c r="HI547" t="e">
        <f>AND(#REF!,"AAAAAFfP39g=")</f>
        <v>#REF!</v>
      </c>
      <c r="HJ547" t="e">
        <f>AND(#REF!,"AAAAAFfP39k=")</f>
        <v>#REF!</v>
      </c>
      <c r="HK547" t="e">
        <f>AND(#REF!,"AAAAAFfP39o=")</f>
        <v>#REF!</v>
      </c>
      <c r="HL547" t="e">
        <f>AND(#REF!,"AAAAAFfP39s=")</f>
        <v>#REF!</v>
      </c>
      <c r="HM547" t="e">
        <f>AND(#REF!,"AAAAAFfP39w=")</f>
        <v>#REF!</v>
      </c>
      <c r="HN547" t="e">
        <f>AND(#REF!,"AAAAAFfP390=")</f>
        <v>#REF!</v>
      </c>
      <c r="HO547" t="e">
        <f>AND(#REF!,"AAAAAFfP394=")</f>
        <v>#REF!</v>
      </c>
      <c r="HP547" t="e">
        <f>AND(#REF!,"AAAAAFfP398=")</f>
        <v>#REF!</v>
      </c>
      <c r="HQ547" t="e">
        <f>AND(#REF!,"AAAAAFfP3+A=")</f>
        <v>#REF!</v>
      </c>
      <c r="HR547" t="e">
        <f>AND(#REF!,"AAAAAFfP3+E=")</f>
        <v>#REF!</v>
      </c>
      <c r="HS547" t="e">
        <f>AND(#REF!,"AAAAAFfP3+I=")</f>
        <v>#REF!</v>
      </c>
      <c r="HT547" t="e">
        <f>AND(#REF!,"AAAAAFfP3+M=")</f>
        <v>#REF!</v>
      </c>
      <c r="HU547" t="e">
        <f>AND(#REF!,"AAAAAFfP3+Q=")</f>
        <v>#REF!</v>
      </c>
      <c r="HV547" t="e">
        <f>AND(#REF!,"AAAAAFfP3+U=")</f>
        <v>#REF!</v>
      </c>
      <c r="HW547" t="e">
        <f>AND(#REF!,"AAAAAFfP3+Y=")</f>
        <v>#REF!</v>
      </c>
      <c r="HX547" t="e">
        <f>AND(#REF!,"AAAAAFfP3+c=")</f>
        <v>#REF!</v>
      </c>
      <c r="HY547" t="e">
        <f>AND(#REF!,"AAAAAFfP3+g=")</f>
        <v>#REF!</v>
      </c>
      <c r="HZ547" t="e">
        <f>AND(#REF!,"AAAAAFfP3+k=")</f>
        <v>#REF!</v>
      </c>
      <c r="IA547" t="e">
        <f>IF(#REF!,"AAAAAFfP3+o=",0)</f>
        <v>#REF!</v>
      </c>
      <c r="IB547" t="e">
        <f>AND(#REF!,"AAAAAFfP3+s=")</f>
        <v>#REF!</v>
      </c>
      <c r="IC547" t="e">
        <f>AND(#REF!,"AAAAAFfP3+w=")</f>
        <v>#REF!</v>
      </c>
      <c r="ID547" t="e">
        <f>AND(#REF!,"AAAAAFfP3+0=")</f>
        <v>#REF!</v>
      </c>
      <c r="IE547" t="e">
        <f>AND(#REF!,"AAAAAFfP3+4=")</f>
        <v>#REF!</v>
      </c>
      <c r="IF547" t="e">
        <f>AND(#REF!,"AAAAAFfP3+8=")</f>
        <v>#REF!</v>
      </c>
      <c r="IG547" t="e">
        <f>AND(#REF!,"AAAAAFfP3/A=")</f>
        <v>#REF!</v>
      </c>
      <c r="IH547" t="e">
        <f>AND(#REF!,"AAAAAFfP3/E=")</f>
        <v>#REF!</v>
      </c>
      <c r="II547" t="e">
        <f>AND(#REF!,"AAAAAFfP3/I=")</f>
        <v>#REF!</v>
      </c>
      <c r="IJ547" t="e">
        <f>AND(#REF!,"AAAAAFfP3/M=")</f>
        <v>#REF!</v>
      </c>
      <c r="IK547" t="e">
        <f>AND(#REF!,"AAAAAFfP3/Q=")</f>
        <v>#REF!</v>
      </c>
      <c r="IL547" t="e">
        <f>AND(#REF!,"AAAAAFfP3/U=")</f>
        <v>#REF!</v>
      </c>
      <c r="IM547" t="e">
        <f>AND(#REF!,"AAAAAFfP3/Y=")</f>
        <v>#REF!</v>
      </c>
      <c r="IN547" t="e">
        <f>AND(#REF!,"AAAAAFfP3/c=")</f>
        <v>#REF!</v>
      </c>
      <c r="IO547" t="e">
        <f>AND(#REF!,"AAAAAFfP3/g=")</f>
        <v>#REF!</v>
      </c>
      <c r="IP547" t="e">
        <f>AND(#REF!,"AAAAAFfP3/k=")</f>
        <v>#REF!</v>
      </c>
      <c r="IQ547" t="e">
        <f>AND(#REF!,"AAAAAFfP3/o=")</f>
        <v>#REF!</v>
      </c>
      <c r="IR547" t="e">
        <f>AND(#REF!,"AAAAAFfP3/s=")</f>
        <v>#REF!</v>
      </c>
      <c r="IS547" t="e">
        <f>AND(#REF!,"AAAAAFfP3/w=")</f>
        <v>#REF!</v>
      </c>
      <c r="IT547" t="e">
        <f>AND(#REF!,"AAAAAFfP3/0=")</f>
        <v>#REF!</v>
      </c>
      <c r="IU547" t="e">
        <f>AND(#REF!,"AAAAAFfP3/4=")</f>
        <v>#REF!</v>
      </c>
      <c r="IV547" t="e">
        <f>AND(#REF!,"AAAAAFfP3/8=")</f>
        <v>#REF!</v>
      </c>
    </row>
    <row r="548" spans="1:256">
      <c r="A548" t="e">
        <f>AND(#REF!,"AAAAACv+/gA=")</f>
        <v>#REF!</v>
      </c>
      <c r="B548" t="e">
        <f>AND(#REF!,"AAAAACv+/gE=")</f>
        <v>#REF!</v>
      </c>
      <c r="C548" t="e">
        <f>AND(#REF!,"AAAAACv+/gI=")</f>
        <v>#REF!</v>
      </c>
      <c r="D548" t="e">
        <f>IF(#REF!,"AAAAACv+/gM=",0)</f>
        <v>#REF!</v>
      </c>
      <c r="E548" t="e">
        <f>AND(#REF!,"AAAAACv+/gQ=")</f>
        <v>#REF!</v>
      </c>
      <c r="F548" t="e">
        <f>AND(#REF!,"AAAAACv+/gU=")</f>
        <v>#REF!</v>
      </c>
      <c r="G548" t="e">
        <f>AND(#REF!,"AAAAACv+/gY=")</f>
        <v>#REF!</v>
      </c>
      <c r="H548" t="e">
        <f>AND(#REF!,"AAAAACv+/gc=")</f>
        <v>#REF!</v>
      </c>
      <c r="I548" t="e">
        <f>AND(#REF!,"AAAAACv+/gg=")</f>
        <v>#REF!</v>
      </c>
      <c r="J548" t="e">
        <f>AND(#REF!,"AAAAACv+/gk=")</f>
        <v>#REF!</v>
      </c>
      <c r="K548" t="e">
        <f>AND(#REF!,"AAAAACv+/go=")</f>
        <v>#REF!</v>
      </c>
      <c r="L548" t="e">
        <f>AND(#REF!,"AAAAACv+/gs=")</f>
        <v>#REF!</v>
      </c>
      <c r="M548" t="e">
        <f>AND(#REF!,"AAAAACv+/gw=")</f>
        <v>#REF!</v>
      </c>
      <c r="N548" t="e">
        <f>AND(#REF!,"AAAAACv+/g0=")</f>
        <v>#REF!</v>
      </c>
      <c r="O548" t="e">
        <f>AND(#REF!,"AAAAACv+/g4=")</f>
        <v>#REF!</v>
      </c>
      <c r="P548" t="e">
        <f>AND(#REF!,"AAAAACv+/g8=")</f>
        <v>#REF!</v>
      </c>
      <c r="Q548" t="e">
        <f>AND(#REF!,"AAAAACv+/hA=")</f>
        <v>#REF!</v>
      </c>
      <c r="R548" t="e">
        <f>AND(#REF!,"AAAAACv+/hE=")</f>
        <v>#REF!</v>
      </c>
      <c r="S548" t="e">
        <f>AND(#REF!,"AAAAACv+/hI=")</f>
        <v>#REF!</v>
      </c>
      <c r="T548" t="e">
        <f>AND(#REF!,"AAAAACv+/hM=")</f>
        <v>#REF!</v>
      </c>
      <c r="U548" t="e">
        <f>AND(#REF!,"AAAAACv+/hQ=")</f>
        <v>#REF!</v>
      </c>
      <c r="V548" t="e">
        <f>AND(#REF!,"AAAAACv+/hU=")</f>
        <v>#REF!</v>
      </c>
      <c r="W548" t="e">
        <f>AND(#REF!,"AAAAACv+/hY=")</f>
        <v>#REF!</v>
      </c>
      <c r="X548" t="e">
        <f>AND(#REF!,"AAAAACv+/hc=")</f>
        <v>#REF!</v>
      </c>
      <c r="Y548" t="e">
        <f>AND(#REF!,"AAAAACv+/hg=")</f>
        <v>#REF!</v>
      </c>
      <c r="Z548" t="e">
        <f>AND(#REF!,"AAAAACv+/hk=")</f>
        <v>#REF!</v>
      </c>
      <c r="AA548" t="e">
        <f>AND(#REF!,"AAAAACv+/ho=")</f>
        <v>#REF!</v>
      </c>
      <c r="AB548" t="e">
        <f>AND(#REF!,"AAAAACv+/hs=")</f>
        <v>#REF!</v>
      </c>
      <c r="AC548" t="e">
        <f>IF(#REF!,"AAAAACv+/hw=",0)</f>
        <v>#REF!</v>
      </c>
      <c r="AD548" t="e">
        <f>AND(#REF!,"AAAAACv+/h0=")</f>
        <v>#REF!</v>
      </c>
      <c r="AE548" t="e">
        <f>AND(#REF!,"AAAAACv+/h4=")</f>
        <v>#REF!</v>
      </c>
      <c r="AF548" t="e">
        <f>AND(#REF!,"AAAAACv+/h8=")</f>
        <v>#REF!</v>
      </c>
      <c r="AG548" t="e">
        <f>AND(#REF!,"AAAAACv+/iA=")</f>
        <v>#REF!</v>
      </c>
      <c r="AH548" t="e">
        <f>AND(#REF!,"AAAAACv+/iE=")</f>
        <v>#REF!</v>
      </c>
      <c r="AI548" t="e">
        <f>AND(#REF!,"AAAAACv+/iI=")</f>
        <v>#REF!</v>
      </c>
      <c r="AJ548" t="e">
        <f>AND(#REF!,"AAAAACv+/iM=")</f>
        <v>#REF!</v>
      </c>
      <c r="AK548" t="e">
        <f>AND(#REF!,"AAAAACv+/iQ=")</f>
        <v>#REF!</v>
      </c>
      <c r="AL548" t="e">
        <f>AND(#REF!,"AAAAACv+/iU=")</f>
        <v>#REF!</v>
      </c>
      <c r="AM548" t="e">
        <f>AND(#REF!,"AAAAACv+/iY=")</f>
        <v>#REF!</v>
      </c>
      <c r="AN548" t="e">
        <f>AND(#REF!,"AAAAACv+/ic=")</f>
        <v>#REF!</v>
      </c>
      <c r="AO548" t="e">
        <f>AND(#REF!,"AAAAACv+/ig=")</f>
        <v>#REF!</v>
      </c>
      <c r="AP548" t="e">
        <f>AND(#REF!,"AAAAACv+/ik=")</f>
        <v>#REF!</v>
      </c>
      <c r="AQ548" t="e">
        <f>AND(#REF!,"AAAAACv+/io=")</f>
        <v>#REF!</v>
      </c>
      <c r="AR548" t="e">
        <f>AND(#REF!,"AAAAACv+/is=")</f>
        <v>#REF!</v>
      </c>
      <c r="AS548" t="e">
        <f>AND(#REF!,"AAAAACv+/iw=")</f>
        <v>#REF!</v>
      </c>
      <c r="AT548" t="e">
        <f>AND(#REF!,"AAAAACv+/i0=")</f>
        <v>#REF!</v>
      </c>
      <c r="AU548" t="e">
        <f>AND(#REF!,"AAAAACv+/i4=")</f>
        <v>#REF!</v>
      </c>
      <c r="AV548" t="e">
        <f>AND(#REF!,"AAAAACv+/i8=")</f>
        <v>#REF!</v>
      </c>
      <c r="AW548" t="e">
        <f>AND(#REF!,"AAAAACv+/jA=")</f>
        <v>#REF!</v>
      </c>
      <c r="AX548" t="e">
        <f>AND(#REF!,"AAAAACv+/jE=")</f>
        <v>#REF!</v>
      </c>
      <c r="AY548" t="e">
        <f>AND(#REF!,"AAAAACv+/jI=")</f>
        <v>#REF!</v>
      </c>
      <c r="AZ548" t="e">
        <f>AND(#REF!,"AAAAACv+/jM=")</f>
        <v>#REF!</v>
      </c>
      <c r="BA548" t="e">
        <f>AND(#REF!,"AAAAACv+/jQ=")</f>
        <v>#REF!</v>
      </c>
      <c r="BB548" t="e">
        <f>IF(#REF!,"AAAAACv+/jU=",0)</f>
        <v>#REF!</v>
      </c>
      <c r="BC548" t="e">
        <f>AND(#REF!,"AAAAACv+/jY=")</f>
        <v>#REF!</v>
      </c>
      <c r="BD548" t="e">
        <f>AND(#REF!,"AAAAACv+/jc=")</f>
        <v>#REF!</v>
      </c>
      <c r="BE548" t="e">
        <f>AND(#REF!,"AAAAACv+/jg=")</f>
        <v>#REF!</v>
      </c>
      <c r="BF548" t="e">
        <f>AND(#REF!,"AAAAACv+/jk=")</f>
        <v>#REF!</v>
      </c>
      <c r="BG548" t="e">
        <f>AND(#REF!,"AAAAACv+/jo=")</f>
        <v>#REF!</v>
      </c>
      <c r="BH548" t="e">
        <f>AND(#REF!,"AAAAACv+/js=")</f>
        <v>#REF!</v>
      </c>
      <c r="BI548" t="e">
        <f>AND(#REF!,"AAAAACv+/jw=")</f>
        <v>#REF!</v>
      </c>
      <c r="BJ548" t="e">
        <f>AND(#REF!,"AAAAACv+/j0=")</f>
        <v>#REF!</v>
      </c>
      <c r="BK548" t="e">
        <f>AND(#REF!,"AAAAACv+/j4=")</f>
        <v>#REF!</v>
      </c>
      <c r="BL548" t="e">
        <f>AND(#REF!,"AAAAACv+/j8=")</f>
        <v>#REF!</v>
      </c>
      <c r="BM548" t="e">
        <f>AND(#REF!,"AAAAACv+/kA=")</f>
        <v>#REF!</v>
      </c>
      <c r="BN548" t="e">
        <f>AND(#REF!,"AAAAACv+/kE=")</f>
        <v>#REF!</v>
      </c>
      <c r="BO548" t="e">
        <f>AND(#REF!,"AAAAACv+/kI=")</f>
        <v>#REF!</v>
      </c>
      <c r="BP548" t="e">
        <f>AND(#REF!,"AAAAACv+/kM=")</f>
        <v>#REF!</v>
      </c>
      <c r="BQ548" t="e">
        <f>AND(#REF!,"AAAAACv+/kQ=")</f>
        <v>#REF!</v>
      </c>
      <c r="BR548" t="e">
        <f>AND(#REF!,"AAAAACv+/kU=")</f>
        <v>#REF!</v>
      </c>
      <c r="BS548" t="e">
        <f>AND(#REF!,"AAAAACv+/kY=")</f>
        <v>#REF!</v>
      </c>
      <c r="BT548" t="e">
        <f>AND(#REF!,"AAAAACv+/kc=")</f>
        <v>#REF!</v>
      </c>
      <c r="BU548" t="e">
        <f>AND(#REF!,"AAAAACv+/kg=")</f>
        <v>#REF!</v>
      </c>
      <c r="BV548" t="e">
        <f>AND(#REF!,"AAAAACv+/kk=")</f>
        <v>#REF!</v>
      </c>
      <c r="BW548" t="e">
        <f>AND(#REF!,"AAAAACv+/ko=")</f>
        <v>#REF!</v>
      </c>
      <c r="BX548" t="e">
        <f>AND(#REF!,"AAAAACv+/ks=")</f>
        <v>#REF!</v>
      </c>
      <c r="BY548" t="e">
        <f>AND(#REF!,"AAAAACv+/kw=")</f>
        <v>#REF!</v>
      </c>
      <c r="BZ548" t="e">
        <f>AND(#REF!,"AAAAACv+/k0=")</f>
        <v>#REF!</v>
      </c>
      <c r="CA548" t="e">
        <f>IF(#REF!,"AAAAACv+/k4=",0)</f>
        <v>#REF!</v>
      </c>
      <c r="CB548" t="e">
        <f>AND(#REF!,"AAAAACv+/k8=")</f>
        <v>#REF!</v>
      </c>
      <c r="CC548" t="e">
        <f>AND(#REF!,"AAAAACv+/lA=")</f>
        <v>#REF!</v>
      </c>
      <c r="CD548" t="e">
        <f>AND(#REF!,"AAAAACv+/lE=")</f>
        <v>#REF!</v>
      </c>
      <c r="CE548" t="e">
        <f>AND(#REF!,"AAAAACv+/lI=")</f>
        <v>#REF!</v>
      </c>
      <c r="CF548" t="e">
        <f>AND(#REF!,"AAAAACv+/lM=")</f>
        <v>#REF!</v>
      </c>
      <c r="CG548" t="e">
        <f>AND(#REF!,"AAAAACv+/lQ=")</f>
        <v>#REF!</v>
      </c>
      <c r="CH548" t="e">
        <f>AND(#REF!,"AAAAACv+/lU=")</f>
        <v>#REF!</v>
      </c>
      <c r="CI548" t="e">
        <f>AND(#REF!,"AAAAACv+/lY=")</f>
        <v>#REF!</v>
      </c>
      <c r="CJ548" t="e">
        <f>AND(#REF!,"AAAAACv+/lc=")</f>
        <v>#REF!</v>
      </c>
      <c r="CK548" t="e">
        <f>AND(#REF!,"AAAAACv+/lg=")</f>
        <v>#REF!</v>
      </c>
      <c r="CL548" t="e">
        <f>AND(#REF!,"AAAAACv+/lk=")</f>
        <v>#REF!</v>
      </c>
      <c r="CM548" t="e">
        <f>AND(#REF!,"AAAAACv+/lo=")</f>
        <v>#REF!</v>
      </c>
      <c r="CN548" t="e">
        <f>AND(#REF!,"AAAAACv+/ls=")</f>
        <v>#REF!</v>
      </c>
      <c r="CO548" t="e">
        <f>AND(#REF!,"AAAAACv+/lw=")</f>
        <v>#REF!</v>
      </c>
      <c r="CP548" t="e">
        <f>AND(#REF!,"AAAAACv+/l0=")</f>
        <v>#REF!</v>
      </c>
      <c r="CQ548" t="e">
        <f>AND(#REF!,"AAAAACv+/l4=")</f>
        <v>#REF!</v>
      </c>
      <c r="CR548" t="e">
        <f>AND(#REF!,"AAAAACv+/l8=")</f>
        <v>#REF!</v>
      </c>
      <c r="CS548" t="e">
        <f>AND(#REF!,"AAAAACv+/mA=")</f>
        <v>#REF!</v>
      </c>
      <c r="CT548" t="e">
        <f>AND(#REF!,"AAAAACv+/mE=")</f>
        <v>#REF!</v>
      </c>
      <c r="CU548" t="e">
        <f>AND(#REF!,"AAAAACv+/mI=")</f>
        <v>#REF!</v>
      </c>
      <c r="CV548" t="e">
        <f>AND(#REF!,"AAAAACv+/mM=")</f>
        <v>#REF!</v>
      </c>
      <c r="CW548" t="e">
        <f>AND(#REF!,"AAAAACv+/mQ=")</f>
        <v>#REF!</v>
      </c>
      <c r="CX548" t="e">
        <f>AND(#REF!,"AAAAACv+/mU=")</f>
        <v>#REF!</v>
      </c>
      <c r="CY548" t="e">
        <f>AND(#REF!,"AAAAACv+/mY=")</f>
        <v>#REF!</v>
      </c>
      <c r="CZ548" t="e">
        <f>IF(#REF!,"AAAAACv+/mc=",0)</f>
        <v>#REF!</v>
      </c>
      <c r="DA548" t="e">
        <f>AND(#REF!,"AAAAACv+/mg=")</f>
        <v>#REF!</v>
      </c>
      <c r="DB548" t="e">
        <f>AND(#REF!,"AAAAACv+/mk=")</f>
        <v>#REF!</v>
      </c>
      <c r="DC548" t="e">
        <f>AND(#REF!,"AAAAACv+/mo=")</f>
        <v>#REF!</v>
      </c>
      <c r="DD548" t="e">
        <f>AND(#REF!,"AAAAACv+/ms=")</f>
        <v>#REF!</v>
      </c>
      <c r="DE548" t="e">
        <f>AND(#REF!,"AAAAACv+/mw=")</f>
        <v>#REF!</v>
      </c>
      <c r="DF548" t="e">
        <f>AND(#REF!,"AAAAACv+/m0=")</f>
        <v>#REF!</v>
      </c>
      <c r="DG548" t="e">
        <f>AND(#REF!,"AAAAACv+/m4=")</f>
        <v>#REF!</v>
      </c>
      <c r="DH548" t="e">
        <f>AND(#REF!,"AAAAACv+/m8=")</f>
        <v>#REF!</v>
      </c>
      <c r="DI548" t="e">
        <f>AND(#REF!,"AAAAACv+/nA=")</f>
        <v>#REF!</v>
      </c>
      <c r="DJ548" t="e">
        <f>AND(#REF!,"AAAAACv+/nE=")</f>
        <v>#REF!</v>
      </c>
      <c r="DK548" t="e">
        <f>AND(#REF!,"AAAAACv+/nI=")</f>
        <v>#REF!</v>
      </c>
      <c r="DL548" t="e">
        <f>AND(#REF!,"AAAAACv+/nM=")</f>
        <v>#REF!</v>
      </c>
      <c r="DM548" t="e">
        <f>AND(#REF!,"AAAAACv+/nQ=")</f>
        <v>#REF!</v>
      </c>
      <c r="DN548" t="e">
        <f>AND(#REF!,"AAAAACv+/nU=")</f>
        <v>#REF!</v>
      </c>
      <c r="DO548" t="e">
        <f>AND(#REF!,"AAAAACv+/nY=")</f>
        <v>#REF!</v>
      </c>
      <c r="DP548" t="e">
        <f>AND(#REF!,"AAAAACv+/nc=")</f>
        <v>#REF!</v>
      </c>
      <c r="DQ548" t="e">
        <f>AND(#REF!,"AAAAACv+/ng=")</f>
        <v>#REF!</v>
      </c>
      <c r="DR548" t="e">
        <f>AND(#REF!,"AAAAACv+/nk=")</f>
        <v>#REF!</v>
      </c>
      <c r="DS548" t="e">
        <f>AND(#REF!,"AAAAACv+/no=")</f>
        <v>#REF!</v>
      </c>
      <c r="DT548" t="e">
        <f>AND(#REF!,"AAAAACv+/ns=")</f>
        <v>#REF!</v>
      </c>
      <c r="DU548" t="e">
        <f>AND(#REF!,"AAAAACv+/nw=")</f>
        <v>#REF!</v>
      </c>
      <c r="DV548" t="e">
        <f>AND(#REF!,"AAAAACv+/n0=")</f>
        <v>#REF!</v>
      </c>
      <c r="DW548" t="e">
        <f>AND(#REF!,"AAAAACv+/n4=")</f>
        <v>#REF!</v>
      </c>
      <c r="DX548" t="e">
        <f>AND(#REF!,"AAAAACv+/n8=")</f>
        <v>#REF!</v>
      </c>
      <c r="DY548" t="e">
        <f>IF(#REF!,"AAAAACv+/oA=",0)</f>
        <v>#REF!</v>
      </c>
      <c r="DZ548" t="e">
        <f>AND(#REF!,"AAAAACv+/oE=")</f>
        <v>#REF!</v>
      </c>
      <c r="EA548" t="e">
        <f>AND(#REF!,"AAAAACv+/oI=")</f>
        <v>#REF!</v>
      </c>
      <c r="EB548" t="e">
        <f>AND(#REF!,"AAAAACv+/oM=")</f>
        <v>#REF!</v>
      </c>
      <c r="EC548" t="e">
        <f>AND(#REF!,"AAAAACv+/oQ=")</f>
        <v>#REF!</v>
      </c>
      <c r="ED548" t="e">
        <f>AND(#REF!,"AAAAACv+/oU=")</f>
        <v>#REF!</v>
      </c>
      <c r="EE548" t="e">
        <f>AND(#REF!,"AAAAACv+/oY=")</f>
        <v>#REF!</v>
      </c>
      <c r="EF548" t="e">
        <f>AND(#REF!,"AAAAACv+/oc=")</f>
        <v>#REF!</v>
      </c>
      <c r="EG548" t="e">
        <f>AND(#REF!,"AAAAACv+/og=")</f>
        <v>#REF!</v>
      </c>
      <c r="EH548" t="e">
        <f>AND(#REF!,"AAAAACv+/ok=")</f>
        <v>#REF!</v>
      </c>
      <c r="EI548" t="e">
        <f>AND(#REF!,"AAAAACv+/oo=")</f>
        <v>#REF!</v>
      </c>
      <c r="EJ548" t="e">
        <f>AND(#REF!,"AAAAACv+/os=")</f>
        <v>#REF!</v>
      </c>
      <c r="EK548" t="e">
        <f>AND(#REF!,"AAAAACv+/ow=")</f>
        <v>#REF!</v>
      </c>
      <c r="EL548" t="e">
        <f>AND(#REF!,"AAAAACv+/o0=")</f>
        <v>#REF!</v>
      </c>
      <c r="EM548" t="e">
        <f>AND(#REF!,"AAAAACv+/o4=")</f>
        <v>#REF!</v>
      </c>
      <c r="EN548" t="e">
        <f>AND(#REF!,"AAAAACv+/o8=")</f>
        <v>#REF!</v>
      </c>
      <c r="EO548" t="e">
        <f>AND(#REF!,"AAAAACv+/pA=")</f>
        <v>#REF!</v>
      </c>
      <c r="EP548" t="e">
        <f>AND(#REF!,"AAAAACv+/pE=")</f>
        <v>#REF!</v>
      </c>
      <c r="EQ548" t="e">
        <f>AND(#REF!,"AAAAACv+/pI=")</f>
        <v>#REF!</v>
      </c>
      <c r="ER548" t="e">
        <f>AND(#REF!,"AAAAACv+/pM=")</f>
        <v>#REF!</v>
      </c>
      <c r="ES548" t="e">
        <f>AND(#REF!,"AAAAACv+/pQ=")</f>
        <v>#REF!</v>
      </c>
      <c r="ET548" t="e">
        <f>AND(#REF!,"AAAAACv+/pU=")</f>
        <v>#REF!</v>
      </c>
      <c r="EU548" t="e">
        <f>AND(#REF!,"AAAAACv+/pY=")</f>
        <v>#REF!</v>
      </c>
      <c r="EV548" t="e">
        <f>AND(#REF!,"AAAAACv+/pc=")</f>
        <v>#REF!</v>
      </c>
      <c r="EW548" t="e">
        <f>AND(#REF!,"AAAAACv+/pg=")</f>
        <v>#REF!</v>
      </c>
      <c r="EX548" t="e">
        <f>IF(#REF!,"AAAAACv+/pk=",0)</f>
        <v>#REF!</v>
      </c>
      <c r="EY548" t="e">
        <f>AND(#REF!,"AAAAACv+/po=")</f>
        <v>#REF!</v>
      </c>
      <c r="EZ548" t="e">
        <f>AND(#REF!,"AAAAACv+/ps=")</f>
        <v>#REF!</v>
      </c>
      <c r="FA548" t="e">
        <f>AND(#REF!,"AAAAACv+/pw=")</f>
        <v>#REF!</v>
      </c>
      <c r="FB548" t="e">
        <f>AND(#REF!,"AAAAACv+/p0=")</f>
        <v>#REF!</v>
      </c>
      <c r="FC548" t="e">
        <f>AND(#REF!,"AAAAACv+/p4=")</f>
        <v>#REF!</v>
      </c>
      <c r="FD548" t="e">
        <f>AND(#REF!,"AAAAACv+/p8=")</f>
        <v>#REF!</v>
      </c>
      <c r="FE548" t="e">
        <f>AND(#REF!,"AAAAACv+/qA=")</f>
        <v>#REF!</v>
      </c>
      <c r="FF548" t="e">
        <f>AND(#REF!,"AAAAACv+/qE=")</f>
        <v>#REF!</v>
      </c>
      <c r="FG548" t="e">
        <f>AND(#REF!,"AAAAACv+/qI=")</f>
        <v>#REF!</v>
      </c>
      <c r="FH548" t="e">
        <f>AND(#REF!,"AAAAACv+/qM=")</f>
        <v>#REF!</v>
      </c>
      <c r="FI548" t="e">
        <f>AND(#REF!,"AAAAACv+/qQ=")</f>
        <v>#REF!</v>
      </c>
      <c r="FJ548" t="e">
        <f>AND(#REF!,"AAAAACv+/qU=")</f>
        <v>#REF!</v>
      </c>
      <c r="FK548" t="e">
        <f>AND(#REF!,"AAAAACv+/qY=")</f>
        <v>#REF!</v>
      </c>
      <c r="FL548" t="e">
        <f>AND(#REF!,"AAAAACv+/qc=")</f>
        <v>#REF!</v>
      </c>
      <c r="FM548" t="e">
        <f>AND(#REF!,"AAAAACv+/qg=")</f>
        <v>#REF!</v>
      </c>
      <c r="FN548" t="e">
        <f>AND(#REF!,"AAAAACv+/qk=")</f>
        <v>#REF!</v>
      </c>
      <c r="FO548" t="e">
        <f>AND(#REF!,"AAAAACv+/qo=")</f>
        <v>#REF!</v>
      </c>
      <c r="FP548" t="e">
        <f>AND(#REF!,"AAAAACv+/qs=")</f>
        <v>#REF!</v>
      </c>
      <c r="FQ548" t="e">
        <f>AND(#REF!,"AAAAACv+/qw=")</f>
        <v>#REF!</v>
      </c>
      <c r="FR548" t="e">
        <f>AND(#REF!,"AAAAACv+/q0=")</f>
        <v>#REF!</v>
      </c>
      <c r="FS548" t="e">
        <f>AND(#REF!,"AAAAACv+/q4=")</f>
        <v>#REF!</v>
      </c>
      <c r="FT548" t="e">
        <f>AND(#REF!,"AAAAACv+/q8=")</f>
        <v>#REF!</v>
      </c>
      <c r="FU548" t="e">
        <f>AND(#REF!,"AAAAACv+/rA=")</f>
        <v>#REF!</v>
      </c>
      <c r="FV548" t="e">
        <f>AND(#REF!,"AAAAACv+/rE=")</f>
        <v>#REF!</v>
      </c>
      <c r="FW548" t="e">
        <f>IF(#REF!,"AAAAACv+/rI=",0)</f>
        <v>#REF!</v>
      </c>
      <c r="FX548" t="e">
        <f>AND(#REF!,"AAAAACv+/rM=")</f>
        <v>#REF!</v>
      </c>
      <c r="FY548" t="e">
        <f>AND(#REF!,"AAAAACv+/rQ=")</f>
        <v>#REF!</v>
      </c>
      <c r="FZ548" t="e">
        <f>AND(#REF!,"AAAAACv+/rU=")</f>
        <v>#REF!</v>
      </c>
      <c r="GA548" t="e">
        <f>AND(#REF!,"AAAAACv+/rY=")</f>
        <v>#REF!</v>
      </c>
      <c r="GB548" t="e">
        <f>AND(#REF!,"AAAAACv+/rc=")</f>
        <v>#REF!</v>
      </c>
      <c r="GC548" t="e">
        <f>AND(#REF!,"AAAAACv+/rg=")</f>
        <v>#REF!</v>
      </c>
      <c r="GD548" t="e">
        <f>AND(#REF!,"AAAAACv+/rk=")</f>
        <v>#REF!</v>
      </c>
      <c r="GE548" t="e">
        <f>AND(#REF!,"AAAAACv+/ro=")</f>
        <v>#REF!</v>
      </c>
      <c r="GF548" t="e">
        <f>AND(#REF!,"AAAAACv+/rs=")</f>
        <v>#REF!</v>
      </c>
      <c r="GG548" t="e">
        <f>AND(#REF!,"AAAAACv+/rw=")</f>
        <v>#REF!</v>
      </c>
      <c r="GH548" t="e">
        <f>AND(#REF!,"AAAAACv+/r0=")</f>
        <v>#REF!</v>
      </c>
      <c r="GI548" t="e">
        <f>AND(#REF!,"AAAAACv+/r4=")</f>
        <v>#REF!</v>
      </c>
      <c r="GJ548" t="e">
        <f>AND(#REF!,"AAAAACv+/r8=")</f>
        <v>#REF!</v>
      </c>
      <c r="GK548" t="e">
        <f>AND(#REF!,"AAAAACv+/sA=")</f>
        <v>#REF!</v>
      </c>
      <c r="GL548" t="e">
        <f>AND(#REF!,"AAAAACv+/sE=")</f>
        <v>#REF!</v>
      </c>
      <c r="GM548" t="e">
        <f>AND(#REF!,"AAAAACv+/sI=")</f>
        <v>#REF!</v>
      </c>
      <c r="GN548" t="e">
        <f>AND(#REF!,"AAAAACv+/sM=")</f>
        <v>#REF!</v>
      </c>
      <c r="GO548" t="e">
        <f>AND(#REF!,"AAAAACv+/sQ=")</f>
        <v>#REF!</v>
      </c>
      <c r="GP548" t="e">
        <f>AND(#REF!,"AAAAACv+/sU=")</f>
        <v>#REF!</v>
      </c>
      <c r="GQ548" t="e">
        <f>AND(#REF!,"AAAAACv+/sY=")</f>
        <v>#REF!</v>
      </c>
      <c r="GR548" t="e">
        <f>AND(#REF!,"AAAAACv+/sc=")</f>
        <v>#REF!</v>
      </c>
      <c r="GS548" t="e">
        <f>AND(#REF!,"AAAAACv+/sg=")</f>
        <v>#REF!</v>
      </c>
      <c r="GT548" t="e">
        <f>AND(#REF!,"AAAAACv+/sk=")</f>
        <v>#REF!</v>
      </c>
      <c r="GU548" t="e">
        <f>AND(#REF!,"AAAAACv+/so=")</f>
        <v>#REF!</v>
      </c>
      <c r="GV548" t="e">
        <f>IF(#REF!,"AAAAACv+/ss=",0)</f>
        <v>#REF!</v>
      </c>
      <c r="GW548" t="e">
        <f>AND(#REF!,"AAAAACv+/sw=")</f>
        <v>#REF!</v>
      </c>
      <c r="GX548" t="e">
        <f>AND(#REF!,"AAAAACv+/s0=")</f>
        <v>#REF!</v>
      </c>
      <c r="GY548" t="e">
        <f>AND(#REF!,"AAAAACv+/s4=")</f>
        <v>#REF!</v>
      </c>
      <c r="GZ548" t="e">
        <f>AND(#REF!,"AAAAACv+/s8=")</f>
        <v>#REF!</v>
      </c>
      <c r="HA548" t="e">
        <f>AND(#REF!,"AAAAACv+/tA=")</f>
        <v>#REF!</v>
      </c>
      <c r="HB548" t="e">
        <f>AND(#REF!,"AAAAACv+/tE=")</f>
        <v>#REF!</v>
      </c>
      <c r="HC548" t="e">
        <f>AND(#REF!,"AAAAACv+/tI=")</f>
        <v>#REF!</v>
      </c>
      <c r="HD548" t="e">
        <f>AND(#REF!,"AAAAACv+/tM=")</f>
        <v>#REF!</v>
      </c>
      <c r="HE548" t="e">
        <f>AND(#REF!,"AAAAACv+/tQ=")</f>
        <v>#REF!</v>
      </c>
      <c r="HF548" t="e">
        <f>AND(#REF!,"AAAAACv+/tU=")</f>
        <v>#REF!</v>
      </c>
      <c r="HG548" t="e">
        <f>AND(#REF!,"AAAAACv+/tY=")</f>
        <v>#REF!</v>
      </c>
      <c r="HH548" t="e">
        <f>AND(#REF!,"AAAAACv+/tc=")</f>
        <v>#REF!</v>
      </c>
      <c r="HI548" t="e">
        <f>AND(#REF!,"AAAAACv+/tg=")</f>
        <v>#REF!</v>
      </c>
      <c r="HJ548" t="e">
        <f>AND(#REF!,"AAAAACv+/tk=")</f>
        <v>#REF!</v>
      </c>
      <c r="HK548" t="e">
        <f>AND(#REF!,"AAAAACv+/to=")</f>
        <v>#REF!</v>
      </c>
      <c r="HL548" t="e">
        <f>AND(#REF!,"AAAAACv+/ts=")</f>
        <v>#REF!</v>
      </c>
      <c r="HM548" t="e">
        <f>AND(#REF!,"AAAAACv+/tw=")</f>
        <v>#REF!</v>
      </c>
      <c r="HN548" t="e">
        <f>AND(#REF!,"AAAAACv+/t0=")</f>
        <v>#REF!</v>
      </c>
      <c r="HO548" t="e">
        <f>AND(#REF!,"AAAAACv+/t4=")</f>
        <v>#REF!</v>
      </c>
      <c r="HP548" t="e">
        <f>AND(#REF!,"AAAAACv+/t8=")</f>
        <v>#REF!</v>
      </c>
      <c r="HQ548" t="e">
        <f>AND(#REF!,"AAAAACv+/uA=")</f>
        <v>#REF!</v>
      </c>
      <c r="HR548" t="e">
        <f>AND(#REF!,"AAAAACv+/uE=")</f>
        <v>#REF!</v>
      </c>
      <c r="HS548" t="e">
        <f>AND(#REF!,"AAAAACv+/uI=")</f>
        <v>#REF!</v>
      </c>
      <c r="HT548" t="e">
        <f>AND(#REF!,"AAAAACv+/uM=")</f>
        <v>#REF!</v>
      </c>
      <c r="HU548" t="e">
        <f>IF(#REF!,"AAAAACv+/uQ=",0)</f>
        <v>#REF!</v>
      </c>
      <c r="HV548" t="e">
        <f>AND(#REF!,"AAAAACv+/uU=")</f>
        <v>#REF!</v>
      </c>
      <c r="HW548" t="e">
        <f>AND(#REF!,"AAAAACv+/uY=")</f>
        <v>#REF!</v>
      </c>
      <c r="HX548" t="e">
        <f>AND(#REF!,"AAAAACv+/uc=")</f>
        <v>#REF!</v>
      </c>
      <c r="HY548" t="e">
        <f>AND(#REF!,"AAAAACv+/ug=")</f>
        <v>#REF!</v>
      </c>
      <c r="HZ548" t="e">
        <f>AND(#REF!,"AAAAACv+/uk=")</f>
        <v>#REF!</v>
      </c>
      <c r="IA548" t="e">
        <f>AND(#REF!,"AAAAACv+/uo=")</f>
        <v>#REF!</v>
      </c>
      <c r="IB548" t="e">
        <f>AND(#REF!,"AAAAACv+/us=")</f>
        <v>#REF!</v>
      </c>
      <c r="IC548" t="e">
        <f>AND(#REF!,"AAAAACv+/uw=")</f>
        <v>#REF!</v>
      </c>
      <c r="ID548" t="e">
        <f>AND(#REF!,"AAAAACv+/u0=")</f>
        <v>#REF!</v>
      </c>
      <c r="IE548" t="e">
        <f>AND(#REF!,"AAAAACv+/u4=")</f>
        <v>#REF!</v>
      </c>
      <c r="IF548" t="e">
        <f>AND(#REF!,"AAAAACv+/u8=")</f>
        <v>#REF!</v>
      </c>
      <c r="IG548" t="e">
        <f>AND(#REF!,"AAAAACv+/vA=")</f>
        <v>#REF!</v>
      </c>
      <c r="IH548" t="e">
        <f>AND(#REF!,"AAAAACv+/vE=")</f>
        <v>#REF!</v>
      </c>
      <c r="II548" t="e">
        <f>AND(#REF!,"AAAAACv+/vI=")</f>
        <v>#REF!</v>
      </c>
      <c r="IJ548" t="e">
        <f>AND(#REF!,"AAAAACv+/vM=")</f>
        <v>#REF!</v>
      </c>
      <c r="IK548" t="e">
        <f>AND(#REF!,"AAAAACv+/vQ=")</f>
        <v>#REF!</v>
      </c>
      <c r="IL548" t="e">
        <f>AND(#REF!,"AAAAACv+/vU=")</f>
        <v>#REF!</v>
      </c>
      <c r="IM548" t="e">
        <f>AND(#REF!,"AAAAACv+/vY=")</f>
        <v>#REF!</v>
      </c>
      <c r="IN548" t="e">
        <f>AND(#REF!,"AAAAACv+/vc=")</f>
        <v>#REF!</v>
      </c>
      <c r="IO548" t="e">
        <f>AND(#REF!,"AAAAACv+/vg=")</f>
        <v>#REF!</v>
      </c>
      <c r="IP548" t="e">
        <f>AND(#REF!,"AAAAACv+/vk=")</f>
        <v>#REF!</v>
      </c>
      <c r="IQ548" t="e">
        <f>AND(#REF!,"AAAAACv+/vo=")</f>
        <v>#REF!</v>
      </c>
      <c r="IR548" t="e">
        <f>AND(#REF!,"AAAAACv+/vs=")</f>
        <v>#REF!</v>
      </c>
      <c r="IS548" t="e">
        <f>AND(#REF!,"AAAAACv+/vw=")</f>
        <v>#REF!</v>
      </c>
      <c r="IT548" t="e">
        <f>IF(#REF!,"AAAAACv+/v0=",0)</f>
        <v>#REF!</v>
      </c>
      <c r="IU548" t="e">
        <f>AND(#REF!,"AAAAACv+/v4=")</f>
        <v>#REF!</v>
      </c>
      <c r="IV548" t="e">
        <f>AND(#REF!,"AAAAACv+/v8=")</f>
        <v>#REF!</v>
      </c>
    </row>
    <row r="549" spans="1:256">
      <c r="A549" t="e">
        <f>AND(#REF!,"AAAAAAh63AA=")</f>
        <v>#REF!</v>
      </c>
      <c r="B549" t="e">
        <f>AND(#REF!,"AAAAAAh63AE=")</f>
        <v>#REF!</v>
      </c>
      <c r="C549" t="e">
        <f>AND(#REF!,"AAAAAAh63AI=")</f>
        <v>#REF!</v>
      </c>
      <c r="D549" t="e">
        <f>AND(#REF!,"AAAAAAh63AM=")</f>
        <v>#REF!</v>
      </c>
      <c r="E549" t="e">
        <f>AND(#REF!,"AAAAAAh63AQ=")</f>
        <v>#REF!</v>
      </c>
      <c r="F549" t="e">
        <f>AND(#REF!,"AAAAAAh63AU=")</f>
        <v>#REF!</v>
      </c>
      <c r="G549" t="e">
        <f>AND(#REF!,"AAAAAAh63AY=")</f>
        <v>#REF!</v>
      </c>
      <c r="H549" t="e">
        <f>AND(#REF!,"AAAAAAh63Ac=")</f>
        <v>#REF!</v>
      </c>
      <c r="I549" t="e">
        <f>AND(#REF!,"AAAAAAh63Ag=")</f>
        <v>#REF!</v>
      </c>
      <c r="J549" t="e">
        <f>AND(#REF!,"AAAAAAh63Ak=")</f>
        <v>#REF!</v>
      </c>
      <c r="K549" t="e">
        <f>AND(#REF!,"AAAAAAh63Ao=")</f>
        <v>#REF!</v>
      </c>
      <c r="L549" t="e">
        <f>AND(#REF!,"AAAAAAh63As=")</f>
        <v>#REF!</v>
      </c>
      <c r="M549" t="e">
        <f>AND(#REF!,"AAAAAAh63Aw=")</f>
        <v>#REF!</v>
      </c>
      <c r="N549" t="e">
        <f>AND(#REF!,"AAAAAAh63A0=")</f>
        <v>#REF!</v>
      </c>
      <c r="O549" t="e">
        <f>AND(#REF!,"AAAAAAh63A4=")</f>
        <v>#REF!</v>
      </c>
      <c r="P549" t="e">
        <f>AND(#REF!,"AAAAAAh63A8=")</f>
        <v>#REF!</v>
      </c>
      <c r="Q549" t="e">
        <f>AND(#REF!,"AAAAAAh63BA=")</f>
        <v>#REF!</v>
      </c>
      <c r="R549" t="e">
        <f>AND(#REF!,"AAAAAAh63BE=")</f>
        <v>#REF!</v>
      </c>
      <c r="S549" t="e">
        <f>AND(#REF!,"AAAAAAh63BI=")</f>
        <v>#REF!</v>
      </c>
      <c r="T549" t="e">
        <f>AND(#REF!,"AAAAAAh63BM=")</f>
        <v>#REF!</v>
      </c>
      <c r="U549" t="e">
        <f>AND(#REF!,"AAAAAAh63BQ=")</f>
        <v>#REF!</v>
      </c>
      <c r="V549" t="e">
        <f>AND(#REF!,"AAAAAAh63BU=")</f>
        <v>#REF!</v>
      </c>
      <c r="W549" t="e">
        <f>IF(#REF!,"AAAAAAh63BY=",0)</f>
        <v>#REF!</v>
      </c>
      <c r="X549" t="e">
        <f>AND(#REF!,"AAAAAAh63Bc=")</f>
        <v>#REF!</v>
      </c>
      <c r="Y549" t="e">
        <f>AND(#REF!,"AAAAAAh63Bg=")</f>
        <v>#REF!</v>
      </c>
      <c r="Z549" t="e">
        <f>AND(#REF!,"AAAAAAh63Bk=")</f>
        <v>#REF!</v>
      </c>
      <c r="AA549" t="e">
        <f>AND(#REF!,"AAAAAAh63Bo=")</f>
        <v>#REF!</v>
      </c>
      <c r="AB549" t="e">
        <f>AND(#REF!,"AAAAAAh63Bs=")</f>
        <v>#REF!</v>
      </c>
      <c r="AC549" t="e">
        <f>AND(#REF!,"AAAAAAh63Bw=")</f>
        <v>#REF!</v>
      </c>
      <c r="AD549" t="e">
        <f>AND(#REF!,"AAAAAAh63B0=")</f>
        <v>#REF!</v>
      </c>
      <c r="AE549" t="e">
        <f>AND(#REF!,"AAAAAAh63B4=")</f>
        <v>#REF!</v>
      </c>
      <c r="AF549" t="e">
        <f>AND(#REF!,"AAAAAAh63B8=")</f>
        <v>#REF!</v>
      </c>
      <c r="AG549" t="e">
        <f>AND(#REF!,"AAAAAAh63CA=")</f>
        <v>#REF!</v>
      </c>
      <c r="AH549" t="e">
        <f>AND(#REF!,"AAAAAAh63CE=")</f>
        <v>#REF!</v>
      </c>
      <c r="AI549" t="e">
        <f>AND(#REF!,"AAAAAAh63CI=")</f>
        <v>#REF!</v>
      </c>
      <c r="AJ549" t="e">
        <f>AND(#REF!,"AAAAAAh63CM=")</f>
        <v>#REF!</v>
      </c>
      <c r="AK549" t="e">
        <f>AND(#REF!,"AAAAAAh63CQ=")</f>
        <v>#REF!</v>
      </c>
      <c r="AL549" t="e">
        <f>AND(#REF!,"AAAAAAh63CU=")</f>
        <v>#REF!</v>
      </c>
      <c r="AM549" t="e">
        <f>AND(#REF!,"AAAAAAh63CY=")</f>
        <v>#REF!</v>
      </c>
      <c r="AN549" t="e">
        <f>AND(#REF!,"AAAAAAh63Cc=")</f>
        <v>#REF!</v>
      </c>
      <c r="AO549" t="e">
        <f>AND(#REF!,"AAAAAAh63Cg=")</f>
        <v>#REF!</v>
      </c>
      <c r="AP549" t="e">
        <f>AND(#REF!,"AAAAAAh63Ck=")</f>
        <v>#REF!</v>
      </c>
      <c r="AQ549" t="e">
        <f>AND(#REF!,"AAAAAAh63Co=")</f>
        <v>#REF!</v>
      </c>
      <c r="AR549" t="e">
        <f>AND(#REF!,"AAAAAAh63Cs=")</f>
        <v>#REF!</v>
      </c>
      <c r="AS549" t="e">
        <f>AND(#REF!,"AAAAAAh63Cw=")</f>
        <v>#REF!</v>
      </c>
      <c r="AT549" t="e">
        <f>AND(#REF!,"AAAAAAh63C0=")</f>
        <v>#REF!</v>
      </c>
      <c r="AU549" t="e">
        <f>AND(#REF!,"AAAAAAh63C4=")</f>
        <v>#REF!</v>
      </c>
      <c r="AV549" t="e">
        <f>IF(#REF!,"AAAAAAh63C8=",0)</f>
        <v>#REF!</v>
      </c>
      <c r="AW549" t="e">
        <f>AND(#REF!,"AAAAAAh63DA=")</f>
        <v>#REF!</v>
      </c>
      <c r="AX549" t="e">
        <f>AND(#REF!,"AAAAAAh63DE=")</f>
        <v>#REF!</v>
      </c>
      <c r="AY549" t="e">
        <f>AND(#REF!,"AAAAAAh63DI=")</f>
        <v>#REF!</v>
      </c>
      <c r="AZ549" t="e">
        <f>AND(#REF!,"AAAAAAh63DM=")</f>
        <v>#REF!</v>
      </c>
      <c r="BA549" t="e">
        <f>AND(#REF!,"AAAAAAh63DQ=")</f>
        <v>#REF!</v>
      </c>
      <c r="BB549" t="e">
        <f>AND(#REF!,"AAAAAAh63DU=")</f>
        <v>#REF!</v>
      </c>
      <c r="BC549" t="e">
        <f>AND(#REF!,"AAAAAAh63DY=")</f>
        <v>#REF!</v>
      </c>
      <c r="BD549" t="e">
        <f>AND(#REF!,"AAAAAAh63Dc=")</f>
        <v>#REF!</v>
      </c>
      <c r="BE549" t="e">
        <f>AND(#REF!,"AAAAAAh63Dg=")</f>
        <v>#REF!</v>
      </c>
      <c r="BF549" t="e">
        <f>AND(#REF!,"AAAAAAh63Dk=")</f>
        <v>#REF!</v>
      </c>
      <c r="BG549" t="e">
        <f>AND(#REF!,"AAAAAAh63Do=")</f>
        <v>#REF!</v>
      </c>
      <c r="BH549" t="e">
        <f>AND(#REF!,"AAAAAAh63Ds=")</f>
        <v>#REF!</v>
      </c>
      <c r="BI549" t="e">
        <f>AND(#REF!,"AAAAAAh63Dw=")</f>
        <v>#REF!</v>
      </c>
      <c r="BJ549" t="e">
        <f>AND(#REF!,"AAAAAAh63D0=")</f>
        <v>#REF!</v>
      </c>
      <c r="BK549" t="e">
        <f>AND(#REF!,"AAAAAAh63D4=")</f>
        <v>#REF!</v>
      </c>
      <c r="BL549" t="e">
        <f>AND(#REF!,"AAAAAAh63D8=")</f>
        <v>#REF!</v>
      </c>
      <c r="BM549" t="e">
        <f>AND(#REF!,"AAAAAAh63EA=")</f>
        <v>#REF!</v>
      </c>
      <c r="BN549" t="e">
        <f>AND(#REF!,"AAAAAAh63EE=")</f>
        <v>#REF!</v>
      </c>
      <c r="BO549" t="e">
        <f>AND(#REF!,"AAAAAAh63EI=")</f>
        <v>#REF!</v>
      </c>
      <c r="BP549" t="e">
        <f>AND(#REF!,"AAAAAAh63EM=")</f>
        <v>#REF!</v>
      </c>
      <c r="BQ549" t="e">
        <f>AND(#REF!,"AAAAAAh63EQ=")</f>
        <v>#REF!</v>
      </c>
      <c r="BR549" t="e">
        <f>AND(#REF!,"AAAAAAh63EU=")</f>
        <v>#REF!</v>
      </c>
      <c r="BS549" t="e">
        <f>AND(#REF!,"AAAAAAh63EY=")</f>
        <v>#REF!</v>
      </c>
      <c r="BT549" t="e">
        <f>AND(#REF!,"AAAAAAh63Ec=")</f>
        <v>#REF!</v>
      </c>
      <c r="BU549" t="e">
        <f>IF(#REF!,"AAAAAAh63Eg=",0)</f>
        <v>#REF!</v>
      </c>
      <c r="BV549" t="e">
        <f>AND(#REF!,"AAAAAAh63Ek=")</f>
        <v>#REF!</v>
      </c>
      <c r="BW549" t="e">
        <f>AND(#REF!,"AAAAAAh63Eo=")</f>
        <v>#REF!</v>
      </c>
      <c r="BX549" t="e">
        <f>AND(#REF!,"AAAAAAh63Es=")</f>
        <v>#REF!</v>
      </c>
      <c r="BY549" t="e">
        <f>AND(#REF!,"AAAAAAh63Ew=")</f>
        <v>#REF!</v>
      </c>
      <c r="BZ549" t="e">
        <f>AND(#REF!,"AAAAAAh63E0=")</f>
        <v>#REF!</v>
      </c>
      <c r="CA549" t="e">
        <f>AND(#REF!,"AAAAAAh63E4=")</f>
        <v>#REF!</v>
      </c>
      <c r="CB549" t="e">
        <f>AND(#REF!,"AAAAAAh63E8=")</f>
        <v>#REF!</v>
      </c>
      <c r="CC549" t="e">
        <f>AND(#REF!,"AAAAAAh63FA=")</f>
        <v>#REF!</v>
      </c>
      <c r="CD549" t="e">
        <f>AND(#REF!,"AAAAAAh63FE=")</f>
        <v>#REF!</v>
      </c>
      <c r="CE549" t="e">
        <f>AND(#REF!,"AAAAAAh63FI=")</f>
        <v>#REF!</v>
      </c>
      <c r="CF549" t="e">
        <f>AND(#REF!,"AAAAAAh63FM=")</f>
        <v>#REF!</v>
      </c>
      <c r="CG549" t="e">
        <f>AND(#REF!,"AAAAAAh63FQ=")</f>
        <v>#REF!</v>
      </c>
      <c r="CH549" t="e">
        <f>AND(#REF!,"AAAAAAh63FU=")</f>
        <v>#REF!</v>
      </c>
      <c r="CI549" t="e">
        <f>AND(#REF!,"AAAAAAh63FY=")</f>
        <v>#REF!</v>
      </c>
      <c r="CJ549" t="e">
        <f>AND(#REF!,"AAAAAAh63Fc=")</f>
        <v>#REF!</v>
      </c>
      <c r="CK549" t="e">
        <f>AND(#REF!,"AAAAAAh63Fg=")</f>
        <v>#REF!</v>
      </c>
      <c r="CL549" t="e">
        <f>AND(#REF!,"AAAAAAh63Fk=")</f>
        <v>#REF!</v>
      </c>
      <c r="CM549" t="e">
        <f>AND(#REF!,"AAAAAAh63Fo=")</f>
        <v>#REF!</v>
      </c>
      <c r="CN549" t="e">
        <f>AND(#REF!,"AAAAAAh63Fs=")</f>
        <v>#REF!</v>
      </c>
      <c r="CO549" t="e">
        <f>AND(#REF!,"AAAAAAh63Fw=")</f>
        <v>#REF!</v>
      </c>
      <c r="CP549" t="e">
        <f>AND(#REF!,"AAAAAAh63F0=")</f>
        <v>#REF!</v>
      </c>
      <c r="CQ549" t="e">
        <f>AND(#REF!,"AAAAAAh63F4=")</f>
        <v>#REF!</v>
      </c>
      <c r="CR549" t="e">
        <f>AND(#REF!,"AAAAAAh63F8=")</f>
        <v>#REF!</v>
      </c>
      <c r="CS549" t="e">
        <f>AND(#REF!,"AAAAAAh63GA=")</f>
        <v>#REF!</v>
      </c>
      <c r="CT549" t="e">
        <f>IF(#REF!,"AAAAAAh63GE=",0)</f>
        <v>#REF!</v>
      </c>
      <c r="CU549" t="e">
        <f>AND(#REF!,"AAAAAAh63GI=")</f>
        <v>#REF!</v>
      </c>
      <c r="CV549" t="e">
        <f>AND(#REF!,"AAAAAAh63GM=")</f>
        <v>#REF!</v>
      </c>
      <c r="CW549" t="e">
        <f>AND(#REF!,"AAAAAAh63GQ=")</f>
        <v>#REF!</v>
      </c>
      <c r="CX549" t="e">
        <f>AND(#REF!,"AAAAAAh63GU=")</f>
        <v>#REF!</v>
      </c>
      <c r="CY549" t="e">
        <f>AND(#REF!,"AAAAAAh63GY=")</f>
        <v>#REF!</v>
      </c>
      <c r="CZ549" t="e">
        <f>AND(#REF!,"AAAAAAh63Gc=")</f>
        <v>#REF!</v>
      </c>
      <c r="DA549" t="e">
        <f>AND(#REF!,"AAAAAAh63Gg=")</f>
        <v>#REF!</v>
      </c>
      <c r="DB549" t="e">
        <f>AND(#REF!,"AAAAAAh63Gk=")</f>
        <v>#REF!</v>
      </c>
      <c r="DC549" t="e">
        <f>AND(#REF!,"AAAAAAh63Go=")</f>
        <v>#REF!</v>
      </c>
      <c r="DD549" t="e">
        <f>AND(#REF!,"AAAAAAh63Gs=")</f>
        <v>#REF!</v>
      </c>
      <c r="DE549" t="e">
        <f>AND(#REF!,"AAAAAAh63Gw=")</f>
        <v>#REF!</v>
      </c>
      <c r="DF549" t="e">
        <f>AND(#REF!,"AAAAAAh63G0=")</f>
        <v>#REF!</v>
      </c>
      <c r="DG549" t="e">
        <f>AND(#REF!,"AAAAAAh63G4=")</f>
        <v>#REF!</v>
      </c>
      <c r="DH549" t="e">
        <f>AND(#REF!,"AAAAAAh63G8=")</f>
        <v>#REF!</v>
      </c>
      <c r="DI549" t="e">
        <f>AND(#REF!,"AAAAAAh63HA=")</f>
        <v>#REF!</v>
      </c>
      <c r="DJ549" t="e">
        <f>AND(#REF!,"AAAAAAh63HE=")</f>
        <v>#REF!</v>
      </c>
      <c r="DK549" t="e">
        <f>AND(#REF!,"AAAAAAh63HI=")</f>
        <v>#REF!</v>
      </c>
      <c r="DL549" t="e">
        <f>AND(#REF!,"AAAAAAh63HM=")</f>
        <v>#REF!</v>
      </c>
      <c r="DM549" t="e">
        <f>AND(#REF!,"AAAAAAh63HQ=")</f>
        <v>#REF!</v>
      </c>
      <c r="DN549" t="e">
        <f>AND(#REF!,"AAAAAAh63HU=")</f>
        <v>#REF!</v>
      </c>
      <c r="DO549" t="e">
        <f>AND(#REF!,"AAAAAAh63HY=")</f>
        <v>#REF!</v>
      </c>
      <c r="DP549" t="e">
        <f>AND(#REF!,"AAAAAAh63Hc=")</f>
        <v>#REF!</v>
      </c>
      <c r="DQ549" t="e">
        <f>AND(#REF!,"AAAAAAh63Hg=")</f>
        <v>#REF!</v>
      </c>
      <c r="DR549" t="e">
        <f>AND(#REF!,"AAAAAAh63Hk=")</f>
        <v>#REF!</v>
      </c>
      <c r="DS549" t="e">
        <f>IF(#REF!,"AAAAAAh63Ho=",0)</f>
        <v>#REF!</v>
      </c>
      <c r="DT549" t="e">
        <f>AND(#REF!,"AAAAAAh63Hs=")</f>
        <v>#REF!</v>
      </c>
      <c r="DU549" t="e">
        <f>AND(#REF!,"AAAAAAh63Hw=")</f>
        <v>#REF!</v>
      </c>
      <c r="DV549" t="e">
        <f>AND(#REF!,"AAAAAAh63H0=")</f>
        <v>#REF!</v>
      </c>
      <c r="DW549" t="e">
        <f>AND(#REF!,"AAAAAAh63H4=")</f>
        <v>#REF!</v>
      </c>
      <c r="DX549" t="e">
        <f>AND(#REF!,"AAAAAAh63H8=")</f>
        <v>#REF!</v>
      </c>
      <c r="DY549" t="e">
        <f>AND(#REF!,"AAAAAAh63IA=")</f>
        <v>#REF!</v>
      </c>
      <c r="DZ549" t="e">
        <f>AND(#REF!,"AAAAAAh63IE=")</f>
        <v>#REF!</v>
      </c>
      <c r="EA549" t="e">
        <f>AND(#REF!,"AAAAAAh63II=")</f>
        <v>#REF!</v>
      </c>
      <c r="EB549" t="e">
        <f>AND(#REF!,"AAAAAAh63IM=")</f>
        <v>#REF!</v>
      </c>
      <c r="EC549" t="e">
        <f>AND(#REF!,"AAAAAAh63IQ=")</f>
        <v>#REF!</v>
      </c>
      <c r="ED549" t="e">
        <f>AND(#REF!,"AAAAAAh63IU=")</f>
        <v>#REF!</v>
      </c>
      <c r="EE549" t="e">
        <f>AND(#REF!,"AAAAAAh63IY=")</f>
        <v>#REF!</v>
      </c>
      <c r="EF549" t="e">
        <f>AND(#REF!,"AAAAAAh63Ic=")</f>
        <v>#REF!</v>
      </c>
      <c r="EG549" t="e">
        <f>AND(#REF!,"AAAAAAh63Ig=")</f>
        <v>#REF!</v>
      </c>
      <c r="EH549" t="e">
        <f>AND(#REF!,"AAAAAAh63Ik=")</f>
        <v>#REF!</v>
      </c>
      <c r="EI549" t="e">
        <f>AND(#REF!,"AAAAAAh63Io=")</f>
        <v>#REF!</v>
      </c>
      <c r="EJ549" t="e">
        <f>AND(#REF!,"AAAAAAh63Is=")</f>
        <v>#REF!</v>
      </c>
      <c r="EK549" t="e">
        <f>AND(#REF!,"AAAAAAh63Iw=")</f>
        <v>#REF!</v>
      </c>
      <c r="EL549" t="e">
        <f>AND(#REF!,"AAAAAAh63I0=")</f>
        <v>#REF!</v>
      </c>
      <c r="EM549" t="e">
        <f>AND(#REF!,"AAAAAAh63I4=")</f>
        <v>#REF!</v>
      </c>
      <c r="EN549" t="e">
        <f>AND(#REF!,"AAAAAAh63I8=")</f>
        <v>#REF!</v>
      </c>
      <c r="EO549" t="e">
        <f>AND(#REF!,"AAAAAAh63JA=")</f>
        <v>#REF!</v>
      </c>
      <c r="EP549" t="e">
        <f>AND(#REF!,"AAAAAAh63JE=")</f>
        <v>#REF!</v>
      </c>
      <c r="EQ549" t="e">
        <f>AND(#REF!,"AAAAAAh63JI=")</f>
        <v>#REF!</v>
      </c>
      <c r="ER549" t="e">
        <f>IF(#REF!,"AAAAAAh63JM=",0)</f>
        <v>#REF!</v>
      </c>
      <c r="ES549" t="e">
        <f>AND(#REF!,"AAAAAAh63JQ=")</f>
        <v>#REF!</v>
      </c>
      <c r="ET549" t="e">
        <f>AND(#REF!,"AAAAAAh63JU=")</f>
        <v>#REF!</v>
      </c>
      <c r="EU549" t="e">
        <f>AND(#REF!,"AAAAAAh63JY=")</f>
        <v>#REF!</v>
      </c>
      <c r="EV549" t="e">
        <f>AND(#REF!,"AAAAAAh63Jc=")</f>
        <v>#REF!</v>
      </c>
      <c r="EW549" t="e">
        <f>AND(#REF!,"AAAAAAh63Jg=")</f>
        <v>#REF!</v>
      </c>
      <c r="EX549" t="e">
        <f>AND(#REF!,"AAAAAAh63Jk=")</f>
        <v>#REF!</v>
      </c>
      <c r="EY549" t="e">
        <f>AND(#REF!,"AAAAAAh63Jo=")</f>
        <v>#REF!</v>
      </c>
      <c r="EZ549" t="e">
        <f>AND(#REF!,"AAAAAAh63Js=")</f>
        <v>#REF!</v>
      </c>
      <c r="FA549" t="e">
        <f>AND(#REF!,"AAAAAAh63Jw=")</f>
        <v>#REF!</v>
      </c>
      <c r="FB549" t="e">
        <f>AND(#REF!,"AAAAAAh63J0=")</f>
        <v>#REF!</v>
      </c>
      <c r="FC549" t="e">
        <f>AND(#REF!,"AAAAAAh63J4=")</f>
        <v>#REF!</v>
      </c>
      <c r="FD549" t="e">
        <f>AND(#REF!,"AAAAAAh63J8=")</f>
        <v>#REF!</v>
      </c>
      <c r="FE549" t="e">
        <f>AND(#REF!,"AAAAAAh63KA=")</f>
        <v>#REF!</v>
      </c>
      <c r="FF549" t="e">
        <f>AND(#REF!,"AAAAAAh63KE=")</f>
        <v>#REF!</v>
      </c>
      <c r="FG549" t="e">
        <f>AND(#REF!,"AAAAAAh63KI=")</f>
        <v>#REF!</v>
      </c>
      <c r="FH549" t="e">
        <f>AND(#REF!,"AAAAAAh63KM=")</f>
        <v>#REF!</v>
      </c>
      <c r="FI549" t="e">
        <f>AND(#REF!,"AAAAAAh63KQ=")</f>
        <v>#REF!</v>
      </c>
      <c r="FJ549" t="e">
        <f>AND(#REF!,"AAAAAAh63KU=")</f>
        <v>#REF!</v>
      </c>
      <c r="FK549" t="e">
        <f>AND(#REF!,"AAAAAAh63KY=")</f>
        <v>#REF!</v>
      </c>
      <c r="FL549" t="e">
        <f>AND(#REF!,"AAAAAAh63Kc=")</f>
        <v>#REF!</v>
      </c>
      <c r="FM549" t="e">
        <f>AND(#REF!,"AAAAAAh63Kg=")</f>
        <v>#REF!</v>
      </c>
      <c r="FN549" t="e">
        <f>AND(#REF!,"AAAAAAh63Kk=")</f>
        <v>#REF!</v>
      </c>
      <c r="FO549" t="e">
        <f>AND(#REF!,"AAAAAAh63Ko=")</f>
        <v>#REF!</v>
      </c>
      <c r="FP549" t="e">
        <f>AND(#REF!,"AAAAAAh63Ks=")</f>
        <v>#REF!</v>
      </c>
      <c r="FQ549" t="e">
        <f>IF(#REF!,"AAAAAAh63Kw=",0)</f>
        <v>#REF!</v>
      </c>
      <c r="FR549" t="e">
        <f>AND(#REF!,"AAAAAAh63K0=")</f>
        <v>#REF!</v>
      </c>
      <c r="FS549" t="e">
        <f>AND(#REF!,"AAAAAAh63K4=")</f>
        <v>#REF!</v>
      </c>
      <c r="FT549" t="e">
        <f>AND(#REF!,"AAAAAAh63K8=")</f>
        <v>#REF!</v>
      </c>
      <c r="FU549" t="e">
        <f>AND(#REF!,"AAAAAAh63LA=")</f>
        <v>#REF!</v>
      </c>
      <c r="FV549" t="e">
        <f>AND(#REF!,"AAAAAAh63LE=")</f>
        <v>#REF!</v>
      </c>
      <c r="FW549" t="e">
        <f>AND(#REF!,"AAAAAAh63LI=")</f>
        <v>#REF!</v>
      </c>
      <c r="FX549" t="e">
        <f>AND(#REF!,"AAAAAAh63LM=")</f>
        <v>#REF!</v>
      </c>
      <c r="FY549" t="e">
        <f>AND(#REF!,"AAAAAAh63LQ=")</f>
        <v>#REF!</v>
      </c>
      <c r="FZ549" t="e">
        <f>AND(#REF!,"AAAAAAh63LU=")</f>
        <v>#REF!</v>
      </c>
      <c r="GA549" t="e">
        <f>AND(#REF!,"AAAAAAh63LY=")</f>
        <v>#REF!</v>
      </c>
      <c r="GB549" t="e">
        <f>AND(#REF!,"AAAAAAh63Lc=")</f>
        <v>#REF!</v>
      </c>
      <c r="GC549" t="e">
        <f>AND(#REF!,"AAAAAAh63Lg=")</f>
        <v>#REF!</v>
      </c>
      <c r="GD549" t="e">
        <f>AND(#REF!,"AAAAAAh63Lk=")</f>
        <v>#REF!</v>
      </c>
      <c r="GE549" t="e">
        <f>AND(#REF!,"AAAAAAh63Lo=")</f>
        <v>#REF!</v>
      </c>
      <c r="GF549" t="e">
        <f>AND(#REF!,"AAAAAAh63Ls=")</f>
        <v>#REF!</v>
      </c>
      <c r="GG549" t="e">
        <f>AND(#REF!,"AAAAAAh63Lw=")</f>
        <v>#REF!</v>
      </c>
      <c r="GH549" t="e">
        <f>AND(#REF!,"AAAAAAh63L0=")</f>
        <v>#REF!</v>
      </c>
      <c r="GI549" t="e">
        <f>AND(#REF!,"AAAAAAh63L4=")</f>
        <v>#REF!</v>
      </c>
      <c r="GJ549" t="e">
        <f>AND(#REF!,"AAAAAAh63L8=")</f>
        <v>#REF!</v>
      </c>
      <c r="GK549" t="e">
        <f>AND(#REF!,"AAAAAAh63MA=")</f>
        <v>#REF!</v>
      </c>
      <c r="GL549" t="e">
        <f>AND(#REF!,"AAAAAAh63ME=")</f>
        <v>#REF!</v>
      </c>
      <c r="GM549" t="e">
        <f>AND(#REF!,"AAAAAAh63MI=")</f>
        <v>#REF!</v>
      </c>
      <c r="GN549" t="e">
        <f>AND(#REF!,"AAAAAAh63MM=")</f>
        <v>#REF!</v>
      </c>
      <c r="GO549" t="e">
        <f>AND(#REF!,"AAAAAAh63MQ=")</f>
        <v>#REF!</v>
      </c>
      <c r="GP549" t="e">
        <f>IF(#REF!,"AAAAAAh63MU=",0)</f>
        <v>#REF!</v>
      </c>
      <c r="GQ549" t="e">
        <f>AND(#REF!,"AAAAAAh63MY=")</f>
        <v>#REF!</v>
      </c>
      <c r="GR549" t="e">
        <f>AND(#REF!,"AAAAAAh63Mc=")</f>
        <v>#REF!</v>
      </c>
      <c r="GS549" t="e">
        <f>AND(#REF!,"AAAAAAh63Mg=")</f>
        <v>#REF!</v>
      </c>
      <c r="GT549" t="e">
        <f>AND(#REF!,"AAAAAAh63Mk=")</f>
        <v>#REF!</v>
      </c>
      <c r="GU549" t="e">
        <f>AND(#REF!,"AAAAAAh63Mo=")</f>
        <v>#REF!</v>
      </c>
      <c r="GV549" t="e">
        <f>AND(#REF!,"AAAAAAh63Ms=")</f>
        <v>#REF!</v>
      </c>
      <c r="GW549" t="e">
        <f>AND(#REF!,"AAAAAAh63Mw=")</f>
        <v>#REF!</v>
      </c>
      <c r="GX549" t="e">
        <f>AND(#REF!,"AAAAAAh63M0=")</f>
        <v>#REF!</v>
      </c>
      <c r="GY549" t="e">
        <f>AND(#REF!,"AAAAAAh63M4=")</f>
        <v>#REF!</v>
      </c>
      <c r="GZ549" t="e">
        <f>AND(#REF!,"AAAAAAh63M8=")</f>
        <v>#REF!</v>
      </c>
      <c r="HA549" t="e">
        <f>AND(#REF!,"AAAAAAh63NA=")</f>
        <v>#REF!</v>
      </c>
      <c r="HB549" t="e">
        <f>AND(#REF!,"AAAAAAh63NE=")</f>
        <v>#REF!</v>
      </c>
      <c r="HC549" t="e">
        <f>AND(#REF!,"AAAAAAh63NI=")</f>
        <v>#REF!</v>
      </c>
      <c r="HD549" t="e">
        <f>AND(#REF!,"AAAAAAh63NM=")</f>
        <v>#REF!</v>
      </c>
      <c r="HE549" t="e">
        <f>AND(#REF!,"AAAAAAh63NQ=")</f>
        <v>#REF!</v>
      </c>
      <c r="HF549" t="e">
        <f>AND(#REF!,"AAAAAAh63NU=")</f>
        <v>#REF!</v>
      </c>
      <c r="HG549" t="e">
        <f>AND(#REF!,"AAAAAAh63NY=")</f>
        <v>#REF!</v>
      </c>
      <c r="HH549" t="e">
        <f>AND(#REF!,"AAAAAAh63Nc=")</f>
        <v>#REF!</v>
      </c>
      <c r="HI549" t="e">
        <f>AND(#REF!,"AAAAAAh63Ng=")</f>
        <v>#REF!</v>
      </c>
      <c r="HJ549" t="e">
        <f>AND(#REF!,"AAAAAAh63Nk=")</f>
        <v>#REF!</v>
      </c>
      <c r="HK549" t="e">
        <f>AND(#REF!,"AAAAAAh63No=")</f>
        <v>#REF!</v>
      </c>
      <c r="HL549" t="e">
        <f>AND(#REF!,"AAAAAAh63Ns=")</f>
        <v>#REF!</v>
      </c>
      <c r="HM549" t="e">
        <f>AND(#REF!,"AAAAAAh63Nw=")</f>
        <v>#REF!</v>
      </c>
      <c r="HN549" t="e">
        <f>AND(#REF!,"AAAAAAh63N0=")</f>
        <v>#REF!</v>
      </c>
      <c r="HO549" t="e">
        <f>IF(#REF!,"AAAAAAh63N4=",0)</f>
        <v>#REF!</v>
      </c>
      <c r="HP549" t="e">
        <f>AND(#REF!,"AAAAAAh63N8=")</f>
        <v>#REF!</v>
      </c>
      <c r="HQ549" t="e">
        <f>AND(#REF!,"AAAAAAh63OA=")</f>
        <v>#REF!</v>
      </c>
      <c r="HR549" t="e">
        <f>AND(#REF!,"AAAAAAh63OE=")</f>
        <v>#REF!</v>
      </c>
      <c r="HS549" t="e">
        <f>AND(#REF!,"AAAAAAh63OI=")</f>
        <v>#REF!</v>
      </c>
      <c r="HT549" t="e">
        <f>AND(#REF!,"AAAAAAh63OM=")</f>
        <v>#REF!</v>
      </c>
      <c r="HU549" t="e">
        <f>AND(#REF!,"AAAAAAh63OQ=")</f>
        <v>#REF!</v>
      </c>
      <c r="HV549" t="e">
        <f>AND(#REF!,"AAAAAAh63OU=")</f>
        <v>#REF!</v>
      </c>
      <c r="HW549" t="e">
        <f>AND(#REF!,"AAAAAAh63OY=")</f>
        <v>#REF!</v>
      </c>
      <c r="HX549" t="e">
        <f>AND(#REF!,"AAAAAAh63Oc=")</f>
        <v>#REF!</v>
      </c>
      <c r="HY549" t="e">
        <f>AND(#REF!,"AAAAAAh63Og=")</f>
        <v>#REF!</v>
      </c>
      <c r="HZ549" t="e">
        <f>AND(#REF!,"AAAAAAh63Ok=")</f>
        <v>#REF!</v>
      </c>
      <c r="IA549" t="e">
        <f>AND(#REF!,"AAAAAAh63Oo=")</f>
        <v>#REF!</v>
      </c>
      <c r="IB549" t="e">
        <f>AND(#REF!,"AAAAAAh63Os=")</f>
        <v>#REF!</v>
      </c>
      <c r="IC549" t="e">
        <f>AND(#REF!,"AAAAAAh63Ow=")</f>
        <v>#REF!</v>
      </c>
      <c r="ID549" t="e">
        <f>AND(#REF!,"AAAAAAh63O0=")</f>
        <v>#REF!</v>
      </c>
      <c r="IE549" t="e">
        <f>AND(#REF!,"AAAAAAh63O4=")</f>
        <v>#REF!</v>
      </c>
      <c r="IF549" t="e">
        <f>AND(#REF!,"AAAAAAh63O8=")</f>
        <v>#REF!</v>
      </c>
      <c r="IG549" t="e">
        <f>AND(#REF!,"AAAAAAh63PA=")</f>
        <v>#REF!</v>
      </c>
      <c r="IH549" t="e">
        <f>AND(#REF!,"AAAAAAh63PE=")</f>
        <v>#REF!</v>
      </c>
      <c r="II549" t="e">
        <f>AND(#REF!,"AAAAAAh63PI=")</f>
        <v>#REF!</v>
      </c>
      <c r="IJ549" t="e">
        <f>AND(#REF!,"AAAAAAh63PM=")</f>
        <v>#REF!</v>
      </c>
      <c r="IK549" t="e">
        <f>AND(#REF!,"AAAAAAh63PQ=")</f>
        <v>#REF!</v>
      </c>
      <c r="IL549" t="e">
        <f>AND(#REF!,"AAAAAAh63PU=")</f>
        <v>#REF!</v>
      </c>
      <c r="IM549" t="e">
        <f>AND(#REF!,"AAAAAAh63PY=")</f>
        <v>#REF!</v>
      </c>
      <c r="IN549" t="e">
        <f>IF(#REF!,"AAAAAAh63Pc=",0)</f>
        <v>#REF!</v>
      </c>
      <c r="IO549" t="e">
        <f>AND(#REF!,"AAAAAAh63Pg=")</f>
        <v>#REF!</v>
      </c>
      <c r="IP549" t="e">
        <f>AND(#REF!,"AAAAAAh63Pk=")</f>
        <v>#REF!</v>
      </c>
      <c r="IQ549" t="e">
        <f>AND(#REF!,"AAAAAAh63Po=")</f>
        <v>#REF!</v>
      </c>
      <c r="IR549" t="e">
        <f>AND(#REF!,"AAAAAAh63Ps=")</f>
        <v>#REF!</v>
      </c>
      <c r="IS549" t="e">
        <f>AND(#REF!,"AAAAAAh63Pw=")</f>
        <v>#REF!</v>
      </c>
      <c r="IT549" t="e">
        <f>AND(#REF!,"AAAAAAh63P0=")</f>
        <v>#REF!</v>
      </c>
      <c r="IU549" t="e">
        <f>AND(#REF!,"AAAAAAh63P4=")</f>
        <v>#REF!</v>
      </c>
      <c r="IV549" t="e">
        <f>AND(#REF!,"AAAAAAh63P8=")</f>
        <v>#REF!</v>
      </c>
    </row>
    <row r="550" spans="1:256">
      <c r="A550" t="e">
        <f>AND(#REF!,"AAAAAH3SeAA=")</f>
        <v>#REF!</v>
      </c>
      <c r="B550" t="e">
        <f>AND(#REF!,"AAAAAH3SeAE=")</f>
        <v>#REF!</v>
      </c>
      <c r="C550" t="e">
        <f>AND(#REF!,"AAAAAH3SeAI=")</f>
        <v>#REF!</v>
      </c>
      <c r="D550" t="e">
        <f>AND(#REF!,"AAAAAH3SeAM=")</f>
        <v>#REF!</v>
      </c>
      <c r="E550" t="e">
        <f>AND(#REF!,"AAAAAH3SeAQ=")</f>
        <v>#REF!</v>
      </c>
      <c r="F550" t="e">
        <f>AND(#REF!,"AAAAAH3SeAU=")</f>
        <v>#REF!</v>
      </c>
      <c r="G550" t="e">
        <f>AND(#REF!,"AAAAAH3SeAY=")</f>
        <v>#REF!</v>
      </c>
      <c r="H550" t="e">
        <f>AND(#REF!,"AAAAAH3SeAc=")</f>
        <v>#REF!</v>
      </c>
      <c r="I550" t="e">
        <f>AND(#REF!,"AAAAAH3SeAg=")</f>
        <v>#REF!</v>
      </c>
      <c r="J550" t="e">
        <f>AND(#REF!,"AAAAAH3SeAk=")</f>
        <v>#REF!</v>
      </c>
      <c r="K550" t="e">
        <f>AND(#REF!,"AAAAAH3SeAo=")</f>
        <v>#REF!</v>
      </c>
      <c r="L550" t="e">
        <f>AND(#REF!,"AAAAAH3SeAs=")</f>
        <v>#REF!</v>
      </c>
      <c r="M550" t="e">
        <f>AND(#REF!,"AAAAAH3SeAw=")</f>
        <v>#REF!</v>
      </c>
      <c r="N550" t="e">
        <f>AND(#REF!,"AAAAAH3SeA0=")</f>
        <v>#REF!</v>
      </c>
      <c r="O550" t="e">
        <f>AND(#REF!,"AAAAAH3SeA4=")</f>
        <v>#REF!</v>
      </c>
      <c r="P550" t="e">
        <f>AND(#REF!,"AAAAAH3SeA8=")</f>
        <v>#REF!</v>
      </c>
      <c r="Q550" t="e">
        <f>IF(#REF!,"AAAAAH3SeBA=",0)</f>
        <v>#REF!</v>
      </c>
      <c r="R550" t="e">
        <f>AND(#REF!,"AAAAAH3SeBE=")</f>
        <v>#REF!</v>
      </c>
      <c r="S550" t="e">
        <f>AND(#REF!,"AAAAAH3SeBI=")</f>
        <v>#REF!</v>
      </c>
      <c r="T550" t="e">
        <f>AND(#REF!,"AAAAAH3SeBM=")</f>
        <v>#REF!</v>
      </c>
      <c r="U550" t="e">
        <f>AND(#REF!,"AAAAAH3SeBQ=")</f>
        <v>#REF!</v>
      </c>
      <c r="V550" t="e">
        <f>AND(#REF!,"AAAAAH3SeBU=")</f>
        <v>#REF!</v>
      </c>
      <c r="W550" t="e">
        <f>AND(#REF!,"AAAAAH3SeBY=")</f>
        <v>#REF!</v>
      </c>
      <c r="X550" t="e">
        <f>AND(#REF!,"AAAAAH3SeBc=")</f>
        <v>#REF!</v>
      </c>
      <c r="Y550" t="e">
        <f>AND(#REF!,"AAAAAH3SeBg=")</f>
        <v>#REF!</v>
      </c>
      <c r="Z550" t="e">
        <f>AND(#REF!,"AAAAAH3SeBk=")</f>
        <v>#REF!</v>
      </c>
      <c r="AA550" t="e">
        <f>AND(#REF!,"AAAAAH3SeBo=")</f>
        <v>#REF!</v>
      </c>
      <c r="AB550" t="e">
        <f>AND(#REF!,"AAAAAH3SeBs=")</f>
        <v>#REF!</v>
      </c>
      <c r="AC550" t="e">
        <f>AND(#REF!,"AAAAAH3SeBw=")</f>
        <v>#REF!</v>
      </c>
      <c r="AD550" t="e">
        <f>AND(#REF!,"AAAAAH3SeB0=")</f>
        <v>#REF!</v>
      </c>
      <c r="AE550" t="e">
        <f>AND(#REF!,"AAAAAH3SeB4=")</f>
        <v>#REF!</v>
      </c>
      <c r="AF550" t="e">
        <f>AND(#REF!,"AAAAAH3SeB8=")</f>
        <v>#REF!</v>
      </c>
      <c r="AG550" t="e">
        <f>AND(#REF!,"AAAAAH3SeCA=")</f>
        <v>#REF!</v>
      </c>
      <c r="AH550" t="e">
        <f>AND(#REF!,"AAAAAH3SeCE=")</f>
        <v>#REF!</v>
      </c>
      <c r="AI550" t="e">
        <f>AND(#REF!,"AAAAAH3SeCI=")</f>
        <v>#REF!</v>
      </c>
      <c r="AJ550" t="e">
        <f>AND(#REF!,"AAAAAH3SeCM=")</f>
        <v>#REF!</v>
      </c>
      <c r="AK550" t="e">
        <f>AND(#REF!,"AAAAAH3SeCQ=")</f>
        <v>#REF!</v>
      </c>
      <c r="AL550" t="e">
        <f>AND(#REF!,"AAAAAH3SeCU=")</f>
        <v>#REF!</v>
      </c>
      <c r="AM550" t="e">
        <f>AND(#REF!,"AAAAAH3SeCY=")</f>
        <v>#REF!</v>
      </c>
      <c r="AN550" t="e">
        <f>AND(#REF!,"AAAAAH3SeCc=")</f>
        <v>#REF!</v>
      </c>
      <c r="AO550" t="e">
        <f>AND(#REF!,"AAAAAH3SeCg=")</f>
        <v>#REF!</v>
      </c>
      <c r="AP550" t="e">
        <f>IF(#REF!,"AAAAAH3SeCk=",0)</f>
        <v>#REF!</v>
      </c>
      <c r="AQ550" t="e">
        <f>AND(#REF!,"AAAAAH3SeCo=")</f>
        <v>#REF!</v>
      </c>
      <c r="AR550" t="e">
        <f>AND(#REF!,"AAAAAH3SeCs=")</f>
        <v>#REF!</v>
      </c>
      <c r="AS550" t="e">
        <f>AND(#REF!,"AAAAAH3SeCw=")</f>
        <v>#REF!</v>
      </c>
      <c r="AT550" t="e">
        <f>AND(#REF!,"AAAAAH3SeC0=")</f>
        <v>#REF!</v>
      </c>
      <c r="AU550" t="e">
        <f>AND(#REF!,"AAAAAH3SeC4=")</f>
        <v>#REF!</v>
      </c>
      <c r="AV550" t="e">
        <f>AND(#REF!,"AAAAAH3SeC8=")</f>
        <v>#REF!</v>
      </c>
      <c r="AW550" t="e">
        <f>AND(#REF!,"AAAAAH3SeDA=")</f>
        <v>#REF!</v>
      </c>
      <c r="AX550" t="e">
        <f>AND(#REF!,"AAAAAH3SeDE=")</f>
        <v>#REF!</v>
      </c>
      <c r="AY550" t="e">
        <f>AND(#REF!,"AAAAAH3SeDI=")</f>
        <v>#REF!</v>
      </c>
      <c r="AZ550" t="e">
        <f>AND(#REF!,"AAAAAH3SeDM=")</f>
        <v>#REF!</v>
      </c>
      <c r="BA550" t="e">
        <f>AND(#REF!,"AAAAAH3SeDQ=")</f>
        <v>#REF!</v>
      </c>
      <c r="BB550" t="e">
        <f>AND(#REF!,"AAAAAH3SeDU=")</f>
        <v>#REF!</v>
      </c>
      <c r="BC550" t="e">
        <f>AND(#REF!,"AAAAAH3SeDY=")</f>
        <v>#REF!</v>
      </c>
      <c r="BD550" t="e">
        <f>AND(#REF!,"AAAAAH3SeDc=")</f>
        <v>#REF!</v>
      </c>
      <c r="BE550" t="e">
        <f>AND(#REF!,"AAAAAH3SeDg=")</f>
        <v>#REF!</v>
      </c>
      <c r="BF550" t="e">
        <f>AND(#REF!,"AAAAAH3SeDk=")</f>
        <v>#REF!</v>
      </c>
      <c r="BG550" t="e">
        <f>AND(#REF!,"AAAAAH3SeDo=")</f>
        <v>#REF!</v>
      </c>
      <c r="BH550" t="e">
        <f>AND(#REF!,"AAAAAH3SeDs=")</f>
        <v>#REF!</v>
      </c>
      <c r="BI550" t="e">
        <f>AND(#REF!,"AAAAAH3SeDw=")</f>
        <v>#REF!</v>
      </c>
      <c r="BJ550" t="e">
        <f>AND(#REF!,"AAAAAH3SeD0=")</f>
        <v>#REF!</v>
      </c>
      <c r="BK550" t="e">
        <f>AND(#REF!,"AAAAAH3SeD4=")</f>
        <v>#REF!</v>
      </c>
      <c r="BL550" t="e">
        <f>AND(#REF!,"AAAAAH3SeD8=")</f>
        <v>#REF!</v>
      </c>
      <c r="BM550" t="e">
        <f>AND(#REF!,"AAAAAH3SeEA=")</f>
        <v>#REF!</v>
      </c>
      <c r="BN550" t="e">
        <f>AND(#REF!,"AAAAAH3SeEE=")</f>
        <v>#REF!</v>
      </c>
      <c r="BO550" t="e">
        <f>IF(#REF!,"AAAAAH3SeEI=",0)</f>
        <v>#REF!</v>
      </c>
      <c r="BP550" t="e">
        <f>AND(#REF!,"AAAAAH3SeEM=")</f>
        <v>#REF!</v>
      </c>
      <c r="BQ550" t="e">
        <f>AND(#REF!,"AAAAAH3SeEQ=")</f>
        <v>#REF!</v>
      </c>
      <c r="BR550" t="e">
        <f>AND(#REF!,"AAAAAH3SeEU=")</f>
        <v>#REF!</v>
      </c>
      <c r="BS550" t="e">
        <f>AND(#REF!,"AAAAAH3SeEY=")</f>
        <v>#REF!</v>
      </c>
      <c r="BT550" t="e">
        <f>AND(#REF!,"AAAAAH3SeEc=")</f>
        <v>#REF!</v>
      </c>
      <c r="BU550" t="e">
        <f>AND(#REF!,"AAAAAH3SeEg=")</f>
        <v>#REF!</v>
      </c>
      <c r="BV550" t="e">
        <f>AND(#REF!,"AAAAAH3SeEk=")</f>
        <v>#REF!</v>
      </c>
      <c r="BW550" t="e">
        <f>AND(#REF!,"AAAAAH3SeEo=")</f>
        <v>#REF!</v>
      </c>
      <c r="BX550" t="e">
        <f>AND(#REF!,"AAAAAH3SeEs=")</f>
        <v>#REF!</v>
      </c>
      <c r="BY550" t="e">
        <f>AND(#REF!,"AAAAAH3SeEw=")</f>
        <v>#REF!</v>
      </c>
      <c r="BZ550" t="e">
        <f>AND(#REF!,"AAAAAH3SeE0=")</f>
        <v>#REF!</v>
      </c>
      <c r="CA550" t="e">
        <f>AND(#REF!,"AAAAAH3SeE4=")</f>
        <v>#REF!</v>
      </c>
      <c r="CB550" t="e">
        <f>AND(#REF!,"AAAAAH3SeE8=")</f>
        <v>#REF!</v>
      </c>
      <c r="CC550" t="e">
        <f>AND(#REF!,"AAAAAH3SeFA=")</f>
        <v>#REF!</v>
      </c>
      <c r="CD550" t="e">
        <f>AND(#REF!,"AAAAAH3SeFE=")</f>
        <v>#REF!</v>
      </c>
      <c r="CE550" t="e">
        <f>AND(#REF!,"AAAAAH3SeFI=")</f>
        <v>#REF!</v>
      </c>
      <c r="CF550" t="e">
        <f>AND(#REF!,"AAAAAH3SeFM=")</f>
        <v>#REF!</v>
      </c>
      <c r="CG550" t="e">
        <f>AND(#REF!,"AAAAAH3SeFQ=")</f>
        <v>#REF!</v>
      </c>
      <c r="CH550" t="e">
        <f>AND(#REF!,"AAAAAH3SeFU=")</f>
        <v>#REF!</v>
      </c>
      <c r="CI550" t="e">
        <f>AND(#REF!,"AAAAAH3SeFY=")</f>
        <v>#REF!</v>
      </c>
      <c r="CJ550" t="e">
        <f>AND(#REF!,"AAAAAH3SeFc=")</f>
        <v>#REF!</v>
      </c>
      <c r="CK550" t="e">
        <f>AND(#REF!,"AAAAAH3SeFg=")</f>
        <v>#REF!</v>
      </c>
      <c r="CL550" t="e">
        <f>AND(#REF!,"AAAAAH3SeFk=")</f>
        <v>#REF!</v>
      </c>
      <c r="CM550" t="e">
        <f>AND(#REF!,"AAAAAH3SeFo=")</f>
        <v>#REF!</v>
      </c>
      <c r="CN550" t="e">
        <f>IF(#REF!,"AAAAAH3SeFs=",0)</f>
        <v>#REF!</v>
      </c>
      <c r="CO550" t="e">
        <f>AND(#REF!,"AAAAAH3SeFw=")</f>
        <v>#REF!</v>
      </c>
      <c r="CP550" t="e">
        <f>AND(#REF!,"AAAAAH3SeF0=")</f>
        <v>#REF!</v>
      </c>
      <c r="CQ550" t="e">
        <f>AND(#REF!,"AAAAAH3SeF4=")</f>
        <v>#REF!</v>
      </c>
      <c r="CR550" t="e">
        <f>AND(#REF!,"AAAAAH3SeF8=")</f>
        <v>#REF!</v>
      </c>
      <c r="CS550" t="e">
        <f>AND(#REF!,"AAAAAH3SeGA=")</f>
        <v>#REF!</v>
      </c>
      <c r="CT550" t="e">
        <f>AND(#REF!,"AAAAAH3SeGE=")</f>
        <v>#REF!</v>
      </c>
      <c r="CU550" t="e">
        <f>AND(#REF!,"AAAAAH3SeGI=")</f>
        <v>#REF!</v>
      </c>
      <c r="CV550" t="e">
        <f>AND(#REF!,"AAAAAH3SeGM=")</f>
        <v>#REF!</v>
      </c>
      <c r="CW550" t="e">
        <f>AND(#REF!,"AAAAAH3SeGQ=")</f>
        <v>#REF!</v>
      </c>
      <c r="CX550" t="e">
        <f>AND(#REF!,"AAAAAH3SeGU=")</f>
        <v>#REF!</v>
      </c>
      <c r="CY550" t="e">
        <f>AND(#REF!,"AAAAAH3SeGY=")</f>
        <v>#REF!</v>
      </c>
      <c r="CZ550" t="e">
        <f>AND(#REF!,"AAAAAH3SeGc=")</f>
        <v>#REF!</v>
      </c>
      <c r="DA550" t="e">
        <f>AND(#REF!,"AAAAAH3SeGg=")</f>
        <v>#REF!</v>
      </c>
      <c r="DB550" t="e">
        <f>AND(#REF!,"AAAAAH3SeGk=")</f>
        <v>#REF!</v>
      </c>
      <c r="DC550" t="e">
        <f>AND(#REF!,"AAAAAH3SeGo=")</f>
        <v>#REF!</v>
      </c>
      <c r="DD550" t="e">
        <f>AND(#REF!,"AAAAAH3SeGs=")</f>
        <v>#REF!</v>
      </c>
      <c r="DE550" t="e">
        <f>AND(#REF!,"AAAAAH3SeGw=")</f>
        <v>#REF!</v>
      </c>
      <c r="DF550" t="e">
        <f>AND(#REF!,"AAAAAH3SeG0=")</f>
        <v>#REF!</v>
      </c>
      <c r="DG550" t="e">
        <f>AND(#REF!,"AAAAAH3SeG4=")</f>
        <v>#REF!</v>
      </c>
      <c r="DH550" t="e">
        <f>AND(#REF!,"AAAAAH3SeG8=")</f>
        <v>#REF!</v>
      </c>
      <c r="DI550" t="e">
        <f>AND(#REF!,"AAAAAH3SeHA=")</f>
        <v>#REF!</v>
      </c>
      <c r="DJ550" t="e">
        <f>AND(#REF!,"AAAAAH3SeHE=")</f>
        <v>#REF!</v>
      </c>
      <c r="DK550" t="e">
        <f>AND(#REF!,"AAAAAH3SeHI=")</f>
        <v>#REF!</v>
      </c>
      <c r="DL550" t="e">
        <f>AND(#REF!,"AAAAAH3SeHM=")</f>
        <v>#REF!</v>
      </c>
      <c r="DM550" t="e">
        <f>IF(#REF!,"AAAAAH3SeHQ=",0)</f>
        <v>#REF!</v>
      </c>
      <c r="DN550" t="e">
        <f>AND(#REF!,"AAAAAH3SeHU=")</f>
        <v>#REF!</v>
      </c>
      <c r="DO550" t="e">
        <f>AND(#REF!,"AAAAAH3SeHY=")</f>
        <v>#REF!</v>
      </c>
      <c r="DP550" t="e">
        <f>AND(#REF!,"AAAAAH3SeHc=")</f>
        <v>#REF!</v>
      </c>
      <c r="DQ550" t="e">
        <f>AND(#REF!,"AAAAAH3SeHg=")</f>
        <v>#REF!</v>
      </c>
      <c r="DR550" t="e">
        <f>AND(#REF!,"AAAAAH3SeHk=")</f>
        <v>#REF!</v>
      </c>
      <c r="DS550" t="e">
        <f>AND(#REF!,"AAAAAH3SeHo=")</f>
        <v>#REF!</v>
      </c>
      <c r="DT550" t="e">
        <f>AND(#REF!,"AAAAAH3SeHs=")</f>
        <v>#REF!</v>
      </c>
      <c r="DU550" t="e">
        <f>AND(#REF!,"AAAAAH3SeHw=")</f>
        <v>#REF!</v>
      </c>
      <c r="DV550" t="e">
        <f>AND(#REF!,"AAAAAH3SeH0=")</f>
        <v>#REF!</v>
      </c>
      <c r="DW550" t="e">
        <f>AND(#REF!,"AAAAAH3SeH4=")</f>
        <v>#REF!</v>
      </c>
      <c r="DX550" t="e">
        <f>AND(#REF!,"AAAAAH3SeH8=")</f>
        <v>#REF!</v>
      </c>
      <c r="DY550" t="e">
        <f>AND(#REF!,"AAAAAH3SeIA=")</f>
        <v>#REF!</v>
      </c>
      <c r="DZ550" t="e">
        <f>AND(#REF!,"AAAAAH3SeIE=")</f>
        <v>#REF!</v>
      </c>
      <c r="EA550" t="e">
        <f>AND(#REF!,"AAAAAH3SeII=")</f>
        <v>#REF!</v>
      </c>
      <c r="EB550" t="e">
        <f>AND(#REF!,"AAAAAH3SeIM=")</f>
        <v>#REF!</v>
      </c>
      <c r="EC550" t="e">
        <f>AND(#REF!,"AAAAAH3SeIQ=")</f>
        <v>#REF!</v>
      </c>
      <c r="ED550" t="e">
        <f>AND(#REF!,"AAAAAH3SeIU=")</f>
        <v>#REF!</v>
      </c>
      <c r="EE550" t="e">
        <f>AND(#REF!,"AAAAAH3SeIY=")</f>
        <v>#REF!</v>
      </c>
      <c r="EF550" t="e">
        <f>AND(#REF!,"AAAAAH3SeIc=")</f>
        <v>#REF!</v>
      </c>
      <c r="EG550" t="e">
        <f>AND(#REF!,"AAAAAH3SeIg=")</f>
        <v>#REF!</v>
      </c>
      <c r="EH550" t="e">
        <f>AND(#REF!,"AAAAAH3SeIk=")</f>
        <v>#REF!</v>
      </c>
      <c r="EI550" t="e">
        <f>AND(#REF!,"AAAAAH3SeIo=")</f>
        <v>#REF!</v>
      </c>
      <c r="EJ550" t="e">
        <f>AND(#REF!,"AAAAAH3SeIs=")</f>
        <v>#REF!</v>
      </c>
      <c r="EK550" t="e">
        <f>AND(#REF!,"AAAAAH3SeIw=")</f>
        <v>#REF!</v>
      </c>
      <c r="EL550" t="e">
        <f>IF(#REF!,"AAAAAH3SeI0=",0)</f>
        <v>#REF!</v>
      </c>
      <c r="EM550" t="e">
        <f>AND(#REF!,"AAAAAH3SeI4=")</f>
        <v>#REF!</v>
      </c>
      <c r="EN550" t="e">
        <f>AND(#REF!,"AAAAAH3SeI8=")</f>
        <v>#REF!</v>
      </c>
      <c r="EO550" t="e">
        <f>AND(#REF!,"AAAAAH3SeJA=")</f>
        <v>#REF!</v>
      </c>
      <c r="EP550" t="e">
        <f>AND(#REF!,"AAAAAH3SeJE=")</f>
        <v>#REF!</v>
      </c>
      <c r="EQ550" t="e">
        <f>AND(#REF!,"AAAAAH3SeJI=")</f>
        <v>#REF!</v>
      </c>
      <c r="ER550" t="e">
        <f>AND(#REF!,"AAAAAH3SeJM=")</f>
        <v>#REF!</v>
      </c>
      <c r="ES550" t="e">
        <f>AND(#REF!,"AAAAAH3SeJQ=")</f>
        <v>#REF!</v>
      </c>
      <c r="ET550" t="e">
        <f>AND(#REF!,"AAAAAH3SeJU=")</f>
        <v>#REF!</v>
      </c>
      <c r="EU550" t="e">
        <f>AND(#REF!,"AAAAAH3SeJY=")</f>
        <v>#REF!</v>
      </c>
      <c r="EV550" t="e">
        <f>AND(#REF!,"AAAAAH3SeJc=")</f>
        <v>#REF!</v>
      </c>
      <c r="EW550" t="e">
        <f>AND(#REF!,"AAAAAH3SeJg=")</f>
        <v>#REF!</v>
      </c>
      <c r="EX550" t="e">
        <f>AND(#REF!,"AAAAAH3SeJk=")</f>
        <v>#REF!</v>
      </c>
      <c r="EY550" t="e">
        <f>AND(#REF!,"AAAAAH3SeJo=")</f>
        <v>#REF!</v>
      </c>
      <c r="EZ550" t="e">
        <f>AND(#REF!,"AAAAAH3SeJs=")</f>
        <v>#REF!</v>
      </c>
      <c r="FA550" t="e">
        <f>AND(#REF!,"AAAAAH3SeJw=")</f>
        <v>#REF!</v>
      </c>
      <c r="FB550" t="e">
        <f>AND(#REF!,"AAAAAH3SeJ0=")</f>
        <v>#REF!</v>
      </c>
      <c r="FC550" t="e">
        <f>AND(#REF!,"AAAAAH3SeJ4=")</f>
        <v>#REF!</v>
      </c>
      <c r="FD550" t="e">
        <f>AND(#REF!,"AAAAAH3SeJ8=")</f>
        <v>#REF!</v>
      </c>
      <c r="FE550" t="e">
        <f>AND(#REF!,"AAAAAH3SeKA=")</f>
        <v>#REF!</v>
      </c>
      <c r="FF550" t="e">
        <f>AND(#REF!,"AAAAAH3SeKE=")</f>
        <v>#REF!</v>
      </c>
      <c r="FG550" t="e">
        <f>AND(#REF!,"AAAAAH3SeKI=")</f>
        <v>#REF!</v>
      </c>
      <c r="FH550" t="e">
        <f>AND(#REF!,"AAAAAH3SeKM=")</f>
        <v>#REF!</v>
      </c>
      <c r="FI550" t="e">
        <f>AND(#REF!,"AAAAAH3SeKQ=")</f>
        <v>#REF!</v>
      </c>
      <c r="FJ550" t="e">
        <f>AND(#REF!,"AAAAAH3SeKU=")</f>
        <v>#REF!</v>
      </c>
      <c r="FK550" t="e">
        <f>IF(#REF!,"AAAAAH3SeKY=",0)</f>
        <v>#REF!</v>
      </c>
      <c r="FL550" t="e">
        <f>AND(#REF!,"AAAAAH3SeKc=")</f>
        <v>#REF!</v>
      </c>
      <c r="FM550" t="e">
        <f>AND(#REF!,"AAAAAH3SeKg=")</f>
        <v>#REF!</v>
      </c>
      <c r="FN550" t="e">
        <f>AND(#REF!,"AAAAAH3SeKk=")</f>
        <v>#REF!</v>
      </c>
      <c r="FO550" t="e">
        <f>AND(#REF!,"AAAAAH3SeKo=")</f>
        <v>#REF!</v>
      </c>
      <c r="FP550" t="e">
        <f>AND(#REF!,"AAAAAH3SeKs=")</f>
        <v>#REF!</v>
      </c>
      <c r="FQ550" t="e">
        <f>AND(#REF!,"AAAAAH3SeKw=")</f>
        <v>#REF!</v>
      </c>
      <c r="FR550" t="e">
        <f>AND(#REF!,"AAAAAH3SeK0=")</f>
        <v>#REF!</v>
      </c>
      <c r="FS550" t="e">
        <f>AND(#REF!,"AAAAAH3SeK4=")</f>
        <v>#REF!</v>
      </c>
      <c r="FT550" t="e">
        <f>AND(#REF!,"AAAAAH3SeK8=")</f>
        <v>#REF!</v>
      </c>
      <c r="FU550" t="e">
        <f>AND(#REF!,"AAAAAH3SeLA=")</f>
        <v>#REF!</v>
      </c>
      <c r="FV550" t="e">
        <f>AND(#REF!,"AAAAAH3SeLE=")</f>
        <v>#REF!</v>
      </c>
      <c r="FW550" t="e">
        <f>AND(#REF!,"AAAAAH3SeLI=")</f>
        <v>#REF!</v>
      </c>
      <c r="FX550" t="e">
        <f>AND(#REF!,"AAAAAH3SeLM=")</f>
        <v>#REF!</v>
      </c>
      <c r="FY550" t="e">
        <f>AND(#REF!,"AAAAAH3SeLQ=")</f>
        <v>#REF!</v>
      </c>
      <c r="FZ550" t="e">
        <f>AND(#REF!,"AAAAAH3SeLU=")</f>
        <v>#REF!</v>
      </c>
      <c r="GA550" t="e">
        <f>AND(#REF!,"AAAAAH3SeLY=")</f>
        <v>#REF!</v>
      </c>
      <c r="GB550" t="e">
        <f>AND(#REF!,"AAAAAH3SeLc=")</f>
        <v>#REF!</v>
      </c>
      <c r="GC550" t="e">
        <f>AND(#REF!,"AAAAAH3SeLg=")</f>
        <v>#REF!</v>
      </c>
      <c r="GD550" t="e">
        <f>AND(#REF!,"AAAAAH3SeLk=")</f>
        <v>#REF!</v>
      </c>
      <c r="GE550" t="e">
        <f>AND(#REF!,"AAAAAH3SeLo=")</f>
        <v>#REF!</v>
      </c>
      <c r="GF550" t="e">
        <f>AND(#REF!,"AAAAAH3SeLs=")</f>
        <v>#REF!</v>
      </c>
      <c r="GG550" t="e">
        <f>AND(#REF!,"AAAAAH3SeLw=")</f>
        <v>#REF!</v>
      </c>
      <c r="GH550" t="e">
        <f>AND(#REF!,"AAAAAH3SeL0=")</f>
        <v>#REF!</v>
      </c>
      <c r="GI550" t="e">
        <f>AND(#REF!,"AAAAAH3SeL4=")</f>
        <v>#REF!</v>
      </c>
      <c r="GJ550" t="e">
        <f>IF(#REF!,"AAAAAH3SeL8=",0)</f>
        <v>#REF!</v>
      </c>
      <c r="GK550" t="e">
        <f>AND(#REF!,"AAAAAH3SeMA=")</f>
        <v>#REF!</v>
      </c>
      <c r="GL550" t="e">
        <f>AND(#REF!,"AAAAAH3SeME=")</f>
        <v>#REF!</v>
      </c>
      <c r="GM550" t="e">
        <f>AND(#REF!,"AAAAAH3SeMI=")</f>
        <v>#REF!</v>
      </c>
      <c r="GN550" t="e">
        <f>AND(#REF!,"AAAAAH3SeMM=")</f>
        <v>#REF!</v>
      </c>
      <c r="GO550" t="e">
        <f>AND(#REF!,"AAAAAH3SeMQ=")</f>
        <v>#REF!</v>
      </c>
      <c r="GP550" t="e">
        <f>AND(#REF!,"AAAAAH3SeMU=")</f>
        <v>#REF!</v>
      </c>
      <c r="GQ550" t="e">
        <f>AND(#REF!,"AAAAAH3SeMY=")</f>
        <v>#REF!</v>
      </c>
      <c r="GR550" t="e">
        <f>AND(#REF!,"AAAAAH3SeMc=")</f>
        <v>#REF!</v>
      </c>
      <c r="GS550" t="e">
        <f>AND(#REF!,"AAAAAH3SeMg=")</f>
        <v>#REF!</v>
      </c>
      <c r="GT550" t="e">
        <f>AND(#REF!,"AAAAAH3SeMk=")</f>
        <v>#REF!</v>
      </c>
      <c r="GU550" t="e">
        <f>AND(#REF!,"AAAAAH3SeMo=")</f>
        <v>#REF!</v>
      </c>
      <c r="GV550" t="e">
        <f>AND(#REF!,"AAAAAH3SeMs=")</f>
        <v>#REF!</v>
      </c>
      <c r="GW550" t="e">
        <f>AND(#REF!,"AAAAAH3SeMw=")</f>
        <v>#REF!</v>
      </c>
      <c r="GX550" t="e">
        <f>AND(#REF!,"AAAAAH3SeM0=")</f>
        <v>#REF!</v>
      </c>
      <c r="GY550" t="e">
        <f>AND(#REF!,"AAAAAH3SeM4=")</f>
        <v>#REF!</v>
      </c>
      <c r="GZ550" t="e">
        <f>AND(#REF!,"AAAAAH3SeM8=")</f>
        <v>#REF!</v>
      </c>
      <c r="HA550" t="e">
        <f>AND(#REF!,"AAAAAH3SeNA=")</f>
        <v>#REF!</v>
      </c>
      <c r="HB550" t="e">
        <f>AND(#REF!,"AAAAAH3SeNE=")</f>
        <v>#REF!</v>
      </c>
      <c r="HC550" t="e">
        <f>AND(#REF!,"AAAAAH3SeNI=")</f>
        <v>#REF!</v>
      </c>
      <c r="HD550" t="e">
        <f>AND(#REF!,"AAAAAH3SeNM=")</f>
        <v>#REF!</v>
      </c>
      <c r="HE550" t="e">
        <f>AND(#REF!,"AAAAAH3SeNQ=")</f>
        <v>#REF!</v>
      </c>
      <c r="HF550" t="e">
        <f>AND(#REF!,"AAAAAH3SeNU=")</f>
        <v>#REF!</v>
      </c>
      <c r="HG550" t="e">
        <f>AND(#REF!,"AAAAAH3SeNY=")</f>
        <v>#REF!</v>
      </c>
      <c r="HH550" t="e">
        <f>AND(#REF!,"AAAAAH3SeNc=")</f>
        <v>#REF!</v>
      </c>
      <c r="HI550" t="e">
        <f>IF(#REF!,"AAAAAH3SeNg=",0)</f>
        <v>#REF!</v>
      </c>
      <c r="HJ550" t="e">
        <f>AND(#REF!,"AAAAAH3SeNk=")</f>
        <v>#REF!</v>
      </c>
      <c r="HK550" t="e">
        <f>AND(#REF!,"AAAAAH3SeNo=")</f>
        <v>#REF!</v>
      </c>
      <c r="HL550" t="e">
        <f>AND(#REF!,"AAAAAH3SeNs=")</f>
        <v>#REF!</v>
      </c>
      <c r="HM550" t="e">
        <f>AND(#REF!,"AAAAAH3SeNw=")</f>
        <v>#REF!</v>
      </c>
      <c r="HN550" t="e">
        <f>AND(#REF!,"AAAAAH3SeN0=")</f>
        <v>#REF!</v>
      </c>
      <c r="HO550" t="e">
        <f>AND(#REF!,"AAAAAH3SeN4=")</f>
        <v>#REF!</v>
      </c>
      <c r="HP550" t="e">
        <f>AND(#REF!,"AAAAAH3SeN8=")</f>
        <v>#REF!</v>
      </c>
      <c r="HQ550" t="e">
        <f>AND(#REF!,"AAAAAH3SeOA=")</f>
        <v>#REF!</v>
      </c>
      <c r="HR550" t="e">
        <f>AND(#REF!,"AAAAAH3SeOE=")</f>
        <v>#REF!</v>
      </c>
      <c r="HS550" t="e">
        <f>AND(#REF!,"AAAAAH3SeOI=")</f>
        <v>#REF!</v>
      </c>
      <c r="HT550" t="e">
        <f>AND(#REF!,"AAAAAH3SeOM=")</f>
        <v>#REF!</v>
      </c>
      <c r="HU550" t="e">
        <f>AND(#REF!,"AAAAAH3SeOQ=")</f>
        <v>#REF!</v>
      </c>
      <c r="HV550" t="e">
        <f>AND(#REF!,"AAAAAH3SeOU=")</f>
        <v>#REF!</v>
      </c>
      <c r="HW550" t="e">
        <f>AND(#REF!,"AAAAAH3SeOY=")</f>
        <v>#REF!</v>
      </c>
      <c r="HX550" t="e">
        <f>AND(#REF!,"AAAAAH3SeOc=")</f>
        <v>#REF!</v>
      </c>
      <c r="HY550" t="e">
        <f>AND(#REF!,"AAAAAH3SeOg=")</f>
        <v>#REF!</v>
      </c>
      <c r="HZ550" t="e">
        <f>AND(#REF!,"AAAAAH3SeOk=")</f>
        <v>#REF!</v>
      </c>
      <c r="IA550" t="e">
        <f>AND(#REF!,"AAAAAH3SeOo=")</f>
        <v>#REF!</v>
      </c>
      <c r="IB550" t="e">
        <f>AND(#REF!,"AAAAAH3SeOs=")</f>
        <v>#REF!</v>
      </c>
      <c r="IC550" t="e">
        <f>AND(#REF!,"AAAAAH3SeOw=")</f>
        <v>#REF!</v>
      </c>
      <c r="ID550" t="e">
        <f>AND(#REF!,"AAAAAH3SeO0=")</f>
        <v>#REF!</v>
      </c>
      <c r="IE550" t="e">
        <f>AND(#REF!,"AAAAAH3SeO4=")</f>
        <v>#REF!</v>
      </c>
      <c r="IF550" t="e">
        <f>AND(#REF!,"AAAAAH3SeO8=")</f>
        <v>#REF!</v>
      </c>
      <c r="IG550" t="e">
        <f>AND(#REF!,"AAAAAH3SePA=")</f>
        <v>#REF!</v>
      </c>
      <c r="IH550" t="e">
        <f>IF(#REF!,"AAAAAH3SePE=",0)</f>
        <v>#REF!</v>
      </c>
      <c r="II550" t="e">
        <f>AND(#REF!,"AAAAAH3SePI=")</f>
        <v>#REF!</v>
      </c>
      <c r="IJ550" t="e">
        <f>AND(#REF!,"AAAAAH3SePM=")</f>
        <v>#REF!</v>
      </c>
      <c r="IK550" t="e">
        <f>AND(#REF!,"AAAAAH3SePQ=")</f>
        <v>#REF!</v>
      </c>
      <c r="IL550" t="e">
        <f>AND(#REF!,"AAAAAH3SePU=")</f>
        <v>#REF!</v>
      </c>
      <c r="IM550" t="e">
        <f>AND(#REF!,"AAAAAH3SePY=")</f>
        <v>#REF!</v>
      </c>
      <c r="IN550" t="e">
        <f>AND(#REF!,"AAAAAH3SePc=")</f>
        <v>#REF!</v>
      </c>
      <c r="IO550" t="e">
        <f>AND(#REF!,"AAAAAH3SePg=")</f>
        <v>#REF!</v>
      </c>
      <c r="IP550" t="e">
        <f>AND(#REF!,"AAAAAH3SePk=")</f>
        <v>#REF!</v>
      </c>
      <c r="IQ550" t="e">
        <f>AND(#REF!,"AAAAAH3SePo=")</f>
        <v>#REF!</v>
      </c>
      <c r="IR550" t="e">
        <f>AND(#REF!,"AAAAAH3SePs=")</f>
        <v>#REF!</v>
      </c>
      <c r="IS550" t="e">
        <f>AND(#REF!,"AAAAAH3SePw=")</f>
        <v>#REF!</v>
      </c>
      <c r="IT550" t="e">
        <f>AND(#REF!,"AAAAAH3SeP0=")</f>
        <v>#REF!</v>
      </c>
      <c r="IU550" t="e">
        <f>AND(#REF!,"AAAAAH3SeP4=")</f>
        <v>#REF!</v>
      </c>
      <c r="IV550" t="e">
        <f>AND(#REF!,"AAAAAH3SeP8=")</f>
        <v>#REF!</v>
      </c>
    </row>
    <row r="551" spans="1:256">
      <c r="A551" t="e">
        <f>AND(#REF!,"AAAAAD7/HgA=")</f>
        <v>#REF!</v>
      </c>
      <c r="B551" t="e">
        <f>AND(#REF!,"AAAAAD7/HgE=")</f>
        <v>#REF!</v>
      </c>
      <c r="C551" t="e">
        <f>AND(#REF!,"AAAAAD7/HgI=")</f>
        <v>#REF!</v>
      </c>
      <c r="D551" t="e">
        <f>AND(#REF!,"AAAAAD7/HgM=")</f>
        <v>#REF!</v>
      </c>
      <c r="E551" t="e">
        <f>AND(#REF!,"AAAAAD7/HgQ=")</f>
        <v>#REF!</v>
      </c>
      <c r="F551" t="e">
        <f>AND(#REF!,"AAAAAD7/HgU=")</f>
        <v>#REF!</v>
      </c>
      <c r="G551" t="e">
        <f>AND(#REF!,"AAAAAD7/HgY=")</f>
        <v>#REF!</v>
      </c>
      <c r="H551" t="e">
        <f>AND(#REF!,"AAAAAD7/Hgc=")</f>
        <v>#REF!</v>
      </c>
      <c r="I551" t="e">
        <f>AND(#REF!,"AAAAAD7/Hgg=")</f>
        <v>#REF!</v>
      </c>
      <c r="J551" t="e">
        <f>AND(#REF!,"AAAAAD7/Hgk=")</f>
        <v>#REF!</v>
      </c>
      <c r="K551" t="e">
        <f>IF(#REF!,"AAAAAD7/Hgo=",0)</f>
        <v>#REF!</v>
      </c>
      <c r="L551" t="e">
        <f>AND(#REF!,"AAAAAD7/Hgs=")</f>
        <v>#REF!</v>
      </c>
      <c r="M551" t="e">
        <f>AND(#REF!,"AAAAAD7/Hgw=")</f>
        <v>#REF!</v>
      </c>
      <c r="N551" t="e">
        <f>AND(#REF!,"AAAAAD7/Hg0=")</f>
        <v>#REF!</v>
      </c>
      <c r="O551" t="e">
        <f>AND(#REF!,"AAAAAD7/Hg4=")</f>
        <v>#REF!</v>
      </c>
      <c r="P551" t="e">
        <f>AND(#REF!,"AAAAAD7/Hg8=")</f>
        <v>#REF!</v>
      </c>
      <c r="Q551" t="e">
        <f>AND(#REF!,"AAAAAD7/HhA=")</f>
        <v>#REF!</v>
      </c>
      <c r="R551" t="e">
        <f>AND(#REF!,"AAAAAD7/HhE=")</f>
        <v>#REF!</v>
      </c>
      <c r="S551" t="e">
        <f>AND(#REF!,"AAAAAD7/HhI=")</f>
        <v>#REF!</v>
      </c>
      <c r="T551" t="e">
        <f>AND(#REF!,"AAAAAD7/HhM=")</f>
        <v>#REF!</v>
      </c>
      <c r="U551" t="e">
        <f>AND(#REF!,"AAAAAD7/HhQ=")</f>
        <v>#REF!</v>
      </c>
      <c r="V551" t="e">
        <f>AND(#REF!,"AAAAAD7/HhU=")</f>
        <v>#REF!</v>
      </c>
      <c r="W551" t="e">
        <f>AND(#REF!,"AAAAAD7/HhY=")</f>
        <v>#REF!</v>
      </c>
      <c r="X551" t="e">
        <f>AND(#REF!,"AAAAAD7/Hhc=")</f>
        <v>#REF!</v>
      </c>
      <c r="Y551" t="e">
        <f>AND(#REF!,"AAAAAD7/Hhg=")</f>
        <v>#REF!</v>
      </c>
      <c r="Z551" t="e">
        <f>AND(#REF!,"AAAAAD7/Hhk=")</f>
        <v>#REF!</v>
      </c>
      <c r="AA551" t="e">
        <f>AND(#REF!,"AAAAAD7/Hho=")</f>
        <v>#REF!</v>
      </c>
      <c r="AB551" t="e">
        <f>AND(#REF!,"AAAAAD7/Hhs=")</f>
        <v>#REF!</v>
      </c>
      <c r="AC551" t="e">
        <f>AND(#REF!,"AAAAAD7/Hhw=")</f>
        <v>#REF!</v>
      </c>
      <c r="AD551" t="e">
        <f>AND(#REF!,"AAAAAD7/Hh0=")</f>
        <v>#REF!</v>
      </c>
      <c r="AE551" t="e">
        <f>AND(#REF!,"AAAAAD7/Hh4=")</f>
        <v>#REF!</v>
      </c>
      <c r="AF551" t="e">
        <f>AND(#REF!,"AAAAAD7/Hh8=")</f>
        <v>#REF!</v>
      </c>
      <c r="AG551" t="e">
        <f>AND(#REF!,"AAAAAD7/HiA=")</f>
        <v>#REF!</v>
      </c>
      <c r="AH551" t="e">
        <f>AND(#REF!,"AAAAAD7/HiE=")</f>
        <v>#REF!</v>
      </c>
      <c r="AI551" t="e">
        <f>AND(#REF!,"AAAAAD7/HiI=")</f>
        <v>#REF!</v>
      </c>
      <c r="AJ551" t="e">
        <f>IF(#REF!,"AAAAAD7/HiM=",0)</f>
        <v>#REF!</v>
      </c>
      <c r="AK551" t="e">
        <f>AND(#REF!,"AAAAAD7/HiQ=")</f>
        <v>#REF!</v>
      </c>
      <c r="AL551" t="e">
        <f>AND(#REF!,"AAAAAD7/HiU=")</f>
        <v>#REF!</v>
      </c>
      <c r="AM551" t="e">
        <f>AND(#REF!,"AAAAAD7/HiY=")</f>
        <v>#REF!</v>
      </c>
      <c r="AN551" t="e">
        <f>AND(#REF!,"AAAAAD7/Hic=")</f>
        <v>#REF!</v>
      </c>
      <c r="AO551" t="e">
        <f>AND(#REF!,"AAAAAD7/Hig=")</f>
        <v>#REF!</v>
      </c>
      <c r="AP551" t="e">
        <f>AND(#REF!,"AAAAAD7/Hik=")</f>
        <v>#REF!</v>
      </c>
      <c r="AQ551" t="e">
        <f>AND(#REF!,"AAAAAD7/Hio=")</f>
        <v>#REF!</v>
      </c>
      <c r="AR551" t="e">
        <f>AND(#REF!,"AAAAAD7/His=")</f>
        <v>#REF!</v>
      </c>
      <c r="AS551" t="e">
        <f>AND(#REF!,"AAAAAD7/Hiw=")</f>
        <v>#REF!</v>
      </c>
      <c r="AT551" t="e">
        <f>AND(#REF!,"AAAAAD7/Hi0=")</f>
        <v>#REF!</v>
      </c>
      <c r="AU551" t="e">
        <f>AND(#REF!,"AAAAAD7/Hi4=")</f>
        <v>#REF!</v>
      </c>
      <c r="AV551" t="e">
        <f>AND(#REF!,"AAAAAD7/Hi8=")</f>
        <v>#REF!</v>
      </c>
      <c r="AW551" t="e">
        <f>AND(#REF!,"AAAAAD7/HjA=")</f>
        <v>#REF!</v>
      </c>
      <c r="AX551" t="e">
        <f>AND(#REF!,"AAAAAD7/HjE=")</f>
        <v>#REF!</v>
      </c>
      <c r="AY551" t="e">
        <f>AND(#REF!,"AAAAAD7/HjI=")</f>
        <v>#REF!</v>
      </c>
      <c r="AZ551" t="e">
        <f>AND(#REF!,"AAAAAD7/HjM=")</f>
        <v>#REF!</v>
      </c>
      <c r="BA551" t="e">
        <f>AND(#REF!,"AAAAAD7/HjQ=")</f>
        <v>#REF!</v>
      </c>
      <c r="BB551" t="e">
        <f>AND(#REF!,"AAAAAD7/HjU=")</f>
        <v>#REF!</v>
      </c>
      <c r="BC551" t="e">
        <f>AND(#REF!,"AAAAAD7/HjY=")</f>
        <v>#REF!</v>
      </c>
      <c r="BD551" t="e">
        <f>AND(#REF!,"AAAAAD7/Hjc=")</f>
        <v>#REF!</v>
      </c>
      <c r="BE551" t="e">
        <f>AND(#REF!,"AAAAAD7/Hjg=")</f>
        <v>#REF!</v>
      </c>
      <c r="BF551" t="e">
        <f>AND(#REF!,"AAAAAD7/Hjk=")</f>
        <v>#REF!</v>
      </c>
      <c r="BG551" t="e">
        <f>AND(#REF!,"AAAAAD7/Hjo=")</f>
        <v>#REF!</v>
      </c>
      <c r="BH551" t="e">
        <f>AND(#REF!,"AAAAAD7/Hjs=")</f>
        <v>#REF!</v>
      </c>
      <c r="BI551" t="e">
        <f>IF(#REF!,"AAAAAD7/Hjw=",0)</f>
        <v>#REF!</v>
      </c>
      <c r="BJ551" t="e">
        <f>AND(#REF!,"AAAAAD7/Hj0=")</f>
        <v>#REF!</v>
      </c>
      <c r="BK551" t="e">
        <f>AND(#REF!,"AAAAAD7/Hj4=")</f>
        <v>#REF!</v>
      </c>
      <c r="BL551" t="e">
        <f>AND(#REF!,"AAAAAD7/Hj8=")</f>
        <v>#REF!</v>
      </c>
      <c r="BM551" t="e">
        <f>AND(#REF!,"AAAAAD7/HkA=")</f>
        <v>#REF!</v>
      </c>
      <c r="BN551" t="e">
        <f>AND(#REF!,"AAAAAD7/HkE=")</f>
        <v>#REF!</v>
      </c>
      <c r="BO551" t="e">
        <f>AND(#REF!,"AAAAAD7/HkI=")</f>
        <v>#REF!</v>
      </c>
      <c r="BP551" t="e">
        <f>AND(#REF!,"AAAAAD7/HkM=")</f>
        <v>#REF!</v>
      </c>
      <c r="BQ551" t="e">
        <f>AND(#REF!,"AAAAAD7/HkQ=")</f>
        <v>#REF!</v>
      </c>
      <c r="BR551" t="e">
        <f>AND(#REF!,"AAAAAD7/HkU=")</f>
        <v>#REF!</v>
      </c>
      <c r="BS551" t="e">
        <f>AND(#REF!,"AAAAAD7/HkY=")</f>
        <v>#REF!</v>
      </c>
      <c r="BT551" t="e">
        <f>AND(#REF!,"AAAAAD7/Hkc=")</f>
        <v>#REF!</v>
      </c>
      <c r="BU551" t="e">
        <f>AND(#REF!,"AAAAAD7/Hkg=")</f>
        <v>#REF!</v>
      </c>
      <c r="BV551" t="e">
        <f>AND(#REF!,"AAAAAD7/Hkk=")</f>
        <v>#REF!</v>
      </c>
      <c r="BW551" t="e">
        <f>AND(#REF!,"AAAAAD7/Hko=")</f>
        <v>#REF!</v>
      </c>
      <c r="BX551" t="e">
        <f>AND(#REF!,"AAAAAD7/Hks=")</f>
        <v>#REF!</v>
      </c>
      <c r="BY551" t="e">
        <f>AND(#REF!,"AAAAAD7/Hkw=")</f>
        <v>#REF!</v>
      </c>
      <c r="BZ551" t="e">
        <f>AND(#REF!,"AAAAAD7/Hk0=")</f>
        <v>#REF!</v>
      </c>
      <c r="CA551" t="e">
        <f>AND(#REF!,"AAAAAD7/Hk4=")</f>
        <v>#REF!</v>
      </c>
      <c r="CB551" t="e">
        <f>AND(#REF!,"AAAAAD7/Hk8=")</f>
        <v>#REF!</v>
      </c>
      <c r="CC551" t="e">
        <f>AND(#REF!,"AAAAAD7/HlA=")</f>
        <v>#REF!</v>
      </c>
      <c r="CD551" t="e">
        <f>AND(#REF!,"AAAAAD7/HlE=")</f>
        <v>#REF!</v>
      </c>
      <c r="CE551" t="e">
        <f>AND(#REF!,"AAAAAD7/HlI=")</f>
        <v>#REF!</v>
      </c>
      <c r="CF551" t="e">
        <f>AND(#REF!,"AAAAAD7/HlM=")</f>
        <v>#REF!</v>
      </c>
      <c r="CG551" t="e">
        <f>AND(#REF!,"AAAAAD7/HlQ=")</f>
        <v>#REF!</v>
      </c>
      <c r="CH551" t="e">
        <f>IF(#REF!,"AAAAAD7/HlU=",0)</f>
        <v>#REF!</v>
      </c>
      <c r="CI551" t="e">
        <f>AND(#REF!,"AAAAAD7/HlY=")</f>
        <v>#REF!</v>
      </c>
      <c r="CJ551" t="e">
        <f>AND(#REF!,"AAAAAD7/Hlc=")</f>
        <v>#REF!</v>
      </c>
      <c r="CK551" t="e">
        <f>AND(#REF!,"AAAAAD7/Hlg=")</f>
        <v>#REF!</v>
      </c>
      <c r="CL551" t="e">
        <f>AND(#REF!,"AAAAAD7/Hlk=")</f>
        <v>#REF!</v>
      </c>
      <c r="CM551" t="e">
        <f>AND(#REF!,"AAAAAD7/Hlo=")</f>
        <v>#REF!</v>
      </c>
      <c r="CN551" t="e">
        <f>AND(#REF!,"AAAAAD7/Hls=")</f>
        <v>#REF!</v>
      </c>
      <c r="CO551" t="e">
        <f>AND(#REF!,"AAAAAD7/Hlw=")</f>
        <v>#REF!</v>
      </c>
      <c r="CP551" t="e">
        <f>AND(#REF!,"AAAAAD7/Hl0=")</f>
        <v>#REF!</v>
      </c>
      <c r="CQ551" t="e">
        <f>AND(#REF!,"AAAAAD7/Hl4=")</f>
        <v>#REF!</v>
      </c>
      <c r="CR551" t="e">
        <f>AND(#REF!,"AAAAAD7/Hl8=")</f>
        <v>#REF!</v>
      </c>
      <c r="CS551" t="e">
        <f>AND(#REF!,"AAAAAD7/HmA=")</f>
        <v>#REF!</v>
      </c>
      <c r="CT551" t="e">
        <f>AND(#REF!,"AAAAAD7/HmE=")</f>
        <v>#REF!</v>
      </c>
      <c r="CU551" t="e">
        <f>AND(#REF!,"AAAAAD7/HmI=")</f>
        <v>#REF!</v>
      </c>
      <c r="CV551" t="e">
        <f>AND(#REF!,"AAAAAD7/HmM=")</f>
        <v>#REF!</v>
      </c>
      <c r="CW551" t="e">
        <f>AND(#REF!,"AAAAAD7/HmQ=")</f>
        <v>#REF!</v>
      </c>
      <c r="CX551" t="e">
        <f>AND(#REF!,"AAAAAD7/HmU=")</f>
        <v>#REF!</v>
      </c>
      <c r="CY551" t="e">
        <f>AND(#REF!,"AAAAAD7/HmY=")</f>
        <v>#REF!</v>
      </c>
      <c r="CZ551" t="e">
        <f>AND(#REF!,"AAAAAD7/Hmc=")</f>
        <v>#REF!</v>
      </c>
      <c r="DA551" t="e">
        <f>AND(#REF!,"AAAAAD7/Hmg=")</f>
        <v>#REF!</v>
      </c>
      <c r="DB551" t="e">
        <f>AND(#REF!,"AAAAAD7/Hmk=")</f>
        <v>#REF!</v>
      </c>
      <c r="DC551" t="e">
        <f>AND(#REF!,"AAAAAD7/Hmo=")</f>
        <v>#REF!</v>
      </c>
      <c r="DD551" t="e">
        <f>AND(#REF!,"AAAAAD7/Hms=")</f>
        <v>#REF!</v>
      </c>
      <c r="DE551" t="e">
        <f>AND(#REF!,"AAAAAD7/Hmw=")</f>
        <v>#REF!</v>
      </c>
      <c r="DF551" t="e">
        <f>AND(#REF!,"AAAAAD7/Hm0=")</f>
        <v>#REF!</v>
      </c>
      <c r="DG551" t="e">
        <f>IF(#REF!,"AAAAAD7/Hm4=",0)</f>
        <v>#REF!</v>
      </c>
      <c r="DH551" t="e">
        <f>AND(#REF!,"AAAAAD7/Hm8=")</f>
        <v>#REF!</v>
      </c>
      <c r="DI551" t="e">
        <f>AND(#REF!,"AAAAAD7/HnA=")</f>
        <v>#REF!</v>
      </c>
      <c r="DJ551" t="e">
        <f>AND(#REF!,"AAAAAD7/HnE=")</f>
        <v>#REF!</v>
      </c>
      <c r="DK551" t="e">
        <f>AND(#REF!,"AAAAAD7/HnI=")</f>
        <v>#REF!</v>
      </c>
      <c r="DL551" t="e">
        <f>AND(#REF!,"AAAAAD7/HnM=")</f>
        <v>#REF!</v>
      </c>
      <c r="DM551" t="e">
        <f>AND(#REF!,"AAAAAD7/HnQ=")</f>
        <v>#REF!</v>
      </c>
      <c r="DN551" t="e">
        <f>AND(#REF!,"AAAAAD7/HnU=")</f>
        <v>#REF!</v>
      </c>
      <c r="DO551" t="e">
        <f>AND(#REF!,"AAAAAD7/HnY=")</f>
        <v>#REF!</v>
      </c>
      <c r="DP551" t="e">
        <f>AND(#REF!,"AAAAAD7/Hnc=")</f>
        <v>#REF!</v>
      </c>
      <c r="DQ551" t="e">
        <f>AND(#REF!,"AAAAAD7/Hng=")</f>
        <v>#REF!</v>
      </c>
      <c r="DR551" t="e">
        <f>AND(#REF!,"AAAAAD7/Hnk=")</f>
        <v>#REF!</v>
      </c>
      <c r="DS551" t="e">
        <f>AND(#REF!,"AAAAAD7/Hno=")</f>
        <v>#REF!</v>
      </c>
      <c r="DT551" t="e">
        <f>AND(#REF!,"AAAAAD7/Hns=")</f>
        <v>#REF!</v>
      </c>
      <c r="DU551" t="e">
        <f>AND(#REF!,"AAAAAD7/Hnw=")</f>
        <v>#REF!</v>
      </c>
      <c r="DV551" t="e">
        <f>AND(#REF!,"AAAAAD7/Hn0=")</f>
        <v>#REF!</v>
      </c>
      <c r="DW551" t="e">
        <f>AND(#REF!,"AAAAAD7/Hn4=")</f>
        <v>#REF!</v>
      </c>
      <c r="DX551" t="e">
        <f>AND(#REF!,"AAAAAD7/Hn8=")</f>
        <v>#REF!</v>
      </c>
      <c r="DY551" t="e">
        <f>AND(#REF!,"AAAAAD7/HoA=")</f>
        <v>#REF!</v>
      </c>
      <c r="DZ551" t="e">
        <f>AND(#REF!,"AAAAAD7/HoE=")</f>
        <v>#REF!</v>
      </c>
      <c r="EA551" t="e">
        <f>AND(#REF!,"AAAAAD7/HoI=")</f>
        <v>#REF!</v>
      </c>
      <c r="EB551" t="e">
        <f>AND(#REF!,"AAAAAD7/HoM=")</f>
        <v>#REF!</v>
      </c>
      <c r="EC551" t="e">
        <f>AND(#REF!,"AAAAAD7/HoQ=")</f>
        <v>#REF!</v>
      </c>
      <c r="ED551" t="e">
        <f>AND(#REF!,"AAAAAD7/HoU=")</f>
        <v>#REF!</v>
      </c>
      <c r="EE551" t="e">
        <f>AND(#REF!,"AAAAAD7/HoY=")</f>
        <v>#REF!</v>
      </c>
      <c r="EF551" t="e">
        <f>IF(#REF!,"AAAAAD7/Hoc=",0)</f>
        <v>#REF!</v>
      </c>
      <c r="EG551" t="e">
        <f>AND(#REF!,"AAAAAD7/Hog=")</f>
        <v>#REF!</v>
      </c>
      <c r="EH551" t="e">
        <f>AND(#REF!,"AAAAAD7/Hok=")</f>
        <v>#REF!</v>
      </c>
      <c r="EI551" t="e">
        <f>AND(#REF!,"AAAAAD7/Hoo=")</f>
        <v>#REF!</v>
      </c>
      <c r="EJ551" t="e">
        <f>AND(#REF!,"AAAAAD7/Hos=")</f>
        <v>#REF!</v>
      </c>
      <c r="EK551" t="e">
        <f>AND(#REF!,"AAAAAD7/How=")</f>
        <v>#REF!</v>
      </c>
      <c r="EL551" t="e">
        <f>AND(#REF!,"AAAAAD7/Ho0=")</f>
        <v>#REF!</v>
      </c>
      <c r="EM551" t="e">
        <f>AND(#REF!,"AAAAAD7/Ho4=")</f>
        <v>#REF!</v>
      </c>
      <c r="EN551" t="e">
        <f>AND(#REF!,"AAAAAD7/Ho8=")</f>
        <v>#REF!</v>
      </c>
      <c r="EO551" t="e">
        <f>AND(#REF!,"AAAAAD7/HpA=")</f>
        <v>#REF!</v>
      </c>
      <c r="EP551" t="e">
        <f>AND(#REF!,"AAAAAD7/HpE=")</f>
        <v>#REF!</v>
      </c>
      <c r="EQ551" t="e">
        <f>AND(#REF!,"AAAAAD7/HpI=")</f>
        <v>#REF!</v>
      </c>
      <c r="ER551" t="e">
        <f>AND(#REF!,"AAAAAD7/HpM=")</f>
        <v>#REF!</v>
      </c>
      <c r="ES551" t="e">
        <f>AND(#REF!,"AAAAAD7/HpQ=")</f>
        <v>#REF!</v>
      </c>
      <c r="ET551" t="e">
        <f>AND(#REF!,"AAAAAD7/HpU=")</f>
        <v>#REF!</v>
      </c>
      <c r="EU551" t="e">
        <f>AND(#REF!,"AAAAAD7/HpY=")</f>
        <v>#REF!</v>
      </c>
      <c r="EV551" t="e">
        <f>AND(#REF!,"AAAAAD7/Hpc=")</f>
        <v>#REF!</v>
      </c>
      <c r="EW551" t="e">
        <f>AND(#REF!,"AAAAAD7/Hpg=")</f>
        <v>#REF!</v>
      </c>
      <c r="EX551" t="e">
        <f>AND(#REF!,"AAAAAD7/Hpk=")</f>
        <v>#REF!</v>
      </c>
      <c r="EY551" t="e">
        <f>AND(#REF!,"AAAAAD7/Hpo=")</f>
        <v>#REF!</v>
      </c>
      <c r="EZ551" t="e">
        <f>AND(#REF!,"AAAAAD7/Hps=")</f>
        <v>#REF!</v>
      </c>
      <c r="FA551" t="e">
        <f>AND(#REF!,"AAAAAD7/Hpw=")</f>
        <v>#REF!</v>
      </c>
      <c r="FB551" t="e">
        <f>AND(#REF!,"AAAAAD7/Hp0=")</f>
        <v>#REF!</v>
      </c>
      <c r="FC551" t="e">
        <f>AND(#REF!,"AAAAAD7/Hp4=")</f>
        <v>#REF!</v>
      </c>
      <c r="FD551" t="e">
        <f>AND(#REF!,"AAAAAD7/Hp8=")</f>
        <v>#REF!</v>
      </c>
      <c r="FE551" t="e">
        <f>IF(#REF!,"AAAAAD7/HqA=",0)</f>
        <v>#REF!</v>
      </c>
      <c r="FF551" t="e">
        <f>AND(#REF!,"AAAAAD7/HqE=")</f>
        <v>#REF!</v>
      </c>
      <c r="FG551" t="e">
        <f>AND(#REF!,"AAAAAD7/HqI=")</f>
        <v>#REF!</v>
      </c>
      <c r="FH551" t="e">
        <f>AND(#REF!,"AAAAAD7/HqM=")</f>
        <v>#REF!</v>
      </c>
      <c r="FI551" t="e">
        <f>AND(#REF!,"AAAAAD7/HqQ=")</f>
        <v>#REF!</v>
      </c>
      <c r="FJ551" t="e">
        <f>AND(#REF!,"AAAAAD7/HqU=")</f>
        <v>#REF!</v>
      </c>
      <c r="FK551" t="e">
        <f>AND(#REF!,"AAAAAD7/HqY=")</f>
        <v>#REF!</v>
      </c>
      <c r="FL551" t="e">
        <f>AND(#REF!,"AAAAAD7/Hqc=")</f>
        <v>#REF!</v>
      </c>
      <c r="FM551" t="e">
        <f>AND(#REF!,"AAAAAD7/Hqg=")</f>
        <v>#REF!</v>
      </c>
      <c r="FN551" t="e">
        <f>AND(#REF!,"AAAAAD7/Hqk=")</f>
        <v>#REF!</v>
      </c>
      <c r="FO551" t="e">
        <f>AND(#REF!,"AAAAAD7/Hqo=")</f>
        <v>#REF!</v>
      </c>
      <c r="FP551" t="e">
        <f>AND(#REF!,"AAAAAD7/Hqs=")</f>
        <v>#REF!</v>
      </c>
      <c r="FQ551" t="e">
        <f>AND(#REF!,"AAAAAD7/Hqw=")</f>
        <v>#REF!</v>
      </c>
      <c r="FR551" t="e">
        <f>AND(#REF!,"AAAAAD7/Hq0=")</f>
        <v>#REF!</v>
      </c>
      <c r="FS551" t="e">
        <f>AND(#REF!,"AAAAAD7/Hq4=")</f>
        <v>#REF!</v>
      </c>
      <c r="FT551" t="e">
        <f>AND(#REF!,"AAAAAD7/Hq8=")</f>
        <v>#REF!</v>
      </c>
      <c r="FU551" t="e">
        <f>AND(#REF!,"AAAAAD7/HrA=")</f>
        <v>#REF!</v>
      </c>
      <c r="FV551" t="e">
        <f>AND(#REF!,"AAAAAD7/HrE=")</f>
        <v>#REF!</v>
      </c>
      <c r="FW551" t="e">
        <f>AND(#REF!,"AAAAAD7/HrI=")</f>
        <v>#REF!</v>
      </c>
      <c r="FX551" t="e">
        <f>AND(#REF!,"AAAAAD7/HrM=")</f>
        <v>#REF!</v>
      </c>
      <c r="FY551" t="e">
        <f>AND(#REF!,"AAAAAD7/HrQ=")</f>
        <v>#REF!</v>
      </c>
      <c r="FZ551" t="e">
        <f>AND(#REF!,"AAAAAD7/HrU=")</f>
        <v>#REF!</v>
      </c>
      <c r="GA551" t="e">
        <f>AND(#REF!,"AAAAAD7/HrY=")</f>
        <v>#REF!</v>
      </c>
      <c r="GB551" t="e">
        <f>AND(#REF!,"AAAAAD7/Hrc=")</f>
        <v>#REF!</v>
      </c>
      <c r="GC551" t="e">
        <f>AND(#REF!,"AAAAAD7/Hrg=")</f>
        <v>#REF!</v>
      </c>
      <c r="GD551" t="e">
        <f>IF(#REF!,"AAAAAD7/Hrk=",0)</f>
        <v>#REF!</v>
      </c>
      <c r="GE551" t="e">
        <f>AND(#REF!,"AAAAAD7/Hro=")</f>
        <v>#REF!</v>
      </c>
      <c r="GF551" t="e">
        <f>AND(#REF!,"AAAAAD7/Hrs=")</f>
        <v>#REF!</v>
      </c>
      <c r="GG551" t="e">
        <f>AND(#REF!,"AAAAAD7/Hrw=")</f>
        <v>#REF!</v>
      </c>
      <c r="GH551" t="e">
        <f>AND(#REF!,"AAAAAD7/Hr0=")</f>
        <v>#REF!</v>
      </c>
      <c r="GI551" t="e">
        <f>AND(#REF!,"AAAAAD7/Hr4=")</f>
        <v>#REF!</v>
      </c>
      <c r="GJ551" t="e">
        <f>AND(#REF!,"AAAAAD7/Hr8=")</f>
        <v>#REF!</v>
      </c>
      <c r="GK551" t="e">
        <f>AND(#REF!,"AAAAAD7/HsA=")</f>
        <v>#REF!</v>
      </c>
      <c r="GL551" t="e">
        <f>AND(#REF!,"AAAAAD7/HsE=")</f>
        <v>#REF!</v>
      </c>
      <c r="GM551" t="e">
        <f>AND(#REF!,"AAAAAD7/HsI=")</f>
        <v>#REF!</v>
      </c>
      <c r="GN551" t="e">
        <f>AND(#REF!,"AAAAAD7/HsM=")</f>
        <v>#REF!</v>
      </c>
      <c r="GO551" t="e">
        <f>AND(#REF!,"AAAAAD7/HsQ=")</f>
        <v>#REF!</v>
      </c>
      <c r="GP551" t="e">
        <f>AND(#REF!,"AAAAAD7/HsU=")</f>
        <v>#REF!</v>
      </c>
      <c r="GQ551" t="e">
        <f>AND(#REF!,"AAAAAD7/HsY=")</f>
        <v>#REF!</v>
      </c>
      <c r="GR551" t="e">
        <f>AND(#REF!,"AAAAAD7/Hsc=")</f>
        <v>#REF!</v>
      </c>
      <c r="GS551" t="e">
        <f>AND(#REF!,"AAAAAD7/Hsg=")</f>
        <v>#REF!</v>
      </c>
      <c r="GT551" t="e">
        <f>AND(#REF!,"AAAAAD7/Hsk=")</f>
        <v>#REF!</v>
      </c>
      <c r="GU551" t="e">
        <f>AND(#REF!,"AAAAAD7/Hso=")</f>
        <v>#REF!</v>
      </c>
      <c r="GV551" t="e">
        <f>AND(#REF!,"AAAAAD7/Hss=")</f>
        <v>#REF!</v>
      </c>
      <c r="GW551" t="e">
        <f>AND(#REF!,"AAAAAD7/Hsw=")</f>
        <v>#REF!</v>
      </c>
      <c r="GX551" t="e">
        <f>AND(#REF!,"AAAAAD7/Hs0=")</f>
        <v>#REF!</v>
      </c>
      <c r="GY551" t="e">
        <f>AND(#REF!,"AAAAAD7/Hs4=")</f>
        <v>#REF!</v>
      </c>
      <c r="GZ551" t="e">
        <f>AND(#REF!,"AAAAAD7/Hs8=")</f>
        <v>#REF!</v>
      </c>
      <c r="HA551" t="e">
        <f>AND(#REF!,"AAAAAD7/HtA=")</f>
        <v>#REF!</v>
      </c>
      <c r="HB551" t="e">
        <f>AND(#REF!,"AAAAAD7/HtE=")</f>
        <v>#REF!</v>
      </c>
      <c r="HC551" t="e">
        <f>IF(#REF!,"AAAAAD7/HtI=",0)</f>
        <v>#REF!</v>
      </c>
      <c r="HD551" t="e">
        <f>AND(#REF!,"AAAAAD7/HtM=")</f>
        <v>#REF!</v>
      </c>
      <c r="HE551" t="e">
        <f>AND(#REF!,"AAAAAD7/HtQ=")</f>
        <v>#REF!</v>
      </c>
      <c r="HF551" t="e">
        <f>AND(#REF!,"AAAAAD7/HtU=")</f>
        <v>#REF!</v>
      </c>
      <c r="HG551" t="e">
        <f>AND(#REF!,"AAAAAD7/HtY=")</f>
        <v>#REF!</v>
      </c>
      <c r="HH551" t="e">
        <f>AND(#REF!,"AAAAAD7/Htc=")</f>
        <v>#REF!</v>
      </c>
      <c r="HI551" t="e">
        <f>AND(#REF!,"AAAAAD7/Htg=")</f>
        <v>#REF!</v>
      </c>
      <c r="HJ551" t="e">
        <f>AND(#REF!,"AAAAAD7/Htk=")</f>
        <v>#REF!</v>
      </c>
      <c r="HK551" t="e">
        <f>AND(#REF!,"AAAAAD7/Hto=")</f>
        <v>#REF!</v>
      </c>
      <c r="HL551" t="e">
        <f>AND(#REF!,"AAAAAD7/Hts=")</f>
        <v>#REF!</v>
      </c>
      <c r="HM551" t="e">
        <f>AND(#REF!,"AAAAAD7/Htw=")</f>
        <v>#REF!</v>
      </c>
      <c r="HN551" t="e">
        <f>AND(#REF!,"AAAAAD7/Ht0=")</f>
        <v>#REF!</v>
      </c>
      <c r="HO551" t="e">
        <f>AND(#REF!,"AAAAAD7/Ht4=")</f>
        <v>#REF!</v>
      </c>
      <c r="HP551" t="e">
        <f>AND(#REF!,"AAAAAD7/Ht8=")</f>
        <v>#REF!</v>
      </c>
      <c r="HQ551" t="e">
        <f>AND(#REF!,"AAAAAD7/HuA=")</f>
        <v>#REF!</v>
      </c>
      <c r="HR551" t="e">
        <f>AND(#REF!,"AAAAAD7/HuE=")</f>
        <v>#REF!</v>
      </c>
      <c r="HS551" t="e">
        <f>AND(#REF!,"AAAAAD7/HuI=")</f>
        <v>#REF!</v>
      </c>
      <c r="HT551" t="e">
        <f>AND(#REF!,"AAAAAD7/HuM=")</f>
        <v>#REF!</v>
      </c>
      <c r="HU551" t="e">
        <f>AND(#REF!,"AAAAAD7/HuQ=")</f>
        <v>#REF!</v>
      </c>
      <c r="HV551" t="e">
        <f>AND(#REF!,"AAAAAD7/HuU=")</f>
        <v>#REF!</v>
      </c>
      <c r="HW551" t="e">
        <f>AND(#REF!,"AAAAAD7/HuY=")</f>
        <v>#REF!</v>
      </c>
      <c r="HX551" t="e">
        <f>AND(#REF!,"AAAAAD7/Huc=")</f>
        <v>#REF!</v>
      </c>
      <c r="HY551" t="e">
        <f>AND(#REF!,"AAAAAD7/Hug=")</f>
        <v>#REF!</v>
      </c>
      <c r="HZ551" t="e">
        <f>AND(#REF!,"AAAAAD7/Huk=")</f>
        <v>#REF!</v>
      </c>
      <c r="IA551" t="e">
        <f>AND(#REF!,"AAAAAD7/Huo=")</f>
        <v>#REF!</v>
      </c>
      <c r="IB551" t="e">
        <f>IF(#REF!,"AAAAAD7/Hus=",0)</f>
        <v>#REF!</v>
      </c>
      <c r="IC551" t="e">
        <f>AND(#REF!,"AAAAAD7/Huw=")</f>
        <v>#REF!</v>
      </c>
      <c r="ID551" t="e">
        <f>AND(#REF!,"AAAAAD7/Hu0=")</f>
        <v>#REF!</v>
      </c>
      <c r="IE551" t="e">
        <f>AND(#REF!,"AAAAAD7/Hu4=")</f>
        <v>#REF!</v>
      </c>
      <c r="IF551" t="e">
        <f>AND(#REF!,"AAAAAD7/Hu8=")</f>
        <v>#REF!</v>
      </c>
      <c r="IG551" t="e">
        <f>AND(#REF!,"AAAAAD7/HvA=")</f>
        <v>#REF!</v>
      </c>
      <c r="IH551" t="e">
        <f>AND(#REF!,"AAAAAD7/HvE=")</f>
        <v>#REF!</v>
      </c>
      <c r="II551" t="e">
        <f>AND(#REF!,"AAAAAD7/HvI=")</f>
        <v>#REF!</v>
      </c>
      <c r="IJ551" t="e">
        <f>AND(#REF!,"AAAAAD7/HvM=")</f>
        <v>#REF!</v>
      </c>
      <c r="IK551" t="e">
        <f>AND(#REF!,"AAAAAD7/HvQ=")</f>
        <v>#REF!</v>
      </c>
      <c r="IL551" t="e">
        <f>AND(#REF!,"AAAAAD7/HvU=")</f>
        <v>#REF!</v>
      </c>
      <c r="IM551" t="e">
        <f>AND(#REF!,"AAAAAD7/HvY=")</f>
        <v>#REF!</v>
      </c>
      <c r="IN551" t="e">
        <f>AND(#REF!,"AAAAAD7/Hvc=")</f>
        <v>#REF!</v>
      </c>
      <c r="IO551" t="e">
        <f>AND(#REF!,"AAAAAD7/Hvg=")</f>
        <v>#REF!</v>
      </c>
      <c r="IP551" t="e">
        <f>AND(#REF!,"AAAAAD7/Hvk=")</f>
        <v>#REF!</v>
      </c>
      <c r="IQ551" t="e">
        <f>AND(#REF!,"AAAAAD7/Hvo=")</f>
        <v>#REF!</v>
      </c>
      <c r="IR551" t="e">
        <f>AND(#REF!,"AAAAAD7/Hvs=")</f>
        <v>#REF!</v>
      </c>
      <c r="IS551" t="e">
        <f>AND(#REF!,"AAAAAD7/Hvw=")</f>
        <v>#REF!</v>
      </c>
      <c r="IT551" t="e">
        <f>AND(#REF!,"AAAAAD7/Hv0=")</f>
        <v>#REF!</v>
      </c>
      <c r="IU551" t="e">
        <f>AND(#REF!,"AAAAAD7/Hv4=")</f>
        <v>#REF!</v>
      </c>
      <c r="IV551" t="e">
        <f>AND(#REF!,"AAAAAD7/Hv8=")</f>
        <v>#REF!</v>
      </c>
    </row>
    <row r="552" spans="1:256">
      <c r="A552" t="e">
        <f>AND(#REF!,"AAAAAEH3jQA=")</f>
        <v>#REF!</v>
      </c>
      <c r="B552" t="e">
        <f>AND(#REF!,"AAAAAEH3jQE=")</f>
        <v>#REF!</v>
      </c>
      <c r="C552" t="e">
        <f>AND(#REF!,"AAAAAEH3jQI=")</f>
        <v>#REF!</v>
      </c>
      <c r="D552" t="e">
        <f>AND(#REF!,"AAAAAEH3jQM=")</f>
        <v>#REF!</v>
      </c>
      <c r="E552" t="e">
        <f>IF(#REF!,"AAAAAEH3jQQ=",0)</f>
        <v>#REF!</v>
      </c>
      <c r="F552" t="e">
        <f>AND(#REF!,"AAAAAEH3jQU=")</f>
        <v>#REF!</v>
      </c>
      <c r="G552" t="e">
        <f>AND(#REF!,"AAAAAEH3jQY=")</f>
        <v>#REF!</v>
      </c>
      <c r="H552" t="e">
        <f>AND(#REF!,"AAAAAEH3jQc=")</f>
        <v>#REF!</v>
      </c>
      <c r="I552" t="e">
        <f>AND(#REF!,"AAAAAEH3jQg=")</f>
        <v>#REF!</v>
      </c>
      <c r="J552" t="e">
        <f>AND(#REF!,"AAAAAEH3jQk=")</f>
        <v>#REF!</v>
      </c>
      <c r="K552" t="e">
        <f>AND(#REF!,"AAAAAEH3jQo=")</f>
        <v>#REF!</v>
      </c>
      <c r="L552" t="e">
        <f>AND(#REF!,"AAAAAEH3jQs=")</f>
        <v>#REF!</v>
      </c>
      <c r="M552" t="e">
        <f>AND(#REF!,"AAAAAEH3jQw=")</f>
        <v>#REF!</v>
      </c>
      <c r="N552" t="e">
        <f>AND(#REF!,"AAAAAEH3jQ0=")</f>
        <v>#REF!</v>
      </c>
      <c r="O552" t="e">
        <f>AND(#REF!,"AAAAAEH3jQ4=")</f>
        <v>#REF!</v>
      </c>
      <c r="P552" t="e">
        <f>AND(#REF!,"AAAAAEH3jQ8=")</f>
        <v>#REF!</v>
      </c>
      <c r="Q552" t="e">
        <f>AND(#REF!,"AAAAAEH3jRA=")</f>
        <v>#REF!</v>
      </c>
      <c r="R552" t="e">
        <f>AND(#REF!,"AAAAAEH3jRE=")</f>
        <v>#REF!</v>
      </c>
      <c r="S552" t="e">
        <f>AND(#REF!,"AAAAAEH3jRI=")</f>
        <v>#REF!</v>
      </c>
      <c r="T552" t="e">
        <f>AND(#REF!,"AAAAAEH3jRM=")</f>
        <v>#REF!</v>
      </c>
      <c r="U552" t="e">
        <f>AND(#REF!,"AAAAAEH3jRQ=")</f>
        <v>#REF!</v>
      </c>
      <c r="V552" t="e">
        <f>AND(#REF!,"AAAAAEH3jRU=")</f>
        <v>#REF!</v>
      </c>
      <c r="W552" t="e">
        <f>AND(#REF!,"AAAAAEH3jRY=")</f>
        <v>#REF!</v>
      </c>
      <c r="X552" t="e">
        <f>AND(#REF!,"AAAAAEH3jRc=")</f>
        <v>#REF!</v>
      </c>
      <c r="Y552" t="e">
        <f>AND(#REF!,"AAAAAEH3jRg=")</f>
        <v>#REF!</v>
      </c>
      <c r="Z552" t="e">
        <f>AND(#REF!,"AAAAAEH3jRk=")</f>
        <v>#REF!</v>
      </c>
      <c r="AA552" t="e">
        <f>AND(#REF!,"AAAAAEH3jRo=")</f>
        <v>#REF!</v>
      </c>
      <c r="AB552" t="e">
        <f>AND(#REF!,"AAAAAEH3jRs=")</f>
        <v>#REF!</v>
      </c>
      <c r="AC552" t="e">
        <f>AND(#REF!,"AAAAAEH3jRw=")</f>
        <v>#REF!</v>
      </c>
      <c r="AD552" t="e">
        <f>IF(#REF!,"AAAAAEH3jR0=",0)</f>
        <v>#REF!</v>
      </c>
      <c r="AE552" t="e">
        <f>AND(#REF!,"AAAAAEH3jR4=")</f>
        <v>#REF!</v>
      </c>
      <c r="AF552" t="e">
        <f>AND(#REF!,"AAAAAEH3jR8=")</f>
        <v>#REF!</v>
      </c>
      <c r="AG552" t="e">
        <f>AND(#REF!,"AAAAAEH3jSA=")</f>
        <v>#REF!</v>
      </c>
      <c r="AH552" t="e">
        <f>AND(#REF!,"AAAAAEH3jSE=")</f>
        <v>#REF!</v>
      </c>
      <c r="AI552" t="e">
        <f>AND(#REF!,"AAAAAEH3jSI=")</f>
        <v>#REF!</v>
      </c>
      <c r="AJ552" t="e">
        <f>AND(#REF!,"AAAAAEH3jSM=")</f>
        <v>#REF!</v>
      </c>
      <c r="AK552" t="e">
        <f>AND(#REF!,"AAAAAEH3jSQ=")</f>
        <v>#REF!</v>
      </c>
      <c r="AL552" t="e">
        <f>AND(#REF!,"AAAAAEH3jSU=")</f>
        <v>#REF!</v>
      </c>
      <c r="AM552" t="e">
        <f>AND(#REF!,"AAAAAEH3jSY=")</f>
        <v>#REF!</v>
      </c>
      <c r="AN552" t="e">
        <f>AND(#REF!,"AAAAAEH3jSc=")</f>
        <v>#REF!</v>
      </c>
      <c r="AO552" t="e">
        <f>AND(#REF!,"AAAAAEH3jSg=")</f>
        <v>#REF!</v>
      </c>
      <c r="AP552" t="e">
        <f>AND(#REF!,"AAAAAEH3jSk=")</f>
        <v>#REF!</v>
      </c>
      <c r="AQ552" t="e">
        <f>AND(#REF!,"AAAAAEH3jSo=")</f>
        <v>#REF!</v>
      </c>
      <c r="AR552" t="e">
        <f>AND(#REF!,"AAAAAEH3jSs=")</f>
        <v>#REF!</v>
      </c>
      <c r="AS552" t="e">
        <f>AND(#REF!,"AAAAAEH3jSw=")</f>
        <v>#REF!</v>
      </c>
      <c r="AT552" t="e">
        <f>AND(#REF!,"AAAAAEH3jS0=")</f>
        <v>#REF!</v>
      </c>
      <c r="AU552" t="e">
        <f>AND(#REF!,"AAAAAEH3jS4=")</f>
        <v>#REF!</v>
      </c>
      <c r="AV552" t="e">
        <f>AND(#REF!,"AAAAAEH3jS8=")</f>
        <v>#REF!</v>
      </c>
      <c r="AW552" t="e">
        <f>AND(#REF!,"AAAAAEH3jTA=")</f>
        <v>#REF!</v>
      </c>
      <c r="AX552" t="e">
        <f>AND(#REF!,"AAAAAEH3jTE=")</f>
        <v>#REF!</v>
      </c>
      <c r="AY552" t="e">
        <f>AND(#REF!,"AAAAAEH3jTI=")</f>
        <v>#REF!</v>
      </c>
      <c r="AZ552" t="e">
        <f>AND(#REF!,"AAAAAEH3jTM=")</f>
        <v>#REF!</v>
      </c>
      <c r="BA552" t="e">
        <f>AND(#REF!,"AAAAAEH3jTQ=")</f>
        <v>#REF!</v>
      </c>
      <c r="BB552" t="e">
        <f>AND(#REF!,"AAAAAEH3jTU=")</f>
        <v>#REF!</v>
      </c>
      <c r="BC552" t="e">
        <f>IF(#REF!,"AAAAAEH3jTY=",0)</f>
        <v>#REF!</v>
      </c>
      <c r="BD552" t="e">
        <f>AND(#REF!,"AAAAAEH3jTc=")</f>
        <v>#REF!</v>
      </c>
      <c r="BE552" t="e">
        <f>AND(#REF!,"AAAAAEH3jTg=")</f>
        <v>#REF!</v>
      </c>
      <c r="BF552" t="e">
        <f>AND(#REF!,"AAAAAEH3jTk=")</f>
        <v>#REF!</v>
      </c>
      <c r="BG552" t="e">
        <f>AND(#REF!,"AAAAAEH3jTo=")</f>
        <v>#REF!</v>
      </c>
      <c r="BH552" t="e">
        <f>AND(#REF!,"AAAAAEH3jTs=")</f>
        <v>#REF!</v>
      </c>
      <c r="BI552" t="e">
        <f>AND(#REF!,"AAAAAEH3jTw=")</f>
        <v>#REF!</v>
      </c>
      <c r="BJ552" t="e">
        <f>AND(#REF!,"AAAAAEH3jT0=")</f>
        <v>#REF!</v>
      </c>
      <c r="BK552" t="e">
        <f>AND(#REF!,"AAAAAEH3jT4=")</f>
        <v>#REF!</v>
      </c>
      <c r="BL552" t="e">
        <f>AND(#REF!,"AAAAAEH3jT8=")</f>
        <v>#REF!</v>
      </c>
      <c r="BM552" t="e">
        <f>AND(#REF!,"AAAAAEH3jUA=")</f>
        <v>#REF!</v>
      </c>
      <c r="BN552" t="e">
        <f>AND(#REF!,"AAAAAEH3jUE=")</f>
        <v>#REF!</v>
      </c>
      <c r="BO552" t="e">
        <f>AND(#REF!,"AAAAAEH3jUI=")</f>
        <v>#REF!</v>
      </c>
      <c r="BP552" t="e">
        <f>AND(#REF!,"AAAAAEH3jUM=")</f>
        <v>#REF!</v>
      </c>
      <c r="BQ552" t="e">
        <f>AND(#REF!,"AAAAAEH3jUQ=")</f>
        <v>#REF!</v>
      </c>
      <c r="BR552" t="e">
        <f>AND(#REF!,"AAAAAEH3jUU=")</f>
        <v>#REF!</v>
      </c>
      <c r="BS552" t="e">
        <f>AND(#REF!,"AAAAAEH3jUY=")</f>
        <v>#REF!</v>
      </c>
      <c r="BT552" t="e">
        <f>AND(#REF!,"AAAAAEH3jUc=")</f>
        <v>#REF!</v>
      </c>
      <c r="BU552" t="e">
        <f>AND(#REF!,"AAAAAEH3jUg=")</f>
        <v>#REF!</v>
      </c>
      <c r="BV552" t="e">
        <f>AND(#REF!,"AAAAAEH3jUk=")</f>
        <v>#REF!</v>
      </c>
      <c r="BW552" t="e">
        <f>AND(#REF!,"AAAAAEH3jUo=")</f>
        <v>#REF!</v>
      </c>
      <c r="BX552" t="e">
        <f>AND(#REF!,"AAAAAEH3jUs=")</f>
        <v>#REF!</v>
      </c>
      <c r="BY552" t="e">
        <f>AND(#REF!,"AAAAAEH3jUw=")</f>
        <v>#REF!</v>
      </c>
      <c r="BZ552" t="e">
        <f>AND(#REF!,"AAAAAEH3jU0=")</f>
        <v>#REF!</v>
      </c>
      <c r="CA552" t="e">
        <f>AND(#REF!,"AAAAAEH3jU4=")</f>
        <v>#REF!</v>
      </c>
      <c r="CB552" t="e">
        <f>IF(#REF!,"AAAAAEH3jU8=",0)</f>
        <v>#REF!</v>
      </c>
      <c r="CC552" t="e">
        <f>AND(#REF!,"AAAAAEH3jVA=")</f>
        <v>#REF!</v>
      </c>
      <c r="CD552" t="e">
        <f>AND(#REF!,"AAAAAEH3jVE=")</f>
        <v>#REF!</v>
      </c>
      <c r="CE552" t="e">
        <f>AND(#REF!,"AAAAAEH3jVI=")</f>
        <v>#REF!</v>
      </c>
      <c r="CF552" t="e">
        <f>AND(#REF!,"AAAAAEH3jVM=")</f>
        <v>#REF!</v>
      </c>
      <c r="CG552" t="e">
        <f>AND(#REF!,"AAAAAEH3jVQ=")</f>
        <v>#REF!</v>
      </c>
      <c r="CH552" t="e">
        <f>AND(#REF!,"AAAAAEH3jVU=")</f>
        <v>#REF!</v>
      </c>
      <c r="CI552" t="e">
        <f>AND(#REF!,"AAAAAEH3jVY=")</f>
        <v>#REF!</v>
      </c>
      <c r="CJ552" t="e">
        <f>AND(#REF!,"AAAAAEH3jVc=")</f>
        <v>#REF!</v>
      </c>
      <c r="CK552" t="e">
        <f>AND(#REF!,"AAAAAEH3jVg=")</f>
        <v>#REF!</v>
      </c>
      <c r="CL552" t="e">
        <f>AND(#REF!,"AAAAAEH3jVk=")</f>
        <v>#REF!</v>
      </c>
      <c r="CM552" t="e">
        <f>AND(#REF!,"AAAAAEH3jVo=")</f>
        <v>#REF!</v>
      </c>
      <c r="CN552" t="e">
        <f>AND(#REF!,"AAAAAEH3jVs=")</f>
        <v>#REF!</v>
      </c>
      <c r="CO552" t="e">
        <f>AND(#REF!,"AAAAAEH3jVw=")</f>
        <v>#REF!</v>
      </c>
      <c r="CP552" t="e">
        <f>AND(#REF!,"AAAAAEH3jV0=")</f>
        <v>#REF!</v>
      </c>
      <c r="CQ552" t="e">
        <f>AND(#REF!,"AAAAAEH3jV4=")</f>
        <v>#REF!</v>
      </c>
      <c r="CR552" t="e">
        <f>AND(#REF!,"AAAAAEH3jV8=")</f>
        <v>#REF!</v>
      </c>
      <c r="CS552" t="e">
        <f>AND(#REF!,"AAAAAEH3jWA=")</f>
        <v>#REF!</v>
      </c>
      <c r="CT552" t="e">
        <f>AND(#REF!,"AAAAAEH3jWE=")</f>
        <v>#REF!</v>
      </c>
      <c r="CU552" t="e">
        <f>AND(#REF!,"AAAAAEH3jWI=")</f>
        <v>#REF!</v>
      </c>
      <c r="CV552" t="e">
        <f>AND(#REF!,"AAAAAEH3jWM=")</f>
        <v>#REF!</v>
      </c>
      <c r="CW552" t="e">
        <f>AND(#REF!,"AAAAAEH3jWQ=")</f>
        <v>#REF!</v>
      </c>
      <c r="CX552" t="e">
        <f>AND(#REF!,"AAAAAEH3jWU=")</f>
        <v>#REF!</v>
      </c>
      <c r="CY552" t="e">
        <f>AND(#REF!,"AAAAAEH3jWY=")</f>
        <v>#REF!</v>
      </c>
      <c r="CZ552" t="e">
        <f>AND(#REF!,"AAAAAEH3jWc=")</f>
        <v>#REF!</v>
      </c>
      <c r="DA552" t="e">
        <f>IF(#REF!,"AAAAAEH3jWg=",0)</f>
        <v>#REF!</v>
      </c>
      <c r="DB552" t="e">
        <f>AND(#REF!,"AAAAAEH3jWk=")</f>
        <v>#REF!</v>
      </c>
      <c r="DC552" t="e">
        <f>AND(#REF!,"AAAAAEH3jWo=")</f>
        <v>#REF!</v>
      </c>
      <c r="DD552" t="e">
        <f>AND(#REF!,"AAAAAEH3jWs=")</f>
        <v>#REF!</v>
      </c>
      <c r="DE552" t="e">
        <f>AND(#REF!,"AAAAAEH3jWw=")</f>
        <v>#REF!</v>
      </c>
      <c r="DF552" t="e">
        <f>AND(#REF!,"AAAAAEH3jW0=")</f>
        <v>#REF!</v>
      </c>
      <c r="DG552" t="e">
        <f>AND(#REF!,"AAAAAEH3jW4=")</f>
        <v>#REF!</v>
      </c>
      <c r="DH552" t="e">
        <f>AND(#REF!,"AAAAAEH3jW8=")</f>
        <v>#REF!</v>
      </c>
      <c r="DI552" t="e">
        <f>AND(#REF!,"AAAAAEH3jXA=")</f>
        <v>#REF!</v>
      </c>
      <c r="DJ552" t="e">
        <f>AND(#REF!,"AAAAAEH3jXE=")</f>
        <v>#REF!</v>
      </c>
      <c r="DK552" t="e">
        <f>AND(#REF!,"AAAAAEH3jXI=")</f>
        <v>#REF!</v>
      </c>
      <c r="DL552" t="e">
        <f>AND(#REF!,"AAAAAEH3jXM=")</f>
        <v>#REF!</v>
      </c>
      <c r="DM552" t="e">
        <f>AND(#REF!,"AAAAAEH3jXQ=")</f>
        <v>#REF!</v>
      </c>
      <c r="DN552" t="e">
        <f>AND(#REF!,"AAAAAEH3jXU=")</f>
        <v>#REF!</v>
      </c>
      <c r="DO552" t="e">
        <f>AND(#REF!,"AAAAAEH3jXY=")</f>
        <v>#REF!</v>
      </c>
      <c r="DP552" t="e">
        <f>AND(#REF!,"AAAAAEH3jXc=")</f>
        <v>#REF!</v>
      </c>
      <c r="DQ552" t="e">
        <f>AND(#REF!,"AAAAAEH3jXg=")</f>
        <v>#REF!</v>
      </c>
      <c r="DR552" t="e">
        <f>AND(#REF!,"AAAAAEH3jXk=")</f>
        <v>#REF!</v>
      </c>
      <c r="DS552" t="e">
        <f>AND(#REF!,"AAAAAEH3jXo=")</f>
        <v>#REF!</v>
      </c>
      <c r="DT552" t="e">
        <f>AND(#REF!,"AAAAAEH3jXs=")</f>
        <v>#REF!</v>
      </c>
      <c r="DU552" t="e">
        <f>AND(#REF!,"AAAAAEH3jXw=")</f>
        <v>#REF!</v>
      </c>
      <c r="DV552" t="e">
        <f>AND(#REF!,"AAAAAEH3jX0=")</f>
        <v>#REF!</v>
      </c>
      <c r="DW552" t="e">
        <f>AND(#REF!,"AAAAAEH3jX4=")</f>
        <v>#REF!</v>
      </c>
      <c r="DX552" t="e">
        <f>AND(#REF!,"AAAAAEH3jX8=")</f>
        <v>#REF!</v>
      </c>
      <c r="DY552" t="e">
        <f>AND(#REF!,"AAAAAEH3jYA=")</f>
        <v>#REF!</v>
      </c>
      <c r="DZ552" t="e">
        <f>IF(#REF!,"AAAAAEH3jYE=",0)</f>
        <v>#REF!</v>
      </c>
      <c r="EA552" t="e">
        <f>AND(#REF!,"AAAAAEH3jYI=")</f>
        <v>#REF!</v>
      </c>
      <c r="EB552" t="e">
        <f>AND(#REF!,"AAAAAEH3jYM=")</f>
        <v>#REF!</v>
      </c>
      <c r="EC552" t="e">
        <f>AND(#REF!,"AAAAAEH3jYQ=")</f>
        <v>#REF!</v>
      </c>
      <c r="ED552" t="e">
        <f>AND(#REF!,"AAAAAEH3jYU=")</f>
        <v>#REF!</v>
      </c>
      <c r="EE552" t="e">
        <f>AND(#REF!,"AAAAAEH3jYY=")</f>
        <v>#REF!</v>
      </c>
      <c r="EF552" t="e">
        <f>AND(#REF!,"AAAAAEH3jYc=")</f>
        <v>#REF!</v>
      </c>
      <c r="EG552" t="e">
        <f>AND(#REF!,"AAAAAEH3jYg=")</f>
        <v>#REF!</v>
      </c>
      <c r="EH552" t="e">
        <f>AND(#REF!,"AAAAAEH3jYk=")</f>
        <v>#REF!</v>
      </c>
      <c r="EI552" t="e">
        <f>AND(#REF!,"AAAAAEH3jYo=")</f>
        <v>#REF!</v>
      </c>
      <c r="EJ552" t="e">
        <f>AND(#REF!,"AAAAAEH3jYs=")</f>
        <v>#REF!</v>
      </c>
      <c r="EK552" t="e">
        <f>AND(#REF!,"AAAAAEH3jYw=")</f>
        <v>#REF!</v>
      </c>
      <c r="EL552" t="e">
        <f>AND(#REF!,"AAAAAEH3jY0=")</f>
        <v>#REF!</v>
      </c>
      <c r="EM552" t="e">
        <f>AND(#REF!,"AAAAAEH3jY4=")</f>
        <v>#REF!</v>
      </c>
      <c r="EN552" t="e">
        <f>AND(#REF!,"AAAAAEH3jY8=")</f>
        <v>#REF!</v>
      </c>
      <c r="EO552" t="e">
        <f>AND(#REF!,"AAAAAEH3jZA=")</f>
        <v>#REF!</v>
      </c>
      <c r="EP552" t="e">
        <f>AND(#REF!,"AAAAAEH3jZE=")</f>
        <v>#REF!</v>
      </c>
      <c r="EQ552" t="e">
        <f>AND(#REF!,"AAAAAEH3jZI=")</f>
        <v>#REF!</v>
      </c>
      <c r="ER552" t="e">
        <f>AND(#REF!,"AAAAAEH3jZM=")</f>
        <v>#REF!</v>
      </c>
      <c r="ES552" t="e">
        <f>AND(#REF!,"AAAAAEH3jZQ=")</f>
        <v>#REF!</v>
      </c>
      <c r="ET552" t="e">
        <f>AND(#REF!,"AAAAAEH3jZU=")</f>
        <v>#REF!</v>
      </c>
      <c r="EU552" t="e">
        <f>AND(#REF!,"AAAAAEH3jZY=")</f>
        <v>#REF!</v>
      </c>
      <c r="EV552" t="e">
        <f>AND(#REF!,"AAAAAEH3jZc=")</f>
        <v>#REF!</v>
      </c>
      <c r="EW552" t="e">
        <f>AND(#REF!,"AAAAAEH3jZg=")</f>
        <v>#REF!</v>
      </c>
      <c r="EX552" t="e">
        <f>AND(#REF!,"AAAAAEH3jZk=")</f>
        <v>#REF!</v>
      </c>
      <c r="EY552" t="e">
        <f>IF(#REF!,"AAAAAEH3jZo=",0)</f>
        <v>#REF!</v>
      </c>
      <c r="EZ552" t="e">
        <f>AND(#REF!,"AAAAAEH3jZs=")</f>
        <v>#REF!</v>
      </c>
      <c r="FA552" t="e">
        <f>AND(#REF!,"AAAAAEH3jZw=")</f>
        <v>#REF!</v>
      </c>
      <c r="FB552" t="e">
        <f>AND(#REF!,"AAAAAEH3jZ0=")</f>
        <v>#REF!</v>
      </c>
      <c r="FC552" t="e">
        <f>AND(#REF!,"AAAAAEH3jZ4=")</f>
        <v>#REF!</v>
      </c>
      <c r="FD552" t="e">
        <f>AND(#REF!,"AAAAAEH3jZ8=")</f>
        <v>#REF!</v>
      </c>
      <c r="FE552" t="e">
        <f>AND(#REF!,"AAAAAEH3jaA=")</f>
        <v>#REF!</v>
      </c>
      <c r="FF552" t="e">
        <f>AND(#REF!,"AAAAAEH3jaE=")</f>
        <v>#REF!</v>
      </c>
      <c r="FG552" t="e">
        <f>AND(#REF!,"AAAAAEH3jaI=")</f>
        <v>#REF!</v>
      </c>
      <c r="FH552" t="e">
        <f>AND(#REF!,"AAAAAEH3jaM=")</f>
        <v>#REF!</v>
      </c>
      <c r="FI552" t="e">
        <f>AND(#REF!,"AAAAAEH3jaQ=")</f>
        <v>#REF!</v>
      </c>
      <c r="FJ552" t="e">
        <f>AND(#REF!,"AAAAAEH3jaU=")</f>
        <v>#REF!</v>
      </c>
      <c r="FK552" t="e">
        <f>AND(#REF!,"AAAAAEH3jaY=")</f>
        <v>#REF!</v>
      </c>
      <c r="FL552" t="e">
        <f>AND(#REF!,"AAAAAEH3jac=")</f>
        <v>#REF!</v>
      </c>
      <c r="FM552" t="e">
        <f>AND(#REF!,"AAAAAEH3jag=")</f>
        <v>#REF!</v>
      </c>
      <c r="FN552" t="e">
        <f>AND(#REF!,"AAAAAEH3jak=")</f>
        <v>#REF!</v>
      </c>
      <c r="FO552" t="e">
        <f>AND(#REF!,"AAAAAEH3jao=")</f>
        <v>#REF!</v>
      </c>
      <c r="FP552" t="e">
        <f>AND(#REF!,"AAAAAEH3jas=")</f>
        <v>#REF!</v>
      </c>
      <c r="FQ552" t="e">
        <f>AND(#REF!,"AAAAAEH3jaw=")</f>
        <v>#REF!</v>
      </c>
      <c r="FR552" t="e">
        <f>AND(#REF!,"AAAAAEH3ja0=")</f>
        <v>#REF!</v>
      </c>
      <c r="FS552" t="e">
        <f>AND(#REF!,"AAAAAEH3ja4=")</f>
        <v>#REF!</v>
      </c>
      <c r="FT552" t="e">
        <f>AND(#REF!,"AAAAAEH3ja8=")</f>
        <v>#REF!</v>
      </c>
      <c r="FU552" t="e">
        <f>AND(#REF!,"AAAAAEH3jbA=")</f>
        <v>#REF!</v>
      </c>
      <c r="FV552" t="e">
        <f>AND(#REF!,"AAAAAEH3jbE=")</f>
        <v>#REF!</v>
      </c>
      <c r="FW552" t="e">
        <f>AND(#REF!,"AAAAAEH3jbI=")</f>
        <v>#REF!</v>
      </c>
      <c r="FX552" t="e">
        <f>IF(#REF!,"AAAAAEH3jbM=",0)</f>
        <v>#REF!</v>
      </c>
      <c r="FY552" t="e">
        <f>AND(#REF!,"AAAAAEH3jbQ=")</f>
        <v>#REF!</v>
      </c>
      <c r="FZ552" t="e">
        <f>AND(#REF!,"AAAAAEH3jbU=")</f>
        <v>#REF!</v>
      </c>
      <c r="GA552" t="e">
        <f>AND(#REF!,"AAAAAEH3jbY=")</f>
        <v>#REF!</v>
      </c>
      <c r="GB552" t="e">
        <f>AND(#REF!,"AAAAAEH3jbc=")</f>
        <v>#REF!</v>
      </c>
      <c r="GC552" t="e">
        <f>AND(#REF!,"AAAAAEH3jbg=")</f>
        <v>#REF!</v>
      </c>
      <c r="GD552" t="e">
        <f>AND(#REF!,"AAAAAEH3jbk=")</f>
        <v>#REF!</v>
      </c>
      <c r="GE552" t="e">
        <f>AND(#REF!,"AAAAAEH3jbo=")</f>
        <v>#REF!</v>
      </c>
      <c r="GF552" t="e">
        <f>AND(#REF!,"AAAAAEH3jbs=")</f>
        <v>#REF!</v>
      </c>
      <c r="GG552" t="e">
        <f>AND(#REF!,"AAAAAEH3jbw=")</f>
        <v>#REF!</v>
      </c>
      <c r="GH552" t="e">
        <f>AND(#REF!,"AAAAAEH3jb0=")</f>
        <v>#REF!</v>
      </c>
      <c r="GI552" t="e">
        <f>AND(#REF!,"AAAAAEH3jb4=")</f>
        <v>#REF!</v>
      </c>
      <c r="GJ552" t="e">
        <f>AND(#REF!,"AAAAAEH3jb8=")</f>
        <v>#REF!</v>
      </c>
      <c r="GK552" t="e">
        <f>AND(#REF!,"AAAAAEH3jcA=")</f>
        <v>#REF!</v>
      </c>
      <c r="GL552" t="e">
        <f>AND(#REF!,"AAAAAEH3jcE=")</f>
        <v>#REF!</v>
      </c>
      <c r="GM552" t="e">
        <f>AND(#REF!,"AAAAAEH3jcI=")</f>
        <v>#REF!</v>
      </c>
      <c r="GN552" t="e">
        <f>AND(#REF!,"AAAAAEH3jcM=")</f>
        <v>#REF!</v>
      </c>
      <c r="GO552" t="e">
        <f>AND(#REF!,"AAAAAEH3jcQ=")</f>
        <v>#REF!</v>
      </c>
      <c r="GP552" t="e">
        <f>AND(#REF!,"AAAAAEH3jcU=")</f>
        <v>#REF!</v>
      </c>
      <c r="GQ552" t="e">
        <f>AND(#REF!,"AAAAAEH3jcY=")</f>
        <v>#REF!</v>
      </c>
      <c r="GR552" t="e">
        <f>AND(#REF!,"AAAAAEH3jcc=")</f>
        <v>#REF!</v>
      </c>
      <c r="GS552" t="e">
        <f>AND(#REF!,"AAAAAEH3jcg=")</f>
        <v>#REF!</v>
      </c>
      <c r="GT552" t="e">
        <f>AND(#REF!,"AAAAAEH3jck=")</f>
        <v>#REF!</v>
      </c>
      <c r="GU552" t="e">
        <f>AND(#REF!,"AAAAAEH3jco=")</f>
        <v>#REF!</v>
      </c>
      <c r="GV552" t="e">
        <f>AND(#REF!,"AAAAAEH3jcs=")</f>
        <v>#REF!</v>
      </c>
      <c r="GW552" t="e">
        <f>IF(#REF!,"AAAAAEH3jcw=",0)</f>
        <v>#REF!</v>
      </c>
      <c r="GX552" t="e">
        <f>AND(#REF!,"AAAAAEH3jc0=")</f>
        <v>#REF!</v>
      </c>
      <c r="GY552" t="e">
        <f>AND(#REF!,"AAAAAEH3jc4=")</f>
        <v>#REF!</v>
      </c>
      <c r="GZ552" t="e">
        <f>AND(#REF!,"AAAAAEH3jc8=")</f>
        <v>#REF!</v>
      </c>
      <c r="HA552" t="e">
        <f>AND(#REF!,"AAAAAEH3jdA=")</f>
        <v>#REF!</v>
      </c>
      <c r="HB552" t="e">
        <f>AND(#REF!,"AAAAAEH3jdE=")</f>
        <v>#REF!</v>
      </c>
      <c r="HC552" t="e">
        <f>AND(#REF!,"AAAAAEH3jdI=")</f>
        <v>#REF!</v>
      </c>
      <c r="HD552" t="e">
        <f>AND(#REF!,"AAAAAEH3jdM=")</f>
        <v>#REF!</v>
      </c>
      <c r="HE552" t="e">
        <f>AND(#REF!,"AAAAAEH3jdQ=")</f>
        <v>#REF!</v>
      </c>
      <c r="HF552" t="e">
        <f>AND(#REF!,"AAAAAEH3jdU=")</f>
        <v>#REF!</v>
      </c>
      <c r="HG552" t="e">
        <f>AND(#REF!,"AAAAAEH3jdY=")</f>
        <v>#REF!</v>
      </c>
      <c r="HH552" t="e">
        <f>AND(#REF!,"AAAAAEH3jdc=")</f>
        <v>#REF!</v>
      </c>
      <c r="HI552" t="e">
        <f>AND(#REF!,"AAAAAEH3jdg=")</f>
        <v>#REF!</v>
      </c>
      <c r="HJ552" t="e">
        <f>AND(#REF!,"AAAAAEH3jdk=")</f>
        <v>#REF!</v>
      </c>
      <c r="HK552" t="e">
        <f>AND(#REF!,"AAAAAEH3jdo=")</f>
        <v>#REF!</v>
      </c>
      <c r="HL552" t="e">
        <f>AND(#REF!,"AAAAAEH3jds=")</f>
        <v>#REF!</v>
      </c>
      <c r="HM552" t="e">
        <f>AND(#REF!,"AAAAAEH3jdw=")</f>
        <v>#REF!</v>
      </c>
      <c r="HN552" t="e">
        <f>AND(#REF!,"AAAAAEH3jd0=")</f>
        <v>#REF!</v>
      </c>
      <c r="HO552" t="e">
        <f>AND(#REF!,"AAAAAEH3jd4=")</f>
        <v>#REF!</v>
      </c>
      <c r="HP552" t="e">
        <f>AND(#REF!,"AAAAAEH3jd8=")</f>
        <v>#REF!</v>
      </c>
      <c r="HQ552" t="e">
        <f>AND(#REF!,"AAAAAEH3jeA=")</f>
        <v>#REF!</v>
      </c>
      <c r="HR552" t="e">
        <f>AND(#REF!,"AAAAAEH3jeE=")</f>
        <v>#REF!</v>
      </c>
      <c r="HS552" t="e">
        <f>AND(#REF!,"AAAAAEH3jeI=")</f>
        <v>#REF!</v>
      </c>
      <c r="HT552" t="e">
        <f>AND(#REF!,"AAAAAEH3jeM=")</f>
        <v>#REF!</v>
      </c>
      <c r="HU552" t="e">
        <f>AND(#REF!,"AAAAAEH3jeQ=")</f>
        <v>#REF!</v>
      </c>
      <c r="HV552" t="e">
        <f>IF(#REF!,"AAAAAEH3jeU=",0)</f>
        <v>#REF!</v>
      </c>
      <c r="HW552" t="e">
        <f>AND(#REF!,"AAAAAEH3jeY=")</f>
        <v>#REF!</v>
      </c>
      <c r="HX552" t="e">
        <f>AND(#REF!,"AAAAAEH3jec=")</f>
        <v>#REF!</v>
      </c>
      <c r="HY552" t="e">
        <f>AND(#REF!,"AAAAAEH3jeg=")</f>
        <v>#REF!</v>
      </c>
      <c r="HZ552" t="e">
        <f>AND(#REF!,"AAAAAEH3jek=")</f>
        <v>#REF!</v>
      </c>
      <c r="IA552" t="e">
        <f>AND(#REF!,"AAAAAEH3jeo=")</f>
        <v>#REF!</v>
      </c>
      <c r="IB552" t="e">
        <f>AND(#REF!,"AAAAAEH3jes=")</f>
        <v>#REF!</v>
      </c>
      <c r="IC552" t="e">
        <f>AND(#REF!,"AAAAAEH3jew=")</f>
        <v>#REF!</v>
      </c>
      <c r="ID552" t="e">
        <f>AND(#REF!,"AAAAAEH3je0=")</f>
        <v>#REF!</v>
      </c>
      <c r="IE552" t="e">
        <f>AND(#REF!,"AAAAAEH3je4=")</f>
        <v>#REF!</v>
      </c>
      <c r="IF552" t="e">
        <f>AND(#REF!,"AAAAAEH3je8=")</f>
        <v>#REF!</v>
      </c>
      <c r="IG552" t="e">
        <f>AND(#REF!,"AAAAAEH3jfA=")</f>
        <v>#REF!</v>
      </c>
      <c r="IH552" t="e">
        <f>AND(#REF!,"AAAAAEH3jfE=")</f>
        <v>#REF!</v>
      </c>
      <c r="II552" t="e">
        <f>AND(#REF!,"AAAAAEH3jfI=")</f>
        <v>#REF!</v>
      </c>
      <c r="IJ552" t="e">
        <f>AND(#REF!,"AAAAAEH3jfM=")</f>
        <v>#REF!</v>
      </c>
      <c r="IK552" t="e">
        <f>AND(#REF!,"AAAAAEH3jfQ=")</f>
        <v>#REF!</v>
      </c>
      <c r="IL552" t="e">
        <f>AND(#REF!,"AAAAAEH3jfU=")</f>
        <v>#REF!</v>
      </c>
      <c r="IM552" t="e">
        <f>AND(#REF!,"AAAAAEH3jfY=")</f>
        <v>#REF!</v>
      </c>
      <c r="IN552" t="e">
        <f>AND(#REF!,"AAAAAEH3jfc=")</f>
        <v>#REF!</v>
      </c>
      <c r="IO552" t="e">
        <f>AND(#REF!,"AAAAAEH3jfg=")</f>
        <v>#REF!</v>
      </c>
      <c r="IP552" t="e">
        <f>AND(#REF!,"AAAAAEH3jfk=")</f>
        <v>#REF!</v>
      </c>
      <c r="IQ552" t="e">
        <f>AND(#REF!,"AAAAAEH3jfo=")</f>
        <v>#REF!</v>
      </c>
      <c r="IR552" t="e">
        <f>AND(#REF!,"AAAAAEH3jfs=")</f>
        <v>#REF!</v>
      </c>
      <c r="IS552" t="e">
        <f>AND(#REF!,"AAAAAEH3jfw=")</f>
        <v>#REF!</v>
      </c>
      <c r="IT552" t="e">
        <f>AND(#REF!,"AAAAAEH3jf0=")</f>
        <v>#REF!</v>
      </c>
      <c r="IU552" t="e">
        <f>IF(#REF!,"AAAAAEH3jf4=",0)</f>
        <v>#REF!</v>
      </c>
      <c r="IV552" t="e">
        <f>AND(#REF!,"AAAAAEH3jf8=")</f>
        <v>#REF!</v>
      </c>
    </row>
    <row r="553" spans="1:256">
      <c r="A553" t="e">
        <f>AND(#REF!,"AAAAAHn03QA=")</f>
        <v>#REF!</v>
      </c>
      <c r="B553" t="e">
        <f>AND(#REF!,"AAAAAHn03QE=")</f>
        <v>#REF!</v>
      </c>
      <c r="C553" t="e">
        <f>AND(#REF!,"AAAAAHn03QI=")</f>
        <v>#REF!</v>
      </c>
      <c r="D553" t="e">
        <f>AND(#REF!,"AAAAAHn03QM=")</f>
        <v>#REF!</v>
      </c>
      <c r="E553" t="e">
        <f>AND(#REF!,"AAAAAHn03QQ=")</f>
        <v>#REF!</v>
      </c>
      <c r="F553" t="e">
        <f>AND(#REF!,"AAAAAHn03QU=")</f>
        <v>#REF!</v>
      </c>
      <c r="G553" t="e">
        <f>AND(#REF!,"AAAAAHn03QY=")</f>
        <v>#REF!</v>
      </c>
      <c r="H553" t="e">
        <f>AND(#REF!,"AAAAAHn03Qc=")</f>
        <v>#REF!</v>
      </c>
      <c r="I553" t="e">
        <f>AND(#REF!,"AAAAAHn03Qg=")</f>
        <v>#REF!</v>
      </c>
      <c r="J553" t="e">
        <f>AND(#REF!,"AAAAAHn03Qk=")</f>
        <v>#REF!</v>
      </c>
      <c r="K553" t="e">
        <f>AND(#REF!,"AAAAAHn03Qo=")</f>
        <v>#REF!</v>
      </c>
      <c r="L553" t="e">
        <f>AND(#REF!,"AAAAAHn03Qs=")</f>
        <v>#REF!</v>
      </c>
      <c r="M553" t="e">
        <f>AND(#REF!,"AAAAAHn03Qw=")</f>
        <v>#REF!</v>
      </c>
      <c r="N553" t="e">
        <f>AND(#REF!,"AAAAAHn03Q0=")</f>
        <v>#REF!</v>
      </c>
      <c r="O553" t="e">
        <f>AND(#REF!,"AAAAAHn03Q4=")</f>
        <v>#REF!</v>
      </c>
      <c r="P553" t="e">
        <f>AND(#REF!,"AAAAAHn03Q8=")</f>
        <v>#REF!</v>
      </c>
      <c r="Q553" t="e">
        <f>AND(#REF!,"AAAAAHn03RA=")</f>
        <v>#REF!</v>
      </c>
      <c r="R553" t="e">
        <f>AND(#REF!,"AAAAAHn03RE=")</f>
        <v>#REF!</v>
      </c>
      <c r="S553" t="e">
        <f>AND(#REF!,"AAAAAHn03RI=")</f>
        <v>#REF!</v>
      </c>
      <c r="T553" t="e">
        <f>AND(#REF!,"AAAAAHn03RM=")</f>
        <v>#REF!</v>
      </c>
      <c r="U553" t="e">
        <f>AND(#REF!,"AAAAAHn03RQ=")</f>
        <v>#REF!</v>
      </c>
      <c r="V553" t="e">
        <f>AND(#REF!,"AAAAAHn03RU=")</f>
        <v>#REF!</v>
      </c>
      <c r="W553" t="e">
        <f>AND(#REF!,"AAAAAHn03RY=")</f>
        <v>#REF!</v>
      </c>
      <c r="X553" t="e">
        <f>IF(#REF!,"AAAAAHn03Rc=",0)</f>
        <v>#REF!</v>
      </c>
      <c r="Y553" t="e">
        <f>AND(#REF!,"AAAAAHn03Rg=")</f>
        <v>#REF!</v>
      </c>
      <c r="Z553" t="e">
        <f>AND(#REF!,"AAAAAHn03Rk=")</f>
        <v>#REF!</v>
      </c>
      <c r="AA553" t="e">
        <f>AND(#REF!,"AAAAAHn03Ro=")</f>
        <v>#REF!</v>
      </c>
      <c r="AB553" t="e">
        <f>AND(#REF!,"AAAAAHn03Rs=")</f>
        <v>#REF!</v>
      </c>
      <c r="AC553" t="e">
        <f>AND(#REF!,"AAAAAHn03Rw=")</f>
        <v>#REF!</v>
      </c>
      <c r="AD553" t="e">
        <f>AND(#REF!,"AAAAAHn03R0=")</f>
        <v>#REF!</v>
      </c>
      <c r="AE553" t="e">
        <f>AND(#REF!,"AAAAAHn03R4=")</f>
        <v>#REF!</v>
      </c>
      <c r="AF553" t="e">
        <f>AND(#REF!,"AAAAAHn03R8=")</f>
        <v>#REF!</v>
      </c>
      <c r="AG553" t="e">
        <f>AND(#REF!,"AAAAAHn03SA=")</f>
        <v>#REF!</v>
      </c>
      <c r="AH553" t="e">
        <f>AND(#REF!,"AAAAAHn03SE=")</f>
        <v>#REF!</v>
      </c>
      <c r="AI553" t="e">
        <f>AND(#REF!,"AAAAAHn03SI=")</f>
        <v>#REF!</v>
      </c>
      <c r="AJ553" t="e">
        <f>AND(#REF!,"AAAAAHn03SM=")</f>
        <v>#REF!</v>
      </c>
      <c r="AK553" t="e">
        <f>AND(#REF!,"AAAAAHn03SQ=")</f>
        <v>#REF!</v>
      </c>
      <c r="AL553" t="e">
        <f>AND(#REF!,"AAAAAHn03SU=")</f>
        <v>#REF!</v>
      </c>
      <c r="AM553" t="e">
        <f>AND(#REF!,"AAAAAHn03SY=")</f>
        <v>#REF!</v>
      </c>
      <c r="AN553" t="e">
        <f>AND(#REF!,"AAAAAHn03Sc=")</f>
        <v>#REF!</v>
      </c>
      <c r="AO553" t="e">
        <f>AND(#REF!,"AAAAAHn03Sg=")</f>
        <v>#REF!</v>
      </c>
      <c r="AP553" t="e">
        <f>AND(#REF!,"AAAAAHn03Sk=")</f>
        <v>#REF!</v>
      </c>
      <c r="AQ553" t="e">
        <f>AND(#REF!,"AAAAAHn03So=")</f>
        <v>#REF!</v>
      </c>
      <c r="AR553" t="e">
        <f>AND(#REF!,"AAAAAHn03Ss=")</f>
        <v>#REF!</v>
      </c>
      <c r="AS553" t="e">
        <f>AND(#REF!,"AAAAAHn03Sw=")</f>
        <v>#REF!</v>
      </c>
      <c r="AT553" t="e">
        <f>AND(#REF!,"AAAAAHn03S0=")</f>
        <v>#REF!</v>
      </c>
      <c r="AU553" t="e">
        <f>AND(#REF!,"AAAAAHn03S4=")</f>
        <v>#REF!</v>
      </c>
      <c r="AV553" t="e">
        <f>AND(#REF!,"AAAAAHn03S8=")</f>
        <v>#REF!</v>
      </c>
      <c r="AW553" t="e">
        <f>IF(#REF!,"AAAAAHn03TA=",0)</f>
        <v>#REF!</v>
      </c>
      <c r="AX553" t="e">
        <f>AND(#REF!,"AAAAAHn03TE=")</f>
        <v>#REF!</v>
      </c>
      <c r="AY553" t="e">
        <f>AND(#REF!,"AAAAAHn03TI=")</f>
        <v>#REF!</v>
      </c>
      <c r="AZ553" t="e">
        <f>AND(#REF!,"AAAAAHn03TM=")</f>
        <v>#REF!</v>
      </c>
      <c r="BA553" t="e">
        <f>AND(#REF!,"AAAAAHn03TQ=")</f>
        <v>#REF!</v>
      </c>
      <c r="BB553" t="e">
        <f>AND(#REF!,"AAAAAHn03TU=")</f>
        <v>#REF!</v>
      </c>
      <c r="BC553" t="e">
        <f>AND(#REF!,"AAAAAHn03TY=")</f>
        <v>#REF!</v>
      </c>
      <c r="BD553" t="e">
        <f>AND(#REF!,"AAAAAHn03Tc=")</f>
        <v>#REF!</v>
      </c>
      <c r="BE553" t="e">
        <f>AND(#REF!,"AAAAAHn03Tg=")</f>
        <v>#REF!</v>
      </c>
      <c r="BF553" t="e">
        <f>AND(#REF!,"AAAAAHn03Tk=")</f>
        <v>#REF!</v>
      </c>
      <c r="BG553" t="e">
        <f>AND(#REF!,"AAAAAHn03To=")</f>
        <v>#REF!</v>
      </c>
      <c r="BH553" t="e">
        <f>AND(#REF!,"AAAAAHn03Ts=")</f>
        <v>#REF!</v>
      </c>
      <c r="BI553" t="e">
        <f>AND(#REF!,"AAAAAHn03Tw=")</f>
        <v>#REF!</v>
      </c>
      <c r="BJ553" t="e">
        <f>AND(#REF!,"AAAAAHn03T0=")</f>
        <v>#REF!</v>
      </c>
      <c r="BK553" t="e">
        <f>AND(#REF!,"AAAAAHn03T4=")</f>
        <v>#REF!</v>
      </c>
      <c r="BL553" t="e">
        <f>AND(#REF!,"AAAAAHn03T8=")</f>
        <v>#REF!</v>
      </c>
      <c r="BM553" t="e">
        <f>AND(#REF!,"AAAAAHn03UA=")</f>
        <v>#REF!</v>
      </c>
      <c r="BN553" t="e">
        <f>AND(#REF!,"AAAAAHn03UE=")</f>
        <v>#REF!</v>
      </c>
      <c r="BO553" t="e">
        <f>AND(#REF!,"AAAAAHn03UI=")</f>
        <v>#REF!</v>
      </c>
      <c r="BP553" t="e">
        <f>AND(#REF!,"AAAAAHn03UM=")</f>
        <v>#REF!</v>
      </c>
      <c r="BQ553" t="e">
        <f>AND(#REF!,"AAAAAHn03UQ=")</f>
        <v>#REF!</v>
      </c>
      <c r="BR553" t="e">
        <f>AND(#REF!,"AAAAAHn03UU=")</f>
        <v>#REF!</v>
      </c>
      <c r="BS553" t="e">
        <f>AND(#REF!,"AAAAAHn03UY=")</f>
        <v>#REF!</v>
      </c>
      <c r="BT553" t="e">
        <f>AND(#REF!,"AAAAAHn03Uc=")</f>
        <v>#REF!</v>
      </c>
      <c r="BU553" t="e">
        <f>AND(#REF!,"AAAAAHn03Ug=")</f>
        <v>#REF!</v>
      </c>
      <c r="BV553" t="e">
        <f>IF(#REF!,"AAAAAHn03Uk=",0)</f>
        <v>#REF!</v>
      </c>
      <c r="BW553" t="e">
        <f>AND(#REF!,"AAAAAHn03Uo=")</f>
        <v>#REF!</v>
      </c>
      <c r="BX553" t="e">
        <f>AND(#REF!,"AAAAAHn03Us=")</f>
        <v>#REF!</v>
      </c>
      <c r="BY553" t="e">
        <f>AND(#REF!,"AAAAAHn03Uw=")</f>
        <v>#REF!</v>
      </c>
      <c r="BZ553" t="e">
        <f>AND(#REF!,"AAAAAHn03U0=")</f>
        <v>#REF!</v>
      </c>
      <c r="CA553" t="e">
        <f>AND(#REF!,"AAAAAHn03U4=")</f>
        <v>#REF!</v>
      </c>
      <c r="CB553" t="e">
        <f>AND(#REF!,"AAAAAHn03U8=")</f>
        <v>#REF!</v>
      </c>
      <c r="CC553" t="e">
        <f>AND(#REF!,"AAAAAHn03VA=")</f>
        <v>#REF!</v>
      </c>
      <c r="CD553" t="e">
        <f>AND(#REF!,"AAAAAHn03VE=")</f>
        <v>#REF!</v>
      </c>
      <c r="CE553" t="e">
        <f>AND(#REF!,"AAAAAHn03VI=")</f>
        <v>#REF!</v>
      </c>
      <c r="CF553" t="e">
        <f>AND(#REF!,"AAAAAHn03VM=")</f>
        <v>#REF!</v>
      </c>
      <c r="CG553" t="e">
        <f>AND(#REF!,"AAAAAHn03VQ=")</f>
        <v>#REF!</v>
      </c>
      <c r="CH553" t="e">
        <f>AND(#REF!,"AAAAAHn03VU=")</f>
        <v>#REF!</v>
      </c>
      <c r="CI553" t="e">
        <f>AND(#REF!,"AAAAAHn03VY=")</f>
        <v>#REF!</v>
      </c>
      <c r="CJ553" t="e">
        <f>AND(#REF!,"AAAAAHn03Vc=")</f>
        <v>#REF!</v>
      </c>
      <c r="CK553" t="e">
        <f>AND(#REF!,"AAAAAHn03Vg=")</f>
        <v>#REF!</v>
      </c>
      <c r="CL553" t="e">
        <f>AND(#REF!,"AAAAAHn03Vk=")</f>
        <v>#REF!</v>
      </c>
      <c r="CM553" t="e">
        <f>AND(#REF!,"AAAAAHn03Vo=")</f>
        <v>#REF!</v>
      </c>
      <c r="CN553" t="e">
        <f>AND(#REF!,"AAAAAHn03Vs=")</f>
        <v>#REF!</v>
      </c>
      <c r="CO553" t="e">
        <f>AND(#REF!,"AAAAAHn03Vw=")</f>
        <v>#REF!</v>
      </c>
      <c r="CP553" t="e">
        <f>AND(#REF!,"AAAAAHn03V0=")</f>
        <v>#REF!</v>
      </c>
      <c r="CQ553" t="e">
        <f>AND(#REF!,"AAAAAHn03V4=")</f>
        <v>#REF!</v>
      </c>
      <c r="CR553" t="e">
        <f>AND(#REF!,"AAAAAHn03V8=")</f>
        <v>#REF!</v>
      </c>
      <c r="CS553" t="e">
        <f>AND(#REF!,"AAAAAHn03WA=")</f>
        <v>#REF!</v>
      </c>
      <c r="CT553" t="e">
        <f>AND(#REF!,"AAAAAHn03WE=")</f>
        <v>#REF!</v>
      </c>
      <c r="CU553" t="e">
        <f>IF(#REF!,"AAAAAHn03WI=",0)</f>
        <v>#REF!</v>
      </c>
      <c r="CV553" t="e">
        <f>AND(#REF!,"AAAAAHn03WM=")</f>
        <v>#REF!</v>
      </c>
      <c r="CW553" t="e">
        <f>AND(#REF!,"AAAAAHn03WQ=")</f>
        <v>#REF!</v>
      </c>
      <c r="CX553" t="e">
        <f>AND(#REF!,"AAAAAHn03WU=")</f>
        <v>#REF!</v>
      </c>
      <c r="CY553" t="e">
        <f>AND(#REF!,"AAAAAHn03WY=")</f>
        <v>#REF!</v>
      </c>
      <c r="CZ553" t="e">
        <f>AND(#REF!,"AAAAAHn03Wc=")</f>
        <v>#REF!</v>
      </c>
      <c r="DA553" t="e">
        <f>AND(#REF!,"AAAAAHn03Wg=")</f>
        <v>#REF!</v>
      </c>
      <c r="DB553" t="e">
        <f>AND(#REF!,"AAAAAHn03Wk=")</f>
        <v>#REF!</v>
      </c>
      <c r="DC553" t="e">
        <f>AND(#REF!,"AAAAAHn03Wo=")</f>
        <v>#REF!</v>
      </c>
      <c r="DD553" t="e">
        <f>AND(#REF!,"AAAAAHn03Ws=")</f>
        <v>#REF!</v>
      </c>
      <c r="DE553" t="e">
        <f>AND(#REF!,"AAAAAHn03Ww=")</f>
        <v>#REF!</v>
      </c>
      <c r="DF553" t="e">
        <f>AND(#REF!,"AAAAAHn03W0=")</f>
        <v>#REF!</v>
      </c>
      <c r="DG553" t="e">
        <f>AND(#REF!,"AAAAAHn03W4=")</f>
        <v>#REF!</v>
      </c>
      <c r="DH553" t="e">
        <f>AND(#REF!,"AAAAAHn03W8=")</f>
        <v>#REF!</v>
      </c>
      <c r="DI553" t="e">
        <f>AND(#REF!,"AAAAAHn03XA=")</f>
        <v>#REF!</v>
      </c>
      <c r="DJ553" t="e">
        <f>AND(#REF!,"AAAAAHn03XE=")</f>
        <v>#REF!</v>
      </c>
      <c r="DK553" t="e">
        <f>AND(#REF!,"AAAAAHn03XI=")</f>
        <v>#REF!</v>
      </c>
      <c r="DL553" t="e">
        <f>AND(#REF!,"AAAAAHn03XM=")</f>
        <v>#REF!</v>
      </c>
      <c r="DM553" t="e">
        <f>AND(#REF!,"AAAAAHn03XQ=")</f>
        <v>#REF!</v>
      </c>
      <c r="DN553" t="e">
        <f>AND(#REF!,"AAAAAHn03XU=")</f>
        <v>#REF!</v>
      </c>
      <c r="DO553" t="e">
        <f>AND(#REF!,"AAAAAHn03XY=")</f>
        <v>#REF!</v>
      </c>
      <c r="DP553" t="e">
        <f>AND(#REF!,"AAAAAHn03Xc=")</f>
        <v>#REF!</v>
      </c>
      <c r="DQ553" t="e">
        <f>AND(#REF!,"AAAAAHn03Xg=")</f>
        <v>#REF!</v>
      </c>
      <c r="DR553" t="e">
        <f>AND(#REF!,"AAAAAHn03Xk=")</f>
        <v>#REF!</v>
      </c>
      <c r="DS553" t="e">
        <f>AND(#REF!,"AAAAAHn03Xo=")</f>
        <v>#REF!</v>
      </c>
      <c r="DT553" t="e">
        <f>IF(#REF!,"AAAAAHn03Xs=",0)</f>
        <v>#REF!</v>
      </c>
      <c r="DU553" t="e">
        <f>AND(#REF!,"AAAAAHn03Xw=")</f>
        <v>#REF!</v>
      </c>
      <c r="DV553" t="e">
        <f>AND(#REF!,"AAAAAHn03X0=")</f>
        <v>#REF!</v>
      </c>
      <c r="DW553" t="e">
        <f>AND(#REF!,"AAAAAHn03X4=")</f>
        <v>#REF!</v>
      </c>
      <c r="DX553" t="e">
        <f>AND(#REF!,"AAAAAHn03X8=")</f>
        <v>#REF!</v>
      </c>
      <c r="DY553" t="e">
        <f>AND(#REF!,"AAAAAHn03YA=")</f>
        <v>#REF!</v>
      </c>
      <c r="DZ553" t="e">
        <f>AND(#REF!,"AAAAAHn03YE=")</f>
        <v>#REF!</v>
      </c>
      <c r="EA553" t="e">
        <f>AND(#REF!,"AAAAAHn03YI=")</f>
        <v>#REF!</v>
      </c>
      <c r="EB553" t="e">
        <f>AND(#REF!,"AAAAAHn03YM=")</f>
        <v>#REF!</v>
      </c>
      <c r="EC553" t="e">
        <f>AND(#REF!,"AAAAAHn03YQ=")</f>
        <v>#REF!</v>
      </c>
      <c r="ED553" t="e">
        <f>AND(#REF!,"AAAAAHn03YU=")</f>
        <v>#REF!</v>
      </c>
      <c r="EE553" t="e">
        <f>AND(#REF!,"AAAAAHn03YY=")</f>
        <v>#REF!</v>
      </c>
      <c r="EF553" t="e">
        <f>AND(#REF!,"AAAAAHn03Yc=")</f>
        <v>#REF!</v>
      </c>
      <c r="EG553" t="e">
        <f>AND(#REF!,"AAAAAHn03Yg=")</f>
        <v>#REF!</v>
      </c>
      <c r="EH553" t="e">
        <f>AND(#REF!,"AAAAAHn03Yk=")</f>
        <v>#REF!</v>
      </c>
      <c r="EI553" t="e">
        <f>AND(#REF!,"AAAAAHn03Yo=")</f>
        <v>#REF!</v>
      </c>
      <c r="EJ553" t="e">
        <f>AND(#REF!,"AAAAAHn03Ys=")</f>
        <v>#REF!</v>
      </c>
      <c r="EK553" t="e">
        <f>AND(#REF!,"AAAAAHn03Yw=")</f>
        <v>#REF!</v>
      </c>
      <c r="EL553" t="e">
        <f>AND(#REF!,"AAAAAHn03Y0=")</f>
        <v>#REF!</v>
      </c>
      <c r="EM553" t="e">
        <f>AND(#REF!,"AAAAAHn03Y4=")</f>
        <v>#REF!</v>
      </c>
      <c r="EN553" t="e">
        <f>AND(#REF!,"AAAAAHn03Y8=")</f>
        <v>#REF!</v>
      </c>
      <c r="EO553" t="e">
        <f>AND(#REF!,"AAAAAHn03ZA=")</f>
        <v>#REF!</v>
      </c>
      <c r="EP553" t="e">
        <f>AND(#REF!,"AAAAAHn03ZE=")</f>
        <v>#REF!</v>
      </c>
      <c r="EQ553" t="e">
        <f>AND(#REF!,"AAAAAHn03ZI=")</f>
        <v>#REF!</v>
      </c>
      <c r="ER553" t="e">
        <f>AND(#REF!,"AAAAAHn03ZM=")</f>
        <v>#REF!</v>
      </c>
      <c r="ES553" t="e">
        <f>IF(#REF!,"AAAAAHn03ZQ=",0)</f>
        <v>#REF!</v>
      </c>
      <c r="ET553" t="e">
        <f>AND(#REF!,"AAAAAHn03ZU=")</f>
        <v>#REF!</v>
      </c>
      <c r="EU553" t="e">
        <f>AND(#REF!,"AAAAAHn03ZY=")</f>
        <v>#REF!</v>
      </c>
      <c r="EV553" t="e">
        <f>AND(#REF!,"AAAAAHn03Zc=")</f>
        <v>#REF!</v>
      </c>
      <c r="EW553" t="e">
        <f>AND(#REF!,"AAAAAHn03Zg=")</f>
        <v>#REF!</v>
      </c>
      <c r="EX553" t="e">
        <f>AND(#REF!,"AAAAAHn03Zk=")</f>
        <v>#REF!</v>
      </c>
      <c r="EY553" t="e">
        <f>AND(#REF!,"AAAAAHn03Zo=")</f>
        <v>#REF!</v>
      </c>
      <c r="EZ553" t="e">
        <f>AND(#REF!,"AAAAAHn03Zs=")</f>
        <v>#REF!</v>
      </c>
      <c r="FA553" t="e">
        <f>AND(#REF!,"AAAAAHn03Zw=")</f>
        <v>#REF!</v>
      </c>
      <c r="FB553" t="e">
        <f>AND(#REF!,"AAAAAHn03Z0=")</f>
        <v>#REF!</v>
      </c>
      <c r="FC553" t="e">
        <f>AND(#REF!,"AAAAAHn03Z4=")</f>
        <v>#REF!</v>
      </c>
      <c r="FD553" t="e">
        <f>AND(#REF!,"AAAAAHn03Z8=")</f>
        <v>#REF!</v>
      </c>
      <c r="FE553" t="e">
        <f>AND(#REF!,"AAAAAHn03aA=")</f>
        <v>#REF!</v>
      </c>
      <c r="FF553" t="e">
        <f>AND(#REF!,"AAAAAHn03aE=")</f>
        <v>#REF!</v>
      </c>
      <c r="FG553" t="e">
        <f>AND(#REF!,"AAAAAHn03aI=")</f>
        <v>#REF!</v>
      </c>
      <c r="FH553" t="e">
        <f>AND(#REF!,"AAAAAHn03aM=")</f>
        <v>#REF!</v>
      </c>
      <c r="FI553" t="e">
        <f>AND(#REF!,"AAAAAHn03aQ=")</f>
        <v>#REF!</v>
      </c>
      <c r="FJ553" t="e">
        <f>AND(#REF!,"AAAAAHn03aU=")</f>
        <v>#REF!</v>
      </c>
      <c r="FK553" t="e">
        <f>AND(#REF!,"AAAAAHn03aY=")</f>
        <v>#REF!</v>
      </c>
      <c r="FL553" t="e">
        <f>AND(#REF!,"AAAAAHn03ac=")</f>
        <v>#REF!</v>
      </c>
      <c r="FM553" t="e">
        <f>AND(#REF!,"AAAAAHn03ag=")</f>
        <v>#REF!</v>
      </c>
      <c r="FN553" t="e">
        <f>AND(#REF!,"AAAAAHn03ak=")</f>
        <v>#REF!</v>
      </c>
      <c r="FO553" t="e">
        <f>AND(#REF!,"AAAAAHn03ao=")</f>
        <v>#REF!</v>
      </c>
      <c r="FP553" t="e">
        <f>AND(#REF!,"AAAAAHn03as=")</f>
        <v>#REF!</v>
      </c>
      <c r="FQ553" t="e">
        <f>AND(#REF!,"AAAAAHn03aw=")</f>
        <v>#REF!</v>
      </c>
      <c r="FR553" t="e">
        <f>IF(#REF!,"AAAAAHn03a0=",0)</f>
        <v>#REF!</v>
      </c>
      <c r="FS553" t="e">
        <f>AND(#REF!,"AAAAAHn03a4=")</f>
        <v>#REF!</v>
      </c>
      <c r="FT553" t="e">
        <f>AND(#REF!,"AAAAAHn03a8=")</f>
        <v>#REF!</v>
      </c>
      <c r="FU553" t="e">
        <f>AND(#REF!,"AAAAAHn03bA=")</f>
        <v>#REF!</v>
      </c>
      <c r="FV553" t="e">
        <f>AND(#REF!,"AAAAAHn03bE=")</f>
        <v>#REF!</v>
      </c>
      <c r="FW553" t="e">
        <f>AND(#REF!,"AAAAAHn03bI=")</f>
        <v>#REF!</v>
      </c>
      <c r="FX553" t="e">
        <f>AND(#REF!,"AAAAAHn03bM=")</f>
        <v>#REF!</v>
      </c>
      <c r="FY553" t="e">
        <f>AND(#REF!,"AAAAAHn03bQ=")</f>
        <v>#REF!</v>
      </c>
      <c r="FZ553" t="e">
        <f>AND(#REF!,"AAAAAHn03bU=")</f>
        <v>#REF!</v>
      </c>
      <c r="GA553" t="e">
        <f>AND(#REF!,"AAAAAHn03bY=")</f>
        <v>#REF!</v>
      </c>
      <c r="GB553" t="e">
        <f>AND(#REF!,"AAAAAHn03bc=")</f>
        <v>#REF!</v>
      </c>
      <c r="GC553" t="e">
        <f>AND(#REF!,"AAAAAHn03bg=")</f>
        <v>#REF!</v>
      </c>
      <c r="GD553" t="e">
        <f>AND(#REF!,"AAAAAHn03bk=")</f>
        <v>#REF!</v>
      </c>
      <c r="GE553" t="e">
        <f>AND(#REF!,"AAAAAHn03bo=")</f>
        <v>#REF!</v>
      </c>
      <c r="GF553" t="e">
        <f>AND(#REF!,"AAAAAHn03bs=")</f>
        <v>#REF!</v>
      </c>
      <c r="GG553" t="e">
        <f>AND(#REF!,"AAAAAHn03bw=")</f>
        <v>#REF!</v>
      </c>
      <c r="GH553" t="e">
        <f>AND(#REF!,"AAAAAHn03b0=")</f>
        <v>#REF!</v>
      </c>
      <c r="GI553" t="e">
        <f>AND(#REF!,"AAAAAHn03b4=")</f>
        <v>#REF!</v>
      </c>
      <c r="GJ553" t="e">
        <f>AND(#REF!,"AAAAAHn03b8=")</f>
        <v>#REF!</v>
      </c>
      <c r="GK553" t="e">
        <f>AND(#REF!,"AAAAAHn03cA=")</f>
        <v>#REF!</v>
      </c>
      <c r="GL553" t="e">
        <f>AND(#REF!,"AAAAAHn03cE=")</f>
        <v>#REF!</v>
      </c>
      <c r="GM553" t="e">
        <f>AND(#REF!,"AAAAAHn03cI=")</f>
        <v>#REF!</v>
      </c>
      <c r="GN553" t="e">
        <f>AND(#REF!,"AAAAAHn03cM=")</f>
        <v>#REF!</v>
      </c>
      <c r="GO553" t="e">
        <f>AND(#REF!,"AAAAAHn03cQ=")</f>
        <v>#REF!</v>
      </c>
      <c r="GP553" t="e">
        <f>AND(#REF!,"AAAAAHn03cU=")</f>
        <v>#REF!</v>
      </c>
      <c r="GQ553" t="e">
        <f>IF(#REF!,"AAAAAHn03cY=",0)</f>
        <v>#REF!</v>
      </c>
      <c r="GR553" t="e">
        <f>AND(#REF!,"AAAAAHn03cc=")</f>
        <v>#REF!</v>
      </c>
      <c r="GS553" t="e">
        <f>AND(#REF!,"AAAAAHn03cg=")</f>
        <v>#REF!</v>
      </c>
      <c r="GT553" t="e">
        <f>AND(#REF!,"AAAAAHn03ck=")</f>
        <v>#REF!</v>
      </c>
      <c r="GU553" t="e">
        <f>AND(#REF!,"AAAAAHn03co=")</f>
        <v>#REF!</v>
      </c>
      <c r="GV553" t="e">
        <f>AND(#REF!,"AAAAAHn03cs=")</f>
        <v>#REF!</v>
      </c>
      <c r="GW553" t="e">
        <f>AND(#REF!,"AAAAAHn03cw=")</f>
        <v>#REF!</v>
      </c>
      <c r="GX553" t="e">
        <f>AND(#REF!,"AAAAAHn03c0=")</f>
        <v>#REF!</v>
      </c>
      <c r="GY553" t="e">
        <f>AND(#REF!,"AAAAAHn03c4=")</f>
        <v>#REF!</v>
      </c>
      <c r="GZ553" t="e">
        <f>AND(#REF!,"AAAAAHn03c8=")</f>
        <v>#REF!</v>
      </c>
      <c r="HA553" t="e">
        <f>AND(#REF!,"AAAAAHn03dA=")</f>
        <v>#REF!</v>
      </c>
      <c r="HB553" t="e">
        <f>AND(#REF!,"AAAAAHn03dE=")</f>
        <v>#REF!</v>
      </c>
      <c r="HC553" t="e">
        <f>AND(#REF!,"AAAAAHn03dI=")</f>
        <v>#REF!</v>
      </c>
      <c r="HD553" t="e">
        <f>AND(#REF!,"AAAAAHn03dM=")</f>
        <v>#REF!</v>
      </c>
      <c r="HE553" t="e">
        <f>AND(#REF!,"AAAAAHn03dQ=")</f>
        <v>#REF!</v>
      </c>
      <c r="HF553" t="e">
        <f>AND(#REF!,"AAAAAHn03dU=")</f>
        <v>#REF!</v>
      </c>
      <c r="HG553" t="e">
        <f>AND(#REF!,"AAAAAHn03dY=")</f>
        <v>#REF!</v>
      </c>
      <c r="HH553" t="e">
        <f>AND(#REF!,"AAAAAHn03dc=")</f>
        <v>#REF!</v>
      </c>
      <c r="HI553" t="e">
        <f>AND(#REF!,"AAAAAHn03dg=")</f>
        <v>#REF!</v>
      </c>
      <c r="HJ553" t="e">
        <f>AND(#REF!,"AAAAAHn03dk=")</f>
        <v>#REF!</v>
      </c>
      <c r="HK553" t="e">
        <f>AND(#REF!,"AAAAAHn03do=")</f>
        <v>#REF!</v>
      </c>
      <c r="HL553" t="e">
        <f>AND(#REF!,"AAAAAHn03ds=")</f>
        <v>#REF!</v>
      </c>
      <c r="HM553" t="e">
        <f>AND(#REF!,"AAAAAHn03dw=")</f>
        <v>#REF!</v>
      </c>
      <c r="HN553" t="e">
        <f>AND(#REF!,"AAAAAHn03d0=")</f>
        <v>#REF!</v>
      </c>
      <c r="HO553" t="e">
        <f>AND(#REF!,"AAAAAHn03d4=")</f>
        <v>#REF!</v>
      </c>
      <c r="HP553" t="e">
        <f>IF(#REF!,"AAAAAHn03d8=",0)</f>
        <v>#REF!</v>
      </c>
      <c r="HQ553" t="e">
        <f>AND(#REF!,"AAAAAHn03eA=")</f>
        <v>#REF!</v>
      </c>
      <c r="HR553" t="e">
        <f>AND(#REF!,"AAAAAHn03eE=")</f>
        <v>#REF!</v>
      </c>
      <c r="HS553" t="e">
        <f>AND(#REF!,"AAAAAHn03eI=")</f>
        <v>#REF!</v>
      </c>
      <c r="HT553" t="e">
        <f>AND(#REF!,"AAAAAHn03eM=")</f>
        <v>#REF!</v>
      </c>
      <c r="HU553" t="e">
        <f>AND(#REF!,"AAAAAHn03eQ=")</f>
        <v>#REF!</v>
      </c>
      <c r="HV553" t="e">
        <f>AND(#REF!,"AAAAAHn03eU=")</f>
        <v>#REF!</v>
      </c>
      <c r="HW553" t="e">
        <f>AND(#REF!,"AAAAAHn03eY=")</f>
        <v>#REF!</v>
      </c>
      <c r="HX553" t="e">
        <f>AND(#REF!,"AAAAAHn03ec=")</f>
        <v>#REF!</v>
      </c>
      <c r="HY553" t="e">
        <f>AND(#REF!,"AAAAAHn03eg=")</f>
        <v>#REF!</v>
      </c>
      <c r="HZ553" t="e">
        <f>AND(#REF!,"AAAAAHn03ek=")</f>
        <v>#REF!</v>
      </c>
      <c r="IA553" t="e">
        <f>AND(#REF!,"AAAAAHn03eo=")</f>
        <v>#REF!</v>
      </c>
      <c r="IB553" t="e">
        <f>AND(#REF!,"AAAAAHn03es=")</f>
        <v>#REF!</v>
      </c>
      <c r="IC553" t="e">
        <f>AND(#REF!,"AAAAAHn03ew=")</f>
        <v>#REF!</v>
      </c>
      <c r="ID553" t="e">
        <f>AND(#REF!,"AAAAAHn03e0=")</f>
        <v>#REF!</v>
      </c>
      <c r="IE553" t="e">
        <f>AND(#REF!,"AAAAAHn03e4=")</f>
        <v>#REF!</v>
      </c>
      <c r="IF553" t="e">
        <f>AND(#REF!,"AAAAAHn03e8=")</f>
        <v>#REF!</v>
      </c>
      <c r="IG553" t="e">
        <f>AND(#REF!,"AAAAAHn03fA=")</f>
        <v>#REF!</v>
      </c>
      <c r="IH553" t="e">
        <f>AND(#REF!,"AAAAAHn03fE=")</f>
        <v>#REF!</v>
      </c>
      <c r="II553" t="e">
        <f>AND(#REF!,"AAAAAHn03fI=")</f>
        <v>#REF!</v>
      </c>
      <c r="IJ553" t="e">
        <f>AND(#REF!,"AAAAAHn03fM=")</f>
        <v>#REF!</v>
      </c>
      <c r="IK553" t="e">
        <f>AND(#REF!,"AAAAAHn03fQ=")</f>
        <v>#REF!</v>
      </c>
      <c r="IL553" t="e">
        <f>AND(#REF!,"AAAAAHn03fU=")</f>
        <v>#REF!</v>
      </c>
      <c r="IM553" t="e">
        <f>AND(#REF!,"AAAAAHn03fY=")</f>
        <v>#REF!</v>
      </c>
      <c r="IN553" t="e">
        <f>AND(#REF!,"AAAAAHn03fc=")</f>
        <v>#REF!</v>
      </c>
      <c r="IO553" t="e">
        <f>IF(#REF!,"AAAAAHn03fg=",0)</f>
        <v>#REF!</v>
      </c>
      <c r="IP553" t="e">
        <f>AND(#REF!,"AAAAAHn03fk=")</f>
        <v>#REF!</v>
      </c>
      <c r="IQ553" t="e">
        <f>AND(#REF!,"AAAAAHn03fo=")</f>
        <v>#REF!</v>
      </c>
      <c r="IR553" t="e">
        <f>AND(#REF!,"AAAAAHn03fs=")</f>
        <v>#REF!</v>
      </c>
      <c r="IS553" t="e">
        <f>AND(#REF!,"AAAAAHn03fw=")</f>
        <v>#REF!</v>
      </c>
      <c r="IT553" t="e">
        <f>AND(#REF!,"AAAAAHn03f0=")</f>
        <v>#REF!</v>
      </c>
      <c r="IU553" t="e">
        <f>AND(#REF!,"AAAAAHn03f4=")</f>
        <v>#REF!</v>
      </c>
      <c r="IV553" t="e">
        <f>AND(#REF!,"AAAAAHn03f8=")</f>
        <v>#REF!</v>
      </c>
    </row>
    <row r="554" spans="1:256">
      <c r="A554" t="e">
        <f>AND(#REF!,"AAAAAE/3+wA=")</f>
        <v>#REF!</v>
      </c>
      <c r="B554" t="e">
        <f>AND(#REF!,"AAAAAE/3+wE=")</f>
        <v>#REF!</v>
      </c>
      <c r="C554" t="e">
        <f>AND(#REF!,"AAAAAE/3+wI=")</f>
        <v>#REF!</v>
      </c>
      <c r="D554" t="e">
        <f>AND(#REF!,"AAAAAE/3+wM=")</f>
        <v>#REF!</v>
      </c>
      <c r="E554" t="e">
        <f>AND(#REF!,"AAAAAE/3+wQ=")</f>
        <v>#REF!</v>
      </c>
      <c r="F554" t="e">
        <f>AND(#REF!,"AAAAAE/3+wU=")</f>
        <v>#REF!</v>
      </c>
      <c r="G554" t="e">
        <f>AND(#REF!,"AAAAAE/3+wY=")</f>
        <v>#REF!</v>
      </c>
      <c r="H554" t="e">
        <f>AND(#REF!,"AAAAAE/3+wc=")</f>
        <v>#REF!</v>
      </c>
      <c r="I554" t="e">
        <f>AND(#REF!,"AAAAAE/3+wg=")</f>
        <v>#REF!</v>
      </c>
      <c r="J554" t="e">
        <f>AND(#REF!,"AAAAAE/3+wk=")</f>
        <v>#REF!</v>
      </c>
      <c r="K554" t="e">
        <f>AND(#REF!,"AAAAAE/3+wo=")</f>
        <v>#REF!</v>
      </c>
      <c r="L554" t="e">
        <f>AND(#REF!,"AAAAAE/3+ws=")</f>
        <v>#REF!</v>
      </c>
      <c r="M554" t="e">
        <f>AND(#REF!,"AAAAAE/3+ww=")</f>
        <v>#REF!</v>
      </c>
      <c r="N554" t="e">
        <f>AND(#REF!,"AAAAAE/3+w0=")</f>
        <v>#REF!</v>
      </c>
      <c r="O554" t="e">
        <f>AND(#REF!,"AAAAAE/3+w4=")</f>
        <v>#REF!</v>
      </c>
      <c r="P554" t="e">
        <f>AND(#REF!,"AAAAAE/3+w8=")</f>
        <v>#REF!</v>
      </c>
      <c r="Q554" t="e">
        <f>AND(#REF!,"AAAAAE/3+xA=")</f>
        <v>#REF!</v>
      </c>
      <c r="R554" t="e">
        <f>IF(#REF!,"AAAAAE/3+xE=",0)</f>
        <v>#REF!</v>
      </c>
      <c r="S554" t="e">
        <f>AND(#REF!,"AAAAAE/3+xI=")</f>
        <v>#REF!</v>
      </c>
      <c r="T554" t="e">
        <f>AND(#REF!,"AAAAAE/3+xM=")</f>
        <v>#REF!</v>
      </c>
      <c r="U554" t="e">
        <f>AND(#REF!,"AAAAAE/3+xQ=")</f>
        <v>#REF!</v>
      </c>
      <c r="V554" t="e">
        <f>AND(#REF!,"AAAAAE/3+xU=")</f>
        <v>#REF!</v>
      </c>
      <c r="W554" t="e">
        <f>AND(#REF!,"AAAAAE/3+xY=")</f>
        <v>#REF!</v>
      </c>
      <c r="X554" t="e">
        <f>AND(#REF!,"AAAAAE/3+xc=")</f>
        <v>#REF!</v>
      </c>
      <c r="Y554" t="e">
        <f>AND(#REF!,"AAAAAE/3+xg=")</f>
        <v>#REF!</v>
      </c>
      <c r="Z554" t="e">
        <f>AND(#REF!,"AAAAAE/3+xk=")</f>
        <v>#REF!</v>
      </c>
      <c r="AA554" t="e">
        <f>AND(#REF!,"AAAAAE/3+xo=")</f>
        <v>#REF!</v>
      </c>
      <c r="AB554" t="e">
        <f>AND(#REF!,"AAAAAE/3+xs=")</f>
        <v>#REF!</v>
      </c>
      <c r="AC554" t="e">
        <f>AND(#REF!,"AAAAAE/3+xw=")</f>
        <v>#REF!</v>
      </c>
      <c r="AD554" t="e">
        <f>AND(#REF!,"AAAAAE/3+x0=")</f>
        <v>#REF!</v>
      </c>
      <c r="AE554" t="e">
        <f>AND(#REF!,"AAAAAE/3+x4=")</f>
        <v>#REF!</v>
      </c>
      <c r="AF554" t="e">
        <f>AND(#REF!,"AAAAAE/3+x8=")</f>
        <v>#REF!</v>
      </c>
      <c r="AG554" t="e">
        <f>AND(#REF!,"AAAAAE/3+yA=")</f>
        <v>#REF!</v>
      </c>
      <c r="AH554" t="e">
        <f>AND(#REF!,"AAAAAE/3+yE=")</f>
        <v>#REF!</v>
      </c>
      <c r="AI554" t="e">
        <f>AND(#REF!,"AAAAAE/3+yI=")</f>
        <v>#REF!</v>
      </c>
      <c r="AJ554" t="e">
        <f>AND(#REF!,"AAAAAE/3+yM=")</f>
        <v>#REF!</v>
      </c>
      <c r="AK554" t="e">
        <f>AND(#REF!,"AAAAAE/3+yQ=")</f>
        <v>#REF!</v>
      </c>
      <c r="AL554" t="e">
        <f>AND(#REF!,"AAAAAE/3+yU=")</f>
        <v>#REF!</v>
      </c>
      <c r="AM554" t="e">
        <f>AND(#REF!,"AAAAAE/3+yY=")</f>
        <v>#REF!</v>
      </c>
      <c r="AN554" t="e">
        <f>AND(#REF!,"AAAAAE/3+yc=")</f>
        <v>#REF!</v>
      </c>
      <c r="AO554" t="e">
        <f>AND(#REF!,"AAAAAE/3+yg=")</f>
        <v>#REF!</v>
      </c>
      <c r="AP554" t="e">
        <f>AND(#REF!,"AAAAAE/3+yk=")</f>
        <v>#REF!</v>
      </c>
      <c r="AQ554" t="e">
        <f>IF(#REF!,"AAAAAE/3+yo=",0)</f>
        <v>#REF!</v>
      </c>
      <c r="AR554" t="e">
        <f>AND(#REF!,"AAAAAE/3+ys=")</f>
        <v>#REF!</v>
      </c>
      <c r="AS554" t="e">
        <f>AND(#REF!,"AAAAAE/3+yw=")</f>
        <v>#REF!</v>
      </c>
      <c r="AT554" t="e">
        <f>AND(#REF!,"AAAAAE/3+y0=")</f>
        <v>#REF!</v>
      </c>
      <c r="AU554" t="e">
        <f>AND(#REF!,"AAAAAE/3+y4=")</f>
        <v>#REF!</v>
      </c>
      <c r="AV554" t="e">
        <f>AND(#REF!,"AAAAAE/3+y8=")</f>
        <v>#REF!</v>
      </c>
      <c r="AW554" t="e">
        <f>AND(#REF!,"AAAAAE/3+zA=")</f>
        <v>#REF!</v>
      </c>
      <c r="AX554" t="e">
        <f>AND(#REF!,"AAAAAE/3+zE=")</f>
        <v>#REF!</v>
      </c>
      <c r="AY554" t="e">
        <f>AND(#REF!,"AAAAAE/3+zI=")</f>
        <v>#REF!</v>
      </c>
      <c r="AZ554" t="e">
        <f>AND(#REF!,"AAAAAE/3+zM=")</f>
        <v>#REF!</v>
      </c>
      <c r="BA554" t="e">
        <f>AND(#REF!,"AAAAAE/3+zQ=")</f>
        <v>#REF!</v>
      </c>
      <c r="BB554" t="e">
        <f>AND(#REF!,"AAAAAE/3+zU=")</f>
        <v>#REF!</v>
      </c>
      <c r="BC554" t="e">
        <f>AND(#REF!,"AAAAAE/3+zY=")</f>
        <v>#REF!</v>
      </c>
      <c r="BD554" t="e">
        <f>AND(#REF!,"AAAAAE/3+zc=")</f>
        <v>#REF!</v>
      </c>
      <c r="BE554" t="e">
        <f>AND(#REF!,"AAAAAE/3+zg=")</f>
        <v>#REF!</v>
      </c>
      <c r="BF554" t="e">
        <f>AND(#REF!,"AAAAAE/3+zk=")</f>
        <v>#REF!</v>
      </c>
      <c r="BG554" t="e">
        <f>AND(#REF!,"AAAAAE/3+zo=")</f>
        <v>#REF!</v>
      </c>
      <c r="BH554" t="e">
        <f>AND(#REF!,"AAAAAE/3+zs=")</f>
        <v>#REF!</v>
      </c>
      <c r="BI554" t="e">
        <f>AND(#REF!,"AAAAAE/3+zw=")</f>
        <v>#REF!</v>
      </c>
      <c r="BJ554" t="e">
        <f>AND(#REF!,"AAAAAE/3+z0=")</f>
        <v>#REF!</v>
      </c>
      <c r="BK554" t="e">
        <f>AND(#REF!,"AAAAAE/3+z4=")</f>
        <v>#REF!</v>
      </c>
      <c r="BL554" t="e">
        <f>AND(#REF!,"AAAAAE/3+z8=")</f>
        <v>#REF!</v>
      </c>
      <c r="BM554" t="e">
        <f>AND(#REF!,"AAAAAE/3+0A=")</f>
        <v>#REF!</v>
      </c>
      <c r="BN554" t="e">
        <f>AND(#REF!,"AAAAAE/3+0E=")</f>
        <v>#REF!</v>
      </c>
      <c r="BO554" t="e">
        <f>AND(#REF!,"AAAAAE/3+0I=")</f>
        <v>#REF!</v>
      </c>
      <c r="BP554" t="e">
        <f>IF(#REF!,"AAAAAE/3+0M=",0)</f>
        <v>#REF!</v>
      </c>
      <c r="BQ554" t="e">
        <f>AND(#REF!,"AAAAAE/3+0Q=")</f>
        <v>#REF!</v>
      </c>
      <c r="BR554" t="e">
        <f>AND(#REF!,"AAAAAE/3+0U=")</f>
        <v>#REF!</v>
      </c>
      <c r="BS554" t="e">
        <f>AND(#REF!,"AAAAAE/3+0Y=")</f>
        <v>#REF!</v>
      </c>
      <c r="BT554" t="e">
        <f>AND(#REF!,"AAAAAE/3+0c=")</f>
        <v>#REF!</v>
      </c>
      <c r="BU554" t="e">
        <f>AND(#REF!,"AAAAAE/3+0g=")</f>
        <v>#REF!</v>
      </c>
      <c r="BV554" t="e">
        <f>AND(#REF!,"AAAAAE/3+0k=")</f>
        <v>#REF!</v>
      </c>
      <c r="BW554" t="e">
        <f>AND(#REF!,"AAAAAE/3+0o=")</f>
        <v>#REF!</v>
      </c>
      <c r="BX554" t="e">
        <f>AND(#REF!,"AAAAAE/3+0s=")</f>
        <v>#REF!</v>
      </c>
      <c r="BY554" t="e">
        <f>AND(#REF!,"AAAAAE/3+0w=")</f>
        <v>#REF!</v>
      </c>
      <c r="BZ554" t="e">
        <f>AND(#REF!,"AAAAAE/3+00=")</f>
        <v>#REF!</v>
      </c>
      <c r="CA554" t="e">
        <f>AND(#REF!,"AAAAAE/3+04=")</f>
        <v>#REF!</v>
      </c>
      <c r="CB554" t="e">
        <f>AND(#REF!,"AAAAAE/3+08=")</f>
        <v>#REF!</v>
      </c>
      <c r="CC554" t="e">
        <f>AND(#REF!,"AAAAAE/3+1A=")</f>
        <v>#REF!</v>
      </c>
      <c r="CD554" t="e">
        <f>AND(#REF!,"AAAAAE/3+1E=")</f>
        <v>#REF!</v>
      </c>
      <c r="CE554" t="e">
        <f>AND(#REF!,"AAAAAE/3+1I=")</f>
        <v>#REF!</v>
      </c>
      <c r="CF554" t="e">
        <f>AND(#REF!,"AAAAAE/3+1M=")</f>
        <v>#REF!</v>
      </c>
      <c r="CG554" t="e">
        <f>AND(#REF!,"AAAAAE/3+1Q=")</f>
        <v>#REF!</v>
      </c>
      <c r="CH554" t="e">
        <f>AND(#REF!,"AAAAAE/3+1U=")</f>
        <v>#REF!</v>
      </c>
      <c r="CI554" t="e">
        <f>AND(#REF!,"AAAAAE/3+1Y=")</f>
        <v>#REF!</v>
      </c>
      <c r="CJ554" t="e">
        <f>AND(#REF!,"AAAAAE/3+1c=")</f>
        <v>#REF!</v>
      </c>
      <c r="CK554" t="e">
        <f>AND(#REF!,"AAAAAE/3+1g=")</f>
        <v>#REF!</v>
      </c>
      <c r="CL554" t="e">
        <f>AND(#REF!,"AAAAAE/3+1k=")</f>
        <v>#REF!</v>
      </c>
      <c r="CM554" t="e">
        <f>AND(#REF!,"AAAAAE/3+1o=")</f>
        <v>#REF!</v>
      </c>
      <c r="CN554" t="e">
        <f>AND(#REF!,"AAAAAE/3+1s=")</f>
        <v>#REF!</v>
      </c>
      <c r="CO554" t="e">
        <f>IF(#REF!,"AAAAAE/3+1w=",0)</f>
        <v>#REF!</v>
      </c>
      <c r="CP554" t="e">
        <f>AND(#REF!,"AAAAAE/3+10=")</f>
        <v>#REF!</v>
      </c>
      <c r="CQ554" t="e">
        <f>AND(#REF!,"AAAAAE/3+14=")</f>
        <v>#REF!</v>
      </c>
      <c r="CR554" t="e">
        <f>AND(#REF!,"AAAAAE/3+18=")</f>
        <v>#REF!</v>
      </c>
      <c r="CS554" t="e">
        <f>AND(#REF!,"AAAAAE/3+2A=")</f>
        <v>#REF!</v>
      </c>
      <c r="CT554" t="e">
        <f>AND(#REF!,"AAAAAE/3+2E=")</f>
        <v>#REF!</v>
      </c>
      <c r="CU554" t="e">
        <f>AND(#REF!,"AAAAAE/3+2I=")</f>
        <v>#REF!</v>
      </c>
      <c r="CV554" t="e">
        <f>AND(#REF!,"AAAAAE/3+2M=")</f>
        <v>#REF!</v>
      </c>
      <c r="CW554" t="e">
        <f>AND(#REF!,"AAAAAE/3+2Q=")</f>
        <v>#REF!</v>
      </c>
      <c r="CX554" t="e">
        <f>AND(#REF!,"AAAAAE/3+2U=")</f>
        <v>#REF!</v>
      </c>
      <c r="CY554" t="e">
        <f>AND(#REF!,"AAAAAE/3+2Y=")</f>
        <v>#REF!</v>
      </c>
      <c r="CZ554" t="e">
        <f>AND(#REF!,"AAAAAE/3+2c=")</f>
        <v>#REF!</v>
      </c>
      <c r="DA554" t="e">
        <f>AND(#REF!,"AAAAAE/3+2g=")</f>
        <v>#REF!</v>
      </c>
      <c r="DB554" t="e">
        <f>AND(#REF!,"AAAAAE/3+2k=")</f>
        <v>#REF!</v>
      </c>
      <c r="DC554" t="e">
        <f>AND(#REF!,"AAAAAE/3+2o=")</f>
        <v>#REF!</v>
      </c>
      <c r="DD554" t="e">
        <f>AND(#REF!,"AAAAAE/3+2s=")</f>
        <v>#REF!</v>
      </c>
      <c r="DE554" t="e">
        <f>AND(#REF!,"AAAAAE/3+2w=")</f>
        <v>#REF!</v>
      </c>
      <c r="DF554" t="e">
        <f>AND(#REF!,"AAAAAE/3+20=")</f>
        <v>#REF!</v>
      </c>
      <c r="DG554" t="e">
        <f>AND(#REF!,"AAAAAE/3+24=")</f>
        <v>#REF!</v>
      </c>
      <c r="DH554" t="e">
        <f>AND(#REF!,"AAAAAE/3+28=")</f>
        <v>#REF!</v>
      </c>
      <c r="DI554" t="e">
        <f>AND(#REF!,"AAAAAE/3+3A=")</f>
        <v>#REF!</v>
      </c>
      <c r="DJ554" t="e">
        <f>AND(#REF!,"AAAAAE/3+3E=")</f>
        <v>#REF!</v>
      </c>
      <c r="DK554" t="e">
        <f>AND(#REF!,"AAAAAE/3+3I=")</f>
        <v>#REF!</v>
      </c>
      <c r="DL554" t="e">
        <f>AND(#REF!,"AAAAAE/3+3M=")</f>
        <v>#REF!</v>
      </c>
      <c r="DM554" t="e">
        <f>AND(#REF!,"AAAAAE/3+3Q=")</f>
        <v>#REF!</v>
      </c>
      <c r="DN554" t="e">
        <f>IF(#REF!,"AAAAAE/3+3U=",0)</f>
        <v>#REF!</v>
      </c>
      <c r="DO554" t="e">
        <f>AND(#REF!,"AAAAAE/3+3Y=")</f>
        <v>#REF!</v>
      </c>
      <c r="DP554" t="e">
        <f>AND(#REF!,"AAAAAE/3+3c=")</f>
        <v>#REF!</v>
      </c>
      <c r="DQ554" t="e">
        <f>AND(#REF!,"AAAAAE/3+3g=")</f>
        <v>#REF!</v>
      </c>
      <c r="DR554" t="e">
        <f>AND(#REF!,"AAAAAE/3+3k=")</f>
        <v>#REF!</v>
      </c>
      <c r="DS554" t="e">
        <f>AND(#REF!,"AAAAAE/3+3o=")</f>
        <v>#REF!</v>
      </c>
      <c r="DT554" t="e">
        <f>AND(#REF!,"AAAAAE/3+3s=")</f>
        <v>#REF!</v>
      </c>
      <c r="DU554" t="e">
        <f>AND(#REF!,"AAAAAE/3+3w=")</f>
        <v>#REF!</v>
      </c>
      <c r="DV554" t="e">
        <f>AND(#REF!,"AAAAAE/3+30=")</f>
        <v>#REF!</v>
      </c>
      <c r="DW554" t="e">
        <f>AND(#REF!,"AAAAAE/3+34=")</f>
        <v>#REF!</v>
      </c>
      <c r="DX554" t="e">
        <f>AND(#REF!,"AAAAAE/3+38=")</f>
        <v>#REF!</v>
      </c>
      <c r="DY554" t="e">
        <f>AND(#REF!,"AAAAAE/3+4A=")</f>
        <v>#REF!</v>
      </c>
      <c r="DZ554" t="e">
        <f>AND(#REF!,"AAAAAE/3+4E=")</f>
        <v>#REF!</v>
      </c>
      <c r="EA554" t="e">
        <f>AND(#REF!,"AAAAAE/3+4I=")</f>
        <v>#REF!</v>
      </c>
      <c r="EB554" t="e">
        <f>AND(#REF!,"AAAAAE/3+4M=")</f>
        <v>#REF!</v>
      </c>
      <c r="EC554" t="e">
        <f>AND(#REF!,"AAAAAE/3+4Q=")</f>
        <v>#REF!</v>
      </c>
      <c r="ED554" t="e">
        <f>AND(#REF!,"AAAAAE/3+4U=")</f>
        <v>#REF!</v>
      </c>
      <c r="EE554" t="e">
        <f>AND(#REF!,"AAAAAE/3+4Y=")</f>
        <v>#REF!</v>
      </c>
      <c r="EF554" t="e">
        <f>AND(#REF!,"AAAAAE/3+4c=")</f>
        <v>#REF!</v>
      </c>
      <c r="EG554" t="e">
        <f>AND(#REF!,"AAAAAE/3+4g=")</f>
        <v>#REF!</v>
      </c>
      <c r="EH554" t="e">
        <f>AND(#REF!,"AAAAAE/3+4k=")</f>
        <v>#REF!</v>
      </c>
      <c r="EI554" t="e">
        <f>AND(#REF!,"AAAAAE/3+4o=")</f>
        <v>#REF!</v>
      </c>
      <c r="EJ554" t="e">
        <f>AND(#REF!,"AAAAAE/3+4s=")</f>
        <v>#REF!</v>
      </c>
      <c r="EK554" t="e">
        <f>AND(#REF!,"AAAAAE/3+4w=")</f>
        <v>#REF!</v>
      </c>
      <c r="EL554" t="e">
        <f>AND(#REF!,"AAAAAE/3+40=")</f>
        <v>#REF!</v>
      </c>
      <c r="EM554" t="e">
        <f>IF(#REF!,"AAAAAE/3+44=",0)</f>
        <v>#REF!</v>
      </c>
      <c r="EN554" t="e">
        <f>AND(#REF!,"AAAAAE/3+48=")</f>
        <v>#REF!</v>
      </c>
      <c r="EO554" t="e">
        <f>AND(#REF!,"AAAAAE/3+5A=")</f>
        <v>#REF!</v>
      </c>
      <c r="EP554" t="e">
        <f>AND(#REF!,"AAAAAE/3+5E=")</f>
        <v>#REF!</v>
      </c>
      <c r="EQ554" t="e">
        <f>AND(#REF!,"AAAAAE/3+5I=")</f>
        <v>#REF!</v>
      </c>
      <c r="ER554" t="e">
        <f>AND(#REF!,"AAAAAE/3+5M=")</f>
        <v>#REF!</v>
      </c>
      <c r="ES554" t="e">
        <f>AND(#REF!,"AAAAAE/3+5Q=")</f>
        <v>#REF!</v>
      </c>
      <c r="ET554" t="e">
        <f>AND(#REF!,"AAAAAE/3+5U=")</f>
        <v>#REF!</v>
      </c>
      <c r="EU554" t="e">
        <f>AND(#REF!,"AAAAAE/3+5Y=")</f>
        <v>#REF!</v>
      </c>
      <c r="EV554" t="e">
        <f>AND(#REF!,"AAAAAE/3+5c=")</f>
        <v>#REF!</v>
      </c>
      <c r="EW554" t="e">
        <f>AND(#REF!,"AAAAAE/3+5g=")</f>
        <v>#REF!</v>
      </c>
      <c r="EX554" t="e">
        <f>AND(#REF!,"AAAAAE/3+5k=")</f>
        <v>#REF!</v>
      </c>
      <c r="EY554" t="e">
        <f>AND(#REF!,"AAAAAE/3+5o=")</f>
        <v>#REF!</v>
      </c>
      <c r="EZ554" t="e">
        <f>AND(#REF!,"AAAAAE/3+5s=")</f>
        <v>#REF!</v>
      </c>
      <c r="FA554" t="e">
        <f>AND(#REF!,"AAAAAE/3+5w=")</f>
        <v>#REF!</v>
      </c>
      <c r="FB554" t="e">
        <f>AND(#REF!,"AAAAAE/3+50=")</f>
        <v>#REF!</v>
      </c>
      <c r="FC554" t="e">
        <f>AND(#REF!,"AAAAAE/3+54=")</f>
        <v>#REF!</v>
      </c>
      <c r="FD554" t="e">
        <f>AND(#REF!,"AAAAAE/3+58=")</f>
        <v>#REF!</v>
      </c>
      <c r="FE554" t="e">
        <f>AND(#REF!,"AAAAAE/3+6A=")</f>
        <v>#REF!</v>
      </c>
      <c r="FF554" t="e">
        <f>AND(#REF!,"AAAAAE/3+6E=")</f>
        <v>#REF!</v>
      </c>
      <c r="FG554" t="e">
        <f>AND(#REF!,"AAAAAE/3+6I=")</f>
        <v>#REF!</v>
      </c>
      <c r="FH554" t="e">
        <f>AND(#REF!,"AAAAAE/3+6M=")</f>
        <v>#REF!</v>
      </c>
      <c r="FI554" t="e">
        <f>AND(#REF!,"AAAAAE/3+6Q=")</f>
        <v>#REF!</v>
      </c>
      <c r="FJ554" t="e">
        <f>AND(#REF!,"AAAAAE/3+6U=")</f>
        <v>#REF!</v>
      </c>
      <c r="FK554" t="e">
        <f>AND(#REF!,"AAAAAE/3+6Y=")</f>
        <v>#REF!</v>
      </c>
      <c r="FL554" t="e">
        <f>IF(#REF!,"AAAAAE/3+6c=",0)</f>
        <v>#REF!</v>
      </c>
      <c r="FM554" t="e">
        <f>AND(#REF!,"AAAAAE/3+6g=")</f>
        <v>#REF!</v>
      </c>
      <c r="FN554" t="e">
        <f>AND(#REF!,"AAAAAE/3+6k=")</f>
        <v>#REF!</v>
      </c>
      <c r="FO554" t="e">
        <f>AND(#REF!,"AAAAAE/3+6o=")</f>
        <v>#REF!</v>
      </c>
      <c r="FP554" t="e">
        <f>AND(#REF!,"AAAAAE/3+6s=")</f>
        <v>#REF!</v>
      </c>
      <c r="FQ554" t="e">
        <f>AND(#REF!,"AAAAAE/3+6w=")</f>
        <v>#REF!</v>
      </c>
      <c r="FR554" t="e">
        <f>AND(#REF!,"AAAAAE/3+60=")</f>
        <v>#REF!</v>
      </c>
      <c r="FS554" t="e">
        <f>AND(#REF!,"AAAAAE/3+64=")</f>
        <v>#REF!</v>
      </c>
      <c r="FT554" t="e">
        <f>AND(#REF!,"AAAAAE/3+68=")</f>
        <v>#REF!</v>
      </c>
      <c r="FU554" t="e">
        <f>AND(#REF!,"AAAAAE/3+7A=")</f>
        <v>#REF!</v>
      </c>
      <c r="FV554" t="e">
        <f>AND(#REF!,"AAAAAE/3+7E=")</f>
        <v>#REF!</v>
      </c>
      <c r="FW554" t="e">
        <f>AND(#REF!,"AAAAAE/3+7I=")</f>
        <v>#REF!</v>
      </c>
      <c r="FX554" t="e">
        <f>AND(#REF!,"AAAAAE/3+7M=")</f>
        <v>#REF!</v>
      </c>
      <c r="FY554" t="e">
        <f>AND(#REF!,"AAAAAE/3+7Q=")</f>
        <v>#REF!</v>
      </c>
      <c r="FZ554" t="e">
        <f>AND(#REF!,"AAAAAE/3+7U=")</f>
        <v>#REF!</v>
      </c>
      <c r="GA554" t="e">
        <f>AND(#REF!,"AAAAAE/3+7Y=")</f>
        <v>#REF!</v>
      </c>
      <c r="GB554" t="e">
        <f>AND(#REF!,"AAAAAE/3+7c=")</f>
        <v>#REF!</v>
      </c>
      <c r="GC554" t="e">
        <f>AND(#REF!,"AAAAAE/3+7g=")</f>
        <v>#REF!</v>
      </c>
      <c r="GD554" t="e">
        <f>AND(#REF!,"AAAAAE/3+7k=")</f>
        <v>#REF!</v>
      </c>
      <c r="GE554" t="e">
        <f>AND(#REF!,"AAAAAE/3+7o=")</f>
        <v>#REF!</v>
      </c>
      <c r="GF554" t="e">
        <f>AND(#REF!,"AAAAAE/3+7s=")</f>
        <v>#REF!</v>
      </c>
      <c r="GG554" t="e">
        <f>AND(#REF!,"AAAAAE/3+7w=")</f>
        <v>#REF!</v>
      </c>
      <c r="GH554" t="e">
        <f>AND(#REF!,"AAAAAE/3+70=")</f>
        <v>#REF!</v>
      </c>
      <c r="GI554" t="e">
        <f>AND(#REF!,"AAAAAE/3+74=")</f>
        <v>#REF!</v>
      </c>
      <c r="GJ554" t="e">
        <f>AND(#REF!,"AAAAAE/3+78=")</f>
        <v>#REF!</v>
      </c>
      <c r="GK554" t="e">
        <f>IF(#REF!,"AAAAAE/3+8A=",0)</f>
        <v>#REF!</v>
      </c>
      <c r="GL554" t="e">
        <f>AND(#REF!,"AAAAAE/3+8E=")</f>
        <v>#REF!</v>
      </c>
      <c r="GM554" t="e">
        <f>AND(#REF!,"AAAAAE/3+8I=")</f>
        <v>#REF!</v>
      </c>
      <c r="GN554" t="e">
        <f>AND(#REF!,"AAAAAE/3+8M=")</f>
        <v>#REF!</v>
      </c>
      <c r="GO554" t="e">
        <f>AND(#REF!,"AAAAAE/3+8Q=")</f>
        <v>#REF!</v>
      </c>
      <c r="GP554" t="e">
        <f>AND(#REF!,"AAAAAE/3+8U=")</f>
        <v>#REF!</v>
      </c>
      <c r="GQ554" t="e">
        <f>AND(#REF!,"AAAAAE/3+8Y=")</f>
        <v>#REF!</v>
      </c>
      <c r="GR554" t="e">
        <f>AND(#REF!,"AAAAAE/3+8c=")</f>
        <v>#REF!</v>
      </c>
      <c r="GS554" t="e">
        <f>AND(#REF!,"AAAAAE/3+8g=")</f>
        <v>#REF!</v>
      </c>
      <c r="GT554" t="e">
        <f>AND(#REF!,"AAAAAE/3+8k=")</f>
        <v>#REF!</v>
      </c>
      <c r="GU554" t="e">
        <f>AND(#REF!,"AAAAAE/3+8o=")</f>
        <v>#REF!</v>
      </c>
      <c r="GV554" t="e">
        <f>AND(#REF!,"AAAAAE/3+8s=")</f>
        <v>#REF!</v>
      </c>
      <c r="GW554" t="e">
        <f>AND(#REF!,"AAAAAE/3+8w=")</f>
        <v>#REF!</v>
      </c>
      <c r="GX554" t="e">
        <f>AND(#REF!,"AAAAAE/3+80=")</f>
        <v>#REF!</v>
      </c>
      <c r="GY554" t="e">
        <f>AND(#REF!,"AAAAAE/3+84=")</f>
        <v>#REF!</v>
      </c>
      <c r="GZ554" t="e">
        <f>AND(#REF!,"AAAAAE/3+88=")</f>
        <v>#REF!</v>
      </c>
      <c r="HA554" t="e">
        <f>AND(#REF!,"AAAAAE/3+9A=")</f>
        <v>#REF!</v>
      </c>
      <c r="HB554" t="e">
        <f>AND(#REF!,"AAAAAE/3+9E=")</f>
        <v>#REF!</v>
      </c>
      <c r="HC554" t="e">
        <f>AND(#REF!,"AAAAAE/3+9I=")</f>
        <v>#REF!</v>
      </c>
      <c r="HD554" t="e">
        <f>AND(#REF!,"AAAAAE/3+9M=")</f>
        <v>#REF!</v>
      </c>
      <c r="HE554" t="e">
        <f>AND(#REF!,"AAAAAE/3+9Q=")</f>
        <v>#REF!</v>
      </c>
      <c r="HF554" t="e">
        <f>AND(#REF!,"AAAAAE/3+9U=")</f>
        <v>#REF!</v>
      </c>
      <c r="HG554" t="e">
        <f>AND(#REF!,"AAAAAE/3+9Y=")</f>
        <v>#REF!</v>
      </c>
      <c r="HH554" t="e">
        <f>AND(#REF!,"AAAAAE/3+9c=")</f>
        <v>#REF!</v>
      </c>
      <c r="HI554" t="e">
        <f>AND(#REF!,"AAAAAE/3+9g=")</f>
        <v>#REF!</v>
      </c>
      <c r="HJ554" t="e">
        <f>IF(#REF!,"AAAAAE/3+9k=",0)</f>
        <v>#REF!</v>
      </c>
      <c r="HK554" t="e">
        <f>AND(#REF!,"AAAAAE/3+9o=")</f>
        <v>#REF!</v>
      </c>
      <c r="HL554" t="e">
        <f>AND(#REF!,"AAAAAE/3+9s=")</f>
        <v>#REF!</v>
      </c>
      <c r="HM554" t="e">
        <f>AND(#REF!,"AAAAAE/3+9w=")</f>
        <v>#REF!</v>
      </c>
      <c r="HN554" t="e">
        <f>AND(#REF!,"AAAAAE/3+90=")</f>
        <v>#REF!</v>
      </c>
      <c r="HO554" t="e">
        <f>AND(#REF!,"AAAAAE/3+94=")</f>
        <v>#REF!</v>
      </c>
      <c r="HP554" t="e">
        <f>AND(#REF!,"AAAAAE/3+98=")</f>
        <v>#REF!</v>
      </c>
      <c r="HQ554" t="e">
        <f>AND(#REF!,"AAAAAE/3++A=")</f>
        <v>#REF!</v>
      </c>
      <c r="HR554" t="e">
        <f>AND(#REF!,"AAAAAE/3++E=")</f>
        <v>#REF!</v>
      </c>
      <c r="HS554" t="e">
        <f>AND(#REF!,"AAAAAE/3++I=")</f>
        <v>#REF!</v>
      </c>
      <c r="HT554" t="e">
        <f>AND(#REF!,"AAAAAE/3++M=")</f>
        <v>#REF!</v>
      </c>
      <c r="HU554" t="e">
        <f>AND(#REF!,"AAAAAE/3++Q=")</f>
        <v>#REF!</v>
      </c>
      <c r="HV554" t="e">
        <f>AND(#REF!,"AAAAAE/3++U=")</f>
        <v>#REF!</v>
      </c>
      <c r="HW554" t="e">
        <f>AND(#REF!,"AAAAAE/3++Y=")</f>
        <v>#REF!</v>
      </c>
      <c r="HX554" t="e">
        <f>AND(#REF!,"AAAAAE/3++c=")</f>
        <v>#REF!</v>
      </c>
      <c r="HY554" t="e">
        <f>AND(#REF!,"AAAAAE/3++g=")</f>
        <v>#REF!</v>
      </c>
      <c r="HZ554" t="e">
        <f>AND(#REF!,"AAAAAE/3++k=")</f>
        <v>#REF!</v>
      </c>
      <c r="IA554" t="e">
        <f>AND(#REF!,"AAAAAE/3++o=")</f>
        <v>#REF!</v>
      </c>
      <c r="IB554" t="e">
        <f>AND(#REF!,"AAAAAE/3++s=")</f>
        <v>#REF!</v>
      </c>
      <c r="IC554" t="e">
        <f>AND(#REF!,"AAAAAE/3++w=")</f>
        <v>#REF!</v>
      </c>
      <c r="ID554" t="e">
        <f>AND(#REF!,"AAAAAE/3++0=")</f>
        <v>#REF!</v>
      </c>
      <c r="IE554" t="e">
        <f>AND(#REF!,"AAAAAE/3++4=")</f>
        <v>#REF!</v>
      </c>
      <c r="IF554" t="e">
        <f>AND(#REF!,"AAAAAE/3++8=")</f>
        <v>#REF!</v>
      </c>
      <c r="IG554" t="e">
        <f>AND(#REF!,"AAAAAE/3+/A=")</f>
        <v>#REF!</v>
      </c>
      <c r="IH554" t="e">
        <f>AND(#REF!,"AAAAAE/3+/E=")</f>
        <v>#REF!</v>
      </c>
      <c r="II554" t="e">
        <f>IF(#REF!,"AAAAAE/3+/I=",0)</f>
        <v>#REF!</v>
      </c>
      <c r="IJ554" t="e">
        <f>AND(#REF!,"AAAAAE/3+/M=")</f>
        <v>#REF!</v>
      </c>
      <c r="IK554" t="e">
        <f>AND(#REF!,"AAAAAE/3+/Q=")</f>
        <v>#REF!</v>
      </c>
      <c r="IL554" t="e">
        <f>AND(#REF!,"AAAAAE/3+/U=")</f>
        <v>#REF!</v>
      </c>
      <c r="IM554" t="e">
        <f>AND(#REF!,"AAAAAE/3+/Y=")</f>
        <v>#REF!</v>
      </c>
      <c r="IN554" t="e">
        <f>AND(#REF!,"AAAAAE/3+/c=")</f>
        <v>#REF!</v>
      </c>
      <c r="IO554" t="e">
        <f>AND(#REF!,"AAAAAE/3+/g=")</f>
        <v>#REF!</v>
      </c>
      <c r="IP554" t="e">
        <f>AND(#REF!,"AAAAAE/3+/k=")</f>
        <v>#REF!</v>
      </c>
      <c r="IQ554" t="e">
        <f>AND(#REF!,"AAAAAE/3+/o=")</f>
        <v>#REF!</v>
      </c>
      <c r="IR554" t="e">
        <f>AND(#REF!,"AAAAAE/3+/s=")</f>
        <v>#REF!</v>
      </c>
      <c r="IS554" t="e">
        <f>AND(#REF!,"AAAAAE/3+/w=")</f>
        <v>#REF!</v>
      </c>
      <c r="IT554" t="e">
        <f>AND(#REF!,"AAAAAE/3+/0=")</f>
        <v>#REF!</v>
      </c>
      <c r="IU554" t="e">
        <f>AND(#REF!,"AAAAAE/3+/4=")</f>
        <v>#REF!</v>
      </c>
      <c r="IV554" t="e">
        <f>AND(#REF!,"AAAAAE/3+/8=")</f>
        <v>#REF!</v>
      </c>
    </row>
    <row r="555" spans="1:256">
      <c r="A555" t="e">
        <f>AND(#REF!,"AAAAAG//uwA=")</f>
        <v>#REF!</v>
      </c>
      <c r="B555" t="e">
        <f>AND(#REF!,"AAAAAG//uwE=")</f>
        <v>#REF!</v>
      </c>
      <c r="C555" t="e">
        <f>AND(#REF!,"AAAAAG//uwI=")</f>
        <v>#REF!</v>
      </c>
      <c r="D555" t="e">
        <f>AND(#REF!,"AAAAAG//uwM=")</f>
        <v>#REF!</v>
      </c>
      <c r="E555" t="e">
        <f>AND(#REF!,"AAAAAG//uwQ=")</f>
        <v>#REF!</v>
      </c>
      <c r="F555" t="e">
        <f>AND(#REF!,"AAAAAG//uwU=")</f>
        <v>#REF!</v>
      </c>
      <c r="G555" t="e">
        <f>AND(#REF!,"AAAAAG//uwY=")</f>
        <v>#REF!</v>
      </c>
      <c r="H555" t="e">
        <f>AND(#REF!,"AAAAAG//uwc=")</f>
        <v>#REF!</v>
      </c>
      <c r="I555" t="e">
        <f>AND(#REF!,"AAAAAG//uwg=")</f>
        <v>#REF!</v>
      </c>
      <c r="J555" t="e">
        <f>AND(#REF!,"AAAAAG//uwk=")</f>
        <v>#REF!</v>
      </c>
      <c r="K555" t="e">
        <f>AND(#REF!,"AAAAAG//uwo=")</f>
        <v>#REF!</v>
      </c>
      <c r="L555" t="e">
        <f>IF(#REF!,"AAAAAG//uws=",0)</f>
        <v>#REF!</v>
      </c>
      <c r="M555" t="e">
        <f>AND(#REF!,"AAAAAG//uww=")</f>
        <v>#REF!</v>
      </c>
      <c r="N555" t="e">
        <f>AND(#REF!,"AAAAAG//uw0=")</f>
        <v>#REF!</v>
      </c>
      <c r="O555" t="e">
        <f>AND(#REF!,"AAAAAG//uw4=")</f>
        <v>#REF!</v>
      </c>
      <c r="P555" t="e">
        <f>AND(#REF!,"AAAAAG//uw8=")</f>
        <v>#REF!</v>
      </c>
      <c r="Q555" t="e">
        <f>AND(#REF!,"AAAAAG//uxA=")</f>
        <v>#REF!</v>
      </c>
      <c r="R555" t="e">
        <f>AND(#REF!,"AAAAAG//uxE=")</f>
        <v>#REF!</v>
      </c>
      <c r="S555" t="e">
        <f>AND(#REF!,"AAAAAG//uxI=")</f>
        <v>#REF!</v>
      </c>
      <c r="T555" t="e">
        <f>AND(#REF!,"AAAAAG//uxM=")</f>
        <v>#REF!</v>
      </c>
      <c r="U555" t="e">
        <f>AND(#REF!,"AAAAAG//uxQ=")</f>
        <v>#REF!</v>
      </c>
      <c r="V555" t="e">
        <f>AND(#REF!,"AAAAAG//uxU=")</f>
        <v>#REF!</v>
      </c>
      <c r="W555" t="e">
        <f>AND(#REF!,"AAAAAG//uxY=")</f>
        <v>#REF!</v>
      </c>
      <c r="X555" t="e">
        <f>AND(#REF!,"AAAAAG//uxc=")</f>
        <v>#REF!</v>
      </c>
      <c r="Y555" t="e">
        <f>AND(#REF!,"AAAAAG//uxg=")</f>
        <v>#REF!</v>
      </c>
      <c r="Z555" t="e">
        <f>AND(#REF!,"AAAAAG//uxk=")</f>
        <v>#REF!</v>
      </c>
      <c r="AA555" t="e">
        <f>AND(#REF!,"AAAAAG//uxo=")</f>
        <v>#REF!</v>
      </c>
      <c r="AB555" t="e">
        <f>AND(#REF!,"AAAAAG//uxs=")</f>
        <v>#REF!</v>
      </c>
      <c r="AC555" t="e">
        <f>AND(#REF!,"AAAAAG//uxw=")</f>
        <v>#REF!</v>
      </c>
      <c r="AD555" t="e">
        <f>AND(#REF!,"AAAAAG//ux0=")</f>
        <v>#REF!</v>
      </c>
      <c r="AE555" t="e">
        <f>AND(#REF!,"AAAAAG//ux4=")</f>
        <v>#REF!</v>
      </c>
      <c r="AF555" t="e">
        <f>AND(#REF!,"AAAAAG//ux8=")</f>
        <v>#REF!</v>
      </c>
      <c r="AG555" t="e">
        <f>AND(#REF!,"AAAAAG//uyA=")</f>
        <v>#REF!</v>
      </c>
      <c r="AH555" t="e">
        <f>AND(#REF!,"AAAAAG//uyE=")</f>
        <v>#REF!</v>
      </c>
      <c r="AI555" t="e">
        <f>AND(#REF!,"AAAAAG//uyI=")</f>
        <v>#REF!</v>
      </c>
      <c r="AJ555" t="e">
        <f>AND(#REF!,"AAAAAG//uyM=")</f>
        <v>#REF!</v>
      </c>
      <c r="AK555" t="e">
        <f>IF(#REF!,"AAAAAG//uyQ=",0)</f>
        <v>#REF!</v>
      </c>
      <c r="AL555" t="e">
        <f>AND(#REF!,"AAAAAG//uyU=")</f>
        <v>#REF!</v>
      </c>
      <c r="AM555" t="e">
        <f>AND(#REF!,"AAAAAG//uyY=")</f>
        <v>#REF!</v>
      </c>
      <c r="AN555" t="e">
        <f>AND(#REF!,"AAAAAG//uyc=")</f>
        <v>#REF!</v>
      </c>
      <c r="AO555" t="e">
        <f>AND(#REF!,"AAAAAG//uyg=")</f>
        <v>#REF!</v>
      </c>
      <c r="AP555" t="e">
        <f>AND(#REF!,"AAAAAG//uyk=")</f>
        <v>#REF!</v>
      </c>
      <c r="AQ555" t="e">
        <f>AND(#REF!,"AAAAAG//uyo=")</f>
        <v>#REF!</v>
      </c>
      <c r="AR555" t="e">
        <f>AND(#REF!,"AAAAAG//uys=")</f>
        <v>#REF!</v>
      </c>
      <c r="AS555" t="e">
        <f>AND(#REF!,"AAAAAG//uyw=")</f>
        <v>#REF!</v>
      </c>
      <c r="AT555" t="e">
        <f>AND(#REF!,"AAAAAG//uy0=")</f>
        <v>#REF!</v>
      </c>
      <c r="AU555" t="e">
        <f>AND(#REF!,"AAAAAG//uy4=")</f>
        <v>#REF!</v>
      </c>
      <c r="AV555" t="e">
        <f>AND(#REF!,"AAAAAG//uy8=")</f>
        <v>#REF!</v>
      </c>
      <c r="AW555" t="e">
        <f>AND(#REF!,"AAAAAG//uzA=")</f>
        <v>#REF!</v>
      </c>
      <c r="AX555" t="e">
        <f>AND(#REF!,"AAAAAG//uzE=")</f>
        <v>#REF!</v>
      </c>
      <c r="AY555" t="e">
        <f>AND(#REF!,"AAAAAG//uzI=")</f>
        <v>#REF!</v>
      </c>
      <c r="AZ555" t="e">
        <f>AND(#REF!,"AAAAAG//uzM=")</f>
        <v>#REF!</v>
      </c>
      <c r="BA555" t="e">
        <f>AND(#REF!,"AAAAAG//uzQ=")</f>
        <v>#REF!</v>
      </c>
      <c r="BB555" t="e">
        <f>AND(#REF!,"AAAAAG//uzU=")</f>
        <v>#REF!</v>
      </c>
      <c r="BC555" t="e">
        <f>AND(#REF!,"AAAAAG//uzY=")</f>
        <v>#REF!</v>
      </c>
      <c r="BD555" t="e">
        <f>AND(#REF!,"AAAAAG//uzc=")</f>
        <v>#REF!</v>
      </c>
      <c r="BE555" t="e">
        <f>AND(#REF!,"AAAAAG//uzg=")</f>
        <v>#REF!</v>
      </c>
      <c r="BF555" t="e">
        <f>AND(#REF!,"AAAAAG//uzk=")</f>
        <v>#REF!</v>
      </c>
      <c r="BG555" t="e">
        <f>AND(#REF!,"AAAAAG//uzo=")</f>
        <v>#REF!</v>
      </c>
      <c r="BH555" t="e">
        <f>AND(#REF!,"AAAAAG//uzs=")</f>
        <v>#REF!</v>
      </c>
      <c r="BI555" t="e">
        <f>AND(#REF!,"AAAAAG//uzw=")</f>
        <v>#REF!</v>
      </c>
      <c r="BJ555" t="e">
        <f>IF(#REF!,"AAAAAG//uz0=",0)</f>
        <v>#REF!</v>
      </c>
      <c r="BK555" t="e">
        <f>AND(#REF!,"AAAAAG//uz4=")</f>
        <v>#REF!</v>
      </c>
      <c r="BL555" t="e">
        <f>AND(#REF!,"AAAAAG//uz8=")</f>
        <v>#REF!</v>
      </c>
      <c r="BM555" t="e">
        <f>AND(#REF!,"AAAAAG//u0A=")</f>
        <v>#REF!</v>
      </c>
      <c r="BN555" t="e">
        <f>AND(#REF!,"AAAAAG//u0E=")</f>
        <v>#REF!</v>
      </c>
      <c r="BO555" t="e">
        <f>AND(#REF!,"AAAAAG//u0I=")</f>
        <v>#REF!</v>
      </c>
      <c r="BP555" t="e">
        <f>AND(#REF!,"AAAAAG//u0M=")</f>
        <v>#REF!</v>
      </c>
      <c r="BQ555" t="e">
        <f>AND(#REF!,"AAAAAG//u0Q=")</f>
        <v>#REF!</v>
      </c>
      <c r="BR555" t="e">
        <f>AND(#REF!,"AAAAAG//u0U=")</f>
        <v>#REF!</v>
      </c>
      <c r="BS555" t="e">
        <f>AND(#REF!,"AAAAAG//u0Y=")</f>
        <v>#REF!</v>
      </c>
      <c r="BT555" t="e">
        <f>AND(#REF!,"AAAAAG//u0c=")</f>
        <v>#REF!</v>
      </c>
      <c r="BU555" t="e">
        <f>AND(#REF!,"AAAAAG//u0g=")</f>
        <v>#REF!</v>
      </c>
      <c r="BV555" t="e">
        <f>AND(#REF!,"AAAAAG//u0k=")</f>
        <v>#REF!</v>
      </c>
      <c r="BW555" t="e">
        <f>AND(#REF!,"AAAAAG//u0o=")</f>
        <v>#REF!</v>
      </c>
      <c r="BX555" t="e">
        <f>AND(#REF!,"AAAAAG//u0s=")</f>
        <v>#REF!</v>
      </c>
      <c r="BY555" t="e">
        <f>AND(#REF!,"AAAAAG//u0w=")</f>
        <v>#REF!</v>
      </c>
      <c r="BZ555" t="e">
        <f>AND(#REF!,"AAAAAG//u00=")</f>
        <v>#REF!</v>
      </c>
      <c r="CA555" t="e">
        <f>AND(#REF!,"AAAAAG//u04=")</f>
        <v>#REF!</v>
      </c>
      <c r="CB555" t="e">
        <f>AND(#REF!,"AAAAAG//u08=")</f>
        <v>#REF!</v>
      </c>
      <c r="CC555" t="e">
        <f>AND(#REF!,"AAAAAG//u1A=")</f>
        <v>#REF!</v>
      </c>
      <c r="CD555" t="e">
        <f>AND(#REF!,"AAAAAG//u1E=")</f>
        <v>#REF!</v>
      </c>
      <c r="CE555" t="e">
        <f>AND(#REF!,"AAAAAG//u1I=")</f>
        <v>#REF!</v>
      </c>
      <c r="CF555" t="e">
        <f>AND(#REF!,"AAAAAG//u1M=")</f>
        <v>#REF!</v>
      </c>
      <c r="CG555" t="e">
        <f>AND(#REF!,"AAAAAG//u1Q=")</f>
        <v>#REF!</v>
      </c>
      <c r="CH555" t="e">
        <f>AND(#REF!,"AAAAAG//u1U=")</f>
        <v>#REF!</v>
      </c>
      <c r="CI555" t="e">
        <f>IF(#REF!,"AAAAAG//u1Y=",0)</f>
        <v>#REF!</v>
      </c>
      <c r="CJ555" t="e">
        <f>AND(#REF!,"AAAAAG//u1c=")</f>
        <v>#REF!</v>
      </c>
      <c r="CK555" t="e">
        <f>AND(#REF!,"AAAAAG//u1g=")</f>
        <v>#REF!</v>
      </c>
      <c r="CL555" t="e">
        <f>AND(#REF!,"AAAAAG//u1k=")</f>
        <v>#REF!</v>
      </c>
      <c r="CM555" t="e">
        <f>AND(#REF!,"AAAAAG//u1o=")</f>
        <v>#REF!</v>
      </c>
      <c r="CN555" t="e">
        <f>AND(#REF!,"AAAAAG//u1s=")</f>
        <v>#REF!</v>
      </c>
      <c r="CO555" t="e">
        <f>AND(#REF!,"AAAAAG//u1w=")</f>
        <v>#REF!</v>
      </c>
      <c r="CP555" t="e">
        <f>AND(#REF!,"AAAAAG//u10=")</f>
        <v>#REF!</v>
      </c>
      <c r="CQ555" t="e">
        <f>AND(#REF!,"AAAAAG//u14=")</f>
        <v>#REF!</v>
      </c>
      <c r="CR555" t="e">
        <f>AND(#REF!,"AAAAAG//u18=")</f>
        <v>#REF!</v>
      </c>
      <c r="CS555" t="e">
        <f>AND(#REF!,"AAAAAG//u2A=")</f>
        <v>#REF!</v>
      </c>
      <c r="CT555" t="e">
        <f>AND(#REF!,"AAAAAG//u2E=")</f>
        <v>#REF!</v>
      </c>
      <c r="CU555" t="e">
        <f>AND(#REF!,"AAAAAG//u2I=")</f>
        <v>#REF!</v>
      </c>
      <c r="CV555" t="e">
        <f>AND(#REF!,"AAAAAG//u2M=")</f>
        <v>#REF!</v>
      </c>
      <c r="CW555" t="e">
        <f>AND(#REF!,"AAAAAG//u2Q=")</f>
        <v>#REF!</v>
      </c>
      <c r="CX555" t="e">
        <f>AND(#REF!,"AAAAAG//u2U=")</f>
        <v>#REF!</v>
      </c>
      <c r="CY555" t="e">
        <f>AND(#REF!,"AAAAAG//u2Y=")</f>
        <v>#REF!</v>
      </c>
      <c r="CZ555" t="e">
        <f>AND(#REF!,"AAAAAG//u2c=")</f>
        <v>#REF!</v>
      </c>
      <c r="DA555" t="e">
        <f>AND(#REF!,"AAAAAG//u2g=")</f>
        <v>#REF!</v>
      </c>
      <c r="DB555" t="e">
        <f>AND(#REF!,"AAAAAG//u2k=")</f>
        <v>#REF!</v>
      </c>
      <c r="DC555" t="e">
        <f>AND(#REF!,"AAAAAG//u2o=")</f>
        <v>#REF!</v>
      </c>
      <c r="DD555" t="e">
        <f>AND(#REF!,"AAAAAG//u2s=")</f>
        <v>#REF!</v>
      </c>
      <c r="DE555" t="e">
        <f>AND(#REF!,"AAAAAG//u2w=")</f>
        <v>#REF!</v>
      </c>
      <c r="DF555" t="e">
        <f>AND(#REF!,"AAAAAG//u20=")</f>
        <v>#REF!</v>
      </c>
      <c r="DG555" t="e">
        <f>AND(#REF!,"AAAAAG//u24=")</f>
        <v>#REF!</v>
      </c>
      <c r="DH555" t="e">
        <f>IF(#REF!,"AAAAAG//u28=",0)</f>
        <v>#REF!</v>
      </c>
      <c r="DI555" t="e">
        <f>AND(#REF!,"AAAAAG//u3A=")</f>
        <v>#REF!</v>
      </c>
      <c r="DJ555" t="e">
        <f>AND(#REF!,"AAAAAG//u3E=")</f>
        <v>#REF!</v>
      </c>
      <c r="DK555" t="e">
        <f>AND(#REF!,"AAAAAG//u3I=")</f>
        <v>#REF!</v>
      </c>
      <c r="DL555" t="e">
        <f>AND(#REF!,"AAAAAG//u3M=")</f>
        <v>#REF!</v>
      </c>
      <c r="DM555" t="e">
        <f>AND(#REF!,"AAAAAG//u3Q=")</f>
        <v>#REF!</v>
      </c>
      <c r="DN555" t="e">
        <f>AND(#REF!,"AAAAAG//u3U=")</f>
        <v>#REF!</v>
      </c>
      <c r="DO555" t="e">
        <f>AND(#REF!,"AAAAAG//u3Y=")</f>
        <v>#REF!</v>
      </c>
      <c r="DP555" t="e">
        <f>AND(#REF!,"AAAAAG//u3c=")</f>
        <v>#REF!</v>
      </c>
      <c r="DQ555" t="e">
        <f>AND(#REF!,"AAAAAG//u3g=")</f>
        <v>#REF!</v>
      </c>
      <c r="DR555" t="e">
        <f>AND(#REF!,"AAAAAG//u3k=")</f>
        <v>#REF!</v>
      </c>
      <c r="DS555" t="e">
        <f>AND(#REF!,"AAAAAG//u3o=")</f>
        <v>#REF!</v>
      </c>
      <c r="DT555" t="e">
        <f>AND(#REF!,"AAAAAG//u3s=")</f>
        <v>#REF!</v>
      </c>
      <c r="DU555" t="e">
        <f>AND(#REF!,"AAAAAG//u3w=")</f>
        <v>#REF!</v>
      </c>
      <c r="DV555" t="e">
        <f>AND(#REF!,"AAAAAG//u30=")</f>
        <v>#REF!</v>
      </c>
      <c r="DW555" t="e">
        <f>AND(#REF!,"AAAAAG//u34=")</f>
        <v>#REF!</v>
      </c>
      <c r="DX555" t="e">
        <f>AND(#REF!,"AAAAAG//u38=")</f>
        <v>#REF!</v>
      </c>
      <c r="DY555" t="e">
        <f>AND(#REF!,"AAAAAG//u4A=")</f>
        <v>#REF!</v>
      </c>
      <c r="DZ555" t="e">
        <f>AND(#REF!,"AAAAAG//u4E=")</f>
        <v>#REF!</v>
      </c>
      <c r="EA555" t="e">
        <f>AND(#REF!,"AAAAAG//u4I=")</f>
        <v>#REF!</v>
      </c>
      <c r="EB555" t="e">
        <f>AND(#REF!,"AAAAAG//u4M=")</f>
        <v>#REF!</v>
      </c>
      <c r="EC555" t="e">
        <f>AND(#REF!,"AAAAAG//u4Q=")</f>
        <v>#REF!</v>
      </c>
      <c r="ED555" t="e">
        <f>AND(#REF!,"AAAAAG//u4U=")</f>
        <v>#REF!</v>
      </c>
      <c r="EE555" t="e">
        <f>AND(#REF!,"AAAAAG//u4Y=")</f>
        <v>#REF!</v>
      </c>
      <c r="EF555" t="e">
        <f>AND(#REF!,"AAAAAG//u4c=")</f>
        <v>#REF!</v>
      </c>
      <c r="EG555" t="e">
        <f>IF(#REF!,"AAAAAG//u4g=",0)</f>
        <v>#REF!</v>
      </c>
      <c r="EH555" t="e">
        <f>AND(#REF!,"AAAAAG//u4k=")</f>
        <v>#REF!</v>
      </c>
      <c r="EI555" t="e">
        <f>AND(#REF!,"AAAAAG//u4o=")</f>
        <v>#REF!</v>
      </c>
      <c r="EJ555" t="e">
        <f>AND(#REF!,"AAAAAG//u4s=")</f>
        <v>#REF!</v>
      </c>
      <c r="EK555" t="e">
        <f>AND(#REF!,"AAAAAG//u4w=")</f>
        <v>#REF!</v>
      </c>
      <c r="EL555" t="e">
        <f>AND(#REF!,"AAAAAG//u40=")</f>
        <v>#REF!</v>
      </c>
      <c r="EM555" t="e">
        <f>AND(#REF!,"AAAAAG//u44=")</f>
        <v>#REF!</v>
      </c>
      <c r="EN555" t="e">
        <f>AND(#REF!,"AAAAAG//u48=")</f>
        <v>#REF!</v>
      </c>
      <c r="EO555" t="e">
        <f>AND(#REF!,"AAAAAG//u5A=")</f>
        <v>#REF!</v>
      </c>
      <c r="EP555" t="e">
        <f>AND(#REF!,"AAAAAG//u5E=")</f>
        <v>#REF!</v>
      </c>
      <c r="EQ555" t="e">
        <f>AND(#REF!,"AAAAAG//u5I=")</f>
        <v>#REF!</v>
      </c>
      <c r="ER555" t="e">
        <f>AND(#REF!,"AAAAAG//u5M=")</f>
        <v>#REF!</v>
      </c>
      <c r="ES555" t="e">
        <f>AND(#REF!,"AAAAAG//u5Q=")</f>
        <v>#REF!</v>
      </c>
      <c r="ET555" t="e">
        <f>AND(#REF!,"AAAAAG//u5U=")</f>
        <v>#REF!</v>
      </c>
      <c r="EU555" t="e">
        <f>AND(#REF!,"AAAAAG//u5Y=")</f>
        <v>#REF!</v>
      </c>
      <c r="EV555" t="e">
        <f>AND(#REF!,"AAAAAG//u5c=")</f>
        <v>#REF!</v>
      </c>
      <c r="EW555" t="e">
        <f>AND(#REF!,"AAAAAG//u5g=")</f>
        <v>#REF!</v>
      </c>
      <c r="EX555" t="e">
        <f>AND(#REF!,"AAAAAG//u5k=")</f>
        <v>#REF!</v>
      </c>
      <c r="EY555" t="e">
        <f>AND(#REF!,"AAAAAG//u5o=")</f>
        <v>#REF!</v>
      </c>
      <c r="EZ555" t="e">
        <f>AND(#REF!,"AAAAAG//u5s=")</f>
        <v>#REF!</v>
      </c>
      <c r="FA555" t="e">
        <f>AND(#REF!,"AAAAAG//u5w=")</f>
        <v>#REF!</v>
      </c>
      <c r="FB555" t="e">
        <f>AND(#REF!,"AAAAAG//u50=")</f>
        <v>#REF!</v>
      </c>
      <c r="FC555" t="e">
        <f>AND(#REF!,"AAAAAG//u54=")</f>
        <v>#REF!</v>
      </c>
      <c r="FD555" t="e">
        <f>AND(#REF!,"AAAAAG//u58=")</f>
        <v>#REF!</v>
      </c>
      <c r="FE555" t="e">
        <f>AND(#REF!,"AAAAAG//u6A=")</f>
        <v>#REF!</v>
      </c>
      <c r="FF555" t="e">
        <f>IF(#REF!,"AAAAAG//u6E=",0)</f>
        <v>#REF!</v>
      </c>
      <c r="FG555" t="e">
        <f>AND(#REF!,"AAAAAG//u6I=")</f>
        <v>#REF!</v>
      </c>
      <c r="FH555" t="e">
        <f>AND(#REF!,"AAAAAG//u6M=")</f>
        <v>#REF!</v>
      </c>
      <c r="FI555" t="e">
        <f>AND(#REF!,"AAAAAG//u6Q=")</f>
        <v>#REF!</v>
      </c>
      <c r="FJ555" t="e">
        <f>AND(#REF!,"AAAAAG//u6U=")</f>
        <v>#REF!</v>
      </c>
      <c r="FK555" t="e">
        <f>AND(#REF!,"AAAAAG//u6Y=")</f>
        <v>#REF!</v>
      </c>
      <c r="FL555" t="e">
        <f>AND(#REF!,"AAAAAG//u6c=")</f>
        <v>#REF!</v>
      </c>
      <c r="FM555" t="e">
        <f>AND(#REF!,"AAAAAG//u6g=")</f>
        <v>#REF!</v>
      </c>
      <c r="FN555" t="e">
        <f>AND(#REF!,"AAAAAG//u6k=")</f>
        <v>#REF!</v>
      </c>
      <c r="FO555" t="e">
        <f>AND(#REF!,"AAAAAG//u6o=")</f>
        <v>#REF!</v>
      </c>
      <c r="FP555" t="e">
        <f>AND(#REF!,"AAAAAG//u6s=")</f>
        <v>#REF!</v>
      </c>
      <c r="FQ555" t="e">
        <f>AND(#REF!,"AAAAAG//u6w=")</f>
        <v>#REF!</v>
      </c>
      <c r="FR555" t="e">
        <f>AND(#REF!,"AAAAAG//u60=")</f>
        <v>#REF!</v>
      </c>
      <c r="FS555" t="e">
        <f>AND(#REF!,"AAAAAG//u64=")</f>
        <v>#REF!</v>
      </c>
      <c r="FT555" t="e">
        <f>AND(#REF!,"AAAAAG//u68=")</f>
        <v>#REF!</v>
      </c>
      <c r="FU555" t="e">
        <f>AND(#REF!,"AAAAAG//u7A=")</f>
        <v>#REF!</v>
      </c>
      <c r="FV555" t="e">
        <f>AND(#REF!,"AAAAAG//u7E=")</f>
        <v>#REF!</v>
      </c>
      <c r="FW555" t="e">
        <f>AND(#REF!,"AAAAAG//u7I=")</f>
        <v>#REF!</v>
      </c>
      <c r="FX555" t="e">
        <f>AND(#REF!,"AAAAAG//u7M=")</f>
        <v>#REF!</v>
      </c>
      <c r="FY555" t="e">
        <f>AND(#REF!,"AAAAAG//u7Q=")</f>
        <v>#REF!</v>
      </c>
      <c r="FZ555" t="e">
        <f>AND(#REF!,"AAAAAG//u7U=")</f>
        <v>#REF!</v>
      </c>
      <c r="GA555" t="e">
        <f>AND(#REF!,"AAAAAG//u7Y=")</f>
        <v>#REF!</v>
      </c>
      <c r="GB555" t="e">
        <f>AND(#REF!,"AAAAAG//u7c=")</f>
        <v>#REF!</v>
      </c>
      <c r="GC555" t="e">
        <f>AND(#REF!,"AAAAAG//u7g=")</f>
        <v>#REF!</v>
      </c>
      <c r="GD555" t="e">
        <f>AND(#REF!,"AAAAAG//u7k=")</f>
        <v>#REF!</v>
      </c>
      <c r="GE555" t="e">
        <f>IF(#REF!,"AAAAAG//u7o=",0)</f>
        <v>#REF!</v>
      </c>
      <c r="GF555" t="e">
        <f>AND(#REF!,"AAAAAG//u7s=")</f>
        <v>#REF!</v>
      </c>
      <c r="GG555" t="e">
        <f>AND(#REF!,"AAAAAG//u7w=")</f>
        <v>#REF!</v>
      </c>
      <c r="GH555" t="e">
        <f>AND(#REF!,"AAAAAG//u70=")</f>
        <v>#REF!</v>
      </c>
      <c r="GI555" t="e">
        <f>AND(#REF!,"AAAAAG//u74=")</f>
        <v>#REF!</v>
      </c>
      <c r="GJ555" t="e">
        <f>AND(#REF!,"AAAAAG//u78=")</f>
        <v>#REF!</v>
      </c>
      <c r="GK555" t="e">
        <f>AND(#REF!,"AAAAAG//u8A=")</f>
        <v>#REF!</v>
      </c>
      <c r="GL555" t="e">
        <f>AND(#REF!,"AAAAAG//u8E=")</f>
        <v>#REF!</v>
      </c>
      <c r="GM555" t="e">
        <f>AND(#REF!,"AAAAAG//u8I=")</f>
        <v>#REF!</v>
      </c>
      <c r="GN555" t="e">
        <f>AND(#REF!,"AAAAAG//u8M=")</f>
        <v>#REF!</v>
      </c>
      <c r="GO555" t="e">
        <f>AND(#REF!,"AAAAAG//u8Q=")</f>
        <v>#REF!</v>
      </c>
      <c r="GP555" t="e">
        <f>AND(#REF!,"AAAAAG//u8U=")</f>
        <v>#REF!</v>
      </c>
      <c r="GQ555" t="e">
        <f>AND(#REF!,"AAAAAG//u8Y=")</f>
        <v>#REF!</v>
      </c>
      <c r="GR555" t="e">
        <f>AND(#REF!,"AAAAAG//u8c=")</f>
        <v>#REF!</v>
      </c>
      <c r="GS555" t="e">
        <f>AND(#REF!,"AAAAAG//u8g=")</f>
        <v>#REF!</v>
      </c>
      <c r="GT555" t="e">
        <f>AND(#REF!,"AAAAAG//u8k=")</f>
        <v>#REF!</v>
      </c>
      <c r="GU555" t="e">
        <f>AND(#REF!,"AAAAAG//u8o=")</f>
        <v>#REF!</v>
      </c>
      <c r="GV555" t="e">
        <f>AND(#REF!,"AAAAAG//u8s=")</f>
        <v>#REF!</v>
      </c>
      <c r="GW555" t="e">
        <f>AND(#REF!,"AAAAAG//u8w=")</f>
        <v>#REF!</v>
      </c>
      <c r="GX555" t="e">
        <f>AND(#REF!,"AAAAAG//u80=")</f>
        <v>#REF!</v>
      </c>
      <c r="GY555" t="e">
        <f>AND(#REF!,"AAAAAG//u84=")</f>
        <v>#REF!</v>
      </c>
      <c r="GZ555" t="e">
        <f>AND(#REF!,"AAAAAG//u88=")</f>
        <v>#REF!</v>
      </c>
      <c r="HA555" t="e">
        <f>AND(#REF!,"AAAAAG//u9A=")</f>
        <v>#REF!</v>
      </c>
      <c r="HB555" t="e">
        <f>AND(#REF!,"AAAAAG//u9E=")</f>
        <v>#REF!</v>
      </c>
      <c r="HC555" t="e">
        <f>AND(#REF!,"AAAAAG//u9I=")</f>
        <v>#REF!</v>
      </c>
      <c r="HD555" t="e">
        <f>IF(#REF!,"AAAAAG//u9M=",0)</f>
        <v>#REF!</v>
      </c>
      <c r="HE555" t="e">
        <f>AND(#REF!,"AAAAAG//u9Q=")</f>
        <v>#REF!</v>
      </c>
      <c r="HF555" t="e">
        <f>AND(#REF!,"AAAAAG//u9U=")</f>
        <v>#REF!</v>
      </c>
      <c r="HG555" t="e">
        <f>AND(#REF!,"AAAAAG//u9Y=")</f>
        <v>#REF!</v>
      </c>
      <c r="HH555" t="e">
        <f>AND(#REF!,"AAAAAG//u9c=")</f>
        <v>#REF!</v>
      </c>
      <c r="HI555" t="e">
        <f>AND(#REF!,"AAAAAG//u9g=")</f>
        <v>#REF!</v>
      </c>
      <c r="HJ555" t="e">
        <f>AND(#REF!,"AAAAAG//u9k=")</f>
        <v>#REF!</v>
      </c>
      <c r="HK555" t="e">
        <f>AND(#REF!,"AAAAAG//u9o=")</f>
        <v>#REF!</v>
      </c>
      <c r="HL555" t="e">
        <f>AND(#REF!,"AAAAAG//u9s=")</f>
        <v>#REF!</v>
      </c>
      <c r="HM555" t="e">
        <f>AND(#REF!,"AAAAAG//u9w=")</f>
        <v>#REF!</v>
      </c>
      <c r="HN555" t="e">
        <f>AND(#REF!,"AAAAAG//u90=")</f>
        <v>#REF!</v>
      </c>
      <c r="HO555" t="e">
        <f>AND(#REF!,"AAAAAG//u94=")</f>
        <v>#REF!</v>
      </c>
      <c r="HP555" t="e">
        <f>AND(#REF!,"AAAAAG//u98=")</f>
        <v>#REF!</v>
      </c>
      <c r="HQ555" t="e">
        <f>AND(#REF!,"AAAAAG//u+A=")</f>
        <v>#REF!</v>
      </c>
      <c r="HR555" t="e">
        <f>AND(#REF!,"AAAAAG//u+E=")</f>
        <v>#REF!</v>
      </c>
      <c r="HS555" t="e">
        <f>AND(#REF!,"AAAAAG//u+I=")</f>
        <v>#REF!</v>
      </c>
      <c r="HT555" t="e">
        <f>AND(#REF!,"AAAAAG//u+M=")</f>
        <v>#REF!</v>
      </c>
      <c r="HU555" t="e">
        <f>AND(#REF!,"AAAAAG//u+Q=")</f>
        <v>#REF!</v>
      </c>
      <c r="HV555" t="e">
        <f>AND(#REF!,"AAAAAG//u+U=")</f>
        <v>#REF!</v>
      </c>
      <c r="HW555" t="e">
        <f>AND(#REF!,"AAAAAG//u+Y=")</f>
        <v>#REF!</v>
      </c>
      <c r="HX555" t="e">
        <f>AND(#REF!,"AAAAAG//u+c=")</f>
        <v>#REF!</v>
      </c>
      <c r="HY555" t="e">
        <f>AND(#REF!,"AAAAAG//u+g=")</f>
        <v>#REF!</v>
      </c>
      <c r="HZ555" t="e">
        <f>AND(#REF!,"AAAAAG//u+k=")</f>
        <v>#REF!</v>
      </c>
      <c r="IA555" t="e">
        <f>AND(#REF!,"AAAAAG//u+o=")</f>
        <v>#REF!</v>
      </c>
      <c r="IB555" t="e">
        <f>AND(#REF!,"AAAAAG//u+s=")</f>
        <v>#REF!</v>
      </c>
      <c r="IC555" t="e">
        <f>IF(#REF!,"AAAAAG//u+w=",0)</f>
        <v>#REF!</v>
      </c>
      <c r="ID555" t="e">
        <f>AND(#REF!,"AAAAAG//u+0=")</f>
        <v>#REF!</v>
      </c>
      <c r="IE555" t="e">
        <f>AND(#REF!,"AAAAAG//u+4=")</f>
        <v>#REF!</v>
      </c>
      <c r="IF555" t="e">
        <f>AND(#REF!,"AAAAAG//u+8=")</f>
        <v>#REF!</v>
      </c>
      <c r="IG555" t="e">
        <f>AND(#REF!,"AAAAAG//u/A=")</f>
        <v>#REF!</v>
      </c>
      <c r="IH555" t="e">
        <f>AND(#REF!,"AAAAAG//u/E=")</f>
        <v>#REF!</v>
      </c>
      <c r="II555" t="e">
        <f>AND(#REF!,"AAAAAG//u/I=")</f>
        <v>#REF!</v>
      </c>
      <c r="IJ555" t="e">
        <f>AND(#REF!,"AAAAAG//u/M=")</f>
        <v>#REF!</v>
      </c>
      <c r="IK555" t="e">
        <f>AND(#REF!,"AAAAAG//u/Q=")</f>
        <v>#REF!</v>
      </c>
      <c r="IL555" t="e">
        <f>AND(#REF!,"AAAAAG//u/U=")</f>
        <v>#REF!</v>
      </c>
      <c r="IM555" t="e">
        <f>AND(#REF!,"AAAAAG//u/Y=")</f>
        <v>#REF!</v>
      </c>
      <c r="IN555" t="e">
        <f>AND(#REF!,"AAAAAG//u/c=")</f>
        <v>#REF!</v>
      </c>
      <c r="IO555" t="e">
        <f>AND(#REF!,"AAAAAG//u/g=")</f>
        <v>#REF!</v>
      </c>
      <c r="IP555" t="e">
        <f>AND(#REF!,"AAAAAG//u/k=")</f>
        <v>#REF!</v>
      </c>
      <c r="IQ555" t="e">
        <f>AND(#REF!,"AAAAAG//u/o=")</f>
        <v>#REF!</v>
      </c>
      <c r="IR555" t="e">
        <f>AND(#REF!,"AAAAAG//u/s=")</f>
        <v>#REF!</v>
      </c>
      <c r="IS555" t="e">
        <f>AND(#REF!,"AAAAAG//u/w=")</f>
        <v>#REF!</v>
      </c>
      <c r="IT555" t="e">
        <f>AND(#REF!,"AAAAAG//u/0=")</f>
        <v>#REF!</v>
      </c>
      <c r="IU555" t="e">
        <f>AND(#REF!,"AAAAAG//u/4=")</f>
        <v>#REF!</v>
      </c>
      <c r="IV555" t="e">
        <f>AND(#REF!,"AAAAAG//u/8=")</f>
        <v>#REF!</v>
      </c>
    </row>
    <row r="556" spans="1:256">
      <c r="A556" t="e">
        <f>AND(#REF!,"AAAAAHXRuQA=")</f>
        <v>#REF!</v>
      </c>
      <c r="B556" t="e">
        <f>AND(#REF!,"AAAAAHXRuQE=")</f>
        <v>#REF!</v>
      </c>
      <c r="C556" t="e">
        <f>AND(#REF!,"AAAAAHXRuQI=")</f>
        <v>#REF!</v>
      </c>
      <c r="D556" t="e">
        <f>AND(#REF!,"AAAAAHXRuQM=")</f>
        <v>#REF!</v>
      </c>
      <c r="E556" t="e">
        <f>AND(#REF!,"AAAAAHXRuQQ=")</f>
        <v>#REF!</v>
      </c>
      <c r="F556" t="e">
        <f>IF(#REF!,"AAAAAHXRuQU=",0)</f>
        <v>#REF!</v>
      </c>
      <c r="G556" t="e">
        <f>AND(#REF!,"AAAAAHXRuQY=")</f>
        <v>#REF!</v>
      </c>
      <c r="H556" t="e">
        <f>AND(#REF!,"AAAAAHXRuQc=")</f>
        <v>#REF!</v>
      </c>
      <c r="I556" t="e">
        <f>AND(#REF!,"AAAAAHXRuQg=")</f>
        <v>#REF!</v>
      </c>
      <c r="J556" t="e">
        <f>AND(#REF!,"AAAAAHXRuQk=")</f>
        <v>#REF!</v>
      </c>
      <c r="K556" t="e">
        <f>AND(#REF!,"AAAAAHXRuQo=")</f>
        <v>#REF!</v>
      </c>
      <c r="L556" t="e">
        <f>AND(#REF!,"AAAAAHXRuQs=")</f>
        <v>#REF!</v>
      </c>
      <c r="M556" t="e">
        <f>AND(#REF!,"AAAAAHXRuQw=")</f>
        <v>#REF!</v>
      </c>
      <c r="N556" t="e">
        <f>AND(#REF!,"AAAAAHXRuQ0=")</f>
        <v>#REF!</v>
      </c>
      <c r="O556" t="e">
        <f>AND(#REF!,"AAAAAHXRuQ4=")</f>
        <v>#REF!</v>
      </c>
      <c r="P556" t="e">
        <f>AND(#REF!,"AAAAAHXRuQ8=")</f>
        <v>#REF!</v>
      </c>
      <c r="Q556" t="e">
        <f>AND(#REF!,"AAAAAHXRuRA=")</f>
        <v>#REF!</v>
      </c>
      <c r="R556" t="e">
        <f>AND(#REF!,"AAAAAHXRuRE=")</f>
        <v>#REF!</v>
      </c>
      <c r="S556" t="e">
        <f>AND(#REF!,"AAAAAHXRuRI=")</f>
        <v>#REF!</v>
      </c>
      <c r="T556" t="e">
        <f>AND(#REF!,"AAAAAHXRuRM=")</f>
        <v>#REF!</v>
      </c>
      <c r="U556" t="e">
        <f>AND(#REF!,"AAAAAHXRuRQ=")</f>
        <v>#REF!</v>
      </c>
      <c r="V556" t="e">
        <f>AND(#REF!,"AAAAAHXRuRU=")</f>
        <v>#REF!</v>
      </c>
      <c r="W556" t="e">
        <f>AND(#REF!,"AAAAAHXRuRY=")</f>
        <v>#REF!</v>
      </c>
      <c r="X556" t="e">
        <f>AND(#REF!,"AAAAAHXRuRc=")</f>
        <v>#REF!</v>
      </c>
      <c r="Y556" t="e">
        <f>AND(#REF!,"AAAAAHXRuRg=")</f>
        <v>#REF!</v>
      </c>
      <c r="Z556" t="e">
        <f>AND(#REF!,"AAAAAHXRuRk=")</f>
        <v>#REF!</v>
      </c>
      <c r="AA556" t="e">
        <f>AND(#REF!,"AAAAAHXRuRo=")</f>
        <v>#REF!</v>
      </c>
      <c r="AB556" t="e">
        <f>AND(#REF!,"AAAAAHXRuRs=")</f>
        <v>#REF!</v>
      </c>
      <c r="AC556" t="e">
        <f>AND(#REF!,"AAAAAHXRuRw=")</f>
        <v>#REF!</v>
      </c>
      <c r="AD556" t="e">
        <f>AND(#REF!,"AAAAAHXRuR0=")</f>
        <v>#REF!</v>
      </c>
      <c r="AE556" t="e">
        <f>IF(#REF!,"AAAAAHXRuR4=",0)</f>
        <v>#REF!</v>
      </c>
      <c r="AF556" t="e">
        <f>AND(#REF!,"AAAAAHXRuR8=")</f>
        <v>#REF!</v>
      </c>
      <c r="AG556" t="e">
        <f>AND(#REF!,"AAAAAHXRuSA=")</f>
        <v>#REF!</v>
      </c>
      <c r="AH556" t="e">
        <f>AND(#REF!,"AAAAAHXRuSE=")</f>
        <v>#REF!</v>
      </c>
      <c r="AI556" t="e">
        <f>AND(#REF!,"AAAAAHXRuSI=")</f>
        <v>#REF!</v>
      </c>
      <c r="AJ556" t="e">
        <f>AND(#REF!,"AAAAAHXRuSM=")</f>
        <v>#REF!</v>
      </c>
      <c r="AK556" t="e">
        <f>AND(#REF!,"AAAAAHXRuSQ=")</f>
        <v>#REF!</v>
      </c>
      <c r="AL556" t="e">
        <f>AND(#REF!,"AAAAAHXRuSU=")</f>
        <v>#REF!</v>
      </c>
      <c r="AM556" t="e">
        <f>AND(#REF!,"AAAAAHXRuSY=")</f>
        <v>#REF!</v>
      </c>
      <c r="AN556" t="e">
        <f>AND(#REF!,"AAAAAHXRuSc=")</f>
        <v>#REF!</v>
      </c>
      <c r="AO556" t="e">
        <f>AND(#REF!,"AAAAAHXRuSg=")</f>
        <v>#REF!</v>
      </c>
      <c r="AP556" t="e">
        <f>AND(#REF!,"AAAAAHXRuSk=")</f>
        <v>#REF!</v>
      </c>
      <c r="AQ556" t="e">
        <f>AND(#REF!,"AAAAAHXRuSo=")</f>
        <v>#REF!</v>
      </c>
      <c r="AR556" t="e">
        <f>AND(#REF!,"AAAAAHXRuSs=")</f>
        <v>#REF!</v>
      </c>
      <c r="AS556" t="e">
        <f>AND(#REF!,"AAAAAHXRuSw=")</f>
        <v>#REF!</v>
      </c>
      <c r="AT556" t="e">
        <f>AND(#REF!,"AAAAAHXRuS0=")</f>
        <v>#REF!</v>
      </c>
      <c r="AU556" t="e">
        <f>AND(#REF!,"AAAAAHXRuS4=")</f>
        <v>#REF!</v>
      </c>
      <c r="AV556" t="e">
        <f>AND(#REF!,"AAAAAHXRuS8=")</f>
        <v>#REF!</v>
      </c>
      <c r="AW556" t="e">
        <f>AND(#REF!,"AAAAAHXRuTA=")</f>
        <v>#REF!</v>
      </c>
      <c r="AX556" t="e">
        <f>AND(#REF!,"AAAAAHXRuTE=")</f>
        <v>#REF!</v>
      </c>
      <c r="AY556" t="e">
        <f>AND(#REF!,"AAAAAHXRuTI=")</f>
        <v>#REF!</v>
      </c>
      <c r="AZ556" t="e">
        <f>AND(#REF!,"AAAAAHXRuTM=")</f>
        <v>#REF!</v>
      </c>
      <c r="BA556" t="e">
        <f>AND(#REF!,"AAAAAHXRuTQ=")</f>
        <v>#REF!</v>
      </c>
      <c r="BB556" t="e">
        <f>AND(#REF!,"AAAAAHXRuTU=")</f>
        <v>#REF!</v>
      </c>
      <c r="BC556" t="e">
        <f>AND(#REF!,"AAAAAHXRuTY=")</f>
        <v>#REF!</v>
      </c>
      <c r="BD556" t="e">
        <f>IF(#REF!,"AAAAAHXRuTc=",0)</f>
        <v>#REF!</v>
      </c>
      <c r="BE556" t="e">
        <f>AND(#REF!,"AAAAAHXRuTg=")</f>
        <v>#REF!</v>
      </c>
      <c r="BF556" t="e">
        <f>AND(#REF!,"AAAAAHXRuTk=")</f>
        <v>#REF!</v>
      </c>
      <c r="BG556" t="e">
        <f>AND(#REF!,"AAAAAHXRuTo=")</f>
        <v>#REF!</v>
      </c>
      <c r="BH556" t="e">
        <f>AND(#REF!,"AAAAAHXRuTs=")</f>
        <v>#REF!</v>
      </c>
      <c r="BI556" t="e">
        <f>AND(#REF!,"AAAAAHXRuTw=")</f>
        <v>#REF!</v>
      </c>
      <c r="BJ556" t="e">
        <f>AND(#REF!,"AAAAAHXRuT0=")</f>
        <v>#REF!</v>
      </c>
      <c r="BK556" t="e">
        <f>AND(#REF!,"AAAAAHXRuT4=")</f>
        <v>#REF!</v>
      </c>
      <c r="BL556" t="e">
        <f>AND(#REF!,"AAAAAHXRuT8=")</f>
        <v>#REF!</v>
      </c>
      <c r="BM556" t="e">
        <f>AND(#REF!,"AAAAAHXRuUA=")</f>
        <v>#REF!</v>
      </c>
      <c r="BN556" t="e">
        <f>AND(#REF!,"AAAAAHXRuUE=")</f>
        <v>#REF!</v>
      </c>
      <c r="BO556" t="e">
        <f>AND(#REF!,"AAAAAHXRuUI=")</f>
        <v>#REF!</v>
      </c>
      <c r="BP556" t="e">
        <f>AND(#REF!,"AAAAAHXRuUM=")</f>
        <v>#REF!</v>
      </c>
      <c r="BQ556" t="e">
        <f>AND(#REF!,"AAAAAHXRuUQ=")</f>
        <v>#REF!</v>
      </c>
      <c r="BR556" t="e">
        <f>AND(#REF!,"AAAAAHXRuUU=")</f>
        <v>#REF!</v>
      </c>
      <c r="BS556" t="e">
        <f>AND(#REF!,"AAAAAHXRuUY=")</f>
        <v>#REF!</v>
      </c>
      <c r="BT556" t="e">
        <f>AND(#REF!,"AAAAAHXRuUc=")</f>
        <v>#REF!</v>
      </c>
      <c r="BU556" t="e">
        <f>AND(#REF!,"AAAAAHXRuUg=")</f>
        <v>#REF!</v>
      </c>
      <c r="BV556" t="e">
        <f>AND(#REF!,"AAAAAHXRuUk=")</f>
        <v>#REF!</v>
      </c>
      <c r="BW556" t="e">
        <f>AND(#REF!,"AAAAAHXRuUo=")</f>
        <v>#REF!</v>
      </c>
      <c r="BX556" t="e">
        <f>AND(#REF!,"AAAAAHXRuUs=")</f>
        <v>#REF!</v>
      </c>
      <c r="BY556" t="e">
        <f>AND(#REF!,"AAAAAHXRuUw=")</f>
        <v>#REF!</v>
      </c>
      <c r="BZ556" t="e">
        <f>AND(#REF!,"AAAAAHXRuU0=")</f>
        <v>#REF!</v>
      </c>
      <c r="CA556" t="e">
        <f>AND(#REF!,"AAAAAHXRuU4=")</f>
        <v>#REF!</v>
      </c>
      <c r="CB556" t="e">
        <f>AND(#REF!,"AAAAAHXRuU8=")</f>
        <v>#REF!</v>
      </c>
      <c r="CC556" t="e">
        <f>IF(#REF!,"AAAAAHXRuVA=",0)</f>
        <v>#REF!</v>
      </c>
      <c r="CD556" t="e">
        <f>AND(#REF!,"AAAAAHXRuVE=")</f>
        <v>#REF!</v>
      </c>
      <c r="CE556" t="e">
        <f>AND(#REF!,"AAAAAHXRuVI=")</f>
        <v>#REF!</v>
      </c>
      <c r="CF556" t="e">
        <f>AND(#REF!,"AAAAAHXRuVM=")</f>
        <v>#REF!</v>
      </c>
      <c r="CG556" t="e">
        <f>AND(#REF!,"AAAAAHXRuVQ=")</f>
        <v>#REF!</v>
      </c>
      <c r="CH556" t="e">
        <f>AND(#REF!,"AAAAAHXRuVU=")</f>
        <v>#REF!</v>
      </c>
      <c r="CI556" t="e">
        <f>AND(#REF!,"AAAAAHXRuVY=")</f>
        <v>#REF!</v>
      </c>
      <c r="CJ556" t="e">
        <f>AND(#REF!,"AAAAAHXRuVc=")</f>
        <v>#REF!</v>
      </c>
      <c r="CK556" t="e">
        <f>AND(#REF!,"AAAAAHXRuVg=")</f>
        <v>#REF!</v>
      </c>
      <c r="CL556" t="e">
        <f>AND(#REF!,"AAAAAHXRuVk=")</f>
        <v>#REF!</v>
      </c>
      <c r="CM556" t="e">
        <f>AND(#REF!,"AAAAAHXRuVo=")</f>
        <v>#REF!</v>
      </c>
      <c r="CN556" t="e">
        <f>AND(#REF!,"AAAAAHXRuVs=")</f>
        <v>#REF!</v>
      </c>
      <c r="CO556" t="e">
        <f>AND(#REF!,"AAAAAHXRuVw=")</f>
        <v>#REF!</v>
      </c>
      <c r="CP556" t="e">
        <f>AND(#REF!,"AAAAAHXRuV0=")</f>
        <v>#REF!</v>
      </c>
      <c r="CQ556" t="e">
        <f>AND(#REF!,"AAAAAHXRuV4=")</f>
        <v>#REF!</v>
      </c>
      <c r="CR556" t="e">
        <f>AND(#REF!,"AAAAAHXRuV8=")</f>
        <v>#REF!</v>
      </c>
      <c r="CS556" t="e">
        <f>AND(#REF!,"AAAAAHXRuWA=")</f>
        <v>#REF!</v>
      </c>
      <c r="CT556" t="e">
        <f>AND(#REF!,"AAAAAHXRuWE=")</f>
        <v>#REF!</v>
      </c>
      <c r="CU556" t="e">
        <f>AND(#REF!,"AAAAAHXRuWI=")</f>
        <v>#REF!</v>
      </c>
      <c r="CV556" t="e">
        <f>AND(#REF!,"AAAAAHXRuWM=")</f>
        <v>#REF!</v>
      </c>
      <c r="CW556" t="e">
        <f>AND(#REF!,"AAAAAHXRuWQ=")</f>
        <v>#REF!</v>
      </c>
      <c r="CX556" t="e">
        <f>AND(#REF!,"AAAAAHXRuWU=")</f>
        <v>#REF!</v>
      </c>
      <c r="CY556" t="e">
        <f>AND(#REF!,"AAAAAHXRuWY=")</f>
        <v>#REF!</v>
      </c>
      <c r="CZ556" t="e">
        <f>AND(#REF!,"AAAAAHXRuWc=")</f>
        <v>#REF!</v>
      </c>
      <c r="DA556" t="e">
        <f>AND(#REF!,"AAAAAHXRuWg=")</f>
        <v>#REF!</v>
      </c>
      <c r="DB556" t="e">
        <f>IF(#REF!,"AAAAAHXRuWk=",0)</f>
        <v>#REF!</v>
      </c>
      <c r="DC556" t="e">
        <f>AND(#REF!,"AAAAAHXRuWo=")</f>
        <v>#REF!</v>
      </c>
      <c r="DD556" t="e">
        <f>AND(#REF!,"AAAAAHXRuWs=")</f>
        <v>#REF!</v>
      </c>
      <c r="DE556" t="e">
        <f>AND(#REF!,"AAAAAHXRuWw=")</f>
        <v>#REF!</v>
      </c>
      <c r="DF556" t="e">
        <f>AND(#REF!,"AAAAAHXRuW0=")</f>
        <v>#REF!</v>
      </c>
      <c r="DG556" t="e">
        <f>AND(#REF!,"AAAAAHXRuW4=")</f>
        <v>#REF!</v>
      </c>
      <c r="DH556" t="e">
        <f>AND(#REF!,"AAAAAHXRuW8=")</f>
        <v>#REF!</v>
      </c>
      <c r="DI556" t="e">
        <f>AND(#REF!,"AAAAAHXRuXA=")</f>
        <v>#REF!</v>
      </c>
      <c r="DJ556" t="e">
        <f>AND(#REF!,"AAAAAHXRuXE=")</f>
        <v>#REF!</v>
      </c>
      <c r="DK556" t="e">
        <f>AND(#REF!,"AAAAAHXRuXI=")</f>
        <v>#REF!</v>
      </c>
      <c r="DL556" t="e">
        <f>AND(#REF!,"AAAAAHXRuXM=")</f>
        <v>#REF!</v>
      </c>
      <c r="DM556" t="e">
        <f>AND(#REF!,"AAAAAHXRuXQ=")</f>
        <v>#REF!</v>
      </c>
      <c r="DN556" t="e">
        <f>AND(#REF!,"AAAAAHXRuXU=")</f>
        <v>#REF!</v>
      </c>
      <c r="DO556" t="e">
        <f>AND(#REF!,"AAAAAHXRuXY=")</f>
        <v>#REF!</v>
      </c>
      <c r="DP556" t="e">
        <f>AND(#REF!,"AAAAAHXRuXc=")</f>
        <v>#REF!</v>
      </c>
      <c r="DQ556" t="e">
        <f>AND(#REF!,"AAAAAHXRuXg=")</f>
        <v>#REF!</v>
      </c>
      <c r="DR556" t="e">
        <f>AND(#REF!,"AAAAAHXRuXk=")</f>
        <v>#REF!</v>
      </c>
      <c r="DS556" t="e">
        <f>AND(#REF!,"AAAAAHXRuXo=")</f>
        <v>#REF!</v>
      </c>
      <c r="DT556" t="e">
        <f>AND(#REF!,"AAAAAHXRuXs=")</f>
        <v>#REF!</v>
      </c>
      <c r="DU556" t="e">
        <f>AND(#REF!,"AAAAAHXRuXw=")</f>
        <v>#REF!</v>
      </c>
      <c r="DV556" t="e">
        <f>AND(#REF!,"AAAAAHXRuX0=")</f>
        <v>#REF!</v>
      </c>
      <c r="DW556" t="e">
        <f>AND(#REF!,"AAAAAHXRuX4=")</f>
        <v>#REF!</v>
      </c>
      <c r="DX556" t="e">
        <f>AND(#REF!,"AAAAAHXRuX8=")</f>
        <v>#REF!</v>
      </c>
      <c r="DY556" t="e">
        <f>AND(#REF!,"AAAAAHXRuYA=")</f>
        <v>#REF!</v>
      </c>
      <c r="DZ556" t="e">
        <f>AND(#REF!,"AAAAAHXRuYE=")</f>
        <v>#REF!</v>
      </c>
      <c r="EA556" t="e">
        <f>IF(#REF!,"AAAAAHXRuYI=",0)</f>
        <v>#REF!</v>
      </c>
      <c r="EB556" t="e">
        <f>AND(#REF!,"AAAAAHXRuYM=")</f>
        <v>#REF!</v>
      </c>
      <c r="EC556" t="e">
        <f>AND(#REF!,"AAAAAHXRuYQ=")</f>
        <v>#REF!</v>
      </c>
      <c r="ED556" t="e">
        <f>AND(#REF!,"AAAAAHXRuYU=")</f>
        <v>#REF!</v>
      </c>
      <c r="EE556" t="e">
        <f>AND(#REF!,"AAAAAHXRuYY=")</f>
        <v>#REF!</v>
      </c>
      <c r="EF556" t="e">
        <f>AND(#REF!,"AAAAAHXRuYc=")</f>
        <v>#REF!</v>
      </c>
      <c r="EG556" t="e">
        <f>AND(#REF!,"AAAAAHXRuYg=")</f>
        <v>#REF!</v>
      </c>
      <c r="EH556" t="e">
        <f>AND(#REF!,"AAAAAHXRuYk=")</f>
        <v>#REF!</v>
      </c>
      <c r="EI556" t="e">
        <f>AND(#REF!,"AAAAAHXRuYo=")</f>
        <v>#REF!</v>
      </c>
      <c r="EJ556" t="e">
        <f>AND(#REF!,"AAAAAHXRuYs=")</f>
        <v>#REF!</v>
      </c>
      <c r="EK556" t="e">
        <f>AND(#REF!,"AAAAAHXRuYw=")</f>
        <v>#REF!</v>
      </c>
      <c r="EL556" t="e">
        <f>AND(#REF!,"AAAAAHXRuY0=")</f>
        <v>#REF!</v>
      </c>
      <c r="EM556" t="e">
        <f>AND(#REF!,"AAAAAHXRuY4=")</f>
        <v>#REF!</v>
      </c>
      <c r="EN556" t="e">
        <f>AND(#REF!,"AAAAAHXRuY8=")</f>
        <v>#REF!</v>
      </c>
      <c r="EO556" t="e">
        <f>AND(#REF!,"AAAAAHXRuZA=")</f>
        <v>#REF!</v>
      </c>
      <c r="EP556" t="e">
        <f>AND(#REF!,"AAAAAHXRuZE=")</f>
        <v>#REF!</v>
      </c>
      <c r="EQ556" t="e">
        <f>AND(#REF!,"AAAAAHXRuZI=")</f>
        <v>#REF!</v>
      </c>
      <c r="ER556" t="e">
        <f>AND(#REF!,"AAAAAHXRuZM=")</f>
        <v>#REF!</v>
      </c>
      <c r="ES556" t="e">
        <f>AND(#REF!,"AAAAAHXRuZQ=")</f>
        <v>#REF!</v>
      </c>
      <c r="ET556" t="e">
        <f>AND(#REF!,"AAAAAHXRuZU=")</f>
        <v>#REF!</v>
      </c>
      <c r="EU556" t="e">
        <f>AND(#REF!,"AAAAAHXRuZY=")</f>
        <v>#REF!</v>
      </c>
      <c r="EV556" t="e">
        <f>AND(#REF!,"AAAAAHXRuZc=")</f>
        <v>#REF!</v>
      </c>
      <c r="EW556" t="e">
        <f>AND(#REF!,"AAAAAHXRuZg=")</f>
        <v>#REF!</v>
      </c>
      <c r="EX556" t="e">
        <f>AND(#REF!,"AAAAAHXRuZk=")</f>
        <v>#REF!</v>
      </c>
      <c r="EY556" t="e">
        <f>AND(#REF!,"AAAAAHXRuZo=")</f>
        <v>#REF!</v>
      </c>
      <c r="EZ556" t="e">
        <f>IF(#REF!,"AAAAAHXRuZs=",0)</f>
        <v>#REF!</v>
      </c>
      <c r="FA556" t="e">
        <f>AND(#REF!,"AAAAAHXRuZw=")</f>
        <v>#REF!</v>
      </c>
      <c r="FB556" t="e">
        <f>AND(#REF!,"AAAAAHXRuZ0=")</f>
        <v>#REF!</v>
      </c>
      <c r="FC556" t="e">
        <f>AND(#REF!,"AAAAAHXRuZ4=")</f>
        <v>#REF!</v>
      </c>
      <c r="FD556" t="e">
        <f>AND(#REF!,"AAAAAHXRuZ8=")</f>
        <v>#REF!</v>
      </c>
      <c r="FE556" t="e">
        <f>AND(#REF!,"AAAAAHXRuaA=")</f>
        <v>#REF!</v>
      </c>
      <c r="FF556" t="e">
        <f>AND(#REF!,"AAAAAHXRuaE=")</f>
        <v>#REF!</v>
      </c>
      <c r="FG556" t="e">
        <f>AND(#REF!,"AAAAAHXRuaI=")</f>
        <v>#REF!</v>
      </c>
      <c r="FH556" t="e">
        <f>AND(#REF!,"AAAAAHXRuaM=")</f>
        <v>#REF!</v>
      </c>
      <c r="FI556" t="e">
        <f>AND(#REF!,"AAAAAHXRuaQ=")</f>
        <v>#REF!</v>
      </c>
      <c r="FJ556" t="e">
        <f>AND(#REF!,"AAAAAHXRuaU=")</f>
        <v>#REF!</v>
      </c>
      <c r="FK556" t="e">
        <f>AND(#REF!,"AAAAAHXRuaY=")</f>
        <v>#REF!</v>
      </c>
      <c r="FL556" t="e">
        <f>AND(#REF!,"AAAAAHXRuac=")</f>
        <v>#REF!</v>
      </c>
      <c r="FM556" t="e">
        <f>AND(#REF!,"AAAAAHXRuag=")</f>
        <v>#REF!</v>
      </c>
      <c r="FN556" t="e">
        <f>AND(#REF!,"AAAAAHXRuak=")</f>
        <v>#REF!</v>
      </c>
      <c r="FO556" t="e">
        <f>AND(#REF!,"AAAAAHXRuao=")</f>
        <v>#REF!</v>
      </c>
      <c r="FP556" t="e">
        <f>AND(#REF!,"AAAAAHXRuas=")</f>
        <v>#REF!</v>
      </c>
      <c r="FQ556" t="e">
        <f>AND(#REF!,"AAAAAHXRuaw=")</f>
        <v>#REF!</v>
      </c>
      <c r="FR556" t="e">
        <f>AND(#REF!,"AAAAAHXRua0=")</f>
        <v>#REF!</v>
      </c>
      <c r="FS556" t="e">
        <f>AND(#REF!,"AAAAAHXRua4=")</f>
        <v>#REF!</v>
      </c>
      <c r="FT556" t="e">
        <f>AND(#REF!,"AAAAAHXRua8=")</f>
        <v>#REF!</v>
      </c>
      <c r="FU556" t="e">
        <f>AND(#REF!,"AAAAAHXRubA=")</f>
        <v>#REF!</v>
      </c>
      <c r="FV556" t="e">
        <f>AND(#REF!,"AAAAAHXRubE=")</f>
        <v>#REF!</v>
      </c>
      <c r="FW556" t="e">
        <f>AND(#REF!,"AAAAAHXRubI=")</f>
        <v>#REF!</v>
      </c>
      <c r="FX556" t="e">
        <f>AND(#REF!,"AAAAAHXRubM=")</f>
        <v>#REF!</v>
      </c>
      <c r="FY556" t="e">
        <f>IF(#REF!,"AAAAAHXRubQ=",0)</f>
        <v>#REF!</v>
      </c>
      <c r="FZ556" t="e">
        <f>AND(#REF!,"AAAAAHXRubU=")</f>
        <v>#REF!</v>
      </c>
      <c r="GA556" t="e">
        <f>AND(#REF!,"AAAAAHXRubY=")</f>
        <v>#REF!</v>
      </c>
      <c r="GB556" t="e">
        <f>AND(#REF!,"AAAAAHXRubc=")</f>
        <v>#REF!</v>
      </c>
      <c r="GC556" t="e">
        <f>AND(#REF!,"AAAAAHXRubg=")</f>
        <v>#REF!</v>
      </c>
      <c r="GD556" t="e">
        <f>AND(#REF!,"AAAAAHXRubk=")</f>
        <v>#REF!</v>
      </c>
      <c r="GE556" t="e">
        <f>AND(#REF!,"AAAAAHXRubo=")</f>
        <v>#REF!</v>
      </c>
      <c r="GF556" t="e">
        <f>AND(#REF!,"AAAAAHXRubs=")</f>
        <v>#REF!</v>
      </c>
      <c r="GG556" t="e">
        <f>AND(#REF!,"AAAAAHXRubw=")</f>
        <v>#REF!</v>
      </c>
      <c r="GH556" t="e">
        <f>AND(#REF!,"AAAAAHXRub0=")</f>
        <v>#REF!</v>
      </c>
      <c r="GI556" t="e">
        <f>AND(#REF!,"AAAAAHXRub4=")</f>
        <v>#REF!</v>
      </c>
      <c r="GJ556" t="e">
        <f>AND(#REF!,"AAAAAHXRub8=")</f>
        <v>#REF!</v>
      </c>
      <c r="GK556" t="e">
        <f>AND(#REF!,"AAAAAHXRucA=")</f>
        <v>#REF!</v>
      </c>
      <c r="GL556" t="e">
        <f>AND(#REF!,"AAAAAHXRucE=")</f>
        <v>#REF!</v>
      </c>
      <c r="GM556" t="e">
        <f>AND(#REF!,"AAAAAHXRucI=")</f>
        <v>#REF!</v>
      </c>
      <c r="GN556" t="e">
        <f>AND(#REF!,"AAAAAHXRucM=")</f>
        <v>#REF!</v>
      </c>
      <c r="GO556" t="e">
        <f>AND(#REF!,"AAAAAHXRucQ=")</f>
        <v>#REF!</v>
      </c>
      <c r="GP556" t="e">
        <f>AND(#REF!,"AAAAAHXRucU=")</f>
        <v>#REF!</v>
      </c>
      <c r="GQ556" t="e">
        <f>AND(#REF!,"AAAAAHXRucY=")</f>
        <v>#REF!</v>
      </c>
      <c r="GR556" t="e">
        <f>AND(#REF!,"AAAAAHXRucc=")</f>
        <v>#REF!</v>
      </c>
      <c r="GS556" t="e">
        <f>AND(#REF!,"AAAAAHXRucg=")</f>
        <v>#REF!</v>
      </c>
      <c r="GT556" t="e">
        <f>AND(#REF!,"AAAAAHXRuck=")</f>
        <v>#REF!</v>
      </c>
      <c r="GU556" t="e">
        <f>AND(#REF!,"AAAAAHXRuco=")</f>
        <v>#REF!</v>
      </c>
      <c r="GV556" t="e">
        <f>AND(#REF!,"AAAAAHXRucs=")</f>
        <v>#REF!</v>
      </c>
      <c r="GW556" t="e">
        <f>AND(#REF!,"AAAAAHXRucw=")</f>
        <v>#REF!</v>
      </c>
      <c r="GX556" t="e">
        <f>IF(#REF!,"AAAAAHXRuc0=",0)</f>
        <v>#REF!</v>
      </c>
      <c r="GY556" t="e">
        <f>AND(#REF!,"AAAAAHXRuc4=")</f>
        <v>#REF!</v>
      </c>
      <c r="GZ556" t="e">
        <f>AND(#REF!,"AAAAAHXRuc8=")</f>
        <v>#REF!</v>
      </c>
      <c r="HA556" t="e">
        <f>AND(#REF!,"AAAAAHXRudA=")</f>
        <v>#REF!</v>
      </c>
      <c r="HB556" t="e">
        <f>AND(#REF!,"AAAAAHXRudE=")</f>
        <v>#REF!</v>
      </c>
      <c r="HC556" t="e">
        <f>AND(#REF!,"AAAAAHXRudI=")</f>
        <v>#REF!</v>
      </c>
      <c r="HD556" t="e">
        <f>AND(#REF!,"AAAAAHXRudM=")</f>
        <v>#REF!</v>
      </c>
      <c r="HE556" t="e">
        <f>AND(#REF!,"AAAAAHXRudQ=")</f>
        <v>#REF!</v>
      </c>
      <c r="HF556" t="e">
        <f>AND(#REF!,"AAAAAHXRudU=")</f>
        <v>#REF!</v>
      </c>
      <c r="HG556" t="e">
        <f>AND(#REF!,"AAAAAHXRudY=")</f>
        <v>#REF!</v>
      </c>
      <c r="HH556" t="e">
        <f>AND(#REF!,"AAAAAHXRudc=")</f>
        <v>#REF!</v>
      </c>
      <c r="HI556" t="e">
        <f>AND(#REF!,"AAAAAHXRudg=")</f>
        <v>#REF!</v>
      </c>
      <c r="HJ556" t="e">
        <f>AND(#REF!,"AAAAAHXRudk=")</f>
        <v>#REF!</v>
      </c>
      <c r="HK556" t="e">
        <f>AND(#REF!,"AAAAAHXRudo=")</f>
        <v>#REF!</v>
      </c>
      <c r="HL556" t="e">
        <f>AND(#REF!,"AAAAAHXRuds=")</f>
        <v>#REF!</v>
      </c>
      <c r="HM556" t="e">
        <f>AND(#REF!,"AAAAAHXRudw=")</f>
        <v>#REF!</v>
      </c>
      <c r="HN556" t="e">
        <f>AND(#REF!,"AAAAAHXRud0=")</f>
        <v>#REF!</v>
      </c>
      <c r="HO556" t="e">
        <f>AND(#REF!,"AAAAAHXRud4=")</f>
        <v>#REF!</v>
      </c>
      <c r="HP556" t="e">
        <f>AND(#REF!,"AAAAAHXRud8=")</f>
        <v>#REF!</v>
      </c>
      <c r="HQ556" t="e">
        <f>AND(#REF!,"AAAAAHXRueA=")</f>
        <v>#REF!</v>
      </c>
      <c r="HR556" t="e">
        <f>AND(#REF!,"AAAAAHXRueE=")</f>
        <v>#REF!</v>
      </c>
      <c r="HS556" t="e">
        <f>AND(#REF!,"AAAAAHXRueI=")</f>
        <v>#REF!</v>
      </c>
      <c r="HT556" t="e">
        <f>AND(#REF!,"AAAAAHXRueM=")</f>
        <v>#REF!</v>
      </c>
      <c r="HU556" t="e">
        <f>AND(#REF!,"AAAAAHXRueQ=")</f>
        <v>#REF!</v>
      </c>
      <c r="HV556" t="e">
        <f>AND(#REF!,"AAAAAHXRueU=")</f>
        <v>#REF!</v>
      </c>
      <c r="HW556" t="e">
        <f>IF(#REF!,"AAAAAHXRueY=",0)</f>
        <v>#REF!</v>
      </c>
      <c r="HX556" t="e">
        <f>AND(#REF!,"AAAAAHXRuec=")</f>
        <v>#REF!</v>
      </c>
      <c r="HY556" t="e">
        <f>AND(#REF!,"AAAAAHXRueg=")</f>
        <v>#REF!</v>
      </c>
      <c r="HZ556" t="e">
        <f>AND(#REF!,"AAAAAHXRuek=")</f>
        <v>#REF!</v>
      </c>
      <c r="IA556" t="e">
        <f>AND(#REF!,"AAAAAHXRueo=")</f>
        <v>#REF!</v>
      </c>
      <c r="IB556" t="e">
        <f>AND(#REF!,"AAAAAHXRues=")</f>
        <v>#REF!</v>
      </c>
      <c r="IC556" t="e">
        <f>AND(#REF!,"AAAAAHXRuew=")</f>
        <v>#REF!</v>
      </c>
      <c r="ID556" t="e">
        <f>AND(#REF!,"AAAAAHXRue0=")</f>
        <v>#REF!</v>
      </c>
      <c r="IE556" t="e">
        <f>AND(#REF!,"AAAAAHXRue4=")</f>
        <v>#REF!</v>
      </c>
      <c r="IF556" t="e">
        <f>AND(#REF!,"AAAAAHXRue8=")</f>
        <v>#REF!</v>
      </c>
      <c r="IG556" t="e">
        <f>AND(#REF!,"AAAAAHXRufA=")</f>
        <v>#REF!</v>
      </c>
      <c r="IH556" t="e">
        <f>AND(#REF!,"AAAAAHXRufE=")</f>
        <v>#REF!</v>
      </c>
      <c r="II556" t="e">
        <f>AND(#REF!,"AAAAAHXRufI=")</f>
        <v>#REF!</v>
      </c>
      <c r="IJ556" t="e">
        <f>AND(#REF!,"AAAAAHXRufM=")</f>
        <v>#REF!</v>
      </c>
      <c r="IK556" t="e">
        <f>AND(#REF!,"AAAAAHXRufQ=")</f>
        <v>#REF!</v>
      </c>
      <c r="IL556" t="e">
        <f>AND(#REF!,"AAAAAHXRufU=")</f>
        <v>#REF!</v>
      </c>
      <c r="IM556" t="e">
        <f>AND(#REF!,"AAAAAHXRufY=")</f>
        <v>#REF!</v>
      </c>
      <c r="IN556" t="e">
        <f>AND(#REF!,"AAAAAHXRufc=")</f>
        <v>#REF!</v>
      </c>
      <c r="IO556" t="e">
        <f>AND(#REF!,"AAAAAHXRufg=")</f>
        <v>#REF!</v>
      </c>
      <c r="IP556" t="e">
        <f>AND(#REF!,"AAAAAHXRufk=")</f>
        <v>#REF!</v>
      </c>
      <c r="IQ556" t="e">
        <f>AND(#REF!,"AAAAAHXRufo=")</f>
        <v>#REF!</v>
      </c>
      <c r="IR556" t="e">
        <f>AND(#REF!,"AAAAAHXRufs=")</f>
        <v>#REF!</v>
      </c>
      <c r="IS556" t="e">
        <f>AND(#REF!,"AAAAAHXRufw=")</f>
        <v>#REF!</v>
      </c>
      <c r="IT556" t="e">
        <f>AND(#REF!,"AAAAAHXRuf0=")</f>
        <v>#REF!</v>
      </c>
      <c r="IU556" t="e">
        <f>AND(#REF!,"AAAAAHXRuf4=")</f>
        <v>#REF!</v>
      </c>
      <c r="IV556" t="e">
        <f>IF(#REF!,"AAAAAHXRuf8=",0)</f>
        <v>#REF!</v>
      </c>
    </row>
    <row r="557" spans="1:256">
      <c r="A557" t="e">
        <f>AND(#REF!,"AAAAAH9jlwA=")</f>
        <v>#REF!</v>
      </c>
      <c r="B557" t="e">
        <f>AND(#REF!,"AAAAAH9jlwE=")</f>
        <v>#REF!</v>
      </c>
      <c r="C557" t="e">
        <f>AND(#REF!,"AAAAAH9jlwI=")</f>
        <v>#REF!</v>
      </c>
      <c r="D557" t="e">
        <f>AND(#REF!,"AAAAAH9jlwM=")</f>
        <v>#REF!</v>
      </c>
      <c r="E557" t="e">
        <f>AND(#REF!,"AAAAAH9jlwQ=")</f>
        <v>#REF!</v>
      </c>
      <c r="F557" t="e">
        <f>AND(#REF!,"AAAAAH9jlwU=")</f>
        <v>#REF!</v>
      </c>
      <c r="G557" t="e">
        <f>AND(#REF!,"AAAAAH9jlwY=")</f>
        <v>#REF!</v>
      </c>
      <c r="H557" t="e">
        <f>AND(#REF!,"AAAAAH9jlwc=")</f>
        <v>#REF!</v>
      </c>
      <c r="I557" t="e">
        <f>AND(#REF!,"AAAAAH9jlwg=")</f>
        <v>#REF!</v>
      </c>
      <c r="J557" t="e">
        <f>AND(#REF!,"AAAAAH9jlwk=")</f>
        <v>#REF!</v>
      </c>
      <c r="K557" t="e">
        <f>AND(#REF!,"AAAAAH9jlwo=")</f>
        <v>#REF!</v>
      </c>
      <c r="L557" t="e">
        <f>AND(#REF!,"AAAAAH9jlws=")</f>
        <v>#REF!</v>
      </c>
      <c r="M557" t="e">
        <f>AND(#REF!,"AAAAAH9jlww=")</f>
        <v>#REF!</v>
      </c>
      <c r="N557" t="e">
        <f>AND(#REF!,"AAAAAH9jlw0=")</f>
        <v>#REF!</v>
      </c>
      <c r="O557" t="e">
        <f>AND(#REF!,"AAAAAH9jlw4=")</f>
        <v>#REF!</v>
      </c>
      <c r="P557" t="e">
        <f>AND(#REF!,"AAAAAH9jlw8=")</f>
        <v>#REF!</v>
      </c>
      <c r="Q557" t="e">
        <f>AND(#REF!,"AAAAAH9jlxA=")</f>
        <v>#REF!</v>
      </c>
      <c r="R557" t="e">
        <f>AND(#REF!,"AAAAAH9jlxE=")</f>
        <v>#REF!</v>
      </c>
      <c r="S557" t="e">
        <f>AND(#REF!,"AAAAAH9jlxI=")</f>
        <v>#REF!</v>
      </c>
      <c r="T557" t="e">
        <f>AND(#REF!,"AAAAAH9jlxM=")</f>
        <v>#REF!</v>
      </c>
      <c r="U557" t="e">
        <f>AND(#REF!,"AAAAAH9jlxQ=")</f>
        <v>#REF!</v>
      </c>
      <c r="V557" t="e">
        <f>AND(#REF!,"AAAAAH9jlxU=")</f>
        <v>#REF!</v>
      </c>
      <c r="W557" t="e">
        <f>AND(#REF!,"AAAAAH9jlxY=")</f>
        <v>#REF!</v>
      </c>
      <c r="X557" t="e">
        <f>AND(#REF!,"AAAAAH9jlxc=")</f>
        <v>#REF!</v>
      </c>
      <c r="Y557" t="e">
        <f>IF(#REF!,"AAAAAH9jlxg=",0)</f>
        <v>#REF!</v>
      </c>
      <c r="Z557" t="e">
        <f>AND(#REF!,"AAAAAH9jlxk=")</f>
        <v>#REF!</v>
      </c>
      <c r="AA557" t="e">
        <f>AND(#REF!,"AAAAAH9jlxo=")</f>
        <v>#REF!</v>
      </c>
      <c r="AB557" t="e">
        <f>AND(#REF!,"AAAAAH9jlxs=")</f>
        <v>#REF!</v>
      </c>
      <c r="AC557" t="e">
        <f>AND(#REF!,"AAAAAH9jlxw=")</f>
        <v>#REF!</v>
      </c>
      <c r="AD557" t="e">
        <f>AND(#REF!,"AAAAAH9jlx0=")</f>
        <v>#REF!</v>
      </c>
      <c r="AE557" t="e">
        <f>AND(#REF!,"AAAAAH9jlx4=")</f>
        <v>#REF!</v>
      </c>
      <c r="AF557" t="e">
        <f>AND(#REF!,"AAAAAH9jlx8=")</f>
        <v>#REF!</v>
      </c>
      <c r="AG557" t="e">
        <f>AND(#REF!,"AAAAAH9jlyA=")</f>
        <v>#REF!</v>
      </c>
      <c r="AH557" t="e">
        <f>AND(#REF!,"AAAAAH9jlyE=")</f>
        <v>#REF!</v>
      </c>
      <c r="AI557" t="e">
        <f>AND(#REF!,"AAAAAH9jlyI=")</f>
        <v>#REF!</v>
      </c>
      <c r="AJ557" t="e">
        <f>AND(#REF!,"AAAAAH9jlyM=")</f>
        <v>#REF!</v>
      </c>
      <c r="AK557" t="e">
        <f>AND(#REF!,"AAAAAH9jlyQ=")</f>
        <v>#REF!</v>
      </c>
      <c r="AL557" t="e">
        <f>AND(#REF!,"AAAAAH9jlyU=")</f>
        <v>#REF!</v>
      </c>
      <c r="AM557" t="e">
        <f>AND(#REF!,"AAAAAH9jlyY=")</f>
        <v>#REF!</v>
      </c>
      <c r="AN557" t="e">
        <f>AND(#REF!,"AAAAAH9jlyc=")</f>
        <v>#REF!</v>
      </c>
      <c r="AO557" t="e">
        <f>AND(#REF!,"AAAAAH9jlyg=")</f>
        <v>#REF!</v>
      </c>
      <c r="AP557" t="e">
        <f>AND(#REF!,"AAAAAH9jlyk=")</f>
        <v>#REF!</v>
      </c>
      <c r="AQ557" t="e">
        <f>AND(#REF!,"AAAAAH9jlyo=")</f>
        <v>#REF!</v>
      </c>
      <c r="AR557" t="e">
        <f>AND(#REF!,"AAAAAH9jlys=")</f>
        <v>#REF!</v>
      </c>
      <c r="AS557" t="e">
        <f>AND(#REF!,"AAAAAH9jlyw=")</f>
        <v>#REF!</v>
      </c>
      <c r="AT557" t="e">
        <f>AND(#REF!,"AAAAAH9jly0=")</f>
        <v>#REF!</v>
      </c>
      <c r="AU557" t="e">
        <f>AND(#REF!,"AAAAAH9jly4=")</f>
        <v>#REF!</v>
      </c>
      <c r="AV557" t="e">
        <f>AND(#REF!,"AAAAAH9jly8=")</f>
        <v>#REF!</v>
      </c>
      <c r="AW557" t="e">
        <f>AND(#REF!,"AAAAAH9jlzA=")</f>
        <v>#REF!</v>
      </c>
      <c r="AX557" t="e">
        <f>IF(#REF!,"AAAAAH9jlzE=",0)</f>
        <v>#REF!</v>
      </c>
      <c r="AY557" t="e">
        <f>AND(#REF!,"AAAAAH9jlzI=")</f>
        <v>#REF!</v>
      </c>
      <c r="AZ557" t="e">
        <f>AND(#REF!,"AAAAAH9jlzM=")</f>
        <v>#REF!</v>
      </c>
      <c r="BA557" t="e">
        <f>AND(#REF!,"AAAAAH9jlzQ=")</f>
        <v>#REF!</v>
      </c>
      <c r="BB557" t="e">
        <f>AND(#REF!,"AAAAAH9jlzU=")</f>
        <v>#REF!</v>
      </c>
      <c r="BC557" t="e">
        <f>AND(#REF!,"AAAAAH9jlzY=")</f>
        <v>#REF!</v>
      </c>
      <c r="BD557" t="e">
        <f>AND(#REF!,"AAAAAH9jlzc=")</f>
        <v>#REF!</v>
      </c>
      <c r="BE557" t="e">
        <f>AND(#REF!,"AAAAAH9jlzg=")</f>
        <v>#REF!</v>
      </c>
      <c r="BF557" t="e">
        <f>AND(#REF!,"AAAAAH9jlzk=")</f>
        <v>#REF!</v>
      </c>
      <c r="BG557" t="e">
        <f>AND(#REF!,"AAAAAH9jlzo=")</f>
        <v>#REF!</v>
      </c>
      <c r="BH557" t="e">
        <f>AND(#REF!,"AAAAAH9jlzs=")</f>
        <v>#REF!</v>
      </c>
      <c r="BI557" t="e">
        <f>AND(#REF!,"AAAAAH9jlzw=")</f>
        <v>#REF!</v>
      </c>
      <c r="BJ557" t="e">
        <f>AND(#REF!,"AAAAAH9jlz0=")</f>
        <v>#REF!</v>
      </c>
      <c r="BK557" t="e">
        <f>AND(#REF!,"AAAAAH9jlz4=")</f>
        <v>#REF!</v>
      </c>
      <c r="BL557" t="e">
        <f>AND(#REF!,"AAAAAH9jlz8=")</f>
        <v>#REF!</v>
      </c>
      <c r="BM557" t="e">
        <f>AND(#REF!,"AAAAAH9jl0A=")</f>
        <v>#REF!</v>
      </c>
      <c r="BN557" t="e">
        <f>AND(#REF!,"AAAAAH9jl0E=")</f>
        <v>#REF!</v>
      </c>
      <c r="BO557" t="e">
        <f>AND(#REF!,"AAAAAH9jl0I=")</f>
        <v>#REF!</v>
      </c>
      <c r="BP557" t="e">
        <f>AND(#REF!,"AAAAAH9jl0M=")</f>
        <v>#REF!</v>
      </c>
      <c r="BQ557" t="e">
        <f>AND(#REF!,"AAAAAH9jl0Q=")</f>
        <v>#REF!</v>
      </c>
      <c r="BR557" t="e">
        <f>AND(#REF!,"AAAAAH9jl0U=")</f>
        <v>#REF!</v>
      </c>
      <c r="BS557" t="e">
        <f>AND(#REF!,"AAAAAH9jl0Y=")</f>
        <v>#REF!</v>
      </c>
      <c r="BT557" t="e">
        <f>AND(#REF!,"AAAAAH9jl0c=")</f>
        <v>#REF!</v>
      </c>
      <c r="BU557" t="e">
        <f>AND(#REF!,"AAAAAH9jl0g=")</f>
        <v>#REF!</v>
      </c>
      <c r="BV557" t="e">
        <f>AND(#REF!,"AAAAAH9jl0k=")</f>
        <v>#REF!</v>
      </c>
      <c r="BW557" t="e">
        <f>IF(#REF!,"AAAAAH9jl0o=",0)</f>
        <v>#REF!</v>
      </c>
      <c r="BX557" t="e">
        <f>AND(#REF!,"AAAAAH9jl0s=")</f>
        <v>#REF!</v>
      </c>
      <c r="BY557" t="e">
        <f>AND(#REF!,"AAAAAH9jl0w=")</f>
        <v>#REF!</v>
      </c>
      <c r="BZ557" t="e">
        <f>AND(#REF!,"AAAAAH9jl00=")</f>
        <v>#REF!</v>
      </c>
      <c r="CA557" t="e">
        <f>AND(#REF!,"AAAAAH9jl04=")</f>
        <v>#REF!</v>
      </c>
      <c r="CB557" t="e">
        <f>AND(#REF!,"AAAAAH9jl08=")</f>
        <v>#REF!</v>
      </c>
      <c r="CC557" t="e">
        <f>AND(#REF!,"AAAAAH9jl1A=")</f>
        <v>#REF!</v>
      </c>
      <c r="CD557" t="e">
        <f>AND(#REF!,"AAAAAH9jl1E=")</f>
        <v>#REF!</v>
      </c>
      <c r="CE557" t="e">
        <f>AND(#REF!,"AAAAAH9jl1I=")</f>
        <v>#REF!</v>
      </c>
      <c r="CF557" t="e">
        <f>AND(#REF!,"AAAAAH9jl1M=")</f>
        <v>#REF!</v>
      </c>
      <c r="CG557" t="e">
        <f>AND(#REF!,"AAAAAH9jl1Q=")</f>
        <v>#REF!</v>
      </c>
      <c r="CH557" t="e">
        <f>AND(#REF!,"AAAAAH9jl1U=")</f>
        <v>#REF!</v>
      </c>
      <c r="CI557" t="e">
        <f>AND(#REF!,"AAAAAH9jl1Y=")</f>
        <v>#REF!</v>
      </c>
      <c r="CJ557" t="e">
        <f>AND(#REF!,"AAAAAH9jl1c=")</f>
        <v>#REF!</v>
      </c>
      <c r="CK557" t="e">
        <f>AND(#REF!,"AAAAAH9jl1g=")</f>
        <v>#REF!</v>
      </c>
      <c r="CL557" t="e">
        <f>AND(#REF!,"AAAAAH9jl1k=")</f>
        <v>#REF!</v>
      </c>
      <c r="CM557" t="e">
        <f>AND(#REF!,"AAAAAH9jl1o=")</f>
        <v>#REF!</v>
      </c>
      <c r="CN557" t="e">
        <f>AND(#REF!,"AAAAAH9jl1s=")</f>
        <v>#REF!</v>
      </c>
      <c r="CO557" t="e">
        <f>AND(#REF!,"AAAAAH9jl1w=")</f>
        <v>#REF!</v>
      </c>
      <c r="CP557" t="e">
        <f>AND(#REF!,"AAAAAH9jl10=")</f>
        <v>#REF!</v>
      </c>
      <c r="CQ557" t="e">
        <f>AND(#REF!,"AAAAAH9jl14=")</f>
        <v>#REF!</v>
      </c>
      <c r="CR557" t="e">
        <f>AND(#REF!,"AAAAAH9jl18=")</f>
        <v>#REF!</v>
      </c>
      <c r="CS557" t="e">
        <f>AND(#REF!,"AAAAAH9jl2A=")</f>
        <v>#REF!</v>
      </c>
      <c r="CT557" t="e">
        <f>AND(#REF!,"AAAAAH9jl2E=")</f>
        <v>#REF!</v>
      </c>
      <c r="CU557" t="e">
        <f>AND(#REF!,"AAAAAH9jl2I=")</f>
        <v>#REF!</v>
      </c>
      <c r="CV557" t="e">
        <f>IF(#REF!,"AAAAAH9jl2M=",0)</f>
        <v>#REF!</v>
      </c>
      <c r="CW557" t="e">
        <f>AND(#REF!,"AAAAAH9jl2Q=")</f>
        <v>#REF!</v>
      </c>
      <c r="CX557" t="e">
        <f>AND(#REF!,"AAAAAH9jl2U=")</f>
        <v>#REF!</v>
      </c>
      <c r="CY557" t="e">
        <f>AND(#REF!,"AAAAAH9jl2Y=")</f>
        <v>#REF!</v>
      </c>
      <c r="CZ557" t="e">
        <f>AND(#REF!,"AAAAAH9jl2c=")</f>
        <v>#REF!</v>
      </c>
      <c r="DA557" t="e">
        <f>AND(#REF!,"AAAAAH9jl2g=")</f>
        <v>#REF!</v>
      </c>
      <c r="DB557" t="e">
        <f>AND(#REF!,"AAAAAH9jl2k=")</f>
        <v>#REF!</v>
      </c>
      <c r="DC557" t="e">
        <f>AND(#REF!,"AAAAAH9jl2o=")</f>
        <v>#REF!</v>
      </c>
      <c r="DD557" t="e">
        <f>AND(#REF!,"AAAAAH9jl2s=")</f>
        <v>#REF!</v>
      </c>
      <c r="DE557" t="e">
        <f>AND(#REF!,"AAAAAH9jl2w=")</f>
        <v>#REF!</v>
      </c>
      <c r="DF557" t="e">
        <f>AND(#REF!,"AAAAAH9jl20=")</f>
        <v>#REF!</v>
      </c>
      <c r="DG557" t="e">
        <f>AND(#REF!,"AAAAAH9jl24=")</f>
        <v>#REF!</v>
      </c>
      <c r="DH557" t="e">
        <f>AND(#REF!,"AAAAAH9jl28=")</f>
        <v>#REF!</v>
      </c>
      <c r="DI557" t="e">
        <f>AND(#REF!,"AAAAAH9jl3A=")</f>
        <v>#REF!</v>
      </c>
      <c r="DJ557" t="e">
        <f>AND(#REF!,"AAAAAH9jl3E=")</f>
        <v>#REF!</v>
      </c>
      <c r="DK557" t="e">
        <f>AND(#REF!,"AAAAAH9jl3I=")</f>
        <v>#REF!</v>
      </c>
      <c r="DL557" t="e">
        <f>AND(#REF!,"AAAAAH9jl3M=")</f>
        <v>#REF!</v>
      </c>
      <c r="DM557" t="e">
        <f>AND(#REF!,"AAAAAH9jl3Q=")</f>
        <v>#REF!</v>
      </c>
      <c r="DN557" t="e">
        <f>AND(#REF!,"AAAAAH9jl3U=")</f>
        <v>#REF!</v>
      </c>
      <c r="DO557" t="e">
        <f>AND(#REF!,"AAAAAH9jl3Y=")</f>
        <v>#REF!</v>
      </c>
      <c r="DP557" t="e">
        <f>AND(#REF!,"AAAAAH9jl3c=")</f>
        <v>#REF!</v>
      </c>
      <c r="DQ557" t="e">
        <f>AND(#REF!,"AAAAAH9jl3g=")</f>
        <v>#REF!</v>
      </c>
      <c r="DR557" t="e">
        <f>AND(#REF!,"AAAAAH9jl3k=")</f>
        <v>#REF!</v>
      </c>
      <c r="DS557" t="e">
        <f>AND(#REF!,"AAAAAH9jl3o=")</f>
        <v>#REF!</v>
      </c>
      <c r="DT557" t="e">
        <f>AND(#REF!,"AAAAAH9jl3s=")</f>
        <v>#REF!</v>
      </c>
      <c r="DU557" t="e">
        <f>IF(#REF!,"AAAAAH9jl3w=",0)</f>
        <v>#REF!</v>
      </c>
      <c r="DV557" t="e">
        <f>AND(#REF!,"AAAAAH9jl30=")</f>
        <v>#REF!</v>
      </c>
      <c r="DW557" t="e">
        <f>AND(#REF!,"AAAAAH9jl34=")</f>
        <v>#REF!</v>
      </c>
      <c r="DX557" t="e">
        <f>AND(#REF!,"AAAAAH9jl38=")</f>
        <v>#REF!</v>
      </c>
      <c r="DY557" t="e">
        <f>AND(#REF!,"AAAAAH9jl4A=")</f>
        <v>#REF!</v>
      </c>
      <c r="DZ557" t="e">
        <f>AND(#REF!,"AAAAAH9jl4E=")</f>
        <v>#REF!</v>
      </c>
      <c r="EA557" t="e">
        <f>AND(#REF!,"AAAAAH9jl4I=")</f>
        <v>#REF!</v>
      </c>
      <c r="EB557" t="e">
        <f>AND(#REF!,"AAAAAH9jl4M=")</f>
        <v>#REF!</v>
      </c>
      <c r="EC557" t="e">
        <f>AND(#REF!,"AAAAAH9jl4Q=")</f>
        <v>#REF!</v>
      </c>
      <c r="ED557" t="e">
        <f>AND(#REF!,"AAAAAH9jl4U=")</f>
        <v>#REF!</v>
      </c>
      <c r="EE557" t="e">
        <f>AND(#REF!,"AAAAAH9jl4Y=")</f>
        <v>#REF!</v>
      </c>
      <c r="EF557" t="e">
        <f>AND(#REF!,"AAAAAH9jl4c=")</f>
        <v>#REF!</v>
      </c>
      <c r="EG557" t="e">
        <f>AND(#REF!,"AAAAAH9jl4g=")</f>
        <v>#REF!</v>
      </c>
      <c r="EH557" t="e">
        <f>AND(#REF!,"AAAAAH9jl4k=")</f>
        <v>#REF!</v>
      </c>
      <c r="EI557" t="e">
        <f>AND(#REF!,"AAAAAH9jl4o=")</f>
        <v>#REF!</v>
      </c>
      <c r="EJ557" t="e">
        <f>AND(#REF!,"AAAAAH9jl4s=")</f>
        <v>#REF!</v>
      </c>
      <c r="EK557" t="e">
        <f>AND(#REF!,"AAAAAH9jl4w=")</f>
        <v>#REF!</v>
      </c>
      <c r="EL557" t="e">
        <f>AND(#REF!,"AAAAAH9jl40=")</f>
        <v>#REF!</v>
      </c>
      <c r="EM557" t="e">
        <f>AND(#REF!,"AAAAAH9jl44=")</f>
        <v>#REF!</v>
      </c>
      <c r="EN557" t="e">
        <f>AND(#REF!,"AAAAAH9jl48=")</f>
        <v>#REF!</v>
      </c>
      <c r="EO557" t="e">
        <f>AND(#REF!,"AAAAAH9jl5A=")</f>
        <v>#REF!</v>
      </c>
      <c r="EP557" t="e">
        <f>AND(#REF!,"AAAAAH9jl5E=")</f>
        <v>#REF!</v>
      </c>
      <c r="EQ557" t="e">
        <f>AND(#REF!,"AAAAAH9jl5I=")</f>
        <v>#REF!</v>
      </c>
      <c r="ER557" t="e">
        <f>AND(#REF!,"AAAAAH9jl5M=")</f>
        <v>#REF!</v>
      </c>
      <c r="ES557" t="e">
        <f>AND(#REF!,"AAAAAH9jl5Q=")</f>
        <v>#REF!</v>
      </c>
      <c r="ET557" t="e">
        <f>IF(#REF!,"AAAAAH9jl5U=",0)</f>
        <v>#REF!</v>
      </c>
      <c r="EU557" t="e">
        <f>AND(#REF!,"AAAAAH9jl5Y=")</f>
        <v>#REF!</v>
      </c>
      <c r="EV557" t="e">
        <f>AND(#REF!,"AAAAAH9jl5c=")</f>
        <v>#REF!</v>
      </c>
      <c r="EW557" t="e">
        <f>AND(#REF!,"AAAAAH9jl5g=")</f>
        <v>#REF!</v>
      </c>
      <c r="EX557" t="e">
        <f>AND(#REF!,"AAAAAH9jl5k=")</f>
        <v>#REF!</v>
      </c>
      <c r="EY557" t="e">
        <f>AND(#REF!,"AAAAAH9jl5o=")</f>
        <v>#REF!</v>
      </c>
      <c r="EZ557" t="e">
        <f>AND(#REF!,"AAAAAH9jl5s=")</f>
        <v>#REF!</v>
      </c>
      <c r="FA557" t="e">
        <f>AND(#REF!,"AAAAAH9jl5w=")</f>
        <v>#REF!</v>
      </c>
      <c r="FB557" t="e">
        <f>AND(#REF!,"AAAAAH9jl50=")</f>
        <v>#REF!</v>
      </c>
      <c r="FC557" t="e">
        <f>AND(#REF!,"AAAAAH9jl54=")</f>
        <v>#REF!</v>
      </c>
      <c r="FD557" t="e">
        <f>AND(#REF!,"AAAAAH9jl58=")</f>
        <v>#REF!</v>
      </c>
      <c r="FE557" t="e">
        <f>AND(#REF!,"AAAAAH9jl6A=")</f>
        <v>#REF!</v>
      </c>
      <c r="FF557" t="e">
        <f>AND(#REF!,"AAAAAH9jl6E=")</f>
        <v>#REF!</v>
      </c>
      <c r="FG557" t="e">
        <f>AND(#REF!,"AAAAAH9jl6I=")</f>
        <v>#REF!</v>
      </c>
      <c r="FH557" t="e">
        <f>AND(#REF!,"AAAAAH9jl6M=")</f>
        <v>#REF!</v>
      </c>
      <c r="FI557" t="e">
        <f>AND(#REF!,"AAAAAH9jl6Q=")</f>
        <v>#REF!</v>
      </c>
      <c r="FJ557" t="e">
        <f>AND(#REF!,"AAAAAH9jl6U=")</f>
        <v>#REF!</v>
      </c>
      <c r="FK557" t="e">
        <f>AND(#REF!,"AAAAAH9jl6Y=")</f>
        <v>#REF!</v>
      </c>
      <c r="FL557" t="e">
        <f>AND(#REF!,"AAAAAH9jl6c=")</f>
        <v>#REF!</v>
      </c>
      <c r="FM557" t="e">
        <f>AND(#REF!,"AAAAAH9jl6g=")</f>
        <v>#REF!</v>
      </c>
      <c r="FN557" t="e">
        <f>AND(#REF!,"AAAAAH9jl6k=")</f>
        <v>#REF!</v>
      </c>
      <c r="FO557" t="e">
        <f>AND(#REF!,"AAAAAH9jl6o=")</f>
        <v>#REF!</v>
      </c>
      <c r="FP557" t="e">
        <f>AND(#REF!,"AAAAAH9jl6s=")</f>
        <v>#REF!</v>
      </c>
      <c r="FQ557" t="e">
        <f>AND(#REF!,"AAAAAH9jl6w=")</f>
        <v>#REF!</v>
      </c>
      <c r="FR557" t="e">
        <f>AND(#REF!,"AAAAAH9jl60=")</f>
        <v>#REF!</v>
      </c>
      <c r="FS557" t="e">
        <f>IF(#REF!,"AAAAAH9jl64=",0)</f>
        <v>#REF!</v>
      </c>
      <c r="FT557" t="e">
        <f>AND(#REF!,"AAAAAH9jl68=")</f>
        <v>#REF!</v>
      </c>
      <c r="FU557" t="e">
        <f>AND(#REF!,"AAAAAH9jl7A=")</f>
        <v>#REF!</v>
      </c>
      <c r="FV557" t="e">
        <f>AND(#REF!,"AAAAAH9jl7E=")</f>
        <v>#REF!</v>
      </c>
      <c r="FW557" t="e">
        <f>AND(#REF!,"AAAAAH9jl7I=")</f>
        <v>#REF!</v>
      </c>
      <c r="FX557" t="e">
        <f>AND(#REF!,"AAAAAH9jl7M=")</f>
        <v>#REF!</v>
      </c>
      <c r="FY557" t="e">
        <f>AND(#REF!,"AAAAAH9jl7Q=")</f>
        <v>#REF!</v>
      </c>
      <c r="FZ557" t="e">
        <f>AND(#REF!,"AAAAAH9jl7U=")</f>
        <v>#REF!</v>
      </c>
      <c r="GA557" t="e">
        <f>AND(#REF!,"AAAAAH9jl7Y=")</f>
        <v>#REF!</v>
      </c>
      <c r="GB557" t="e">
        <f>AND(#REF!,"AAAAAH9jl7c=")</f>
        <v>#REF!</v>
      </c>
      <c r="GC557" t="e">
        <f>AND(#REF!,"AAAAAH9jl7g=")</f>
        <v>#REF!</v>
      </c>
      <c r="GD557" t="e">
        <f>AND(#REF!,"AAAAAH9jl7k=")</f>
        <v>#REF!</v>
      </c>
      <c r="GE557" t="e">
        <f>AND(#REF!,"AAAAAH9jl7o=")</f>
        <v>#REF!</v>
      </c>
      <c r="GF557" t="e">
        <f>AND(#REF!,"AAAAAH9jl7s=")</f>
        <v>#REF!</v>
      </c>
      <c r="GG557" t="e">
        <f>AND(#REF!,"AAAAAH9jl7w=")</f>
        <v>#REF!</v>
      </c>
      <c r="GH557" t="e">
        <f>AND(#REF!,"AAAAAH9jl70=")</f>
        <v>#REF!</v>
      </c>
      <c r="GI557" t="e">
        <f>AND(#REF!,"AAAAAH9jl74=")</f>
        <v>#REF!</v>
      </c>
      <c r="GJ557" t="e">
        <f>AND(#REF!,"AAAAAH9jl78=")</f>
        <v>#REF!</v>
      </c>
      <c r="GK557" t="e">
        <f>AND(#REF!,"AAAAAH9jl8A=")</f>
        <v>#REF!</v>
      </c>
      <c r="GL557" t="e">
        <f>AND(#REF!,"AAAAAH9jl8E=")</f>
        <v>#REF!</v>
      </c>
      <c r="GM557" t="e">
        <f>AND(#REF!,"AAAAAH9jl8I=")</f>
        <v>#REF!</v>
      </c>
      <c r="GN557" t="e">
        <f>AND(#REF!,"AAAAAH9jl8M=")</f>
        <v>#REF!</v>
      </c>
      <c r="GO557" t="e">
        <f>AND(#REF!,"AAAAAH9jl8Q=")</f>
        <v>#REF!</v>
      </c>
      <c r="GP557" t="e">
        <f>AND(#REF!,"AAAAAH9jl8U=")</f>
        <v>#REF!</v>
      </c>
      <c r="GQ557" t="e">
        <f>AND(#REF!,"AAAAAH9jl8Y=")</f>
        <v>#REF!</v>
      </c>
      <c r="GR557" t="e">
        <f>IF(#REF!,"AAAAAH9jl8c=",0)</f>
        <v>#REF!</v>
      </c>
      <c r="GS557" t="e">
        <f>AND(#REF!,"AAAAAH9jl8g=")</f>
        <v>#REF!</v>
      </c>
      <c r="GT557" t="e">
        <f>AND(#REF!,"AAAAAH9jl8k=")</f>
        <v>#REF!</v>
      </c>
      <c r="GU557" t="e">
        <f>AND(#REF!,"AAAAAH9jl8o=")</f>
        <v>#REF!</v>
      </c>
      <c r="GV557" t="e">
        <f>AND(#REF!,"AAAAAH9jl8s=")</f>
        <v>#REF!</v>
      </c>
      <c r="GW557" t="e">
        <f>AND(#REF!,"AAAAAH9jl8w=")</f>
        <v>#REF!</v>
      </c>
      <c r="GX557" t="e">
        <f>AND(#REF!,"AAAAAH9jl80=")</f>
        <v>#REF!</v>
      </c>
      <c r="GY557" t="e">
        <f>AND(#REF!,"AAAAAH9jl84=")</f>
        <v>#REF!</v>
      </c>
      <c r="GZ557" t="e">
        <f>AND(#REF!,"AAAAAH9jl88=")</f>
        <v>#REF!</v>
      </c>
      <c r="HA557" t="e">
        <f>AND(#REF!,"AAAAAH9jl9A=")</f>
        <v>#REF!</v>
      </c>
      <c r="HB557" t="e">
        <f>AND(#REF!,"AAAAAH9jl9E=")</f>
        <v>#REF!</v>
      </c>
      <c r="HC557" t="e">
        <f>AND(#REF!,"AAAAAH9jl9I=")</f>
        <v>#REF!</v>
      </c>
      <c r="HD557" t="e">
        <f>AND(#REF!,"AAAAAH9jl9M=")</f>
        <v>#REF!</v>
      </c>
      <c r="HE557" t="e">
        <f>AND(#REF!,"AAAAAH9jl9Q=")</f>
        <v>#REF!</v>
      </c>
      <c r="HF557" t="e">
        <f>AND(#REF!,"AAAAAH9jl9U=")</f>
        <v>#REF!</v>
      </c>
      <c r="HG557" t="e">
        <f>AND(#REF!,"AAAAAH9jl9Y=")</f>
        <v>#REF!</v>
      </c>
      <c r="HH557" t="e">
        <f>AND(#REF!,"AAAAAH9jl9c=")</f>
        <v>#REF!</v>
      </c>
      <c r="HI557" t="e">
        <f>AND(#REF!,"AAAAAH9jl9g=")</f>
        <v>#REF!</v>
      </c>
      <c r="HJ557" t="e">
        <f>AND(#REF!,"AAAAAH9jl9k=")</f>
        <v>#REF!</v>
      </c>
      <c r="HK557" t="e">
        <f>AND(#REF!,"AAAAAH9jl9o=")</f>
        <v>#REF!</v>
      </c>
      <c r="HL557" t="e">
        <f>AND(#REF!,"AAAAAH9jl9s=")</f>
        <v>#REF!</v>
      </c>
      <c r="HM557" t="e">
        <f>AND(#REF!,"AAAAAH9jl9w=")</f>
        <v>#REF!</v>
      </c>
      <c r="HN557" t="e">
        <f>AND(#REF!,"AAAAAH9jl90=")</f>
        <v>#REF!</v>
      </c>
      <c r="HO557" t="e">
        <f>AND(#REF!,"AAAAAH9jl94=")</f>
        <v>#REF!</v>
      </c>
      <c r="HP557" t="e">
        <f>AND(#REF!,"AAAAAH9jl98=")</f>
        <v>#REF!</v>
      </c>
      <c r="HQ557" t="e">
        <f>IF(#REF!,"AAAAAH9jl+A=",0)</f>
        <v>#REF!</v>
      </c>
      <c r="HR557" t="e">
        <f>AND(#REF!,"AAAAAH9jl+E=")</f>
        <v>#REF!</v>
      </c>
      <c r="HS557" t="e">
        <f>AND(#REF!,"AAAAAH9jl+I=")</f>
        <v>#REF!</v>
      </c>
      <c r="HT557" t="e">
        <f>AND(#REF!,"AAAAAH9jl+M=")</f>
        <v>#REF!</v>
      </c>
      <c r="HU557" t="e">
        <f>AND(#REF!,"AAAAAH9jl+Q=")</f>
        <v>#REF!</v>
      </c>
      <c r="HV557" t="e">
        <f>AND(#REF!,"AAAAAH9jl+U=")</f>
        <v>#REF!</v>
      </c>
      <c r="HW557" t="e">
        <f>AND(#REF!,"AAAAAH9jl+Y=")</f>
        <v>#REF!</v>
      </c>
      <c r="HX557" t="e">
        <f>AND(#REF!,"AAAAAH9jl+c=")</f>
        <v>#REF!</v>
      </c>
      <c r="HY557" t="e">
        <f>AND(#REF!,"AAAAAH9jl+g=")</f>
        <v>#REF!</v>
      </c>
      <c r="HZ557" t="e">
        <f>AND(#REF!,"AAAAAH9jl+k=")</f>
        <v>#REF!</v>
      </c>
      <c r="IA557" t="e">
        <f>AND(#REF!,"AAAAAH9jl+o=")</f>
        <v>#REF!</v>
      </c>
      <c r="IB557" t="e">
        <f>AND(#REF!,"AAAAAH9jl+s=")</f>
        <v>#REF!</v>
      </c>
      <c r="IC557" t="e">
        <f>AND(#REF!,"AAAAAH9jl+w=")</f>
        <v>#REF!</v>
      </c>
      <c r="ID557" t="e">
        <f>AND(#REF!,"AAAAAH9jl+0=")</f>
        <v>#REF!</v>
      </c>
      <c r="IE557" t="e">
        <f>AND(#REF!,"AAAAAH9jl+4=")</f>
        <v>#REF!</v>
      </c>
      <c r="IF557" t="e">
        <f>AND(#REF!,"AAAAAH9jl+8=")</f>
        <v>#REF!</v>
      </c>
      <c r="IG557" t="e">
        <f>AND(#REF!,"AAAAAH9jl/A=")</f>
        <v>#REF!</v>
      </c>
      <c r="IH557" t="e">
        <f>AND(#REF!,"AAAAAH9jl/E=")</f>
        <v>#REF!</v>
      </c>
      <c r="II557" t="e">
        <f>AND(#REF!,"AAAAAH9jl/I=")</f>
        <v>#REF!</v>
      </c>
      <c r="IJ557" t="e">
        <f>AND(#REF!,"AAAAAH9jl/M=")</f>
        <v>#REF!</v>
      </c>
      <c r="IK557" t="e">
        <f>AND(#REF!,"AAAAAH9jl/Q=")</f>
        <v>#REF!</v>
      </c>
      <c r="IL557" t="e">
        <f>AND(#REF!,"AAAAAH9jl/U=")</f>
        <v>#REF!</v>
      </c>
      <c r="IM557" t="e">
        <f>AND(#REF!,"AAAAAH9jl/Y=")</f>
        <v>#REF!</v>
      </c>
      <c r="IN557" t="e">
        <f>AND(#REF!,"AAAAAH9jl/c=")</f>
        <v>#REF!</v>
      </c>
      <c r="IO557" t="e">
        <f>AND(#REF!,"AAAAAH9jl/g=")</f>
        <v>#REF!</v>
      </c>
      <c r="IP557" t="e">
        <f>IF(#REF!,"AAAAAH9jl/k=",0)</f>
        <v>#REF!</v>
      </c>
      <c r="IQ557" t="e">
        <f>AND(#REF!,"AAAAAH9jl/o=")</f>
        <v>#REF!</v>
      </c>
      <c r="IR557" t="e">
        <f>AND(#REF!,"AAAAAH9jl/s=")</f>
        <v>#REF!</v>
      </c>
      <c r="IS557" t="e">
        <f>AND(#REF!,"AAAAAH9jl/w=")</f>
        <v>#REF!</v>
      </c>
      <c r="IT557" t="e">
        <f>AND(#REF!,"AAAAAH9jl/0=")</f>
        <v>#REF!</v>
      </c>
      <c r="IU557" t="e">
        <f>AND(#REF!,"AAAAAH9jl/4=")</f>
        <v>#REF!</v>
      </c>
      <c r="IV557" t="e">
        <f>AND(#REF!,"AAAAAH9jl/8=")</f>
        <v>#REF!</v>
      </c>
    </row>
    <row r="558" spans="1:256">
      <c r="A558" t="e">
        <f>AND(#REF!,"AAAAAEb33gA=")</f>
        <v>#REF!</v>
      </c>
      <c r="B558" t="e">
        <f>AND(#REF!,"AAAAAEb33gE=")</f>
        <v>#REF!</v>
      </c>
      <c r="C558" t="e">
        <f>AND(#REF!,"AAAAAEb33gI=")</f>
        <v>#REF!</v>
      </c>
      <c r="D558" t="e">
        <f>AND(#REF!,"AAAAAEb33gM=")</f>
        <v>#REF!</v>
      </c>
      <c r="E558" t="e">
        <f>AND(#REF!,"AAAAAEb33gQ=")</f>
        <v>#REF!</v>
      </c>
      <c r="F558" t="e">
        <f>AND(#REF!,"AAAAAEb33gU=")</f>
        <v>#REF!</v>
      </c>
      <c r="G558" t="e">
        <f>AND(#REF!,"AAAAAEb33gY=")</f>
        <v>#REF!</v>
      </c>
      <c r="H558" t="e">
        <f>AND(#REF!,"AAAAAEb33gc=")</f>
        <v>#REF!</v>
      </c>
      <c r="I558" t="e">
        <f>AND(#REF!,"AAAAAEb33gg=")</f>
        <v>#REF!</v>
      </c>
      <c r="J558" t="e">
        <f>AND(#REF!,"AAAAAEb33gk=")</f>
        <v>#REF!</v>
      </c>
      <c r="K558" t="e">
        <f>AND(#REF!,"AAAAAEb33go=")</f>
        <v>#REF!</v>
      </c>
      <c r="L558" t="e">
        <f>AND(#REF!,"AAAAAEb33gs=")</f>
        <v>#REF!</v>
      </c>
      <c r="M558" t="e">
        <f>AND(#REF!,"AAAAAEb33gw=")</f>
        <v>#REF!</v>
      </c>
      <c r="N558" t="e">
        <f>AND(#REF!,"AAAAAEb33g0=")</f>
        <v>#REF!</v>
      </c>
      <c r="O558" t="e">
        <f>AND(#REF!,"AAAAAEb33g4=")</f>
        <v>#REF!</v>
      </c>
      <c r="P558" t="e">
        <f>AND(#REF!,"AAAAAEb33g8=")</f>
        <v>#REF!</v>
      </c>
      <c r="Q558" t="e">
        <f>AND(#REF!,"AAAAAEb33hA=")</f>
        <v>#REF!</v>
      </c>
      <c r="R558" t="e">
        <f>AND(#REF!,"AAAAAEb33hE=")</f>
        <v>#REF!</v>
      </c>
      <c r="S558" t="e">
        <f>IF(#REF!,"AAAAAEb33hI=",0)</f>
        <v>#REF!</v>
      </c>
      <c r="T558" t="e">
        <f>AND(#REF!,"AAAAAEb33hM=")</f>
        <v>#REF!</v>
      </c>
      <c r="U558" t="e">
        <f>AND(#REF!,"AAAAAEb33hQ=")</f>
        <v>#REF!</v>
      </c>
      <c r="V558" t="e">
        <f>AND(#REF!,"AAAAAEb33hU=")</f>
        <v>#REF!</v>
      </c>
      <c r="W558" t="e">
        <f>AND(#REF!,"AAAAAEb33hY=")</f>
        <v>#REF!</v>
      </c>
      <c r="X558" t="e">
        <f>AND(#REF!,"AAAAAEb33hc=")</f>
        <v>#REF!</v>
      </c>
      <c r="Y558" t="e">
        <f>AND(#REF!,"AAAAAEb33hg=")</f>
        <v>#REF!</v>
      </c>
      <c r="Z558" t="e">
        <f>AND(#REF!,"AAAAAEb33hk=")</f>
        <v>#REF!</v>
      </c>
      <c r="AA558" t="e">
        <f>AND(#REF!,"AAAAAEb33ho=")</f>
        <v>#REF!</v>
      </c>
      <c r="AB558" t="e">
        <f>AND(#REF!,"AAAAAEb33hs=")</f>
        <v>#REF!</v>
      </c>
      <c r="AC558" t="e">
        <f>AND(#REF!,"AAAAAEb33hw=")</f>
        <v>#REF!</v>
      </c>
      <c r="AD558" t="e">
        <f>AND(#REF!,"AAAAAEb33h0=")</f>
        <v>#REF!</v>
      </c>
      <c r="AE558" t="e">
        <f>AND(#REF!,"AAAAAEb33h4=")</f>
        <v>#REF!</v>
      </c>
      <c r="AF558" t="e">
        <f>AND(#REF!,"AAAAAEb33h8=")</f>
        <v>#REF!</v>
      </c>
      <c r="AG558" t="e">
        <f>AND(#REF!,"AAAAAEb33iA=")</f>
        <v>#REF!</v>
      </c>
      <c r="AH558" t="e">
        <f>AND(#REF!,"AAAAAEb33iE=")</f>
        <v>#REF!</v>
      </c>
      <c r="AI558" t="e">
        <f>AND(#REF!,"AAAAAEb33iI=")</f>
        <v>#REF!</v>
      </c>
      <c r="AJ558" t="e">
        <f>AND(#REF!,"AAAAAEb33iM=")</f>
        <v>#REF!</v>
      </c>
      <c r="AK558" t="e">
        <f>AND(#REF!,"AAAAAEb33iQ=")</f>
        <v>#REF!</v>
      </c>
      <c r="AL558" t="e">
        <f>AND(#REF!,"AAAAAEb33iU=")</f>
        <v>#REF!</v>
      </c>
      <c r="AM558" t="e">
        <f>AND(#REF!,"AAAAAEb33iY=")</f>
        <v>#REF!</v>
      </c>
      <c r="AN558" t="e">
        <f>AND(#REF!,"AAAAAEb33ic=")</f>
        <v>#REF!</v>
      </c>
      <c r="AO558" t="e">
        <f>AND(#REF!,"AAAAAEb33ig=")</f>
        <v>#REF!</v>
      </c>
      <c r="AP558" t="e">
        <f>AND(#REF!,"AAAAAEb33ik=")</f>
        <v>#REF!</v>
      </c>
      <c r="AQ558" t="e">
        <f>AND(#REF!,"AAAAAEb33io=")</f>
        <v>#REF!</v>
      </c>
      <c r="AR558" t="e">
        <f>IF(#REF!,"AAAAAEb33is=",0)</f>
        <v>#REF!</v>
      </c>
      <c r="AS558" t="e">
        <f>AND(#REF!,"AAAAAEb33iw=")</f>
        <v>#REF!</v>
      </c>
      <c r="AT558" t="e">
        <f>AND(#REF!,"AAAAAEb33i0=")</f>
        <v>#REF!</v>
      </c>
      <c r="AU558" t="e">
        <f>AND(#REF!,"AAAAAEb33i4=")</f>
        <v>#REF!</v>
      </c>
      <c r="AV558" t="e">
        <f>AND(#REF!,"AAAAAEb33i8=")</f>
        <v>#REF!</v>
      </c>
      <c r="AW558" t="e">
        <f>AND(#REF!,"AAAAAEb33jA=")</f>
        <v>#REF!</v>
      </c>
      <c r="AX558" t="e">
        <f>AND(#REF!,"AAAAAEb33jE=")</f>
        <v>#REF!</v>
      </c>
      <c r="AY558" t="e">
        <f>AND(#REF!,"AAAAAEb33jI=")</f>
        <v>#REF!</v>
      </c>
      <c r="AZ558" t="e">
        <f>AND(#REF!,"AAAAAEb33jM=")</f>
        <v>#REF!</v>
      </c>
      <c r="BA558" t="e">
        <f>AND(#REF!,"AAAAAEb33jQ=")</f>
        <v>#REF!</v>
      </c>
      <c r="BB558" t="e">
        <f>AND(#REF!,"AAAAAEb33jU=")</f>
        <v>#REF!</v>
      </c>
      <c r="BC558" t="e">
        <f>AND(#REF!,"AAAAAEb33jY=")</f>
        <v>#REF!</v>
      </c>
      <c r="BD558" t="e">
        <f>AND(#REF!,"AAAAAEb33jc=")</f>
        <v>#REF!</v>
      </c>
      <c r="BE558" t="e">
        <f>AND(#REF!,"AAAAAEb33jg=")</f>
        <v>#REF!</v>
      </c>
      <c r="BF558" t="e">
        <f>AND(#REF!,"AAAAAEb33jk=")</f>
        <v>#REF!</v>
      </c>
      <c r="BG558" t="e">
        <f>AND(#REF!,"AAAAAEb33jo=")</f>
        <v>#REF!</v>
      </c>
      <c r="BH558" t="e">
        <f>AND(#REF!,"AAAAAEb33js=")</f>
        <v>#REF!</v>
      </c>
      <c r="BI558" t="e">
        <f>AND(#REF!,"AAAAAEb33jw=")</f>
        <v>#REF!</v>
      </c>
      <c r="BJ558" t="e">
        <f>AND(#REF!,"AAAAAEb33j0=")</f>
        <v>#REF!</v>
      </c>
      <c r="BK558" t="e">
        <f>AND(#REF!,"AAAAAEb33j4=")</f>
        <v>#REF!</v>
      </c>
      <c r="BL558" t="e">
        <f>AND(#REF!,"AAAAAEb33j8=")</f>
        <v>#REF!</v>
      </c>
      <c r="BM558" t="e">
        <f>AND(#REF!,"AAAAAEb33kA=")</f>
        <v>#REF!</v>
      </c>
      <c r="BN558" t="e">
        <f>AND(#REF!,"AAAAAEb33kE=")</f>
        <v>#REF!</v>
      </c>
      <c r="BO558" t="e">
        <f>AND(#REF!,"AAAAAEb33kI=")</f>
        <v>#REF!</v>
      </c>
      <c r="BP558" t="e">
        <f>AND(#REF!,"AAAAAEb33kM=")</f>
        <v>#REF!</v>
      </c>
      <c r="BQ558" t="e">
        <f>IF(#REF!,"AAAAAEb33kQ=",0)</f>
        <v>#REF!</v>
      </c>
      <c r="BR558" t="e">
        <f>AND(#REF!,"AAAAAEb33kU=")</f>
        <v>#REF!</v>
      </c>
      <c r="BS558" t="e">
        <f>AND(#REF!,"AAAAAEb33kY=")</f>
        <v>#REF!</v>
      </c>
      <c r="BT558" t="e">
        <f>AND(#REF!,"AAAAAEb33kc=")</f>
        <v>#REF!</v>
      </c>
      <c r="BU558" t="e">
        <f>AND(#REF!,"AAAAAEb33kg=")</f>
        <v>#REF!</v>
      </c>
      <c r="BV558" t="e">
        <f>AND(#REF!,"AAAAAEb33kk=")</f>
        <v>#REF!</v>
      </c>
      <c r="BW558" t="e">
        <f>AND(#REF!,"AAAAAEb33ko=")</f>
        <v>#REF!</v>
      </c>
      <c r="BX558" t="e">
        <f>AND(#REF!,"AAAAAEb33ks=")</f>
        <v>#REF!</v>
      </c>
      <c r="BY558" t="e">
        <f>AND(#REF!,"AAAAAEb33kw=")</f>
        <v>#REF!</v>
      </c>
      <c r="BZ558" t="e">
        <f>AND(#REF!,"AAAAAEb33k0=")</f>
        <v>#REF!</v>
      </c>
      <c r="CA558" t="e">
        <f>AND(#REF!,"AAAAAEb33k4=")</f>
        <v>#REF!</v>
      </c>
      <c r="CB558" t="e">
        <f>AND(#REF!,"AAAAAEb33k8=")</f>
        <v>#REF!</v>
      </c>
      <c r="CC558" t="e">
        <f>AND(#REF!,"AAAAAEb33lA=")</f>
        <v>#REF!</v>
      </c>
      <c r="CD558" t="e">
        <f>AND(#REF!,"AAAAAEb33lE=")</f>
        <v>#REF!</v>
      </c>
      <c r="CE558" t="e">
        <f>AND(#REF!,"AAAAAEb33lI=")</f>
        <v>#REF!</v>
      </c>
      <c r="CF558" t="e">
        <f>AND(#REF!,"AAAAAEb33lM=")</f>
        <v>#REF!</v>
      </c>
      <c r="CG558" t="e">
        <f>AND(#REF!,"AAAAAEb33lQ=")</f>
        <v>#REF!</v>
      </c>
      <c r="CH558" t="e">
        <f>AND(#REF!,"AAAAAEb33lU=")</f>
        <v>#REF!</v>
      </c>
      <c r="CI558" t="e">
        <f>AND(#REF!,"AAAAAEb33lY=")</f>
        <v>#REF!</v>
      </c>
      <c r="CJ558" t="e">
        <f>AND(#REF!,"AAAAAEb33lc=")</f>
        <v>#REF!</v>
      </c>
      <c r="CK558" t="e">
        <f>AND(#REF!,"AAAAAEb33lg=")</f>
        <v>#REF!</v>
      </c>
      <c r="CL558" t="e">
        <f>AND(#REF!,"AAAAAEb33lk=")</f>
        <v>#REF!</v>
      </c>
      <c r="CM558" t="e">
        <f>AND(#REF!,"AAAAAEb33lo=")</f>
        <v>#REF!</v>
      </c>
      <c r="CN558" t="e">
        <f>AND(#REF!,"AAAAAEb33ls=")</f>
        <v>#REF!</v>
      </c>
      <c r="CO558" t="e">
        <f>AND(#REF!,"AAAAAEb33lw=")</f>
        <v>#REF!</v>
      </c>
      <c r="CP558" t="e">
        <f>IF(#REF!,"AAAAAEb33l0=",0)</f>
        <v>#REF!</v>
      </c>
      <c r="CQ558" t="e">
        <f>AND(#REF!,"AAAAAEb33l4=")</f>
        <v>#REF!</v>
      </c>
      <c r="CR558" t="e">
        <f>AND(#REF!,"AAAAAEb33l8=")</f>
        <v>#REF!</v>
      </c>
      <c r="CS558" t="e">
        <f>AND(#REF!,"AAAAAEb33mA=")</f>
        <v>#REF!</v>
      </c>
      <c r="CT558" t="e">
        <f>AND(#REF!,"AAAAAEb33mE=")</f>
        <v>#REF!</v>
      </c>
      <c r="CU558" t="e">
        <f>AND(#REF!,"AAAAAEb33mI=")</f>
        <v>#REF!</v>
      </c>
      <c r="CV558" t="e">
        <f>AND(#REF!,"AAAAAEb33mM=")</f>
        <v>#REF!</v>
      </c>
      <c r="CW558" t="e">
        <f>AND(#REF!,"AAAAAEb33mQ=")</f>
        <v>#REF!</v>
      </c>
      <c r="CX558" t="e">
        <f>AND(#REF!,"AAAAAEb33mU=")</f>
        <v>#REF!</v>
      </c>
      <c r="CY558" t="e">
        <f>AND(#REF!,"AAAAAEb33mY=")</f>
        <v>#REF!</v>
      </c>
      <c r="CZ558" t="e">
        <f>AND(#REF!,"AAAAAEb33mc=")</f>
        <v>#REF!</v>
      </c>
      <c r="DA558" t="e">
        <f>AND(#REF!,"AAAAAEb33mg=")</f>
        <v>#REF!</v>
      </c>
      <c r="DB558" t="e">
        <f>AND(#REF!,"AAAAAEb33mk=")</f>
        <v>#REF!</v>
      </c>
      <c r="DC558" t="e">
        <f>AND(#REF!,"AAAAAEb33mo=")</f>
        <v>#REF!</v>
      </c>
      <c r="DD558" t="e">
        <f>AND(#REF!,"AAAAAEb33ms=")</f>
        <v>#REF!</v>
      </c>
      <c r="DE558" t="e">
        <f>AND(#REF!,"AAAAAEb33mw=")</f>
        <v>#REF!</v>
      </c>
      <c r="DF558" t="e">
        <f>AND(#REF!,"AAAAAEb33m0=")</f>
        <v>#REF!</v>
      </c>
      <c r="DG558" t="e">
        <f>AND(#REF!,"AAAAAEb33m4=")</f>
        <v>#REF!</v>
      </c>
      <c r="DH558" t="e">
        <f>AND(#REF!,"AAAAAEb33m8=")</f>
        <v>#REF!</v>
      </c>
      <c r="DI558" t="e">
        <f>AND(#REF!,"AAAAAEb33nA=")</f>
        <v>#REF!</v>
      </c>
      <c r="DJ558" t="e">
        <f>AND(#REF!,"AAAAAEb33nE=")</f>
        <v>#REF!</v>
      </c>
      <c r="DK558" t="e">
        <f>AND(#REF!,"AAAAAEb33nI=")</f>
        <v>#REF!</v>
      </c>
      <c r="DL558" t="e">
        <f>AND(#REF!,"AAAAAEb33nM=")</f>
        <v>#REF!</v>
      </c>
      <c r="DM558" t="e">
        <f>AND(#REF!,"AAAAAEb33nQ=")</f>
        <v>#REF!</v>
      </c>
      <c r="DN558" t="e">
        <f>AND(#REF!,"AAAAAEb33nU=")</f>
        <v>#REF!</v>
      </c>
      <c r="DO558" t="e">
        <f>IF(#REF!,"AAAAAEb33nY=",0)</f>
        <v>#REF!</v>
      </c>
      <c r="DP558" t="e">
        <f>AND(#REF!,"AAAAAEb33nc=")</f>
        <v>#REF!</v>
      </c>
      <c r="DQ558" t="e">
        <f>AND(#REF!,"AAAAAEb33ng=")</f>
        <v>#REF!</v>
      </c>
      <c r="DR558" t="e">
        <f>AND(#REF!,"AAAAAEb33nk=")</f>
        <v>#REF!</v>
      </c>
      <c r="DS558" t="e">
        <f>AND(#REF!,"AAAAAEb33no=")</f>
        <v>#REF!</v>
      </c>
      <c r="DT558" t="e">
        <f>AND(#REF!,"AAAAAEb33ns=")</f>
        <v>#REF!</v>
      </c>
      <c r="DU558" t="e">
        <f>AND(#REF!,"AAAAAEb33nw=")</f>
        <v>#REF!</v>
      </c>
      <c r="DV558" t="e">
        <f>AND(#REF!,"AAAAAEb33n0=")</f>
        <v>#REF!</v>
      </c>
      <c r="DW558" t="e">
        <f>AND(#REF!,"AAAAAEb33n4=")</f>
        <v>#REF!</v>
      </c>
      <c r="DX558" t="e">
        <f>AND(#REF!,"AAAAAEb33n8=")</f>
        <v>#REF!</v>
      </c>
      <c r="DY558" t="e">
        <f>AND(#REF!,"AAAAAEb33oA=")</f>
        <v>#REF!</v>
      </c>
      <c r="DZ558" t="e">
        <f>AND(#REF!,"AAAAAEb33oE=")</f>
        <v>#REF!</v>
      </c>
      <c r="EA558" t="e">
        <f>AND(#REF!,"AAAAAEb33oI=")</f>
        <v>#REF!</v>
      </c>
      <c r="EB558" t="e">
        <f>AND(#REF!,"AAAAAEb33oM=")</f>
        <v>#REF!</v>
      </c>
      <c r="EC558" t="e">
        <f>AND(#REF!,"AAAAAEb33oQ=")</f>
        <v>#REF!</v>
      </c>
      <c r="ED558" t="e">
        <f>AND(#REF!,"AAAAAEb33oU=")</f>
        <v>#REF!</v>
      </c>
      <c r="EE558" t="e">
        <f>AND(#REF!,"AAAAAEb33oY=")</f>
        <v>#REF!</v>
      </c>
      <c r="EF558" t="e">
        <f>AND(#REF!,"AAAAAEb33oc=")</f>
        <v>#REF!</v>
      </c>
      <c r="EG558" t="e">
        <f>AND(#REF!,"AAAAAEb33og=")</f>
        <v>#REF!</v>
      </c>
      <c r="EH558" t="e">
        <f>AND(#REF!,"AAAAAEb33ok=")</f>
        <v>#REF!</v>
      </c>
      <c r="EI558" t="e">
        <f>AND(#REF!,"AAAAAEb33oo=")</f>
        <v>#REF!</v>
      </c>
      <c r="EJ558" t="e">
        <f>AND(#REF!,"AAAAAEb33os=")</f>
        <v>#REF!</v>
      </c>
      <c r="EK558" t="e">
        <f>AND(#REF!,"AAAAAEb33ow=")</f>
        <v>#REF!</v>
      </c>
      <c r="EL558" t="e">
        <f>AND(#REF!,"AAAAAEb33o0=")</f>
        <v>#REF!</v>
      </c>
      <c r="EM558" t="e">
        <f>AND(#REF!,"AAAAAEb33o4=")</f>
        <v>#REF!</v>
      </c>
      <c r="EN558" t="e">
        <f>IF(#REF!,"AAAAAEb33o8=",0)</f>
        <v>#REF!</v>
      </c>
      <c r="EO558" t="e">
        <f>AND(#REF!,"AAAAAEb33pA=")</f>
        <v>#REF!</v>
      </c>
      <c r="EP558" t="e">
        <f>AND(#REF!,"AAAAAEb33pE=")</f>
        <v>#REF!</v>
      </c>
      <c r="EQ558" t="e">
        <f>AND(#REF!,"AAAAAEb33pI=")</f>
        <v>#REF!</v>
      </c>
      <c r="ER558" t="e">
        <f>AND(#REF!,"AAAAAEb33pM=")</f>
        <v>#REF!</v>
      </c>
      <c r="ES558" t="e">
        <f>AND(#REF!,"AAAAAEb33pQ=")</f>
        <v>#REF!</v>
      </c>
      <c r="ET558" t="e">
        <f>AND(#REF!,"AAAAAEb33pU=")</f>
        <v>#REF!</v>
      </c>
      <c r="EU558" t="e">
        <f>AND(#REF!,"AAAAAEb33pY=")</f>
        <v>#REF!</v>
      </c>
      <c r="EV558" t="e">
        <f>AND(#REF!,"AAAAAEb33pc=")</f>
        <v>#REF!</v>
      </c>
      <c r="EW558" t="e">
        <f>AND(#REF!,"AAAAAEb33pg=")</f>
        <v>#REF!</v>
      </c>
      <c r="EX558" t="e">
        <f>AND(#REF!,"AAAAAEb33pk=")</f>
        <v>#REF!</v>
      </c>
      <c r="EY558" t="e">
        <f>AND(#REF!,"AAAAAEb33po=")</f>
        <v>#REF!</v>
      </c>
      <c r="EZ558" t="e">
        <f>AND(#REF!,"AAAAAEb33ps=")</f>
        <v>#REF!</v>
      </c>
      <c r="FA558" t="e">
        <f>AND(#REF!,"AAAAAEb33pw=")</f>
        <v>#REF!</v>
      </c>
      <c r="FB558" t="e">
        <f>AND(#REF!,"AAAAAEb33p0=")</f>
        <v>#REF!</v>
      </c>
      <c r="FC558" t="e">
        <f>AND(#REF!,"AAAAAEb33p4=")</f>
        <v>#REF!</v>
      </c>
      <c r="FD558" t="e">
        <f>AND(#REF!,"AAAAAEb33p8=")</f>
        <v>#REF!</v>
      </c>
      <c r="FE558" t="e">
        <f>AND(#REF!,"AAAAAEb33qA=")</f>
        <v>#REF!</v>
      </c>
      <c r="FF558" t="e">
        <f>AND(#REF!,"AAAAAEb33qE=")</f>
        <v>#REF!</v>
      </c>
      <c r="FG558" t="e">
        <f>AND(#REF!,"AAAAAEb33qI=")</f>
        <v>#REF!</v>
      </c>
      <c r="FH558" t="e">
        <f>AND(#REF!,"AAAAAEb33qM=")</f>
        <v>#REF!</v>
      </c>
      <c r="FI558" t="e">
        <f>AND(#REF!,"AAAAAEb33qQ=")</f>
        <v>#REF!</v>
      </c>
      <c r="FJ558" t="e">
        <f>AND(#REF!,"AAAAAEb33qU=")</f>
        <v>#REF!</v>
      </c>
      <c r="FK558" t="e">
        <f>AND(#REF!,"AAAAAEb33qY=")</f>
        <v>#REF!</v>
      </c>
      <c r="FL558" t="e">
        <f>AND(#REF!,"AAAAAEb33qc=")</f>
        <v>#REF!</v>
      </c>
      <c r="FM558" t="e">
        <f>IF(#REF!,"AAAAAEb33qg=",0)</f>
        <v>#REF!</v>
      </c>
      <c r="FN558" t="e">
        <f>AND(#REF!,"AAAAAEb33qk=")</f>
        <v>#REF!</v>
      </c>
      <c r="FO558" t="e">
        <f>AND(#REF!,"AAAAAEb33qo=")</f>
        <v>#REF!</v>
      </c>
      <c r="FP558" t="e">
        <f>AND(#REF!,"AAAAAEb33qs=")</f>
        <v>#REF!</v>
      </c>
      <c r="FQ558" t="e">
        <f>AND(#REF!,"AAAAAEb33qw=")</f>
        <v>#REF!</v>
      </c>
      <c r="FR558" t="e">
        <f>AND(#REF!,"AAAAAEb33q0=")</f>
        <v>#REF!</v>
      </c>
      <c r="FS558" t="e">
        <f>AND(#REF!,"AAAAAEb33q4=")</f>
        <v>#REF!</v>
      </c>
      <c r="FT558" t="e">
        <f>AND(#REF!,"AAAAAEb33q8=")</f>
        <v>#REF!</v>
      </c>
      <c r="FU558" t="e">
        <f>AND(#REF!,"AAAAAEb33rA=")</f>
        <v>#REF!</v>
      </c>
      <c r="FV558" t="e">
        <f>AND(#REF!,"AAAAAEb33rE=")</f>
        <v>#REF!</v>
      </c>
      <c r="FW558" t="e">
        <f>AND(#REF!,"AAAAAEb33rI=")</f>
        <v>#REF!</v>
      </c>
      <c r="FX558" t="e">
        <f>AND(#REF!,"AAAAAEb33rM=")</f>
        <v>#REF!</v>
      </c>
      <c r="FY558" t="e">
        <f>AND(#REF!,"AAAAAEb33rQ=")</f>
        <v>#REF!</v>
      </c>
      <c r="FZ558" t="e">
        <f>AND(#REF!,"AAAAAEb33rU=")</f>
        <v>#REF!</v>
      </c>
      <c r="GA558" t="e">
        <f>AND(#REF!,"AAAAAEb33rY=")</f>
        <v>#REF!</v>
      </c>
      <c r="GB558" t="e">
        <f>AND(#REF!,"AAAAAEb33rc=")</f>
        <v>#REF!</v>
      </c>
      <c r="GC558" t="e">
        <f>AND(#REF!,"AAAAAEb33rg=")</f>
        <v>#REF!</v>
      </c>
      <c r="GD558" t="e">
        <f>AND(#REF!,"AAAAAEb33rk=")</f>
        <v>#REF!</v>
      </c>
      <c r="GE558" t="e">
        <f>AND(#REF!,"AAAAAEb33ro=")</f>
        <v>#REF!</v>
      </c>
      <c r="GF558" t="e">
        <f>AND(#REF!,"AAAAAEb33rs=")</f>
        <v>#REF!</v>
      </c>
      <c r="GG558" t="e">
        <f>AND(#REF!,"AAAAAEb33rw=")</f>
        <v>#REF!</v>
      </c>
      <c r="GH558" t="e">
        <f>AND(#REF!,"AAAAAEb33r0=")</f>
        <v>#REF!</v>
      </c>
      <c r="GI558" t="e">
        <f>AND(#REF!,"AAAAAEb33r4=")</f>
        <v>#REF!</v>
      </c>
      <c r="GJ558" t="e">
        <f>AND(#REF!,"AAAAAEb33r8=")</f>
        <v>#REF!</v>
      </c>
      <c r="GK558" t="e">
        <f>AND(#REF!,"AAAAAEb33sA=")</f>
        <v>#REF!</v>
      </c>
      <c r="GL558" t="e">
        <f>IF(#REF!,"AAAAAEb33sE=",0)</f>
        <v>#REF!</v>
      </c>
      <c r="GM558" t="e">
        <f>AND(#REF!,"AAAAAEb33sI=")</f>
        <v>#REF!</v>
      </c>
      <c r="GN558" t="e">
        <f>AND(#REF!,"AAAAAEb33sM=")</f>
        <v>#REF!</v>
      </c>
      <c r="GO558" t="e">
        <f>AND(#REF!,"AAAAAEb33sQ=")</f>
        <v>#REF!</v>
      </c>
      <c r="GP558" t="e">
        <f>AND(#REF!,"AAAAAEb33sU=")</f>
        <v>#REF!</v>
      </c>
      <c r="GQ558" t="e">
        <f>AND(#REF!,"AAAAAEb33sY=")</f>
        <v>#REF!</v>
      </c>
      <c r="GR558" t="e">
        <f>AND(#REF!,"AAAAAEb33sc=")</f>
        <v>#REF!</v>
      </c>
      <c r="GS558" t="e">
        <f>AND(#REF!,"AAAAAEb33sg=")</f>
        <v>#REF!</v>
      </c>
      <c r="GT558" t="e">
        <f>AND(#REF!,"AAAAAEb33sk=")</f>
        <v>#REF!</v>
      </c>
      <c r="GU558" t="e">
        <f>AND(#REF!,"AAAAAEb33so=")</f>
        <v>#REF!</v>
      </c>
      <c r="GV558" t="e">
        <f>AND(#REF!,"AAAAAEb33ss=")</f>
        <v>#REF!</v>
      </c>
      <c r="GW558" t="e">
        <f>AND(#REF!,"AAAAAEb33sw=")</f>
        <v>#REF!</v>
      </c>
      <c r="GX558" t="e">
        <f>AND(#REF!,"AAAAAEb33s0=")</f>
        <v>#REF!</v>
      </c>
      <c r="GY558" t="e">
        <f>AND(#REF!,"AAAAAEb33s4=")</f>
        <v>#REF!</v>
      </c>
      <c r="GZ558" t="e">
        <f>AND(#REF!,"AAAAAEb33s8=")</f>
        <v>#REF!</v>
      </c>
      <c r="HA558" t="e">
        <f>AND(#REF!,"AAAAAEb33tA=")</f>
        <v>#REF!</v>
      </c>
      <c r="HB558" t="e">
        <f>AND(#REF!,"AAAAAEb33tE=")</f>
        <v>#REF!</v>
      </c>
      <c r="HC558" t="e">
        <f>AND(#REF!,"AAAAAEb33tI=")</f>
        <v>#REF!</v>
      </c>
      <c r="HD558" t="e">
        <f>AND(#REF!,"AAAAAEb33tM=")</f>
        <v>#REF!</v>
      </c>
      <c r="HE558" t="e">
        <f>AND(#REF!,"AAAAAEb33tQ=")</f>
        <v>#REF!</v>
      </c>
      <c r="HF558" t="e">
        <f>AND(#REF!,"AAAAAEb33tU=")</f>
        <v>#REF!</v>
      </c>
      <c r="HG558" t="e">
        <f>AND(#REF!,"AAAAAEb33tY=")</f>
        <v>#REF!</v>
      </c>
      <c r="HH558" t="e">
        <f>AND(#REF!,"AAAAAEb33tc=")</f>
        <v>#REF!</v>
      </c>
      <c r="HI558" t="e">
        <f>AND(#REF!,"AAAAAEb33tg=")</f>
        <v>#REF!</v>
      </c>
      <c r="HJ558" t="e">
        <f>AND(#REF!,"AAAAAEb33tk=")</f>
        <v>#REF!</v>
      </c>
      <c r="HK558" t="e">
        <f>IF(#REF!,"AAAAAEb33to=",0)</f>
        <v>#REF!</v>
      </c>
      <c r="HL558" t="e">
        <f>AND(#REF!,"AAAAAEb33ts=")</f>
        <v>#REF!</v>
      </c>
      <c r="HM558" t="e">
        <f>AND(#REF!,"AAAAAEb33tw=")</f>
        <v>#REF!</v>
      </c>
      <c r="HN558" t="e">
        <f>AND(#REF!,"AAAAAEb33t0=")</f>
        <v>#REF!</v>
      </c>
      <c r="HO558" t="e">
        <f>AND(#REF!,"AAAAAEb33t4=")</f>
        <v>#REF!</v>
      </c>
      <c r="HP558" t="e">
        <f>AND(#REF!,"AAAAAEb33t8=")</f>
        <v>#REF!</v>
      </c>
      <c r="HQ558" t="e">
        <f>AND(#REF!,"AAAAAEb33uA=")</f>
        <v>#REF!</v>
      </c>
      <c r="HR558" t="e">
        <f>AND(#REF!,"AAAAAEb33uE=")</f>
        <v>#REF!</v>
      </c>
      <c r="HS558" t="e">
        <f>AND(#REF!,"AAAAAEb33uI=")</f>
        <v>#REF!</v>
      </c>
      <c r="HT558" t="e">
        <f>AND(#REF!,"AAAAAEb33uM=")</f>
        <v>#REF!</v>
      </c>
      <c r="HU558" t="e">
        <f>AND(#REF!,"AAAAAEb33uQ=")</f>
        <v>#REF!</v>
      </c>
      <c r="HV558" t="e">
        <f>AND(#REF!,"AAAAAEb33uU=")</f>
        <v>#REF!</v>
      </c>
      <c r="HW558" t="e">
        <f>AND(#REF!,"AAAAAEb33uY=")</f>
        <v>#REF!</v>
      </c>
      <c r="HX558" t="e">
        <f>AND(#REF!,"AAAAAEb33uc=")</f>
        <v>#REF!</v>
      </c>
      <c r="HY558" t="e">
        <f>AND(#REF!,"AAAAAEb33ug=")</f>
        <v>#REF!</v>
      </c>
      <c r="HZ558" t="e">
        <f>AND(#REF!,"AAAAAEb33uk=")</f>
        <v>#REF!</v>
      </c>
      <c r="IA558" t="e">
        <f>AND(#REF!,"AAAAAEb33uo=")</f>
        <v>#REF!</v>
      </c>
      <c r="IB558" t="e">
        <f>AND(#REF!,"AAAAAEb33us=")</f>
        <v>#REF!</v>
      </c>
      <c r="IC558" t="e">
        <f>AND(#REF!,"AAAAAEb33uw=")</f>
        <v>#REF!</v>
      </c>
      <c r="ID558" t="e">
        <f>AND(#REF!,"AAAAAEb33u0=")</f>
        <v>#REF!</v>
      </c>
      <c r="IE558" t="e">
        <f>AND(#REF!,"AAAAAEb33u4=")</f>
        <v>#REF!</v>
      </c>
      <c r="IF558" t="e">
        <f>AND(#REF!,"AAAAAEb33u8=")</f>
        <v>#REF!</v>
      </c>
      <c r="IG558" t="e">
        <f>AND(#REF!,"AAAAAEb33vA=")</f>
        <v>#REF!</v>
      </c>
      <c r="IH558" t="e">
        <f>AND(#REF!,"AAAAAEb33vE=")</f>
        <v>#REF!</v>
      </c>
      <c r="II558" t="e">
        <f>AND(#REF!,"AAAAAEb33vI=")</f>
        <v>#REF!</v>
      </c>
      <c r="IJ558" t="e">
        <f>IF(#REF!,"AAAAAEb33vM=",0)</f>
        <v>#REF!</v>
      </c>
      <c r="IK558" t="e">
        <f>AND(#REF!,"AAAAAEb33vQ=")</f>
        <v>#REF!</v>
      </c>
      <c r="IL558" t="e">
        <f>AND(#REF!,"AAAAAEb33vU=")</f>
        <v>#REF!</v>
      </c>
      <c r="IM558" t="e">
        <f>AND(#REF!,"AAAAAEb33vY=")</f>
        <v>#REF!</v>
      </c>
      <c r="IN558" t="e">
        <f>AND(#REF!,"AAAAAEb33vc=")</f>
        <v>#REF!</v>
      </c>
      <c r="IO558" t="e">
        <f>AND(#REF!,"AAAAAEb33vg=")</f>
        <v>#REF!</v>
      </c>
      <c r="IP558" t="e">
        <f>AND(#REF!,"AAAAAEb33vk=")</f>
        <v>#REF!</v>
      </c>
      <c r="IQ558" t="e">
        <f>AND(#REF!,"AAAAAEb33vo=")</f>
        <v>#REF!</v>
      </c>
      <c r="IR558" t="e">
        <f>AND(#REF!,"AAAAAEb33vs=")</f>
        <v>#REF!</v>
      </c>
      <c r="IS558" t="e">
        <f>AND(#REF!,"AAAAAEb33vw=")</f>
        <v>#REF!</v>
      </c>
      <c r="IT558" t="e">
        <f>AND(#REF!,"AAAAAEb33v0=")</f>
        <v>#REF!</v>
      </c>
      <c r="IU558" t="e">
        <f>AND(#REF!,"AAAAAEb33v4=")</f>
        <v>#REF!</v>
      </c>
      <c r="IV558" t="e">
        <f>AND(#REF!,"AAAAAEb33v8=")</f>
        <v>#REF!</v>
      </c>
    </row>
    <row r="559" spans="1:256">
      <c r="A559" t="e">
        <f>AND(#REF!,"AAAAAE3ORQA=")</f>
        <v>#REF!</v>
      </c>
      <c r="B559" t="e">
        <f>AND(#REF!,"AAAAAE3ORQE=")</f>
        <v>#REF!</v>
      </c>
      <c r="C559" t="e">
        <f>AND(#REF!,"AAAAAE3ORQI=")</f>
        <v>#REF!</v>
      </c>
      <c r="D559" t="e">
        <f>AND(#REF!,"AAAAAE3ORQM=")</f>
        <v>#REF!</v>
      </c>
      <c r="E559" t="e">
        <f>AND(#REF!,"AAAAAE3ORQQ=")</f>
        <v>#REF!</v>
      </c>
      <c r="F559" t="e">
        <f>AND(#REF!,"AAAAAE3ORQU=")</f>
        <v>#REF!</v>
      </c>
      <c r="G559" t="e">
        <f>AND(#REF!,"AAAAAE3ORQY=")</f>
        <v>#REF!</v>
      </c>
      <c r="H559" t="e">
        <f>AND(#REF!,"AAAAAE3ORQc=")</f>
        <v>#REF!</v>
      </c>
      <c r="I559" t="e">
        <f>AND(#REF!,"AAAAAE3ORQg=")</f>
        <v>#REF!</v>
      </c>
      <c r="J559" t="e">
        <f>AND(#REF!,"AAAAAE3ORQk=")</f>
        <v>#REF!</v>
      </c>
      <c r="K559" t="e">
        <f>AND(#REF!,"AAAAAE3ORQo=")</f>
        <v>#REF!</v>
      </c>
      <c r="L559" t="e">
        <f>AND(#REF!,"AAAAAE3ORQs=")</f>
        <v>#REF!</v>
      </c>
      <c r="M559" t="e">
        <f>IF(#REF!,"AAAAAE3ORQw=",0)</f>
        <v>#REF!</v>
      </c>
      <c r="N559" t="e">
        <f>AND(#REF!,"AAAAAE3ORQ0=")</f>
        <v>#REF!</v>
      </c>
      <c r="O559" t="e">
        <f>AND(#REF!,"AAAAAE3ORQ4=")</f>
        <v>#REF!</v>
      </c>
      <c r="P559" t="e">
        <f>AND(#REF!,"AAAAAE3ORQ8=")</f>
        <v>#REF!</v>
      </c>
      <c r="Q559" t="e">
        <f>AND(#REF!,"AAAAAE3ORRA=")</f>
        <v>#REF!</v>
      </c>
      <c r="R559" t="e">
        <f>AND(#REF!,"AAAAAE3ORRE=")</f>
        <v>#REF!</v>
      </c>
      <c r="S559" t="e">
        <f>AND(#REF!,"AAAAAE3ORRI=")</f>
        <v>#REF!</v>
      </c>
      <c r="T559" t="e">
        <f>AND(#REF!,"AAAAAE3ORRM=")</f>
        <v>#REF!</v>
      </c>
      <c r="U559" t="e">
        <f>AND(#REF!,"AAAAAE3ORRQ=")</f>
        <v>#REF!</v>
      </c>
      <c r="V559" t="e">
        <f>AND(#REF!,"AAAAAE3ORRU=")</f>
        <v>#REF!</v>
      </c>
      <c r="W559" t="e">
        <f>AND(#REF!,"AAAAAE3ORRY=")</f>
        <v>#REF!</v>
      </c>
      <c r="X559" t="e">
        <f>AND(#REF!,"AAAAAE3ORRc=")</f>
        <v>#REF!</v>
      </c>
      <c r="Y559" t="e">
        <f>AND(#REF!,"AAAAAE3ORRg=")</f>
        <v>#REF!</v>
      </c>
      <c r="Z559" t="e">
        <f>AND(#REF!,"AAAAAE3ORRk=")</f>
        <v>#REF!</v>
      </c>
      <c r="AA559" t="e">
        <f>AND(#REF!,"AAAAAE3ORRo=")</f>
        <v>#REF!</v>
      </c>
      <c r="AB559" t="e">
        <f>AND(#REF!,"AAAAAE3ORRs=")</f>
        <v>#REF!</v>
      </c>
      <c r="AC559" t="e">
        <f>AND(#REF!,"AAAAAE3ORRw=")</f>
        <v>#REF!</v>
      </c>
      <c r="AD559" t="e">
        <f>AND(#REF!,"AAAAAE3ORR0=")</f>
        <v>#REF!</v>
      </c>
      <c r="AE559" t="e">
        <f>AND(#REF!,"AAAAAE3ORR4=")</f>
        <v>#REF!</v>
      </c>
      <c r="AF559" t="e">
        <f>AND(#REF!,"AAAAAE3ORR8=")</f>
        <v>#REF!</v>
      </c>
      <c r="AG559" t="e">
        <f>AND(#REF!,"AAAAAE3ORSA=")</f>
        <v>#REF!</v>
      </c>
      <c r="AH559" t="e">
        <f>AND(#REF!,"AAAAAE3ORSE=")</f>
        <v>#REF!</v>
      </c>
      <c r="AI559" t="e">
        <f>AND(#REF!,"AAAAAE3ORSI=")</f>
        <v>#REF!</v>
      </c>
      <c r="AJ559" t="e">
        <f>AND(#REF!,"AAAAAE3ORSM=")</f>
        <v>#REF!</v>
      </c>
      <c r="AK559" t="e">
        <f>AND(#REF!,"AAAAAE3ORSQ=")</f>
        <v>#REF!</v>
      </c>
      <c r="AL559" t="e">
        <f>IF(#REF!,"AAAAAE3ORSU=",0)</f>
        <v>#REF!</v>
      </c>
      <c r="AM559" t="e">
        <f>AND(#REF!,"AAAAAE3ORSY=")</f>
        <v>#REF!</v>
      </c>
      <c r="AN559" t="e">
        <f>AND(#REF!,"AAAAAE3ORSc=")</f>
        <v>#REF!</v>
      </c>
      <c r="AO559" t="e">
        <f>AND(#REF!,"AAAAAE3ORSg=")</f>
        <v>#REF!</v>
      </c>
      <c r="AP559" t="e">
        <f>AND(#REF!,"AAAAAE3ORSk=")</f>
        <v>#REF!</v>
      </c>
      <c r="AQ559" t="e">
        <f>AND(#REF!,"AAAAAE3ORSo=")</f>
        <v>#REF!</v>
      </c>
      <c r="AR559" t="e">
        <f>AND(#REF!,"AAAAAE3ORSs=")</f>
        <v>#REF!</v>
      </c>
      <c r="AS559" t="e">
        <f>AND(#REF!,"AAAAAE3ORSw=")</f>
        <v>#REF!</v>
      </c>
      <c r="AT559" t="e">
        <f>AND(#REF!,"AAAAAE3ORS0=")</f>
        <v>#REF!</v>
      </c>
      <c r="AU559" t="e">
        <f>AND(#REF!,"AAAAAE3ORS4=")</f>
        <v>#REF!</v>
      </c>
      <c r="AV559" t="e">
        <f>AND(#REF!,"AAAAAE3ORS8=")</f>
        <v>#REF!</v>
      </c>
      <c r="AW559" t="e">
        <f>AND(#REF!,"AAAAAE3ORTA=")</f>
        <v>#REF!</v>
      </c>
      <c r="AX559" t="e">
        <f>AND(#REF!,"AAAAAE3ORTE=")</f>
        <v>#REF!</v>
      </c>
      <c r="AY559" t="e">
        <f>AND(#REF!,"AAAAAE3ORTI=")</f>
        <v>#REF!</v>
      </c>
      <c r="AZ559" t="e">
        <f>AND(#REF!,"AAAAAE3ORTM=")</f>
        <v>#REF!</v>
      </c>
      <c r="BA559" t="e">
        <f>AND(#REF!,"AAAAAE3ORTQ=")</f>
        <v>#REF!</v>
      </c>
      <c r="BB559" t="e">
        <f>AND(#REF!,"AAAAAE3ORTU=")</f>
        <v>#REF!</v>
      </c>
      <c r="BC559" t="e">
        <f>AND(#REF!,"AAAAAE3ORTY=")</f>
        <v>#REF!</v>
      </c>
      <c r="BD559" t="e">
        <f>AND(#REF!,"AAAAAE3ORTc=")</f>
        <v>#REF!</v>
      </c>
      <c r="BE559" t="e">
        <f>AND(#REF!,"AAAAAE3ORTg=")</f>
        <v>#REF!</v>
      </c>
      <c r="BF559" t="e">
        <f>AND(#REF!,"AAAAAE3ORTk=")</f>
        <v>#REF!</v>
      </c>
      <c r="BG559" t="e">
        <f>AND(#REF!,"AAAAAE3ORTo=")</f>
        <v>#REF!</v>
      </c>
      <c r="BH559" t="e">
        <f>AND(#REF!,"AAAAAE3ORTs=")</f>
        <v>#REF!</v>
      </c>
      <c r="BI559" t="e">
        <f>AND(#REF!,"AAAAAE3ORTw=")</f>
        <v>#REF!</v>
      </c>
      <c r="BJ559" t="e">
        <f>AND(#REF!,"AAAAAE3ORT0=")</f>
        <v>#REF!</v>
      </c>
      <c r="BK559" t="e">
        <f>IF(#REF!,"AAAAAE3ORT4=",0)</f>
        <v>#REF!</v>
      </c>
      <c r="BL559" t="e">
        <f>AND(#REF!,"AAAAAE3ORT8=")</f>
        <v>#REF!</v>
      </c>
      <c r="BM559" t="e">
        <f>AND(#REF!,"AAAAAE3ORUA=")</f>
        <v>#REF!</v>
      </c>
      <c r="BN559" t="e">
        <f>AND(#REF!,"AAAAAE3ORUE=")</f>
        <v>#REF!</v>
      </c>
      <c r="BO559" t="e">
        <f>AND(#REF!,"AAAAAE3ORUI=")</f>
        <v>#REF!</v>
      </c>
      <c r="BP559" t="e">
        <f>AND(#REF!,"AAAAAE3ORUM=")</f>
        <v>#REF!</v>
      </c>
      <c r="BQ559" t="e">
        <f>AND(#REF!,"AAAAAE3ORUQ=")</f>
        <v>#REF!</v>
      </c>
      <c r="BR559" t="e">
        <f>AND(#REF!,"AAAAAE3ORUU=")</f>
        <v>#REF!</v>
      </c>
      <c r="BS559" t="e">
        <f>AND(#REF!,"AAAAAE3ORUY=")</f>
        <v>#REF!</v>
      </c>
      <c r="BT559" t="e">
        <f>AND(#REF!,"AAAAAE3ORUc=")</f>
        <v>#REF!</v>
      </c>
      <c r="BU559" t="e">
        <f>AND(#REF!,"AAAAAE3ORUg=")</f>
        <v>#REF!</v>
      </c>
      <c r="BV559" t="e">
        <f>AND(#REF!,"AAAAAE3ORUk=")</f>
        <v>#REF!</v>
      </c>
      <c r="BW559" t="e">
        <f>AND(#REF!,"AAAAAE3ORUo=")</f>
        <v>#REF!</v>
      </c>
      <c r="BX559" t="e">
        <f>AND(#REF!,"AAAAAE3ORUs=")</f>
        <v>#REF!</v>
      </c>
      <c r="BY559" t="e">
        <f>AND(#REF!,"AAAAAE3ORUw=")</f>
        <v>#REF!</v>
      </c>
      <c r="BZ559" t="e">
        <f>AND(#REF!,"AAAAAE3ORU0=")</f>
        <v>#REF!</v>
      </c>
      <c r="CA559" t="e">
        <f>AND(#REF!,"AAAAAE3ORU4=")</f>
        <v>#REF!</v>
      </c>
      <c r="CB559" t="e">
        <f>AND(#REF!,"AAAAAE3ORU8=")</f>
        <v>#REF!</v>
      </c>
      <c r="CC559" t="e">
        <f>AND(#REF!,"AAAAAE3ORVA=")</f>
        <v>#REF!</v>
      </c>
      <c r="CD559" t="e">
        <f>AND(#REF!,"AAAAAE3ORVE=")</f>
        <v>#REF!</v>
      </c>
      <c r="CE559" t="e">
        <f>AND(#REF!,"AAAAAE3ORVI=")</f>
        <v>#REF!</v>
      </c>
      <c r="CF559" t="e">
        <f>AND(#REF!,"AAAAAE3ORVM=")</f>
        <v>#REF!</v>
      </c>
      <c r="CG559" t="e">
        <f>AND(#REF!,"AAAAAE3ORVQ=")</f>
        <v>#REF!</v>
      </c>
      <c r="CH559" t="e">
        <f>AND(#REF!,"AAAAAE3ORVU=")</f>
        <v>#REF!</v>
      </c>
      <c r="CI559" t="e">
        <f>AND(#REF!,"AAAAAE3ORVY=")</f>
        <v>#REF!</v>
      </c>
      <c r="CJ559" t="e">
        <f>IF(#REF!,"AAAAAE3ORVc=",0)</f>
        <v>#REF!</v>
      </c>
      <c r="CK559" t="e">
        <f>AND(#REF!,"AAAAAE3ORVg=")</f>
        <v>#REF!</v>
      </c>
      <c r="CL559" t="e">
        <f>AND(#REF!,"AAAAAE3ORVk=")</f>
        <v>#REF!</v>
      </c>
      <c r="CM559" t="e">
        <f>AND(#REF!,"AAAAAE3ORVo=")</f>
        <v>#REF!</v>
      </c>
      <c r="CN559" t="e">
        <f>AND(#REF!,"AAAAAE3ORVs=")</f>
        <v>#REF!</v>
      </c>
      <c r="CO559" t="e">
        <f>AND(#REF!,"AAAAAE3ORVw=")</f>
        <v>#REF!</v>
      </c>
      <c r="CP559" t="e">
        <f>AND(#REF!,"AAAAAE3ORV0=")</f>
        <v>#REF!</v>
      </c>
      <c r="CQ559" t="e">
        <f>AND(#REF!,"AAAAAE3ORV4=")</f>
        <v>#REF!</v>
      </c>
      <c r="CR559" t="e">
        <f>AND(#REF!,"AAAAAE3ORV8=")</f>
        <v>#REF!</v>
      </c>
      <c r="CS559" t="e">
        <f>AND(#REF!,"AAAAAE3ORWA=")</f>
        <v>#REF!</v>
      </c>
      <c r="CT559" t="e">
        <f>AND(#REF!,"AAAAAE3ORWE=")</f>
        <v>#REF!</v>
      </c>
      <c r="CU559" t="e">
        <f>AND(#REF!,"AAAAAE3ORWI=")</f>
        <v>#REF!</v>
      </c>
      <c r="CV559" t="e">
        <f>AND(#REF!,"AAAAAE3ORWM=")</f>
        <v>#REF!</v>
      </c>
      <c r="CW559" t="e">
        <f>AND(#REF!,"AAAAAE3ORWQ=")</f>
        <v>#REF!</v>
      </c>
      <c r="CX559" t="e">
        <f>AND(#REF!,"AAAAAE3ORWU=")</f>
        <v>#REF!</v>
      </c>
      <c r="CY559" t="e">
        <f>AND(#REF!,"AAAAAE3ORWY=")</f>
        <v>#REF!</v>
      </c>
      <c r="CZ559" t="e">
        <f>AND(#REF!,"AAAAAE3ORWc=")</f>
        <v>#REF!</v>
      </c>
      <c r="DA559" t="e">
        <f>AND(#REF!,"AAAAAE3ORWg=")</f>
        <v>#REF!</v>
      </c>
      <c r="DB559" t="e">
        <f>AND(#REF!,"AAAAAE3ORWk=")</f>
        <v>#REF!</v>
      </c>
      <c r="DC559" t="e">
        <f>AND(#REF!,"AAAAAE3ORWo=")</f>
        <v>#REF!</v>
      </c>
      <c r="DD559" t="e">
        <f>AND(#REF!,"AAAAAE3ORWs=")</f>
        <v>#REF!</v>
      </c>
      <c r="DE559" t="e">
        <f>AND(#REF!,"AAAAAE3ORWw=")</f>
        <v>#REF!</v>
      </c>
      <c r="DF559" t="e">
        <f>AND(#REF!,"AAAAAE3ORW0=")</f>
        <v>#REF!</v>
      </c>
      <c r="DG559" t="e">
        <f>AND(#REF!,"AAAAAE3ORW4=")</f>
        <v>#REF!</v>
      </c>
      <c r="DH559" t="e">
        <f>AND(#REF!,"AAAAAE3ORW8=")</f>
        <v>#REF!</v>
      </c>
      <c r="DI559" t="e">
        <f>IF(#REF!,"AAAAAE3ORXA=",0)</f>
        <v>#REF!</v>
      </c>
      <c r="DJ559" t="e">
        <f>AND(#REF!,"AAAAAE3ORXE=")</f>
        <v>#REF!</v>
      </c>
      <c r="DK559" t="e">
        <f>AND(#REF!,"AAAAAE3ORXI=")</f>
        <v>#REF!</v>
      </c>
      <c r="DL559" t="e">
        <f>AND(#REF!,"AAAAAE3ORXM=")</f>
        <v>#REF!</v>
      </c>
      <c r="DM559" t="e">
        <f>AND(#REF!,"AAAAAE3ORXQ=")</f>
        <v>#REF!</v>
      </c>
      <c r="DN559" t="e">
        <f>AND(#REF!,"AAAAAE3ORXU=")</f>
        <v>#REF!</v>
      </c>
      <c r="DO559" t="e">
        <f>AND(#REF!,"AAAAAE3ORXY=")</f>
        <v>#REF!</v>
      </c>
      <c r="DP559" t="e">
        <f>AND(#REF!,"AAAAAE3ORXc=")</f>
        <v>#REF!</v>
      </c>
      <c r="DQ559" t="e">
        <f>AND(#REF!,"AAAAAE3ORXg=")</f>
        <v>#REF!</v>
      </c>
      <c r="DR559" t="e">
        <f>AND(#REF!,"AAAAAE3ORXk=")</f>
        <v>#REF!</v>
      </c>
      <c r="DS559" t="e">
        <f>AND(#REF!,"AAAAAE3ORXo=")</f>
        <v>#REF!</v>
      </c>
      <c r="DT559" t="e">
        <f>AND(#REF!,"AAAAAE3ORXs=")</f>
        <v>#REF!</v>
      </c>
      <c r="DU559" t="e">
        <f>AND(#REF!,"AAAAAE3ORXw=")</f>
        <v>#REF!</v>
      </c>
      <c r="DV559" t="e">
        <f>AND(#REF!,"AAAAAE3ORX0=")</f>
        <v>#REF!</v>
      </c>
      <c r="DW559" t="e">
        <f>AND(#REF!,"AAAAAE3ORX4=")</f>
        <v>#REF!</v>
      </c>
      <c r="DX559" t="e">
        <f>AND(#REF!,"AAAAAE3ORX8=")</f>
        <v>#REF!</v>
      </c>
      <c r="DY559" t="e">
        <f>AND(#REF!,"AAAAAE3ORYA=")</f>
        <v>#REF!</v>
      </c>
      <c r="DZ559" t="e">
        <f>AND(#REF!,"AAAAAE3ORYE=")</f>
        <v>#REF!</v>
      </c>
      <c r="EA559" t="e">
        <f>AND(#REF!,"AAAAAE3ORYI=")</f>
        <v>#REF!</v>
      </c>
      <c r="EB559" t="e">
        <f>AND(#REF!,"AAAAAE3ORYM=")</f>
        <v>#REF!</v>
      </c>
      <c r="EC559" t="e">
        <f>AND(#REF!,"AAAAAE3ORYQ=")</f>
        <v>#REF!</v>
      </c>
      <c r="ED559" t="e">
        <f>AND(#REF!,"AAAAAE3ORYU=")</f>
        <v>#REF!</v>
      </c>
      <c r="EE559" t="e">
        <f>AND(#REF!,"AAAAAE3ORYY=")</f>
        <v>#REF!</v>
      </c>
      <c r="EF559" t="e">
        <f>AND(#REF!,"AAAAAE3ORYc=")</f>
        <v>#REF!</v>
      </c>
      <c r="EG559" t="e">
        <f>AND(#REF!,"AAAAAE3ORYg=")</f>
        <v>#REF!</v>
      </c>
      <c r="EH559" t="e">
        <f>IF(#REF!,"AAAAAE3ORYk=",0)</f>
        <v>#REF!</v>
      </c>
      <c r="EI559" t="e">
        <f>AND(#REF!,"AAAAAE3ORYo=")</f>
        <v>#REF!</v>
      </c>
      <c r="EJ559" t="e">
        <f>AND(#REF!,"AAAAAE3ORYs=")</f>
        <v>#REF!</v>
      </c>
      <c r="EK559" t="e">
        <f>AND(#REF!,"AAAAAE3ORYw=")</f>
        <v>#REF!</v>
      </c>
      <c r="EL559" t="e">
        <f>AND(#REF!,"AAAAAE3ORY0=")</f>
        <v>#REF!</v>
      </c>
      <c r="EM559" t="e">
        <f>AND(#REF!,"AAAAAE3ORY4=")</f>
        <v>#REF!</v>
      </c>
      <c r="EN559" t="e">
        <f>AND(#REF!,"AAAAAE3ORY8=")</f>
        <v>#REF!</v>
      </c>
      <c r="EO559" t="e">
        <f>AND(#REF!,"AAAAAE3ORZA=")</f>
        <v>#REF!</v>
      </c>
      <c r="EP559" t="e">
        <f>AND(#REF!,"AAAAAE3ORZE=")</f>
        <v>#REF!</v>
      </c>
      <c r="EQ559" t="e">
        <f>AND(#REF!,"AAAAAE3ORZI=")</f>
        <v>#REF!</v>
      </c>
      <c r="ER559" t="e">
        <f>AND(#REF!,"AAAAAE3ORZM=")</f>
        <v>#REF!</v>
      </c>
      <c r="ES559" t="e">
        <f>AND(#REF!,"AAAAAE3ORZQ=")</f>
        <v>#REF!</v>
      </c>
      <c r="ET559" t="e">
        <f>AND(#REF!,"AAAAAE3ORZU=")</f>
        <v>#REF!</v>
      </c>
      <c r="EU559" t="e">
        <f>AND(#REF!,"AAAAAE3ORZY=")</f>
        <v>#REF!</v>
      </c>
      <c r="EV559" t="e">
        <f>AND(#REF!,"AAAAAE3ORZc=")</f>
        <v>#REF!</v>
      </c>
      <c r="EW559" t="e">
        <f>AND(#REF!,"AAAAAE3ORZg=")</f>
        <v>#REF!</v>
      </c>
      <c r="EX559" t="e">
        <f>AND(#REF!,"AAAAAE3ORZk=")</f>
        <v>#REF!</v>
      </c>
      <c r="EY559" t="e">
        <f>AND(#REF!,"AAAAAE3ORZo=")</f>
        <v>#REF!</v>
      </c>
      <c r="EZ559" t="e">
        <f>AND(#REF!,"AAAAAE3ORZs=")</f>
        <v>#REF!</v>
      </c>
      <c r="FA559" t="e">
        <f>AND(#REF!,"AAAAAE3ORZw=")</f>
        <v>#REF!</v>
      </c>
      <c r="FB559" t="e">
        <f>AND(#REF!,"AAAAAE3ORZ0=")</f>
        <v>#REF!</v>
      </c>
      <c r="FC559" t="e">
        <f>AND(#REF!,"AAAAAE3ORZ4=")</f>
        <v>#REF!</v>
      </c>
      <c r="FD559" t="e">
        <f>AND(#REF!,"AAAAAE3ORZ8=")</f>
        <v>#REF!</v>
      </c>
      <c r="FE559" t="e">
        <f>AND(#REF!,"AAAAAE3ORaA=")</f>
        <v>#REF!</v>
      </c>
      <c r="FF559" t="e">
        <f>AND(#REF!,"AAAAAE3ORaE=")</f>
        <v>#REF!</v>
      </c>
      <c r="FG559" t="e">
        <f>IF(#REF!,"AAAAAE3ORaI=",0)</f>
        <v>#REF!</v>
      </c>
      <c r="FH559" t="e">
        <f>AND(#REF!,"AAAAAE3ORaM=")</f>
        <v>#REF!</v>
      </c>
      <c r="FI559" t="e">
        <f>AND(#REF!,"AAAAAE3ORaQ=")</f>
        <v>#REF!</v>
      </c>
      <c r="FJ559" t="e">
        <f>AND(#REF!,"AAAAAE3ORaU=")</f>
        <v>#REF!</v>
      </c>
      <c r="FK559" t="e">
        <f>AND(#REF!,"AAAAAE3ORaY=")</f>
        <v>#REF!</v>
      </c>
      <c r="FL559" t="e">
        <f>AND(#REF!,"AAAAAE3ORac=")</f>
        <v>#REF!</v>
      </c>
      <c r="FM559" t="e">
        <f>AND(#REF!,"AAAAAE3ORag=")</f>
        <v>#REF!</v>
      </c>
      <c r="FN559" t="e">
        <f>AND(#REF!,"AAAAAE3ORak=")</f>
        <v>#REF!</v>
      </c>
      <c r="FO559" t="e">
        <f>AND(#REF!,"AAAAAE3ORao=")</f>
        <v>#REF!</v>
      </c>
      <c r="FP559" t="e">
        <f>AND(#REF!,"AAAAAE3ORas=")</f>
        <v>#REF!</v>
      </c>
      <c r="FQ559" t="e">
        <f>AND(#REF!,"AAAAAE3ORaw=")</f>
        <v>#REF!</v>
      </c>
      <c r="FR559" t="e">
        <f>AND(#REF!,"AAAAAE3ORa0=")</f>
        <v>#REF!</v>
      </c>
      <c r="FS559" t="e">
        <f>AND(#REF!,"AAAAAE3ORa4=")</f>
        <v>#REF!</v>
      </c>
      <c r="FT559" t="e">
        <f>AND(#REF!,"AAAAAE3ORa8=")</f>
        <v>#REF!</v>
      </c>
      <c r="FU559" t="e">
        <f>AND(#REF!,"AAAAAE3ORbA=")</f>
        <v>#REF!</v>
      </c>
      <c r="FV559" t="e">
        <f>AND(#REF!,"AAAAAE3ORbE=")</f>
        <v>#REF!</v>
      </c>
      <c r="FW559" t="e">
        <f>AND(#REF!,"AAAAAE3ORbI=")</f>
        <v>#REF!</v>
      </c>
      <c r="FX559" t="e">
        <f>AND(#REF!,"AAAAAE3ORbM=")</f>
        <v>#REF!</v>
      </c>
      <c r="FY559" t="e">
        <f>AND(#REF!,"AAAAAE3ORbQ=")</f>
        <v>#REF!</v>
      </c>
      <c r="FZ559" t="e">
        <f>AND(#REF!,"AAAAAE3ORbU=")</f>
        <v>#REF!</v>
      </c>
      <c r="GA559" t="e">
        <f>AND(#REF!,"AAAAAE3ORbY=")</f>
        <v>#REF!</v>
      </c>
      <c r="GB559" t="e">
        <f>AND(#REF!,"AAAAAE3ORbc=")</f>
        <v>#REF!</v>
      </c>
      <c r="GC559" t="e">
        <f>AND(#REF!,"AAAAAE3ORbg=")</f>
        <v>#REF!</v>
      </c>
      <c r="GD559" t="e">
        <f>AND(#REF!,"AAAAAE3ORbk=")</f>
        <v>#REF!</v>
      </c>
      <c r="GE559" t="e">
        <f>AND(#REF!,"AAAAAE3ORbo=")</f>
        <v>#REF!</v>
      </c>
      <c r="GF559" t="e">
        <f>IF(#REF!,"AAAAAE3ORbs=",0)</f>
        <v>#REF!</v>
      </c>
      <c r="GG559" t="e">
        <f>AND(#REF!,"AAAAAE3ORbw=")</f>
        <v>#REF!</v>
      </c>
      <c r="GH559" t="e">
        <f>AND(#REF!,"AAAAAE3ORb0=")</f>
        <v>#REF!</v>
      </c>
      <c r="GI559" t="e">
        <f>AND(#REF!,"AAAAAE3ORb4=")</f>
        <v>#REF!</v>
      </c>
      <c r="GJ559" t="e">
        <f>AND(#REF!,"AAAAAE3ORb8=")</f>
        <v>#REF!</v>
      </c>
      <c r="GK559" t="e">
        <f>AND(#REF!,"AAAAAE3ORcA=")</f>
        <v>#REF!</v>
      </c>
      <c r="GL559" t="e">
        <f>AND(#REF!,"AAAAAE3ORcE=")</f>
        <v>#REF!</v>
      </c>
      <c r="GM559" t="e">
        <f>AND(#REF!,"AAAAAE3ORcI=")</f>
        <v>#REF!</v>
      </c>
      <c r="GN559" t="e">
        <f>AND(#REF!,"AAAAAE3ORcM=")</f>
        <v>#REF!</v>
      </c>
      <c r="GO559" t="e">
        <f>AND(#REF!,"AAAAAE3ORcQ=")</f>
        <v>#REF!</v>
      </c>
      <c r="GP559" t="e">
        <f>AND(#REF!,"AAAAAE3ORcU=")</f>
        <v>#REF!</v>
      </c>
      <c r="GQ559" t="e">
        <f>AND(#REF!,"AAAAAE3ORcY=")</f>
        <v>#REF!</v>
      </c>
      <c r="GR559" t="e">
        <f>AND(#REF!,"AAAAAE3ORcc=")</f>
        <v>#REF!</v>
      </c>
      <c r="GS559" t="e">
        <f>AND(#REF!,"AAAAAE3ORcg=")</f>
        <v>#REF!</v>
      </c>
      <c r="GT559" t="e">
        <f>AND(#REF!,"AAAAAE3ORck=")</f>
        <v>#REF!</v>
      </c>
      <c r="GU559" t="e">
        <f>AND(#REF!,"AAAAAE3ORco=")</f>
        <v>#REF!</v>
      </c>
      <c r="GV559" t="e">
        <f>AND(#REF!,"AAAAAE3ORcs=")</f>
        <v>#REF!</v>
      </c>
      <c r="GW559" t="e">
        <f>AND(#REF!,"AAAAAE3ORcw=")</f>
        <v>#REF!</v>
      </c>
      <c r="GX559" t="e">
        <f>AND(#REF!,"AAAAAE3ORc0=")</f>
        <v>#REF!</v>
      </c>
      <c r="GY559" t="e">
        <f>AND(#REF!,"AAAAAE3ORc4=")</f>
        <v>#REF!</v>
      </c>
      <c r="GZ559" t="e">
        <f>AND(#REF!,"AAAAAE3ORc8=")</f>
        <v>#REF!</v>
      </c>
      <c r="HA559" t="e">
        <f>AND(#REF!,"AAAAAE3ORdA=")</f>
        <v>#REF!</v>
      </c>
      <c r="HB559" t="e">
        <f>AND(#REF!,"AAAAAE3ORdE=")</f>
        <v>#REF!</v>
      </c>
      <c r="HC559" t="e">
        <f>AND(#REF!,"AAAAAE3ORdI=")</f>
        <v>#REF!</v>
      </c>
      <c r="HD559" t="e">
        <f>AND(#REF!,"AAAAAE3ORdM=")</f>
        <v>#REF!</v>
      </c>
      <c r="HE559" t="e">
        <f>IF(#REF!,"AAAAAE3ORdQ=",0)</f>
        <v>#REF!</v>
      </c>
      <c r="HF559" t="e">
        <f>AND(#REF!,"AAAAAE3ORdU=")</f>
        <v>#REF!</v>
      </c>
      <c r="HG559" t="e">
        <f>AND(#REF!,"AAAAAE3ORdY=")</f>
        <v>#REF!</v>
      </c>
      <c r="HH559" t="e">
        <f>AND(#REF!,"AAAAAE3ORdc=")</f>
        <v>#REF!</v>
      </c>
      <c r="HI559" t="e">
        <f>AND(#REF!,"AAAAAE3ORdg=")</f>
        <v>#REF!</v>
      </c>
      <c r="HJ559" t="e">
        <f>AND(#REF!,"AAAAAE3ORdk=")</f>
        <v>#REF!</v>
      </c>
      <c r="HK559" t="e">
        <f>AND(#REF!,"AAAAAE3ORdo=")</f>
        <v>#REF!</v>
      </c>
      <c r="HL559" t="e">
        <f>AND(#REF!,"AAAAAE3ORds=")</f>
        <v>#REF!</v>
      </c>
      <c r="HM559" t="e">
        <f>AND(#REF!,"AAAAAE3ORdw=")</f>
        <v>#REF!</v>
      </c>
      <c r="HN559" t="e">
        <f>AND(#REF!,"AAAAAE3ORd0=")</f>
        <v>#REF!</v>
      </c>
      <c r="HO559" t="e">
        <f>AND(#REF!,"AAAAAE3ORd4=")</f>
        <v>#REF!</v>
      </c>
      <c r="HP559" t="e">
        <f>AND(#REF!,"AAAAAE3ORd8=")</f>
        <v>#REF!</v>
      </c>
      <c r="HQ559" t="e">
        <f>AND(#REF!,"AAAAAE3OReA=")</f>
        <v>#REF!</v>
      </c>
      <c r="HR559" t="e">
        <f>AND(#REF!,"AAAAAE3OReE=")</f>
        <v>#REF!</v>
      </c>
      <c r="HS559" t="e">
        <f>AND(#REF!,"AAAAAE3OReI=")</f>
        <v>#REF!</v>
      </c>
      <c r="HT559" t="e">
        <f>AND(#REF!,"AAAAAE3OReM=")</f>
        <v>#REF!</v>
      </c>
      <c r="HU559" t="e">
        <f>AND(#REF!,"AAAAAE3OReQ=")</f>
        <v>#REF!</v>
      </c>
      <c r="HV559" t="e">
        <f>AND(#REF!,"AAAAAE3OReU=")</f>
        <v>#REF!</v>
      </c>
      <c r="HW559" t="e">
        <f>AND(#REF!,"AAAAAE3OReY=")</f>
        <v>#REF!</v>
      </c>
      <c r="HX559" t="e">
        <f>AND(#REF!,"AAAAAE3ORec=")</f>
        <v>#REF!</v>
      </c>
      <c r="HY559" t="e">
        <f>AND(#REF!,"AAAAAE3OReg=")</f>
        <v>#REF!</v>
      </c>
      <c r="HZ559" t="e">
        <f>AND(#REF!,"AAAAAE3ORek=")</f>
        <v>#REF!</v>
      </c>
      <c r="IA559" t="e">
        <f>AND(#REF!,"AAAAAE3OReo=")</f>
        <v>#REF!</v>
      </c>
      <c r="IB559" t="e">
        <f>AND(#REF!,"AAAAAE3ORes=")</f>
        <v>#REF!</v>
      </c>
      <c r="IC559" t="e">
        <f>AND(#REF!,"AAAAAE3ORew=")</f>
        <v>#REF!</v>
      </c>
      <c r="ID559" t="e">
        <f>IF(#REF!,"AAAAAE3ORe0=",0)</f>
        <v>#REF!</v>
      </c>
      <c r="IE559" t="e">
        <f>AND(#REF!,"AAAAAE3ORe4=")</f>
        <v>#REF!</v>
      </c>
      <c r="IF559" t="e">
        <f>AND(#REF!,"AAAAAE3ORe8=")</f>
        <v>#REF!</v>
      </c>
      <c r="IG559" t="e">
        <f>AND(#REF!,"AAAAAE3ORfA=")</f>
        <v>#REF!</v>
      </c>
      <c r="IH559" t="e">
        <f>AND(#REF!,"AAAAAE3ORfE=")</f>
        <v>#REF!</v>
      </c>
      <c r="II559" t="e">
        <f>AND(#REF!,"AAAAAE3ORfI=")</f>
        <v>#REF!</v>
      </c>
      <c r="IJ559" t="e">
        <f>AND(#REF!,"AAAAAE3ORfM=")</f>
        <v>#REF!</v>
      </c>
      <c r="IK559" t="e">
        <f>AND(#REF!,"AAAAAE3ORfQ=")</f>
        <v>#REF!</v>
      </c>
      <c r="IL559" t="e">
        <f>AND(#REF!,"AAAAAE3ORfU=")</f>
        <v>#REF!</v>
      </c>
      <c r="IM559" t="e">
        <f>AND(#REF!,"AAAAAE3ORfY=")</f>
        <v>#REF!</v>
      </c>
      <c r="IN559" t="e">
        <f>AND(#REF!,"AAAAAE3ORfc=")</f>
        <v>#REF!</v>
      </c>
      <c r="IO559" t="e">
        <f>AND(#REF!,"AAAAAE3ORfg=")</f>
        <v>#REF!</v>
      </c>
      <c r="IP559" t="e">
        <f>AND(#REF!,"AAAAAE3ORfk=")</f>
        <v>#REF!</v>
      </c>
      <c r="IQ559" t="e">
        <f>AND(#REF!,"AAAAAE3ORfo=")</f>
        <v>#REF!</v>
      </c>
      <c r="IR559" t="e">
        <f>AND(#REF!,"AAAAAE3ORfs=")</f>
        <v>#REF!</v>
      </c>
      <c r="IS559" t="e">
        <f>AND(#REF!,"AAAAAE3ORfw=")</f>
        <v>#REF!</v>
      </c>
      <c r="IT559" t="e">
        <f>AND(#REF!,"AAAAAE3ORf0=")</f>
        <v>#REF!</v>
      </c>
      <c r="IU559" t="e">
        <f>AND(#REF!,"AAAAAE3ORf4=")</f>
        <v>#REF!</v>
      </c>
      <c r="IV559" t="e">
        <f>AND(#REF!,"AAAAAE3ORf8=")</f>
        <v>#REF!</v>
      </c>
    </row>
    <row r="560" spans="1:256">
      <c r="A560" t="e">
        <f>AND(#REF!,"AAAAAD19OwA=")</f>
        <v>#REF!</v>
      </c>
      <c r="B560" t="e">
        <f>AND(#REF!,"AAAAAD19OwE=")</f>
        <v>#REF!</v>
      </c>
      <c r="C560" t="e">
        <f>AND(#REF!,"AAAAAD19OwI=")</f>
        <v>#REF!</v>
      </c>
      <c r="D560" t="e">
        <f>AND(#REF!,"AAAAAD19OwM=")</f>
        <v>#REF!</v>
      </c>
      <c r="E560" t="e">
        <f>AND(#REF!,"AAAAAD19OwQ=")</f>
        <v>#REF!</v>
      </c>
      <c r="F560" t="e">
        <f>AND(#REF!,"AAAAAD19OwU=")</f>
        <v>#REF!</v>
      </c>
      <c r="G560" t="e">
        <f>IF(#REF!,"AAAAAD19OwY=",0)</f>
        <v>#REF!</v>
      </c>
      <c r="H560" t="e">
        <f>AND(#REF!,"AAAAAD19Owc=")</f>
        <v>#REF!</v>
      </c>
      <c r="I560" t="e">
        <f>AND(#REF!,"AAAAAD19Owg=")</f>
        <v>#REF!</v>
      </c>
      <c r="J560" t="e">
        <f>AND(#REF!,"AAAAAD19Owk=")</f>
        <v>#REF!</v>
      </c>
      <c r="K560" t="e">
        <f>AND(#REF!,"AAAAAD19Owo=")</f>
        <v>#REF!</v>
      </c>
      <c r="L560" t="e">
        <f>AND(#REF!,"AAAAAD19Ows=")</f>
        <v>#REF!</v>
      </c>
      <c r="M560" t="e">
        <f>AND(#REF!,"AAAAAD19Oww=")</f>
        <v>#REF!</v>
      </c>
      <c r="N560" t="e">
        <f>AND(#REF!,"AAAAAD19Ow0=")</f>
        <v>#REF!</v>
      </c>
      <c r="O560" t="e">
        <f>AND(#REF!,"AAAAAD19Ow4=")</f>
        <v>#REF!</v>
      </c>
      <c r="P560" t="e">
        <f>AND(#REF!,"AAAAAD19Ow8=")</f>
        <v>#REF!</v>
      </c>
      <c r="Q560" t="e">
        <f>AND(#REF!,"AAAAAD19OxA=")</f>
        <v>#REF!</v>
      </c>
      <c r="R560" t="e">
        <f>AND(#REF!,"AAAAAD19OxE=")</f>
        <v>#REF!</v>
      </c>
      <c r="S560" t="e">
        <f>AND(#REF!,"AAAAAD19OxI=")</f>
        <v>#REF!</v>
      </c>
      <c r="T560" t="e">
        <f>AND(#REF!,"AAAAAD19OxM=")</f>
        <v>#REF!</v>
      </c>
      <c r="U560" t="e">
        <f>AND(#REF!,"AAAAAD19OxQ=")</f>
        <v>#REF!</v>
      </c>
      <c r="V560" t="e">
        <f>AND(#REF!,"AAAAAD19OxU=")</f>
        <v>#REF!</v>
      </c>
      <c r="W560" t="e">
        <f>AND(#REF!,"AAAAAD19OxY=")</f>
        <v>#REF!</v>
      </c>
      <c r="X560" t="e">
        <f>AND(#REF!,"AAAAAD19Oxc=")</f>
        <v>#REF!</v>
      </c>
      <c r="Y560" t="e">
        <f>AND(#REF!,"AAAAAD19Oxg=")</f>
        <v>#REF!</v>
      </c>
      <c r="Z560" t="e">
        <f>AND(#REF!,"AAAAAD19Oxk=")</f>
        <v>#REF!</v>
      </c>
      <c r="AA560" t="e">
        <f>AND(#REF!,"AAAAAD19Oxo=")</f>
        <v>#REF!</v>
      </c>
      <c r="AB560" t="e">
        <f>AND(#REF!,"AAAAAD19Oxs=")</f>
        <v>#REF!</v>
      </c>
      <c r="AC560" t="e">
        <f>AND(#REF!,"AAAAAD19Oxw=")</f>
        <v>#REF!</v>
      </c>
      <c r="AD560" t="e">
        <f>AND(#REF!,"AAAAAD19Ox0=")</f>
        <v>#REF!</v>
      </c>
      <c r="AE560" t="e">
        <f>AND(#REF!,"AAAAAD19Ox4=")</f>
        <v>#REF!</v>
      </c>
      <c r="AF560" t="e">
        <f>IF(#REF!,"AAAAAD19Ox8=",0)</f>
        <v>#REF!</v>
      </c>
      <c r="AG560" t="e">
        <f>AND(#REF!,"AAAAAD19OyA=")</f>
        <v>#REF!</v>
      </c>
      <c r="AH560" t="e">
        <f>AND(#REF!,"AAAAAD19OyE=")</f>
        <v>#REF!</v>
      </c>
      <c r="AI560" t="e">
        <f>AND(#REF!,"AAAAAD19OyI=")</f>
        <v>#REF!</v>
      </c>
      <c r="AJ560" t="e">
        <f>AND(#REF!,"AAAAAD19OyM=")</f>
        <v>#REF!</v>
      </c>
      <c r="AK560" t="e">
        <f>AND(#REF!,"AAAAAD19OyQ=")</f>
        <v>#REF!</v>
      </c>
      <c r="AL560" t="e">
        <f>AND(#REF!,"AAAAAD19OyU=")</f>
        <v>#REF!</v>
      </c>
      <c r="AM560" t="e">
        <f>AND(#REF!,"AAAAAD19OyY=")</f>
        <v>#REF!</v>
      </c>
      <c r="AN560" t="e">
        <f>AND(#REF!,"AAAAAD19Oyc=")</f>
        <v>#REF!</v>
      </c>
      <c r="AO560" t="e">
        <f>AND(#REF!,"AAAAAD19Oyg=")</f>
        <v>#REF!</v>
      </c>
      <c r="AP560" t="e">
        <f>AND(#REF!,"AAAAAD19Oyk=")</f>
        <v>#REF!</v>
      </c>
      <c r="AQ560" t="e">
        <f>AND(#REF!,"AAAAAD19Oyo=")</f>
        <v>#REF!</v>
      </c>
      <c r="AR560" t="e">
        <f>AND(#REF!,"AAAAAD19Oys=")</f>
        <v>#REF!</v>
      </c>
      <c r="AS560" t="e">
        <f>AND(#REF!,"AAAAAD19Oyw=")</f>
        <v>#REF!</v>
      </c>
      <c r="AT560" t="e">
        <f>AND(#REF!,"AAAAAD19Oy0=")</f>
        <v>#REF!</v>
      </c>
      <c r="AU560" t="e">
        <f>AND(#REF!,"AAAAAD19Oy4=")</f>
        <v>#REF!</v>
      </c>
      <c r="AV560" t="e">
        <f>AND(#REF!,"AAAAAD19Oy8=")</f>
        <v>#REF!</v>
      </c>
      <c r="AW560" t="e">
        <f>AND(#REF!,"AAAAAD19OzA=")</f>
        <v>#REF!</v>
      </c>
      <c r="AX560" t="e">
        <f>AND(#REF!,"AAAAAD19OzE=")</f>
        <v>#REF!</v>
      </c>
      <c r="AY560" t="e">
        <f>AND(#REF!,"AAAAAD19OzI=")</f>
        <v>#REF!</v>
      </c>
      <c r="AZ560" t="e">
        <f>AND(#REF!,"AAAAAD19OzM=")</f>
        <v>#REF!</v>
      </c>
      <c r="BA560" t="e">
        <f>AND(#REF!,"AAAAAD19OzQ=")</f>
        <v>#REF!</v>
      </c>
      <c r="BB560" t="e">
        <f>AND(#REF!,"AAAAAD19OzU=")</f>
        <v>#REF!</v>
      </c>
      <c r="BC560" t="e">
        <f>AND(#REF!,"AAAAAD19OzY=")</f>
        <v>#REF!</v>
      </c>
      <c r="BD560" t="e">
        <f>AND(#REF!,"AAAAAD19Ozc=")</f>
        <v>#REF!</v>
      </c>
      <c r="BE560" t="e">
        <f>IF(#REF!,"AAAAAD19Ozg=",0)</f>
        <v>#REF!</v>
      </c>
      <c r="BF560" t="e">
        <f>AND(#REF!,"AAAAAD19Ozk=")</f>
        <v>#REF!</v>
      </c>
      <c r="BG560" t="e">
        <f>AND(#REF!,"AAAAAD19Ozo=")</f>
        <v>#REF!</v>
      </c>
      <c r="BH560" t="e">
        <f>AND(#REF!,"AAAAAD19Ozs=")</f>
        <v>#REF!</v>
      </c>
      <c r="BI560" t="e">
        <f>AND(#REF!,"AAAAAD19Ozw=")</f>
        <v>#REF!</v>
      </c>
      <c r="BJ560" t="e">
        <f>AND(#REF!,"AAAAAD19Oz0=")</f>
        <v>#REF!</v>
      </c>
      <c r="BK560" t="e">
        <f>AND(#REF!,"AAAAAD19Oz4=")</f>
        <v>#REF!</v>
      </c>
      <c r="BL560" t="e">
        <f>AND(#REF!,"AAAAAD19Oz8=")</f>
        <v>#REF!</v>
      </c>
      <c r="BM560" t="e">
        <f>AND(#REF!,"AAAAAD19O0A=")</f>
        <v>#REF!</v>
      </c>
      <c r="BN560" t="e">
        <f>AND(#REF!,"AAAAAD19O0E=")</f>
        <v>#REF!</v>
      </c>
      <c r="BO560" t="e">
        <f>AND(#REF!,"AAAAAD19O0I=")</f>
        <v>#REF!</v>
      </c>
      <c r="BP560" t="e">
        <f>AND(#REF!,"AAAAAD19O0M=")</f>
        <v>#REF!</v>
      </c>
      <c r="BQ560" t="e">
        <f>AND(#REF!,"AAAAAD19O0Q=")</f>
        <v>#REF!</v>
      </c>
      <c r="BR560" t="e">
        <f>AND(#REF!,"AAAAAD19O0U=")</f>
        <v>#REF!</v>
      </c>
      <c r="BS560" t="e">
        <f>AND(#REF!,"AAAAAD19O0Y=")</f>
        <v>#REF!</v>
      </c>
      <c r="BT560" t="e">
        <f>AND(#REF!,"AAAAAD19O0c=")</f>
        <v>#REF!</v>
      </c>
      <c r="BU560" t="e">
        <f>AND(#REF!,"AAAAAD19O0g=")</f>
        <v>#REF!</v>
      </c>
      <c r="BV560" t="e">
        <f>AND(#REF!,"AAAAAD19O0k=")</f>
        <v>#REF!</v>
      </c>
      <c r="BW560" t="e">
        <f>AND(#REF!,"AAAAAD19O0o=")</f>
        <v>#REF!</v>
      </c>
      <c r="BX560" t="e">
        <f>AND(#REF!,"AAAAAD19O0s=")</f>
        <v>#REF!</v>
      </c>
      <c r="BY560" t="e">
        <f>AND(#REF!,"AAAAAD19O0w=")</f>
        <v>#REF!</v>
      </c>
      <c r="BZ560" t="e">
        <f>AND(#REF!,"AAAAAD19O00=")</f>
        <v>#REF!</v>
      </c>
      <c r="CA560" t="e">
        <f>AND(#REF!,"AAAAAD19O04=")</f>
        <v>#REF!</v>
      </c>
      <c r="CB560" t="e">
        <f>AND(#REF!,"AAAAAD19O08=")</f>
        <v>#REF!</v>
      </c>
      <c r="CC560" t="e">
        <f>AND(#REF!,"AAAAAD19O1A=")</f>
        <v>#REF!</v>
      </c>
      <c r="CD560" t="e">
        <f>IF(#REF!,"AAAAAD19O1E=",0)</f>
        <v>#REF!</v>
      </c>
      <c r="CE560" t="e">
        <f>AND(#REF!,"AAAAAD19O1I=")</f>
        <v>#REF!</v>
      </c>
      <c r="CF560" t="e">
        <f>AND(#REF!,"AAAAAD19O1M=")</f>
        <v>#REF!</v>
      </c>
      <c r="CG560" t="e">
        <f>AND(#REF!,"AAAAAD19O1Q=")</f>
        <v>#REF!</v>
      </c>
      <c r="CH560" t="e">
        <f>AND(#REF!,"AAAAAD19O1U=")</f>
        <v>#REF!</v>
      </c>
      <c r="CI560" t="e">
        <f>AND(#REF!,"AAAAAD19O1Y=")</f>
        <v>#REF!</v>
      </c>
      <c r="CJ560" t="e">
        <f>AND(#REF!,"AAAAAD19O1c=")</f>
        <v>#REF!</v>
      </c>
      <c r="CK560" t="e">
        <f>AND(#REF!,"AAAAAD19O1g=")</f>
        <v>#REF!</v>
      </c>
      <c r="CL560" t="e">
        <f>AND(#REF!,"AAAAAD19O1k=")</f>
        <v>#REF!</v>
      </c>
      <c r="CM560" t="e">
        <f>AND(#REF!,"AAAAAD19O1o=")</f>
        <v>#REF!</v>
      </c>
      <c r="CN560" t="e">
        <f>AND(#REF!,"AAAAAD19O1s=")</f>
        <v>#REF!</v>
      </c>
      <c r="CO560" t="e">
        <f>AND(#REF!,"AAAAAD19O1w=")</f>
        <v>#REF!</v>
      </c>
      <c r="CP560" t="e">
        <f>AND(#REF!,"AAAAAD19O10=")</f>
        <v>#REF!</v>
      </c>
      <c r="CQ560" t="e">
        <f>AND(#REF!,"AAAAAD19O14=")</f>
        <v>#REF!</v>
      </c>
      <c r="CR560" t="e">
        <f>AND(#REF!,"AAAAAD19O18=")</f>
        <v>#REF!</v>
      </c>
      <c r="CS560" t="e">
        <f>AND(#REF!,"AAAAAD19O2A=")</f>
        <v>#REF!</v>
      </c>
      <c r="CT560" t="e">
        <f>AND(#REF!,"AAAAAD19O2E=")</f>
        <v>#REF!</v>
      </c>
      <c r="CU560" t="e">
        <f>AND(#REF!,"AAAAAD19O2I=")</f>
        <v>#REF!</v>
      </c>
      <c r="CV560" t="e">
        <f>AND(#REF!,"AAAAAD19O2M=")</f>
        <v>#REF!</v>
      </c>
      <c r="CW560" t="e">
        <f>AND(#REF!,"AAAAAD19O2Q=")</f>
        <v>#REF!</v>
      </c>
      <c r="CX560" t="e">
        <f>AND(#REF!,"AAAAAD19O2U=")</f>
        <v>#REF!</v>
      </c>
      <c r="CY560" t="e">
        <f>AND(#REF!,"AAAAAD19O2Y=")</f>
        <v>#REF!</v>
      </c>
      <c r="CZ560" t="e">
        <f>AND(#REF!,"AAAAAD19O2c=")</f>
        <v>#REF!</v>
      </c>
      <c r="DA560" t="e">
        <f>AND(#REF!,"AAAAAD19O2g=")</f>
        <v>#REF!</v>
      </c>
      <c r="DB560" t="e">
        <f>AND(#REF!,"AAAAAD19O2k=")</f>
        <v>#REF!</v>
      </c>
      <c r="DC560" t="e">
        <f>IF(#REF!,"AAAAAD19O2o=",0)</f>
        <v>#REF!</v>
      </c>
      <c r="DD560" t="e">
        <f>AND(#REF!,"AAAAAD19O2s=")</f>
        <v>#REF!</v>
      </c>
      <c r="DE560" t="e">
        <f>AND(#REF!,"AAAAAD19O2w=")</f>
        <v>#REF!</v>
      </c>
      <c r="DF560" t="e">
        <f>AND(#REF!,"AAAAAD19O20=")</f>
        <v>#REF!</v>
      </c>
      <c r="DG560" t="e">
        <f>AND(#REF!,"AAAAAD19O24=")</f>
        <v>#REF!</v>
      </c>
      <c r="DH560" t="e">
        <f>AND(#REF!,"AAAAAD19O28=")</f>
        <v>#REF!</v>
      </c>
      <c r="DI560" t="e">
        <f>AND(#REF!,"AAAAAD19O3A=")</f>
        <v>#REF!</v>
      </c>
      <c r="DJ560" t="e">
        <f>AND(#REF!,"AAAAAD19O3E=")</f>
        <v>#REF!</v>
      </c>
      <c r="DK560" t="e">
        <f>AND(#REF!,"AAAAAD19O3I=")</f>
        <v>#REF!</v>
      </c>
      <c r="DL560" t="e">
        <f>AND(#REF!,"AAAAAD19O3M=")</f>
        <v>#REF!</v>
      </c>
      <c r="DM560" t="e">
        <f>AND(#REF!,"AAAAAD19O3Q=")</f>
        <v>#REF!</v>
      </c>
      <c r="DN560" t="e">
        <f>AND(#REF!,"AAAAAD19O3U=")</f>
        <v>#REF!</v>
      </c>
      <c r="DO560" t="e">
        <f>AND(#REF!,"AAAAAD19O3Y=")</f>
        <v>#REF!</v>
      </c>
      <c r="DP560" t="e">
        <f>AND(#REF!,"AAAAAD19O3c=")</f>
        <v>#REF!</v>
      </c>
      <c r="DQ560" t="e">
        <f>AND(#REF!,"AAAAAD19O3g=")</f>
        <v>#REF!</v>
      </c>
      <c r="DR560" t="e">
        <f>AND(#REF!,"AAAAAD19O3k=")</f>
        <v>#REF!</v>
      </c>
      <c r="DS560" t="e">
        <f>AND(#REF!,"AAAAAD19O3o=")</f>
        <v>#REF!</v>
      </c>
      <c r="DT560" t="e">
        <f>AND(#REF!,"AAAAAD19O3s=")</f>
        <v>#REF!</v>
      </c>
      <c r="DU560" t="e">
        <f>AND(#REF!,"AAAAAD19O3w=")</f>
        <v>#REF!</v>
      </c>
      <c r="DV560" t="e">
        <f>AND(#REF!,"AAAAAD19O30=")</f>
        <v>#REF!</v>
      </c>
      <c r="DW560" t="e">
        <f>AND(#REF!,"AAAAAD19O34=")</f>
        <v>#REF!</v>
      </c>
      <c r="DX560" t="e">
        <f>AND(#REF!,"AAAAAD19O38=")</f>
        <v>#REF!</v>
      </c>
      <c r="DY560" t="e">
        <f>AND(#REF!,"AAAAAD19O4A=")</f>
        <v>#REF!</v>
      </c>
      <c r="DZ560" t="e">
        <f>AND(#REF!,"AAAAAD19O4E=")</f>
        <v>#REF!</v>
      </c>
      <c r="EA560" t="e">
        <f>AND(#REF!,"AAAAAD19O4I=")</f>
        <v>#REF!</v>
      </c>
      <c r="EB560" t="e">
        <f>IF(#REF!,"AAAAAD19O4M=",0)</f>
        <v>#REF!</v>
      </c>
      <c r="EC560" t="e">
        <f>AND(#REF!,"AAAAAD19O4Q=")</f>
        <v>#REF!</v>
      </c>
      <c r="ED560" t="e">
        <f>AND(#REF!,"AAAAAD19O4U=")</f>
        <v>#REF!</v>
      </c>
      <c r="EE560" t="e">
        <f>AND(#REF!,"AAAAAD19O4Y=")</f>
        <v>#REF!</v>
      </c>
      <c r="EF560" t="e">
        <f>AND(#REF!,"AAAAAD19O4c=")</f>
        <v>#REF!</v>
      </c>
      <c r="EG560" t="e">
        <f>AND(#REF!,"AAAAAD19O4g=")</f>
        <v>#REF!</v>
      </c>
      <c r="EH560" t="e">
        <f>AND(#REF!,"AAAAAD19O4k=")</f>
        <v>#REF!</v>
      </c>
      <c r="EI560" t="e">
        <f>AND(#REF!,"AAAAAD19O4o=")</f>
        <v>#REF!</v>
      </c>
      <c r="EJ560" t="e">
        <f>AND(#REF!,"AAAAAD19O4s=")</f>
        <v>#REF!</v>
      </c>
      <c r="EK560" t="e">
        <f>AND(#REF!,"AAAAAD19O4w=")</f>
        <v>#REF!</v>
      </c>
      <c r="EL560" t="e">
        <f>AND(#REF!,"AAAAAD19O40=")</f>
        <v>#REF!</v>
      </c>
      <c r="EM560" t="e">
        <f>AND(#REF!,"AAAAAD19O44=")</f>
        <v>#REF!</v>
      </c>
      <c r="EN560" t="e">
        <f>AND(#REF!,"AAAAAD19O48=")</f>
        <v>#REF!</v>
      </c>
      <c r="EO560" t="e">
        <f>AND(#REF!,"AAAAAD19O5A=")</f>
        <v>#REF!</v>
      </c>
      <c r="EP560" t="e">
        <f>AND(#REF!,"AAAAAD19O5E=")</f>
        <v>#REF!</v>
      </c>
      <c r="EQ560" t="e">
        <f>AND(#REF!,"AAAAAD19O5I=")</f>
        <v>#REF!</v>
      </c>
      <c r="ER560" t="e">
        <f>AND(#REF!,"AAAAAD19O5M=")</f>
        <v>#REF!</v>
      </c>
      <c r="ES560" t="e">
        <f>AND(#REF!,"AAAAAD19O5Q=")</f>
        <v>#REF!</v>
      </c>
      <c r="ET560" t="e">
        <f>AND(#REF!,"AAAAAD19O5U=")</f>
        <v>#REF!</v>
      </c>
      <c r="EU560" t="e">
        <f>AND(#REF!,"AAAAAD19O5Y=")</f>
        <v>#REF!</v>
      </c>
      <c r="EV560" t="e">
        <f>AND(#REF!,"AAAAAD19O5c=")</f>
        <v>#REF!</v>
      </c>
      <c r="EW560" t="e">
        <f>AND(#REF!,"AAAAAD19O5g=")</f>
        <v>#REF!</v>
      </c>
      <c r="EX560" t="e">
        <f>AND(#REF!,"AAAAAD19O5k=")</f>
        <v>#REF!</v>
      </c>
      <c r="EY560" t="e">
        <f>AND(#REF!,"AAAAAD19O5o=")</f>
        <v>#REF!</v>
      </c>
      <c r="EZ560" t="e">
        <f>AND(#REF!,"AAAAAD19O5s=")</f>
        <v>#REF!</v>
      </c>
      <c r="FA560" t="e">
        <f>IF(#REF!,"AAAAAD19O5w=",0)</f>
        <v>#REF!</v>
      </c>
      <c r="FB560" t="e">
        <f>AND(#REF!,"AAAAAD19O50=")</f>
        <v>#REF!</v>
      </c>
      <c r="FC560" t="e">
        <f>AND(#REF!,"AAAAAD19O54=")</f>
        <v>#REF!</v>
      </c>
      <c r="FD560" t="e">
        <f>AND(#REF!,"AAAAAD19O58=")</f>
        <v>#REF!</v>
      </c>
      <c r="FE560" t="e">
        <f>AND(#REF!,"AAAAAD19O6A=")</f>
        <v>#REF!</v>
      </c>
      <c r="FF560" t="e">
        <f>AND(#REF!,"AAAAAD19O6E=")</f>
        <v>#REF!</v>
      </c>
      <c r="FG560" t="e">
        <f>AND(#REF!,"AAAAAD19O6I=")</f>
        <v>#REF!</v>
      </c>
      <c r="FH560" t="e">
        <f>AND(#REF!,"AAAAAD19O6M=")</f>
        <v>#REF!</v>
      </c>
      <c r="FI560" t="e">
        <f>AND(#REF!,"AAAAAD19O6Q=")</f>
        <v>#REF!</v>
      </c>
      <c r="FJ560" t="e">
        <f>AND(#REF!,"AAAAAD19O6U=")</f>
        <v>#REF!</v>
      </c>
      <c r="FK560" t="e">
        <f>AND(#REF!,"AAAAAD19O6Y=")</f>
        <v>#REF!</v>
      </c>
      <c r="FL560" t="e">
        <f>AND(#REF!,"AAAAAD19O6c=")</f>
        <v>#REF!</v>
      </c>
      <c r="FM560" t="e">
        <f>AND(#REF!,"AAAAAD19O6g=")</f>
        <v>#REF!</v>
      </c>
      <c r="FN560" t="e">
        <f>AND(#REF!,"AAAAAD19O6k=")</f>
        <v>#REF!</v>
      </c>
      <c r="FO560" t="e">
        <f>AND(#REF!,"AAAAAD19O6o=")</f>
        <v>#REF!</v>
      </c>
      <c r="FP560" t="e">
        <f>AND(#REF!,"AAAAAD19O6s=")</f>
        <v>#REF!</v>
      </c>
      <c r="FQ560" t="e">
        <f>AND(#REF!,"AAAAAD19O6w=")</f>
        <v>#REF!</v>
      </c>
      <c r="FR560" t="e">
        <f>AND(#REF!,"AAAAAD19O60=")</f>
        <v>#REF!</v>
      </c>
      <c r="FS560" t="e">
        <f>AND(#REF!,"AAAAAD19O64=")</f>
        <v>#REF!</v>
      </c>
      <c r="FT560" t="e">
        <f>AND(#REF!,"AAAAAD19O68=")</f>
        <v>#REF!</v>
      </c>
      <c r="FU560" t="e">
        <f>AND(#REF!,"AAAAAD19O7A=")</f>
        <v>#REF!</v>
      </c>
      <c r="FV560" t="e">
        <f>AND(#REF!,"AAAAAD19O7E=")</f>
        <v>#REF!</v>
      </c>
      <c r="FW560" t="e">
        <f>AND(#REF!,"AAAAAD19O7I=")</f>
        <v>#REF!</v>
      </c>
      <c r="FX560" t="e">
        <f>AND(#REF!,"AAAAAD19O7M=")</f>
        <v>#REF!</v>
      </c>
      <c r="FY560" t="e">
        <f>AND(#REF!,"AAAAAD19O7Q=")</f>
        <v>#REF!</v>
      </c>
      <c r="FZ560" t="e">
        <f>IF(#REF!,"AAAAAD19O7U=",0)</f>
        <v>#REF!</v>
      </c>
      <c r="GA560" t="e">
        <f>AND(#REF!,"AAAAAD19O7Y=")</f>
        <v>#REF!</v>
      </c>
      <c r="GB560" t="e">
        <f>AND(#REF!,"AAAAAD19O7c=")</f>
        <v>#REF!</v>
      </c>
      <c r="GC560" t="e">
        <f>AND(#REF!,"AAAAAD19O7g=")</f>
        <v>#REF!</v>
      </c>
      <c r="GD560" t="e">
        <f>AND(#REF!,"AAAAAD19O7k=")</f>
        <v>#REF!</v>
      </c>
      <c r="GE560" t="e">
        <f>AND(#REF!,"AAAAAD19O7o=")</f>
        <v>#REF!</v>
      </c>
      <c r="GF560" t="e">
        <f>AND(#REF!,"AAAAAD19O7s=")</f>
        <v>#REF!</v>
      </c>
      <c r="GG560" t="e">
        <f>AND(#REF!,"AAAAAD19O7w=")</f>
        <v>#REF!</v>
      </c>
      <c r="GH560" t="e">
        <f>AND(#REF!,"AAAAAD19O70=")</f>
        <v>#REF!</v>
      </c>
      <c r="GI560" t="e">
        <f>AND(#REF!,"AAAAAD19O74=")</f>
        <v>#REF!</v>
      </c>
      <c r="GJ560" t="e">
        <f>AND(#REF!,"AAAAAD19O78=")</f>
        <v>#REF!</v>
      </c>
      <c r="GK560" t="e">
        <f>AND(#REF!,"AAAAAD19O8A=")</f>
        <v>#REF!</v>
      </c>
      <c r="GL560" t="e">
        <f>AND(#REF!,"AAAAAD19O8E=")</f>
        <v>#REF!</v>
      </c>
      <c r="GM560" t="e">
        <f>AND(#REF!,"AAAAAD19O8I=")</f>
        <v>#REF!</v>
      </c>
      <c r="GN560" t="e">
        <f>AND(#REF!,"AAAAAD19O8M=")</f>
        <v>#REF!</v>
      </c>
      <c r="GO560" t="e">
        <f>AND(#REF!,"AAAAAD19O8Q=")</f>
        <v>#REF!</v>
      </c>
      <c r="GP560" t="e">
        <f>AND(#REF!,"AAAAAD19O8U=")</f>
        <v>#REF!</v>
      </c>
      <c r="GQ560" t="e">
        <f>AND(#REF!,"AAAAAD19O8Y=")</f>
        <v>#REF!</v>
      </c>
      <c r="GR560" t="e">
        <f>AND(#REF!,"AAAAAD19O8c=")</f>
        <v>#REF!</v>
      </c>
      <c r="GS560" t="e">
        <f>AND(#REF!,"AAAAAD19O8g=")</f>
        <v>#REF!</v>
      </c>
      <c r="GT560" t="e">
        <f>AND(#REF!,"AAAAAD19O8k=")</f>
        <v>#REF!</v>
      </c>
      <c r="GU560" t="e">
        <f>AND(#REF!,"AAAAAD19O8o=")</f>
        <v>#REF!</v>
      </c>
      <c r="GV560" t="e">
        <f>AND(#REF!,"AAAAAD19O8s=")</f>
        <v>#REF!</v>
      </c>
      <c r="GW560" t="e">
        <f>AND(#REF!,"AAAAAD19O8w=")</f>
        <v>#REF!</v>
      </c>
      <c r="GX560" t="e">
        <f>AND(#REF!,"AAAAAD19O80=")</f>
        <v>#REF!</v>
      </c>
      <c r="GY560" t="e">
        <f>IF(#REF!,"AAAAAD19O84=",0)</f>
        <v>#REF!</v>
      </c>
      <c r="GZ560" t="e">
        <f>AND(#REF!,"AAAAAD19O88=")</f>
        <v>#REF!</v>
      </c>
      <c r="HA560" t="e">
        <f>AND(#REF!,"AAAAAD19O9A=")</f>
        <v>#REF!</v>
      </c>
      <c r="HB560" t="e">
        <f>AND(#REF!,"AAAAAD19O9E=")</f>
        <v>#REF!</v>
      </c>
      <c r="HC560" t="e">
        <f>AND(#REF!,"AAAAAD19O9I=")</f>
        <v>#REF!</v>
      </c>
      <c r="HD560" t="e">
        <f>AND(#REF!,"AAAAAD19O9M=")</f>
        <v>#REF!</v>
      </c>
      <c r="HE560" t="e">
        <f>AND(#REF!,"AAAAAD19O9Q=")</f>
        <v>#REF!</v>
      </c>
      <c r="HF560" t="e">
        <f>AND(#REF!,"AAAAAD19O9U=")</f>
        <v>#REF!</v>
      </c>
      <c r="HG560" t="e">
        <f>AND(#REF!,"AAAAAD19O9Y=")</f>
        <v>#REF!</v>
      </c>
      <c r="HH560" t="e">
        <f>AND(#REF!,"AAAAAD19O9c=")</f>
        <v>#REF!</v>
      </c>
      <c r="HI560" t="e">
        <f>AND(#REF!,"AAAAAD19O9g=")</f>
        <v>#REF!</v>
      </c>
      <c r="HJ560" t="e">
        <f>AND(#REF!,"AAAAAD19O9k=")</f>
        <v>#REF!</v>
      </c>
      <c r="HK560" t="e">
        <f>AND(#REF!,"AAAAAD19O9o=")</f>
        <v>#REF!</v>
      </c>
      <c r="HL560" t="e">
        <f>AND(#REF!,"AAAAAD19O9s=")</f>
        <v>#REF!</v>
      </c>
      <c r="HM560" t="e">
        <f>AND(#REF!,"AAAAAD19O9w=")</f>
        <v>#REF!</v>
      </c>
      <c r="HN560" t="e">
        <f>AND(#REF!,"AAAAAD19O90=")</f>
        <v>#REF!</v>
      </c>
      <c r="HO560" t="e">
        <f>AND(#REF!,"AAAAAD19O94=")</f>
        <v>#REF!</v>
      </c>
      <c r="HP560" t="e">
        <f>AND(#REF!,"AAAAAD19O98=")</f>
        <v>#REF!</v>
      </c>
      <c r="HQ560" t="e">
        <f>AND(#REF!,"AAAAAD19O+A=")</f>
        <v>#REF!</v>
      </c>
      <c r="HR560" t="e">
        <f>AND(#REF!,"AAAAAD19O+E=")</f>
        <v>#REF!</v>
      </c>
      <c r="HS560" t="e">
        <f>AND(#REF!,"AAAAAD19O+I=")</f>
        <v>#REF!</v>
      </c>
      <c r="HT560" t="e">
        <f>AND(#REF!,"AAAAAD19O+M=")</f>
        <v>#REF!</v>
      </c>
      <c r="HU560" t="e">
        <f>AND(#REF!,"AAAAAD19O+Q=")</f>
        <v>#REF!</v>
      </c>
      <c r="HV560" t="e">
        <f>AND(#REF!,"AAAAAD19O+U=")</f>
        <v>#REF!</v>
      </c>
      <c r="HW560" t="e">
        <f>AND(#REF!,"AAAAAD19O+Y=")</f>
        <v>#REF!</v>
      </c>
      <c r="HX560" t="e">
        <f>IF(#REF!,"AAAAAD19O+c=",0)</f>
        <v>#REF!</v>
      </c>
      <c r="HY560" t="e">
        <f>AND(#REF!,"AAAAAD19O+g=")</f>
        <v>#REF!</v>
      </c>
      <c r="HZ560" t="e">
        <f>AND(#REF!,"AAAAAD19O+k=")</f>
        <v>#REF!</v>
      </c>
      <c r="IA560" t="e">
        <f>AND(#REF!,"AAAAAD19O+o=")</f>
        <v>#REF!</v>
      </c>
      <c r="IB560" t="e">
        <f>AND(#REF!,"AAAAAD19O+s=")</f>
        <v>#REF!</v>
      </c>
      <c r="IC560" t="e">
        <f>AND(#REF!,"AAAAAD19O+w=")</f>
        <v>#REF!</v>
      </c>
      <c r="ID560" t="e">
        <f>AND(#REF!,"AAAAAD19O+0=")</f>
        <v>#REF!</v>
      </c>
      <c r="IE560" t="e">
        <f>AND(#REF!,"AAAAAD19O+4=")</f>
        <v>#REF!</v>
      </c>
      <c r="IF560" t="e">
        <f>AND(#REF!,"AAAAAD19O+8=")</f>
        <v>#REF!</v>
      </c>
      <c r="IG560" t="e">
        <f>AND(#REF!,"AAAAAD19O/A=")</f>
        <v>#REF!</v>
      </c>
      <c r="IH560" t="e">
        <f>AND(#REF!,"AAAAAD19O/E=")</f>
        <v>#REF!</v>
      </c>
      <c r="II560" t="e">
        <f>AND(#REF!,"AAAAAD19O/I=")</f>
        <v>#REF!</v>
      </c>
      <c r="IJ560" t="e">
        <f>AND(#REF!,"AAAAAD19O/M=")</f>
        <v>#REF!</v>
      </c>
      <c r="IK560" t="e">
        <f>AND(#REF!,"AAAAAD19O/Q=")</f>
        <v>#REF!</v>
      </c>
      <c r="IL560" t="e">
        <f>AND(#REF!,"AAAAAD19O/U=")</f>
        <v>#REF!</v>
      </c>
      <c r="IM560" t="e">
        <f>AND(#REF!,"AAAAAD19O/Y=")</f>
        <v>#REF!</v>
      </c>
      <c r="IN560" t="e">
        <f>AND(#REF!,"AAAAAD19O/c=")</f>
        <v>#REF!</v>
      </c>
      <c r="IO560" t="e">
        <f>AND(#REF!,"AAAAAD19O/g=")</f>
        <v>#REF!</v>
      </c>
      <c r="IP560" t="e">
        <f>AND(#REF!,"AAAAAD19O/k=")</f>
        <v>#REF!</v>
      </c>
      <c r="IQ560" t="e">
        <f>AND(#REF!,"AAAAAD19O/o=")</f>
        <v>#REF!</v>
      </c>
      <c r="IR560" t="e">
        <f>AND(#REF!,"AAAAAD19O/s=")</f>
        <v>#REF!</v>
      </c>
      <c r="IS560" t="e">
        <f>AND(#REF!,"AAAAAD19O/w=")</f>
        <v>#REF!</v>
      </c>
      <c r="IT560" t="e">
        <f>AND(#REF!,"AAAAAD19O/0=")</f>
        <v>#REF!</v>
      </c>
      <c r="IU560" t="e">
        <f>AND(#REF!,"AAAAAD19O/4=")</f>
        <v>#REF!</v>
      </c>
      <c r="IV560" t="e">
        <f>AND(#REF!,"AAAAAD19O/8=")</f>
        <v>#REF!</v>
      </c>
    </row>
    <row r="561" spans="1:256">
      <c r="A561" t="e">
        <f>IF(#REF!,"AAAAAH9+7wA=",0)</f>
        <v>#REF!</v>
      </c>
      <c r="B561" t="e">
        <f>AND(#REF!,"AAAAAH9+7wE=")</f>
        <v>#REF!</v>
      </c>
      <c r="C561" t="e">
        <f>AND(#REF!,"AAAAAH9+7wI=")</f>
        <v>#REF!</v>
      </c>
      <c r="D561" t="e">
        <f>AND(#REF!,"AAAAAH9+7wM=")</f>
        <v>#REF!</v>
      </c>
      <c r="E561" t="e">
        <f>AND(#REF!,"AAAAAH9+7wQ=")</f>
        <v>#REF!</v>
      </c>
      <c r="F561" t="e">
        <f>AND(#REF!,"AAAAAH9+7wU=")</f>
        <v>#REF!</v>
      </c>
      <c r="G561" t="e">
        <f>AND(#REF!,"AAAAAH9+7wY=")</f>
        <v>#REF!</v>
      </c>
      <c r="H561" t="e">
        <f>AND(#REF!,"AAAAAH9+7wc=")</f>
        <v>#REF!</v>
      </c>
      <c r="I561" t="e">
        <f>AND(#REF!,"AAAAAH9+7wg=")</f>
        <v>#REF!</v>
      </c>
      <c r="J561" t="e">
        <f>AND(#REF!,"AAAAAH9+7wk=")</f>
        <v>#REF!</v>
      </c>
      <c r="K561" t="e">
        <f>AND(#REF!,"AAAAAH9+7wo=")</f>
        <v>#REF!</v>
      </c>
      <c r="L561" t="e">
        <f>AND(#REF!,"AAAAAH9+7ws=")</f>
        <v>#REF!</v>
      </c>
      <c r="M561" t="e">
        <f>AND(#REF!,"AAAAAH9+7ww=")</f>
        <v>#REF!</v>
      </c>
      <c r="N561" t="e">
        <f>AND(#REF!,"AAAAAH9+7w0=")</f>
        <v>#REF!</v>
      </c>
      <c r="O561" t="e">
        <f>AND(#REF!,"AAAAAH9+7w4=")</f>
        <v>#REF!</v>
      </c>
      <c r="P561" t="e">
        <f>AND(#REF!,"AAAAAH9+7w8=")</f>
        <v>#REF!</v>
      </c>
      <c r="Q561" t="e">
        <f>AND(#REF!,"AAAAAH9+7xA=")</f>
        <v>#REF!</v>
      </c>
      <c r="R561" t="e">
        <f>AND(#REF!,"AAAAAH9+7xE=")</f>
        <v>#REF!</v>
      </c>
      <c r="S561" t="e">
        <f>AND(#REF!,"AAAAAH9+7xI=")</f>
        <v>#REF!</v>
      </c>
      <c r="T561" t="e">
        <f>AND(#REF!,"AAAAAH9+7xM=")</f>
        <v>#REF!</v>
      </c>
      <c r="U561" t="e">
        <f>AND(#REF!,"AAAAAH9+7xQ=")</f>
        <v>#REF!</v>
      </c>
      <c r="V561" t="e">
        <f>AND(#REF!,"AAAAAH9+7xU=")</f>
        <v>#REF!</v>
      </c>
      <c r="W561" t="e">
        <f>AND(#REF!,"AAAAAH9+7xY=")</f>
        <v>#REF!</v>
      </c>
      <c r="X561" t="e">
        <f>AND(#REF!,"AAAAAH9+7xc=")</f>
        <v>#REF!</v>
      </c>
      <c r="Y561" t="e">
        <f>AND(#REF!,"AAAAAH9+7xg=")</f>
        <v>#REF!</v>
      </c>
      <c r="Z561" t="e">
        <f>IF(#REF!,"AAAAAH9+7xk=",0)</f>
        <v>#REF!</v>
      </c>
      <c r="AA561" t="e">
        <f>AND(#REF!,"AAAAAH9+7xo=")</f>
        <v>#REF!</v>
      </c>
      <c r="AB561" t="e">
        <f>AND(#REF!,"AAAAAH9+7xs=")</f>
        <v>#REF!</v>
      </c>
      <c r="AC561" t="e">
        <f>AND(#REF!,"AAAAAH9+7xw=")</f>
        <v>#REF!</v>
      </c>
      <c r="AD561" t="e">
        <f>AND(#REF!,"AAAAAH9+7x0=")</f>
        <v>#REF!</v>
      </c>
      <c r="AE561" t="e">
        <f>AND(#REF!,"AAAAAH9+7x4=")</f>
        <v>#REF!</v>
      </c>
      <c r="AF561" t="e">
        <f>AND(#REF!,"AAAAAH9+7x8=")</f>
        <v>#REF!</v>
      </c>
      <c r="AG561" t="e">
        <f>AND(#REF!,"AAAAAH9+7yA=")</f>
        <v>#REF!</v>
      </c>
      <c r="AH561" t="e">
        <f>AND(#REF!,"AAAAAH9+7yE=")</f>
        <v>#REF!</v>
      </c>
      <c r="AI561" t="e">
        <f>AND(#REF!,"AAAAAH9+7yI=")</f>
        <v>#REF!</v>
      </c>
      <c r="AJ561" t="e">
        <f>AND(#REF!,"AAAAAH9+7yM=")</f>
        <v>#REF!</v>
      </c>
      <c r="AK561" t="e">
        <f>AND(#REF!,"AAAAAH9+7yQ=")</f>
        <v>#REF!</v>
      </c>
      <c r="AL561" t="e">
        <f>AND(#REF!,"AAAAAH9+7yU=")</f>
        <v>#REF!</v>
      </c>
      <c r="AM561" t="e">
        <f>AND(#REF!,"AAAAAH9+7yY=")</f>
        <v>#REF!</v>
      </c>
      <c r="AN561" t="e">
        <f>AND(#REF!,"AAAAAH9+7yc=")</f>
        <v>#REF!</v>
      </c>
      <c r="AO561" t="e">
        <f>AND(#REF!,"AAAAAH9+7yg=")</f>
        <v>#REF!</v>
      </c>
      <c r="AP561" t="e">
        <f>AND(#REF!,"AAAAAH9+7yk=")</f>
        <v>#REF!</v>
      </c>
      <c r="AQ561" t="e">
        <f>AND(#REF!,"AAAAAH9+7yo=")</f>
        <v>#REF!</v>
      </c>
      <c r="AR561" t="e">
        <f>AND(#REF!,"AAAAAH9+7ys=")</f>
        <v>#REF!</v>
      </c>
      <c r="AS561" t="e">
        <f>AND(#REF!,"AAAAAH9+7yw=")</f>
        <v>#REF!</v>
      </c>
      <c r="AT561" t="e">
        <f>AND(#REF!,"AAAAAH9+7y0=")</f>
        <v>#REF!</v>
      </c>
      <c r="AU561" t="e">
        <f>AND(#REF!,"AAAAAH9+7y4=")</f>
        <v>#REF!</v>
      </c>
      <c r="AV561" t="e">
        <f>AND(#REF!,"AAAAAH9+7y8=")</f>
        <v>#REF!</v>
      </c>
      <c r="AW561" t="e">
        <f>AND(#REF!,"AAAAAH9+7zA=")</f>
        <v>#REF!</v>
      </c>
      <c r="AX561" t="e">
        <f>AND(#REF!,"AAAAAH9+7zE=")</f>
        <v>#REF!</v>
      </c>
      <c r="AY561" t="e">
        <f>IF(#REF!,"AAAAAH9+7zI=",0)</f>
        <v>#REF!</v>
      </c>
      <c r="AZ561" t="e">
        <f>AND(#REF!,"AAAAAH9+7zM=")</f>
        <v>#REF!</v>
      </c>
      <c r="BA561" t="e">
        <f>AND(#REF!,"AAAAAH9+7zQ=")</f>
        <v>#REF!</v>
      </c>
      <c r="BB561" t="e">
        <f>AND(#REF!,"AAAAAH9+7zU=")</f>
        <v>#REF!</v>
      </c>
      <c r="BC561" t="e">
        <f>AND(#REF!,"AAAAAH9+7zY=")</f>
        <v>#REF!</v>
      </c>
      <c r="BD561" t="e">
        <f>AND(#REF!,"AAAAAH9+7zc=")</f>
        <v>#REF!</v>
      </c>
      <c r="BE561" t="e">
        <f>AND(#REF!,"AAAAAH9+7zg=")</f>
        <v>#REF!</v>
      </c>
      <c r="BF561" t="e">
        <f>AND(#REF!,"AAAAAH9+7zk=")</f>
        <v>#REF!</v>
      </c>
      <c r="BG561" t="e">
        <f>AND(#REF!,"AAAAAH9+7zo=")</f>
        <v>#REF!</v>
      </c>
      <c r="BH561" t="e">
        <f>AND(#REF!,"AAAAAH9+7zs=")</f>
        <v>#REF!</v>
      </c>
      <c r="BI561" t="e">
        <f>AND(#REF!,"AAAAAH9+7zw=")</f>
        <v>#REF!</v>
      </c>
      <c r="BJ561" t="e">
        <f>AND(#REF!,"AAAAAH9+7z0=")</f>
        <v>#REF!</v>
      </c>
      <c r="BK561" t="e">
        <f>AND(#REF!,"AAAAAH9+7z4=")</f>
        <v>#REF!</v>
      </c>
      <c r="BL561" t="e">
        <f>AND(#REF!,"AAAAAH9+7z8=")</f>
        <v>#REF!</v>
      </c>
      <c r="BM561" t="e">
        <f>AND(#REF!,"AAAAAH9+70A=")</f>
        <v>#REF!</v>
      </c>
      <c r="BN561" t="e">
        <f>AND(#REF!,"AAAAAH9+70E=")</f>
        <v>#REF!</v>
      </c>
      <c r="BO561" t="e">
        <f>AND(#REF!,"AAAAAH9+70I=")</f>
        <v>#REF!</v>
      </c>
      <c r="BP561" t="e">
        <f>AND(#REF!,"AAAAAH9+70M=")</f>
        <v>#REF!</v>
      </c>
      <c r="BQ561" t="e">
        <f>AND(#REF!,"AAAAAH9+70Q=")</f>
        <v>#REF!</v>
      </c>
      <c r="BR561" t="e">
        <f>AND(#REF!,"AAAAAH9+70U=")</f>
        <v>#REF!</v>
      </c>
      <c r="BS561" t="e">
        <f>AND(#REF!,"AAAAAH9+70Y=")</f>
        <v>#REF!</v>
      </c>
      <c r="BT561" t="e">
        <f>AND(#REF!,"AAAAAH9+70c=")</f>
        <v>#REF!</v>
      </c>
      <c r="BU561" t="e">
        <f>AND(#REF!,"AAAAAH9+70g=")</f>
        <v>#REF!</v>
      </c>
      <c r="BV561" t="e">
        <f>AND(#REF!,"AAAAAH9+70k=")</f>
        <v>#REF!</v>
      </c>
      <c r="BW561" t="e">
        <f>AND(#REF!,"AAAAAH9+70o=")</f>
        <v>#REF!</v>
      </c>
      <c r="BX561" t="e">
        <f>IF(#REF!,"AAAAAH9+70s=",0)</f>
        <v>#REF!</v>
      </c>
      <c r="BY561" t="e">
        <f>AND(#REF!,"AAAAAH9+70w=")</f>
        <v>#REF!</v>
      </c>
      <c r="BZ561" t="e">
        <f>AND(#REF!,"AAAAAH9+700=")</f>
        <v>#REF!</v>
      </c>
      <c r="CA561" t="e">
        <f>AND(#REF!,"AAAAAH9+704=")</f>
        <v>#REF!</v>
      </c>
      <c r="CB561" t="e">
        <f>AND(#REF!,"AAAAAH9+708=")</f>
        <v>#REF!</v>
      </c>
      <c r="CC561" t="e">
        <f>AND(#REF!,"AAAAAH9+71A=")</f>
        <v>#REF!</v>
      </c>
      <c r="CD561" t="e">
        <f>AND(#REF!,"AAAAAH9+71E=")</f>
        <v>#REF!</v>
      </c>
      <c r="CE561" t="e">
        <f>AND(#REF!,"AAAAAH9+71I=")</f>
        <v>#REF!</v>
      </c>
      <c r="CF561" t="e">
        <f>AND(#REF!,"AAAAAH9+71M=")</f>
        <v>#REF!</v>
      </c>
      <c r="CG561" t="e">
        <f>AND(#REF!,"AAAAAH9+71Q=")</f>
        <v>#REF!</v>
      </c>
      <c r="CH561" t="e">
        <f>AND(#REF!,"AAAAAH9+71U=")</f>
        <v>#REF!</v>
      </c>
      <c r="CI561" t="e">
        <f>AND(#REF!,"AAAAAH9+71Y=")</f>
        <v>#REF!</v>
      </c>
      <c r="CJ561" t="e">
        <f>AND(#REF!,"AAAAAH9+71c=")</f>
        <v>#REF!</v>
      </c>
      <c r="CK561" t="e">
        <f>AND(#REF!,"AAAAAH9+71g=")</f>
        <v>#REF!</v>
      </c>
      <c r="CL561" t="e">
        <f>AND(#REF!,"AAAAAH9+71k=")</f>
        <v>#REF!</v>
      </c>
      <c r="CM561" t="e">
        <f>AND(#REF!,"AAAAAH9+71o=")</f>
        <v>#REF!</v>
      </c>
      <c r="CN561" t="e">
        <f>AND(#REF!,"AAAAAH9+71s=")</f>
        <v>#REF!</v>
      </c>
      <c r="CO561" t="e">
        <f>AND(#REF!,"AAAAAH9+71w=")</f>
        <v>#REF!</v>
      </c>
      <c r="CP561" t="e">
        <f>AND(#REF!,"AAAAAH9+710=")</f>
        <v>#REF!</v>
      </c>
      <c r="CQ561" t="e">
        <f>AND(#REF!,"AAAAAH9+714=")</f>
        <v>#REF!</v>
      </c>
      <c r="CR561" t="e">
        <f>AND(#REF!,"AAAAAH9+718=")</f>
        <v>#REF!</v>
      </c>
      <c r="CS561" t="e">
        <f>AND(#REF!,"AAAAAH9+72A=")</f>
        <v>#REF!</v>
      </c>
      <c r="CT561" t="e">
        <f>AND(#REF!,"AAAAAH9+72E=")</f>
        <v>#REF!</v>
      </c>
      <c r="CU561" t="e">
        <f>AND(#REF!,"AAAAAH9+72I=")</f>
        <v>#REF!</v>
      </c>
      <c r="CV561" t="e">
        <f>AND(#REF!,"AAAAAH9+72M=")</f>
        <v>#REF!</v>
      </c>
      <c r="CW561" t="e">
        <f>IF(#REF!,"AAAAAH9+72Q=",0)</f>
        <v>#REF!</v>
      </c>
      <c r="CX561" t="e">
        <f>AND(#REF!,"AAAAAH9+72U=")</f>
        <v>#REF!</v>
      </c>
      <c r="CY561" t="e">
        <f>AND(#REF!,"AAAAAH9+72Y=")</f>
        <v>#REF!</v>
      </c>
      <c r="CZ561" t="e">
        <f>AND(#REF!,"AAAAAH9+72c=")</f>
        <v>#REF!</v>
      </c>
      <c r="DA561" t="e">
        <f>AND(#REF!,"AAAAAH9+72g=")</f>
        <v>#REF!</v>
      </c>
      <c r="DB561" t="e">
        <f>AND(#REF!,"AAAAAH9+72k=")</f>
        <v>#REF!</v>
      </c>
      <c r="DC561" t="e">
        <f>AND(#REF!,"AAAAAH9+72o=")</f>
        <v>#REF!</v>
      </c>
      <c r="DD561" t="e">
        <f>AND(#REF!,"AAAAAH9+72s=")</f>
        <v>#REF!</v>
      </c>
      <c r="DE561" t="e">
        <f>AND(#REF!,"AAAAAH9+72w=")</f>
        <v>#REF!</v>
      </c>
      <c r="DF561" t="e">
        <f>AND(#REF!,"AAAAAH9+720=")</f>
        <v>#REF!</v>
      </c>
      <c r="DG561" t="e">
        <f>AND(#REF!,"AAAAAH9+724=")</f>
        <v>#REF!</v>
      </c>
      <c r="DH561" t="e">
        <f>AND(#REF!,"AAAAAH9+728=")</f>
        <v>#REF!</v>
      </c>
      <c r="DI561" t="e">
        <f>AND(#REF!,"AAAAAH9+73A=")</f>
        <v>#REF!</v>
      </c>
      <c r="DJ561" t="e">
        <f>AND(#REF!,"AAAAAH9+73E=")</f>
        <v>#REF!</v>
      </c>
      <c r="DK561" t="e">
        <f>AND(#REF!,"AAAAAH9+73I=")</f>
        <v>#REF!</v>
      </c>
      <c r="DL561" t="e">
        <f>AND(#REF!,"AAAAAH9+73M=")</f>
        <v>#REF!</v>
      </c>
      <c r="DM561" t="e">
        <f>AND(#REF!,"AAAAAH9+73Q=")</f>
        <v>#REF!</v>
      </c>
      <c r="DN561" t="e">
        <f>AND(#REF!,"AAAAAH9+73U=")</f>
        <v>#REF!</v>
      </c>
      <c r="DO561" t="e">
        <f>AND(#REF!,"AAAAAH9+73Y=")</f>
        <v>#REF!</v>
      </c>
      <c r="DP561" t="e">
        <f>AND(#REF!,"AAAAAH9+73c=")</f>
        <v>#REF!</v>
      </c>
      <c r="DQ561" t="e">
        <f>AND(#REF!,"AAAAAH9+73g=")</f>
        <v>#REF!</v>
      </c>
      <c r="DR561" t="e">
        <f>AND(#REF!,"AAAAAH9+73k=")</f>
        <v>#REF!</v>
      </c>
      <c r="DS561" t="e">
        <f>AND(#REF!,"AAAAAH9+73o=")</f>
        <v>#REF!</v>
      </c>
      <c r="DT561" t="e">
        <f>AND(#REF!,"AAAAAH9+73s=")</f>
        <v>#REF!</v>
      </c>
      <c r="DU561" t="e">
        <f>AND(#REF!,"AAAAAH9+73w=")</f>
        <v>#REF!</v>
      </c>
      <c r="DV561" t="e">
        <f>IF(#REF!,"AAAAAH9+730=",0)</f>
        <v>#REF!</v>
      </c>
      <c r="DW561" t="e">
        <f>AND(#REF!,"AAAAAH9+734=")</f>
        <v>#REF!</v>
      </c>
      <c r="DX561" t="e">
        <f>AND(#REF!,"AAAAAH9+738=")</f>
        <v>#REF!</v>
      </c>
      <c r="DY561" t="e">
        <f>AND(#REF!,"AAAAAH9+74A=")</f>
        <v>#REF!</v>
      </c>
      <c r="DZ561" t="e">
        <f>AND(#REF!,"AAAAAH9+74E=")</f>
        <v>#REF!</v>
      </c>
      <c r="EA561" t="e">
        <f>AND(#REF!,"AAAAAH9+74I=")</f>
        <v>#REF!</v>
      </c>
      <c r="EB561" t="e">
        <f>AND(#REF!,"AAAAAH9+74M=")</f>
        <v>#REF!</v>
      </c>
      <c r="EC561" t="e">
        <f>AND(#REF!,"AAAAAH9+74Q=")</f>
        <v>#REF!</v>
      </c>
      <c r="ED561" t="e">
        <f>AND(#REF!,"AAAAAH9+74U=")</f>
        <v>#REF!</v>
      </c>
      <c r="EE561" t="e">
        <f>AND(#REF!,"AAAAAH9+74Y=")</f>
        <v>#REF!</v>
      </c>
      <c r="EF561" t="e">
        <f>AND(#REF!,"AAAAAH9+74c=")</f>
        <v>#REF!</v>
      </c>
      <c r="EG561" t="e">
        <f>AND(#REF!,"AAAAAH9+74g=")</f>
        <v>#REF!</v>
      </c>
      <c r="EH561" t="e">
        <f>AND(#REF!,"AAAAAH9+74k=")</f>
        <v>#REF!</v>
      </c>
      <c r="EI561" t="e">
        <f>AND(#REF!,"AAAAAH9+74o=")</f>
        <v>#REF!</v>
      </c>
      <c r="EJ561" t="e">
        <f>AND(#REF!,"AAAAAH9+74s=")</f>
        <v>#REF!</v>
      </c>
      <c r="EK561" t="e">
        <f>AND(#REF!,"AAAAAH9+74w=")</f>
        <v>#REF!</v>
      </c>
      <c r="EL561" t="e">
        <f>AND(#REF!,"AAAAAH9+740=")</f>
        <v>#REF!</v>
      </c>
      <c r="EM561" t="e">
        <f>AND(#REF!,"AAAAAH9+744=")</f>
        <v>#REF!</v>
      </c>
      <c r="EN561" t="e">
        <f>AND(#REF!,"AAAAAH9+748=")</f>
        <v>#REF!</v>
      </c>
      <c r="EO561" t="e">
        <f>AND(#REF!,"AAAAAH9+75A=")</f>
        <v>#REF!</v>
      </c>
      <c r="EP561" t="e">
        <f>AND(#REF!,"AAAAAH9+75E=")</f>
        <v>#REF!</v>
      </c>
      <c r="EQ561" t="e">
        <f>AND(#REF!,"AAAAAH9+75I=")</f>
        <v>#REF!</v>
      </c>
      <c r="ER561" t="e">
        <f>AND(#REF!,"AAAAAH9+75M=")</f>
        <v>#REF!</v>
      </c>
      <c r="ES561" t="e">
        <f>AND(#REF!,"AAAAAH9+75Q=")</f>
        <v>#REF!</v>
      </c>
      <c r="ET561" t="e">
        <f>AND(#REF!,"AAAAAH9+75U=")</f>
        <v>#REF!</v>
      </c>
      <c r="EU561" t="e">
        <f>IF(#REF!,"AAAAAH9+75Y=",0)</f>
        <v>#REF!</v>
      </c>
      <c r="EV561" t="e">
        <f>AND(#REF!,"AAAAAH9+75c=")</f>
        <v>#REF!</v>
      </c>
      <c r="EW561" t="e">
        <f>AND(#REF!,"AAAAAH9+75g=")</f>
        <v>#REF!</v>
      </c>
      <c r="EX561" t="e">
        <f>AND(#REF!,"AAAAAH9+75k=")</f>
        <v>#REF!</v>
      </c>
      <c r="EY561" t="e">
        <f>AND(#REF!,"AAAAAH9+75o=")</f>
        <v>#REF!</v>
      </c>
      <c r="EZ561" t="e">
        <f>AND(#REF!,"AAAAAH9+75s=")</f>
        <v>#REF!</v>
      </c>
      <c r="FA561" t="e">
        <f>AND(#REF!,"AAAAAH9+75w=")</f>
        <v>#REF!</v>
      </c>
      <c r="FB561" t="e">
        <f>AND(#REF!,"AAAAAH9+750=")</f>
        <v>#REF!</v>
      </c>
      <c r="FC561" t="e">
        <f>AND(#REF!,"AAAAAH9+754=")</f>
        <v>#REF!</v>
      </c>
      <c r="FD561" t="e">
        <f>AND(#REF!,"AAAAAH9+758=")</f>
        <v>#REF!</v>
      </c>
      <c r="FE561" t="e">
        <f>AND(#REF!,"AAAAAH9+76A=")</f>
        <v>#REF!</v>
      </c>
      <c r="FF561" t="e">
        <f>AND(#REF!,"AAAAAH9+76E=")</f>
        <v>#REF!</v>
      </c>
      <c r="FG561" t="e">
        <f>AND(#REF!,"AAAAAH9+76I=")</f>
        <v>#REF!</v>
      </c>
      <c r="FH561" t="e">
        <f>AND(#REF!,"AAAAAH9+76M=")</f>
        <v>#REF!</v>
      </c>
      <c r="FI561" t="e">
        <f>AND(#REF!,"AAAAAH9+76Q=")</f>
        <v>#REF!</v>
      </c>
      <c r="FJ561" t="e">
        <f>AND(#REF!,"AAAAAH9+76U=")</f>
        <v>#REF!</v>
      </c>
      <c r="FK561" t="e">
        <f>AND(#REF!,"AAAAAH9+76Y=")</f>
        <v>#REF!</v>
      </c>
      <c r="FL561" t="e">
        <f>AND(#REF!,"AAAAAH9+76c=")</f>
        <v>#REF!</v>
      </c>
      <c r="FM561" t="e">
        <f>AND(#REF!,"AAAAAH9+76g=")</f>
        <v>#REF!</v>
      </c>
      <c r="FN561" t="e">
        <f>AND(#REF!,"AAAAAH9+76k=")</f>
        <v>#REF!</v>
      </c>
      <c r="FO561" t="e">
        <f>AND(#REF!,"AAAAAH9+76o=")</f>
        <v>#REF!</v>
      </c>
      <c r="FP561" t="e">
        <f>AND(#REF!,"AAAAAH9+76s=")</f>
        <v>#REF!</v>
      </c>
      <c r="FQ561" t="e">
        <f>AND(#REF!,"AAAAAH9+76w=")</f>
        <v>#REF!</v>
      </c>
      <c r="FR561" t="e">
        <f>AND(#REF!,"AAAAAH9+760=")</f>
        <v>#REF!</v>
      </c>
      <c r="FS561" t="e">
        <f>AND(#REF!,"AAAAAH9+764=")</f>
        <v>#REF!</v>
      </c>
      <c r="FT561" t="e">
        <f>IF(#REF!,"AAAAAH9+768=",0)</f>
        <v>#REF!</v>
      </c>
      <c r="FU561" t="e">
        <f>AND(#REF!,"AAAAAH9+77A=")</f>
        <v>#REF!</v>
      </c>
      <c r="FV561" t="e">
        <f>AND(#REF!,"AAAAAH9+77E=")</f>
        <v>#REF!</v>
      </c>
      <c r="FW561" t="e">
        <f>AND(#REF!,"AAAAAH9+77I=")</f>
        <v>#REF!</v>
      </c>
      <c r="FX561" t="e">
        <f>AND(#REF!,"AAAAAH9+77M=")</f>
        <v>#REF!</v>
      </c>
      <c r="FY561" t="e">
        <f>AND(#REF!,"AAAAAH9+77Q=")</f>
        <v>#REF!</v>
      </c>
      <c r="FZ561" t="e">
        <f>AND(#REF!,"AAAAAH9+77U=")</f>
        <v>#REF!</v>
      </c>
      <c r="GA561" t="e">
        <f>AND(#REF!,"AAAAAH9+77Y=")</f>
        <v>#REF!</v>
      </c>
      <c r="GB561" t="e">
        <f>AND(#REF!,"AAAAAH9+77c=")</f>
        <v>#REF!</v>
      </c>
      <c r="GC561" t="e">
        <f>AND(#REF!,"AAAAAH9+77g=")</f>
        <v>#REF!</v>
      </c>
      <c r="GD561" t="e">
        <f>AND(#REF!,"AAAAAH9+77k=")</f>
        <v>#REF!</v>
      </c>
      <c r="GE561" t="e">
        <f>AND(#REF!,"AAAAAH9+77o=")</f>
        <v>#REF!</v>
      </c>
      <c r="GF561" t="e">
        <f>AND(#REF!,"AAAAAH9+77s=")</f>
        <v>#REF!</v>
      </c>
      <c r="GG561" t="e">
        <f>AND(#REF!,"AAAAAH9+77w=")</f>
        <v>#REF!</v>
      </c>
      <c r="GH561" t="e">
        <f>AND(#REF!,"AAAAAH9+770=")</f>
        <v>#REF!</v>
      </c>
      <c r="GI561" t="e">
        <f>AND(#REF!,"AAAAAH9+774=")</f>
        <v>#REF!</v>
      </c>
      <c r="GJ561" t="e">
        <f>AND(#REF!,"AAAAAH9+778=")</f>
        <v>#REF!</v>
      </c>
      <c r="GK561" t="e">
        <f>AND(#REF!,"AAAAAH9+78A=")</f>
        <v>#REF!</v>
      </c>
      <c r="GL561" t="e">
        <f>AND(#REF!,"AAAAAH9+78E=")</f>
        <v>#REF!</v>
      </c>
      <c r="GM561" t="e">
        <f>AND(#REF!,"AAAAAH9+78I=")</f>
        <v>#REF!</v>
      </c>
      <c r="GN561" t="e">
        <f>AND(#REF!,"AAAAAH9+78M=")</f>
        <v>#REF!</v>
      </c>
      <c r="GO561" t="e">
        <f>AND(#REF!,"AAAAAH9+78Q=")</f>
        <v>#REF!</v>
      </c>
      <c r="GP561" t="e">
        <f>AND(#REF!,"AAAAAH9+78U=")</f>
        <v>#REF!</v>
      </c>
      <c r="GQ561" t="e">
        <f>AND(#REF!,"AAAAAH9+78Y=")</f>
        <v>#REF!</v>
      </c>
      <c r="GR561" t="e">
        <f>AND(#REF!,"AAAAAH9+78c=")</f>
        <v>#REF!</v>
      </c>
      <c r="GS561" t="e">
        <f>IF(#REF!,"AAAAAH9+78g=",0)</f>
        <v>#REF!</v>
      </c>
      <c r="GT561" t="e">
        <f>AND(#REF!,"AAAAAH9+78k=")</f>
        <v>#REF!</v>
      </c>
      <c r="GU561" t="e">
        <f>AND(#REF!,"AAAAAH9+78o=")</f>
        <v>#REF!</v>
      </c>
      <c r="GV561" t="e">
        <f>AND(#REF!,"AAAAAH9+78s=")</f>
        <v>#REF!</v>
      </c>
      <c r="GW561" t="e">
        <f>AND(#REF!,"AAAAAH9+78w=")</f>
        <v>#REF!</v>
      </c>
      <c r="GX561" t="e">
        <f>AND(#REF!,"AAAAAH9+780=")</f>
        <v>#REF!</v>
      </c>
      <c r="GY561" t="e">
        <f>AND(#REF!,"AAAAAH9+784=")</f>
        <v>#REF!</v>
      </c>
      <c r="GZ561" t="e">
        <f>AND(#REF!,"AAAAAH9+788=")</f>
        <v>#REF!</v>
      </c>
      <c r="HA561" t="e">
        <f>AND(#REF!,"AAAAAH9+79A=")</f>
        <v>#REF!</v>
      </c>
      <c r="HB561" t="e">
        <f>AND(#REF!,"AAAAAH9+79E=")</f>
        <v>#REF!</v>
      </c>
      <c r="HC561" t="e">
        <f>AND(#REF!,"AAAAAH9+79I=")</f>
        <v>#REF!</v>
      </c>
      <c r="HD561" t="e">
        <f>AND(#REF!,"AAAAAH9+79M=")</f>
        <v>#REF!</v>
      </c>
      <c r="HE561" t="e">
        <f>AND(#REF!,"AAAAAH9+79Q=")</f>
        <v>#REF!</v>
      </c>
      <c r="HF561" t="e">
        <f>AND(#REF!,"AAAAAH9+79U=")</f>
        <v>#REF!</v>
      </c>
      <c r="HG561" t="e">
        <f>AND(#REF!,"AAAAAH9+79Y=")</f>
        <v>#REF!</v>
      </c>
      <c r="HH561" t="e">
        <f>AND(#REF!,"AAAAAH9+79c=")</f>
        <v>#REF!</v>
      </c>
      <c r="HI561" t="e">
        <f>AND(#REF!,"AAAAAH9+79g=")</f>
        <v>#REF!</v>
      </c>
      <c r="HJ561" t="e">
        <f>AND(#REF!,"AAAAAH9+79k=")</f>
        <v>#REF!</v>
      </c>
      <c r="HK561" t="e">
        <f>AND(#REF!,"AAAAAH9+79o=")</f>
        <v>#REF!</v>
      </c>
      <c r="HL561" t="e">
        <f>AND(#REF!,"AAAAAH9+79s=")</f>
        <v>#REF!</v>
      </c>
      <c r="HM561" t="e">
        <f>AND(#REF!,"AAAAAH9+79w=")</f>
        <v>#REF!</v>
      </c>
      <c r="HN561" t="e">
        <f>AND(#REF!,"AAAAAH9+790=")</f>
        <v>#REF!</v>
      </c>
      <c r="HO561" t="e">
        <f>AND(#REF!,"AAAAAH9+794=")</f>
        <v>#REF!</v>
      </c>
      <c r="HP561" t="e">
        <f>AND(#REF!,"AAAAAH9+798=")</f>
        <v>#REF!</v>
      </c>
      <c r="HQ561" t="e">
        <f>AND(#REF!,"AAAAAH9+7+A=")</f>
        <v>#REF!</v>
      </c>
      <c r="HR561" t="e">
        <f>IF(#REF!,"AAAAAH9+7+E=",0)</f>
        <v>#REF!</v>
      </c>
      <c r="HS561" t="e">
        <f>AND(#REF!,"AAAAAH9+7+I=")</f>
        <v>#REF!</v>
      </c>
      <c r="HT561" t="e">
        <f>AND(#REF!,"AAAAAH9+7+M=")</f>
        <v>#REF!</v>
      </c>
      <c r="HU561" t="e">
        <f>AND(#REF!,"AAAAAH9+7+Q=")</f>
        <v>#REF!</v>
      </c>
      <c r="HV561" t="e">
        <f>AND(#REF!,"AAAAAH9+7+U=")</f>
        <v>#REF!</v>
      </c>
      <c r="HW561" t="e">
        <f>AND(#REF!,"AAAAAH9+7+Y=")</f>
        <v>#REF!</v>
      </c>
      <c r="HX561" t="e">
        <f>AND(#REF!,"AAAAAH9+7+c=")</f>
        <v>#REF!</v>
      </c>
      <c r="HY561" t="e">
        <f>AND(#REF!,"AAAAAH9+7+g=")</f>
        <v>#REF!</v>
      </c>
      <c r="HZ561" t="e">
        <f>AND(#REF!,"AAAAAH9+7+k=")</f>
        <v>#REF!</v>
      </c>
      <c r="IA561" t="e">
        <f>AND(#REF!,"AAAAAH9+7+o=")</f>
        <v>#REF!</v>
      </c>
      <c r="IB561" t="e">
        <f>AND(#REF!,"AAAAAH9+7+s=")</f>
        <v>#REF!</v>
      </c>
      <c r="IC561" t="e">
        <f>AND(#REF!,"AAAAAH9+7+w=")</f>
        <v>#REF!</v>
      </c>
      <c r="ID561" t="e">
        <f>AND(#REF!,"AAAAAH9+7+0=")</f>
        <v>#REF!</v>
      </c>
      <c r="IE561" t="e">
        <f>AND(#REF!,"AAAAAH9+7+4=")</f>
        <v>#REF!</v>
      </c>
      <c r="IF561" t="e">
        <f>AND(#REF!,"AAAAAH9+7+8=")</f>
        <v>#REF!</v>
      </c>
      <c r="IG561" t="e">
        <f>AND(#REF!,"AAAAAH9+7/A=")</f>
        <v>#REF!</v>
      </c>
      <c r="IH561" t="e">
        <f>AND(#REF!,"AAAAAH9+7/E=")</f>
        <v>#REF!</v>
      </c>
      <c r="II561" t="e">
        <f>AND(#REF!,"AAAAAH9+7/I=")</f>
        <v>#REF!</v>
      </c>
      <c r="IJ561" t="e">
        <f>AND(#REF!,"AAAAAH9+7/M=")</f>
        <v>#REF!</v>
      </c>
      <c r="IK561" t="e">
        <f>AND(#REF!,"AAAAAH9+7/Q=")</f>
        <v>#REF!</v>
      </c>
      <c r="IL561" t="e">
        <f>AND(#REF!,"AAAAAH9+7/U=")</f>
        <v>#REF!</v>
      </c>
      <c r="IM561" t="e">
        <f>AND(#REF!,"AAAAAH9+7/Y=")</f>
        <v>#REF!</v>
      </c>
      <c r="IN561" t="e">
        <f>AND(#REF!,"AAAAAH9+7/c=")</f>
        <v>#REF!</v>
      </c>
      <c r="IO561" t="e">
        <f>AND(#REF!,"AAAAAH9+7/g=")</f>
        <v>#REF!</v>
      </c>
      <c r="IP561" t="e">
        <f>AND(#REF!,"AAAAAH9+7/k=")</f>
        <v>#REF!</v>
      </c>
      <c r="IQ561" t="e">
        <f>IF(#REF!,"AAAAAH9+7/o=",0)</f>
        <v>#REF!</v>
      </c>
      <c r="IR561" t="e">
        <f>AND(#REF!,"AAAAAH9+7/s=")</f>
        <v>#REF!</v>
      </c>
      <c r="IS561" t="e">
        <f>AND(#REF!,"AAAAAH9+7/w=")</f>
        <v>#REF!</v>
      </c>
      <c r="IT561" t="e">
        <f>AND(#REF!,"AAAAAH9+7/0=")</f>
        <v>#REF!</v>
      </c>
      <c r="IU561" t="e">
        <f>AND(#REF!,"AAAAAH9+7/4=")</f>
        <v>#REF!</v>
      </c>
      <c r="IV561" t="e">
        <f>AND(#REF!,"AAAAAH9+7/8=")</f>
        <v>#REF!</v>
      </c>
    </row>
    <row r="562" spans="1:256">
      <c r="A562" t="e">
        <f>AND(#REF!,"AAAAAHd/RgA=")</f>
        <v>#REF!</v>
      </c>
      <c r="B562" t="e">
        <f>AND(#REF!,"AAAAAHd/RgE=")</f>
        <v>#REF!</v>
      </c>
      <c r="C562" t="e">
        <f>AND(#REF!,"AAAAAHd/RgI=")</f>
        <v>#REF!</v>
      </c>
      <c r="D562" t="e">
        <f>AND(#REF!,"AAAAAHd/RgM=")</f>
        <v>#REF!</v>
      </c>
      <c r="E562" t="e">
        <f>AND(#REF!,"AAAAAHd/RgQ=")</f>
        <v>#REF!</v>
      </c>
      <c r="F562" t="e">
        <f>AND(#REF!,"AAAAAHd/RgU=")</f>
        <v>#REF!</v>
      </c>
      <c r="G562" t="e">
        <f>AND(#REF!,"AAAAAHd/RgY=")</f>
        <v>#REF!</v>
      </c>
      <c r="H562" t="e">
        <f>AND(#REF!,"AAAAAHd/Rgc=")</f>
        <v>#REF!</v>
      </c>
      <c r="I562" t="e">
        <f>AND(#REF!,"AAAAAHd/Rgg=")</f>
        <v>#REF!</v>
      </c>
      <c r="J562" t="e">
        <f>AND(#REF!,"AAAAAHd/Rgk=")</f>
        <v>#REF!</v>
      </c>
      <c r="K562" t="e">
        <f>AND(#REF!,"AAAAAHd/Rgo=")</f>
        <v>#REF!</v>
      </c>
      <c r="L562" t="e">
        <f>AND(#REF!,"AAAAAHd/Rgs=")</f>
        <v>#REF!</v>
      </c>
      <c r="M562" t="e">
        <f>AND(#REF!,"AAAAAHd/Rgw=")</f>
        <v>#REF!</v>
      </c>
      <c r="N562" t="e">
        <f>AND(#REF!,"AAAAAHd/Rg0=")</f>
        <v>#REF!</v>
      </c>
      <c r="O562" t="e">
        <f>AND(#REF!,"AAAAAHd/Rg4=")</f>
        <v>#REF!</v>
      </c>
      <c r="P562" t="e">
        <f>AND(#REF!,"AAAAAHd/Rg8=")</f>
        <v>#REF!</v>
      </c>
      <c r="Q562" t="e">
        <f>AND(#REF!,"AAAAAHd/RhA=")</f>
        <v>#REF!</v>
      </c>
      <c r="R562" t="e">
        <f>AND(#REF!,"AAAAAHd/RhE=")</f>
        <v>#REF!</v>
      </c>
      <c r="S562" t="e">
        <f>AND(#REF!,"AAAAAHd/RhI=")</f>
        <v>#REF!</v>
      </c>
      <c r="T562" t="e">
        <f>IF(#REF!,"AAAAAHd/RhM=",0)</f>
        <v>#REF!</v>
      </c>
      <c r="U562" t="e">
        <f>AND(#REF!,"AAAAAHd/RhQ=")</f>
        <v>#REF!</v>
      </c>
      <c r="V562" t="e">
        <f>AND(#REF!,"AAAAAHd/RhU=")</f>
        <v>#REF!</v>
      </c>
      <c r="W562" t="e">
        <f>AND(#REF!,"AAAAAHd/RhY=")</f>
        <v>#REF!</v>
      </c>
      <c r="X562" t="e">
        <f>AND(#REF!,"AAAAAHd/Rhc=")</f>
        <v>#REF!</v>
      </c>
      <c r="Y562" t="e">
        <f>AND(#REF!,"AAAAAHd/Rhg=")</f>
        <v>#REF!</v>
      </c>
      <c r="Z562" t="e">
        <f>AND(#REF!,"AAAAAHd/Rhk=")</f>
        <v>#REF!</v>
      </c>
      <c r="AA562" t="e">
        <f>AND(#REF!,"AAAAAHd/Rho=")</f>
        <v>#REF!</v>
      </c>
      <c r="AB562" t="e">
        <f>AND(#REF!,"AAAAAHd/Rhs=")</f>
        <v>#REF!</v>
      </c>
      <c r="AC562" t="e">
        <f>AND(#REF!,"AAAAAHd/Rhw=")</f>
        <v>#REF!</v>
      </c>
      <c r="AD562" t="e">
        <f>AND(#REF!,"AAAAAHd/Rh0=")</f>
        <v>#REF!</v>
      </c>
      <c r="AE562" t="e">
        <f>AND(#REF!,"AAAAAHd/Rh4=")</f>
        <v>#REF!</v>
      </c>
      <c r="AF562" t="e">
        <f>AND(#REF!,"AAAAAHd/Rh8=")</f>
        <v>#REF!</v>
      </c>
      <c r="AG562" t="e">
        <f>AND(#REF!,"AAAAAHd/RiA=")</f>
        <v>#REF!</v>
      </c>
      <c r="AH562" t="e">
        <f>AND(#REF!,"AAAAAHd/RiE=")</f>
        <v>#REF!</v>
      </c>
      <c r="AI562" t="e">
        <f>AND(#REF!,"AAAAAHd/RiI=")</f>
        <v>#REF!</v>
      </c>
      <c r="AJ562" t="e">
        <f>AND(#REF!,"AAAAAHd/RiM=")</f>
        <v>#REF!</v>
      </c>
      <c r="AK562" t="e">
        <f>AND(#REF!,"AAAAAHd/RiQ=")</f>
        <v>#REF!</v>
      </c>
      <c r="AL562" t="e">
        <f>AND(#REF!,"AAAAAHd/RiU=")</f>
        <v>#REF!</v>
      </c>
      <c r="AM562" t="e">
        <f>AND(#REF!,"AAAAAHd/RiY=")</f>
        <v>#REF!</v>
      </c>
      <c r="AN562" t="e">
        <f>AND(#REF!,"AAAAAHd/Ric=")</f>
        <v>#REF!</v>
      </c>
      <c r="AO562" t="e">
        <f>AND(#REF!,"AAAAAHd/Rig=")</f>
        <v>#REF!</v>
      </c>
      <c r="AP562" t="e">
        <f>AND(#REF!,"AAAAAHd/Rik=")</f>
        <v>#REF!</v>
      </c>
      <c r="AQ562" t="e">
        <f>AND(#REF!,"AAAAAHd/Rio=")</f>
        <v>#REF!</v>
      </c>
      <c r="AR562" t="e">
        <f>AND(#REF!,"AAAAAHd/Ris=")</f>
        <v>#REF!</v>
      </c>
      <c r="AS562" t="e">
        <f>IF(#REF!,"AAAAAHd/Riw=",0)</f>
        <v>#REF!</v>
      </c>
      <c r="AT562" t="e">
        <f>AND(#REF!,"AAAAAHd/Ri0=")</f>
        <v>#REF!</v>
      </c>
      <c r="AU562" t="e">
        <f>AND(#REF!,"AAAAAHd/Ri4=")</f>
        <v>#REF!</v>
      </c>
      <c r="AV562" t="e">
        <f>AND(#REF!,"AAAAAHd/Ri8=")</f>
        <v>#REF!</v>
      </c>
      <c r="AW562" t="e">
        <f>AND(#REF!,"AAAAAHd/RjA=")</f>
        <v>#REF!</v>
      </c>
      <c r="AX562" t="e">
        <f>AND(#REF!,"AAAAAHd/RjE=")</f>
        <v>#REF!</v>
      </c>
      <c r="AY562" t="e">
        <f>AND(#REF!,"AAAAAHd/RjI=")</f>
        <v>#REF!</v>
      </c>
      <c r="AZ562" t="e">
        <f>AND(#REF!,"AAAAAHd/RjM=")</f>
        <v>#REF!</v>
      </c>
      <c r="BA562" t="e">
        <f>AND(#REF!,"AAAAAHd/RjQ=")</f>
        <v>#REF!</v>
      </c>
      <c r="BB562" t="e">
        <f>AND(#REF!,"AAAAAHd/RjU=")</f>
        <v>#REF!</v>
      </c>
      <c r="BC562" t="e">
        <f>AND(#REF!,"AAAAAHd/RjY=")</f>
        <v>#REF!</v>
      </c>
      <c r="BD562" t="e">
        <f>AND(#REF!,"AAAAAHd/Rjc=")</f>
        <v>#REF!</v>
      </c>
      <c r="BE562" t="e">
        <f>AND(#REF!,"AAAAAHd/Rjg=")</f>
        <v>#REF!</v>
      </c>
      <c r="BF562" t="e">
        <f>AND(#REF!,"AAAAAHd/Rjk=")</f>
        <v>#REF!</v>
      </c>
      <c r="BG562" t="e">
        <f>AND(#REF!,"AAAAAHd/Rjo=")</f>
        <v>#REF!</v>
      </c>
      <c r="BH562" t="e">
        <f>AND(#REF!,"AAAAAHd/Rjs=")</f>
        <v>#REF!</v>
      </c>
      <c r="BI562" t="e">
        <f>AND(#REF!,"AAAAAHd/Rjw=")</f>
        <v>#REF!</v>
      </c>
      <c r="BJ562" t="e">
        <f>AND(#REF!,"AAAAAHd/Rj0=")</f>
        <v>#REF!</v>
      </c>
      <c r="BK562" t="e">
        <f>AND(#REF!,"AAAAAHd/Rj4=")</f>
        <v>#REF!</v>
      </c>
      <c r="BL562" t="e">
        <f>AND(#REF!,"AAAAAHd/Rj8=")</f>
        <v>#REF!</v>
      </c>
      <c r="BM562" t="e">
        <f>AND(#REF!,"AAAAAHd/RkA=")</f>
        <v>#REF!</v>
      </c>
      <c r="BN562" t="e">
        <f>AND(#REF!,"AAAAAHd/RkE=")</f>
        <v>#REF!</v>
      </c>
      <c r="BO562" t="e">
        <f>AND(#REF!,"AAAAAHd/RkI=")</f>
        <v>#REF!</v>
      </c>
      <c r="BP562" t="e">
        <f>AND(#REF!,"AAAAAHd/RkM=")</f>
        <v>#REF!</v>
      </c>
      <c r="BQ562" t="e">
        <f>AND(#REF!,"AAAAAHd/RkQ=")</f>
        <v>#REF!</v>
      </c>
      <c r="BR562" t="e">
        <f>IF(#REF!,"AAAAAHd/RkU=",0)</f>
        <v>#REF!</v>
      </c>
      <c r="BS562" t="e">
        <f>AND(#REF!,"AAAAAHd/RkY=")</f>
        <v>#REF!</v>
      </c>
      <c r="BT562" t="e">
        <f>AND(#REF!,"AAAAAHd/Rkc=")</f>
        <v>#REF!</v>
      </c>
      <c r="BU562" t="e">
        <f>AND(#REF!,"AAAAAHd/Rkg=")</f>
        <v>#REF!</v>
      </c>
      <c r="BV562" t="e">
        <f>AND(#REF!,"AAAAAHd/Rkk=")</f>
        <v>#REF!</v>
      </c>
      <c r="BW562" t="e">
        <f>AND(#REF!,"AAAAAHd/Rko=")</f>
        <v>#REF!</v>
      </c>
      <c r="BX562" t="e">
        <f>AND(#REF!,"AAAAAHd/Rks=")</f>
        <v>#REF!</v>
      </c>
      <c r="BY562" t="e">
        <f>AND(#REF!,"AAAAAHd/Rkw=")</f>
        <v>#REF!</v>
      </c>
      <c r="BZ562" t="e">
        <f>AND(#REF!,"AAAAAHd/Rk0=")</f>
        <v>#REF!</v>
      </c>
      <c r="CA562" t="e">
        <f>AND(#REF!,"AAAAAHd/Rk4=")</f>
        <v>#REF!</v>
      </c>
      <c r="CB562" t="e">
        <f>AND(#REF!,"AAAAAHd/Rk8=")</f>
        <v>#REF!</v>
      </c>
      <c r="CC562" t="e">
        <f>AND(#REF!,"AAAAAHd/RlA=")</f>
        <v>#REF!</v>
      </c>
      <c r="CD562" t="e">
        <f>AND(#REF!,"AAAAAHd/RlE=")</f>
        <v>#REF!</v>
      </c>
      <c r="CE562" t="e">
        <f>AND(#REF!,"AAAAAHd/RlI=")</f>
        <v>#REF!</v>
      </c>
      <c r="CF562" t="e">
        <f>AND(#REF!,"AAAAAHd/RlM=")</f>
        <v>#REF!</v>
      </c>
      <c r="CG562" t="e">
        <f>AND(#REF!,"AAAAAHd/RlQ=")</f>
        <v>#REF!</v>
      </c>
      <c r="CH562" t="e">
        <f>AND(#REF!,"AAAAAHd/RlU=")</f>
        <v>#REF!</v>
      </c>
      <c r="CI562" t="e">
        <f>AND(#REF!,"AAAAAHd/RlY=")</f>
        <v>#REF!</v>
      </c>
      <c r="CJ562" t="e">
        <f>AND(#REF!,"AAAAAHd/Rlc=")</f>
        <v>#REF!</v>
      </c>
      <c r="CK562" t="e">
        <f>AND(#REF!,"AAAAAHd/Rlg=")</f>
        <v>#REF!</v>
      </c>
      <c r="CL562" t="e">
        <f>AND(#REF!,"AAAAAHd/Rlk=")</f>
        <v>#REF!</v>
      </c>
      <c r="CM562" t="e">
        <f>AND(#REF!,"AAAAAHd/Rlo=")</f>
        <v>#REF!</v>
      </c>
      <c r="CN562" t="e">
        <f>AND(#REF!,"AAAAAHd/Rls=")</f>
        <v>#REF!</v>
      </c>
      <c r="CO562" t="e">
        <f>AND(#REF!,"AAAAAHd/Rlw=")</f>
        <v>#REF!</v>
      </c>
      <c r="CP562" t="e">
        <f>AND(#REF!,"AAAAAHd/Rl0=")</f>
        <v>#REF!</v>
      </c>
      <c r="CQ562" t="e">
        <f>IF(#REF!,"AAAAAHd/Rl4=",0)</f>
        <v>#REF!</v>
      </c>
      <c r="CR562" t="e">
        <f>AND(#REF!,"AAAAAHd/Rl8=")</f>
        <v>#REF!</v>
      </c>
      <c r="CS562" t="e">
        <f>AND(#REF!,"AAAAAHd/RmA=")</f>
        <v>#REF!</v>
      </c>
      <c r="CT562" t="e">
        <f>AND(#REF!,"AAAAAHd/RmE=")</f>
        <v>#REF!</v>
      </c>
      <c r="CU562" t="e">
        <f>AND(#REF!,"AAAAAHd/RmI=")</f>
        <v>#REF!</v>
      </c>
      <c r="CV562" t="e">
        <f>AND(#REF!,"AAAAAHd/RmM=")</f>
        <v>#REF!</v>
      </c>
      <c r="CW562" t="e">
        <f>AND(#REF!,"AAAAAHd/RmQ=")</f>
        <v>#REF!</v>
      </c>
      <c r="CX562" t="e">
        <f>AND(#REF!,"AAAAAHd/RmU=")</f>
        <v>#REF!</v>
      </c>
      <c r="CY562" t="e">
        <f>AND(#REF!,"AAAAAHd/RmY=")</f>
        <v>#REF!</v>
      </c>
      <c r="CZ562" t="e">
        <f>AND(#REF!,"AAAAAHd/Rmc=")</f>
        <v>#REF!</v>
      </c>
      <c r="DA562" t="e">
        <f>AND(#REF!,"AAAAAHd/Rmg=")</f>
        <v>#REF!</v>
      </c>
      <c r="DB562" t="e">
        <f>AND(#REF!,"AAAAAHd/Rmk=")</f>
        <v>#REF!</v>
      </c>
      <c r="DC562" t="e">
        <f>AND(#REF!,"AAAAAHd/Rmo=")</f>
        <v>#REF!</v>
      </c>
      <c r="DD562" t="e">
        <f>AND(#REF!,"AAAAAHd/Rms=")</f>
        <v>#REF!</v>
      </c>
      <c r="DE562" t="e">
        <f>AND(#REF!,"AAAAAHd/Rmw=")</f>
        <v>#REF!</v>
      </c>
      <c r="DF562" t="e">
        <f>AND(#REF!,"AAAAAHd/Rm0=")</f>
        <v>#REF!</v>
      </c>
      <c r="DG562" t="e">
        <f>AND(#REF!,"AAAAAHd/Rm4=")</f>
        <v>#REF!</v>
      </c>
      <c r="DH562" t="e">
        <f>AND(#REF!,"AAAAAHd/Rm8=")</f>
        <v>#REF!</v>
      </c>
      <c r="DI562" t="e">
        <f>AND(#REF!,"AAAAAHd/RnA=")</f>
        <v>#REF!</v>
      </c>
      <c r="DJ562" t="e">
        <f>AND(#REF!,"AAAAAHd/RnE=")</f>
        <v>#REF!</v>
      </c>
      <c r="DK562" t="e">
        <f>AND(#REF!,"AAAAAHd/RnI=")</f>
        <v>#REF!</v>
      </c>
      <c r="DL562" t="e">
        <f>AND(#REF!,"AAAAAHd/RnM=")</f>
        <v>#REF!</v>
      </c>
      <c r="DM562" t="e">
        <f>AND(#REF!,"AAAAAHd/RnQ=")</f>
        <v>#REF!</v>
      </c>
      <c r="DN562" t="e">
        <f>AND(#REF!,"AAAAAHd/RnU=")</f>
        <v>#REF!</v>
      </c>
      <c r="DO562" t="e">
        <f>AND(#REF!,"AAAAAHd/RnY=")</f>
        <v>#REF!</v>
      </c>
      <c r="DP562" t="e">
        <f>IF(#REF!,"AAAAAHd/Rnc=",0)</f>
        <v>#REF!</v>
      </c>
      <c r="DQ562" t="e">
        <f>AND(#REF!,"AAAAAHd/Rng=")</f>
        <v>#REF!</v>
      </c>
      <c r="DR562" t="e">
        <f>AND(#REF!,"AAAAAHd/Rnk=")</f>
        <v>#REF!</v>
      </c>
      <c r="DS562" t="e">
        <f>AND(#REF!,"AAAAAHd/Rno=")</f>
        <v>#REF!</v>
      </c>
      <c r="DT562" t="e">
        <f>AND(#REF!,"AAAAAHd/Rns=")</f>
        <v>#REF!</v>
      </c>
      <c r="DU562" t="e">
        <f>AND(#REF!,"AAAAAHd/Rnw=")</f>
        <v>#REF!</v>
      </c>
      <c r="DV562" t="e">
        <f>AND(#REF!,"AAAAAHd/Rn0=")</f>
        <v>#REF!</v>
      </c>
      <c r="DW562" t="e">
        <f>AND(#REF!,"AAAAAHd/Rn4=")</f>
        <v>#REF!</v>
      </c>
      <c r="DX562" t="e">
        <f>AND(#REF!,"AAAAAHd/Rn8=")</f>
        <v>#REF!</v>
      </c>
      <c r="DY562" t="e">
        <f>AND(#REF!,"AAAAAHd/RoA=")</f>
        <v>#REF!</v>
      </c>
      <c r="DZ562" t="e">
        <f>AND(#REF!,"AAAAAHd/RoE=")</f>
        <v>#REF!</v>
      </c>
      <c r="EA562" t="e">
        <f>AND(#REF!,"AAAAAHd/RoI=")</f>
        <v>#REF!</v>
      </c>
      <c r="EB562" t="e">
        <f>AND(#REF!,"AAAAAHd/RoM=")</f>
        <v>#REF!</v>
      </c>
      <c r="EC562" t="e">
        <f>AND(#REF!,"AAAAAHd/RoQ=")</f>
        <v>#REF!</v>
      </c>
      <c r="ED562" t="e">
        <f>AND(#REF!,"AAAAAHd/RoU=")</f>
        <v>#REF!</v>
      </c>
      <c r="EE562" t="e">
        <f>AND(#REF!,"AAAAAHd/RoY=")</f>
        <v>#REF!</v>
      </c>
      <c r="EF562" t="e">
        <f>AND(#REF!,"AAAAAHd/Roc=")</f>
        <v>#REF!</v>
      </c>
      <c r="EG562" t="e">
        <f>AND(#REF!,"AAAAAHd/Rog=")</f>
        <v>#REF!</v>
      </c>
      <c r="EH562" t="e">
        <f>AND(#REF!,"AAAAAHd/Rok=")</f>
        <v>#REF!</v>
      </c>
      <c r="EI562" t="e">
        <f>AND(#REF!,"AAAAAHd/Roo=")</f>
        <v>#REF!</v>
      </c>
      <c r="EJ562" t="e">
        <f>AND(#REF!,"AAAAAHd/Ros=")</f>
        <v>#REF!</v>
      </c>
      <c r="EK562" t="e">
        <f>AND(#REF!,"AAAAAHd/Row=")</f>
        <v>#REF!</v>
      </c>
      <c r="EL562" t="e">
        <f>AND(#REF!,"AAAAAHd/Ro0=")</f>
        <v>#REF!</v>
      </c>
      <c r="EM562" t="e">
        <f>AND(#REF!,"AAAAAHd/Ro4=")</f>
        <v>#REF!</v>
      </c>
      <c r="EN562" t="e">
        <f>AND(#REF!,"AAAAAHd/Ro8=")</f>
        <v>#REF!</v>
      </c>
      <c r="EO562" t="e">
        <f>IF(#REF!,"AAAAAHd/RpA=",0)</f>
        <v>#REF!</v>
      </c>
      <c r="EP562" t="e">
        <f>AND(#REF!,"AAAAAHd/RpE=")</f>
        <v>#REF!</v>
      </c>
      <c r="EQ562" t="e">
        <f>AND(#REF!,"AAAAAHd/RpI=")</f>
        <v>#REF!</v>
      </c>
      <c r="ER562" t="e">
        <f>AND(#REF!,"AAAAAHd/RpM=")</f>
        <v>#REF!</v>
      </c>
      <c r="ES562" t="e">
        <f>AND(#REF!,"AAAAAHd/RpQ=")</f>
        <v>#REF!</v>
      </c>
      <c r="ET562" t="e">
        <f>AND(#REF!,"AAAAAHd/RpU=")</f>
        <v>#REF!</v>
      </c>
      <c r="EU562" t="e">
        <f>AND(#REF!,"AAAAAHd/RpY=")</f>
        <v>#REF!</v>
      </c>
      <c r="EV562" t="e">
        <f>AND(#REF!,"AAAAAHd/Rpc=")</f>
        <v>#REF!</v>
      </c>
      <c r="EW562" t="e">
        <f>AND(#REF!,"AAAAAHd/Rpg=")</f>
        <v>#REF!</v>
      </c>
      <c r="EX562" t="e">
        <f>AND(#REF!,"AAAAAHd/Rpk=")</f>
        <v>#REF!</v>
      </c>
      <c r="EY562" t="e">
        <f>AND(#REF!,"AAAAAHd/Rpo=")</f>
        <v>#REF!</v>
      </c>
      <c r="EZ562" t="e">
        <f>AND(#REF!,"AAAAAHd/Rps=")</f>
        <v>#REF!</v>
      </c>
      <c r="FA562" t="e">
        <f>AND(#REF!,"AAAAAHd/Rpw=")</f>
        <v>#REF!</v>
      </c>
      <c r="FB562" t="e">
        <f>AND(#REF!,"AAAAAHd/Rp0=")</f>
        <v>#REF!</v>
      </c>
      <c r="FC562" t="e">
        <f>AND(#REF!,"AAAAAHd/Rp4=")</f>
        <v>#REF!</v>
      </c>
      <c r="FD562" t="e">
        <f>AND(#REF!,"AAAAAHd/Rp8=")</f>
        <v>#REF!</v>
      </c>
      <c r="FE562" t="e">
        <f>AND(#REF!,"AAAAAHd/RqA=")</f>
        <v>#REF!</v>
      </c>
      <c r="FF562" t="e">
        <f>AND(#REF!,"AAAAAHd/RqE=")</f>
        <v>#REF!</v>
      </c>
      <c r="FG562" t="e">
        <f>AND(#REF!,"AAAAAHd/RqI=")</f>
        <v>#REF!</v>
      </c>
      <c r="FH562" t="e">
        <f>AND(#REF!,"AAAAAHd/RqM=")</f>
        <v>#REF!</v>
      </c>
      <c r="FI562" t="e">
        <f>AND(#REF!,"AAAAAHd/RqQ=")</f>
        <v>#REF!</v>
      </c>
      <c r="FJ562" t="e">
        <f>AND(#REF!,"AAAAAHd/RqU=")</f>
        <v>#REF!</v>
      </c>
      <c r="FK562" t="e">
        <f>AND(#REF!,"AAAAAHd/RqY=")</f>
        <v>#REF!</v>
      </c>
      <c r="FL562" t="e">
        <f>AND(#REF!,"AAAAAHd/Rqc=")</f>
        <v>#REF!</v>
      </c>
      <c r="FM562" t="e">
        <f>AND(#REF!,"AAAAAHd/Rqg=")</f>
        <v>#REF!</v>
      </c>
      <c r="FN562" t="e">
        <f>IF(#REF!,"AAAAAHd/Rqk=",0)</f>
        <v>#REF!</v>
      </c>
      <c r="FO562" t="e">
        <f>AND(#REF!,"AAAAAHd/Rqo=")</f>
        <v>#REF!</v>
      </c>
      <c r="FP562" t="e">
        <f>AND(#REF!,"AAAAAHd/Rqs=")</f>
        <v>#REF!</v>
      </c>
      <c r="FQ562" t="e">
        <f>AND(#REF!,"AAAAAHd/Rqw=")</f>
        <v>#REF!</v>
      </c>
      <c r="FR562" t="e">
        <f>AND(#REF!,"AAAAAHd/Rq0=")</f>
        <v>#REF!</v>
      </c>
      <c r="FS562" t="e">
        <f>AND(#REF!,"AAAAAHd/Rq4=")</f>
        <v>#REF!</v>
      </c>
      <c r="FT562" t="e">
        <f>AND(#REF!,"AAAAAHd/Rq8=")</f>
        <v>#REF!</v>
      </c>
      <c r="FU562" t="e">
        <f>AND(#REF!,"AAAAAHd/RrA=")</f>
        <v>#REF!</v>
      </c>
      <c r="FV562" t="e">
        <f>AND(#REF!,"AAAAAHd/RrE=")</f>
        <v>#REF!</v>
      </c>
      <c r="FW562" t="e">
        <f>AND(#REF!,"AAAAAHd/RrI=")</f>
        <v>#REF!</v>
      </c>
      <c r="FX562" t="e">
        <f>AND(#REF!,"AAAAAHd/RrM=")</f>
        <v>#REF!</v>
      </c>
      <c r="FY562" t="e">
        <f>AND(#REF!,"AAAAAHd/RrQ=")</f>
        <v>#REF!</v>
      </c>
      <c r="FZ562" t="e">
        <f>AND(#REF!,"AAAAAHd/RrU=")</f>
        <v>#REF!</v>
      </c>
      <c r="GA562" t="e">
        <f>AND(#REF!,"AAAAAHd/RrY=")</f>
        <v>#REF!</v>
      </c>
      <c r="GB562" t="e">
        <f>AND(#REF!,"AAAAAHd/Rrc=")</f>
        <v>#REF!</v>
      </c>
      <c r="GC562" t="e">
        <f>AND(#REF!,"AAAAAHd/Rrg=")</f>
        <v>#REF!</v>
      </c>
      <c r="GD562" t="e">
        <f>AND(#REF!,"AAAAAHd/Rrk=")</f>
        <v>#REF!</v>
      </c>
      <c r="GE562" t="e">
        <f>AND(#REF!,"AAAAAHd/Rro=")</f>
        <v>#REF!</v>
      </c>
      <c r="GF562" t="e">
        <f>AND(#REF!,"AAAAAHd/Rrs=")</f>
        <v>#REF!</v>
      </c>
      <c r="GG562" t="e">
        <f>AND(#REF!,"AAAAAHd/Rrw=")</f>
        <v>#REF!</v>
      </c>
      <c r="GH562" t="e">
        <f>AND(#REF!,"AAAAAHd/Rr0=")</f>
        <v>#REF!</v>
      </c>
      <c r="GI562" t="e">
        <f>AND(#REF!,"AAAAAHd/Rr4=")</f>
        <v>#REF!</v>
      </c>
      <c r="GJ562" t="e">
        <f>AND(#REF!,"AAAAAHd/Rr8=")</f>
        <v>#REF!</v>
      </c>
      <c r="GK562" t="e">
        <f>AND(#REF!,"AAAAAHd/RsA=")</f>
        <v>#REF!</v>
      </c>
      <c r="GL562" t="e">
        <f>AND(#REF!,"AAAAAHd/RsE=")</f>
        <v>#REF!</v>
      </c>
      <c r="GM562" t="e">
        <f>IF(#REF!,"AAAAAHd/RsI=",0)</f>
        <v>#REF!</v>
      </c>
      <c r="GN562" t="e">
        <f>AND(#REF!,"AAAAAHd/RsM=")</f>
        <v>#REF!</v>
      </c>
      <c r="GO562" t="e">
        <f>AND(#REF!,"AAAAAHd/RsQ=")</f>
        <v>#REF!</v>
      </c>
      <c r="GP562" t="e">
        <f>AND(#REF!,"AAAAAHd/RsU=")</f>
        <v>#REF!</v>
      </c>
      <c r="GQ562" t="e">
        <f>AND(#REF!,"AAAAAHd/RsY=")</f>
        <v>#REF!</v>
      </c>
      <c r="GR562" t="e">
        <f>AND(#REF!,"AAAAAHd/Rsc=")</f>
        <v>#REF!</v>
      </c>
      <c r="GS562" t="e">
        <f>AND(#REF!,"AAAAAHd/Rsg=")</f>
        <v>#REF!</v>
      </c>
      <c r="GT562" t="e">
        <f>AND(#REF!,"AAAAAHd/Rsk=")</f>
        <v>#REF!</v>
      </c>
      <c r="GU562" t="e">
        <f>AND(#REF!,"AAAAAHd/Rso=")</f>
        <v>#REF!</v>
      </c>
      <c r="GV562" t="e">
        <f>AND(#REF!,"AAAAAHd/Rss=")</f>
        <v>#REF!</v>
      </c>
      <c r="GW562" t="e">
        <f>AND(#REF!,"AAAAAHd/Rsw=")</f>
        <v>#REF!</v>
      </c>
      <c r="GX562" t="e">
        <f>AND(#REF!,"AAAAAHd/Rs0=")</f>
        <v>#REF!</v>
      </c>
      <c r="GY562" t="e">
        <f>AND(#REF!,"AAAAAHd/Rs4=")</f>
        <v>#REF!</v>
      </c>
      <c r="GZ562" t="e">
        <f>AND(#REF!,"AAAAAHd/Rs8=")</f>
        <v>#REF!</v>
      </c>
      <c r="HA562" t="e">
        <f>AND(#REF!,"AAAAAHd/RtA=")</f>
        <v>#REF!</v>
      </c>
      <c r="HB562" t="e">
        <f>AND(#REF!,"AAAAAHd/RtE=")</f>
        <v>#REF!</v>
      </c>
      <c r="HC562" t="e">
        <f>AND(#REF!,"AAAAAHd/RtI=")</f>
        <v>#REF!</v>
      </c>
      <c r="HD562" t="e">
        <f>AND(#REF!,"AAAAAHd/RtM=")</f>
        <v>#REF!</v>
      </c>
      <c r="HE562" t="e">
        <f>AND(#REF!,"AAAAAHd/RtQ=")</f>
        <v>#REF!</v>
      </c>
      <c r="HF562" t="e">
        <f>AND(#REF!,"AAAAAHd/RtU=")</f>
        <v>#REF!</v>
      </c>
      <c r="HG562" t="e">
        <f>AND(#REF!,"AAAAAHd/RtY=")</f>
        <v>#REF!</v>
      </c>
      <c r="HH562" t="e">
        <f>AND(#REF!,"AAAAAHd/Rtc=")</f>
        <v>#REF!</v>
      </c>
      <c r="HI562" t="e">
        <f>AND(#REF!,"AAAAAHd/Rtg=")</f>
        <v>#REF!</v>
      </c>
      <c r="HJ562" t="e">
        <f>AND(#REF!,"AAAAAHd/Rtk=")</f>
        <v>#REF!</v>
      </c>
      <c r="HK562" t="e">
        <f>AND(#REF!,"AAAAAHd/Rto=")</f>
        <v>#REF!</v>
      </c>
      <c r="HL562" t="e">
        <f>IF(#REF!,"AAAAAHd/Rts=",0)</f>
        <v>#REF!</v>
      </c>
      <c r="HM562" t="e">
        <f>AND(#REF!,"AAAAAHd/Rtw=")</f>
        <v>#REF!</v>
      </c>
      <c r="HN562" t="e">
        <f>AND(#REF!,"AAAAAHd/Rt0=")</f>
        <v>#REF!</v>
      </c>
      <c r="HO562" t="e">
        <f>AND(#REF!,"AAAAAHd/Rt4=")</f>
        <v>#REF!</v>
      </c>
      <c r="HP562" t="e">
        <f>AND(#REF!,"AAAAAHd/Rt8=")</f>
        <v>#REF!</v>
      </c>
      <c r="HQ562" t="e">
        <f>AND(#REF!,"AAAAAHd/RuA=")</f>
        <v>#REF!</v>
      </c>
      <c r="HR562" t="e">
        <f>AND(#REF!,"AAAAAHd/RuE=")</f>
        <v>#REF!</v>
      </c>
      <c r="HS562" t="e">
        <f>AND(#REF!,"AAAAAHd/RuI=")</f>
        <v>#REF!</v>
      </c>
      <c r="HT562" t="e">
        <f>AND(#REF!,"AAAAAHd/RuM=")</f>
        <v>#REF!</v>
      </c>
      <c r="HU562" t="e">
        <f>AND(#REF!,"AAAAAHd/RuQ=")</f>
        <v>#REF!</v>
      </c>
      <c r="HV562" t="e">
        <f>AND(#REF!,"AAAAAHd/RuU=")</f>
        <v>#REF!</v>
      </c>
      <c r="HW562" t="e">
        <f>AND(#REF!,"AAAAAHd/RuY=")</f>
        <v>#REF!</v>
      </c>
      <c r="HX562" t="e">
        <f>AND(#REF!,"AAAAAHd/Ruc=")</f>
        <v>#REF!</v>
      </c>
      <c r="HY562" t="e">
        <f>AND(#REF!,"AAAAAHd/Rug=")</f>
        <v>#REF!</v>
      </c>
      <c r="HZ562" t="e">
        <f>AND(#REF!,"AAAAAHd/Ruk=")</f>
        <v>#REF!</v>
      </c>
      <c r="IA562" t="e">
        <f>AND(#REF!,"AAAAAHd/Ruo=")</f>
        <v>#REF!</v>
      </c>
      <c r="IB562" t="e">
        <f>AND(#REF!,"AAAAAHd/Rus=")</f>
        <v>#REF!</v>
      </c>
      <c r="IC562" t="e">
        <f>AND(#REF!,"AAAAAHd/Ruw=")</f>
        <v>#REF!</v>
      </c>
      <c r="ID562" t="e">
        <f>AND(#REF!,"AAAAAHd/Ru0=")</f>
        <v>#REF!</v>
      </c>
      <c r="IE562" t="e">
        <f>AND(#REF!,"AAAAAHd/Ru4=")</f>
        <v>#REF!</v>
      </c>
      <c r="IF562" t="e">
        <f>AND(#REF!,"AAAAAHd/Ru8=")</f>
        <v>#REF!</v>
      </c>
      <c r="IG562" t="e">
        <f>AND(#REF!,"AAAAAHd/RvA=")</f>
        <v>#REF!</v>
      </c>
      <c r="IH562" t="e">
        <f>AND(#REF!,"AAAAAHd/RvE=")</f>
        <v>#REF!</v>
      </c>
      <c r="II562" t="e">
        <f>AND(#REF!,"AAAAAHd/RvI=")</f>
        <v>#REF!</v>
      </c>
      <c r="IJ562" t="e">
        <f>AND(#REF!,"AAAAAHd/RvM=")</f>
        <v>#REF!</v>
      </c>
      <c r="IK562" t="e">
        <f>IF(#REF!,"AAAAAHd/RvQ=",0)</f>
        <v>#REF!</v>
      </c>
      <c r="IL562" t="e">
        <f>AND(#REF!,"AAAAAHd/RvU=")</f>
        <v>#REF!</v>
      </c>
      <c r="IM562" t="e">
        <f>AND(#REF!,"AAAAAHd/RvY=")</f>
        <v>#REF!</v>
      </c>
      <c r="IN562" t="e">
        <f>AND(#REF!,"AAAAAHd/Rvc=")</f>
        <v>#REF!</v>
      </c>
      <c r="IO562" t="e">
        <f>AND(#REF!,"AAAAAHd/Rvg=")</f>
        <v>#REF!</v>
      </c>
      <c r="IP562" t="e">
        <f>AND(#REF!,"AAAAAHd/Rvk=")</f>
        <v>#REF!</v>
      </c>
      <c r="IQ562" t="e">
        <f>AND(#REF!,"AAAAAHd/Rvo=")</f>
        <v>#REF!</v>
      </c>
      <c r="IR562" t="e">
        <f>AND(#REF!,"AAAAAHd/Rvs=")</f>
        <v>#REF!</v>
      </c>
      <c r="IS562" t="e">
        <f>AND(#REF!,"AAAAAHd/Rvw=")</f>
        <v>#REF!</v>
      </c>
      <c r="IT562" t="e">
        <f>AND(#REF!,"AAAAAHd/Rv0=")</f>
        <v>#REF!</v>
      </c>
      <c r="IU562" t="e">
        <f>AND(#REF!,"AAAAAHd/Rv4=")</f>
        <v>#REF!</v>
      </c>
      <c r="IV562" t="e">
        <f>AND(#REF!,"AAAAAHd/Rv8=")</f>
        <v>#REF!</v>
      </c>
    </row>
    <row r="563" spans="1:256">
      <c r="A563" t="e">
        <f>AND(#REF!,"AAAAAF7VvQA=")</f>
        <v>#REF!</v>
      </c>
      <c r="B563" t="e">
        <f>AND(#REF!,"AAAAAF7VvQE=")</f>
        <v>#REF!</v>
      </c>
      <c r="C563" t="e">
        <f>AND(#REF!,"AAAAAF7VvQI=")</f>
        <v>#REF!</v>
      </c>
      <c r="D563" t="e">
        <f>AND(#REF!,"AAAAAF7VvQM=")</f>
        <v>#REF!</v>
      </c>
      <c r="E563" t="e">
        <f>AND(#REF!,"AAAAAF7VvQQ=")</f>
        <v>#REF!</v>
      </c>
      <c r="F563" t="e">
        <f>AND(#REF!,"AAAAAF7VvQU=")</f>
        <v>#REF!</v>
      </c>
      <c r="G563" t="e">
        <f>AND(#REF!,"AAAAAF7VvQY=")</f>
        <v>#REF!</v>
      </c>
      <c r="H563" t="e">
        <f>AND(#REF!,"AAAAAF7VvQc=")</f>
        <v>#REF!</v>
      </c>
      <c r="I563" t="e">
        <f>AND(#REF!,"AAAAAF7VvQg=")</f>
        <v>#REF!</v>
      </c>
      <c r="J563" t="e">
        <f>AND(#REF!,"AAAAAF7VvQk=")</f>
        <v>#REF!</v>
      </c>
      <c r="K563" t="e">
        <f>AND(#REF!,"AAAAAF7VvQo=")</f>
        <v>#REF!</v>
      </c>
      <c r="L563" t="e">
        <f>AND(#REF!,"AAAAAF7VvQs=")</f>
        <v>#REF!</v>
      </c>
      <c r="M563" t="e">
        <f>AND(#REF!,"AAAAAF7VvQw=")</f>
        <v>#REF!</v>
      </c>
      <c r="N563" t="e">
        <f>IF(#REF!,"AAAAAF7VvQ0=",0)</f>
        <v>#REF!</v>
      </c>
      <c r="O563" t="e">
        <f>AND(#REF!,"AAAAAF7VvQ4=")</f>
        <v>#REF!</v>
      </c>
      <c r="P563" t="e">
        <f>AND(#REF!,"AAAAAF7VvQ8=")</f>
        <v>#REF!</v>
      </c>
      <c r="Q563" t="e">
        <f>AND(#REF!,"AAAAAF7VvRA=")</f>
        <v>#REF!</v>
      </c>
      <c r="R563" t="e">
        <f>AND(#REF!,"AAAAAF7VvRE=")</f>
        <v>#REF!</v>
      </c>
      <c r="S563" t="e">
        <f>AND(#REF!,"AAAAAF7VvRI=")</f>
        <v>#REF!</v>
      </c>
      <c r="T563" t="e">
        <f>AND(#REF!,"AAAAAF7VvRM=")</f>
        <v>#REF!</v>
      </c>
      <c r="U563" t="e">
        <f>AND(#REF!,"AAAAAF7VvRQ=")</f>
        <v>#REF!</v>
      </c>
      <c r="V563" t="e">
        <f>AND(#REF!,"AAAAAF7VvRU=")</f>
        <v>#REF!</v>
      </c>
      <c r="W563" t="e">
        <f>AND(#REF!,"AAAAAF7VvRY=")</f>
        <v>#REF!</v>
      </c>
      <c r="X563" t="e">
        <f>AND(#REF!,"AAAAAF7VvRc=")</f>
        <v>#REF!</v>
      </c>
      <c r="Y563" t="e">
        <f>AND(#REF!,"AAAAAF7VvRg=")</f>
        <v>#REF!</v>
      </c>
      <c r="Z563" t="e">
        <f>AND(#REF!,"AAAAAF7VvRk=")</f>
        <v>#REF!</v>
      </c>
      <c r="AA563" t="e">
        <f>AND(#REF!,"AAAAAF7VvRo=")</f>
        <v>#REF!</v>
      </c>
      <c r="AB563" t="e">
        <f>AND(#REF!,"AAAAAF7VvRs=")</f>
        <v>#REF!</v>
      </c>
      <c r="AC563" t="e">
        <f>AND(#REF!,"AAAAAF7VvRw=")</f>
        <v>#REF!</v>
      </c>
      <c r="AD563" t="e">
        <f>AND(#REF!,"AAAAAF7VvR0=")</f>
        <v>#REF!</v>
      </c>
      <c r="AE563" t="e">
        <f>AND(#REF!,"AAAAAF7VvR4=")</f>
        <v>#REF!</v>
      </c>
      <c r="AF563" t="e">
        <f>AND(#REF!,"AAAAAF7VvR8=")</f>
        <v>#REF!</v>
      </c>
      <c r="AG563" t="e">
        <f>AND(#REF!,"AAAAAF7VvSA=")</f>
        <v>#REF!</v>
      </c>
      <c r="AH563" t="e">
        <f>AND(#REF!,"AAAAAF7VvSE=")</f>
        <v>#REF!</v>
      </c>
      <c r="AI563" t="e">
        <f>AND(#REF!,"AAAAAF7VvSI=")</f>
        <v>#REF!</v>
      </c>
      <c r="AJ563" t="e">
        <f>AND(#REF!,"AAAAAF7VvSM=")</f>
        <v>#REF!</v>
      </c>
      <c r="AK563" t="e">
        <f>AND(#REF!,"AAAAAF7VvSQ=")</f>
        <v>#REF!</v>
      </c>
      <c r="AL563" t="e">
        <f>AND(#REF!,"AAAAAF7VvSU=")</f>
        <v>#REF!</v>
      </c>
      <c r="AM563" t="e">
        <f>IF(#REF!,"AAAAAF7VvSY=",0)</f>
        <v>#REF!</v>
      </c>
      <c r="AN563" t="e">
        <f>AND(#REF!,"AAAAAF7VvSc=")</f>
        <v>#REF!</v>
      </c>
      <c r="AO563" t="e">
        <f>AND(#REF!,"AAAAAF7VvSg=")</f>
        <v>#REF!</v>
      </c>
      <c r="AP563" t="e">
        <f>AND(#REF!,"AAAAAF7VvSk=")</f>
        <v>#REF!</v>
      </c>
      <c r="AQ563" t="e">
        <f>AND(#REF!,"AAAAAF7VvSo=")</f>
        <v>#REF!</v>
      </c>
      <c r="AR563" t="e">
        <f>AND(#REF!,"AAAAAF7VvSs=")</f>
        <v>#REF!</v>
      </c>
      <c r="AS563" t="e">
        <f>AND(#REF!,"AAAAAF7VvSw=")</f>
        <v>#REF!</v>
      </c>
      <c r="AT563" t="e">
        <f>AND(#REF!,"AAAAAF7VvS0=")</f>
        <v>#REF!</v>
      </c>
      <c r="AU563" t="e">
        <f>AND(#REF!,"AAAAAF7VvS4=")</f>
        <v>#REF!</v>
      </c>
      <c r="AV563" t="e">
        <f>AND(#REF!,"AAAAAF7VvS8=")</f>
        <v>#REF!</v>
      </c>
      <c r="AW563" t="e">
        <f>AND(#REF!,"AAAAAF7VvTA=")</f>
        <v>#REF!</v>
      </c>
      <c r="AX563" t="e">
        <f>AND(#REF!,"AAAAAF7VvTE=")</f>
        <v>#REF!</v>
      </c>
      <c r="AY563" t="e">
        <f>AND(#REF!,"AAAAAF7VvTI=")</f>
        <v>#REF!</v>
      </c>
      <c r="AZ563" t="e">
        <f>AND(#REF!,"AAAAAF7VvTM=")</f>
        <v>#REF!</v>
      </c>
      <c r="BA563" t="e">
        <f>AND(#REF!,"AAAAAF7VvTQ=")</f>
        <v>#REF!</v>
      </c>
      <c r="BB563" t="e">
        <f>AND(#REF!,"AAAAAF7VvTU=")</f>
        <v>#REF!</v>
      </c>
      <c r="BC563" t="e">
        <f>AND(#REF!,"AAAAAF7VvTY=")</f>
        <v>#REF!</v>
      </c>
      <c r="BD563" t="e">
        <f>AND(#REF!,"AAAAAF7VvTc=")</f>
        <v>#REF!</v>
      </c>
      <c r="BE563" t="e">
        <f>AND(#REF!,"AAAAAF7VvTg=")</f>
        <v>#REF!</v>
      </c>
      <c r="BF563" t="e">
        <f>AND(#REF!,"AAAAAF7VvTk=")</f>
        <v>#REF!</v>
      </c>
      <c r="BG563" t="e">
        <f>AND(#REF!,"AAAAAF7VvTo=")</f>
        <v>#REF!</v>
      </c>
      <c r="BH563" t="e">
        <f>AND(#REF!,"AAAAAF7VvTs=")</f>
        <v>#REF!</v>
      </c>
      <c r="BI563" t="e">
        <f>AND(#REF!,"AAAAAF7VvTw=")</f>
        <v>#REF!</v>
      </c>
      <c r="BJ563" t="e">
        <f>AND(#REF!,"AAAAAF7VvT0=")</f>
        <v>#REF!</v>
      </c>
      <c r="BK563" t="e">
        <f>AND(#REF!,"AAAAAF7VvT4=")</f>
        <v>#REF!</v>
      </c>
      <c r="BL563" t="e">
        <f>IF(#REF!,"AAAAAF7VvT8=",0)</f>
        <v>#REF!</v>
      </c>
      <c r="BM563" t="e">
        <f>AND(#REF!,"AAAAAF7VvUA=")</f>
        <v>#REF!</v>
      </c>
      <c r="BN563" t="e">
        <f>AND(#REF!,"AAAAAF7VvUE=")</f>
        <v>#REF!</v>
      </c>
      <c r="BO563" t="e">
        <f>AND(#REF!,"AAAAAF7VvUI=")</f>
        <v>#REF!</v>
      </c>
      <c r="BP563" t="e">
        <f>AND(#REF!,"AAAAAF7VvUM=")</f>
        <v>#REF!</v>
      </c>
      <c r="BQ563" t="e">
        <f>AND(#REF!,"AAAAAF7VvUQ=")</f>
        <v>#REF!</v>
      </c>
      <c r="BR563" t="e">
        <f>AND(#REF!,"AAAAAF7VvUU=")</f>
        <v>#REF!</v>
      </c>
      <c r="BS563" t="e">
        <f>AND(#REF!,"AAAAAF7VvUY=")</f>
        <v>#REF!</v>
      </c>
      <c r="BT563" t="e">
        <f>AND(#REF!,"AAAAAF7VvUc=")</f>
        <v>#REF!</v>
      </c>
      <c r="BU563" t="e">
        <f>AND(#REF!,"AAAAAF7VvUg=")</f>
        <v>#REF!</v>
      </c>
      <c r="BV563" t="e">
        <f>AND(#REF!,"AAAAAF7VvUk=")</f>
        <v>#REF!</v>
      </c>
      <c r="BW563" t="e">
        <f>AND(#REF!,"AAAAAF7VvUo=")</f>
        <v>#REF!</v>
      </c>
      <c r="BX563" t="e">
        <f>AND(#REF!,"AAAAAF7VvUs=")</f>
        <v>#REF!</v>
      </c>
      <c r="BY563" t="e">
        <f>AND(#REF!,"AAAAAF7VvUw=")</f>
        <v>#REF!</v>
      </c>
      <c r="BZ563" t="e">
        <f>AND(#REF!,"AAAAAF7VvU0=")</f>
        <v>#REF!</v>
      </c>
      <c r="CA563" t="e">
        <f>AND(#REF!,"AAAAAF7VvU4=")</f>
        <v>#REF!</v>
      </c>
      <c r="CB563" t="e">
        <f>AND(#REF!,"AAAAAF7VvU8=")</f>
        <v>#REF!</v>
      </c>
      <c r="CC563" t="e">
        <f>AND(#REF!,"AAAAAF7VvVA=")</f>
        <v>#REF!</v>
      </c>
      <c r="CD563" t="e">
        <f>AND(#REF!,"AAAAAF7VvVE=")</f>
        <v>#REF!</v>
      </c>
      <c r="CE563" t="e">
        <f>AND(#REF!,"AAAAAF7VvVI=")</f>
        <v>#REF!</v>
      </c>
      <c r="CF563" t="e">
        <f>AND(#REF!,"AAAAAF7VvVM=")</f>
        <v>#REF!</v>
      </c>
      <c r="CG563" t="e">
        <f>AND(#REF!,"AAAAAF7VvVQ=")</f>
        <v>#REF!</v>
      </c>
      <c r="CH563" t="e">
        <f>AND(#REF!,"AAAAAF7VvVU=")</f>
        <v>#REF!</v>
      </c>
      <c r="CI563" t="e">
        <f>AND(#REF!,"AAAAAF7VvVY=")</f>
        <v>#REF!</v>
      </c>
      <c r="CJ563" t="e">
        <f>AND(#REF!,"AAAAAF7VvVc=")</f>
        <v>#REF!</v>
      </c>
      <c r="CK563" t="e">
        <f>IF(#REF!,"AAAAAF7VvVg=",0)</f>
        <v>#REF!</v>
      </c>
      <c r="CL563" t="e">
        <f>AND(#REF!,"AAAAAF7VvVk=")</f>
        <v>#REF!</v>
      </c>
      <c r="CM563" t="e">
        <f>AND(#REF!,"AAAAAF7VvVo=")</f>
        <v>#REF!</v>
      </c>
      <c r="CN563" t="e">
        <f>AND(#REF!,"AAAAAF7VvVs=")</f>
        <v>#REF!</v>
      </c>
      <c r="CO563" t="e">
        <f>AND(#REF!,"AAAAAF7VvVw=")</f>
        <v>#REF!</v>
      </c>
      <c r="CP563" t="e">
        <f>AND(#REF!,"AAAAAF7VvV0=")</f>
        <v>#REF!</v>
      </c>
      <c r="CQ563" t="e">
        <f>AND(#REF!,"AAAAAF7VvV4=")</f>
        <v>#REF!</v>
      </c>
      <c r="CR563" t="e">
        <f>AND(#REF!,"AAAAAF7VvV8=")</f>
        <v>#REF!</v>
      </c>
      <c r="CS563" t="e">
        <f>AND(#REF!,"AAAAAF7VvWA=")</f>
        <v>#REF!</v>
      </c>
      <c r="CT563" t="e">
        <f>AND(#REF!,"AAAAAF7VvWE=")</f>
        <v>#REF!</v>
      </c>
      <c r="CU563" t="e">
        <f>AND(#REF!,"AAAAAF7VvWI=")</f>
        <v>#REF!</v>
      </c>
      <c r="CV563" t="e">
        <f>AND(#REF!,"AAAAAF7VvWM=")</f>
        <v>#REF!</v>
      </c>
      <c r="CW563" t="e">
        <f>AND(#REF!,"AAAAAF7VvWQ=")</f>
        <v>#REF!</v>
      </c>
      <c r="CX563" t="e">
        <f>AND(#REF!,"AAAAAF7VvWU=")</f>
        <v>#REF!</v>
      </c>
      <c r="CY563" t="e">
        <f>AND(#REF!,"AAAAAF7VvWY=")</f>
        <v>#REF!</v>
      </c>
      <c r="CZ563" t="e">
        <f>AND(#REF!,"AAAAAF7VvWc=")</f>
        <v>#REF!</v>
      </c>
      <c r="DA563" t="e">
        <f>AND(#REF!,"AAAAAF7VvWg=")</f>
        <v>#REF!</v>
      </c>
      <c r="DB563" t="e">
        <f>AND(#REF!,"AAAAAF7VvWk=")</f>
        <v>#REF!</v>
      </c>
      <c r="DC563" t="e">
        <f>AND(#REF!,"AAAAAF7VvWo=")</f>
        <v>#REF!</v>
      </c>
      <c r="DD563" t="e">
        <f>AND(#REF!,"AAAAAF7VvWs=")</f>
        <v>#REF!</v>
      </c>
      <c r="DE563" t="e">
        <f>AND(#REF!,"AAAAAF7VvWw=")</f>
        <v>#REF!</v>
      </c>
      <c r="DF563" t="e">
        <f>AND(#REF!,"AAAAAF7VvW0=")</f>
        <v>#REF!</v>
      </c>
      <c r="DG563" t="e">
        <f>AND(#REF!,"AAAAAF7VvW4=")</f>
        <v>#REF!</v>
      </c>
      <c r="DH563" t="e">
        <f>AND(#REF!,"AAAAAF7VvW8=")</f>
        <v>#REF!</v>
      </c>
      <c r="DI563" t="e">
        <f>AND(#REF!,"AAAAAF7VvXA=")</f>
        <v>#REF!</v>
      </c>
      <c r="DJ563" t="e">
        <f>IF(#REF!,"AAAAAF7VvXE=",0)</f>
        <v>#REF!</v>
      </c>
      <c r="DK563" t="e">
        <f>AND(#REF!,"AAAAAF7VvXI=")</f>
        <v>#REF!</v>
      </c>
      <c r="DL563" t="e">
        <f>AND(#REF!,"AAAAAF7VvXM=")</f>
        <v>#REF!</v>
      </c>
      <c r="DM563" t="e">
        <f>AND(#REF!,"AAAAAF7VvXQ=")</f>
        <v>#REF!</v>
      </c>
      <c r="DN563" t="e">
        <f>AND(#REF!,"AAAAAF7VvXU=")</f>
        <v>#REF!</v>
      </c>
      <c r="DO563" t="e">
        <f>AND(#REF!,"AAAAAF7VvXY=")</f>
        <v>#REF!</v>
      </c>
      <c r="DP563" t="e">
        <f>AND(#REF!,"AAAAAF7VvXc=")</f>
        <v>#REF!</v>
      </c>
      <c r="DQ563" t="e">
        <f>AND(#REF!,"AAAAAF7VvXg=")</f>
        <v>#REF!</v>
      </c>
      <c r="DR563" t="e">
        <f>AND(#REF!,"AAAAAF7VvXk=")</f>
        <v>#REF!</v>
      </c>
      <c r="DS563" t="e">
        <f>AND(#REF!,"AAAAAF7VvXo=")</f>
        <v>#REF!</v>
      </c>
      <c r="DT563" t="e">
        <f>AND(#REF!,"AAAAAF7VvXs=")</f>
        <v>#REF!</v>
      </c>
      <c r="DU563" t="e">
        <f>AND(#REF!,"AAAAAF7VvXw=")</f>
        <v>#REF!</v>
      </c>
      <c r="DV563" t="e">
        <f>AND(#REF!,"AAAAAF7VvX0=")</f>
        <v>#REF!</v>
      </c>
      <c r="DW563" t="e">
        <f>AND(#REF!,"AAAAAF7VvX4=")</f>
        <v>#REF!</v>
      </c>
      <c r="DX563" t="e">
        <f>AND(#REF!,"AAAAAF7VvX8=")</f>
        <v>#REF!</v>
      </c>
      <c r="DY563" t="e">
        <f>AND(#REF!,"AAAAAF7VvYA=")</f>
        <v>#REF!</v>
      </c>
      <c r="DZ563" t="e">
        <f>AND(#REF!,"AAAAAF7VvYE=")</f>
        <v>#REF!</v>
      </c>
      <c r="EA563" t="e">
        <f>AND(#REF!,"AAAAAF7VvYI=")</f>
        <v>#REF!</v>
      </c>
      <c r="EB563" t="e">
        <f>AND(#REF!,"AAAAAF7VvYM=")</f>
        <v>#REF!</v>
      </c>
      <c r="EC563" t="e">
        <f>AND(#REF!,"AAAAAF7VvYQ=")</f>
        <v>#REF!</v>
      </c>
      <c r="ED563" t="e">
        <f>AND(#REF!,"AAAAAF7VvYU=")</f>
        <v>#REF!</v>
      </c>
      <c r="EE563" t="e">
        <f>AND(#REF!,"AAAAAF7VvYY=")</f>
        <v>#REF!</v>
      </c>
      <c r="EF563" t="e">
        <f>AND(#REF!,"AAAAAF7VvYc=")</f>
        <v>#REF!</v>
      </c>
      <c r="EG563" t="e">
        <f>AND(#REF!,"AAAAAF7VvYg=")</f>
        <v>#REF!</v>
      </c>
      <c r="EH563" t="e">
        <f>AND(#REF!,"AAAAAF7VvYk=")</f>
        <v>#REF!</v>
      </c>
      <c r="EI563" t="e">
        <f>IF(#REF!,"AAAAAF7VvYo=",0)</f>
        <v>#REF!</v>
      </c>
      <c r="EJ563" t="e">
        <f>AND(#REF!,"AAAAAF7VvYs=")</f>
        <v>#REF!</v>
      </c>
      <c r="EK563" t="e">
        <f>AND(#REF!,"AAAAAF7VvYw=")</f>
        <v>#REF!</v>
      </c>
      <c r="EL563" t="e">
        <f>AND(#REF!,"AAAAAF7VvY0=")</f>
        <v>#REF!</v>
      </c>
      <c r="EM563" t="e">
        <f>AND(#REF!,"AAAAAF7VvY4=")</f>
        <v>#REF!</v>
      </c>
      <c r="EN563" t="e">
        <f>AND(#REF!,"AAAAAF7VvY8=")</f>
        <v>#REF!</v>
      </c>
      <c r="EO563" t="e">
        <f>AND(#REF!,"AAAAAF7VvZA=")</f>
        <v>#REF!</v>
      </c>
      <c r="EP563" t="e">
        <f>AND(#REF!,"AAAAAF7VvZE=")</f>
        <v>#REF!</v>
      </c>
      <c r="EQ563" t="e">
        <f>AND(#REF!,"AAAAAF7VvZI=")</f>
        <v>#REF!</v>
      </c>
      <c r="ER563" t="e">
        <f>AND(#REF!,"AAAAAF7VvZM=")</f>
        <v>#REF!</v>
      </c>
      <c r="ES563" t="e">
        <f>AND(#REF!,"AAAAAF7VvZQ=")</f>
        <v>#REF!</v>
      </c>
      <c r="ET563" t="e">
        <f>AND(#REF!,"AAAAAF7VvZU=")</f>
        <v>#REF!</v>
      </c>
      <c r="EU563" t="e">
        <f>AND(#REF!,"AAAAAF7VvZY=")</f>
        <v>#REF!</v>
      </c>
      <c r="EV563" t="e">
        <f>AND(#REF!,"AAAAAF7VvZc=")</f>
        <v>#REF!</v>
      </c>
      <c r="EW563" t="e">
        <f>AND(#REF!,"AAAAAF7VvZg=")</f>
        <v>#REF!</v>
      </c>
      <c r="EX563" t="e">
        <f>AND(#REF!,"AAAAAF7VvZk=")</f>
        <v>#REF!</v>
      </c>
      <c r="EY563" t="e">
        <f>AND(#REF!,"AAAAAF7VvZo=")</f>
        <v>#REF!</v>
      </c>
      <c r="EZ563" t="e">
        <f>AND(#REF!,"AAAAAF7VvZs=")</f>
        <v>#REF!</v>
      </c>
      <c r="FA563" t="e">
        <f>AND(#REF!,"AAAAAF7VvZw=")</f>
        <v>#REF!</v>
      </c>
      <c r="FB563" t="e">
        <f>AND(#REF!,"AAAAAF7VvZ0=")</f>
        <v>#REF!</v>
      </c>
      <c r="FC563" t="e">
        <f>AND(#REF!,"AAAAAF7VvZ4=")</f>
        <v>#REF!</v>
      </c>
      <c r="FD563" t="e">
        <f>AND(#REF!,"AAAAAF7VvZ8=")</f>
        <v>#REF!</v>
      </c>
      <c r="FE563" t="e">
        <f>AND(#REF!,"AAAAAF7VvaA=")</f>
        <v>#REF!</v>
      </c>
      <c r="FF563" t="e">
        <f>AND(#REF!,"AAAAAF7VvaE=")</f>
        <v>#REF!</v>
      </c>
      <c r="FG563" t="e">
        <f>AND(#REF!,"AAAAAF7VvaI=")</f>
        <v>#REF!</v>
      </c>
      <c r="FH563" t="e">
        <f>IF(#REF!,"AAAAAF7VvaM=",0)</f>
        <v>#REF!</v>
      </c>
      <c r="FI563" t="e">
        <f>AND(#REF!,"AAAAAF7VvaQ=")</f>
        <v>#REF!</v>
      </c>
      <c r="FJ563" t="e">
        <f>AND(#REF!,"AAAAAF7VvaU=")</f>
        <v>#REF!</v>
      </c>
      <c r="FK563" t="e">
        <f>AND(#REF!,"AAAAAF7VvaY=")</f>
        <v>#REF!</v>
      </c>
      <c r="FL563" t="e">
        <f>AND(#REF!,"AAAAAF7Vvac=")</f>
        <v>#REF!</v>
      </c>
      <c r="FM563" t="e">
        <f>AND(#REF!,"AAAAAF7Vvag=")</f>
        <v>#REF!</v>
      </c>
      <c r="FN563" t="e">
        <f>AND(#REF!,"AAAAAF7Vvak=")</f>
        <v>#REF!</v>
      </c>
      <c r="FO563" t="e">
        <f>AND(#REF!,"AAAAAF7Vvao=")</f>
        <v>#REF!</v>
      </c>
      <c r="FP563" t="e">
        <f>AND(#REF!,"AAAAAF7Vvas=")</f>
        <v>#REF!</v>
      </c>
      <c r="FQ563" t="e">
        <f>AND(#REF!,"AAAAAF7Vvaw=")</f>
        <v>#REF!</v>
      </c>
      <c r="FR563" t="e">
        <f>AND(#REF!,"AAAAAF7Vva0=")</f>
        <v>#REF!</v>
      </c>
      <c r="FS563" t="e">
        <f>AND(#REF!,"AAAAAF7Vva4=")</f>
        <v>#REF!</v>
      </c>
      <c r="FT563" t="e">
        <f>AND(#REF!,"AAAAAF7Vva8=")</f>
        <v>#REF!</v>
      </c>
      <c r="FU563" t="e">
        <f>AND(#REF!,"AAAAAF7VvbA=")</f>
        <v>#REF!</v>
      </c>
      <c r="FV563" t="e">
        <f>AND(#REF!,"AAAAAF7VvbE=")</f>
        <v>#REF!</v>
      </c>
      <c r="FW563" t="e">
        <f>AND(#REF!,"AAAAAF7VvbI=")</f>
        <v>#REF!</v>
      </c>
      <c r="FX563" t="e">
        <f>AND(#REF!,"AAAAAF7VvbM=")</f>
        <v>#REF!</v>
      </c>
      <c r="FY563" t="e">
        <f>AND(#REF!,"AAAAAF7VvbQ=")</f>
        <v>#REF!</v>
      </c>
      <c r="FZ563" t="e">
        <f>AND(#REF!,"AAAAAF7VvbU=")</f>
        <v>#REF!</v>
      </c>
      <c r="GA563" t="e">
        <f>AND(#REF!,"AAAAAF7VvbY=")</f>
        <v>#REF!</v>
      </c>
      <c r="GB563" t="e">
        <f>AND(#REF!,"AAAAAF7Vvbc=")</f>
        <v>#REF!</v>
      </c>
      <c r="GC563" t="e">
        <f>AND(#REF!,"AAAAAF7Vvbg=")</f>
        <v>#REF!</v>
      </c>
      <c r="GD563" t="e">
        <f>AND(#REF!,"AAAAAF7Vvbk=")</f>
        <v>#REF!</v>
      </c>
      <c r="GE563" t="e">
        <f>AND(#REF!,"AAAAAF7Vvbo=")</f>
        <v>#REF!</v>
      </c>
      <c r="GF563" t="e">
        <f>AND(#REF!,"AAAAAF7Vvbs=")</f>
        <v>#REF!</v>
      </c>
      <c r="GG563" t="e">
        <f>IF(#REF!,"AAAAAF7Vvbw=",0)</f>
        <v>#REF!</v>
      </c>
      <c r="GH563" t="e">
        <f>AND(#REF!,"AAAAAF7Vvb0=")</f>
        <v>#REF!</v>
      </c>
      <c r="GI563" t="e">
        <f>AND(#REF!,"AAAAAF7Vvb4=")</f>
        <v>#REF!</v>
      </c>
      <c r="GJ563" t="e">
        <f>AND(#REF!,"AAAAAF7Vvb8=")</f>
        <v>#REF!</v>
      </c>
      <c r="GK563" t="e">
        <f>AND(#REF!,"AAAAAF7VvcA=")</f>
        <v>#REF!</v>
      </c>
      <c r="GL563" t="e">
        <f>AND(#REF!,"AAAAAF7VvcE=")</f>
        <v>#REF!</v>
      </c>
      <c r="GM563" t="e">
        <f>AND(#REF!,"AAAAAF7VvcI=")</f>
        <v>#REF!</v>
      </c>
      <c r="GN563" t="e">
        <f>AND(#REF!,"AAAAAF7VvcM=")</f>
        <v>#REF!</v>
      </c>
      <c r="GO563" t="e">
        <f>AND(#REF!,"AAAAAF7VvcQ=")</f>
        <v>#REF!</v>
      </c>
      <c r="GP563" t="e">
        <f>AND(#REF!,"AAAAAF7VvcU=")</f>
        <v>#REF!</v>
      </c>
      <c r="GQ563" t="e">
        <f>AND(#REF!,"AAAAAF7VvcY=")</f>
        <v>#REF!</v>
      </c>
      <c r="GR563" t="e">
        <f>AND(#REF!,"AAAAAF7Vvcc=")</f>
        <v>#REF!</v>
      </c>
      <c r="GS563" t="e">
        <f>AND(#REF!,"AAAAAF7Vvcg=")</f>
        <v>#REF!</v>
      </c>
      <c r="GT563" t="e">
        <f>AND(#REF!,"AAAAAF7Vvck=")</f>
        <v>#REF!</v>
      </c>
      <c r="GU563" t="e">
        <f>AND(#REF!,"AAAAAF7Vvco=")</f>
        <v>#REF!</v>
      </c>
      <c r="GV563" t="e">
        <f>AND(#REF!,"AAAAAF7Vvcs=")</f>
        <v>#REF!</v>
      </c>
      <c r="GW563" t="e">
        <f>AND(#REF!,"AAAAAF7Vvcw=")</f>
        <v>#REF!</v>
      </c>
      <c r="GX563" t="e">
        <f>AND(#REF!,"AAAAAF7Vvc0=")</f>
        <v>#REF!</v>
      </c>
      <c r="GY563" t="e">
        <f>AND(#REF!,"AAAAAF7Vvc4=")</f>
        <v>#REF!</v>
      </c>
      <c r="GZ563" t="e">
        <f>AND(#REF!,"AAAAAF7Vvc8=")</f>
        <v>#REF!</v>
      </c>
      <c r="HA563" t="e">
        <f>AND(#REF!,"AAAAAF7VvdA=")</f>
        <v>#REF!</v>
      </c>
      <c r="HB563" t="e">
        <f>AND(#REF!,"AAAAAF7VvdE=")</f>
        <v>#REF!</v>
      </c>
      <c r="HC563" t="e">
        <f>AND(#REF!,"AAAAAF7VvdI=")</f>
        <v>#REF!</v>
      </c>
      <c r="HD563" t="e">
        <f>AND(#REF!,"AAAAAF7VvdM=")</f>
        <v>#REF!</v>
      </c>
      <c r="HE563" t="e">
        <f>AND(#REF!,"AAAAAF7VvdQ=")</f>
        <v>#REF!</v>
      </c>
      <c r="HF563" t="e">
        <f>IF(#REF!,"AAAAAF7VvdU=",0)</f>
        <v>#REF!</v>
      </c>
      <c r="HG563" t="e">
        <f>AND(#REF!,"AAAAAF7VvdY=")</f>
        <v>#REF!</v>
      </c>
      <c r="HH563" t="e">
        <f>AND(#REF!,"AAAAAF7Vvdc=")</f>
        <v>#REF!</v>
      </c>
      <c r="HI563" t="e">
        <f>AND(#REF!,"AAAAAF7Vvdg=")</f>
        <v>#REF!</v>
      </c>
      <c r="HJ563" t="e">
        <f>AND(#REF!,"AAAAAF7Vvdk=")</f>
        <v>#REF!</v>
      </c>
      <c r="HK563" t="e">
        <f>AND(#REF!,"AAAAAF7Vvdo=")</f>
        <v>#REF!</v>
      </c>
      <c r="HL563" t="e">
        <f>AND(#REF!,"AAAAAF7Vvds=")</f>
        <v>#REF!</v>
      </c>
      <c r="HM563" t="e">
        <f>AND(#REF!,"AAAAAF7Vvdw=")</f>
        <v>#REF!</v>
      </c>
      <c r="HN563" t="e">
        <f>AND(#REF!,"AAAAAF7Vvd0=")</f>
        <v>#REF!</v>
      </c>
      <c r="HO563" t="e">
        <f>AND(#REF!,"AAAAAF7Vvd4=")</f>
        <v>#REF!</v>
      </c>
      <c r="HP563" t="e">
        <f>AND(#REF!,"AAAAAF7Vvd8=")</f>
        <v>#REF!</v>
      </c>
      <c r="HQ563" t="e">
        <f>AND(#REF!,"AAAAAF7VveA=")</f>
        <v>#REF!</v>
      </c>
      <c r="HR563" t="e">
        <f>AND(#REF!,"AAAAAF7VveE=")</f>
        <v>#REF!</v>
      </c>
      <c r="HS563" t="e">
        <f>AND(#REF!,"AAAAAF7VveI=")</f>
        <v>#REF!</v>
      </c>
      <c r="HT563" t="e">
        <f>AND(#REF!,"AAAAAF7VveM=")</f>
        <v>#REF!</v>
      </c>
      <c r="HU563" t="e">
        <f>AND(#REF!,"AAAAAF7VveQ=")</f>
        <v>#REF!</v>
      </c>
      <c r="HV563" t="e">
        <f>AND(#REF!,"AAAAAF7VveU=")</f>
        <v>#REF!</v>
      </c>
      <c r="HW563" t="e">
        <f>AND(#REF!,"AAAAAF7VveY=")</f>
        <v>#REF!</v>
      </c>
      <c r="HX563" t="e">
        <f>AND(#REF!,"AAAAAF7Vvec=")</f>
        <v>#REF!</v>
      </c>
      <c r="HY563" t="e">
        <f>AND(#REF!,"AAAAAF7Vveg=")</f>
        <v>#REF!</v>
      </c>
      <c r="HZ563" t="e">
        <f>AND(#REF!,"AAAAAF7Vvek=")</f>
        <v>#REF!</v>
      </c>
      <c r="IA563" t="e">
        <f>AND(#REF!,"AAAAAF7Vveo=")</f>
        <v>#REF!</v>
      </c>
      <c r="IB563" t="e">
        <f>AND(#REF!,"AAAAAF7Vves=")</f>
        <v>#REF!</v>
      </c>
      <c r="IC563" t="e">
        <f>AND(#REF!,"AAAAAF7Vvew=")</f>
        <v>#REF!</v>
      </c>
      <c r="ID563" t="e">
        <f>AND(#REF!,"AAAAAF7Vve0=")</f>
        <v>#REF!</v>
      </c>
      <c r="IE563" t="e">
        <f>IF(#REF!,"AAAAAF7Vve4=",0)</f>
        <v>#REF!</v>
      </c>
      <c r="IF563" t="e">
        <f>AND(#REF!,"AAAAAF7Vve8=")</f>
        <v>#REF!</v>
      </c>
      <c r="IG563" t="e">
        <f>AND(#REF!,"AAAAAF7VvfA=")</f>
        <v>#REF!</v>
      </c>
      <c r="IH563" t="e">
        <f>AND(#REF!,"AAAAAF7VvfE=")</f>
        <v>#REF!</v>
      </c>
      <c r="II563" t="e">
        <f>AND(#REF!,"AAAAAF7VvfI=")</f>
        <v>#REF!</v>
      </c>
      <c r="IJ563" t="e">
        <f>AND(#REF!,"AAAAAF7VvfM=")</f>
        <v>#REF!</v>
      </c>
      <c r="IK563" t="e">
        <f>AND(#REF!,"AAAAAF7VvfQ=")</f>
        <v>#REF!</v>
      </c>
      <c r="IL563" t="e">
        <f>AND(#REF!,"AAAAAF7VvfU=")</f>
        <v>#REF!</v>
      </c>
      <c r="IM563" t="e">
        <f>AND(#REF!,"AAAAAF7VvfY=")</f>
        <v>#REF!</v>
      </c>
      <c r="IN563" t="e">
        <f>AND(#REF!,"AAAAAF7Vvfc=")</f>
        <v>#REF!</v>
      </c>
      <c r="IO563" t="e">
        <f>AND(#REF!,"AAAAAF7Vvfg=")</f>
        <v>#REF!</v>
      </c>
      <c r="IP563" t="e">
        <f>AND(#REF!,"AAAAAF7Vvfk=")</f>
        <v>#REF!</v>
      </c>
      <c r="IQ563" t="e">
        <f>AND(#REF!,"AAAAAF7Vvfo=")</f>
        <v>#REF!</v>
      </c>
      <c r="IR563" t="e">
        <f>AND(#REF!,"AAAAAF7Vvfs=")</f>
        <v>#REF!</v>
      </c>
      <c r="IS563" t="e">
        <f>AND(#REF!,"AAAAAF7Vvfw=")</f>
        <v>#REF!</v>
      </c>
      <c r="IT563" t="e">
        <f>AND(#REF!,"AAAAAF7Vvf0=")</f>
        <v>#REF!</v>
      </c>
      <c r="IU563" t="e">
        <f>AND(#REF!,"AAAAAF7Vvf4=")</f>
        <v>#REF!</v>
      </c>
      <c r="IV563" t="e">
        <f>AND(#REF!,"AAAAAF7Vvf8=")</f>
        <v>#REF!</v>
      </c>
    </row>
    <row r="564" spans="1:256">
      <c r="A564" t="e">
        <f>AND(#REF!,"AAAAAEV6twA=")</f>
        <v>#REF!</v>
      </c>
      <c r="B564" t="e">
        <f>AND(#REF!,"AAAAAEV6twE=")</f>
        <v>#REF!</v>
      </c>
      <c r="C564" t="e">
        <f>AND(#REF!,"AAAAAEV6twI=")</f>
        <v>#REF!</v>
      </c>
      <c r="D564" t="e">
        <f>AND(#REF!,"AAAAAEV6twM=")</f>
        <v>#REF!</v>
      </c>
      <c r="E564" t="e">
        <f>AND(#REF!,"AAAAAEV6twQ=")</f>
        <v>#REF!</v>
      </c>
      <c r="F564" t="e">
        <f>AND(#REF!,"AAAAAEV6twU=")</f>
        <v>#REF!</v>
      </c>
      <c r="G564" t="e">
        <f>AND(#REF!,"AAAAAEV6twY=")</f>
        <v>#REF!</v>
      </c>
      <c r="H564" t="e">
        <f>IF(#REF!,"AAAAAEV6twc=",0)</f>
        <v>#REF!</v>
      </c>
      <c r="I564" t="e">
        <f>AND(#REF!,"AAAAAEV6twg=")</f>
        <v>#REF!</v>
      </c>
      <c r="J564" t="e">
        <f>AND(#REF!,"AAAAAEV6twk=")</f>
        <v>#REF!</v>
      </c>
      <c r="K564" t="e">
        <f>AND(#REF!,"AAAAAEV6two=")</f>
        <v>#REF!</v>
      </c>
      <c r="L564" t="e">
        <f>AND(#REF!,"AAAAAEV6tws=")</f>
        <v>#REF!</v>
      </c>
      <c r="M564" t="e">
        <f>AND(#REF!,"AAAAAEV6tww=")</f>
        <v>#REF!</v>
      </c>
      <c r="N564" t="e">
        <f>AND(#REF!,"AAAAAEV6tw0=")</f>
        <v>#REF!</v>
      </c>
      <c r="O564" t="e">
        <f>AND(#REF!,"AAAAAEV6tw4=")</f>
        <v>#REF!</v>
      </c>
      <c r="P564" t="e">
        <f>AND(#REF!,"AAAAAEV6tw8=")</f>
        <v>#REF!</v>
      </c>
      <c r="Q564" t="e">
        <f>AND(#REF!,"AAAAAEV6txA=")</f>
        <v>#REF!</v>
      </c>
      <c r="R564" t="e">
        <f>AND(#REF!,"AAAAAEV6txE=")</f>
        <v>#REF!</v>
      </c>
      <c r="S564" t="e">
        <f>AND(#REF!,"AAAAAEV6txI=")</f>
        <v>#REF!</v>
      </c>
      <c r="T564" t="e">
        <f>AND(#REF!,"AAAAAEV6txM=")</f>
        <v>#REF!</v>
      </c>
      <c r="U564" t="e">
        <f>AND(#REF!,"AAAAAEV6txQ=")</f>
        <v>#REF!</v>
      </c>
      <c r="V564" t="e">
        <f>AND(#REF!,"AAAAAEV6txU=")</f>
        <v>#REF!</v>
      </c>
      <c r="W564" t="e">
        <f>AND(#REF!,"AAAAAEV6txY=")</f>
        <v>#REF!</v>
      </c>
      <c r="X564" t="e">
        <f>AND(#REF!,"AAAAAEV6txc=")</f>
        <v>#REF!</v>
      </c>
      <c r="Y564" t="e">
        <f>AND(#REF!,"AAAAAEV6txg=")</f>
        <v>#REF!</v>
      </c>
      <c r="Z564" t="e">
        <f>AND(#REF!,"AAAAAEV6txk=")</f>
        <v>#REF!</v>
      </c>
      <c r="AA564" t="e">
        <f>AND(#REF!,"AAAAAEV6txo=")</f>
        <v>#REF!</v>
      </c>
      <c r="AB564" t="e">
        <f>AND(#REF!,"AAAAAEV6txs=")</f>
        <v>#REF!</v>
      </c>
      <c r="AC564" t="e">
        <f>AND(#REF!,"AAAAAEV6txw=")</f>
        <v>#REF!</v>
      </c>
      <c r="AD564" t="e">
        <f>AND(#REF!,"AAAAAEV6tx0=")</f>
        <v>#REF!</v>
      </c>
      <c r="AE564" t="e">
        <f>AND(#REF!,"AAAAAEV6tx4=")</f>
        <v>#REF!</v>
      </c>
      <c r="AF564" t="e">
        <f>AND(#REF!,"AAAAAEV6tx8=")</f>
        <v>#REF!</v>
      </c>
      <c r="AG564" t="e">
        <f>IF(#REF!,"AAAAAEV6tyA=",0)</f>
        <v>#REF!</v>
      </c>
      <c r="AH564" t="e">
        <f>AND(#REF!,"AAAAAEV6tyE=")</f>
        <v>#REF!</v>
      </c>
      <c r="AI564" t="e">
        <f>AND(#REF!,"AAAAAEV6tyI=")</f>
        <v>#REF!</v>
      </c>
      <c r="AJ564" t="e">
        <f>AND(#REF!,"AAAAAEV6tyM=")</f>
        <v>#REF!</v>
      </c>
      <c r="AK564" t="e">
        <f>AND(#REF!,"AAAAAEV6tyQ=")</f>
        <v>#REF!</v>
      </c>
      <c r="AL564" t="e">
        <f>AND(#REF!,"AAAAAEV6tyU=")</f>
        <v>#REF!</v>
      </c>
      <c r="AM564" t="e">
        <f>AND(#REF!,"AAAAAEV6tyY=")</f>
        <v>#REF!</v>
      </c>
      <c r="AN564" t="e">
        <f>AND(#REF!,"AAAAAEV6tyc=")</f>
        <v>#REF!</v>
      </c>
      <c r="AO564" t="e">
        <f>AND(#REF!,"AAAAAEV6tyg=")</f>
        <v>#REF!</v>
      </c>
      <c r="AP564" t="e">
        <f>AND(#REF!,"AAAAAEV6tyk=")</f>
        <v>#REF!</v>
      </c>
      <c r="AQ564" t="e">
        <f>AND(#REF!,"AAAAAEV6tyo=")</f>
        <v>#REF!</v>
      </c>
      <c r="AR564" t="e">
        <f>AND(#REF!,"AAAAAEV6tys=")</f>
        <v>#REF!</v>
      </c>
      <c r="AS564" t="e">
        <f>AND(#REF!,"AAAAAEV6tyw=")</f>
        <v>#REF!</v>
      </c>
      <c r="AT564" t="e">
        <f>AND(#REF!,"AAAAAEV6ty0=")</f>
        <v>#REF!</v>
      </c>
      <c r="AU564" t="e">
        <f>AND(#REF!,"AAAAAEV6ty4=")</f>
        <v>#REF!</v>
      </c>
      <c r="AV564" t="e">
        <f>AND(#REF!,"AAAAAEV6ty8=")</f>
        <v>#REF!</v>
      </c>
      <c r="AW564" t="e">
        <f>AND(#REF!,"AAAAAEV6tzA=")</f>
        <v>#REF!</v>
      </c>
      <c r="AX564" t="e">
        <f>AND(#REF!,"AAAAAEV6tzE=")</f>
        <v>#REF!</v>
      </c>
      <c r="AY564" t="e">
        <f>AND(#REF!,"AAAAAEV6tzI=")</f>
        <v>#REF!</v>
      </c>
      <c r="AZ564" t="e">
        <f>AND(#REF!,"AAAAAEV6tzM=")</f>
        <v>#REF!</v>
      </c>
      <c r="BA564" t="e">
        <f>AND(#REF!,"AAAAAEV6tzQ=")</f>
        <v>#REF!</v>
      </c>
      <c r="BB564" t="e">
        <f>AND(#REF!,"AAAAAEV6tzU=")</f>
        <v>#REF!</v>
      </c>
      <c r="BC564" t="e">
        <f>AND(#REF!,"AAAAAEV6tzY=")</f>
        <v>#REF!</v>
      </c>
      <c r="BD564" t="e">
        <f>AND(#REF!,"AAAAAEV6tzc=")</f>
        <v>#REF!</v>
      </c>
      <c r="BE564" t="e">
        <f>AND(#REF!,"AAAAAEV6tzg=")</f>
        <v>#REF!</v>
      </c>
      <c r="BF564" t="e">
        <f>IF(#REF!,"AAAAAEV6tzk=",0)</f>
        <v>#REF!</v>
      </c>
      <c r="BG564" t="e">
        <f>AND(#REF!,"AAAAAEV6tzo=")</f>
        <v>#REF!</v>
      </c>
      <c r="BH564" t="e">
        <f>AND(#REF!,"AAAAAEV6tzs=")</f>
        <v>#REF!</v>
      </c>
      <c r="BI564" t="e">
        <f>AND(#REF!,"AAAAAEV6tzw=")</f>
        <v>#REF!</v>
      </c>
      <c r="BJ564" t="e">
        <f>AND(#REF!,"AAAAAEV6tz0=")</f>
        <v>#REF!</v>
      </c>
      <c r="BK564" t="e">
        <f>AND(#REF!,"AAAAAEV6tz4=")</f>
        <v>#REF!</v>
      </c>
      <c r="BL564" t="e">
        <f>AND(#REF!,"AAAAAEV6tz8=")</f>
        <v>#REF!</v>
      </c>
      <c r="BM564" t="e">
        <f>AND(#REF!,"AAAAAEV6t0A=")</f>
        <v>#REF!</v>
      </c>
      <c r="BN564" t="e">
        <f>AND(#REF!,"AAAAAEV6t0E=")</f>
        <v>#REF!</v>
      </c>
      <c r="BO564" t="e">
        <f>AND(#REF!,"AAAAAEV6t0I=")</f>
        <v>#REF!</v>
      </c>
      <c r="BP564" t="e">
        <f>AND(#REF!,"AAAAAEV6t0M=")</f>
        <v>#REF!</v>
      </c>
      <c r="BQ564" t="e">
        <f>AND(#REF!,"AAAAAEV6t0Q=")</f>
        <v>#REF!</v>
      </c>
      <c r="BR564" t="e">
        <f>AND(#REF!,"AAAAAEV6t0U=")</f>
        <v>#REF!</v>
      </c>
      <c r="BS564" t="e">
        <f>AND(#REF!,"AAAAAEV6t0Y=")</f>
        <v>#REF!</v>
      </c>
      <c r="BT564" t="e">
        <f>AND(#REF!,"AAAAAEV6t0c=")</f>
        <v>#REF!</v>
      </c>
      <c r="BU564" t="e">
        <f>AND(#REF!,"AAAAAEV6t0g=")</f>
        <v>#REF!</v>
      </c>
      <c r="BV564" t="e">
        <f>AND(#REF!,"AAAAAEV6t0k=")</f>
        <v>#REF!</v>
      </c>
      <c r="BW564" t="e">
        <f>AND(#REF!,"AAAAAEV6t0o=")</f>
        <v>#REF!</v>
      </c>
      <c r="BX564" t="e">
        <f>AND(#REF!,"AAAAAEV6t0s=")</f>
        <v>#REF!</v>
      </c>
      <c r="BY564" t="e">
        <f>AND(#REF!,"AAAAAEV6t0w=")</f>
        <v>#REF!</v>
      </c>
      <c r="BZ564" t="e">
        <f>AND(#REF!,"AAAAAEV6t00=")</f>
        <v>#REF!</v>
      </c>
      <c r="CA564" t="e">
        <f>AND(#REF!,"AAAAAEV6t04=")</f>
        <v>#REF!</v>
      </c>
      <c r="CB564" t="e">
        <f>AND(#REF!,"AAAAAEV6t08=")</f>
        <v>#REF!</v>
      </c>
      <c r="CC564" t="e">
        <f>AND(#REF!,"AAAAAEV6t1A=")</f>
        <v>#REF!</v>
      </c>
      <c r="CD564" t="e">
        <f>AND(#REF!,"AAAAAEV6t1E=")</f>
        <v>#REF!</v>
      </c>
      <c r="CE564" t="e">
        <f>IF(#REF!,"AAAAAEV6t1I=",0)</f>
        <v>#REF!</v>
      </c>
      <c r="CF564" t="e">
        <f>AND(#REF!,"AAAAAEV6t1M=")</f>
        <v>#REF!</v>
      </c>
      <c r="CG564" t="e">
        <f>AND(#REF!,"AAAAAEV6t1Q=")</f>
        <v>#REF!</v>
      </c>
      <c r="CH564" t="e">
        <f>AND(#REF!,"AAAAAEV6t1U=")</f>
        <v>#REF!</v>
      </c>
      <c r="CI564" t="e">
        <f>AND(#REF!,"AAAAAEV6t1Y=")</f>
        <v>#REF!</v>
      </c>
      <c r="CJ564" t="e">
        <f>AND(#REF!,"AAAAAEV6t1c=")</f>
        <v>#REF!</v>
      </c>
      <c r="CK564" t="e">
        <f>AND(#REF!,"AAAAAEV6t1g=")</f>
        <v>#REF!</v>
      </c>
      <c r="CL564" t="e">
        <f>AND(#REF!,"AAAAAEV6t1k=")</f>
        <v>#REF!</v>
      </c>
      <c r="CM564" t="e">
        <f>AND(#REF!,"AAAAAEV6t1o=")</f>
        <v>#REF!</v>
      </c>
      <c r="CN564" t="e">
        <f>AND(#REF!,"AAAAAEV6t1s=")</f>
        <v>#REF!</v>
      </c>
      <c r="CO564" t="e">
        <f>AND(#REF!,"AAAAAEV6t1w=")</f>
        <v>#REF!</v>
      </c>
      <c r="CP564" t="e">
        <f>AND(#REF!,"AAAAAEV6t10=")</f>
        <v>#REF!</v>
      </c>
      <c r="CQ564" t="e">
        <f>AND(#REF!,"AAAAAEV6t14=")</f>
        <v>#REF!</v>
      </c>
      <c r="CR564" t="e">
        <f>AND(#REF!,"AAAAAEV6t18=")</f>
        <v>#REF!</v>
      </c>
      <c r="CS564" t="e">
        <f>AND(#REF!,"AAAAAEV6t2A=")</f>
        <v>#REF!</v>
      </c>
      <c r="CT564" t="e">
        <f>AND(#REF!,"AAAAAEV6t2E=")</f>
        <v>#REF!</v>
      </c>
      <c r="CU564" t="e">
        <f>AND(#REF!,"AAAAAEV6t2I=")</f>
        <v>#REF!</v>
      </c>
      <c r="CV564" t="e">
        <f>AND(#REF!,"AAAAAEV6t2M=")</f>
        <v>#REF!</v>
      </c>
      <c r="CW564" t="e">
        <f>AND(#REF!,"AAAAAEV6t2Q=")</f>
        <v>#REF!</v>
      </c>
      <c r="CX564" t="e">
        <f>AND(#REF!,"AAAAAEV6t2U=")</f>
        <v>#REF!</v>
      </c>
      <c r="CY564" t="e">
        <f>AND(#REF!,"AAAAAEV6t2Y=")</f>
        <v>#REF!</v>
      </c>
      <c r="CZ564" t="e">
        <f>AND(#REF!,"AAAAAEV6t2c=")</f>
        <v>#REF!</v>
      </c>
      <c r="DA564" t="e">
        <f>AND(#REF!,"AAAAAEV6t2g=")</f>
        <v>#REF!</v>
      </c>
      <c r="DB564" t="e">
        <f>AND(#REF!,"AAAAAEV6t2k=")</f>
        <v>#REF!</v>
      </c>
      <c r="DC564" t="e">
        <f>AND(#REF!,"AAAAAEV6t2o=")</f>
        <v>#REF!</v>
      </c>
      <c r="DD564" t="e">
        <f>IF(#REF!,"AAAAAEV6t2s=",0)</f>
        <v>#REF!</v>
      </c>
      <c r="DE564" t="e">
        <f>AND(#REF!,"AAAAAEV6t2w=")</f>
        <v>#REF!</v>
      </c>
      <c r="DF564" t="e">
        <f>AND(#REF!,"AAAAAEV6t20=")</f>
        <v>#REF!</v>
      </c>
      <c r="DG564" t="e">
        <f>AND(#REF!,"AAAAAEV6t24=")</f>
        <v>#REF!</v>
      </c>
      <c r="DH564" t="e">
        <f>AND(#REF!,"AAAAAEV6t28=")</f>
        <v>#REF!</v>
      </c>
      <c r="DI564" t="e">
        <f>AND(#REF!,"AAAAAEV6t3A=")</f>
        <v>#REF!</v>
      </c>
      <c r="DJ564" t="e">
        <f>AND(#REF!,"AAAAAEV6t3E=")</f>
        <v>#REF!</v>
      </c>
      <c r="DK564" t="e">
        <f>AND(#REF!,"AAAAAEV6t3I=")</f>
        <v>#REF!</v>
      </c>
      <c r="DL564" t="e">
        <f>AND(#REF!,"AAAAAEV6t3M=")</f>
        <v>#REF!</v>
      </c>
      <c r="DM564" t="e">
        <f>AND(#REF!,"AAAAAEV6t3Q=")</f>
        <v>#REF!</v>
      </c>
      <c r="DN564" t="e">
        <f>AND(#REF!,"AAAAAEV6t3U=")</f>
        <v>#REF!</v>
      </c>
      <c r="DO564" t="e">
        <f>AND(#REF!,"AAAAAEV6t3Y=")</f>
        <v>#REF!</v>
      </c>
      <c r="DP564" t="e">
        <f>AND(#REF!,"AAAAAEV6t3c=")</f>
        <v>#REF!</v>
      </c>
      <c r="DQ564" t="e">
        <f>AND(#REF!,"AAAAAEV6t3g=")</f>
        <v>#REF!</v>
      </c>
      <c r="DR564" t="e">
        <f>AND(#REF!,"AAAAAEV6t3k=")</f>
        <v>#REF!</v>
      </c>
      <c r="DS564" t="e">
        <f>AND(#REF!,"AAAAAEV6t3o=")</f>
        <v>#REF!</v>
      </c>
      <c r="DT564" t="e">
        <f>AND(#REF!,"AAAAAEV6t3s=")</f>
        <v>#REF!</v>
      </c>
      <c r="DU564" t="e">
        <f>AND(#REF!,"AAAAAEV6t3w=")</f>
        <v>#REF!</v>
      </c>
      <c r="DV564" t="e">
        <f>AND(#REF!,"AAAAAEV6t30=")</f>
        <v>#REF!</v>
      </c>
      <c r="DW564" t="e">
        <f>AND(#REF!,"AAAAAEV6t34=")</f>
        <v>#REF!</v>
      </c>
      <c r="DX564" t="e">
        <f>AND(#REF!,"AAAAAEV6t38=")</f>
        <v>#REF!</v>
      </c>
      <c r="DY564" t="e">
        <f>AND(#REF!,"AAAAAEV6t4A=")</f>
        <v>#REF!</v>
      </c>
      <c r="DZ564" t="e">
        <f>AND(#REF!,"AAAAAEV6t4E=")</f>
        <v>#REF!</v>
      </c>
      <c r="EA564" t="e">
        <f>AND(#REF!,"AAAAAEV6t4I=")</f>
        <v>#REF!</v>
      </c>
      <c r="EB564" t="e">
        <f>AND(#REF!,"AAAAAEV6t4M=")</f>
        <v>#REF!</v>
      </c>
      <c r="EC564" t="e">
        <f>IF(#REF!,"AAAAAEV6t4Q=",0)</f>
        <v>#REF!</v>
      </c>
      <c r="ED564" t="e">
        <f>AND(#REF!,"AAAAAEV6t4U=")</f>
        <v>#REF!</v>
      </c>
      <c r="EE564" t="e">
        <f>AND(#REF!,"AAAAAEV6t4Y=")</f>
        <v>#REF!</v>
      </c>
      <c r="EF564" t="e">
        <f>AND(#REF!,"AAAAAEV6t4c=")</f>
        <v>#REF!</v>
      </c>
      <c r="EG564" t="e">
        <f>AND(#REF!,"AAAAAEV6t4g=")</f>
        <v>#REF!</v>
      </c>
      <c r="EH564" t="e">
        <f>AND(#REF!,"AAAAAEV6t4k=")</f>
        <v>#REF!</v>
      </c>
      <c r="EI564" t="e">
        <f>AND(#REF!,"AAAAAEV6t4o=")</f>
        <v>#REF!</v>
      </c>
      <c r="EJ564" t="e">
        <f>AND(#REF!,"AAAAAEV6t4s=")</f>
        <v>#REF!</v>
      </c>
      <c r="EK564" t="e">
        <f>AND(#REF!,"AAAAAEV6t4w=")</f>
        <v>#REF!</v>
      </c>
      <c r="EL564" t="e">
        <f>AND(#REF!,"AAAAAEV6t40=")</f>
        <v>#REF!</v>
      </c>
      <c r="EM564" t="e">
        <f>AND(#REF!,"AAAAAEV6t44=")</f>
        <v>#REF!</v>
      </c>
      <c r="EN564" t="e">
        <f>AND(#REF!,"AAAAAEV6t48=")</f>
        <v>#REF!</v>
      </c>
      <c r="EO564" t="e">
        <f>AND(#REF!,"AAAAAEV6t5A=")</f>
        <v>#REF!</v>
      </c>
      <c r="EP564" t="e">
        <f>AND(#REF!,"AAAAAEV6t5E=")</f>
        <v>#REF!</v>
      </c>
      <c r="EQ564" t="e">
        <f>AND(#REF!,"AAAAAEV6t5I=")</f>
        <v>#REF!</v>
      </c>
      <c r="ER564" t="e">
        <f>AND(#REF!,"AAAAAEV6t5M=")</f>
        <v>#REF!</v>
      </c>
      <c r="ES564" t="e">
        <f>AND(#REF!,"AAAAAEV6t5Q=")</f>
        <v>#REF!</v>
      </c>
      <c r="ET564" t="e">
        <f>AND(#REF!,"AAAAAEV6t5U=")</f>
        <v>#REF!</v>
      </c>
      <c r="EU564" t="e">
        <f>AND(#REF!,"AAAAAEV6t5Y=")</f>
        <v>#REF!</v>
      </c>
      <c r="EV564" t="e">
        <f>AND(#REF!,"AAAAAEV6t5c=")</f>
        <v>#REF!</v>
      </c>
      <c r="EW564" t="e">
        <f>AND(#REF!,"AAAAAEV6t5g=")</f>
        <v>#REF!</v>
      </c>
      <c r="EX564" t="e">
        <f>AND(#REF!,"AAAAAEV6t5k=")</f>
        <v>#REF!</v>
      </c>
      <c r="EY564" t="e">
        <f>AND(#REF!,"AAAAAEV6t5o=")</f>
        <v>#REF!</v>
      </c>
      <c r="EZ564" t="e">
        <f>AND(#REF!,"AAAAAEV6t5s=")</f>
        <v>#REF!</v>
      </c>
      <c r="FA564" t="e">
        <f>AND(#REF!,"AAAAAEV6t5w=")</f>
        <v>#REF!</v>
      </c>
      <c r="FB564" t="e">
        <f>IF(#REF!,"AAAAAEV6t50=",0)</f>
        <v>#REF!</v>
      </c>
      <c r="FC564" t="e">
        <f>AND(#REF!,"AAAAAEV6t54=")</f>
        <v>#REF!</v>
      </c>
      <c r="FD564" t="e">
        <f>AND(#REF!,"AAAAAEV6t58=")</f>
        <v>#REF!</v>
      </c>
      <c r="FE564" t="e">
        <f>AND(#REF!,"AAAAAEV6t6A=")</f>
        <v>#REF!</v>
      </c>
      <c r="FF564" t="e">
        <f>AND(#REF!,"AAAAAEV6t6E=")</f>
        <v>#REF!</v>
      </c>
      <c r="FG564" t="e">
        <f>AND(#REF!,"AAAAAEV6t6I=")</f>
        <v>#REF!</v>
      </c>
      <c r="FH564" t="e">
        <f>AND(#REF!,"AAAAAEV6t6M=")</f>
        <v>#REF!</v>
      </c>
      <c r="FI564" t="e">
        <f>AND(#REF!,"AAAAAEV6t6Q=")</f>
        <v>#REF!</v>
      </c>
      <c r="FJ564" t="e">
        <f>AND(#REF!,"AAAAAEV6t6U=")</f>
        <v>#REF!</v>
      </c>
      <c r="FK564" t="e">
        <f>AND(#REF!,"AAAAAEV6t6Y=")</f>
        <v>#REF!</v>
      </c>
      <c r="FL564" t="e">
        <f>AND(#REF!,"AAAAAEV6t6c=")</f>
        <v>#REF!</v>
      </c>
      <c r="FM564" t="e">
        <f>AND(#REF!,"AAAAAEV6t6g=")</f>
        <v>#REF!</v>
      </c>
      <c r="FN564" t="e">
        <f>AND(#REF!,"AAAAAEV6t6k=")</f>
        <v>#REF!</v>
      </c>
      <c r="FO564" t="e">
        <f>AND(#REF!,"AAAAAEV6t6o=")</f>
        <v>#REF!</v>
      </c>
      <c r="FP564" t="e">
        <f>AND(#REF!,"AAAAAEV6t6s=")</f>
        <v>#REF!</v>
      </c>
      <c r="FQ564" t="e">
        <f>AND(#REF!,"AAAAAEV6t6w=")</f>
        <v>#REF!</v>
      </c>
      <c r="FR564" t="e">
        <f>AND(#REF!,"AAAAAEV6t60=")</f>
        <v>#REF!</v>
      </c>
      <c r="FS564" t="e">
        <f>AND(#REF!,"AAAAAEV6t64=")</f>
        <v>#REF!</v>
      </c>
      <c r="FT564" t="e">
        <f>AND(#REF!,"AAAAAEV6t68=")</f>
        <v>#REF!</v>
      </c>
      <c r="FU564" t="e">
        <f>AND(#REF!,"AAAAAEV6t7A=")</f>
        <v>#REF!</v>
      </c>
      <c r="FV564" t="e">
        <f>AND(#REF!,"AAAAAEV6t7E=")</f>
        <v>#REF!</v>
      </c>
      <c r="FW564" t="e">
        <f>AND(#REF!,"AAAAAEV6t7I=")</f>
        <v>#REF!</v>
      </c>
      <c r="FX564" t="e">
        <f>AND(#REF!,"AAAAAEV6t7M=")</f>
        <v>#REF!</v>
      </c>
      <c r="FY564" t="e">
        <f>AND(#REF!,"AAAAAEV6t7Q=")</f>
        <v>#REF!</v>
      </c>
      <c r="FZ564" t="e">
        <f>AND(#REF!,"AAAAAEV6t7U=")</f>
        <v>#REF!</v>
      </c>
      <c r="GA564" t="e">
        <f>IF(#REF!,"AAAAAEV6t7Y=",0)</f>
        <v>#REF!</v>
      </c>
      <c r="GB564" t="e">
        <f>AND(#REF!,"AAAAAEV6t7c=")</f>
        <v>#REF!</v>
      </c>
      <c r="GC564" t="e">
        <f>AND(#REF!,"AAAAAEV6t7g=")</f>
        <v>#REF!</v>
      </c>
      <c r="GD564" t="e">
        <f>AND(#REF!,"AAAAAEV6t7k=")</f>
        <v>#REF!</v>
      </c>
      <c r="GE564" t="e">
        <f>AND(#REF!,"AAAAAEV6t7o=")</f>
        <v>#REF!</v>
      </c>
      <c r="GF564" t="e">
        <f>AND(#REF!,"AAAAAEV6t7s=")</f>
        <v>#REF!</v>
      </c>
      <c r="GG564" t="e">
        <f>AND(#REF!,"AAAAAEV6t7w=")</f>
        <v>#REF!</v>
      </c>
      <c r="GH564" t="e">
        <f>AND(#REF!,"AAAAAEV6t70=")</f>
        <v>#REF!</v>
      </c>
      <c r="GI564" t="e">
        <f>AND(#REF!,"AAAAAEV6t74=")</f>
        <v>#REF!</v>
      </c>
      <c r="GJ564" t="e">
        <f>AND(#REF!,"AAAAAEV6t78=")</f>
        <v>#REF!</v>
      </c>
      <c r="GK564" t="e">
        <f>AND(#REF!,"AAAAAEV6t8A=")</f>
        <v>#REF!</v>
      </c>
      <c r="GL564" t="e">
        <f>AND(#REF!,"AAAAAEV6t8E=")</f>
        <v>#REF!</v>
      </c>
      <c r="GM564" t="e">
        <f>AND(#REF!,"AAAAAEV6t8I=")</f>
        <v>#REF!</v>
      </c>
      <c r="GN564" t="e">
        <f>AND(#REF!,"AAAAAEV6t8M=")</f>
        <v>#REF!</v>
      </c>
      <c r="GO564" t="e">
        <f>AND(#REF!,"AAAAAEV6t8Q=")</f>
        <v>#REF!</v>
      </c>
      <c r="GP564" t="e">
        <f>AND(#REF!,"AAAAAEV6t8U=")</f>
        <v>#REF!</v>
      </c>
      <c r="GQ564" t="e">
        <f>AND(#REF!,"AAAAAEV6t8Y=")</f>
        <v>#REF!</v>
      </c>
      <c r="GR564" t="e">
        <f>AND(#REF!,"AAAAAEV6t8c=")</f>
        <v>#REF!</v>
      </c>
      <c r="GS564" t="e">
        <f>AND(#REF!,"AAAAAEV6t8g=")</f>
        <v>#REF!</v>
      </c>
      <c r="GT564" t="e">
        <f>AND(#REF!,"AAAAAEV6t8k=")</f>
        <v>#REF!</v>
      </c>
      <c r="GU564" t="e">
        <f>AND(#REF!,"AAAAAEV6t8o=")</f>
        <v>#REF!</v>
      </c>
      <c r="GV564" t="e">
        <f>AND(#REF!,"AAAAAEV6t8s=")</f>
        <v>#REF!</v>
      </c>
      <c r="GW564" t="e">
        <f>AND(#REF!,"AAAAAEV6t8w=")</f>
        <v>#REF!</v>
      </c>
      <c r="GX564" t="e">
        <f>AND(#REF!,"AAAAAEV6t80=")</f>
        <v>#REF!</v>
      </c>
      <c r="GY564" t="e">
        <f>AND(#REF!,"AAAAAEV6t84=")</f>
        <v>#REF!</v>
      </c>
      <c r="GZ564" t="e">
        <f>IF(#REF!,"AAAAAEV6t88=",0)</f>
        <v>#REF!</v>
      </c>
      <c r="HA564" t="e">
        <f>AND(#REF!,"AAAAAEV6t9A=")</f>
        <v>#REF!</v>
      </c>
      <c r="HB564" t="e">
        <f>AND(#REF!,"AAAAAEV6t9E=")</f>
        <v>#REF!</v>
      </c>
      <c r="HC564" t="e">
        <f>AND(#REF!,"AAAAAEV6t9I=")</f>
        <v>#REF!</v>
      </c>
      <c r="HD564" t="e">
        <f>AND(#REF!,"AAAAAEV6t9M=")</f>
        <v>#REF!</v>
      </c>
      <c r="HE564" t="e">
        <f>AND(#REF!,"AAAAAEV6t9Q=")</f>
        <v>#REF!</v>
      </c>
      <c r="HF564" t="e">
        <f>AND(#REF!,"AAAAAEV6t9U=")</f>
        <v>#REF!</v>
      </c>
      <c r="HG564" t="e">
        <f>AND(#REF!,"AAAAAEV6t9Y=")</f>
        <v>#REF!</v>
      </c>
      <c r="HH564" t="e">
        <f>AND(#REF!,"AAAAAEV6t9c=")</f>
        <v>#REF!</v>
      </c>
      <c r="HI564" t="e">
        <f>AND(#REF!,"AAAAAEV6t9g=")</f>
        <v>#REF!</v>
      </c>
      <c r="HJ564" t="e">
        <f>AND(#REF!,"AAAAAEV6t9k=")</f>
        <v>#REF!</v>
      </c>
      <c r="HK564" t="e">
        <f>AND(#REF!,"AAAAAEV6t9o=")</f>
        <v>#REF!</v>
      </c>
      <c r="HL564" t="e">
        <f>AND(#REF!,"AAAAAEV6t9s=")</f>
        <v>#REF!</v>
      </c>
      <c r="HM564" t="e">
        <f>AND(#REF!,"AAAAAEV6t9w=")</f>
        <v>#REF!</v>
      </c>
      <c r="HN564" t="e">
        <f>AND(#REF!,"AAAAAEV6t90=")</f>
        <v>#REF!</v>
      </c>
      <c r="HO564" t="e">
        <f>AND(#REF!,"AAAAAEV6t94=")</f>
        <v>#REF!</v>
      </c>
      <c r="HP564" t="e">
        <f>AND(#REF!,"AAAAAEV6t98=")</f>
        <v>#REF!</v>
      </c>
      <c r="HQ564" t="e">
        <f>AND(#REF!,"AAAAAEV6t+A=")</f>
        <v>#REF!</v>
      </c>
      <c r="HR564" t="e">
        <f>AND(#REF!,"AAAAAEV6t+E=")</f>
        <v>#REF!</v>
      </c>
      <c r="HS564" t="e">
        <f>AND(#REF!,"AAAAAEV6t+I=")</f>
        <v>#REF!</v>
      </c>
      <c r="HT564" t="e">
        <f>AND(#REF!,"AAAAAEV6t+M=")</f>
        <v>#REF!</v>
      </c>
      <c r="HU564" t="e">
        <f>AND(#REF!,"AAAAAEV6t+Q=")</f>
        <v>#REF!</v>
      </c>
      <c r="HV564" t="e">
        <f>AND(#REF!,"AAAAAEV6t+U=")</f>
        <v>#REF!</v>
      </c>
      <c r="HW564" t="e">
        <f>AND(#REF!,"AAAAAEV6t+Y=")</f>
        <v>#REF!</v>
      </c>
      <c r="HX564" t="e">
        <f>AND(#REF!,"AAAAAEV6t+c=")</f>
        <v>#REF!</v>
      </c>
      <c r="HY564" t="e">
        <f>IF(#REF!,"AAAAAEV6t+g=",0)</f>
        <v>#REF!</v>
      </c>
      <c r="HZ564" t="e">
        <f>AND(#REF!,"AAAAAEV6t+k=")</f>
        <v>#REF!</v>
      </c>
      <c r="IA564" t="e">
        <f>AND(#REF!,"AAAAAEV6t+o=")</f>
        <v>#REF!</v>
      </c>
      <c r="IB564" t="e">
        <f>AND(#REF!,"AAAAAEV6t+s=")</f>
        <v>#REF!</v>
      </c>
      <c r="IC564" t="e">
        <f>AND(#REF!,"AAAAAEV6t+w=")</f>
        <v>#REF!</v>
      </c>
      <c r="ID564" t="e">
        <f>AND(#REF!,"AAAAAEV6t+0=")</f>
        <v>#REF!</v>
      </c>
      <c r="IE564" t="e">
        <f>AND(#REF!,"AAAAAEV6t+4=")</f>
        <v>#REF!</v>
      </c>
      <c r="IF564" t="e">
        <f>AND(#REF!,"AAAAAEV6t+8=")</f>
        <v>#REF!</v>
      </c>
      <c r="IG564" t="e">
        <f>AND(#REF!,"AAAAAEV6t/A=")</f>
        <v>#REF!</v>
      </c>
      <c r="IH564" t="e">
        <f>AND(#REF!,"AAAAAEV6t/E=")</f>
        <v>#REF!</v>
      </c>
      <c r="II564" t="e">
        <f>AND(#REF!,"AAAAAEV6t/I=")</f>
        <v>#REF!</v>
      </c>
      <c r="IJ564" t="e">
        <f>AND(#REF!,"AAAAAEV6t/M=")</f>
        <v>#REF!</v>
      </c>
      <c r="IK564" t="e">
        <f>AND(#REF!,"AAAAAEV6t/Q=")</f>
        <v>#REF!</v>
      </c>
      <c r="IL564" t="e">
        <f>AND(#REF!,"AAAAAEV6t/U=")</f>
        <v>#REF!</v>
      </c>
      <c r="IM564" t="e">
        <f>AND(#REF!,"AAAAAEV6t/Y=")</f>
        <v>#REF!</v>
      </c>
      <c r="IN564" t="e">
        <f>AND(#REF!,"AAAAAEV6t/c=")</f>
        <v>#REF!</v>
      </c>
      <c r="IO564" t="e">
        <f>AND(#REF!,"AAAAAEV6t/g=")</f>
        <v>#REF!</v>
      </c>
      <c r="IP564" t="e">
        <f>AND(#REF!,"AAAAAEV6t/k=")</f>
        <v>#REF!</v>
      </c>
      <c r="IQ564" t="e">
        <f>AND(#REF!,"AAAAAEV6t/o=")</f>
        <v>#REF!</v>
      </c>
      <c r="IR564" t="e">
        <f>AND(#REF!,"AAAAAEV6t/s=")</f>
        <v>#REF!</v>
      </c>
      <c r="IS564" t="e">
        <f>AND(#REF!,"AAAAAEV6t/w=")</f>
        <v>#REF!</v>
      </c>
      <c r="IT564" t="e">
        <f>AND(#REF!,"AAAAAEV6t/0=")</f>
        <v>#REF!</v>
      </c>
      <c r="IU564" t="e">
        <f>AND(#REF!,"AAAAAEV6t/4=")</f>
        <v>#REF!</v>
      </c>
      <c r="IV564" t="e">
        <f>AND(#REF!,"AAAAAEV6t/8=")</f>
        <v>#REF!</v>
      </c>
    </row>
    <row r="565" spans="1:256">
      <c r="A565" t="e">
        <f>AND(#REF!,"AAAAAG/07wA=")</f>
        <v>#REF!</v>
      </c>
      <c r="B565" t="e">
        <f>IF(#REF!,"AAAAAG/07wE=",0)</f>
        <v>#REF!</v>
      </c>
      <c r="C565" t="e">
        <f>AND(#REF!,"AAAAAG/07wI=")</f>
        <v>#REF!</v>
      </c>
      <c r="D565" t="e">
        <f>AND(#REF!,"AAAAAG/07wM=")</f>
        <v>#REF!</v>
      </c>
      <c r="E565" t="e">
        <f>AND(#REF!,"AAAAAG/07wQ=")</f>
        <v>#REF!</v>
      </c>
      <c r="F565" t="e">
        <f>AND(#REF!,"AAAAAG/07wU=")</f>
        <v>#REF!</v>
      </c>
      <c r="G565" t="e">
        <f>AND(#REF!,"AAAAAG/07wY=")</f>
        <v>#REF!</v>
      </c>
      <c r="H565" t="e">
        <f>AND(#REF!,"AAAAAG/07wc=")</f>
        <v>#REF!</v>
      </c>
      <c r="I565" t="e">
        <f>AND(#REF!,"AAAAAG/07wg=")</f>
        <v>#REF!</v>
      </c>
      <c r="J565" t="e">
        <f>AND(#REF!,"AAAAAG/07wk=")</f>
        <v>#REF!</v>
      </c>
      <c r="K565" t="e">
        <f>AND(#REF!,"AAAAAG/07wo=")</f>
        <v>#REF!</v>
      </c>
      <c r="L565" t="e">
        <f>AND(#REF!,"AAAAAG/07ws=")</f>
        <v>#REF!</v>
      </c>
      <c r="M565" t="e">
        <f>AND(#REF!,"AAAAAG/07ww=")</f>
        <v>#REF!</v>
      </c>
      <c r="N565" t="e">
        <f>AND(#REF!,"AAAAAG/07w0=")</f>
        <v>#REF!</v>
      </c>
      <c r="O565" t="e">
        <f>AND(#REF!,"AAAAAG/07w4=")</f>
        <v>#REF!</v>
      </c>
      <c r="P565" t="e">
        <f>AND(#REF!,"AAAAAG/07w8=")</f>
        <v>#REF!</v>
      </c>
      <c r="Q565" t="e">
        <f>AND(#REF!,"AAAAAG/07xA=")</f>
        <v>#REF!</v>
      </c>
      <c r="R565" t="e">
        <f>AND(#REF!,"AAAAAG/07xE=")</f>
        <v>#REF!</v>
      </c>
      <c r="S565" t="e">
        <f>AND(#REF!,"AAAAAG/07xI=")</f>
        <v>#REF!</v>
      </c>
      <c r="T565" t="e">
        <f>AND(#REF!,"AAAAAG/07xM=")</f>
        <v>#REF!</v>
      </c>
      <c r="U565" t="e">
        <f>AND(#REF!,"AAAAAG/07xQ=")</f>
        <v>#REF!</v>
      </c>
      <c r="V565" t="e">
        <f>AND(#REF!,"AAAAAG/07xU=")</f>
        <v>#REF!</v>
      </c>
      <c r="W565" t="e">
        <f>AND(#REF!,"AAAAAG/07xY=")</f>
        <v>#REF!</v>
      </c>
      <c r="X565" t="e">
        <f>AND(#REF!,"AAAAAG/07xc=")</f>
        <v>#REF!</v>
      </c>
      <c r="Y565" t="e">
        <f>AND(#REF!,"AAAAAG/07xg=")</f>
        <v>#REF!</v>
      </c>
      <c r="Z565" t="e">
        <f>AND(#REF!,"AAAAAG/07xk=")</f>
        <v>#REF!</v>
      </c>
      <c r="AA565" t="e">
        <f>IF(#REF!,"AAAAAG/07xo=",0)</f>
        <v>#REF!</v>
      </c>
      <c r="AB565" t="e">
        <f>AND(#REF!,"AAAAAG/07xs=")</f>
        <v>#REF!</v>
      </c>
      <c r="AC565" t="e">
        <f>AND(#REF!,"AAAAAG/07xw=")</f>
        <v>#REF!</v>
      </c>
      <c r="AD565" t="e">
        <f>AND(#REF!,"AAAAAG/07x0=")</f>
        <v>#REF!</v>
      </c>
      <c r="AE565" t="e">
        <f>AND(#REF!,"AAAAAG/07x4=")</f>
        <v>#REF!</v>
      </c>
      <c r="AF565" t="e">
        <f>AND(#REF!,"AAAAAG/07x8=")</f>
        <v>#REF!</v>
      </c>
      <c r="AG565" t="e">
        <f>AND(#REF!,"AAAAAG/07yA=")</f>
        <v>#REF!</v>
      </c>
      <c r="AH565" t="e">
        <f>AND(#REF!,"AAAAAG/07yE=")</f>
        <v>#REF!</v>
      </c>
      <c r="AI565" t="e">
        <f>AND(#REF!,"AAAAAG/07yI=")</f>
        <v>#REF!</v>
      </c>
      <c r="AJ565" t="e">
        <f>AND(#REF!,"AAAAAG/07yM=")</f>
        <v>#REF!</v>
      </c>
      <c r="AK565" t="e">
        <f>AND(#REF!,"AAAAAG/07yQ=")</f>
        <v>#REF!</v>
      </c>
      <c r="AL565" t="e">
        <f>AND(#REF!,"AAAAAG/07yU=")</f>
        <v>#REF!</v>
      </c>
      <c r="AM565" t="e">
        <f>AND(#REF!,"AAAAAG/07yY=")</f>
        <v>#REF!</v>
      </c>
      <c r="AN565" t="e">
        <f>AND(#REF!,"AAAAAG/07yc=")</f>
        <v>#REF!</v>
      </c>
      <c r="AO565" t="e">
        <f>AND(#REF!,"AAAAAG/07yg=")</f>
        <v>#REF!</v>
      </c>
      <c r="AP565" t="e">
        <f>AND(#REF!,"AAAAAG/07yk=")</f>
        <v>#REF!</v>
      </c>
      <c r="AQ565" t="e">
        <f>AND(#REF!,"AAAAAG/07yo=")</f>
        <v>#REF!</v>
      </c>
      <c r="AR565" t="e">
        <f>AND(#REF!,"AAAAAG/07ys=")</f>
        <v>#REF!</v>
      </c>
      <c r="AS565" t="e">
        <f>AND(#REF!,"AAAAAG/07yw=")</f>
        <v>#REF!</v>
      </c>
      <c r="AT565" t="e">
        <f>AND(#REF!,"AAAAAG/07y0=")</f>
        <v>#REF!</v>
      </c>
      <c r="AU565" t="e">
        <f>AND(#REF!,"AAAAAG/07y4=")</f>
        <v>#REF!</v>
      </c>
      <c r="AV565" t="e">
        <f>AND(#REF!,"AAAAAG/07y8=")</f>
        <v>#REF!</v>
      </c>
      <c r="AW565" t="e">
        <f>AND(#REF!,"AAAAAG/07zA=")</f>
        <v>#REF!</v>
      </c>
      <c r="AX565" t="e">
        <f>AND(#REF!,"AAAAAG/07zE=")</f>
        <v>#REF!</v>
      </c>
      <c r="AY565" t="e">
        <f>AND(#REF!,"AAAAAG/07zI=")</f>
        <v>#REF!</v>
      </c>
      <c r="AZ565" t="e">
        <f>IF(#REF!,"AAAAAG/07zM=",0)</f>
        <v>#REF!</v>
      </c>
      <c r="BA565" t="e">
        <f>AND(#REF!,"AAAAAG/07zQ=")</f>
        <v>#REF!</v>
      </c>
      <c r="BB565" t="e">
        <f>AND(#REF!,"AAAAAG/07zU=")</f>
        <v>#REF!</v>
      </c>
      <c r="BC565" t="e">
        <f>AND(#REF!,"AAAAAG/07zY=")</f>
        <v>#REF!</v>
      </c>
      <c r="BD565" t="e">
        <f>AND(#REF!,"AAAAAG/07zc=")</f>
        <v>#REF!</v>
      </c>
      <c r="BE565" t="e">
        <f>AND(#REF!,"AAAAAG/07zg=")</f>
        <v>#REF!</v>
      </c>
      <c r="BF565" t="e">
        <f>AND(#REF!,"AAAAAG/07zk=")</f>
        <v>#REF!</v>
      </c>
      <c r="BG565" t="e">
        <f>AND(#REF!,"AAAAAG/07zo=")</f>
        <v>#REF!</v>
      </c>
      <c r="BH565" t="e">
        <f>AND(#REF!,"AAAAAG/07zs=")</f>
        <v>#REF!</v>
      </c>
      <c r="BI565" t="e">
        <f>AND(#REF!,"AAAAAG/07zw=")</f>
        <v>#REF!</v>
      </c>
      <c r="BJ565" t="e">
        <f>AND(#REF!,"AAAAAG/07z0=")</f>
        <v>#REF!</v>
      </c>
      <c r="BK565" t="e">
        <f>AND(#REF!,"AAAAAG/07z4=")</f>
        <v>#REF!</v>
      </c>
      <c r="BL565" t="e">
        <f>AND(#REF!,"AAAAAG/07z8=")</f>
        <v>#REF!</v>
      </c>
      <c r="BM565" t="e">
        <f>AND(#REF!,"AAAAAG/070A=")</f>
        <v>#REF!</v>
      </c>
      <c r="BN565" t="e">
        <f>AND(#REF!,"AAAAAG/070E=")</f>
        <v>#REF!</v>
      </c>
      <c r="BO565" t="e">
        <f>AND(#REF!,"AAAAAG/070I=")</f>
        <v>#REF!</v>
      </c>
      <c r="BP565" t="e">
        <f>AND(#REF!,"AAAAAG/070M=")</f>
        <v>#REF!</v>
      </c>
      <c r="BQ565" t="e">
        <f>AND(#REF!,"AAAAAG/070Q=")</f>
        <v>#REF!</v>
      </c>
      <c r="BR565" t="e">
        <f>AND(#REF!,"AAAAAG/070U=")</f>
        <v>#REF!</v>
      </c>
      <c r="BS565" t="e">
        <f>AND(#REF!,"AAAAAG/070Y=")</f>
        <v>#REF!</v>
      </c>
      <c r="BT565" t="e">
        <f>AND(#REF!,"AAAAAG/070c=")</f>
        <v>#REF!</v>
      </c>
      <c r="BU565" t="e">
        <f>AND(#REF!,"AAAAAG/070g=")</f>
        <v>#REF!</v>
      </c>
      <c r="BV565" t="e">
        <f>AND(#REF!,"AAAAAG/070k=")</f>
        <v>#REF!</v>
      </c>
      <c r="BW565" t="e">
        <f>AND(#REF!,"AAAAAG/070o=")</f>
        <v>#REF!</v>
      </c>
      <c r="BX565" t="e">
        <f>AND(#REF!,"AAAAAG/070s=")</f>
        <v>#REF!</v>
      </c>
      <c r="BY565" t="e">
        <f>IF(#REF!,"AAAAAG/070w=",0)</f>
        <v>#REF!</v>
      </c>
      <c r="BZ565" t="e">
        <f>AND(#REF!,"AAAAAG/0700=")</f>
        <v>#REF!</v>
      </c>
      <c r="CA565" t="e">
        <f>AND(#REF!,"AAAAAG/0704=")</f>
        <v>#REF!</v>
      </c>
      <c r="CB565" t="e">
        <f>AND(#REF!,"AAAAAG/0708=")</f>
        <v>#REF!</v>
      </c>
      <c r="CC565" t="e">
        <f>AND(#REF!,"AAAAAG/071A=")</f>
        <v>#REF!</v>
      </c>
      <c r="CD565" t="e">
        <f>AND(#REF!,"AAAAAG/071E=")</f>
        <v>#REF!</v>
      </c>
      <c r="CE565" t="e">
        <f>AND(#REF!,"AAAAAG/071I=")</f>
        <v>#REF!</v>
      </c>
      <c r="CF565" t="e">
        <f>AND(#REF!,"AAAAAG/071M=")</f>
        <v>#REF!</v>
      </c>
      <c r="CG565" t="e">
        <f>AND(#REF!,"AAAAAG/071Q=")</f>
        <v>#REF!</v>
      </c>
      <c r="CH565" t="e">
        <f>AND(#REF!,"AAAAAG/071U=")</f>
        <v>#REF!</v>
      </c>
      <c r="CI565" t="e">
        <f>AND(#REF!,"AAAAAG/071Y=")</f>
        <v>#REF!</v>
      </c>
      <c r="CJ565" t="e">
        <f>AND(#REF!,"AAAAAG/071c=")</f>
        <v>#REF!</v>
      </c>
      <c r="CK565" t="e">
        <f>AND(#REF!,"AAAAAG/071g=")</f>
        <v>#REF!</v>
      </c>
      <c r="CL565" t="e">
        <f>AND(#REF!,"AAAAAG/071k=")</f>
        <v>#REF!</v>
      </c>
      <c r="CM565" t="e">
        <f>AND(#REF!,"AAAAAG/071o=")</f>
        <v>#REF!</v>
      </c>
      <c r="CN565" t="e">
        <f>AND(#REF!,"AAAAAG/071s=")</f>
        <v>#REF!</v>
      </c>
      <c r="CO565" t="e">
        <f>AND(#REF!,"AAAAAG/071w=")</f>
        <v>#REF!</v>
      </c>
      <c r="CP565" t="e">
        <f>AND(#REF!,"AAAAAG/0710=")</f>
        <v>#REF!</v>
      </c>
      <c r="CQ565" t="e">
        <f>AND(#REF!,"AAAAAG/0714=")</f>
        <v>#REF!</v>
      </c>
      <c r="CR565" t="e">
        <f>AND(#REF!,"AAAAAG/0718=")</f>
        <v>#REF!</v>
      </c>
      <c r="CS565" t="e">
        <f>AND(#REF!,"AAAAAG/072A=")</f>
        <v>#REF!</v>
      </c>
      <c r="CT565" t="e">
        <f>AND(#REF!,"AAAAAG/072E=")</f>
        <v>#REF!</v>
      </c>
      <c r="CU565" t="e">
        <f>AND(#REF!,"AAAAAG/072I=")</f>
        <v>#REF!</v>
      </c>
      <c r="CV565" t="e">
        <f>AND(#REF!,"AAAAAG/072M=")</f>
        <v>#REF!</v>
      </c>
      <c r="CW565" t="e">
        <f>AND(#REF!,"AAAAAG/072Q=")</f>
        <v>#REF!</v>
      </c>
      <c r="CX565" t="e">
        <f>IF(#REF!,"AAAAAG/072U=",0)</f>
        <v>#REF!</v>
      </c>
      <c r="CY565" t="e">
        <f>AND(#REF!,"AAAAAG/072Y=")</f>
        <v>#REF!</v>
      </c>
      <c r="CZ565" t="e">
        <f>AND(#REF!,"AAAAAG/072c=")</f>
        <v>#REF!</v>
      </c>
      <c r="DA565" t="e">
        <f>AND(#REF!,"AAAAAG/072g=")</f>
        <v>#REF!</v>
      </c>
      <c r="DB565" t="e">
        <f>AND(#REF!,"AAAAAG/072k=")</f>
        <v>#REF!</v>
      </c>
      <c r="DC565" t="e">
        <f>AND(#REF!,"AAAAAG/072o=")</f>
        <v>#REF!</v>
      </c>
      <c r="DD565" t="e">
        <f>AND(#REF!,"AAAAAG/072s=")</f>
        <v>#REF!</v>
      </c>
      <c r="DE565" t="e">
        <f>AND(#REF!,"AAAAAG/072w=")</f>
        <v>#REF!</v>
      </c>
      <c r="DF565" t="e">
        <f>AND(#REF!,"AAAAAG/0720=")</f>
        <v>#REF!</v>
      </c>
      <c r="DG565" t="e">
        <f>AND(#REF!,"AAAAAG/0724=")</f>
        <v>#REF!</v>
      </c>
      <c r="DH565" t="e">
        <f>AND(#REF!,"AAAAAG/0728=")</f>
        <v>#REF!</v>
      </c>
      <c r="DI565" t="e">
        <f>AND(#REF!,"AAAAAG/073A=")</f>
        <v>#REF!</v>
      </c>
      <c r="DJ565" t="e">
        <f>AND(#REF!,"AAAAAG/073E=")</f>
        <v>#REF!</v>
      </c>
      <c r="DK565" t="e">
        <f>AND(#REF!,"AAAAAG/073I=")</f>
        <v>#REF!</v>
      </c>
      <c r="DL565" t="e">
        <f>AND(#REF!,"AAAAAG/073M=")</f>
        <v>#REF!</v>
      </c>
      <c r="DM565" t="e">
        <f>AND(#REF!,"AAAAAG/073Q=")</f>
        <v>#REF!</v>
      </c>
      <c r="DN565" t="e">
        <f>AND(#REF!,"AAAAAG/073U=")</f>
        <v>#REF!</v>
      </c>
      <c r="DO565" t="e">
        <f>AND(#REF!,"AAAAAG/073Y=")</f>
        <v>#REF!</v>
      </c>
      <c r="DP565" t="e">
        <f>AND(#REF!,"AAAAAG/073c=")</f>
        <v>#REF!</v>
      </c>
      <c r="DQ565" t="e">
        <f>AND(#REF!,"AAAAAG/073g=")</f>
        <v>#REF!</v>
      </c>
      <c r="DR565" t="e">
        <f>AND(#REF!,"AAAAAG/073k=")</f>
        <v>#REF!</v>
      </c>
      <c r="DS565" t="e">
        <f>AND(#REF!,"AAAAAG/073o=")</f>
        <v>#REF!</v>
      </c>
      <c r="DT565" t="e">
        <f>AND(#REF!,"AAAAAG/073s=")</f>
        <v>#REF!</v>
      </c>
      <c r="DU565" t="e">
        <f>AND(#REF!,"AAAAAG/073w=")</f>
        <v>#REF!</v>
      </c>
      <c r="DV565" t="e">
        <f>AND(#REF!,"AAAAAG/0730=")</f>
        <v>#REF!</v>
      </c>
      <c r="DW565" t="e">
        <f>IF(#REF!,"AAAAAG/0734=",0)</f>
        <v>#REF!</v>
      </c>
      <c r="DX565" t="e">
        <f>AND(#REF!,"AAAAAG/0738=")</f>
        <v>#REF!</v>
      </c>
      <c r="DY565" t="e">
        <f>AND(#REF!,"AAAAAG/074A=")</f>
        <v>#REF!</v>
      </c>
      <c r="DZ565" t="e">
        <f>AND(#REF!,"AAAAAG/074E=")</f>
        <v>#REF!</v>
      </c>
      <c r="EA565" t="e">
        <f>AND(#REF!,"AAAAAG/074I=")</f>
        <v>#REF!</v>
      </c>
      <c r="EB565" t="e">
        <f>AND(#REF!,"AAAAAG/074M=")</f>
        <v>#REF!</v>
      </c>
      <c r="EC565" t="e">
        <f>AND(#REF!,"AAAAAG/074Q=")</f>
        <v>#REF!</v>
      </c>
      <c r="ED565" t="e">
        <f>AND(#REF!,"AAAAAG/074U=")</f>
        <v>#REF!</v>
      </c>
      <c r="EE565" t="e">
        <f>AND(#REF!,"AAAAAG/074Y=")</f>
        <v>#REF!</v>
      </c>
      <c r="EF565" t="e">
        <f>AND(#REF!,"AAAAAG/074c=")</f>
        <v>#REF!</v>
      </c>
      <c r="EG565" t="e">
        <f>AND(#REF!,"AAAAAG/074g=")</f>
        <v>#REF!</v>
      </c>
      <c r="EH565" t="e">
        <f>AND(#REF!,"AAAAAG/074k=")</f>
        <v>#REF!</v>
      </c>
      <c r="EI565" t="e">
        <f>AND(#REF!,"AAAAAG/074o=")</f>
        <v>#REF!</v>
      </c>
      <c r="EJ565" t="e">
        <f>AND(#REF!,"AAAAAG/074s=")</f>
        <v>#REF!</v>
      </c>
      <c r="EK565" t="e">
        <f>AND(#REF!,"AAAAAG/074w=")</f>
        <v>#REF!</v>
      </c>
      <c r="EL565" t="e">
        <f>AND(#REF!,"AAAAAG/0740=")</f>
        <v>#REF!</v>
      </c>
      <c r="EM565" t="e">
        <f>AND(#REF!,"AAAAAG/0744=")</f>
        <v>#REF!</v>
      </c>
      <c r="EN565" t="e">
        <f>AND(#REF!,"AAAAAG/0748=")</f>
        <v>#REF!</v>
      </c>
      <c r="EO565" t="e">
        <f>AND(#REF!,"AAAAAG/075A=")</f>
        <v>#REF!</v>
      </c>
      <c r="EP565" t="e">
        <f>AND(#REF!,"AAAAAG/075E=")</f>
        <v>#REF!</v>
      </c>
      <c r="EQ565" t="e">
        <f>AND(#REF!,"AAAAAG/075I=")</f>
        <v>#REF!</v>
      </c>
      <c r="ER565" t="e">
        <f>AND(#REF!,"AAAAAG/075M=")</f>
        <v>#REF!</v>
      </c>
      <c r="ES565" t="e">
        <f>AND(#REF!,"AAAAAG/075Q=")</f>
        <v>#REF!</v>
      </c>
      <c r="ET565" t="e">
        <f>AND(#REF!,"AAAAAG/075U=")</f>
        <v>#REF!</v>
      </c>
      <c r="EU565" t="e">
        <f>AND(#REF!,"AAAAAG/075Y=")</f>
        <v>#REF!</v>
      </c>
      <c r="EV565" t="e">
        <f>IF(#REF!,"AAAAAG/075c=",0)</f>
        <v>#REF!</v>
      </c>
      <c r="EW565" t="e">
        <f>AND(#REF!,"AAAAAG/075g=")</f>
        <v>#REF!</v>
      </c>
      <c r="EX565" t="e">
        <f>AND(#REF!,"AAAAAG/075k=")</f>
        <v>#REF!</v>
      </c>
      <c r="EY565" t="e">
        <f>AND(#REF!,"AAAAAG/075o=")</f>
        <v>#REF!</v>
      </c>
      <c r="EZ565" t="e">
        <f>AND(#REF!,"AAAAAG/075s=")</f>
        <v>#REF!</v>
      </c>
      <c r="FA565" t="e">
        <f>AND(#REF!,"AAAAAG/075w=")</f>
        <v>#REF!</v>
      </c>
      <c r="FB565" t="e">
        <f>AND(#REF!,"AAAAAG/0750=")</f>
        <v>#REF!</v>
      </c>
      <c r="FC565" t="e">
        <f>AND(#REF!,"AAAAAG/0754=")</f>
        <v>#REF!</v>
      </c>
      <c r="FD565" t="e">
        <f>AND(#REF!,"AAAAAG/0758=")</f>
        <v>#REF!</v>
      </c>
      <c r="FE565" t="e">
        <f>AND(#REF!,"AAAAAG/076A=")</f>
        <v>#REF!</v>
      </c>
      <c r="FF565" t="e">
        <f>AND(#REF!,"AAAAAG/076E=")</f>
        <v>#REF!</v>
      </c>
      <c r="FG565" t="e">
        <f>AND(#REF!,"AAAAAG/076I=")</f>
        <v>#REF!</v>
      </c>
      <c r="FH565" t="e">
        <f>AND(#REF!,"AAAAAG/076M=")</f>
        <v>#REF!</v>
      </c>
      <c r="FI565" t="e">
        <f>AND(#REF!,"AAAAAG/076Q=")</f>
        <v>#REF!</v>
      </c>
      <c r="FJ565" t="e">
        <f>AND(#REF!,"AAAAAG/076U=")</f>
        <v>#REF!</v>
      </c>
      <c r="FK565" t="e">
        <f>AND(#REF!,"AAAAAG/076Y=")</f>
        <v>#REF!</v>
      </c>
      <c r="FL565" t="e">
        <f>AND(#REF!,"AAAAAG/076c=")</f>
        <v>#REF!</v>
      </c>
      <c r="FM565" t="e">
        <f>AND(#REF!,"AAAAAG/076g=")</f>
        <v>#REF!</v>
      </c>
      <c r="FN565" t="e">
        <f>AND(#REF!,"AAAAAG/076k=")</f>
        <v>#REF!</v>
      </c>
      <c r="FO565" t="e">
        <f>AND(#REF!,"AAAAAG/076o=")</f>
        <v>#REF!</v>
      </c>
      <c r="FP565" t="e">
        <f>AND(#REF!,"AAAAAG/076s=")</f>
        <v>#REF!</v>
      </c>
      <c r="FQ565" t="e">
        <f>AND(#REF!,"AAAAAG/076w=")</f>
        <v>#REF!</v>
      </c>
      <c r="FR565" t="e">
        <f>AND(#REF!,"AAAAAG/0760=")</f>
        <v>#REF!</v>
      </c>
      <c r="FS565" t="e">
        <f>AND(#REF!,"AAAAAG/0764=")</f>
        <v>#REF!</v>
      </c>
      <c r="FT565" t="e">
        <f>AND(#REF!,"AAAAAG/0768=")</f>
        <v>#REF!</v>
      </c>
      <c r="FU565" t="e">
        <f>IF(#REF!,"AAAAAG/077A=",0)</f>
        <v>#REF!</v>
      </c>
      <c r="FV565" t="e">
        <f>AND(#REF!,"AAAAAG/077E=")</f>
        <v>#REF!</v>
      </c>
      <c r="FW565" t="e">
        <f>AND(#REF!,"AAAAAG/077I=")</f>
        <v>#REF!</v>
      </c>
      <c r="FX565" t="e">
        <f>AND(#REF!,"AAAAAG/077M=")</f>
        <v>#REF!</v>
      </c>
      <c r="FY565" t="e">
        <f>AND(#REF!,"AAAAAG/077Q=")</f>
        <v>#REF!</v>
      </c>
      <c r="FZ565" t="e">
        <f>AND(#REF!,"AAAAAG/077U=")</f>
        <v>#REF!</v>
      </c>
      <c r="GA565" t="e">
        <f>AND(#REF!,"AAAAAG/077Y=")</f>
        <v>#REF!</v>
      </c>
      <c r="GB565" t="e">
        <f>AND(#REF!,"AAAAAG/077c=")</f>
        <v>#REF!</v>
      </c>
      <c r="GC565" t="e">
        <f>AND(#REF!,"AAAAAG/077g=")</f>
        <v>#REF!</v>
      </c>
      <c r="GD565" t="e">
        <f>AND(#REF!,"AAAAAG/077k=")</f>
        <v>#REF!</v>
      </c>
      <c r="GE565" t="e">
        <f>AND(#REF!,"AAAAAG/077o=")</f>
        <v>#REF!</v>
      </c>
      <c r="GF565" t="e">
        <f>AND(#REF!,"AAAAAG/077s=")</f>
        <v>#REF!</v>
      </c>
      <c r="GG565" t="e">
        <f>AND(#REF!,"AAAAAG/077w=")</f>
        <v>#REF!</v>
      </c>
      <c r="GH565" t="e">
        <f>AND(#REF!,"AAAAAG/0770=")</f>
        <v>#REF!</v>
      </c>
      <c r="GI565" t="e">
        <f>AND(#REF!,"AAAAAG/0774=")</f>
        <v>#REF!</v>
      </c>
      <c r="GJ565" t="e">
        <f>AND(#REF!,"AAAAAG/0778=")</f>
        <v>#REF!</v>
      </c>
      <c r="GK565" t="e">
        <f>AND(#REF!,"AAAAAG/078A=")</f>
        <v>#REF!</v>
      </c>
      <c r="GL565" t="e">
        <f>AND(#REF!,"AAAAAG/078E=")</f>
        <v>#REF!</v>
      </c>
      <c r="GM565" t="e">
        <f>AND(#REF!,"AAAAAG/078I=")</f>
        <v>#REF!</v>
      </c>
      <c r="GN565" t="e">
        <f>AND(#REF!,"AAAAAG/078M=")</f>
        <v>#REF!</v>
      </c>
      <c r="GO565" t="e">
        <f>AND(#REF!,"AAAAAG/078Q=")</f>
        <v>#REF!</v>
      </c>
      <c r="GP565" t="e">
        <f>AND(#REF!,"AAAAAG/078U=")</f>
        <v>#REF!</v>
      </c>
      <c r="GQ565" t="e">
        <f>AND(#REF!,"AAAAAG/078Y=")</f>
        <v>#REF!</v>
      </c>
      <c r="GR565" t="e">
        <f>AND(#REF!,"AAAAAG/078c=")</f>
        <v>#REF!</v>
      </c>
      <c r="GS565" t="e">
        <f>AND(#REF!,"AAAAAG/078g=")</f>
        <v>#REF!</v>
      </c>
      <c r="GT565" t="e">
        <f>IF(#REF!,"AAAAAG/078k=",0)</f>
        <v>#REF!</v>
      </c>
      <c r="GU565" t="e">
        <f>AND(#REF!,"AAAAAG/078o=")</f>
        <v>#REF!</v>
      </c>
      <c r="GV565" t="e">
        <f>AND(#REF!,"AAAAAG/078s=")</f>
        <v>#REF!</v>
      </c>
      <c r="GW565" t="e">
        <f>AND(#REF!,"AAAAAG/078w=")</f>
        <v>#REF!</v>
      </c>
      <c r="GX565" t="e">
        <f>AND(#REF!,"AAAAAG/0780=")</f>
        <v>#REF!</v>
      </c>
      <c r="GY565" t="e">
        <f>AND(#REF!,"AAAAAG/0784=")</f>
        <v>#REF!</v>
      </c>
      <c r="GZ565" t="e">
        <f>AND(#REF!,"AAAAAG/0788=")</f>
        <v>#REF!</v>
      </c>
      <c r="HA565" t="e">
        <f>AND(#REF!,"AAAAAG/079A=")</f>
        <v>#REF!</v>
      </c>
      <c r="HB565" t="e">
        <f>AND(#REF!,"AAAAAG/079E=")</f>
        <v>#REF!</v>
      </c>
      <c r="HC565" t="e">
        <f>AND(#REF!,"AAAAAG/079I=")</f>
        <v>#REF!</v>
      </c>
      <c r="HD565" t="e">
        <f>AND(#REF!,"AAAAAG/079M=")</f>
        <v>#REF!</v>
      </c>
      <c r="HE565" t="e">
        <f>AND(#REF!,"AAAAAG/079Q=")</f>
        <v>#REF!</v>
      </c>
      <c r="HF565" t="e">
        <f>AND(#REF!,"AAAAAG/079U=")</f>
        <v>#REF!</v>
      </c>
      <c r="HG565" t="e">
        <f>AND(#REF!,"AAAAAG/079Y=")</f>
        <v>#REF!</v>
      </c>
      <c r="HH565" t="e">
        <f>AND(#REF!,"AAAAAG/079c=")</f>
        <v>#REF!</v>
      </c>
      <c r="HI565" t="e">
        <f>AND(#REF!,"AAAAAG/079g=")</f>
        <v>#REF!</v>
      </c>
      <c r="HJ565" t="e">
        <f>AND(#REF!,"AAAAAG/079k=")</f>
        <v>#REF!</v>
      </c>
      <c r="HK565" t="e">
        <f>AND(#REF!,"AAAAAG/079o=")</f>
        <v>#REF!</v>
      </c>
      <c r="HL565" t="e">
        <f>AND(#REF!,"AAAAAG/079s=")</f>
        <v>#REF!</v>
      </c>
      <c r="HM565" t="e">
        <f>AND(#REF!,"AAAAAG/079w=")</f>
        <v>#REF!</v>
      </c>
      <c r="HN565" t="e">
        <f>AND(#REF!,"AAAAAG/0790=")</f>
        <v>#REF!</v>
      </c>
      <c r="HO565" t="e">
        <f>AND(#REF!,"AAAAAG/0794=")</f>
        <v>#REF!</v>
      </c>
      <c r="HP565" t="e">
        <f>AND(#REF!,"AAAAAG/0798=")</f>
        <v>#REF!</v>
      </c>
      <c r="HQ565" t="e">
        <f>AND(#REF!,"AAAAAG/07+A=")</f>
        <v>#REF!</v>
      </c>
      <c r="HR565" t="e">
        <f>AND(#REF!,"AAAAAG/07+E=")</f>
        <v>#REF!</v>
      </c>
      <c r="HS565" t="e">
        <f>IF(#REF!,"AAAAAG/07+I=",0)</f>
        <v>#REF!</v>
      </c>
      <c r="HT565" t="e">
        <f>AND(#REF!,"AAAAAG/07+M=")</f>
        <v>#REF!</v>
      </c>
      <c r="HU565" t="e">
        <f>AND(#REF!,"AAAAAG/07+Q=")</f>
        <v>#REF!</v>
      </c>
      <c r="HV565" t="e">
        <f>AND(#REF!,"AAAAAG/07+U=")</f>
        <v>#REF!</v>
      </c>
      <c r="HW565" t="e">
        <f>AND(#REF!,"AAAAAG/07+Y=")</f>
        <v>#REF!</v>
      </c>
      <c r="HX565" t="e">
        <f>AND(#REF!,"AAAAAG/07+c=")</f>
        <v>#REF!</v>
      </c>
      <c r="HY565" t="e">
        <f>AND(#REF!,"AAAAAG/07+g=")</f>
        <v>#REF!</v>
      </c>
      <c r="HZ565" t="e">
        <f>AND(#REF!,"AAAAAG/07+k=")</f>
        <v>#REF!</v>
      </c>
      <c r="IA565" t="e">
        <f>AND(#REF!,"AAAAAG/07+o=")</f>
        <v>#REF!</v>
      </c>
      <c r="IB565" t="e">
        <f>AND(#REF!,"AAAAAG/07+s=")</f>
        <v>#REF!</v>
      </c>
      <c r="IC565" t="e">
        <f>AND(#REF!,"AAAAAG/07+w=")</f>
        <v>#REF!</v>
      </c>
      <c r="ID565" t="e">
        <f>AND(#REF!,"AAAAAG/07+0=")</f>
        <v>#REF!</v>
      </c>
      <c r="IE565" t="e">
        <f>AND(#REF!,"AAAAAG/07+4=")</f>
        <v>#REF!</v>
      </c>
      <c r="IF565" t="e">
        <f>AND(#REF!,"AAAAAG/07+8=")</f>
        <v>#REF!</v>
      </c>
      <c r="IG565" t="e">
        <f>AND(#REF!,"AAAAAG/07/A=")</f>
        <v>#REF!</v>
      </c>
      <c r="IH565" t="e">
        <f>AND(#REF!,"AAAAAG/07/E=")</f>
        <v>#REF!</v>
      </c>
      <c r="II565" t="e">
        <f>AND(#REF!,"AAAAAG/07/I=")</f>
        <v>#REF!</v>
      </c>
      <c r="IJ565" t="e">
        <f>AND(#REF!,"AAAAAG/07/M=")</f>
        <v>#REF!</v>
      </c>
      <c r="IK565" t="e">
        <f>AND(#REF!,"AAAAAG/07/Q=")</f>
        <v>#REF!</v>
      </c>
      <c r="IL565" t="e">
        <f>AND(#REF!,"AAAAAG/07/U=")</f>
        <v>#REF!</v>
      </c>
      <c r="IM565" t="e">
        <f>AND(#REF!,"AAAAAG/07/Y=")</f>
        <v>#REF!</v>
      </c>
      <c r="IN565" t="e">
        <f>AND(#REF!,"AAAAAG/07/c=")</f>
        <v>#REF!</v>
      </c>
      <c r="IO565" t="e">
        <f>AND(#REF!,"AAAAAG/07/g=")</f>
        <v>#REF!</v>
      </c>
      <c r="IP565" t="e">
        <f>AND(#REF!,"AAAAAG/07/k=")</f>
        <v>#REF!</v>
      </c>
      <c r="IQ565" t="e">
        <f>AND(#REF!,"AAAAAG/07/o=")</f>
        <v>#REF!</v>
      </c>
      <c r="IR565" t="e">
        <f>IF(#REF!,"AAAAAG/07/s=",0)</f>
        <v>#REF!</v>
      </c>
      <c r="IS565" t="e">
        <f>AND(#REF!,"AAAAAG/07/w=")</f>
        <v>#REF!</v>
      </c>
      <c r="IT565" t="e">
        <f>AND(#REF!,"AAAAAG/07/0=")</f>
        <v>#REF!</v>
      </c>
      <c r="IU565" t="e">
        <f>AND(#REF!,"AAAAAG/07/4=")</f>
        <v>#REF!</v>
      </c>
      <c r="IV565" t="e">
        <f>AND(#REF!,"AAAAAG/07/8=")</f>
        <v>#REF!</v>
      </c>
    </row>
    <row r="566" spans="1:256">
      <c r="A566" t="e">
        <f>AND(#REF!,"AAAAAHfJawA=")</f>
        <v>#REF!</v>
      </c>
      <c r="B566" t="e">
        <f>AND(#REF!,"AAAAAHfJawE=")</f>
        <v>#REF!</v>
      </c>
      <c r="C566" t="e">
        <f>AND(#REF!,"AAAAAHfJawI=")</f>
        <v>#REF!</v>
      </c>
      <c r="D566" t="e">
        <f>AND(#REF!,"AAAAAHfJawM=")</f>
        <v>#REF!</v>
      </c>
      <c r="E566" t="e">
        <f>AND(#REF!,"AAAAAHfJawQ=")</f>
        <v>#REF!</v>
      </c>
      <c r="F566" t="e">
        <f>AND(#REF!,"AAAAAHfJawU=")</f>
        <v>#REF!</v>
      </c>
      <c r="G566" t="e">
        <f>AND(#REF!,"AAAAAHfJawY=")</f>
        <v>#REF!</v>
      </c>
      <c r="H566" t="e">
        <f>AND(#REF!,"AAAAAHfJawc=")</f>
        <v>#REF!</v>
      </c>
      <c r="I566" t="e">
        <f>AND(#REF!,"AAAAAHfJawg=")</f>
        <v>#REF!</v>
      </c>
      <c r="J566" t="e">
        <f>AND(#REF!,"AAAAAHfJawk=")</f>
        <v>#REF!</v>
      </c>
      <c r="K566" t="e">
        <f>AND(#REF!,"AAAAAHfJawo=")</f>
        <v>#REF!</v>
      </c>
      <c r="L566" t="e">
        <f>AND(#REF!,"AAAAAHfJaws=")</f>
        <v>#REF!</v>
      </c>
      <c r="M566" t="e">
        <f>AND(#REF!,"AAAAAHfJaww=")</f>
        <v>#REF!</v>
      </c>
      <c r="N566" t="e">
        <f>AND(#REF!,"AAAAAHfJaw0=")</f>
        <v>#REF!</v>
      </c>
      <c r="O566" t="e">
        <f>AND(#REF!,"AAAAAHfJaw4=")</f>
        <v>#REF!</v>
      </c>
      <c r="P566" t="e">
        <f>AND(#REF!,"AAAAAHfJaw8=")</f>
        <v>#REF!</v>
      </c>
      <c r="Q566" t="e">
        <f>AND(#REF!,"AAAAAHfJaxA=")</f>
        <v>#REF!</v>
      </c>
      <c r="R566" t="e">
        <f>AND(#REF!,"AAAAAHfJaxE=")</f>
        <v>#REF!</v>
      </c>
      <c r="S566" t="e">
        <f>AND(#REF!,"AAAAAHfJaxI=")</f>
        <v>#REF!</v>
      </c>
      <c r="T566" t="e">
        <f>AND(#REF!,"AAAAAHfJaxM=")</f>
        <v>#REF!</v>
      </c>
      <c r="U566" t="e">
        <f>IF(#REF!,"AAAAAHfJaxQ=",0)</f>
        <v>#REF!</v>
      </c>
      <c r="V566" t="e">
        <f>AND(#REF!,"AAAAAHfJaxU=")</f>
        <v>#REF!</v>
      </c>
      <c r="W566" t="e">
        <f>AND(#REF!,"AAAAAHfJaxY=")</f>
        <v>#REF!</v>
      </c>
      <c r="X566" t="e">
        <f>AND(#REF!,"AAAAAHfJaxc=")</f>
        <v>#REF!</v>
      </c>
      <c r="Y566" t="e">
        <f>AND(#REF!,"AAAAAHfJaxg=")</f>
        <v>#REF!</v>
      </c>
      <c r="Z566" t="e">
        <f>AND(#REF!,"AAAAAHfJaxk=")</f>
        <v>#REF!</v>
      </c>
      <c r="AA566" t="e">
        <f>AND(#REF!,"AAAAAHfJaxo=")</f>
        <v>#REF!</v>
      </c>
      <c r="AB566" t="e">
        <f>AND(#REF!,"AAAAAHfJaxs=")</f>
        <v>#REF!</v>
      </c>
      <c r="AC566" t="e">
        <f>AND(#REF!,"AAAAAHfJaxw=")</f>
        <v>#REF!</v>
      </c>
      <c r="AD566" t="e">
        <f>AND(#REF!,"AAAAAHfJax0=")</f>
        <v>#REF!</v>
      </c>
      <c r="AE566" t="e">
        <f>AND(#REF!,"AAAAAHfJax4=")</f>
        <v>#REF!</v>
      </c>
      <c r="AF566" t="e">
        <f>AND(#REF!,"AAAAAHfJax8=")</f>
        <v>#REF!</v>
      </c>
      <c r="AG566" t="e">
        <f>AND(#REF!,"AAAAAHfJayA=")</f>
        <v>#REF!</v>
      </c>
      <c r="AH566" t="e">
        <f>AND(#REF!,"AAAAAHfJayE=")</f>
        <v>#REF!</v>
      </c>
      <c r="AI566" t="e">
        <f>AND(#REF!,"AAAAAHfJayI=")</f>
        <v>#REF!</v>
      </c>
      <c r="AJ566" t="e">
        <f>AND(#REF!,"AAAAAHfJayM=")</f>
        <v>#REF!</v>
      </c>
      <c r="AK566" t="e">
        <f>AND(#REF!,"AAAAAHfJayQ=")</f>
        <v>#REF!</v>
      </c>
      <c r="AL566" t="e">
        <f>AND(#REF!,"AAAAAHfJayU=")</f>
        <v>#REF!</v>
      </c>
      <c r="AM566" t="e">
        <f>AND(#REF!,"AAAAAHfJayY=")</f>
        <v>#REF!</v>
      </c>
      <c r="AN566" t="e">
        <f>AND(#REF!,"AAAAAHfJayc=")</f>
        <v>#REF!</v>
      </c>
      <c r="AO566" t="e">
        <f>AND(#REF!,"AAAAAHfJayg=")</f>
        <v>#REF!</v>
      </c>
      <c r="AP566" t="e">
        <f>AND(#REF!,"AAAAAHfJayk=")</f>
        <v>#REF!</v>
      </c>
      <c r="AQ566" t="e">
        <f>AND(#REF!,"AAAAAHfJayo=")</f>
        <v>#REF!</v>
      </c>
      <c r="AR566" t="e">
        <f>AND(#REF!,"AAAAAHfJays=")</f>
        <v>#REF!</v>
      </c>
      <c r="AS566" t="e">
        <f>AND(#REF!,"AAAAAHfJayw=")</f>
        <v>#REF!</v>
      </c>
      <c r="AT566" t="e">
        <f>IF(#REF!,"AAAAAHfJay0=",0)</f>
        <v>#REF!</v>
      </c>
      <c r="AU566" t="e">
        <f>AND(#REF!,"AAAAAHfJay4=")</f>
        <v>#REF!</v>
      </c>
      <c r="AV566" t="e">
        <f>AND(#REF!,"AAAAAHfJay8=")</f>
        <v>#REF!</v>
      </c>
      <c r="AW566" t="e">
        <f>AND(#REF!,"AAAAAHfJazA=")</f>
        <v>#REF!</v>
      </c>
      <c r="AX566" t="e">
        <f>AND(#REF!,"AAAAAHfJazE=")</f>
        <v>#REF!</v>
      </c>
      <c r="AY566" t="e">
        <f>AND(#REF!,"AAAAAHfJazI=")</f>
        <v>#REF!</v>
      </c>
      <c r="AZ566" t="e">
        <f>AND(#REF!,"AAAAAHfJazM=")</f>
        <v>#REF!</v>
      </c>
      <c r="BA566" t="e">
        <f>AND(#REF!,"AAAAAHfJazQ=")</f>
        <v>#REF!</v>
      </c>
      <c r="BB566" t="e">
        <f>AND(#REF!,"AAAAAHfJazU=")</f>
        <v>#REF!</v>
      </c>
      <c r="BC566" t="e">
        <f>AND(#REF!,"AAAAAHfJazY=")</f>
        <v>#REF!</v>
      </c>
      <c r="BD566" t="e">
        <f>AND(#REF!,"AAAAAHfJazc=")</f>
        <v>#REF!</v>
      </c>
      <c r="BE566" t="e">
        <f>AND(#REF!,"AAAAAHfJazg=")</f>
        <v>#REF!</v>
      </c>
      <c r="BF566" t="e">
        <f>AND(#REF!,"AAAAAHfJazk=")</f>
        <v>#REF!</v>
      </c>
      <c r="BG566" t="e">
        <f>AND(#REF!,"AAAAAHfJazo=")</f>
        <v>#REF!</v>
      </c>
      <c r="BH566" t="e">
        <f>AND(#REF!,"AAAAAHfJazs=")</f>
        <v>#REF!</v>
      </c>
      <c r="BI566" t="e">
        <f>AND(#REF!,"AAAAAHfJazw=")</f>
        <v>#REF!</v>
      </c>
      <c r="BJ566" t="e">
        <f>AND(#REF!,"AAAAAHfJaz0=")</f>
        <v>#REF!</v>
      </c>
      <c r="BK566" t="e">
        <f>AND(#REF!,"AAAAAHfJaz4=")</f>
        <v>#REF!</v>
      </c>
      <c r="BL566" t="e">
        <f>AND(#REF!,"AAAAAHfJaz8=")</f>
        <v>#REF!</v>
      </c>
      <c r="BM566" t="e">
        <f>AND(#REF!,"AAAAAHfJa0A=")</f>
        <v>#REF!</v>
      </c>
      <c r="BN566" t="e">
        <f>AND(#REF!,"AAAAAHfJa0E=")</f>
        <v>#REF!</v>
      </c>
      <c r="BO566" t="e">
        <f>AND(#REF!,"AAAAAHfJa0I=")</f>
        <v>#REF!</v>
      </c>
      <c r="BP566" t="e">
        <f>AND(#REF!,"AAAAAHfJa0M=")</f>
        <v>#REF!</v>
      </c>
      <c r="BQ566" t="e">
        <f>AND(#REF!,"AAAAAHfJa0Q=")</f>
        <v>#REF!</v>
      </c>
      <c r="BR566" t="e">
        <f>AND(#REF!,"AAAAAHfJa0U=")</f>
        <v>#REF!</v>
      </c>
      <c r="BS566" t="e">
        <f>IF(#REF!,"AAAAAHfJa0Y=",0)</f>
        <v>#REF!</v>
      </c>
      <c r="BT566" t="e">
        <f>AND(#REF!,"AAAAAHfJa0c=")</f>
        <v>#REF!</v>
      </c>
      <c r="BU566" t="e">
        <f>AND(#REF!,"AAAAAHfJa0g=")</f>
        <v>#REF!</v>
      </c>
      <c r="BV566" t="e">
        <f>AND(#REF!,"AAAAAHfJa0k=")</f>
        <v>#REF!</v>
      </c>
      <c r="BW566" t="e">
        <f>AND(#REF!,"AAAAAHfJa0o=")</f>
        <v>#REF!</v>
      </c>
      <c r="BX566" t="e">
        <f>AND(#REF!,"AAAAAHfJa0s=")</f>
        <v>#REF!</v>
      </c>
      <c r="BY566" t="e">
        <f>AND(#REF!,"AAAAAHfJa0w=")</f>
        <v>#REF!</v>
      </c>
      <c r="BZ566" t="e">
        <f>AND(#REF!,"AAAAAHfJa00=")</f>
        <v>#REF!</v>
      </c>
      <c r="CA566" t="e">
        <f>AND(#REF!,"AAAAAHfJa04=")</f>
        <v>#REF!</v>
      </c>
      <c r="CB566" t="e">
        <f>AND(#REF!,"AAAAAHfJa08=")</f>
        <v>#REF!</v>
      </c>
      <c r="CC566" t="e">
        <f>AND(#REF!,"AAAAAHfJa1A=")</f>
        <v>#REF!</v>
      </c>
      <c r="CD566" t="e">
        <f>AND(#REF!,"AAAAAHfJa1E=")</f>
        <v>#REF!</v>
      </c>
      <c r="CE566" t="e">
        <f>AND(#REF!,"AAAAAHfJa1I=")</f>
        <v>#REF!</v>
      </c>
      <c r="CF566" t="e">
        <f>AND(#REF!,"AAAAAHfJa1M=")</f>
        <v>#REF!</v>
      </c>
      <c r="CG566" t="e">
        <f>AND(#REF!,"AAAAAHfJa1Q=")</f>
        <v>#REF!</v>
      </c>
      <c r="CH566" t="e">
        <f>AND(#REF!,"AAAAAHfJa1U=")</f>
        <v>#REF!</v>
      </c>
      <c r="CI566" t="e">
        <f>AND(#REF!,"AAAAAHfJa1Y=")</f>
        <v>#REF!</v>
      </c>
      <c r="CJ566" t="e">
        <f>AND(#REF!,"AAAAAHfJa1c=")</f>
        <v>#REF!</v>
      </c>
      <c r="CK566" t="e">
        <f>AND(#REF!,"AAAAAHfJa1g=")</f>
        <v>#REF!</v>
      </c>
      <c r="CL566" t="e">
        <f>AND(#REF!,"AAAAAHfJa1k=")</f>
        <v>#REF!</v>
      </c>
      <c r="CM566" t="e">
        <f>AND(#REF!,"AAAAAHfJa1o=")</f>
        <v>#REF!</v>
      </c>
      <c r="CN566" t="e">
        <f>AND(#REF!,"AAAAAHfJa1s=")</f>
        <v>#REF!</v>
      </c>
      <c r="CO566" t="e">
        <f>AND(#REF!,"AAAAAHfJa1w=")</f>
        <v>#REF!</v>
      </c>
      <c r="CP566" t="e">
        <f>AND(#REF!,"AAAAAHfJa10=")</f>
        <v>#REF!</v>
      </c>
      <c r="CQ566" t="e">
        <f>AND(#REF!,"AAAAAHfJa14=")</f>
        <v>#REF!</v>
      </c>
      <c r="CR566" t="e">
        <f>IF(#REF!,"AAAAAHfJa18=",0)</f>
        <v>#REF!</v>
      </c>
      <c r="CS566" t="e">
        <f>AND(#REF!,"AAAAAHfJa2A=")</f>
        <v>#REF!</v>
      </c>
      <c r="CT566" t="e">
        <f>AND(#REF!,"AAAAAHfJa2E=")</f>
        <v>#REF!</v>
      </c>
      <c r="CU566" t="e">
        <f>AND(#REF!,"AAAAAHfJa2I=")</f>
        <v>#REF!</v>
      </c>
      <c r="CV566" t="e">
        <f>AND(#REF!,"AAAAAHfJa2M=")</f>
        <v>#REF!</v>
      </c>
      <c r="CW566" t="e">
        <f>AND(#REF!,"AAAAAHfJa2Q=")</f>
        <v>#REF!</v>
      </c>
      <c r="CX566" t="e">
        <f>AND(#REF!,"AAAAAHfJa2U=")</f>
        <v>#REF!</v>
      </c>
      <c r="CY566" t="e">
        <f>AND(#REF!,"AAAAAHfJa2Y=")</f>
        <v>#REF!</v>
      </c>
      <c r="CZ566" t="e">
        <f>AND(#REF!,"AAAAAHfJa2c=")</f>
        <v>#REF!</v>
      </c>
      <c r="DA566" t="e">
        <f>AND(#REF!,"AAAAAHfJa2g=")</f>
        <v>#REF!</v>
      </c>
      <c r="DB566" t="e">
        <f>AND(#REF!,"AAAAAHfJa2k=")</f>
        <v>#REF!</v>
      </c>
      <c r="DC566" t="e">
        <f>AND(#REF!,"AAAAAHfJa2o=")</f>
        <v>#REF!</v>
      </c>
      <c r="DD566" t="e">
        <f>AND(#REF!,"AAAAAHfJa2s=")</f>
        <v>#REF!</v>
      </c>
      <c r="DE566" t="e">
        <f>AND(#REF!,"AAAAAHfJa2w=")</f>
        <v>#REF!</v>
      </c>
      <c r="DF566" t="e">
        <f>AND(#REF!,"AAAAAHfJa20=")</f>
        <v>#REF!</v>
      </c>
      <c r="DG566" t="e">
        <f>AND(#REF!,"AAAAAHfJa24=")</f>
        <v>#REF!</v>
      </c>
      <c r="DH566" t="e">
        <f>AND(#REF!,"AAAAAHfJa28=")</f>
        <v>#REF!</v>
      </c>
      <c r="DI566" t="e">
        <f>AND(#REF!,"AAAAAHfJa3A=")</f>
        <v>#REF!</v>
      </c>
      <c r="DJ566" t="e">
        <f>AND(#REF!,"AAAAAHfJa3E=")</f>
        <v>#REF!</v>
      </c>
      <c r="DK566" t="e">
        <f>AND(#REF!,"AAAAAHfJa3I=")</f>
        <v>#REF!</v>
      </c>
      <c r="DL566" t="e">
        <f>AND(#REF!,"AAAAAHfJa3M=")</f>
        <v>#REF!</v>
      </c>
      <c r="DM566" t="e">
        <f>AND(#REF!,"AAAAAHfJa3Q=")</f>
        <v>#REF!</v>
      </c>
      <c r="DN566" t="e">
        <f>AND(#REF!,"AAAAAHfJa3U=")</f>
        <v>#REF!</v>
      </c>
      <c r="DO566" t="e">
        <f>AND(#REF!,"AAAAAHfJa3Y=")</f>
        <v>#REF!</v>
      </c>
      <c r="DP566" t="e">
        <f>AND(#REF!,"AAAAAHfJa3c=")</f>
        <v>#REF!</v>
      </c>
      <c r="DQ566" t="e">
        <f>IF(#REF!,"AAAAAHfJa3g=",0)</f>
        <v>#REF!</v>
      </c>
      <c r="DR566" t="e">
        <f>AND(#REF!,"AAAAAHfJa3k=")</f>
        <v>#REF!</v>
      </c>
      <c r="DS566" t="e">
        <f>AND(#REF!,"AAAAAHfJa3o=")</f>
        <v>#REF!</v>
      </c>
      <c r="DT566" t="e">
        <f>AND(#REF!,"AAAAAHfJa3s=")</f>
        <v>#REF!</v>
      </c>
      <c r="DU566" t="e">
        <f>AND(#REF!,"AAAAAHfJa3w=")</f>
        <v>#REF!</v>
      </c>
      <c r="DV566" t="e">
        <f>AND(#REF!,"AAAAAHfJa30=")</f>
        <v>#REF!</v>
      </c>
      <c r="DW566" t="e">
        <f>AND(#REF!,"AAAAAHfJa34=")</f>
        <v>#REF!</v>
      </c>
      <c r="DX566" t="e">
        <f>AND(#REF!,"AAAAAHfJa38=")</f>
        <v>#REF!</v>
      </c>
      <c r="DY566" t="e">
        <f>AND(#REF!,"AAAAAHfJa4A=")</f>
        <v>#REF!</v>
      </c>
      <c r="DZ566" t="e">
        <f>AND(#REF!,"AAAAAHfJa4E=")</f>
        <v>#REF!</v>
      </c>
      <c r="EA566" t="e">
        <f>AND(#REF!,"AAAAAHfJa4I=")</f>
        <v>#REF!</v>
      </c>
      <c r="EB566" t="e">
        <f>AND(#REF!,"AAAAAHfJa4M=")</f>
        <v>#REF!</v>
      </c>
      <c r="EC566" t="e">
        <f>AND(#REF!,"AAAAAHfJa4Q=")</f>
        <v>#REF!</v>
      </c>
      <c r="ED566" t="e">
        <f>AND(#REF!,"AAAAAHfJa4U=")</f>
        <v>#REF!</v>
      </c>
      <c r="EE566" t="e">
        <f>AND(#REF!,"AAAAAHfJa4Y=")</f>
        <v>#REF!</v>
      </c>
      <c r="EF566" t="e">
        <f>AND(#REF!,"AAAAAHfJa4c=")</f>
        <v>#REF!</v>
      </c>
      <c r="EG566" t="e">
        <f>AND(#REF!,"AAAAAHfJa4g=")</f>
        <v>#REF!</v>
      </c>
      <c r="EH566" t="e">
        <f>AND(#REF!,"AAAAAHfJa4k=")</f>
        <v>#REF!</v>
      </c>
      <c r="EI566" t="e">
        <f>AND(#REF!,"AAAAAHfJa4o=")</f>
        <v>#REF!</v>
      </c>
      <c r="EJ566" t="e">
        <f>AND(#REF!,"AAAAAHfJa4s=")</f>
        <v>#REF!</v>
      </c>
      <c r="EK566" t="e">
        <f>AND(#REF!,"AAAAAHfJa4w=")</f>
        <v>#REF!</v>
      </c>
      <c r="EL566" t="e">
        <f>AND(#REF!,"AAAAAHfJa40=")</f>
        <v>#REF!</v>
      </c>
      <c r="EM566" t="e">
        <f>AND(#REF!,"AAAAAHfJa44=")</f>
        <v>#REF!</v>
      </c>
      <c r="EN566" t="e">
        <f>AND(#REF!,"AAAAAHfJa48=")</f>
        <v>#REF!</v>
      </c>
      <c r="EO566" t="e">
        <f>AND(#REF!,"AAAAAHfJa5A=")</f>
        <v>#REF!</v>
      </c>
      <c r="EP566" t="e">
        <f>IF(#REF!,"AAAAAHfJa5E=",0)</f>
        <v>#REF!</v>
      </c>
      <c r="EQ566" t="e">
        <f>AND(#REF!,"AAAAAHfJa5I=")</f>
        <v>#REF!</v>
      </c>
      <c r="ER566" t="e">
        <f>AND(#REF!,"AAAAAHfJa5M=")</f>
        <v>#REF!</v>
      </c>
      <c r="ES566" t="e">
        <f>AND(#REF!,"AAAAAHfJa5Q=")</f>
        <v>#REF!</v>
      </c>
      <c r="ET566" t="e">
        <f>AND(#REF!,"AAAAAHfJa5U=")</f>
        <v>#REF!</v>
      </c>
      <c r="EU566" t="e">
        <f>AND(#REF!,"AAAAAHfJa5Y=")</f>
        <v>#REF!</v>
      </c>
      <c r="EV566" t="e">
        <f>AND(#REF!,"AAAAAHfJa5c=")</f>
        <v>#REF!</v>
      </c>
      <c r="EW566" t="e">
        <f>AND(#REF!,"AAAAAHfJa5g=")</f>
        <v>#REF!</v>
      </c>
      <c r="EX566" t="e">
        <f>AND(#REF!,"AAAAAHfJa5k=")</f>
        <v>#REF!</v>
      </c>
      <c r="EY566" t="e">
        <f>AND(#REF!,"AAAAAHfJa5o=")</f>
        <v>#REF!</v>
      </c>
      <c r="EZ566" t="e">
        <f>AND(#REF!,"AAAAAHfJa5s=")</f>
        <v>#REF!</v>
      </c>
      <c r="FA566" t="e">
        <f>AND(#REF!,"AAAAAHfJa5w=")</f>
        <v>#REF!</v>
      </c>
      <c r="FB566" t="e">
        <f>AND(#REF!,"AAAAAHfJa50=")</f>
        <v>#REF!</v>
      </c>
      <c r="FC566" t="e">
        <f>AND(#REF!,"AAAAAHfJa54=")</f>
        <v>#REF!</v>
      </c>
      <c r="FD566" t="e">
        <f>AND(#REF!,"AAAAAHfJa58=")</f>
        <v>#REF!</v>
      </c>
      <c r="FE566" t="e">
        <f>AND(#REF!,"AAAAAHfJa6A=")</f>
        <v>#REF!</v>
      </c>
      <c r="FF566" t="e">
        <f>AND(#REF!,"AAAAAHfJa6E=")</f>
        <v>#REF!</v>
      </c>
      <c r="FG566" t="e">
        <f>AND(#REF!,"AAAAAHfJa6I=")</f>
        <v>#REF!</v>
      </c>
      <c r="FH566" t="e">
        <f>AND(#REF!,"AAAAAHfJa6M=")</f>
        <v>#REF!</v>
      </c>
      <c r="FI566" t="e">
        <f>AND(#REF!,"AAAAAHfJa6Q=")</f>
        <v>#REF!</v>
      </c>
      <c r="FJ566" t="e">
        <f>AND(#REF!,"AAAAAHfJa6U=")</f>
        <v>#REF!</v>
      </c>
      <c r="FK566" t="e">
        <f>AND(#REF!,"AAAAAHfJa6Y=")</f>
        <v>#REF!</v>
      </c>
      <c r="FL566" t="e">
        <f>AND(#REF!,"AAAAAHfJa6c=")</f>
        <v>#REF!</v>
      </c>
      <c r="FM566" t="e">
        <f>AND(#REF!,"AAAAAHfJa6g=")</f>
        <v>#REF!</v>
      </c>
      <c r="FN566" t="e">
        <f>AND(#REF!,"AAAAAHfJa6k=")</f>
        <v>#REF!</v>
      </c>
      <c r="FO566" t="e">
        <f>IF(#REF!,"AAAAAHfJa6o=",0)</f>
        <v>#REF!</v>
      </c>
      <c r="FP566" t="e">
        <f>AND(#REF!,"AAAAAHfJa6s=")</f>
        <v>#REF!</v>
      </c>
      <c r="FQ566" t="e">
        <f>AND(#REF!,"AAAAAHfJa6w=")</f>
        <v>#REF!</v>
      </c>
      <c r="FR566" t="e">
        <f>AND(#REF!,"AAAAAHfJa60=")</f>
        <v>#REF!</v>
      </c>
      <c r="FS566" t="e">
        <f>AND(#REF!,"AAAAAHfJa64=")</f>
        <v>#REF!</v>
      </c>
      <c r="FT566" t="e">
        <f>AND(#REF!,"AAAAAHfJa68=")</f>
        <v>#REF!</v>
      </c>
      <c r="FU566" t="e">
        <f>AND(#REF!,"AAAAAHfJa7A=")</f>
        <v>#REF!</v>
      </c>
      <c r="FV566" t="e">
        <f>AND(#REF!,"AAAAAHfJa7E=")</f>
        <v>#REF!</v>
      </c>
      <c r="FW566" t="e">
        <f>AND(#REF!,"AAAAAHfJa7I=")</f>
        <v>#REF!</v>
      </c>
      <c r="FX566" t="e">
        <f>AND(#REF!,"AAAAAHfJa7M=")</f>
        <v>#REF!</v>
      </c>
      <c r="FY566" t="e">
        <f>AND(#REF!,"AAAAAHfJa7Q=")</f>
        <v>#REF!</v>
      </c>
      <c r="FZ566" t="e">
        <f>AND(#REF!,"AAAAAHfJa7U=")</f>
        <v>#REF!</v>
      </c>
      <c r="GA566" t="e">
        <f>AND(#REF!,"AAAAAHfJa7Y=")</f>
        <v>#REF!</v>
      </c>
      <c r="GB566" t="e">
        <f>AND(#REF!,"AAAAAHfJa7c=")</f>
        <v>#REF!</v>
      </c>
      <c r="GC566" t="e">
        <f>AND(#REF!,"AAAAAHfJa7g=")</f>
        <v>#REF!</v>
      </c>
      <c r="GD566" t="e">
        <f>AND(#REF!,"AAAAAHfJa7k=")</f>
        <v>#REF!</v>
      </c>
      <c r="GE566" t="e">
        <f>AND(#REF!,"AAAAAHfJa7o=")</f>
        <v>#REF!</v>
      </c>
      <c r="GF566" t="e">
        <f>AND(#REF!,"AAAAAHfJa7s=")</f>
        <v>#REF!</v>
      </c>
      <c r="GG566" t="e">
        <f>AND(#REF!,"AAAAAHfJa7w=")</f>
        <v>#REF!</v>
      </c>
      <c r="GH566" t="e">
        <f>AND(#REF!,"AAAAAHfJa70=")</f>
        <v>#REF!</v>
      </c>
      <c r="GI566" t="e">
        <f>AND(#REF!,"AAAAAHfJa74=")</f>
        <v>#REF!</v>
      </c>
      <c r="GJ566" t="e">
        <f>AND(#REF!,"AAAAAHfJa78=")</f>
        <v>#REF!</v>
      </c>
      <c r="GK566" t="e">
        <f>AND(#REF!,"AAAAAHfJa8A=")</f>
        <v>#REF!</v>
      </c>
      <c r="GL566" t="e">
        <f>AND(#REF!,"AAAAAHfJa8E=")</f>
        <v>#REF!</v>
      </c>
      <c r="GM566" t="e">
        <f>AND(#REF!,"AAAAAHfJa8I=")</f>
        <v>#REF!</v>
      </c>
      <c r="GN566" t="e">
        <f>IF(#REF!,"AAAAAHfJa8M=",0)</f>
        <v>#REF!</v>
      </c>
      <c r="GO566" t="e">
        <f>AND(#REF!,"AAAAAHfJa8Q=")</f>
        <v>#REF!</v>
      </c>
      <c r="GP566" t="e">
        <f>AND(#REF!,"AAAAAHfJa8U=")</f>
        <v>#REF!</v>
      </c>
      <c r="GQ566" t="e">
        <f>AND(#REF!,"AAAAAHfJa8Y=")</f>
        <v>#REF!</v>
      </c>
      <c r="GR566" t="e">
        <f>AND(#REF!,"AAAAAHfJa8c=")</f>
        <v>#REF!</v>
      </c>
      <c r="GS566" t="e">
        <f>AND(#REF!,"AAAAAHfJa8g=")</f>
        <v>#REF!</v>
      </c>
      <c r="GT566" t="e">
        <f>AND(#REF!,"AAAAAHfJa8k=")</f>
        <v>#REF!</v>
      </c>
      <c r="GU566" t="e">
        <f>AND(#REF!,"AAAAAHfJa8o=")</f>
        <v>#REF!</v>
      </c>
      <c r="GV566" t="e">
        <f>AND(#REF!,"AAAAAHfJa8s=")</f>
        <v>#REF!</v>
      </c>
      <c r="GW566" t="e">
        <f>AND(#REF!,"AAAAAHfJa8w=")</f>
        <v>#REF!</v>
      </c>
      <c r="GX566" t="e">
        <f>AND(#REF!,"AAAAAHfJa80=")</f>
        <v>#REF!</v>
      </c>
      <c r="GY566" t="e">
        <f>AND(#REF!,"AAAAAHfJa84=")</f>
        <v>#REF!</v>
      </c>
      <c r="GZ566" t="e">
        <f>AND(#REF!,"AAAAAHfJa88=")</f>
        <v>#REF!</v>
      </c>
      <c r="HA566" t="e">
        <f>AND(#REF!,"AAAAAHfJa9A=")</f>
        <v>#REF!</v>
      </c>
      <c r="HB566" t="e">
        <f>AND(#REF!,"AAAAAHfJa9E=")</f>
        <v>#REF!</v>
      </c>
      <c r="HC566" t="e">
        <f>AND(#REF!,"AAAAAHfJa9I=")</f>
        <v>#REF!</v>
      </c>
      <c r="HD566" t="e">
        <f>AND(#REF!,"AAAAAHfJa9M=")</f>
        <v>#REF!</v>
      </c>
      <c r="HE566" t="e">
        <f>AND(#REF!,"AAAAAHfJa9Q=")</f>
        <v>#REF!</v>
      </c>
      <c r="HF566" t="e">
        <f>AND(#REF!,"AAAAAHfJa9U=")</f>
        <v>#REF!</v>
      </c>
      <c r="HG566" t="e">
        <f>AND(#REF!,"AAAAAHfJa9Y=")</f>
        <v>#REF!</v>
      </c>
      <c r="HH566" t="e">
        <f>AND(#REF!,"AAAAAHfJa9c=")</f>
        <v>#REF!</v>
      </c>
      <c r="HI566" t="e">
        <f>AND(#REF!,"AAAAAHfJa9g=")</f>
        <v>#REF!</v>
      </c>
      <c r="HJ566" t="e">
        <f>AND(#REF!,"AAAAAHfJa9k=")</f>
        <v>#REF!</v>
      </c>
      <c r="HK566" t="e">
        <f>AND(#REF!,"AAAAAHfJa9o=")</f>
        <v>#REF!</v>
      </c>
      <c r="HL566" t="e">
        <f>AND(#REF!,"AAAAAHfJa9s=")</f>
        <v>#REF!</v>
      </c>
      <c r="HM566" t="e">
        <f>IF(#REF!,"AAAAAHfJa9w=",0)</f>
        <v>#REF!</v>
      </c>
      <c r="HN566" t="e">
        <f>AND(#REF!,"AAAAAHfJa90=")</f>
        <v>#REF!</v>
      </c>
      <c r="HO566" t="e">
        <f>AND(#REF!,"AAAAAHfJa94=")</f>
        <v>#REF!</v>
      </c>
      <c r="HP566" t="e">
        <f>AND(#REF!,"AAAAAHfJa98=")</f>
        <v>#REF!</v>
      </c>
      <c r="HQ566" t="e">
        <f>AND(#REF!,"AAAAAHfJa+A=")</f>
        <v>#REF!</v>
      </c>
      <c r="HR566" t="e">
        <f>AND(#REF!,"AAAAAHfJa+E=")</f>
        <v>#REF!</v>
      </c>
      <c r="HS566" t="e">
        <f>AND(#REF!,"AAAAAHfJa+I=")</f>
        <v>#REF!</v>
      </c>
      <c r="HT566" t="e">
        <f>AND(#REF!,"AAAAAHfJa+M=")</f>
        <v>#REF!</v>
      </c>
      <c r="HU566" t="e">
        <f>AND(#REF!,"AAAAAHfJa+Q=")</f>
        <v>#REF!</v>
      </c>
      <c r="HV566" t="e">
        <f>AND(#REF!,"AAAAAHfJa+U=")</f>
        <v>#REF!</v>
      </c>
      <c r="HW566" t="e">
        <f>AND(#REF!,"AAAAAHfJa+Y=")</f>
        <v>#REF!</v>
      </c>
      <c r="HX566" t="e">
        <f>AND(#REF!,"AAAAAHfJa+c=")</f>
        <v>#REF!</v>
      </c>
      <c r="HY566" t="e">
        <f>AND(#REF!,"AAAAAHfJa+g=")</f>
        <v>#REF!</v>
      </c>
      <c r="HZ566" t="e">
        <f>AND(#REF!,"AAAAAHfJa+k=")</f>
        <v>#REF!</v>
      </c>
      <c r="IA566" t="e">
        <f>AND(#REF!,"AAAAAHfJa+o=")</f>
        <v>#REF!</v>
      </c>
      <c r="IB566" t="e">
        <f>AND(#REF!,"AAAAAHfJa+s=")</f>
        <v>#REF!</v>
      </c>
      <c r="IC566" t="e">
        <f>AND(#REF!,"AAAAAHfJa+w=")</f>
        <v>#REF!</v>
      </c>
      <c r="ID566" t="e">
        <f>AND(#REF!,"AAAAAHfJa+0=")</f>
        <v>#REF!</v>
      </c>
      <c r="IE566" t="e">
        <f>AND(#REF!,"AAAAAHfJa+4=")</f>
        <v>#REF!</v>
      </c>
      <c r="IF566" t="e">
        <f>AND(#REF!,"AAAAAHfJa+8=")</f>
        <v>#REF!</v>
      </c>
      <c r="IG566" t="e">
        <f>AND(#REF!,"AAAAAHfJa/A=")</f>
        <v>#REF!</v>
      </c>
      <c r="IH566" t="e">
        <f>AND(#REF!,"AAAAAHfJa/E=")</f>
        <v>#REF!</v>
      </c>
      <c r="II566" t="e">
        <f>AND(#REF!,"AAAAAHfJa/I=")</f>
        <v>#REF!</v>
      </c>
      <c r="IJ566" t="e">
        <f>AND(#REF!,"AAAAAHfJa/M=")</f>
        <v>#REF!</v>
      </c>
      <c r="IK566" t="e">
        <f>AND(#REF!,"AAAAAHfJa/Q=")</f>
        <v>#REF!</v>
      </c>
      <c r="IL566" t="e">
        <f>IF(#REF!,"AAAAAHfJa/U=",0)</f>
        <v>#REF!</v>
      </c>
      <c r="IM566" t="e">
        <f>AND(#REF!,"AAAAAHfJa/Y=")</f>
        <v>#REF!</v>
      </c>
      <c r="IN566" t="e">
        <f>AND(#REF!,"AAAAAHfJa/c=")</f>
        <v>#REF!</v>
      </c>
      <c r="IO566" t="e">
        <f>AND(#REF!,"AAAAAHfJa/g=")</f>
        <v>#REF!</v>
      </c>
      <c r="IP566" t="e">
        <f>AND(#REF!,"AAAAAHfJa/k=")</f>
        <v>#REF!</v>
      </c>
      <c r="IQ566" t="e">
        <f>AND(#REF!,"AAAAAHfJa/o=")</f>
        <v>#REF!</v>
      </c>
      <c r="IR566" t="e">
        <f>AND(#REF!,"AAAAAHfJa/s=")</f>
        <v>#REF!</v>
      </c>
      <c r="IS566" t="e">
        <f>AND(#REF!,"AAAAAHfJa/w=")</f>
        <v>#REF!</v>
      </c>
      <c r="IT566" t="e">
        <f>AND(#REF!,"AAAAAHfJa/0=")</f>
        <v>#REF!</v>
      </c>
      <c r="IU566" t="e">
        <f>AND(#REF!,"AAAAAHfJa/4=")</f>
        <v>#REF!</v>
      </c>
      <c r="IV566" t="e">
        <f>AND(#REF!,"AAAAAHfJa/8=")</f>
        <v>#REF!</v>
      </c>
    </row>
    <row r="567" spans="1:256">
      <c r="A567" t="e">
        <f>AND(#REF!,"AAAAAH7/XwA=")</f>
        <v>#REF!</v>
      </c>
      <c r="B567" t="e">
        <f>AND(#REF!,"AAAAAH7/XwE=")</f>
        <v>#REF!</v>
      </c>
      <c r="C567" t="e">
        <f>AND(#REF!,"AAAAAH7/XwI=")</f>
        <v>#REF!</v>
      </c>
      <c r="D567" t="e">
        <f>AND(#REF!,"AAAAAH7/XwM=")</f>
        <v>#REF!</v>
      </c>
      <c r="E567" t="e">
        <f>AND(#REF!,"AAAAAH7/XwQ=")</f>
        <v>#REF!</v>
      </c>
      <c r="F567" t="e">
        <f>AND(#REF!,"AAAAAH7/XwU=")</f>
        <v>#REF!</v>
      </c>
      <c r="G567" t="e">
        <f>AND(#REF!,"AAAAAH7/XwY=")</f>
        <v>#REF!</v>
      </c>
      <c r="H567" t="e">
        <f>AND(#REF!,"AAAAAH7/Xwc=")</f>
        <v>#REF!</v>
      </c>
      <c r="I567" t="e">
        <f>AND(#REF!,"AAAAAH7/Xwg=")</f>
        <v>#REF!</v>
      </c>
      <c r="J567" t="e">
        <f>AND(#REF!,"AAAAAH7/Xwk=")</f>
        <v>#REF!</v>
      </c>
      <c r="K567" t="e">
        <f>AND(#REF!,"AAAAAH7/Xwo=")</f>
        <v>#REF!</v>
      </c>
      <c r="L567" t="e">
        <f>AND(#REF!,"AAAAAH7/Xws=")</f>
        <v>#REF!</v>
      </c>
      <c r="M567" t="e">
        <f>AND(#REF!,"AAAAAH7/Xww=")</f>
        <v>#REF!</v>
      </c>
      <c r="N567" t="e">
        <f>AND(#REF!,"AAAAAH7/Xw0=")</f>
        <v>#REF!</v>
      </c>
      <c r="O567" t="e">
        <f>IF(#REF!,"AAAAAH7/Xw4=",0)</f>
        <v>#REF!</v>
      </c>
      <c r="P567" t="e">
        <f>AND(#REF!,"AAAAAH7/Xw8=")</f>
        <v>#REF!</v>
      </c>
      <c r="Q567" t="e">
        <f>AND(#REF!,"AAAAAH7/XxA=")</f>
        <v>#REF!</v>
      </c>
      <c r="R567" t="e">
        <f>AND(#REF!,"AAAAAH7/XxE=")</f>
        <v>#REF!</v>
      </c>
      <c r="S567" t="e">
        <f>AND(#REF!,"AAAAAH7/XxI=")</f>
        <v>#REF!</v>
      </c>
      <c r="T567" t="e">
        <f>AND(#REF!,"AAAAAH7/XxM=")</f>
        <v>#REF!</v>
      </c>
      <c r="U567" t="e">
        <f>AND(#REF!,"AAAAAH7/XxQ=")</f>
        <v>#REF!</v>
      </c>
      <c r="V567" t="e">
        <f>AND(#REF!,"AAAAAH7/XxU=")</f>
        <v>#REF!</v>
      </c>
      <c r="W567" t="e">
        <f>AND(#REF!,"AAAAAH7/XxY=")</f>
        <v>#REF!</v>
      </c>
      <c r="X567" t="e">
        <f>AND(#REF!,"AAAAAH7/Xxc=")</f>
        <v>#REF!</v>
      </c>
      <c r="Y567" t="e">
        <f>AND(#REF!,"AAAAAH7/Xxg=")</f>
        <v>#REF!</v>
      </c>
      <c r="Z567" t="e">
        <f>AND(#REF!,"AAAAAH7/Xxk=")</f>
        <v>#REF!</v>
      </c>
      <c r="AA567" t="e">
        <f>AND(#REF!,"AAAAAH7/Xxo=")</f>
        <v>#REF!</v>
      </c>
      <c r="AB567" t="e">
        <f>AND(#REF!,"AAAAAH7/Xxs=")</f>
        <v>#REF!</v>
      </c>
      <c r="AC567" t="e">
        <f>AND(#REF!,"AAAAAH7/Xxw=")</f>
        <v>#REF!</v>
      </c>
      <c r="AD567" t="e">
        <f>AND(#REF!,"AAAAAH7/Xx0=")</f>
        <v>#REF!</v>
      </c>
      <c r="AE567" t="e">
        <f>AND(#REF!,"AAAAAH7/Xx4=")</f>
        <v>#REF!</v>
      </c>
      <c r="AF567" t="e">
        <f>AND(#REF!,"AAAAAH7/Xx8=")</f>
        <v>#REF!</v>
      </c>
      <c r="AG567" t="e">
        <f>AND(#REF!,"AAAAAH7/XyA=")</f>
        <v>#REF!</v>
      </c>
      <c r="AH567" t="e">
        <f>AND(#REF!,"AAAAAH7/XyE=")</f>
        <v>#REF!</v>
      </c>
      <c r="AI567" t="e">
        <f>AND(#REF!,"AAAAAH7/XyI=")</f>
        <v>#REF!</v>
      </c>
      <c r="AJ567" t="e">
        <f>AND(#REF!,"AAAAAH7/XyM=")</f>
        <v>#REF!</v>
      </c>
      <c r="AK567" t="e">
        <f>AND(#REF!,"AAAAAH7/XyQ=")</f>
        <v>#REF!</v>
      </c>
      <c r="AL567" t="e">
        <f>AND(#REF!,"AAAAAH7/XyU=")</f>
        <v>#REF!</v>
      </c>
      <c r="AM567" t="e">
        <f>AND(#REF!,"AAAAAH7/XyY=")</f>
        <v>#REF!</v>
      </c>
      <c r="AN567" t="e">
        <f>IF(#REF!,"AAAAAH7/Xyc=",0)</f>
        <v>#REF!</v>
      </c>
      <c r="AO567" t="e">
        <f>AND(#REF!,"AAAAAH7/Xyg=")</f>
        <v>#REF!</v>
      </c>
      <c r="AP567" t="e">
        <f>AND(#REF!,"AAAAAH7/Xyk=")</f>
        <v>#REF!</v>
      </c>
      <c r="AQ567" t="e">
        <f>AND(#REF!,"AAAAAH7/Xyo=")</f>
        <v>#REF!</v>
      </c>
      <c r="AR567" t="e">
        <f>AND(#REF!,"AAAAAH7/Xys=")</f>
        <v>#REF!</v>
      </c>
      <c r="AS567" t="e">
        <f>AND(#REF!,"AAAAAH7/Xyw=")</f>
        <v>#REF!</v>
      </c>
      <c r="AT567" t="e">
        <f>AND(#REF!,"AAAAAH7/Xy0=")</f>
        <v>#REF!</v>
      </c>
      <c r="AU567" t="e">
        <f>AND(#REF!,"AAAAAH7/Xy4=")</f>
        <v>#REF!</v>
      </c>
      <c r="AV567" t="e">
        <f>AND(#REF!,"AAAAAH7/Xy8=")</f>
        <v>#REF!</v>
      </c>
      <c r="AW567" t="e">
        <f>AND(#REF!,"AAAAAH7/XzA=")</f>
        <v>#REF!</v>
      </c>
      <c r="AX567" t="e">
        <f>AND(#REF!,"AAAAAH7/XzE=")</f>
        <v>#REF!</v>
      </c>
      <c r="AY567" t="e">
        <f>AND(#REF!,"AAAAAH7/XzI=")</f>
        <v>#REF!</v>
      </c>
      <c r="AZ567" t="e">
        <f>AND(#REF!,"AAAAAH7/XzM=")</f>
        <v>#REF!</v>
      </c>
      <c r="BA567" t="e">
        <f>AND(#REF!,"AAAAAH7/XzQ=")</f>
        <v>#REF!</v>
      </c>
      <c r="BB567" t="e">
        <f>AND(#REF!,"AAAAAH7/XzU=")</f>
        <v>#REF!</v>
      </c>
      <c r="BC567" t="e">
        <f>AND(#REF!,"AAAAAH7/XzY=")</f>
        <v>#REF!</v>
      </c>
      <c r="BD567" t="e">
        <f>AND(#REF!,"AAAAAH7/Xzc=")</f>
        <v>#REF!</v>
      </c>
      <c r="BE567" t="e">
        <f>AND(#REF!,"AAAAAH7/Xzg=")</f>
        <v>#REF!</v>
      </c>
      <c r="BF567" t="e">
        <f>AND(#REF!,"AAAAAH7/Xzk=")</f>
        <v>#REF!</v>
      </c>
      <c r="BG567" t="e">
        <f>AND(#REF!,"AAAAAH7/Xzo=")</f>
        <v>#REF!</v>
      </c>
      <c r="BH567" t="e">
        <f>AND(#REF!,"AAAAAH7/Xzs=")</f>
        <v>#REF!</v>
      </c>
      <c r="BI567" t="e">
        <f>AND(#REF!,"AAAAAH7/Xzw=")</f>
        <v>#REF!</v>
      </c>
      <c r="BJ567" t="e">
        <f>AND(#REF!,"AAAAAH7/Xz0=")</f>
        <v>#REF!</v>
      </c>
      <c r="BK567" t="e">
        <f>AND(#REF!,"AAAAAH7/Xz4=")</f>
        <v>#REF!</v>
      </c>
      <c r="BL567" t="e">
        <f>AND(#REF!,"AAAAAH7/Xz8=")</f>
        <v>#REF!</v>
      </c>
      <c r="BM567" t="e">
        <f>IF(#REF!,"AAAAAH7/X0A=",0)</f>
        <v>#REF!</v>
      </c>
      <c r="BN567" t="e">
        <f>AND(#REF!,"AAAAAH7/X0E=")</f>
        <v>#REF!</v>
      </c>
      <c r="BO567" t="e">
        <f>AND(#REF!,"AAAAAH7/X0I=")</f>
        <v>#REF!</v>
      </c>
      <c r="BP567" t="e">
        <f>AND(#REF!,"AAAAAH7/X0M=")</f>
        <v>#REF!</v>
      </c>
      <c r="BQ567" t="e">
        <f>AND(#REF!,"AAAAAH7/X0Q=")</f>
        <v>#REF!</v>
      </c>
      <c r="BR567" t="e">
        <f>AND(#REF!,"AAAAAH7/X0U=")</f>
        <v>#REF!</v>
      </c>
      <c r="BS567" t="e">
        <f>AND(#REF!,"AAAAAH7/X0Y=")</f>
        <v>#REF!</v>
      </c>
      <c r="BT567" t="e">
        <f>AND(#REF!,"AAAAAH7/X0c=")</f>
        <v>#REF!</v>
      </c>
      <c r="BU567" t="e">
        <f>AND(#REF!,"AAAAAH7/X0g=")</f>
        <v>#REF!</v>
      </c>
      <c r="BV567" t="e">
        <f>AND(#REF!,"AAAAAH7/X0k=")</f>
        <v>#REF!</v>
      </c>
      <c r="BW567" t="e">
        <f>AND(#REF!,"AAAAAH7/X0o=")</f>
        <v>#REF!</v>
      </c>
      <c r="BX567" t="e">
        <f>AND(#REF!,"AAAAAH7/X0s=")</f>
        <v>#REF!</v>
      </c>
      <c r="BY567" t="e">
        <f>AND(#REF!,"AAAAAH7/X0w=")</f>
        <v>#REF!</v>
      </c>
      <c r="BZ567" t="e">
        <f>AND(#REF!,"AAAAAH7/X00=")</f>
        <v>#REF!</v>
      </c>
      <c r="CA567" t="e">
        <f>AND(#REF!,"AAAAAH7/X04=")</f>
        <v>#REF!</v>
      </c>
      <c r="CB567" t="e">
        <f>AND(#REF!,"AAAAAH7/X08=")</f>
        <v>#REF!</v>
      </c>
      <c r="CC567" t="e">
        <f>AND(#REF!,"AAAAAH7/X1A=")</f>
        <v>#REF!</v>
      </c>
      <c r="CD567" t="e">
        <f>AND(#REF!,"AAAAAH7/X1E=")</f>
        <v>#REF!</v>
      </c>
      <c r="CE567" t="e">
        <f>AND(#REF!,"AAAAAH7/X1I=")</f>
        <v>#REF!</v>
      </c>
      <c r="CF567" t="e">
        <f>AND(#REF!,"AAAAAH7/X1M=")</f>
        <v>#REF!</v>
      </c>
      <c r="CG567" t="e">
        <f>AND(#REF!,"AAAAAH7/X1Q=")</f>
        <v>#REF!</v>
      </c>
      <c r="CH567" t="e">
        <f>AND(#REF!,"AAAAAH7/X1U=")</f>
        <v>#REF!</v>
      </c>
      <c r="CI567" t="e">
        <f>AND(#REF!,"AAAAAH7/X1Y=")</f>
        <v>#REF!</v>
      </c>
      <c r="CJ567" t="e">
        <f>AND(#REF!,"AAAAAH7/X1c=")</f>
        <v>#REF!</v>
      </c>
      <c r="CK567" t="e">
        <f>AND(#REF!,"AAAAAH7/X1g=")</f>
        <v>#REF!</v>
      </c>
      <c r="CL567" t="e">
        <f>IF(#REF!,"AAAAAH7/X1k=",0)</f>
        <v>#REF!</v>
      </c>
      <c r="CM567" t="e">
        <f>AND(#REF!,"AAAAAH7/X1o=")</f>
        <v>#REF!</v>
      </c>
      <c r="CN567" t="e">
        <f>AND(#REF!,"AAAAAH7/X1s=")</f>
        <v>#REF!</v>
      </c>
      <c r="CO567" t="e">
        <f>AND(#REF!,"AAAAAH7/X1w=")</f>
        <v>#REF!</v>
      </c>
      <c r="CP567" t="e">
        <f>AND(#REF!,"AAAAAH7/X10=")</f>
        <v>#REF!</v>
      </c>
      <c r="CQ567" t="e">
        <f>AND(#REF!,"AAAAAH7/X14=")</f>
        <v>#REF!</v>
      </c>
      <c r="CR567" t="e">
        <f>AND(#REF!,"AAAAAH7/X18=")</f>
        <v>#REF!</v>
      </c>
      <c r="CS567" t="e">
        <f>AND(#REF!,"AAAAAH7/X2A=")</f>
        <v>#REF!</v>
      </c>
      <c r="CT567" t="e">
        <f>AND(#REF!,"AAAAAH7/X2E=")</f>
        <v>#REF!</v>
      </c>
      <c r="CU567" t="e">
        <f>AND(#REF!,"AAAAAH7/X2I=")</f>
        <v>#REF!</v>
      </c>
      <c r="CV567" t="e">
        <f>AND(#REF!,"AAAAAH7/X2M=")</f>
        <v>#REF!</v>
      </c>
      <c r="CW567" t="e">
        <f>AND(#REF!,"AAAAAH7/X2Q=")</f>
        <v>#REF!</v>
      </c>
      <c r="CX567" t="e">
        <f>AND(#REF!,"AAAAAH7/X2U=")</f>
        <v>#REF!</v>
      </c>
      <c r="CY567" t="e">
        <f>AND(#REF!,"AAAAAH7/X2Y=")</f>
        <v>#REF!</v>
      </c>
      <c r="CZ567" t="e">
        <f>AND(#REF!,"AAAAAH7/X2c=")</f>
        <v>#REF!</v>
      </c>
      <c r="DA567" t="e">
        <f>AND(#REF!,"AAAAAH7/X2g=")</f>
        <v>#REF!</v>
      </c>
      <c r="DB567" t="e">
        <f>AND(#REF!,"AAAAAH7/X2k=")</f>
        <v>#REF!</v>
      </c>
      <c r="DC567" t="e">
        <f>AND(#REF!,"AAAAAH7/X2o=")</f>
        <v>#REF!</v>
      </c>
      <c r="DD567" t="e">
        <f>AND(#REF!,"AAAAAH7/X2s=")</f>
        <v>#REF!</v>
      </c>
      <c r="DE567" t="e">
        <f>AND(#REF!,"AAAAAH7/X2w=")</f>
        <v>#REF!</v>
      </c>
      <c r="DF567" t="e">
        <f>AND(#REF!,"AAAAAH7/X20=")</f>
        <v>#REF!</v>
      </c>
      <c r="DG567" t="e">
        <f>AND(#REF!,"AAAAAH7/X24=")</f>
        <v>#REF!</v>
      </c>
      <c r="DH567" t="e">
        <f>AND(#REF!,"AAAAAH7/X28=")</f>
        <v>#REF!</v>
      </c>
      <c r="DI567" t="e">
        <f>AND(#REF!,"AAAAAH7/X3A=")</f>
        <v>#REF!</v>
      </c>
      <c r="DJ567" t="e">
        <f>AND(#REF!,"AAAAAH7/X3E=")</f>
        <v>#REF!</v>
      </c>
      <c r="DK567" t="e">
        <f>IF(#REF!,"AAAAAH7/X3I=",0)</f>
        <v>#REF!</v>
      </c>
      <c r="DL567" t="e">
        <f>AND(#REF!,"AAAAAH7/X3M=")</f>
        <v>#REF!</v>
      </c>
      <c r="DM567" t="e">
        <f>AND(#REF!,"AAAAAH7/X3Q=")</f>
        <v>#REF!</v>
      </c>
      <c r="DN567" t="e">
        <f>AND(#REF!,"AAAAAH7/X3U=")</f>
        <v>#REF!</v>
      </c>
      <c r="DO567" t="e">
        <f>AND(#REF!,"AAAAAH7/X3Y=")</f>
        <v>#REF!</v>
      </c>
      <c r="DP567" t="e">
        <f>AND(#REF!,"AAAAAH7/X3c=")</f>
        <v>#REF!</v>
      </c>
      <c r="DQ567" t="e">
        <f>AND(#REF!,"AAAAAH7/X3g=")</f>
        <v>#REF!</v>
      </c>
      <c r="DR567" t="e">
        <f>AND(#REF!,"AAAAAH7/X3k=")</f>
        <v>#REF!</v>
      </c>
      <c r="DS567" t="e">
        <f>AND(#REF!,"AAAAAH7/X3o=")</f>
        <v>#REF!</v>
      </c>
      <c r="DT567" t="e">
        <f>AND(#REF!,"AAAAAH7/X3s=")</f>
        <v>#REF!</v>
      </c>
      <c r="DU567" t="e">
        <f>AND(#REF!,"AAAAAH7/X3w=")</f>
        <v>#REF!</v>
      </c>
      <c r="DV567" t="e">
        <f>AND(#REF!,"AAAAAH7/X30=")</f>
        <v>#REF!</v>
      </c>
      <c r="DW567" t="e">
        <f>AND(#REF!,"AAAAAH7/X34=")</f>
        <v>#REF!</v>
      </c>
      <c r="DX567" t="e">
        <f>AND(#REF!,"AAAAAH7/X38=")</f>
        <v>#REF!</v>
      </c>
      <c r="DY567" t="e">
        <f>AND(#REF!,"AAAAAH7/X4A=")</f>
        <v>#REF!</v>
      </c>
      <c r="DZ567" t="e">
        <f>AND(#REF!,"AAAAAH7/X4E=")</f>
        <v>#REF!</v>
      </c>
      <c r="EA567" t="e">
        <f>AND(#REF!,"AAAAAH7/X4I=")</f>
        <v>#REF!</v>
      </c>
      <c r="EB567" t="e">
        <f>AND(#REF!,"AAAAAH7/X4M=")</f>
        <v>#REF!</v>
      </c>
      <c r="EC567" t="e">
        <f>AND(#REF!,"AAAAAH7/X4Q=")</f>
        <v>#REF!</v>
      </c>
      <c r="ED567" t="e">
        <f>AND(#REF!,"AAAAAH7/X4U=")</f>
        <v>#REF!</v>
      </c>
      <c r="EE567" t="e">
        <f>AND(#REF!,"AAAAAH7/X4Y=")</f>
        <v>#REF!</v>
      </c>
      <c r="EF567" t="e">
        <f>AND(#REF!,"AAAAAH7/X4c=")</f>
        <v>#REF!</v>
      </c>
      <c r="EG567" t="e">
        <f>AND(#REF!,"AAAAAH7/X4g=")</f>
        <v>#REF!</v>
      </c>
      <c r="EH567" t="e">
        <f>AND(#REF!,"AAAAAH7/X4k=")</f>
        <v>#REF!</v>
      </c>
      <c r="EI567" t="e">
        <f>AND(#REF!,"AAAAAH7/X4o=")</f>
        <v>#REF!</v>
      </c>
      <c r="EJ567" t="e">
        <f>IF(#REF!,"AAAAAH7/X4s=",0)</f>
        <v>#REF!</v>
      </c>
      <c r="EK567" t="e">
        <f>AND(#REF!,"AAAAAH7/X4w=")</f>
        <v>#REF!</v>
      </c>
      <c r="EL567" t="e">
        <f>AND(#REF!,"AAAAAH7/X40=")</f>
        <v>#REF!</v>
      </c>
      <c r="EM567" t="e">
        <f>AND(#REF!,"AAAAAH7/X44=")</f>
        <v>#REF!</v>
      </c>
      <c r="EN567" t="e">
        <f>AND(#REF!,"AAAAAH7/X48=")</f>
        <v>#REF!</v>
      </c>
      <c r="EO567" t="e">
        <f>AND(#REF!,"AAAAAH7/X5A=")</f>
        <v>#REF!</v>
      </c>
      <c r="EP567" t="e">
        <f>AND(#REF!,"AAAAAH7/X5E=")</f>
        <v>#REF!</v>
      </c>
      <c r="EQ567" t="e">
        <f>AND(#REF!,"AAAAAH7/X5I=")</f>
        <v>#REF!</v>
      </c>
      <c r="ER567" t="e">
        <f>AND(#REF!,"AAAAAH7/X5M=")</f>
        <v>#REF!</v>
      </c>
      <c r="ES567" t="e">
        <f>AND(#REF!,"AAAAAH7/X5Q=")</f>
        <v>#REF!</v>
      </c>
      <c r="ET567" t="e">
        <f>AND(#REF!,"AAAAAH7/X5U=")</f>
        <v>#REF!</v>
      </c>
      <c r="EU567" t="e">
        <f>AND(#REF!,"AAAAAH7/X5Y=")</f>
        <v>#REF!</v>
      </c>
      <c r="EV567" t="e">
        <f>AND(#REF!,"AAAAAH7/X5c=")</f>
        <v>#REF!</v>
      </c>
      <c r="EW567" t="e">
        <f>AND(#REF!,"AAAAAH7/X5g=")</f>
        <v>#REF!</v>
      </c>
      <c r="EX567" t="e">
        <f>AND(#REF!,"AAAAAH7/X5k=")</f>
        <v>#REF!</v>
      </c>
      <c r="EY567" t="e">
        <f>AND(#REF!,"AAAAAH7/X5o=")</f>
        <v>#REF!</v>
      </c>
      <c r="EZ567" t="e">
        <f>AND(#REF!,"AAAAAH7/X5s=")</f>
        <v>#REF!</v>
      </c>
      <c r="FA567" t="e">
        <f>AND(#REF!,"AAAAAH7/X5w=")</f>
        <v>#REF!</v>
      </c>
      <c r="FB567" t="e">
        <f>AND(#REF!,"AAAAAH7/X50=")</f>
        <v>#REF!</v>
      </c>
      <c r="FC567" t="e">
        <f>AND(#REF!,"AAAAAH7/X54=")</f>
        <v>#REF!</v>
      </c>
      <c r="FD567" t="e">
        <f>AND(#REF!,"AAAAAH7/X58=")</f>
        <v>#REF!</v>
      </c>
      <c r="FE567" t="e">
        <f>AND(#REF!,"AAAAAH7/X6A=")</f>
        <v>#REF!</v>
      </c>
      <c r="FF567" t="e">
        <f>AND(#REF!,"AAAAAH7/X6E=")</f>
        <v>#REF!</v>
      </c>
      <c r="FG567" t="e">
        <f>AND(#REF!,"AAAAAH7/X6I=")</f>
        <v>#REF!</v>
      </c>
      <c r="FH567" t="e">
        <f>AND(#REF!,"AAAAAH7/X6M=")</f>
        <v>#REF!</v>
      </c>
      <c r="FI567" t="e">
        <f>IF(#REF!,"AAAAAH7/X6Q=",0)</f>
        <v>#REF!</v>
      </c>
      <c r="FJ567" t="e">
        <f>AND(#REF!,"AAAAAH7/X6U=")</f>
        <v>#REF!</v>
      </c>
      <c r="FK567" t="e">
        <f>AND(#REF!,"AAAAAH7/X6Y=")</f>
        <v>#REF!</v>
      </c>
      <c r="FL567" t="e">
        <f>AND(#REF!,"AAAAAH7/X6c=")</f>
        <v>#REF!</v>
      </c>
      <c r="FM567" t="e">
        <f>AND(#REF!,"AAAAAH7/X6g=")</f>
        <v>#REF!</v>
      </c>
      <c r="FN567" t="e">
        <f>AND(#REF!,"AAAAAH7/X6k=")</f>
        <v>#REF!</v>
      </c>
      <c r="FO567" t="e">
        <f>AND(#REF!,"AAAAAH7/X6o=")</f>
        <v>#REF!</v>
      </c>
      <c r="FP567" t="e">
        <f>AND(#REF!,"AAAAAH7/X6s=")</f>
        <v>#REF!</v>
      </c>
      <c r="FQ567" t="e">
        <f>AND(#REF!,"AAAAAH7/X6w=")</f>
        <v>#REF!</v>
      </c>
      <c r="FR567" t="e">
        <f>AND(#REF!,"AAAAAH7/X60=")</f>
        <v>#REF!</v>
      </c>
      <c r="FS567" t="e">
        <f>AND(#REF!,"AAAAAH7/X64=")</f>
        <v>#REF!</v>
      </c>
      <c r="FT567" t="e">
        <f>AND(#REF!,"AAAAAH7/X68=")</f>
        <v>#REF!</v>
      </c>
      <c r="FU567" t="e">
        <f>AND(#REF!,"AAAAAH7/X7A=")</f>
        <v>#REF!</v>
      </c>
      <c r="FV567" t="e">
        <f>AND(#REF!,"AAAAAH7/X7E=")</f>
        <v>#REF!</v>
      </c>
      <c r="FW567" t="e">
        <f>AND(#REF!,"AAAAAH7/X7I=")</f>
        <v>#REF!</v>
      </c>
      <c r="FX567" t="e">
        <f>AND(#REF!,"AAAAAH7/X7M=")</f>
        <v>#REF!</v>
      </c>
      <c r="FY567" t="e">
        <f>AND(#REF!,"AAAAAH7/X7Q=")</f>
        <v>#REF!</v>
      </c>
      <c r="FZ567" t="e">
        <f>AND(#REF!,"AAAAAH7/X7U=")</f>
        <v>#REF!</v>
      </c>
      <c r="GA567" t="e">
        <f>AND(#REF!,"AAAAAH7/X7Y=")</f>
        <v>#REF!</v>
      </c>
      <c r="GB567" t="e">
        <f>AND(#REF!,"AAAAAH7/X7c=")</f>
        <v>#REF!</v>
      </c>
      <c r="GC567" t="e">
        <f>AND(#REF!,"AAAAAH7/X7g=")</f>
        <v>#REF!</v>
      </c>
      <c r="GD567" t="e">
        <f>AND(#REF!,"AAAAAH7/X7k=")</f>
        <v>#REF!</v>
      </c>
      <c r="GE567" t="e">
        <f>AND(#REF!,"AAAAAH7/X7o=")</f>
        <v>#REF!</v>
      </c>
      <c r="GF567" t="e">
        <f>AND(#REF!,"AAAAAH7/X7s=")</f>
        <v>#REF!</v>
      </c>
      <c r="GG567" t="e">
        <f>AND(#REF!,"AAAAAH7/X7w=")</f>
        <v>#REF!</v>
      </c>
      <c r="GH567" t="e">
        <f>IF(#REF!,"AAAAAH7/X70=",0)</f>
        <v>#REF!</v>
      </c>
      <c r="GI567" t="e">
        <f>AND(#REF!,"AAAAAH7/X74=")</f>
        <v>#REF!</v>
      </c>
      <c r="GJ567" t="e">
        <f>AND(#REF!,"AAAAAH7/X78=")</f>
        <v>#REF!</v>
      </c>
      <c r="GK567" t="e">
        <f>AND(#REF!,"AAAAAH7/X8A=")</f>
        <v>#REF!</v>
      </c>
      <c r="GL567" t="e">
        <f>AND(#REF!,"AAAAAH7/X8E=")</f>
        <v>#REF!</v>
      </c>
      <c r="GM567" t="e">
        <f>AND(#REF!,"AAAAAH7/X8I=")</f>
        <v>#REF!</v>
      </c>
      <c r="GN567" t="e">
        <f>AND(#REF!,"AAAAAH7/X8M=")</f>
        <v>#REF!</v>
      </c>
      <c r="GO567" t="e">
        <f>AND(#REF!,"AAAAAH7/X8Q=")</f>
        <v>#REF!</v>
      </c>
      <c r="GP567" t="e">
        <f>AND(#REF!,"AAAAAH7/X8U=")</f>
        <v>#REF!</v>
      </c>
      <c r="GQ567" t="e">
        <f>AND(#REF!,"AAAAAH7/X8Y=")</f>
        <v>#REF!</v>
      </c>
      <c r="GR567" t="e">
        <f>AND(#REF!,"AAAAAH7/X8c=")</f>
        <v>#REF!</v>
      </c>
      <c r="GS567" t="e">
        <f>AND(#REF!,"AAAAAH7/X8g=")</f>
        <v>#REF!</v>
      </c>
      <c r="GT567" t="e">
        <f>AND(#REF!,"AAAAAH7/X8k=")</f>
        <v>#REF!</v>
      </c>
      <c r="GU567" t="e">
        <f>AND(#REF!,"AAAAAH7/X8o=")</f>
        <v>#REF!</v>
      </c>
      <c r="GV567" t="e">
        <f>AND(#REF!,"AAAAAH7/X8s=")</f>
        <v>#REF!</v>
      </c>
      <c r="GW567" t="e">
        <f>AND(#REF!,"AAAAAH7/X8w=")</f>
        <v>#REF!</v>
      </c>
      <c r="GX567" t="e">
        <f>AND(#REF!,"AAAAAH7/X80=")</f>
        <v>#REF!</v>
      </c>
      <c r="GY567" t="e">
        <f>AND(#REF!,"AAAAAH7/X84=")</f>
        <v>#REF!</v>
      </c>
      <c r="GZ567" t="e">
        <f>AND(#REF!,"AAAAAH7/X88=")</f>
        <v>#REF!</v>
      </c>
      <c r="HA567" t="e">
        <f>AND(#REF!,"AAAAAH7/X9A=")</f>
        <v>#REF!</v>
      </c>
      <c r="HB567" t="e">
        <f>AND(#REF!,"AAAAAH7/X9E=")</f>
        <v>#REF!</v>
      </c>
      <c r="HC567" t="e">
        <f>AND(#REF!,"AAAAAH7/X9I=")</f>
        <v>#REF!</v>
      </c>
      <c r="HD567" t="e">
        <f>AND(#REF!,"AAAAAH7/X9M=")</f>
        <v>#REF!</v>
      </c>
      <c r="HE567" t="e">
        <f>AND(#REF!,"AAAAAH7/X9Q=")</f>
        <v>#REF!</v>
      </c>
      <c r="HF567" t="e">
        <f>AND(#REF!,"AAAAAH7/X9U=")</f>
        <v>#REF!</v>
      </c>
      <c r="HG567" t="e">
        <f>IF(#REF!,"AAAAAH7/X9Y=",0)</f>
        <v>#REF!</v>
      </c>
      <c r="HH567" t="e">
        <f>AND(#REF!,"AAAAAH7/X9c=")</f>
        <v>#REF!</v>
      </c>
      <c r="HI567" t="e">
        <f>AND(#REF!,"AAAAAH7/X9g=")</f>
        <v>#REF!</v>
      </c>
      <c r="HJ567" t="e">
        <f>AND(#REF!,"AAAAAH7/X9k=")</f>
        <v>#REF!</v>
      </c>
      <c r="HK567" t="e">
        <f>AND(#REF!,"AAAAAH7/X9o=")</f>
        <v>#REF!</v>
      </c>
      <c r="HL567" t="e">
        <f>AND(#REF!,"AAAAAH7/X9s=")</f>
        <v>#REF!</v>
      </c>
      <c r="HM567" t="e">
        <f>AND(#REF!,"AAAAAH7/X9w=")</f>
        <v>#REF!</v>
      </c>
      <c r="HN567" t="e">
        <f>AND(#REF!,"AAAAAH7/X90=")</f>
        <v>#REF!</v>
      </c>
      <c r="HO567" t="e">
        <f>AND(#REF!,"AAAAAH7/X94=")</f>
        <v>#REF!</v>
      </c>
      <c r="HP567" t="e">
        <f>AND(#REF!,"AAAAAH7/X98=")</f>
        <v>#REF!</v>
      </c>
      <c r="HQ567" t="e">
        <f>AND(#REF!,"AAAAAH7/X+A=")</f>
        <v>#REF!</v>
      </c>
      <c r="HR567" t="e">
        <f>AND(#REF!,"AAAAAH7/X+E=")</f>
        <v>#REF!</v>
      </c>
      <c r="HS567" t="e">
        <f>AND(#REF!,"AAAAAH7/X+I=")</f>
        <v>#REF!</v>
      </c>
      <c r="HT567" t="e">
        <f>AND(#REF!,"AAAAAH7/X+M=")</f>
        <v>#REF!</v>
      </c>
      <c r="HU567" t="e">
        <f>AND(#REF!,"AAAAAH7/X+Q=")</f>
        <v>#REF!</v>
      </c>
      <c r="HV567" t="e">
        <f>AND(#REF!,"AAAAAH7/X+U=")</f>
        <v>#REF!</v>
      </c>
      <c r="HW567" t="e">
        <f>AND(#REF!,"AAAAAH7/X+Y=")</f>
        <v>#REF!</v>
      </c>
      <c r="HX567" t="e">
        <f>AND(#REF!,"AAAAAH7/X+c=")</f>
        <v>#REF!</v>
      </c>
      <c r="HY567" t="e">
        <f>AND(#REF!,"AAAAAH7/X+g=")</f>
        <v>#REF!</v>
      </c>
      <c r="HZ567" t="e">
        <f>AND(#REF!,"AAAAAH7/X+k=")</f>
        <v>#REF!</v>
      </c>
      <c r="IA567" t="e">
        <f>AND(#REF!,"AAAAAH7/X+o=")</f>
        <v>#REF!</v>
      </c>
      <c r="IB567" t="e">
        <f>AND(#REF!,"AAAAAH7/X+s=")</f>
        <v>#REF!</v>
      </c>
      <c r="IC567" t="e">
        <f>AND(#REF!,"AAAAAH7/X+w=")</f>
        <v>#REF!</v>
      </c>
      <c r="ID567" t="e">
        <f>AND(#REF!,"AAAAAH7/X+0=")</f>
        <v>#REF!</v>
      </c>
      <c r="IE567" t="e">
        <f>AND(#REF!,"AAAAAH7/X+4=")</f>
        <v>#REF!</v>
      </c>
      <c r="IF567" t="e">
        <f>IF(#REF!,"AAAAAH7/X+8=",0)</f>
        <v>#REF!</v>
      </c>
      <c r="IG567" t="e">
        <f>AND(#REF!,"AAAAAH7/X/A=")</f>
        <v>#REF!</v>
      </c>
      <c r="IH567" t="e">
        <f>AND(#REF!,"AAAAAH7/X/E=")</f>
        <v>#REF!</v>
      </c>
      <c r="II567" t="e">
        <f>AND(#REF!,"AAAAAH7/X/I=")</f>
        <v>#REF!</v>
      </c>
      <c r="IJ567" t="e">
        <f>AND(#REF!,"AAAAAH7/X/M=")</f>
        <v>#REF!</v>
      </c>
      <c r="IK567" t="e">
        <f>AND(#REF!,"AAAAAH7/X/Q=")</f>
        <v>#REF!</v>
      </c>
      <c r="IL567" t="e">
        <f>AND(#REF!,"AAAAAH7/X/U=")</f>
        <v>#REF!</v>
      </c>
      <c r="IM567" t="e">
        <f>AND(#REF!,"AAAAAH7/X/Y=")</f>
        <v>#REF!</v>
      </c>
      <c r="IN567" t="e">
        <f>AND(#REF!,"AAAAAH7/X/c=")</f>
        <v>#REF!</v>
      </c>
      <c r="IO567" t="e">
        <f>AND(#REF!,"AAAAAH7/X/g=")</f>
        <v>#REF!</v>
      </c>
      <c r="IP567" t="e">
        <f>AND(#REF!,"AAAAAH7/X/k=")</f>
        <v>#REF!</v>
      </c>
      <c r="IQ567" t="e">
        <f>AND(#REF!,"AAAAAH7/X/o=")</f>
        <v>#REF!</v>
      </c>
      <c r="IR567" t="e">
        <f>AND(#REF!,"AAAAAH7/X/s=")</f>
        <v>#REF!</v>
      </c>
      <c r="IS567" t="e">
        <f>AND(#REF!,"AAAAAH7/X/w=")</f>
        <v>#REF!</v>
      </c>
      <c r="IT567" t="e">
        <f>AND(#REF!,"AAAAAH7/X/0=")</f>
        <v>#REF!</v>
      </c>
      <c r="IU567" t="e">
        <f>AND(#REF!,"AAAAAH7/X/4=")</f>
        <v>#REF!</v>
      </c>
      <c r="IV567" t="e">
        <f>AND(#REF!,"AAAAAH7/X/8=")</f>
        <v>#REF!</v>
      </c>
    </row>
    <row r="568" spans="1:256">
      <c r="A568" t="e">
        <f>AND(#REF!,"AAAAAGx9uwA=")</f>
        <v>#REF!</v>
      </c>
      <c r="B568" t="e">
        <f>AND(#REF!,"AAAAAGx9uwE=")</f>
        <v>#REF!</v>
      </c>
      <c r="C568" t="e">
        <f>AND(#REF!,"AAAAAGx9uwI=")</f>
        <v>#REF!</v>
      </c>
      <c r="D568" t="e">
        <f>AND(#REF!,"AAAAAGx9uwM=")</f>
        <v>#REF!</v>
      </c>
      <c r="E568" t="e">
        <f>AND(#REF!,"AAAAAGx9uwQ=")</f>
        <v>#REF!</v>
      </c>
      <c r="F568" t="e">
        <f>AND(#REF!,"AAAAAGx9uwU=")</f>
        <v>#REF!</v>
      </c>
      <c r="G568" t="e">
        <f>AND(#REF!,"AAAAAGx9uwY=")</f>
        <v>#REF!</v>
      </c>
      <c r="H568" t="e">
        <f>AND(#REF!,"AAAAAGx9uwc=")</f>
        <v>#REF!</v>
      </c>
      <c r="I568" t="e">
        <f>IF(#REF!,"AAAAAGx9uwg=",0)</f>
        <v>#REF!</v>
      </c>
      <c r="J568" t="e">
        <f>AND(#REF!,"AAAAAGx9uwk=")</f>
        <v>#REF!</v>
      </c>
      <c r="K568" t="e">
        <f>AND(#REF!,"AAAAAGx9uwo=")</f>
        <v>#REF!</v>
      </c>
      <c r="L568" t="e">
        <f>AND(#REF!,"AAAAAGx9uws=")</f>
        <v>#REF!</v>
      </c>
      <c r="M568" t="e">
        <f>AND(#REF!,"AAAAAGx9uww=")</f>
        <v>#REF!</v>
      </c>
      <c r="N568" t="e">
        <f>AND(#REF!,"AAAAAGx9uw0=")</f>
        <v>#REF!</v>
      </c>
      <c r="O568" t="e">
        <f>AND(#REF!,"AAAAAGx9uw4=")</f>
        <v>#REF!</v>
      </c>
      <c r="P568" t="e">
        <f>AND(#REF!,"AAAAAGx9uw8=")</f>
        <v>#REF!</v>
      </c>
      <c r="Q568" t="e">
        <f>AND(#REF!,"AAAAAGx9uxA=")</f>
        <v>#REF!</v>
      </c>
      <c r="R568" t="e">
        <f>AND(#REF!,"AAAAAGx9uxE=")</f>
        <v>#REF!</v>
      </c>
      <c r="S568" t="e">
        <f>AND(#REF!,"AAAAAGx9uxI=")</f>
        <v>#REF!</v>
      </c>
      <c r="T568" t="e">
        <f>AND(#REF!,"AAAAAGx9uxM=")</f>
        <v>#REF!</v>
      </c>
      <c r="U568" t="e">
        <f>AND(#REF!,"AAAAAGx9uxQ=")</f>
        <v>#REF!</v>
      </c>
      <c r="V568" t="e">
        <f>AND(#REF!,"AAAAAGx9uxU=")</f>
        <v>#REF!</v>
      </c>
      <c r="W568" t="e">
        <f>AND(#REF!,"AAAAAGx9uxY=")</f>
        <v>#REF!</v>
      </c>
      <c r="X568" t="e">
        <f>AND(#REF!,"AAAAAGx9uxc=")</f>
        <v>#REF!</v>
      </c>
      <c r="Y568" t="e">
        <f>AND(#REF!,"AAAAAGx9uxg=")</f>
        <v>#REF!</v>
      </c>
      <c r="Z568" t="e">
        <f>AND(#REF!,"AAAAAGx9uxk=")</f>
        <v>#REF!</v>
      </c>
      <c r="AA568" t="e">
        <f>AND(#REF!,"AAAAAGx9uxo=")</f>
        <v>#REF!</v>
      </c>
      <c r="AB568" t="e">
        <f>AND(#REF!,"AAAAAGx9uxs=")</f>
        <v>#REF!</v>
      </c>
      <c r="AC568" t="e">
        <f>AND(#REF!,"AAAAAGx9uxw=")</f>
        <v>#REF!</v>
      </c>
      <c r="AD568" t="e">
        <f>AND(#REF!,"AAAAAGx9ux0=")</f>
        <v>#REF!</v>
      </c>
      <c r="AE568" t="e">
        <f>AND(#REF!,"AAAAAGx9ux4=")</f>
        <v>#REF!</v>
      </c>
      <c r="AF568" t="e">
        <f>AND(#REF!,"AAAAAGx9ux8=")</f>
        <v>#REF!</v>
      </c>
      <c r="AG568" t="e">
        <f>AND(#REF!,"AAAAAGx9uyA=")</f>
        <v>#REF!</v>
      </c>
      <c r="AH568" t="e">
        <f>IF(#REF!,"AAAAAGx9uyE=",0)</f>
        <v>#REF!</v>
      </c>
      <c r="AI568" t="e">
        <f>AND(#REF!,"AAAAAGx9uyI=")</f>
        <v>#REF!</v>
      </c>
      <c r="AJ568" t="e">
        <f>AND(#REF!,"AAAAAGx9uyM=")</f>
        <v>#REF!</v>
      </c>
      <c r="AK568" t="e">
        <f>AND(#REF!,"AAAAAGx9uyQ=")</f>
        <v>#REF!</v>
      </c>
      <c r="AL568" t="e">
        <f>AND(#REF!,"AAAAAGx9uyU=")</f>
        <v>#REF!</v>
      </c>
      <c r="AM568" t="e">
        <f>AND(#REF!,"AAAAAGx9uyY=")</f>
        <v>#REF!</v>
      </c>
      <c r="AN568" t="e">
        <f>AND(#REF!,"AAAAAGx9uyc=")</f>
        <v>#REF!</v>
      </c>
      <c r="AO568" t="e">
        <f>AND(#REF!,"AAAAAGx9uyg=")</f>
        <v>#REF!</v>
      </c>
      <c r="AP568" t="e">
        <f>AND(#REF!,"AAAAAGx9uyk=")</f>
        <v>#REF!</v>
      </c>
      <c r="AQ568" t="e">
        <f>AND(#REF!,"AAAAAGx9uyo=")</f>
        <v>#REF!</v>
      </c>
      <c r="AR568" t="e">
        <f>AND(#REF!,"AAAAAGx9uys=")</f>
        <v>#REF!</v>
      </c>
      <c r="AS568" t="e">
        <f>AND(#REF!,"AAAAAGx9uyw=")</f>
        <v>#REF!</v>
      </c>
      <c r="AT568" t="e">
        <f>AND(#REF!,"AAAAAGx9uy0=")</f>
        <v>#REF!</v>
      </c>
      <c r="AU568" t="e">
        <f>AND(#REF!,"AAAAAGx9uy4=")</f>
        <v>#REF!</v>
      </c>
      <c r="AV568" t="e">
        <f>AND(#REF!,"AAAAAGx9uy8=")</f>
        <v>#REF!</v>
      </c>
      <c r="AW568" t="e">
        <f>AND(#REF!,"AAAAAGx9uzA=")</f>
        <v>#REF!</v>
      </c>
      <c r="AX568" t="e">
        <f>AND(#REF!,"AAAAAGx9uzE=")</f>
        <v>#REF!</v>
      </c>
      <c r="AY568" t="e">
        <f>AND(#REF!,"AAAAAGx9uzI=")</f>
        <v>#REF!</v>
      </c>
      <c r="AZ568" t="e">
        <f>AND(#REF!,"AAAAAGx9uzM=")</f>
        <v>#REF!</v>
      </c>
      <c r="BA568" t="e">
        <f>AND(#REF!,"AAAAAGx9uzQ=")</f>
        <v>#REF!</v>
      </c>
      <c r="BB568" t="e">
        <f>AND(#REF!,"AAAAAGx9uzU=")</f>
        <v>#REF!</v>
      </c>
      <c r="BC568" t="e">
        <f>AND(#REF!,"AAAAAGx9uzY=")</f>
        <v>#REF!</v>
      </c>
      <c r="BD568" t="e">
        <f>AND(#REF!,"AAAAAGx9uzc=")</f>
        <v>#REF!</v>
      </c>
      <c r="BE568" t="e">
        <f>AND(#REF!,"AAAAAGx9uzg=")</f>
        <v>#REF!</v>
      </c>
      <c r="BF568" t="e">
        <f>AND(#REF!,"AAAAAGx9uzk=")</f>
        <v>#REF!</v>
      </c>
      <c r="BG568" t="e">
        <f>IF(#REF!,"AAAAAGx9uzo=",0)</f>
        <v>#REF!</v>
      </c>
      <c r="BH568" t="e">
        <f>AND(#REF!,"AAAAAGx9uzs=")</f>
        <v>#REF!</v>
      </c>
      <c r="BI568" t="e">
        <f>AND(#REF!,"AAAAAGx9uzw=")</f>
        <v>#REF!</v>
      </c>
      <c r="BJ568" t="e">
        <f>AND(#REF!,"AAAAAGx9uz0=")</f>
        <v>#REF!</v>
      </c>
      <c r="BK568" t="e">
        <f>AND(#REF!,"AAAAAGx9uz4=")</f>
        <v>#REF!</v>
      </c>
      <c r="BL568" t="e">
        <f>AND(#REF!,"AAAAAGx9uz8=")</f>
        <v>#REF!</v>
      </c>
      <c r="BM568" t="e">
        <f>AND(#REF!,"AAAAAGx9u0A=")</f>
        <v>#REF!</v>
      </c>
      <c r="BN568" t="e">
        <f>AND(#REF!,"AAAAAGx9u0E=")</f>
        <v>#REF!</v>
      </c>
      <c r="BO568" t="e">
        <f>AND(#REF!,"AAAAAGx9u0I=")</f>
        <v>#REF!</v>
      </c>
      <c r="BP568" t="e">
        <f>AND(#REF!,"AAAAAGx9u0M=")</f>
        <v>#REF!</v>
      </c>
      <c r="BQ568" t="e">
        <f>AND(#REF!,"AAAAAGx9u0Q=")</f>
        <v>#REF!</v>
      </c>
      <c r="BR568" t="e">
        <f>AND(#REF!,"AAAAAGx9u0U=")</f>
        <v>#REF!</v>
      </c>
      <c r="BS568" t="e">
        <f>AND(#REF!,"AAAAAGx9u0Y=")</f>
        <v>#REF!</v>
      </c>
      <c r="BT568" t="e">
        <f>AND(#REF!,"AAAAAGx9u0c=")</f>
        <v>#REF!</v>
      </c>
      <c r="BU568" t="e">
        <f>AND(#REF!,"AAAAAGx9u0g=")</f>
        <v>#REF!</v>
      </c>
      <c r="BV568" t="e">
        <f>AND(#REF!,"AAAAAGx9u0k=")</f>
        <v>#REF!</v>
      </c>
      <c r="BW568" t="e">
        <f>AND(#REF!,"AAAAAGx9u0o=")</f>
        <v>#REF!</v>
      </c>
      <c r="BX568" t="e">
        <f>AND(#REF!,"AAAAAGx9u0s=")</f>
        <v>#REF!</v>
      </c>
      <c r="BY568" t="e">
        <f>AND(#REF!,"AAAAAGx9u0w=")</f>
        <v>#REF!</v>
      </c>
      <c r="BZ568" t="e">
        <f>AND(#REF!,"AAAAAGx9u00=")</f>
        <v>#REF!</v>
      </c>
      <c r="CA568" t="e">
        <f>AND(#REF!,"AAAAAGx9u04=")</f>
        <v>#REF!</v>
      </c>
      <c r="CB568" t="e">
        <f>AND(#REF!,"AAAAAGx9u08=")</f>
        <v>#REF!</v>
      </c>
      <c r="CC568" t="e">
        <f>AND(#REF!,"AAAAAGx9u1A=")</f>
        <v>#REF!</v>
      </c>
      <c r="CD568" t="e">
        <f>AND(#REF!,"AAAAAGx9u1E=")</f>
        <v>#REF!</v>
      </c>
      <c r="CE568" t="e">
        <f>AND(#REF!,"AAAAAGx9u1I=")</f>
        <v>#REF!</v>
      </c>
      <c r="CF568" t="e">
        <f>IF(#REF!,"AAAAAGx9u1M=",0)</f>
        <v>#REF!</v>
      </c>
      <c r="CG568" t="e">
        <f>AND(#REF!,"AAAAAGx9u1Q=")</f>
        <v>#REF!</v>
      </c>
      <c r="CH568" t="e">
        <f>AND(#REF!,"AAAAAGx9u1U=")</f>
        <v>#REF!</v>
      </c>
      <c r="CI568" t="e">
        <f>AND(#REF!,"AAAAAGx9u1Y=")</f>
        <v>#REF!</v>
      </c>
      <c r="CJ568" t="e">
        <f>AND(#REF!,"AAAAAGx9u1c=")</f>
        <v>#REF!</v>
      </c>
      <c r="CK568" t="e">
        <f>AND(#REF!,"AAAAAGx9u1g=")</f>
        <v>#REF!</v>
      </c>
      <c r="CL568" t="e">
        <f>AND(#REF!,"AAAAAGx9u1k=")</f>
        <v>#REF!</v>
      </c>
      <c r="CM568" t="e">
        <f>AND(#REF!,"AAAAAGx9u1o=")</f>
        <v>#REF!</v>
      </c>
      <c r="CN568" t="e">
        <f>AND(#REF!,"AAAAAGx9u1s=")</f>
        <v>#REF!</v>
      </c>
      <c r="CO568" t="e">
        <f>AND(#REF!,"AAAAAGx9u1w=")</f>
        <v>#REF!</v>
      </c>
      <c r="CP568" t="e">
        <f>AND(#REF!,"AAAAAGx9u10=")</f>
        <v>#REF!</v>
      </c>
      <c r="CQ568" t="e">
        <f>AND(#REF!,"AAAAAGx9u14=")</f>
        <v>#REF!</v>
      </c>
      <c r="CR568" t="e">
        <f>AND(#REF!,"AAAAAGx9u18=")</f>
        <v>#REF!</v>
      </c>
      <c r="CS568" t="e">
        <f>AND(#REF!,"AAAAAGx9u2A=")</f>
        <v>#REF!</v>
      </c>
      <c r="CT568" t="e">
        <f>AND(#REF!,"AAAAAGx9u2E=")</f>
        <v>#REF!</v>
      </c>
      <c r="CU568" t="e">
        <f>AND(#REF!,"AAAAAGx9u2I=")</f>
        <v>#REF!</v>
      </c>
      <c r="CV568" t="e">
        <f>AND(#REF!,"AAAAAGx9u2M=")</f>
        <v>#REF!</v>
      </c>
      <c r="CW568" t="e">
        <f>AND(#REF!,"AAAAAGx9u2Q=")</f>
        <v>#REF!</v>
      </c>
      <c r="CX568" t="e">
        <f>AND(#REF!,"AAAAAGx9u2U=")</f>
        <v>#REF!</v>
      </c>
      <c r="CY568" t="e">
        <f>AND(#REF!,"AAAAAGx9u2Y=")</f>
        <v>#REF!</v>
      </c>
      <c r="CZ568" t="e">
        <f>AND(#REF!,"AAAAAGx9u2c=")</f>
        <v>#REF!</v>
      </c>
      <c r="DA568" t="e">
        <f>AND(#REF!,"AAAAAGx9u2g=")</f>
        <v>#REF!</v>
      </c>
      <c r="DB568" t="e">
        <f>AND(#REF!,"AAAAAGx9u2k=")</f>
        <v>#REF!</v>
      </c>
      <c r="DC568" t="e">
        <f>AND(#REF!,"AAAAAGx9u2o=")</f>
        <v>#REF!</v>
      </c>
      <c r="DD568" t="e">
        <f>AND(#REF!,"AAAAAGx9u2s=")</f>
        <v>#REF!</v>
      </c>
      <c r="DE568" t="e">
        <f>IF(#REF!,"AAAAAGx9u2w=",0)</f>
        <v>#REF!</v>
      </c>
      <c r="DF568" t="e">
        <f>AND(#REF!,"AAAAAGx9u20=")</f>
        <v>#REF!</v>
      </c>
      <c r="DG568" t="e">
        <f>AND(#REF!,"AAAAAGx9u24=")</f>
        <v>#REF!</v>
      </c>
      <c r="DH568" t="e">
        <f>AND(#REF!,"AAAAAGx9u28=")</f>
        <v>#REF!</v>
      </c>
      <c r="DI568" t="e">
        <f>AND(#REF!,"AAAAAGx9u3A=")</f>
        <v>#REF!</v>
      </c>
      <c r="DJ568" t="e">
        <f>AND(#REF!,"AAAAAGx9u3E=")</f>
        <v>#REF!</v>
      </c>
      <c r="DK568" t="e">
        <f>AND(#REF!,"AAAAAGx9u3I=")</f>
        <v>#REF!</v>
      </c>
      <c r="DL568" t="e">
        <f>AND(#REF!,"AAAAAGx9u3M=")</f>
        <v>#REF!</v>
      </c>
      <c r="DM568" t="e">
        <f>AND(#REF!,"AAAAAGx9u3Q=")</f>
        <v>#REF!</v>
      </c>
      <c r="DN568" t="e">
        <f>AND(#REF!,"AAAAAGx9u3U=")</f>
        <v>#REF!</v>
      </c>
      <c r="DO568" t="e">
        <f>AND(#REF!,"AAAAAGx9u3Y=")</f>
        <v>#REF!</v>
      </c>
      <c r="DP568" t="e">
        <f>AND(#REF!,"AAAAAGx9u3c=")</f>
        <v>#REF!</v>
      </c>
      <c r="DQ568" t="e">
        <f>AND(#REF!,"AAAAAGx9u3g=")</f>
        <v>#REF!</v>
      </c>
      <c r="DR568" t="e">
        <f>AND(#REF!,"AAAAAGx9u3k=")</f>
        <v>#REF!</v>
      </c>
      <c r="DS568" t="e">
        <f>AND(#REF!,"AAAAAGx9u3o=")</f>
        <v>#REF!</v>
      </c>
      <c r="DT568" t="e">
        <f>AND(#REF!,"AAAAAGx9u3s=")</f>
        <v>#REF!</v>
      </c>
      <c r="DU568" t="e">
        <f>AND(#REF!,"AAAAAGx9u3w=")</f>
        <v>#REF!</v>
      </c>
      <c r="DV568" t="e">
        <f>AND(#REF!,"AAAAAGx9u30=")</f>
        <v>#REF!</v>
      </c>
      <c r="DW568" t="e">
        <f>AND(#REF!,"AAAAAGx9u34=")</f>
        <v>#REF!</v>
      </c>
      <c r="DX568" t="e">
        <f>AND(#REF!,"AAAAAGx9u38=")</f>
        <v>#REF!</v>
      </c>
      <c r="DY568" t="e">
        <f>AND(#REF!,"AAAAAGx9u4A=")</f>
        <v>#REF!</v>
      </c>
      <c r="DZ568" t="e">
        <f>AND(#REF!,"AAAAAGx9u4E=")</f>
        <v>#REF!</v>
      </c>
      <c r="EA568" t="e">
        <f>AND(#REF!,"AAAAAGx9u4I=")</f>
        <v>#REF!</v>
      </c>
      <c r="EB568" t="e">
        <f>AND(#REF!,"AAAAAGx9u4M=")</f>
        <v>#REF!</v>
      </c>
      <c r="EC568" t="e">
        <f>AND(#REF!,"AAAAAGx9u4Q=")</f>
        <v>#REF!</v>
      </c>
      <c r="ED568" t="e">
        <f>IF(#REF!,"AAAAAGx9u4U=",0)</f>
        <v>#REF!</v>
      </c>
      <c r="EE568" t="e">
        <f>AND(#REF!,"AAAAAGx9u4Y=")</f>
        <v>#REF!</v>
      </c>
      <c r="EF568" t="e">
        <f>AND(#REF!,"AAAAAGx9u4c=")</f>
        <v>#REF!</v>
      </c>
      <c r="EG568" t="e">
        <f>AND(#REF!,"AAAAAGx9u4g=")</f>
        <v>#REF!</v>
      </c>
      <c r="EH568" t="e">
        <f>AND(#REF!,"AAAAAGx9u4k=")</f>
        <v>#REF!</v>
      </c>
      <c r="EI568" t="e">
        <f>AND(#REF!,"AAAAAGx9u4o=")</f>
        <v>#REF!</v>
      </c>
      <c r="EJ568" t="e">
        <f>AND(#REF!,"AAAAAGx9u4s=")</f>
        <v>#REF!</v>
      </c>
      <c r="EK568" t="e">
        <f>AND(#REF!,"AAAAAGx9u4w=")</f>
        <v>#REF!</v>
      </c>
      <c r="EL568" t="e">
        <f>AND(#REF!,"AAAAAGx9u40=")</f>
        <v>#REF!</v>
      </c>
      <c r="EM568" t="e">
        <f>AND(#REF!,"AAAAAGx9u44=")</f>
        <v>#REF!</v>
      </c>
      <c r="EN568" t="e">
        <f>AND(#REF!,"AAAAAGx9u48=")</f>
        <v>#REF!</v>
      </c>
      <c r="EO568" t="e">
        <f>AND(#REF!,"AAAAAGx9u5A=")</f>
        <v>#REF!</v>
      </c>
      <c r="EP568" t="e">
        <f>AND(#REF!,"AAAAAGx9u5E=")</f>
        <v>#REF!</v>
      </c>
      <c r="EQ568" t="e">
        <f>AND(#REF!,"AAAAAGx9u5I=")</f>
        <v>#REF!</v>
      </c>
      <c r="ER568" t="e">
        <f>AND(#REF!,"AAAAAGx9u5M=")</f>
        <v>#REF!</v>
      </c>
      <c r="ES568" t="e">
        <f>AND(#REF!,"AAAAAGx9u5Q=")</f>
        <v>#REF!</v>
      </c>
      <c r="ET568" t="e">
        <f>AND(#REF!,"AAAAAGx9u5U=")</f>
        <v>#REF!</v>
      </c>
      <c r="EU568" t="e">
        <f>AND(#REF!,"AAAAAGx9u5Y=")</f>
        <v>#REF!</v>
      </c>
      <c r="EV568" t="e">
        <f>AND(#REF!,"AAAAAGx9u5c=")</f>
        <v>#REF!</v>
      </c>
      <c r="EW568" t="e">
        <f>AND(#REF!,"AAAAAGx9u5g=")</f>
        <v>#REF!</v>
      </c>
      <c r="EX568" t="e">
        <f>AND(#REF!,"AAAAAGx9u5k=")</f>
        <v>#REF!</v>
      </c>
      <c r="EY568" t="e">
        <f>AND(#REF!,"AAAAAGx9u5o=")</f>
        <v>#REF!</v>
      </c>
      <c r="EZ568" t="e">
        <f>AND(#REF!,"AAAAAGx9u5s=")</f>
        <v>#REF!</v>
      </c>
      <c r="FA568" t="e">
        <f>AND(#REF!,"AAAAAGx9u5w=")</f>
        <v>#REF!</v>
      </c>
      <c r="FB568" t="e">
        <f>AND(#REF!,"AAAAAGx9u50=")</f>
        <v>#REF!</v>
      </c>
      <c r="FC568" t="e">
        <f>IF(#REF!,"AAAAAGx9u54=",0)</f>
        <v>#REF!</v>
      </c>
      <c r="FD568" t="e">
        <f>AND(#REF!,"AAAAAGx9u58=")</f>
        <v>#REF!</v>
      </c>
      <c r="FE568" t="e">
        <f>AND(#REF!,"AAAAAGx9u6A=")</f>
        <v>#REF!</v>
      </c>
      <c r="FF568" t="e">
        <f>AND(#REF!,"AAAAAGx9u6E=")</f>
        <v>#REF!</v>
      </c>
      <c r="FG568" t="e">
        <f>AND(#REF!,"AAAAAGx9u6I=")</f>
        <v>#REF!</v>
      </c>
      <c r="FH568" t="e">
        <f>AND(#REF!,"AAAAAGx9u6M=")</f>
        <v>#REF!</v>
      </c>
      <c r="FI568" t="e">
        <f>AND(#REF!,"AAAAAGx9u6Q=")</f>
        <v>#REF!</v>
      </c>
      <c r="FJ568" t="e">
        <f>AND(#REF!,"AAAAAGx9u6U=")</f>
        <v>#REF!</v>
      </c>
      <c r="FK568" t="e">
        <f>AND(#REF!,"AAAAAGx9u6Y=")</f>
        <v>#REF!</v>
      </c>
      <c r="FL568" t="e">
        <f>AND(#REF!,"AAAAAGx9u6c=")</f>
        <v>#REF!</v>
      </c>
      <c r="FM568" t="e">
        <f>AND(#REF!,"AAAAAGx9u6g=")</f>
        <v>#REF!</v>
      </c>
      <c r="FN568" t="e">
        <f>AND(#REF!,"AAAAAGx9u6k=")</f>
        <v>#REF!</v>
      </c>
      <c r="FO568" t="e">
        <f>AND(#REF!,"AAAAAGx9u6o=")</f>
        <v>#REF!</v>
      </c>
      <c r="FP568" t="e">
        <f>AND(#REF!,"AAAAAGx9u6s=")</f>
        <v>#REF!</v>
      </c>
      <c r="FQ568" t="e">
        <f>AND(#REF!,"AAAAAGx9u6w=")</f>
        <v>#REF!</v>
      </c>
      <c r="FR568" t="e">
        <f>AND(#REF!,"AAAAAGx9u60=")</f>
        <v>#REF!</v>
      </c>
      <c r="FS568" t="e">
        <f>AND(#REF!,"AAAAAGx9u64=")</f>
        <v>#REF!</v>
      </c>
      <c r="FT568" t="e">
        <f>AND(#REF!,"AAAAAGx9u68=")</f>
        <v>#REF!</v>
      </c>
      <c r="FU568" t="e">
        <f>AND(#REF!,"AAAAAGx9u7A=")</f>
        <v>#REF!</v>
      </c>
      <c r="FV568" t="e">
        <f>AND(#REF!,"AAAAAGx9u7E=")</f>
        <v>#REF!</v>
      </c>
      <c r="FW568" t="e">
        <f>AND(#REF!,"AAAAAGx9u7I=")</f>
        <v>#REF!</v>
      </c>
      <c r="FX568" t="e">
        <f>AND(#REF!,"AAAAAGx9u7M=")</f>
        <v>#REF!</v>
      </c>
      <c r="FY568" t="e">
        <f>AND(#REF!,"AAAAAGx9u7Q=")</f>
        <v>#REF!</v>
      </c>
      <c r="FZ568" t="e">
        <f>AND(#REF!,"AAAAAGx9u7U=")</f>
        <v>#REF!</v>
      </c>
      <c r="GA568" t="e">
        <f>AND(#REF!,"AAAAAGx9u7Y=")</f>
        <v>#REF!</v>
      </c>
      <c r="GB568" t="e">
        <f>IF(#REF!,"AAAAAGx9u7c=",0)</f>
        <v>#REF!</v>
      </c>
      <c r="GC568" t="e">
        <f>AND(#REF!,"AAAAAGx9u7g=")</f>
        <v>#REF!</v>
      </c>
      <c r="GD568" t="e">
        <f>AND(#REF!,"AAAAAGx9u7k=")</f>
        <v>#REF!</v>
      </c>
      <c r="GE568" t="e">
        <f>AND(#REF!,"AAAAAGx9u7o=")</f>
        <v>#REF!</v>
      </c>
      <c r="GF568" t="e">
        <f>AND(#REF!,"AAAAAGx9u7s=")</f>
        <v>#REF!</v>
      </c>
      <c r="GG568" t="e">
        <f>AND(#REF!,"AAAAAGx9u7w=")</f>
        <v>#REF!</v>
      </c>
      <c r="GH568" t="e">
        <f>AND(#REF!,"AAAAAGx9u70=")</f>
        <v>#REF!</v>
      </c>
      <c r="GI568" t="e">
        <f>AND(#REF!,"AAAAAGx9u74=")</f>
        <v>#REF!</v>
      </c>
      <c r="GJ568" t="e">
        <f>AND(#REF!,"AAAAAGx9u78=")</f>
        <v>#REF!</v>
      </c>
      <c r="GK568" t="e">
        <f>AND(#REF!,"AAAAAGx9u8A=")</f>
        <v>#REF!</v>
      </c>
      <c r="GL568" t="e">
        <f>AND(#REF!,"AAAAAGx9u8E=")</f>
        <v>#REF!</v>
      </c>
      <c r="GM568" t="e">
        <f>AND(#REF!,"AAAAAGx9u8I=")</f>
        <v>#REF!</v>
      </c>
      <c r="GN568" t="e">
        <f>AND(#REF!,"AAAAAGx9u8M=")</f>
        <v>#REF!</v>
      </c>
      <c r="GO568" t="e">
        <f>AND(#REF!,"AAAAAGx9u8Q=")</f>
        <v>#REF!</v>
      </c>
      <c r="GP568" t="e">
        <f>AND(#REF!,"AAAAAGx9u8U=")</f>
        <v>#REF!</v>
      </c>
      <c r="GQ568" t="e">
        <f>AND(#REF!,"AAAAAGx9u8Y=")</f>
        <v>#REF!</v>
      </c>
      <c r="GR568" t="e">
        <f>AND(#REF!,"AAAAAGx9u8c=")</f>
        <v>#REF!</v>
      </c>
      <c r="GS568" t="e">
        <f>AND(#REF!,"AAAAAGx9u8g=")</f>
        <v>#REF!</v>
      </c>
      <c r="GT568" t="e">
        <f>AND(#REF!,"AAAAAGx9u8k=")</f>
        <v>#REF!</v>
      </c>
      <c r="GU568" t="e">
        <f>AND(#REF!,"AAAAAGx9u8o=")</f>
        <v>#REF!</v>
      </c>
      <c r="GV568" t="e">
        <f>AND(#REF!,"AAAAAGx9u8s=")</f>
        <v>#REF!</v>
      </c>
      <c r="GW568" t="e">
        <f>AND(#REF!,"AAAAAGx9u8w=")</f>
        <v>#REF!</v>
      </c>
      <c r="GX568" t="e">
        <f>AND(#REF!,"AAAAAGx9u80=")</f>
        <v>#REF!</v>
      </c>
      <c r="GY568" t="e">
        <f>AND(#REF!,"AAAAAGx9u84=")</f>
        <v>#REF!</v>
      </c>
      <c r="GZ568" t="e">
        <f>AND(#REF!,"AAAAAGx9u88=")</f>
        <v>#REF!</v>
      </c>
      <c r="HA568" t="e">
        <f>IF(#REF!,"AAAAAGx9u9A=",0)</f>
        <v>#REF!</v>
      </c>
      <c r="HB568" t="e">
        <f>AND(#REF!,"AAAAAGx9u9E=")</f>
        <v>#REF!</v>
      </c>
      <c r="HC568" t="e">
        <f>AND(#REF!,"AAAAAGx9u9I=")</f>
        <v>#REF!</v>
      </c>
      <c r="HD568" t="e">
        <f>AND(#REF!,"AAAAAGx9u9M=")</f>
        <v>#REF!</v>
      </c>
      <c r="HE568" t="e">
        <f>AND(#REF!,"AAAAAGx9u9Q=")</f>
        <v>#REF!</v>
      </c>
      <c r="HF568" t="e">
        <f>AND(#REF!,"AAAAAGx9u9U=")</f>
        <v>#REF!</v>
      </c>
      <c r="HG568" t="e">
        <f>AND(#REF!,"AAAAAGx9u9Y=")</f>
        <v>#REF!</v>
      </c>
      <c r="HH568" t="e">
        <f>AND(#REF!,"AAAAAGx9u9c=")</f>
        <v>#REF!</v>
      </c>
      <c r="HI568" t="e">
        <f>AND(#REF!,"AAAAAGx9u9g=")</f>
        <v>#REF!</v>
      </c>
      <c r="HJ568" t="e">
        <f>AND(#REF!,"AAAAAGx9u9k=")</f>
        <v>#REF!</v>
      </c>
      <c r="HK568" t="e">
        <f>AND(#REF!,"AAAAAGx9u9o=")</f>
        <v>#REF!</v>
      </c>
      <c r="HL568" t="e">
        <f>AND(#REF!,"AAAAAGx9u9s=")</f>
        <v>#REF!</v>
      </c>
      <c r="HM568" t="e">
        <f>AND(#REF!,"AAAAAGx9u9w=")</f>
        <v>#REF!</v>
      </c>
      <c r="HN568" t="e">
        <f>AND(#REF!,"AAAAAGx9u90=")</f>
        <v>#REF!</v>
      </c>
      <c r="HO568" t="e">
        <f>AND(#REF!,"AAAAAGx9u94=")</f>
        <v>#REF!</v>
      </c>
      <c r="HP568" t="e">
        <f>AND(#REF!,"AAAAAGx9u98=")</f>
        <v>#REF!</v>
      </c>
      <c r="HQ568" t="e">
        <f>AND(#REF!,"AAAAAGx9u+A=")</f>
        <v>#REF!</v>
      </c>
      <c r="HR568" t="e">
        <f>AND(#REF!,"AAAAAGx9u+E=")</f>
        <v>#REF!</v>
      </c>
      <c r="HS568" t="e">
        <f>AND(#REF!,"AAAAAGx9u+I=")</f>
        <v>#REF!</v>
      </c>
      <c r="HT568" t="e">
        <f>AND(#REF!,"AAAAAGx9u+M=")</f>
        <v>#REF!</v>
      </c>
      <c r="HU568" t="e">
        <f>AND(#REF!,"AAAAAGx9u+Q=")</f>
        <v>#REF!</v>
      </c>
      <c r="HV568" t="e">
        <f>AND(#REF!,"AAAAAGx9u+U=")</f>
        <v>#REF!</v>
      </c>
      <c r="HW568" t="e">
        <f>AND(#REF!,"AAAAAGx9u+Y=")</f>
        <v>#REF!</v>
      </c>
      <c r="HX568" t="e">
        <f>AND(#REF!,"AAAAAGx9u+c=")</f>
        <v>#REF!</v>
      </c>
      <c r="HY568" t="e">
        <f>AND(#REF!,"AAAAAGx9u+g=")</f>
        <v>#REF!</v>
      </c>
      <c r="HZ568" t="e">
        <f>IF(#REF!,"AAAAAGx9u+k=",0)</f>
        <v>#REF!</v>
      </c>
      <c r="IA568" t="e">
        <f>AND(#REF!,"AAAAAGx9u+o=")</f>
        <v>#REF!</v>
      </c>
      <c r="IB568" t="e">
        <f>AND(#REF!,"AAAAAGx9u+s=")</f>
        <v>#REF!</v>
      </c>
      <c r="IC568" t="e">
        <f>AND(#REF!,"AAAAAGx9u+w=")</f>
        <v>#REF!</v>
      </c>
      <c r="ID568" t="e">
        <f>AND(#REF!,"AAAAAGx9u+0=")</f>
        <v>#REF!</v>
      </c>
      <c r="IE568" t="e">
        <f>AND(#REF!,"AAAAAGx9u+4=")</f>
        <v>#REF!</v>
      </c>
      <c r="IF568" t="e">
        <f>AND(#REF!,"AAAAAGx9u+8=")</f>
        <v>#REF!</v>
      </c>
      <c r="IG568" t="e">
        <f>AND(#REF!,"AAAAAGx9u/A=")</f>
        <v>#REF!</v>
      </c>
      <c r="IH568" t="e">
        <f>AND(#REF!,"AAAAAGx9u/E=")</f>
        <v>#REF!</v>
      </c>
      <c r="II568" t="e">
        <f>AND(#REF!,"AAAAAGx9u/I=")</f>
        <v>#REF!</v>
      </c>
      <c r="IJ568" t="e">
        <f>AND(#REF!,"AAAAAGx9u/M=")</f>
        <v>#REF!</v>
      </c>
      <c r="IK568" t="e">
        <f>AND(#REF!,"AAAAAGx9u/Q=")</f>
        <v>#REF!</v>
      </c>
      <c r="IL568" t="e">
        <f>AND(#REF!,"AAAAAGx9u/U=")</f>
        <v>#REF!</v>
      </c>
      <c r="IM568" t="e">
        <f>AND(#REF!,"AAAAAGx9u/Y=")</f>
        <v>#REF!</v>
      </c>
      <c r="IN568" t="e">
        <f>AND(#REF!,"AAAAAGx9u/c=")</f>
        <v>#REF!</v>
      </c>
      <c r="IO568" t="e">
        <f>AND(#REF!,"AAAAAGx9u/g=")</f>
        <v>#REF!</v>
      </c>
      <c r="IP568" t="e">
        <f>AND(#REF!,"AAAAAGx9u/k=")</f>
        <v>#REF!</v>
      </c>
      <c r="IQ568" t="e">
        <f>AND(#REF!,"AAAAAGx9u/o=")</f>
        <v>#REF!</v>
      </c>
      <c r="IR568" t="e">
        <f>AND(#REF!,"AAAAAGx9u/s=")</f>
        <v>#REF!</v>
      </c>
      <c r="IS568" t="e">
        <f>AND(#REF!,"AAAAAGx9u/w=")</f>
        <v>#REF!</v>
      </c>
      <c r="IT568" t="e">
        <f>AND(#REF!,"AAAAAGx9u/0=")</f>
        <v>#REF!</v>
      </c>
      <c r="IU568" t="e">
        <f>AND(#REF!,"AAAAAGx9u/4=")</f>
        <v>#REF!</v>
      </c>
      <c r="IV568" t="e">
        <f>AND(#REF!,"AAAAAGx9u/8=")</f>
        <v>#REF!</v>
      </c>
    </row>
    <row r="569" spans="1:256">
      <c r="A569" t="e">
        <f>AND(#REF!,"AAAAADvp9wA=")</f>
        <v>#REF!</v>
      </c>
      <c r="B569" t="e">
        <f>AND(#REF!,"AAAAADvp9wE=")</f>
        <v>#REF!</v>
      </c>
      <c r="C569" t="e">
        <f>IF(#REF!,"AAAAADvp9wI=",0)</f>
        <v>#REF!</v>
      </c>
      <c r="D569" t="e">
        <f>AND(#REF!,"AAAAADvp9wM=")</f>
        <v>#REF!</v>
      </c>
      <c r="E569" t="e">
        <f>AND(#REF!,"AAAAADvp9wQ=")</f>
        <v>#REF!</v>
      </c>
      <c r="F569" t="e">
        <f>AND(#REF!,"AAAAADvp9wU=")</f>
        <v>#REF!</v>
      </c>
      <c r="G569" t="e">
        <f>AND(#REF!,"AAAAADvp9wY=")</f>
        <v>#REF!</v>
      </c>
      <c r="H569" t="e">
        <f>AND(#REF!,"AAAAADvp9wc=")</f>
        <v>#REF!</v>
      </c>
      <c r="I569" t="e">
        <f>AND(#REF!,"AAAAADvp9wg=")</f>
        <v>#REF!</v>
      </c>
      <c r="J569" t="e">
        <f>AND(#REF!,"AAAAADvp9wk=")</f>
        <v>#REF!</v>
      </c>
      <c r="K569" t="e">
        <f>AND(#REF!,"AAAAADvp9wo=")</f>
        <v>#REF!</v>
      </c>
      <c r="L569" t="e">
        <f>AND(#REF!,"AAAAADvp9ws=")</f>
        <v>#REF!</v>
      </c>
      <c r="M569" t="e">
        <f>AND(#REF!,"AAAAADvp9ww=")</f>
        <v>#REF!</v>
      </c>
      <c r="N569" t="e">
        <f>AND(#REF!,"AAAAADvp9w0=")</f>
        <v>#REF!</v>
      </c>
      <c r="O569" t="e">
        <f>AND(#REF!,"AAAAADvp9w4=")</f>
        <v>#REF!</v>
      </c>
      <c r="P569" t="e">
        <f>AND(#REF!,"AAAAADvp9w8=")</f>
        <v>#REF!</v>
      </c>
      <c r="Q569" t="e">
        <f>AND(#REF!,"AAAAADvp9xA=")</f>
        <v>#REF!</v>
      </c>
      <c r="R569" t="e">
        <f>AND(#REF!,"AAAAADvp9xE=")</f>
        <v>#REF!</v>
      </c>
      <c r="S569" t="e">
        <f>AND(#REF!,"AAAAADvp9xI=")</f>
        <v>#REF!</v>
      </c>
      <c r="T569" t="e">
        <f>AND(#REF!,"AAAAADvp9xM=")</f>
        <v>#REF!</v>
      </c>
      <c r="U569" t="e">
        <f>AND(#REF!,"AAAAADvp9xQ=")</f>
        <v>#REF!</v>
      </c>
      <c r="V569" t="e">
        <f>AND(#REF!,"AAAAADvp9xU=")</f>
        <v>#REF!</v>
      </c>
      <c r="W569" t="e">
        <f>AND(#REF!,"AAAAADvp9xY=")</f>
        <v>#REF!</v>
      </c>
      <c r="X569" t="e">
        <f>AND(#REF!,"AAAAADvp9xc=")</f>
        <v>#REF!</v>
      </c>
      <c r="Y569" t="e">
        <f>AND(#REF!,"AAAAADvp9xg=")</f>
        <v>#REF!</v>
      </c>
      <c r="Z569" t="e">
        <f>AND(#REF!,"AAAAADvp9xk=")</f>
        <v>#REF!</v>
      </c>
      <c r="AA569" t="e">
        <f>AND(#REF!,"AAAAADvp9xo=")</f>
        <v>#REF!</v>
      </c>
      <c r="AB569" t="e">
        <f>IF(#REF!,"AAAAADvp9xs=",0)</f>
        <v>#REF!</v>
      </c>
      <c r="AC569" t="e">
        <f>AND(#REF!,"AAAAADvp9xw=")</f>
        <v>#REF!</v>
      </c>
      <c r="AD569" t="e">
        <f>AND(#REF!,"AAAAADvp9x0=")</f>
        <v>#REF!</v>
      </c>
      <c r="AE569" t="e">
        <f>AND(#REF!,"AAAAADvp9x4=")</f>
        <v>#REF!</v>
      </c>
      <c r="AF569" t="e">
        <f>AND(#REF!,"AAAAADvp9x8=")</f>
        <v>#REF!</v>
      </c>
      <c r="AG569" t="e">
        <f>AND(#REF!,"AAAAADvp9yA=")</f>
        <v>#REF!</v>
      </c>
      <c r="AH569" t="e">
        <f>AND(#REF!,"AAAAADvp9yE=")</f>
        <v>#REF!</v>
      </c>
      <c r="AI569" t="e">
        <f>AND(#REF!,"AAAAADvp9yI=")</f>
        <v>#REF!</v>
      </c>
      <c r="AJ569" t="e">
        <f>AND(#REF!,"AAAAADvp9yM=")</f>
        <v>#REF!</v>
      </c>
      <c r="AK569" t="e">
        <f>AND(#REF!,"AAAAADvp9yQ=")</f>
        <v>#REF!</v>
      </c>
      <c r="AL569" t="e">
        <f>AND(#REF!,"AAAAADvp9yU=")</f>
        <v>#REF!</v>
      </c>
      <c r="AM569" t="e">
        <f>AND(#REF!,"AAAAADvp9yY=")</f>
        <v>#REF!</v>
      </c>
      <c r="AN569" t="e">
        <f>AND(#REF!,"AAAAADvp9yc=")</f>
        <v>#REF!</v>
      </c>
      <c r="AO569" t="e">
        <f>AND(#REF!,"AAAAADvp9yg=")</f>
        <v>#REF!</v>
      </c>
      <c r="AP569" t="e">
        <f>AND(#REF!,"AAAAADvp9yk=")</f>
        <v>#REF!</v>
      </c>
      <c r="AQ569" t="e">
        <f>AND(#REF!,"AAAAADvp9yo=")</f>
        <v>#REF!</v>
      </c>
      <c r="AR569" t="e">
        <f>AND(#REF!,"AAAAADvp9ys=")</f>
        <v>#REF!</v>
      </c>
      <c r="AS569" t="e">
        <f>AND(#REF!,"AAAAADvp9yw=")</f>
        <v>#REF!</v>
      </c>
      <c r="AT569" t="e">
        <f>AND(#REF!,"AAAAADvp9y0=")</f>
        <v>#REF!</v>
      </c>
      <c r="AU569" t="e">
        <f>AND(#REF!,"AAAAADvp9y4=")</f>
        <v>#REF!</v>
      </c>
      <c r="AV569" t="e">
        <f>AND(#REF!,"AAAAADvp9y8=")</f>
        <v>#REF!</v>
      </c>
      <c r="AW569" t="e">
        <f>AND(#REF!,"AAAAADvp9zA=")</f>
        <v>#REF!</v>
      </c>
      <c r="AX569" t="e">
        <f>AND(#REF!,"AAAAADvp9zE=")</f>
        <v>#REF!</v>
      </c>
      <c r="AY569" t="e">
        <f>AND(#REF!,"AAAAADvp9zI=")</f>
        <v>#REF!</v>
      </c>
      <c r="AZ569" t="e">
        <f>AND(#REF!,"AAAAADvp9zM=")</f>
        <v>#REF!</v>
      </c>
      <c r="BA569" t="e">
        <f>IF(#REF!,"AAAAADvp9zQ=",0)</f>
        <v>#REF!</v>
      </c>
      <c r="BB569" t="e">
        <f>AND(#REF!,"AAAAADvp9zU=")</f>
        <v>#REF!</v>
      </c>
      <c r="BC569" t="e">
        <f>AND(#REF!,"AAAAADvp9zY=")</f>
        <v>#REF!</v>
      </c>
      <c r="BD569" t="e">
        <f>AND(#REF!,"AAAAADvp9zc=")</f>
        <v>#REF!</v>
      </c>
      <c r="BE569" t="e">
        <f>AND(#REF!,"AAAAADvp9zg=")</f>
        <v>#REF!</v>
      </c>
      <c r="BF569" t="e">
        <f>AND(#REF!,"AAAAADvp9zk=")</f>
        <v>#REF!</v>
      </c>
      <c r="BG569" t="e">
        <f>AND(#REF!,"AAAAADvp9zo=")</f>
        <v>#REF!</v>
      </c>
      <c r="BH569" t="e">
        <f>AND(#REF!,"AAAAADvp9zs=")</f>
        <v>#REF!</v>
      </c>
      <c r="BI569" t="e">
        <f>AND(#REF!,"AAAAADvp9zw=")</f>
        <v>#REF!</v>
      </c>
      <c r="BJ569" t="e">
        <f>AND(#REF!,"AAAAADvp9z0=")</f>
        <v>#REF!</v>
      </c>
      <c r="BK569" t="e">
        <f>AND(#REF!,"AAAAADvp9z4=")</f>
        <v>#REF!</v>
      </c>
      <c r="BL569" t="e">
        <f>AND(#REF!,"AAAAADvp9z8=")</f>
        <v>#REF!</v>
      </c>
      <c r="BM569" t="e">
        <f>AND(#REF!,"AAAAADvp90A=")</f>
        <v>#REF!</v>
      </c>
      <c r="BN569" t="e">
        <f>AND(#REF!,"AAAAADvp90E=")</f>
        <v>#REF!</v>
      </c>
      <c r="BO569" t="e">
        <f>AND(#REF!,"AAAAADvp90I=")</f>
        <v>#REF!</v>
      </c>
      <c r="BP569" t="e">
        <f>AND(#REF!,"AAAAADvp90M=")</f>
        <v>#REF!</v>
      </c>
      <c r="BQ569" t="e">
        <f>AND(#REF!,"AAAAADvp90Q=")</f>
        <v>#REF!</v>
      </c>
      <c r="BR569" t="e">
        <f>AND(#REF!,"AAAAADvp90U=")</f>
        <v>#REF!</v>
      </c>
      <c r="BS569" t="e">
        <f>AND(#REF!,"AAAAADvp90Y=")</f>
        <v>#REF!</v>
      </c>
      <c r="BT569" t="e">
        <f>AND(#REF!,"AAAAADvp90c=")</f>
        <v>#REF!</v>
      </c>
      <c r="BU569" t="e">
        <f>AND(#REF!,"AAAAADvp90g=")</f>
        <v>#REF!</v>
      </c>
      <c r="BV569" t="e">
        <f>AND(#REF!,"AAAAADvp90k=")</f>
        <v>#REF!</v>
      </c>
      <c r="BW569" t="e">
        <f>AND(#REF!,"AAAAADvp90o=")</f>
        <v>#REF!</v>
      </c>
      <c r="BX569" t="e">
        <f>AND(#REF!,"AAAAADvp90s=")</f>
        <v>#REF!</v>
      </c>
      <c r="BY569" t="e">
        <f>AND(#REF!,"AAAAADvp90w=")</f>
        <v>#REF!</v>
      </c>
      <c r="BZ569" t="e">
        <f>IF(#REF!,"AAAAADvp900=",0)</f>
        <v>#REF!</v>
      </c>
      <c r="CA569" t="e">
        <f>AND(#REF!,"AAAAADvp904=")</f>
        <v>#REF!</v>
      </c>
      <c r="CB569" t="e">
        <f>AND(#REF!,"AAAAADvp908=")</f>
        <v>#REF!</v>
      </c>
      <c r="CC569" t="e">
        <f>AND(#REF!,"AAAAADvp91A=")</f>
        <v>#REF!</v>
      </c>
      <c r="CD569" t="e">
        <f>AND(#REF!,"AAAAADvp91E=")</f>
        <v>#REF!</v>
      </c>
      <c r="CE569" t="e">
        <f>AND(#REF!,"AAAAADvp91I=")</f>
        <v>#REF!</v>
      </c>
      <c r="CF569" t="e">
        <f>AND(#REF!,"AAAAADvp91M=")</f>
        <v>#REF!</v>
      </c>
      <c r="CG569" t="e">
        <f>AND(#REF!,"AAAAADvp91Q=")</f>
        <v>#REF!</v>
      </c>
      <c r="CH569" t="e">
        <f>AND(#REF!,"AAAAADvp91U=")</f>
        <v>#REF!</v>
      </c>
      <c r="CI569" t="e">
        <f>AND(#REF!,"AAAAADvp91Y=")</f>
        <v>#REF!</v>
      </c>
      <c r="CJ569" t="e">
        <f>AND(#REF!,"AAAAADvp91c=")</f>
        <v>#REF!</v>
      </c>
      <c r="CK569" t="e">
        <f>AND(#REF!,"AAAAADvp91g=")</f>
        <v>#REF!</v>
      </c>
      <c r="CL569" t="e">
        <f>AND(#REF!,"AAAAADvp91k=")</f>
        <v>#REF!</v>
      </c>
      <c r="CM569" t="e">
        <f>AND(#REF!,"AAAAADvp91o=")</f>
        <v>#REF!</v>
      </c>
      <c r="CN569" t="e">
        <f>AND(#REF!,"AAAAADvp91s=")</f>
        <v>#REF!</v>
      </c>
      <c r="CO569" t="e">
        <f>AND(#REF!,"AAAAADvp91w=")</f>
        <v>#REF!</v>
      </c>
      <c r="CP569" t="e">
        <f>AND(#REF!,"AAAAADvp910=")</f>
        <v>#REF!</v>
      </c>
      <c r="CQ569" t="e">
        <f>AND(#REF!,"AAAAADvp914=")</f>
        <v>#REF!</v>
      </c>
      <c r="CR569" t="e">
        <f>AND(#REF!,"AAAAADvp918=")</f>
        <v>#REF!</v>
      </c>
      <c r="CS569" t="e">
        <f>AND(#REF!,"AAAAADvp92A=")</f>
        <v>#REF!</v>
      </c>
      <c r="CT569" t="e">
        <f>AND(#REF!,"AAAAADvp92E=")</f>
        <v>#REF!</v>
      </c>
      <c r="CU569" t="e">
        <f>AND(#REF!,"AAAAADvp92I=")</f>
        <v>#REF!</v>
      </c>
      <c r="CV569" t="e">
        <f>AND(#REF!,"AAAAADvp92M=")</f>
        <v>#REF!</v>
      </c>
      <c r="CW569" t="e">
        <f>AND(#REF!,"AAAAADvp92Q=")</f>
        <v>#REF!</v>
      </c>
      <c r="CX569" t="e">
        <f>AND(#REF!,"AAAAADvp92U=")</f>
        <v>#REF!</v>
      </c>
      <c r="CY569" t="e">
        <f>IF(#REF!,"AAAAADvp92Y=",0)</f>
        <v>#REF!</v>
      </c>
      <c r="CZ569" t="e">
        <f>AND(#REF!,"AAAAADvp92c=")</f>
        <v>#REF!</v>
      </c>
      <c r="DA569" t="e">
        <f>AND(#REF!,"AAAAADvp92g=")</f>
        <v>#REF!</v>
      </c>
      <c r="DB569" t="e">
        <f>AND(#REF!,"AAAAADvp92k=")</f>
        <v>#REF!</v>
      </c>
      <c r="DC569" t="e">
        <f>AND(#REF!,"AAAAADvp92o=")</f>
        <v>#REF!</v>
      </c>
      <c r="DD569" t="e">
        <f>AND(#REF!,"AAAAADvp92s=")</f>
        <v>#REF!</v>
      </c>
      <c r="DE569" t="e">
        <f>AND(#REF!,"AAAAADvp92w=")</f>
        <v>#REF!</v>
      </c>
      <c r="DF569" t="e">
        <f>AND(#REF!,"AAAAADvp920=")</f>
        <v>#REF!</v>
      </c>
      <c r="DG569" t="e">
        <f>AND(#REF!,"AAAAADvp924=")</f>
        <v>#REF!</v>
      </c>
      <c r="DH569" t="e">
        <f>AND(#REF!,"AAAAADvp928=")</f>
        <v>#REF!</v>
      </c>
      <c r="DI569" t="e">
        <f>AND(#REF!,"AAAAADvp93A=")</f>
        <v>#REF!</v>
      </c>
      <c r="DJ569" t="e">
        <f>AND(#REF!,"AAAAADvp93E=")</f>
        <v>#REF!</v>
      </c>
      <c r="DK569" t="e">
        <f>AND(#REF!,"AAAAADvp93I=")</f>
        <v>#REF!</v>
      </c>
      <c r="DL569" t="e">
        <f>AND(#REF!,"AAAAADvp93M=")</f>
        <v>#REF!</v>
      </c>
      <c r="DM569" t="e">
        <f>AND(#REF!,"AAAAADvp93Q=")</f>
        <v>#REF!</v>
      </c>
      <c r="DN569" t="e">
        <f>AND(#REF!,"AAAAADvp93U=")</f>
        <v>#REF!</v>
      </c>
      <c r="DO569" t="e">
        <f>AND(#REF!,"AAAAADvp93Y=")</f>
        <v>#REF!</v>
      </c>
      <c r="DP569" t="e">
        <f>AND(#REF!,"AAAAADvp93c=")</f>
        <v>#REF!</v>
      </c>
      <c r="DQ569" t="e">
        <f>AND(#REF!,"AAAAADvp93g=")</f>
        <v>#REF!</v>
      </c>
      <c r="DR569" t="e">
        <f>AND(#REF!,"AAAAADvp93k=")</f>
        <v>#REF!</v>
      </c>
      <c r="DS569" t="e">
        <f>AND(#REF!,"AAAAADvp93o=")</f>
        <v>#REF!</v>
      </c>
      <c r="DT569" t="e">
        <f>AND(#REF!,"AAAAADvp93s=")</f>
        <v>#REF!</v>
      </c>
      <c r="DU569" t="e">
        <f>AND(#REF!,"AAAAADvp93w=")</f>
        <v>#REF!</v>
      </c>
      <c r="DV569" t="e">
        <f>AND(#REF!,"AAAAADvp930=")</f>
        <v>#REF!</v>
      </c>
      <c r="DW569" t="e">
        <f>AND(#REF!,"AAAAADvp934=")</f>
        <v>#REF!</v>
      </c>
      <c r="DX569" t="e">
        <f>IF(#REF!,"AAAAADvp938=",0)</f>
        <v>#REF!</v>
      </c>
      <c r="DY569" t="e">
        <f>AND(#REF!,"AAAAADvp94A=")</f>
        <v>#REF!</v>
      </c>
      <c r="DZ569" t="e">
        <f>AND(#REF!,"AAAAADvp94E=")</f>
        <v>#REF!</v>
      </c>
      <c r="EA569" t="e">
        <f>AND(#REF!,"AAAAADvp94I=")</f>
        <v>#REF!</v>
      </c>
      <c r="EB569" t="e">
        <f>AND(#REF!,"AAAAADvp94M=")</f>
        <v>#REF!</v>
      </c>
      <c r="EC569" t="e">
        <f>AND(#REF!,"AAAAADvp94Q=")</f>
        <v>#REF!</v>
      </c>
      <c r="ED569" t="e">
        <f>AND(#REF!,"AAAAADvp94U=")</f>
        <v>#REF!</v>
      </c>
      <c r="EE569" t="e">
        <f>AND(#REF!,"AAAAADvp94Y=")</f>
        <v>#REF!</v>
      </c>
      <c r="EF569" t="e">
        <f>AND(#REF!,"AAAAADvp94c=")</f>
        <v>#REF!</v>
      </c>
      <c r="EG569" t="e">
        <f>AND(#REF!,"AAAAADvp94g=")</f>
        <v>#REF!</v>
      </c>
      <c r="EH569" t="e">
        <f>AND(#REF!,"AAAAADvp94k=")</f>
        <v>#REF!</v>
      </c>
      <c r="EI569" t="e">
        <f>AND(#REF!,"AAAAADvp94o=")</f>
        <v>#REF!</v>
      </c>
      <c r="EJ569" t="e">
        <f>AND(#REF!,"AAAAADvp94s=")</f>
        <v>#REF!</v>
      </c>
      <c r="EK569" t="e">
        <f>AND(#REF!,"AAAAADvp94w=")</f>
        <v>#REF!</v>
      </c>
      <c r="EL569" t="e">
        <f>AND(#REF!,"AAAAADvp940=")</f>
        <v>#REF!</v>
      </c>
      <c r="EM569" t="e">
        <f>AND(#REF!,"AAAAADvp944=")</f>
        <v>#REF!</v>
      </c>
      <c r="EN569" t="e">
        <f>AND(#REF!,"AAAAADvp948=")</f>
        <v>#REF!</v>
      </c>
      <c r="EO569" t="e">
        <f>AND(#REF!,"AAAAADvp95A=")</f>
        <v>#REF!</v>
      </c>
      <c r="EP569" t="e">
        <f>AND(#REF!,"AAAAADvp95E=")</f>
        <v>#REF!</v>
      </c>
      <c r="EQ569" t="e">
        <f>AND(#REF!,"AAAAADvp95I=")</f>
        <v>#REF!</v>
      </c>
      <c r="ER569" t="e">
        <f>AND(#REF!,"AAAAADvp95M=")</f>
        <v>#REF!</v>
      </c>
      <c r="ES569" t="e">
        <f>AND(#REF!,"AAAAADvp95Q=")</f>
        <v>#REF!</v>
      </c>
      <c r="ET569" t="e">
        <f>AND(#REF!,"AAAAADvp95U=")</f>
        <v>#REF!</v>
      </c>
      <c r="EU569" t="e">
        <f>AND(#REF!,"AAAAADvp95Y=")</f>
        <v>#REF!</v>
      </c>
      <c r="EV569" t="e">
        <f>AND(#REF!,"AAAAADvp95c=")</f>
        <v>#REF!</v>
      </c>
      <c r="EW569" t="e">
        <f>IF(#REF!,"AAAAADvp95g=",0)</f>
        <v>#REF!</v>
      </c>
      <c r="EX569" t="e">
        <f>AND(#REF!,"AAAAADvp95k=")</f>
        <v>#REF!</v>
      </c>
      <c r="EY569" t="e">
        <f>AND(#REF!,"AAAAADvp95o=")</f>
        <v>#REF!</v>
      </c>
      <c r="EZ569" t="e">
        <f>AND(#REF!,"AAAAADvp95s=")</f>
        <v>#REF!</v>
      </c>
      <c r="FA569" t="e">
        <f>AND(#REF!,"AAAAADvp95w=")</f>
        <v>#REF!</v>
      </c>
      <c r="FB569" t="e">
        <f>AND(#REF!,"AAAAADvp950=")</f>
        <v>#REF!</v>
      </c>
      <c r="FC569" t="e">
        <f>AND(#REF!,"AAAAADvp954=")</f>
        <v>#REF!</v>
      </c>
      <c r="FD569" t="e">
        <f>AND(#REF!,"AAAAADvp958=")</f>
        <v>#REF!</v>
      </c>
      <c r="FE569" t="e">
        <f>AND(#REF!,"AAAAADvp96A=")</f>
        <v>#REF!</v>
      </c>
      <c r="FF569" t="e">
        <f>AND(#REF!,"AAAAADvp96E=")</f>
        <v>#REF!</v>
      </c>
      <c r="FG569" t="e">
        <f>AND(#REF!,"AAAAADvp96I=")</f>
        <v>#REF!</v>
      </c>
      <c r="FH569" t="e">
        <f>AND(#REF!,"AAAAADvp96M=")</f>
        <v>#REF!</v>
      </c>
      <c r="FI569" t="e">
        <f>AND(#REF!,"AAAAADvp96Q=")</f>
        <v>#REF!</v>
      </c>
      <c r="FJ569" t="e">
        <f>AND(#REF!,"AAAAADvp96U=")</f>
        <v>#REF!</v>
      </c>
      <c r="FK569" t="e">
        <f>AND(#REF!,"AAAAADvp96Y=")</f>
        <v>#REF!</v>
      </c>
      <c r="FL569" t="e">
        <f>AND(#REF!,"AAAAADvp96c=")</f>
        <v>#REF!</v>
      </c>
      <c r="FM569" t="e">
        <f>AND(#REF!,"AAAAADvp96g=")</f>
        <v>#REF!</v>
      </c>
      <c r="FN569" t="e">
        <f>AND(#REF!,"AAAAADvp96k=")</f>
        <v>#REF!</v>
      </c>
      <c r="FO569" t="e">
        <f>AND(#REF!,"AAAAADvp96o=")</f>
        <v>#REF!</v>
      </c>
      <c r="FP569" t="e">
        <f>AND(#REF!,"AAAAADvp96s=")</f>
        <v>#REF!</v>
      </c>
      <c r="FQ569" t="e">
        <f>AND(#REF!,"AAAAADvp96w=")</f>
        <v>#REF!</v>
      </c>
      <c r="FR569" t="e">
        <f>AND(#REF!,"AAAAADvp960=")</f>
        <v>#REF!</v>
      </c>
      <c r="FS569" t="e">
        <f>AND(#REF!,"AAAAADvp964=")</f>
        <v>#REF!</v>
      </c>
      <c r="FT569" t="e">
        <f>AND(#REF!,"AAAAADvp968=")</f>
        <v>#REF!</v>
      </c>
      <c r="FU569" t="e">
        <f>AND(#REF!,"AAAAADvp97A=")</f>
        <v>#REF!</v>
      </c>
      <c r="FV569" t="e">
        <f>IF(#REF!,"AAAAADvp97E=",0)</f>
        <v>#REF!</v>
      </c>
      <c r="FW569" t="e">
        <f>AND(#REF!,"AAAAADvp97I=")</f>
        <v>#REF!</v>
      </c>
      <c r="FX569" t="e">
        <f>AND(#REF!,"AAAAADvp97M=")</f>
        <v>#REF!</v>
      </c>
      <c r="FY569" t="e">
        <f>AND(#REF!,"AAAAADvp97Q=")</f>
        <v>#REF!</v>
      </c>
      <c r="FZ569" t="e">
        <f>AND(#REF!,"AAAAADvp97U=")</f>
        <v>#REF!</v>
      </c>
      <c r="GA569" t="e">
        <f>AND(#REF!,"AAAAADvp97Y=")</f>
        <v>#REF!</v>
      </c>
      <c r="GB569" t="e">
        <f>AND(#REF!,"AAAAADvp97c=")</f>
        <v>#REF!</v>
      </c>
      <c r="GC569" t="e">
        <f>AND(#REF!,"AAAAADvp97g=")</f>
        <v>#REF!</v>
      </c>
      <c r="GD569" t="e">
        <f>AND(#REF!,"AAAAADvp97k=")</f>
        <v>#REF!</v>
      </c>
      <c r="GE569" t="e">
        <f>AND(#REF!,"AAAAADvp97o=")</f>
        <v>#REF!</v>
      </c>
      <c r="GF569" t="e">
        <f>AND(#REF!,"AAAAADvp97s=")</f>
        <v>#REF!</v>
      </c>
      <c r="GG569" t="e">
        <f>AND(#REF!,"AAAAADvp97w=")</f>
        <v>#REF!</v>
      </c>
      <c r="GH569" t="e">
        <f>AND(#REF!,"AAAAADvp970=")</f>
        <v>#REF!</v>
      </c>
      <c r="GI569" t="e">
        <f>AND(#REF!,"AAAAADvp974=")</f>
        <v>#REF!</v>
      </c>
      <c r="GJ569" t="e">
        <f>AND(#REF!,"AAAAADvp978=")</f>
        <v>#REF!</v>
      </c>
      <c r="GK569" t="e">
        <f>AND(#REF!,"AAAAADvp98A=")</f>
        <v>#REF!</v>
      </c>
      <c r="GL569" t="e">
        <f>AND(#REF!,"AAAAADvp98E=")</f>
        <v>#REF!</v>
      </c>
      <c r="GM569" t="e">
        <f>AND(#REF!,"AAAAADvp98I=")</f>
        <v>#REF!</v>
      </c>
      <c r="GN569" t="e">
        <f>AND(#REF!,"AAAAADvp98M=")</f>
        <v>#REF!</v>
      </c>
      <c r="GO569" t="e">
        <f>AND(#REF!,"AAAAADvp98Q=")</f>
        <v>#REF!</v>
      </c>
      <c r="GP569" t="e">
        <f>AND(#REF!,"AAAAADvp98U=")</f>
        <v>#REF!</v>
      </c>
      <c r="GQ569" t="e">
        <f>AND(#REF!,"AAAAADvp98Y=")</f>
        <v>#REF!</v>
      </c>
      <c r="GR569" t="e">
        <f>AND(#REF!,"AAAAADvp98c=")</f>
        <v>#REF!</v>
      </c>
      <c r="GS569" t="e">
        <f>AND(#REF!,"AAAAADvp98g=")</f>
        <v>#REF!</v>
      </c>
      <c r="GT569" t="e">
        <f>AND(#REF!,"AAAAADvp98k=")</f>
        <v>#REF!</v>
      </c>
      <c r="GU569" t="e">
        <f>IF(#REF!,"AAAAADvp98o=",0)</f>
        <v>#REF!</v>
      </c>
      <c r="GV569" t="e">
        <f>AND(#REF!,"AAAAADvp98s=")</f>
        <v>#REF!</v>
      </c>
      <c r="GW569" t="e">
        <f>AND(#REF!,"AAAAADvp98w=")</f>
        <v>#REF!</v>
      </c>
      <c r="GX569" t="e">
        <f>AND(#REF!,"AAAAADvp980=")</f>
        <v>#REF!</v>
      </c>
      <c r="GY569" t="e">
        <f>AND(#REF!,"AAAAADvp984=")</f>
        <v>#REF!</v>
      </c>
      <c r="GZ569" t="e">
        <f>AND(#REF!,"AAAAADvp988=")</f>
        <v>#REF!</v>
      </c>
      <c r="HA569" t="e">
        <f>AND(#REF!,"AAAAADvp99A=")</f>
        <v>#REF!</v>
      </c>
      <c r="HB569" t="e">
        <f>AND(#REF!,"AAAAADvp99E=")</f>
        <v>#REF!</v>
      </c>
      <c r="HC569" t="e">
        <f>AND(#REF!,"AAAAADvp99I=")</f>
        <v>#REF!</v>
      </c>
      <c r="HD569" t="e">
        <f>AND(#REF!,"AAAAADvp99M=")</f>
        <v>#REF!</v>
      </c>
      <c r="HE569" t="e">
        <f>AND(#REF!,"AAAAADvp99Q=")</f>
        <v>#REF!</v>
      </c>
      <c r="HF569" t="e">
        <f>AND(#REF!,"AAAAADvp99U=")</f>
        <v>#REF!</v>
      </c>
      <c r="HG569" t="e">
        <f>AND(#REF!,"AAAAADvp99Y=")</f>
        <v>#REF!</v>
      </c>
      <c r="HH569" t="e">
        <f>AND(#REF!,"AAAAADvp99c=")</f>
        <v>#REF!</v>
      </c>
      <c r="HI569" t="e">
        <f>AND(#REF!,"AAAAADvp99g=")</f>
        <v>#REF!</v>
      </c>
      <c r="HJ569" t="e">
        <f>AND(#REF!,"AAAAADvp99k=")</f>
        <v>#REF!</v>
      </c>
      <c r="HK569" t="e">
        <f>AND(#REF!,"AAAAADvp99o=")</f>
        <v>#REF!</v>
      </c>
      <c r="HL569" t="e">
        <f>AND(#REF!,"AAAAADvp99s=")</f>
        <v>#REF!</v>
      </c>
      <c r="HM569" t="e">
        <f>AND(#REF!,"AAAAADvp99w=")</f>
        <v>#REF!</v>
      </c>
      <c r="HN569" t="e">
        <f>AND(#REF!,"AAAAADvp990=")</f>
        <v>#REF!</v>
      </c>
      <c r="HO569" t="e">
        <f>AND(#REF!,"AAAAADvp994=")</f>
        <v>#REF!</v>
      </c>
      <c r="HP569" t="e">
        <f>AND(#REF!,"AAAAADvp998=")</f>
        <v>#REF!</v>
      </c>
      <c r="HQ569" t="e">
        <f>AND(#REF!,"AAAAADvp9+A=")</f>
        <v>#REF!</v>
      </c>
      <c r="HR569" t="e">
        <f>AND(#REF!,"AAAAADvp9+E=")</f>
        <v>#REF!</v>
      </c>
      <c r="HS569" t="e">
        <f>AND(#REF!,"AAAAADvp9+I=")</f>
        <v>#REF!</v>
      </c>
      <c r="HT569" t="e">
        <f>IF(#REF!,"AAAAADvp9+M=",0)</f>
        <v>#REF!</v>
      </c>
      <c r="HU569" t="e">
        <f>AND(#REF!,"AAAAADvp9+Q=")</f>
        <v>#REF!</v>
      </c>
      <c r="HV569" t="e">
        <f>AND(#REF!,"AAAAADvp9+U=")</f>
        <v>#REF!</v>
      </c>
      <c r="HW569" t="e">
        <f>AND(#REF!,"AAAAADvp9+Y=")</f>
        <v>#REF!</v>
      </c>
      <c r="HX569" t="e">
        <f>AND(#REF!,"AAAAADvp9+c=")</f>
        <v>#REF!</v>
      </c>
      <c r="HY569" t="e">
        <f>AND(#REF!,"AAAAADvp9+g=")</f>
        <v>#REF!</v>
      </c>
      <c r="HZ569" t="e">
        <f>AND(#REF!,"AAAAADvp9+k=")</f>
        <v>#REF!</v>
      </c>
      <c r="IA569" t="e">
        <f>AND(#REF!,"AAAAADvp9+o=")</f>
        <v>#REF!</v>
      </c>
      <c r="IB569" t="e">
        <f>AND(#REF!,"AAAAADvp9+s=")</f>
        <v>#REF!</v>
      </c>
      <c r="IC569" t="e">
        <f>AND(#REF!,"AAAAADvp9+w=")</f>
        <v>#REF!</v>
      </c>
      <c r="ID569" t="e">
        <f>AND(#REF!,"AAAAADvp9+0=")</f>
        <v>#REF!</v>
      </c>
      <c r="IE569" t="e">
        <f>AND(#REF!,"AAAAADvp9+4=")</f>
        <v>#REF!</v>
      </c>
      <c r="IF569" t="e">
        <f>AND(#REF!,"AAAAADvp9+8=")</f>
        <v>#REF!</v>
      </c>
      <c r="IG569" t="e">
        <f>AND(#REF!,"AAAAADvp9/A=")</f>
        <v>#REF!</v>
      </c>
      <c r="IH569" t="e">
        <f>AND(#REF!,"AAAAADvp9/E=")</f>
        <v>#REF!</v>
      </c>
      <c r="II569" t="e">
        <f>AND(#REF!,"AAAAADvp9/I=")</f>
        <v>#REF!</v>
      </c>
      <c r="IJ569" t="e">
        <f>AND(#REF!,"AAAAADvp9/M=")</f>
        <v>#REF!</v>
      </c>
      <c r="IK569" t="e">
        <f>AND(#REF!,"AAAAADvp9/Q=")</f>
        <v>#REF!</v>
      </c>
      <c r="IL569" t="e">
        <f>AND(#REF!,"AAAAADvp9/U=")</f>
        <v>#REF!</v>
      </c>
      <c r="IM569" t="e">
        <f>AND(#REF!,"AAAAADvp9/Y=")</f>
        <v>#REF!</v>
      </c>
      <c r="IN569" t="e">
        <f>AND(#REF!,"AAAAADvp9/c=")</f>
        <v>#REF!</v>
      </c>
      <c r="IO569" t="e">
        <f>AND(#REF!,"AAAAADvp9/g=")</f>
        <v>#REF!</v>
      </c>
      <c r="IP569" t="e">
        <f>AND(#REF!,"AAAAADvp9/k=")</f>
        <v>#REF!</v>
      </c>
      <c r="IQ569" t="e">
        <f>AND(#REF!,"AAAAADvp9/o=")</f>
        <v>#REF!</v>
      </c>
      <c r="IR569" t="e">
        <f>AND(#REF!,"AAAAADvp9/s=")</f>
        <v>#REF!</v>
      </c>
      <c r="IS569" t="e">
        <f>IF(#REF!,"AAAAADvp9/w=",0)</f>
        <v>#REF!</v>
      </c>
      <c r="IT569" t="e">
        <f>AND(#REF!,"AAAAADvp9/0=")</f>
        <v>#REF!</v>
      </c>
      <c r="IU569" t="e">
        <f>AND(#REF!,"AAAAADvp9/4=")</f>
        <v>#REF!</v>
      </c>
      <c r="IV569" t="e">
        <f>AND(#REF!,"AAAAADvp9/8=")</f>
        <v>#REF!</v>
      </c>
    </row>
    <row r="570" spans="1:256">
      <c r="A570" t="e">
        <f>AND(#REF!,"AAAAAHf8/gA=")</f>
        <v>#REF!</v>
      </c>
      <c r="B570" t="e">
        <f>AND(#REF!,"AAAAAHf8/gE=")</f>
        <v>#REF!</v>
      </c>
      <c r="C570" t="e">
        <f>AND(#REF!,"AAAAAHf8/gI=")</f>
        <v>#REF!</v>
      </c>
      <c r="D570" t="e">
        <f>AND(#REF!,"AAAAAHf8/gM=")</f>
        <v>#REF!</v>
      </c>
      <c r="E570" t="e">
        <f>AND(#REF!,"AAAAAHf8/gQ=")</f>
        <v>#REF!</v>
      </c>
      <c r="F570" t="e">
        <f>AND(#REF!,"AAAAAHf8/gU=")</f>
        <v>#REF!</v>
      </c>
      <c r="G570" t="e">
        <f>AND(#REF!,"AAAAAHf8/gY=")</f>
        <v>#REF!</v>
      </c>
      <c r="H570" t="e">
        <f>AND(#REF!,"AAAAAHf8/gc=")</f>
        <v>#REF!</v>
      </c>
      <c r="I570" t="e">
        <f>AND(#REF!,"AAAAAHf8/gg=")</f>
        <v>#REF!</v>
      </c>
      <c r="J570" t="e">
        <f>AND(#REF!,"AAAAAHf8/gk=")</f>
        <v>#REF!</v>
      </c>
      <c r="K570" t="e">
        <f>AND(#REF!,"AAAAAHf8/go=")</f>
        <v>#REF!</v>
      </c>
      <c r="L570" t="e">
        <f>AND(#REF!,"AAAAAHf8/gs=")</f>
        <v>#REF!</v>
      </c>
      <c r="M570" t="e">
        <f>AND(#REF!,"AAAAAHf8/gw=")</f>
        <v>#REF!</v>
      </c>
      <c r="N570" t="e">
        <f>AND(#REF!,"AAAAAHf8/g0=")</f>
        <v>#REF!</v>
      </c>
      <c r="O570" t="e">
        <f>AND(#REF!,"AAAAAHf8/g4=")</f>
        <v>#REF!</v>
      </c>
      <c r="P570" t="e">
        <f>AND(#REF!,"AAAAAHf8/g8=")</f>
        <v>#REF!</v>
      </c>
      <c r="Q570" t="e">
        <f>AND(#REF!,"AAAAAHf8/hA=")</f>
        <v>#REF!</v>
      </c>
      <c r="R570" t="e">
        <f>AND(#REF!,"AAAAAHf8/hE=")</f>
        <v>#REF!</v>
      </c>
      <c r="S570" t="e">
        <f>AND(#REF!,"AAAAAHf8/hI=")</f>
        <v>#REF!</v>
      </c>
      <c r="T570" t="e">
        <f>AND(#REF!,"AAAAAHf8/hM=")</f>
        <v>#REF!</v>
      </c>
      <c r="U570" t="e">
        <f>AND(#REF!,"AAAAAHf8/hQ=")</f>
        <v>#REF!</v>
      </c>
      <c r="V570" t="e">
        <f>IF(#REF!,"AAAAAHf8/hU=",0)</f>
        <v>#REF!</v>
      </c>
      <c r="W570" t="e">
        <f>AND(#REF!,"AAAAAHf8/hY=")</f>
        <v>#REF!</v>
      </c>
      <c r="X570" t="e">
        <f>AND(#REF!,"AAAAAHf8/hc=")</f>
        <v>#REF!</v>
      </c>
      <c r="Y570" t="e">
        <f>AND(#REF!,"AAAAAHf8/hg=")</f>
        <v>#REF!</v>
      </c>
      <c r="Z570" t="e">
        <f>AND(#REF!,"AAAAAHf8/hk=")</f>
        <v>#REF!</v>
      </c>
      <c r="AA570" t="e">
        <f>AND(#REF!,"AAAAAHf8/ho=")</f>
        <v>#REF!</v>
      </c>
      <c r="AB570" t="e">
        <f>AND(#REF!,"AAAAAHf8/hs=")</f>
        <v>#REF!</v>
      </c>
      <c r="AC570" t="e">
        <f>AND(#REF!,"AAAAAHf8/hw=")</f>
        <v>#REF!</v>
      </c>
      <c r="AD570" t="e">
        <f>AND(#REF!,"AAAAAHf8/h0=")</f>
        <v>#REF!</v>
      </c>
      <c r="AE570" t="e">
        <f>AND(#REF!,"AAAAAHf8/h4=")</f>
        <v>#REF!</v>
      </c>
      <c r="AF570" t="e">
        <f>AND(#REF!,"AAAAAHf8/h8=")</f>
        <v>#REF!</v>
      </c>
      <c r="AG570" t="e">
        <f>AND(#REF!,"AAAAAHf8/iA=")</f>
        <v>#REF!</v>
      </c>
      <c r="AH570" t="e">
        <f>AND(#REF!,"AAAAAHf8/iE=")</f>
        <v>#REF!</v>
      </c>
      <c r="AI570" t="e">
        <f>AND(#REF!,"AAAAAHf8/iI=")</f>
        <v>#REF!</v>
      </c>
      <c r="AJ570" t="e">
        <f>AND(#REF!,"AAAAAHf8/iM=")</f>
        <v>#REF!</v>
      </c>
      <c r="AK570" t="e">
        <f>AND(#REF!,"AAAAAHf8/iQ=")</f>
        <v>#REF!</v>
      </c>
      <c r="AL570" t="e">
        <f>AND(#REF!,"AAAAAHf8/iU=")</f>
        <v>#REF!</v>
      </c>
      <c r="AM570" t="e">
        <f>AND(#REF!,"AAAAAHf8/iY=")</f>
        <v>#REF!</v>
      </c>
      <c r="AN570" t="e">
        <f>AND(#REF!,"AAAAAHf8/ic=")</f>
        <v>#REF!</v>
      </c>
      <c r="AO570" t="e">
        <f>AND(#REF!,"AAAAAHf8/ig=")</f>
        <v>#REF!</v>
      </c>
      <c r="AP570" t="e">
        <f>AND(#REF!,"AAAAAHf8/ik=")</f>
        <v>#REF!</v>
      </c>
      <c r="AQ570" t="e">
        <f>AND(#REF!,"AAAAAHf8/io=")</f>
        <v>#REF!</v>
      </c>
      <c r="AR570" t="e">
        <f>AND(#REF!,"AAAAAHf8/is=")</f>
        <v>#REF!</v>
      </c>
      <c r="AS570" t="e">
        <f>AND(#REF!,"AAAAAHf8/iw=")</f>
        <v>#REF!</v>
      </c>
      <c r="AT570" t="e">
        <f>AND(#REF!,"AAAAAHf8/i0=")</f>
        <v>#REF!</v>
      </c>
      <c r="AU570" t="e">
        <f>IF(#REF!,"AAAAAHf8/i4=",0)</f>
        <v>#REF!</v>
      </c>
      <c r="AV570" t="e">
        <f>AND(#REF!,"AAAAAHf8/i8=")</f>
        <v>#REF!</v>
      </c>
      <c r="AW570" t="e">
        <f>AND(#REF!,"AAAAAHf8/jA=")</f>
        <v>#REF!</v>
      </c>
      <c r="AX570" t="e">
        <f>AND(#REF!,"AAAAAHf8/jE=")</f>
        <v>#REF!</v>
      </c>
      <c r="AY570" t="e">
        <f>AND(#REF!,"AAAAAHf8/jI=")</f>
        <v>#REF!</v>
      </c>
      <c r="AZ570" t="e">
        <f>AND(#REF!,"AAAAAHf8/jM=")</f>
        <v>#REF!</v>
      </c>
      <c r="BA570" t="e">
        <f>AND(#REF!,"AAAAAHf8/jQ=")</f>
        <v>#REF!</v>
      </c>
      <c r="BB570" t="e">
        <f>AND(#REF!,"AAAAAHf8/jU=")</f>
        <v>#REF!</v>
      </c>
      <c r="BC570" t="e">
        <f>AND(#REF!,"AAAAAHf8/jY=")</f>
        <v>#REF!</v>
      </c>
      <c r="BD570" t="e">
        <f>AND(#REF!,"AAAAAHf8/jc=")</f>
        <v>#REF!</v>
      </c>
      <c r="BE570" t="e">
        <f>AND(#REF!,"AAAAAHf8/jg=")</f>
        <v>#REF!</v>
      </c>
      <c r="BF570" t="e">
        <f>AND(#REF!,"AAAAAHf8/jk=")</f>
        <v>#REF!</v>
      </c>
      <c r="BG570" t="e">
        <f>AND(#REF!,"AAAAAHf8/jo=")</f>
        <v>#REF!</v>
      </c>
      <c r="BH570" t="e">
        <f>AND(#REF!,"AAAAAHf8/js=")</f>
        <v>#REF!</v>
      </c>
      <c r="BI570" t="e">
        <f>AND(#REF!,"AAAAAHf8/jw=")</f>
        <v>#REF!</v>
      </c>
      <c r="BJ570" t="e">
        <f>AND(#REF!,"AAAAAHf8/j0=")</f>
        <v>#REF!</v>
      </c>
      <c r="BK570" t="e">
        <f>AND(#REF!,"AAAAAHf8/j4=")</f>
        <v>#REF!</v>
      </c>
      <c r="BL570" t="e">
        <f>AND(#REF!,"AAAAAHf8/j8=")</f>
        <v>#REF!</v>
      </c>
      <c r="BM570" t="e">
        <f>AND(#REF!,"AAAAAHf8/kA=")</f>
        <v>#REF!</v>
      </c>
      <c r="BN570" t="e">
        <f>AND(#REF!,"AAAAAHf8/kE=")</f>
        <v>#REF!</v>
      </c>
      <c r="BO570" t="e">
        <f>AND(#REF!,"AAAAAHf8/kI=")</f>
        <v>#REF!</v>
      </c>
      <c r="BP570" t="e">
        <f>AND(#REF!,"AAAAAHf8/kM=")</f>
        <v>#REF!</v>
      </c>
      <c r="BQ570" t="e">
        <f>AND(#REF!,"AAAAAHf8/kQ=")</f>
        <v>#REF!</v>
      </c>
      <c r="BR570" t="e">
        <f>AND(#REF!,"AAAAAHf8/kU=")</f>
        <v>#REF!</v>
      </c>
      <c r="BS570" t="e">
        <f>AND(#REF!,"AAAAAHf8/kY=")</f>
        <v>#REF!</v>
      </c>
      <c r="BT570" t="e">
        <f>IF(#REF!,"AAAAAHf8/kc=",0)</f>
        <v>#REF!</v>
      </c>
      <c r="BU570" t="e">
        <f>AND(#REF!,"AAAAAHf8/kg=")</f>
        <v>#REF!</v>
      </c>
      <c r="BV570" t="e">
        <f>AND(#REF!,"AAAAAHf8/kk=")</f>
        <v>#REF!</v>
      </c>
      <c r="BW570" t="e">
        <f>AND(#REF!,"AAAAAHf8/ko=")</f>
        <v>#REF!</v>
      </c>
      <c r="BX570" t="e">
        <f>AND(#REF!,"AAAAAHf8/ks=")</f>
        <v>#REF!</v>
      </c>
      <c r="BY570" t="e">
        <f>AND(#REF!,"AAAAAHf8/kw=")</f>
        <v>#REF!</v>
      </c>
      <c r="BZ570" t="e">
        <f>AND(#REF!,"AAAAAHf8/k0=")</f>
        <v>#REF!</v>
      </c>
      <c r="CA570" t="e">
        <f>AND(#REF!,"AAAAAHf8/k4=")</f>
        <v>#REF!</v>
      </c>
      <c r="CB570" t="e">
        <f>AND(#REF!,"AAAAAHf8/k8=")</f>
        <v>#REF!</v>
      </c>
      <c r="CC570" t="e">
        <f>AND(#REF!,"AAAAAHf8/lA=")</f>
        <v>#REF!</v>
      </c>
      <c r="CD570" t="e">
        <f>AND(#REF!,"AAAAAHf8/lE=")</f>
        <v>#REF!</v>
      </c>
      <c r="CE570" t="e">
        <f>AND(#REF!,"AAAAAHf8/lI=")</f>
        <v>#REF!</v>
      </c>
      <c r="CF570" t="e">
        <f>AND(#REF!,"AAAAAHf8/lM=")</f>
        <v>#REF!</v>
      </c>
      <c r="CG570" t="e">
        <f>AND(#REF!,"AAAAAHf8/lQ=")</f>
        <v>#REF!</v>
      </c>
      <c r="CH570" t="e">
        <f>AND(#REF!,"AAAAAHf8/lU=")</f>
        <v>#REF!</v>
      </c>
      <c r="CI570" t="e">
        <f>AND(#REF!,"AAAAAHf8/lY=")</f>
        <v>#REF!</v>
      </c>
      <c r="CJ570" t="e">
        <f>AND(#REF!,"AAAAAHf8/lc=")</f>
        <v>#REF!</v>
      </c>
      <c r="CK570" t="e">
        <f>AND(#REF!,"AAAAAHf8/lg=")</f>
        <v>#REF!</v>
      </c>
      <c r="CL570" t="e">
        <f>AND(#REF!,"AAAAAHf8/lk=")</f>
        <v>#REF!</v>
      </c>
      <c r="CM570" t="e">
        <f>AND(#REF!,"AAAAAHf8/lo=")</f>
        <v>#REF!</v>
      </c>
      <c r="CN570" t="e">
        <f>AND(#REF!,"AAAAAHf8/ls=")</f>
        <v>#REF!</v>
      </c>
      <c r="CO570" t="e">
        <f>AND(#REF!,"AAAAAHf8/lw=")</f>
        <v>#REF!</v>
      </c>
      <c r="CP570" t="e">
        <f>AND(#REF!,"AAAAAHf8/l0=")</f>
        <v>#REF!</v>
      </c>
      <c r="CQ570" t="e">
        <f>AND(#REF!,"AAAAAHf8/l4=")</f>
        <v>#REF!</v>
      </c>
      <c r="CR570" t="e">
        <f>AND(#REF!,"AAAAAHf8/l8=")</f>
        <v>#REF!</v>
      </c>
      <c r="CS570" t="e">
        <f>IF(#REF!,"AAAAAHf8/mA=",0)</f>
        <v>#REF!</v>
      </c>
      <c r="CT570" t="e">
        <f>AND(#REF!,"AAAAAHf8/mE=")</f>
        <v>#REF!</v>
      </c>
      <c r="CU570" t="e">
        <f>AND(#REF!,"AAAAAHf8/mI=")</f>
        <v>#REF!</v>
      </c>
      <c r="CV570" t="e">
        <f>AND(#REF!,"AAAAAHf8/mM=")</f>
        <v>#REF!</v>
      </c>
      <c r="CW570" t="e">
        <f>AND(#REF!,"AAAAAHf8/mQ=")</f>
        <v>#REF!</v>
      </c>
      <c r="CX570" t="e">
        <f>AND(#REF!,"AAAAAHf8/mU=")</f>
        <v>#REF!</v>
      </c>
      <c r="CY570" t="e">
        <f>AND(#REF!,"AAAAAHf8/mY=")</f>
        <v>#REF!</v>
      </c>
      <c r="CZ570" t="e">
        <f>AND(#REF!,"AAAAAHf8/mc=")</f>
        <v>#REF!</v>
      </c>
      <c r="DA570" t="e">
        <f>AND(#REF!,"AAAAAHf8/mg=")</f>
        <v>#REF!</v>
      </c>
      <c r="DB570" t="e">
        <f>AND(#REF!,"AAAAAHf8/mk=")</f>
        <v>#REF!</v>
      </c>
      <c r="DC570" t="e">
        <f>AND(#REF!,"AAAAAHf8/mo=")</f>
        <v>#REF!</v>
      </c>
      <c r="DD570" t="e">
        <f>AND(#REF!,"AAAAAHf8/ms=")</f>
        <v>#REF!</v>
      </c>
      <c r="DE570" t="e">
        <f>AND(#REF!,"AAAAAHf8/mw=")</f>
        <v>#REF!</v>
      </c>
      <c r="DF570" t="e">
        <f>AND(#REF!,"AAAAAHf8/m0=")</f>
        <v>#REF!</v>
      </c>
      <c r="DG570" t="e">
        <f>AND(#REF!,"AAAAAHf8/m4=")</f>
        <v>#REF!</v>
      </c>
      <c r="DH570" t="e">
        <f>AND(#REF!,"AAAAAHf8/m8=")</f>
        <v>#REF!</v>
      </c>
      <c r="DI570" t="e">
        <f>AND(#REF!,"AAAAAHf8/nA=")</f>
        <v>#REF!</v>
      </c>
      <c r="DJ570" t="e">
        <f>AND(#REF!,"AAAAAHf8/nE=")</f>
        <v>#REF!</v>
      </c>
      <c r="DK570" t="e">
        <f>AND(#REF!,"AAAAAHf8/nI=")</f>
        <v>#REF!</v>
      </c>
      <c r="DL570" t="e">
        <f>AND(#REF!,"AAAAAHf8/nM=")</f>
        <v>#REF!</v>
      </c>
      <c r="DM570" t="e">
        <f>AND(#REF!,"AAAAAHf8/nQ=")</f>
        <v>#REF!</v>
      </c>
      <c r="DN570" t="e">
        <f>AND(#REF!,"AAAAAHf8/nU=")</f>
        <v>#REF!</v>
      </c>
      <c r="DO570" t="e">
        <f>AND(#REF!,"AAAAAHf8/nY=")</f>
        <v>#REF!</v>
      </c>
      <c r="DP570" t="e">
        <f>AND(#REF!,"AAAAAHf8/nc=")</f>
        <v>#REF!</v>
      </c>
      <c r="DQ570" t="e">
        <f>AND(#REF!,"AAAAAHf8/ng=")</f>
        <v>#REF!</v>
      </c>
      <c r="DR570" t="e">
        <f>IF(#REF!,"AAAAAHf8/nk=",0)</f>
        <v>#REF!</v>
      </c>
      <c r="DS570" t="e">
        <f>AND(#REF!,"AAAAAHf8/no=")</f>
        <v>#REF!</v>
      </c>
      <c r="DT570" t="e">
        <f>AND(#REF!,"AAAAAHf8/ns=")</f>
        <v>#REF!</v>
      </c>
      <c r="DU570" t="e">
        <f>AND(#REF!,"AAAAAHf8/nw=")</f>
        <v>#REF!</v>
      </c>
      <c r="DV570" t="e">
        <f>AND(#REF!,"AAAAAHf8/n0=")</f>
        <v>#REF!</v>
      </c>
      <c r="DW570" t="e">
        <f>AND(#REF!,"AAAAAHf8/n4=")</f>
        <v>#REF!</v>
      </c>
      <c r="DX570" t="e">
        <f>AND(#REF!,"AAAAAHf8/n8=")</f>
        <v>#REF!</v>
      </c>
      <c r="DY570" t="e">
        <f>AND(#REF!,"AAAAAHf8/oA=")</f>
        <v>#REF!</v>
      </c>
      <c r="DZ570" t="e">
        <f>AND(#REF!,"AAAAAHf8/oE=")</f>
        <v>#REF!</v>
      </c>
      <c r="EA570" t="e">
        <f>AND(#REF!,"AAAAAHf8/oI=")</f>
        <v>#REF!</v>
      </c>
      <c r="EB570" t="e">
        <f>AND(#REF!,"AAAAAHf8/oM=")</f>
        <v>#REF!</v>
      </c>
      <c r="EC570" t="e">
        <f>AND(#REF!,"AAAAAHf8/oQ=")</f>
        <v>#REF!</v>
      </c>
      <c r="ED570" t="e">
        <f>AND(#REF!,"AAAAAHf8/oU=")</f>
        <v>#REF!</v>
      </c>
      <c r="EE570" t="e">
        <f>AND(#REF!,"AAAAAHf8/oY=")</f>
        <v>#REF!</v>
      </c>
      <c r="EF570" t="e">
        <f>AND(#REF!,"AAAAAHf8/oc=")</f>
        <v>#REF!</v>
      </c>
      <c r="EG570" t="e">
        <f>AND(#REF!,"AAAAAHf8/og=")</f>
        <v>#REF!</v>
      </c>
      <c r="EH570" t="e">
        <f>AND(#REF!,"AAAAAHf8/ok=")</f>
        <v>#REF!</v>
      </c>
      <c r="EI570" t="e">
        <f>AND(#REF!,"AAAAAHf8/oo=")</f>
        <v>#REF!</v>
      </c>
      <c r="EJ570" t="e">
        <f>AND(#REF!,"AAAAAHf8/os=")</f>
        <v>#REF!</v>
      </c>
      <c r="EK570" t="e">
        <f>AND(#REF!,"AAAAAHf8/ow=")</f>
        <v>#REF!</v>
      </c>
      <c r="EL570" t="e">
        <f>AND(#REF!,"AAAAAHf8/o0=")</f>
        <v>#REF!</v>
      </c>
      <c r="EM570" t="e">
        <f>AND(#REF!,"AAAAAHf8/o4=")</f>
        <v>#REF!</v>
      </c>
      <c r="EN570" t="e">
        <f>AND(#REF!,"AAAAAHf8/o8=")</f>
        <v>#REF!</v>
      </c>
      <c r="EO570" t="e">
        <f>AND(#REF!,"AAAAAHf8/pA=")</f>
        <v>#REF!</v>
      </c>
      <c r="EP570" t="e">
        <f>AND(#REF!,"AAAAAHf8/pE=")</f>
        <v>#REF!</v>
      </c>
      <c r="EQ570" t="e">
        <f>IF(#REF!,"AAAAAHf8/pI=",0)</f>
        <v>#REF!</v>
      </c>
      <c r="ER570" t="e">
        <f>AND(#REF!,"AAAAAHf8/pM=")</f>
        <v>#REF!</v>
      </c>
      <c r="ES570" t="e">
        <f>AND(#REF!,"AAAAAHf8/pQ=")</f>
        <v>#REF!</v>
      </c>
      <c r="ET570" t="e">
        <f>AND(#REF!,"AAAAAHf8/pU=")</f>
        <v>#REF!</v>
      </c>
      <c r="EU570" t="e">
        <f>AND(#REF!,"AAAAAHf8/pY=")</f>
        <v>#REF!</v>
      </c>
      <c r="EV570" t="e">
        <f>AND(#REF!,"AAAAAHf8/pc=")</f>
        <v>#REF!</v>
      </c>
      <c r="EW570" t="e">
        <f>AND(#REF!,"AAAAAHf8/pg=")</f>
        <v>#REF!</v>
      </c>
      <c r="EX570" t="e">
        <f>AND(#REF!,"AAAAAHf8/pk=")</f>
        <v>#REF!</v>
      </c>
      <c r="EY570" t="e">
        <f>AND(#REF!,"AAAAAHf8/po=")</f>
        <v>#REF!</v>
      </c>
      <c r="EZ570" t="e">
        <f>AND(#REF!,"AAAAAHf8/ps=")</f>
        <v>#REF!</v>
      </c>
      <c r="FA570" t="e">
        <f>AND(#REF!,"AAAAAHf8/pw=")</f>
        <v>#REF!</v>
      </c>
      <c r="FB570" t="e">
        <f>AND(#REF!,"AAAAAHf8/p0=")</f>
        <v>#REF!</v>
      </c>
      <c r="FC570" t="e">
        <f>AND(#REF!,"AAAAAHf8/p4=")</f>
        <v>#REF!</v>
      </c>
      <c r="FD570" t="e">
        <f>AND(#REF!,"AAAAAHf8/p8=")</f>
        <v>#REF!</v>
      </c>
      <c r="FE570" t="e">
        <f>AND(#REF!,"AAAAAHf8/qA=")</f>
        <v>#REF!</v>
      </c>
      <c r="FF570" t="e">
        <f>AND(#REF!,"AAAAAHf8/qE=")</f>
        <v>#REF!</v>
      </c>
      <c r="FG570" t="e">
        <f>AND(#REF!,"AAAAAHf8/qI=")</f>
        <v>#REF!</v>
      </c>
      <c r="FH570" t="e">
        <f>AND(#REF!,"AAAAAHf8/qM=")</f>
        <v>#REF!</v>
      </c>
      <c r="FI570" t="e">
        <f>AND(#REF!,"AAAAAHf8/qQ=")</f>
        <v>#REF!</v>
      </c>
      <c r="FJ570" t="e">
        <f>AND(#REF!,"AAAAAHf8/qU=")</f>
        <v>#REF!</v>
      </c>
      <c r="FK570" t="e">
        <f>AND(#REF!,"AAAAAHf8/qY=")</f>
        <v>#REF!</v>
      </c>
      <c r="FL570" t="e">
        <f>AND(#REF!,"AAAAAHf8/qc=")</f>
        <v>#REF!</v>
      </c>
      <c r="FM570" t="e">
        <f>AND(#REF!,"AAAAAHf8/qg=")</f>
        <v>#REF!</v>
      </c>
      <c r="FN570" t="e">
        <f>AND(#REF!,"AAAAAHf8/qk=")</f>
        <v>#REF!</v>
      </c>
      <c r="FO570" t="e">
        <f>AND(#REF!,"AAAAAHf8/qo=")</f>
        <v>#REF!</v>
      </c>
      <c r="FP570" t="e">
        <f>IF(#REF!,"AAAAAHf8/qs=",0)</f>
        <v>#REF!</v>
      </c>
      <c r="FQ570" t="e">
        <f>AND(#REF!,"AAAAAHf8/qw=")</f>
        <v>#REF!</v>
      </c>
      <c r="FR570" t="e">
        <f>AND(#REF!,"AAAAAHf8/q0=")</f>
        <v>#REF!</v>
      </c>
      <c r="FS570" t="e">
        <f>AND(#REF!,"AAAAAHf8/q4=")</f>
        <v>#REF!</v>
      </c>
      <c r="FT570" t="e">
        <f>AND(#REF!,"AAAAAHf8/q8=")</f>
        <v>#REF!</v>
      </c>
      <c r="FU570" t="e">
        <f>AND(#REF!,"AAAAAHf8/rA=")</f>
        <v>#REF!</v>
      </c>
      <c r="FV570" t="e">
        <f>AND(#REF!,"AAAAAHf8/rE=")</f>
        <v>#REF!</v>
      </c>
      <c r="FW570" t="e">
        <f>AND(#REF!,"AAAAAHf8/rI=")</f>
        <v>#REF!</v>
      </c>
      <c r="FX570" t="e">
        <f>AND(#REF!,"AAAAAHf8/rM=")</f>
        <v>#REF!</v>
      </c>
      <c r="FY570" t="e">
        <f>AND(#REF!,"AAAAAHf8/rQ=")</f>
        <v>#REF!</v>
      </c>
      <c r="FZ570" t="e">
        <f>AND(#REF!,"AAAAAHf8/rU=")</f>
        <v>#REF!</v>
      </c>
      <c r="GA570" t="e">
        <f>AND(#REF!,"AAAAAHf8/rY=")</f>
        <v>#REF!</v>
      </c>
      <c r="GB570" t="e">
        <f>AND(#REF!,"AAAAAHf8/rc=")</f>
        <v>#REF!</v>
      </c>
      <c r="GC570" t="e">
        <f>AND(#REF!,"AAAAAHf8/rg=")</f>
        <v>#REF!</v>
      </c>
      <c r="GD570" t="e">
        <f>AND(#REF!,"AAAAAHf8/rk=")</f>
        <v>#REF!</v>
      </c>
      <c r="GE570" t="e">
        <f>AND(#REF!,"AAAAAHf8/ro=")</f>
        <v>#REF!</v>
      </c>
      <c r="GF570" t="e">
        <f>AND(#REF!,"AAAAAHf8/rs=")</f>
        <v>#REF!</v>
      </c>
      <c r="GG570" t="e">
        <f>AND(#REF!,"AAAAAHf8/rw=")</f>
        <v>#REF!</v>
      </c>
      <c r="GH570" t="e">
        <f>AND(#REF!,"AAAAAHf8/r0=")</f>
        <v>#REF!</v>
      </c>
      <c r="GI570" t="e">
        <f>AND(#REF!,"AAAAAHf8/r4=")</f>
        <v>#REF!</v>
      </c>
      <c r="GJ570" t="e">
        <f>AND(#REF!,"AAAAAHf8/r8=")</f>
        <v>#REF!</v>
      </c>
      <c r="GK570" t="e">
        <f>AND(#REF!,"AAAAAHf8/sA=")</f>
        <v>#REF!</v>
      </c>
      <c r="GL570" t="e">
        <f>AND(#REF!,"AAAAAHf8/sE=")</f>
        <v>#REF!</v>
      </c>
      <c r="GM570" t="e">
        <f>AND(#REF!,"AAAAAHf8/sI=")</f>
        <v>#REF!</v>
      </c>
      <c r="GN570" t="e">
        <f>AND(#REF!,"AAAAAHf8/sM=")</f>
        <v>#REF!</v>
      </c>
      <c r="GO570" t="e">
        <f>IF(#REF!,"AAAAAHf8/sQ=",0)</f>
        <v>#REF!</v>
      </c>
      <c r="GP570" t="e">
        <f>AND(#REF!,"AAAAAHf8/sU=")</f>
        <v>#REF!</v>
      </c>
      <c r="GQ570" t="e">
        <f>AND(#REF!,"AAAAAHf8/sY=")</f>
        <v>#REF!</v>
      </c>
      <c r="GR570" t="e">
        <f>AND(#REF!,"AAAAAHf8/sc=")</f>
        <v>#REF!</v>
      </c>
      <c r="GS570" t="e">
        <f>AND(#REF!,"AAAAAHf8/sg=")</f>
        <v>#REF!</v>
      </c>
      <c r="GT570" t="e">
        <f>AND(#REF!,"AAAAAHf8/sk=")</f>
        <v>#REF!</v>
      </c>
      <c r="GU570" t="e">
        <f>AND(#REF!,"AAAAAHf8/so=")</f>
        <v>#REF!</v>
      </c>
      <c r="GV570" t="e">
        <f>AND(#REF!,"AAAAAHf8/ss=")</f>
        <v>#REF!</v>
      </c>
      <c r="GW570" t="e">
        <f>AND(#REF!,"AAAAAHf8/sw=")</f>
        <v>#REF!</v>
      </c>
      <c r="GX570" t="e">
        <f>AND(#REF!,"AAAAAHf8/s0=")</f>
        <v>#REF!</v>
      </c>
      <c r="GY570" t="e">
        <f>AND(#REF!,"AAAAAHf8/s4=")</f>
        <v>#REF!</v>
      </c>
      <c r="GZ570" t="e">
        <f>AND(#REF!,"AAAAAHf8/s8=")</f>
        <v>#REF!</v>
      </c>
      <c r="HA570" t="e">
        <f>AND(#REF!,"AAAAAHf8/tA=")</f>
        <v>#REF!</v>
      </c>
      <c r="HB570" t="e">
        <f>AND(#REF!,"AAAAAHf8/tE=")</f>
        <v>#REF!</v>
      </c>
      <c r="HC570" t="e">
        <f>AND(#REF!,"AAAAAHf8/tI=")</f>
        <v>#REF!</v>
      </c>
      <c r="HD570" t="e">
        <f>AND(#REF!,"AAAAAHf8/tM=")</f>
        <v>#REF!</v>
      </c>
      <c r="HE570" t="e">
        <f>AND(#REF!,"AAAAAHf8/tQ=")</f>
        <v>#REF!</v>
      </c>
      <c r="HF570" t="e">
        <f>AND(#REF!,"AAAAAHf8/tU=")</f>
        <v>#REF!</v>
      </c>
      <c r="HG570" t="e">
        <f>AND(#REF!,"AAAAAHf8/tY=")</f>
        <v>#REF!</v>
      </c>
      <c r="HH570" t="e">
        <f>AND(#REF!,"AAAAAHf8/tc=")</f>
        <v>#REF!</v>
      </c>
      <c r="HI570" t="e">
        <f>AND(#REF!,"AAAAAHf8/tg=")</f>
        <v>#REF!</v>
      </c>
      <c r="HJ570" t="e">
        <f>AND(#REF!,"AAAAAHf8/tk=")</f>
        <v>#REF!</v>
      </c>
      <c r="HK570" t="e">
        <f>AND(#REF!,"AAAAAHf8/to=")</f>
        <v>#REF!</v>
      </c>
      <c r="HL570" t="e">
        <f>AND(#REF!,"AAAAAHf8/ts=")</f>
        <v>#REF!</v>
      </c>
      <c r="HM570" t="e">
        <f>AND(#REF!,"AAAAAHf8/tw=")</f>
        <v>#REF!</v>
      </c>
      <c r="HN570" t="e">
        <f>IF(#REF!,"AAAAAHf8/t0=",0)</f>
        <v>#REF!</v>
      </c>
      <c r="HO570" t="e">
        <f>AND(#REF!,"AAAAAHf8/t4=")</f>
        <v>#REF!</v>
      </c>
      <c r="HP570" t="e">
        <f>AND(#REF!,"AAAAAHf8/t8=")</f>
        <v>#REF!</v>
      </c>
      <c r="HQ570" t="e">
        <f>AND(#REF!,"AAAAAHf8/uA=")</f>
        <v>#REF!</v>
      </c>
      <c r="HR570" t="e">
        <f>AND(#REF!,"AAAAAHf8/uE=")</f>
        <v>#REF!</v>
      </c>
      <c r="HS570" t="e">
        <f>AND(#REF!,"AAAAAHf8/uI=")</f>
        <v>#REF!</v>
      </c>
      <c r="HT570" t="e">
        <f>AND(#REF!,"AAAAAHf8/uM=")</f>
        <v>#REF!</v>
      </c>
      <c r="HU570" t="e">
        <f>AND(#REF!,"AAAAAHf8/uQ=")</f>
        <v>#REF!</v>
      </c>
      <c r="HV570" t="e">
        <f>AND(#REF!,"AAAAAHf8/uU=")</f>
        <v>#REF!</v>
      </c>
      <c r="HW570" t="e">
        <f>AND(#REF!,"AAAAAHf8/uY=")</f>
        <v>#REF!</v>
      </c>
      <c r="HX570" t="e">
        <f>AND(#REF!,"AAAAAHf8/uc=")</f>
        <v>#REF!</v>
      </c>
      <c r="HY570" t="e">
        <f>AND(#REF!,"AAAAAHf8/ug=")</f>
        <v>#REF!</v>
      </c>
      <c r="HZ570" t="e">
        <f>AND(#REF!,"AAAAAHf8/uk=")</f>
        <v>#REF!</v>
      </c>
      <c r="IA570" t="e">
        <f>AND(#REF!,"AAAAAHf8/uo=")</f>
        <v>#REF!</v>
      </c>
      <c r="IB570" t="e">
        <f>AND(#REF!,"AAAAAHf8/us=")</f>
        <v>#REF!</v>
      </c>
      <c r="IC570" t="e">
        <f>AND(#REF!,"AAAAAHf8/uw=")</f>
        <v>#REF!</v>
      </c>
      <c r="ID570" t="e">
        <f>AND(#REF!,"AAAAAHf8/u0=")</f>
        <v>#REF!</v>
      </c>
      <c r="IE570" t="e">
        <f>AND(#REF!,"AAAAAHf8/u4=")</f>
        <v>#REF!</v>
      </c>
      <c r="IF570" t="e">
        <f>AND(#REF!,"AAAAAHf8/u8=")</f>
        <v>#REF!</v>
      </c>
      <c r="IG570" t="e">
        <f>AND(#REF!,"AAAAAHf8/vA=")</f>
        <v>#REF!</v>
      </c>
      <c r="IH570" t="e">
        <f>AND(#REF!,"AAAAAHf8/vE=")</f>
        <v>#REF!</v>
      </c>
      <c r="II570" t="e">
        <f>AND(#REF!,"AAAAAHf8/vI=")</f>
        <v>#REF!</v>
      </c>
      <c r="IJ570" t="e">
        <f>AND(#REF!,"AAAAAHf8/vM=")</f>
        <v>#REF!</v>
      </c>
      <c r="IK570" t="e">
        <f>AND(#REF!,"AAAAAHf8/vQ=")</f>
        <v>#REF!</v>
      </c>
      <c r="IL570" t="e">
        <f>AND(#REF!,"AAAAAHf8/vU=")</f>
        <v>#REF!</v>
      </c>
      <c r="IM570" t="e">
        <f>IF(#REF!,"AAAAAHf8/vY=",0)</f>
        <v>#REF!</v>
      </c>
      <c r="IN570" t="e">
        <f>AND(#REF!,"AAAAAHf8/vc=")</f>
        <v>#REF!</v>
      </c>
      <c r="IO570" t="e">
        <f>AND(#REF!,"AAAAAHf8/vg=")</f>
        <v>#REF!</v>
      </c>
      <c r="IP570" t="e">
        <f>AND(#REF!,"AAAAAHf8/vk=")</f>
        <v>#REF!</v>
      </c>
      <c r="IQ570" t="e">
        <f>AND(#REF!,"AAAAAHf8/vo=")</f>
        <v>#REF!</v>
      </c>
      <c r="IR570" t="e">
        <f>AND(#REF!,"AAAAAHf8/vs=")</f>
        <v>#REF!</v>
      </c>
      <c r="IS570" t="e">
        <f>AND(#REF!,"AAAAAHf8/vw=")</f>
        <v>#REF!</v>
      </c>
      <c r="IT570" t="e">
        <f>AND(#REF!,"AAAAAHf8/v0=")</f>
        <v>#REF!</v>
      </c>
      <c r="IU570" t="e">
        <f>AND(#REF!,"AAAAAHf8/v4=")</f>
        <v>#REF!</v>
      </c>
      <c r="IV570" t="e">
        <f>AND(#REF!,"AAAAAHf8/v8=")</f>
        <v>#REF!</v>
      </c>
    </row>
    <row r="571" spans="1:256">
      <c r="A571" t="e">
        <f>AND(#REF!,"AAAAAHdbmwA=")</f>
        <v>#REF!</v>
      </c>
      <c r="B571" t="e">
        <f>AND(#REF!,"AAAAAHdbmwE=")</f>
        <v>#REF!</v>
      </c>
      <c r="C571" t="e">
        <f>AND(#REF!,"AAAAAHdbmwI=")</f>
        <v>#REF!</v>
      </c>
      <c r="D571" t="e">
        <f>AND(#REF!,"AAAAAHdbmwM=")</f>
        <v>#REF!</v>
      </c>
      <c r="E571" t="e">
        <f>AND(#REF!,"AAAAAHdbmwQ=")</f>
        <v>#REF!</v>
      </c>
      <c r="F571" t="e">
        <f>AND(#REF!,"AAAAAHdbmwU=")</f>
        <v>#REF!</v>
      </c>
      <c r="G571" t="e">
        <f>AND(#REF!,"AAAAAHdbmwY=")</f>
        <v>#REF!</v>
      </c>
      <c r="H571" t="e">
        <f>AND(#REF!,"AAAAAHdbmwc=")</f>
        <v>#REF!</v>
      </c>
      <c r="I571" t="e">
        <f>AND(#REF!,"AAAAAHdbmwg=")</f>
        <v>#REF!</v>
      </c>
      <c r="J571" t="e">
        <f>AND(#REF!,"AAAAAHdbmwk=")</f>
        <v>#REF!</v>
      </c>
      <c r="K571" t="e">
        <f>AND(#REF!,"AAAAAHdbmwo=")</f>
        <v>#REF!</v>
      </c>
      <c r="L571" t="e">
        <f>AND(#REF!,"AAAAAHdbmws=")</f>
        <v>#REF!</v>
      </c>
      <c r="M571" t="e">
        <f>AND(#REF!,"AAAAAHdbmww=")</f>
        <v>#REF!</v>
      </c>
      <c r="N571" t="e">
        <f>AND(#REF!,"AAAAAHdbmw0=")</f>
        <v>#REF!</v>
      </c>
      <c r="O571" t="e">
        <f>AND(#REF!,"AAAAAHdbmw4=")</f>
        <v>#REF!</v>
      </c>
      <c r="P571" t="e">
        <f>IF(#REF!,"AAAAAHdbmw8=",0)</f>
        <v>#REF!</v>
      </c>
      <c r="Q571" t="e">
        <f>AND(#REF!,"AAAAAHdbmxA=")</f>
        <v>#REF!</v>
      </c>
      <c r="R571" t="e">
        <f>AND(#REF!,"AAAAAHdbmxE=")</f>
        <v>#REF!</v>
      </c>
      <c r="S571" t="e">
        <f>AND(#REF!,"AAAAAHdbmxI=")</f>
        <v>#REF!</v>
      </c>
      <c r="T571" t="e">
        <f>AND(#REF!,"AAAAAHdbmxM=")</f>
        <v>#REF!</v>
      </c>
      <c r="U571" t="e">
        <f>AND(#REF!,"AAAAAHdbmxQ=")</f>
        <v>#REF!</v>
      </c>
      <c r="V571" t="e">
        <f>AND(#REF!,"AAAAAHdbmxU=")</f>
        <v>#REF!</v>
      </c>
      <c r="W571" t="e">
        <f>AND(#REF!,"AAAAAHdbmxY=")</f>
        <v>#REF!</v>
      </c>
      <c r="X571" t="e">
        <f>AND(#REF!,"AAAAAHdbmxc=")</f>
        <v>#REF!</v>
      </c>
      <c r="Y571" t="e">
        <f>AND(#REF!,"AAAAAHdbmxg=")</f>
        <v>#REF!</v>
      </c>
      <c r="Z571" t="e">
        <f>AND(#REF!,"AAAAAHdbmxk=")</f>
        <v>#REF!</v>
      </c>
      <c r="AA571" t="e">
        <f>AND(#REF!,"AAAAAHdbmxo=")</f>
        <v>#REF!</v>
      </c>
      <c r="AB571" t="e">
        <f>AND(#REF!,"AAAAAHdbmxs=")</f>
        <v>#REF!</v>
      </c>
      <c r="AC571" t="e">
        <f>AND(#REF!,"AAAAAHdbmxw=")</f>
        <v>#REF!</v>
      </c>
      <c r="AD571" t="e">
        <f>AND(#REF!,"AAAAAHdbmx0=")</f>
        <v>#REF!</v>
      </c>
      <c r="AE571" t="e">
        <f>AND(#REF!,"AAAAAHdbmx4=")</f>
        <v>#REF!</v>
      </c>
      <c r="AF571" t="e">
        <f>AND(#REF!,"AAAAAHdbmx8=")</f>
        <v>#REF!</v>
      </c>
      <c r="AG571" t="e">
        <f>AND(#REF!,"AAAAAHdbmyA=")</f>
        <v>#REF!</v>
      </c>
      <c r="AH571" t="e">
        <f>AND(#REF!,"AAAAAHdbmyE=")</f>
        <v>#REF!</v>
      </c>
      <c r="AI571" t="e">
        <f>AND(#REF!,"AAAAAHdbmyI=")</f>
        <v>#REF!</v>
      </c>
      <c r="AJ571" t="e">
        <f>AND(#REF!,"AAAAAHdbmyM=")</f>
        <v>#REF!</v>
      </c>
      <c r="AK571" t="e">
        <f>AND(#REF!,"AAAAAHdbmyQ=")</f>
        <v>#REF!</v>
      </c>
      <c r="AL571" t="e">
        <f>AND(#REF!,"AAAAAHdbmyU=")</f>
        <v>#REF!</v>
      </c>
      <c r="AM571" t="e">
        <f>AND(#REF!,"AAAAAHdbmyY=")</f>
        <v>#REF!</v>
      </c>
      <c r="AN571" t="e">
        <f>AND(#REF!,"AAAAAHdbmyc=")</f>
        <v>#REF!</v>
      </c>
      <c r="AO571" t="e">
        <f>IF(#REF!,"AAAAAHdbmyg=",0)</f>
        <v>#REF!</v>
      </c>
      <c r="AP571" t="e">
        <f>AND(#REF!,"AAAAAHdbmyk=")</f>
        <v>#REF!</v>
      </c>
      <c r="AQ571" t="e">
        <f>AND(#REF!,"AAAAAHdbmyo=")</f>
        <v>#REF!</v>
      </c>
      <c r="AR571" t="e">
        <f>AND(#REF!,"AAAAAHdbmys=")</f>
        <v>#REF!</v>
      </c>
      <c r="AS571" t="e">
        <f>AND(#REF!,"AAAAAHdbmyw=")</f>
        <v>#REF!</v>
      </c>
      <c r="AT571" t="e">
        <f>AND(#REF!,"AAAAAHdbmy0=")</f>
        <v>#REF!</v>
      </c>
      <c r="AU571" t="e">
        <f>AND(#REF!,"AAAAAHdbmy4=")</f>
        <v>#REF!</v>
      </c>
      <c r="AV571" t="e">
        <f>AND(#REF!,"AAAAAHdbmy8=")</f>
        <v>#REF!</v>
      </c>
      <c r="AW571" t="e">
        <f>AND(#REF!,"AAAAAHdbmzA=")</f>
        <v>#REF!</v>
      </c>
      <c r="AX571" t="e">
        <f>AND(#REF!,"AAAAAHdbmzE=")</f>
        <v>#REF!</v>
      </c>
      <c r="AY571" t="e">
        <f>AND(#REF!,"AAAAAHdbmzI=")</f>
        <v>#REF!</v>
      </c>
      <c r="AZ571" t="e">
        <f>AND(#REF!,"AAAAAHdbmzM=")</f>
        <v>#REF!</v>
      </c>
      <c r="BA571" t="e">
        <f>AND(#REF!,"AAAAAHdbmzQ=")</f>
        <v>#REF!</v>
      </c>
      <c r="BB571" t="e">
        <f>AND(#REF!,"AAAAAHdbmzU=")</f>
        <v>#REF!</v>
      </c>
      <c r="BC571" t="e">
        <f>AND(#REF!,"AAAAAHdbmzY=")</f>
        <v>#REF!</v>
      </c>
      <c r="BD571" t="e">
        <f>AND(#REF!,"AAAAAHdbmzc=")</f>
        <v>#REF!</v>
      </c>
      <c r="BE571" t="e">
        <f>AND(#REF!,"AAAAAHdbmzg=")</f>
        <v>#REF!</v>
      </c>
      <c r="BF571" t="e">
        <f>AND(#REF!,"AAAAAHdbmzk=")</f>
        <v>#REF!</v>
      </c>
      <c r="BG571" t="e">
        <f>AND(#REF!,"AAAAAHdbmzo=")</f>
        <v>#REF!</v>
      </c>
      <c r="BH571" t="e">
        <f>AND(#REF!,"AAAAAHdbmzs=")</f>
        <v>#REF!</v>
      </c>
      <c r="BI571" t="e">
        <f>AND(#REF!,"AAAAAHdbmzw=")</f>
        <v>#REF!</v>
      </c>
      <c r="BJ571" t="e">
        <f>AND(#REF!,"AAAAAHdbmz0=")</f>
        <v>#REF!</v>
      </c>
      <c r="BK571" t="e">
        <f>AND(#REF!,"AAAAAHdbmz4=")</f>
        <v>#REF!</v>
      </c>
      <c r="BL571" t="e">
        <f>AND(#REF!,"AAAAAHdbmz8=")</f>
        <v>#REF!</v>
      </c>
      <c r="BM571" t="e">
        <f>AND(#REF!,"AAAAAHdbm0A=")</f>
        <v>#REF!</v>
      </c>
      <c r="BN571" t="e">
        <f>IF(#REF!,"AAAAAHdbm0E=",0)</f>
        <v>#REF!</v>
      </c>
      <c r="BO571" t="e">
        <f>AND(#REF!,"AAAAAHdbm0I=")</f>
        <v>#REF!</v>
      </c>
      <c r="BP571" t="e">
        <f>AND(#REF!,"AAAAAHdbm0M=")</f>
        <v>#REF!</v>
      </c>
      <c r="BQ571" t="e">
        <f>AND(#REF!,"AAAAAHdbm0Q=")</f>
        <v>#REF!</v>
      </c>
      <c r="BR571" t="e">
        <f>AND(#REF!,"AAAAAHdbm0U=")</f>
        <v>#REF!</v>
      </c>
      <c r="BS571" t="e">
        <f>AND(#REF!,"AAAAAHdbm0Y=")</f>
        <v>#REF!</v>
      </c>
      <c r="BT571" t="e">
        <f>AND(#REF!,"AAAAAHdbm0c=")</f>
        <v>#REF!</v>
      </c>
      <c r="BU571" t="e">
        <f>AND(#REF!,"AAAAAHdbm0g=")</f>
        <v>#REF!</v>
      </c>
      <c r="BV571" t="e">
        <f>AND(#REF!,"AAAAAHdbm0k=")</f>
        <v>#REF!</v>
      </c>
      <c r="BW571" t="e">
        <f>AND(#REF!,"AAAAAHdbm0o=")</f>
        <v>#REF!</v>
      </c>
      <c r="BX571" t="e">
        <f>AND(#REF!,"AAAAAHdbm0s=")</f>
        <v>#REF!</v>
      </c>
      <c r="BY571" t="e">
        <f>AND(#REF!,"AAAAAHdbm0w=")</f>
        <v>#REF!</v>
      </c>
      <c r="BZ571" t="e">
        <f>AND(#REF!,"AAAAAHdbm00=")</f>
        <v>#REF!</v>
      </c>
      <c r="CA571" t="e">
        <f>AND(#REF!,"AAAAAHdbm04=")</f>
        <v>#REF!</v>
      </c>
      <c r="CB571" t="e">
        <f>AND(#REF!,"AAAAAHdbm08=")</f>
        <v>#REF!</v>
      </c>
      <c r="CC571" t="e">
        <f>AND(#REF!,"AAAAAHdbm1A=")</f>
        <v>#REF!</v>
      </c>
      <c r="CD571" t="e">
        <f>AND(#REF!,"AAAAAHdbm1E=")</f>
        <v>#REF!</v>
      </c>
      <c r="CE571" t="e">
        <f>AND(#REF!,"AAAAAHdbm1I=")</f>
        <v>#REF!</v>
      </c>
      <c r="CF571" t="e">
        <f>AND(#REF!,"AAAAAHdbm1M=")</f>
        <v>#REF!</v>
      </c>
      <c r="CG571" t="e">
        <f>AND(#REF!,"AAAAAHdbm1Q=")</f>
        <v>#REF!</v>
      </c>
      <c r="CH571" t="e">
        <f>AND(#REF!,"AAAAAHdbm1U=")</f>
        <v>#REF!</v>
      </c>
      <c r="CI571" t="e">
        <f>AND(#REF!,"AAAAAHdbm1Y=")</f>
        <v>#REF!</v>
      </c>
      <c r="CJ571" t="e">
        <f>AND(#REF!,"AAAAAHdbm1c=")</f>
        <v>#REF!</v>
      </c>
      <c r="CK571" t="e">
        <f>AND(#REF!,"AAAAAHdbm1g=")</f>
        <v>#REF!</v>
      </c>
      <c r="CL571" t="e">
        <f>AND(#REF!,"AAAAAHdbm1k=")</f>
        <v>#REF!</v>
      </c>
      <c r="CM571" t="e">
        <f>IF(#REF!,"AAAAAHdbm1o=",0)</f>
        <v>#REF!</v>
      </c>
      <c r="CN571" t="e">
        <f>AND(#REF!,"AAAAAHdbm1s=")</f>
        <v>#REF!</v>
      </c>
      <c r="CO571" t="e">
        <f>AND(#REF!,"AAAAAHdbm1w=")</f>
        <v>#REF!</v>
      </c>
      <c r="CP571" t="e">
        <f>AND(#REF!,"AAAAAHdbm10=")</f>
        <v>#REF!</v>
      </c>
      <c r="CQ571" t="e">
        <f>AND(#REF!,"AAAAAHdbm14=")</f>
        <v>#REF!</v>
      </c>
      <c r="CR571" t="e">
        <f>AND(#REF!,"AAAAAHdbm18=")</f>
        <v>#REF!</v>
      </c>
      <c r="CS571" t="e">
        <f>AND(#REF!,"AAAAAHdbm2A=")</f>
        <v>#REF!</v>
      </c>
      <c r="CT571" t="e">
        <f>AND(#REF!,"AAAAAHdbm2E=")</f>
        <v>#REF!</v>
      </c>
      <c r="CU571" t="e">
        <f>AND(#REF!,"AAAAAHdbm2I=")</f>
        <v>#REF!</v>
      </c>
      <c r="CV571" t="e">
        <f>AND(#REF!,"AAAAAHdbm2M=")</f>
        <v>#REF!</v>
      </c>
      <c r="CW571" t="e">
        <f>AND(#REF!,"AAAAAHdbm2Q=")</f>
        <v>#REF!</v>
      </c>
      <c r="CX571" t="e">
        <f>AND(#REF!,"AAAAAHdbm2U=")</f>
        <v>#REF!</v>
      </c>
      <c r="CY571" t="e">
        <f>AND(#REF!,"AAAAAHdbm2Y=")</f>
        <v>#REF!</v>
      </c>
      <c r="CZ571" t="e">
        <f>AND(#REF!,"AAAAAHdbm2c=")</f>
        <v>#REF!</v>
      </c>
      <c r="DA571" t="e">
        <f>AND(#REF!,"AAAAAHdbm2g=")</f>
        <v>#REF!</v>
      </c>
      <c r="DB571" t="e">
        <f>AND(#REF!,"AAAAAHdbm2k=")</f>
        <v>#REF!</v>
      </c>
      <c r="DC571" t="e">
        <f>AND(#REF!,"AAAAAHdbm2o=")</f>
        <v>#REF!</v>
      </c>
      <c r="DD571" t="e">
        <f>AND(#REF!,"AAAAAHdbm2s=")</f>
        <v>#REF!</v>
      </c>
      <c r="DE571" t="e">
        <f>AND(#REF!,"AAAAAHdbm2w=")</f>
        <v>#REF!</v>
      </c>
      <c r="DF571" t="e">
        <f>AND(#REF!,"AAAAAHdbm20=")</f>
        <v>#REF!</v>
      </c>
      <c r="DG571" t="e">
        <f>AND(#REF!,"AAAAAHdbm24=")</f>
        <v>#REF!</v>
      </c>
      <c r="DH571" t="e">
        <f>AND(#REF!,"AAAAAHdbm28=")</f>
        <v>#REF!</v>
      </c>
      <c r="DI571" t="e">
        <f>AND(#REF!,"AAAAAHdbm3A=")</f>
        <v>#REF!</v>
      </c>
      <c r="DJ571" t="e">
        <f>AND(#REF!,"AAAAAHdbm3E=")</f>
        <v>#REF!</v>
      </c>
      <c r="DK571" t="e">
        <f>AND(#REF!,"AAAAAHdbm3I=")</f>
        <v>#REF!</v>
      </c>
      <c r="DL571" t="e">
        <f>IF(#REF!,"AAAAAHdbm3M=",0)</f>
        <v>#REF!</v>
      </c>
      <c r="DM571" t="e">
        <f>AND(#REF!,"AAAAAHdbm3Q=")</f>
        <v>#REF!</v>
      </c>
      <c r="DN571" t="e">
        <f>AND(#REF!,"AAAAAHdbm3U=")</f>
        <v>#REF!</v>
      </c>
      <c r="DO571" t="e">
        <f>AND(#REF!,"AAAAAHdbm3Y=")</f>
        <v>#REF!</v>
      </c>
      <c r="DP571" t="e">
        <f>AND(#REF!,"AAAAAHdbm3c=")</f>
        <v>#REF!</v>
      </c>
      <c r="DQ571" t="e">
        <f>AND(#REF!,"AAAAAHdbm3g=")</f>
        <v>#REF!</v>
      </c>
      <c r="DR571" t="e">
        <f>AND(#REF!,"AAAAAHdbm3k=")</f>
        <v>#REF!</v>
      </c>
      <c r="DS571" t="e">
        <f>AND(#REF!,"AAAAAHdbm3o=")</f>
        <v>#REF!</v>
      </c>
      <c r="DT571" t="e">
        <f>AND(#REF!,"AAAAAHdbm3s=")</f>
        <v>#REF!</v>
      </c>
      <c r="DU571" t="e">
        <f>AND(#REF!,"AAAAAHdbm3w=")</f>
        <v>#REF!</v>
      </c>
      <c r="DV571" t="e">
        <f>AND(#REF!,"AAAAAHdbm30=")</f>
        <v>#REF!</v>
      </c>
      <c r="DW571" t="e">
        <f>AND(#REF!,"AAAAAHdbm34=")</f>
        <v>#REF!</v>
      </c>
      <c r="DX571" t="e">
        <f>AND(#REF!,"AAAAAHdbm38=")</f>
        <v>#REF!</v>
      </c>
      <c r="DY571" t="e">
        <f>AND(#REF!,"AAAAAHdbm4A=")</f>
        <v>#REF!</v>
      </c>
      <c r="DZ571" t="e">
        <f>AND(#REF!,"AAAAAHdbm4E=")</f>
        <v>#REF!</v>
      </c>
      <c r="EA571" t="e">
        <f>AND(#REF!,"AAAAAHdbm4I=")</f>
        <v>#REF!</v>
      </c>
      <c r="EB571" t="e">
        <f>AND(#REF!,"AAAAAHdbm4M=")</f>
        <v>#REF!</v>
      </c>
      <c r="EC571" t="e">
        <f>AND(#REF!,"AAAAAHdbm4Q=")</f>
        <v>#REF!</v>
      </c>
      <c r="ED571" t="e">
        <f>AND(#REF!,"AAAAAHdbm4U=")</f>
        <v>#REF!</v>
      </c>
      <c r="EE571" t="e">
        <f>AND(#REF!,"AAAAAHdbm4Y=")</f>
        <v>#REF!</v>
      </c>
      <c r="EF571" t="e">
        <f>AND(#REF!,"AAAAAHdbm4c=")</f>
        <v>#REF!</v>
      </c>
      <c r="EG571" t="e">
        <f>AND(#REF!,"AAAAAHdbm4g=")</f>
        <v>#REF!</v>
      </c>
      <c r="EH571" t="e">
        <f>AND(#REF!,"AAAAAHdbm4k=")</f>
        <v>#REF!</v>
      </c>
      <c r="EI571" t="e">
        <f>AND(#REF!,"AAAAAHdbm4o=")</f>
        <v>#REF!</v>
      </c>
      <c r="EJ571" t="e">
        <f>AND(#REF!,"AAAAAHdbm4s=")</f>
        <v>#REF!</v>
      </c>
      <c r="EK571" t="e">
        <f>IF(#REF!,"AAAAAHdbm4w=",0)</f>
        <v>#REF!</v>
      </c>
      <c r="EL571" t="e">
        <f>AND(#REF!,"AAAAAHdbm40=")</f>
        <v>#REF!</v>
      </c>
      <c r="EM571" t="e">
        <f>AND(#REF!,"AAAAAHdbm44=")</f>
        <v>#REF!</v>
      </c>
      <c r="EN571" t="e">
        <f>AND(#REF!,"AAAAAHdbm48=")</f>
        <v>#REF!</v>
      </c>
      <c r="EO571" t="e">
        <f>AND(#REF!,"AAAAAHdbm5A=")</f>
        <v>#REF!</v>
      </c>
      <c r="EP571" t="e">
        <f>AND(#REF!,"AAAAAHdbm5E=")</f>
        <v>#REF!</v>
      </c>
      <c r="EQ571" t="e">
        <f>AND(#REF!,"AAAAAHdbm5I=")</f>
        <v>#REF!</v>
      </c>
      <c r="ER571" t="e">
        <f>AND(#REF!,"AAAAAHdbm5M=")</f>
        <v>#REF!</v>
      </c>
      <c r="ES571" t="e">
        <f>AND(#REF!,"AAAAAHdbm5Q=")</f>
        <v>#REF!</v>
      </c>
      <c r="ET571" t="e">
        <f>AND(#REF!,"AAAAAHdbm5U=")</f>
        <v>#REF!</v>
      </c>
      <c r="EU571" t="e">
        <f>AND(#REF!,"AAAAAHdbm5Y=")</f>
        <v>#REF!</v>
      </c>
      <c r="EV571" t="e">
        <f>AND(#REF!,"AAAAAHdbm5c=")</f>
        <v>#REF!</v>
      </c>
      <c r="EW571" t="e">
        <f>AND(#REF!,"AAAAAHdbm5g=")</f>
        <v>#REF!</v>
      </c>
      <c r="EX571" t="e">
        <f>AND(#REF!,"AAAAAHdbm5k=")</f>
        <v>#REF!</v>
      </c>
      <c r="EY571" t="e">
        <f>AND(#REF!,"AAAAAHdbm5o=")</f>
        <v>#REF!</v>
      </c>
      <c r="EZ571" t="e">
        <f>AND(#REF!,"AAAAAHdbm5s=")</f>
        <v>#REF!</v>
      </c>
      <c r="FA571" t="e">
        <f>AND(#REF!,"AAAAAHdbm5w=")</f>
        <v>#REF!</v>
      </c>
      <c r="FB571" t="e">
        <f>AND(#REF!,"AAAAAHdbm50=")</f>
        <v>#REF!</v>
      </c>
      <c r="FC571" t="e">
        <f>AND(#REF!,"AAAAAHdbm54=")</f>
        <v>#REF!</v>
      </c>
      <c r="FD571" t="e">
        <f>AND(#REF!,"AAAAAHdbm58=")</f>
        <v>#REF!</v>
      </c>
      <c r="FE571" t="e">
        <f>AND(#REF!,"AAAAAHdbm6A=")</f>
        <v>#REF!</v>
      </c>
      <c r="FF571" t="e">
        <f>AND(#REF!,"AAAAAHdbm6E=")</f>
        <v>#REF!</v>
      </c>
      <c r="FG571" t="e">
        <f>AND(#REF!,"AAAAAHdbm6I=")</f>
        <v>#REF!</v>
      </c>
      <c r="FH571" t="e">
        <f>AND(#REF!,"AAAAAHdbm6M=")</f>
        <v>#REF!</v>
      </c>
      <c r="FI571" t="e">
        <f>AND(#REF!,"AAAAAHdbm6Q=")</f>
        <v>#REF!</v>
      </c>
      <c r="FJ571" t="e">
        <f>IF(#REF!,"AAAAAHdbm6U=",0)</f>
        <v>#REF!</v>
      </c>
      <c r="FK571" t="e">
        <f>AND(#REF!,"AAAAAHdbm6Y=")</f>
        <v>#REF!</v>
      </c>
      <c r="FL571" t="e">
        <f>AND(#REF!,"AAAAAHdbm6c=")</f>
        <v>#REF!</v>
      </c>
      <c r="FM571" t="e">
        <f>AND(#REF!,"AAAAAHdbm6g=")</f>
        <v>#REF!</v>
      </c>
      <c r="FN571" t="e">
        <f>AND(#REF!,"AAAAAHdbm6k=")</f>
        <v>#REF!</v>
      </c>
      <c r="FO571" t="e">
        <f>AND(#REF!,"AAAAAHdbm6o=")</f>
        <v>#REF!</v>
      </c>
      <c r="FP571" t="e">
        <f>AND(#REF!,"AAAAAHdbm6s=")</f>
        <v>#REF!</v>
      </c>
      <c r="FQ571" t="e">
        <f>AND(#REF!,"AAAAAHdbm6w=")</f>
        <v>#REF!</v>
      </c>
      <c r="FR571" t="e">
        <f>AND(#REF!,"AAAAAHdbm60=")</f>
        <v>#REF!</v>
      </c>
      <c r="FS571" t="e">
        <f>AND(#REF!,"AAAAAHdbm64=")</f>
        <v>#REF!</v>
      </c>
      <c r="FT571" t="e">
        <f>AND(#REF!,"AAAAAHdbm68=")</f>
        <v>#REF!</v>
      </c>
      <c r="FU571" t="e">
        <f>AND(#REF!,"AAAAAHdbm7A=")</f>
        <v>#REF!</v>
      </c>
      <c r="FV571" t="e">
        <f>AND(#REF!,"AAAAAHdbm7E=")</f>
        <v>#REF!</v>
      </c>
      <c r="FW571" t="e">
        <f>AND(#REF!,"AAAAAHdbm7I=")</f>
        <v>#REF!</v>
      </c>
      <c r="FX571" t="e">
        <f>AND(#REF!,"AAAAAHdbm7M=")</f>
        <v>#REF!</v>
      </c>
      <c r="FY571" t="e">
        <f>AND(#REF!,"AAAAAHdbm7Q=")</f>
        <v>#REF!</v>
      </c>
      <c r="FZ571" t="e">
        <f>AND(#REF!,"AAAAAHdbm7U=")</f>
        <v>#REF!</v>
      </c>
      <c r="GA571" t="e">
        <f>AND(#REF!,"AAAAAHdbm7Y=")</f>
        <v>#REF!</v>
      </c>
      <c r="GB571" t="e">
        <f>AND(#REF!,"AAAAAHdbm7c=")</f>
        <v>#REF!</v>
      </c>
      <c r="GC571" t="e">
        <f>AND(#REF!,"AAAAAHdbm7g=")</f>
        <v>#REF!</v>
      </c>
      <c r="GD571" t="e">
        <f>AND(#REF!,"AAAAAHdbm7k=")</f>
        <v>#REF!</v>
      </c>
      <c r="GE571" t="e">
        <f>AND(#REF!,"AAAAAHdbm7o=")</f>
        <v>#REF!</v>
      </c>
      <c r="GF571" t="e">
        <f>AND(#REF!,"AAAAAHdbm7s=")</f>
        <v>#REF!</v>
      </c>
      <c r="GG571" t="e">
        <f>AND(#REF!,"AAAAAHdbm7w=")</f>
        <v>#REF!</v>
      </c>
      <c r="GH571" t="e">
        <f>AND(#REF!,"AAAAAHdbm70=")</f>
        <v>#REF!</v>
      </c>
      <c r="GI571" t="e">
        <f>IF(#REF!,"AAAAAHdbm74=",0)</f>
        <v>#REF!</v>
      </c>
      <c r="GJ571" t="e">
        <f>AND(#REF!,"AAAAAHdbm78=")</f>
        <v>#REF!</v>
      </c>
      <c r="GK571" t="e">
        <f>AND(#REF!,"AAAAAHdbm8A=")</f>
        <v>#REF!</v>
      </c>
      <c r="GL571" t="e">
        <f>AND(#REF!,"AAAAAHdbm8E=")</f>
        <v>#REF!</v>
      </c>
      <c r="GM571" t="e">
        <f>AND(#REF!,"AAAAAHdbm8I=")</f>
        <v>#REF!</v>
      </c>
      <c r="GN571" t="e">
        <f>AND(#REF!,"AAAAAHdbm8M=")</f>
        <v>#REF!</v>
      </c>
      <c r="GO571" t="e">
        <f>AND(#REF!,"AAAAAHdbm8Q=")</f>
        <v>#REF!</v>
      </c>
      <c r="GP571" t="e">
        <f>AND(#REF!,"AAAAAHdbm8U=")</f>
        <v>#REF!</v>
      </c>
      <c r="GQ571" t="e">
        <f>AND(#REF!,"AAAAAHdbm8Y=")</f>
        <v>#REF!</v>
      </c>
      <c r="GR571" t="e">
        <f>AND(#REF!,"AAAAAHdbm8c=")</f>
        <v>#REF!</v>
      </c>
      <c r="GS571" t="e">
        <f>AND(#REF!,"AAAAAHdbm8g=")</f>
        <v>#REF!</v>
      </c>
      <c r="GT571" t="e">
        <f>AND(#REF!,"AAAAAHdbm8k=")</f>
        <v>#REF!</v>
      </c>
      <c r="GU571" t="e">
        <f>AND(#REF!,"AAAAAHdbm8o=")</f>
        <v>#REF!</v>
      </c>
      <c r="GV571" t="e">
        <f>AND(#REF!,"AAAAAHdbm8s=")</f>
        <v>#REF!</v>
      </c>
      <c r="GW571" t="e">
        <f>AND(#REF!,"AAAAAHdbm8w=")</f>
        <v>#REF!</v>
      </c>
      <c r="GX571" t="e">
        <f>AND(#REF!,"AAAAAHdbm80=")</f>
        <v>#REF!</v>
      </c>
      <c r="GY571" t="e">
        <f>AND(#REF!,"AAAAAHdbm84=")</f>
        <v>#REF!</v>
      </c>
      <c r="GZ571" t="e">
        <f>AND(#REF!,"AAAAAHdbm88=")</f>
        <v>#REF!</v>
      </c>
      <c r="HA571" t="e">
        <f>AND(#REF!,"AAAAAHdbm9A=")</f>
        <v>#REF!</v>
      </c>
      <c r="HB571" t="e">
        <f>AND(#REF!,"AAAAAHdbm9E=")</f>
        <v>#REF!</v>
      </c>
      <c r="HC571" t="e">
        <f>AND(#REF!,"AAAAAHdbm9I=")</f>
        <v>#REF!</v>
      </c>
      <c r="HD571" t="e">
        <f>AND(#REF!,"AAAAAHdbm9M=")</f>
        <v>#REF!</v>
      </c>
      <c r="HE571" t="e">
        <f>AND(#REF!,"AAAAAHdbm9Q=")</f>
        <v>#REF!</v>
      </c>
      <c r="HF571" t="e">
        <f>AND(#REF!,"AAAAAHdbm9U=")</f>
        <v>#REF!</v>
      </c>
      <c r="HG571" t="e">
        <f>AND(#REF!,"AAAAAHdbm9Y=")</f>
        <v>#REF!</v>
      </c>
      <c r="HH571" t="e">
        <f>IF(#REF!,"AAAAAHdbm9c=",0)</f>
        <v>#REF!</v>
      </c>
      <c r="HI571" t="e">
        <f>AND(#REF!,"AAAAAHdbm9g=")</f>
        <v>#REF!</v>
      </c>
      <c r="HJ571" t="e">
        <f>AND(#REF!,"AAAAAHdbm9k=")</f>
        <v>#REF!</v>
      </c>
      <c r="HK571" t="e">
        <f>AND(#REF!,"AAAAAHdbm9o=")</f>
        <v>#REF!</v>
      </c>
      <c r="HL571" t="e">
        <f>AND(#REF!,"AAAAAHdbm9s=")</f>
        <v>#REF!</v>
      </c>
      <c r="HM571" t="e">
        <f>AND(#REF!,"AAAAAHdbm9w=")</f>
        <v>#REF!</v>
      </c>
      <c r="HN571" t="e">
        <f>AND(#REF!,"AAAAAHdbm90=")</f>
        <v>#REF!</v>
      </c>
      <c r="HO571" t="e">
        <f>AND(#REF!,"AAAAAHdbm94=")</f>
        <v>#REF!</v>
      </c>
      <c r="HP571" t="e">
        <f>AND(#REF!,"AAAAAHdbm98=")</f>
        <v>#REF!</v>
      </c>
      <c r="HQ571" t="e">
        <f>AND(#REF!,"AAAAAHdbm+A=")</f>
        <v>#REF!</v>
      </c>
      <c r="HR571" t="e">
        <f>AND(#REF!,"AAAAAHdbm+E=")</f>
        <v>#REF!</v>
      </c>
      <c r="HS571" t="e">
        <f>AND(#REF!,"AAAAAHdbm+I=")</f>
        <v>#REF!</v>
      </c>
      <c r="HT571" t="e">
        <f>AND(#REF!,"AAAAAHdbm+M=")</f>
        <v>#REF!</v>
      </c>
      <c r="HU571" t="e">
        <f>AND(#REF!,"AAAAAHdbm+Q=")</f>
        <v>#REF!</v>
      </c>
      <c r="HV571" t="e">
        <f>AND(#REF!,"AAAAAHdbm+U=")</f>
        <v>#REF!</v>
      </c>
      <c r="HW571" t="e">
        <f>AND(#REF!,"AAAAAHdbm+Y=")</f>
        <v>#REF!</v>
      </c>
      <c r="HX571" t="e">
        <f>AND(#REF!,"AAAAAHdbm+c=")</f>
        <v>#REF!</v>
      </c>
      <c r="HY571" t="e">
        <f>AND(#REF!,"AAAAAHdbm+g=")</f>
        <v>#REF!</v>
      </c>
      <c r="HZ571" t="e">
        <f>AND(#REF!,"AAAAAHdbm+k=")</f>
        <v>#REF!</v>
      </c>
      <c r="IA571" t="e">
        <f>AND(#REF!,"AAAAAHdbm+o=")</f>
        <v>#REF!</v>
      </c>
      <c r="IB571" t="e">
        <f>AND(#REF!,"AAAAAHdbm+s=")</f>
        <v>#REF!</v>
      </c>
      <c r="IC571" t="e">
        <f>AND(#REF!,"AAAAAHdbm+w=")</f>
        <v>#REF!</v>
      </c>
      <c r="ID571" t="e">
        <f>AND(#REF!,"AAAAAHdbm+0=")</f>
        <v>#REF!</v>
      </c>
      <c r="IE571" t="e">
        <f>AND(#REF!,"AAAAAHdbm+4=")</f>
        <v>#REF!</v>
      </c>
      <c r="IF571" t="e">
        <f>AND(#REF!,"AAAAAHdbm+8=")</f>
        <v>#REF!</v>
      </c>
      <c r="IG571" t="e">
        <f>IF(#REF!,"AAAAAHdbm/A=",0)</f>
        <v>#REF!</v>
      </c>
      <c r="IH571" t="e">
        <f>AND(#REF!,"AAAAAHdbm/E=")</f>
        <v>#REF!</v>
      </c>
      <c r="II571" t="e">
        <f>AND(#REF!,"AAAAAHdbm/I=")</f>
        <v>#REF!</v>
      </c>
      <c r="IJ571" t="e">
        <f>AND(#REF!,"AAAAAHdbm/M=")</f>
        <v>#REF!</v>
      </c>
      <c r="IK571" t="e">
        <f>AND(#REF!,"AAAAAHdbm/Q=")</f>
        <v>#REF!</v>
      </c>
      <c r="IL571" t="e">
        <f>AND(#REF!,"AAAAAHdbm/U=")</f>
        <v>#REF!</v>
      </c>
      <c r="IM571" t="e">
        <f>AND(#REF!,"AAAAAHdbm/Y=")</f>
        <v>#REF!</v>
      </c>
      <c r="IN571" t="e">
        <f>AND(#REF!,"AAAAAHdbm/c=")</f>
        <v>#REF!</v>
      </c>
      <c r="IO571" t="e">
        <f>AND(#REF!,"AAAAAHdbm/g=")</f>
        <v>#REF!</v>
      </c>
      <c r="IP571" t="e">
        <f>AND(#REF!,"AAAAAHdbm/k=")</f>
        <v>#REF!</v>
      </c>
      <c r="IQ571" t="e">
        <f>AND(#REF!,"AAAAAHdbm/o=")</f>
        <v>#REF!</v>
      </c>
      <c r="IR571" t="e">
        <f>AND(#REF!,"AAAAAHdbm/s=")</f>
        <v>#REF!</v>
      </c>
      <c r="IS571" t="e">
        <f>AND(#REF!,"AAAAAHdbm/w=")</f>
        <v>#REF!</v>
      </c>
      <c r="IT571" t="e">
        <f>AND(#REF!,"AAAAAHdbm/0=")</f>
        <v>#REF!</v>
      </c>
      <c r="IU571" t="e">
        <f>AND(#REF!,"AAAAAHdbm/4=")</f>
        <v>#REF!</v>
      </c>
      <c r="IV571" t="e">
        <f>AND(#REF!,"AAAAAHdbm/8=")</f>
        <v>#REF!</v>
      </c>
    </row>
    <row r="572" spans="1:256">
      <c r="A572" t="e">
        <f>AND(#REF!,"AAAAAH1v3wA=")</f>
        <v>#REF!</v>
      </c>
      <c r="B572" t="e">
        <f>AND(#REF!,"AAAAAH1v3wE=")</f>
        <v>#REF!</v>
      </c>
      <c r="C572" t="e">
        <f>AND(#REF!,"AAAAAH1v3wI=")</f>
        <v>#REF!</v>
      </c>
      <c r="D572" t="e">
        <f>AND(#REF!,"AAAAAH1v3wM=")</f>
        <v>#REF!</v>
      </c>
      <c r="E572" t="e">
        <f>AND(#REF!,"AAAAAH1v3wQ=")</f>
        <v>#REF!</v>
      </c>
      <c r="F572" t="e">
        <f>AND(#REF!,"AAAAAH1v3wU=")</f>
        <v>#REF!</v>
      </c>
      <c r="G572" t="e">
        <f>AND(#REF!,"AAAAAH1v3wY=")</f>
        <v>#REF!</v>
      </c>
      <c r="H572" t="e">
        <f>AND(#REF!,"AAAAAH1v3wc=")</f>
        <v>#REF!</v>
      </c>
      <c r="I572" t="e">
        <f>AND(#REF!,"AAAAAH1v3wg=")</f>
        <v>#REF!</v>
      </c>
      <c r="J572" t="e">
        <f>IF(#REF!,"AAAAAH1v3wk=",0)</f>
        <v>#REF!</v>
      </c>
      <c r="K572" t="e">
        <f>AND(#REF!,"AAAAAH1v3wo=")</f>
        <v>#REF!</v>
      </c>
      <c r="L572" t="e">
        <f>AND(#REF!,"AAAAAH1v3ws=")</f>
        <v>#REF!</v>
      </c>
      <c r="M572" t="e">
        <f>AND(#REF!,"AAAAAH1v3ww=")</f>
        <v>#REF!</v>
      </c>
      <c r="N572" t="e">
        <f>AND(#REF!,"AAAAAH1v3w0=")</f>
        <v>#REF!</v>
      </c>
      <c r="O572" t="e">
        <f>AND(#REF!,"AAAAAH1v3w4=")</f>
        <v>#REF!</v>
      </c>
      <c r="P572" t="e">
        <f>AND(#REF!,"AAAAAH1v3w8=")</f>
        <v>#REF!</v>
      </c>
      <c r="Q572" t="e">
        <f>AND(#REF!,"AAAAAH1v3xA=")</f>
        <v>#REF!</v>
      </c>
      <c r="R572" t="e">
        <f>AND(#REF!,"AAAAAH1v3xE=")</f>
        <v>#REF!</v>
      </c>
      <c r="S572" t="e">
        <f>AND(#REF!,"AAAAAH1v3xI=")</f>
        <v>#REF!</v>
      </c>
      <c r="T572" t="e">
        <f>AND(#REF!,"AAAAAH1v3xM=")</f>
        <v>#REF!</v>
      </c>
      <c r="U572" t="e">
        <f>AND(#REF!,"AAAAAH1v3xQ=")</f>
        <v>#REF!</v>
      </c>
      <c r="V572" t="e">
        <f>AND(#REF!,"AAAAAH1v3xU=")</f>
        <v>#REF!</v>
      </c>
      <c r="W572" t="e">
        <f>AND(#REF!,"AAAAAH1v3xY=")</f>
        <v>#REF!</v>
      </c>
      <c r="X572" t="e">
        <f>AND(#REF!,"AAAAAH1v3xc=")</f>
        <v>#REF!</v>
      </c>
      <c r="Y572" t="e">
        <f>AND(#REF!,"AAAAAH1v3xg=")</f>
        <v>#REF!</v>
      </c>
      <c r="Z572" t="e">
        <f>AND(#REF!,"AAAAAH1v3xk=")</f>
        <v>#REF!</v>
      </c>
      <c r="AA572" t="e">
        <f>AND(#REF!,"AAAAAH1v3xo=")</f>
        <v>#REF!</v>
      </c>
      <c r="AB572" t="e">
        <f>AND(#REF!,"AAAAAH1v3xs=")</f>
        <v>#REF!</v>
      </c>
      <c r="AC572" t="e">
        <f>AND(#REF!,"AAAAAH1v3xw=")</f>
        <v>#REF!</v>
      </c>
      <c r="AD572" t="e">
        <f>AND(#REF!,"AAAAAH1v3x0=")</f>
        <v>#REF!</v>
      </c>
      <c r="AE572" t="e">
        <f>AND(#REF!,"AAAAAH1v3x4=")</f>
        <v>#REF!</v>
      </c>
      <c r="AF572" t="e">
        <f>AND(#REF!,"AAAAAH1v3x8=")</f>
        <v>#REF!</v>
      </c>
      <c r="AG572" t="e">
        <f>AND(#REF!,"AAAAAH1v3yA=")</f>
        <v>#REF!</v>
      </c>
      <c r="AH572" t="e">
        <f>AND(#REF!,"AAAAAH1v3yE=")</f>
        <v>#REF!</v>
      </c>
      <c r="AI572" t="e">
        <f>IF(#REF!,"AAAAAH1v3yI=",0)</f>
        <v>#REF!</v>
      </c>
      <c r="AJ572" t="e">
        <f>AND(#REF!,"AAAAAH1v3yM=")</f>
        <v>#REF!</v>
      </c>
      <c r="AK572" t="e">
        <f>AND(#REF!,"AAAAAH1v3yQ=")</f>
        <v>#REF!</v>
      </c>
      <c r="AL572" t="e">
        <f>AND(#REF!,"AAAAAH1v3yU=")</f>
        <v>#REF!</v>
      </c>
      <c r="AM572" t="e">
        <f>AND(#REF!,"AAAAAH1v3yY=")</f>
        <v>#REF!</v>
      </c>
      <c r="AN572" t="e">
        <f>AND(#REF!,"AAAAAH1v3yc=")</f>
        <v>#REF!</v>
      </c>
      <c r="AO572" t="e">
        <f>AND(#REF!,"AAAAAH1v3yg=")</f>
        <v>#REF!</v>
      </c>
      <c r="AP572" t="e">
        <f>AND(#REF!,"AAAAAH1v3yk=")</f>
        <v>#REF!</v>
      </c>
      <c r="AQ572" t="e">
        <f>AND(#REF!,"AAAAAH1v3yo=")</f>
        <v>#REF!</v>
      </c>
      <c r="AR572" t="e">
        <f>AND(#REF!,"AAAAAH1v3ys=")</f>
        <v>#REF!</v>
      </c>
      <c r="AS572" t="e">
        <f>AND(#REF!,"AAAAAH1v3yw=")</f>
        <v>#REF!</v>
      </c>
      <c r="AT572" t="e">
        <f>AND(#REF!,"AAAAAH1v3y0=")</f>
        <v>#REF!</v>
      </c>
      <c r="AU572" t="e">
        <f>AND(#REF!,"AAAAAH1v3y4=")</f>
        <v>#REF!</v>
      </c>
      <c r="AV572" t="e">
        <f>AND(#REF!,"AAAAAH1v3y8=")</f>
        <v>#REF!</v>
      </c>
      <c r="AW572" t="e">
        <f>AND(#REF!,"AAAAAH1v3zA=")</f>
        <v>#REF!</v>
      </c>
      <c r="AX572" t="e">
        <f>AND(#REF!,"AAAAAH1v3zE=")</f>
        <v>#REF!</v>
      </c>
      <c r="AY572" t="e">
        <f>AND(#REF!,"AAAAAH1v3zI=")</f>
        <v>#REF!</v>
      </c>
      <c r="AZ572" t="e">
        <f>AND(#REF!,"AAAAAH1v3zM=")</f>
        <v>#REF!</v>
      </c>
      <c r="BA572" t="e">
        <f>AND(#REF!,"AAAAAH1v3zQ=")</f>
        <v>#REF!</v>
      </c>
      <c r="BB572" t="e">
        <f>AND(#REF!,"AAAAAH1v3zU=")</f>
        <v>#REF!</v>
      </c>
      <c r="BC572" t="e">
        <f>AND(#REF!,"AAAAAH1v3zY=")</f>
        <v>#REF!</v>
      </c>
      <c r="BD572" t="e">
        <f>AND(#REF!,"AAAAAH1v3zc=")</f>
        <v>#REF!</v>
      </c>
      <c r="BE572" t="e">
        <f>AND(#REF!,"AAAAAH1v3zg=")</f>
        <v>#REF!</v>
      </c>
      <c r="BF572" t="e">
        <f>AND(#REF!,"AAAAAH1v3zk=")</f>
        <v>#REF!</v>
      </c>
      <c r="BG572" t="e">
        <f>AND(#REF!,"AAAAAH1v3zo=")</f>
        <v>#REF!</v>
      </c>
      <c r="BH572" t="e">
        <f>IF(#REF!,"AAAAAH1v3zs=",0)</f>
        <v>#REF!</v>
      </c>
      <c r="BI572" t="e">
        <f>AND(#REF!,"AAAAAH1v3zw=")</f>
        <v>#REF!</v>
      </c>
      <c r="BJ572" t="e">
        <f>AND(#REF!,"AAAAAH1v3z0=")</f>
        <v>#REF!</v>
      </c>
      <c r="BK572" t="e">
        <f>AND(#REF!,"AAAAAH1v3z4=")</f>
        <v>#REF!</v>
      </c>
      <c r="BL572" t="e">
        <f>AND(#REF!,"AAAAAH1v3z8=")</f>
        <v>#REF!</v>
      </c>
      <c r="BM572" t="e">
        <f>AND(#REF!,"AAAAAH1v30A=")</f>
        <v>#REF!</v>
      </c>
      <c r="BN572" t="e">
        <f>AND(#REF!,"AAAAAH1v30E=")</f>
        <v>#REF!</v>
      </c>
      <c r="BO572" t="e">
        <f>AND(#REF!,"AAAAAH1v30I=")</f>
        <v>#REF!</v>
      </c>
      <c r="BP572" t="e">
        <f>AND(#REF!,"AAAAAH1v30M=")</f>
        <v>#REF!</v>
      </c>
      <c r="BQ572" t="e">
        <f>AND(#REF!,"AAAAAH1v30Q=")</f>
        <v>#REF!</v>
      </c>
      <c r="BR572" t="e">
        <f>AND(#REF!,"AAAAAH1v30U=")</f>
        <v>#REF!</v>
      </c>
      <c r="BS572" t="e">
        <f>AND(#REF!,"AAAAAH1v30Y=")</f>
        <v>#REF!</v>
      </c>
      <c r="BT572" t="e">
        <f>AND(#REF!,"AAAAAH1v30c=")</f>
        <v>#REF!</v>
      </c>
      <c r="BU572" t="e">
        <f>AND(#REF!,"AAAAAH1v30g=")</f>
        <v>#REF!</v>
      </c>
      <c r="BV572" t="e">
        <f>AND(#REF!,"AAAAAH1v30k=")</f>
        <v>#REF!</v>
      </c>
      <c r="BW572" t="e">
        <f>AND(#REF!,"AAAAAH1v30o=")</f>
        <v>#REF!</v>
      </c>
      <c r="BX572" t="e">
        <f>AND(#REF!,"AAAAAH1v30s=")</f>
        <v>#REF!</v>
      </c>
      <c r="BY572" t="e">
        <f>AND(#REF!,"AAAAAH1v30w=")</f>
        <v>#REF!</v>
      </c>
      <c r="BZ572" t="e">
        <f>AND(#REF!,"AAAAAH1v300=")</f>
        <v>#REF!</v>
      </c>
      <c r="CA572" t="e">
        <f>AND(#REF!,"AAAAAH1v304=")</f>
        <v>#REF!</v>
      </c>
      <c r="CB572" t="e">
        <f>AND(#REF!,"AAAAAH1v308=")</f>
        <v>#REF!</v>
      </c>
      <c r="CC572" t="e">
        <f>AND(#REF!,"AAAAAH1v31A=")</f>
        <v>#REF!</v>
      </c>
      <c r="CD572" t="e">
        <f>AND(#REF!,"AAAAAH1v31E=")</f>
        <v>#REF!</v>
      </c>
      <c r="CE572" t="e">
        <f>AND(#REF!,"AAAAAH1v31I=")</f>
        <v>#REF!</v>
      </c>
      <c r="CF572" t="e">
        <f>AND(#REF!,"AAAAAH1v31M=")</f>
        <v>#REF!</v>
      </c>
      <c r="CG572" t="e">
        <f>IF(#REF!,"AAAAAH1v31Q=",0)</f>
        <v>#REF!</v>
      </c>
      <c r="CH572" t="e">
        <f>AND(#REF!,"AAAAAH1v31U=")</f>
        <v>#REF!</v>
      </c>
      <c r="CI572" t="e">
        <f>AND(#REF!,"AAAAAH1v31Y=")</f>
        <v>#REF!</v>
      </c>
      <c r="CJ572" t="e">
        <f>AND(#REF!,"AAAAAH1v31c=")</f>
        <v>#REF!</v>
      </c>
      <c r="CK572" t="e">
        <f>AND(#REF!,"AAAAAH1v31g=")</f>
        <v>#REF!</v>
      </c>
      <c r="CL572" t="e">
        <f>AND(#REF!,"AAAAAH1v31k=")</f>
        <v>#REF!</v>
      </c>
      <c r="CM572" t="e">
        <f>AND(#REF!,"AAAAAH1v31o=")</f>
        <v>#REF!</v>
      </c>
      <c r="CN572" t="e">
        <f>AND(#REF!,"AAAAAH1v31s=")</f>
        <v>#REF!</v>
      </c>
      <c r="CO572" t="e">
        <f>AND(#REF!,"AAAAAH1v31w=")</f>
        <v>#REF!</v>
      </c>
      <c r="CP572" t="e">
        <f>AND(#REF!,"AAAAAH1v310=")</f>
        <v>#REF!</v>
      </c>
      <c r="CQ572" t="e">
        <f>AND(#REF!,"AAAAAH1v314=")</f>
        <v>#REF!</v>
      </c>
      <c r="CR572" t="e">
        <f>AND(#REF!,"AAAAAH1v318=")</f>
        <v>#REF!</v>
      </c>
      <c r="CS572" t="e">
        <f>AND(#REF!,"AAAAAH1v32A=")</f>
        <v>#REF!</v>
      </c>
      <c r="CT572" t="e">
        <f>AND(#REF!,"AAAAAH1v32E=")</f>
        <v>#REF!</v>
      </c>
      <c r="CU572" t="e">
        <f>AND(#REF!,"AAAAAH1v32I=")</f>
        <v>#REF!</v>
      </c>
      <c r="CV572" t="e">
        <f>AND(#REF!,"AAAAAH1v32M=")</f>
        <v>#REF!</v>
      </c>
      <c r="CW572" t="e">
        <f>AND(#REF!,"AAAAAH1v32Q=")</f>
        <v>#REF!</v>
      </c>
      <c r="CX572" t="e">
        <f>AND(#REF!,"AAAAAH1v32U=")</f>
        <v>#REF!</v>
      </c>
      <c r="CY572" t="e">
        <f>AND(#REF!,"AAAAAH1v32Y=")</f>
        <v>#REF!</v>
      </c>
      <c r="CZ572" t="e">
        <f>AND(#REF!,"AAAAAH1v32c=")</f>
        <v>#REF!</v>
      </c>
      <c r="DA572" t="e">
        <f>AND(#REF!,"AAAAAH1v32g=")</f>
        <v>#REF!</v>
      </c>
      <c r="DB572" t="e">
        <f>AND(#REF!,"AAAAAH1v32k=")</f>
        <v>#REF!</v>
      </c>
      <c r="DC572" t="e">
        <f>AND(#REF!,"AAAAAH1v32o=")</f>
        <v>#REF!</v>
      </c>
      <c r="DD572" t="e">
        <f>AND(#REF!,"AAAAAH1v32s=")</f>
        <v>#REF!</v>
      </c>
      <c r="DE572" t="e">
        <f>AND(#REF!,"AAAAAH1v32w=")</f>
        <v>#REF!</v>
      </c>
      <c r="DF572" t="e">
        <f>IF(#REF!,"AAAAAH1v320=",0)</f>
        <v>#REF!</v>
      </c>
      <c r="DG572" t="e">
        <f>AND(#REF!,"AAAAAH1v324=")</f>
        <v>#REF!</v>
      </c>
      <c r="DH572" t="e">
        <f>AND(#REF!,"AAAAAH1v328=")</f>
        <v>#REF!</v>
      </c>
      <c r="DI572" t="e">
        <f>AND(#REF!,"AAAAAH1v33A=")</f>
        <v>#REF!</v>
      </c>
      <c r="DJ572" t="e">
        <f>AND(#REF!,"AAAAAH1v33E=")</f>
        <v>#REF!</v>
      </c>
      <c r="DK572" t="e">
        <f>AND(#REF!,"AAAAAH1v33I=")</f>
        <v>#REF!</v>
      </c>
      <c r="DL572" t="e">
        <f>AND(#REF!,"AAAAAH1v33M=")</f>
        <v>#REF!</v>
      </c>
      <c r="DM572" t="e">
        <f>AND(#REF!,"AAAAAH1v33Q=")</f>
        <v>#REF!</v>
      </c>
      <c r="DN572" t="e">
        <f>AND(#REF!,"AAAAAH1v33U=")</f>
        <v>#REF!</v>
      </c>
      <c r="DO572" t="e">
        <f>AND(#REF!,"AAAAAH1v33Y=")</f>
        <v>#REF!</v>
      </c>
      <c r="DP572" t="e">
        <f>AND(#REF!,"AAAAAH1v33c=")</f>
        <v>#REF!</v>
      </c>
      <c r="DQ572" t="e">
        <f>AND(#REF!,"AAAAAH1v33g=")</f>
        <v>#REF!</v>
      </c>
      <c r="DR572" t="e">
        <f>AND(#REF!,"AAAAAH1v33k=")</f>
        <v>#REF!</v>
      </c>
      <c r="DS572" t="e">
        <f>AND(#REF!,"AAAAAH1v33o=")</f>
        <v>#REF!</v>
      </c>
      <c r="DT572" t="e">
        <f>AND(#REF!,"AAAAAH1v33s=")</f>
        <v>#REF!</v>
      </c>
      <c r="DU572" t="e">
        <f>AND(#REF!,"AAAAAH1v33w=")</f>
        <v>#REF!</v>
      </c>
      <c r="DV572" t="e">
        <f>AND(#REF!,"AAAAAH1v330=")</f>
        <v>#REF!</v>
      </c>
      <c r="DW572" t="e">
        <f>AND(#REF!,"AAAAAH1v334=")</f>
        <v>#REF!</v>
      </c>
      <c r="DX572" t="e">
        <f>AND(#REF!,"AAAAAH1v338=")</f>
        <v>#REF!</v>
      </c>
      <c r="DY572" t="e">
        <f>AND(#REF!,"AAAAAH1v34A=")</f>
        <v>#REF!</v>
      </c>
      <c r="DZ572" t="e">
        <f>AND(#REF!,"AAAAAH1v34E=")</f>
        <v>#REF!</v>
      </c>
      <c r="EA572" t="e">
        <f>AND(#REF!,"AAAAAH1v34I=")</f>
        <v>#REF!</v>
      </c>
      <c r="EB572" t="e">
        <f>AND(#REF!,"AAAAAH1v34M=")</f>
        <v>#REF!</v>
      </c>
      <c r="EC572" t="e">
        <f>AND(#REF!,"AAAAAH1v34Q=")</f>
        <v>#REF!</v>
      </c>
      <c r="ED572" t="e">
        <f>AND(#REF!,"AAAAAH1v34U=")</f>
        <v>#REF!</v>
      </c>
      <c r="EE572" t="e">
        <f>IF(#REF!,"AAAAAH1v34Y=",0)</f>
        <v>#REF!</v>
      </c>
      <c r="EF572" t="e">
        <f>AND(#REF!,"AAAAAH1v34c=")</f>
        <v>#REF!</v>
      </c>
      <c r="EG572" t="e">
        <f>AND(#REF!,"AAAAAH1v34g=")</f>
        <v>#REF!</v>
      </c>
      <c r="EH572" t="e">
        <f>AND(#REF!,"AAAAAH1v34k=")</f>
        <v>#REF!</v>
      </c>
      <c r="EI572" t="e">
        <f>AND(#REF!,"AAAAAH1v34o=")</f>
        <v>#REF!</v>
      </c>
      <c r="EJ572" t="e">
        <f>AND(#REF!,"AAAAAH1v34s=")</f>
        <v>#REF!</v>
      </c>
      <c r="EK572" t="e">
        <f>AND(#REF!,"AAAAAH1v34w=")</f>
        <v>#REF!</v>
      </c>
      <c r="EL572" t="e">
        <f>AND(#REF!,"AAAAAH1v340=")</f>
        <v>#REF!</v>
      </c>
      <c r="EM572" t="e">
        <f>AND(#REF!,"AAAAAH1v344=")</f>
        <v>#REF!</v>
      </c>
      <c r="EN572" t="e">
        <f>AND(#REF!,"AAAAAH1v348=")</f>
        <v>#REF!</v>
      </c>
      <c r="EO572" t="e">
        <f>AND(#REF!,"AAAAAH1v35A=")</f>
        <v>#REF!</v>
      </c>
      <c r="EP572" t="e">
        <f>AND(#REF!,"AAAAAH1v35E=")</f>
        <v>#REF!</v>
      </c>
      <c r="EQ572" t="e">
        <f>AND(#REF!,"AAAAAH1v35I=")</f>
        <v>#REF!</v>
      </c>
      <c r="ER572" t="e">
        <f>AND(#REF!,"AAAAAH1v35M=")</f>
        <v>#REF!</v>
      </c>
      <c r="ES572" t="e">
        <f>AND(#REF!,"AAAAAH1v35Q=")</f>
        <v>#REF!</v>
      </c>
      <c r="ET572" t="e">
        <f>AND(#REF!,"AAAAAH1v35U=")</f>
        <v>#REF!</v>
      </c>
      <c r="EU572" t="e">
        <f>AND(#REF!,"AAAAAH1v35Y=")</f>
        <v>#REF!</v>
      </c>
      <c r="EV572" t="e">
        <f>AND(#REF!,"AAAAAH1v35c=")</f>
        <v>#REF!</v>
      </c>
      <c r="EW572" t="e">
        <f>AND(#REF!,"AAAAAH1v35g=")</f>
        <v>#REF!</v>
      </c>
      <c r="EX572" t="e">
        <f>AND(#REF!,"AAAAAH1v35k=")</f>
        <v>#REF!</v>
      </c>
      <c r="EY572" t="e">
        <f>AND(#REF!,"AAAAAH1v35o=")</f>
        <v>#REF!</v>
      </c>
      <c r="EZ572" t="e">
        <f>AND(#REF!,"AAAAAH1v35s=")</f>
        <v>#REF!</v>
      </c>
      <c r="FA572" t="e">
        <f>AND(#REF!,"AAAAAH1v35w=")</f>
        <v>#REF!</v>
      </c>
      <c r="FB572" t="e">
        <f>AND(#REF!,"AAAAAH1v350=")</f>
        <v>#REF!</v>
      </c>
      <c r="FC572" t="e">
        <f>AND(#REF!,"AAAAAH1v354=")</f>
        <v>#REF!</v>
      </c>
      <c r="FD572" t="e">
        <f>IF(#REF!,"AAAAAH1v358=",0)</f>
        <v>#REF!</v>
      </c>
      <c r="FE572" t="e">
        <f>AND(#REF!,"AAAAAH1v36A=")</f>
        <v>#REF!</v>
      </c>
      <c r="FF572" t="e">
        <f>AND(#REF!,"AAAAAH1v36E=")</f>
        <v>#REF!</v>
      </c>
      <c r="FG572" t="e">
        <f>AND(#REF!,"AAAAAH1v36I=")</f>
        <v>#REF!</v>
      </c>
      <c r="FH572" t="e">
        <f>AND(#REF!,"AAAAAH1v36M=")</f>
        <v>#REF!</v>
      </c>
      <c r="FI572" t="e">
        <f>AND(#REF!,"AAAAAH1v36Q=")</f>
        <v>#REF!</v>
      </c>
      <c r="FJ572" t="e">
        <f>AND(#REF!,"AAAAAH1v36U=")</f>
        <v>#REF!</v>
      </c>
      <c r="FK572" t="e">
        <f>AND(#REF!,"AAAAAH1v36Y=")</f>
        <v>#REF!</v>
      </c>
      <c r="FL572" t="e">
        <f>AND(#REF!,"AAAAAH1v36c=")</f>
        <v>#REF!</v>
      </c>
      <c r="FM572" t="e">
        <f>AND(#REF!,"AAAAAH1v36g=")</f>
        <v>#REF!</v>
      </c>
      <c r="FN572" t="e">
        <f>AND(#REF!,"AAAAAH1v36k=")</f>
        <v>#REF!</v>
      </c>
      <c r="FO572" t="e">
        <f>AND(#REF!,"AAAAAH1v36o=")</f>
        <v>#REF!</v>
      </c>
      <c r="FP572" t="e">
        <f>AND(#REF!,"AAAAAH1v36s=")</f>
        <v>#REF!</v>
      </c>
      <c r="FQ572" t="e">
        <f>AND(#REF!,"AAAAAH1v36w=")</f>
        <v>#REF!</v>
      </c>
      <c r="FR572" t="e">
        <f>AND(#REF!,"AAAAAH1v360=")</f>
        <v>#REF!</v>
      </c>
      <c r="FS572" t="e">
        <f>AND(#REF!,"AAAAAH1v364=")</f>
        <v>#REF!</v>
      </c>
      <c r="FT572" t="e">
        <f>AND(#REF!,"AAAAAH1v368=")</f>
        <v>#REF!</v>
      </c>
      <c r="FU572" t="e">
        <f>AND(#REF!,"AAAAAH1v37A=")</f>
        <v>#REF!</v>
      </c>
      <c r="FV572" t="e">
        <f>AND(#REF!,"AAAAAH1v37E=")</f>
        <v>#REF!</v>
      </c>
      <c r="FW572" t="e">
        <f>AND(#REF!,"AAAAAH1v37I=")</f>
        <v>#REF!</v>
      </c>
      <c r="FX572" t="e">
        <f>AND(#REF!,"AAAAAH1v37M=")</f>
        <v>#REF!</v>
      </c>
      <c r="FY572" t="e">
        <f>AND(#REF!,"AAAAAH1v37Q=")</f>
        <v>#REF!</v>
      </c>
      <c r="FZ572" t="e">
        <f>AND(#REF!,"AAAAAH1v37U=")</f>
        <v>#REF!</v>
      </c>
      <c r="GA572" t="e">
        <f>AND(#REF!,"AAAAAH1v37Y=")</f>
        <v>#REF!</v>
      </c>
      <c r="GB572" t="e">
        <f>AND(#REF!,"AAAAAH1v37c=")</f>
        <v>#REF!</v>
      </c>
      <c r="GC572" t="e">
        <f>IF(#REF!,"AAAAAH1v37g=",0)</f>
        <v>#REF!</v>
      </c>
      <c r="GD572" t="e">
        <f>AND(#REF!,"AAAAAH1v37k=")</f>
        <v>#REF!</v>
      </c>
      <c r="GE572" t="e">
        <f>AND(#REF!,"AAAAAH1v37o=")</f>
        <v>#REF!</v>
      </c>
      <c r="GF572" t="e">
        <f>AND(#REF!,"AAAAAH1v37s=")</f>
        <v>#REF!</v>
      </c>
      <c r="GG572" t="e">
        <f>AND(#REF!,"AAAAAH1v37w=")</f>
        <v>#REF!</v>
      </c>
      <c r="GH572" t="e">
        <f>AND(#REF!,"AAAAAH1v370=")</f>
        <v>#REF!</v>
      </c>
      <c r="GI572" t="e">
        <f>AND(#REF!,"AAAAAH1v374=")</f>
        <v>#REF!</v>
      </c>
      <c r="GJ572" t="e">
        <f>AND(#REF!,"AAAAAH1v378=")</f>
        <v>#REF!</v>
      </c>
      <c r="GK572" t="e">
        <f>AND(#REF!,"AAAAAH1v38A=")</f>
        <v>#REF!</v>
      </c>
      <c r="GL572" t="e">
        <f>AND(#REF!,"AAAAAH1v38E=")</f>
        <v>#REF!</v>
      </c>
      <c r="GM572" t="e">
        <f>AND(#REF!,"AAAAAH1v38I=")</f>
        <v>#REF!</v>
      </c>
      <c r="GN572" t="e">
        <f>AND(#REF!,"AAAAAH1v38M=")</f>
        <v>#REF!</v>
      </c>
      <c r="GO572" t="e">
        <f>AND(#REF!,"AAAAAH1v38Q=")</f>
        <v>#REF!</v>
      </c>
      <c r="GP572" t="e">
        <f>AND(#REF!,"AAAAAH1v38U=")</f>
        <v>#REF!</v>
      </c>
      <c r="GQ572" t="e">
        <f>AND(#REF!,"AAAAAH1v38Y=")</f>
        <v>#REF!</v>
      </c>
      <c r="GR572" t="e">
        <f>AND(#REF!,"AAAAAH1v38c=")</f>
        <v>#REF!</v>
      </c>
      <c r="GS572" t="e">
        <f>AND(#REF!,"AAAAAH1v38g=")</f>
        <v>#REF!</v>
      </c>
      <c r="GT572" t="e">
        <f>AND(#REF!,"AAAAAH1v38k=")</f>
        <v>#REF!</v>
      </c>
      <c r="GU572" t="e">
        <f>AND(#REF!,"AAAAAH1v38o=")</f>
        <v>#REF!</v>
      </c>
      <c r="GV572" t="e">
        <f>AND(#REF!,"AAAAAH1v38s=")</f>
        <v>#REF!</v>
      </c>
      <c r="GW572" t="e">
        <f>AND(#REF!,"AAAAAH1v38w=")</f>
        <v>#REF!</v>
      </c>
      <c r="GX572" t="e">
        <f>AND(#REF!,"AAAAAH1v380=")</f>
        <v>#REF!</v>
      </c>
      <c r="GY572" t="e">
        <f>AND(#REF!,"AAAAAH1v384=")</f>
        <v>#REF!</v>
      </c>
      <c r="GZ572" t="e">
        <f>AND(#REF!,"AAAAAH1v388=")</f>
        <v>#REF!</v>
      </c>
      <c r="HA572" t="e">
        <f>AND(#REF!,"AAAAAH1v39A=")</f>
        <v>#REF!</v>
      </c>
      <c r="HB572" t="e">
        <f>IF(#REF!,"AAAAAH1v39E=",0)</f>
        <v>#REF!</v>
      </c>
      <c r="HC572" t="e">
        <f>AND(#REF!,"AAAAAH1v39I=")</f>
        <v>#REF!</v>
      </c>
      <c r="HD572" t="e">
        <f>AND(#REF!,"AAAAAH1v39M=")</f>
        <v>#REF!</v>
      </c>
      <c r="HE572" t="e">
        <f>AND(#REF!,"AAAAAH1v39Q=")</f>
        <v>#REF!</v>
      </c>
      <c r="HF572" t="e">
        <f>AND(#REF!,"AAAAAH1v39U=")</f>
        <v>#REF!</v>
      </c>
      <c r="HG572" t="e">
        <f>AND(#REF!,"AAAAAH1v39Y=")</f>
        <v>#REF!</v>
      </c>
      <c r="HH572" t="e">
        <f>AND(#REF!,"AAAAAH1v39c=")</f>
        <v>#REF!</v>
      </c>
      <c r="HI572" t="e">
        <f>AND(#REF!,"AAAAAH1v39g=")</f>
        <v>#REF!</v>
      </c>
      <c r="HJ572" t="e">
        <f>AND(#REF!,"AAAAAH1v39k=")</f>
        <v>#REF!</v>
      </c>
      <c r="HK572" t="e">
        <f>AND(#REF!,"AAAAAH1v39o=")</f>
        <v>#REF!</v>
      </c>
      <c r="HL572" t="e">
        <f>AND(#REF!,"AAAAAH1v39s=")</f>
        <v>#REF!</v>
      </c>
      <c r="HM572" t="e">
        <f>AND(#REF!,"AAAAAH1v39w=")</f>
        <v>#REF!</v>
      </c>
      <c r="HN572" t="e">
        <f>AND(#REF!,"AAAAAH1v390=")</f>
        <v>#REF!</v>
      </c>
      <c r="HO572" t="e">
        <f>AND(#REF!,"AAAAAH1v394=")</f>
        <v>#REF!</v>
      </c>
      <c r="HP572" t="e">
        <f>AND(#REF!,"AAAAAH1v398=")</f>
        <v>#REF!</v>
      </c>
      <c r="HQ572" t="e">
        <f>AND(#REF!,"AAAAAH1v3+A=")</f>
        <v>#REF!</v>
      </c>
      <c r="HR572" t="e">
        <f>AND(#REF!,"AAAAAH1v3+E=")</f>
        <v>#REF!</v>
      </c>
      <c r="HS572" t="e">
        <f>AND(#REF!,"AAAAAH1v3+I=")</f>
        <v>#REF!</v>
      </c>
      <c r="HT572" t="e">
        <f>AND(#REF!,"AAAAAH1v3+M=")</f>
        <v>#REF!</v>
      </c>
      <c r="HU572" t="e">
        <f>AND(#REF!,"AAAAAH1v3+Q=")</f>
        <v>#REF!</v>
      </c>
      <c r="HV572" t="e">
        <f>AND(#REF!,"AAAAAH1v3+U=")</f>
        <v>#REF!</v>
      </c>
      <c r="HW572" t="e">
        <f>AND(#REF!,"AAAAAH1v3+Y=")</f>
        <v>#REF!</v>
      </c>
      <c r="HX572" t="e">
        <f>AND(#REF!,"AAAAAH1v3+c=")</f>
        <v>#REF!</v>
      </c>
      <c r="HY572" t="e">
        <f>AND(#REF!,"AAAAAH1v3+g=")</f>
        <v>#REF!</v>
      </c>
      <c r="HZ572" t="e">
        <f>AND(#REF!,"AAAAAH1v3+k=")</f>
        <v>#REF!</v>
      </c>
      <c r="IA572" t="e">
        <f>IF(#REF!,"AAAAAH1v3+o=",0)</f>
        <v>#REF!</v>
      </c>
      <c r="IB572" t="e">
        <f>AND(#REF!,"AAAAAH1v3+s=")</f>
        <v>#REF!</v>
      </c>
      <c r="IC572" t="e">
        <f>AND(#REF!,"AAAAAH1v3+w=")</f>
        <v>#REF!</v>
      </c>
      <c r="ID572" t="e">
        <f>AND(#REF!,"AAAAAH1v3+0=")</f>
        <v>#REF!</v>
      </c>
      <c r="IE572" t="e">
        <f>AND(#REF!,"AAAAAH1v3+4=")</f>
        <v>#REF!</v>
      </c>
      <c r="IF572" t="e">
        <f>AND(#REF!,"AAAAAH1v3+8=")</f>
        <v>#REF!</v>
      </c>
      <c r="IG572" t="e">
        <f>AND(#REF!,"AAAAAH1v3/A=")</f>
        <v>#REF!</v>
      </c>
      <c r="IH572" t="e">
        <f>AND(#REF!,"AAAAAH1v3/E=")</f>
        <v>#REF!</v>
      </c>
      <c r="II572" t="e">
        <f>AND(#REF!,"AAAAAH1v3/I=")</f>
        <v>#REF!</v>
      </c>
      <c r="IJ572" t="e">
        <f>AND(#REF!,"AAAAAH1v3/M=")</f>
        <v>#REF!</v>
      </c>
      <c r="IK572" t="e">
        <f>AND(#REF!,"AAAAAH1v3/Q=")</f>
        <v>#REF!</v>
      </c>
      <c r="IL572" t="e">
        <f>AND(#REF!,"AAAAAH1v3/U=")</f>
        <v>#REF!</v>
      </c>
      <c r="IM572" t="e">
        <f>AND(#REF!,"AAAAAH1v3/Y=")</f>
        <v>#REF!</v>
      </c>
      <c r="IN572" t="e">
        <f>AND(#REF!,"AAAAAH1v3/c=")</f>
        <v>#REF!</v>
      </c>
      <c r="IO572" t="e">
        <f>AND(#REF!,"AAAAAH1v3/g=")</f>
        <v>#REF!</v>
      </c>
      <c r="IP572" t="e">
        <f>AND(#REF!,"AAAAAH1v3/k=")</f>
        <v>#REF!</v>
      </c>
      <c r="IQ572" t="e">
        <f>AND(#REF!,"AAAAAH1v3/o=")</f>
        <v>#REF!</v>
      </c>
      <c r="IR572" t="e">
        <f>AND(#REF!,"AAAAAH1v3/s=")</f>
        <v>#REF!</v>
      </c>
      <c r="IS572" t="e">
        <f>AND(#REF!,"AAAAAH1v3/w=")</f>
        <v>#REF!</v>
      </c>
      <c r="IT572" t="e">
        <f>AND(#REF!,"AAAAAH1v3/0=")</f>
        <v>#REF!</v>
      </c>
      <c r="IU572" t="e">
        <f>AND(#REF!,"AAAAAH1v3/4=")</f>
        <v>#REF!</v>
      </c>
      <c r="IV572" t="e">
        <f>AND(#REF!,"AAAAAH1v3/8=")</f>
        <v>#REF!</v>
      </c>
    </row>
    <row r="573" spans="1:256">
      <c r="A573" t="e">
        <f>AND(#REF!,"AAAAAGf//wA=")</f>
        <v>#REF!</v>
      </c>
      <c r="B573" t="e">
        <f>AND(#REF!,"AAAAAGf//wE=")</f>
        <v>#REF!</v>
      </c>
      <c r="C573" t="e">
        <f>AND(#REF!,"AAAAAGf//wI=")</f>
        <v>#REF!</v>
      </c>
      <c r="D573" t="e">
        <f>IF(#REF!,"AAAAAGf//wM=",0)</f>
        <v>#REF!</v>
      </c>
      <c r="E573" t="e">
        <f>AND(#REF!,"AAAAAGf//wQ=")</f>
        <v>#REF!</v>
      </c>
      <c r="F573" t="e">
        <f>AND(#REF!,"AAAAAGf//wU=")</f>
        <v>#REF!</v>
      </c>
      <c r="G573" t="e">
        <f>AND(#REF!,"AAAAAGf//wY=")</f>
        <v>#REF!</v>
      </c>
      <c r="H573" t="e">
        <f>AND(#REF!,"AAAAAGf//wc=")</f>
        <v>#REF!</v>
      </c>
      <c r="I573" t="e">
        <f>AND(#REF!,"AAAAAGf//wg=")</f>
        <v>#REF!</v>
      </c>
      <c r="J573" t="e">
        <f>AND(#REF!,"AAAAAGf//wk=")</f>
        <v>#REF!</v>
      </c>
      <c r="K573" t="e">
        <f>AND(#REF!,"AAAAAGf//wo=")</f>
        <v>#REF!</v>
      </c>
      <c r="L573" t="e">
        <f>AND(#REF!,"AAAAAGf//ws=")</f>
        <v>#REF!</v>
      </c>
      <c r="M573" t="e">
        <f>AND(#REF!,"AAAAAGf//ww=")</f>
        <v>#REF!</v>
      </c>
      <c r="N573" t="e">
        <f>AND(#REF!,"AAAAAGf//w0=")</f>
        <v>#REF!</v>
      </c>
      <c r="O573" t="e">
        <f>AND(#REF!,"AAAAAGf//w4=")</f>
        <v>#REF!</v>
      </c>
      <c r="P573" t="e">
        <f>AND(#REF!,"AAAAAGf//w8=")</f>
        <v>#REF!</v>
      </c>
      <c r="Q573" t="e">
        <f>AND(#REF!,"AAAAAGf//xA=")</f>
        <v>#REF!</v>
      </c>
      <c r="R573" t="e">
        <f>AND(#REF!,"AAAAAGf//xE=")</f>
        <v>#REF!</v>
      </c>
      <c r="S573" t="e">
        <f>AND(#REF!,"AAAAAGf//xI=")</f>
        <v>#REF!</v>
      </c>
      <c r="T573" t="e">
        <f>AND(#REF!,"AAAAAGf//xM=")</f>
        <v>#REF!</v>
      </c>
      <c r="U573" t="e">
        <f>AND(#REF!,"AAAAAGf//xQ=")</f>
        <v>#REF!</v>
      </c>
      <c r="V573" t="e">
        <f>AND(#REF!,"AAAAAGf//xU=")</f>
        <v>#REF!</v>
      </c>
      <c r="W573" t="e">
        <f>AND(#REF!,"AAAAAGf//xY=")</f>
        <v>#REF!</v>
      </c>
      <c r="X573" t="e">
        <f>AND(#REF!,"AAAAAGf//xc=")</f>
        <v>#REF!</v>
      </c>
      <c r="Y573" t="e">
        <f>AND(#REF!,"AAAAAGf//xg=")</f>
        <v>#REF!</v>
      </c>
      <c r="Z573" t="e">
        <f>AND(#REF!,"AAAAAGf//xk=")</f>
        <v>#REF!</v>
      </c>
      <c r="AA573" t="e">
        <f>AND(#REF!,"AAAAAGf//xo=")</f>
        <v>#REF!</v>
      </c>
      <c r="AB573" t="e">
        <f>AND(#REF!,"AAAAAGf//xs=")</f>
        <v>#REF!</v>
      </c>
      <c r="AC573" t="e">
        <f>IF(#REF!,"AAAAAGf//xw=",0)</f>
        <v>#REF!</v>
      </c>
      <c r="AD573" t="e">
        <f>AND(#REF!,"AAAAAGf//x0=")</f>
        <v>#REF!</v>
      </c>
      <c r="AE573" t="e">
        <f>AND(#REF!,"AAAAAGf//x4=")</f>
        <v>#REF!</v>
      </c>
      <c r="AF573" t="e">
        <f>AND(#REF!,"AAAAAGf//x8=")</f>
        <v>#REF!</v>
      </c>
      <c r="AG573" t="e">
        <f>AND(#REF!,"AAAAAGf//yA=")</f>
        <v>#REF!</v>
      </c>
      <c r="AH573" t="e">
        <f>AND(#REF!,"AAAAAGf//yE=")</f>
        <v>#REF!</v>
      </c>
      <c r="AI573" t="e">
        <f>AND(#REF!,"AAAAAGf//yI=")</f>
        <v>#REF!</v>
      </c>
      <c r="AJ573" t="e">
        <f>AND(#REF!,"AAAAAGf//yM=")</f>
        <v>#REF!</v>
      </c>
      <c r="AK573" t="e">
        <f>AND(#REF!,"AAAAAGf//yQ=")</f>
        <v>#REF!</v>
      </c>
      <c r="AL573" t="e">
        <f>AND(#REF!,"AAAAAGf//yU=")</f>
        <v>#REF!</v>
      </c>
      <c r="AM573" t="e">
        <f>AND(#REF!,"AAAAAGf//yY=")</f>
        <v>#REF!</v>
      </c>
      <c r="AN573" t="e">
        <f>AND(#REF!,"AAAAAGf//yc=")</f>
        <v>#REF!</v>
      </c>
      <c r="AO573" t="e">
        <f>AND(#REF!,"AAAAAGf//yg=")</f>
        <v>#REF!</v>
      </c>
      <c r="AP573" t="e">
        <f>AND(#REF!,"AAAAAGf//yk=")</f>
        <v>#REF!</v>
      </c>
      <c r="AQ573" t="e">
        <f>AND(#REF!,"AAAAAGf//yo=")</f>
        <v>#REF!</v>
      </c>
      <c r="AR573" t="e">
        <f>AND(#REF!,"AAAAAGf//ys=")</f>
        <v>#REF!</v>
      </c>
      <c r="AS573" t="e">
        <f>AND(#REF!,"AAAAAGf//yw=")</f>
        <v>#REF!</v>
      </c>
      <c r="AT573" t="e">
        <f>AND(#REF!,"AAAAAGf//y0=")</f>
        <v>#REF!</v>
      </c>
      <c r="AU573" t="e">
        <f>AND(#REF!,"AAAAAGf//y4=")</f>
        <v>#REF!</v>
      </c>
      <c r="AV573" t="e">
        <f>AND(#REF!,"AAAAAGf//y8=")</f>
        <v>#REF!</v>
      </c>
      <c r="AW573" t="e">
        <f>AND(#REF!,"AAAAAGf//zA=")</f>
        <v>#REF!</v>
      </c>
      <c r="AX573" t="e">
        <f>AND(#REF!,"AAAAAGf//zE=")</f>
        <v>#REF!</v>
      </c>
      <c r="AY573" t="e">
        <f>AND(#REF!,"AAAAAGf//zI=")</f>
        <v>#REF!</v>
      </c>
      <c r="AZ573" t="e">
        <f>AND(#REF!,"AAAAAGf//zM=")</f>
        <v>#REF!</v>
      </c>
      <c r="BA573" t="e">
        <f>AND(#REF!,"AAAAAGf//zQ=")</f>
        <v>#REF!</v>
      </c>
      <c r="BB573" t="e">
        <f>IF(#REF!,"AAAAAGf//zU=",0)</f>
        <v>#REF!</v>
      </c>
      <c r="BC573" t="e">
        <f>AND(#REF!,"AAAAAGf//zY=")</f>
        <v>#REF!</v>
      </c>
      <c r="BD573" t="e">
        <f>AND(#REF!,"AAAAAGf//zc=")</f>
        <v>#REF!</v>
      </c>
      <c r="BE573" t="e">
        <f>AND(#REF!,"AAAAAGf//zg=")</f>
        <v>#REF!</v>
      </c>
      <c r="BF573" t="e">
        <f>AND(#REF!,"AAAAAGf//zk=")</f>
        <v>#REF!</v>
      </c>
      <c r="BG573" t="e">
        <f>AND(#REF!,"AAAAAGf//zo=")</f>
        <v>#REF!</v>
      </c>
      <c r="BH573" t="e">
        <f>AND(#REF!,"AAAAAGf//zs=")</f>
        <v>#REF!</v>
      </c>
      <c r="BI573" t="e">
        <f>AND(#REF!,"AAAAAGf//zw=")</f>
        <v>#REF!</v>
      </c>
      <c r="BJ573" t="e">
        <f>AND(#REF!,"AAAAAGf//z0=")</f>
        <v>#REF!</v>
      </c>
      <c r="BK573" t="e">
        <f>AND(#REF!,"AAAAAGf//z4=")</f>
        <v>#REF!</v>
      </c>
      <c r="BL573" t="e">
        <f>AND(#REF!,"AAAAAGf//z8=")</f>
        <v>#REF!</v>
      </c>
      <c r="BM573" t="e">
        <f>AND(#REF!,"AAAAAGf//0A=")</f>
        <v>#REF!</v>
      </c>
      <c r="BN573" t="e">
        <f>AND(#REF!,"AAAAAGf//0E=")</f>
        <v>#REF!</v>
      </c>
      <c r="BO573" t="e">
        <f>AND(#REF!,"AAAAAGf//0I=")</f>
        <v>#REF!</v>
      </c>
      <c r="BP573" t="e">
        <f>AND(#REF!,"AAAAAGf//0M=")</f>
        <v>#REF!</v>
      </c>
      <c r="BQ573" t="e">
        <f>AND(#REF!,"AAAAAGf//0Q=")</f>
        <v>#REF!</v>
      </c>
      <c r="BR573" t="e">
        <f>AND(#REF!,"AAAAAGf//0U=")</f>
        <v>#REF!</v>
      </c>
      <c r="BS573" t="e">
        <f>AND(#REF!,"AAAAAGf//0Y=")</f>
        <v>#REF!</v>
      </c>
      <c r="BT573" t="e">
        <f>AND(#REF!,"AAAAAGf//0c=")</f>
        <v>#REF!</v>
      </c>
      <c r="BU573" t="e">
        <f>AND(#REF!,"AAAAAGf//0g=")</f>
        <v>#REF!</v>
      </c>
      <c r="BV573" t="e">
        <f>AND(#REF!,"AAAAAGf//0k=")</f>
        <v>#REF!</v>
      </c>
      <c r="BW573" t="e">
        <f>AND(#REF!,"AAAAAGf//0o=")</f>
        <v>#REF!</v>
      </c>
      <c r="BX573" t="e">
        <f>AND(#REF!,"AAAAAGf//0s=")</f>
        <v>#REF!</v>
      </c>
      <c r="BY573" t="e">
        <f>AND(#REF!,"AAAAAGf//0w=")</f>
        <v>#REF!</v>
      </c>
      <c r="BZ573" t="e">
        <f>AND(#REF!,"AAAAAGf//00=")</f>
        <v>#REF!</v>
      </c>
      <c r="CA573" t="e">
        <f>IF(#REF!,"AAAAAGf//04=",0)</f>
        <v>#REF!</v>
      </c>
      <c r="CB573" t="e">
        <f>AND(#REF!,"AAAAAGf//08=")</f>
        <v>#REF!</v>
      </c>
      <c r="CC573" t="e">
        <f>AND(#REF!,"AAAAAGf//1A=")</f>
        <v>#REF!</v>
      </c>
      <c r="CD573" t="e">
        <f>AND(#REF!,"AAAAAGf//1E=")</f>
        <v>#REF!</v>
      </c>
      <c r="CE573" t="e">
        <f>AND(#REF!,"AAAAAGf//1I=")</f>
        <v>#REF!</v>
      </c>
      <c r="CF573" t="e">
        <f>AND(#REF!,"AAAAAGf//1M=")</f>
        <v>#REF!</v>
      </c>
      <c r="CG573" t="e">
        <f>AND(#REF!,"AAAAAGf//1Q=")</f>
        <v>#REF!</v>
      </c>
      <c r="CH573" t="e">
        <f>AND(#REF!,"AAAAAGf//1U=")</f>
        <v>#REF!</v>
      </c>
      <c r="CI573" t="e">
        <f>AND(#REF!,"AAAAAGf//1Y=")</f>
        <v>#REF!</v>
      </c>
      <c r="CJ573" t="e">
        <f>AND(#REF!,"AAAAAGf//1c=")</f>
        <v>#REF!</v>
      </c>
      <c r="CK573" t="e">
        <f>AND(#REF!,"AAAAAGf//1g=")</f>
        <v>#REF!</v>
      </c>
      <c r="CL573" t="e">
        <f>AND(#REF!,"AAAAAGf//1k=")</f>
        <v>#REF!</v>
      </c>
      <c r="CM573" t="e">
        <f>AND(#REF!,"AAAAAGf//1o=")</f>
        <v>#REF!</v>
      </c>
      <c r="CN573" t="e">
        <f>AND(#REF!,"AAAAAGf//1s=")</f>
        <v>#REF!</v>
      </c>
      <c r="CO573" t="e">
        <f>AND(#REF!,"AAAAAGf//1w=")</f>
        <v>#REF!</v>
      </c>
      <c r="CP573" t="e">
        <f>AND(#REF!,"AAAAAGf//10=")</f>
        <v>#REF!</v>
      </c>
      <c r="CQ573" t="e">
        <f>AND(#REF!,"AAAAAGf//14=")</f>
        <v>#REF!</v>
      </c>
      <c r="CR573" t="e">
        <f>AND(#REF!,"AAAAAGf//18=")</f>
        <v>#REF!</v>
      </c>
      <c r="CS573" t="e">
        <f>AND(#REF!,"AAAAAGf//2A=")</f>
        <v>#REF!</v>
      </c>
      <c r="CT573" t="e">
        <f>AND(#REF!,"AAAAAGf//2E=")</f>
        <v>#REF!</v>
      </c>
      <c r="CU573" t="e">
        <f>AND(#REF!,"AAAAAGf//2I=")</f>
        <v>#REF!</v>
      </c>
      <c r="CV573" t="e">
        <f>AND(#REF!,"AAAAAGf//2M=")</f>
        <v>#REF!</v>
      </c>
      <c r="CW573" t="e">
        <f>AND(#REF!,"AAAAAGf//2Q=")</f>
        <v>#REF!</v>
      </c>
      <c r="CX573" t="e">
        <f>AND(#REF!,"AAAAAGf//2U=")</f>
        <v>#REF!</v>
      </c>
      <c r="CY573" t="e">
        <f>AND(#REF!,"AAAAAGf//2Y=")</f>
        <v>#REF!</v>
      </c>
      <c r="CZ573" t="e">
        <f>IF(#REF!,"AAAAAGf//2c=",0)</f>
        <v>#REF!</v>
      </c>
      <c r="DA573" t="e">
        <f>AND(#REF!,"AAAAAGf//2g=")</f>
        <v>#REF!</v>
      </c>
      <c r="DB573" t="e">
        <f>AND(#REF!,"AAAAAGf//2k=")</f>
        <v>#REF!</v>
      </c>
      <c r="DC573" t="e">
        <f>AND(#REF!,"AAAAAGf//2o=")</f>
        <v>#REF!</v>
      </c>
      <c r="DD573" t="e">
        <f>AND(#REF!,"AAAAAGf//2s=")</f>
        <v>#REF!</v>
      </c>
      <c r="DE573" t="e">
        <f>AND(#REF!,"AAAAAGf//2w=")</f>
        <v>#REF!</v>
      </c>
      <c r="DF573" t="e">
        <f>AND(#REF!,"AAAAAGf//20=")</f>
        <v>#REF!</v>
      </c>
      <c r="DG573" t="e">
        <f>AND(#REF!,"AAAAAGf//24=")</f>
        <v>#REF!</v>
      </c>
      <c r="DH573" t="e">
        <f>AND(#REF!,"AAAAAGf//28=")</f>
        <v>#REF!</v>
      </c>
      <c r="DI573" t="e">
        <f>AND(#REF!,"AAAAAGf//3A=")</f>
        <v>#REF!</v>
      </c>
      <c r="DJ573" t="e">
        <f>AND(#REF!,"AAAAAGf//3E=")</f>
        <v>#REF!</v>
      </c>
      <c r="DK573" t="e">
        <f>AND(#REF!,"AAAAAGf//3I=")</f>
        <v>#REF!</v>
      </c>
      <c r="DL573" t="e">
        <f>AND(#REF!,"AAAAAGf//3M=")</f>
        <v>#REF!</v>
      </c>
      <c r="DM573" t="e">
        <f>AND(#REF!,"AAAAAGf//3Q=")</f>
        <v>#REF!</v>
      </c>
      <c r="DN573" t="e">
        <f>AND(#REF!,"AAAAAGf//3U=")</f>
        <v>#REF!</v>
      </c>
      <c r="DO573" t="e">
        <f>AND(#REF!,"AAAAAGf//3Y=")</f>
        <v>#REF!</v>
      </c>
      <c r="DP573" t="e">
        <f>AND(#REF!,"AAAAAGf//3c=")</f>
        <v>#REF!</v>
      </c>
      <c r="DQ573" t="e">
        <f>AND(#REF!,"AAAAAGf//3g=")</f>
        <v>#REF!</v>
      </c>
      <c r="DR573" t="e">
        <f>AND(#REF!,"AAAAAGf//3k=")</f>
        <v>#REF!</v>
      </c>
      <c r="DS573" t="e">
        <f>AND(#REF!,"AAAAAGf//3o=")</f>
        <v>#REF!</v>
      </c>
      <c r="DT573" t="e">
        <f>AND(#REF!,"AAAAAGf//3s=")</f>
        <v>#REF!</v>
      </c>
      <c r="DU573" t="e">
        <f>AND(#REF!,"AAAAAGf//3w=")</f>
        <v>#REF!</v>
      </c>
      <c r="DV573" t="e">
        <f>AND(#REF!,"AAAAAGf//30=")</f>
        <v>#REF!</v>
      </c>
      <c r="DW573" t="e">
        <f>AND(#REF!,"AAAAAGf//34=")</f>
        <v>#REF!</v>
      </c>
      <c r="DX573" t="e">
        <f>AND(#REF!,"AAAAAGf//38=")</f>
        <v>#REF!</v>
      </c>
      <c r="DY573" t="e">
        <f>IF(#REF!,"AAAAAGf//4A=",0)</f>
        <v>#REF!</v>
      </c>
      <c r="DZ573" t="e">
        <f>AND(#REF!,"AAAAAGf//4E=")</f>
        <v>#REF!</v>
      </c>
      <c r="EA573" t="e">
        <f>AND(#REF!,"AAAAAGf//4I=")</f>
        <v>#REF!</v>
      </c>
      <c r="EB573" t="e">
        <f>AND(#REF!,"AAAAAGf//4M=")</f>
        <v>#REF!</v>
      </c>
      <c r="EC573" t="e">
        <f>AND(#REF!,"AAAAAGf//4Q=")</f>
        <v>#REF!</v>
      </c>
      <c r="ED573" t="e">
        <f>AND(#REF!,"AAAAAGf//4U=")</f>
        <v>#REF!</v>
      </c>
      <c r="EE573" t="e">
        <f>AND(#REF!,"AAAAAGf//4Y=")</f>
        <v>#REF!</v>
      </c>
      <c r="EF573" t="e">
        <f>AND(#REF!,"AAAAAGf//4c=")</f>
        <v>#REF!</v>
      </c>
      <c r="EG573" t="e">
        <f>AND(#REF!,"AAAAAGf//4g=")</f>
        <v>#REF!</v>
      </c>
      <c r="EH573" t="e">
        <f>AND(#REF!,"AAAAAGf//4k=")</f>
        <v>#REF!</v>
      </c>
      <c r="EI573" t="e">
        <f>AND(#REF!,"AAAAAGf//4o=")</f>
        <v>#REF!</v>
      </c>
      <c r="EJ573" t="e">
        <f>AND(#REF!,"AAAAAGf//4s=")</f>
        <v>#REF!</v>
      </c>
      <c r="EK573" t="e">
        <f>AND(#REF!,"AAAAAGf//4w=")</f>
        <v>#REF!</v>
      </c>
      <c r="EL573" t="e">
        <f>AND(#REF!,"AAAAAGf//40=")</f>
        <v>#REF!</v>
      </c>
      <c r="EM573" t="e">
        <f>AND(#REF!,"AAAAAGf//44=")</f>
        <v>#REF!</v>
      </c>
      <c r="EN573" t="e">
        <f>AND(#REF!,"AAAAAGf//48=")</f>
        <v>#REF!</v>
      </c>
      <c r="EO573" t="e">
        <f>AND(#REF!,"AAAAAGf//5A=")</f>
        <v>#REF!</v>
      </c>
      <c r="EP573" t="e">
        <f>AND(#REF!,"AAAAAGf//5E=")</f>
        <v>#REF!</v>
      </c>
      <c r="EQ573" t="e">
        <f>AND(#REF!,"AAAAAGf//5I=")</f>
        <v>#REF!</v>
      </c>
      <c r="ER573" t="e">
        <f>AND(#REF!,"AAAAAGf//5M=")</f>
        <v>#REF!</v>
      </c>
      <c r="ES573" t="e">
        <f>AND(#REF!,"AAAAAGf//5Q=")</f>
        <v>#REF!</v>
      </c>
      <c r="ET573" t="e">
        <f>AND(#REF!,"AAAAAGf//5U=")</f>
        <v>#REF!</v>
      </c>
      <c r="EU573" t="e">
        <f>AND(#REF!,"AAAAAGf//5Y=")</f>
        <v>#REF!</v>
      </c>
      <c r="EV573" t="e">
        <f>AND(#REF!,"AAAAAGf//5c=")</f>
        <v>#REF!</v>
      </c>
      <c r="EW573" t="e">
        <f>AND(#REF!,"AAAAAGf//5g=")</f>
        <v>#REF!</v>
      </c>
      <c r="EX573" t="e">
        <f>IF(#REF!,"AAAAAGf//5k=",0)</f>
        <v>#REF!</v>
      </c>
      <c r="EY573" t="e">
        <f>AND(#REF!,"AAAAAGf//5o=")</f>
        <v>#REF!</v>
      </c>
      <c r="EZ573" t="e">
        <f>AND(#REF!,"AAAAAGf//5s=")</f>
        <v>#REF!</v>
      </c>
      <c r="FA573" t="e">
        <f>AND(#REF!,"AAAAAGf//5w=")</f>
        <v>#REF!</v>
      </c>
      <c r="FB573" t="e">
        <f>AND(#REF!,"AAAAAGf//50=")</f>
        <v>#REF!</v>
      </c>
      <c r="FC573" t="e">
        <f>AND(#REF!,"AAAAAGf//54=")</f>
        <v>#REF!</v>
      </c>
      <c r="FD573" t="e">
        <f>AND(#REF!,"AAAAAGf//58=")</f>
        <v>#REF!</v>
      </c>
      <c r="FE573" t="e">
        <f>AND(#REF!,"AAAAAGf//6A=")</f>
        <v>#REF!</v>
      </c>
      <c r="FF573" t="e">
        <f>AND(#REF!,"AAAAAGf//6E=")</f>
        <v>#REF!</v>
      </c>
      <c r="FG573" t="e">
        <f>AND(#REF!,"AAAAAGf//6I=")</f>
        <v>#REF!</v>
      </c>
      <c r="FH573" t="e">
        <f>AND(#REF!,"AAAAAGf//6M=")</f>
        <v>#REF!</v>
      </c>
      <c r="FI573" t="e">
        <f>AND(#REF!,"AAAAAGf//6Q=")</f>
        <v>#REF!</v>
      </c>
      <c r="FJ573" t="e">
        <f>AND(#REF!,"AAAAAGf//6U=")</f>
        <v>#REF!</v>
      </c>
      <c r="FK573" t="e">
        <f>AND(#REF!,"AAAAAGf//6Y=")</f>
        <v>#REF!</v>
      </c>
      <c r="FL573" t="e">
        <f>AND(#REF!,"AAAAAGf//6c=")</f>
        <v>#REF!</v>
      </c>
      <c r="FM573" t="e">
        <f>AND(#REF!,"AAAAAGf//6g=")</f>
        <v>#REF!</v>
      </c>
      <c r="FN573" t="e">
        <f>AND(#REF!,"AAAAAGf//6k=")</f>
        <v>#REF!</v>
      </c>
      <c r="FO573" t="e">
        <f>AND(#REF!,"AAAAAGf//6o=")</f>
        <v>#REF!</v>
      </c>
      <c r="FP573" t="e">
        <f>AND(#REF!,"AAAAAGf//6s=")</f>
        <v>#REF!</v>
      </c>
      <c r="FQ573" t="e">
        <f>AND(#REF!,"AAAAAGf//6w=")</f>
        <v>#REF!</v>
      </c>
      <c r="FR573" t="e">
        <f>AND(#REF!,"AAAAAGf//60=")</f>
        <v>#REF!</v>
      </c>
      <c r="FS573" t="e">
        <f>AND(#REF!,"AAAAAGf//64=")</f>
        <v>#REF!</v>
      </c>
      <c r="FT573" t="e">
        <f>AND(#REF!,"AAAAAGf//68=")</f>
        <v>#REF!</v>
      </c>
      <c r="FU573" t="e">
        <f>AND(#REF!,"AAAAAGf//7A=")</f>
        <v>#REF!</v>
      </c>
      <c r="FV573" t="e">
        <f>AND(#REF!,"AAAAAGf//7E=")</f>
        <v>#REF!</v>
      </c>
      <c r="FW573" t="e">
        <f>IF(#REF!,"AAAAAGf//7I=",0)</f>
        <v>#REF!</v>
      </c>
      <c r="FX573" t="e">
        <f>AND(#REF!,"AAAAAGf//7M=")</f>
        <v>#REF!</v>
      </c>
      <c r="FY573" t="e">
        <f>AND(#REF!,"AAAAAGf//7Q=")</f>
        <v>#REF!</v>
      </c>
      <c r="FZ573" t="e">
        <f>AND(#REF!,"AAAAAGf//7U=")</f>
        <v>#REF!</v>
      </c>
      <c r="GA573" t="e">
        <f>AND(#REF!,"AAAAAGf//7Y=")</f>
        <v>#REF!</v>
      </c>
      <c r="GB573" t="e">
        <f>AND(#REF!,"AAAAAGf//7c=")</f>
        <v>#REF!</v>
      </c>
      <c r="GC573" t="e">
        <f>AND(#REF!,"AAAAAGf//7g=")</f>
        <v>#REF!</v>
      </c>
      <c r="GD573" t="e">
        <f>AND(#REF!,"AAAAAGf//7k=")</f>
        <v>#REF!</v>
      </c>
      <c r="GE573" t="e">
        <f>AND(#REF!,"AAAAAGf//7o=")</f>
        <v>#REF!</v>
      </c>
      <c r="GF573" t="e">
        <f>AND(#REF!,"AAAAAGf//7s=")</f>
        <v>#REF!</v>
      </c>
      <c r="GG573" t="e">
        <f>AND(#REF!,"AAAAAGf//7w=")</f>
        <v>#REF!</v>
      </c>
      <c r="GH573" t="e">
        <f>AND(#REF!,"AAAAAGf//70=")</f>
        <v>#REF!</v>
      </c>
      <c r="GI573" t="e">
        <f>AND(#REF!,"AAAAAGf//74=")</f>
        <v>#REF!</v>
      </c>
      <c r="GJ573" t="e">
        <f>AND(#REF!,"AAAAAGf//78=")</f>
        <v>#REF!</v>
      </c>
      <c r="GK573" t="e">
        <f>AND(#REF!,"AAAAAGf//8A=")</f>
        <v>#REF!</v>
      </c>
      <c r="GL573" t="e">
        <f>AND(#REF!,"AAAAAGf//8E=")</f>
        <v>#REF!</v>
      </c>
      <c r="GM573" t="e">
        <f>AND(#REF!,"AAAAAGf//8I=")</f>
        <v>#REF!</v>
      </c>
      <c r="GN573" t="e">
        <f>AND(#REF!,"AAAAAGf//8M=")</f>
        <v>#REF!</v>
      </c>
      <c r="GO573" t="e">
        <f>AND(#REF!,"AAAAAGf//8Q=")</f>
        <v>#REF!</v>
      </c>
      <c r="GP573" t="e">
        <f>AND(#REF!,"AAAAAGf//8U=")</f>
        <v>#REF!</v>
      </c>
      <c r="GQ573" t="e">
        <f>AND(#REF!,"AAAAAGf//8Y=")</f>
        <v>#REF!</v>
      </c>
      <c r="GR573" t="e">
        <f>AND(#REF!,"AAAAAGf//8c=")</f>
        <v>#REF!</v>
      </c>
      <c r="GS573" t="e">
        <f>AND(#REF!,"AAAAAGf//8g=")</f>
        <v>#REF!</v>
      </c>
      <c r="GT573" t="e">
        <f>AND(#REF!,"AAAAAGf//8k=")</f>
        <v>#REF!</v>
      </c>
      <c r="GU573" t="e">
        <f>AND(#REF!,"AAAAAGf//8o=")</f>
        <v>#REF!</v>
      </c>
      <c r="GV573" t="e">
        <f>IF(#REF!,"AAAAAGf//8s=",0)</f>
        <v>#REF!</v>
      </c>
      <c r="GW573" t="e">
        <f>AND(#REF!,"AAAAAGf//8w=")</f>
        <v>#REF!</v>
      </c>
      <c r="GX573" t="e">
        <f>AND(#REF!,"AAAAAGf//80=")</f>
        <v>#REF!</v>
      </c>
      <c r="GY573" t="e">
        <f>AND(#REF!,"AAAAAGf//84=")</f>
        <v>#REF!</v>
      </c>
      <c r="GZ573" t="e">
        <f>AND(#REF!,"AAAAAGf//88=")</f>
        <v>#REF!</v>
      </c>
      <c r="HA573" t="e">
        <f>AND(#REF!,"AAAAAGf//9A=")</f>
        <v>#REF!</v>
      </c>
      <c r="HB573" t="e">
        <f>AND(#REF!,"AAAAAGf//9E=")</f>
        <v>#REF!</v>
      </c>
      <c r="HC573" t="e">
        <f>AND(#REF!,"AAAAAGf//9I=")</f>
        <v>#REF!</v>
      </c>
      <c r="HD573" t="e">
        <f>AND(#REF!,"AAAAAGf//9M=")</f>
        <v>#REF!</v>
      </c>
      <c r="HE573" t="e">
        <f>AND(#REF!,"AAAAAGf//9Q=")</f>
        <v>#REF!</v>
      </c>
      <c r="HF573" t="e">
        <f>AND(#REF!,"AAAAAGf//9U=")</f>
        <v>#REF!</v>
      </c>
      <c r="HG573" t="e">
        <f>AND(#REF!,"AAAAAGf//9Y=")</f>
        <v>#REF!</v>
      </c>
      <c r="HH573" t="e">
        <f>AND(#REF!,"AAAAAGf//9c=")</f>
        <v>#REF!</v>
      </c>
      <c r="HI573" t="e">
        <f>AND(#REF!,"AAAAAGf//9g=")</f>
        <v>#REF!</v>
      </c>
      <c r="HJ573" t="e">
        <f>AND(#REF!,"AAAAAGf//9k=")</f>
        <v>#REF!</v>
      </c>
      <c r="HK573" t="e">
        <f>AND(#REF!,"AAAAAGf//9o=")</f>
        <v>#REF!</v>
      </c>
      <c r="HL573" t="e">
        <f>AND(#REF!,"AAAAAGf//9s=")</f>
        <v>#REF!</v>
      </c>
      <c r="HM573" t="e">
        <f>AND(#REF!,"AAAAAGf//9w=")</f>
        <v>#REF!</v>
      </c>
      <c r="HN573" t="e">
        <f>AND(#REF!,"AAAAAGf//90=")</f>
        <v>#REF!</v>
      </c>
      <c r="HO573" t="e">
        <f>AND(#REF!,"AAAAAGf//94=")</f>
        <v>#REF!</v>
      </c>
      <c r="HP573" t="e">
        <f>AND(#REF!,"AAAAAGf//98=")</f>
        <v>#REF!</v>
      </c>
      <c r="HQ573" t="e">
        <f>AND(#REF!,"AAAAAGf//+A=")</f>
        <v>#REF!</v>
      </c>
      <c r="HR573" t="e">
        <f>AND(#REF!,"AAAAAGf//+E=")</f>
        <v>#REF!</v>
      </c>
      <c r="HS573" t="e">
        <f>AND(#REF!,"AAAAAGf//+I=")</f>
        <v>#REF!</v>
      </c>
      <c r="HT573" t="e">
        <f>AND(#REF!,"AAAAAGf//+M=")</f>
        <v>#REF!</v>
      </c>
      <c r="HU573" t="e">
        <f>IF(#REF!,"AAAAAGf//+Q=",0)</f>
        <v>#REF!</v>
      </c>
      <c r="HV573" t="e">
        <f>AND(#REF!,"AAAAAGf//+U=")</f>
        <v>#REF!</v>
      </c>
      <c r="HW573" t="e">
        <f>AND(#REF!,"AAAAAGf//+Y=")</f>
        <v>#REF!</v>
      </c>
      <c r="HX573" t="e">
        <f>AND(#REF!,"AAAAAGf//+c=")</f>
        <v>#REF!</v>
      </c>
      <c r="HY573" t="e">
        <f>AND(#REF!,"AAAAAGf//+g=")</f>
        <v>#REF!</v>
      </c>
      <c r="HZ573" t="e">
        <f>AND(#REF!,"AAAAAGf//+k=")</f>
        <v>#REF!</v>
      </c>
      <c r="IA573" t="e">
        <f>AND(#REF!,"AAAAAGf//+o=")</f>
        <v>#REF!</v>
      </c>
      <c r="IB573" t="e">
        <f>AND(#REF!,"AAAAAGf//+s=")</f>
        <v>#REF!</v>
      </c>
      <c r="IC573" t="e">
        <f>AND(#REF!,"AAAAAGf//+w=")</f>
        <v>#REF!</v>
      </c>
      <c r="ID573" t="e">
        <f>AND(#REF!,"AAAAAGf//+0=")</f>
        <v>#REF!</v>
      </c>
      <c r="IE573" t="e">
        <f>AND(#REF!,"AAAAAGf//+4=")</f>
        <v>#REF!</v>
      </c>
      <c r="IF573" t="e">
        <f>AND(#REF!,"AAAAAGf//+8=")</f>
        <v>#REF!</v>
      </c>
      <c r="IG573" t="e">
        <f>AND(#REF!,"AAAAAGf///A=")</f>
        <v>#REF!</v>
      </c>
      <c r="IH573" t="e">
        <f>AND(#REF!,"AAAAAGf///E=")</f>
        <v>#REF!</v>
      </c>
      <c r="II573" t="e">
        <f>AND(#REF!,"AAAAAGf///I=")</f>
        <v>#REF!</v>
      </c>
      <c r="IJ573" t="e">
        <f>AND(#REF!,"AAAAAGf///M=")</f>
        <v>#REF!</v>
      </c>
      <c r="IK573" t="e">
        <f>AND(#REF!,"AAAAAGf///Q=")</f>
        <v>#REF!</v>
      </c>
      <c r="IL573" t="e">
        <f>AND(#REF!,"AAAAAGf///U=")</f>
        <v>#REF!</v>
      </c>
      <c r="IM573" t="e">
        <f>AND(#REF!,"AAAAAGf///Y=")</f>
        <v>#REF!</v>
      </c>
      <c r="IN573" t="e">
        <f>AND(#REF!,"AAAAAGf///c=")</f>
        <v>#REF!</v>
      </c>
      <c r="IO573" t="e">
        <f>AND(#REF!,"AAAAAGf///g=")</f>
        <v>#REF!</v>
      </c>
      <c r="IP573" t="e">
        <f>AND(#REF!,"AAAAAGf///k=")</f>
        <v>#REF!</v>
      </c>
      <c r="IQ573" t="e">
        <f>AND(#REF!,"AAAAAGf///o=")</f>
        <v>#REF!</v>
      </c>
      <c r="IR573" t="e">
        <f>AND(#REF!,"AAAAAGf///s=")</f>
        <v>#REF!</v>
      </c>
      <c r="IS573" t="e">
        <f>AND(#REF!,"AAAAAGf///w=")</f>
        <v>#REF!</v>
      </c>
      <c r="IT573" t="e">
        <f>IF(#REF!,"AAAAAGf///0=",0)</f>
        <v>#REF!</v>
      </c>
      <c r="IU573" t="e">
        <f>AND(#REF!,"AAAAAGf///4=")</f>
        <v>#REF!</v>
      </c>
      <c r="IV573" t="e">
        <f>AND(#REF!,"AAAAAGf///8=")</f>
        <v>#REF!</v>
      </c>
    </row>
    <row r="574" spans="1:256">
      <c r="A574" t="e">
        <f>AND(#REF!,"AAAAAG+/fwA=")</f>
        <v>#REF!</v>
      </c>
      <c r="B574" t="e">
        <f>AND(#REF!,"AAAAAG+/fwE=")</f>
        <v>#REF!</v>
      </c>
      <c r="C574" t="e">
        <f>AND(#REF!,"AAAAAG+/fwI=")</f>
        <v>#REF!</v>
      </c>
      <c r="D574" t="e">
        <f>AND(#REF!,"AAAAAG+/fwM=")</f>
        <v>#REF!</v>
      </c>
      <c r="E574" t="e">
        <f>AND(#REF!,"AAAAAG+/fwQ=")</f>
        <v>#REF!</v>
      </c>
      <c r="F574" t="e">
        <f>AND(#REF!,"AAAAAG+/fwU=")</f>
        <v>#REF!</v>
      </c>
      <c r="G574" t="e">
        <f>AND(#REF!,"AAAAAG+/fwY=")</f>
        <v>#REF!</v>
      </c>
      <c r="H574" t="e">
        <f>AND(#REF!,"AAAAAG+/fwc=")</f>
        <v>#REF!</v>
      </c>
      <c r="I574" t="e">
        <f>AND(#REF!,"AAAAAG+/fwg=")</f>
        <v>#REF!</v>
      </c>
      <c r="J574" t="e">
        <f>AND(#REF!,"AAAAAG+/fwk=")</f>
        <v>#REF!</v>
      </c>
      <c r="K574" t="e">
        <f>AND(#REF!,"AAAAAG+/fwo=")</f>
        <v>#REF!</v>
      </c>
      <c r="L574" t="e">
        <f>AND(#REF!,"AAAAAG+/fws=")</f>
        <v>#REF!</v>
      </c>
      <c r="M574" t="e">
        <f>AND(#REF!,"AAAAAG+/fww=")</f>
        <v>#REF!</v>
      </c>
      <c r="N574" t="e">
        <f>AND(#REF!,"AAAAAG+/fw0=")</f>
        <v>#REF!</v>
      </c>
      <c r="O574" t="e">
        <f>AND(#REF!,"AAAAAG+/fw4=")</f>
        <v>#REF!</v>
      </c>
      <c r="P574" t="e">
        <f>AND(#REF!,"AAAAAG+/fw8=")</f>
        <v>#REF!</v>
      </c>
      <c r="Q574" t="e">
        <f>AND(#REF!,"AAAAAG+/fxA=")</f>
        <v>#REF!</v>
      </c>
      <c r="R574" t="e">
        <f>AND(#REF!,"AAAAAG+/fxE=")</f>
        <v>#REF!</v>
      </c>
      <c r="S574" t="e">
        <f>AND(#REF!,"AAAAAG+/fxI=")</f>
        <v>#REF!</v>
      </c>
      <c r="T574" t="e">
        <f>AND(#REF!,"AAAAAG+/fxM=")</f>
        <v>#REF!</v>
      </c>
      <c r="U574" t="e">
        <f>AND(#REF!,"AAAAAG+/fxQ=")</f>
        <v>#REF!</v>
      </c>
      <c r="V574" t="e">
        <f>AND(#REF!,"AAAAAG+/fxU=")</f>
        <v>#REF!</v>
      </c>
      <c r="W574" t="e">
        <f>IF(#REF!,"AAAAAG+/fxY=",0)</f>
        <v>#REF!</v>
      </c>
      <c r="X574" t="e">
        <f>AND(#REF!,"AAAAAG+/fxc=")</f>
        <v>#REF!</v>
      </c>
      <c r="Y574" t="e">
        <f>AND(#REF!,"AAAAAG+/fxg=")</f>
        <v>#REF!</v>
      </c>
      <c r="Z574" t="e">
        <f>AND(#REF!,"AAAAAG+/fxk=")</f>
        <v>#REF!</v>
      </c>
      <c r="AA574" t="e">
        <f>AND(#REF!,"AAAAAG+/fxo=")</f>
        <v>#REF!</v>
      </c>
      <c r="AB574" t="e">
        <f>AND(#REF!,"AAAAAG+/fxs=")</f>
        <v>#REF!</v>
      </c>
      <c r="AC574" t="e">
        <f>AND(#REF!,"AAAAAG+/fxw=")</f>
        <v>#REF!</v>
      </c>
      <c r="AD574" t="e">
        <f>AND(#REF!,"AAAAAG+/fx0=")</f>
        <v>#REF!</v>
      </c>
      <c r="AE574" t="e">
        <f>AND(#REF!,"AAAAAG+/fx4=")</f>
        <v>#REF!</v>
      </c>
      <c r="AF574" t="e">
        <f>AND(#REF!,"AAAAAG+/fx8=")</f>
        <v>#REF!</v>
      </c>
      <c r="AG574" t="e">
        <f>AND(#REF!,"AAAAAG+/fyA=")</f>
        <v>#REF!</v>
      </c>
      <c r="AH574" t="e">
        <f>AND(#REF!,"AAAAAG+/fyE=")</f>
        <v>#REF!</v>
      </c>
      <c r="AI574" t="e">
        <f>AND(#REF!,"AAAAAG+/fyI=")</f>
        <v>#REF!</v>
      </c>
      <c r="AJ574" t="e">
        <f>AND(#REF!,"AAAAAG+/fyM=")</f>
        <v>#REF!</v>
      </c>
      <c r="AK574" t="e">
        <f>AND(#REF!,"AAAAAG+/fyQ=")</f>
        <v>#REF!</v>
      </c>
      <c r="AL574" t="e">
        <f>AND(#REF!,"AAAAAG+/fyU=")</f>
        <v>#REF!</v>
      </c>
      <c r="AM574" t="e">
        <f>AND(#REF!,"AAAAAG+/fyY=")</f>
        <v>#REF!</v>
      </c>
      <c r="AN574" t="e">
        <f>AND(#REF!,"AAAAAG+/fyc=")</f>
        <v>#REF!</v>
      </c>
      <c r="AO574" t="e">
        <f>AND(#REF!,"AAAAAG+/fyg=")</f>
        <v>#REF!</v>
      </c>
      <c r="AP574" t="e">
        <f>AND(#REF!,"AAAAAG+/fyk=")</f>
        <v>#REF!</v>
      </c>
      <c r="AQ574" t="e">
        <f>AND(#REF!,"AAAAAG+/fyo=")</f>
        <v>#REF!</v>
      </c>
      <c r="AR574" t="e">
        <f>AND(#REF!,"AAAAAG+/fys=")</f>
        <v>#REF!</v>
      </c>
      <c r="AS574" t="e">
        <f>AND(#REF!,"AAAAAG+/fyw=")</f>
        <v>#REF!</v>
      </c>
      <c r="AT574" t="e">
        <f>AND(#REF!,"AAAAAG+/fy0=")</f>
        <v>#REF!</v>
      </c>
      <c r="AU574" t="e">
        <f>AND(#REF!,"AAAAAG+/fy4=")</f>
        <v>#REF!</v>
      </c>
      <c r="AV574" t="e">
        <f>IF(#REF!,"AAAAAG+/fy8=",0)</f>
        <v>#REF!</v>
      </c>
      <c r="AW574" t="e">
        <f>AND(#REF!,"AAAAAG+/fzA=")</f>
        <v>#REF!</v>
      </c>
      <c r="AX574" t="e">
        <f>AND(#REF!,"AAAAAG+/fzE=")</f>
        <v>#REF!</v>
      </c>
      <c r="AY574" t="e">
        <f>AND(#REF!,"AAAAAG+/fzI=")</f>
        <v>#REF!</v>
      </c>
      <c r="AZ574" t="e">
        <f>AND(#REF!,"AAAAAG+/fzM=")</f>
        <v>#REF!</v>
      </c>
      <c r="BA574" t="e">
        <f>AND(#REF!,"AAAAAG+/fzQ=")</f>
        <v>#REF!</v>
      </c>
      <c r="BB574" t="e">
        <f>AND(#REF!,"AAAAAG+/fzU=")</f>
        <v>#REF!</v>
      </c>
      <c r="BC574" t="e">
        <f>AND(#REF!,"AAAAAG+/fzY=")</f>
        <v>#REF!</v>
      </c>
      <c r="BD574" t="e">
        <f>AND(#REF!,"AAAAAG+/fzc=")</f>
        <v>#REF!</v>
      </c>
      <c r="BE574" t="e">
        <f>AND(#REF!,"AAAAAG+/fzg=")</f>
        <v>#REF!</v>
      </c>
      <c r="BF574" t="e">
        <f>AND(#REF!,"AAAAAG+/fzk=")</f>
        <v>#REF!</v>
      </c>
      <c r="BG574" t="e">
        <f>AND(#REF!,"AAAAAG+/fzo=")</f>
        <v>#REF!</v>
      </c>
      <c r="BH574" t="e">
        <f>AND(#REF!,"AAAAAG+/fzs=")</f>
        <v>#REF!</v>
      </c>
      <c r="BI574" t="e">
        <f>AND(#REF!,"AAAAAG+/fzw=")</f>
        <v>#REF!</v>
      </c>
      <c r="BJ574" t="e">
        <f>AND(#REF!,"AAAAAG+/fz0=")</f>
        <v>#REF!</v>
      </c>
      <c r="BK574" t="e">
        <f>AND(#REF!,"AAAAAG+/fz4=")</f>
        <v>#REF!</v>
      </c>
      <c r="BL574" t="e">
        <f>AND(#REF!,"AAAAAG+/fz8=")</f>
        <v>#REF!</v>
      </c>
      <c r="BM574" t="e">
        <f>AND(#REF!,"AAAAAG+/f0A=")</f>
        <v>#REF!</v>
      </c>
      <c r="BN574" t="e">
        <f>AND(#REF!,"AAAAAG+/f0E=")</f>
        <v>#REF!</v>
      </c>
      <c r="BO574" t="e">
        <f>AND(#REF!,"AAAAAG+/f0I=")</f>
        <v>#REF!</v>
      </c>
      <c r="BP574" t="e">
        <f>AND(#REF!,"AAAAAG+/f0M=")</f>
        <v>#REF!</v>
      </c>
      <c r="BQ574" t="e">
        <f>AND(#REF!,"AAAAAG+/f0Q=")</f>
        <v>#REF!</v>
      </c>
      <c r="BR574" t="e">
        <f>AND(#REF!,"AAAAAG+/f0U=")</f>
        <v>#REF!</v>
      </c>
      <c r="BS574" t="e">
        <f>AND(#REF!,"AAAAAG+/f0Y=")</f>
        <v>#REF!</v>
      </c>
      <c r="BT574" t="e">
        <f>AND(#REF!,"AAAAAG+/f0c=")</f>
        <v>#REF!</v>
      </c>
      <c r="BU574" t="e">
        <f>IF(#REF!,"AAAAAG+/f0g=",0)</f>
        <v>#REF!</v>
      </c>
      <c r="BV574" t="e">
        <f>AND(#REF!,"AAAAAG+/f0k=")</f>
        <v>#REF!</v>
      </c>
      <c r="BW574" t="e">
        <f>AND(#REF!,"AAAAAG+/f0o=")</f>
        <v>#REF!</v>
      </c>
      <c r="BX574" t="e">
        <f>AND(#REF!,"AAAAAG+/f0s=")</f>
        <v>#REF!</v>
      </c>
      <c r="BY574" t="e">
        <f>AND(#REF!,"AAAAAG+/f0w=")</f>
        <v>#REF!</v>
      </c>
      <c r="BZ574" t="e">
        <f>AND(#REF!,"AAAAAG+/f00=")</f>
        <v>#REF!</v>
      </c>
      <c r="CA574" t="e">
        <f>AND(#REF!,"AAAAAG+/f04=")</f>
        <v>#REF!</v>
      </c>
      <c r="CB574" t="e">
        <f>AND(#REF!,"AAAAAG+/f08=")</f>
        <v>#REF!</v>
      </c>
      <c r="CC574" t="e">
        <f>AND(#REF!,"AAAAAG+/f1A=")</f>
        <v>#REF!</v>
      </c>
      <c r="CD574" t="e">
        <f>AND(#REF!,"AAAAAG+/f1E=")</f>
        <v>#REF!</v>
      </c>
      <c r="CE574" t="e">
        <f>AND(#REF!,"AAAAAG+/f1I=")</f>
        <v>#REF!</v>
      </c>
      <c r="CF574" t="e">
        <f>AND(#REF!,"AAAAAG+/f1M=")</f>
        <v>#REF!</v>
      </c>
      <c r="CG574" t="e">
        <f>AND(#REF!,"AAAAAG+/f1Q=")</f>
        <v>#REF!</v>
      </c>
      <c r="CH574" t="e">
        <f>AND(#REF!,"AAAAAG+/f1U=")</f>
        <v>#REF!</v>
      </c>
      <c r="CI574" t="e">
        <f>AND(#REF!,"AAAAAG+/f1Y=")</f>
        <v>#REF!</v>
      </c>
      <c r="CJ574" t="e">
        <f>AND(#REF!,"AAAAAG+/f1c=")</f>
        <v>#REF!</v>
      </c>
      <c r="CK574" t="e">
        <f>AND(#REF!,"AAAAAG+/f1g=")</f>
        <v>#REF!</v>
      </c>
      <c r="CL574" t="e">
        <f>AND(#REF!,"AAAAAG+/f1k=")</f>
        <v>#REF!</v>
      </c>
      <c r="CM574" t="e">
        <f>AND(#REF!,"AAAAAG+/f1o=")</f>
        <v>#REF!</v>
      </c>
      <c r="CN574" t="e">
        <f>AND(#REF!,"AAAAAG+/f1s=")</f>
        <v>#REF!</v>
      </c>
      <c r="CO574" t="e">
        <f>AND(#REF!,"AAAAAG+/f1w=")</f>
        <v>#REF!</v>
      </c>
      <c r="CP574" t="e">
        <f>AND(#REF!,"AAAAAG+/f10=")</f>
        <v>#REF!</v>
      </c>
      <c r="CQ574" t="e">
        <f>AND(#REF!,"AAAAAG+/f14=")</f>
        <v>#REF!</v>
      </c>
      <c r="CR574" t="e">
        <f>AND(#REF!,"AAAAAG+/f18=")</f>
        <v>#REF!</v>
      </c>
      <c r="CS574" t="e">
        <f>AND(#REF!,"AAAAAG+/f2A=")</f>
        <v>#REF!</v>
      </c>
      <c r="CT574" t="e">
        <f>IF(#REF!,"AAAAAG+/f2E=",0)</f>
        <v>#REF!</v>
      </c>
      <c r="CU574" t="e">
        <f>AND(#REF!,"AAAAAG+/f2I=")</f>
        <v>#REF!</v>
      </c>
      <c r="CV574" t="e">
        <f>AND(#REF!,"AAAAAG+/f2M=")</f>
        <v>#REF!</v>
      </c>
      <c r="CW574" t="e">
        <f>AND(#REF!,"AAAAAG+/f2Q=")</f>
        <v>#REF!</v>
      </c>
      <c r="CX574" t="e">
        <f>AND(#REF!,"AAAAAG+/f2U=")</f>
        <v>#REF!</v>
      </c>
      <c r="CY574" t="e">
        <f>AND(#REF!,"AAAAAG+/f2Y=")</f>
        <v>#REF!</v>
      </c>
      <c r="CZ574" t="e">
        <f>AND(#REF!,"AAAAAG+/f2c=")</f>
        <v>#REF!</v>
      </c>
      <c r="DA574" t="e">
        <f>AND(#REF!,"AAAAAG+/f2g=")</f>
        <v>#REF!</v>
      </c>
      <c r="DB574" t="e">
        <f>AND(#REF!,"AAAAAG+/f2k=")</f>
        <v>#REF!</v>
      </c>
      <c r="DC574" t="e">
        <f>AND(#REF!,"AAAAAG+/f2o=")</f>
        <v>#REF!</v>
      </c>
      <c r="DD574" t="e">
        <f>AND(#REF!,"AAAAAG+/f2s=")</f>
        <v>#REF!</v>
      </c>
      <c r="DE574" t="e">
        <f>AND(#REF!,"AAAAAG+/f2w=")</f>
        <v>#REF!</v>
      </c>
      <c r="DF574" t="e">
        <f>AND(#REF!,"AAAAAG+/f20=")</f>
        <v>#REF!</v>
      </c>
      <c r="DG574" t="e">
        <f>AND(#REF!,"AAAAAG+/f24=")</f>
        <v>#REF!</v>
      </c>
      <c r="DH574" t="e">
        <f>AND(#REF!,"AAAAAG+/f28=")</f>
        <v>#REF!</v>
      </c>
      <c r="DI574" t="e">
        <f>AND(#REF!,"AAAAAG+/f3A=")</f>
        <v>#REF!</v>
      </c>
      <c r="DJ574" t="e">
        <f>AND(#REF!,"AAAAAG+/f3E=")</f>
        <v>#REF!</v>
      </c>
      <c r="DK574" t="e">
        <f>AND(#REF!,"AAAAAG+/f3I=")</f>
        <v>#REF!</v>
      </c>
      <c r="DL574" t="e">
        <f>AND(#REF!,"AAAAAG+/f3M=")</f>
        <v>#REF!</v>
      </c>
      <c r="DM574" t="e">
        <f>AND(#REF!,"AAAAAG+/f3Q=")</f>
        <v>#REF!</v>
      </c>
      <c r="DN574" t="e">
        <f>AND(#REF!,"AAAAAG+/f3U=")</f>
        <v>#REF!</v>
      </c>
      <c r="DO574" t="e">
        <f>AND(#REF!,"AAAAAG+/f3Y=")</f>
        <v>#REF!</v>
      </c>
      <c r="DP574" t="e">
        <f>AND(#REF!,"AAAAAG+/f3c=")</f>
        <v>#REF!</v>
      </c>
      <c r="DQ574" t="e">
        <f>AND(#REF!,"AAAAAG+/f3g=")</f>
        <v>#REF!</v>
      </c>
      <c r="DR574" t="e">
        <f>AND(#REF!,"AAAAAG+/f3k=")</f>
        <v>#REF!</v>
      </c>
      <c r="DS574" t="e">
        <f>IF(#REF!,"AAAAAG+/f3o=",0)</f>
        <v>#REF!</v>
      </c>
      <c r="DT574" t="e">
        <f>AND(#REF!,"AAAAAG+/f3s=")</f>
        <v>#REF!</v>
      </c>
      <c r="DU574" t="e">
        <f>AND(#REF!,"AAAAAG+/f3w=")</f>
        <v>#REF!</v>
      </c>
      <c r="DV574" t="e">
        <f>AND(#REF!,"AAAAAG+/f30=")</f>
        <v>#REF!</v>
      </c>
      <c r="DW574" t="e">
        <f>AND(#REF!,"AAAAAG+/f34=")</f>
        <v>#REF!</v>
      </c>
      <c r="DX574" t="e">
        <f>AND(#REF!,"AAAAAG+/f38=")</f>
        <v>#REF!</v>
      </c>
      <c r="DY574" t="e">
        <f>AND(#REF!,"AAAAAG+/f4A=")</f>
        <v>#REF!</v>
      </c>
      <c r="DZ574" t="e">
        <f>AND(#REF!,"AAAAAG+/f4E=")</f>
        <v>#REF!</v>
      </c>
      <c r="EA574" t="e">
        <f>AND(#REF!,"AAAAAG+/f4I=")</f>
        <v>#REF!</v>
      </c>
      <c r="EB574" t="e">
        <f>AND(#REF!,"AAAAAG+/f4M=")</f>
        <v>#REF!</v>
      </c>
      <c r="EC574" t="e">
        <f>AND(#REF!,"AAAAAG+/f4Q=")</f>
        <v>#REF!</v>
      </c>
      <c r="ED574" t="e">
        <f>AND(#REF!,"AAAAAG+/f4U=")</f>
        <v>#REF!</v>
      </c>
      <c r="EE574" t="e">
        <f>AND(#REF!,"AAAAAG+/f4Y=")</f>
        <v>#REF!</v>
      </c>
      <c r="EF574" t="e">
        <f>AND(#REF!,"AAAAAG+/f4c=")</f>
        <v>#REF!</v>
      </c>
      <c r="EG574" t="e">
        <f>AND(#REF!,"AAAAAG+/f4g=")</f>
        <v>#REF!</v>
      </c>
      <c r="EH574" t="e">
        <f>AND(#REF!,"AAAAAG+/f4k=")</f>
        <v>#REF!</v>
      </c>
      <c r="EI574" t="e">
        <f>AND(#REF!,"AAAAAG+/f4o=")</f>
        <v>#REF!</v>
      </c>
      <c r="EJ574" t="e">
        <f>AND(#REF!,"AAAAAG+/f4s=")</f>
        <v>#REF!</v>
      </c>
      <c r="EK574" t="e">
        <f>AND(#REF!,"AAAAAG+/f4w=")</f>
        <v>#REF!</v>
      </c>
      <c r="EL574" t="e">
        <f>AND(#REF!,"AAAAAG+/f40=")</f>
        <v>#REF!</v>
      </c>
      <c r="EM574" t="e">
        <f>AND(#REF!,"AAAAAG+/f44=")</f>
        <v>#REF!</v>
      </c>
      <c r="EN574" t="e">
        <f>AND(#REF!,"AAAAAG+/f48=")</f>
        <v>#REF!</v>
      </c>
      <c r="EO574" t="e">
        <f>AND(#REF!,"AAAAAG+/f5A=")</f>
        <v>#REF!</v>
      </c>
      <c r="EP574" t="e">
        <f>AND(#REF!,"AAAAAG+/f5E=")</f>
        <v>#REF!</v>
      </c>
      <c r="EQ574" t="e">
        <f>AND(#REF!,"AAAAAG+/f5I=")</f>
        <v>#REF!</v>
      </c>
      <c r="ER574" t="e">
        <f>IF(#REF!,"AAAAAG+/f5M=",0)</f>
        <v>#REF!</v>
      </c>
      <c r="ES574" t="e">
        <f>AND(#REF!,"AAAAAG+/f5Q=")</f>
        <v>#REF!</v>
      </c>
      <c r="ET574" t="e">
        <f>AND(#REF!,"AAAAAG+/f5U=")</f>
        <v>#REF!</v>
      </c>
      <c r="EU574" t="e">
        <f>AND(#REF!,"AAAAAG+/f5Y=")</f>
        <v>#REF!</v>
      </c>
      <c r="EV574" t="e">
        <f>AND(#REF!,"AAAAAG+/f5c=")</f>
        <v>#REF!</v>
      </c>
      <c r="EW574" t="e">
        <f>AND(#REF!,"AAAAAG+/f5g=")</f>
        <v>#REF!</v>
      </c>
      <c r="EX574" t="e">
        <f>AND(#REF!,"AAAAAG+/f5k=")</f>
        <v>#REF!</v>
      </c>
      <c r="EY574" t="e">
        <f>AND(#REF!,"AAAAAG+/f5o=")</f>
        <v>#REF!</v>
      </c>
      <c r="EZ574" t="e">
        <f>AND(#REF!,"AAAAAG+/f5s=")</f>
        <v>#REF!</v>
      </c>
      <c r="FA574" t="e">
        <f>AND(#REF!,"AAAAAG+/f5w=")</f>
        <v>#REF!</v>
      </c>
      <c r="FB574" t="e">
        <f>AND(#REF!,"AAAAAG+/f50=")</f>
        <v>#REF!</v>
      </c>
      <c r="FC574" t="e">
        <f>AND(#REF!,"AAAAAG+/f54=")</f>
        <v>#REF!</v>
      </c>
      <c r="FD574" t="e">
        <f>AND(#REF!,"AAAAAG+/f58=")</f>
        <v>#REF!</v>
      </c>
      <c r="FE574" t="e">
        <f>AND(#REF!,"AAAAAG+/f6A=")</f>
        <v>#REF!</v>
      </c>
      <c r="FF574" t="e">
        <f>AND(#REF!,"AAAAAG+/f6E=")</f>
        <v>#REF!</v>
      </c>
      <c r="FG574" t="e">
        <f>AND(#REF!,"AAAAAG+/f6I=")</f>
        <v>#REF!</v>
      </c>
      <c r="FH574" t="e">
        <f>AND(#REF!,"AAAAAG+/f6M=")</f>
        <v>#REF!</v>
      </c>
      <c r="FI574" t="e">
        <f>AND(#REF!,"AAAAAG+/f6Q=")</f>
        <v>#REF!</v>
      </c>
      <c r="FJ574" t="e">
        <f>AND(#REF!,"AAAAAG+/f6U=")</f>
        <v>#REF!</v>
      </c>
      <c r="FK574" t="e">
        <f>AND(#REF!,"AAAAAG+/f6Y=")</f>
        <v>#REF!</v>
      </c>
      <c r="FL574" t="e">
        <f>AND(#REF!,"AAAAAG+/f6c=")</f>
        <v>#REF!</v>
      </c>
      <c r="FM574" t="e">
        <f>AND(#REF!,"AAAAAG+/f6g=")</f>
        <v>#REF!</v>
      </c>
      <c r="FN574" t="e">
        <f>AND(#REF!,"AAAAAG+/f6k=")</f>
        <v>#REF!</v>
      </c>
      <c r="FO574" t="e">
        <f>AND(#REF!,"AAAAAG+/f6o=")</f>
        <v>#REF!</v>
      </c>
      <c r="FP574" t="e">
        <f>AND(#REF!,"AAAAAG+/f6s=")</f>
        <v>#REF!</v>
      </c>
      <c r="FQ574" t="e">
        <f>IF(#REF!,"AAAAAG+/f6w=",0)</f>
        <v>#REF!</v>
      </c>
      <c r="FR574" t="e">
        <f>AND(#REF!,"AAAAAG+/f60=")</f>
        <v>#REF!</v>
      </c>
      <c r="FS574" t="e">
        <f>AND(#REF!,"AAAAAG+/f64=")</f>
        <v>#REF!</v>
      </c>
      <c r="FT574" t="e">
        <f>AND(#REF!,"AAAAAG+/f68=")</f>
        <v>#REF!</v>
      </c>
      <c r="FU574" t="e">
        <f>AND(#REF!,"AAAAAG+/f7A=")</f>
        <v>#REF!</v>
      </c>
      <c r="FV574" t="e">
        <f>AND(#REF!,"AAAAAG+/f7E=")</f>
        <v>#REF!</v>
      </c>
      <c r="FW574" t="e">
        <f>AND(#REF!,"AAAAAG+/f7I=")</f>
        <v>#REF!</v>
      </c>
      <c r="FX574" t="e">
        <f>AND(#REF!,"AAAAAG+/f7M=")</f>
        <v>#REF!</v>
      </c>
      <c r="FY574" t="e">
        <f>AND(#REF!,"AAAAAG+/f7Q=")</f>
        <v>#REF!</v>
      </c>
      <c r="FZ574" t="e">
        <f>AND(#REF!,"AAAAAG+/f7U=")</f>
        <v>#REF!</v>
      </c>
      <c r="GA574" t="e">
        <f>AND(#REF!,"AAAAAG+/f7Y=")</f>
        <v>#REF!</v>
      </c>
      <c r="GB574" t="e">
        <f>AND(#REF!,"AAAAAG+/f7c=")</f>
        <v>#REF!</v>
      </c>
      <c r="GC574" t="e">
        <f>AND(#REF!,"AAAAAG+/f7g=")</f>
        <v>#REF!</v>
      </c>
      <c r="GD574" t="e">
        <f>AND(#REF!,"AAAAAG+/f7k=")</f>
        <v>#REF!</v>
      </c>
      <c r="GE574" t="e">
        <f>AND(#REF!,"AAAAAG+/f7o=")</f>
        <v>#REF!</v>
      </c>
      <c r="GF574" t="e">
        <f>AND(#REF!,"AAAAAG+/f7s=")</f>
        <v>#REF!</v>
      </c>
      <c r="GG574" t="e">
        <f>AND(#REF!,"AAAAAG+/f7w=")</f>
        <v>#REF!</v>
      </c>
      <c r="GH574" t="e">
        <f>AND(#REF!,"AAAAAG+/f70=")</f>
        <v>#REF!</v>
      </c>
      <c r="GI574" t="e">
        <f>AND(#REF!,"AAAAAG+/f74=")</f>
        <v>#REF!</v>
      </c>
      <c r="GJ574" t="e">
        <f>AND(#REF!,"AAAAAG+/f78=")</f>
        <v>#REF!</v>
      </c>
      <c r="GK574" t="e">
        <f>AND(#REF!,"AAAAAG+/f8A=")</f>
        <v>#REF!</v>
      </c>
      <c r="GL574" t="e">
        <f>AND(#REF!,"AAAAAG+/f8E=")</f>
        <v>#REF!</v>
      </c>
      <c r="GM574" t="e">
        <f>AND(#REF!,"AAAAAG+/f8I=")</f>
        <v>#REF!</v>
      </c>
      <c r="GN574" t="e">
        <f>AND(#REF!,"AAAAAG+/f8M=")</f>
        <v>#REF!</v>
      </c>
      <c r="GO574" t="e">
        <f>AND(#REF!,"AAAAAG+/f8Q=")</f>
        <v>#REF!</v>
      </c>
      <c r="GP574" t="e">
        <f>IF(#REF!,"AAAAAG+/f8U=",0)</f>
        <v>#REF!</v>
      </c>
      <c r="GQ574" t="e">
        <f>AND(#REF!,"AAAAAG+/f8Y=")</f>
        <v>#REF!</v>
      </c>
      <c r="GR574" t="e">
        <f>AND(#REF!,"AAAAAG+/f8c=")</f>
        <v>#REF!</v>
      </c>
      <c r="GS574" t="e">
        <f>AND(#REF!,"AAAAAG+/f8g=")</f>
        <v>#REF!</v>
      </c>
      <c r="GT574" t="e">
        <f>AND(#REF!,"AAAAAG+/f8k=")</f>
        <v>#REF!</v>
      </c>
      <c r="GU574" t="e">
        <f>AND(#REF!,"AAAAAG+/f8o=")</f>
        <v>#REF!</v>
      </c>
      <c r="GV574" t="e">
        <f>AND(#REF!,"AAAAAG+/f8s=")</f>
        <v>#REF!</v>
      </c>
      <c r="GW574" t="e">
        <f>AND(#REF!,"AAAAAG+/f8w=")</f>
        <v>#REF!</v>
      </c>
      <c r="GX574" t="e">
        <f>AND(#REF!,"AAAAAG+/f80=")</f>
        <v>#REF!</v>
      </c>
      <c r="GY574" t="e">
        <f>AND(#REF!,"AAAAAG+/f84=")</f>
        <v>#REF!</v>
      </c>
      <c r="GZ574" t="e">
        <f>AND(#REF!,"AAAAAG+/f88=")</f>
        <v>#REF!</v>
      </c>
      <c r="HA574" t="e">
        <f>AND(#REF!,"AAAAAG+/f9A=")</f>
        <v>#REF!</v>
      </c>
      <c r="HB574" t="e">
        <f>AND(#REF!,"AAAAAG+/f9E=")</f>
        <v>#REF!</v>
      </c>
      <c r="HC574" t="e">
        <f>AND(#REF!,"AAAAAG+/f9I=")</f>
        <v>#REF!</v>
      </c>
      <c r="HD574" t="e">
        <f>AND(#REF!,"AAAAAG+/f9M=")</f>
        <v>#REF!</v>
      </c>
      <c r="HE574" t="e">
        <f>AND(#REF!,"AAAAAG+/f9Q=")</f>
        <v>#REF!</v>
      </c>
      <c r="HF574" t="e">
        <f>AND(#REF!,"AAAAAG+/f9U=")</f>
        <v>#REF!</v>
      </c>
      <c r="HG574" t="e">
        <f>AND(#REF!,"AAAAAG+/f9Y=")</f>
        <v>#REF!</v>
      </c>
      <c r="HH574" t="e">
        <f>AND(#REF!,"AAAAAG+/f9c=")</f>
        <v>#REF!</v>
      </c>
      <c r="HI574" t="e">
        <f>AND(#REF!,"AAAAAG+/f9g=")</f>
        <v>#REF!</v>
      </c>
      <c r="HJ574" t="e">
        <f>AND(#REF!,"AAAAAG+/f9k=")</f>
        <v>#REF!</v>
      </c>
      <c r="HK574" t="e">
        <f>AND(#REF!,"AAAAAG+/f9o=")</f>
        <v>#REF!</v>
      </c>
      <c r="HL574" t="e">
        <f>AND(#REF!,"AAAAAG+/f9s=")</f>
        <v>#REF!</v>
      </c>
      <c r="HM574" t="e">
        <f>AND(#REF!,"AAAAAG+/f9w=")</f>
        <v>#REF!</v>
      </c>
      <c r="HN574" t="e">
        <f>AND(#REF!,"AAAAAG+/f90=")</f>
        <v>#REF!</v>
      </c>
      <c r="HO574" t="e">
        <f>IF(#REF!,"AAAAAG+/f94=",0)</f>
        <v>#REF!</v>
      </c>
      <c r="HP574" t="e">
        <f>AND(#REF!,"AAAAAG+/f98=")</f>
        <v>#REF!</v>
      </c>
      <c r="HQ574" t="e">
        <f>AND(#REF!,"AAAAAG+/f+A=")</f>
        <v>#REF!</v>
      </c>
      <c r="HR574" t="e">
        <f>AND(#REF!,"AAAAAG+/f+E=")</f>
        <v>#REF!</v>
      </c>
      <c r="HS574" t="e">
        <f>AND(#REF!,"AAAAAG+/f+I=")</f>
        <v>#REF!</v>
      </c>
      <c r="HT574" t="e">
        <f>AND(#REF!,"AAAAAG+/f+M=")</f>
        <v>#REF!</v>
      </c>
      <c r="HU574" t="e">
        <f>AND(#REF!,"AAAAAG+/f+Q=")</f>
        <v>#REF!</v>
      </c>
      <c r="HV574" t="e">
        <f>AND(#REF!,"AAAAAG+/f+U=")</f>
        <v>#REF!</v>
      </c>
      <c r="HW574" t="e">
        <f>AND(#REF!,"AAAAAG+/f+Y=")</f>
        <v>#REF!</v>
      </c>
      <c r="HX574" t="e">
        <f>AND(#REF!,"AAAAAG+/f+c=")</f>
        <v>#REF!</v>
      </c>
      <c r="HY574" t="e">
        <f>AND(#REF!,"AAAAAG+/f+g=")</f>
        <v>#REF!</v>
      </c>
      <c r="HZ574" t="e">
        <f>AND(#REF!,"AAAAAG+/f+k=")</f>
        <v>#REF!</v>
      </c>
      <c r="IA574" t="e">
        <f>AND(#REF!,"AAAAAG+/f+o=")</f>
        <v>#REF!</v>
      </c>
      <c r="IB574" t="e">
        <f>AND(#REF!,"AAAAAG+/f+s=")</f>
        <v>#REF!</v>
      </c>
      <c r="IC574" t="e">
        <f>AND(#REF!,"AAAAAG+/f+w=")</f>
        <v>#REF!</v>
      </c>
      <c r="ID574" t="e">
        <f>AND(#REF!,"AAAAAG+/f+0=")</f>
        <v>#REF!</v>
      </c>
      <c r="IE574" t="e">
        <f>AND(#REF!,"AAAAAG+/f+4=")</f>
        <v>#REF!</v>
      </c>
      <c r="IF574" t="e">
        <f>AND(#REF!,"AAAAAG+/f+8=")</f>
        <v>#REF!</v>
      </c>
      <c r="IG574" t="e">
        <f>AND(#REF!,"AAAAAG+/f/A=")</f>
        <v>#REF!</v>
      </c>
      <c r="IH574" t="e">
        <f>AND(#REF!,"AAAAAG+/f/E=")</f>
        <v>#REF!</v>
      </c>
      <c r="II574" t="e">
        <f>AND(#REF!,"AAAAAG+/f/I=")</f>
        <v>#REF!</v>
      </c>
      <c r="IJ574" t="e">
        <f>AND(#REF!,"AAAAAG+/f/M=")</f>
        <v>#REF!</v>
      </c>
      <c r="IK574" t="e">
        <f>AND(#REF!,"AAAAAG+/f/Q=")</f>
        <v>#REF!</v>
      </c>
      <c r="IL574" t="e">
        <f>AND(#REF!,"AAAAAG+/f/U=")</f>
        <v>#REF!</v>
      </c>
      <c r="IM574" t="e">
        <f>AND(#REF!,"AAAAAG+/f/Y=")</f>
        <v>#REF!</v>
      </c>
      <c r="IN574" t="e">
        <f>IF(#REF!,"AAAAAG+/f/c=",0)</f>
        <v>#REF!</v>
      </c>
      <c r="IO574" t="e">
        <f>AND(#REF!,"AAAAAG+/f/g=")</f>
        <v>#REF!</v>
      </c>
      <c r="IP574" t="e">
        <f>AND(#REF!,"AAAAAG+/f/k=")</f>
        <v>#REF!</v>
      </c>
      <c r="IQ574" t="e">
        <f>AND(#REF!,"AAAAAG+/f/o=")</f>
        <v>#REF!</v>
      </c>
      <c r="IR574" t="e">
        <f>AND(#REF!,"AAAAAG+/f/s=")</f>
        <v>#REF!</v>
      </c>
      <c r="IS574" t="e">
        <f>AND(#REF!,"AAAAAG+/f/w=")</f>
        <v>#REF!</v>
      </c>
      <c r="IT574" t="e">
        <f>AND(#REF!,"AAAAAG+/f/0=")</f>
        <v>#REF!</v>
      </c>
      <c r="IU574" t="e">
        <f>AND(#REF!,"AAAAAG+/f/4=")</f>
        <v>#REF!</v>
      </c>
      <c r="IV574" t="e">
        <f>AND(#REF!,"AAAAAG+/f/8=")</f>
        <v>#REF!</v>
      </c>
    </row>
    <row r="575" spans="1:256">
      <c r="A575" t="e">
        <f>AND(#REF!,"AAAAABu6/wA=")</f>
        <v>#REF!</v>
      </c>
      <c r="B575" t="e">
        <f>AND(#REF!,"AAAAABu6/wE=")</f>
        <v>#REF!</v>
      </c>
      <c r="C575" t="e">
        <f>AND(#REF!,"AAAAABu6/wI=")</f>
        <v>#REF!</v>
      </c>
      <c r="D575" t="e">
        <f>AND(#REF!,"AAAAABu6/wM=")</f>
        <v>#REF!</v>
      </c>
      <c r="E575" t="e">
        <f>AND(#REF!,"AAAAABu6/wQ=")</f>
        <v>#REF!</v>
      </c>
      <c r="F575" t="e">
        <f>AND(#REF!,"AAAAABu6/wU=")</f>
        <v>#REF!</v>
      </c>
      <c r="G575" t="e">
        <f>AND(#REF!,"AAAAABu6/wY=")</f>
        <v>#REF!</v>
      </c>
      <c r="H575" t="e">
        <f>AND(#REF!,"AAAAABu6/wc=")</f>
        <v>#REF!</v>
      </c>
      <c r="I575" t="e">
        <f>AND(#REF!,"AAAAABu6/wg=")</f>
        <v>#REF!</v>
      </c>
      <c r="J575" t="e">
        <f>AND(#REF!,"AAAAABu6/wk=")</f>
        <v>#REF!</v>
      </c>
      <c r="K575" t="e">
        <f>AND(#REF!,"AAAAABu6/wo=")</f>
        <v>#REF!</v>
      </c>
      <c r="L575" t="e">
        <f>AND(#REF!,"AAAAABu6/ws=")</f>
        <v>#REF!</v>
      </c>
      <c r="M575" t="e">
        <f>AND(#REF!,"AAAAABu6/ww=")</f>
        <v>#REF!</v>
      </c>
      <c r="N575" t="e">
        <f>AND(#REF!,"AAAAABu6/w0=")</f>
        <v>#REF!</v>
      </c>
      <c r="O575" t="e">
        <f>AND(#REF!,"AAAAABu6/w4=")</f>
        <v>#REF!</v>
      </c>
      <c r="P575" t="e">
        <f>AND(#REF!,"AAAAABu6/w8=")</f>
        <v>#REF!</v>
      </c>
      <c r="Q575" t="e">
        <f>IF(#REF!,"AAAAABu6/xA=",0)</f>
        <v>#REF!</v>
      </c>
      <c r="R575" t="e">
        <f>AND(#REF!,"AAAAABu6/xE=")</f>
        <v>#REF!</v>
      </c>
      <c r="S575" t="e">
        <f>AND(#REF!,"AAAAABu6/xI=")</f>
        <v>#REF!</v>
      </c>
      <c r="T575" t="e">
        <f>AND(#REF!,"AAAAABu6/xM=")</f>
        <v>#REF!</v>
      </c>
      <c r="U575" t="e">
        <f>AND(#REF!,"AAAAABu6/xQ=")</f>
        <v>#REF!</v>
      </c>
      <c r="V575" t="e">
        <f>AND(#REF!,"AAAAABu6/xU=")</f>
        <v>#REF!</v>
      </c>
      <c r="W575" t="e">
        <f>AND(#REF!,"AAAAABu6/xY=")</f>
        <v>#REF!</v>
      </c>
      <c r="X575" t="e">
        <f>AND(#REF!,"AAAAABu6/xc=")</f>
        <v>#REF!</v>
      </c>
      <c r="Y575" t="e">
        <f>AND(#REF!,"AAAAABu6/xg=")</f>
        <v>#REF!</v>
      </c>
      <c r="Z575" t="e">
        <f>AND(#REF!,"AAAAABu6/xk=")</f>
        <v>#REF!</v>
      </c>
      <c r="AA575" t="e">
        <f>AND(#REF!,"AAAAABu6/xo=")</f>
        <v>#REF!</v>
      </c>
      <c r="AB575" t="e">
        <f>AND(#REF!,"AAAAABu6/xs=")</f>
        <v>#REF!</v>
      </c>
      <c r="AC575" t="e">
        <f>AND(#REF!,"AAAAABu6/xw=")</f>
        <v>#REF!</v>
      </c>
      <c r="AD575" t="e">
        <f>AND(#REF!,"AAAAABu6/x0=")</f>
        <v>#REF!</v>
      </c>
      <c r="AE575" t="e">
        <f>AND(#REF!,"AAAAABu6/x4=")</f>
        <v>#REF!</v>
      </c>
      <c r="AF575" t="e">
        <f>AND(#REF!,"AAAAABu6/x8=")</f>
        <v>#REF!</v>
      </c>
      <c r="AG575" t="e">
        <f>AND(#REF!,"AAAAABu6/yA=")</f>
        <v>#REF!</v>
      </c>
      <c r="AH575" t="e">
        <f>AND(#REF!,"AAAAABu6/yE=")</f>
        <v>#REF!</v>
      </c>
      <c r="AI575" t="e">
        <f>AND(#REF!,"AAAAABu6/yI=")</f>
        <v>#REF!</v>
      </c>
      <c r="AJ575" t="e">
        <f>AND(#REF!,"AAAAABu6/yM=")</f>
        <v>#REF!</v>
      </c>
      <c r="AK575" t="e">
        <f>AND(#REF!,"AAAAABu6/yQ=")</f>
        <v>#REF!</v>
      </c>
      <c r="AL575" t="e">
        <f>AND(#REF!,"AAAAABu6/yU=")</f>
        <v>#REF!</v>
      </c>
      <c r="AM575" t="e">
        <f>AND(#REF!,"AAAAABu6/yY=")</f>
        <v>#REF!</v>
      </c>
      <c r="AN575" t="e">
        <f>AND(#REF!,"AAAAABu6/yc=")</f>
        <v>#REF!</v>
      </c>
      <c r="AO575" t="e">
        <f>AND(#REF!,"AAAAABu6/yg=")</f>
        <v>#REF!</v>
      </c>
      <c r="AP575" t="e">
        <f>IF(#REF!,"AAAAABu6/yk=",0)</f>
        <v>#REF!</v>
      </c>
      <c r="AQ575" t="e">
        <f>AND(#REF!,"AAAAABu6/yo=")</f>
        <v>#REF!</v>
      </c>
      <c r="AR575" t="e">
        <f>AND(#REF!,"AAAAABu6/ys=")</f>
        <v>#REF!</v>
      </c>
      <c r="AS575" t="e">
        <f>AND(#REF!,"AAAAABu6/yw=")</f>
        <v>#REF!</v>
      </c>
      <c r="AT575" t="e">
        <f>AND(#REF!,"AAAAABu6/y0=")</f>
        <v>#REF!</v>
      </c>
      <c r="AU575" t="e">
        <f>AND(#REF!,"AAAAABu6/y4=")</f>
        <v>#REF!</v>
      </c>
      <c r="AV575" t="e">
        <f>AND(#REF!,"AAAAABu6/y8=")</f>
        <v>#REF!</v>
      </c>
      <c r="AW575" t="e">
        <f>AND(#REF!,"AAAAABu6/zA=")</f>
        <v>#REF!</v>
      </c>
      <c r="AX575" t="e">
        <f>AND(#REF!,"AAAAABu6/zE=")</f>
        <v>#REF!</v>
      </c>
      <c r="AY575" t="e">
        <f>AND(#REF!,"AAAAABu6/zI=")</f>
        <v>#REF!</v>
      </c>
      <c r="AZ575" t="e">
        <f>AND(#REF!,"AAAAABu6/zM=")</f>
        <v>#REF!</v>
      </c>
      <c r="BA575" t="e">
        <f>AND(#REF!,"AAAAABu6/zQ=")</f>
        <v>#REF!</v>
      </c>
      <c r="BB575" t="e">
        <f>AND(#REF!,"AAAAABu6/zU=")</f>
        <v>#REF!</v>
      </c>
      <c r="BC575" t="e">
        <f>AND(#REF!,"AAAAABu6/zY=")</f>
        <v>#REF!</v>
      </c>
      <c r="BD575" t="e">
        <f>AND(#REF!,"AAAAABu6/zc=")</f>
        <v>#REF!</v>
      </c>
      <c r="BE575" t="e">
        <f>AND(#REF!,"AAAAABu6/zg=")</f>
        <v>#REF!</v>
      </c>
      <c r="BF575" t="e">
        <f>AND(#REF!,"AAAAABu6/zk=")</f>
        <v>#REF!</v>
      </c>
      <c r="BG575" t="e">
        <f>AND(#REF!,"AAAAABu6/zo=")</f>
        <v>#REF!</v>
      </c>
      <c r="BH575" t="e">
        <f>AND(#REF!,"AAAAABu6/zs=")</f>
        <v>#REF!</v>
      </c>
      <c r="BI575" t="e">
        <f>AND(#REF!,"AAAAABu6/zw=")</f>
        <v>#REF!</v>
      </c>
      <c r="BJ575" t="e">
        <f>AND(#REF!,"AAAAABu6/z0=")</f>
        <v>#REF!</v>
      </c>
      <c r="BK575" t="e">
        <f>AND(#REF!,"AAAAABu6/z4=")</f>
        <v>#REF!</v>
      </c>
      <c r="BL575" t="e">
        <f>AND(#REF!,"AAAAABu6/z8=")</f>
        <v>#REF!</v>
      </c>
      <c r="BM575" t="e">
        <f>AND(#REF!,"AAAAABu6/0A=")</f>
        <v>#REF!</v>
      </c>
      <c r="BN575" t="e">
        <f>AND(#REF!,"AAAAABu6/0E=")</f>
        <v>#REF!</v>
      </c>
      <c r="BO575" t="e">
        <f>IF(#REF!,"AAAAABu6/0I=",0)</f>
        <v>#REF!</v>
      </c>
      <c r="BP575" t="e">
        <f>AND(#REF!,"AAAAABu6/0M=")</f>
        <v>#REF!</v>
      </c>
      <c r="BQ575" t="e">
        <f>AND(#REF!,"AAAAABu6/0Q=")</f>
        <v>#REF!</v>
      </c>
      <c r="BR575" t="e">
        <f>AND(#REF!,"AAAAABu6/0U=")</f>
        <v>#REF!</v>
      </c>
      <c r="BS575" t="e">
        <f>AND(#REF!,"AAAAABu6/0Y=")</f>
        <v>#REF!</v>
      </c>
      <c r="BT575" t="e">
        <f>AND(#REF!,"AAAAABu6/0c=")</f>
        <v>#REF!</v>
      </c>
      <c r="BU575" t="e">
        <f>AND(#REF!,"AAAAABu6/0g=")</f>
        <v>#REF!</v>
      </c>
      <c r="BV575" t="e">
        <f>AND(#REF!,"AAAAABu6/0k=")</f>
        <v>#REF!</v>
      </c>
      <c r="BW575" t="e">
        <f>AND(#REF!,"AAAAABu6/0o=")</f>
        <v>#REF!</v>
      </c>
      <c r="BX575" t="e">
        <f>AND(#REF!,"AAAAABu6/0s=")</f>
        <v>#REF!</v>
      </c>
      <c r="BY575" t="e">
        <f>AND(#REF!,"AAAAABu6/0w=")</f>
        <v>#REF!</v>
      </c>
      <c r="BZ575" t="e">
        <f>AND(#REF!,"AAAAABu6/00=")</f>
        <v>#REF!</v>
      </c>
      <c r="CA575" t="e">
        <f>AND(#REF!,"AAAAABu6/04=")</f>
        <v>#REF!</v>
      </c>
      <c r="CB575" t="e">
        <f>AND(#REF!,"AAAAABu6/08=")</f>
        <v>#REF!</v>
      </c>
      <c r="CC575" t="e">
        <f>AND(#REF!,"AAAAABu6/1A=")</f>
        <v>#REF!</v>
      </c>
      <c r="CD575" t="e">
        <f>AND(#REF!,"AAAAABu6/1E=")</f>
        <v>#REF!</v>
      </c>
      <c r="CE575" t="e">
        <f>AND(#REF!,"AAAAABu6/1I=")</f>
        <v>#REF!</v>
      </c>
      <c r="CF575" t="e">
        <f>AND(#REF!,"AAAAABu6/1M=")</f>
        <v>#REF!</v>
      </c>
      <c r="CG575" t="e">
        <f>AND(#REF!,"AAAAABu6/1Q=")</f>
        <v>#REF!</v>
      </c>
      <c r="CH575" t="e">
        <f>AND(#REF!,"AAAAABu6/1U=")</f>
        <v>#REF!</v>
      </c>
      <c r="CI575" t="e">
        <f>AND(#REF!,"AAAAABu6/1Y=")</f>
        <v>#REF!</v>
      </c>
      <c r="CJ575" t="e">
        <f>AND(#REF!,"AAAAABu6/1c=")</f>
        <v>#REF!</v>
      </c>
      <c r="CK575" t="e">
        <f>AND(#REF!,"AAAAABu6/1g=")</f>
        <v>#REF!</v>
      </c>
      <c r="CL575" t="e">
        <f>AND(#REF!,"AAAAABu6/1k=")</f>
        <v>#REF!</v>
      </c>
      <c r="CM575" t="e">
        <f>AND(#REF!,"AAAAABu6/1o=")</f>
        <v>#REF!</v>
      </c>
      <c r="CN575" t="e">
        <f>IF(#REF!,"AAAAABu6/1s=",0)</f>
        <v>#REF!</v>
      </c>
      <c r="CO575" t="e">
        <f>AND(#REF!,"AAAAABu6/1w=")</f>
        <v>#REF!</v>
      </c>
      <c r="CP575" t="e">
        <f>AND(#REF!,"AAAAABu6/10=")</f>
        <v>#REF!</v>
      </c>
      <c r="CQ575" t="e">
        <f>AND(#REF!,"AAAAABu6/14=")</f>
        <v>#REF!</v>
      </c>
      <c r="CR575" t="e">
        <f>AND(#REF!,"AAAAABu6/18=")</f>
        <v>#REF!</v>
      </c>
      <c r="CS575" t="e">
        <f>AND(#REF!,"AAAAABu6/2A=")</f>
        <v>#REF!</v>
      </c>
      <c r="CT575" t="e">
        <f>AND(#REF!,"AAAAABu6/2E=")</f>
        <v>#REF!</v>
      </c>
      <c r="CU575" t="e">
        <f>AND(#REF!,"AAAAABu6/2I=")</f>
        <v>#REF!</v>
      </c>
      <c r="CV575" t="e">
        <f>AND(#REF!,"AAAAABu6/2M=")</f>
        <v>#REF!</v>
      </c>
      <c r="CW575" t="e">
        <f>AND(#REF!,"AAAAABu6/2Q=")</f>
        <v>#REF!</v>
      </c>
      <c r="CX575" t="e">
        <f>AND(#REF!,"AAAAABu6/2U=")</f>
        <v>#REF!</v>
      </c>
      <c r="CY575" t="e">
        <f>AND(#REF!,"AAAAABu6/2Y=")</f>
        <v>#REF!</v>
      </c>
      <c r="CZ575" t="e">
        <f>AND(#REF!,"AAAAABu6/2c=")</f>
        <v>#REF!</v>
      </c>
      <c r="DA575" t="e">
        <f>AND(#REF!,"AAAAABu6/2g=")</f>
        <v>#REF!</v>
      </c>
      <c r="DB575" t="e">
        <f>AND(#REF!,"AAAAABu6/2k=")</f>
        <v>#REF!</v>
      </c>
      <c r="DC575" t="e">
        <f>AND(#REF!,"AAAAABu6/2o=")</f>
        <v>#REF!</v>
      </c>
      <c r="DD575" t="e">
        <f>AND(#REF!,"AAAAABu6/2s=")</f>
        <v>#REF!</v>
      </c>
      <c r="DE575" t="e">
        <f>AND(#REF!,"AAAAABu6/2w=")</f>
        <v>#REF!</v>
      </c>
      <c r="DF575" t="e">
        <f>AND(#REF!,"AAAAABu6/20=")</f>
        <v>#REF!</v>
      </c>
      <c r="DG575" t="e">
        <f>AND(#REF!,"AAAAABu6/24=")</f>
        <v>#REF!</v>
      </c>
      <c r="DH575" t="e">
        <f>AND(#REF!,"AAAAABu6/28=")</f>
        <v>#REF!</v>
      </c>
      <c r="DI575" t="e">
        <f>AND(#REF!,"AAAAABu6/3A=")</f>
        <v>#REF!</v>
      </c>
      <c r="DJ575" t="e">
        <f>AND(#REF!,"AAAAABu6/3E=")</f>
        <v>#REF!</v>
      </c>
      <c r="DK575" t="e">
        <f>AND(#REF!,"AAAAABu6/3I=")</f>
        <v>#REF!</v>
      </c>
      <c r="DL575" t="e">
        <f>AND(#REF!,"AAAAABu6/3M=")</f>
        <v>#REF!</v>
      </c>
      <c r="DM575" t="e">
        <f>IF(#REF!,"AAAAABu6/3Q=",0)</f>
        <v>#REF!</v>
      </c>
      <c r="DN575" t="e">
        <f>AND(#REF!,"AAAAABu6/3U=")</f>
        <v>#REF!</v>
      </c>
      <c r="DO575" t="e">
        <f>AND(#REF!,"AAAAABu6/3Y=")</f>
        <v>#REF!</v>
      </c>
      <c r="DP575" t="e">
        <f>AND(#REF!,"AAAAABu6/3c=")</f>
        <v>#REF!</v>
      </c>
      <c r="DQ575" t="e">
        <f>AND(#REF!,"AAAAABu6/3g=")</f>
        <v>#REF!</v>
      </c>
      <c r="DR575" t="e">
        <f>AND(#REF!,"AAAAABu6/3k=")</f>
        <v>#REF!</v>
      </c>
      <c r="DS575" t="e">
        <f>AND(#REF!,"AAAAABu6/3o=")</f>
        <v>#REF!</v>
      </c>
      <c r="DT575" t="e">
        <f>AND(#REF!,"AAAAABu6/3s=")</f>
        <v>#REF!</v>
      </c>
      <c r="DU575" t="e">
        <f>AND(#REF!,"AAAAABu6/3w=")</f>
        <v>#REF!</v>
      </c>
      <c r="DV575" t="e">
        <f>AND(#REF!,"AAAAABu6/30=")</f>
        <v>#REF!</v>
      </c>
      <c r="DW575" t="e">
        <f>AND(#REF!,"AAAAABu6/34=")</f>
        <v>#REF!</v>
      </c>
      <c r="DX575" t="e">
        <f>AND(#REF!,"AAAAABu6/38=")</f>
        <v>#REF!</v>
      </c>
      <c r="DY575" t="e">
        <f>AND(#REF!,"AAAAABu6/4A=")</f>
        <v>#REF!</v>
      </c>
      <c r="DZ575" t="e">
        <f>AND(#REF!,"AAAAABu6/4E=")</f>
        <v>#REF!</v>
      </c>
      <c r="EA575" t="e">
        <f>AND(#REF!,"AAAAABu6/4I=")</f>
        <v>#REF!</v>
      </c>
      <c r="EB575" t="e">
        <f>AND(#REF!,"AAAAABu6/4M=")</f>
        <v>#REF!</v>
      </c>
      <c r="EC575" t="e">
        <f>AND(#REF!,"AAAAABu6/4Q=")</f>
        <v>#REF!</v>
      </c>
      <c r="ED575" t="e">
        <f>AND(#REF!,"AAAAABu6/4U=")</f>
        <v>#REF!</v>
      </c>
      <c r="EE575" t="e">
        <f>AND(#REF!,"AAAAABu6/4Y=")</f>
        <v>#REF!</v>
      </c>
      <c r="EF575" t="e">
        <f>AND(#REF!,"AAAAABu6/4c=")</f>
        <v>#REF!</v>
      </c>
      <c r="EG575" t="e">
        <f>AND(#REF!,"AAAAABu6/4g=")</f>
        <v>#REF!</v>
      </c>
      <c r="EH575" t="e">
        <f>AND(#REF!,"AAAAABu6/4k=")</f>
        <v>#REF!</v>
      </c>
      <c r="EI575" t="e">
        <f>AND(#REF!,"AAAAABu6/4o=")</f>
        <v>#REF!</v>
      </c>
      <c r="EJ575" t="e">
        <f>AND(#REF!,"AAAAABu6/4s=")</f>
        <v>#REF!</v>
      </c>
      <c r="EK575" t="e">
        <f>AND(#REF!,"AAAAABu6/4w=")</f>
        <v>#REF!</v>
      </c>
      <c r="EL575" t="e">
        <f>IF(#REF!,"AAAAABu6/40=",0)</f>
        <v>#REF!</v>
      </c>
      <c r="EM575" t="e">
        <f>AND(#REF!,"AAAAABu6/44=")</f>
        <v>#REF!</v>
      </c>
      <c r="EN575" t="e">
        <f>AND(#REF!,"AAAAABu6/48=")</f>
        <v>#REF!</v>
      </c>
      <c r="EO575" t="e">
        <f>AND(#REF!,"AAAAABu6/5A=")</f>
        <v>#REF!</v>
      </c>
      <c r="EP575" t="e">
        <f>AND(#REF!,"AAAAABu6/5E=")</f>
        <v>#REF!</v>
      </c>
      <c r="EQ575" t="e">
        <f>AND(#REF!,"AAAAABu6/5I=")</f>
        <v>#REF!</v>
      </c>
      <c r="ER575" t="e">
        <f>AND(#REF!,"AAAAABu6/5M=")</f>
        <v>#REF!</v>
      </c>
      <c r="ES575" t="e">
        <f>AND(#REF!,"AAAAABu6/5Q=")</f>
        <v>#REF!</v>
      </c>
      <c r="ET575" t="e">
        <f>AND(#REF!,"AAAAABu6/5U=")</f>
        <v>#REF!</v>
      </c>
      <c r="EU575" t="e">
        <f>AND(#REF!,"AAAAABu6/5Y=")</f>
        <v>#REF!</v>
      </c>
      <c r="EV575" t="e">
        <f>AND(#REF!,"AAAAABu6/5c=")</f>
        <v>#REF!</v>
      </c>
      <c r="EW575" t="e">
        <f>AND(#REF!,"AAAAABu6/5g=")</f>
        <v>#REF!</v>
      </c>
      <c r="EX575" t="e">
        <f>AND(#REF!,"AAAAABu6/5k=")</f>
        <v>#REF!</v>
      </c>
      <c r="EY575" t="e">
        <f>AND(#REF!,"AAAAABu6/5o=")</f>
        <v>#REF!</v>
      </c>
      <c r="EZ575" t="e">
        <f>AND(#REF!,"AAAAABu6/5s=")</f>
        <v>#REF!</v>
      </c>
      <c r="FA575" t="e">
        <f>AND(#REF!,"AAAAABu6/5w=")</f>
        <v>#REF!</v>
      </c>
      <c r="FB575" t="e">
        <f>AND(#REF!,"AAAAABu6/50=")</f>
        <v>#REF!</v>
      </c>
      <c r="FC575" t="e">
        <f>AND(#REF!,"AAAAABu6/54=")</f>
        <v>#REF!</v>
      </c>
      <c r="FD575" t="e">
        <f>AND(#REF!,"AAAAABu6/58=")</f>
        <v>#REF!</v>
      </c>
      <c r="FE575" t="e">
        <f>AND(#REF!,"AAAAABu6/6A=")</f>
        <v>#REF!</v>
      </c>
      <c r="FF575" t="e">
        <f>AND(#REF!,"AAAAABu6/6E=")</f>
        <v>#REF!</v>
      </c>
      <c r="FG575" t="e">
        <f>AND(#REF!,"AAAAABu6/6I=")</f>
        <v>#REF!</v>
      </c>
      <c r="FH575" t="e">
        <f>AND(#REF!,"AAAAABu6/6M=")</f>
        <v>#REF!</v>
      </c>
      <c r="FI575" t="e">
        <f>AND(#REF!,"AAAAABu6/6Q=")</f>
        <v>#REF!</v>
      </c>
      <c r="FJ575" t="e">
        <f>AND(#REF!,"AAAAABu6/6U=")</f>
        <v>#REF!</v>
      </c>
      <c r="FK575" t="e">
        <f>IF(#REF!,"AAAAABu6/6Y=",0)</f>
        <v>#REF!</v>
      </c>
      <c r="FL575" t="e">
        <f>AND(#REF!,"AAAAABu6/6c=")</f>
        <v>#REF!</v>
      </c>
      <c r="FM575" t="e">
        <f>AND(#REF!,"AAAAABu6/6g=")</f>
        <v>#REF!</v>
      </c>
      <c r="FN575" t="e">
        <f>AND(#REF!,"AAAAABu6/6k=")</f>
        <v>#REF!</v>
      </c>
      <c r="FO575" t="e">
        <f>AND(#REF!,"AAAAABu6/6o=")</f>
        <v>#REF!</v>
      </c>
      <c r="FP575" t="e">
        <f>AND(#REF!,"AAAAABu6/6s=")</f>
        <v>#REF!</v>
      </c>
      <c r="FQ575" t="e">
        <f>AND(#REF!,"AAAAABu6/6w=")</f>
        <v>#REF!</v>
      </c>
      <c r="FR575" t="e">
        <f>AND(#REF!,"AAAAABu6/60=")</f>
        <v>#REF!</v>
      </c>
      <c r="FS575" t="e">
        <f>AND(#REF!,"AAAAABu6/64=")</f>
        <v>#REF!</v>
      </c>
      <c r="FT575" t="e">
        <f>AND(#REF!,"AAAAABu6/68=")</f>
        <v>#REF!</v>
      </c>
      <c r="FU575" t="e">
        <f>AND(#REF!,"AAAAABu6/7A=")</f>
        <v>#REF!</v>
      </c>
      <c r="FV575" t="e">
        <f>AND(#REF!,"AAAAABu6/7E=")</f>
        <v>#REF!</v>
      </c>
      <c r="FW575" t="e">
        <f>AND(#REF!,"AAAAABu6/7I=")</f>
        <v>#REF!</v>
      </c>
      <c r="FX575" t="e">
        <f>AND(#REF!,"AAAAABu6/7M=")</f>
        <v>#REF!</v>
      </c>
      <c r="FY575" t="e">
        <f>AND(#REF!,"AAAAABu6/7Q=")</f>
        <v>#REF!</v>
      </c>
      <c r="FZ575" t="e">
        <f>AND(#REF!,"AAAAABu6/7U=")</f>
        <v>#REF!</v>
      </c>
      <c r="GA575" t="e">
        <f>AND(#REF!,"AAAAABu6/7Y=")</f>
        <v>#REF!</v>
      </c>
      <c r="GB575" t="e">
        <f>AND(#REF!,"AAAAABu6/7c=")</f>
        <v>#REF!</v>
      </c>
      <c r="GC575" t="e">
        <f>AND(#REF!,"AAAAABu6/7g=")</f>
        <v>#REF!</v>
      </c>
      <c r="GD575" t="e">
        <f>AND(#REF!,"AAAAABu6/7k=")</f>
        <v>#REF!</v>
      </c>
      <c r="GE575" t="e">
        <f>AND(#REF!,"AAAAABu6/7o=")</f>
        <v>#REF!</v>
      </c>
      <c r="GF575" t="e">
        <f>AND(#REF!,"AAAAABu6/7s=")</f>
        <v>#REF!</v>
      </c>
      <c r="GG575" t="e">
        <f>AND(#REF!,"AAAAABu6/7w=")</f>
        <v>#REF!</v>
      </c>
      <c r="GH575" t="e">
        <f>AND(#REF!,"AAAAABu6/70=")</f>
        <v>#REF!</v>
      </c>
      <c r="GI575" t="e">
        <f>AND(#REF!,"AAAAABu6/74=")</f>
        <v>#REF!</v>
      </c>
      <c r="GJ575" t="e">
        <f>IF(#REF!,"AAAAABu6/78=",0)</f>
        <v>#REF!</v>
      </c>
      <c r="GK575" t="e">
        <f>AND(#REF!,"AAAAABu6/8A=")</f>
        <v>#REF!</v>
      </c>
      <c r="GL575" t="e">
        <f>AND(#REF!,"AAAAABu6/8E=")</f>
        <v>#REF!</v>
      </c>
      <c r="GM575" t="e">
        <f>AND(#REF!,"AAAAABu6/8I=")</f>
        <v>#REF!</v>
      </c>
      <c r="GN575" t="e">
        <f>AND(#REF!,"AAAAABu6/8M=")</f>
        <v>#REF!</v>
      </c>
      <c r="GO575" t="e">
        <f>AND(#REF!,"AAAAABu6/8Q=")</f>
        <v>#REF!</v>
      </c>
      <c r="GP575" t="e">
        <f>AND(#REF!,"AAAAABu6/8U=")</f>
        <v>#REF!</v>
      </c>
      <c r="GQ575" t="e">
        <f>AND(#REF!,"AAAAABu6/8Y=")</f>
        <v>#REF!</v>
      </c>
      <c r="GR575" t="e">
        <f>AND(#REF!,"AAAAABu6/8c=")</f>
        <v>#REF!</v>
      </c>
      <c r="GS575" t="e">
        <f>AND(#REF!,"AAAAABu6/8g=")</f>
        <v>#REF!</v>
      </c>
      <c r="GT575" t="e">
        <f>AND(#REF!,"AAAAABu6/8k=")</f>
        <v>#REF!</v>
      </c>
      <c r="GU575" t="e">
        <f>AND(#REF!,"AAAAABu6/8o=")</f>
        <v>#REF!</v>
      </c>
      <c r="GV575" t="e">
        <f>AND(#REF!,"AAAAABu6/8s=")</f>
        <v>#REF!</v>
      </c>
      <c r="GW575" t="e">
        <f>AND(#REF!,"AAAAABu6/8w=")</f>
        <v>#REF!</v>
      </c>
      <c r="GX575" t="e">
        <f>AND(#REF!,"AAAAABu6/80=")</f>
        <v>#REF!</v>
      </c>
      <c r="GY575" t="e">
        <f>AND(#REF!,"AAAAABu6/84=")</f>
        <v>#REF!</v>
      </c>
      <c r="GZ575" t="e">
        <f>AND(#REF!,"AAAAABu6/88=")</f>
        <v>#REF!</v>
      </c>
      <c r="HA575" t="e">
        <f>AND(#REF!,"AAAAABu6/9A=")</f>
        <v>#REF!</v>
      </c>
      <c r="HB575" t="e">
        <f>AND(#REF!,"AAAAABu6/9E=")</f>
        <v>#REF!</v>
      </c>
      <c r="HC575" t="e">
        <f>AND(#REF!,"AAAAABu6/9I=")</f>
        <v>#REF!</v>
      </c>
      <c r="HD575" t="e">
        <f>AND(#REF!,"AAAAABu6/9M=")</f>
        <v>#REF!</v>
      </c>
      <c r="HE575" t="e">
        <f>AND(#REF!,"AAAAABu6/9Q=")</f>
        <v>#REF!</v>
      </c>
      <c r="HF575" t="e">
        <f>AND(#REF!,"AAAAABu6/9U=")</f>
        <v>#REF!</v>
      </c>
      <c r="HG575" t="e">
        <f>AND(#REF!,"AAAAABu6/9Y=")</f>
        <v>#REF!</v>
      </c>
      <c r="HH575" t="e">
        <f>AND(#REF!,"AAAAABu6/9c=")</f>
        <v>#REF!</v>
      </c>
      <c r="HI575" t="e">
        <f>IF(#REF!,"AAAAABu6/9g=",0)</f>
        <v>#REF!</v>
      </c>
      <c r="HJ575" t="e">
        <f>AND(#REF!,"AAAAABu6/9k=")</f>
        <v>#REF!</v>
      </c>
      <c r="HK575" t="e">
        <f>AND(#REF!,"AAAAABu6/9o=")</f>
        <v>#REF!</v>
      </c>
      <c r="HL575" t="e">
        <f>AND(#REF!,"AAAAABu6/9s=")</f>
        <v>#REF!</v>
      </c>
      <c r="HM575" t="e">
        <f>AND(#REF!,"AAAAABu6/9w=")</f>
        <v>#REF!</v>
      </c>
      <c r="HN575" t="e">
        <f>AND(#REF!,"AAAAABu6/90=")</f>
        <v>#REF!</v>
      </c>
      <c r="HO575" t="e">
        <f>AND(#REF!,"AAAAABu6/94=")</f>
        <v>#REF!</v>
      </c>
      <c r="HP575" t="e">
        <f>AND(#REF!,"AAAAABu6/98=")</f>
        <v>#REF!</v>
      </c>
      <c r="HQ575" t="e">
        <f>AND(#REF!,"AAAAABu6/+A=")</f>
        <v>#REF!</v>
      </c>
      <c r="HR575" t="e">
        <f>AND(#REF!,"AAAAABu6/+E=")</f>
        <v>#REF!</v>
      </c>
      <c r="HS575" t="e">
        <f>AND(#REF!,"AAAAABu6/+I=")</f>
        <v>#REF!</v>
      </c>
      <c r="HT575" t="e">
        <f>AND(#REF!,"AAAAABu6/+M=")</f>
        <v>#REF!</v>
      </c>
      <c r="HU575" t="e">
        <f>AND(#REF!,"AAAAABu6/+Q=")</f>
        <v>#REF!</v>
      </c>
      <c r="HV575" t="e">
        <f>AND(#REF!,"AAAAABu6/+U=")</f>
        <v>#REF!</v>
      </c>
      <c r="HW575" t="e">
        <f>AND(#REF!,"AAAAABu6/+Y=")</f>
        <v>#REF!</v>
      </c>
      <c r="HX575" t="e">
        <f>AND(#REF!,"AAAAABu6/+c=")</f>
        <v>#REF!</v>
      </c>
      <c r="HY575" t="e">
        <f>AND(#REF!,"AAAAABu6/+g=")</f>
        <v>#REF!</v>
      </c>
      <c r="HZ575" t="e">
        <f>AND(#REF!,"AAAAABu6/+k=")</f>
        <v>#REF!</v>
      </c>
      <c r="IA575" t="e">
        <f>AND(#REF!,"AAAAABu6/+o=")</f>
        <v>#REF!</v>
      </c>
      <c r="IB575" t="e">
        <f>AND(#REF!,"AAAAABu6/+s=")</f>
        <v>#REF!</v>
      </c>
      <c r="IC575" t="e">
        <f>AND(#REF!,"AAAAABu6/+w=")</f>
        <v>#REF!</v>
      </c>
      <c r="ID575" t="e">
        <f>AND(#REF!,"AAAAABu6/+0=")</f>
        <v>#REF!</v>
      </c>
      <c r="IE575" t="e">
        <f>AND(#REF!,"AAAAABu6/+4=")</f>
        <v>#REF!</v>
      </c>
      <c r="IF575" t="e">
        <f>AND(#REF!,"AAAAABu6/+8=")</f>
        <v>#REF!</v>
      </c>
      <c r="IG575" t="e">
        <f>AND(#REF!,"AAAAABu6//A=")</f>
        <v>#REF!</v>
      </c>
      <c r="IH575" t="e">
        <f>IF(#REF!,"AAAAABu6//E=",0)</f>
        <v>#REF!</v>
      </c>
      <c r="II575" t="e">
        <f>AND(#REF!,"AAAAABu6//I=")</f>
        <v>#REF!</v>
      </c>
      <c r="IJ575" t="e">
        <f>AND(#REF!,"AAAAABu6//M=")</f>
        <v>#REF!</v>
      </c>
      <c r="IK575" t="e">
        <f>AND(#REF!,"AAAAABu6//Q=")</f>
        <v>#REF!</v>
      </c>
      <c r="IL575" t="e">
        <f>AND(#REF!,"AAAAABu6//U=")</f>
        <v>#REF!</v>
      </c>
      <c r="IM575" t="e">
        <f>AND(#REF!,"AAAAABu6//Y=")</f>
        <v>#REF!</v>
      </c>
      <c r="IN575" t="e">
        <f>AND(#REF!,"AAAAABu6//c=")</f>
        <v>#REF!</v>
      </c>
      <c r="IO575" t="e">
        <f>AND(#REF!,"AAAAABu6//g=")</f>
        <v>#REF!</v>
      </c>
      <c r="IP575" t="e">
        <f>AND(#REF!,"AAAAABu6//k=")</f>
        <v>#REF!</v>
      </c>
      <c r="IQ575" t="e">
        <f>AND(#REF!,"AAAAABu6//o=")</f>
        <v>#REF!</v>
      </c>
      <c r="IR575" t="e">
        <f>AND(#REF!,"AAAAABu6//s=")</f>
        <v>#REF!</v>
      </c>
      <c r="IS575" t="e">
        <f>AND(#REF!,"AAAAABu6//w=")</f>
        <v>#REF!</v>
      </c>
      <c r="IT575" t="e">
        <f>AND(#REF!,"AAAAABu6//0=")</f>
        <v>#REF!</v>
      </c>
      <c r="IU575" t="e">
        <f>AND(#REF!,"AAAAABu6//4=")</f>
        <v>#REF!</v>
      </c>
      <c r="IV575" t="e">
        <f>AND(#REF!,"AAAAABu6//8=")</f>
        <v>#REF!</v>
      </c>
    </row>
    <row r="576" spans="1:256">
      <c r="A576" t="e">
        <f>AND(#REF!,"AAAAADr+8wA=")</f>
        <v>#REF!</v>
      </c>
      <c r="B576" t="e">
        <f>AND(#REF!,"AAAAADr+8wE=")</f>
        <v>#REF!</v>
      </c>
      <c r="C576" t="e">
        <f>AND(#REF!,"AAAAADr+8wI=")</f>
        <v>#REF!</v>
      </c>
      <c r="D576" t="e">
        <f>AND(#REF!,"AAAAADr+8wM=")</f>
        <v>#REF!</v>
      </c>
      <c r="E576" t="e">
        <f>AND(#REF!,"AAAAADr+8wQ=")</f>
        <v>#REF!</v>
      </c>
      <c r="F576" t="e">
        <f>AND(#REF!,"AAAAADr+8wU=")</f>
        <v>#REF!</v>
      </c>
      <c r="G576" t="e">
        <f>AND(#REF!,"AAAAADr+8wY=")</f>
        <v>#REF!</v>
      </c>
      <c r="H576" t="e">
        <f>AND(#REF!,"AAAAADr+8wc=")</f>
        <v>#REF!</v>
      </c>
      <c r="I576" t="e">
        <f>AND(#REF!,"AAAAADr+8wg=")</f>
        <v>#REF!</v>
      </c>
      <c r="J576" t="e">
        <f>AND(#REF!,"AAAAADr+8wk=")</f>
        <v>#REF!</v>
      </c>
      <c r="K576" t="e">
        <f>IF(#REF!,"AAAAADr+8wo=",0)</f>
        <v>#REF!</v>
      </c>
      <c r="L576" t="e">
        <f>AND(#REF!,"AAAAADr+8ws=")</f>
        <v>#REF!</v>
      </c>
      <c r="M576" t="e">
        <f>AND(#REF!,"AAAAADr+8ww=")</f>
        <v>#REF!</v>
      </c>
      <c r="N576" t="e">
        <f>AND(#REF!,"AAAAADr+8w0=")</f>
        <v>#REF!</v>
      </c>
      <c r="O576" t="e">
        <f>AND(#REF!,"AAAAADr+8w4=")</f>
        <v>#REF!</v>
      </c>
      <c r="P576" t="e">
        <f>AND(#REF!,"AAAAADr+8w8=")</f>
        <v>#REF!</v>
      </c>
      <c r="Q576" t="e">
        <f>AND(#REF!,"AAAAADr+8xA=")</f>
        <v>#REF!</v>
      </c>
      <c r="R576" t="e">
        <f>AND(#REF!,"AAAAADr+8xE=")</f>
        <v>#REF!</v>
      </c>
      <c r="S576" t="e">
        <f>AND(#REF!,"AAAAADr+8xI=")</f>
        <v>#REF!</v>
      </c>
      <c r="T576" t="e">
        <f>AND(#REF!,"AAAAADr+8xM=")</f>
        <v>#REF!</v>
      </c>
      <c r="U576" t="e">
        <f>AND(#REF!,"AAAAADr+8xQ=")</f>
        <v>#REF!</v>
      </c>
      <c r="V576" t="e">
        <f>AND(#REF!,"AAAAADr+8xU=")</f>
        <v>#REF!</v>
      </c>
      <c r="W576" t="e">
        <f>AND(#REF!,"AAAAADr+8xY=")</f>
        <v>#REF!</v>
      </c>
      <c r="X576" t="e">
        <f>AND(#REF!,"AAAAADr+8xc=")</f>
        <v>#REF!</v>
      </c>
      <c r="Y576" t="e">
        <f>AND(#REF!,"AAAAADr+8xg=")</f>
        <v>#REF!</v>
      </c>
      <c r="Z576" t="e">
        <f>AND(#REF!,"AAAAADr+8xk=")</f>
        <v>#REF!</v>
      </c>
      <c r="AA576" t="e">
        <f>AND(#REF!,"AAAAADr+8xo=")</f>
        <v>#REF!</v>
      </c>
      <c r="AB576" t="e">
        <f>AND(#REF!,"AAAAADr+8xs=")</f>
        <v>#REF!</v>
      </c>
      <c r="AC576" t="e">
        <f>AND(#REF!,"AAAAADr+8xw=")</f>
        <v>#REF!</v>
      </c>
      <c r="AD576" t="e">
        <f>AND(#REF!,"AAAAADr+8x0=")</f>
        <v>#REF!</v>
      </c>
      <c r="AE576" t="e">
        <f>AND(#REF!,"AAAAADr+8x4=")</f>
        <v>#REF!</v>
      </c>
      <c r="AF576" t="e">
        <f>AND(#REF!,"AAAAADr+8x8=")</f>
        <v>#REF!</v>
      </c>
      <c r="AG576" t="e">
        <f>AND(#REF!,"AAAAADr+8yA=")</f>
        <v>#REF!</v>
      </c>
      <c r="AH576" t="e">
        <f>AND(#REF!,"AAAAADr+8yE=")</f>
        <v>#REF!</v>
      </c>
      <c r="AI576" t="e">
        <f>AND(#REF!,"AAAAADr+8yI=")</f>
        <v>#REF!</v>
      </c>
      <c r="AJ576" t="e">
        <f>IF(#REF!,"AAAAADr+8yM=",0)</f>
        <v>#REF!</v>
      </c>
      <c r="AK576" t="e">
        <f>AND(#REF!,"AAAAADr+8yQ=")</f>
        <v>#REF!</v>
      </c>
      <c r="AL576" t="e">
        <f>AND(#REF!,"AAAAADr+8yU=")</f>
        <v>#REF!</v>
      </c>
      <c r="AM576" t="e">
        <f>AND(#REF!,"AAAAADr+8yY=")</f>
        <v>#REF!</v>
      </c>
      <c r="AN576" t="e">
        <f>AND(#REF!,"AAAAADr+8yc=")</f>
        <v>#REF!</v>
      </c>
      <c r="AO576" t="e">
        <f>AND(#REF!,"AAAAADr+8yg=")</f>
        <v>#REF!</v>
      </c>
      <c r="AP576" t="e">
        <f>AND(#REF!,"AAAAADr+8yk=")</f>
        <v>#REF!</v>
      </c>
      <c r="AQ576" t="e">
        <f>AND(#REF!,"AAAAADr+8yo=")</f>
        <v>#REF!</v>
      </c>
      <c r="AR576" t="e">
        <f>AND(#REF!,"AAAAADr+8ys=")</f>
        <v>#REF!</v>
      </c>
      <c r="AS576" t="e">
        <f>AND(#REF!,"AAAAADr+8yw=")</f>
        <v>#REF!</v>
      </c>
      <c r="AT576" t="e">
        <f>AND(#REF!,"AAAAADr+8y0=")</f>
        <v>#REF!</v>
      </c>
      <c r="AU576" t="e">
        <f>AND(#REF!,"AAAAADr+8y4=")</f>
        <v>#REF!</v>
      </c>
      <c r="AV576" t="e">
        <f>AND(#REF!,"AAAAADr+8y8=")</f>
        <v>#REF!</v>
      </c>
      <c r="AW576" t="e">
        <f>AND(#REF!,"AAAAADr+8zA=")</f>
        <v>#REF!</v>
      </c>
      <c r="AX576" t="e">
        <f>AND(#REF!,"AAAAADr+8zE=")</f>
        <v>#REF!</v>
      </c>
      <c r="AY576" t="e">
        <f>AND(#REF!,"AAAAADr+8zI=")</f>
        <v>#REF!</v>
      </c>
      <c r="AZ576" t="e">
        <f>AND(#REF!,"AAAAADr+8zM=")</f>
        <v>#REF!</v>
      </c>
      <c r="BA576" t="e">
        <f>AND(#REF!,"AAAAADr+8zQ=")</f>
        <v>#REF!</v>
      </c>
      <c r="BB576" t="e">
        <f>AND(#REF!,"AAAAADr+8zU=")</f>
        <v>#REF!</v>
      </c>
      <c r="BC576" t="e">
        <f>AND(#REF!,"AAAAADr+8zY=")</f>
        <v>#REF!</v>
      </c>
      <c r="BD576" t="e">
        <f>AND(#REF!,"AAAAADr+8zc=")</f>
        <v>#REF!</v>
      </c>
      <c r="BE576" t="e">
        <f>AND(#REF!,"AAAAADr+8zg=")</f>
        <v>#REF!</v>
      </c>
      <c r="BF576" t="e">
        <f>AND(#REF!,"AAAAADr+8zk=")</f>
        <v>#REF!</v>
      </c>
      <c r="BG576" t="e">
        <f>AND(#REF!,"AAAAADr+8zo=")</f>
        <v>#REF!</v>
      </c>
      <c r="BH576" t="e">
        <f>AND(#REF!,"AAAAADr+8zs=")</f>
        <v>#REF!</v>
      </c>
      <c r="BI576" t="e">
        <f>IF(#REF!,"AAAAADr+8zw=",0)</f>
        <v>#REF!</v>
      </c>
      <c r="BJ576" t="e">
        <f>AND(#REF!,"AAAAADr+8z0=")</f>
        <v>#REF!</v>
      </c>
      <c r="BK576" t="e">
        <f>AND(#REF!,"AAAAADr+8z4=")</f>
        <v>#REF!</v>
      </c>
      <c r="BL576" t="e">
        <f>AND(#REF!,"AAAAADr+8z8=")</f>
        <v>#REF!</v>
      </c>
      <c r="BM576" t="e">
        <f>AND(#REF!,"AAAAADr+80A=")</f>
        <v>#REF!</v>
      </c>
      <c r="BN576" t="e">
        <f>AND(#REF!,"AAAAADr+80E=")</f>
        <v>#REF!</v>
      </c>
      <c r="BO576" t="e">
        <f>AND(#REF!,"AAAAADr+80I=")</f>
        <v>#REF!</v>
      </c>
      <c r="BP576" t="e">
        <f>AND(#REF!,"AAAAADr+80M=")</f>
        <v>#REF!</v>
      </c>
      <c r="BQ576" t="e">
        <f>AND(#REF!,"AAAAADr+80Q=")</f>
        <v>#REF!</v>
      </c>
      <c r="BR576" t="e">
        <f>AND(#REF!,"AAAAADr+80U=")</f>
        <v>#REF!</v>
      </c>
      <c r="BS576" t="e">
        <f>AND(#REF!,"AAAAADr+80Y=")</f>
        <v>#REF!</v>
      </c>
      <c r="BT576" t="e">
        <f>AND(#REF!,"AAAAADr+80c=")</f>
        <v>#REF!</v>
      </c>
      <c r="BU576" t="e">
        <f>AND(#REF!,"AAAAADr+80g=")</f>
        <v>#REF!</v>
      </c>
      <c r="BV576" t="e">
        <f>AND(#REF!,"AAAAADr+80k=")</f>
        <v>#REF!</v>
      </c>
      <c r="BW576" t="e">
        <f>AND(#REF!,"AAAAADr+80o=")</f>
        <v>#REF!</v>
      </c>
      <c r="BX576" t="e">
        <f>AND(#REF!,"AAAAADr+80s=")</f>
        <v>#REF!</v>
      </c>
      <c r="BY576" t="e">
        <f>AND(#REF!,"AAAAADr+80w=")</f>
        <v>#REF!</v>
      </c>
      <c r="BZ576" t="e">
        <f>AND(#REF!,"AAAAADr+800=")</f>
        <v>#REF!</v>
      </c>
      <c r="CA576" t="e">
        <f>AND(#REF!,"AAAAADr+804=")</f>
        <v>#REF!</v>
      </c>
      <c r="CB576" t="e">
        <f>AND(#REF!,"AAAAADr+808=")</f>
        <v>#REF!</v>
      </c>
      <c r="CC576" t="e">
        <f>AND(#REF!,"AAAAADr+81A=")</f>
        <v>#REF!</v>
      </c>
      <c r="CD576" t="e">
        <f>AND(#REF!,"AAAAADr+81E=")</f>
        <v>#REF!</v>
      </c>
      <c r="CE576" t="e">
        <f>AND(#REF!,"AAAAADr+81I=")</f>
        <v>#REF!</v>
      </c>
      <c r="CF576" t="e">
        <f>AND(#REF!,"AAAAADr+81M=")</f>
        <v>#REF!</v>
      </c>
      <c r="CG576" t="e">
        <f>AND(#REF!,"AAAAADr+81Q=")</f>
        <v>#REF!</v>
      </c>
      <c r="CH576" t="e">
        <f>IF(#REF!,"AAAAADr+81U=",0)</f>
        <v>#REF!</v>
      </c>
      <c r="CI576" t="e">
        <f>AND(#REF!,"AAAAADr+81Y=")</f>
        <v>#REF!</v>
      </c>
      <c r="CJ576" t="e">
        <f>AND(#REF!,"AAAAADr+81c=")</f>
        <v>#REF!</v>
      </c>
      <c r="CK576" t="e">
        <f>AND(#REF!,"AAAAADr+81g=")</f>
        <v>#REF!</v>
      </c>
      <c r="CL576" t="e">
        <f>AND(#REF!,"AAAAADr+81k=")</f>
        <v>#REF!</v>
      </c>
      <c r="CM576" t="e">
        <f>AND(#REF!,"AAAAADr+81o=")</f>
        <v>#REF!</v>
      </c>
      <c r="CN576" t="e">
        <f>AND(#REF!,"AAAAADr+81s=")</f>
        <v>#REF!</v>
      </c>
      <c r="CO576" t="e">
        <f>AND(#REF!,"AAAAADr+81w=")</f>
        <v>#REF!</v>
      </c>
      <c r="CP576" t="e">
        <f>AND(#REF!,"AAAAADr+810=")</f>
        <v>#REF!</v>
      </c>
      <c r="CQ576" t="e">
        <f>AND(#REF!,"AAAAADr+814=")</f>
        <v>#REF!</v>
      </c>
      <c r="CR576" t="e">
        <f>AND(#REF!,"AAAAADr+818=")</f>
        <v>#REF!</v>
      </c>
      <c r="CS576" t="e">
        <f>AND(#REF!,"AAAAADr+82A=")</f>
        <v>#REF!</v>
      </c>
      <c r="CT576" t="e">
        <f>AND(#REF!,"AAAAADr+82E=")</f>
        <v>#REF!</v>
      </c>
      <c r="CU576" t="e">
        <f>AND(#REF!,"AAAAADr+82I=")</f>
        <v>#REF!</v>
      </c>
      <c r="CV576" t="e">
        <f>AND(#REF!,"AAAAADr+82M=")</f>
        <v>#REF!</v>
      </c>
      <c r="CW576" t="e">
        <f>AND(#REF!,"AAAAADr+82Q=")</f>
        <v>#REF!</v>
      </c>
      <c r="CX576" t="e">
        <f>AND(#REF!,"AAAAADr+82U=")</f>
        <v>#REF!</v>
      </c>
      <c r="CY576" t="e">
        <f>AND(#REF!,"AAAAADr+82Y=")</f>
        <v>#REF!</v>
      </c>
      <c r="CZ576" t="e">
        <f>AND(#REF!,"AAAAADr+82c=")</f>
        <v>#REF!</v>
      </c>
      <c r="DA576" t="e">
        <f>AND(#REF!,"AAAAADr+82g=")</f>
        <v>#REF!</v>
      </c>
      <c r="DB576" t="e">
        <f>AND(#REF!,"AAAAADr+82k=")</f>
        <v>#REF!</v>
      </c>
      <c r="DC576" t="e">
        <f>AND(#REF!,"AAAAADr+82o=")</f>
        <v>#REF!</v>
      </c>
      <c r="DD576" t="e">
        <f>AND(#REF!,"AAAAADr+82s=")</f>
        <v>#REF!</v>
      </c>
      <c r="DE576" t="e">
        <f>AND(#REF!,"AAAAADr+82w=")</f>
        <v>#REF!</v>
      </c>
      <c r="DF576" t="e">
        <f>AND(#REF!,"AAAAADr+820=")</f>
        <v>#REF!</v>
      </c>
      <c r="DG576" t="e">
        <f>IF(#REF!,"AAAAADr+824=",0)</f>
        <v>#REF!</v>
      </c>
      <c r="DH576" t="e">
        <f>AND(#REF!,"AAAAADr+828=")</f>
        <v>#REF!</v>
      </c>
      <c r="DI576" t="e">
        <f>AND(#REF!,"AAAAADr+83A=")</f>
        <v>#REF!</v>
      </c>
      <c r="DJ576" t="e">
        <f>AND(#REF!,"AAAAADr+83E=")</f>
        <v>#REF!</v>
      </c>
      <c r="DK576" t="e">
        <f>AND(#REF!,"AAAAADr+83I=")</f>
        <v>#REF!</v>
      </c>
      <c r="DL576" t="e">
        <f>AND(#REF!,"AAAAADr+83M=")</f>
        <v>#REF!</v>
      </c>
      <c r="DM576" t="e">
        <f>AND(#REF!,"AAAAADr+83Q=")</f>
        <v>#REF!</v>
      </c>
      <c r="DN576" t="e">
        <f>AND(#REF!,"AAAAADr+83U=")</f>
        <v>#REF!</v>
      </c>
      <c r="DO576" t="e">
        <f>AND(#REF!,"AAAAADr+83Y=")</f>
        <v>#REF!</v>
      </c>
      <c r="DP576" t="e">
        <f>AND(#REF!,"AAAAADr+83c=")</f>
        <v>#REF!</v>
      </c>
      <c r="DQ576" t="e">
        <f>AND(#REF!,"AAAAADr+83g=")</f>
        <v>#REF!</v>
      </c>
      <c r="DR576" t="e">
        <f>AND(#REF!,"AAAAADr+83k=")</f>
        <v>#REF!</v>
      </c>
      <c r="DS576" t="e">
        <f>AND(#REF!,"AAAAADr+83o=")</f>
        <v>#REF!</v>
      </c>
      <c r="DT576" t="e">
        <f>AND(#REF!,"AAAAADr+83s=")</f>
        <v>#REF!</v>
      </c>
      <c r="DU576" t="e">
        <f>AND(#REF!,"AAAAADr+83w=")</f>
        <v>#REF!</v>
      </c>
      <c r="DV576" t="e">
        <f>AND(#REF!,"AAAAADr+830=")</f>
        <v>#REF!</v>
      </c>
      <c r="DW576" t="e">
        <f>AND(#REF!,"AAAAADr+834=")</f>
        <v>#REF!</v>
      </c>
      <c r="DX576" t="e">
        <f>AND(#REF!,"AAAAADr+838=")</f>
        <v>#REF!</v>
      </c>
      <c r="DY576" t="e">
        <f>AND(#REF!,"AAAAADr+84A=")</f>
        <v>#REF!</v>
      </c>
      <c r="DZ576" t="e">
        <f>AND(#REF!,"AAAAADr+84E=")</f>
        <v>#REF!</v>
      </c>
      <c r="EA576" t="e">
        <f>AND(#REF!,"AAAAADr+84I=")</f>
        <v>#REF!</v>
      </c>
      <c r="EB576" t="e">
        <f>AND(#REF!,"AAAAADr+84M=")</f>
        <v>#REF!</v>
      </c>
      <c r="EC576" t="e">
        <f>AND(#REF!,"AAAAADr+84Q=")</f>
        <v>#REF!</v>
      </c>
      <c r="ED576" t="e">
        <f>AND(#REF!,"AAAAADr+84U=")</f>
        <v>#REF!</v>
      </c>
      <c r="EE576" t="e">
        <f>AND(#REF!,"AAAAADr+84Y=")</f>
        <v>#REF!</v>
      </c>
      <c r="EF576" t="e">
        <f>IF(#REF!,"AAAAADr+84c=",0)</f>
        <v>#REF!</v>
      </c>
      <c r="EG576" t="e">
        <f>AND(#REF!,"AAAAADr+84g=")</f>
        <v>#REF!</v>
      </c>
      <c r="EH576" t="e">
        <f>AND(#REF!,"AAAAADr+84k=")</f>
        <v>#REF!</v>
      </c>
      <c r="EI576" t="e">
        <f>AND(#REF!,"AAAAADr+84o=")</f>
        <v>#REF!</v>
      </c>
      <c r="EJ576" t="e">
        <f>AND(#REF!,"AAAAADr+84s=")</f>
        <v>#REF!</v>
      </c>
      <c r="EK576" t="e">
        <f>AND(#REF!,"AAAAADr+84w=")</f>
        <v>#REF!</v>
      </c>
      <c r="EL576" t="e">
        <f>AND(#REF!,"AAAAADr+840=")</f>
        <v>#REF!</v>
      </c>
      <c r="EM576" t="e">
        <f>AND(#REF!,"AAAAADr+844=")</f>
        <v>#REF!</v>
      </c>
      <c r="EN576" t="e">
        <f>AND(#REF!,"AAAAADr+848=")</f>
        <v>#REF!</v>
      </c>
      <c r="EO576" t="e">
        <f>AND(#REF!,"AAAAADr+85A=")</f>
        <v>#REF!</v>
      </c>
      <c r="EP576" t="e">
        <f>AND(#REF!,"AAAAADr+85E=")</f>
        <v>#REF!</v>
      </c>
      <c r="EQ576" t="e">
        <f>AND(#REF!,"AAAAADr+85I=")</f>
        <v>#REF!</v>
      </c>
      <c r="ER576" t="e">
        <f>AND(#REF!,"AAAAADr+85M=")</f>
        <v>#REF!</v>
      </c>
      <c r="ES576" t="e">
        <f>AND(#REF!,"AAAAADr+85Q=")</f>
        <v>#REF!</v>
      </c>
      <c r="ET576" t="e">
        <f>AND(#REF!,"AAAAADr+85U=")</f>
        <v>#REF!</v>
      </c>
      <c r="EU576" t="e">
        <f>AND(#REF!,"AAAAADr+85Y=")</f>
        <v>#REF!</v>
      </c>
      <c r="EV576" t="e">
        <f>AND(#REF!,"AAAAADr+85c=")</f>
        <v>#REF!</v>
      </c>
      <c r="EW576" t="e">
        <f>AND(#REF!,"AAAAADr+85g=")</f>
        <v>#REF!</v>
      </c>
      <c r="EX576" t="e">
        <f>AND(#REF!,"AAAAADr+85k=")</f>
        <v>#REF!</v>
      </c>
      <c r="EY576" t="e">
        <f>AND(#REF!,"AAAAADr+85o=")</f>
        <v>#REF!</v>
      </c>
      <c r="EZ576" t="e">
        <f>AND(#REF!,"AAAAADr+85s=")</f>
        <v>#REF!</v>
      </c>
      <c r="FA576" t="e">
        <f>AND(#REF!,"AAAAADr+85w=")</f>
        <v>#REF!</v>
      </c>
      <c r="FB576" t="e">
        <f>AND(#REF!,"AAAAADr+850=")</f>
        <v>#REF!</v>
      </c>
      <c r="FC576" t="e">
        <f>AND(#REF!,"AAAAADr+854=")</f>
        <v>#REF!</v>
      </c>
      <c r="FD576" t="e">
        <f>AND(#REF!,"AAAAADr+858=")</f>
        <v>#REF!</v>
      </c>
      <c r="FE576" t="e">
        <f>IF(#REF!,"AAAAADr+86A=",0)</f>
        <v>#REF!</v>
      </c>
      <c r="FF576" t="e">
        <f>AND(#REF!,"AAAAADr+86E=")</f>
        <v>#REF!</v>
      </c>
      <c r="FG576" t="e">
        <f>AND(#REF!,"AAAAADr+86I=")</f>
        <v>#REF!</v>
      </c>
      <c r="FH576" t="e">
        <f>AND(#REF!,"AAAAADr+86M=")</f>
        <v>#REF!</v>
      </c>
      <c r="FI576" t="e">
        <f>AND(#REF!,"AAAAADr+86Q=")</f>
        <v>#REF!</v>
      </c>
      <c r="FJ576" t="e">
        <f>AND(#REF!,"AAAAADr+86U=")</f>
        <v>#REF!</v>
      </c>
      <c r="FK576" t="e">
        <f>AND(#REF!,"AAAAADr+86Y=")</f>
        <v>#REF!</v>
      </c>
      <c r="FL576" t="e">
        <f>AND(#REF!,"AAAAADr+86c=")</f>
        <v>#REF!</v>
      </c>
      <c r="FM576" t="e">
        <f>AND(#REF!,"AAAAADr+86g=")</f>
        <v>#REF!</v>
      </c>
      <c r="FN576" t="e">
        <f>AND(#REF!,"AAAAADr+86k=")</f>
        <v>#REF!</v>
      </c>
      <c r="FO576" t="e">
        <f>AND(#REF!,"AAAAADr+86o=")</f>
        <v>#REF!</v>
      </c>
      <c r="FP576" t="e">
        <f>AND(#REF!,"AAAAADr+86s=")</f>
        <v>#REF!</v>
      </c>
      <c r="FQ576" t="e">
        <f>AND(#REF!,"AAAAADr+86w=")</f>
        <v>#REF!</v>
      </c>
      <c r="FR576" t="e">
        <f>AND(#REF!,"AAAAADr+860=")</f>
        <v>#REF!</v>
      </c>
      <c r="FS576" t="e">
        <f>AND(#REF!,"AAAAADr+864=")</f>
        <v>#REF!</v>
      </c>
      <c r="FT576" t="e">
        <f>AND(#REF!,"AAAAADr+868=")</f>
        <v>#REF!</v>
      </c>
      <c r="FU576" t="e">
        <f>AND(#REF!,"AAAAADr+87A=")</f>
        <v>#REF!</v>
      </c>
      <c r="FV576" t="e">
        <f>AND(#REF!,"AAAAADr+87E=")</f>
        <v>#REF!</v>
      </c>
      <c r="FW576" t="e">
        <f>AND(#REF!,"AAAAADr+87I=")</f>
        <v>#REF!</v>
      </c>
      <c r="FX576" t="e">
        <f>AND(#REF!,"AAAAADr+87M=")</f>
        <v>#REF!</v>
      </c>
      <c r="FY576" t="e">
        <f>AND(#REF!,"AAAAADr+87Q=")</f>
        <v>#REF!</v>
      </c>
      <c r="FZ576" t="e">
        <f>AND(#REF!,"AAAAADr+87U=")</f>
        <v>#REF!</v>
      </c>
      <c r="GA576" t="e">
        <f>AND(#REF!,"AAAAADr+87Y=")</f>
        <v>#REF!</v>
      </c>
      <c r="GB576" t="e">
        <f>AND(#REF!,"AAAAADr+87c=")</f>
        <v>#REF!</v>
      </c>
      <c r="GC576" t="e">
        <f>AND(#REF!,"AAAAADr+87g=")</f>
        <v>#REF!</v>
      </c>
      <c r="GD576" t="e">
        <f>IF(#REF!,"AAAAADr+87k=",0)</f>
        <v>#REF!</v>
      </c>
      <c r="GE576" t="e">
        <f>AND(#REF!,"AAAAADr+87o=")</f>
        <v>#REF!</v>
      </c>
      <c r="GF576" t="e">
        <f>AND(#REF!,"AAAAADr+87s=")</f>
        <v>#REF!</v>
      </c>
      <c r="GG576" t="e">
        <f>AND(#REF!,"AAAAADr+87w=")</f>
        <v>#REF!</v>
      </c>
      <c r="GH576" t="e">
        <f>AND(#REF!,"AAAAADr+870=")</f>
        <v>#REF!</v>
      </c>
      <c r="GI576" t="e">
        <f>AND(#REF!,"AAAAADr+874=")</f>
        <v>#REF!</v>
      </c>
      <c r="GJ576" t="e">
        <f>AND(#REF!,"AAAAADr+878=")</f>
        <v>#REF!</v>
      </c>
      <c r="GK576" t="e">
        <f>AND(#REF!,"AAAAADr+88A=")</f>
        <v>#REF!</v>
      </c>
      <c r="GL576" t="e">
        <f>AND(#REF!,"AAAAADr+88E=")</f>
        <v>#REF!</v>
      </c>
      <c r="GM576" t="e">
        <f>AND(#REF!,"AAAAADr+88I=")</f>
        <v>#REF!</v>
      </c>
      <c r="GN576" t="e">
        <f>AND(#REF!,"AAAAADr+88M=")</f>
        <v>#REF!</v>
      </c>
      <c r="GO576" t="e">
        <f>AND(#REF!,"AAAAADr+88Q=")</f>
        <v>#REF!</v>
      </c>
      <c r="GP576" t="e">
        <f>AND(#REF!,"AAAAADr+88U=")</f>
        <v>#REF!</v>
      </c>
      <c r="GQ576" t="e">
        <f>AND(#REF!,"AAAAADr+88Y=")</f>
        <v>#REF!</v>
      </c>
      <c r="GR576" t="e">
        <f>AND(#REF!,"AAAAADr+88c=")</f>
        <v>#REF!</v>
      </c>
      <c r="GS576" t="e">
        <f>AND(#REF!,"AAAAADr+88g=")</f>
        <v>#REF!</v>
      </c>
      <c r="GT576" t="e">
        <f>AND(#REF!,"AAAAADr+88k=")</f>
        <v>#REF!</v>
      </c>
      <c r="GU576" t="e">
        <f>AND(#REF!,"AAAAADr+88o=")</f>
        <v>#REF!</v>
      </c>
      <c r="GV576" t="e">
        <f>AND(#REF!,"AAAAADr+88s=")</f>
        <v>#REF!</v>
      </c>
      <c r="GW576" t="e">
        <f>AND(#REF!,"AAAAADr+88w=")</f>
        <v>#REF!</v>
      </c>
      <c r="GX576" t="e">
        <f>AND(#REF!,"AAAAADr+880=")</f>
        <v>#REF!</v>
      </c>
      <c r="GY576" t="e">
        <f>AND(#REF!,"AAAAADr+884=")</f>
        <v>#REF!</v>
      </c>
      <c r="GZ576" t="e">
        <f>AND(#REF!,"AAAAADr+888=")</f>
        <v>#REF!</v>
      </c>
      <c r="HA576" t="e">
        <f>AND(#REF!,"AAAAADr+89A=")</f>
        <v>#REF!</v>
      </c>
      <c r="HB576" t="e">
        <f>AND(#REF!,"AAAAADr+89E=")</f>
        <v>#REF!</v>
      </c>
      <c r="HC576" t="e">
        <f>IF(#REF!,"AAAAADr+89I=",0)</f>
        <v>#REF!</v>
      </c>
      <c r="HD576" t="e">
        <f>AND(#REF!,"AAAAADr+89M=")</f>
        <v>#REF!</v>
      </c>
      <c r="HE576" t="e">
        <f>AND(#REF!,"AAAAADr+89Q=")</f>
        <v>#REF!</v>
      </c>
      <c r="HF576" t="e">
        <f>AND(#REF!,"AAAAADr+89U=")</f>
        <v>#REF!</v>
      </c>
      <c r="HG576" t="e">
        <f>AND(#REF!,"AAAAADr+89Y=")</f>
        <v>#REF!</v>
      </c>
      <c r="HH576" t="e">
        <f>AND(#REF!,"AAAAADr+89c=")</f>
        <v>#REF!</v>
      </c>
      <c r="HI576" t="e">
        <f>AND(#REF!,"AAAAADr+89g=")</f>
        <v>#REF!</v>
      </c>
      <c r="HJ576" t="e">
        <f>AND(#REF!,"AAAAADr+89k=")</f>
        <v>#REF!</v>
      </c>
      <c r="HK576" t="e">
        <f>AND(#REF!,"AAAAADr+89o=")</f>
        <v>#REF!</v>
      </c>
      <c r="HL576" t="e">
        <f>AND(#REF!,"AAAAADr+89s=")</f>
        <v>#REF!</v>
      </c>
      <c r="HM576" t="e">
        <f>AND(#REF!,"AAAAADr+89w=")</f>
        <v>#REF!</v>
      </c>
      <c r="HN576" t="e">
        <f>AND(#REF!,"AAAAADr+890=")</f>
        <v>#REF!</v>
      </c>
      <c r="HO576" t="e">
        <f>AND(#REF!,"AAAAADr+894=")</f>
        <v>#REF!</v>
      </c>
      <c r="HP576" t="e">
        <f>AND(#REF!,"AAAAADr+898=")</f>
        <v>#REF!</v>
      </c>
      <c r="HQ576" t="e">
        <f>AND(#REF!,"AAAAADr+8+A=")</f>
        <v>#REF!</v>
      </c>
      <c r="HR576" t="e">
        <f>AND(#REF!,"AAAAADr+8+E=")</f>
        <v>#REF!</v>
      </c>
      <c r="HS576" t="e">
        <f>AND(#REF!,"AAAAADr+8+I=")</f>
        <v>#REF!</v>
      </c>
      <c r="HT576" t="e">
        <f>AND(#REF!,"AAAAADr+8+M=")</f>
        <v>#REF!</v>
      </c>
      <c r="HU576" t="e">
        <f>AND(#REF!,"AAAAADr+8+Q=")</f>
        <v>#REF!</v>
      </c>
      <c r="HV576" t="e">
        <f>AND(#REF!,"AAAAADr+8+U=")</f>
        <v>#REF!</v>
      </c>
      <c r="HW576" t="e">
        <f>AND(#REF!,"AAAAADr+8+Y=")</f>
        <v>#REF!</v>
      </c>
      <c r="HX576" t="e">
        <f>AND(#REF!,"AAAAADr+8+c=")</f>
        <v>#REF!</v>
      </c>
      <c r="HY576" t="e">
        <f>AND(#REF!,"AAAAADr+8+g=")</f>
        <v>#REF!</v>
      </c>
      <c r="HZ576" t="e">
        <f>AND(#REF!,"AAAAADr+8+k=")</f>
        <v>#REF!</v>
      </c>
      <c r="IA576" t="e">
        <f>AND(#REF!,"AAAAADr+8+o=")</f>
        <v>#REF!</v>
      </c>
      <c r="IB576" t="e">
        <f>IF(#REF!,"AAAAADr+8+s=",0)</f>
        <v>#REF!</v>
      </c>
      <c r="IC576" t="e">
        <f>AND(#REF!,"AAAAADr+8+w=")</f>
        <v>#REF!</v>
      </c>
      <c r="ID576" t="e">
        <f>AND(#REF!,"AAAAADr+8+0=")</f>
        <v>#REF!</v>
      </c>
      <c r="IE576" t="e">
        <f>AND(#REF!,"AAAAADr+8+4=")</f>
        <v>#REF!</v>
      </c>
      <c r="IF576" t="e">
        <f>AND(#REF!,"AAAAADr+8+8=")</f>
        <v>#REF!</v>
      </c>
      <c r="IG576" t="e">
        <f>AND(#REF!,"AAAAADr+8/A=")</f>
        <v>#REF!</v>
      </c>
      <c r="IH576" t="e">
        <f>AND(#REF!,"AAAAADr+8/E=")</f>
        <v>#REF!</v>
      </c>
      <c r="II576" t="e">
        <f>AND(#REF!,"AAAAADr+8/I=")</f>
        <v>#REF!</v>
      </c>
      <c r="IJ576" t="e">
        <f>AND(#REF!,"AAAAADr+8/M=")</f>
        <v>#REF!</v>
      </c>
      <c r="IK576" t="e">
        <f>AND(#REF!,"AAAAADr+8/Q=")</f>
        <v>#REF!</v>
      </c>
      <c r="IL576" t="e">
        <f>AND(#REF!,"AAAAADr+8/U=")</f>
        <v>#REF!</v>
      </c>
      <c r="IM576" t="e">
        <f>AND(#REF!,"AAAAADr+8/Y=")</f>
        <v>#REF!</v>
      </c>
      <c r="IN576" t="e">
        <f>AND(#REF!,"AAAAADr+8/c=")</f>
        <v>#REF!</v>
      </c>
      <c r="IO576" t="e">
        <f>AND(#REF!,"AAAAADr+8/g=")</f>
        <v>#REF!</v>
      </c>
      <c r="IP576" t="e">
        <f>AND(#REF!,"AAAAADr+8/k=")</f>
        <v>#REF!</v>
      </c>
      <c r="IQ576" t="e">
        <f>AND(#REF!,"AAAAADr+8/o=")</f>
        <v>#REF!</v>
      </c>
      <c r="IR576" t="e">
        <f>AND(#REF!,"AAAAADr+8/s=")</f>
        <v>#REF!</v>
      </c>
      <c r="IS576" t="e">
        <f>AND(#REF!,"AAAAADr+8/w=")</f>
        <v>#REF!</v>
      </c>
      <c r="IT576" t="e">
        <f>AND(#REF!,"AAAAADr+8/0=")</f>
        <v>#REF!</v>
      </c>
      <c r="IU576" t="e">
        <f>AND(#REF!,"AAAAADr+8/4=")</f>
        <v>#REF!</v>
      </c>
      <c r="IV576" t="e">
        <f>AND(#REF!,"AAAAADr+8/8=")</f>
        <v>#REF!</v>
      </c>
    </row>
    <row r="577" spans="1:256">
      <c r="A577" t="e">
        <f>AND(#REF!,"AAAAAG/zvwA=")</f>
        <v>#REF!</v>
      </c>
      <c r="B577" t="e">
        <f>AND(#REF!,"AAAAAG/zvwE=")</f>
        <v>#REF!</v>
      </c>
      <c r="C577" t="e">
        <f>AND(#REF!,"AAAAAG/zvwI=")</f>
        <v>#REF!</v>
      </c>
      <c r="D577" t="e">
        <f>AND(#REF!,"AAAAAG/zvwM=")</f>
        <v>#REF!</v>
      </c>
      <c r="E577" t="e">
        <f>IF(#REF!,"AAAAAG/zvwQ=",0)</f>
        <v>#REF!</v>
      </c>
      <c r="F577" t="e">
        <f>AND(#REF!,"AAAAAG/zvwU=")</f>
        <v>#REF!</v>
      </c>
      <c r="G577" t="e">
        <f>AND(#REF!,"AAAAAG/zvwY=")</f>
        <v>#REF!</v>
      </c>
      <c r="H577" t="e">
        <f>AND(#REF!,"AAAAAG/zvwc=")</f>
        <v>#REF!</v>
      </c>
      <c r="I577" t="e">
        <f>AND(#REF!,"AAAAAG/zvwg=")</f>
        <v>#REF!</v>
      </c>
      <c r="J577" t="e">
        <f>AND(#REF!,"AAAAAG/zvwk=")</f>
        <v>#REF!</v>
      </c>
      <c r="K577" t="e">
        <f>AND(#REF!,"AAAAAG/zvwo=")</f>
        <v>#REF!</v>
      </c>
      <c r="L577" t="e">
        <f>AND(#REF!,"AAAAAG/zvws=")</f>
        <v>#REF!</v>
      </c>
      <c r="M577" t="e">
        <f>AND(#REF!,"AAAAAG/zvww=")</f>
        <v>#REF!</v>
      </c>
      <c r="N577" t="e">
        <f>AND(#REF!,"AAAAAG/zvw0=")</f>
        <v>#REF!</v>
      </c>
      <c r="O577" t="e">
        <f>AND(#REF!,"AAAAAG/zvw4=")</f>
        <v>#REF!</v>
      </c>
      <c r="P577" t="e">
        <f>AND(#REF!,"AAAAAG/zvw8=")</f>
        <v>#REF!</v>
      </c>
      <c r="Q577" t="e">
        <f>AND(#REF!,"AAAAAG/zvxA=")</f>
        <v>#REF!</v>
      </c>
      <c r="R577" t="e">
        <f>AND(#REF!,"AAAAAG/zvxE=")</f>
        <v>#REF!</v>
      </c>
      <c r="S577" t="e">
        <f>AND(#REF!,"AAAAAG/zvxI=")</f>
        <v>#REF!</v>
      </c>
      <c r="T577" t="e">
        <f>AND(#REF!,"AAAAAG/zvxM=")</f>
        <v>#REF!</v>
      </c>
      <c r="U577" t="e">
        <f>AND(#REF!,"AAAAAG/zvxQ=")</f>
        <v>#REF!</v>
      </c>
      <c r="V577" t="e">
        <f>AND(#REF!,"AAAAAG/zvxU=")</f>
        <v>#REF!</v>
      </c>
      <c r="W577" t="e">
        <f>AND(#REF!,"AAAAAG/zvxY=")</f>
        <v>#REF!</v>
      </c>
      <c r="X577" t="e">
        <f>AND(#REF!,"AAAAAG/zvxc=")</f>
        <v>#REF!</v>
      </c>
      <c r="Y577" t="e">
        <f>AND(#REF!,"AAAAAG/zvxg=")</f>
        <v>#REF!</v>
      </c>
      <c r="Z577" t="e">
        <f>AND(#REF!,"AAAAAG/zvxk=")</f>
        <v>#REF!</v>
      </c>
      <c r="AA577" t="e">
        <f>AND(#REF!,"AAAAAG/zvxo=")</f>
        <v>#REF!</v>
      </c>
      <c r="AB577" t="e">
        <f>AND(#REF!,"AAAAAG/zvxs=")</f>
        <v>#REF!</v>
      </c>
      <c r="AC577" t="e">
        <f>AND(#REF!,"AAAAAG/zvxw=")</f>
        <v>#REF!</v>
      </c>
      <c r="AD577" t="e">
        <f>IF(#REF!,"AAAAAG/zvx0=",0)</f>
        <v>#REF!</v>
      </c>
      <c r="AE577" t="e">
        <f>AND(#REF!,"AAAAAG/zvx4=")</f>
        <v>#REF!</v>
      </c>
      <c r="AF577" t="e">
        <f>AND(#REF!,"AAAAAG/zvx8=")</f>
        <v>#REF!</v>
      </c>
      <c r="AG577" t="e">
        <f>AND(#REF!,"AAAAAG/zvyA=")</f>
        <v>#REF!</v>
      </c>
      <c r="AH577" t="e">
        <f>AND(#REF!,"AAAAAG/zvyE=")</f>
        <v>#REF!</v>
      </c>
      <c r="AI577" t="e">
        <f>AND(#REF!,"AAAAAG/zvyI=")</f>
        <v>#REF!</v>
      </c>
      <c r="AJ577" t="e">
        <f>AND(#REF!,"AAAAAG/zvyM=")</f>
        <v>#REF!</v>
      </c>
      <c r="AK577" t="e">
        <f>AND(#REF!,"AAAAAG/zvyQ=")</f>
        <v>#REF!</v>
      </c>
      <c r="AL577" t="e">
        <f>AND(#REF!,"AAAAAG/zvyU=")</f>
        <v>#REF!</v>
      </c>
      <c r="AM577" t="e">
        <f>AND(#REF!,"AAAAAG/zvyY=")</f>
        <v>#REF!</v>
      </c>
      <c r="AN577" t="e">
        <f>AND(#REF!,"AAAAAG/zvyc=")</f>
        <v>#REF!</v>
      </c>
      <c r="AO577" t="e">
        <f>AND(#REF!,"AAAAAG/zvyg=")</f>
        <v>#REF!</v>
      </c>
      <c r="AP577" t="e">
        <f>AND(#REF!,"AAAAAG/zvyk=")</f>
        <v>#REF!</v>
      </c>
      <c r="AQ577" t="e">
        <f>AND(#REF!,"AAAAAG/zvyo=")</f>
        <v>#REF!</v>
      </c>
      <c r="AR577" t="e">
        <f>AND(#REF!,"AAAAAG/zvys=")</f>
        <v>#REF!</v>
      </c>
      <c r="AS577" t="e">
        <f>AND(#REF!,"AAAAAG/zvyw=")</f>
        <v>#REF!</v>
      </c>
      <c r="AT577" t="e">
        <f>AND(#REF!,"AAAAAG/zvy0=")</f>
        <v>#REF!</v>
      </c>
      <c r="AU577" t="e">
        <f>AND(#REF!,"AAAAAG/zvy4=")</f>
        <v>#REF!</v>
      </c>
      <c r="AV577" t="e">
        <f>AND(#REF!,"AAAAAG/zvy8=")</f>
        <v>#REF!</v>
      </c>
      <c r="AW577" t="e">
        <f>AND(#REF!,"AAAAAG/zvzA=")</f>
        <v>#REF!</v>
      </c>
      <c r="AX577" t="e">
        <f>AND(#REF!,"AAAAAG/zvzE=")</f>
        <v>#REF!</v>
      </c>
      <c r="AY577" t="e">
        <f>AND(#REF!,"AAAAAG/zvzI=")</f>
        <v>#REF!</v>
      </c>
      <c r="AZ577" t="e">
        <f>AND(#REF!,"AAAAAG/zvzM=")</f>
        <v>#REF!</v>
      </c>
      <c r="BA577" t="e">
        <f>AND(#REF!,"AAAAAG/zvzQ=")</f>
        <v>#REF!</v>
      </c>
      <c r="BB577" t="e">
        <f>AND(#REF!,"AAAAAG/zvzU=")</f>
        <v>#REF!</v>
      </c>
      <c r="BC577" t="e">
        <f>IF(#REF!,"AAAAAG/zvzY=",0)</f>
        <v>#REF!</v>
      </c>
      <c r="BD577" t="e">
        <f>AND(#REF!,"AAAAAG/zvzc=")</f>
        <v>#REF!</v>
      </c>
      <c r="BE577" t="e">
        <f>AND(#REF!,"AAAAAG/zvzg=")</f>
        <v>#REF!</v>
      </c>
      <c r="BF577" t="e">
        <f>AND(#REF!,"AAAAAG/zvzk=")</f>
        <v>#REF!</v>
      </c>
      <c r="BG577" t="e">
        <f>AND(#REF!,"AAAAAG/zvzo=")</f>
        <v>#REF!</v>
      </c>
      <c r="BH577" t="e">
        <f>AND(#REF!,"AAAAAG/zvzs=")</f>
        <v>#REF!</v>
      </c>
      <c r="BI577" t="e">
        <f>AND(#REF!,"AAAAAG/zvzw=")</f>
        <v>#REF!</v>
      </c>
      <c r="BJ577" t="e">
        <f>AND(#REF!,"AAAAAG/zvz0=")</f>
        <v>#REF!</v>
      </c>
      <c r="BK577" t="e">
        <f>AND(#REF!,"AAAAAG/zvz4=")</f>
        <v>#REF!</v>
      </c>
      <c r="BL577" t="e">
        <f>AND(#REF!,"AAAAAG/zvz8=")</f>
        <v>#REF!</v>
      </c>
      <c r="BM577" t="e">
        <f>AND(#REF!,"AAAAAG/zv0A=")</f>
        <v>#REF!</v>
      </c>
      <c r="BN577" t="e">
        <f>AND(#REF!,"AAAAAG/zv0E=")</f>
        <v>#REF!</v>
      </c>
      <c r="BO577" t="e">
        <f>AND(#REF!,"AAAAAG/zv0I=")</f>
        <v>#REF!</v>
      </c>
      <c r="BP577" t="e">
        <f>AND(#REF!,"AAAAAG/zv0M=")</f>
        <v>#REF!</v>
      </c>
      <c r="BQ577" t="e">
        <f>AND(#REF!,"AAAAAG/zv0Q=")</f>
        <v>#REF!</v>
      </c>
      <c r="BR577" t="e">
        <f>AND(#REF!,"AAAAAG/zv0U=")</f>
        <v>#REF!</v>
      </c>
      <c r="BS577" t="e">
        <f>AND(#REF!,"AAAAAG/zv0Y=")</f>
        <v>#REF!</v>
      </c>
      <c r="BT577" t="e">
        <f>AND(#REF!,"AAAAAG/zv0c=")</f>
        <v>#REF!</v>
      </c>
      <c r="BU577" t="e">
        <f>AND(#REF!,"AAAAAG/zv0g=")</f>
        <v>#REF!</v>
      </c>
      <c r="BV577" t="e">
        <f>AND(#REF!,"AAAAAG/zv0k=")</f>
        <v>#REF!</v>
      </c>
      <c r="BW577" t="e">
        <f>AND(#REF!,"AAAAAG/zv0o=")</f>
        <v>#REF!</v>
      </c>
      <c r="BX577" t="e">
        <f>AND(#REF!,"AAAAAG/zv0s=")</f>
        <v>#REF!</v>
      </c>
      <c r="BY577" t="e">
        <f>AND(#REF!,"AAAAAG/zv0w=")</f>
        <v>#REF!</v>
      </c>
      <c r="BZ577" t="e">
        <f>AND(#REF!,"AAAAAG/zv00=")</f>
        <v>#REF!</v>
      </c>
      <c r="CA577" t="e">
        <f>AND(#REF!,"AAAAAG/zv04=")</f>
        <v>#REF!</v>
      </c>
      <c r="CB577" t="e">
        <f>IF(#REF!,"AAAAAG/zv08=",0)</f>
        <v>#REF!</v>
      </c>
      <c r="CC577" t="e">
        <f>AND(#REF!,"AAAAAG/zv1A=")</f>
        <v>#REF!</v>
      </c>
      <c r="CD577" t="e">
        <f>AND(#REF!,"AAAAAG/zv1E=")</f>
        <v>#REF!</v>
      </c>
      <c r="CE577" t="e">
        <f>AND(#REF!,"AAAAAG/zv1I=")</f>
        <v>#REF!</v>
      </c>
      <c r="CF577" t="e">
        <f>AND(#REF!,"AAAAAG/zv1M=")</f>
        <v>#REF!</v>
      </c>
      <c r="CG577" t="e">
        <f>AND(#REF!,"AAAAAG/zv1Q=")</f>
        <v>#REF!</v>
      </c>
      <c r="CH577" t="e">
        <f>AND(#REF!,"AAAAAG/zv1U=")</f>
        <v>#REF!</v>
      </c>
      <c r="CI577" t="e">
        <f>AND(#REF!,"AAAAAG/zv1Y=")</f>
        <v>#REF!</v>
      </c>
      <c r="CJ577" t="e">
        <f>AND(#REF!,"AAAAAG/zv1c=")</f>
        <v>#REF!</v>
      </c>
      <c r="CK577" t="e">
        <f>AND(#REF!,"AAAAAG/zv1g=")</f>
        <v>#REF!</v>
      </c>
      <c r="CL577" t="e">
        <f>AND(#REF!,"AAAAAG/zv1k=")</f>
        <v>#REF!</v>
      </c>
      <c r="CM577" t="e">
        <f>AND(#REF!,"AAAAAG/zv1o=")</f>
        <v>#REF!</v>
      </c>
      <c r="CN577" t="e">
        <f>AND(#REF!,"AAAAAG/zv1s=")</f>
        <v>#REF!</v>
      </c>
      <c r="CO577" t="e">
        <f>AND(#REF!,"AAAAAG/zv1w=")</f>
        <v>#REF!</v>
      </c>
      <c r="CP577" t="e">
        <f>AND(#REF!,"AAAAAG/zv10=")</f>
        <v>#REF!</v>
      </c>
      <c r="CQ577" t="e">
        <f>AND(#REF!,"AAAAAG/zv14=")</f>
        <v>#REF!</v>
      </c>
      <c r="CR577" t="e">
        <f>AND(#REF!,"AAAAAG/zv18=")</f>
        <v>#REF!</v>
      </c>
      <c r="CS577" t="e">
        <f>AND(#REF!,"AAAAAG/zv2A=")</f>
        <v>#REF!</v>
      </c>
      <c r="CT577" t="e">
        <f>AND(#REF!,"AAAAAG/zv2E=")</f>
        <v>#REF!</v>
      </c>
      <c r="CU577" t="e">
        <f>AND(#REF!,"AAAAAG/zv2I=")</f>
        <v>#REF!</v>
      </c>
      <c r="CV577" t="e">
        <f>AND(#REF!,"AAAAAG/zv2M=")</f>
        <v>#REF!</v>
      </c>
      <c r="CW577" t="e">
        <f>AND(#REF!,"AAAAAG/zv2Q=")</f>
        <v>#REF!</v>
      </c>
      <c r="CX577" t="e">
        <f>AND(#REF!,"AAAAAG/zv2U=")</f>
        <v>#REF!</v>
      </c>
      <c r="CY577" t="e">
        <f>AND(#REF!,"AAAAAG/zv2Y=")</f>
        <v>#REF!</v>
      </c>
      <c r="CZ577" t="e">
        <f>AND(#REF!,"AAAAAG/zv2c=")</f>
        <v>#REF!</v>
      </c>
      <c r="DA577" t="e">
        <f>IF(#REF!,"AAAAAG/zv2g=",0)</f>
        <v>#REF!</v>
      </c>
      <c r="DB577" t="e">
        <f>AND(#REF!,"AAAAAG/zv2k=")</f>
        <v>#REF!</v>
      </c>
      <c r="DC577" t="e">
        <f>AND(#REF!,"AAAAAG/zv2o=")</f>
        <v>#REF!</v>
      </c>
      <c r="DD577" t="e">
        <f>AND(#REF!,"AAAAAG/zv2s=")</f>
        <v>#REF!</v>
      </c>
      <c r="DE577" t="e">
        <f>AND(#REF!,"AAAAAG/zv2w=")</f>
        <v>#REF!</v>
      </c>
      <c r="DF577" t="e">
        <f>AND(#REF!,"AAAAAG/zv20=")</f>
        <v>#REF!</v>
      </c>
      <c r="DG577" t="e">
        <f>AND(#REF!,"AAAAAG/zv24=")</f>
        <v>#REF!</v>
      </c>
      <c r="DH577" t="e">
        <f>AND(#REF!,"AAAAAG/zv28=")</f>
        <v>#REF!</v>
      </c>
      <c r="DI577" t="e">
        <f>AND(#REF!,"AAAAAG/zv3A=")</f>
        <v>#REF!</v>
      </c>
      <c r="DJ577" t="e">
        <f>AND(#REF!,"AAAAAG/zv3E=")</f>
        <v>#REF!</v>
      </c>
      <c r="DK577" t="e">
        <f>AND(#REF!,"AAAAAG/zv3I=")</f>
        <v>#REF!</v>
      </c>
      <c r="DL577" t="e">
        <f>AND(#REF!,"AAAAAG/zv3M=")</f>
        <v>#REF!</v>
      </c>
      <c r="DM577" t="e">
        <f>AND(#REF!,"AAAAAG/zv3Q=")</f>
        <v>#REF!</v>
      </c>
      <c r="DN577" t="e">
        <f>AND(#REF!,"AAAAAG/zv3U=")</f>
        <v>#REF!</v>
      </c>
      <c r="DO577" t="e">
        <f>AND(#REF!,"AAAAAG/zv3Y=")</f>
        <v>#REF!</v>
      </c>
      <c r="DP577" t="e">
        <f>AND(#REF!,"AAAAAG/zv3c=")</f>
        <v>#REF!</v>
      </c>
      <c r="DQ577" t="e">
        <f>AND(#REF!,"AAAAAG/zv3g=")</f>
        <v>#REF!</v>
      </c>
      <c r="DR577" t="e">
        <f>AND(#REF!,"AAAAAG/zv3k=")</f>
        <v>#REF!</v>
      </c>
      <c r="DS577" t="e">
        <f>AND(#REF!,"AAAAAG/zv3o=")</f>
        <v>#REF!</v>
      </c>
      <c r="DT577" t="e">
        <f>AND(#REF!,"AAAAAG/zv3s=")</f>
        <v>#REF!</v>
      </c>
      <c r="DU577" t="e">
        <f>AND(#REF!,"AAAAAG/zv3w=")</f>
        <v>#REF!</v>
      </c>
      <c r="DV577" t="e">
        <f>AND(#REF!,"AAAAAG/zv30=")</f>
        <v>#REF!</v>
      </c>
      <c r="DW577" t="e">
        <f>AND(#REF!,"AAAAAG/zv34=")</f>
        <v>#REF!</v>
      </c>
      <c r="DX577" t="e">
        <f>AND(#REF!,"AAAAAG/zv38=")</f>
        <v>#REF!</v>
      </c>
      <c r="DY577" t="e">
        <f>AND(#REF!,"AAAAAG/zv4A=")</f>
        <v>#REF!</v>
      </c>
      <c r="DZ577" t="e">
        <f>IF(#REF!,"AAAAAG/zv4E=",0)</f>
        <v>#REF!</v>
      </c>
      <c r="EA577" t="e">
        <f>AND(#REF!,"AAAAAG/zv4I=")</f>
        <v>#REF!</v>
      </c>
      <c r="EB577" t="e">
        <f>AND(#REF!,"AAAAAG/zv4M=")</f>
        <v>#REF!</v>
      </c>
      <c r="EC577" t="e">
        <f>AND(#REF!,"AAAAAG/zv4Q=")</f>
        <v>#REF!</v>
      </c>
      <c r="ED577" t="e">
        <f>AND(#REF!,"AAAAAG/zv4U=")</f>
        <v>#REF!</v>
      </c>
      <c r="EE577" t="e">
        <f>AND(#REF!,"AAAAAG/zv4Y=")</f>
        <v>#REF!</v>
      </c>
      <c r="EF577" t="e">
        <f>AND(#REF!,"AAAAAG/zv4c=")</f>
        <v>#REF!</v>
      </c>
      <c r="EG577" t="e">
        <f>AND(#REF!,"AAAAAG/zv4g=")</f>
        <v>#REF!</v>
      </c>
      <c r="EH577" t="e">
        <f>AND(#REF!,"AAAAAG/zv4k=")</f>
        <v>#REF!</v>
      </c>
      <c r="EI577" t="e">
        <f>AND(#REF!,"AAAAAG/zv4o=")</f>
        <v>#REF!</v>
      </c>
      <c r="EJ577" t="e">
        <f>AND(#REF!,"AAAAAG/zv4s=")</f>
        <v>#REF!</v>
      </c>
      <c r="EK577" t="e">
        <f>AND(#REF!,"AAAAAG/zv4w=")</f>
        <v>#REF!</v>
      </c>
      <c r="EL577" t="e">
        <f>AND(#REF!,"AAAAAG/zv40=")</f>
        <v>#REF!</v>
      </c>
      <c r="EM577" t="e">
        <f>AND(#REF!,"AAAAAG/zv44=")</f>
        <v>#REF!</v>
      </c>
      <c r="EN577" t="e">
        <f>AND(#REF!,"AAAAAG/zv48=")</f>
        <v>#REF!</v>
      </c>
      <c r="EO577" t="e">
        <f>AND(#REF!,"AAAAAG/zv5A=")</f>
        <v>#REF!</v>
      </c>
      <c r="EP577" t="e">
        <f>AND(#REF!,"AAAAAG/zv5E=")</f>
        <v>#REF!</v>
      </c>
      <c r="EQ577" t="e">
        <f>AND(#REF!,"AAAAAG/zv5I=")</f>
        <v>#REF!</v>
      </c>
      <c r="ER577" t="e">
        <f>AND(#REF!,"AAAAAG/zv5M=")</f>
        <v>#REF!</v>
      </c>
      <c r="ES577" t="e">
        <f>AND(#REF!,"AAAAAG/zv5Q=")</f>
        <v>#REF!</v>
      </c>
      <c r="ET577" t="e">
        <f>AND(#REF!,"AAAAAG/zv5U=")</f>
        <v>#REF!</v>
      </c>
      <c r="EU577" t="e">
        <f>AND(#REF!,"AAAAAG/zv5Y=")</f>
        <v>#REF!</v>
      </c>
      <c r="EV577" t="e">
        <f>AND(#REF!,"AAAAAG/zv5c=")</f>
        <v>#REF!</v>
      </c>
      <c r="EW577" t="e">
        <f>AND(#REF!,"AAAAAG/zv5g=")</f>
        <v>#REF!</v>
      </c>
      <c r="EX577" t="e">
        <f>AND(#REF!,"AAAAAG/zv5k=")</f>
        <v>#REF!</v>
      </c>
      <c r="EY577" t="e">
        <f>IF(#REF!,"AAAAAG/zv5o=",0)</f>
        <v>#REF!</v>
      </c>
      <c r="EZ577" t="e">
        <f>AND(#REF!,"AAAAAG/zv5s=")</f>
        <v>#REF!</v>
      </c>
      <c r="FA577" t="e">
        <f>AND(#REF!,"AAAAAG/zv5w=")</f>
        <v>#REF!</v>
      </c>
      <c r="FB577" t="e">
        <f>AND(#REF!,"AAAAAG/zv50=")</f>
        <v>#REF!</v>
      </c>
      <c r="FC577" t="e">
        <f>AND(#REF!,"AAAAAG/zv54=")</f>
        <v>#REF!</v>
      </c>
      <c r="FD577" t="e">
        <f>AND(#REF!,"AAAAAG/zv58=")</f>
        <v>#REF!</v>
      </c>
      <c r="FE577" t="e">
        <f>AND(#REF!,"AAAAAG/zv6A=")</f>
        <v>#REF!</v>
      </c>
      <c r="FF577" t="e">
        <f>AND(#REF!,"AAAAAG/zv6E=")</f>
        <v>#REF!</v>
      </c>
      <c r="FG577" t="e">
        <f>AND(#REF!,"AAAAAG/zv6I=")</f>
        <v>#REF!</v>
      </c>
      <c r="FH577" t="e">
        <f>AND(#REF!,"AAAAAG/zv6M=")</f>
        <v>#REF!</v>
      </c>
      <c r="FI577" t="e">
        <f>AND(#REF!,"AAAAAG/zv6Q=")</f>
        <v>#REF!</v>
      </c>
      <c r="FJ577" t="e">
        <f>AND(#REF!,"AAAAAG/zv6U=")</f>
        <v>#REF!</v>
      </c>
      <c r="FK577" t="e">
        <f>AND(#REF!,"AAAAAG/zv6Y=")</f>
        <v>#REF!</v>
      </c>
      <c r="FL577" t="e">
        <f>AND(#REF!,"AAAAAG/zv6c=")</f>
        <v>#REF!</v>
      </c>
      <c r="FM577" t="e">
        <f>AND(#REF!,"AAAAAG/zv6g=")</f>
        <v>#REF!</v>
      </c>
      <c r="FN577" t="e">
        <f>AND(#REF!,"AAAAAG/zv6k=")</f>
        <v>#REF!</v>
      </c>
      <c r="FO577" t="e">
        <f>AND(#REF!,"AAAAAG/zv6o=")</f>
        <v>#REF!</v>
      </c>
      <c r="FP577" t="e">
        <f>AND(#REF!,"AAAAAG/zv6s=")</f>
        <v>#REF!</v>
      </c>
      <c r="FQ577" t="e">
        <f>AND(#REF!,"AAAAAG/zv6w=")</f>
        <v>#REF!</v>
      </c>
      <c r="FR577" t="e">
        <f>AND(#REF!,"AAAAAG/zv60=")</f>
        <v>#REF!</v>
      </c>
      <c r="FS577" t="e">
        <f>AND(#REF!,"AAAAAG/zv64=")</f>
        <v>#REF!</v>
      </c>
      <c r="FT577" t="e">
        <f>AND(#REF!,"AAAAAG/zv68=")</f>
        <v>#REF!</v>
      </c>
      <c r="FU577" t="e">
        <f>AND(#REF!,"AAAAAG/zv7A=")</f>
        <v>#REF!</v>
      </c>
      <c r="FV577" t="e">
        <f>AND(#REF!,"AAAAAG/zv7E=")</f>
        <v>#REF!</v>
      </c>
      <c r="FW577" t="e">
        <f>AND(#REF!,"AAAAAG/zv7I=")</f>
        <v>#REF!</v>
      </c>
      <c r="FX577" t="e">
        <f>IF(#REF!,"AAAAAG/zv7M=",0)</f>
        <v>#REF!</v>
      </c>
      <c r="FY577" t="e">
        <f>AND(#REF!,"AAAAAG/zv7Q=")</f>
        <v>#REF!</v>
      </c>
      <c r="FZ577" t="e">
        <f>AND(#REF!,"AAAAAG/zv7U=")</f>
        <v>#REF!</v>
      </c>
      <c r="GA577" t="e">
        <f>AND(#REF!,"AAAAAG/zv7Y=")</f>
        <v>#REF!</v>
      </c>
      <c r="GB577" t="e">
        <f>AND(#REF!,"AAAAAG/zv7c=")</f>
        <v>#REF!</v>
      </c>
      <c r="GC577" t="e">
        <f>AND(#REF!,"AAAAAG/zv7g=")</f>
        <v>#REF!</v>
      </c>
      <c r="GD577" t="e">
        <f>AND(#REF!,"AAAAAG/zv7k=")</f>
        <v>#REF!</v>
      </c>
      <c r="GE577" t="e">
        <f>AND(#REF!,"AAAAAG/zv7o=")</f>
        <v>#REF!</v>
      </c>
      <c r="GF577" t="e">
        <f>AND(#REF!,"AAAAAG/zv7s=")</f>
        <v>#REF!</v>
      </c>
      <c r="GG577" t="e">
        <f>AND(#REF!,"AAAAAG/zv7w=")</f>
        <v>#REF!</v>
      </c>
      <c r="GH577" t="e">
        <f>AND(#REF!,"AAAAAG/zv70=")</f>
        <v>#REF!</v>
      </c>
      <c r="GI577" t="e">
        <f>AND(#REF!,"AAAAAG/zv74=")</f>
        <v>#REF!</v>
      </c>
      <c r="GJ577" t="e">
        <f>AND(#REF!,"AAAAAG/zv78=")</f>
        <v>#REF!</v>
      </c>
      <c r="GK577" t="e">
        <f>AND(#REF!,"AAAAAG/zv8A=")</f>
        <v>#REF!</v>
      </c>
      <c r="GL577" t="e">
        <f>AND(#REF!,"AAAAAG/zv8E=")</f>
        <v>#REF!</v>
      </c>
      <c r="GM577" t="e">
        <f>AND(#REF!,"AAAAAG/zv8I=")</f>
        <v>#REF!</v>
      </c>
      <c r="GN577" t="e">
        <f>AND(#REF!,"AAAAAG/zv8M=")</f>
        <v>#REF!</v>
      </c>
      <c r="GO577" t="e">
        <f>AND(#REF!,"AAAAAG/zv8Q=")</f>
        <v>#REF!</v>
      </c>
      <c r="GP577" t="e">
        <f>AND(#REF!,"AAAAAG/zv8U=")</f>
        <v>#REF!</v>
      </c>
      <c r="GQ577" t="e">
        <f>AND(#REF!,"AAAAAG/zv8Y=")</f>
        <v>#REF!</v>
      </c>
      <c r="GR577" t="e">
        <f>AND(#REF!,"AAAAAG/zv8c=")</f>
        <v>#REF!</v>
      </c>
      <c r="GS577" t="e">
        <f>AND(#REF!,"AAAAAG/zv8g=")</f>
        <v>#REF!</v>
      </c>
      <c r="GT577" t="e">
        <f>AND(#REF!,"AAAAAG/zv8k=")</f>
        <v>#REF!</v>
      </c>
      <c r="GU577" t="e">
        <f>AND(#REF!,"AAAAAG/zv8o=")</f>
        <v>#REF!</v>
      </c>
      <c r="GV577" t="e">
        <f>AND(#REF!,"AAAAAG/zv8s=")</f>
        <v>#REF!</v>
      </c>
      <c r="GW577" t="e">
        <f>IF(#REF!,"AAAAAG/zv8w=",0)</f>
        <v>#REF!</v>
      </c>
      <c r="GX577" t="e">
        <f>AND(#REF!,"AAAAAG/zv80=")</f>
        <v>#REF!</v>
      </c>
      <c r="GY577" t="e">
        <f>AND(#REF!,"AAAAAG/zv84=")</f>
        <v>#REF!</v>
      </c>
      <c r="GZ577" t="e">
        <f>AND(#REF!,"AAAAAG/zv88=")</f>
        <v>#REF!</v>
      </c>
      <c r="HA577" t="e">
        <f>AND(#REF!,"AAAAAG/zv9A=")</f>
        <v>#REF!</v>
      </c>
      <c r="HB577" t="e">
        <f>AND(#REF!,"AAAAAG/zv9E=")</f>
        <v>#REF!</v>
      </c>
      <c r="HC577" t="e">
        <f>AND(#REF!,"AAAAAG/zv9I=")</f>
        <v>#REF!</v>
      </c>
      <c r="HD577" t="e">
        <f>AND(#REF!,"AAAAAG/zv9M=")</f>
        <v>#REF!</v>
      </c>
      <c r="HE577" t="e">
        <f>AND(#REF!,"AAAAAG/zv9Q=")</f>
        <v>#REF!</v>
      </c>
      <c r="HF577" t="e">
        <f>AND(#REF!,"AAAAAG/zv9U=")</f>
        <v>#REF!</v>
      </c>
      <c r="HG577" t="e">
        <f>AND(#REF!,"AAAAAG/zv9Y=")</f>
        <v>#REF!</v>
      </c>
      <c r="HH577" t="e">
        <f>AND(#REF!,"AAAAAG/zv9c=")</f>
        <v>#REF!</v>
      </c>
      <c r="HI577" t="e">
        <f>AND(#REF!,"AAAAAG/zv9g=")</f>
        <v>#REF!</v>
      </c>
      <c r="HJ577" t="e">
        <f>AND(#REF!,"AAAAAG/zv9k=")</f>
        <v>#REF!</v>
      </c>
      <c r="HK577" t="e">
        <f>AND(#REF!,"AAAAAG/zv9o=")</f>
        <v>#REF!</v>
      </c>
      <c r="HL577" t="e">
        <f>AND(#REF!,"AAAAAG/zv9s=")</f>
        <v>#REF!</v>
      </c>
      <c r="HM577" t="e">
        <f>AND(#REF!,"AAAAAG/zv9w=")</f>
        <v>#REF!</v>
      </c>
      <c r="HN577" t="e">
        <f>AND(#REF!,"AAAAAG/zv90=")</f>
        <v>#REF!</v>
      </c>
      <c r="HO577" t="e">
        <f>AND(#REF!,"AAAAAG/zv94=")</f>
        <v>#REF!</v>
      </c>
      <c r="HP577" t="e">
        <f>AND(#REF!,"AAAAAG/zv98=")</f>
        <v>#REF!</v>
      </c>
      <c r="HQ577" t="e">
        <f>AND(#REF!,"AAAAAG/zv+A=")</f>
        <v>#REF!</v>
      </c>
      <c r="HR577" t="e">
        <f>AND(#REF!,"AAAAAG/zv+E=")</f>
        <v>#REF!</v>
      </c>
      <c r="HS577" t="e">
        <f>AND(#REF!,"AAAAAG/zv+I=")</f>
        <v>#REF!</v>
      </c>
      <c r="HT577" t="e">
        <f>AND(#REF!,"AAAAAG/zv+M=")</f>
        <v>#REF!</v>
      </c>
      <c r="HU577" t="e">
        <f>AND(#REF!,"AAAAAG/zv+Q=")</f>
        <v>#REF!</v>
      </c>
      <c r="HV577" t="e">
        <f>IF(#REF!,"AAAAAG/zv+U=",0)</f>
        <v>#REF!</v>
      </c>
      <c r="HW577" t="e">
        <f>AND(#REF!,"AAAAAG/zv+Y=")</f>
        <v>#REF!</v>
      </c>
      <c r="HX577" t="e">
        <f>AND(#REF!,"AAAAAG/zv+c=")</f>
        <v>#REF!</v>
      </c>
      <c r="HY577" t="e">
        <f>AND(#REF!,"AAAAAG/zv+g=")</f>
        <v>#REF!</v>
      </c>
      <c r="HZ577" t="e">
        <f>AND(#REF!,"AAAAAG/zv+k=")</f>
        <v>#REF!</v>
      </c>
      <c r="IA577" t="e">
        <f>AND(#REF!,"AAAAAG/zv+o=")</f>
        <v>#REF!</v>
      </c>
      <c r="IB577" t="e">
        <f>AND(#REF!,"AAAAAG/zv+s=")</f>
        <v>#REF!</v>
      </c>
      <c r="IC577" t="e">
        <f>AND(#REF!,"AAAAAG/zv+w=")</f>
        <v>#REF!</v>
      </c>
      <c r="ID577" t="e">
        <f>AND(#REF!,"AAAAAG/zv+0=")</f>
        <v>#REF!</v>
      </c>
      <c r="IE577" t="e">
        <f>AND(#REF!,"AAAAAG/zv+4=")</f>
        <v>#REF!</v>
      </c>
      <c r="IF577" t="e">
        <f>AND(#REF!,"AAAAAG/zv+8=")</f>
        <v>#REF!</v>
      </c>
      <c r="IG577" t="e">
        <f>AND(#REF!,"AAAAAG/zv/A=")</f>
        <v>#REF!</v>
      </c>
      <c r="IH577" t="e">
        <f>AND(#REF!,"AAAAAG/zv/E=")</f>
        <v>#REF!</v>
      </c>
      <c r="II577" t="e">
        <f>AND(#REF!,"AAAAAG/zv/I=")</f>
        <v>#REF!</v>
      </c>
      <c r="IJ577" t="e">
        <f>AND(#REF!,"AAAAAG/zv/M=")</f>
        <v>#REF!</v>
      </c>
      <c r="IK577" t="e">
        <f>AND(#REF!,"AAAAAG/zv/Q=")</f>
        <v>#REF!</v>
      </c>
      <c r="IL577" t="e">
        <f>AND(#REF!,"AAAAAG/zv/U=")</f>
        <v>#REF!</v>
      </c>
      <c r="IM577" t="e">
        <f>AND(#REF!,"AAAAAG/zv/Y=")</f>
        <v>#REF!</v>
      </c>
      <c r="IN577" t="e">
        <f>AND(#REF!,"AAAAAG/zv/c=")</f>
        <v>#REF!</v>
      </c>
      <c r="IO577" t="e">
        <f>AND(#REF!,"AAAAAG/zv/g=")</f>
        <v>#REF!</v>
      </c>
      <c r="IP577" t="e">
        <f>AND(#REF!,"AAAAAG/zv/k=")</f>
        <v>#REF!</v>
      </c>
      <c r="IQ577" t="e">
        <f>AND(#REF!,"AAAAAG/zv/o=")</f>
        <v>#REF!</v>
      </c>
      <c r="IR577" t="e">
        <f>AND(#REF!,"AAAAAG/zv/s=")</f>
        <v>#REF!</v>
      </c>
      <c r="IS577" t="e">
        <f>AND(#REF!,"AAAAAG/zv/w=")</f>
        <v>#REF!</v>
      </c>
      <c r="IT577" t="e">
        <f>AND(#REF!,"AAAAAG/zv/0=")</f>
        <v>#REF!</v>
      </c>
      <c r="IU577" t="e">
        <f>IF(#REF!,"AAAAAG/zv/4=",0)</f>
        <v>#REF!</v>
      </c>
      <c r="IV577" t="e">
        <f>AND(#REF!,"AAAAAG/zv/8=")</f>
        <v>#REF!</v>
      </c>
    </row>
    <row r="578" spans="1:256">
      <c r="A578" t="e">
        <f>AND(#REF!,"AAAAAH9f/wA=")</f>
        <v>#REF!</v>
      </c>
      <c r="B578" t="e">
        <f>AND(#REF!,"AAAAAH9f/wE=")</f>
        <v>#REF!</v>
      </c>
      <c r="C578" t="e">
        <f>AND(#REF!,"AAAAAH9f/wI=")</f>
        <v>#REF!</v>
      </c>
      <c r="D578" t="e">
        <f>AND(#REF!,"AAAAAH9f/wM=")</f>
        <v>#REF!</v>
      </c>
      <c r="E578" t="e">
        <f>AND(#REF!,"AAAAAH9f/wQ=")</f>
        <v>#REF!</v>
      </c>
      <c r="F578" t="e">
        <f>AND(#REF!,"AAAAAH9f/wU=")</f>
        <v>#REF!</v>
      </c>
      <c r="G578" t="e">
        <f>AND(#REF!,"AAAAAH9f/wY=")</f>
        <v>#REF!</v>
      </c>
      <c r="H578" t="e">
        <f>AND(#REF!,"AAAAAH9f/wc=")</f>
        <v>#REF!</v>
      </c>
      <c r="I578" t="e">
        <f>AND(#REF!,"AAAAAH9f/wg=")</f>
        <v>#REF!</v>
      </c>
      <c r="J578" t="e">
        <f>AND(#REF!,"AAAAAH9f/wk=")</f>
        <v>#REF!</v>
      </c>
      <c r="K578" t="e">
        <f>AND(#REF!,"AAAAAH9f/wo=")</f>
        <v>#REF!</v>
      </c>
      <c r="L578" t="e">
        <f>AND(#REF!,"AAAAAH9f/ws=")</f>
        <v>#REF!</v>
      </c>
      <c r="M578" t="e">
        <f>AND(#REF!,"AAAAAH9f/ww=")</f>
        <v>#REF!</v>
      </c>
      <c r="N578" t="e">
        <f>AND(#REF!,"AAAAAH9f/w0=")</f>
        <v>#REF!</v>
      </c>
      <c r="O578" t="e">
        <f>AND(#REF!,"AAAAAH9f/w4=")</f>
        <v>#REF!</v>
      </c>
      <c r="P578" t="e">
        <f>AND(#REF!,"AAAAAH9f/w8=")</f>
        <v>#REF!</v>
      </c>
      <c r="Q578" t="e">
        <f>AND(#REF!,"AAAAAH9f/xA=")</f>
        <v>#REF!</v>
      </c>
      <c r="R578" t="e">
        <f>AND(#REF!,"AAAAAH9f/xE=")</f>
        <v>#REF!</v>
      </c>
      <c r="S578" t="e">
        <f>AND(#REF!,"AAAAAH9f/xI=")</f>
        <v>#REF!</v>
      </c>
      <c r="T578" t="e">
        <f>AND(#REF!,"AAAAAH9f/xM=")</f>
        <v>#REF!</v>
      </c>
      <c r="U578" t="e">
        <f>AND(#REF!,"AAAAAH9f/xQ=")</f>
        <v>#REF!</v>
      </c>
      <c r="V578" t="e">
        <f>AND(#REF!,"AAAAAH9f/xU=")</f>
        <v>#REF!</v>
      </c>
      <c r="W578" t="e">
        <f>AND(#REF!,"AAAAAH9f/xY=")</f>
        <v>#REF!</v>
      </c>
      <c r="X578" t="e">
        <f>IF(#REF!,"AAAAAH9f/xc=",0)</f>
        <v>#REF!</v>
      </c>
      <c r="Y578" t="e">
        <f>AND(#REF!,"AAAAAH9f/xg=")</f>
        <v>#REF!</v>
      </c>
      <c r="Z578" t="e">
        <f>AND(#REF!,"AAAAAH9f/xk=")</f>
        <v>#REF!</v>
      </c>
      <c r="AA578" t="e">
        <f>AND(#REF!,"AAAAAH9f/xo=")</f>
        <v>#REF!</v>
      </c>
      <c r="AB578" t="e">
        <f>AND(#REF!,"AAAAAH9f/xs=")</f>
        <v>#REF!</v>
      </c>
      <c r="AC578" t="e">
        <f>AND(#REF!,"AAAAAH9f/xw=")</f>
        <v>#REF!</v>
      </c>
      <c r="AD578" t="e">
        <f>AND(#REF!,"AAAAAH9f/x0=")</f>
        <v>#REF!</v>
      </c>
      <c r="AE578" t="e">
        <f>AND(#REF!,"AAAAAH9f/x4=")</f>
        <v>#REF!</v>
      </c>
      <c r="AF578" t="e">
        <f>AND(#REF!,"AAAAAH9f/x8=")</f>
        <v>#REF!</v>
      </c>
      <c r="AG578" t="e">
        <f>AND(#REF!,"AAAAAH9f/yA=")</f>
        <v>#REF!</v>
      </c>
      <c r="AH578" t="e">
        <f>AND(#REF!,"AAAAAH9f/yE=")</f>
        <v>#REF!</v>
      </c>
      <c r="AI578" t="e">
        <f>AND(#REF!,"AAAAAH9f/yI=")</f>
        <v>#REF!</v>
      </c>
      <c r="AJ578" t="e">
        <f>AND(#REF!,"AAAAAH9f/yM=")</f>
        <v>#REF!</v>
      </c>
      <c r="AK578" t="e">
        <f>AND(#REF!,"AAAAAH9f/yQ=")</f>
        <v>#REF!</v>
      </c>
      <c r="AL578" t="e">
        <f>AND(#REF!,"AAAAAH9f/yU=")</f>
        <v>#REF!</v>
      </c>
      <c r="AM578" t="e">
        <f>AND(#REF!,"AAAAAH9f/yY=")</f>
        <v>#REF!</v>
      </c>
      <c r="AN578" t="e">
        <f>AND(#REF!,"AAAAAH9f/yc=")</f>
        <v>#REF!</v>
      </c>
      <c r="AO578" t="e">
        <f>AND(#REF!,"AAAAAH9f/yg=")</f>
        <v>#REF!</v>
      </c>
      <c r="AP578" t="e">
        <f>AND(#REF!,"AAAAAH9f/yk=")</f>
        <v>#REF!</v>
      </c>
      <c r="AQ578" t="e">
        <f>AND(#REF!,"AAAAAH9f/yo=")</f>
        <v>#REF!</v>
      </c>
      <c r="AR578" t="e">
        <f>AND(#REF!,"AAAAAH9f/ys=")</f>
        <v>#REF!</v>
      </c>
      <c r="AS578" t="e">
        <f>AND(#REF!,"AAAAAH9f/yw=")</f>
        <v>#REF!</v>
      </c>
      <c r="AT578" t="e">
        <f>AND(#REF!,"AAAAAH9f/y0=")</f>
        <v>#REF!</v>
      </c>
      <c r="AU578" t="e">
        <f>AND(#REF!,"AAAAAH9f/y4=")</f>
        <v>#REF!</v>
      </c>
      <c r="AV578" t="e">
        <f>AND(#REF!,"AAAAAH9f/y8=")</f>
        <v>#REF!</v>
      </c>
      <c r="AW578" t="e">
        <f>IF(#REF!,"AAAAAH9f/zA=",0)</f>
        <v>#REF!</v>
      </c>
      <c r="AX578" t="e">
        <f>AND(#REF!,"AAAAAH9f/zE=")</f>
        <v>#REF!</v>
      </c>
      <c r="AY578" t="e">
        <f>AND(#REF!,"AAAAAH9f/zI=")</f>
        <v>#REF!</v>
      </c>
      <c r="AZ578" t="e">
        <f>AND(#REF!,"AAAAAH9f/zM=")</f>
        <v>#REF!</v>
      </c>
      <c r="BA578" t="e">
        <f>AND(#REF!,"AAAAAH9f/zQ=")</f>
        <v>#REF!</v>
      </c>
      <c r="BB578" t="e">
        <f>AND(#REF!,"AAAAAH9f/zU=")</f>
        <v>#REF!</v>
      </c>
      <c r="BC578" t="e">
        <f>AND(#REF!,"AAAAAH9f/zY=")</f>
        <v>#REF!</v>
      </c>
      <c r="BD578" t="e">
        <f>AND(#REF!,"AAAAAH9f/zc=")</f>
        <v>#REF!</v>
      </c>
      <c r="BE578" t="e">
        <f>AND(#REF!,"AAAAAH9f/zg=")</f>
        <v>#REF!</v>
      </c>
      <c r="BF578" t="e">
        <f>AND(#REF!,"AAAAAH9f/zk=")</f>
        <v>#REF!</v>
      </c>
      <c r="BG578" t="e">
        <f>AND(#REF!,"AAAAAH9f/zo=")</f>
        <v>#REF!</v>
      </c>
      <c r="BH578" t="e">
        <f>AND(#REF!,"AAAAAH9f/zs=")</f>
        <v>#REF!</v>
      </c>
      <c r="BI578" t="e">
        <f>AND(#REF!,"AAAAAH9f/zw=")</f>
        <v>#REF!</v>
      </c>
      <c r="BJ578" t="e">
        <f>AND(#REF!,"AAAAAH9f/z0=")</f>
        <v>#REF!</v>
      </c>
      <c r="BK578" t="e">
        <f>AND(#REF!,"AAAAAH9f/z4=")</f>
        <v>#REF!</v>
      </c>
      <c r="BL578" t="e">
        <f>AND(#REF!,"AAAAAH9f/z8=")</f>
        <v>#REF!</v>
      </c>
      <c r="BM578" t="e">
        <f>AND(#REF!,"AAAAAH9f/0A=")</f>
        <v>#REF!</v>
      </c>
      <c r="BN578" t="e">
        <f>AND(#REF!,"AAAAAH9f/0E=")</f>
        <v>#REF!</v>
      </c>
      <c r="BO578" t="e">
        <f>AND(#REF!,"AAAAAH9f/0I=")</f>
        <v>#REF!</v>
      </c>
      <c r="BP578" t="e">
        <f>AND(#REF!,"AAAAAH9f/0M=")</f>
        <v>#REF!</v>
      </c>
      <c r="BQ578" t="e">
        <f>AND(#REF!,"AAAAAH9f/0Q=")</f>
        <v>#REF!</v>
      </c>
      <c r="BR578" t="e">
        <f>AND(#REF!,"AAAAAH9f/0U=")</f>
        <v>#REF!</v>
      </c>
      <c r="BS578" t="e">
        <f>AND(#REF!,"AAAAAH9f/0Y=")</f>
        <v>#REF!</v>
      </c>
      <c r="BT578" t="e">
        <f>AND(#REF!,"AAAAAH9f/0c=")</f>
        <v>#REF!</v>
      </c>
      <c r="BU578" t="e">
        <f>AND(#REF!,"AAAAAH9f/0g=")</f>
        <v>#REF!</v>
      </c>
      <c r="BV578" t="e">
        <f>IF(#REF!,"AAAAAH9f/0k=",0)</f>
        <v>#REF!</v>
      </c>
      <c r="BW578" t="e">
        <f>AND(#REF!,"AAAAAH9f/0o=")</f>
        <v>#REF!</v>
      </c>
      <c r="BX578" t="e">
        <f>AND(#REF!,"AAAAAH9f/0s=")</f>
        <v>#REF!</v>
      </c>
      <c r="BY578" t="e">
        <f>AND(#REF!,"AAAAAH9f/0w=")</f>
        <v>#REF!</v>
      </c>
      <c r="BZ578" t="e">
        <f>AND(#REF!,"AAAAAH9f/00=")</f>
        <v>#REF!</v>
      </c>
      <c r="CA578" t="e">
        <f>AND(#REF!,"AAAAAH9f/04=")</f>
        <v>#REF!</v>
      </c>
      <c r="CB578" t="e">
        <f>AND(#REF!,"AAAAAH9f/08=")</f>
        <v>#REF!</v>
      </c>
      <c r="CC578" t="e">
        <f>AND(#REF!,"AAAAAH9f/1A=")</f>
        <v>#REF!</v>
      </c>
      <c r="CD578" t="e">
        <f>AND(#REF!,"AAAAAH9f/1E=")</f>
        <v>#REF!</v>
      </c>
      <c r="CE578" t="e">
        <f>AND(#REF!,"AAAAAH9f/1I=")</f>
        <v>#REF!</v>
      </c>
      <c r="CF578" t="e">
        <f>AND(#REF!,"AAAAAH9f/1M=")</f>
        <v>#REF!</v>
      </c>
      <c r="CG578" t="e">
        <f>AND(#REF!,"AAAAAH9f/1Q=")</f>
        <v>#REF!</v>
      </c>
      <c r="CH578" t="e">
        <f>AND(#REF!,"AAAAAH9f/1U=")</f>
        <v>#REF!</v>
      </c>
      <c r="CI578" t="e">
        <f>AND(#REF!,"AAAAAH9f/1Y=")</f>
        <v>#REF!</v>
      </c>
      <c r="CJ578" t="e">
        <f>AND(#REF!,"AAAAAH9f/1c=")</f>
        <v>#REF!</v>
      </c>
      <c r="CK578" t="e">
        <f>AND(#REF!,"AAAAAH9f/1g=")</f>
        <v>#REF!</v>
      </c>
      <c r="CL578" t="e">
        <f>AND(#REF!,"AAAAAH9f/1k=")</f>
        <v>#REF!</v>
      </c>
      <c r="CM578" t="e">
        <f>AND(#REF!,"AAAAAH9f/1o=")</f>
        <v>#REF!</v>
      </c>
      <c r="CN578" t="e">
        <f>AND(#REF!,"AAAAAH9f/1s=")</f>
        <v>#REF!</v>
      </c>
      <c r="CO578" t="e">
        <f>AND(#REF!,"AAAAAH9f/1w=")</f>
        <v>#REF!</v>
      </c>
      <c r="CP578" t="e">
        <f>AND(#REF!,"AAAAAH9f/10=")</f>
        <v>#REF!</v>
      </c>
      <c r="CQ578" t="e">
        <f>AND(#REF!,"AAAAAH9f/14=")</f>
        <v>#REF!</v>
      </c>
      <c r="CR578" t="e">
        <f>AND(#REF!,"AAAAAH9f/18=")</f>
        <v>#REF!</v>
      </c>
      <c r="CS578" t="e">
        <f>AND(#REF!,"AAAAAH9f/2A=")</f>
        <v>#REF!</v>
      </c>
      <c r="CT578" t="e">
        <f>AND(#REF!,"AAAAAH9f/2E=")</f>
        <v>#REF!</v>
      </c>
      <c r="CU578" t="e">
        <f>IF(#REF!,"AAAAAH9f/2I=",0)</f>
        <v>#REF!</v>
      </c>
      <c r="CV578" t="e">
        <f>AND(#REF!,"AAAAAH9f/2M=")</f>
        <v>#REF!</v>
      </c>
      <c r="CW578" t="e">
        <f>AND(#REF!,"AAAAAH9f/2Q=")</f>
        <v>#REF!</v>
      </c>
      <c r="CX578" t="e">
        <f>AND(#REF!,"AAAAAH9f/2U=")</f>
        <v>#REF!</v>
      </c>
      <c r="CY578" t="e">
        <f>AND(#REF!,"AAAAAH9f/2Y=")</f>
        <v>#REF!</v>
      </c>
      <c r="CZ578" t="e">
        <f>AND(#REF!,"AAAAAH9f/2c=")</f>
        <v>#REF!</v>
      </c>
      <c r="DA578" t="e">
        <f>AND(#REF!,"AAAAAH9f/2g=")</f>
        <v>#REF!</v>
      </c>
      <c r="DB578" t="e">
        <f>AND(#REF!,"AAAAAH9f/2k=")</f>
        <v>#REF!</v>
      </c>
      <c r="DC578" t="e">
        <f>AND(#REF!,"AAAAAH9f/2o=")</f>
        <v>#REF!</v>
      </c>
      <c r="DD578" t="e">
        <f>AND(#REF!,"AAAAAH9f/2s=")</f>
        <v>#REF!</v>
      </c>
      <c r="DE578" t="e">
        <f>AND(#REF!,"AAAAAH9f/2w=")</f>
        <v>#REF!</v>
      </c>
      <c r="DF578" t="e">
        <f>AND(#REF!,"AAAAAH9f/20=")</f>
        <v>#REF!</v>
      </c>
      <c r="DG578" t="e">
        <f>AND(#REF!,"AAAAAH9f/24=")</f>
        <v>#REF!</v>
      </c>
      <c r="DH578" t="e">
        <f>AND(#REF!,"AAAAAH9f/28=")</f>
        <v>#REF!</v>
      </c>
      <c r="DI578" t="e">
        <f>AND(#REF!,"AAAAAH9f/3A=")</f>
        <v>#REF!</v>
      </c>
      <c r="DJ578" t="e">
        <f>AND(#REF!,"AAAAAH9f/3E=")</f>
        <v>#REF!</v>
      </c>
      <c r="DK578" t="e">
        <f>AND(#REF!,"AAAAAH9f/3I=")</f>
        <v>#REF!</v>
      </c>
      <c r="DL578" t="e">
        <f>AND(#REF!,"AAAAAH9f/3M=")</f>
        <v>#REF!</v>
      </c>
      <c r="DM578" t="e">
        <f>AND(#REF!,"AAAAAH9f/3Q=")</f>
        <v>#REF!</v>
      </c>
      <c r="DN578" t="e">
        <f>AND(#REF!,"AAAAAH9f/3U=")</f>
        <v>#REF!</v>
      </c>
      <c r="DO578" t="e">
        <f>AND(#REF!,"AAAAAH9f/3Y=")</f>
        <v>#REF!</v>
      </c>
      <c r="DP578" t="e">
        <f>AND(#REF!,"AAAAAH9f/3c=")</f>
        <v>#REF!</v>
      </c>
      <c r="DQ578" t="e">
        <f>AND(#REF!,"AAAAAH9f/3g=")</f>
        <v>#REF!</v>
      </c>
      <c r="DR578" t="e">
        <f>AND(#REF!,"AAAAAH9f/3k=")</f>
        <v>#REF!</v>
      </c>
      <c r="DS578" t="e">
        <f>AND(#REF!,"AAAAAH9f/3o=")</f>
        <v>#REF!</v>
      </c>
      <c r="DT578" t="e">
        <f>IF(#REF!,"AAAAAH9f/3s=",0)</f>
        <v>#REF!</v>
      </c>
      <c r="DU578" t="e">
        <f>AND(#REF!,"AAAAAH9f/3w=")</f>
        <v>#REF!</v>
      </c>
      <c r="DV578" t="e">
        <f>AND(#REF!,"AAAAAH9f/30=")</f>
        <v>#REF!</v>
      </c>
      <c r="DW578" t="e">
        <f>AND(#REF!,"AAAAAH9f/34=")</f>
        <v>#REF!</v>
      </c>
      <c r="DX578" t="e">
        <f>AND(#REF!,"AAAAAH9f/38=")</f>
        <v>#REF!</v>
      </c>
      <c r="DY578" t="e">
        <f>AND(#REF!,"AAAAAH9f/4A=")</f>
        <v>#REF!</v>
      </c>
      <c r="DZ578" t="e">
        <f>AND(#REF!,"AAAAAH9f/4E=")</f>
        <v>#REF!</v>
      </c>
      <c r="EA578" t="e">
        <f>AND(#REF!,"AAAAAH9f/4I=")</f>
        <v>#REF!</v>
      </c>
      <c r="EB578" t="e">
        <f>AND(#REF!,"AAAAAH9f/4M=")</f>
        <v>#REF!</v>
      </c>
      <c r="EC578" t="e">
        <f>AND(#REF!,"AAAAAH9f/4Q=")</f>
        <v>#REF!</v>
      </c>
      <c r="ED578" t="e">
        <f>AND(#REF!,"AAAAAH9f/4U=")</f>
        <v>#REF!</v>
      </c>
      <c r="EE578" t="e">
        <f>AND(#REF!,"AAAAAH9f/4Y=")</f>
        <v>#REF!</v>
      </c>
      <c r="EF578" t="e">
        <f>AND(#REF!,"AAAAAH9f/4c=")</f>
        <v>#REF!</v>
      </c>
      <c r="EG578" t="e">
        <f>AND(#REF!,"AAAAAH9f/4g=")</f>
        <v>#REF!</v>
      </c>
      <c r="EH578" t="e">
        <f>AND(#REF!,"AAAAAH9f/4k=")</f>
        <v>#REF!</v>
      </c>
      <c r="EI578" t="e">
        <f>AND(#REF!,"AAAAAH9f/4o=")</f>
        <v>#REF!</v>
      </c>
      <c r="EJ578" t="e">
        <f>AND(#REF!,"AAAAAH9f/4s=")</f>
        <v>#REF!</v>
      </c>
      <c r="EK578" t="e">
        <f>AND(#REF!,"AAAAAH9f/4w=")</f>
        <v>#REF!</v>
      </c>
      <c r="EL578" t="e">
        <f>AND(#REF!,"AAAAAH9f/40=")</f>
        <v>#REF!</v>
      </c>
      <c r="EM578" t="e">
        <f>AND(#REF!,"AAAAAH9f/44=")</f>
        <v>#REF!</v>
      </c>
      <c r="EN578" t="e">
        <f>AND(#REF!,"AAAAAH9f/48=")</f>
        <v>#REF!</v>
      </c>
      <c r="EO578" t="e">
        <f>AND(#REF!,"AAAAAH9f/5A=")</f>
        <v>#REF!</v>
      </c>
      <c r="EP578" t="e">
        <f>AND(#REF!,"AAAAAH9f/5E=")</f>
        <v>#REF!</v>
      </c>
      <c r="EQ578" t="e">
        <f>AND(#REF!,"AAAAAH9f/5I=")</f>
        <v>#REF!</v>
      </c>
      <c r="ER578" t="e">
        <f>AND(#REF!,"AAAAAH9f/5M=")</f>
        <v>#REF!</v>
      </c>
      <c r="ES578" t="e">
        <f>IF(#REF!,"AAAAAH9f/5Q=",0)</f>
        <v>#REF!</v>
      </c>
      <c r="ET578" t="e">
        <f>AND(#REF!,"AAAAAH9f/5U=")</f>
        <v>#REF!</v>
      </c>
      <c r="EU578" t="e">
        <f>AND(#REF!,"AAAAAH9f/5Y=")</f>
        <v>#REF!</v>
      </c>
      <c r="EV578" t="e">
        <f>AND(#REF!,"AAAAAH9f/5c=")</f>
        <v>#REF!</v>
      </c>
      <c r="EW578" t="e">
        <f>AND(#REF!,"AAAAAH9f/5g=")</f>
        <v>#REF!</v>
      </c>
      <c r="EX578" t="e">
        <f>AND(#REF!,"AAAAAH9f/5k=")</f>
        <v>#REF!</v>
      </c>
      <c r="EY578" t="e">
        <f>AND(#REF!,"AAAAAH9f/5o=")</f>
        <v>#REF!</v>
      </c>
      <c r="EZ578" t="e">
        <f>AND(#REF!,"AAAAAH9f/5s=")</f>
        <v>#REF!</v>
      </c>
      <c r="FA578" t="e">
        <f>AND(#REF!,"AAAAAH9f/5w=")</f>
        <v>#REF!</v>
      </c>
      <c r="FB578" t="e">
        <f>AND(#REF!,"AAAAAH9f/50=")</f>
        <v>#REF!</v>
      </c>
      <c r="FC578" t="e">
        <f>AND(#REF!,"AAAAAH9f/54=")</f>
        <v>#REF!</v>
      </c>
      <c r="FD578" t="e">
        <f>AND(#REF!,"AAAAAH9f/58=")</f>
        <v>#REF!</v>
      </c>
      <c r="FE578" t="e">
        <f>AND(#REF!,"AAAAAH9f/6A=")</f>
        <v>#REF!</v>
      </c>
      <c r="FF578" t="e">
        <f>AND(#REF!,"AAAAAH9f/6E=")</f>
        <v>#REF!</v>
      </c>
      <c r="FG578" t="e">
        <f>AND(#REF!,"AAAAAH9f/6I=")</f>
        <v>#REF!</v>
      </c>
      <c r="FH578" t="e">
        <f>AND(#REF!,"AAAAAH9f/6M=")</f>
        <v>#REF!</v>
      </c>
      <c r="FI578" t="e">
        <f>AND(#REF!,"AAAAAH9f/6Q=")</f>
        <v>#REF!</v>
      </c>
      <c r="FJ578" t="e">
        <f>AND(#REF!,"AAAAAH9f/6U=")</f>
        <v>#REF!</v>
      </c>
      <c r="FK578" t="e">
        <f>AND(#REF!,"AAAAAH9f/6Y=")</f>
        <v>#REF!</v>
      </c>
      <c r="FL578" t="e">
        <f>AND(#REF!,"AAAAAH9f/6c=")</f>
        <v>#REF!</v>
      </c>
      <c r="FM578" t="e">
        <f>AND(#REF!,"AAAAAH9f/6g=")</f>
        <v>#REF!</v>
      </c>
      <c r="FN578" t="e">
        <f>AND(#REF!,"AAAAAH9f/6k=")</f>
        <v>#REF!</v>
      </c>
      <c r="FO578" t="e">
        <f>AND(#REF!,"AAAAAH9f/6o=")</f>
        <v>#REF!</v>
      </c>
      <c r="FP578" t="e">
        <f>AND(#REF!,"AAAAAH9f/6s=")</f>
        <v>#REF!</v>
      </c>
      <c r="FQ578" t="e">
        <f>AND(#REF!,"AAAAAH9f/6w=")</f>
        <v>#REF!</v>
      </c>
      <c r="FR578" t="e">
        <f>IF(#REF!,"AAAAAH9f/60=",0)</f>
        <v>#REF!</v>
      </c>
      <c r="FS578" t="e">
        <f>AND(#REF!,"AAAAAH9f/64=")</f>
        <v>#REF!</v>
      </c>
      <c r="FT578" t="e">
        <f>AND(#REF!,"AAAAAH9f/68=")</f>
        <v>#REF!</v>
      </c>
      <c r="FU578" t="e">
        <f>AND(#REF!,"AAAAAH9f/7A=")</f>
        <v>#REF!</v>
      </c>
      <c r="FV578" t="e">
        <f>AND(#REF!,"AAAAAH9f/7E=")</f>
        <v>#REF!</v>
      </c>
      <c r="FW578" t="e">
        <f>AND(#REF!,"AAAAAH9f/7I=")</f>
        <v>#REF!</v>
      </c>
      <c r="FX578" t="e">
        <f>AND(#REF!,"AAAAAH9f/7M=")</f>
        <v>#REF!</v>
      </c>
      <c r="FY578" t="e">
        <f>AND(#REF!,"AAAAAH9f/7Q=")</f>
        <v>#REF!</v>
      </c>
      <c r="FZ578" t="e">
        <f>AND(#REF!,"AAAAAH9f/7U=")</f>
        <v>#REF!</v>
      </c>
      <c r="GA578" t="e">
        <f>AND(#REF!,"AAAAAH9f/7Y=")</f>
        <v>#REF!</v>
      </c>
      <c r="GB578" t="e">
        <f>AND(#REF!,"AAAAAH9f/7c=")</f>
        <v>#REF!</v>
      </c>
      <c r="GC578" t="e">
        <f>AND(#REF!,"AAAAAH9f/7g=")</f>
        <v>#REF!</v>
      </c>
      <c r="GD578" t="e">
        <f>AND(#REF!,"AAAAAH9f/7k=")</f>
        <v>#REF!</v>
      </c>
      <c r="GE578" t="e">
        <f>AND(#REF!,"AAAAAH9f/7o=")</f>
        <v>#REF!</v>
      </c>
      <c r="GF578" t="e">
        <f>AND(#REF!,"AAAAAH9f/7s=")</f>
        <v>#REF!</v>
      </c>
      <c r="GG578" t="e">
        <f>AND(#REF!,"AAAAAH9f/7w=")</f>
        <v>#REF!</v>
      </c>
      <c r="GH578" t="e">
        <f>AND(#REF!,"AAAAAH9f/70=")</f>
        <v>#REF!</v>
      </c>
      <c r="GI578" t="e">
        <f>AND(#REF!,"AAAAAH9f/74=")</f>
        <v>#REF!</v>
      </c>
      <c r="GJ578" t="e">
        <f>AND(#REF!,"AAAAAH9f/78=")</f>
        <v>#REF!</v>
      </c>
      <c r="GK578" t="e">
        <f>AND(#REF!,"AAAAAH9f/8A=")</f>
        <v>#REF!</v>
      </c>
      <c r="GL578" t="e">
        <f>AND(#REF!,"AAAAAH9f/8E=")</f>
        <v>#REF!</v>
      </c>
      <c r="GM578" t="e">
        <f>AND(#REF!,"AAAAAH9f/8I=")</f>
        <v>#REF!</v>
      </c>
      <c r="GN578" t="e">
        <f>AND(#REF!,"AAAAAH9f/8M=")</f>
        <v>#REF!</v>
      </c>
      <c r="GO578" t="e">
        <f>AND(#REF!,"AAAAAH9f/8Q=")</f>
        <v>#REF!</v>
      </c>
      <c r="GP578" t="e">
        <f>AND(#REF!,"AAAAAH9f/8U=")</f>
        <v>#REF!</v>
      </c>
      <c r="GQ578" t="e">
        <f>IF(#REF!,"AAAAAH9f/8Y=",0)</f>
        <v>#REF!</v>
      </c>
      <c r="GR578" t="e">
        <f>AND(#REF!,"AAAAAH9f/8c=")</f>
        <v>#REF!</v>
      </c>
      <c r="GS578" t="e">
        <f>AND(#REF!,"AAAAAH9f/8g=")</f>
        <v>#REF!</v>
      </c>
      <c r="GT578" t="e">
        <f>AND(#REF!,"AAAAAH9f/8k=")</f>
        <v>#REF!</v>
      </c>
      <c r="GU578" t="e">
        <f>AND(#REF!,"AAAAAH9f/8o=")</f>
        <v>#REF!</v>
      </c>
      <c r="GV578" t="e">
        <f>AND(#REF!,"AAAAAH9f/8s=")</f>
        <v>#REF!</v>
      </c>
      <c r="GW578" t="e">
        <f>AND(#REF!,"AAAAAH9f/8w=")</f>
        <v>#REF!</v>
      </c>
      <c r="GX578" t="e">
        <f>AND(#REF!,"AAAAAH9f/80=")</f>
        <v>#REF!</v>
      </c>
      <c r="GY578" t="e">
        <f>AND(#REF!,"AAAAAH9f/84=")</f>
        <v>#REF!</v>
      </c>
      <c r="GZ578" t="e">
        <f>AND(#REF!,"AAAAAH9f/88=")</f>
        <v>#REF!</v>
      </c>
      <c r="HA578" t="e">
        <f>AND(#REF!,"AAAAAH9f/9A=")</f>
        <v>#REF!</v>
      </c>
      <c r="HB578" t="e">
        <f>AND(#REF!,"AAAAAH9f/9E=")</f>
        <v>#REF!</v>
      </c>
      <c r="HC578" t="e">
        <f>AND(#REF!,"AAAAAH9f/9I=")</f>
        <v>#REF!</v>
      </c>
      <c r="HD578" t="e">
        <f>AND(#REF!,"AAAAAH9f/9M=")</f>
        <v>#REF!</v>
      </c>
      <c r="HE578" t="e">
        <f>AND(#REF!,"AAAAAH9f/9Q=")</f>
        <v>#REF!</v>
      </c>
      <c r="HF578" t="e">
        <f>AND(#REF!,"AAAAAH9f/9U=")</f>
        <v>#REF!</v>
      </c>
      <c r="HG578" t="e">
        <f>AND(#REF!,"AAAAAH9f/9Y=")</f>
        <v>#REF!</v>
      </c>
      <c r="HH578" t="e">
        <f>AND(#REF!,"AAAAAH9f/9c=")</f>
        <v>#REF!</v>
      </c>
      <c r="HI578" t="e">
        <f>AND(#REF!,"AAAAAH9f/9g=")</f>
        <v>#REF!</v>
      </c>
      <c r="HJ578" t="e">
        <f>AND(#REF!,"AAAAAH9f/9k=")</f>
        <v>#REF!</v>
      </c>
      <c r="HK578" t="e">
        <f>AND(#REF!,"AAAAAH9f/9o=")</f>
        <v>#REF!</v>
      </c>
      <c r="HL578" t="e">
        <f>AND(#REF!,"AAAAAH9f/9s=")</f>
        <v>#REF!</v>
      </c>
      <c r="HM578" t="e">
        <f>AND(#REF!,"AAAAAH9f/9w=")</f>
        <v>#REF!</v>
      </c>
      <c r="HN578" t="e">
        <f>AND(#REF!,"AAAAAH9f/90=")</f>
        <v>#REF!</v>
      </c>
      <c r="HO578" t="e">
        <f>AND(#REF!,"AAAAAH9f/94=")</f>
        <v>#REF!</v>
      </c>
      <c r="HP578" t="e">
        <f>IF(#REF!,"AAAAAH9f/98=",0)</f>
        <v>#REF!</v>
      </c>
      <c r="HQ578" t="e">
        <f>AND(#REF!,"AAAAAH9f/+A=")</f>
        <v>#REF!</v>
      </c>
      <c r="HR578" t="e">
        <f>AND(#REF!,"AAAAAH9f/+E=")</f>
        <v>#REF!</v>
      </c>
      <c r="HS578" t="e">
        <f>AND(#REF!,"AAAAAH9f/+I=")</f>
        <v>#REF!</v>
      </c>
      <c r="HT578" t="e">
        <f>AND(#REF!,"AAAAAH9f/+M=")</f>
        <v>#REF!</v>
      </c>
      <c r="HU578" t="e">
        <f>AND(#REF!,"AAAAAH9f/+Q=")</f>
        <v>#REF!</v>
      </c>
      <c r="HV578" t="e">
        <f>AND(#REF!,"AAAAAH9f/+U=")</f>
        <v>#REF!</v>
      </c>
      <c r="HW578" t="e">
        <f>AND(#REF!,"AAAAAH9f/+Y=")</f>
        <v>#REF!</v>
      </c>
      <c r="HX578" t="e">
        <f>AND(#REF!,"AAAAAH9f/+c=")</f>
        <v>#REF!</v>
      </c>
      <c r="HY578" t="e">
        <f>AND(#REF!,"AAAAAH9f/+g=")</f>
        <v>#REF!</v>
      </c>
      <c r="HZ578" t="e">
        <f>AND(#REF!,"AAAAAH9f/+k=")</f>
        <v>#REF!</v>
      </c>
      <c r="IA578" t="e">
        <f>AND(#REF!,"AAAAAH9f/+o=")</f>
        <v>#REF!</v>
      </c>
      <c r="IB578" t="e">
        <f>AND(#REF!,"AAAAAH9f/+s=")</f>
        <v>#REF!</v>
      </c>
      <c r="IC578" t="e">
        <f>AND(#REF!,"AAAAAH9f/+w=")</f>
        <v>#REF!</v>
      </c>
      <c r="ID578" t="e">
        <f>AND(#REF!,"AAAAAH9f/+0=")</f>
        <v>#REF!</v>
      </c>
      <c r="IE578" t="e">
        <f>AND(#REF!,"AAAAAH9f/+4=")</f>
        <v>#REF!</v>
      </c>
      <c r="IF578" t="e">
        <f>AND(#REF!,"AAAAAH9f/+8=")</f>
        <v>#REF!</v>
      </c>
      <c r="IG578" t="e">
        <f>AND(#REF!,"AAAAAH9f//A=")</f>
        <v>#REF!</v>
      </c>
      <c r="IH578" t="e">
        <f>AND(#REF!,"AAAAAH9f//E=")</f>
        <v>#REF!</v>
      </c>
      <c r="II578" t="e">
        <f>AND(#REF!,"AAAAAH9f//I=")</f>
        <v>#REF!</v>
      </c>
      <c r="IJ578" t="e">
        <f>AND(#REF!,"AAAAAH9f//M=")</f>
        <v>#REF!</v>
      </c>
      <c r="IK578" t="e">
        <f>AND(#REF!,"AAAAAH9f//Q=")</f>
        <v>#REF!</v>
      </c>
      <c r="IL578" t="e">
        <f>AND(#REF!,"AAAAAH9f//U=")</f>
        <v>#REF!</v>
      </c>
      <c r="IM578" t="e">
        <f>AND(#REF!,"AAAAAH9f//Y=")</f>
        <v>#REF!</v>
      </c>
      <c r="IN578" t="e">
        <f>AND(#REF!,"AAAAAH9f//c=")</f>
        <v>#REF!</v>
      </c>
      <c r="IO578" t="e">
        <f>IF(#REF!,"AAAAAH9f//g=",0)</f>
        <v>#REF!</v>
      </c>
      <c r="IP578" t="e">
        <f>AND(#REF!,"AAAAAH9f//k=")</f>
        <v>#REF!</v>
      </c>
      <c r="IQ578" t="e">
        <f>AND(#REF!,"AAAAAH9f//o=")</f>
        <v>#REF!</v>
      </c>
      <c r="IR578" t="e">
        <f>AND(#REF!,"AAAAAH9f//s=")</f>
        <v>#REF!</v>
      </c>
      <c r="IS578" t="e">
        <f>AND(#REF!,"AAAAAH9f//w=")</f>
        <v>#REF!</v>
      </c>
      <c r="IT578" t="e">
        <f>AND(#REF!,"AAAAAH9f//0=")</f>
        <v>#REF!</v>
      </c>
      <c r="IU578" t="e">
        <f>AND(#REF!,"AAAAAH9f//4=")</f>
        <v>#REF!</v>
      </c>
      <c r="IV578" t="e">
        <f>AND(#REF!,"AAAAAH9f//8=")</f>
        <v>#REF!</v>
      </c>
    </row>
    <row r="579" spans="1:256">
      <c r="A579" t="e">
        <f>AND(#REF!,"AAAAAH/Z/wA=")</f>
        <v>#REF!</v>
      </c>
      <c r="B579" t="e">
        <f>AND(#REF!,"AAAAAH/Z/wE=")</f>
        <v>#REF!</v>
      </c>
      <c r="C579" t="e">
        <f>AND(#REF!,"AAAAAH/Z/wI=")</f>
        <v>#REF!</v>
      </c>
      <c r="D579" t="e">
        <f>AND(#REF!,"AAAAAH/Z/wM=")</f>
        <v>#REF!</v>
      </c>
      <c r="E579" t="e">
        <f>AND(#REF!,"AAAAAH/Z/wQ=")</f>
        <v>#REF!</v>
      </c>
      <c r="F579" t="e">
        <f>AND(#REF!,"AAAAAH/Z/wU=")</f>
        <v>#REF!</v>
      </c>
      <c r="G579" t="e">
        <f>AND(#REF!,"AAAAAH/Z/wY=")</f>
        <v>#REF!</v>
      </c>
      <c r="H579" t="e">
        <f>AND(#REF!,"AAAAAH/Z/wc=")</f>
        <v>#REF!</v>
      </c>
      <c r="I579" t="e">
        <f>AND(#REF!,"AAAAAH/Z/wg=")</f>
        <v>#REF!</v>
      </c>
      <c r="J579" t="e">
        <f>AND(#REF!,"AAAAAH/Z/wk=")</f>
        <v>#REF!</v>
      </c>
      <c r="K579" t="e">
        <f>AND(#REF!,"AAAAAH/Z/wo=")</f>
        <v>#REF!</v>
      </c>
      <c r="L579" t="e">
        <f>AND(#REF!,"AAAAAH/Z/ws=")</f>
        <v>#REF!</v>
      </c>
      <c r="M579" t="e">
        <f>AND(#REF!,"AAAAAH/Z/ww=")</f>
        <v>#REF!</v>
      </c>
      <c r="N579" t="e">
        <f>AND(#REF!,"AAAAAH/Z/w0=")</f>
        <v>#REF!</v>
      </c>
      <c r="O579" t="e">
        <f>AND(#REF!,"AAAAAH/Z/w4=")</f>
        <v>#REF!</v>
      </c>
      <c r="P579" t="e">
        <f>AND(#REF!,"AAAAAH/Z/w8=")</f>
        <v>#REF!</v>
      </c>
      <c r="Q579" t="e">
        <f>AND(#REF!,"AAAAAH/Z/xA=")</f>
        <v>#REF!</v>
      </c>
      <c r="R579" t="e">
        <f>IF(#REF!,"AAAAAH/Z/xE=",0)</f>
        <v>#REF!</v>
      </c>
      <c r="S579" t="e">
        <f>AND(#REF!,"AAAAAH/Z/xI=")</f>
        <v>#REF!</v>
      </c>
      <c r="T579" t="e">
        <f>AND(#REF!,"AAAAAH/Z/xM=")</f>
        <v>#REF!</v>
      </c>
      <c r="U579" t="e">
        <f>AND(#REF!,"AAAAAH/Z/xQ=")</f>
        <v>#REF!</v>
      </c>
      <c r="V579" t="e">
        <f>AND(#REF!,"AAAAAH/Z/xU=")</f>
        <v>#REF!</v>
      </c>
      <c r="W579" t="e">
        <f>AND(#REF!,"AAAAAH/Z/xY=")</f>
        <v>#REF!</v>
      </c>
      <c r="X579" t="e">
        <f>AND(#REF!,"AAAAAH/Z/xc=")</f>
        <v>#REF!</v>
      </c>
      <c r="Y579" t="e">
        <f>AND(#REF!,"AAAAAH/Z/xg=")</f>
        <v>#REF!</v>
      </c>
      <c r="Z579" t="e">
        <f>AND(#REF!,"AAAAAH/Z/xk=")</f>
        <v>#REF!</v>
      </c>
      <c r="AA579" t="e">
        <f>AND(#REF!,"AAAAAH/Z/xo=")</f>
        <v>#REF!</v>
      </c>
      <c r="AB579" t="e">
        <f>AND(#REF!,"AAAAAH/Z/xs=")</f>
        <v>#REF!</v>
      </c>
      <c r="AC579" t="e">
        <f>AND(#REF!,"AAAAAH/Z/xw=")</f>
        <v>#REF!</v>
      </c>
      <c r="AD579" t="e">
        <f>AND(#REF!,"AAAAAH/Z/x0=")</f>
        <v>#REF!</v>
      </c>
      <c r="AE579" t="e">
        <f>AND(#REF!,"AAAAAH/Z/x4=")</f>
        <v>#REF!</v>
      </c>
      <c r="AF579" t="e">
        <f>AND(#REF!,"AAAAAH/Z/x8=")</f>
        <v>#REF!</v>
      </c>
      <c r="AG579" t="e">
        <f>AND(#REF!,"AAAAAH/Z/yA=")</f>
        <v>#REF!</v>
      </c>
      <c r="AH579" t="e">
        <f>AND(#REF!,"AAAAAH/Z/yE=")</f>
        <v>#REF!</v>
      </c>
      <c r="AI579" t="e">
        <f>AND(#REF!,"AAAAAH/Z/yI=")</f>
        <v>#REF!</v>
      </c>
      <c r="AJ579" t="e">
        <f>AND(#REF!,"AAAAAH/Z/yM=")</f>
        <v>#REF!</v>
      </c>
      <c r="AK579" t="e">
        <f>AND(#REF!,"AAAAAH/Z/yQ=")</f>
        <v>#REF!</v>
      </c>
      <c r="AL579" t="e">
        <f>AND(#REF!,"AAAAAH/Z/yU=")</f>
        <v>#REF!</v>
      </c>
      <c r="AM579" t="e">
        <f>AND(#REF!,"AAAAAH/Z/yY=")</f>
        <v>#REF!</v>
      </c>
      <c r="AN579" t="e">
        <f>AND(#REF!,"AAAAAH/Z/yc=")</f>
        <v>#REF!</v>
      </c>
      <c r="AO579" t="e">
        <f>AND(#REF!,"AAAAAH/Z/yg=")</f>
        <v>#REF!</v>
      </c>
      <c r="AP579" t="e">
        <f>AND(#REF!,"AAAAAH/Z/yk=")</f>
        <v>#REF!</v>
      </c>
      <c r="AQ579" t="e">
        <f>IF(#REF!,"AAAAAH/Z/yo=",0)</f>
        <v>#REF!</v>
      </c>
      <c r="AR579" t="e">
        <f>AND(#REF!,"AAAAAH/Z/ys=")</f>
        <v>#REF!</v>
      </c>
      <c r="AS579" t="e">
        <f>AND(#REF!,"AAAAAH/Z/yw=")</f>
        <v>#REF!</v>
      </c>
      <c r="AT579" t="e">
        <f>AND(#REF!,"AAAAAH/Z/y0=")</f>
        <v>#REF!</v>
      </c>
      <c r="AU579" t="e">
        <f>AND(#REF!,"AAAAAH/Z/y4=")</f>
        <v>#REF!</v>
      </c>
      <c r="AV579" t="e">
        <f>AND(#REF!,"AAAAAH/Z/y8=")</f>
        <v>#REF!</v>
      </c>
      <c r="AW579" t="e">
        <f>AND(#REF!,"AAAAAH/Z/zA=")</f>
        <v>#REF!</v>
      </c>
      <c r="AX579" t="e">
        <f>AND(#REF!,"AAAAAH/Z/zE=")</f>
        <v>#REF!</v>
      </c>
      <c r="AY579" t="e">
        <f>AND(#REF!,"AAAAAH/Z/zI=")</f>
        <v>#REF!</v>
      </c>
      <c r="AZ579" t="e">
        <f>AND(#REF!,"AAAAAH/Z/zM=")</f>
        <v>#REF!</v>
      </c>
      <c r="BA579" t="e">
        <f>AND(#REF!,"AAAAAH/Z/zQ=")</f>
        <v>#REF!</v>
      </c>
      <c r="BB579" t="e">
        <f>AND(#REF!,"AAAAAH/Z/zU=")</f>
        <v>#REF!</v>
      </c>
      <c r="BC579" t="e">
        <f>AND(#REF!,"AAAAAH/Z/zY=")</f>
        <v>#REF!</v>
      </c>
      <c r="BD579" t="e">
        <f>AND(#REF!,"AAAAAH/Z/zc=")</f>
        <v>#REF!</v>
      </c>
      <c r="BE579" t="e">
        <f>AND(#REF!,"AAAAAH/Z/zg=")</f>
        <v>#REF!</v>
      </c>
      <c r="BF579" t="e">
        <f>AND(#REF!,"AAAAAH/Z/zk=")</f>
        <v>#REF!</v>
      </c>
      <c r="BG579" t="e">
        <f>AND(#REF!,"AAAAAH/Z/zo=")</f>
        <v>#REF!</v>
      </c>
      <c r="BH579" t="e">
        <f>AND(#REF!,"AAAAAH/Z/zs=")</f>
        <v>#REF!</v>
      </c>
      <c r="BI579" t="e">
        <f>AND(#REF!,"AAAAAH/Z/zw=")</f>
        <v>#REF!</v>
      </c>
      <c r="BJ579" t="e">
        <f>AND(#REF!,"AAAAAH/Z/z0=")</f>
        <v>#REF!</v>
      </c>
      <c r="BK579" t="e">
        <f>AND(#REF!,"AAAAAH/Z/z4=")</f>
        <v>#REF!</v>
      </c>
      <c r="BL579" t="e">
        <f>AND(#REF!,"AAAAAH/Z/z8=")</f>
        <v>#REF!</v>
      </c>
      <c r="BM579" t="e">
        <f>AND(#REF!,"AAAAAH/Z/0A=")</f>
        <v>#REF!</v>
      </c>
      <c r="BN579" t="e">
        <f>AND(#REF!,"AAAAAH/Z/0E=")</f>
        <v>#REF!</v>
      </c>
      <c r="BO579" t="e">
        <f>AND(#REF!,"AAAAAH/Z/0I=")</f>
        <v>#REF!</v>
      </c>
      <c r="BP579" t="e">
        <f>IF(#REF!,"AAAAAH/Z/0M=",0)</f>
        <v>#REF!</v>
      </c>
      <c r="BQ579" t="e">
        <f>AND(#REF!,"AAAAAH/Z/0Q=")</f>
        <v>#REF!</v>
      </c>
      <c r="BR579" t="e">
        <f>AND(#REF!,"AAAAAH/Z/0U=")</f>
        <v>#REF!</v>
      </c>
      <c r="BS579" t="e">
        <f>AND(#REF!,"AAAAAH/Z/0Y=")</f>
        <v>#REF!</v>
      </c>
      <c r="BT579" t="e">
        <f>AND(#REF!,"AAAAAH/Z/0c=")</f>
        <v>#REF!</v>
      </c>
      <c r="BU579" t="e">
        <f>AND(#REF!,"AAAAAH/Z/0g=")</f>
        <v>#REF!</v>
      </c>
      <c r="BV579" t="e">
        <f>AND(#REF!,"AAAAAH/Z/0k=")</f>
        <v>#REF!</v>
      </c>
      <c r="BW579" t="e">
        <f>AND(#REF!,"AAAAAH/Z/0o=")</f>
        <v>#REF!</v>
      </c>
      <c r="BX579" t="e">
        <f>AND(#REF!,"AAAAAH/Z/0s=")</f>
        <v>#REF!</v>
      </c>
      <c r="BY579" t="e">
        <f>AND(#REF!,"AAAAAH/Z/0w=")</f>
        <v>#REF!</v>
      </c>
      <c r="BZ579" t="e">
        <f>AND(#REF!,"AAAAAH/Z/00=")</f>
        <v>#REF!</v>
      </c>
      <c r="CA579" t="e">
        <f>AND(#REF!,"AAAAAH/Z/04=")</f>
        <v>#REF!</v>
      </c>
      <c r="CB579" t="e">
        <f>AND(#REF!,"AAAAAH/Z/08=")</f>
        <v>#REF!</v>
      </c>
      <c r="CC579" t="e">
        <f>AND(#REF!,"AAAAAH/Z/1A=")</f>
        <v>#REF!</v>
      </c>
      <c r="CD579" t="e">
        <f>AND(#REF!,"AAAAAH/Z/1E=")</f>
        <v>#REF!</v>
      </c>
      <c r="CE579" t="e">
        <f>AND(#REF!,"AAAAAH/Z/1I=")</f>
        <v>#REF!</v>
      </c>
      <c r="CF579" t="e">
        <f>AND(#REF!,"AAAAAH/Z/1M=")</f>
        <v>#REF!</v>
      </c>
      <c r="CG579" t="e">
        <f>AND(#REF!,"AAAAAH/Z/1Q=")</f>
        <v>#REF!</v>
      </c>
      <c r="CH579" t="e">
        <f>AND(#REF!,"AAAAAH/Z/1U=")</f>
        <v>#REF!</v>
      </c>
      <c r="CI579" t="e">
        <f>AND(#REF!,"AAAAAH/Z/1Y=")</f>
        <v>#REF!</v>
      </c>
      <c r="CJ579" t="e">
        <f>AND(#REF!,"AAAAAH/Z/1c=")</f>
        <v>#REF!</v>
      </c>
      <c r="CK579" t="e">
        <f>AND(#REF!,"AAAAAH/Z/1g=")</f>
        <v>#REF!</v>
      </c>
      <c r="CL579" t="e">
        <f>AND(#REF!,"AAAAAH/Z/1k=")</f>
        <v>#REF!</v>
      </c>
      <c r="CM579" t="e">
        <f>AND(#REF!,"AAAAAH/Z/1o=")</f>
        <v>#REF!</v>
      </c>
      <c r="CN579" t="e">
        <f>AND(#REF!,"AAAAAH/Z/1s=")</f>
        <v>#REF!</v>
      </c>
      <c r="CO579" t="e">
        <f>IF(#REF!,"AAAAAH/Z/1w=",0)</f>
        <v>#REF!</v>
      </c>
      <c r="CP579" t="e">
        <f>AND(#REF!,"AAAAAH/Z/10=")</f>
        <v>#REF!</v>
      </c>
      <c r="CQ579" t="e">
        <f>AND(#REF!,"AAAAAH/Z/14=")</f>
        <v>#REF!</v>
      </c>
      <c r="CR579" t="e">
        <f>AND(#REF!,"AAAAAH/Z/18=")</f>
        <v>#REF!</v>
      </c>
      <c r="CS579" t="e">
        <f>AND(#REF!,"AAAAAH/Z/2A=")</f>
        <v>#REF!</v>
      </c>
      <c r="CT579" t="e">
        <f>AND(#REF!,"AAAAAH/Z/2E=")</f>
        <v>#REF!</v>
      </c>
      <c r="CU579" t="e">
        <f>AND(#REF!,"AAAAAH/Z/2I=")</f>
        <v>#REF!</v>
      </c>
      <c r="CV579" t="e">
        <f>AND(#REF!,"AAAAAH/Z/2M=")</f>
        <v>#REF!</v>
      </c>
      <c r="CW579" t="e">
        <f>AND(#REF!,"AAAAAH/Z/2Q=")</f>
        <v>#REF!</v>
      </c>
      <c r="CX579" t="e">
        <f>AND(#REF!,"AAAAAH/Z/2U=")</f>
        <v>#REF!</v>
      </c>
      <c r="CY579" t="e">
        <f>AND(#REF!,"AAAAAH/Z/2Y=")</f>
        <v>#REF!</v>
      </c>
      <c r="CZ579" t="e">
        <f>AND(#REF!,"AAAAAH/Z/2c=")</f>
        <v>#REF!</v>
      </c>
      <c r="DA579" t="e">
        <f>AND(#REF!,"AAAAAH/Z/2g=")</f>
        <v>#REF!</v>
      </c>
      <c r="DB579" t="e">
        <f>AND(#REF!,"AAAAAH/Z/2k=")</f>
        <v>#REF!</v>
      </c>
      <c r="DC579" t="e">
        <f>AND(#REF!,"AAAAAH/Z/2o=")</f>
        <v>#REF!</v>
      </c>
      <c r="DD579" t="e">
        <f>AND(#REF!,"AAAAAH/Z/2s=")</f>
        <v>#REF!</v>
      </c>
      <c r="DE579" t="e">
        <f>AND(#REF!,"AAAAAH/Z/2w=")</f>
        <v>#REF!</v>
      </c>
      <c r="DF579" t="e">
        <f>AND(#REF!,"AAAAAH/Z/20=")</f>
        <v>#REF!</v>
      </c>
      <c r="DG579" t="e">
        <f>AND(#REF!,"AAAAAH/Z/24=")</f>
        <v>#REF!</v>
      </c>
      <c r="DH579" t="e">
        <f>AND(#REF!,"AAAAAH/Z/28=")</f>
        <v>#REF!</v>
      </c>
      <c r="DI579" t="e">
        <f>AND(#REF!,"AAAAAH/Z/3A=")</f>
        <v>#REF!</v>
      </c>
      <c r="DJ579" t="e">
        <f>AND(#REF!,"AAAAAH/Z/3E=")</f>
        <v>#REF!</v>
      </c>
      <c r="DK579" t="e">
        <f>AND(#REF!,"AAAAAH/Z/3I=")</f>
        <v>#REF!</v>
      </c>
      <c r="DL579" t="e">
        <f>AND(#REF!,"AAAAAH/Z/3M=")</f>
        <v>#REF!</v>
      </c>
      <c r="DM579" t="e">
        <f>AND(#REF!,"AAAAAH/Z/3Q=")</f>
        <v>#REF!</v>
      </c>
      <c r="DN579" t="e">
        <f>IF(#REF!,"AAAAAH/Z/3U=",0)</f>
        <v>#REF!</v>
      </c>
      <c r="DO579" t="e">
        <f>AND(#REF!,"AAAAAH/Z/3Y=")</f>
        <v>#REF!</v>
      </c>
      <c r="DP579" t="e">
        <f>AND(#REF!,"AAAAAH/Z/3c=")</f>
        <v>#REF!</v>
      </c>
      <c r="DQ579" t="e">
        <f>AND(#REF!,"AAAAAH/Z/3g=")</f>
        <v>#REF!</v>
      </c>
      <c r="DR579" t="e">
        <f>AND(#REF!,"AAAAAH/Z/3k=")</f>
        <v>#REF!</v>
      </c>
      <c r="DS579" t="e">
        <f>AND(#REF!,"AAAAAH/Z/3o=")</f>
        <v>#REF!</v>
      </c>
      <c r="DT579" t="e">
        <f>AND(#REF!,"AAAAAH/Z/3s=")</f>
        <v>#REF!</v>
      </c>
      <c r="DU579" t="e">
        <f>AND(#REF!,"AAAAAH/Z/3w=")</f>
        <v>#REF!</v>
      </c>
      <c r="DV579" t="e">
        <f>AND(#REF!,"AAAAAH/Z/30=")</f>
        <v>#REF!</v>
      </c>
      <c r="DW579" t="e">
        <f>AND(#REF!,"AAAAAH/Z/34=")</f>
        <v>#REF!</v>
      </c>
      <c r="DX579" t="e">
        <f>AND(#REF!,"AAAAAH/Z/38=")</f>
        <v>#REF!</v>
      </c>
      <c r="DY579" t="e">
        <f>AND(#REF!,"AAAAAH/Z/4A=")</f>
        <v>#REF!</v>
      </c>
      <c r="DZ579" t="e">
        <f>AND(#REF!,"AAAAAH/Z/4E=")</f>
        <v>#REF!</v>
      </c>
      <c r="EA579" t="e">
        <f>AND(#REF!,"AAAAAH/Z/4I=")</f>
        <v>#REF!</v>
      </c>
      <c r="EB579" t="e">
        <f>AND(#REF!,"AAAAAH/Z/4M=")</f>
        <v>#REF!</v>
      </c>
      <c r="EC579" t="e">
        <f>AND(#REF!,"AAAAAH/Z/4Q=")</f>
        <v>#REF!</v>
      </c>
      <c r="ED579" t="e">
        <f>AND(#REF!,"AAAAAH/Z/4U=")</f>
        <v>#REF!</v>
      </c>
      <c r="EE579" t="e">
        <f>AND(#REF!,"AAAAAH/Z/4Y=")</f>
        <v>#REF!</v>
      </c>
      <c r="EF579" t="e">
        <f>AND(#REF!,"AAAAAH/Z/4c=")</f>
        <v>#REF!</v>
      </c>
      <c r="EG579" t="e">
        <f>AND(#REF!,"AAAAAH/Z/4g=")</f>
        <v>#REF!</v>
      </c>
      <c r="EH579" t="e">
        <f>AND(#REF!,"AAAAAH/Z/4k=")</f>
        <v>#REF!</v>
      </c>
      <c r="EI579" t="e">
        <f>AND(#REF!,"AAAAAH/Z/4o=")</f>
        <v>#REF!</v>
      </c>
      <c r="EJ579" t="e">
        <f>AND(#REF!,"AAAAAH/Z/4s=")</f>
        <v>#REF!</v>
      </c>
      <c r="EK579" t="e">
        <f>AND(#REF!,"AAAAAH/Z/4w=")</f>
        <v>#REF!</v>
      </c>
      <c r="EL579" t="e">
        <f>AND(#REF!,"AAAAAH/Z/40=")</f>
        <v>#REF!</v>
      </c>
      <c r="EM579" t="e">
        <f>IF(#REF!,"AAAAAH/Z/44=",0)</f>
        <v>#REF!</v>
      </c>
      <c r="EN579" t="e">
        <f>AND(#REF!,"AAAAAH/Z/48=")</f>
        <v>#REF!</v>
      </c>
      <c r="EO579" t="e">
        <f>AND(#REF!,"AAAAAH/Z/5A=")</f>
        <v>#REF!</v>
      </c>
      <c r="EP579" t="e">
        <f>AND(#REF!,"AAAAAH/Z/5E=")</f>
        <v>#REF!</v>
      </c>
      <c r="EQ579" t="e">
        <f>AND(#REF!,"AAAAAH/Z/5I=")</f>
        <v>#REF!</v>
      </c>
      <c r="ER579" t="e">
        <f>AND(#REF!,"AAAAAH/Z/5M=")</f>
        <v>#REF!</v>
      </c>
      <c r="ES579" t="e">
        <f>AND(#REF!,"AAAAAH/Z/5Q=")</f>
        <v>#REF!</v>
      </c>
      <c r="ET579" t="e">
        <f>AND(#REF!,"AAAAAH/Z/5U=")</f>
        <v>#REF!</v>
      </c>
      <c r="EU579" t="e">
        <f>AND(#REF!,"AAAAAH/Z/5Y=")</f>
        <v>#REF!</v>
      </c>
      <c r="EV579" t="e">
        <f>AND(#REF!,"AAAAAH/Z/5c=")</f>
        <v>#REF!</v>
      </c>
      <c r="EW579" t="e">
        <f>AND(#REF!,"AAAAAH/Z/5g=")</f>
        <v>#REF!</v>
      </c>
      <c r="EX579" t="e">
        <f>AND(#REF!,"AAAAAH/Z/5k=")</f>
        <v>#REF!</v>
      </c>
      <c r="EY579" t="e">
        <f>AND(#REF!,"AAAAAH/Z/5o=")</f>
        <v>#REF!</v>
      </c>
      <c r="EZ579" t="e">
        <f>AND(#REF!,"AAAAAH/Z/5s=")</f>
        <v>#REF!</v>
      </c>
      <c r="FA579" t="e">
        <f>AND(#REF!,"AAAAAH/Z/5w=")</f>
        <v>#REF!</v>
      </c>
      <c r="FB579" t="e">
        <f>AND(#REF!,"AAAAAH/Z/50=")</f>
        <v>#REF!</v>
      </c>
      <c r="FC579" t="e">
        <f>AND(#REF!,"AAAAAH/Z/54=")</f>
        <v>#REF!</v>
      </c>
      <c r="FD579" t="e">
        <f>AND(#REF!,"AAAAAH/Z/58=")</f>
        <v>#REF!</v>
      </c>
      <c r="FE579" t="e">
        <f>AND(#REF!,"AAAAAH/Z/6A=")</f>
        <v>#REF!</v>
      </c>
      <c r="FF579" t="e">
        <f>AND(#REF!,"AAAAAH/Z/6E=")</f>
        <v>#REF!</v>
      </c>
      <c r="FG579" t="e">
        <f>AND(#REF!,"AAAAAH/Z/6I=")</f>
        <v>#REF!</v>
      </c>
      <c r="FH579" t="e">
        <f>AND(#REF!,"AAAAAH/Z/6M=")</f>
        <v>#REF!</v>
      </c>
      <c r="FI579" t="e">
        <f>AND(#REF!,"AAAAAH/Z/6Q=")</f>
        <v>#REF!</v>
      </c>
      <c r="FJ579" t="e">
        <f>AND(#REF!,"AAAAAH/Z/6U=")</f>
        <v>#REF!</v>
      </c>
      <c r="FK579" t="e">
        <f>AND(#REF!,"AAAAAH/Z/6Y=")</f>
        <v>#REF!</v>
      </c>
      <c r="FL579" t="e">
        <f>IF(#REF!,"AAAAAH/Z/6c=",0)</f>
        <v>#REF!</v>
      </c>
      <c r="FM579" t="e">
        <f>AND(#REF!,"AAAAAH/Z/6g=")</f>
        <v>#REF!</v>
      </c>
      <c r="FN579" t="e">
        <f>AND(#REF!,"AAAAAH/Z/6k=")</f>
        <v>#REF!</v>
      </c>
      <c r="FO579" t="e">
        <f>AND(#REF!,"AAAAAH/Z/6o=")</f>
        <v>#REF!</v>
      </c>
      <c r="FP579" t="e">
        <f>AND(#REF!,"AAAAAH/Z/6s=")</f>
        <v>#REF!</v>
      </c>
      <c r="FQ579" t="e">
        <f>AND(#REF!,"AAAAAH/Z/6w=")</f>
        <v>#REF!</v>
      </c>
      <c r="FR579" t="e">
        <f>AND(#REF!,"AAAAAH/Z/60=")</f>
        <v>#REF!</v>
      </c>
      <c r="FS579" t="e">
        <f>AND(#REF!,"AAAAAH/Z/64=")</f>
        <v>#REF!</v>
      </c>
      <c r="FT579" t="e">
        <f>AND(#REF!,"AAAAAH/Z/68=")</f>
        <v>#REF!</v>
      </c>
      <c r="FU579" t="e">
        <f>AND(#REF!,"AAAAAH/Z/7A=")</f>
        <v>#REF!</v>
      </c>
      <c r="FV579" t="e">
        <f>AND(#REF!,"AAAAAH/Z/7E=")</f>
        <v>#REF!</v>
      </c>
      <c r="FW579" t="e">
        <f>AND(#REF!,"AAAAAH/Z/7I=")</f>
        <v>#REF!</v>
      </c>
      <c r="FX579" t="e">
        <f>AND(#REF!,"AAAAAH/Z/7M=")</f>
        <v>#REF!</v>
      </c>
      <c r="FY579" t="e">
        <f>AND(#REF!,"AAAAAH/Z/7Q=")</f>
        <v>#REF!</v>
      </c>
      <c r="FZ579" t="e">
        <f>AND(#REF!,"AAAAAH/Z/7U=")</f>
        <v>#REF!</v>
      </c>
      <c r="GA579" t="e">
        <f>AND(#REF!,"AAAAAH/Z/7Y=")</f>
        <v>#REF!</v>
      </c>
      <c r="GB579" t="e">
        <f>AND(#REF!,"AAAAAH/Z/7c=")</f>
        <v>#REF!</v>
      </c>
      <c r="GC579" t="e">
        <f>AND(#REF!,"AAAAAH/Z/7g=")</f>
        <v>#REF!</v>
      </c>
      <c r="GD579" t="e">
        <f>AND(#REF!,"AAAAAH/Z/7k=")</f>
        <v>#REF!</v>
      </c>
      <c r="GE579" t="e">
        <f>AND(#REF!,"AAAAAH/Z/7o=")</f>
        <v>#REF!</v>
      </c>
      <c r="GF579" t="e">
        <f>AND(#REF!,"AAAAAH/Z/7s=")</f>
        <v>#REF!</v>
      </c>
      <c r="GG579" t="e">
        <f>AND(#REF!,"AAAAAH/Z/7w=")</f>
        <v>#REF!</v>
      </c>
      <c r="GH579" t="e">
        <f>AND(#REF!,"AAAAAH/Z/70=")</f>
        <v>#REF!</v>
      </c>
      <c r="GI579" t="e">
        <f>AND(#REF!,"AAAAAH/Z/74=")</f>
        <v>#REF!</v>
      </c>
      <c r="GJ579" t="e">
        <f>AND(#REF!,"AAAAAH/Z/78=")</f>
        <v>#REF!</v>
      </c>
      <c r="GK579" t="e">
        <f>IF(#REF!,"AAAAAH/Z/8A=",0)</f>
        <v>#REF!</v>
      </c>
      <c r="GL579" t="e">
        <f>AND(#REF!,"AAAAAH/Z/8E=")</f>
        <v>#REF!</v>
      </c>
      <c r="GM579" t="e">
        <f>AND(#REF!,"AAAAAH/Z/8I=")</f>
        <v>#REF!</v>
      </c>
      <c r="GN579" t="e">
        <f>AND(#REF!,"AAAAAH/Z/8M=")</f>
        <v>#REF!</v>
      </c>
      <c r="GO579" t="e">
        <f>AND(#REF!,"AAAAAH/Z/8Q=")</f>
        <v>#REF!</v>
      </c>
      <c r="GP579" t="e">
        <f>AND(#REF!,"AAAAAH/Z/8U=")</f>
        <v>#REF!</v>
      </c>
      <c r="GQ579" t="e">
        <f>AND(#REF!,"AAAAAH/Z/8Y=")</f>
        <v>#REF!</v>
      </c>
      <c r="GR579" t="e">
        <f>AND(#REF!,"AAAAAH/Z/8c=")</f>
        <v>#REF!</v>
      </c>
      <c r="GS579" t="e">
        <f>AND(#REF!,"AAAAAH/Z/8g=")</f>
        <v>#REF!</v>
      </c>
      <c r="GT579" t="e">
        <f>AND(#REF!,"AAAAAH/Z/8k=")</f>
        <v>#REF!</v>
      </c>
      <c r="GU579" t="e">
        <f>AND(#REF!,"AAAAAH/Z/8o=")</f>
        <v>#REF!</v>
      </c>
      <c r="GV579" t="e">
        <f>AND(#REF!,"AAAAAH/Z/8s=")</f>
        <v>#REF!</v>
      </c>
      <c r="GW579" t="e">
        <f>AND(#REF!,"AAAAAH/Z/8w=")</f>
        <v>#REF!</v>
      </c>
      <c r="GX579" t="e">
        <f>AND(#REF!,"AAAAAH/Z/80=")</f>
        <v>#REF!</v>
      </c>
      <c r="GY579" t="e">
        <f>AND(#REF!,"AAAAAH/Z/84=")</f>
        <v>#REF!</v>
      </c>
      <c r="GZ579" t="e">
        <f>AND(#REF!,"AAAAAH/Z/88=")</f>
        <v>#REF!</v>
      </c>
      <c r="HA579" t="e">
        <f>AND(#REF!,"AAAAAH/Z/9A=")</f>
        <v>#REF!</v>
      </c>
      <c r="HB579" t="e">
        <f>AND(#REF!,"AAAAAH/Z/9E=")</f>
        <v>#REF!</v>
      </c>
      <c r="HC579" t="e">
        <f>AND(#REF!,"AAAAAH/Z/9I=")</f>
        <v>#REF!</v>
      </c>
      <c r="HD579" t="e">
        <f>AND(#REF!,"AAAAAH/Z/9M=")</f>
        <v>#REF!</v>
      </c>
      <c r="HE579" t="e">
        <f>AND(#REF!,"AAAAAH/Z/9Q=")</f>
        <v>#REF!</v>
      </c>
      <c r="HF579" t="e">
        <f>AND(#REF!,"AAAAAH/Z/9U=")</f>
        <v>#REF!</v>
      </c>
      <c r="HG579" t="e">
        <f>AND(#REF!,"AAAAAH/Z/9Y=")</f>
        <v>#REF!</v>
      </c>
      <c r="HH579" t="e">
        <f>AND(#REF!,"AAAAAH/Z/9c=")</f>
        <v>#REF!</v>
      </c>
      <c r="HI579" t="e">
        <f>AND(#REF!,"AAAAAH/Z/9g=")</f>
        <v>#REF!</v>
      </c>
      <c r="HJ579" t="e">
        <f>IF(#REF!,"AAAAAH/Z/9k=",0)</f>
        <v>#REF!</v>
      </c>
      <c r="HK579" t="e">
        <f>AND(#REF!,"AAAAAH/Z/9o=")</f>
        <v>#REF!</v>
      </c>
      <c r="HL579" t="e">
        <f>AND(#REF!,"AAAAAH/Z/9s=")</f>
        <v>#REF!</v>
      </c>
      <c r="HM579" t="e">
        <f>AND(#REF!,"AAAAAH/Z/9w=")</f>
        <v>#REF!</v>
      </c>
      <c r="HN579" t="e">
        <f>AND(#REF!,"AAAAAH/Z/90=")</f>
        <v>#REF!</v>
      </c>
      <c r="HO579" t="e">
        <f>AND(#REF!,"AAAAAH/Z/94=")</f>
        <v>#REF!</v>
      </c>
      <c r="HP579" t="e">
        <f>AND(#REF!,"AAAAAH/Z/98=")</f>
        <v>#REF!</v>
      </c>
      <c r="HQ579" t="e">
        <f>AND(#REF!,"AAAAAH/Z/+A=")</f>
        <v>#REF!</v>
      </c>
      <c r="HR579" t="e">
        <f>AND(#REF!,"AAAAAH/Z/+E=")</f>
        <v>#REF!</v>
      </c>
      <c r="HS579" t="e">
        <f>AND(#REF!,"AAAAAH/Z/+I=")</f>
        <v>#REF!</v>
      </c>
      <c r="HT579" t="e">
        <f>AND(#REF!,"AAAAAH/Z/+M=")</f>
        <v>#REF!</v>
      </c>
      <c r="HU579" t="e">
        <f>AND(#REF!,"AAAAAH/Z/+Q=")</f>
        <v>#REF!</v>
      </c>
      <c r="HV579" t="e">
        <f>AND(#REF!,"AAAAAH/Z/+U=")</f>
        <v>#REF!</v>
      </c>
      <c r="HW579" t="e">
        <f>AND(#REF!,"AAAAAH/Z/+Y=")</f>
        <v>#REF!</v>
      </c>
      <c r="HX579" t="e">
        <f>AND(#REF!,"AAAAAH/Z/+c=")</f>
        <v>#REF!</v>
      </c>
      <c r="HY579" t="e">
        <f>AND(#REF!,"AAAAAH/Z/+g=")</f>
        <v>#REF!</v>
      </c>
      <c r="HZ579" t="e">
        <f>AND(#REF!,"AAAAAH/Z/+k=")</f>
        <v>#REF!</v>
      </c>
      <c r="IA579" t="e">
        <f>AND(#REF!,"AAAAAH/Z/+o=")</f>
        <v>#REF!</v>
      </c>
      <c r="IB579" t="e">
        <f>AND(#REF!,"AAAAAH/Z/+s=")</f>
        <v>#REF!</v>
      </c>
      <c r="IC579" t="e">
        <f>AND(#REF!,"AAAAAH/Z/+w=")</f>
        <v>#REF!</v>
      </c>
      <c r="ID579" t="e">
        <f>AND(#REF!,"AAAAAH/Z/+0=")</f>
        <v>#REF!</v>
      </c>
      <c r="IE579" t="e">
        <f>AND(#REF!,"AAAAAH/Z/+4=")</f>
        <v>#REF!</v>
      </c>
      <c r="IF579" t="e">
        <f>AND(#REF!,"AAAAAH/Z/+8=")</f>
        <v>#REF!</v>
      </c>
      <c r="IG579" t="e">
        <f>AND(#REF!,"AAAAAH/Z//A=")</f>
        <v>#REF!</v>
      </c>
      <c r="IH579" t="e">
        <f>AND(#REF!,"AAAAAH/Z//E=")</f>
        <v>#REF!</v>
      </c>
      <c r="II579" t="e">
        <f>IF(#REF!,"AAAAAH/Z//I=",0)</f>
        <v>#REF!</v>
      </c>
      <c r="IJ579" t="e">
        <f>AND(#REF!,"AAAAAH/Z//M=")</f>
        <v>#REF!</v>
      </c>
      <c r="IK579" t="e">
        <f>AND(#REF!,"AAAAAH/Z//Q=")</f>
        <v>#REF!</v>
      </c>
      <c r="IL579" t="e">
        <f>AND(#REF!,"AAAAAH/Z//U=")</f>
        <v>#REF!</v>
      </c>
      <c r="IM579" t="e">
        <f>AND(#REF!,"AAAAAH/Z//Y=")</f>
        <v>#REF!</v>
      </c>
      <c r="IN579" t="e">
        <f>AND(#REF!,"AAAAAH/Z//c=")</f>
        <v>#REF!</v>
      </c>
      <c r="IO579" t="e">
        <f>AND(#REF!,"AAAAAH/Z//g=")</f>
        <v>#REF!</v>
      </c>
      <c r="IP579" t="e">
        <f>AND(#REF!,"AAAAAH/Z//k=")</f>
        <v>#REF!</v>
      </c>
      <c r="IQ579" t="e">
        <f>AND(#REF!,"AAAAAH/Z//o=")</f>
        <v>#REF!</v>
      </c>
      <c r="IR579" t="e">
        <f>AND(#REF!,"AAAAAH/Z//s=")</f>
        <v>#REF!</v>
      </c>
      <c r="IS579" t="e">
        <f>AND(#REF!,"AAAAAH/Z//w=")</f>
        <v>#REF!</v>
      </c>
      <c r="IT579" t="e">
        <f>AND(#REF!,"AAAAAH/Z//0=")</f>
        <v>#REF!</v>
      </c>
      <c r="IU579" t="e">
        <f>AND(#REF!,"AAAAAH/Z//4=")</f>
        <v>#REF!</v>
      </c>
      <c r="IV579" t="e">
        <f>AND(#REF!,"AAAAAH/Z//8=")</f>
        <v>#REF!</v>
      </c>
    </row>
    <row r="580" spans="1:256">
      <c r="A580" t="e">
        <f>AND(#REF!,"AAAAAC/y7QA=")</f>
        <v>#REF!</v>
      </c>
      <c r="B580" t="e">
        <f>AND(#REF!,"AAAAAC/y7QE=")</f>
        <v>#REF!</v>
      </c>
      <c r="C580" t="e">
        <f>AND(#REF!,"AAAAAC/y7QI=")</f>
        <v>#REF!</v>
      </c>
      <c r="D580" t="e">
        <f>AND(#REF!,"AAAAAC/y7QM=")</f>
        <v>#REF!</v>
      </c>
      <c r="E580" t="e">
        <f>AND(#REF!,"AAAAAC/y7QQ=")</f>
        <v>#REF!</v>
      </c>
      <c r="F580" t="e">
        <f>AND(#REF!,"AAAAAC/y7QU=")</f>
        <v>#REF!</v>
      </c>
      <c r="G580" t="e">
        <f>AND(#REF!,"AAAAAC/y7QY=")</f>
        <v>#REF!</v>
      </c>
      <c r="H580" t="e">
        <f>AND(#REF!,"AAAAAC/y7Qc=")</f>
        <v>#REF!</v>
      </c>
      <c r="I580" t="e">
        <f>AND(#REF!,"AAAAAC/y7Qg=")</f>
        <v>#REF!</v>
      </c>
      <c r="J580" t="e">
        <f>AND(#REF!,"AAAAAC/y7Qk=")</f>
        <v>#REF!</v>
      </c>
      <c r="K580" t="e">
        <f>AND(#REF!,"AAAAAC/y7Qo=")</f>
        <v>#REF!</v>
      </c>
      <c r="L580" t="e">
        <f>IF(#REF!,"AAAAAC/y7Qs=",0)</f>
        <v>#REF!</v>
      </c>
      <c r="M580" t="e">
        <f>AND(#REF!,"AAAAAC/y7Qw=")</f>
        <v>#REF!</v>
      </c>
      <c r="N580" t="e">
        <f>AND(#REF!,"AAAAAC/y7Q0=")</f>
        <v>#REF!</v>
      </c>
      <c r="O580" t="e">
        <f>AND(#REF!,"AAAAAC/y7Q4=")</f>
        <v>#REF!</v>
      </c>
      <c r="P580" t="e">
        <f>AND(#REF!,"AAAAAC/y7Q8=")</f>
        <v>#REF!</v>
      </c>
      <c r="Q580" t="e">
        <f>AND(#REF!,"AAAAAC/y7RA=")</f>
        <v>#REF!</v>
      </c>
      <c r="R580" t="e">
        <f>AND(#REF!,"AAAAAC/y7RE=")</f>
        <v>#REF!</v>
      </c>
      <c r="S580" t="e">
        <f>AND(#REF!,"AAAAAC/y7RI=")</f>
        <v>#REF!</v>
      </c>
      <c r="T580" t="e">
        <f>AND(#REF!,"AAAAAC/y7RM=")</f>
        <v>#REF!</v>
      </c>
      <c r="U580" t="e">
        <f>AND(#REF!,"AAAAAC/y7RQ=")</f>
        <v>#REF!</v>
      </c>
      <c r="V580" t="e">
        <f>AND(#REF!,"AAAAAC/y7RU=")</f>
        <v>#REF!</v>
      </c>
      <c r="W580" t="e">
        <f>AND(#REF!,"AAAAAC/y7RY=")</f>
        <v>#REF!</v>
      </c>
      <c r="X580" t="e">
        <f>AND(#REF!,"AAAAAC/y7Rc=")</f>
        <v>#REF!</v>
      </c>
      <c r="Y580" t="e">
        <f>AND(#REF!,"AAAAAC/y7Rg=")</f>
        <v>#REF!</v>
      </c>
      <c r="Z580" t="e">
        <f>AND(#REF!,"AAAAAC/y7Rk=")</f>
        <v>#REF!</v>
      </c>
      <c r="AA580" t="e">
        <f>AND(#REF!,"AAAAAC/y7Ro=")</f>
        <v>#REF!</v>
      </c>
      <c r="AB580" t="e">
        <f>AND(#REF!,"AAAAAC/y7Rs=")</f>
        <v>#REF!</v>
      </c>
      <c r="AC580" t="e">
        <f>AND(#REF!,"AAAAAC/y7Rw=")</f>
        <v>#REF!</v>
      </c>
      <c r="AD580" t="e">
        <f>AND(#REF!,"AAAAAC/y7R0=")</f>
        <v>#REF!</v>
      </c>
      <c r="AE580" t="e">
        <f>AND(#REF!,"AAAAAC/y7R4=")</f>
        <v>#REF!</v>
      </c>
      <c r="AF580" t="e">
        <f>AND(#REF!,"AAAAAC/y7R8=")</f>
        <v>#REF!</v>
      </c>
      <c r="AG580" t="e">
        <f>AND(#REF!,"AAAAAC/y7SA=")</f>
        <v>#REF!</v>
      </c>
      <c r="AH580" t="e">
        <f>AND(#REF!,"AAAAAC/y7SE=")</f>
        <v>#REF!</v>
      </c>
      <c r="AI580" t="e">
        <f>AND(#REF!,"AAAAAC/y7SI=")</f>
        <v>#REF!</v>
      </c>
      <c r="AJ580" t="e">
        <f>AND(#REF!,"AAAAAC/y7SM=")</f>
        <v>#REF!</v>
      </c>
      <c r="AK580" t="e">
        <f>IF(#REF!,"AAAAAC/y7SQ=",0)</f>
        <v>#REF!</v>
      </c>
      <c r="AL580" t="e">
        <f>AND(#REF!,"AAAAAC/y7SU=")</f>
        <v>#REF!</v>
      </c>
      <c r="AM580" t="e">
        <f>AND(#REF!,"AAAAAC/y7SY=")</f>
        <v>#REF!</v>
      </c>
      <c r="AN580" t="e">
        <f>AND(#REF!,"AAAAAC/y7Sc=")</f>
        <v>#REF!</v>
      </c>
      <c r="AO580" t="e">
        <f>AND(#REF!,"AAAAAC/y7Sg=")</f>
        <v>#REF!</v>
      </c>
      <c r="AP580" t="e">
        <f>AND(#REF!,"AAAAAC/y7Sk=")</f>
        <v>#REF!</v>
      </c>
      <c r="AQ580" t="e">
        <f>AND(#REF!,"AAAAAC/y7So=")</f>
        <v>#REF!</v>
      </c>
      <c r="AR580" t="e">
        <f>AND(#REF!,"AAAAAC/y7Ss=")</f>
        <v>#REF!</v>
      </c>
      <c r="AS580" t="e">
        <f>AND(#REF!,"AAAAAC/y7Sw=")</f>
        <v>#REF!</v>
      </c>
      <c r="AT580" t="e">
        <f>AND(#REF!,"AAAAAC/y7S0=")</f>
        <v>#REF!</v>
      </c>
      <c r="AU580" t="e">
        <f>AND(#REF!,"AAAAAC/y7S4=")</f>
        <v>#REF!</v>
      </c>
      <c r="AV580" t="e">
        <f>AND(#REF!,"AAAAAC/y7S8=")</f>
        <v>#REF!</v>
      </c>
      <c r="AW580" t="e">
        <f>AND(#REF!,"AAAAAC/y7TA=")</f>
        <v>#REF!</v>
      </c>
      <c r="AX580" t="e">
        <f>AND(#REF!,"AAAAAC/y7TE=")</f>
        <v>#REF!</v>
      </c>
      <c r="AY580" t="e">
        <f>AND(#REF!,"AAAAAC/y7TI=")</f>
        <v>#REF!</v>
      </c>
      <c r="AZ580" t="e">
        <f>AND(#REF!,"AAAAAC/y7TM=")</f>
        <v>#REF!</v>
      </c>
      <c r="BA580" t="e">
        <f>AND(#REF!,"AAAAAC/y7TQ=")</f>
        <v>#REF!</v>
      </c>
      <c r="BB580" t="e">
        <f>AND(#REF!,"AAAAAC/y7TU=")</f>
        <v>#REF!</v>
      </c>
      <c r="BC580" t="e">
        <f>AND(#REF!,"AAAAAC/y7TY=")</f>
        <v>#REF!</v>
      </c>
      <c r="BD580" t="e">
        <f>AND(#REF!,"AAAAAC/y7Tc=")</f>
        <v>#REF!</v>
      </c>
      <c r="BE580" t="e">
        <f>AND(#REF!,"AAAAAC/y7Tg=")</f>
        <v>#REF!</v>
      </c>
      <c r="BF580" t="e">
        <f>AND(#REF!,"AAAAAC/y7Tk=")</f>
        <v>#REF!</v>
      </c>
      <c r="BG580" t="e">
        <f>AND(#REF!,"AAAAAC/y7To=")</f>
        <v>#REF!</v>
      </c>
      <c r="BH580" t="e">
        <f>AND(#REF!,"AAAAAC/y7Ts=")</f>
        <v>#REF!</v>
      </c>
      <c r="BI580" t="e">
        <f>AND(#REF!,"AAAAAC/y7Tw=")</f>
        <v>#REF!</v>
      </c>
      <c r="BJ580" t="e">
        <f>IF(#REF!,"AAAAAC/y7T0=",0)</f>
        <v>#REF!</v>
      </c>
      <c r="BK580" t="e">
        <f>AND(#REF!,"AAAAAC/y7T4=")</f>
        <v>#REF!</v>
      </c>
      <c r="BL580" t="e">
        <f>AND(#REF!,"AAAAAC/y7T8=")</f>
        <v>#REF!</v>
      </c>
      <c r="BM580" t="e">
        <f>AND(#REF!,"AAAAAC/y7UA=")</f>
        <v>#REF!</v>
      </c>
      <c r="BN580" t="e">
        <f>AND(#REF!,"AAAAAC/y7UE=")</f>
        <v>#REF!</v>
      </c>
      <c r="BO580" t="e">
        <f>AND(#REF!,"AAAAAC/y7UI=")</f>
        <v>#REF!</v>
      </c>
      <c r="BP580" t="e">
        <f>AND(#REF!,"AAAAAC/y7UM=")</f>
        <v>#REF!</v>
      </c>
      <c r="BQ580" t="e">
        <f>AND(#REF!,"AAAAAC/y7UQ=")</f>
        <v>#REF!</v>
      </c>
      <c r="BR580" t="e">
        <f>AND(#REF!,"AAAAAC/y7UU=")</f>
        <v>#REF!</v>
      </c>
      <c r="BS580" t="e">
        <f>AND(#REF!,"AAAAAC/y7UY=")</f>
        <v>#REF!</v>
      </c>
      <c r="BT580" t="e">
        <f>AND(#REF!,"AAAAAC/y7Uc=")</f>
        <v>#REF!</v>
      </c>
      <c r="BU580" t="e">
        <f>AND(#REF!,"AAAAAC/y7Ug=")</f>
        <v>#REF!</v>
      </c>
      <c r="BV580" t="e">
        <f>AND(#REF!,"AAAAAC/y7Uk=")</f>
        <v>#REF!</v>
      </c>
      <c r="BW580" t="e">
        <f>AND(#REF!,"AAAAAC/y7Uo=")</f>
        <v>#REF!</v>
      </c>
      <c r="BX580" t="e">
        <f>AND(#REF!,"AAAAAC/y7Us=")</f>
        <v>#REF!</v>
      </c>
      <c r="BY580" t="e">
        <f>AND(#REF!,"AAAAAC/y7Uw=")</f>
        <v>#REF!</v>
      </c>
      <c r="BZ580" t="e">
        <f>AND(#REF!,"AAAAAC/y7U0=")</f>
        <v>#REF!</v>
      </c>
      <c r="CA580" t="e">
        <f>AND(#REF!,"AAAAAC/y7U4=")</f>
        <v>#REF!</v>
      </c>
      <c r="CB580" t="e">
        <f>AND(#REF!,"AAAAAC/y7U8=")</f>
        <v>#REF!</v>
      </c>
      <c r="CC580" t="e">
        <f>AND(#REF!,"AAAAAC/y7VA=")</f>
        <v>#REF!</v>
      </c>
      <c r="CD580" t="e">
        <f>AND(#REF!,"AAAAAC/y7VE=")</f>
        <v>#REF!</v>
      </c>
      <c r="CE580" t="e">
        <f>AND(#REF!,"AAAAAC/y7VI=")</f>
        <v>#REF!</v>
      </c>
      <c r="CF580" t="e">
        <f>AND(#REF!,"AAAAAC/y7VM=")</f>
        <v>#REF!</v>
      </c>
      <c r="CG580" t="e">
        <f>AND(#REF!,"AAAAAC/y7VQ=")</f>
        <v>#REF!</v>
      </c>
      <c r="CH580" t="e">
        <f>AND(#REF!,"AAAAAC/y7VU=")</f>
        <v>#REF!</v>
      </c>
      <c r="CI580" t="e">
        <f>IF(#REF!,"AAAAAC/y7VY=",0)</f>
        <v>#REF!</v>
      </c>
      <c r="CJ580" t="e">
        <f>AND(#REF!,"AAAAAC/y7Vc=")</f>
        <v>#REF!</v>
      </c>
      <c r="CK580" t="e">
        <f>AND(#REF!,"AAAAAC/y7Vg=")</f>
        <v>#REF!</v>
      </c>
      <c r="CL580" t="e">
        <f>AND(#REF!,"AAAAAC/y7Vk=")</f>
        <v>#REF!</v>
      </c>
      <c r="CM580" t="e">
        <f>AND(#REF!,"AAAAAC/y7Vo=")</f>
        <v>#REF!</v>
      </c>
      <c r="CN580" t="e">
        <f>AND(#REF!,"AAAAAC/y7Vs=")</f>
        <v>#REF!</v>
      </c>
      <c r="CO580" t="e">
        <f>AND(#REF!,"AAAAAC/y7Vw=")</f>
        <v>#REF!</v>
      </c>
      <c r="CP580" t="e">
        <f>AND(#REF!,"AAAAAC/y7V0=")</f>
        <v>#REF!</v>
      </c>
      <c r="CQ580" t="e">
        <f>AND(#REF!,"AAAAAC/y7V4=")</f>
        <v>#REF!</v>
      </c>
      <c r="CR580" t="e">
        <f>AND(#REF!,"AAAAAC/y7V8=")</f>
        <v>#REF!</v>
      </c>
      <c r="CS580" t="e">
        <f>AND(#REF!,"AAAAAC/y7WA=")</f>
        <v>#REF!</v>
      </c>
      <c r="CT580" t="e">
        <f>AND(#REF!,"AAAAAC/y7WE=")</f>
        <v>#REF!</v>
      </c>
      <c r="CU580" t="e">
        <f>AND(#REF!,"AAAAAC/y7WI=")</f>
        <v>#REF!</v>
      </c>
      <c r="CV580" t="e">
        <f>AND(#REF!,"AAAAAC/y7WM=")</f>
        <v>#REF!</v>
      </c>
      <c r="CW580" t="e">
        <f>AND(#REF!,"AAAAAC/y7WQ=")</f>
        <v>#REF!</v>
      </c>
      <c r="CX580" t="e">
        <f>AND(#REF!,"AAAAAC/y7WU=")</f>
        <v>#REF!</v>
      </c>
      <c r="CY580" t="e">
        <f>AND(#REF!,"AAAAAC/y7WY=")</f>
        <v>#REF!</v>
      </c>
      <c r="CZ580" t="e">
        <f>AND(#REF!,"AAAAAC/y7Wc=")</f>
        <v>#REF!</v>
      </c>
      <c r="DA580" t="e">
        <f>AND(#REF!,"AAAAAC/y7Wg=")</f>
        <v>#REF!</v>
      </c>
      <c r="DB580" t="e">
        <f>AND(#REF!,"AAAAAC/y7Wk=")</f>
        <v>#REF!</v>
      </c>
      <c r="DC580" t="e">
        <f>AND(#REF!,"AAAAAC/y7Wo=")</f>
        <v>#REF!</v>
      </c>
      <c r="DD580" t="e">
        <f>AND(#REF!,"AAAAAC/y7Ws=")</f>
        <v>#REF!</v>
      </c>
      <c r="DE580" t="e">
        <f>AND(#REF!,"AAAAAC/y7Ww=")</f>
        <v>#REF!</v>
      </c>
      <c r="DF580" t="e">
        <f>AND(#REF!,"AAAAAC/y7W0=")</f>
        <v>#REF!</v>
      </c>
      <c r="DG580" t="e">
        <f>AND(#REF!,"AAAAAC/y7W4=")</f>
        <v>#REF!</v>
      </c>
      <c r="DH580" t="e">
        <f>IF(#REF!,"AAAAAC/y7W8=",0)</f>
        <v>#REF!</v>
      </c>
      <c r="DI580" t="e">
        <f>AND(#REF!,"AAAAAC/y7XA=")</f>
        <v>#REF!</v>
      </c>
      <c r="DJ580" t="e">
        <f>AND(#REF!,"AAAAAC/y7XE=")</f>
        <v>#REF!</v>
      </c>
      <c r="DK580" t="e">
        <f>AND(#REF!,"AAAAAC/y7XI=")</f>
        <v>#REF!</v>
      </c>
      <c r="DL580" t="e">
        <f>AND(#REF!,"AAAAAC/y7XM=")</f>
        <v>#REF!</v>
      </c>
      <c r="DM580" t="e">
        <f>AND(#REF!,"AAAAAC/y7XQ=")</f>
        <v>#REF!</v>
      </c>
      <c r="DN580" t="e">
        <f>AND(#REF!,"AAAAAC/y7XU=")</f>
        <v>#REF!</v>
      </c>
      <c r="DO580" t="e">
        <f>AND(#REF!,"AAAAAC/y7XY=")</f>
        <v>#REF!</v>
      </c>
      <c r="DP580" t="e">
        <f>AND(#REF!,"AAAAAC/y7Xc=")</f>
        <v>#REF!</v>
      </c>
      <c r="DQ580" t="e">
        <f>AND(#REF!,"AAAAAC/y7Xg=")</f>
        <v>#REF!</v>
      </c>
      <c r="DR580" t="e">
        <f>AND(#REF!,"AAAAAC/y7Xk=")</f>
        <v>#REF!</v>
      </c>
      <c r="DS580" t="e">
        <f>AND(#REF!,"AAAAAC/y7Xo=")</f>
        <v>#REF!</v>
      </c>
      <c r="DT580" t="e">
        <f>AND(#REF!,"AAAAAC/y7Xs=")</f>
        <v>#REF!</v>
      </c>
      <c r="DU580" t="e">
        <f>AND(#REF!,"AAAAAC/y7Xw=")</f>
        <v>#REF!</v>
      </c>
      <c r="DV580" t="e">
        <f>AND(#REF!,"AAAAAC/y7X0=")</f>
        <v>#REF!</v>
      </c>
      <c r="DW580" t="e">
        <f>AND(#REF!,"AAAAAC/y7X4=")</f>
        <v>#REF!</v>
      </c>
      <c r="DX580" t="e">
        <f>AND(#REF!,"AAAAAC/y7X8=")</f>
        <v>#REF!</v>
      </c>
      <c r="DY580" t="e">
        <f>AND(#REF!,"AAAAAC/y7YA=")</f>
        <v>#REF!</v>
      </c>
      <c r="DZ580" t="e">
        <f>AND(#REF!,"AAAAAC/y7YE=")</f>
        <v>#REF!</v>
      </c>
      <c r="EA580" t="e">
        <f>AND(#REF!,"AAAAAC/y7YI=")</f>
        <v>#REF!</v>
      </c>
      <c r="EB580" t="e">
        <f>AND(#REF!,"AAAAAC/y7YM=")</f>
        <v>#REF!</v>
      </c>
      <c r="EC580" t="e">
        <f>AND(#REF!,"AAAAAC/y7YQ=")</f>
        <v>#REF!</v>
      </c>
      <c r="ED580" t="e">
        <f>AND(#REF!,"AAAAAC/y7YU=")</f>
        <v>#REF!</v>
      </c>
      <c r="EE580" t="e">
        <f>AND(#REF!,"AAAAAC/y7YY=")</f>
        <v>#REF!</v>
      </c>
      <c r="EF580" t="e">
        <f>AND(#REF!,"AAAAAC/y7Yc=")</f>
        <v>#REF!</v>
      </c>
      <c r="EG580" t="e">
        <f>IF(#REF!,"AAAAAC/y7Yg=",0)</f>
        <v>#REF!</v>
      </c>
      <c r="EH580" t="e">
        <f>AND(#REF!,"AAAAAC/y7Yk=")</f>
        <v>#REF!</v>
      </c>
      <c r="EI580" t="e">
        <f>AND(#REF!,"AAAAAC/y7Yo=")</f>
        <v>#REF!</v>
      </c>
      <c r="EJ580" t="e">
        <f>AND(#REF!,"AAAAAC/y7Ys=")</f>
        <v>#REF!</v>
      </c>
      <c r="EK580" t="e">
        <f>AND(#REF!,"AAAAAC/y7Yw=")</f>
        <v>#REF!</v>
      </c>
      <c r="EL580" t="e">
        <f>AND(#REF!,"AAAAAC/y7Y0=")</f>
        <v>#REF!</v>
      </c>
      <c r="EM580" t="e">
        <f>AND(#REF!,"AAAAAC/y7Y4=")</f>
        <v>#REF!</v>
      </c>
      <c r="EN580" t="e">
        <f>AND(#REF!,"AAAAAC/y7Y8=")</f>
        <v>#REF!</v>
      </c>
      <c r="EO580" t="e">
        <f>AND(#REF!,"AAAAAC/y7ZA=")</f>
        <v>#REF!</v>
      </c>
      <c r="EP580" t="e">
        <f>AND(#REF!,"AAAAAC/y7ZE=")</f>
        <v>#REF!</v>
      </c>
      <c r="EQ580" t="e">
        <f>AND(#REF!,"AAAAAC/y7ZI=")</f>
        <v>#REF!</v>
      </c>
      <c r="ER580" t="e">
        <f>AND(#REF!,"AAAAAC/y7ZM=")</f>
        <v>#REF!</v>
      </c>
      <c r="ES580" t="e">
        <f>AND(#REF!,"AAAAAC/y7ZQ=")</f>
        <v>#REF!</v>
      </c>
      <c r="ET580" t="e">
        <f>AND(#REF!,"AAAAAC/y7ZU=")</f>
        <v>#REF!</v>
      </c>
      <c r="EU580" t="e">
        <f>AND(#REF!,"AAAAAC/y7ZY=")</f>
        <v>#REF!</v>
      </c>
      <c r="EV580" t="e">
        <f>AND(#REF!,"AAAAAC/y7Zc=")</f>
        <v>#REF!</v>
      </c>
      <c r="EW580" t="e">
        <f>AND(#REF!,"AAAAAC/y7Zg=")</f>
        <v>#REF!</v>
      </c>
      <c r="EX580" t="e">
        <f>AND(#REF!,"AAAAAC/y7Zk=")</f>
        <v>#REF!</v>
      </c>
      <c r="EY580" t="e">
        <f>AND(#REF!,"AAAAAC/y7Zo=")</f>
        <v>#REF!</v>
      </c>
      <c r="EZ580" t="e">
        <f>AND(#REF!,"AAAAAC/y7Zs=")</f>
        <v>#REF!</v>
      </c>
      <c r="FA580" t="e">
        <f>AND(#REF!,"AAAAAC/y7Zw=")</f>
        <v>#REF!</v>
      </c>
      <c r="FB580" t="e">
        <f>AND(#REF!,"AAAAAC/y7Z0=")</f>
        <v>#REF!</v>
      </c>
      <c r="FC580" t="e">
        <f>AND(#REF!,"AAAAAC/y7Z4=")</f>
        <v>#REF!</v>
      </c>
      <c r="FD580" t="e">
        <f>AND(#REF!,"AAAAAC/y7Z8=")</f>
        <v>#REF!</v>
      </c>
      <c r="FE580" t="e">
        <f>AND(#REF!,"AAAAAC/y7aA=")</f>
        <v>#REF!</v>
      </c>
      <c r="FF580" t="e">
        <f>IF(#REF!,"AAAAAC/y7aE=",0)</f>
        <v>#REF!</v>
      </c>
      <c r="FG580" t="e">
        <f>AND(#REF!,"AAAAAC/y7aI=")</f>
        <v>#REF!</v>
      </c>
      <c r="FH580" t="e">
        <f>AND(#REF!,"AAAAAC/y7aM=")</f>
        <v>#REF!</v>
      </c>
      <c r="FI580" t="e">
        <f>AND(#REF!,"AAAAAC/y7aQ=")</f>
        <v>#REF!</v>
      </c>
      <c r="FJ580" t="e">
        <f>AND(#REF!,"AAAAAC/y7aU=")</f>
        <v>#REF!</v>
      </c>
      <c r="FK580" t="e">
        <f>AND(#REF!,"AAAAAC/y7aY=")</f>
        <v>#REF!</v>
      </c>
      <c r="FL580" t="e">
        <f>AND(#REF!,"AAAAAC/y7ac=")</f>
        <v>#REF!</v>
      </c>
      <c r="FM580" t="e">
        <f>AND(#REF!,"AAAAAC/y7ag=")</f>
        <v>#REF!</v>
      </c>
      <c r="FN580" t="e">
        <f>AND(#REF!,"AAAAAC/y7ak=")</f>
        <v>#REF!</v>
      </c>
      <c r="FO580" t="e">
        <f>AND(#REF!,"AAAAAC/y7ao=")</f>
        <v>#REF!</v>
      </c>
      <c r="FP580" t="e">
        <f>AND(#REF!,"AAAAAC/y7as=")</f>
        <v>#REF!</v>
      </c>
      <c r="FQ580" t="e">
        <f>AND(#REF!,"AAAAAC/y7aw=")</f>
        <v>#REF!</v>
      </c>
      <c r="FR580" t="e">
        <f>AND(#REF!,"AAAAAC/y7a0=")</f>
        <v>#REF!</v>
      </c>
      <c r="FS580" t="e">
        <f>AND(#REF!,"AAAAAC/y7a4=")</f>
        <v>#REF!</v>
      </c>
      <c r="FT580" t="e">
        <f>AND(#REF!,"AAAAAC/y7a8=")</f>
        <v>#REF!</v>
      </c>
      <c r="FU580" t="e">
        <f>AND(#REF!,"AAAAAC/y7bA=")</f>
        <v>#REF!</v>
      </c>
      <c r="FV580" t="e">
        <f>AND(#REF!,"AAAAAC/y7bE=")</f>
        <v>#REF!</v>
      </c>
      <c r="FW580" t="e">
        <f>AND(#REF!,"AAAAAC/y7bI=")</f>
        <v>#REF!</v>
      </c>
      <c r="FX580" t="e">
        <f>AND(#REF!,"AAAAAC/y7bM=")</f>
        <v>#REF!</v>
      </c>
      <c r="FY580" t="e">
        <f>AND(#REF!,"AAAAAC/y7bQ=")</f>
        <v>#REF!</v>
      </c>
      <c r="FZ580" t="e">
        <f>AND(#REF!,"AAAAAC/y7bU=")</f>
        <v>#REF!</v>
      </c>
      <c r="GA580" t="e">
        <f>AND(#REF!,"AAAAAC/y7bY=")</f>
        <v>#REF!</v>
      </c>
      <c r="GB580" t="e">
        <f>AND(#REF!,"AAAAAC/y7bc=")</f>
        <v>#REF!</v>
      </c>
      <c r="GC580" t="e">
        <f>AND(#REF!,"AAAAAC/y7bg=")</f>
        <v>#REF!</v>
      </c>
      <c r="GD580" t="e">
        <f>AND(#REF!,"AAAAAC/y7bk=")</f>
        <v>#REF!</v>
      </c>
      <c r="GE580" t="e">
        <f>IF(#REF!,"AAAAAC/y7bo=",0)</f>
        <v>#REF!</v>
      </c>
      <c r="GF580" t="e">
        <f>AND(#REF!,"AAAAAC/y7bs=")</f>
        <v>#REF!</v>
      </c>
      <c r="GG580" t="e">
        <f>AND(#REF!,"AAAAAC/y7bw=")</f>
        <v>#REF!</v>
      </c>
      <c r="GH580" t="e">
        <f>AND(#REF!,"AAAAAC/y7b0=")</f>
        <v>#REF!</v>
      </c>
      <c r="GI580" t="e">
        <f>AND(#REF!,"AAAAAC/y7b4=")</f>
        <v>#REF!</v>
      </c>
      <c r="GJ580" t="e">
        <f>AND(#REF!,"AAAAAC/y7b8=")</f>
        <v>#REF!</v>
      </c>
      <c r="GK580" t="e">
        <f>AND(#REF!,"AAAAAC/y7cA=")</f>
        <v>#REF!</v>
      </c>
      <c r="GL580" t="e">
        <f>AND(#REF!,"AAAAAC/y7cE=")</f>
        <v>#REF!</v>
      </c>
      <c r="GM580" t="e">
        <f>AND(#REF!,"AAAAAC/y7cI=")</f>
        <v>#REF!</v>
      </c>
      <c r="GN580" t="e">
        <f>AND(#REF!,"AAAAAC/y7cM=")</f>
        <v>#REF!</v>
      </c>
      <c r="GO580" t="e">
        <f>AND(#REF!,"AAAAAC/y7cQ=")</f>
        <v>#REF!</v>
      </c>
      <c r="GP580" t="e">
        <f>AND(#REF!,"AAAAAC/y7cU=")</f>
        <v>#REF!</v>
      </c>
      <c r="GQ580" t="e">
        <f>AND(#REF!,"AAAAAC/y7cY=")</f>
        <v>#REF!</v>
      </c>
      <c r="GR580" t="e">
        <f>AND(#REF!,"AAAAAC/y7cc=")</f>
        <v>#REF!</v>
      </c>
      <c r="GS580" t="e">
        <f>AND(#REF!,"AAAAAC/y7cg=")</f>
        <v>#REF!</v>
      </c>
      <c r="GT580" t="e">
        <f>AND(#REF!,"AAAAAC/y7ck=")</f>
        <v>#REF!</v>
      </c>
      <c r="GU580" t="e">
        <f>AND(#REF!,"AAAAAC/y7co=")</f>
        <v>#REF!</v>
      </c>
      <c r="GV580" t="e">
        <f>AND(#REF!,"AAAAAC/y7cs=")</f>
        <v>#REF!</v>
      </c>
      <c r="GW580" t="e">
        <f>AND(#REF!,"AAAAAC/y7cw=")</f>
        <v>#REF!</v>
      </c>
      <c r="GX580" t="e">
        <f>AND(#REF!,"AAAAAC/y7c0=")</f>
        <v>#REF!</v>
      </c>
      <c r="GY580" t="e">
        <f>AND(#REF!,"AAAAAC/y7c4=")</f>
        <v>#REF!</v>
      </c>
      <c r="GZ580" t="e">
        <f>AND(#REF!,"AAAAAC/y7c8=")</f>
        <v>#REF!</v>
      </c>
      <c r="HA580" t="e">
        <f>AND(#REF!,"AAAAAC/y7dA=")</f>
        <v>#REF!</v>
      </c>
      <c r="HB580" t="e">
        <f>AND(#REF!,"AAAAAC/y7dE=")</f>
        <v>#REF!</v>
      </c>
      <c r="HC580" t="e">
        <f>AND(#REF!,"AAAAAC/y7dI=")</f>
        <v>#REF!</v>
      </c>
      <c r="HD580" t="e">
        <f>IF(#REF!,"AAAAAC/y7dM=",0)</f>
        <v>#REF!</v>
      </c>
      <c r="HE580" t="e">
        <f>AND(#REF!,"AAAAAC/y7dQ=")</f>
        <v>#REF!</v>
      </c>
      <c r="HF580" t="e">
        <f>AND(#REF!,"AAAAAC/y7dU=")</f>
        <v>#REF!</v>
      </c>
      <c r="HG580" t="e">
        <f>AND(#REF!,"AAAAAC/y7dY=")</f>
        <v>#REF!</v>
      </c>
      <c r="HH580" t="e">
        <f>AND(#REF!,"AAAAAC/y7dc=")</f>
        <v>#REF!</v>
      </c>
      <c r="HI580" t="e">
        <f>AND(#REF!,"AAAAAC/y7dg=")</f>
        <v>#REF!</v>
      </c>
      <c r="HJ580" t="e">
        <f>AND(#REF!,"AAAAAC/y7dk=")</f>
        <v>#REF!</v>
      </c>
      <c r="HK580" t="e">
        <f>AND(#REF!,"AAAAAC/y7do=")</f>
        <v>#REF!</v>
      </c>
      <c r="HL580" t="e">
        <f>AND(#REF!,"AAAAAC/y7ds=")</f>
        <v>#REF!</v>
      </c>
      <c r="HM580" t="e">
        <f>AND(#REF!,"AAAAAC/y7dw=")</f>
        <v>#REF!</v>
      </c>
      <c r="HN580" t="e">
        <f>AND(#REF!,"AAAAAC/y7d0=")</f>
        <v>#REF!</v>
      </c>
      <c r="HO580" t="e">
        <f>AND(#REF!,"AAAAAC/y7d4=")</f>
        <v>#REF!</v>
      </c>
      <c r="HP580" t="e">
        <f>AND(#REF!,"AAAAAC/y7d8=")</f>
        <v>#REF!</v>
      </c>
      <c r="HQ580" t="e">
        <f>AND(#REF!,"AAAAAC/y7eA=")</f>
        <v>#REF!</v>
      </c>
      <c r="HR580" t="e">
        <f>AND(#REF!,"AAAAAC/y7eE=")</f>
        <v>#REF!</v>
      </c>
      <c r="HS580" t="e">
        <f>AND(#REF!,"AAAAAC/y7eI=")</f>
        <v>#REF!</v>
      </c>
      <c r="HT580" t="e">
        <f>AND(#REF!,"AAAAAC/y7eM=")</f>
        <v>#REF!</v>
      </c>
      <c r="HU580" t="e">
        <f>AND(#REF!,"AAAAAC/y7eQ=")</f>
        <v>#REF!</v>
      </c>
      <c r="HV580" t="e">
        <f>AND(#REF!,"AAAAAC/y7eU=")</f>
        <v>#REF!</v>
      </c>
      <c r="HW580" t="e">
        <f>AND(#REF!,"AAAAAC/y7eY=")</f>
        <v>#REF!</v>
      </c>
      <c r="HX580" t="e">
        <f>AND(#REF!,"AAAAAC/y7ec=")</f>
        <v>#REF!</v>
      </c>
      <c r="HY580" t="e">
        <f>AND(#REF!,"AAAAAC/y7eg=")</f>
        <v>#REF!</v>
      </c>
      <c r="HZ580" t="e">
        <f>AND(#REF!,"AAAAAC/y7ek=")</f>
        <v>#REF!</v>
      </c>
      <c r="IA580" t="e">
        <f>AND(#REF!,"AAAAAC/y7eo=")</f>
        <v>#REF!</v>
      </c>
      <c r="IB580" t="e">
        <f>AND(#REF!,"AAAAAC/y7es=")</f>
        <v>#REF!</v>
      </c>
      <c r="IC580" t="e">
        <f>IF(#REF!,"AAAAAC/y7ew=",0)</f>
        <v>#REF!</v>
      </c>
      <c r="ID580" t="e">
        <f>AND(#REF!,"AAAAAC/y7e0=")</f>
        <v>#REF!</v>
      </c>
      <c r="IE580" t="e">
        <f>AND(#REF!,"AAAAAC/y7e4=")</f>
        <v>#REF!</v>
      </c>
      <c r="IF580" t="e">
        <f>AND(#REF!,"AAAAAC/y7e8=")</f>
        <v>#REF!</v>
      </c>
      <c r="IG580" t="e">
        <f>AND(#REF!,"AAAAAC/y7fA=")</f>
        <v>#REF!</v>
      </c>
      <c r="IH580" t="e">
        <f>AND(#REF!,"AAAAAC/y7fE=")</f>
        <v>#REF!</v>
      </c>
      <c r="II580" t="e">
        <f>AND(#REF!,"AAAAAC/y7fI=")</f>
        <v>#REF!</v>
      </c>
      <c r="IJ580" t="e">
        <f>AND(#REF!,"AAAAAC/y7fM=")</f>
        <v>#REF!</v>
      </c>
      <c r="IK580" t="e">
        <f>AND(#REF!,"AAAAAC/y7fQ=")</f>
        <v>#REF!</v>
      </c>
      <c r="IL580" t="e">
        <f>AND(#REF!,"AAAAAC/y7fU=")</f>
        <v>#REF!</v>
      </c>
      <c r="IM580" t="e">
        <f>AND(#REF!,"AAAAAC/y7fY=")</f>
        <v>#REF!</v>
      </c>
      <c r="IN580" t="e">
        <f>AND(#REF!,"AAAAAC/y7fc=")</f>
        <v>#REF!</v>
      </c>
      <c r="IO580" t="e">
        <f>AND(#REF!,"AAAAAC/y7fg=")</f>
        <v>#REF!</v>
      </c>
      <c r="IP580" t="e">
        <f>AND(#REF!,"AAAAAC/y7fk=")</f>
        <v>#REF!</v>
      </c>
      <c r="IQ580" t="e">
        <f>AND(#REF!,"AAAAAC/y7fo=")</f>
        <v>#REF!</v>
      </c>
      <c r="IR580" t="e">
        <f>AND(#REF!,"AAAAAC/y7fs=")</f>
        <v>#REF!</v>
      </c>
      <c r="IS580" t="e">
        <f>AND(#REF!,"AAAAAC/y7fw=")</f>
        <v>#REF!</v>
      </c>
      <c r="IT580" t="e">
        <f>AND(#REF!,"AAAAAC/y7f0=")</f>
        <v>#REF!</v>
      </c>
      <c r="IU580" t="e">
        <f>AND(#REF!,"AAAAAC/y7f4=")</f>
        <v>#REF!</v>
      </c>
      <c r="IV580" t="e">
        <f>AND(#REF!,"AAAAAC/y7f8=")</f>
        <v>#REF!</v>
      </c>
    </row>
    <row r="581" spans="1:256">
      <c r="A581" t="e">
        <f>AND(#REF!,"AAAAADm/9wA=")</f>
        <v>#REF!</v>
      </c>
      <c r="B581" t="e">
        <f>AND(#REF!,"AAAAADm/9wE=")</f>
        <v>#REF!</v>
      </c>
      <c r="C581" t="e">
        <f>AND(#REF!,"AAAAADm/9wI=")</f>
        <v>#REF!</v>
      </c>
      <c r="D581" t="e">
        <f>AND(#REF!,"AAAAADm/9wM=")</f>
        <v>#REF!</v>
      </c>
      <c r="E581" t="e">
        <f>AND(#REF!,"AAAAADm/9wQ=")</f>
        <v>#REF!</v>
      </c>
      <c r="F581" t="e">
        <f>IF(#REF!,"AAAAADm/9wU=",0)</f>
        <v>#REF!</v>
      </c>
      <c r="G581" t="e">
        <f>AND(#REF!,"AAAAADm/9wY=")</f>
        <v>#REF!</v>
      </c>
      <c r="H581" t="e">
        <f>AND(#REF!,"AAAAADm/9wc=")</f>
        <v>#REF!</v>
      </c>
      <c r="I581" t="e">
        <f>AND(#REF!,"AAAAADm/9wg=")</f>
        <v>#REF!</v>
      </c>
      <c r="J581" t="e">
        <f>AND(#REF!,"AAAAADm/9wk=")</f>
        <v>#REF!</v>
      </c>
      <c r="K581" t="e">
        <f>AND(#REF!,"AAAAADm/9wo=")</f>
        <v>#REF!</v>
      </c>
      <c r="L581" t="e">
        <f>AND(#REF!,"AAAAADm/9ws=")</f>
        <v>#REF!</v>
      </c>
      <c r="M581" t="e">
        <f>AND(#REF!,"AAAAADm/9ww=")</f>
        <v>#REF!</v>
      </c>
      <c r="N581" t="e">
        <f>AND(#REF!,"AAAAADm/9w0=")</f>
        <v>#REF!</v>
      </c>
      <c r="O581" t="e">
        <f>AND(#REF!,"AAAAADm/9w4=")</f>
        <v>#REF!</v>
      </c>
      <c r="P581" t="e">
        <f>AND(#REF!,"AAAAADm/9w8=")</f>
        <v>#REF!</v>
      </c>
      <c r="Q581" t="e">
        <f>AND(#REF!,"AAAAADm/9xA=")</f>
        <v>#REF!</v>
      </c>
      <c r="R581" t="e">
        <f>AND(#REF!,"AAAAADm/9xE=")</f>
        <v>#REF!</v>
      </c>
      <c r="S581" t="e">
        <f>AND(#REF!,"AAAAADm/9xI=")</f>
        <v>#REF!</v>
      </c>
      <c r="T581" t="e">
        <f>AND(#REF!,"AAAAADm/9xM=")</f>
        <v>#REF!</v>
      </c>
      <c r="U581" t="e">
        <f>AND(#REF!,"AAAAADm/9xQ=")</f>
        <v>#REF!</v>
      </c>
      <c r="V581" t="e">
        <f>AND(#REF!,"AAAAADm/9xU=")</f>
        <v>#REF!</v>
      </c>
      <c r="W581" t="e">
        <f>AND(#REF!,"AAAAADm/9xY=")</f>
        <v>#REF!</v>
      </c>
      <c r="X581" t="e">
        <f>AND(#REF!,"AAAAADm/9xc=")</f>
        <v>#REF!</v>
      </c>
      <c r="Y581" t="e">
        <f>AND(#REF!,"AAAAADm/9xg=")</f>
        <v>#REF!</v>
      </c>
      <c r="Z581" t="e">
        <f>AND(#REF!,"AAAAADm/9xk=")</f>
        <v>#REF!</v>
      </c>
      <c r="AA581" t="e">
        <f>AND(#REF!,"AAAAADm/9xo=")</f>
        <v>#REF!</v>
      </c>
      <c r="AB581" t="e">
        <f>AND(#REF!,"AAAAADm/9xs=")</f>
        <v>#REF!</v>
      </c>
      <c r="AC581" t="e">
        <f>AND(#REF!,"AAAAADm/9xw=")</f>
        <v>#REF!</v>
      </c>
      <c r="AD581" t="e">
        <f>AND(#REF!,"AAAAADm/9x0=")</f>
        <v>#REF!</v>
      </c>
      <c r="AE581" t="e">
        <f>IF(#REF!,"AAAAADm/9x4=",0)</f>
        <v>#REF!</v>
      </c>
      <c r="AF581" t="e">
        <f>AND(#REF!,"AAAAADm/9x8=")</f>
        <v>#REF!</v>
      </c>
      <c r="AG581" t="e">
        <f>AND(#REF!,"AAAAADm/9yA=")</f>
        <v>#REF!</v>
      </c>
      <c r="AH581" t="e">
        <f>AND(#REF!,"AAAAADm/9yE=")</f>
        <v>#REF!</v>
      </c>
      <c r="AI581" t="e">
        <f>AND(#REF!,"AAAAADm/9yI=")</f>
        <v>#REF!</v>
      </c>
      <c r="AJ581" t="e">
        <f>AND(#REF!,"AAAAADm/9yM=")</f>
        <v>#REF!</v>
      </c>
      <c r="AK581" t="e">
        <f>AND(#REF!,"AAAAADm/9yQ=")</f>
        <v>#REF!</v>
      </c>
      <c r="AL581" t="e">
        <f>AND(#REF!,"AAAAADm/9yU=")</f>
        <v>#REF!</v>
      </c>
      <c r="AM581" t="e">
        <f>AND(#REF!,"AAAAADm/9yY=")</f>
        <v>#REF!</v>
      </c>
      <c r="AN581" t="e">
        <f>AND(#REF!,"AAAAADm/9yc=")</f>
        <v>#REF!</v>
      </c>
      <c r="AO581" t="e">
        <f>AND(#REF!,"AAAAADm/9yg=")</f>
        <v>#REF!</v>
      </c>
      <c r="AP581" t="e">
        <f>AND(#REF!,"AAAAADm/9yk=")</f>
        <v>#REF!</v>
      </c>
      <c r="AQ581" t="e">
        <f>AND(#REF!,"AAAAADm/9yo=")</f>
        <v>#REF!</v>
      </c>
      <c r="AR581" t="e">
        <f>AND(#REF!,"AAAAADm/9ys=")</f>
        <v>#REF!</v>
      </c>
      <c r="AS581" t="e">
        <f>AND(#REF!,"AAAAADm/9yw=")</f>
        <v>#REF!</v>
      </c>
      <c r="AT581" t="e">
        <f>AND(#REF!,"AAAAADm/9y0=")</f>
        <v>#REF!</v>
      </c>
      <c r="AU581" t="e">
        <f>AND(#REF!,"AAAAADm/9y4=")</f>
        <v>#REF!</v>
      </c>
      <c r="AV581" t="e">
        <f>AND(#REF!,"AAAAADm/9y8=")</f>
        <v>#REF!</v>
      </c>
      <c r="AW581" t="e">
        <f>AND(#REF!,"AAAAADm/9zA=")</f>
        <v>#REF!</v>
      </c>
      <c r="AX581" t="e">
        <f>AND(#REF!,"AAAAADm/9zE=")</f>
        <v>#REF!</v>
      </c>
      <c r="AY581" t="e">
        <f>AND(#REF!,"AAAAADm/9zI=")</f>
        <v>#REF!</v>
      </c>
      <c r="AZ581" t="e">
        <f>AND(#REF!,"AAAAADm/9zM=")</f>
        <v>#REF!</v>
      </c>
      <c r="BA581" t="e">
        <f>AND(#REF!,"AAAAADm/9zQ=")</f>
        <v>#REF!</v>
      </c>
      <c r="BB581" t="e">
        <f>AND(#REF!,"AAAAADm/9zU=")</f>
        <v>#REF!</v>
      </c>
      <c r="BC581" t="e">
        <f>AND(#REF!,"AAAAADm/9zY=")</f>
        <v>#REF!</v>
      </c>
      <c r="BD581" t="e">
        <f>IF(#REF!,"AAAAADm/9zc=",0)</f>
        <v>#REF!</v>
      </c>
      <c r="BE581" t="e">
        <f>AND(#REF!,"AAAAADm/9zg=")</f>
        <v>#REF!</v>
      </c>
      <c r="BF581" t="e">
        <f>AND(#REF!,"AAAAADm/9zk=")</f>
        <v>#REF!</v>
      </c>
      <c r="BG581" t="e">
        <f>AND(#REF!,"AAAAADm/9zo=")</f>
        <v>#REF!</v>
      </c>
      <c r="BH581" t="e">
        <f>AND(#REF!,"AAAAADm/9zs=")</f>
        <v>#REF!</v>
      </c>
      <c r="BI581" t="e">
        <f>AND(#REF!,"AAAAADm/9zw=")</f>
        <v>#REF!</v>
      </c>
      <c r="BJ581" t="e">
        <f>AND(#REF!,"AAAAADm/9z0=")</f>
        <v>#REF!</v>
      </c>
      <c r="BK581" t="e">
        <f>AND(#REF!,"AAAAADm/9z4=")</f>
        <v>#REF!</v>
      </c>
      <c r="BL581" t="e">
        <f>AND(#REF!,"AAAAADm/9z8=")</f>
        <v>#REF!</v>
      </c>
      <c r="BM581" t="e">
        <f>AND(#REF!,"AAAAADm/90A=")</f>
        <v>#REF!</v>
      </c>
      <c r="BN581" t="e">
        <f>AND(#REF!,"AAAAADm/90E=")</f>
        <v>#REF!</v>
      </c>
      <c r="BO581" t="e">
        <f>AND(#REF!,"AAAAADm/90I=")</f>
        <v>#REF!</v>
      </c>
      <c r="BP581" t="e">
        <f>AND(#REF!,"AAAAADm/90M=")</f>
        <v>#REF!</v>
      </c>
      <c r="BQ581" t="e">
        <f>AND(#REF!,"AAAAADm/90Q=")</f>
        <v>#REF!</v>
      </c>
      <c r="BR581" t="e">
        <f>AND(#REF!,"AAAAADm/90U=")</f>
        <v>#REF!</v>
      </c>
      <c r="BS581" t="e">
        <f>AND(#REF!,"AAAAADm/90Y=")</f>
        <v>#REF!</v>
      </c>
      <c r="BT581" t="e">
        <f>AND(#REF!,"AAAAADm/90c=")</f>
        <v>#REF!</v>
      </c>
      <c r="BU581" t="e">
        <f>AND(#REF!,"AAAAADm/90g=")</f>
        <v>#REF!</v>
      </c>
      <c r="BV581" t="e">
        <f>AND(#REF!,"AAAAADm/90k=")</f>
        <v>#REF!</v>
      </c>
      <c r="BW581" t="e">
        <f>AND(#REF!,"AAAAADm/90o=")</f>
        <v>#REF!</v>
      </c>
      <c r="BX581" t="e">
        <f>AND(#REF!,"AAAAADm/90s=")</f>
        <v>#REF!</v>
      </c>
      <c r="BY581" t="e">
        <f>AND(#REF!,"AAAAADm/90w=")</f>
        <v>#REF!</v>
      </c>
      <c r="BZ581" t="e">
        <f>AND(#REF!,"AAAAADm/900=")</f>
        <v>#REF!</v>
      </c>
      <c r="CA581" t="e">
        <f>AND(#REF!,"AAAAADm/904=")</f>
        <v>#REF!</v>
      </c>
      <c r="CB581" t="e">
        <f>AND(#REF!,"AAAAADm/908=")</f>
        <v>#REF!</v>
      </c>
      <c r="CC581" t="e">
        <f>IF(#REF!,"AAAAADm/91A=",0)</f>
        <v>#REF!</v>
      </c>
      <c r="CD581" t="e">
        <f>AND(#REF!,"AAAAADm/91E=")</f>
        <v>#REF!</v>
      </c>
      <c r="CE581" t="e">
        <f>AND(#REF!,"AAAAADm/91I=")</f>
        <v>#REF!</v>
      </c>
      <c r="CF581" t="e">
        <f>AND(#REF!,"AAAAADm/91M=")</f>
        <v>#REF!</v>
      </c>
      <c r="CG581" t="e">
        <f>AND(#REF!,"AAAAADm/91Q=")</f>
        <v>#REF!</v>
      </c>
      <c r="CH581" t="e">
        <f>AND(#REF!,"AAAAADm/91U=")</f>
        <v>#REF!</v>
      </c>
      <c r="CI581" t="e">
        <f>AND(#REF!,"AAAAADm/91Y=")</f>
        <v>#REF!</v>
      </c>
      <c r="CJ581" t="e">
        <f>AND(#REF!,"AAAAADm/91c=")</f>
        <v>#REF!</v>
      </c>
      <c r="CK581" t="e">
        <f>AND(#REF!,"AAAAADm/91g=")</f>
        <v>#REF!</v>
      </c>
      <c r="CL581" t="e">
        <f>AND(#REF!,"AAAAADm/91k=")</f>
        <v>#REF!</v>
      </c>
      <c r="CM581" t="e">
        <f>AND(#REF!,"AAAAADm/91o=")</f>
        <v>#REF!</v>
      </c>
      <c r="CN581" t="e">
        <f>AND(#REF!,"AAAAADm/91s=")</f>
        <v>#REF!</v>
      </c>
      <c r="CO581" t="e">
        <f>AND(#REF!,"AAAAADm/91w=")</f>
        <v>#REF!</v>
      </c>
      <c r="CP581" t="e">
        <f>AND(#REF!,"AAAAADm/910=")</f>
        <v>#REF!</v>
      </c>
      <c r="CQ581" t="e">
        <f>AND(#REF!,"AAAAADm/914=")</f>
        <v>#REF!</v>
      </c>
      <c r="CR581" t="e">
        <f>AND(#REF!,"AAAAADm/918=")</f>
        <v>#REF!</v>
      </c>
      <c r="CS581" t="e">
        <f>AND(#REF!,"AAAAADm/92A=")</f>
        <v>#REF!</v>
      </c>
      <c r="CT581" t="e">
        <f>AND(#REF!,"AAAAADm/92E=")</f>
        <v>#REF!</v>
      </c>
      <c r="CU581" t="e">
        <f>AND(#REF!,"AAAAADm/92I=")</f>
        <v>#REF!</v>
      </c>
      <c r="CV581" t="e">
        <f>AND(#REF!,"AAAAADm/92M=")</f>
        <v>#REF!</v>
      </c>
      <c r="CW581" t="e">
        <f>AND(#REF!,"AAAAADm/92Q=")</f>
        <v>#REF!</v>
      </c>
      <c r="CX581" t="e">
        <f>AND(#REF!,"AAAAADm/92U=")</f>
        <v>#REF!</v>
      </c>
      <c r="CY581" t="e">
        <f>AND(#REF!,"AAAAADm/92Y=")</f>
        <v>#REF!</v>
      </c>
      <c r="CZ581" t="e">
        <f>AND(#REF!,"AAAAADm/92c=")</f>
        <v>#REF!</v>
      </c>
      <c r="DA581" t="e">
        <f>AND(#REF!,"AAAAADm/92g=")</f>
        <v>#REF!</v>
      </c>
      <c r="DB581" t="e">
        <f>IF(#REF!,"AAAAADm/92k=",0)</f>
        <v>#REF!</v>
      </c>
      <c r="DC581" t="e">
        <f>AND(#REF!,"AAAAADm/92o=")</f>
        <v>#REF!</v>
      </c>
      <c r="DD581" t="e">
        <f>AND(#REF!,"AAAAADm/92s=")</f>
        <v>#REF!</v>
      </c>
      <c r="DE581" t="e">
        <f>AND(#REF!,"AAAAADm/92w=")</f>
        <v>#REF!</v>
      </c>
      <c r="DF581" t="e">
        <f>AND(#REF!,"AAAAADm/920=")</f>
        <v>#REF!</v>
      </c>
      <c r="DG581" t="e">
        <f>AND(#REF!,"AAAAADm/924=")</f>
        <v>#REF!</v>
      </c>
      <c r="DH581" t="e">
        <f>AND(#REF!,"AAAAADm/928=")</f>
        <v>#REF!</v>
      </c>
      <c r="DI581" t="e">
        <f>AND(#REF!,"AAAAADm/93A=")</f>
        <v>#REF!</v>
      </c>
      <c r="DJ581" t="e">
        <f>AND(#REF!,"AAAAADm/93E=")</f>
        <v>#REF!</v>
      </c>
      <c r="DK581" t="e">
        <f>AND(#REF!,"AAAAADm/93I=")</f>
        <v>#REF!</v>
      </c>
      <c r="DL581" t="e">
        <f>AND(#REF!,"AAAAADm/93M=")</f>
        <v>#REF!</v>
      </c>
      <c r="DM581" t="e">
        <f>AND(#REF!,"AAAAADm/93Q=")</f>
        <v>#REF!</v>
      </c>
      <c r="DN581" t="e">
        <f>AND(#REF!,"AAAAADm/93U=")</f>
        <v>#REF!</v>
      </c>
      <c r="DO581" t="e">
        <f>AND(#REF!,"AAAAADm/93Y=")</f>
        <v>#REF!</v>
      </c>
      <c r="DP581" t="e">
        <f>AND(#REF!,"AAAAADm/93c=")</f>
        <v>#REF!</v>
      </c>
      <c r="DQ581" t="e">
        <f>AND(#REF!,"AAAAADm/93g=")</f>
        <v>#REF!</v>
      </c>
      <c r="DR581" t="e">
        <f>AND(#REF!,"AAAAADm/93k=")</f>
        <v>#REF!</v>
      </c>
      <c r="DS581" t="e">
        <f>AND(#REF!,"AAAAADm/93o=")</f>
        <v>#REF!</v>
      </c>
      <c r="DT581" t="e">
        <f>AND(#REF!,"AAAAADm/93s=")</f>
        <v>#REF!</v>
      </c>
      <c r="DU581" t="e">
        <f>AND(#REF!,"AAAAADm/93w=")</f>
        <v>#REF!</v>
      </c>
      <c r="DV581" t="e">
        <f>AND(#REF!,"AAAAADm/930=")</f>
        <v>#REF!</v>
      </c>
      <c r="DW581" t="e">
        <f>AND(#REF!,"AAAAADm/934=")</f>
        <v>#REF!</v>
      </c>
      <c r="DX581" t="e">
        <f>AND(#REF!,"AAAAADm/938=")</f>
        <v>#REF!</v>
      </c>
      <c r="DY581" t="e">
        <f>AND(#REF!,"AAAAADm/94A=")</f>
        <v>#REF!</v>
      </c>
      <c r="DZ581" t="e">
        <f>AND(#REF!,"AAAAADm/94E=")</f>
        <v>#REF!</v>
      </c>
      <c r="EA581" t="e">
        <f>IF(#REF!,"AAAAADm/94I=",0)</f>
        <v>#REF!</v>
      </c>
      <c r="EB581" t="e">
        <f>AND(#REF!,"AAAAADm/94M=")</f>
        <v>#REF!</v>
      </c>
      <c r="EC581" t="e">
        <f>AND(#REF!,"AAAAADm/94Q=")</f>
        <v>#REF!</v>
      </c>
      <c r="ED581" t="e">
        <f>AND(#REF!,"AAAAADm/94U=")</f>
        <v>#REF!</v>
      </c>
      <c r="EE581" t="e">
        <f>AND(#REF!,"AAAAADm/94Y=")</f>
        <v>#REF!</v>
      </c>
      <c r="EF581" t="e">
        <f>AND(#REF!,"AAAAADm/94c=")</f>
        <v>#REF!</v>
      </c>
      <c r="EG581" t="e">
        <f>AND(#REF!,"AAAAADm/94g=")</f>
        <v>#REF!</v>
      </c>
      <c r="EH581" t="e">
        <f>AND(#REF!,"AAAAADm/94k=")</f>
        <v>#REF!</v>
      </c>
      <c r="EI581" t="e">
        <f>AND(#REF!,"AAAAADm/94o=")</f>
        <v>#REF!</v>
      </c>
      <c r="EJ581" t="e">
        <f>AND(#REF!,"AAAAADm/94s=")</f>
        <v>#REF!</v>
      </c>
      <c r="EK581" t="e">
        <f>AND(#REF!,"AAAAADm/94w=")</f>
        <v>#REF!</v>
      </c>
      <c r="EL581" t="e">
        <f>AND(#REF!,"AAAAADm/940=")</f>
        <v>#REF!</v>
      </c>
      <c r="EM581" t="e">
        <f>AND(#REF!,"AAAAADm/944=")</f>
        <v>#REF!</v>
      </c>
      <c r="EN581" t="e">
        <f>AND(#REF!,"AAAAADm/948=")</f>
        <v>#REF!</v>
      </c>
      <c r="EO581" t="e">
        <f>AND(#REF!,"AAAAADm/95A=")</f>
        <v>#REF!</v>
      </c>
      <c r="EP581" t="e">
        <f>AND(#REF!,"AAAAADm/95E=")</f>
        <v>#REF!</v>
      </c>
      <c r="EQ581" t="e">
        <f>AND(#REF!,"AAAAADm/95I=")</f>
        <v>#REF!</v>
      </c>
      <c r="ER581" t="e">
        <f>AND(#REF!,"AAAAADm/95M=")</f>
        <v>#REF!</v>
      </c>
      <c r="ES581" t="e">
        <f>AND(#REF!,"AAAAADm/95Q=")</f>
        <v>#REF!</v>
      </c>
      <c r="ET581" t="e">
        <f>AND(#REF!,"AAAAADm/95U=")</f>
        <v>#REF!</v>
      </c>
      <c r="EU581" t="e">
        <f>AND(#REF!,"AAAAADm/95Y=")</f>
        <v>#REF!</v>
      </c>
      <c r="EV581" t="e">
        <f>AND(#REF!,"AAAAADm/95c=")</f>
        <v>#REF!</v>
      </c>
      <c r="EW581" t="e">
        <f>AND(#REF!,"AAAAADm/95g=")</f>
        <v>#REF!</v>
      </c>
      <c r="EX581" t="e">
        <f>AND(#REF!,"AAAAADm/95k=")</f>
        <v>#REF!</v>
      </c>
      <c r="EY581" t="e">
        <f>AND(#REF!,"AAAAADm/95o=")</f>
        <v>#REF!</v>
      </c>
      <c r="EZ581" t="e">
        <f>IF(#REF!,"AAAAADm/95s=",0)</f>
        <v>#REF!</v>
      </c>
      <c r="FA581" t="e">
        <f>AND(#REF!,"AAAAADm/95w=")</f>
        <v>#REF!</v>
      </c>
      <c r="FB581" t="e">
        <f>AND(#REF!,"AAAAADm/950=")</f>
        <v>#REF!</v>
      </c>
      <c r="FC581" t="e">
        <f>AND(#REF!,"AAAAADm/954=")</f>
        <v>#REF!</v>
      </c>
      <c r="FD581" t="e">
        <f>AND(#REF!,"AAAAADm/958=")</f>
        <v>#REF!</v>
      </c>
      <c r="FE581" t="e">
        <f>AND(#REF!,"AAAAADm/96A=")</f>
        <v>#REF!</v>
      </c>
      <c r="FF581" t="e">
        <f>AND(#REF!,"AAAAADm/96E=")</f>
        <v>#REF!</v>
      </c>
      <c r="FG581" t="e">
        <f>AND(#REF!,"AAAAADm/96I=")</f>
        <v>#REF!</v>
      </c>
      <c r="FH581" t="e">
        <f>AND(#REF!,"AAAAADm/96M=")</f>
        <v>#REF!</v>
      </c>
      <c r="FI581" t="e">
        <f>AND(#REF!,"AAAAADm/96Q=")</f>
        <v>#REF!</v>
      </c>
      <c r="FJ581" t="e">
        <f>AND(#REF!,"AAAAADm/96U=")</f>
        <v>#REF!</v>
      </c>
      <c r="FK581" t="e">
        <f>AND(#REF!,"AAAAADm/96Y=")</f>
        <v>#REF!</v>
      </c>
      <c r="FL581" t="e">
        <f>AND(#REF!,"AAAAADm/96c=")</f>
        <v>#REF!</v>
      </c>
      <c r="FM581" t="e">
        <f>AND(#REF!,"AAAAADm/96g=")</f>
        <v>#REF!</v>
      </c>
      <c r="FN581" t="e">
        <f>AND(#REF!,"AAAAADm/96k=")</f>
        <v>#REF!</v>
      </c>
      <c r="FO581" t="e">
        <f>AND(#REF!,"AAAAADm/96o=")</f>
        <v>#REF!</v>
      </c>
      <c r="FP581" t="e">
        <f>AND(#REF!,"AAAAADm/96s=")</f>
        <v>#REF!</v>
      </c>
      <c r="FQ581" t="e">
        <f>AND(#REF!,"AAAAADm/96w=")</f>
        <v>#REF!</v>
      </c>
      <c r="FR581" t="e">
        <f>AND(#REF!,"AAAAADm/960=")</f>
        <v>#REF!</v>
      </c>
      <c r="FS581" t="e">
        <f>AND(#REF!,"AAAAADm/964=")</f>
        <v>#REF!</v>
      </c>
      <c r="FT581" t="e">
        <f>AND(#REF!,"AAAAADm/968=")</f>
        <v>#REF!</v>
      </c>
      <c r="FU581" t="e">
        <f>AND(#REF!,"AAAAADm/97A=")</f>
        <v>#REF!</v>
      </c>
      <c r="FV581" t="e">
        <f>AND(#REF!,"AAAAADm/97E=")</f>
        <v>#REF!</v>
      </c>
      <c r="FW581" t="e">
        <f>AND(#REF!,"AAAAADm/97I=")</f>
        <v>#REF!</v>
      </c>
      <c r="FX581" t="e">
        <f>AND(#REF!,"AAAAADm/97M=")</f>
        <v>#REF!</v>
      </c>
      <c r="FY581" t="e">
        <f>IF(#REF!,"AAAAADm/97Q=",0)</f>
        <v>#REF!</v>
      </c>
      <c r="FZ581" t="e">
        <f>AND(#REF!,"AAAAADm/97U=")</f>
        <v>#REF!</v>
      </c>
      <c r="GA581" t="e">
        <f>AND(#REF!,"AAAAADm/97Y=")</f>
        <v>#REF!</v>
      </c>
      <c r="GB581" t="e">
        <f>AND(#REF!,"AAAAADm/97c=")</f>
        <v>#REF!</v>
      </c>
      <c r="GC581" t="e">
        <f>AND(#REF!,"AAAAADm/97g=")</f>
        <v>#REF!</v>
      </c>
      <c r="GD581" t="e">
        <f>AND(#REF!,"AAAAADm/97k=")</f>
        <v>#REF!</v>
      </c>
      <c r="GE581" t="e">
        <f>AND(#REF!,"AAAAADm/97o=")</f>
        <v>#REF!</v>
      </c>
      <c r="GF581" t="e">
        <f>AND(#REF!,"AAAAADm/97s=")</f>
        <v>#REF!</v>
      </c>
      <c r="GG581" t="e">
        <f>AND(#REF!,"AAAAADm/97w=")</f>
        <v>#REF!</v>
      </c>
      <c r="GH581" t="e">
        <f>AND(#REF!,"AAAAADm/970=")</f>
        <v>#REF!</v>
      </c>
      <c r="GI581" t="e">
        <f>AND(#REF!,"AAAAADm/974=")</f>
        <v>#REF!</v>
      </c>
      <c r="GJ581" t="e">
        <f>AND(#REF!,"AAAAADm/978=")</f>
        <v>#REF!</v>
      </c>
      <c r="GK581" t="e">
        <f>AND(#REF!,"AAAAADm/98A=")</f>
        <v>#REF!</v>
      </c>
      <c r="GL581" t="e">
        <f>AND(#REF!,"AAAAADm/98E=")</f>
        <v>#REF!</v>
      </c>
      <c r="GM581" t="e">
        <f>AND(#REF!,"AAAAADm/98I=")</f>
        <v>#REF!</v>
      </c>
      <c r="GN581" t="e">
        <f>AND(#REF!,"AAAAADm/98M=")</f>
        <v>#REF!</v>
      </c>
      <c r="GO581" t="e">
        <f>AND(#REF!,"AAAAADm/98Q=")</f>
        <v>#REF!</v>
      </c>
      <c r="GP581" t="e">
        <f>AND(#REF!,"AAAAADm/98U=")</f>
        <v>#REF!</v>
      </c>
      <c r="GQ581" t="e">
        <f>AND(#REF!,"AAAAADm/98Y=")</f>
        <v>#REF!</v>
      </c>
      <c r="GR581" t="e">
        <f>AND(#REF!,"AAAAADm/98c=")</f>
        <v>#REF!</v>
      </c>
      <c r="GS581" t="e">
        <f>AND(#REF!,"AAAAADm/98g=")</f>
        <v>#REF!</v>
      </c>
      <c r="GT581" t="e">
        <f>AND(#REF!,"AAAAADm/98k=")</f>
        <v>#REF!</v>
      </c>
      <c r="GU581" t="e">
        <f>AND(#REF!,"AAAAADm/98o=")</f>
        <v>#REF!</v>
      </c>
      <c r="GV581" t="e">
        <f>AND(#REF!,"AAAAADm/98s=")</f>
        <v>#REF!</v>
      </c>
      <c r="GW581" t="e">
        <f>AND(#REF!,"AAAAADm/98w=")</f>
        <v>#REF!</v>
      </c>
      <c r="GX581" t="e">
        <f>IF(#REF!,"AAAAADm/980=",0)</f>
        <v>#REF!</v>
      </c>
      <c r="GY581" t="e">
        <f>AND(#REF!,"AAAAADm/984=")</f>
        <v>#REF!</v>
      </c>
      <c r="GZ581" t="e">
        <f>AND(#REF!,"AAAAADm/988=")</f>
        <v>#REF!</v>
      </c>
      <c r="HA581" t="e">
        <f>AND(#REF!,"AAAAADm/99A=")</f>
        <v>#REF!</v>
      </c>
      <c r="HB581" t="e">
        <f>AND(#REF!,"AAAAADm/99E=")</f>
        <v>#REF!</v>
      </c>
      <c r="HC581" t="e">
        <f>AND(#REF!,"AAAAADm/99I=")</f>
        <v>#REF!</v>
      </c>
      <c r="HD581" t="e">
        <f>AND(#REF!,"AAAAADm/99M=")</f>
        <v>#REF!</v>
      </c>
      <c r="HE581" t="e">
        <f>AND(#REF!,"AAAAADm/99Q=")</f>
        <v>#REF!</v>
      </c>
      <c r="HF581" t="e">
        <f>AND(#REF!,"AAAAADm/99U=")</f>
        <v>#REF!</v>
      </c>
      <c r="HG581" t="e">
        <f>AND(#REF!,"AAAAADm/99Y=")</f>
        <v>#REF!</v>
      </c>
      <c r="HH581" t="e">
        <f>AND(#REF!,"AAAAADm/99c=")</f>
        <v>#REF!</v>
      </c>
      <c r="HI581" t="e">
        <f>AND(#REF!,"AAAAADm/99g=")</f>
        <v>#REF!</v>
      </c>
      <c r="HJ581" t="e">
        <f>AND(#REF!,"AAAAADm/99k=")</f>
        <v>#REF!</v>
      </c>
      <c r="HK581" t="e">
        <f>AND(#REF!,"AAAAADm/99o=")</f>
        <v>#REF!</v>
      </c>
      <c r="HL581" t="e">
        <f>AND(#REF!,"AAAAADm/99s=")</f>
        <v>#REF!</v>
      </c>
      <c r="HM581" t="e">
        <f>AND(#REF!,"AAAAADm/99w=")</f>
        <v>#REF!</v>
      </c>
      <c r="HN581" t="e">
        <f>AND(#REF!,"AAAAADm/990=")</f>
        <v>#REF!</v>
      </c>
      <c r="HO581" t="e">
        <f>AND(#REF!,"AAAAADm/994=")</f>
        <v>#REF!</v>
      </c>
      <c r="HP581" t="e">
        <f>AND(#REF!,"AAAAADm/998=")</f>
        <v>#REF!</v>
      </c>
      <c r="HQ581" t="e">
        <f>AND(#REF!,"AAAAADm/9+A=")</f>
        <v>#REF!</v>
      </c>
      <c r="HR581" t="e">
        <f>AND(#REF!,"AAAAADm/9+E=")</f>
        <v>#REF!</v>
      </c>
      <c r="HS581" t="e">
        <f>AND(#REF!,"AAAAADm/9+I=")</f>
        <v>#REF!</v>
      </c>
      <c r="HT581" t="e">
        <f>AND(#REF!,"AAAAADm/9+M=")</f>
        <v>#REF!</v>
      </c>
      <c r="HU581" t="e">
        <f>AND(#REF!,"AAAAADm/9+Q=")</f>
        <v>#REF!</v>
      </c>
      <c r="HV581" t="e">
        <f>AND(#REF!,"AAAAADm/9+U=")</f>
        <v>#REF!</v>
      </c>
      <c r="HW581" t="e">
        <f>IF(#REF!,"AAAAADm/9+Y=",0)</f>
        <v>#REF!</v>
      </c>
      <c r="HX581" t="e">
        <f>AND(#REF!,"AAAAADm/9+c=")</f>
        <v>#REF!</v>
      </c>
      <c r="HY581" t="e">
        <f>AND(#REF!,"AAAAADm/9+g=")</f>
        <v>#REF!</v>
      </c>
      <c r="HZ581" t="e">
        <f>AND(#REF!,"AAAAADm/9+k=")</f>
        <v>#REF!</v>
      </c>
      <c r="IA581" t="e">
        <f>AND(#REF!,"AAAAADm/9+o=")</f>
        <v>#REF!</v>
      </c>
      <c r="IB581" t="e">
        <f>AND(#REF!,"AAAAADm/9+s=")</f>
        <v>#REF!</v>
      </c>
      <c r="IC581" t="e">
        <f>AND(#REF!,"AAAAADm/9+w=")</f>
        <v>#REF!</v>
      </c>
      <c r="ID581" t="e">
        <f>AND(#REF!,"AAAAADm/9+0=")</f>
        <v>#REF!</v>
      </c>
      <c r="IE581" t="e">
        <f>AND(#REF!,"AAAAADm/9+4=")</f>
        <v>#REF!</v>
      </c>
      <c r="IF581" t="e">
        <f>AND(#REF!,"AAAAADm/9+8=")</f>
        <v>#REF!</v>
      </c>
      <c r="IG581" t="e">
        <f>AND(#REF!,"AAAAADm/9/A=")</f>
        <v>#REF!</v>
      </c>
      <c r="IH581" t="e">
        <f>AND(#REF!,"AAAAADm/9/E=")</f>
        <v>#REF!</v>
      </c>
      <c r="II581" t="e">
        <f>AND(#REF!,"AAAAADm/9/I=")</f>
        <v>#REF!</v>
      </c>
      <c r="IJ581" t="e">
        <f>AND(#REF!,"AAAAADm/9/M=")</f>
        <v>#REF!</v>
      </c>
      <c r="IK581" t="e">
        <f>AND(#REF!,"AAAAADm/9/Q=")</f>
        <v>#REF!</v>
      </c>
      <c r="IL581" t="e">
        <f>AND(#REF!,"AAAAADm/9/U=")</f>
        <v>#REF!</v>
      </c>
      <c r="IM581" t="e">
        <f>AND(#REF!,"AAAAADm/9/Y=")</f>
        <v>#REF!</v>
      </c>
      <c r="IN581" t="e">
        <f>AND(#REF!,"AAAAADm/9/c=")</f>
        <v>#REF!</v>
      </c>
      <c r="IO581" t="e">
        <f>AND(#REF!,"AAAAADm/9/g=")</f>
        <v>#REF!</v>
      </c>
      <c r="IP581" t="e">
        <f>AND(#REF!,"AAAAADm/9/k=")</f>
        <v>#REF!</v>
      </c>
      <c r="IQ581" t="e">
        <f>AND(#REF!,"AAAAADm/9/o=")</f>
        <v>#REF!</v>
      </c>
      <c r="IR581" t="e">
        <f>AND(#REF!,"AAAAADm/9/s=")</f>
        <v>#REF!</v>
      </c>
      <c r="IS581" t="e">
        <f>AND(#REF!,"AAAAADm/9/w=")</f>
        <v>#REF!</v>
      </c>
      <c r="IT581" t="e">
        <f>AND(#REF!,"AAAAADm/9/0=")</f>
        <v>#REF!</v>
      </c>
      <c r="IU581" t="e">
        <f>AND(#REF!,"AAAAADm/9/4=")</f>
        <v>#REF!</v>
      </c>
      <c r="IV581" t="e">
        <f>IF(#REF!,"AAAAADm/9/8=",0)</f>
        <v>#REF!</v>
      </c>
    </row>
    <row r="582" spans="1:256">
      <c r="A582" t="e">
        <f>AND(#REF!,"AAAAAGW6XwA=")</f>
        <v>#REF!</v>
      </c>
      <c r="B582" t="e">
        <f>AND(#REF!,"AAAAAGW6XwE=")</f>
        <v>#REF!</v>
      </c>
      <c r="C582" t="e">
        <f>AND(#REF!,"AAAAAGW6XwI=")</f>
        <v>#REF!</v>
      </c>
      <c r="D582" t="e">
        <f>AND(#REF!,"AAAAAGW6XwM=")</f>
        <v>#REF!</v>
      </c>
      <c r="E582" t="e">
        <f>AND(#REF!,"AAAAAGW6XwQ=")</f>
        <v>#REF!</v>
      </c>
      <c r="F582" t="e">
        <f>AND(#REF!,"AAAAAGW6XwU=")</f>
        <v>#REF!</v>
      </c>
      <c r="G582" t="e">
        <f>AND(#REF!,"AAAAAGW6XwY=")</f>
        <v>#REF!</v>
      </c>
      <c r="H582" t="e">
        <f>AND(#REF!,"AAAAAGW6Xwc=")</f>
        <v>#REF!</v>
      </c>
      <c r="I582" t="e">
        <f>AND(#REF!,"AAAAAGW6Xwg=")</f>
        <v>#REF!</v>
      </c>
      <c r="J582" t="e">
        <f>AND(#REF!,"AAAAAGW6Xwk=")</f>
        <v>#REF!</v>
      </c>
      <c r="K582" t="e">
        <f>AND(#REF!,"AAAAAGW6Xwo=")</f>
        <v>#REF!</v>
      </c>
      <c r="L582" t="e">
        <f>AND(#REF!,"AAAAAGW6Xws=")</f>
        <v>#REF!</v>
      </c>
      <c r="M582" t="e">
        <f>AND(#REF!,"AAAAAGW6Xww=")</f>
        <v>#REF!</v>
      </c>
      <c r="N582" t="e">
        <f>AND(#REF!,"AAAAAGW6Xw0=")</f>
        <v>#REF!</v>
      </c>
      <c r="O582" t="e">
        <f>AND(#REF!,"AAAAAGW6Xw4=")</f>
        <v>#REF!</v>
      </c>
      <c r="P582" t="e">
        <f>AND(#REF!,"AAAAAGW6Xw8=")</f>
        <v>#REF!</v>
      </c>
      <c r="Q582" t="e">
        <f>AND(#REF!,"AAAAAGW6XxA=")</f>
        <v>#REF!</v>
      </c>
      <c r="R582" t="e">
        <f>AND(#REF!,"AAAAAGW6XxE=")</f>
        <v>#REF!</v>
      </c>
      <c r="S582" t="e">
        <f>AND(#REF!,"AAAAAGW6XxI=")</f>
        <v>#REF!</v>
      </c>
      <c r="T582" t="e">
        <f>AND(#REF!,"AAAAAGW6XxM=")</f>
        <v>#REF!</v>
      </c>
      <c r="U582" t="e">
        <f>AND(#REF!,"AAAAAGW6XxQ=")</f>
        <v>#REF!</v>
      </c>
      <c r="V582" t="e">
        <f>AND(#REF!,"AAAAAGW6XxU=")</f>
        <v>#REF!</v>
      </c>
      <c r="W582" t="e">
        <f>AND(#REF!,"AAAAAGW6XxY=")</f>
        <v>#REF!</v>
      </c>
      <c r="X582" t="e">
        <f>AND(#REF!,"AAAAAGW6Xxc=")</f>
        <v>#REF!</v>
      </c>
      <c r="Y582" t="e">
        <f>IF(#REF!,"AAAAAGW6Xxg=",0)</f>
        <v>#REF!</v>
      </c>
      <c r="Z582" t="e">
        <f>AND(#REF!,"AAAAAGW6Xxk=")</f>
        <v>#REF!</v>
      </c>
      <c r="AA582" t="e">
        <f>AND(#REF!,"AAAAAGW6Xxo=")</f>
        <v>#REF!</v>
      </c>
      <c r="AB582" t="e">
        <f>AND(#REF!,"AAAAAGW6Xxs=")</f>
        <v>#REF!</v>
      </c>
      <c r="AC582" t="e">
        <f>AND(#REF!,"AAAAAGW6Xxw=")</f>
        <v>#REF!</v>
      </c>
      <c r="AD582" t="e">
        <f>AND(#REF!,"AAAAAGW6Xx0=")</f>
        <v>#REF!</v>
      </c>
      <c r="AE582" t="e">
        <f>AND(#REF!,"AAAAAGW6Xx4=")</f>
        <v>#REF!</v>
      </c>
      <c r="AF582" t="e">
        <f>AND(#REF!,"AAAAAGW6Xx8=")</f>
        <v>#REF!</v>
      </c>
      <c r="AG582" t="e">
        <f>AND(#REF!,"AAAAAGW6XyA=")</f>
        <v>#REF!</v>
      </c>
      <c r="AH582" t="e">
        <f>AND(#REF!,"AAAAAGW6XyE=")</f>
        <v>#REF!</v>
      </c>
      <c r="AI582" t="e">
        <f>AND(#REF!,"AAAAAGW6XyI=")</f>
        <v>#REF!</v>
      </c>
      <c r="AJ582" t="e">
        <f>AND(#REF!,"AAAAAGW6XyM=")</f>
        <v>#REF!</v>
      </c>
      <c r="AK582" t="e">
        <f>AND(#REF!,"AAAAAGW6XyQ=")</f>
        <v>#REF!</v>
      </c>
      <c r="AL582" t="e">
        <f>AND(#REF!,"AAAAAGW6XyU=")</f>
        <v>#REF!</v>
      </c>
      <c r="AM582" t="e">
        <f>AND(#REF!,"AAAAAGW6XyY=")</f>
        <v>#REF!</v>
      </c>
      <c r="AN582" t="e">
        <f>AND(#REF!,"AAAAAGW6Xyc=")</f>
        <v>#REF!</v>
      </c>
      <c r="AO582" t="e">
        <f>AND(#REF!,"AAAAAGW6Xyg=")</f>
        <v>#REF!</v>
      </c>
      <c r="AP582" t="e">
        <f>AND(#REF!,"AAAAAGW6Xyk=")</f>
        <v>#REF!</v>
      </c>
      <c r="AQ582" t="e">
        <f>AND(#REF!,"AAAAAGW6Xyo=")</f>
        <v>#REF!</v>
      </c>
      <c r="AR582" t="e">
        <f>AND(#REF!,"AAAAAGW6Xys=")</f>
        <v>#REF!</v>
      </c>
      <c r="AS582" t="e">
        <f>AND(#REF!,"AAAAAGW6Xyw=")</f>
        <v>#REF!</v>
      </c>
      <c r="AT582" t="e">
        <f>AND(#REF!,"AAAAAGW6Xy0=")</f>
        <v>#REF!</v>
      </c>
      <c r="AU582" t="e">
        <f>AND(#REF!,"AAAAAGW6Xy4=")</f>
        <v>#REF!</v>
      </c>
      <c r="AV582" t="e">
        <f>AND(#REF!,"AAAAAGW6Xy8=")</f>
        <v>#REF!</v>
      </c>
      <c r="AW582" t="e">
        <f>AND(#REF!,"AAAAAGW6XzA=")</f>
        <v>#REF!</v>
      </c>
      <c r="AX582" t="e">
        <f>IF(#REF!,"AAAAAGW6XzE=",0)</f>
        <v>#REF!</v>
      </c>
      <c r="AY582" t="e">
        <f>AND(#REF!,"AAAAAGW6XzI=")</f>
        <v>#REF!</v>
      </c>
      <c r="AZ582" t="e">
        <f>AND(#REF!,"AAAAAGW6XzM=")</f>
        <v>#REF!</v>
      </c>
      <c r="BA582" t="e">
        <f>AND(#REF!,"AAAAAGW6XzQ=")</f>
        <v>#REF!</v>
      </c>
      <c r="BB582" t="e">
        <f>AND(#REF!,"AAAAAGW6XzU=")</f>
        <v>#REF!</v>
      </c>
      <c r="BC582" t="e">
        <f>AND(#REF!,"AAAAAGW6XzY=")</f>
        <v>#REF!</v>
      </c>
      <c r="BD582" t="e">
        <f>AND(#REF!,"AAAAAGW6Xzc=")</f>
        <v>#REF!</v>
      </c>
      <c r="BE582" t="e">
        <f>AND(#REF!,"AAAAAGW6Xzg=")</f>
        <v>#REF!</v>
      </c>
      <c r="BF582" t="e">
        <f>AND(#REF!,"AAAAAGW6Xzk=")</f>
        <v>#REF!</v>
      </c>
      <c r="BG582" t="e">
        <f>AND(#REF!,"AAAAAGW6Xzo=")</f>
        <v>#REF!</v>
      </c>
      <c r="BH582" t="e">
        <f>AND(#REF!,"AAAAAGW6Xzs=")</f>
        <v>#REF!</v>
      </c>
      <c r="BI582" t="e">
        <f>AND(#REF!,"AAAAAGW6Xzw=")</f>
        <v>#REF!</v>
      </c>
      <c r="BJ582" t="e">
        <f>AND(#REF!,"AAAAAGW6Xz0=")</f>
        <v>#REF!</v>
      </c>
      <c r="BK582" t="e">
        <f>AND(#REF!,"AAAAAGW6Xz4=")</f>
        <v>#REF!</v>
      </c>
      <c r="BL582" t="e">
        <f>AND(#REF!,"AAAAAGW6Xz8=")</f>
        <v>#REF!</v>
      </c>
      <c r="BM582" t="e">
        <f>AND(#REF!,"AAAAAGW6X0A=")</f>
        <v>#REF!</v>
      </c>
      <c r="BN582" t="e">
        <f>AND(#REF!,"AAAAAGW6X0E=")</f>
        <v>#REF!</v>
      </c>
      <c r="BO582" t="e">
        <f>AND(#REF!,"AAAAAGW6X0I=")</f>
        <v>#REF!</v>
      </c>
      <c r="BP582" t="e">
        <f>AND(#REF!,"AAAAAGW6X0M=")</f>
        <v>#REF!</v>
      </c>
      <c r="BQ582" t="e">
        <f>AND(#REF!,"AAAAAGW6X0Q=")</f>
        <v>#REF!</v>
      </c>
      <c r="BR582" t="e">
        <f>AND(#REF!,"AAAAAGW6X0U=")</f>
        <v>#REF!</v>
      </c>
      <c r="BS582" t="e">
        <f>AND(#REF!,"AAAAAGW6X0Y=")</f>
        <v>#REF!</v>
      </c>
      <c r="BT582" t="e">
        <f>AND(#REF!,"AAAAAGW6X0c=")</f>
        <v>#REF!</v>
      </c>
      <c r="BU582" t="e">
        <f>AND(#REF!,"AAAAAGW6X0g=")</f>
        <v>#REF!</v>
      </c>
      <c r="BV582" t="e">
        <f>AND(#REF!,"AAAAAGW6X0k=")</f>
        <v>#REF!</v>
      </c>
      <c r="BW582" t="e">
        <f>IF(#REF!,"AAAAAGW6X0o=",0)</f>
        <v>#REF!</v>
      </c>
      <c r="BX582" t="e">
        <f>AND(#REF!,"AAAAAGW6X0s=")</f>
        <v>#REF!</v>
      </c>
      <c r="BY582" t="e">
        <f>AND(#REF!,"AAAAAGW6X0w=")</f>
        <v>#REF!</v>
      </c>
      <c r="BZ582" t="e">
        <f>AND(#REF!,"AAAAAGW6X00=")</f>
        <v>#REF!</v>
      </c>
      <c r="CA582" t="e">
        <f>AND(#REF!,"AAAAAGW6X04=")</f>
        <v>#REF!</v>
      </c>
      <c r="CB582" t="e">
        <f>AND(#REF!,"AAAAAGW6X08=")</f>
        <v>#REF!</v>
      </c>
      <c r="CC582" t="e">
        <f>AND(#REF!,"AAAAAGW6X1A=")</f>
        <v>#REF!</v>
      </c>
      <c r="CD582" t="e">
        <f>AND(#REF!,"AAAAAGW6X1E=")</f>
        <v>#REF!</v>
      </c>
      <c r="CE582" t="e">
        <f>AND(#REF!,"AAAAAGW6X1I=")</f>
        <v>#REF!</v>
      </c>
      <c r="CF582" t="e">
        <f>AND(#REF!,"AAAAAGW6X1M=")</f>
        <v>#REF!</v>
      </c>
      <c r="CG582" t="e">
        <f>AND(#REF!,"AAAAAGW6X1Q=")</f>
        <v>#REF!</v>
      </c>
      <c r="CH582" t="e">
        <f>AND(#REF!,"AAAAAGW6X1U=")</f>
        <v>#REF!</v>
      </c>
      <c r="CI582" t="e">
        <f>AND(#REF!,"AAAAAGW6X1Y=")</f>
        <v>#REF!</v>
      </c>
      <c r="CJ582" t="e">
        <f>AND(#REF!,"AAAAAGW6X1c=")</f>
        <v>#REF!</v>
      </c>
      <c r="CK582" t="e">
        <f>AND(#REF!,"AAAAAGW6X1g=")</f>
        <v>#REF!</v>
      </c>
      <c r="CL582" t="e">
        <f>AND(#REF!,"AAAAAGW6X1k=")</f>
        <v>#REF!</v>
      </c>
      <c r="CM582" t="e">
        <f>AND(#REF!,"AAAAAGW6X1o=")</f>
        <v>#REF!</v>
      </c>
      <c r="CN582" t="e">
        <f>AND(#REF!,"AAAAAGW6X1s=")</f>
        <v>#REF!</v>
      </c>
      <c r="CO582" t="e">
        <f>AND(#REF!,"AAAAAGW6X1w=")</f>
        <v>#REF!</v>
      </c>
      <c r="CP582" t="e">
        <f>AND(#REF!,"AAAAAGW6X10=")</f>
        <v>#REF!</v>
      </c>
      <c r="CQ582" t="e">
        <f>AND(#REF!,"AAAAAGW6X14=")</f>
        <v>#REF!</v>
      </c>
      <c r="CR582" t="e">
        <f>AND(#REF!,"AAAAAGW6X18=")</f>
        <v>#REF!</v>
      </c>
      <c r="CS582" t="e">
        <f>AND(#REF!,"AAAAAGW6X2A=")</f>
        <v>#REF!</v>
      </c>
      <c r="CT582" t="e">
        <f>AND(#REF!,"AAAAAGW6X2E=")</f>
        <v>#REF!</v>
      </c>
      <c r="CU582" t="e">
        <f>AND(#REF!,"AAAAAGW6X2I=")</f>
        <v>#REF!</v>
      </c>
      <c r="CV582" t="e">
        <f>IF(#REF!,"AAAAAGW6X2M=",0)</f>
        <v>#REF!</v>
      </c>
      <c r="CW582" t="e">
        <f>AND(#REF!,"AAAAAGW6X2Q=")</f>
        <v>#REF!</v>
      </c>
      <c r="CX582" t="e">
        <f>AND(#REF!,"AAAAAGW6X2U=")</f>
        <v>#REF!</v>
      </c>
      <c r="CY582" t="e">
        <f>AND(#REF!,"AAAAAGW6X2Y=")</f>
        <v>#REF!</v>
      </c>
      <c r="CZ582" t="e">
        <f>AND(#REF!,"AAAAAGW6X2c=")</f>
        <v>#REF!</v>
      </c>
      <c r="DA582" t="e">
        <f>AND(#REF!,"AAAAAGW6X2g=")</f>
        <v>#REF!</v>
      </c>
      <c r="DB582" t="e">
        <f>AND(#REF!,"AAAAAGW6X2k=")</f>
        <v>#REF!</v>
      </c>
      <c r="DC582" t="e">
        <f>AND(#REF!,"AAAAAGW6X2o=")</f>
        <v>#REF!</v>
      </c>
      <c r="DD582" t="e">
        <f>AND(#REF!,"AAAAAGW6X2s=")</f>
        <v>#REF!</v>
      </c>
      <c r="DE582" t="e">
        <f>AND(#REF!,"AAAAAGW6X2w=")</f>
        <v>#REF!</v>
      </c>
      <c r="DF582" t="e">
        <f>AND(#REF!,"AAAAAGW6X20=")</f>
        <v>#REF!</v>
      </c>
      <c r="DG582" t="e">
        <f>AND(#REF!,"AAAAAGW6X24=")</f>
        <v>#REF!</v>
      </c>
      <c r="DH582" t="e">
        <f>AND(#REF!,"AAAAAGW6X28=")</f>
        <v>#REF!</v>
      </c>
      <c r="DI582" t="e">
        <f>AND(#REF!,"AAAAAGW6X3A=")</f>
        <v>#REF!</v>
      </c>
      <c r="DJ582" t="e">
        <f>AND(#REF!,"AAAAAGW6X3E=")</f>
        <v>#REF!</v>
      </c>
      <c r="DK582" t="e">
        <f>AND(#REF!,"AAAAAGW6X3I=")</f>
        <v>#REF!</v>
      </c>
      <c r="DL582" t="e">
        <f>AND(#REF!,"AAAAAGW6X3M=")</f>
        <v>#REF!</v>
      </c>
      <c r="DM582" t="e">
        <f>AND(#REF!,"AAAAAGW6X3Q=")</f>
        <v>#REF!</v>
      </c>
      <c r="DN582" t="e">
        <f>AND(#REF!,"AAAAAGW6X3U=")</f>
        <v>#REF!</v>
      </c>
      <c r="DO582" t="e">
        <f>AND(#REF!,"AAAAAGW6X3Y=")</f>
        <v>#REF!</v>
      </c>
      <c r="DP582" t="e">
        <f>AND(#REF!,"AAAAAGW6X3c=")</f>
        <v>#REF!</v>
      </c>
      <c r="DQ582" t="e">
        <f>AND(#REF!,"AAAAAGW6X3g=")</f>
        <v>#REF!</v>
      </c>
      <c r="DR582" t="e">
        <f>AND(#REF!,"AAAAAGW6X3k=")</f>
        <v>#REF!</v>
      </c>
      <c r="DS582" t="e">
        <f>AND(#REF!,"AAAAAGW6X3o=")</f>
        <v>#REF!</v>
      </c>
      <c r="DT582" t="e">
        <f>AND(#REF!,"AAAAAGW6X3s=")</f>
        <v>#REF!</v>
      </c>
      <c r="DU582" t="e">
        <f>IF(#REF!,"AAAAAGW6X3w=",0)</f>
        <v>#REF!</v>
      </c>
      <c r="DV582" t="e">
        <f>AND(#REF!,"AAAAAGW6X30=")</f>
        <v>#REF!</v>
      </c>
      <c r="DW582" t="e">
        <f>AND(#REF!,"AAAAAGW6X34=")</f>
        <v>#REF!</v>
      </c>
      <c r="DX582" t="e">
        <f>AND(#REF!,"AAAAAGW6X38=")</f>
        <v>#REF!</v>
      </c>
      <c r="DY582" t="e">
        <f>AND(#REF!,"AAAAAGW6X4A=")</f>
        <v>#REF!</v>
      </c>
      <c r="DZ582" t="e">
        <f>AND(#REF!,"AAAAAGW6X4E=")</f>
        <v>#REF!</v>
      </c>
      <c r="EA582" t="e">
        <f>AND(#REF!,"AAAAAGW6X4I=")</f>
        <v>#REF!</v>
      </c>
      <c r="EB582" t="e">
        <f>AND(#REF!,"AAAAAGW6X4M=")</f>
        <v>#REF!</v>
      </c>
      <c r="EC582" t="e">
        <f>AND(#REF!,"AAAAAGW6X4Q=")</f>
        <v>#REF!</v>
      </c>
      <c r="ED582" t="e">
        <f>AND(#REF!,"AAAAAGW6X4U=")</f>
        <v>#REF!</v>
      </c>
      <c r="EE582" t="e">
        <f>AND(#REF!,"AAAAAGW6X4Y=")</f>
        <v>#REF!</v>
      </c>
      <c r="EF582" t="e">
        <f>AND(#REF!,"AAAAAGW6X4c=")</f>
        <v>#REF!</v>
      </c>
      <c r="EG582" t="e">
        <f>AND(#REF!,"AAAAAGW6X4g=")</f>
        <v>#REF!</v>
      </c>
      <c r="EH582" t="e">
        <f>AND(#REF!,"AAAAAGW6X4k=")</f>
        <v>#REF!</v>
      </c>
      <c r="EI582" t="e">
        <f>AND(#REF!,"AAAAAGW6X4o=")</f>
        <v>#REF!</v>
      </c>
      <c r="EJ582" t="e">
        <f>AND(#REF!,"AAAAAGW6X4s=")</f>
        <v>#REF!</v>
      </c>
      <c r="EK582" t="e">
        <f>AND(#REF!,"AAAAAGW6X4w=")</f>
        <v>#REF!</v>
      </c>
      <c r="EL582" t="e">
        <f>AND(#REF!,"AAAAAGW6X40=")</f>
        <v>#REF!</v>
      </c>
      <c r="EM582" t="e">
        <f>AND(#REF!,"AAAAAGW6X44=")</f>
        <v>#REF!</v>
      </c>
      <c r="EN582" t="e">
        <f>AND(#REF!,"AAAAAGW6X48=")</f>
        <v>#REF!</v>
      </c>
      <c r="EO582" t="e">
        <f>AND(#REF!,"AAAAAGW6X5A=")</f>
        <v>#REF!</v>
      </c>
      <c r="EP582" t="e">
        <f>AND(#REF!,"AAAAAGW6X5E=")</f>
        <v>#REF!</v>
      </c>
      <c r="EQ582" t="e">
        <f>AND(#REF!,"AAAAAGW6X5I=")</f>
        <v>#REF!</v>
      </c>
      <c r="ER582" t="e">
        <f>AND(#REF!,"AAAAAGW6X5M=")</f>
        <v>#REF!</v>
      </c>
      <c r="ES582" t="e">
        <f>AND(#REF!,"AAAAAGW6X5Q=")</f>
        <v>#REF!</v>
      </c>
      <c r="ET582" t="e">
        <f>IF(#REF!,"AAAAAGW6X5U=",0)</f>
        <v>#REF!</v>
      </c>
      <c r="EU582" t="e">
        <f>AND(#REF!,"AAAAAGW6X5Y=")</f>
        <v>#REF!</v>
      </c>
      <c r="EV582" t="e">
        <f>AND(#REF!,"AAAAAGW6X5c=")</f>
        <v>#REF!</v>
      </c>
      <c r="EW582" t="e">
        <f>AND(#REF!,"AAAAAGW6X5g=")</f>
        <v>#REF!</v>
      </c>
      <c r="EX582" t="e">
        <f>AND(#REF!,"AAAAAGW6X5k=")</f>
        <v>#REF!</v>
      </c>
      <c r="EY582" t="e">
        <f>AND(#REF!,"AAAAAGW6X5o=")</f>
        <v>#REF!</v>
      </c>
      <c r="EZ582" t="e">
        <f>AND(#REF!,"AAAAAGW6X5s=")</f>
        <v>#REF!</v>
      </c>
      <c r="FA582" t="e">
        <f>AND(#REF!,"AAAAAGW6X5w=")</f>
        <v>#REF!</v>
      </c>
      <c r="FB582" t="e">
        <f>AND(#REF!,"AAAAAGW6X50=")</f>
        <v>#REF!</v>
      </c>
      <c r="FC582" t="e">
        <f>AND(#REF!,"AAAAAGW6X54=")</f>
        <v>#REF!</v>
      </c>
      <c r="FD582" t="e">
        <f>AND(#REF!,"AAAAAGW6X58=")</f>
        <v>#REF!</v>
      </c>
      <c r="FE582" t="e">
        <f>AND(#REF!,"AAAAAGW6X6A=")</f>
        <v>#REF!</v>
      </c>
      <c r="FF582" t="e">
        <f>AND(#REF!,"AAAAAGW6X6E=")</f>
        <v>#REF!</v>
      </c>
      <c r="FG582" t="e">
        <f>AND(#REF!,"AAAAAGW6X6I=")</f>
        <v>#REF!</v>
      </c>
      <c r="FH582" t="e">
        <f>AND(#REF!,"AAAAAGW6X6M=")</f>
        <v>#REF!</v>
      </c>
      <c r="FI582" t="e">
        <f>AND(#REF!,"AAAAAGW6X6Q=")</f>
        <v>#REF!</v>
      </c>
      <c r="FJ582" t="e">
        <f>AND(#REF!,"AAAAAGW6X6U=")</f>
        <v>#REF!</v>
      </c>
      <c r="FK582" t="e">
        <f>AND(#REF!,"AAAAAGW6X6Y=")</f>
        <v>#REF!</v>
      </c>
      <c r="FL582" t="e">
        <f>AND(#REF!,"AAAAAGW6X6c=")</f>
        <v>#REF!</v>
      </c>
      <c r="FM582" t="e">
        <f>AND(#REF!,"AAAAAGW6X6g=")</f>
        <v>#REF!</v>
      </c>
      <c r="FN582" t="e">
        <f>AND(#REF!,"AAAAAGW6X6k=")</f>
        <v>#REF!</v>
      </c>
      <c r="FO582" t="e">
        <f>AND(#REF!,"AAAAAGW6X6o=")</f>
        <v>#REF!</v>
      </c>
      <c r="FP582" t="e">
        <f>AND(#REF!,"AAAAAGW6X6s=")</f>
        <v>#REF!</v>
      </c>
      <c r="FQ582" t="e">
        <f>AND(#REF!,"AAAAAGW6X6w=")</f>
        <v>#REF!</v>
      </c>
      <c r="FR582" t="e">
        <f>AND(#REF!,"AAAAAGW6X60=")</f>
        <v>#REF!</v>
      </c>
      <c r="FS582" t="e">
        <f>IF(#REF!,"AAAAAGW6X64=",0)</f>
        <v>#REF!</v>
      </c>
      <c r="FT582" t="e">
        <f>AND(#REF!,"AAAAAGW6X68=")</f>
        <v>#REF!</v>
      </c>
      <c r="FU582" t="e">
        <f>AND(#REF!,"AAAAAGW6X7A=")</f>
        <v>#REF!</v>
      </c>
      <c r="FV582" t="e">
        <f>AND(#REF!,"AAAAAGW6X7E=")</f>
        <v>#REF!</v>
      </c>
      <c r="FW582" t="e">
        <f>AND(#REF!,"AAAAAGW6X7I=")</f>
        <v>#REF!</v>
      </c>
      <c r="FX582" t="e">
        <f>AND(#REF!,"AAAAAGW6X7M=")</f>
        <v>#REF!</v>
      </c>
      <c r="FY582" t="e">
        <f>AND(#REF!,"AAAAAGW6X7Q=")</f>
        <v>#REF!</v>
      </c>
      <c r="FZ582" t="e">
        <f>AND(#REF!,"AAAAAGW6X7U=")</f>
        <v>#REF!</v>
      </c>
      <c r="GA582" t="e">
        <f>AND(#REF!,"AAAAAGW6X7Y=")</f>
        <v>#REF!</v>
      </c>
      <c r="GB582" t="e">
        <f>AND(#REF!,"AAAAAGW6X7c=")</f>
        <v>#REF!</v>
      </c>
      <c r="GC582" t="e">
        <f>AND(#REF!,"AAAAAGW6X7g=")</f>
        <v>#REF!</v>
      </c>
      <c r="GD582" t="e">
        <f>AND(#REF!,"AAAAAGW6X7k=")</f>
        <v>#REF!</v>
      </c>
      <c r="GE582" t="e">
        <f>AND(#REF!,"AAAAAGW6X7o=")</f>
        <v>#REF!</v>
      </c>
      <c r="GF582" t="e">
        <f>AND(#REF!,"AAAAAGW6X7s=")</f>
        <v>#REF!</v>
      </c>
      <c r="GG582" t="e">
        <f>AND(#REF!,"AAAAAGW6X7w=")</f>
        <v>#REF!</v>
      </c>
      <c r="GH582" t="e">
        <f>AND(#REF!,"AAAAAGW6X70=")</f>
        <v>#REF!</v>
      </c>
      <c r="GI582" t="e">
        <f>AND(#REF!,"AAAAAGW6X74=")</f>
        <v>#REF!</v>
      </c>
      <c r="GJ582" t="e">
        <f>AND(#REF!,"AAAAAGW6X78=")</f>
        <v>#REF!</v>
      </c>
      <c r="GK582" t="e">
        <f>AND(#REF!,"AAAAAGW6X8A=")</f>
        <v>#REF!</v>
      </c>
      <c r="GL582" t="e">
        <f>AND(#REF!,"AAAAAGW6X8E=")</f>
        <v>#REF!</v>
      </c>
      <c r="GM582" t="e">
        <f>AND(#REF!,"AAAAAGW6X8I=")</f>
        <v>#REF!</v>
      </c>
      <c r="GN582" t="e">
        <f>AND(#REF!,"AAAAAGW6X8M=")</f>
        <v>#REF!</v>
      </c>
      <c r="GO582" t="e">
        <f>AND(#REF!,"AAAAAGW6X8Q=")</f>
        <v>#REF!</v>
      </c>
      <c r="GP582" t="e">
        <f>AND(#REF!,"AAAAAGW6X8U=")</f>
        <v>#REF!</v>
      </c>
      <c r="GQ582" t="e">
        <f>AND(#REF!,"AAAAAGW6X8Y=")</f>
        <v>#REF!</v>
      </c>
      <c r="GR582" t="e">
        <f>IF(#REF!,"AAAAAGW6X8c=",0)</f>
        <v>#REF!</v>
      </c>
      <c r="GS582" t="e">
        <f>AND(#REF!,"AAAAAGW6X8g=")</f>
        <v>#REF!</v>
      </c>
      <c r="GT582" t="e">
        <f>AND(#REF!,"AAAAAGW6X8k=")</f>
        <v>#REF!</v>
      </c>
      <c r="GU582" t="e">
        <f>AND(#REF!,"AAAAAGW6X8o=")</f>
        <v>#REF!</v>
      </c>
      <c r="GV582" t="e">
        <f>AND(#REF!,"AAAAAGW6X8s=")</f>
        <v>#REF!</v>
      </c>
      <c r="GW582" t="e">
        <f>AND(#REF!,"AAAAAGW6X8w=")</f>
        <v>#REF!</v>
      </c>
      <c r="GX582" t="e">
        <f>AND(#REF!,"AAAAAGW6X80=")</f>
        <v>#REF!</v>
      </c>
      <c r="GY582" t="e">
        <f>AND(#REF!,"AAAAAGW6X84=")</f>
        <v>#REF!</v>
      </c>
      <c r="GZ582" t="e">
        <f>AND(#REF!,"AAAAAGW6X88=")</f>
        <v>#REF!</v>
      </c>
      <c r="HA582" t="e">
        <f>AND(#REF!,"AAAAAGW6X9A=")</f>
        <v>#REF!</v>
      </c>
      <c r="HB582" t="e">
        <f>AND(#REF!,"AAAAAGW6X9E=")</f>
        <v>#REF!</v>
      </c>
      <c r="HC582" t="e">
        <f>AND(#REF!,"AAAAAGW6X9I=")</f>
        <v>#REF!</v>
      </c>
      <c r="HD582" t="e">
        <f>AND(#REF!,"AAAAAGW6X9M=")</f>
        <v>#REF!</v>
      </c>
      <c r="HE582" t="e">
        <f>AND(#REF!,"AAAAAGW6X9Q=")</f>
        <v>#REF!</v>
      </c>
      <c r="HF582" t="e">
        <f>AND(#REF!,"AAAAAGW6X9U=")</f>
        <v>#REF!</v>
      </c>
      <c r="HG582" t="e">
        <f>AND(#REF!,"AAAAAGW6X9Y=")</f>
        <v>#REF!</v>
      </c>
      <c r="HH582" t="e">
        <f>AND(#REF!,"AAAAAGW6X9c=")</f>
        <v>#REF!</v>
      </c>
      <c r="HI582" t="e">
        <f>AND(#REF!,"AAAAAGW6X9g=")</f>
        <v>#REF!</v>
      </c>
      <c r="HJ582" t="e">
        <f>AND(#REF!,"AAAAAGW6X9k=")</f>
        <v>#REF!</v>
      </c>
      <c r="HK582" t="e">
        <f>AND(#REF!,"AAAAAGW6X9o=")</f>
        <v>#REF!</v>
      </c>
      <c r="HL582" t="e">
        <f>AND(#REF!,"AAAAAGW6X9s=")</f>
        <v>#REF!</v>
      </c>
      <c r="HM582" t="e">
        <f>AND(#REF!,"AAAAAGW6X9w=")</f>
        <v>#REF!</v>
      </c>
      <c r="HN582" t="e">
        <f>AND(#REF!,"AAAAAGW6X90=")</f>
        <v>#REF!</v>
      </c>
      <c r="HO582" t="e">
        <f>AND(#REF!,"AAAAAGW6X94=")</f>
        <v>#REF!</v>
      </c>
      <c r="HP582" t="e">
        <f>AND(#REF!,"AAAAAGW6X98=")</f>
        <v>#REF!</v>
      </c>
      <c r="HQ582" t="e">
        <f>IF(#REF!,"AAAAAGW6X+A=",0)</f>
        <v>#REF!</v>
      </c>
      <c r="HR582" t="e">
        <f>AND(#REF!,"AAAAAGW6X+E=")</f>
        <v>#REF!</v>
      </c>
      <c r="HS582" t="e">
        <f>AND(#REF!,"AAAAAGW6X+I=")</f>
        <v>#REF!</v>
      </c>
      <c r="HT582" t="e">
        <f>AND(#REF!,"AAAAAGW6X+M=")</f>
        <v>#REF!</v>
      </c>
      <c r="HU582" t="e">
        <f>AND(#REF!,"AAAAAGW6X+Q=")</f>
        <v>#REF!</v>
      </c>
      <c r="HV582" t="e">
        <f>AND(#REF!,"AAAAAGW6X+U=")</f>
        <v>#REF!</v>
      </c>
      <c r="HW582" t="e">
        <f>AND(#REF!,"AAAAAGW6X+Y=")</f>
        <v>#REF!</v>
      </c>
      <c r="HX582" t="e">
        <f>AND(#REF!,"AAAAAGW6X+c=")</f>
        <v>#REF!</v>
      </c>
      <c r="HY582" t="e">
        <f>AND(#REF!,"AAAAAGW6X+g=")</f>
        <v>#REF!</v>
      </c>
      <c r="HZ582" t="e">
        <f>AND(#REF!,"AAAAAGW6X+k=")</f>
        <v>#REF!</v>
      </c>
      <c r="IA582" t="e">
        <f>AND(#REF!,"AAAAAGW6X+o=")</f>
        <v>#REF!</v>
      </c>
      <c r="IB582" t="e">
        <f>AND(#REF!,"AAAAAGW6X+s=")</f>
        <v>#REF!</v>
      </c>
      <c r="IC582" t="e">
        <f>AND(#REF!,"AAAAAGW6X+w=")</f>
        <v>#REF!</v>
      </c>
      <c r="ID582" t="e">
        <f>AND(#REF!,"AAAAAGW6X+0=")</f>
        <v>#REF!</v>
      </c>
      <c r="IE582" t="e">
        <f>AND(#REF!,"AAAAAGW6X+4=")</f>
        <v>#REF!</v>
      </c>
      <c r="IF582" t="e">
        <f>AND(#REF!,"AAAAAGW6X+8=")</f>
        <v>#REF!</v>
      </c>
      <c r="IG582" t="e">
        <f>AND(#REF!,"AAAAAGW6X/A=")</f>
        <v>#REF!</v>
      </c>
      <c r="IH582" t="e">
        <f>AND(#REF!,"AAAAAGW6X/E=")</f>
        <v>#REF!</v>
      </c>
      <c r="II582" t="e">
        <f>AND(#REF!,"AAAAAGW6X/I=")</f>
        <v>#REF!</v>
      </c>
      <c r="IJ582" t="e">
        <f>AND(#REF!,"AAAAAGW6X/M=")</f>
        <v>#REF!</v>
      </c>
      <c r="IK582" t="e">
        <f>AND(#REF!,"AAAAAGW6X/Q=")</f>
        <v>#REF!</v>
      </c>
      <c r="IL582" t="e">
        <f>AND(#REF!,"AAAAAGW6X/U=")</f>
        <v>#REF!</v>
      </c>
      <c r="IM582" t="e">
        <f>AND(#REF!,"AAAAAGW6X/Y=")</f>
        <v>#REF!</v>
      </c>
      <c r="IN582" t="e">
        <f>AND(#REF!,"AAAAAGW6X/c=")</f>
        <v>#REF!</v>
      </c>
      <c r="IO582" t="e">
        <f>AND(#REF!,"AAAAAGW6X/g=")</f>
        <v>#REF!</v>
      </c>
      <c r="IP582" t="e">
        <f>IF(#REF!,"AAAAAGW6X/k=",0)</f>
        <v>#REF!</v>
      </c>
      <c r="IQ582" t="e">
        <f>AND(#REF!,"AAAAAGW6X/o=")</f>
        <v>#REF!</v>
      </c>
      <c r="IR582" t="e">
        <f>AND(#REF!,"AAAAAGW6X/s=")</f>
        <v>#REF!</v>
      </c>
      <c r="IS582" t="e">
        <f>AND(#REF!,"AAAAAGW6X/w=")</f>
        <v>#REF!</v>
      </c>
      <c r="IT582" t="e">
        <f>AND(#REF!,"AAAAAGW6X/0=")</f>
        <v>#REF!</v>
      </c>
      <c r="IU582" t="e">
        <f>AND(#REF!,"AAAAAGW6X/4=")</f>
        <v>#REF!</v>
      </c>
      <c r="IV582" t="e">
        <f>AND(#REF!,"AAAAAGW6X/8=")</f>
        <v>#REF!</v>
      </c>
    </row>
    <row r="583" spans="1:256">
      <c r="A583" t="e">
        <f>AND(#REF!,"AAAAAHa7JQA=")</f>
        <v>#REF!</v>
      </c>
      <c r="B583" t="e">
        <f>AND(#REF!,"AAAAAHa7JQE=")</f>
        <v>#REF!</v>
      </c>
      <c r="C583" t="e">
        <f>AND(#REF!,"AAAAAHa7JQI=")</f>
        <v>#REF!</v>
      </c>
      <c r="D583" t="e">
        <f>AND(#REF!,"AAAAAHa7JQM=")</f>
        <v>#REF!</v>
      </c>
      <c r="E583" t="e">
        <f>AND(#REF!,"AAAAAHa7JQQ=")</f>
        <v>#REF!</v>
      </c>
      <c r="F583" t="e">
        <f>AND(#REF!,"AAAAAHa7JQU=")</f>
        <v>#REF!</v>
      </c>
      <c r="G583" t="e">
        <f>AND(#REF!,"AAAAAHa7JQY=")</f>
        <v>#REF!</v>
      </c>
      <c r="H583" t="e">
        <f>AND(#REF!,"AAAAAHa7JQc=")</f>
        <v>#REF!</v>
      </c>
      <c r="I583" t="e">
        <f>AND(#REF!,"AAAAAHa7JQg=")</f>
        <v>#REF!</v>
      </c>
      <c r="J583" t="e">
        <f>AND(#REF!,"AAAAAHa7JQk=")</f>
        <v>#REF!</v>
      </c>
      <c r="K583" t="e">
        <f>AND(#REF!,"AAAAAHa7JQo=")</f>
        <v>#REF!</v>
      </c>
      <c r="L583" t="e">
        <f>AND(#REF!,"AAAAAHa7JQs=")</f>
        <v>#REF!</v>
      </c>
      <c r="M583" t="e">
        <f>AND(#REF!,"AAAAAHa7JQw=")</f>
        <v>#REF!</v>
      </c>
      <c r="N583" t="e">
        <f>AND(#REF!,"AAAAAHa7JQ0=")</f>
        <v>#REF!</v>
      </c>
      <c r="O583" t="e">
        <f>AND(#REF!,"AAAAAHa7JQ4=")</f>
        <v>#REF!</v>
      </c>
      <c r="P583" t="e">
        <f>AND(#REF!,"AAAAAHa7JQ8=")</f>
        <v>#REF!</v>
      </c>
      <c r="Q583" t="e">
        <f>AND(#REF!,"AAAAAHa7JRA=")</f>
        <v>#REF!</v>
      </c>
      <c r="R583" t="e">
        <f>AND(#REF!,"AAAAAHa7JRE=")</f>
        <v>#REF!</v>
      </c>
      <c r="S583" t="e">
        <f>IF(#REF!,"AAAAAHa7JRI=",0)</f>
        <v>#REF!</v>
      </c>
      <c r="T583" t="e">
        <f>AND(#REF!,"AAAAAHa7JRM=")</f>
        <v>#REF!</v>
      </c>
      <c r="U583" t="e">
        <f>AND(#REF!,"AAAAAHa7JRQ=")</f>
        <v>#REF!</v>
      </c>
      <c r="V583" t="e">
        <f>AND(#REF!,"AAAAAHa7JRU=")</f>
        <v>#REF!</v>
      </c>
      <c r="W583" t="e">
        <f>AND(#REF!,"AAAAAHa7JRY=")</f>
        <v>#REF!</v>
      </c>
      <c r="X583" t="e">
        <f>AND(#REF!,"AAAAAHa7JRc=")</f>
        <v>#REF!</v>
      </c>
      <c r="Y583" t="e">
        <f>AND(#REF!,"AAAAAHa7JRg=")</f>
        <v>#REF!</v>
      </c>
      <c r="Z583" t="e">
        <f>AND(#REF!,"AAAAAHa7JRk=")</f>
        <v>#REF!</v>
      </c>
      <c r="AA583" t="e">
        <f>AND(#REF!,"AAAAAHa7JRo=")</f>
        <v>#REF!</v>
      </c>
      <c r="AB583" t="e">
        <f>AND(#REF!,"AAAAAHa7JRs=")</f>
        <v>#REF!</v>
      </c>
      <c r="AC583" t="e">
        <f>AND(#REF!,"AAAAAHa7JRw=")</f>
        <v>#REF!</v>
      </c>
      <c r="AD583" t="e">
        <f>AND(#REF!,"AAAAAHa7JR0=")</f>
        <v>#REF!</v>
      </c>
      <c r="AE583" t="e">
        <f>AND(#REF!,"AAAAAHa7JR4=")</f>
        <v>#REF!</v>
      </c>
      <c r="AF583" t="e">
        <f>AND(#REF!,"AAAAAHa7JR8=")</f>
        <v>#REF!</v>
      </c>
      <c r="AG583" t="e">
        <f>AND(#REF!,"AAAAAHa7JSA=")</f>
        <v>#REF!</v>
      </c>
      <c r="AH583" t="e">
        <f>AND(#REF!,"AAAAAHa7JSE=")</f>
        <v>#REF!</v>
      </c>
      <c r="AI583" t="e">
        <f>AND(#REF!,"AAAAAHa7JSI=")</f>
        <v>#REF!</v>
      </c>
      <c r="AJ583" t="e">
        <f>AND(#REF!,"AAAAAHa7JSM=")</f>
        <v>#REF!</v>
      </c>
      <c r="AK583" t="e">
        <f>AND(#REF!,"AAAAAHa7JSQ=")</f>
        <v>#REF!</v>
      </c>
      <c r="AL583" t="e">
        <f>AND(#REF!,"AAAAAHa7JSU=")</f>
        <v>#REF!</v>
      </c>
      <c r="AM583" t="e">
        <f>AND(#REF!,"AAAAAHa7JSY=")</f>
        <v>#REF!</v>
      </c>
      <c r="AN583" t="e">
        <f>AND(#REF!,"AAAAAHa7JSc=")</f>
        <v>#REF!</v>
      </c>
      <c r="AO583" t="e">
        <f>AND(#REF!,"AAAAAHa7JSg=")</f>
        <v>#REF!</v>
      </c>
      <c r="AP583" t="e">
        <f>AND(#REF!,"AAAAAHa7JSk=")</f>
        <v>#REF!</v>
      </c>
      <c r="AQ583" t="e">
        <f>AND(#REF!,"AAAAAHa7JSo=")</f>
        <v>#REF!</v>
      </c>
      <c r="AR583" t="e">
        <f>IF(#REF!,"AAAAAHa7JSs=",0)</f>
        <v>#REF!</v>
      </c>
      <c r="AS583" t="e">
        <f>AND(#REF!,"AAAAAHa7JSw=")</f>
        <v>#REF!</v>
      </c>
      <c r="AT583" t="e">
        <f>AND(#REF!,"AAAAAHa7JS0=")</f>
        <v>#REF!</v>
      </c>
      <c r="AU583" t="e">
        <f>AND(#REF!,"AAAAAHa7JS4=")</f>
        <v>#REF!</v>
      </c>
      <c r="AV583" t="e">
        <f>AND(#REF!,"AAAAAHa7JS8=")</f>
        <v>#REF!</v>
      </c>
      <c r="AW583" t="e">
        <f>AND(#REF!,"AAAAAHa7JTA=")</f>
        <v>#REF!</v>
      </c>
      <c r="AX583" t="e">
        <f>AND(#REF!,"AAAAAHa7JTE=")</f>
        <v>#REF!</v>
      </c>
      <c r="AY583" t="e">
        <f>AND(#REF!,"AAAAAHa7JTI=")</f>
        <v>#REF!</v>
      </c>
      <c r="AZ583" t="e">
        <f>AND(#REF!,"AAAAAHa7JTM=")</f>
        <v>#REF!</v>
      </c>
      <c r="BA583" t="e">
        <f>AND(#REF!,"AAAAAHa7JTQ=")</f>
        <v>#REF!</v>
      </c>
      <c r="BB583" t="e">
        <f>AND(#REF!,"AAAAAHa7JTU=")</f>
        <v>#REF!</v>
      </c>
      <c r="BC583" t="e">
        <f>AND(#REF!,"AAAAAHa7JTY=")</f>
        <v>#REF!</v>
      </c>
      <c r="BD583" t="e">
        <f>AND(#REF!,"AAAAAHa7JTc=")</f>
        <v>#REF!</v>
      </c>
      <c r="BE583" t="e">
        <f>AND(#REF!,"AAAAAHa7JTg=")</f>
        <v>#REF!</v>
      </c>
      <c r="BF583" t="e">
        <f>AND(#REF!,"AAAAAHa7JTk=")</f>
        <v>#REF!</v>
      </c>
      <c r="BG583" t="e">
        <f>AND(#REF!,"AAAAAHa7JTo=")</f>
        <v>#REF!</v>
      </c>
      <c r="BH583" t="e">
        <f>AND(#REF!,"AAAAAHa7JTs=")</f>
        <v>#REF!</v>
      </c>
      <c r="BI583" t="e">
        <f>AND(#REF!,"AAAAAHa7JTw=")</f>
        <v>#REF!</v>
      </c>
      <c r="BJ583" t="e">
        <f>AND(#REF!,"AAAAAHa7JT0=")</f>
        <v>#REF!</v>
      </c>
      <c r="BK583" t="e">
        <f>AND(#REF!,"AAAAAHa7JT4=")</f>
        <v>#REF!</v>
      </c>
      <c r="BL583" t="e">
        <f>AND(#REF!,"AAAAAHa7JT8=")</f>
        <v>#REF!</v>
      </c>
      <c r="BM583" t="e">
        <f>AND(#REF!,"AAAAAHa7JUA=")</f>
        <v>#REF!</v>
      </c>
      <c r="BN583" t="e">
        <f>AND(#REF!,"AAAAAHa7JUE=")</f>
        <v>#REF!</v>
      </c>
      <c r="BO583" t="e">
        <f>AND(#REF!,"AAAAAHa7JUI=")</f>
        <v>#REF!</v>
      </c>
      <c r="BP583" t="e">
        <f>AND(#REF!,"AAAAAHa7JUM=")</f>
        <v>#REF!</v>
      </c>
      <c r="BQ583" t="e">
        <f>IF(#REF!,"AAAAAHa7JUQ=",0)</f>
        <v>#REF!</v>
      </c>
      <c r="BR583" t="e">
        <f>AND(#REF!,"AAAAAHa7JUU=")</f>
        <v>#REF!</v>
      </c>
      <c r="BS583" t="e">
        <f>AND(#REF!,"AAAAAHa7JUY=")</f>
        <v>#REF!</v>
      </c>
      <c r="BT583" t="e">
        <f>AND(#REF!,"AAAAAHa7JUc=")</f>
        <v>#REF!</v>
      </c>
      <c r="BU583" t="e">
        <f>AND(#REF!,"AAAAAHa7JUg=")</f>
        <v>#REF!</v>
      </c>
      <c r="BV583" t="e">
        <f>AND(#REF!,"AAAAAHa7JUk=")</f>
        <v>#REF!</v>
      </c>
      <c r="BW583" t="e">
        <f>AND(#REF!,"AAAAAHa7JUo=")</f>
        <v>#REF!</v>
      </c>
      <c r="BX583" t="e">
        <f>AND(#REF!,"AAAAAHa7JUs=")</f>
        <v>#REF!</v>
      </c>
      <c r="BY583" t="e">
        <f>AND(#REF!,"AAAAAHa7JUw=")</f>
        <v>#REF!</v>
      </c>
      <c r="BZ583" t="e">
        <f>AND(#REF!,"AAAAAHa7JU0=")</f>
        <v>#REF!</v>
      </c>
      <c r="CA583" t="e">
        <f>AND(#REF!,"AAAAAHa7JU4=")</f>
        <v>#REF!</v>
      </c>
      <c r="CB583" t="e">
        <f>AND(#REF!,"AAAAAHa7JU8=")</f>
        <v>#REF!</v>
      </c>
      <c r="CC583" t="e">
        <f>AND(#REF!,"AAAAAHa7JVA=")</f>
        <v>#REF!</v>
      </c>
      <c r="CD583" t="e">
        <f>AND(#REF!,"AAAAAHa7JVE=")</f>
        <v>#REF!</v>
      </c>
      <c r="CE583" t="e">
        <f>AND(#REF!,"AAAAAHa7JVI=")</f>
        <v>#REF!</v>
      </c>
      <c r="CF583" t="e">
        <f>AND(#REF!,"AAAAAHa7JVM=")</f>
        <v>#REF!</v>
      </c>
      <c r="CG583" t="e">
        <f>AND(#REF!,"AAAAAHa7JVQ=")</f>
        <v>#REF!</v>
      </c>
      <c r="CH583" t="e">
        <f>AND(#REF!,"AAAAAHa7JVU=")</f>
        <v>#REF!</v>
      </c>
      <c r="CI583" t="e">
        <f>AND(#REF!,"AAAAAHa7JVY=")</f>
        <v>#REF!</v>
      </c>
      <c r="CJ583" t="e">
        <f>AND(#REF!,"AAAAAHa7JVc=")</f>
        <v>#REF!</v>
      </c>
      <c r="CK583" t="e">
        <f>AND(#REF!,"AAAAAHa7JVg=")</f>
        <v>#REF!</v>
      </c>
      <c r="CL583" t="e">
        <f>AND(#REF!,"AAAAAHa7JVk=")</f>
        <v>#REF!</v>
      </c>
      <c r="CM583" t="e">
        <f>AND(#REF!,"AAAAAHa7JVo=")</f>
        <v>#REF!</v>
      </c>
      <c r="CN583" t="e">
        <f>AND(#REF!,"AAAAAHa7JVs=")</f>
        <v>#REF!</v>
      </c>
      <c r="CO583" t="e">
        <f>AND(#REF!,"AAAAAHa7JVw=")</f>
        <v>#REF!</v>
      </c>
      <c r="CP583" t="e">
        <f>IF(#REF!,"AAAAAHa7JV0=",0)</f>
        <v>#REF!</v>
      </c>
      <c r="CQ583" t="e">
        <f>AND(#REF!,"AAAAAHa7JV4=")</f>
        <v>#REF!</v>
      </c>
      <c r="CR583" t="e">
        <f>AND(#REF!,"AAAAAHa7JV8=")</f>
        <v>#REF!</v>
      </c>
      <c r="CS583" t="e">
        <f>AND(#REF!,"AAAAAHa7JWA=")</f>
        <v>#REF!</v>
      </c>
      <c r="CT583" t="e">
        <f>AND(#REF!,"AAAAAHa7JWE=")</f>
        <v>#REF!</v>
      </c>
      <c r="CU583" t="e">
        <f>AND(#REF!,"AAAAAHa7JWI=")</f>
        <v>#REF!</v>
      </c>
      <c r="CV583" t="e">
        <f>AND(#REF!,"AAAAAHa7JWM=")</f>
        <v>#REF!</v>
      </c>
      <c r="CW583" t="e">
        <f>AND(#REF!,"AAAAAHa7JWQ=")</f>
        <v>#REF!</v>
      </c>
      <c r="CX583" t="e">
        <f>AND(#REF!,"AAAAAHa7JWU=")</f>
        <v>#REF!</v>
      </c>
      <c r="CY583" t="e">
        <f>AND(#REF!,"AAAAAHa7JWY=")</f>
        <v>#REF!</v>
      </c>
      <c r="CZ583" t="e">
        <f>AND(#REF!,"AAAAAHa7JWc=")</f>
        <v>#REF!</v>
      </c>
      <c r="DA583" t="e">
        <f>AND(#REF!,"AAAAAHa7JWg=")</f>
        <v>#REF!</v>
      </c>
      <c r="DB583" t="e">
        <f>AND(#REF!,"AAAAAHa7JWk=")</f>
        <v>#REF!</v>
      </c>
      <c r="DC583" t="e">
        <f>AND(#REF!,"AAAAAHa7JWo=")</f>
        <v>#REF!</v>
      </c>
      <c r="DD583" t="e">
        <f>AND(#REF!,"AAAAAHa7JWs=")</f>
        <v>#REF!</v>
      </c>
      <c r="DE583" t="e">
        <f>AND(#REF!,"AAAAAHa7JWw=")</f>
        <v>#REF!</v>
      </c>
      <c r="DF583" t="e">
        <f>AND(#REF!,"AAAAAHa7JW0=")</f>
        <v>#REF!</v>
      </c>
      <c r="DG583" t="e">
        <f>AND(#REF!,"AAAAAHa7JW4=")</f>
        <v>#REF!</v>
      </c>
      <c r="DH583" t="e">
        <f>AND(#REF!,"AAAAAHa7JW8=")</f>
        <v>#REF!</v>
      </c>
      <c r="DI583" t="e">
        <f>AND(#REF!,"AAAAAHa7JXA=")</f>
        <v>#REF!</v>
      </c>
      <c r="DJ583" t="e">
        <f>AND(#REF!,"AAAAAHa7JXE=")</f>
        <v>#REF!</v>
      </c>
      <c r="DK583" t="e">
        <f>AND(#REF!,"AAAAAHa7JXI=")</f>
        <v>#REF!</v>
      </c>
      <c r="DL583" t="e">
        <f>AND(#REF!,"AAAAAHa7JXM=")</f>
        <v>#REF!</v>
      </c>
      <c r="DM583" t="e">
        <f>AND(#REF!,"AAAAAHa7JXQ=")</f>
        <v>#REF!</v>
      </c>
      <c r="DN583" t="e">
        <f>AND(#REF!,"AAAAAHa7JXU=")</f>
        <v>#REF!</v>
      </c>
      <c r="DO583" t="e">
        <f>IF(#REF!,"AAAAAHa7JXY=",0)</f>
        <v>#REF!</v>
      </c>
      <c r="DP583" t="e">
        <f>AND(#REF!,"AAAAAHa7JXc=")</f>
        <v>#REF!</v>
      </c>
      <c r="DQ583" t="e">
        <f>AND(#REF!,"AAAAAHa7JXg=")</f>
        <v>#REF!</v>
      </c>
      <c r="DR583" t="e">
        <f>AND(#REF!,"AAAAAHa7JXk=")</f>
        <v>#REF!</v>
      </c>
      <c r="DS583" t="e">
        <f>AND(#REF!,"AAAAAHa7JXo=")</f>
        <v>#REF!</v>
      </c>
      <c r="DT583" t="e">
        <f>AND(#REF!,"AAAAAHa7JXs=")</f>
        <v>#REF!</v>
      </c>
      <c r="DU583" t="e">
        <f>AND(#REF!,"AAAAAHa7JXw=")</f>
        <v>#REF!</v>
      </c>
      <c r="DV583" t="e">
        <f>AND(#REF!,"AAAAAHa7JX0=")</f>
        <v>#REF!</v>
      </c>
      <c r="DW583" t="e">
        <f>AND(#REF!,"AAAAAHa7JX4=")</f>
        <v>#REF!</v>
      </c>
      <c r="DX583" t="e">
        <f>AND(#REF!,"AAAAAHa7JX8=")</f>
        <v>#REF!</v>
      </c>
      <c r="DY583" t="e">
        <f>AND(#REF!,"AAAAAHa7JYA=")</f>
        <v>#REF!</v>
      </c>
      <c r="DZ583" t="e">
        <f>AND(#REF!,"AAAAAHa7JYE=")</f>
        <v>#REF!</v>
      </c>
      <c r="EA583" t="e">
        <f>AND(#REF!,"AAAAAHa7JYI=")</f>
        <v>#REF!</v>
      </c>
      <c r="EB583" t="e">
        <f>AND(#REF!,"AAAAAHa7JYM=")</f>
        <v>#REF!</v>
      </c>
      <c r="EC583" t="e">
        <f>AND(#REF!,"AAAAAHa7JYQ=")</f>
        <v>#REF!</v>
      </c>
      <c r="ED583" t="e">
        <f>AND(#REF!,"AAAAAHa7JYU=")</f>
        <v>#REF!</v>
      </c>
      <c r="EE583" t="e">
        <f>AND(#REF!,"AAAAAHa7JYY=")</f>
        <v>#REF!</v>
      </c>
      <c r="EF583" t="e">
        <f>AND(#REF!,"AAAAAHa7JYc=")</f>
        <v>#REF!</v>
      </c>
      <c r="EG583" t="e">
        <f>AND(#REF!,"AAAAAHa7JYg=")</f>
        <v>#REF!</v>
      </c>
      <c r="EH583" t="e">
        <f>AND(#REF!,"AAAAAHa7JYk=")</f>
        <v>#REF!</v>
      </c>
      <c r="EI583" t="e">
        <f>AND(#REF!,"AAAAAHa7JYo=")</f>
        <v>#REF!</v>
      </c>
      <c r="EJ583" t="e">
        <f>AND(#REF!,"AAAAAHa7JYs=")</f>
        <v>#REF!</v>
      </c>
      <c r="EK583" t="e">
        <f>AND(#REF!,"AAAAAHa7JYw=")</f>
        <v>#REF!</v>
      </c>
      <c r="EL583" t="e">
        <f>AND(#REF!,"AAAAAHa7JY0=")</f>
        <v>#REF!</v>
      </c>
      <c r="EM583" t="e">
        <f>AND(#REF!,"AAAAAHa7JY4=")</f>
        <v>#REF!</v>
      </c>
      <c r="EN583" t="e">
        <f>IF(#REF!,"AAAAAHa7JY8=",0)</f>
        <v>#REF!</v>
      </c>
      <c r="EO583" t="e">
        <f>AND(#REF!,"AAAAAHa7JZA=")</f>
        <v>#REF!</v>
      </c>
      <c r="EP583" t="e">
        <f>AND(#REF!,"AAAAAHa7JZE=")</f>
        <v>#REF!</v>
      </c>
      <c r="EQ583" t="e">
        <f>AND(#REF!,"AAAAAHa7JZI=")</f>
        <v>#REF!</v>
      </c>
      <c r="ER583" t="e">
        <f>AND(#REF!,"AAAAAHa7JZM=")</f>
        <v>#REF!</v>
      </c>
      <c r="ES583" t="e">
        <f>AND(#REF!,"AAAAAHa7JZQ=")</f>
        <v>#REF!</v>
      </c>
      <c r="ET583" t="e">
        <f>AND(#REF!,"AAAAAHa7JZU=")</f>
        <v>#REF!</v>
      </c>
      <c r="EU583" t="e">
        <f>AND(#REF!,"AAAAAHa7JZY=")</f>
        <v>#REF!</v>
      </c>
      <c r="EV583" t="e">
        <f>AND(#REF!,"AAAAAHa7JZc=")</f>
        <v>#REF!</v>
      </c>
      <c r="EW583" t="e">
        <f>AND(#REF!,"AAAAAHa7JZg=")</f>
        <v>#REF!</v>
      </c>
      <c r="EX583" t="e">
        <f>AND(#REF!,"AAAAAHa7JZk=")</f>
        <v>#REF!</v>
      </c>
      <c r="EY583" t="e">
        <f>AND(#REF!,"AAAAAHa7JZo=")</f>
        <v>#REF!</v>
      </c>
      <c r="EZ583" t="e">
        <f>AND(#REF!,"AAAAAHa7JZs=")</f>
        <v>#REF!</v>
      </c>
      <c r="FA583" t="e">
        <f>AND(#REF!,"AAAAAHa7JZw=")</f>
        <v>#REF!</v>
      </c>
      <c r="FB583" t="e">
        <f>AND(#REF!,"AAAAAHa7JZ0=")</f>
        <v>#REF!</v>
      </c>
      <c r="FC583" t="e">
        <f>AND(#REF!,"AAAAAHa7JZ4=")</f>
        <v>#REF!</v>
      </c>
      <c r="FD583" t="e">
        <f>AND(#REF!,"AAAAAHa7JZ8=")</f>
        <v>#REF!</v>
      </c>
      <c r="FE583" t="e">
        <f>AND(#REF!,"AAAAAHa7JaA=")</f>
        <v>#REF!</v>
      </c>
      <c r="FF583" t="e">
        <f>AND(#REF!,"AAAAAHa7JaE=")</f>
        <v>#REF!</v>
      </c>
      <c r="FG583" t="e">
        <f>AND(#REF!,"AAAAAHa7JaI=")</f>
        <v>#REF!</v>
      </c>
      <c r="FH583" t="e">
        <f>AND(#REF!,"AAAAAHa7JaM=")</f>
        <v>#REF!</v>
      </c>
      <c r="FI583" t="e">
        <f>AND(#REF!,"AAAAAHa7JaQ=")</f>
        <v>#REF!</v>
      </c>
      <c r="FJ583" t="e">
        <f>AND(#REF!,"AAAAAHa7JaU=")</f>
        <v>#REF!</v>
      </c>
      <c r="FK583" t="e">
        <f>AND(#REF!,"AAAAAHa7JaY=")</f>
        <v>#REF!</v>
      </c>
      <c r="FL583" t="e">
        <f>AND(#REF!,"AAAAAHa7Jac=")</f>
        <v>#REF!</v>
      </c>
      <c r="FM583" t="e">
        <f>IF(#REF!,"AAAAAHa7Jag=",0)</f>
        <v>#REF!</v>
      </c>
      <c r="FN583" t="e">
        <f>AND(#REF!,"AAAAAHa7Jak=")</f>
        <v>#REF!</v>
      </c>
      <c r="FO583" t="e">
        <f>AND(#REF!,"AAAAAHa7Jao=")</f>
        <v>#REF!</v>
      </c>
      <c r="FP583" t="e">
        <f>AND(#REF!,"AAAAAHa7Jas=")</f>
        <v>#REF!</v>
      </c>
      <c r="FQ583" t="e">
        <f>AND(#REF!,"AAAAAHa7Jaw=")</f>
        <v>#REF!</v>
      </c>
      <c r="FR583" t="e">
        <f>AND(#REF!,"AAAAAHa7Ja0=")</f>
        <v>#REF!</v>
      </c>
      <c r="FS583" t="e">
        <f>AND(#REF!,"AAAAAHa7Ja4=")</f>
        <v>#REF!</v>
      </c>
      <c r="FT583" t="e">
        <f>AND(#REF!,"AAAAAHa7Ja8=")</f>
        <v>#REF!</v>
      </c>
      <c r="FU583" t="e">
        <f>AND(#REF!,"AAAAAHa7JbA=")</f>
        <v>#REF!</v>
      </c>
      <c r="FV583" t="e">
        <f>AND(#REF!,"AAAAAHa7JbE=")</f>
        <v>#REF!</v>
      </c>
      <c r="FW583" t="e">
        <f>AND(#REF!,"AAAAAHa7JbI=")</f>
        <v>#REF!</v>
      </c>
      <c r="FX583" t="e">
        <f>AND(#REF!,"AAAAAHa7JbM=")</f>
        <v>#REF!</v>
      </c>
      <c r="FY583" t="e">
        <f>AND(#REF!,"AAAAAHa7JbQ=")</f>
        <v>#REF!</v>
      </c>
      <c r="FZ583" t="e">
        <f>AND(#REF!,"AAAAAHa7JbU=")</f>
        <v>#REF!</v>
      </c>
      <c r="GA583" t="e">
        <f>AND(#REF!,"AAAAAHa7JbY=")</f>
        <v>#REF!</v>
      </c>
      <c r="GB583" t="e">
        <f>AND(#REF!,"AAAAAHa7Jbc=")</f>
        <v>#REF!</v>
      </c>
      <c r="GC583" t="e">
        <f>AND(#REF!,"AAAAAHa7Jbg=")</f>
        <v>#REF!</v>
      </c>
      <c r="GD583" t="e">
        <f>AND(#REF!,"AAAAAHa7Jbk=")</f>
        <v>#REF!</v>
      </c>
      <c r="GE583" t="e">
        <f>AND(#REF!,"AAAAAHa7Jbo=")</f>
        <v>#REF!</v>
      </c>
      <c r="GF583" t="e">
        <f>AND(#REF!,"AAAAAHa7Jbs=")</f>
        <v>#REF!</v>
      </c>
      <c r="GG583" t="e">
        <f>AND(#REF!,"AAAAAHa7Jbw=")</f>
        <v>#REF!</v>
      </c>
      <c r="GH583" t="e">
        <f>AND(#REF!,"AAAAAHa7Jb0=")</f>
        <v>#REF!</v>
      </c>
      <c r="GI583" t="e">
        <f>AND(#REF!,"AAAAAHa7Jb4=")</f>
        <v>#REF!</v>
      </c>
      <c r="GJ583" t="e">
        <f>AND(#REF!,"AAAAAHa7Jb8=")</f>
        <v>#REF!</v>
      </c>
      <c r="GK583" t="e">
        <f>AND(#REF!,"AAAAAHa7JcA=")</f>
        <v>#REF!</v>
      </c>
      <c r="GL583" t="e">
        <f>IF(#REF!,"AAAAAHa7JcE=",0)</f>
        <v>#REF!</v>
      </c>
      <c r="GM583" t="e">
        <f>AND(#REF!,"AAAAAHa7JcI=")</f>
        <v>#REF!</v>
      </c>
      <c r="GN583" t="e">
        <f>AND(#REF!,"AAAAAHa7JcM=")</f>
        <v>#REF!</v>
      </c>
      <c r="GO583" t="e">
        <f>AND(#REF!,"AAAAAHa7JcQ=")</f>
        <v>#REF!</v>
      </c>
      <c r="GP583" t="e">
        <f>AND(#REF!,"AAAAAHa7JcU=")</f>
        <v>#REF!</v>
      </c>
      <c r="GQ583" t="e">
        <f>AND(#REF!,"AAAAAHa7JcY=")</f>
        <v>#REF!</v>
      </c>
      <c r="GR583" t="e">
        <f>AND(#REF!,"AAAAAHa7Jcc=")</f>
        <v>#REF!</v>
      </c>
      <c r="GS583" t="e">
        <f>AND(#REF!,"AAAAAHa7Jcg=")</f>
        <v>#REF!</v>
      </c>
      <c r="GT583" t="e">
        <f>AND(#REF!,"AAAAAHa7Jck=")</f>
        <v>#REF!</v>
      </c>
      <c r="GU583" t="e">
        <f>AND(#REF!,"AAAAAHa7Jco=")</f>
        <v>#REF!</v>
      </c>
      <c r="GV583" t="e">
        <f>AND(#REF!,"AAAAAHa7Jcs=")</f>
        <v>#REF!</v>
      </c>
      <c r="GW583" t="e">
        <f>AND(#REF!,"AAAAAHa7Jcw=")</f>
        <v>#REF!</v>
      </c>
      <c r="GX583" t="e">
        <f>AND(#REF!,"AAAAAHa7Jc0=")</f>
        <v>#REF!</v>
      </c>
      <c r="GY583" t="e">
        <f>AND(#REF!,"AAAAAHa7Jc4=")</f>
        <v>#REF!</v>
      </c>
      <c r="GZ583" t="e">
        <f>AND(#REF!,"AAAAAHa7Jc8=")</f>
        <v>#REF!</v>
      </c>
      <c r="HA583" t="e">
        <f>AND(#REF!,"AAAAAHa7JdA=")</f>
        <v>#REF!</v>
      </c>
      <c r="HB583" t="e">
        <f>AND(#REF!,"AAAAAHa7JdE=")</f>
        <v>#REF!</v>
      </c>
      <c r="HC583" t="e">
        <f>AND(#REF!,"AAAAAHa7JdI=")</f>
        <v>#REF!</v>
      </c>
      <c r="HD583" t="e">
        <f>AND(#REF!,"AAAAAHa7JdM=")</f>
        <v>#REF!</v>
      </c>
      <c r="HE583" t="e">
        <f>AND(#REF!,"AAAAAHa7JdQ=")</f>
        <v>#REF!</v>
      </c>
      <c r="HF583" t="e">
        <f>AND(#REF!,"AAAAAHa7JdU=")</f>
        <v>#REF!</v>
      </c>
      <c r="HG583" t="e">
        <f>AND(#REF!,"AAAAAHa7JdY=")</f>
        <v>#REF!</v>
      </c>
      <c r="HH583" t="e">
        <f>AND(#REF!,"AAAAAHa7Jdc=")</f>
        <v>#REF!</v>
      </c>
      <c r="HI583" t="e">
        <f>AND(#REF!,"AAAAAHa7Jdg=")</f>
        <v>#REF!</v>
      </c>
      <c r="HJ583" t="e">
        <f>AND(#REF!,"AAAAAHa7Jdk=")</f>
        <v>#REF!</v>
      </c>
      <c r="HK583" t="e">
        <f>IF(#REF!,"AAAAAHa7Jdo=",0)</f>
        <v>#REF!</v>
      </c>
      <c r="HL583" t="e">
        <f>AND(#REF!,"AAAAAHa7Jds=")</f>
        <v>#REF!</v>
      </c>
      <c r="HM583" t="e">
        <f>AND(#REF!,"AAAAAHa7Jdw=")</f>
        <v>#REF!</v>
      </c>
      <c r="HN583" t="e">
        <f>AND(#REF!,"AAAAAHa7Jd0=")</f>
        <v>#REF!</v>
      </c>
      <c r="HO583" t="e">
        <f>AND(#REF!,"AAAAAHa7Jd4=")</f>
        <v>#REF!</v>
      </c>
      <c r="HP583" t="e">
        <f>AND(#REF!,"AAAAAHa7Jd8=")</f>
        <v>#REF!</v>
      </c>
      <c r="HQ583" t="e">
        <f>AND(#REF!,"AAAAAHa7JeA=")</f>
        <v>#REF!</v>
      </c>
      <c r="HR583" t="e">
        <f>AND(#REF!,"AAAAAHa7JeE=")</f>
        <v>#REF!</v>
      </c>
      <c r="HS583" t="e">
        <f>AND(#REF!,"AAAAAHa7JeI=")</f>
        <v>#REF!</v>
      </c>
      <c r="HT583" t="e">
        <f>AND(#REF!,"AAAAAHa7JeM=")</f>
        <v>#REF!</v>
      </c>
      <c r="HU583" t="e">
        <f>AND(#REF!,"AAAAAHa7JeQ=")</f>
        <v>#REF!</v>
      </c>
      <c r="HV583" t="e">
        <f>AND(#REF!,"AAAAAHa7JeU=")</f>
        <v>#REF!</v>
      </c>
      <c r="HW583" t="e">
        <f>AND(#REF!,"AAAAAHa7JeY=")</f>
        <v>#REF!</v>
      </c>
      <c r="HX583" t="e">
        <f>AND(#REF!,"AAAAAHa7Jec=")</f>
        <v>#REF!</v>
      </c>
      <c r="HY583" t="e">
        <f>AND(#REF!,"AAAAAHa7Jeg=")</f>
        <v>#REF!</v>
      </c>
      <c r="HZ583" t="e">
        <f>AND(#REF!,"AAAAAHa7Jek=")</f>
        <v>#REF!</v>
      </c>
      <c r="IA583" t="e">
        <f>AND(#REF!,"AAAAAHa7Jeo=")</f>
        <v>#REF!</v>
      </c>
      <c r="IB583" t="e">
        <f>AND(#REF!,"AAAAAHa7Jes=")</f>
        <v>#REF!</v>
      </c>
      <c r="IC583" t="e">
        <f>AND(#REF!,"AAAAAHa7Jew=")</f>
        <v>#REF!</v>
      </c>
      <c r="ID583" t="e">
        <f>AND(#REF!,"AAAAAHa7Je0=")</f>
        <v>#REF!</v>
      </c>
      <c r="IE583" t="e">
        <f>AND(#REF!,"AAAAAHa7Je4=")</f>
        <v>#REF!</v>
      </c>
      <c r="IF583" t="e">
        <f>AND(#REF!,"AAAAAHa7Je8=")</f>
        <v>#REF!</v>
      </c>
      <c r="IG583" t="e">
        <f>AND(#REF!,"AAAAAHa7JfA=")</f>
        <v>#REF!</v>
      </c>
      <c r="IH583" t="e">
        <f>AND(#REF!,"AAAAAHa7JfE=")</f>
        <v>#REF!</v>
      </c>
      <c r="II583" t="e">
        <f>AND(#REF!,"AAAAAHa7JfI=")</f>
        <v>#REF!</v>
      </c>
      <c r="IJ583" t="e">
        <f>IF(#REF!,"AAAAAHa7JfM=",0)</f>
        <v>#REF!</v>
      </c>
      <c r="IK583" t="e">
        <f>AND(#REF!,"AAAAAHa7JfQ=")</f>
        <v>#REF!</v>
      </c>
      <c r="IL583" t="e">
        <f>AND(#REF!,"AAAAAHa7JfU=")</f>
        <v>#REF!</v>
      </c>
      <c r="IM583" t="e">
        <f>AND(#REF!,"AAAAAHa7JfY=")</f>
        <v>#REF!</v>
      </c>
      <c r="IN583" t="e">
        <f>AND(#REF!,"AAAAAHa7Jfc=")</f>
        <v>#REF!</v>
      </c>
      <c r="IO583" t="e">
        <f>AND(#REF!,"AAAAAHa7Jfg=")</f>
        <v>#REF!</v>
      </c>
      <c r="IP583" t="e">
        <f>AND(#REF!,"AAAAAHa7Jfk=")</f>
        <v>#REF!</v>
      </c>
      <c r="IQ583" t="e">
        <f>AND(#REF!,"AAAAAHa7Jfo=")</f>
        <v>#REF!</v>
      </c>
      <c r="IR583" t="e">
        <f>AND(#REF!,"AAAAAHa7Jfs=")</f>
        <v>#REF!</v>
      </c>
      <c r="IS583" t="e">
        <f>AND(#REF!,"AAAAAHa7Jfw=")</f>
        <v>#REF!</v>
      </c>
      <c r="IT583" t="e">
        <f>AND(#REF!,"AAAAAHa7Jf0=")</f>
        <v>#REF!</v>
      </c>
      <c r="IU583" t="e">
        <f>AND(#REF!,"AAAAAHa7Jf4=")</f>
        <v>#REF!</v>
      </c>
      <c r="IV583" t="e">
        <f>AND(#REF!,"AAAAAHa7Jf8=")</f>
        <v>#REF!</v>
      </c>
    </row>
    <row r="584" spans="1:256">
      <c r="A584" t="e">
        <f>AND(#REF!,"AAAAAH3VXQA=")</f>
        <v>#REF!</v>
      </c>
      <c r="B584" t="e">
        <f>AND(#REF!,"AAAAAH3VXQE=")</f>
        <v>#REF!</v>
      </c>
      <c r="C584" t="e">
        <f>AND(#REF!,"AAAAAH3VXQI=")</f>
        <v>#REF!</v>
      </c>
      <c r="D584" t="e">
        <f>AND(#REF!,"AAAAAH3VXQM=")</f>
        <v>#REF!</v>
      </c>
      <c r="E584" t="e">
        <f>AND(#REF!,"AAAAAH3VXQQ=")</f>
        <v>#REF!</v>
      </c>
      <c r="F584" t="e">
        <f>AND(#REF!,"AAAAAH3VXQU=")</f>
        <v>#REF!</v>
      </c>
      <c r="G584" t="e">
        <f>AND(#REF!,"AAAAAH3VXQY=")</f>
        <v>#REF!</v>
      </c>
      <c r="H584" t="e">
        <f>AND(#REF!,"AAAAAH3VXQc=")</f>
        <v>#REF!</v>
      </c>
      <c r="I584" t="e">
        <f>AND(#REF!,"AAAAAH3VXQg=")</f>
        <v>#REF!</v>
      </c>
      <c r="J584" t="e">
        <f>AND(#REF!,"AAAAAH3VXQk=")</f>
        <v>#REF!</v>
      </c>
      <c r="K584" t="e">
        <f>AND(#REF!,"AAAAAH3VXQo=")</f>
        <v>#REF!</v>
      </c>
      <c r="L584" t="e">
        <f>AND(#REF!,"AAAAAH3VXQs=")</f>
        <v>#REF!</v>
      </c>
      <c r="M584" t="e">
        <f>IF(#REF!,"AAAAAH3VXQw=",0)</f>
        <v>#REF!</v>
      </c>
      <c r="N584" t="e">
        <f>AND(#REF!,"AAAAAH3VXQ0=")</f>
        <v>#REF!</v>
      </c>
      <c r="O584" t="e">
        <f>AND(#REF!,"AAAAAH3VXQ4=")</f>
        <v>#REF!</v>
      </c>
      <c r="P584" t="e">
        <f>AND(#REF!,"AAAAAH3VXQ8=")</f>
        <v>#REF!</v>
      </c>
      <c r="Q584" t="e">
        <f>AND(#REF!,"AAAAAH3VXRA=")</f>
        <v>#REF!</v>
      </c>
      <c r="R584" t="e">
        <f>AND(#REF!,"AAAAAH3VXRE=")</f>
        <v>#REF!</v>
      </c>
      <c r="S584" t="e">
        <f>AND(#REF!,"AAAAAH3VXRI=")</f>
        <v>#REF!</v>
      </c>
      <c r="T584" t="e">
        <f>AND(#REF!,"AAAAAH3VXRM=")</f>
        <v>#REF!</v>
      </c>
      <c r="U584" t="e">
        <f>AND(#REF!,"AAAAAH3VXRQ=")</f>
        <v>#REF!</v>
      </c>
      <c r="V584" t="e">
        <f>AND(#REF!,"AAAAAH3VXRU=")</f>
        <v>#REF!</v>
      </c>
      <c r="W584" t="e">
        <f>AND(#REF!,"AAAAAH3VXRY=")</f>
        <v>#REF!</v>
      </c>
      <c r="X584" t="e">
        <f>AND(#REF!,"AAAAAH3VXRc=")</f>
        <v>#REF!</v>
      </c>
      <c r="Y584" t="e">
        <f>AND(#REF!,"AAAAAH3VXRg=")</f>
        <v>#REF!</v>
      </c>
      <c r="Z584" t="e">
        <f>AND(#REF!,"AAAAAH3VXRk=")</f>
        <v>#REF!</v>
      </c>
      <c r="AA584" t="e">
        <f>AND(#REF!,"AAAAAH3VXRo=")</f>
        <v>#REF!</v>
      </c>
      <c r="AB584" t="e">
        <f>AND(#REF!,"AAAAAH3VXRs=")</f>
        <v>#REF!</v>
      </c>
      <c r="AC584" t="e">
        <f>AND(#REF!,"AAAAAH3VXRw=")</f>
        <v>#REF!</v>
      </c>
      <c r="AD584" t="e">
        <f>AND(#REF!,"AAAAAH3VXR0=")</f>
        <v>#REF!</v>
      </c>
      <c r="AE584" t="e">
        <f>AND(#REF!,"AAAAAH3VXR4=")</f>
        <v>#REF!</v>
      </c>
      <c r="AF584" t="e">
        <f>AND(#REF!,"AAAAAH3VXR8=")</f>
        <v>#REF!</v>
      </c>
      <c r="AG584" t="e">
        <f>AND(#REF!,"AAAAAH3VXSA=")</f>
        <v>#REF!</v>
      </c>
      <c r="AH584" t="e">
        <f>AND(#REF!,"AAAAAH3VXSE=")</f>
        <v>#REF!</v>
      </c>
      <c r="AI584" t="e">
        <f>AND(#REF!,"AAAAAH3VXSI=")</f>
        <v>#REF!</v>
      </c>
      <c r="AJ584" t="e">
        <f>AND(#REF!,"AAAAAH3VXSM=")</f>
        <v>#REF!</v>
      </c>
      <c r="AK584" t="e">
        <f>AND(#REF!,"AAAAAH3VXSQ=")</f>
        <v>#REF!</v>
      </c>
      <c r="AL584" t="e">
        <f>IF(#REF!,"AAAAAH3VXSU=",0)</f>
        <v>#REF!</v>
      </c>
      <c r="AM584" t="e">
        <f>AND(#REF!,"AAAAAH3VXSY=")</f>
        <v>#REF!</v>
      </c>
      <c r="AN584" t="e">
        <f>AND(#REF!,"AAAAAH3VXSc=")</f>
        <v>#REF!</v>
      </c>
      <c r="AO584" t="e">
        <f>AND(#REF!,"AAAAAH3VXSg=")</f>
        <v>#REF!</v>
      </c>
      <c r="AP584" t="e">
        <f>AND(#REF!,"AAAAAH3VXSk=")</f>
        <v>#REF!</v>
      </c>
      <c r="AQ584" t="e">
        <f>AND(#REF!,"AAAAAH3VXSo=")</f>
        <v>#REF!</v>
      </c>
      <c r="AR584" t="e">
        <f>AND(#REF!,"AAAAAH3VXSs=")</f>
        <v>#REF!</v>
      </c>
      <c r="AS584" t="e">
        <f>AND(#REF!,"AAAAAH3VXSw=")</f>
        <v>#REF!</v>
      </c>
      <c r="AT584" t="e">
        <f>AND(#REF!,"AAAAAH3VXS0=")</f>
        <v>#REF!</v>
      </c>
      <c r="AU584" t="e">
        <f>AND(#REF!,"AAAAAH3VXS4=")</f>
        <v>#REF!</v>
      </c>
      <c r="AV584" t="e">
        <f>AND(#REF!,"AAAAAH3VXS8=")</f>
        <v>#REF!</v>
      </c>
      <c r="AW584" t="e">
        <f>AND(#REF!,"AAAAAH3VXTA=")</f>
        <v>#REF!</v>
      </c>
      <c r="AX584" t="e">
        <f>AND(#REF!,"AAAAAH3VXTE=")</f>
        <v>#REF!</v>
      </c>
      <c r="AY584" t="e">
        <f>AND(#REF!,"AAAAAH3VXTI=")</f>
        <v>#REF!</v>
      </c>
      <c r="AZ584" t="e">
        <f>AND(#REF!,"AAAAAH3VXTM=")</f>
        <v>#REF!</v>
      </c>
      <c r="BA584" t="e">
        <f>AND(#REF!,"AAAAAH3VXTQ=")</f>
        <v>#REF!</v>
      </c>
      <c r="BB584" t="e">
        <f>AND(#REF!,"AAAAAH3VXTU=")</f>
        <v>#REF!</v>
      </c>
      <c r="BC584" t="e">
        <f>AND(#REF!,"AAAAAH3VXTY=")</f>
        <v>#REF!</v>
      </c>
      <c r="BD584" t="e">
        <f>AND(#REF!,"AAAAAH3VXTc=")</f>
        <v>#REF!</v>
      </c>
      <c r="BE584" t="e">
        <f>AND(#REF!,"AAAAAH3VXTg=")</f>
        <v>#REF!</v>
      </c>
      <c r="BF584" t="e">
        <f>AND(#REF!,"AAAAAH3VXTk=")</f>
        <v>#REF!</v>
      </c>
      <c r="BG584" t="e">
        <f>AND(#REF!,"AAAAAH3VXTo=")</f>
        <v>#REF!</v>
      </c>
      <c r="BH584" t="e">
        <f>AND(#REF!,"AAAAAH3VXTs=")</f>
        <v>#REF!</v>
      </c>
      <c r="BI584" t="e">
        <f>AND(#REF!,"AAAAAH3VXTw=")</f>
        <v>#REF!</v>
      </c>
      <c r="BJ584" t="e">
        <f>AND(#REF!,"AAAAAH3VXT0=")</f>
        <v>#REF!</v>
      </c>
      <c r="BK584" t="e">
        <f>IF(#REF!,"AAAAAH3VXT4=",0)</f>
        <v>#REF!</v>
      </c>
      <c r="BL584" t="e">
        <f>AND(#REF!,"AAAAAH3VXT8=")</f>
        <v>#REF!</v>
      </c>
      <c r="BM584" t="e">
        <f>AND(#REF!,"AAAAAH3VXUA=")</f>
        <v>#REF!</v>
      </c>
      <c r="BN584" t="e">
        <f>AND(#REF!,"AAAAAH3VXUE=")</f>
        <v>#REF!</v>
      </c>
      <c r="BO584" t="e">
        <f>AND(#REF!,"AAAAAH3VXUI=")</f>
        <v>#REF!</v>
      </c>
      <c r="BP584" t="e">
        <f>AND(#REF!,"AAAAAH3VXUM=")</f>
        <v>#REF!</v>
      </c>
      <c r="BQ584" t="e">
        <f>AND(#REF!,"AAAAAH3VXUQ=")</f>
        <v>#REF!</v>
      </c>
      <c r="BR584" t="e">
        <f>AND(#REF!,"AAAAAH3VXUU=")</f>
        <v>#REF!</v>
      </c>
      <c r="BS584" t="e">
        <f>AND(#REF!,"AAAAAH3VXUY=")</f>
        <v>#REF!</v>
      </c>
      <c r="BT584" t="e">
        <f>AND(#REF!,"AAAAAH3VXUc=")</f>
        <v>#REF!</v>
      </c>
      <c r="BU584" t="e">
        <f>AND(#REF!,"AAAAAH3VXUg=")</f>
        <v>#REF!</v>
      </c>
      <c r="BV584" t="e">
        <f>AND(#REF!,"AAAAAH3VXUk=")</f>
        <v>#REF!</v>
      </c>
      <c r="BW584" t="e">
        <f>AND(#REF!,"AAAAAH3VXUo=")</f>
        <v>#REF!</v>
      </c>
      <c r="BX584" t="e">
        <f>AND(#REF!,"AAAAAH3VXUs=")</f>
        <v>#REF!</v>
      </c>
      <c r="BY584" t="e">
        <f>AND(#REF!,"AAAAAH3VXUw=")</f>
        <v>#REF!</v>
      </c>
      <c r="BZ584" t="e">
        <f>AND(#REF!,"AAAAAH3VXU0=")</f>
        <v>#REF!</v>
      </c>
      <c r="CA584" t="e">
        <f>AND(#REF!,"AAAAAH3VXU4=")</f>
        <v>#REF!</v>
      </c>
      <c r="CB584" t="e">
        <f>AND(#REF!,"AAAAAH3VXU8=")</f>
        <v>#REF!</v>
      </c>
      <c r="CC584" t="e">
        <f>AND(#REF!,"AAAAAH3VXVA=")</f>
        <v>#REF!</v>
      </c>
      <c r="CD584" t="e">
        <f>AND(#REF!,"AAAAAH3VXVE=")</f>
        <v>#REF!</v>
      </c>
      <c r="CE584" t="e">
        <f>AND(#REF!,"AAAAAH3VXVI=")</f>
        <v>#REF!</v>
      </c>
      <c r="CF584" t="e">
        <f>AND(#REF!,"AAAAAH3VXVM=")</f>
        <v>#REF!</v>
      </c>
      <c r="CG584" t="e">
        <f>AND(#REF!,"AAAAAH3VXVQ=")</f>
        <v>#REF!</v>
      </c>
      <c r="CH584" t="e">
        <f>AND(#REF!,"AAAAAH3VXVU=")</f>
        <v>#REF!</v>
      </c>
      <c r="CI584" t="e">
        <f>AND(#REF!,"AAAAAH3VXVY=")</f>
        <v>#REF!</v>
      </c>
      <c r="CJ584" t="e">
        <f>IF(#REF!,"AAAAAH3VXVc=",0)</f>
        <v>#REF!</v>
      </c>
      <c r="CK584" t="e">
        <f>AND(#REF!,"AAAAAH3VXVg=")</f>
        <v>#REF!</v>
      </c>
      <c r="CL584" t="e">
        <f>AND(#REF!,"AAAAAH3VXVk=")</f>
        <v>#REF!</v>
      </c>
      <c r="CM584" t="e">
        <f>AND(#REF!,"AAAAAH3VXVo=")</f>
        <v>#REF!</v>
      </c>
      <c r="CN584" t="e">
        <f>AND(#REF!,"AAAAAH3VXVs=")</f>
        <v>#REF!</v>
      </c>
      <c r="CO584" t="e">
        <f>AND(#REF!,"AAAAAH3VXVw=")</f>
        <v>#REF!</v>
      </c>
      <c r="CP584" t="e">
        <f>AND(#REF!,"AAAAAH3VXV0=")</f>
        <v>#REF!</v>
      </c>
      <c r="CQ584" t="e">
        <f>AND(#REF!,"AAAAAH3VXV4=")</f>
        <v>#REF!</v>
      </c>
      <c r="CR584" t="e">
        <f>AND(#REF!,"AAAAAH3VXV8=")</f>
        <v>#REF!</v>
      </c>
      <c r="CS584" t="e">
        <f>AND(#REF!,"AAAAAH3VXWA=")</f>
        <v>#REF!</v>
      </c>
      <c r="CT584" t="e">
        <f>AND(#REF!,"AAAAAH3VXWE=")</f>
        <v>#REF!</v>
      </c>
      <c r="CU584" t="e">
        <f>AND(#REF!,"AAAAAH3VXWI=")</f>
        <v>#REF!</v>
      </c>
      <c r="CV584" t="e">
        <f>AND(#REF!,"AAAAAH3VXWM=")</f>
        <v>#REF!</v>
      </c>
      <c r="CW584" t="e">
        <f>AND(#REF!,"AAAAAH3VXWQ=")</f>
        <v>#REF!</v>
      </c>
      <c r="CX584" t="e">
        <f>AND(#REF!,"AAAAAH3VXWU=")</f>
        <v>#REF!</v>
      </c>
      <c r="CY584" t="e">
        <f>AND(#REF!,"AAAAAH3VXWY=")</f>
        <v>#REF!</v>
      </c>
      <c r="CZ584" t="e">
        <f>AND(#REF!,"AAAAAH3VXWc=")</f>
        <v>#REF!</v>
      </c>
      <c r="DA584" t="e">
        <f>AND(#REF!,"AAAAAH3VXWg=")</f>
        <v>#REF!</v>
      </c>
      <c r="DB584" t="e">
        <f>AND(#REF!,"AAAAAH3VXWk=")</f>
        <v>#REF!</v>
      </c>
      <c r="DC584" t="e">
        <f>AND(#REF!,"AAAAAH3VXWo=")</f>
        <v>#REF!</v>
      </c>
      <c r="DD584" t="e">
        <f>AND(#REF!,"AAAAAH3VXWs=")</f>
        <v>#REF!</v>
      </c>
      <c r="DE584" t="e">
        <f>AND(#REF!,"AAAAAH3VXWw=")</f>
        <v>#REF!</v>
      </c>
      <c r="DF584" t="e">
        <f>AND(#REF!,"AAAAAH3VXW0=")</f>
        <v>#REF!</v>
      </c>
      <c r="DG584" t="e">
        <f>AND(#REF!,"AAAAAH3VXW4=")</f>
        <v>#REF!</v>
      </c>
      <c r="DH584" t="e">
        <f>AND(#REF!,"AAAAAH3VXW8=")</f>
        <v>#REF!</v>
      </c>
      <c r="DI584" t="e">
        <f>IF(#REF!,"AAAAAH3VXXA=",0)</f>
        <v>#REF!</v>
      </c>
      <c r="DJ584" t="e">
        <f>AND(#REF!,"AAAAAH3VXXE=")</f>
        <v>#REF!</v>
      </c>
      <c r="DK584" t="e">
        <f>AND(#REF!,"AAAAAH3VXXI=")</f>
        <v>#REF!</v>
      </c>
      <c r="DL584" t="e">
        <f>AND(#REF!,"AAAAAH3VXXM=")</f>
        <v>#REF!</v>
      </c>
      <c r="DM584" t="e">
        <f>AND(#REF!,"AAAAAH3VXXQ=")</f>
        <v>#REF!</v>
      </c>
      <c r="DN584" t="e">
        <f>AND(#REF!,"AAAAAH3VXXU=")</f>
        <v>#REF!</v>
      </c>
      <c r="DO584" t="e">
        <f>AND(#REF!,"AAAAAH3VXXY=")</f>
        <v>#REF!</v>
      </c>
      <c r="DP584" t="e">
        <f>AND(#REF!,"AAAAAH3VXXc=")</f>
        <v>#REF!</v>
      </c>
      <c r="DQ584" t="e">
        <f>AND(#REF!,"AAAAAH3VXXg=")</f>
        <v>#REF!</v>
      </c>
      <c r="DR584" t="e">
        <f>AND(#REF!,"AAAAAH3VXXk=")</f>
        <v>#REF!</v>
      </c>
      <c r="DS584" t="e">
        <f>AND(#REF!,"AAAAAH3VXXo=")</f>
        <v>#REF!</v>
      </c>
      <c r="DT584" t="e">
        <f>AND(#REF!,"AAAAAH3VXXs=")</f>
        <v>#REF!</v>
      </c>
      <c r="DU584" t="e">
        <f>AND(#REF!,"AAAAAH3VXXw=")</f>
        <v>#REF!</v>
      </c>
      <c r="DV584" t="e">
        <f>AND(#REF!,"AAAAAH3VXX0=")</f>
        <v>#REF!</v>
      </c>
      <c r="DW584" t="e">
        <f>AND(#REF!,"AAAAAH3VXX4=")</f>
        <v>#REF!</v>
      </c>
      <c r="DX584" t="e">
        <f>AND(#REF!,"AAAAAH3VXX8=")</f>
        <v>#REF!</v>
      </c>
      <c r="DY584" t="e">
        <f>AND(#REF!,"AAAAAH3VXYA=")</f>
        <v>#REF!</v>
      </c>
      <c r="DZ584" t="e">
        <f>AND(#REF!,"AAAAAH3VXYE=")</f>
        <v>#REF!</v>
      </c>
      <c r="EA584" t="e">
        <f>AND(#REF!,"AAAAAH3VXYI=")</f>
        <v>#REF!</v>
      </c>
      <c r="EB584" t="e">
        <f>AND(#REF!,"AAAAAH3VXYM=")</f>
        <v>#REF!</v>
      </c>
      <c r="EC584" t="e">
        <f>AND(#REF!,"AAAAAH3VXYQ=")</f>
        <v>#REF!</v>
      </c>
      <c r="ED584" t="e">
        <f>AND(#REF!,"AAAAAH3VXYU=")</f>
        <v>#REF!</v>
      </c>
      <c r="EE584" t="e">
        <f>AND(#REF!,"AAAAAH3VXYY=")</f>
        <v>#REF!</v>
      </c>
      <c r="EF584" t="e">
        <f>AND(#REF!,"AAAAAH3VXYc=")</f>
        <v>#REF!</v>
      </c>
      <c r="EG584" t="e">
        <f>AND(#REF!,"AAAAAH3VXYg=")</f>
        <v>#REF!</v>
      </c>
      <c r="EH584" t="e">
        <f>IF(#REF!,"AAAAAH3VXYk=",0)</f>
        <v>#REF!</v>
      </c>
      <c r="EI584" t="e">
        <f>AND(#REF!,"AAAAAH3VXYo=")</f>
        <v>#REF!</v>
      </c>
      <c r="EJ584" t="e">
        <f>AND(#REF!,"AAAAAH3VXYs=")</f>
        <v>#REF!</v>
      </c>
      <c r="EK584" t="e">
        <f>AND(#REF!,"AAAAAH3VXYw=")</f>
        <v>#REF!</v>
      </c>
      <c r="EL584" t="e">
        <f>AND(#REF!,"AAAAAH3VXY0=")</f>
        <v>#REF!</v>
      </c>
      <c r="EM584" t="e">
        <f>AND(#REF!,"AAAAAH3VXY4=")</f>
        <v>#REF!</v>
      </c>
      <c r="EN584" t="e">
        <f>AND(#REF!,"AAAAAH3VXY8=")</f>
        <v>#REF!</v>
      </c>
      <c r="EO584" t="e">
        <f>AND(#REF!,"AAAAAH3VXZA=")</f>
        <v>#REF!</v>
      </c>
      <c r="EP584" t="e">
        <f>AND(#REF!,"AAAAAH3VXZE=")</f>
        <v>#REF!</v>
      </c>
      <c r="EQ584" t="e">
        <f>AND(#REF!,"AAAAAH3VXZI=")</f>
        <v>#REF!</v>
      </c>
      <c r="ER584" t="e">
        <f>AND(#REF!,"AAAAAH3VXZM=")</f>
        <v>#REF!</v>
      </c>
      <c r="ES584" t="e">
        <f>AND(#REF!,"AAAAAH3VXZQ=")</f>
        <v>#REF!</v>
      </c>
      <c r="ET584" t="e">
        <f>AND(#REF!,"AAAAAH3VXZU=")</f>
        <v>#REF!</v>
      </c>
      <c r="EU584" t="e">
        <f>AND(#REF!,"AAAAAH3VXZY=")</f>
        <v>#REF!</v>
      </c>
      <c r="EV584" t="e">
        <f>AND(#REF!,"AAAAAH3VXZc=")</f>
        <v>#REF!</v>
      </c>
      <c r="EW584" t="e">
        <f>AND(#REF!,"AAAAAH3VXZg=")</f>
        <v>#REF!</v>
      </c>
      <c r="EX584" t="e">
        <f>AND(#REF!,"AAAAAH3VXZk=")</f>
        <v>#REF!</v>
      </c>
      <c r="EY584" t="e">
        <f>AND(#REF!,"AAAAAH3VXZo=")</f>
        <v>#REF!</v>
      </c>
      <c r="EZ584" t="e">
        <f>AND(#REF!,"AAAAAH3VXZs=")</f>
        <v>#REF!</v>
      </c>
      <c r="FA584" t="e">
        <f>AND(#REF!,"AAAAAH3VXZw=")</f>
        <v>#REF!</v>
      </c>
      <c r="FB584" t="e">
        <f>AND(#REF!,"AAAAAH3VXZ0=")</f>
        <v>#REF!</v>
      </c>
      <c r="FC584" t="e">
        <f>AND(#REF!,"AAAAAH3VXZ4=")</f>
        <v>#REF!</v>
      </c>
      <c r="FD584" t="e">
        <f>AND(#REF!,"AAAAAH3VXZ8=")</f>
        <v>#REF!</v>
      </c>
      <c r="FE584" t="e">
        <f>AND(#REF!,"AAAAAH3VXaA=")</f>
        <v>#REF!</v>
      </c>
      <c r="FF584" t="e">
        <f>AND(#REF!,"AAAAAH3VXaE=")</f>
        <v>#REF!</v>
      </c>
      <c r="FG584" t="e">
        <f>IF(#REF!,"AAAAAH3VXaI=",0)</f>
        <v>#REF!</v>
      </c>
      <c r="FH584" t="e">
        <f>AND(#REF!,"AAAAAH3VXaM=")</f>
        <v>#REF!</v>
      </c>
      <c r="FI584" t="e">
        <f>AND(#REF!,"AAAAAH3VXaQ=")</f>
        <v>#REF!</v>
      </c>
      <c r="FJ584" t="e">
        <f>AND(#REF!,"AAAAAH3VXaU=")</f>
        <v>#REF!</v>
      </c>
      <c r="FK584" t="e">
        <f>AND(#REF!,"AAAAAH3VXaY=")</f>
        <v>#REF!</v>
      </c>
      <c r="FL584" t="e">
        <f>AND(#REF!,"AAAAAH3VXac=")</f>
        <v>#REF!</v>
      </c>
      <c r="FM584" t="e">
        <f>AND(#REF!,"AAAAAH3VXag=")</f>
        <v>#REF!</v>
      </c>
      <c r="FN584" t="e">
        <f>AND(#REF!,"AAAAAH3VXak=")</f>
        <v>#REF!</v>
      </c>
      <c r="FO584" t="e">
        <f>AND(#REF!,"AAAAAH3VXao=")</f>
        <v>#REF!</v>
      </c>
      <c r="FP584" t="e">
        <f>AND(#REF!,"AAAAAH3VXas=")</f>
        <v>#REF!</v>
      </c>
      <c r="FQ584" t="e">
        <f>AND(#REF!,"AAAAAH3VXaw=")</f>
        <v>#REF!</v>
      </c>
      <c r="FR584" t="e">
        <f>AND(#REF!,"AAAAAH3VXa0=")</f>
        <v>#REF!</v>
      </c>
      <c r="FS584" t="e">
        <f>AND(#REF!,"AAAAAH3VXa4=")</f>
        <v>#REF!</v>
      </c>
      <c r="FT584" t="e">
        <f>AND(#REF!,"AAAAAH3VXa8=")</f>
        <v>#REF!</v>
      </c>
      <c r="FU584" t="e">
        <f>AND(#REF!,"AAAAAH3VXbA=")</f>
        <v>#REF!</v>
      </c>
      <c r="FV584" t="e">
        <f>AND(#REF!,"AAAAAH3VXbE=")</f>
        <v>#REF!</v>
      </c>
      <c r="FW584" t="e">
        <f>AND(#REF!,"AAAAAH3VXbI=")</f>
        <v>#REF!</v>
      </c>
      <c r="FX584" t="e">
        <f>AND(#REF!,"AAAAAH3VXbM=")</f>
        <v>#REF!</v>
      </c>
      <c r="FY584" t="e">
        <f>AND(#REF!,"AAAAAH3VXbQ=")</f>
        <v>#REF!</v>
      </c>
      <c r="FZ584" t="e">
        <f>AND(#REF!,"AAAAAH3VXbU=")</f>
        <v>#REF!</v>
      </c>
      <c r="GA584" t="e">
        <f>AND(#REF!,"AAAAAH3VXbY=")</f>
        <v>#REF!</v>
      </c>
      <c r="GB584" t="e">
        <f>AND(#REF!,"AAAAAH3VXbc=")</f>
        <v>#REF!</v>
      </c>
      <c r="GC584" t="e">
        <f>AND(#REF!,"AAAAAH3VXbg=")</f>
        <v>#REF!</v>
      </c>
      <c r="GD584" t="e">
        <f>AND(#REF!,"AAAAAH3VXbk=")</f>
        <v>#REF!</v>
      </c>
      <c r="GE584" t="e">
        <f>AND(#REF!,"AAAAAH3VXbo=")</f>
        <v>#REF!</v>
      </c>
      <c r="GF584" t="e">
        <f>IF(#REF!,"AAAAAH3VXbs=",0)</f>
        <v>#REF!</v>
      </c>
      <c r="GG584" t="e">
        <f>AND(#REF!,"AAAAAH3VXbw=")</f>
        <v>#REF!</v>
      </c>
      <c r="GH584" t="e">
        <f>AND(#REF!,"AAAAAH3VXb0=")</f>
        <v>#REF!</v>
      </c>
      <c r="GI584" t="e">
        <f>AND(#REF!,"AAAAAH3VXb4=")</f>
        <v>#REF!</v>
      </c>
      <c r="GJ584" t="e">
        <f>AND(#REF!,"AAAAAH3VXb8=")</f>
        <v>#REF!</v>
      </c>
      <c r="GK584" t="e">
        <f>AND(#REF!,"AAAAAH3VXcA=")</f>
        <v>#REF!</v>
      </c>
      <c r="GL584" t="e">
        <f>AND(#REF!,"AAAAAH3VXcE=")</f>
        <v>#REF!</v>
      </c>
      <c r="GM584" t="e">
        <f>AND(#REF!,"AAAAAH3VXcI=")</f>
        <v>#REF!</v>
      </c>
      <c r="GN584" t="e">
        <f>AND(#REF!,"AAAAAH3VXcM=")</f>
        <v>#REF!</v>
      </c>
      <c r="GO584" t="e">
        <f>AND(#REF!,"AAAAAH3VXcQ=")</f>
        <v>#REF!</v>
      </c>
      <c r="GP584" t="e">
        <f>AND(#REF!,"AAAAAH3VXcU=")</f>
        <v>#REF!</v>
      </c>
      <c r="GQ584" t="e">
        <f>AND(#REF!,"AAAAAH3VXcY=")</f>
        <v>#REF!</v>
      </c>
      <c r="GR584" t="e">
        <f>AND(#REF!,"AAAAAH3VXcc=")</f>
        <v>#REF!</v>
      </c>
      <c r="GS584" t="e">
        <f>AND(#REF!,"AAAAAH3VXcg=")</f>
        <v>#REF!</v>
      </c>
      <c r="GT584" t="e">
        <f>AND(#REF!,"AAAAAH3VXck=")</f>
        <v>#REF!</v>
      </c>
      <c r="GU584" t="e">
        <f>AND(#REF!,"AAAAAH3VXco=")</f>
        <v>#REF!</v>
      </c>
      <c r="GV584" t="e">
        <f>AND(#REF!,"AAAAAH3VXcs=")</f>
        <v>#REF!</v>
      </c>
      <c r="GW584" t="e">
        <f>AND(#REF!,"AAAAAH3VXcw=")</f>
        <v>#REF!</v>
      </c>
      <c r="GX584" t="e">
        <f>AND(#REF!,"AAAAAH3VXc0=")</f>
        <v>#REF!</v>
      </c>
      <c r="GY584" t="e">
        <f>AND(#REF!,"AAAAAH3VXc4=")</f>
        <v>#REF!</v>
      </c>
      <c r="GZ584" t="e">
        <f>AND(#REF!,"AAAAAH3VXc8=")</f>
        <v>#REF!</v>
      </c>
      <c r="HA584" t="e">
        <f>AND(#REF!,"AAAAAH3VXdA=")</f>
        <v>#REF!</v>
      </c>
      <c r="HB584" t="e">
        <f>AND(#REF!,"AAAAAH3VXdE=")</f>
        <v>#REF!</v>
      </c>
      <c r="HC584" t="e">
        <f>AND(#REF!,"AAAAAH3VXdI=")</f>
        <v>#REF!</v>
      </c>
      <c r="HD584" t="e">
        <f>AND(#REF!,"AAAAAH3VXdM=")</f>
        <v>#REF!</v>
      </c>
      <c r="HE584" t="e">
        <f>IF(#REF!,"AAAAAH3VXdQ=",0)</f>
        <v>#REF!</v>
      </c>
      <c r="HF584" t="e">
        <f>AND(#REF!,"AAAAAH3VXdU=")</f>
        <v>#REF!</v>
      </c>
      <c r="HG584" t="e">
        <f>AND(#REF!,"AAAAAH3VXdY=")</f>
        <v>#REF!</v>
      </c>
      <c r="HH584" t="e">
        <f>AND(#REF!,"AAAAAH3VXdc=")</f>
        <v>#REF!</v>
      </c>
      <c r="HI584" t="e">
        <f>AND(#REF!,"AAAAAH3VXdg=")</f>
        <v>#REF!</v>
      </c>
      <c r="HJ584" t="e">
        <f>AND(#REF!,"AAAAAH3VXdk=")</f>
        <v>#REF!</v>
      </c>
      <c r="HK584" t="e">
        <f>AND(#REF!,"AAAAAH3VXdo=")</f>
        <v>#REF!</v>
      </c>
      <c r="HL584" t="e">
        <f>AND(#REF!,"AAAAAH3VXds=")</f>
        <v>#REF!</v>
      </c>
      <c r="HM584" t="e">
        <f>AND(#REF!,"AAAAAH3VXdw=")</f>
        <v>#REF!</v>
      </c>
      <c r="HN584" t="e">
        <f>AND(#REF!,"AAAAAH3VXd0=")</f>
        <v>#REF!</v>
      </c>
      <c r="HO584" t="e">
        <f>AND(#REF!,"AAAAAH3VXd4=")</f>
        <v>#REF!</v>
      </c>
      <c r="HP584" t="e">
        <f>AND(#REF!,"AAAAAH3VXd8=")</f>
        <v>#REF!</v>
      </c>
      <c r="HQ584" t="e">
        <f>AND(#REF!,"AAAAAH3VXeA=")</f>
        <v>#REF!</v>
      </c>
      <c r="HR584" t="e">
        <f>AND(#REF!,"AAAAAH3VXeE=")</f>
        <v>#REF!</v>
      </c>
      <c r="HS584" t="e">
        <f>AND(#REF!,"AAAAAH3VXeI=")</f>
        <v>#REF!</v>
      </c>
      <c r="HT584" t="e">
        <f>AND(#REF!,"AAAAAH3VXeM=")</f>
        <v>#REF!</v>
      </c>
      <c r="HU584" t="e">
        <f>AND(#REF!,"AAAAAH3VXeQ=")</f>
        <v>#REF!</v>
      </c>
      <c r="HV584" t="e">
        <f>AND(#REF!,"AAAAAH3VXeU=")</f>
        <v>#REF!</v>
      </c>
      <c r="HW584" t="e">
        <f>AND(#REF!,"AAAAAH3VXeY=")</f>
        <v>#REF!</v>
      </c>
      <c r="HX584" t="e">
        <f>AND(#REF!,"AAAAAH3VXec=")</f>
        <v>#REF!</v>
      </c>
      <c r="HY584" t="e">
        <f>AND(#REF!,"AAAAAH3VXeg=")</f>
        <v>#REF!</v>
      </c>
      <c r="HZ584" t="e">
        <f>AND(#REF!,"AAAAAH3VXek=")</f>
        <v>#REF!</v>
      </c>
      <c r="IA584" t="e">
        <f>AND(#REF!,"AAAAAH3VXeo=")</f>
        <v>#REF!</v>
      </c>
      <c r="IB584" t="e">
        <f>AND(#REF!,"AAAAAH3VXes=")</f>
        <v>#REF!</v>
      </c>
      <c r="IC584" t="e">
        <f>AND(#REF!,"AAAAAH3VXew=")</f>
        <v>#REF!</v>
      </c>
      <c r="ID584" t="e">
        <f>IF(#REF!,"AAAAAH3VXe0=",0)</f>
        <v>#REF!</v>
      </c>
      <c r="IE584" t="e">
        <f>AND(#REF!,"AAAAAH3VXe4=")</f>
        <v>#REF!</v>
      </c>
      <c r="IF584" t="e">
        <f>AND(#REF!,"AAAAAH3VXe8=")</f>
        <v>#REF!</v>
      </c>
      <c r="IG584" t="e">
        <f>AND(#REF!,"AAAAAH3VXfA=")</f>
        <v>#REF!</v>
      </c>
      <c r="IH584" t="e">
        <f>AND(#REF!,"AAAAAH3VXfE=")</f>
        <v>#REF!</v>
      </c>
      <c r="II584" t="e">
        <f>AND(#REF!,"AAAAAH3VXfI=")</f>
        <v>#REF!</v>
      </c>
      <c r="IJ584" t="e">
        <f>AND(#REF!,"AAAAAH3VXfM=")</f>
        <v>#REF!</v>
      </c>
      <c r="IK584" t="e">
        <f>AND(#REF!,"AAAAAH3VXfQ=")</f>
        <v>#REF!</v>
      </c>
      <c r="IL584" t="e">
        <f>AND(#REF!,"AAAAAH3VXfU=")</f>
        <v>#REF!</v>
      </c>
      <c r="IM584" t="e">
        <f>AND(#REF!,"AAAAAH3VXfY=")</f>
        <v>#REF!</v>
      </c>
      <c r="IN584" t="e">
        <f>AND(#REF!,"AAAAAH3VXfc=")</f>
        <v>#REF!</v>
      </c>
      <c r="IO584" t="e">
        <f>AND(#REF!,"AAAAAH3VXfg=")</f>
        <v>#REF!</v>
      </c>
      <c r="IP584" t="e">
        <f>AND(#REF!,"AAAAAH3VXfk=")</f>
        <v>#REF!</v>
      </c>
      <c r="IQ584" t="e">
        <f>AND(#REF!,"AAAAAH3VXfo=")</f>
        <v>#REF!</v>
      </c>
      <c r="IR584" t="e">
        <f>AND(#REF!,"AAAAAH3VXfs=")</f>
        <v>#REF!</v>
      </c>
      <c r="IS584" t="e">
        <f>AND(#REF!,"AAAAAH3VXfw=")</f>
        <v>#REF!</v>
      </c>
      <c r="IT584" t="e">
        <f>AND(#REF!,"AAAAAH3VXf0=")</f>
        <v>#REF!</v>
      </c>
      <c r="IU584" t="e">
        <f>AND(#REF!,"AAAAAH3VXf4=")</f>
        <v>#REF!</v>
      </c>
      <c r="IV584" t="e">
        <f>AND(#REF!,"AAAAAH3VXf8=")</f>
        <v>#REF!</v>
      </c>
    </row>
    <row r="585" spans="1:256">
      <c r="A585" t="e">
        <f>AND(#REF!,"AAAAAG3G+wA=")</f>
        <v>#REF!</v>
      </c>
      <c r="B585" t="e">
        <f>AND(#REF!,"AAAAAG3G+wE=")</f>
        <v>#REF!</v>
      </c>
      <c r="C585" t="e">
        <f>AND(#REF!,"AAAAAG3G+wI=")</f>
        <v>#REF!</v>
      </c>
      <c r="D585" t="e">
        <f>AND(#REF!,"AAAAAG3G+wM=")</f>
        <v>#REF!</v>
      </c>
      <c r="E585" t="e">
        <f>AND(#REF!,"AAAAAG3G+wQ=")</f>
        <v>#REF!</v>
      </c>
      <c r="F585" t="e">
        <f>AND(#REF!,"AAAAAG3G+wU=")</f>
        <v>#REF!</v>
      </c>
      <c r="G585" t="e">
        <f>IF(#REF!,"AAAAAG3G+wY=",0)</f>
        <v>#REF!</v>
      </c>
      <c r="H585" t="e">
        <f>AND(#REF!,"AAAAAG3G+wc=")</f>
        <v>#REF!</v>
      </c>
      <c r="I585" t="e">
        <f>AND(#REF!,"AAAAAG3G+wg=")</f>
        <v>#REF!</v>
      </c>
      <c r="J585" t="e">
        <f>AND(#REF!,"AAAAAG3G+wk=")</f>
        <v>#REF!</v>
      </c>
      <c r="K585" t="e">
        <f>AND(#REF!,"AAAAAG3G+wo=")</f>
        <v>#REF!</v>
      </c>
      <c r="L585" t="e">
        <f>AND(#REF!,"AAAAAG3G+ws=")</f>
        <v>#REF!</v>
      </c>
      <c r="M585" t="e">
        <f>AND(#REF!,"AAAAAG3G+ww=")</f>
        <v>#REF!</v>
      </c>
      <c r="N585" t="e">
        <f>AND(#REF!,"AAAAAG3G+w0=")</f>
        <v>#REF!</v>
      </c>
      <c r="O585" t="e">
        <f>AND(#REF!,"AAAAAG3G+w4=")</f>
        <v>#REF!</v>
      </c>
      <c r="P585" t="e">
        <f>AND(#REF!,"AAAAAG3G+w8=")</f>
        <v>#REF!</v>
      </c>
      <c r="Q585" t="e">
        <f>AND(#REF!,"AAAAAG3G+xA=")</f>
        <v>#REF!</v>
      </c>
      <c r="R585" t="e">
        <f>AND(#REF!,"AAAAAG3G+xE=")</f>
        <v>#REF!</v>
      </c>
      <c r="S585" t="e">
        <f>AND(#REF!,"AAAAAG3G+xI=")</f>
        <v>#REF!</v>
      </c>
      <c r="T585" t="e">
        <f>AND(#REF!,"AAAAAG3G+xM=")</f>
        <v>#REF!</v>
      </c>
      <c r="U585" t="e">
        <f>AND(#REF!,"AAAAAG3G+xQ=")</f>
        <v>#REF!</v>
      </c>
      <c r="V585" t="e">
        <f>AND(#REF!,"AAAAAG3G+xU=")</f>
        <v>#REF!</v>
      </c>
      <c r="W585" t="e">
        <f>AND(#REF!,"AAAAAG3G+xY=")</f>
        <v>#REF!</v>
      </c>
      <c r="X585" t="e">
        <f>AND(#REF!,"AAAAAG3G+xc=")</f>
        <v>#REF!</v>
      </c>
      <c r="Y585" t="e">
        <f>AND(#REF!,"AAAAAG3G+xg=")</f>
        <v>#REF!</v>
      </c>
      <c r="Z585" t="e">
        <f>AND(#REF!,"AAAAAG3G+xk=")</f>
        <v>#REF!</v>
      </c>
      <c r="AA585" t="e">
        <f>AND(#REF!,"AAAAAG3G+xo=")</f>
        <v>#REF!</v>
      </c>
      <c r="AB585" t="e">
        <f>AND(#REF!,"AAAAAG3G+xs=")</f>
        <v>#REF!</v>
      </c>
      <c r="AC585" t="e">
        <f>AND(#REF!,"AAAAAG3G+xw=")</f>
        <v>#REF!</v>
      </c>
      <c r="AD585" t="e">
        <f>AND(#REF!,"AAAAAG3G+x0=")</f>
        <v>#REF!</v>
      </c>
      <c r="AE585" t="e">
        <f>AND(#REF!,"AAAAAG3G+x4=")</f>
        <v>#REF!</v>
      </c>
      <c r="AF585" t="e">
        <f>IF(#REF!,"AAAAAG3G+x8=",0)</f>
        <v>#REF!</v>
      </c>
      <c r="AG585" t="e">
        <f>AND(#REF!,"AAAAAG3G+yA=")</f>
        <v>#REF!</v>
      </c>
      <c r="AH585" t="e">
        <f>AND(#REF!,"AAAAAG3G+yE=")</f>
        <v>#REF!</v>
      </c>
      <c r="AI585" t="e">
        <f>AND(#REF!,"AAAAAG3G+yI=")</f>
        <v>#REF!</v>
      </c>
      <c r="AJ585" t="e">
        <f>AND(#REF!,"AAAAAG3G+yM=")</f>
        <v>#REF!</v>
      </c>
      <c r="AK585" t="e">
        <f>AND(#REF!,"AAAAAG3G+yQ=")</f>
        <v>#REF!</v>
      </c>
      <c r="AL585" t="e">
        <f>AND(#REF!,"AAAAAG3G+yU=")</f>
        <v>#REF!</v>
      </c>
      <c r="AM585" t="e">
        <f>AND(#REF!,"AAAAAG3G+yY=")</f>
        <v>#REF!</v>
      </c>
      <c r="AN585" t="e">
        <f>AND(#REF!,"AAAAAG3G+yc=")</f>
        <v>#REF!</v>
      </c>
      <c r="AO585" t="e">
        <f>AND(#REF!,"AAAAAG3G+yg=")</f>
        <v>#REF!</v>
      </c>
      <c r="AP585" t="e">
        <f>AND(#REF!,"AAAAAG3G+yk=")</f>
        <v>#REF!</v>
      </c>
      <c r="AQ585" t="e">
        <f>AND(#REF!,"AAAAAG3G+yo=")</f>
        <v>#REF!</v>
      </c>
      <c r="AR585" t="e">
        <f>AND(#REF!,"AAAAAG3G+ys=")</f>
        <v>#REF!</v>
      </c>
      <c r="AS585" t="e">
        <f>AND(#REF!,"AAAAAG3G+yw=")</f>
        <v>#REF!</v>
      </c>
      <c r="AT585" t="e">
        <f>AND(#REF!,"AAAAAG3G+y0=")</f>
        <v>#REF!</v>
      </c>
      <c r="AU585" t="e">
        <f>AND(#REF!,"AAAAAG3G+y4=")</f>
        <v>#REF!</v>
      </c>
      <c r="AV585" t="e">
        <f>AND(#REF!,"AAAAAG3G+y8=")</f>
        <v>#REF!</v>
      </c>
      <c r="AW585" t="e">
        <f>AND(#REF!,"AAAAAG3G+zA=")</f>
        <v>#REF!</v>
      </c>
      <c r="AX585" t="e">
        <f>AND(#REF!,"AAAAAG3G+zE=")</f>
        <v>#REF!</v>
      </c>
      <c r="AY585" t="e">
        <f>AND(#REF!,"AAAAAG3G+zI=")</f>
        <v>#REF!</v>
      </c>
      <c r="AZ585" t="e">
        <f>AND(#REF!,"AAAAAG3G+zM=")</f>
        <v>#REF!</v>
      </c>
      <c r="BA585" t="e">
        <f>AND(#REF!,"AAAAAG3G+zQ=")</f>
        <v>#REF!</v>
      </c>
      <c r="BB585" t="e">
        <f>AND(#REF!,"AAAAAG3G+zU=")</f>
        <v>#REF!</v>
      </c>
      <c r="BC585" t="e">
        <f>AND(#REF!,"AAAAAG3G+zY=")</f>
        <v>#REF!</v>
      </c>
      <c r="BD585" t="e">
        <f>AND(#REF!,"AAAAAG3G+zc=")</f>
        <v>#REF!</v>
      </c>
      <c r="BE585" t="e">
        <f>IF(#REF!,"AAAAAG3G+zg=",0)</f>
        <v>#REF!</v>
      </c>
      <c r="BF585" t="e">
        <f>AND(#REF!,"AAAAAG3G+zk=")</f>
        <v>#REF!</v>
      </c>
      <c r="BG585" t="e">
        <f>AND(#REF!,"AAAAAG3G+zo=")</f>
        <v>#REF!</v>
      </c>
      <c r="BH585" t="e">
        <f>AND(#REF!,"AAAAAG3G+zs=")</f>
        <v>#REF!</v>
      </c>
      <c r="BI585" t="e">
        <f>AND(#REF!,"AAAAAG3G+zw=")</f>
        <v>#REF!</v>
      </c>
      <c r="BJ585" t="e">
        <f>AND(#REF!,"AAAAAG3G+z0=")</f>
        <v>#REF!</v>
      </c>
      <c r="BK585" t="e">
        <f>AND(#REF!,"AAAAAG3G+z4=")</f>
        <v>#REF!</v>
      </c>
      <c r="BL585" t="e">
        <f>AND(#REF!,"AAAAAG3G+z8=")</f>
        <v>#REF!</v>
      </c>
      <c r="BM585" t="e">
        <f>AND(#REF!,"AAAAAG3G+0A=")</f>
        <v>#REF!</v>
      </c>
      <c r="BN585" t="e">
        <f>AND(#REF!,"AAAAAG3G+0E=")</f>
        <v>#REF!</v>
      </c>
      <c r="BO585" t="e">
        <f>AND(#REF!,"AAAAAG3G+0I=")</f>
        <v>#REF!</v>
      </c>
      <c r="BP585" t="e">
        <f>AND(#REF!,"AAAAAG3G+0M=")</f>
        <v>#REF!</v>
      </c>
      <c r="BQ585" t="e">
        <f>AND(#REF!,"AAAAAG3G+0Q=")</f>
        <v>#REF!</v>
      </c>
      <c r="BR585" t="e">
        <f>AND(#REF!,"AAAAAG3G+0U=")</f>
        <v>#REF!</v>
      </c>
      <c r="BS585" t="e">
        <f>AND(#REF!,"AAAAAG3G+0Y=")</f>
        <v>#REF!</v>
      </c>
      <c r="BT585" t="e">
        <f>AND(#REF!,"AAAAAG3G+0c=")</f>
        <v>#REF!</v>
      </c>
      <c r="BU585" t="e">
        <f>AND(#REF!,"AAAAAG3G+0g=")</f>
        <v>#REF!</v>
      </c>
      <c r="BV585" t="e">
        <f>AND(#REF!,"AAAAAG3G+0k=")</f>
        <v>#REF!</v>
      </c>
      <c r="BW585" t="e">
        <f>AND(#REF!,"AAAAAG3G+0o=")</f>
        <v>#REF!</v>
      </c>
      <c r="BX585" t="e">
        <f>AND(#REF!,"AAAAAG3G+0s=")</f>
        <v>#REF!</v>
      </c>
      <c r="BY585" t="e">
        <f>AND(#REF!,"AAAAAG3G+0w=")</f>
        <v>#REF!</v>
      </c>
      <c r="BZ585" t="e">
        <f>AND(#REF!,"AAAAAG3G+00=")</f>
        <v>#REF!</v>
      </c>
      <c r="CA585" t="e">
        <f>AND(#REF!,"AAAAAG3G+04=")</f>
        <v>#REF!</v>
      </c>
      <c r="CB585" t="e">
        <f>AND(#REF!,"AAAAAG3G+08=")</f>
        <v>#REF!</v>
      </c>
      <c r="CC585" t="e">
        <f>AND(#REF!,"AAAAAG3G+1A=")</f>
        <v>#REF!</v>
      </c>
      <c r="CD585" t="e">
        <f>IF(#REF!,"AAAAAG3G+1E=",0)</f>
        <v>#REF!</v>
      </c>
      <c r="CE585" t="e">
        <f>AND(#REF!,"AAAAAG3G+1I=")</f>
        <v>#REF!</v>
      </c>
      <c r="CF585" t="e">
        <f>AND(#REF!,"AAAAAG3G+1M=")</f>
        <v>#REF!</v>
      </c>
      <c r="CG585" t="e">
        <f>AND(#REF!,"AAAAAG3G+1Q=")</f>
        <v>#REF!</v>
      </c>
      <c r="CH585" t="e">
        <f>AND(#REF!,"AAAAAG3G+1U=")</f>
        <v>#REF!</v>
      </c>
      <c r="CI585" t="e">
        <f>AND(#REF!,"AAAAAG3G+1Y=")</f>
        <v>#REF!</v>
      </c>
      <c r="CJ585" t="e">
        <f>AND(#REF!,"AAAAAG3G+1c=")</f>
        <v>#REF!</v>
      </c>
      <c r="CK585" t="e">
        <f>AND(#REF!,"AAAAAG3G+1g=")</f>
        <v>#REF!</v>
      </c>
      <c r="CL585" t="e">
        <f>AND(#REF!,"AAAAAG3G+1k=")</f>
        <v>#REF!</v>
      </c>
      <c r="CM585" t="e">
        <f>AND(#REF!,"AAAAAG3G+1o=")</f>
        <v>#REF!</v>
      </c>
      <c r="CN585" t="e">
        <f>AND(#REF!,"AAAAAG3G+1s=")</f>
        <v>#REF!</v>
      </c>
      <c r="CO585" t="e">
        <f>AND(#REF!,"AAAAAG3G+1w=")</f>
        <v>#REF!</v>
      </c>
      <c r="CP585" t="e">
        <f>AND(#REF!,"AAAAAG3G+10=")</f>
        <v>#REF!</v>
      </c>
      <c r="CQ585" t="e">
        <f>AND(#REF!,"AAAAAG3G+14=")</f>
        <v>#REF!</v>
      </c>
      <c r="CR585" t="e">
        <f>AND(#REF!,"AAAAAG3G+18=")</f>
        <v>#REF!</v>
      </c>
      <c r="CS585" t="e">
        <f>AND(#REF!,"AAAAAG3G+2A=")</f>
        <v>#REF!</v>
      </c>
      <c r="CT585" t="e">
        <f>AND(#REF!,"AAAAAG3G+2E=")</f>
        <v>#REF!</v>
      </c>
      <c r="CU585" t="e">
        <f>AND(#REF!,"AAAAAG3G+2I=")</f>
        <v>#REF!</v>
      </c>
      <c r="CV585" t="e">
        <f>AND(#REF!,"AAAAAG3G+2M=")</f>
        <v>#REF!</v>
      </c>
      <c r="CW585" t="e">
        <f>AND(#REF!,"AAAAAG3G+2Q=")</f>
        <v>#REF!</v>
      </c>
      <c r="CX585" t="e">
        <f>AND(#REF!,"AAAAAG3G+2U=")</f>
        <v>#REF!</v>
      </c>
      <c r="CY585" t="e">
        <f>AND(#REF!,"AAAAAG3G+2Y=")</f>
        <v>#REF!</v>
      </c>
      <c r="CZ585" t="e">
        <f>AND(#REF!,"AAAAAG3G+2c=")</f>
        <v>#REF!</v>
      </c>
      <c r="DA585" t="e">
        <f>AND(#REF!,"AAAAAG3G+2g=")</f>
        <v>#REF!</v>
      </c>
      <c r="DB585" t="e">
        <f>AND(#REF!,"AAAAAG3G+2k=")</f>
        <v>#REF!</v>
      </c>
      <c r="DC585" t="e">
        <f>IF(#REF!,"AAAAAG3G+2o=",0)</f>
        <v>#REF!</v>
      </c>
      <c r="DD585" t="e">
        <f>AND(#REF!,"AAAAAG3G+2s=")</f>
        <v>#REF!</v>
      </c>
      <c r="DE585" t="e">
        <f>AND(#REF!,"AAAAAG3G+2w=")</f>
        <v>#REF!</v>
      </c>
      <c r="DF585" t="e">
        <f>AND(#REF!,"AAAAAG3G+20=")</f>
        <v>#REF!</v>
      </c>
      <c r="DG585" t="e">
        <f>AND(#REF!,"AAAAAG3G+24=")</f>
        <v>#REF!</v>
      </c>
      <c r="DH585" t="e">
        <f>AND(#REF!,"AAAAAG3G+28=")</f>
        <v>#REF!</v>
      </c>
      <c r="DI585" t="e">
        <f>AND(#REF!,"AAAAAG3G+3A=")</f>
        <v>#REF!</v>
      </c>
      <c r="DJ585" t="e">
        <f>AND(#REF!,"AAAAAG3G+3E=")</f>
        <v>#REF!</v>
      </c>
      <c r="DK585" t="e">
        <f>AND(#REF!,"AAAAAG3G+3I=")</f>
        <v>#REF!</v>
      </c>
      <c r="DL585" t="e">
        <f>AND(#REF!,"AAAAAG3G+3M=")</f>
        <v>#REF!</v>
      </c>
      <c r="DM585" t="e">
        <f>AND(#REF!,"AAAAAG3G+3Q=")</f>
        <v>#REF!</v>
      </c>
      <c r="DN585" t="e">
        <f>AND(#REF!,"AAAAAG3G+3U=")</f>
        <v>#REF!</v>
      </c>
      <c r="DO585" t="e">
        <f>AND(#REF!,"AAAAAG3G+3Y=")</f>
        <v>#REF!</v>
      </c>
      <c r="DP585" t="e">
        <f>AND(#REF!,"AAAAAG3G+3c=")</f>
        <v>#REF!</v>
      </c>
      <c r="DQ585" t="e">
        <f>AND(#REF!,"AAAAAG3G+3g=")</f>
        <v>#REF!</v>
      </c>
      <c r="DR585" t="e">
        <f>AND(#REF!,"AAAAAG3G+3k=")</f>
        <v>#REF!</v>
      </c>
      <c r="DS585" t="e">
        <f>AND(#REF!,"AAAAAG3G+3o=")</f>
        <v>#REF!</v>
      </c>
      <c r="DT585" t="e">
        <f>AND(#REF!,"AAAAAG3G+3s=")</f>
        <v>#REF!</v>
      </c>
      <c r="DU585" t="e">
        <f>AND(#REF!,"AAAAAG3G+3w=")</f>
        <v>#REF!</v>
      </c>
      <c r="DV585" t="e">
        <f>AND(#REF!,"AAAAAG3G+30=")</f>
        <v>#REF!</v>
      </c>
      <c r="DW585" t="e">
        <f>AND(#REF!,"AAAAAG3G+34=")</f>
        <v>#REF!</v>
      </c>
      <c r="DX585" t="e">
        <f>AND(#REF!,"AAAAAG3G+38=")</f>
        <v>#REF!</v>
      </c>
      <c r="DY585" t="e">
        <f>AND(#REF!,"AAAAAG3G+4A=")</f>
        <v>#REF!</v>
      </c>
      <c r="DZ585" t="e">
        <f>AND(#REF!,"AAAAAG3G+4E=")</f>
        <v>#REF!</v>
      </c>
      <c r="EA585" t="e">
        <f>AND(#REF!,"AAAAAG3G+4I=")</f>
        <v>#REF!</v>
      </c>
      <c r="EB585" t="e">
        <f>IF(#REF!,"AAAAAG3G+4M=",0)</f>
        <v>#REF!</v>
      </c>
      <c r="EC585" t="e">
        <f>AND(#REF!,"AAAAAG3G+4Q=")</f>
        <v>#REF!</v>
      </c>
      <c r="ED585" t="e">
        <f>AND(#REF!,"AAAAAG3G+4U=")</f>
        <v>#REF!</v>
      </c>
      <c r="EE585" t="e">
        <f>AND(#REF!,"AAAAAG3G+4Y=")</f>
        <v>#REF!</v>
      </c>
      <c r="EF585" t="e">
        <f>AND(#REF!,"AAAAAG3G+4c=")</f>
        <v>#REF!</v>
      </c>
      <c r="EG585" t="e">
        <f>AND(#REF!,"AAAAAG3G+4g=")</f>
        <v>#REF!</v>
      </c>
      <c r="EH585" t="e">
        <f>AND(#REF!,"AAAAAG3G+4k=")</f>
        <v>#REF!</v>
      </c>
      <c r="EI585" t="e">
        <f>AND(#REF!,"AAAAAG3G+4o=")</f>
        <v>#REF!</v>
      </c>
      <c r="EJ585" t="e">
        <f>AND(#REF!,"AAAAAG3G+4s=")</f>
        <v>#REF!</v>
      </c>
      <c r="EK585" t="e">
        <f>AND(#REF!,"AAAAAG3G+4w=")</f>
        <v>#REF!</v>
      </c>
      <c r="EL585" t="e">
        <f>AND(#REF!,"AAAAAG3G+40=")</f>
        <v>#REF!</v>
      </c>
      <c r="EM585" t="e">
        <f>AND(#REF!,"AAAAAG3G+44=")</f>
        <v>#REF!</v>
      </c>
      <c r="EN585" t="e">
        <f>AND(#REF!,"AAAAAG3G+48=")</f>
        <v>#REF!</v>
      </c>
      <c r="EO585" t="e">
        <f>AND(#REF!,"AAAAAG3G+5A=")</f>
        <v>#REF!</v>
      </c>
      <c r="EP585" t="e">
        <f>AND(#REF!,"AAAAAG3G+5E=")</f>
        <v>#REF!</v>
      </c>
      <c r="EQ585" t="e">
        <f>AND(#REF!,"AAAAAG3G+5I=")</f>
        <v>#REF!</v>
      </c>
      <c r="ER585" t="e">
        <f>AND(#REF!,"AAAAAG3G+5M=")</f>
        <v>#REF!</v>
      </c>
      <c r="ES585" t="e">
        <f>AND(#REF!,"AAAAAG3G+5Q=")</f>
        <v>#REF!</v>
      </c>
      <c r="ET585" t="e">
        <f>AND(#REF!,"AAAAAG3G+5U=")</f>
        <v>#REF!</v>
      </c>
      <c r="EU585" t="e">
        <f>AND(#REF!,"AAAAAG3G+5Y=")</f>
        <v>#REF!</v>
      </c>
      <c r="EV585" t="e">
        <f>AND(#REF!,"AAAAAG3G+5c=")</f>
        <v>#REF!</v>
      </c>
      <c r="EW585" t="e">
        <f>AND(#REF!,"AAAAAG3G+5g=")</f>
        <v>#REF!</v>
      </c>
      <c r="EX585" t="e">
        <f>AND(#REF!,"AAAAAG3G+5k=")</f>
        <v>#REF!</v>
      </c>
      <c r="EY585" t="e">
        <f>AND(#REF!,"AAAAAG3G+5o=")</f>
        <v>#REF!</v>
      </c>
      <c r="EZ585" t="e">
        <f>AND(#REF!,"AAAAAG3G+5s=")</f>
        <v>#REF!</v>
      </c>
      <c r="FA585" t="e">
        <f>IF(#REF!,"AAAAAG3G+5w=",0)</f>
        <v>#REF!</v>
      </c>
      <c r="FB585" t="e">
        <f>AND(#REF!,"AAAAAG3G+50=")</f>
        <v>#REF!</v>
      </c>
      <c r="FC585" t="e">
        <f>AND(#REF!,"AAAAAG3G+54=")</f>
        <v>#REF!</v>
      </c>
      <c r="FD585" t="e">
        <f>AND(#REF!,"AAAAAG3G+58=")</f>
        <v>#REF!</v>
      </c>
      <c r="FE585" t="e">
        <f>AND(#REF!,"AAAAAG3G+6A=")</f>
        <v>#REF!</v>
      </c>
      <c r="FF585" t="e">
        <f>AND(#REF!,"AAAAAG3G+6E=")</f>
        <v>#REF!</v>
      </c>
      <c r="FG585" t="e">
        <f>AND(#REF!,"AAAAAG3G+6I=")</f>
        <v>#REF!</v>
      </c>
      <c r="FH585" t="e">
        <f>AND(#REF!,"AAAAAG3G+6M=")</f>
        <v>#REF!</v>
      </c>
      <c r="FI585" t="e">
        <f>AND(#REF!,"AAAAAG3G+6Q=")</f>
        <v>#REF!</v>
      </c>
      <c r="FJ585" t="e">
        <f>AND(#REF!,"AAAAAG3G+6U=")</f>
        <v>#REF!</v>
      </c>
      <c r="FK585" t="e">
        <f>AND(#REF!,"AAAAAG3G+6Y=")</f>
        <v>#REF!</v>
      </c>
      <c r="FL585" t="e">
        <f>AND(#REF!,"AAAAAG3G+6c=")</f>
        <v>#REF!</v>
      </c>
      <c r="FM585" t="e">
        <f>AND(#REF!,"AAAAAG3G+6g=")</f>
        <v>#REF!</v>
      </c>
      <c r="FN585" t="e">
        <f>AND(#REF!,"AAAAAG3G+6k=")</f>
        <v>#REF!</v>
      </c>
      <c r="FO585" t="e">
        <f>AND(#REF!,"AAAAAG3G+6o=")</f>
        <v>#REF!</v>
      </c>
      <c r="FP585" t="e">
        <f>AND(#REF!,"AAAAAG3G+6s=")</f>
        <v>#REF!</v>
      </c>
      <c r="FQ585" t="e">
        <f>AND(#REF!,"AAAAAG3G+6w=")</f>
        <v>#REF!</v>
      </c>
      <c r="FR585" t="e">
        <f>AND(#REF!,"AAAAAG3G+60=")</f>
        <v>#REF!</v>
      </c>
      <c r="FS585" t="e">
        <f>AND(#REF!,"AAAAAG3G+64=")</f>
        <v>#REF!</v>
      </c>
      <c r="FT585" t="e">
        <f>AND(#REF!,"AAAAAG3G+68=")</f>
        <v>#REF!</v>
      </c>
      <c r="FU585" t="e">
        <f>AND(#REF!,"AAAAAG3G+7A=")</f>
        <v>#REF!</v>
      </c>
      <c r="FV585" t="e">
        <f>AND(#REF!,"AAAAAG3G+7E=")</f>
        <v>#REF!</v>
      </c>
      <c r="FW585" t="e">
        <f>AND(#REF!,"AAAAAG3G+7I=")</f>
        <v>#REF!</v>
      </c>
      <c r="FX585" t="e">
        <f>AND(#REF!,"AAAAAG3G+7M=")</f>
        <v>#REF!</v>
      </c>
      <c r="FY585" t="e">
        <f>AND(#REF!,"AAAAAG3G+7Q=")</f>
        <v>#REF!</v>
      </c>
      <c r="FZ585" t="e">
        <f>IF(#REF!,"AAAAAG3G+7U=",0)</f>
        <v>#REF!</v>
      </c>
      <c r="GA585" t="e">
        <f>AND(#REF!,"AAAAAG3G+7Y=")</f>
        <v>#REF!</v>
      </c>
      <c r="GB585" t="e">
        <f>AND(#REF!,"AAAAAG3G+7c=")</f>
        <v>#REF!</v>
      </c>
      <c r="GC585" t="e">
        <f>AND(#REF!,"AAAAAG3G+7g=")</f>
        <v>#REF!</v>
      </c>
      <c r="GD585" t="e">
        <f>AND(#REF!,"AAAAAG3G+7k=")</f>
        <v>#REF!</v>
      </c>
      <c r="GE585" t="e">
        <f>AND(#REF!,"AAAAAG3G+7o=")</f>
        <v>#REF!</v>
      </c>
      <c r="GF585" t="e">
        <f>AND(#REF!,"AAAAAG3G+7s=")</f>
        <v>#REF!</v>
      </c>
      <c r="GG585" t="e">
        <f>AND(#REF!,"AAAAAG3G+7w=")</f>
        <v>#REF!</v>
      </c>
      <c r="GH585" t="e">
        <f>AND(#REF!,"AAAAAG3G+70=")</f>
        <v>#REF!</v>
      </c>
      <c r="GI585" t="e">
        <f>AND(#REF!,"AAAAAG3G+74=")</f>
        <v>#REF!</v>
      </c>
      <c r="GJ585" t="e">
        <f>AND(#REF!,"AAAAAG3G+78=")</f>
        <v>#REF!</v>
      </c>
      <c r="GK585" t="e">
        <f>AND(#REF!,"AAAAAG3G+8A=")</f>
        <v>#REF!</v>
      </c>
      <c r="GL585" t="e">
        <f>AND(#REF!,"AAAAAG3G+8E=")</f>
        <v>#REF!</v>
      </c>
      <c r="GM585" t="e">
        <f>AND(#REF!,"AAAAAG3G+8I=")</f>
        <v>#REF!</v>
      </c>
      <c r="GN585" t="e">
        <f>AND(#REF!,"AAAAAG3G+8M=")</f>
        <v>#REF!</v>
      </c>
      <c r="GO585" t="e">
        <f>AND(#REF!,"AAAAAG3G+8Q=")</f>
        <v>#REF!</v>
      </c>
      <c r="GP585" t="e">
        <f>AND(#REF!,"AAAAAG3G+8U=")</f>
        <v>#REF!</v>
      </c>
      <c r="GQ585" t="e">
        <f>AND(#REF!,"AAAAAG3G+8Y=")</f>
        <v>#REF!</v>
      </c>
      <c r="GR585" t="e">
        <f>AND(#REF!,"AAAAAG3G+8c=")</f>
        <v>#REF!</v>
      </c>
      <c r="GS585" t="e">
        <f>AND(#REF!,"AAAAAG3G+8g=")</f>
        <v>#REF!</v>
      </c>
      <c r="GT585" t="e">
        <f>AND(#REF!,"AAAAAG3G+8k=")</f>
        <v>#REF!</v>
      </c>
      <c r="GU585" t="e">
        <f>AND(#REF!,"AAAAAG3G+8o=")</f>
        <v>#REF!</v>
      </c>
      <c r="GV585" t="e">
        <f>AND(#REF!,"AAAAAG3G+8s=")</f>
        <v>#REF!</v>
      </c>
      <c r="GW585" t="e">
        <f>AND(#REF!,"AAAAAG3G+8w=")</f>
        <v>#REF!</v>
      </c>
      <c r="GX585" t="e">
        <f>AND(#REF!,"AAAAAG3G+80=")</f>
        <v>#REF!</v>
      </c>
      <c r="GY585" t="e">
        <f>IF(#REF!,"AAAAAG3G+84=",0)</f>
        <v>#REF!</v>
      </c>
      <c r="GZ585" t="e">
        <f>AND(#REF!,"AAAAAG3G+88=")</f>
        <v>#REF!</v>
      </c>
      <c r="HA585" t="e">
        <f>AND(#REF!,"AAAAAG3G+9A=")</f>
        <v>#REF!</v>
      </c>
      <c r="HB585" t="e">
        <f>AND(#REF!,"AAAAAG3G+9E=")</f>
        <v>#REF!</v>
      </c>
      <c r="HC585" t="e">
        <f>AND(#REF!,"AAAAAG3G+9I=")</f>
        <v>#REF!</v>
      </c>
      <c r="HD585" t="e">
        <f>AND(#REF!,"AAAAAG3G+9M=")</f>
        <v>#REF!</v>
      </c>
      <c r="HE585" t="e">
        <f>AND(#REF!,"AAAAAG3G+9Q=")</f>
        <v>#REF!</v>
      </c>
      <c r="HF585" t="e">
        <f>AND(#REF!,"AAAAAG3G+9U=")</f>
        <v>#REF!</v>
      </c>
      <c r="HG585" t="e">
        <f>AND(#REF!,"AAAAAG3G+9Y=")</f>
        <v>#REF!</v>
      </c>
      <c r="HH585" t="e">
        <f>AND(#REF!,"AAAAAG3G+9c=")</f>
        <v>#REF!</v>
      </c>
      <c r="HI585" t="e">
        <f>AND(#REF!,"AAAAAG3G+9g=")</f>
        <v>#REF!</v>
      </c>
      <c r="HJ585" t="e">
        <f>AND(#REF!,"AAAAAG3G+9k=")</f>
        <v>#REF!</v>
      </c>
      <c r="HK585" t="e">
        <f>AND(#REF!,"AAAAAG3G+9o=")</f>
        <v>#REF!</v>
      </c>
      <c r="HL585" t="e">
        <f>AND(#REF!,"AAAAAG3G+9s=")</f>
        <v>#REF!</v>
      </c>
      <c r="HM585" t="e">
        <f>AND(#REF!,"AAAAAG3G+9w=")</f>
        <v>#REF!</v>
      </c>
      <c r="HN585" t="e">
        <f>AND(#REF!,"AAAAAG3G+90=")</f>
        <v>#REF!</v>
      </c>
      <c r="HO585" t="e">
        <f>AND(#REF!,"AAAAAG3G+94=")</f>
        <v>#REF!</v>
      </c>
      <c r="HP585" t="e">
        <f>AND(#REF!,"AAAAAG3G+98=")</f>
        <v>#REF!</v>
      </c>
      <c r="HQ585" t="e">
        <f>AND(#REF!,"AAAAAG3G++A=")</f>
        <v>#REF!</v>
      </c>
      <c r="HR585" t="e">
        <f>AND(#REF!,"AAAAAG3G++E=")</f>
        <v>#REF!</v>
      </c>
      <c r="HS585" t="e">
        <f>AND(#REF!,"AAAAAG3G++I=")</f>
        <v>#REF!</v>
      </c>
      <c r="HT585" t="e">
        <f>AND(#REF!,"AAAAAG3G++M=")</f>
        <v>#REF!</v>
      </c>
      <c r="HU585" t="e">
        <f>AND(#REF!,"AAAAAG3G++Q=")</f>
        <v>#REF!</v>
      </c>
      <c r="HV585" t="e">
        <f>AND(#REF!,"AAAAAG3G++U=")</f>
        <v>#REF!</v>
      </c>
      <c r="HW585" t="e">
        <f>AND(#REF!,"AAAAAG3G++Y=")</f>
        <v>#REF!</v>
      </c>
      <c r="HX585" t="e">
        <f>IF(#REF!,"AAAAAG3G++c=",0)</f>
        <v>#REF!</v>
      </c>
      <c r="HY585" t="e">
        <f>AND(#REF!,"AAAAAG3G++g=")</f>
        <v>#REF!</v>
      </c>
      <c r="HZ585" t="e">
        <f>AND(#REF!,"AAAAAG3G++k=")</f>
        <v>#REF!</v>
      </c>
      <c r="IA585" t="e">
        <f>AND(#REF!,"AAAAAG3G++o=")</f>
        <v>#REF!</v>
      </c>
      <c r="IB585" t="e">
        <f>AND(#REF!,"AAAAAG3G++s=")</f>
        <v>#REF!</v>
      </c>
      <c r="IC585" t="e">
        <f>AND(#REF!,"AAAAAG3G++w=")</f>
        <v>#REF!</v>
      </c>
      <c r="ID585" t="e">
        <f>AND(#REF!,"AAAAAG3G++0=")</f>
        <v>#REF!</v>
      </c>
      <c r="IE585" t="e">
        <f>AND(#REF!,"AAAAAG3G++4=")</f>
        <v>#REF!</v>
      </c>
      <c r="IF585" t="e">
        <f>AND(#REF!,"AAAAAG3G++8=")</f>
        <v>#REF!</v>
      </c>
      <c r="IG585" t="e">
        <f>AND(#REF!,"AAAAAG3G+/A=")</f>
        <v>#REF!</v>
      </c>
      <c r="IH585" t="e">
        <f>AND(#REF!,"AAAAAG3G+/E=")</f>
        <v>#REF!</v>
      </c>
      <c r="II585" t="e">
        <f>AND(#REF!,"AAAAAG3G+/I=")</f>
        <v>#REF!</v>
      </c>
      <c r="IJ585" t="e">
        <f>AND(#REF!,"AAAAAG3G+/M=")</f>
        <v>#REF!</v>
      </c>
      <c r="IK585" t="e">
        <f>AND(#REF!,"AAAAAG3G+/Q=")</f>
        <v>#REF!</v>
      </c>
      <c r="IL585" t="e">
        <f>AND(#REF!,"AAAAAG3G+/U=")</f>
        <v>#REF!</v>
      </c>
      <c r="IM585" t="e">
        <f>AND(#REF!,"AAAAAG3G+/Y=")</f>
        <v>#REF!</v>
      </c>
      <c r="IN585" t="e">
        <f>AND(#REF!,"AAAAAG3G+/c=")</f>
        <v>#REF!</v>
      </c>
      <c r="IO585" t="e">
        <f>AND(#REF!,"AAAAAG3G+/g=")</f>
        <v>#REF!</v>
      </c>
      <c r="IP585" t="e">
        <f>AND(#REF!,"AAAAAG3G+/k=")</f>
        <v>#REF!</v>
      </c>
      <c r="IQ585" t="e">
        <f>AND(#REF!,"AAAAAG3G+/o=")</f>
        <v>#REF!</v>
      </c>
      <c r="IR585" t="e">
        <f>AND(#REF!,"AAAAAG3G+/s=")</f>
        <v>#REF!</v>
      </c>
      <c r="IS585" t="e">
        <f>AND(#REF!,"AAAAAG3G+/w=")</f>
        <v>#REF!</v>
      </c>
      <c r="IT585" t="e">
        <f>AND(#REF!,"AAAAAG3G+/0=")</f>
        <v>#REF!</v>
      </c>
      <c r="IU585" t="e">
        <f>AND(#REF!,"AAAAAG3G+/4=")</f>
        <v>#REF!</v>
      </c>
      <c r="IV585" t="e">
        <f>AND(#REF!,"AAAAAG3G+/8=")</f>
        <v>#REF!</v>
      </c>
    </row>
    <row r="586" spans="1:256">
      <c r="A586" t="e">
        <f>IF(#REF!,"AAAAAF7P9wA=",0)</f>
        <v>#REF!</v>
      </c>
      <c r="B586" t="e">
        <f>AND(#REF!,"AAAAAF7P9wE=")</f>
        <v>#REF!</v>
      </c>
      <c r="C586" t="e">
        <f>AND(#REF!,"AAAAAF7P9wI=")</f>
        <v>#REF!</v>
      </c>
      <c r="D586" t="e">
        <f>AND(#REF!,"AAAAAF7P9wM=")</f>
        <v>#REF!</v>
      </c>
      <c r="E586" t="e">
        <f>AND(#REF!,"AAAAAF7P9wQ=")</f>
        <v>#REF!</v>
      </c>
      <c r="F586" t="e">
        <f>AND(#REF!,"AAAAAF7P9wU=")</f>
        <v>#REF!</v>
      </c>
      <c r="G586" t="e">
        <f>AND(#REF!,"AAAAAF7P9wY=")</f>
        <v>#REF!</v>
      </c>
      <c r="H586" t="e">
        <f>AND(#REF!,"AAAAAF7P9wc=")</f>
        <v>#REF!</v>
      </c>
      <c r="I586" t="e">
        <f>AND(#REF!,"AAAAAF7P9wg=")</f>
        <v>#REF!</v>
      </c>
      <c r="J586" t="e">
        <f>AND(#REF!,"AAAAAF7P9wk=")</f>
        <v>#REF!</v>
      </c>
      <c r="K586" t="e">
        <f>AND(#REF!,"AAAAAF7P9wo=")</f>
        <v>#REF!</v>
      </c>
      <c r="L586" t="e">
        <f>AND(#REF!,"AAAAAF7P9ws=")</f>
        <v>#REF!</v>
      </c>
      <c r="M586" t="e">
        <f>AND(#REF!,"AAAAAF7P9ww=")</f>
        <v>#REF!</v>
      </c>
      <c r="N586" t="e">
        <f>AND(#REF!,"AAAAAF7P9w0=")</f>
        <v>#REF!</v>
      </c>
      <c r="O586" t="e">
        <f>AND(#REF!,"AAAAAF7P9w4=")</f>
        <v>#REF!</v>
      </c>
      <c r="P586" t="e">
        <f>AND(#REF!,"AAAAAF7P9w8=")</f>
        <v>#REF!</v>
      </c>
      <c r="Q586" t="e">
        <f>AND(#REF!,"AAAAAF7P9xA=")</f>
        <v>#REF!</v>
      </c>
      <c r="R586" t="e">
        <f>AND(#REF!,"AAAAAF7P9xE=")</f>
        <v>#REF!</v>
      </c>
      <c r="S586" t="e">
        <f>AND(#REF!,"AAAAAF7P9xI=")</f>
        <v>#REF!</v>
      </c>
      <c r="T586" t="e">
        <f>AND(#REF!,"AAAAAF7P9xM=")</f>
        <v>#REF!</v>
      </c>
      <c r="U586" t="e">
        <f>AND(#REF!,"AAAAAF7P9xQ=")</f>
        <v>#REF!</v>
      </c>
      <c r="V586" t="e">
        <f>AND(#REF!,"AAAAAF7P9xU=")</f>
        <v>#REF!</v>
      </c>
      <c r="W586" t="e">
        <f>AND(#REF!,"AAAAAF7P9xY=")</f>
        <v>#REF!</v>
      </c>
      <c r="X586" t="e">
        <f>AND(#REF!,"AAAAAF7P9xc=")</f>
        <v>#REF!</v>
      </c>
      <c r="Y586" t="e">
        <f>AND(#REF!,"AAAAAF7P9xg=")</f>
        <v>#REF!</v>
      </c>
      <c r="Z586" t="e">
        <f>IF(#REF!,"AAAAAF7P9xk=",0)</f>
        <v>#REF!</v>
      </c>
      <c r="AA586" t="e">
        <f>AND(#REF!,"AAAAAF7P9xo=")</f>
        <v>#REF!</v>
      </c>
      <c r="AB586" t="e">
        <f>AND(#REF!,"AAAAAF7P9xs=")</f>
        <v>#REF!</v>
      </c>
      <c r="AC586" t="e">
        <f>AND(#REF!,"AAAAAF7P9xw=")</f>
        <v>#REF!</v>
      </c>
      <c r="AD586" t="e">
        <f>AND(#REF!,"AAAAAF7P9x0=")</f>
        <v>#REF!</v>
      </c>
      <c r="AE586" t="e">
        <f>AND(#REF!,"AAAAAF7P9x4=")</f>
        <v>#REF!</v>
      </c>
      <c r="AF586" t="e">
        <f>AND(#REF!,"AAAAAF7P9x8=")</f>
        <v>#REF!</v>
      </c>
      <c r="AG586" t="e">
        <f>AND(#REF!,"AAAAAF7P9yA=")</f>
        <v>#REF!</v>
      </c>
      <c r="AH586" t="e">
        <f>AND(#REF!,"AAAAAF7P9yE=")</f>
        <v>#REF!</v>
      </c>
      <c r="AI586" t="e">
        <f>AND(#REF!,"AAAAAF7P9yI=")</f>
        <v>#REF!</v>
      </c>
      <c r="AJ586" t="e">
        <f>AND(#REF!,"AAAAAF7P9yM=")</f>
        <v>#REF!</v>
      </c>
      <c r="AK586" t="e">
        <f>AND(#REF!,"AAAAAF7P9yQ=")</f>
        <v>#REF!</v>
      </c>
      <c r="AL586" t="e">
        <f>AND(#REF!,"AAAAAF7P9yU=")</f>
        <v>#REF!</v>
      </c>
      <c r="AM586" t="e">
        <f>AND(#REF!,"AAAAAF7P9yY=")</f>
        <v>#REF!</v>
      </c>
      <c r="AN586" t="e">
        <f>AND(#REF!,"AAAAAF7P9yc=")</f>
        <v>#REF!</v>
      </c>
      <c r="AO586" t="e">
        <f>AND(#REF!,"AAAAAF7P9yg=")</f>
        <v>#REF!</v>
      </c>
      <c r="AP586" t="e">
        <f>AND(#REF!,"AAAAAF7P9yk=")</f>
        <v>#REF!</v>
      </c>
      <c r="AQ586" t="e">
        <f>AND(#REF!,"AAAAAF7P9yo=")</f>
        <v>#REF!</v>
      </c>
      <c r="AR586" t="e">
        <f>AND(#REF!,"AAAAAF7P9ys=")</f>
        <v>#REF!</v>
      </c>
      <c r="AS586" t="e">
        <f>AND(#REF!,"AAAAAF7P9yw=")</f>
        <v>#REF!</v>
      </c>
      <c r="AT586" t="e">
        <f>AND(#REF!,"AAAAAF7P9y0=")</f>
        <v>#REF!</v>
      </c>
      <c r="AU586" t="e">
        <f>AND(#REF!,"AAAAAF7P9y4=")</f>
        <v>#REF!</v>
      </c>
      <c r="AV586" t="e">
        <f>AND(#REF!,"AAAAAF7P9y8=")</f>
        <v>#REF!</v>
      </c>
      <c r="AW586" t="e">
        <f>AND(#REF!,"AAAAAF7P9zA=")</f>
        <v>#REF!</v>
      </c>
      <c r="AX586" t="e">
        <f>AND(#REF!,"AAAAAF7P9zE=")</f>
        <v>#REF!</v>
      </c>
      <c r="AY586" t="e">
        <f>IF(#REF!,"AAAAAF7P9zI=",0)</f>
        <v>#REF!</v>
      </c>
      <c r="AZ586" t="e">
        <f>AND(#REF!,"AAAAAF7P9zM=")</f>
        <v>#REF!</v>
      </c>
      <c r="BA586" t="e">
        <f>AND(#REF!,"AAAAAF7P9zQ=")</f>
        <v>#REF!</v>
      </c>
      <c r="BB586" t="e">
        <f>AND(#REF!,"AAAAAF7P9zU=")</f>
        <v>#REF!</v>
      </c>
      <c r="BC586" t="e">
        <f>AND(#REF!,"AAAAAF7P9zY=")</f>
        <v>#REF!</v>
      </c>
      <c r="BD586" t="e">
        <f>AND(#REF!,"AAAAAF7P9zc=")</f>
        <v>#REF!</v>
      </c>
      <c r="BE586" t="e">
        <f>AND(#REF!,"AAAAAF7P9zg=")</f>
        <v>#REF!</v>
      </c>
      <c r="BF586" t="e">
        <f>AND(#REF!,"AAAAAF7P9zk=")</f>
        <v>#REF!</v>
      </c>
      <c r="BG586" t="e">
        <f>AND(#REF!,"AAAAAF7P9zo=")</f>
        <v>#REF!</v>
      </c>
      <c r="BH586" t="e">
        <f>AND(#REF!,"AAAAAF7P9zs=")</f>
        <v>#REF!</v>
      </c>
      <c r="BI586" t="e">
        <f>AND(#REF!,"AAAAAF7P9zw=")</f>
        <v>#REF!</v>
      </c>
      <c r="BJ586" t="e">
        <f>AND(#REF!,"AAAAAF7P9z0=")</f>
        <v>#REF!</v>
      </c>
      <c r="BK586" t="e">
        <f>AND(#REF!,"AAAAAF7P9z4=")</f>
        <v>#REF!</v>
      </c>
      <c r="BL586" t="e">
        <f>AND(#REF!,"AAAAAF7P9z8=")</f>
        <v>#REF!</v>
      </c>
      <c r="BM586" t="e">
        <f>AND(#REF!,"AAAAAF7P90A=")</f>
        <v>#REF!</v>
      </c>
      <c r="BN586" t="e">
        <f>AND(#REF!,"AAAAAF7P90E=")</f>
        <v>#REF!</v>
      </c>
      <c r="BO586" t="e">
        <f>AND(#REF!,"AAAAAF7P90I=")</f>
        <v>#REF!</v>
      </c>
      <c r="BP586" t="e">
        <f>AND(#REF!,"AAAAAF7P90M=")</f>
        <v>#REF!</v>
      </c>
      <c r="BQ586" t="e">
        <f>AND(#REF!,"AAAAAF7P90Q=")</f>
        <v>#REF!</v>
      </c>
      <c r="BR586" t="e">
        <f>AND(#REF!,"AAAAAF7P90U=")</f>
        <v>#REF!</v>
      </c>
      <c r="BS586" t="e">
        <f>AND(#REF!,"AAAAAF7P90Y=")</f>
        <v>#REF!</v>
      </c>
      <c r="BT586" t="e">
        <f>AND(#REF!,"AAAAAF7P90c=")</f>
        <v>#REF!</v>
      </c>
      <c r="BU586" t="e">
        <f>AND(#REF!,"AAAAAF7P90g=")</f>
        <v>#REF!</v>
      </c>
      <c r="BV586" t="e">
        <f>AND(#REF!,"AAAAAF7P90k=")</f>
        <v>#REF!</v>
      </c>
      <c r="BW586" t="e">
        <f>AND(#REF!,"AAAAAF7P90o=")</f>
        <v>#REF!</v>
      </c>
      <c r="BX586" t="e">
        <f>IF(#REF!,"AAAAAF7P90s=",0)</f>
        <v>#REF!</v>
      </c>
      <c r="BY586" t="e">
        <f>AND(#REF!,"AAAAAF7P90w=")</f>
        <v>#REF!</v>
      </c>
      <c r="BZ586" t="e">
        <f>AND(#REF!,"AAAAAF7P900=")</f>
        <v>#REF!</v>
      </c>
      <c r="CA586" t="e">
        <f>AND(#REF!,"AAAAAF7P904=")</f>
        <v>#REF!</v>
      </c>
      <c r="CB586" t="e">
        <f>AND(#REF!,"AAAAAF7P908=")</f>
        <v>#REF!</v>
      </c>
      <c r="CC586" t="e">
        <f>AND(#REF!,"AAAAAF7P91A=")</f>
        <v>#REF!</v>
      </c>
      <c r="CD586" t="e">
        <f>AND(#REF!,"AAAAAF7P91E=")</f>
        <v>#REF!</v>
      </c>
      <c r="CE586" t="e">
        <f>AND(#REF!,"AAAAAF7P91I=")</f>
        <v>#REF!</v>
      </c>
      <c r="CF586" t="e">
        <f>AND(#REF!,"AAAAAF7P91M=")</f>
        <v>#REF!</v>
      </c>
      <c r="CG586" t="e">
        <f>AND(#REF!,"AAAAAF7P91Q=")</f>
        <v>#REF!</v>
      </c>
      <c r="CH586" t="e">
        <f>AND(#REF!,"AAAAAF7P91U=")</f>
        <v>#REF!</v>
      </c>
      <c r="CI586" t="e">
        <f>AND(#REF!,"AAAAAF7P91Y=")</f>
        <v>#REF!</v>
      </c>
      <c r="CJ586" t="e">
        <f>AND(#REF!,"AAAAAF7P91c=")</f>
        <v>#REF!</v>
      </c>
      <c r="CK586" t="e">
        <f>AND(#REF!,"AAAAAF7P91g=")</f>
        <v>#REF!</v>
      </c>
      <c r="CL586" t="e">
        <f>AND(#REF!,"AAAAAF7P91k=")</f>
        <v>#REF!</v>
      </c>
      <c r="CM586" t="e">
        <f>AND(#REF!,"AAAAAF7P91o=")</f>
        <v>#REF!</v>
      </c>
      <c r="CN586" t="e">
        <f>AND(#REF!,"AAAAAF7P91s=")</f>
        <v>#REF!</v>
      </c>
      <c r="CO586" t="e">
        <f>AND(#REF!,"AAAAAF7P91w=")</f>
        <v>#REF!</v>
      </c>
      <c r="CP586" t="e">
        <f>AND(#REF!,"AAAAAF7P910=")</f>
        <v>#REF!</v>
      </c>
      <c r="CQ586" t="e">
        <f>AND(#REF!,"AAAAAF7P914=")</f>
        <v>#REF!</v>
      </c>
      <c r="CR586" t="e">
        <f>AND(#REF!,"AAAAAF7P918=")</f>
        <v>#REF!</v>
      </c>
      <c r="CS586" t="e">
        <f>AND(#REF!,"AAAAAF7P92A=")</f>
        <v>#REF!</v>
      </c>
      <c r="CT586" t="e">
        <f>AND(#REF!,"AAAAAF7P92E=")</f>
        <v>#REF!</v>
      </c>
      <c r="CU586" t="e">
        <f>AND(#REF!,"AAAAAF7P92I=")</f>
        <v>#REF!</v>
      </c>
      <c r="CV586" t="e">
        <f>AND(#REF!,"AAAAAF7P92M=")</f>
        <v>#REF!</v>
      </c>
      <c r="CW586" t="e">
        <f>IF(#REF!,"AAAAAF7P92Q=",0)</f>
        <v>#REF!</v>
      </c>
      <c r="CX586" t="e">
        <f>AND(#REF!,"AAAAAF7P92U=")</f>
        <v>#REF!</v>
      </c>
      <c r="CY586" t="e">
        <f>AND(#REF!,"AAAAAF7P92Y=")</f>
        <v>#REF!</v>
      </c>
      <c r="CZ586" t="e">
        <f>AND(#REF!,"AAAAAF7P92c=")</f>
        <v>#REF!</v>
      </c>
      <c r="DA586" t="e">
        <f>AND(#REF!,"AAAAAF7P92g=")</f>
        <v>#REF!</v>
      </c>
      <c r="DB586" t="e">
        <f>AND(#REF!,"AAAAAF7P92k=")</f>
        <v>#REF!</v>
      </c>
      <c r="DC586" t="e">
        <f>AND(#REF!,"AAAAAF7P92o=")</f>
        <v>#REF!</v>
      </c>
      <c r="DD586" t="e">
        <f>AND(#REF!,"AAAAAF7P92s=")</f>
        <v>#REF!</v>
      </c>
      <c r="DE586" t="e">
        <f>AND(#REF!,"AAAAAF7P92w=")</f>
        <v>#REF!</v>
      </c>
      <c r="DF586" t="e">
        <f>AND(#REF!,"AAAAAF7P920=")</f>
        <v>#REF!</v>
      </c>
      <c r="DG586" t="e">
        <f>AND(#REF!,"AAAAAF7P924=")</f>
        <v>#REF!</v>
      </c>
      <c r="DH586" t="e">
        <f>AND(#REF!,"AAAAAF7P928=")</f>
        <v>#REF!</v>
      </c>
      <c r="DI586" t="e">
        <f>AND(#REF!,"AAAAAF7P93A=")</f>
        <v>#REF!</v>
      </c>
      <c r="DJ586" t="e">
        <f>AND(#REF!,"AAAAAF7P93E=")</f>
        <v>#REF!</v>
      </c>
      <c r="DK586" t="e">
        <f>AND(#REF!,"AAAAAF7P93I=")</f>
        <v>#REF!</v>
      </c>
      <c r="DL586" t="e">
        <f>AND(#REF!,"AAAAAF7P93M=")</f>
        <v>#REF!</v>
      </c>
      <c r="DM586" t="e">
        <f>AND(#REF!,"AAAAAF7P93Q=")</f>
        <v>#REF!</v>
      </c>
      <c r="DN586" t="e">
        <f>AND(#REF!,"AAAAAF7P93U=")</f>
        <v>#REF!</v>
      </c>
      <c r="DO586" t="e">
        <f>AND(#REF!,"AAAAAF7P93Y=")</f>
        <v>#REF!</v>
      </c>
      <c r="DP586" t="e">
        <f>AND(#REF!,"AAAAAF7P93c=")</f>
        <v>#REF!</v>
      </c>
      <c r="DQ586" t="e">
        <f>AND(#REF!,"AAAAAF7P93g=")</f>
        <v>#REF!</v>
      </c>
      <c r="DR586" t="e">
        <f>AND(#REF!,"AAAAAF7P93k=")</f>
        <v>#REF!</v>
      </c>
      <c r="DS586" t="e">
        <f>AND(#REF!,"AAAAAF7P93o=")</f>
        <v>#REF!</v>
      </c>
      <c r="DT586" t="e">
        <f>AND(#REF!,"AAAAAF7P93s=")</f>
        <v>#REF!</v>
      </c>
      <c r="DU586" t="e">
        <f>AND(#REF!,"AAAAAF7P93w=")</f>
        <v>#REF!</v>
      </c>
      <c r="DV586" t="e">
        <f>IF(#REF!,"AAAAAF7P930=",0)</f>
        <v>#REF!</v>
      </c>
      <c r="DW586" t="e">
        <f>AND(#REF!,"AAAAAF7P934=")</f>
        <v>#REF!</v>
      </c>
      <c r="DX586" t="e">
        <f>AND(#REF!,"AAAAAF7P938=")</f>
        <v>#REF!</v>
      </c>
      <c r="DY586" t="e">
        <f>AND(#REF!,"AAAAAF7P94A=")</f>
        <v>#REF!</v>
      </c>
      <c r="DZ586" t="e">
        <f>AND(#REF!,"AAAAAF7P94E=")</f>
        <v>#REF!</v>
      </c>
      <c r="EA586" t="e">
        <f>AND(#REF!,"AAAAAF7P94I=")</f>
        <v>#REF!</v>
      </c>
      <c r="EB586" t="e">
        <f>AND(#REF!,"AAAAAF7P94M=")</f>
        <v>#REF!</v>
      </c>
      <c r="EC586" t="e">
        <f>AND(#REF!,"AAAAAF7P94Q=")</f>
        <v>#REF!</v>
      </c>
      <c r="ED586" t="e">
        <f>AND(#REF!,"AAAAAF7P94U=")</f>
        <v>#REF!</v>
      </c>
      <c r="EE586" t="e">
        <f>AND(#REF!,"AAAAAF7P94Y=")</f>
        <v>#REF!</v>
      </c>
      <c r="EF586" t="e">
        <f>AND(#REF!,"AAAAAF7P94c=")</f>
        <v>#REF!</v>
      </c>
      <c r="EG586" t="e">
        <f>AND(#REF!,"AAAAAF7P94g=")</f>
        <v>#REF!</v>
      </c>
      <c r="EH586" t="e">
        <f>AND(#REF!,"AAAAAF7P94k=")</f>
        <v>#REF!</v>
      </c>
      <c r="EI586" t="e">
        <f>AND(#REF!,"AAAAAF7P94o=")</f>
        <v>#REF!</v>
      </c>
      <c r="EJ586" t="e">
        <f>AND(#REF!,"AAAAAF7P94s=")</f>
        <v>#REF!</v>
      </c>
      <c r="EK586" t="e">
        <f>AND(#REF!,"AAAAAF7P94w=")</f>
        <v>#REF!</v>
      </c>
      <c r="EL586" t="e">
        <f>AND(#REF!,"AAAAAF7P940=")</f>
        <v>#REF!</v>
      </c>
      <c r="EM586" t="e">
        <f>AND(#REF!,"AAAAAF7P944=")</f>
        <v>#REF!</v>
      </c>
      <c r="EN586" t="e">
        <f>AND(#REF!,"AAAAAF7P948=")</f>
        <v>#REF!</v>
      </c>
      <c r="EO586" t="e">
        <f>AND(#REF!,"AAAAAF7P95A=")</f>
        <v>#REF!</v>
      </c>
      <c r="EP586" t="e">
        <f>AND(#REF!,"AAAAAF7P95E=")</f>
        <v>#REF!</v>
      </c>
      <c r="EQ586" t="e">
        <f>AND(#REF!,"AAAAAF7P95I=")</f>
        <v>#REF!</v>
      </c>
      <c r="ER586" t="e">
        <f>AND(#REF!,"AAAAAF7P95M=")</f>
        <v>#REF!</v>
      </c>
      <c r="ES586" t="e">
        <f>AND(#REF!,"AAAAAF7P95Q=")</f>
        <v>#REF!</v>
      </c>
      <c r="ET586" t="e">
        <f>AND(#REF!,"AAAAAF7P95U=")</f>
        <v>#REF!</v>
      </c>
      <c r="EU586" t="e">
        <f>IF(#REF!,"AAAAAF7P95Y=",0)</f>
        <v>#REF!</v>
      </c>
      <c r="EV586" t="e">
        <f>AND(#REF!,"AAAAAF7P95c=")</f>
        <v>#REF!</v>
      </c>
      <c r="EW586" t="e">
        <f>AND(#REF!,"AAAAAF7P95g=")</f>
        <v>#REF!</v>
      </c>
      <c r="EX586" t="e">
        <f>AND(#REF!,"AAAAAF7P95k=")</f>
        <v>#REF!</v>
      </c>
      <c r="EY586" t="e">
        <f>AND(#REF!,"AAAAAF7P95o=")</f>
        <v>#REF!</v>
      </c>
      <c r="EZ586" t="e">
        <f>AND(#REF!,"AAAAAF7P95s=")</f>
        <v>#REF!</v>
      </c>
      <c r="FA586" t="e">
        <f>AND(#REF!,"AAAAAF7P95w=")</f>
        <v>#REF!</v>
      </c>
      <c r="FB586" t="e">
        <f>AND(#REF!,"AAAAAF7P950=")</f>
        <v>#REF!</v>
      </c>
      <c r="FC586" t="e">
        <f>AND(#REF!,"AAAAAF7P954=")</f>
        <v>#REF!</v>
      </c>
      <c r="FD586" t="e">
        <f>AND(#REF!,"AAAAAF7P958=")</f>
        <v>#REF!</v>
      </c>
      <c r="FE586" t="e">
        <f>AND(#REF!,"AAAAAF7P96A=")</f>
        <v>#REF!</v>
      </c>
      <c r="FF586" t="e">
        <f>AND(#REF!,"AAAAAF7P96E=")</f>
        <v>#REF!</v>
      </c>
      <c r="FG586" t="e">
        <f>AND(#REF!,"AAAAAF7P96I=")</f>
        <v>#REF!</v>
      </c>
      <c r="FH586" t="e">
        <f>AND(#REF!,"AAAAAF7P96M=")</f>
        <v>#REF!</v>
      </c>
      <c r="FI586" t="e">
        <f>AND(#REF!,"AAAAAF7P96Q=")</f>
        <v>#REF!</v>
      </c>
      <c r="FJ586" t="e">
        <f>AND(#REF!,"AAAAAF7P96U=")</f>
        <v>#REF!</v>
      </c>
      <c r="FK586" t="e">
        <f>AND(#REF!,"AAAAAF7P96Y=")</f>
        <v>#REF!</v>
      </c>
      <c r="FL586" t="e">
        <f>AND(#REF!,"AAAAAF7P96c=")</f>
        <v>#REF!</v>
      </c>
      <c r="FM586" t="e">
        <f>AND(#REF!,"AAAAAF7P96g=")</f>
        <v>#REF!</v>
      </c>
      <c r="FN586" t="e">
        <f>AND(#REF!,"AAAAAF7P96k=")</f>
        <v>#REF!</v>
      </c>
      <c r="FO586" t="e">
        <f>AND(#REF!,"AAAAAF7P96o=")</f>
        <v>#REF!</v>
      </c>
      <c r="FP586" t="e">
        <f>AND(#REF!,"AAAAAF7P96s=")</f>
        <v>#REF!</v>
      </c>
      <c r="FQ586" t="e">
        <f>AND(#REF!,"AAAAAF7P96w=")</f>
        <v>#REF!</v>
      </c>
      <c r="FR586" t="e">
        <f>AND(#REF!,"AAAAAF7P960=")</f>
        <v>#REF!</v>
      </c>
      <c r="FS586" t="e">
        <f>AND(#REF!,"AAAAAF7P964=")</f>
        <v>#REF!</v>
      </c>
      <c r="FT586" t="e">
        <f>IF(#REF!,"AAAAAF7P968=",0)</f>
        <v>#REF!</v>
      </c>
      <c r="FU586" t="e">
        <f>AND(#REF!,"AAAAAF7P97A=")</f>
        <v>#REF!</v>
      </c>
      <c r="FV586" t="e">
        <f>AND(#REF!,"AAAAAF7P97E=")</f>
        <v>#REF!</v>
      </c>
      <c r="FW586" t="e">
        <f>AND(#REF!,"AAAAAF7P97I=")</f>
        <v>#REF!</v>
      </c>
      <c r="FX586" t="e">
        <f>AND(#REF!,"AAAAAF7P97M=")</f>
        <v>#REF!</v>
      </c>
      <c r="FY586" t="e">
        <f>AND(#REF!,"AAAAAF7P97Q=")</f>
        <v>#REF!</v>
      </c>
      <c r="FZ586" t="e">
        <f>AND(#REF!,"AAAAAF7P97U=")</f>
        <v>#REF!</v>
      </c>
      <c r="GA586" t="e">
        <f>AND(#REF!,"AAAAAF7P97Y=")</f>
        <v>#REF!</v>
      </c>
      <c r="GB586" t="e">
        <f>AND(#REF!,"AAAAAF7P97c=")</f>
        <v>#REF!</v>
      </c>
      <c r="GC586" t="e">
        <f>AND(#REF!,"AAAAAF7P97g=")</f>
        <v>#REF!</v>
      </c>
      <c r="GD586" t="e">
        <f>AND(#REF!,"AAAAAF7P97k=")</f>
        <v>#REF!</v>
      </c>
      <c r="GE586" t="e">
        <f>AND(#REF!,"AAAAAF7P97o=")</f>
        <v>#REF!</v>
      </c>
      <c r="GF586" t="e">
        <f>AND(#REF!,"AAAAAF7P97s=")</f>
        <v>#REF!</v>
      </c>
      <c r="GG586" t="e">
        <f>AND(#REF!,"AAAAAF7P97w=")</f>
        <v>#REF!</v>
      </c>
      <c r="GH586" t="e">
        <f>AND(#REF!,"AAAAAF7P970=")</f>
        <v>#REF!</v>
      </c>
      <c r="GI586" t="e">
        <f>AND(#REF!,"AAAAAF7P974=")</f>
        <v>#REF!</v>
      </c>
      <c r="GJ586" t="e">
        <f>AND(#REF!,"AAAAAF7P978=")</f>
        <v>#REF!</v>
      </c>
      <c r="GK586" t="e">
        <f>AND(#REF!,"AAAAAF7P98A=")</f>
        <v>#REF!</v>
      </c>
      <c r="GL586" t="e">
        <f>AND(#REF!,"AAAAAF7P98E=")</f>
        <v>#REF!</v>
      </c>
      <c r="GM586" t="e">
        <f>AND(#REF!,"AAAAAF7P98I=")</f>
        <v>#REF!</v>
      </c>
      <c r="GN586" t="e">
        <f>AND(#REF!,"AAAAAF7P98M=")</f>
        <v>#REF!</v>
      </c>
      <c r="GO586" t="e">
        <f>AND(#REF!,"AAAAAF7P98Q=")</f>
        <v>#REF!</v>
      </c>
      <c r="GP586" t="e">
        <f>AND(#REF!,"AAAAAF7P98U=")</f>
        <v>#REF!</v>
      </c>
      <c r="GQ586" t="e">
        <f>AND(#REF!,"AAAAAF7P98Y=")</f>
        <v>#REF!</v>
      </c>
      <c r="GR586" t="e">
        <f>AND(#REF!,"AAAAAF7P98c=")</f>
        <v>#REF!</v>
      </c>
      <c r="GS586" t="e">
        <f>IF(#REF!,"AAAAAF7P98g=",0)</f>
        <v>#REF!</v>
      </c>
      <c r="GT586" t="e">
        <f>AND(#REF!,"AAAAAF7P98k=")</f>
        <v>#REF!</v>
      </c>
      <c r="GU586" t="e">
        <f>AND(#REF!,"AAAAAF7P98o=")</f>
        <v>#REF!</v>
      </c>
      <c r="GV586" t="e">
        <f>AND(#REF!,"AAAAAF7P98s=")</f>
        <v>#REF!</v>
      </c>
      <c r="GW586" t="e">
        <f>AND(#REF!,"AAAAAF7P98w=")</f>
        <v>#REF!</v>
      </c>
      <c r="GX586" t="e">
        <f>AND(#REF!,"AAAAAF7P980=")</f>
        <v>#REF!</v>
      </c>
      <c r="GY586" t="e">
        <f>AND(#REF!,"AAAAAF7P984=")</f>
        <v>#REF!</v>
      </c>
      <c r="GZ586" t="e">
        <f>AND(#REF!,"AAAAAF7P988=")</f>
        <v>#REF!</v>
      </c>
      <c r="HA586" t="e">
        <f>AND(#REF!,"AAAAAF7P99A=")</f>
        <v>#REF!</v>
      </c>
      <c r="HB586" t="e">
        <f>AND(#REF!,"AAAAAF7P99E=")</f>
        <v>#REF!</v>
      </c>
      <c r="HC586" t="e">
        <f>AND(#REF!,"AAAAAF7P99I=")</f>
        <v>#REF!</v>
      </c>
      <c r="HD586" t="e">
        <f>AND(#REF!,"AAAAAF7P99M=")</f>
        <v>#REF!</v>
      </c>
      <c r="HE586" t="e">
        <f>AND(#REF!,"AAAAAF7P99Q=")</f>
        <v>#REF!</v>
      </c>
      <c r="HF586" t="e">
        <f>AND(#REF!,"AAAAAF7P99U=")</f>
        <v>#REF!</v>
      </c>
      <c r="HG586" t="e">
        <f>AND(#REF!,"AAAAAF7P99Y=")</f>
        <v>#REF!</v>
      </c>
      <c r="HH586" t="e">
        <f>AND(#REF!,"AAAAAF7P99c=")</f>
        <v>#REF!</v>
      </c>
      <c r="HI586" t="e">
        <f>AND(#REF!,"AAAAAF7P99g=")</f>
        <v>#REF!</v>
      </c>
      <c r="HJ586" t="e">
        <f>AND(#REF!,"AAAAAF7P99k=")</f>
        <v>#REF!</v>
      </c>
      <c r="HK586" t="e">
        <f>AND(#REF!,"AAAAAF7P99o=")</f>
        <v>#REF!</v>
      </c>
      <c r="HL586" t="e">
        <f>AND(#REF!,"AAAAAF7P99s=")</f>
        <v>#REF!</v>
      </c>
      <c r="HM586" t="e">
        <f>AND(#REF!,"AAAAAF7P99w=")</f>
        <v>#REF!</v>
      </c>
      <c r="HN586" t="e">
        <f>AND(#REF!,"AAAAAF7P990=")</f>
        <v>#REF!</v>
      </c>
      <c r="HO586" t="e">
        <f>AND(#REF!,"AAAAAF7P994=")</f>
        <v>#REF!</v>
      </c>
      <c r="HP586" t="e">
        <f>AND(#REF!,"AAAAAF7P998=")</f>
        <v>#REF!</v>
      </c>
      <c r="HQ586" t="e">
        <f>AND(#REF!,"AAAAAF7P9+A=")</f>
        <v>#REF!</v>
      </c>
      <c r="HR586" t="e">
        <f>IF(#REF!,"AAAAAF7P9+E=",0)</f>
        <v>#REF!</v>
      </c>
      <c r="HS586" t="e">
        <f>AND(#REF!,"AAAAAF7P9+I=")</f>
        <v>#REF!</v>
      </c>
      <c r="HT586" t="e">
        <f>AND(#REF!,"AAAAAF7P9+M=")</f>
        <v>#REF!</v>
      </c>
      <c r="HU586" t="e">
        <f>AND(#REF!,"AAAAAF7P9+Q=")</f>
        <v>#REF!</v>
      </c>
      <c r="HV586" t="e">
        <f>AND(#REF!,"AAAAAF7P9+U=")</f>
        <v>#REF!</v>
      </c>
      <c r="HW586" t="e">
        <f>AND(#REF!,"AAAAAF7P9+Y=")</f>
        <v>#REF!</v>
      </c>
      <c r="HX586" t="e">
        <f>AND(#REF!,"AAAAAF7P9+c=")</f>
        <v>#REF!</v>
      </c>
      <c r="HY586" t="e">
        <f>AND(#REF!,"AAAAAF7P9+g=")</f>
        <v>#REF!</v>
      </c>
      <c r="HZ586" t="e">
        <f>AND(#REF!,"AAAAAF7P9+k=")</f>
        <v>#REF!</v>
      </c>
      <c r="IA586" t="e">
        <f>AND(#REF!,"AAAAAF7P9+o=")</f>
        <v>#REF!</v>
      </c>
      <c r="IB586" t="e">
        <f>AND(#REF!,"AAAAAF7P9+s=")</f>
        <v>#REF!</v>
      </c>
      <c r="IC586" t="e">
        <f>AND(#REF!,"AAAAAF7P9+w=")</f>
        <v>#REF!</v>
      </c>
      <c r="ID586" t="e">
        <f>AND(#REF!,"AAAAAF7P9+0=")</f>
        <v>#REF!</v>
      </c>
      <c r="IE586" t="e">
        <f>AND(#REF!,"AAAAAF7P9+4=")</f>
        <v>#REF!</v>
      </c>
      <c r="IF586" t="e">
        <f>AND(#REF!,"AAAAAF7P9+8=")</f>
        <v>#REF!</v>
      </c>
      <c r="IG586" t="e">
        <f>AND(#REF!,"AAAAAF7P9/A=")</f>
        <v>#REF!</v>
      </c>
      <c r="IH586" t="e">
        <f>AND(#REF!,"AAAAAF7P9/E=")</f>
        <v>#REF!</v>
      </c>
      <c r="II586" t="e">
        <f>AND(#REF!,"AAAAAF7P9/I=")</f>
        <v>#REF!</v>
      </c>
      <c r="IJ586" t="e">
        <f>AND(#REF!,"AAAAAF7P9/M=")</f>
        <v>#REF!</v>
      </c>
      <c r="IK586" t="e">
        <f>AND(#REF!,"AAAAAF7P9/Q=")</f>
        <v>#REF!</v>
      </c>
      <c r="IL586" t="e">
        <f>AND(#REF!,"AAAAAF7P9/U=")</f>
        <v>#REF!</v>
      </c>
      <c r="IM586" t="e">
        <f>AND(#REF!,"AAAAAF7P9/Y=")</f>
        <v>#REF!</v>
      </c>
      <c r="IN586" t="e">
        <f>AND(#REF!,"AAAAAF7P9/c=")</f>
        <v>#REF!</v>
      </c>
      <c r="IO586" t="e">
        <f>AND(#REF!,"AAAAAF7P9/g=")</f>
        <v>#REF!</v>
      </c>
      <c r="IP586" t="e">
        <f>AND(#REF!,"AAAAAF7P9/k=")</f>
        <v>#REF!</v>
      </c>
      <c r="IQ586" t="e">
        <f>IF(#REF!,"AAAAAF7P9/o=",0)</f>
        <v>#REF!</v>
      </c>
      <c r="IR586" t="e">
        <f>AND(#REF!,"AAAAAF7P9/s=")</f>
        <v>#REF!</v>
      </c>
      <c r="IS586" t="e">
        <f>AND(#REF!,"AAAAAF7P9/w=")</f>
        <v>#REF!</v>
      </c>
      <c r="IT586" t="e">
        <f>AND(#REF!,"AAAAAF7P9/0=")</f>
        <v>#REF!</v>
      </c>
      <c r="IU586" t="e">
        <f>AND(#REF!,"AAAAAF7P9/4=")</f>
        <v>#REF!</v>
      </c>
      <c r="IV586" t="e">
        <f>AND(#REF!,"AAAAAF7P9/8=")</f>
        <v>#REF!</v>
      </c>
    </row>
    <row r="587" spans="1:256">
      <c r="A587" t="e">
        <f>AND(#REF!,"AAAAAHdd/QA=")</f>
        <v>#REF!</v>
      </c>
      <c r="B587" t="e">
        <f>AND(#REF!,"AAAAAHdd/QE=")</f>
        <v>#REF!</v>
      </c>
      <c r="C587" t="e">
        <f>AND(#REF!,"AAAAAHdd/QI=")</f>
        <v>#REF!</v>
      </c>
      <c r="D587" t="e">
        <f>AND(#REF!,"AAAAAHdd/QM=")</f>
        <v>#REF!</v>
      </c>
      <c r="E587" t="e">
        <f>AND(#REF!,"AAAAAHdd/QQ=")</f>
        <v>#REF!</v>
      </c>
      <c r="F587" t="e">
        <f>AND(#REF!,"AAAAAHdd/QU=")</f>
        <v>#REF!</v>
      </c>
      <c r="G587" t="e">
        <f>AND(#REF!,"AAAAAHdd/QY=")</f>
        <v>#REF!</v>
      </c>
      <c r="H587" t="e">
        <f>AND(#REF!,"AAAAAHdd/Qc=")</f>
        <v>#REF!</v>
      </c>
      <c r="I587" t="e">
        <f>AND(#REF!,"AAAAAHdd/Qg=")</f>
        <v>#REF!</v>
      </c>
      <c r="J587" t="e">
        <f>AND(#REF!,"AAAAAHdd/Qk=")</f>
        <v>#REF!</v>
      </c>
      <c r="K587" t="e">
        <f>AND(#REF!,"AAAAAHdd/Qo=")</f>
        <v>#REF!</v>
      </c>
      <c r="L587" t="e">
        <f>AND(#REF!,"AAAAAHdd/Qs=")</f>
        <v>#REF!</v>
      </c>
      <c r="M587" t="e">
        <f>AND(#REF!,"AAAAAHdd/Qw=")</f>
        <v>#REF!</v>
      </c>
      <c r="N587" t="e">
        <f>AND(#REF!,"AAAAAHdd/Q0=")</f>
        <v>#REF!</v>
      </c>
      <c r="O587" t="e">
        <f>AND(#REF!,"AAAAAHdd/Q4=")</f>
        <v>#REF!</v>
      </c>
      <c r="P587" t="e">
        <f>AND(#REF!,"AAAAAHdd/Q8=")</f>
        <v>#REF!</v>
      </c>
      <c r="Q587" t="e">
        <f>AND(#REF!,"AAAAAHdd/RA=")</f>
        <v>#REF!</v>
      </c>
      <c r="R587" t="e">
        <f>AND(#REF!,"AAAAAHdd/RE=")</f>
        <v>#REF!</v>
      </c>
      <c r="S587" t="e">
        <f>AND(#REF!,"AAAAAHdd/RI=")</f>
        <v>#REF!</v>
      </c>
      <c r="T587" t="e">
        <f>IF(#REF!,"AAAAAHdd/RM=",0)</f>
        <v>#REF!</v>
      </c>
      <c r="U587" t="e">
        <f>AND(#REF!,"AAAAAHdd/RQ=")</f>
        <v>#REF!</v>
      </c>
      <c r="V587" t="e">
        <f>AND(#REF!,"AAAAAHdd/RU=")</f>
        <v>#REF!</v>
      </c>
      <c r="W587" t="e">
        <f>AND(#REF!,"AAAAAHdd/RY=")</f>
        <v>#REF!</v>
      </c>
      <c r="X587" t="e">
        <f>AND(#REF!,"AAAAAHdd/Rc=")</f>
        <v>#REF!</v>
      </c>
      <c r="Y587" t="e">
        <f>AND(#REF!,"AAAAAHdd/Rg=")</f>
        <v>#REF!</v>
      </c>
      <c r="Z587" t="e">
        <f>AND(#REF!,"AAAAAHdd/Rk=")</f>
        <v>#REF!</v>
      </c>
      <c r="AA587" t="e">
        <f>AND(#REF!,"AAAAAHdd/Ro=")</f>
        <v>#REF!</v>
      </c>
      <c r="AB587" t="e">
        <f>AND(#REF!,"AAAAAHdd/Rs=")</f>
        <v>#REF!</v>
      </c>
      <c r="AC587" t="e">
        <f>AND(#REF!,"AAAAAHdd/Rw=")</f>
        <v>#REF!</v>
      </c>
      <c r="AD587" t="e">
        <f>AND(#REF!,"AAAAAHdd/R0=")</f>
        <v>#REF!</v>
      </c>
      <c r="AE587" t="e">
        <f>AND(#REF!,"AAAAAHdd/R4=")</f>
        <v>#REF!</v>
      </c>
      <c r="AF587" t="e">
        <f>AND(#REF!,"AAAAAHdd/R8=")</f>
        <v>#REF!</v>
      </c>
      <c r="AG587" t="e">
        <f>AND(#REF!,"AAAAAHdd/SA=")</f>
        <v>#REF!</v>
      </c>
      <c r="AH587" t="e">
        <f>AND(#REF!,"AAAAAHdd/SE=")</f>
        <v>#REF!</v>
      </c>
      <c r="AI587" t="e">
        <f>AND(#REF!,"AAAAAHdd/SI=")</f>
        <v>#REF!</v>
      </c>
      <c r="AJ587" t="e">
        <f>AND(#REF!,"AAAAAHdd/SM=")</f>
        <v>#REF!</v>
      </c>
      <c r="AK587" t="e">
        <f>AND(#REF!,"AAAAAHdd/SQ=")</f>
        <v>#REF!</v>
      </c>
      <c r="AL587" t="e">
        <f>AND(#REF!,"AAAAAHdd/SU=")</f>
        <v>#REF!</v>
      </c>
      <c r="AM587" t="e">
        <f>AND(#REF!,"AAAAAHdd/SY=")</f>
        <v>#REF!</v>
      </c>
      <c r="AN587" t="e">
        <f>AND(#REF!,"AAAAAHdd/Sc=")</f>
        <v>#REF!</v>
      </c>
      <c r="AO587" t="e">
        <f>AND(#REF!,"AAAAAHdd/Sg=")</f>
        <v>#REF!</v>
      </c>
      <c r="AP587" t="e">
        <f>AND(#REF!,"AAAAAHdd/Sk=")</f>
        <v>#REF!</v>
      </c>
      <c r="AQ587" t="e">
        <f>AND(#REF!,"AAAAAHdd/So=")</f>
        <v>#REF!</v>
      </c>
      <c r="AR587" t="e">
        <f>AND(#REF!,"AAAAAHdd/Ss=")</f>
        <v>#REF!</v>
      </c>
      <c r="AS587" t="e">
        <f>IF(#REF!,"AAAAAHdd/Sw=",0)</f>
        <v>#REF!</v>
      </c>
      <c r="AT587" t="e">
        <f>AND(#REF!,"AAAAAHdd/S0=")</f>
        <v>#REF!</v>
      </c>
      <c r="AU587" t="e">
        <f>AND(#REF!,"AAAAAHdd/S4=")</f>
        <v>#REF!</v>
      </c>
      <c r="AV587" t="e">
        <f>AND(#REF!,"AAAAAHdd/S8=")</f>
        <v>#REF!</v>
      </c>
      <c r="AW587" t="e">
        <f>AND(#REF!,"AAAAAHdd/TA=")</f>
        <v>#REF!</v>
      </c>
      <c r="AX587" t="e">
        <f>AND(#REF!,"AAAAAHdd/TE=")</f>
        <v>#REF!</v>
      </c>
      <c r="AY587" t="e">
        <f>AND(#REF!,"AAAAAHdd/TI=")</f>
        <v>#REF!</v>
      </c>
      <c r="AZ587" t="e">
        <f>AND(#REF!,"AAAAAHdd/TM=")</f>
        <v>#REF!</v>
      </c>
      <c r="BA587" t="e">
        <f>AND(#REF!,"AAAAAHdd/TQ=")</f>
        <v>#REF!</v>
      </c>
      <c r="BB587" t="e">
        <f>AND(#REF!,"AAAAAHdd/TU=")</f>
        <v>#REF!</v>
      </c>
      <c r="BC587" t="e">
        <f>AND(#REF!,"AAAAAHdd/TY=")</f>
        <v>#REF!</v>
      </c>
      <c r="BD587" t="e">
        <f>AND(#REF!,"AAAAAHdd/Tc=")</f>
        <v>#REF!</v>
      </c>
      <c r="BE587" t="e">
        <f>AND(#REF!,"AAAAAHdd/Tg=")</f>
        <v>#REF!</v>
      </c>
      <c r="BF587" t="e">
        <f>AND(#REF!,"AAAAAHdd/Tk=")</f>
        <v>#REF!</v>
      </c>
      <c r="BG587" t="e">
        <f>AND(#REF!,"AAAAAHdd/To=")</f>
        <v>#REF!</v>
      </c>
      <c r="BH587" t="e">
        <f>AND(#REF!,"AAAAAHdd/Ts=")</f>
        <v>#REF!</v>
      </c>
      <c r="BI587" t="e">
        <f>AND(#REF!,"AAAAAHdd/Tw=")</f>
        <v>#REF!</v>
      </c>
      <c r="BJ587" t="e">
        <f>AND(#REF!,"AAAAAHdd/T0=")</f>
        <v>#REF!</v>
      </c>
      <c r="BK587" t="e">
        <f>AND(#REF!,"AAAAAHdd/T4=")</f>
        <v>#REF!</v>
      </c>
      <c r="BL587" t="e">
        <f>AND(#REF!,"AAAAAHdd/T8=")</f>
        <v>#REF!</v>
      </c>
      <c r="BM587" t="e">
        <f>AND(#REF!,"AAAAAHdd/UA=")</f>
        <v>#REF!</v>
      </c>
      <c r="BN587" t="e">
        <f>AND(#REF!,"AAAAAHdd/UE=")</f>
        <v>#REF!</v>
      </c>
      <c r="BO587" t="e">
        <f>AND(#REF!,"AAAAAHdd/UI=")</f>
        <v>#REF!</v>
      </c>
      <c r="BP587" t="e">
        <f>AND(#REF!,"AAAAAHdd/UM=")</f>
        <v>#REF!</v>
      </c>
      <c r="BQ587" t="e">
        <f>AND(#REF!,"AAAAAHdd/UQ=")</f>
        <v>#REF!</v>
      </c>
      <c r="BR587" t="e">
        <f>IF(#REF!,"AAAAAHdd/UU=",0)</f>
        <v>#REF!</v>
      </c>
      <c r="BS587" t="e">
        <f>AND(#REF!,"AAAAAHdd/UY=")</f>
        <v>#REF!</v>
      </c>
      <c r="BT587" t="e">
        <f>AND(#REF!,"AAAAAHdd/Uc=")</f>
        <v>#REF!</v>
      </c>
      <c r="BU587" t="e">
        <f>AND(#REF!,"AAAAAHdd/Ug=")</f>
        <v>#REF!</v>
      </c>
      <c r="BV587" t="e">
        <f>AND(#REF!,"AAAAAHdd/Uk=")</f>
        <v>#REF!</v>
      </c>
      <c r="BW587" t="e">
        <f>AND(#REF!,"AAAAAHdd/Uo=")</f>
        <v>#REF!</v>
      </c>
      <c r="BX587" t="e">
        <f>AND(#REF!,"AAAAAHdd/Us=")</f>
        <v>#REF!</v>
      </c>
      <c r="BY587" t="e">
        <f>AND(#REF!,"AAAAAHdd/Uw=")</f>
        <v>#REF!</v>
      </c>
      <c r="BZ587" t="e">
        <f>AND(#REF!,"AAAAAHdd/U0=")</f>
        <v>#REF!</v>
      </c>
      <c r="CA587" t="e">
        <f>AND(#REF!,"AAAAAHdd/U4=")</f>
        <v>#REF!</v>
      </c>
      <c r="CB587" t="e">
        <f>AND(#REF!,"AAAAAHdd/U8=")</f>
        <v>#REF!</v>
      </c>
      <c r="CC587" t="e">
        <f>AND(#REF!,"AAAAAHdd/VA=")</f>
        <v>#REF!</v>
      </c>
      <c r="CD587" t="e">
        <f>AND(#REF!,"AAAAAHdd/VE=")</f>
        <v>#REF!</v>
      </c>
      <c r="CE587" t="e">
        <f>AND(#REF!,"AAAAAHdd/VI=")</f>
        <v>#REF!</v>
      </c>
      <c r="CF587" t="e">
        <f>AND(#REF!,"AAAAAHdd/VM=")</f>
        <v>#REF!</v>
      </c>
      <c r="CG587" t="e">
        <f>AND(#REF!,"AAAAAHdd/VQ=")</f>
        <v>#REF!</v>
      </c>
      <c r="CH587" t="e">
        <f>AND(#REF!,"AAAAAHdd/VU=")</f>
        <v>#REF!</v>
      </c>
      <c r="CI587" t="e">
        <f>AND(#REF!,"AAAAAHdd/VY=")</f>
        <v>#REF!</v>
      </c>
      <c r="CJ587" t="e">
        <f>AND(#REF!,"AAAAAHdd/Vc=")</f>
        <v>#REF!</v>
      </c>
      <c r="CK587" t="e">
        <f>AND(#REF!,"AAAAAHdd/Vg=")</f>
        <v>#REF!</v>
      </c>
      <c r="CL587" t="e">
        <f>AND(#REF!,"AAAAAHdd/Vk=")</f>
        <v>#REF!</v>
      </c>
      <c r="CM587" t="e">
        <f>AND(#REF!,"AAAAAHdd/Vo=")</f>
        <v>#REF!</v>
      </c>
      <c r="CN587" t="e">
        <f>AND(#REF!,"AAAAAHdd/Vs=")</f>
        <v>#REF!</v>
      </c>
      <c r="CO587" t="e">
        <f>AND(#REF!,"AAAAAHdd/Vw=")</f>
        <v>#REF!</v>
      </c>
      <c r="CP587" t="e">
        <f>AND(#REF!,"AAAAAHdd/V0=")</f>
        <v>#REF!</v>
      </c>
      <c r="CQ587" t="e">
        <f>IF(#REF!,"AAAAAHdd/V4=",0)</f>
        <v>#REF!</v>
      </c>
      <c r="CR587" t="e">
        <f>AND(#REF!,"AAAAAHdd/V8=")</f>
        <v>#REF!</v>
      </c>
      <c r="CS587" t="e">
        <f>AND(#REF!,"AAAAAHdd/WA=")</f>
        <v>#REF!</v>
      </c>
      <c r="CT587" t="e">
        <f>AND(#REF!,"AAAAAHdd/WE=")</f>
        <v>#REF!</v>
      </c>
      <c r="CU587" t="e">
        <f>AND(#REF!,"AAAAAHdd/WI=")</f>
        <v>#REF!</v>
      </c>
      <c r="CV587" t="e">
        <f>AND(#REF!,"AAAAAHdd/WM=")</f>
        <v>#REF!</v>
      </c>
      <c r="CW587" t="e">
        <f>AND(#REF!,"AAAAAHdd/WQ=")</f>
        <v>#REF!</v>
      </c>
      <c r="CX587" t="e">
        <f>AND(#REF!,"AAAAAHdd/WU=")</f>
        <v>#REF!</v>
      </c>
      <c r="CY587" t="e">
        <f>AND(#REF!,"AAAAAHdd/WY=")</f>
        <v>#REF!</v>
      </c>
      <c r="CZ587" t="e">
        <f>AND(#REF!,"AAAAAHdd/Wc=")</f>
        <v>#REF!</v>
      </c>
      <c r="DA587" t="e">
        <f>AND(#REF!,"AAAAAHdd/Wg=")</f>
        <v>#REF!</v>
      </c>
      <c r="DB587" t="e">
        <f>AND(#REF!,"AAAAAHdd/Wk=")</f>
        <v>#REF!</v>
      </c>
      <c r="DC587" t="e">
        <f>AND(#REF!,"AAAAAHdd/Wo=")</f>
        <v>#REF!</v>
      </c>
      <c r="DD587" t="e">
        <f>AND(#REF!,"AAAAAHdd/Ws=")</f>
        <v>#REF!</v>
      </c>
      <c r="DE587" t="e">
        <f>AND(#REF!,"AAAAAHdd/Ww=")</f>
        <v>#REF!</v>
      </c>
      <c r="DF587" t="e">
        <f>AND(#REF!,"AAAAAHdd/W0=")</f>
        <v>#REF!</v>
      </c>
      <c r="DG587" t="e">
        <f>AND(#REF!,"AAAAAHdd/W4=")</f>
        <v>#REF!</v>
      </c>
      <c r="DH587" t="e">
        <f>AND(#REF!,"AAAAAHdd/W8=")</f>
        <v>#REF!</v>
      </c>
      <c r="DI587" t="e">
        <f>AND(#REF!,"AAAAAHdd/XA=")</f>
        <v>#REF!</v>
      </c>
      <c r="DJ587" t="e">
        <f>AND(#REF!,"AAAAAHdd/XE=")</f>
        <v>#REF!</v>
      </c>
      <c r="DK587" t="e">
        <f>AND(#REF!,"AAAAAHdd/XI=")</f>
        <v>#REF!</v>
      </c>
      <c r="DL587" t="e">
        <f>AND(#REF!,"AAAAAHdd/XM=")</f>
        <v>#REF!</v>
      </c>
      <c r="DM587" t="e">
        <f>AND(#REF!,"AAAAAHdd/XQ=")</f>
        <v>#REF!</v>
      </c>
      <c r="DN587" t="e">
        <f>AND(#REF!,"AAAAAHdd/XU=")</f>
        <v>#REF!</v>
      </c>
      <c r="DO587" t="e">
        <f>AND(#REF!,"AAAAAHdd/XY=")</f>
        <v>#REF!</v>
      </c>
      <c r="DP587" t="e">
        <f>IF(#REF!,"AAAAAHdd/Xc=",0)</f>
        <v>#REF!</v>
      </c>
      <c r="DQ587" t="e">
        <f>AND(#REF!,"AAAAAHdd/Xg=")</f>
        <v>#REF!</v>
      </c>
      <c r="DR587" t="e">
        <f>AND(#REF!,"AAAAAHdd/Xk=")</f>
        <v>#REF!</v>
      </c>
      <c r="DS587" t="e">
        <f>AND(#REF!,"AAAAAHdd/Xo=")</f>
        <v>#REF!</v>
      </c>
      <c r="DT587" t="e">
        <f>AND(#REF!,"AAAAAHdd/Xs=")</f>
        <v>#REF!</v>
      </c>
      <c r="DU587" t="e">
        <f>AND(#REF!,"AAAAAHdd/Xw=")</f>
        <v>#REF!</v>
      </c>
      <c r="DV587" t="e">
        <f>AND(#REF!,"AAAAAHdd/X0=")</f>
        <v>#REF!</v>
      </c>
      <c r="DW587" t="e">
        <f>AND(#REF!,"AAAAAHdd/X4=")</f>
        <v>#REF!</v>
      </c>
      <c r="DX587" t="e">
        <f>AND(#REF!,"AAAAAHdd/X8=")</f>
        <v>#REF!</v>
      </c>
      <c r="DY587" t="e">
        <f>AND(#REF!,"AAAAAHdd/YA=")</f>
        <v>#REF!</v>
      </c>
      <c r="DZ587" t="e">
        <f>AND(#REF!,"AAAAAHdd/YE=")</f>
        <v>#REF!</v>
      </c>
      <c r="EA587" t="e">
        <f>AND(#REF!,"AAAAAHdd/YI=")</f>
        <v>#REF!</v>
      </c>
      <c r="EB587" t="e">
        <f>AND(#REF!,"AAAAAHdd/YM=")</f>
        <v>#REF!</v>
      </c>
      <c r="EC587" t="e">
        <f>AND(#REF!,"AAAAAHdd/YQ=")</f>
        <v>#REF!</v>
      </c>
      <c r="ED587" t="e">
        <f>AND(#REF!,"AAAAAHdd/YU=")</f>
        <v>#REF!</v>
      </c>
      <c r="EE587" t="e">
        <f>AND(#REF!,"AAAAAHdd/YY=")</f>
        <v>#REF!</v>
      </c>
      <c r="EF587" t="e">
        <f>AND(#REF!,"AAAAAHdd/Yc=")</f>
        <v>#REF!</v>
      </c>
      <c r="EG587" t="e">
        <f>AND(#REF!,"AAAAAHdd/Yg=")</f>
        <v>#REF!</v>
      </c>
      <c r="EH587" t="e">
        <f>AND(#REF!,"AAAAAHdd/Yk=")</f>
        <v>#REF!</v>
      </c>
      <c r="EI587" t="e">
        <f>AND(#REF!,"AAAAAHdd/Yo=")</f>
        <v>#REF!</v>
      </c>
      <c r="EJ587" t="e">
        <f>AND(#REF!,"AAAAAHdd/Ys=")</f>
        <v>#REF!</v>
      </c>
      <c r="EK587" t="e">
        <f>AND(#REF!,"AAAAAHdd/Yw=")</f>
        <v>#REF!</v>
      </c>
      <c r="EL587" t="e">
        <f>AND(#REF!,"AAAAAHdd/Y0=")</f>
        <v>#REF!</v>
      </c>
      <c r="EM587" t="e">
        <f>AND(#REF!,"AAAAAHdd/Y4=")</f>
        <v>#REF!</v>
      </c>
      <c r="EN587" t="e">
        <f>AND(#REF!,"AAAAAHdd/Y8=")</f>
        <v>#REF!</v>
      </c>
      <c r="EO587" t="e">
        <f>IF(#REF!,"AAAAAHdd/ZA=",0)</f>
        <v>#REF!</v>
      </c>
      <c r="EP587" t="e">
        <f>AND(#REF!,"AAAAAHdd/ZE=")</f>
        <v>#REF!</v>
      </c>
      <c r="EQ587" t="e">
        <f>AND(#REF!,"AAAAAHdd/ZI=")</f>
        <v>#REF!</v>
      </c>
      <c r="ER587" t="e">
        <f>AND(#REF!,"AAAAAHdd/ZM=")</f>
        <v>#REF!</v>
      </c>
      <c r="ES587" t="e">
        <f>AND(#REF!,"AAAAAHdd/ZQ=")</f>
        <v>#REF!</v>
      </c>
      <c r="ET587" t="e">
        <f>AND(#REF!,"AAAAAHdd/ZU=")</f>
        <v>#REF!</v>
      </c>
      <c r="EU587" t="e">
        <f>AND(#REF!,"AAAAAHdd/ZY=")</f>
        <v>#REF!</v>
      </c>
      <c r="EV587" t="e">
        <f>AND(#REF!,"AAAAAHdd/Zc=")</f>
        <v>#REF!</v>
      </c>
      <c r="EW587" t="e">
        <f>AND(#REF!,"AAAAAHdd/Zg=")</f>
        <v>#REF!</v>
      </c>
      <c r="EX587" t="e">
        <f>AND(#REF!,"AAAAAHdd/Zk=")</f>
        <v>#REF!</v>
      </c>
      <c r="EY587" t="e">
        <f>AND(#REF!,"AAAAAHdd/Zo=")</f>
        <v>#REF!</v>
      </c>
      <c r="EZ587" t="e">
        <f>AND(#REF!,"AAAAAHdd/Zs=")</f>
        <v>#REF!</v>
      </c>
      <c r="FA587" t="e">
        <f>AND(#REF!,"AAAAAHdd/Zw=")</f>
        <v>#REF!</v>
      </c>
      <c r="FB587" t="e">
        <f>AND(#REF!,"AAAAAHdd/Z0=")</f>
        <v>#REF!</v>
      </c>
      <c r="FC587" t="e">
        <f>AND(#REF!,"AAAAAHdd/Z4=")</f>
        <v>#REF!</v>
      </c>
      <c r="FD587" t="e">
        <f>AND(#REF!,"AAAAAHdd/Z8=")</f>
        <v>#REF!</v>
      </c>
      <c r="FE587" t="e">
        <f>AND(#REF!,"AAAAAHdd/aA=")</f>
        <v>#REF!</v>
      </c>
      <c r="FF587" t="e">
        <f>AND(#REF!,"AAAAAHdd/aE=")</f>
        <v>#REF!</v>
      </c>
      <c r="FG587" t="e">
        <f>AND(#REF!,"AAAAAHdd/aI=")</f>
        <v>#REF!</v>
      </c>
      <c r="FH587" t="e">
        <f>AND(#REF!,"AAAAAHdd/aM=")</f>
        <v>#REF!</v>
      </c>
      <c r="FI587" t="e">
        <f>AND(#REF!,"AAAAAHdd/aQ=")</f>
        <v>#REF!</v>
      </c>
      <c r="FJ587" t="e">
        <f>AND(#REF!,"AAAAAHdd/aU=")</f>
        <v>#REF!</v>
      </c>
      <c r="FK587" t="e">
        <f>AND(#REF!,"AAAAAHdd/aY=")</f>
        <v>#REF!</v>
      </c>
      <c r="FL587" t="e">
        <f>AND(#REF!,"AAAAAHdd/ac=")</f>
        <v>#REF!</v>
      </c>
      <c r="FM587" t="e">
        <f>AND(#REF!,"AAAAAHdd/ag=")</f>
        <v>#REF!</v>
      </c>
      <c r="FN587" t="e">
        <f>IF(#REF!,"AAAAAHdd/ak=",0)</f>
        <v>#REF!</v>
      </c>
      <c r="FO587" t="e">
        <f>AND(#REF!,"AAAAAHdd/ao=")</f>
        <v>#REF!</v>
      </c>
      <c r="FP587" t="e">
        <f>AND(#REF!,"AAAAAHdd/as=")</f>
        <v>#REF!</v>
      </c>
      <c r="FQ587" t="e">
        <f>AND(#REF!,"AAAAAHdd/aw=")</f>
        <v>#REF!</v>
      </c>
      <c r="FR587" t="e">
        <f>AND(#REF!,"AAAAAHdd/a0=")</f>
        <v>#REF!</v>
      </c>
      <c r="FS587" t="e">
        <f>AND(#REF!,"AAAAAHdd/a4=")</f>
        <v>#REF!</v>
      </c>
      <c r="FT587" t="e">
        <f>AND(#REF!,"AAAAAHdd/a8=")</f>
        <v>#REF!</v>
      </c>
      <c r="FU587" t="e">
        <f>AND(#REF!,"AAAAAHdd/bA=")</f>
        <v>#REF!</v>
      </c>
      <c r="FV587" t="e">
        <f>AND(#REF!,"AAAAAHdd/bE=")</f>
        <v>#REF!</v>
      </c>
      <c r="FW587" t="e">
        <f>AND(#REF!,"AAAAAHdd/bI=")</f>
        <v>#REF!</v>
      </c>
      <c r="FX587" t="e">
        <f>AND(#REF!,"AAAAAHdd/bM=")</f>
        <v>#REF!</v>
      </c>
      <c r="FY587" t="e">
        <f>AND(#REF!,"AAAAAHdd/bQ=")</f>
        <v>#REF!</v>
      </c>
      <c r="FZ587" t="e">
        <f>AND(#REF!,"AAAAAHdd/bU=")</f>
        <v>#REF!</v>
      </c>
      <c r="GA587" t="e">
        <f>AND(#REF!,"AAAAAHdd/bY=")</f>
        <v>#REF!</v>
      </c>
      <c r="GB587" t="e">
        <f>AND(#REF!,"AAAAAHdd/bc=")</f>
        <v>#REF!</v>
      </c>
      <c r="GC587" t="e">
        <f>AND(#REF!,"AAAAAHdd/bg=")</f>
        <v>#REF!</v>
      </c>
      <c r="GD587" t="e">
        <f>AND(#REF!,"AAAAAHdd/bk=")</f>
        <v>#REF!</v>
      </c>
      <c r="GE587" t="e">
        <f>AND(#REF!,"AAAAAHdd/bo=")</f>
        <v>#REF!</v>
      </c>
      <c r="GF587" t="e">
        <f>AND(#REF!,"AAAAAHdd/bs=")</f>
        <v>#REF!</v>
      </c>
      <c r="GG587" t="e">
        <f>AND(#REF!,"AAAAAHdd/bw=")</f>
        <v>#REF!</v>
      </c>
      <c r="GH587" t="e">
        <f>AND(#REF!,"AAAAAHdd/b0=")</f>
        <v>#REF!</v>
      </c>
      <c r="GI587" t="e">
        <f>AND(#REF!,"AAAAAHdd/b4=")</f>
        <v>#REF!</v>
      </c>
      <c r="GJ587" t="e">
        <f>AND(#REF!,"AAAAAHdd/b8=")</f>
        <v>#REF!</v>
      </c>
      <c r="GK587" t="e">
        <f>AND(#REF!,"AAAAAHdd/cA=")</f>
        <v>#REF!</v>
      </c>
      <c r="GL587" t="e">
        <f>AND(#REF!,"AAAAAHdd/cE=")</f>
        <v>#REF!</v>
      </c>
      <c r="GM587" t="e">
        <f>IF(#REF!,"AAAAAHdd/cI=",0)</f>
        <v>#REF!</v>
      </c>
      <c r="GN587" t="e">
        <f>AND(#REF!,"AAAAAHdd/cM=")</f>
        <v>#REF!</v>
      </c>
      <c r="GO587" t="e">
        <f>AND(#REF!,"AAAAAHdd/cQ=")</f>
        <v>#REF!</v>
      </c>
      <c r="GP587" t="e">
        <f>AND(#REF!,"AAAAAHdd/cU=")</f>
        <v>#REF!</v>
      </c>
      <c r="GQ587" t="e">
        <f>AND(#REF!,"AAAAAHdd/cY=")</f>
        <v>#REF!</v>
      </c>
      <c r="GR587" t="e">
        <f>AND(#REF!,"AAAAAHdd/cc=")</f>
        <v>#REF!</v>
      </c>
      <c r="GS587" t="e">
        <f>AND(#REF!,"AAAAAHdd/cg=")</f>
        <v>#REF!</v>
      </c>
      <c r="GT587" t="e">
        <f>AND(#REF!,"AAAAAHdd/ck=")</f>
        <v>#REF!</v>
      </c>
      <c r="GU587" t="e">
        <f>AND(#REF!,"AAAAAHdd/co=")</f>
        <v>#REF!</v>
      </c>
      <c r="GV587" t="e">
        <f>AND(#REF!,"AAAAAHdd/cs=")</f>
        <v>#REF!</v>
      </c>
      <c r="GW587" t="e">
        <f>AND(#REF!,"AAAAAHdd/cw=")</f>
        <v>#REF!</v>
      </c>
      <c r="GX587" t="e">
        <f>AND(#REF!,"AAAAAHdd/c0=")</f>
        <v>#REF!</v>
      </c>
      <c r="GY587" t="e">
        <f>AND(#REF!,"AAAAAHdd/c4=")</f>
        <v>#REF!</v>
      </c>
      <c r="GZ587" t="e">
        <f>AND(#REF!,"AAAAAHdd/c8=")</f>
        <v>#REF!</v>
      </c>
      <c r="HA587" t="e">
        <f>AND(#REF!,"AAAAAHdd/dA=")</f>
        <v>#REF!</v>
      </c>
      <c r="HB587" t="e">
        <f>AND(#REF!,"AAAAAHdd/dE=")</f>
        <v>#REF!</v>
      </c>
      <c r="HC587" t="e">
        <f>AND(#REF!,"AAAAAHdd/dI=")</f>
        <v>#REF!</v>
      </c>
      <c r="HD587" t="e">
        <f>AND(#REF!,"AAAAAHdd/dM=")</f>
        <v>#REF!</v>
      </c>
      <c r="HE587" t="e">
        <f>AND(#REF!,"AAAAAHdd/dQ=")</f>
        <v>#REF!</v>
      </c>
      <c r="HF587" t="e">
        <f>AND(#REF!,"AAAAAHdd/dU=")</f>
        <v>#REF!</v>
      </c>
      <c r="HG587" t="e">
        <f>AND(#REF!,"AAAAAHdd/dY=")</f>
        <v>#REF!</v>
      </c>
      <c r="HH587" t="e">
        <f>AND(#REF!,"AAAAAHdd/dc=")</f>
        <v>#REF!</v>
      </c>
      <c r="HI587" t="e">
        <f>AND(#REF!,"AAAAAHdd/dg=")</f>
        <v>#REF!</v>
      </c>
      <c r="HJ587" t="e">
        <f>AND(#REF!,"AAAAAHdd/dk=")</f>
        <v>#REF!</v>
      </c>
      <c r="HK587" t="e">
        <f>AND(#REF!,"AAAAAHdd/do=")</f>
        <v>#REF!</v>
      </c>
      <c r="HL587" t="e">
        <f>IF(#REF!,"AAAAAHdd/ds=",0)</f>
        <v>#REF!</v>
      </c>
      <c r="HM587" t="e">
        <f>AND(#REF!,"AAAAAHdd/dw=")</f>
        <v>#REF!</v>
      </c>
      <c r="HN587" t="e">
        <f>AND(#REF!,"AAAAAHdd/d0=")</f>
        <v>#REF!</v>
      </c>
      <c r="HO587" t="e">
        <f>AND(#REF!,"AAAAAHdd/d4=")</f>
        <v>#REF!</v>
      </c>
      <c r="HP587" t="e">
        <f>AND(#REF!,"AAAAAHdd/d8=")</f>
        <v>#REF!</v>
      </c>
      <c r="HQ587" t="e">
        <f>AND(#REF!,"AAAAAHdd/eA=")</f>
        <v>#REF!</v>
      </c>
      <c r="HR587" t="e">
        <f>AND(#REF!,"AAAAAHdd/eE=")</f>
        <v>#REF!</v>
      </c>
      <c r="HS587" t="e">
        <f>AND(#REF!,"AAAAAHdd/eI=")</f>
        <v>#REF!</v>
      </c>
      <c r="HT587" t="e">
        <f>AND(#REF!,"AAAAAHdd/eM=")</f>
        <v>#REF!</v>
      </c>
      <c r="HU587" t="e">
        <f>AND(#REF!,"AAAAAHdd/eQ=")</f>
        <v>#REF!</v>
      </c>
      <c r="HV587" t="e">
        <f>AND(#REF!,"AAAAAHdd/eU=")</f>
        <v>#REF!</v>
      </c>
      <c r="HW587" t="e">
        <f>AND(#REF!,"AAAAAHdd/eY=")</f>
        <v>#REF!</v>
      </c>
      <c r="HX587" t="e">
        <f>AND(#REF!,"AAAAAHdd/ec=")</f>
        <v>#REF!</v>
      </c>
      <c r="HY587" t="e">
        <f>AND(#REF!,"AAAAAHdd/eg=")</f>
        <v>#REF!</v>
      </c>
      <c r="HZ587" t="e">
        <f>AND(#REF!,"AAAAAHdd/ek=")</f>
        <v>#REF!</v>
      </c>
      <c r="IA587" t="e">
        <f>AND(#REF!,"AAAAAHdd/eo=")</f>
        <v>#REF!</v>
      </c>
      <c r="IB587" t="e">
        <f>AND(#REF!,"AAAAAHdd/es=")</f>
        <v>#REF!</v>
      </c>
      <c r="IC587" t="e">
        <f>AND(#REF!,"AAAAAHdd/ew=")</f>
        <v>#REF!</v>
      </c>
      <c r="ID587" t="e">
        <f>AND(#REF!,"AAAAAHdd/e0=")</f>
        <v>#REF!</v>
      </c>
      <c r="IE587" t="e">
        <f>AND(#REF!,"AAAAAHdd/e4=")</f>
        <v>#REF!</v>
      </c>
      <c r="IF587" t="e">
        <f>AND(#REF!,"AAAAAHdd/e8=")</f>
        <v>#REF!</v>
      </c>
      <c r="IG587" t="e">
        <f>AND(#REF!,"AAAAAHdd/fA=")</f>
        <v>#REF!</v>
      </c>
      <c r="IH587" t="e">
        <f>AND(#REF!,"AAAAAHdd/fE=")</f>
        <v>#REF!</v>
      </c>
      <c r="II587" t="e">
        <f>AND(#REF!,"AAAAAHdd/fI=")</f>
        <v>#REF!</v>
      </c>
      <c r="IJ587" t="e">
        <f>AND(#REF!,"AAAAAHdd/fM=")</f>
        <v>#REF!</v>
      </c>
      <c r="IK587" t="e">
        <f>IF(#REF!,"AAAAAHdd/fQ=",0)</f>
        <v>#REF!</v>
      </c>
      <c r="IL587" t="e">
        <f>AND(#REF!,"AAAAAHdd/fU=")</f>
        <v>#REF!</v>
      </c>
      <c r="IM587" t="e">
        <f>AND(#REF!,"AAAAAHdd/fY=")</f>
        <v>#REF!</v>
      </c>
      <c r="IN587" t="e">
        <f>AND(#REF!,"AAAAAHdd/fc=")</f>
        <v>#REF!</v>
      </c>
      <c r="IO587" t="e">
        <f>AND(#REF!,"AAAAAHdd/fg=")</f>
        <v>#REF!</v>
      </c>
      <c r="IP587" t="e">
        <f>AND(#REF!,"AAAAAHdd/fk=")</f>
        <v>#REF!</v>
      </c>
      <c r="IQ587" t="e">
        <f>AND(#REF!,"AAAAAHdd/fo=")</f>
        <v>#REF!</v>
      </c>
      <c r="IR587" t="e">
        <f>AND(#REF!,"AAAAAHdd/fs=")</f>
        <v>#REF!</v>
      </c>
      <c r="IS587" t="e">
        <f>AND(#REF!,"AAAAAHdd/fw=")</f>
        <v>#REF!</v>
      </c>
      <c r="IT587" t="e">
        <f>AND(#REF!,"AAAAAHdd/f0=")</f>
        <v>#REF!</v>
      </c>
      <c r="IU587" t="e">
        <f>AND(#REF!,"AAAAAHdd/f4=")</f>
        <v>#REF!</v>
      </c>
      <c r="IV587" t="e">
        <f>AND(#REF!,"AAAAAHdd/f8=")</f>
        <v>#REF!</v>
      </c>
    </row>
    <row r="588" spans="1:256">
      <c r="A588" t="e">
        <f>AND(#REF!,"AAAAAHU99QA=")</f>
        <v>#REF!</v>
      </c>
      <c r="B588" t="e">
        <f>AND(#REF!,"AAAAAHU99QE=")</f>
        <v>#REF!</v>
      </c>
      <c r="C588" t="e">
        <f>AND(#REF!,"AAAAAHU99QI=")</f>
        <v>#REF!</v>
      </c>
      <c r="D588" t="e">
        <f>AND(#REF!,"AAAAAHU99QM=")</f>
        <v>#REF!</v>
      </c>
      <c r="E588" t="e">
        <f>AND(#REF!,"AAAAAHU99QQ=")</f>
        <v>#REF!</v>
      </c>
      <c r="F588" t="e">
        <f>AND(#REF!,"AAAAAHU99QU=")</f>
        <v>#REF!</v>
      </c>
      <c r="G588" t="e">
        <f>AND(#REF!,"AAAAAHU99QY=")</f>
        <v>#REF!</v>
      </c>
      <c r="H588" t="e">
        <f>AND(#REF!,"AAAAAHU99Qc=")</f>
        <v>#REF!</v>
      </c>
      <c r="I588" t="e">
        <f>AND(#REF!,"AAAAAHU99Qg=")</f>
        <v>#REF!</v>
      </c>
      <c r="J588" t="e">
        <f>AND(#REF!,"AAAAAHU99Qk=")</f>
        <v>#REF!</v>
      </c>
      <c r="K588" t="e">
        <f>AND(#REF!,"AAAAAHU99Qo=")</f>
        <v>#REF!</v>
      </c>
      <c r="L588" t="e">
        <f>AND(#REF!,"AAAAAHU99Qs=")</f>
        <v>#REF!</v>
      </c>
      <c r="M588" t="e">
        <f>AND(#REF!,"AAAAAHU99Qw=")</f>
        <v>#REF!</v>
      </c>
      <c r="N588" t="e">
        <f>IF(#REF!,"AAAAAHU99Q0=",0)</f>
        <v>#REF!</v>
      </c>
      <c r="O588" t="e">
        <f>AND(#REF!,"AAAAAHU99Q4=")</f>
        <v>#REF!</v>
      </c>
      <c r="P588" t="e">
        <f>AND(#REF!,"AAAAAHU99Q8=")</f>
        <v>#REF!</v>
      </c>
      <c r="Q588" t="e">
        <f>AND(#REF!,"AAAAAHU99RA=")</f>
        <v>#REF!</v>
      </c>
      <c r="R588" t="e">
        <f>AND(#REF!,"AAAAAHU99RE=")</f>
        <v>#REF!</v>
      </c>
      <c r="S588" t="e">
        <f>AND(#REF!,"AAAAAHU99RI=")</f>
        <v>#REF!</v>
      </c>
      <c r="T588" t="e">
        <f>AND(#REF!,"AAAAAHU99RM=")</f>
        <v>#REF!</v>
      </c>
      <c r="U588" t="e">
        <f>AND(#REF!,"AAAAAHU99RQ=")</f>
        <v>#REF!</v>
      </c>
      <c r="V588" t="e">
        <f>AND(#REF!,"AAAAAHU99RU=")</f>
        <v>#REF!</v>
      </c>
      <c r="W588" t="e">
        <f>AND(#REF!,"AAAAAHU99RY=")</f>
        <v>#REF!</v>
      </c>
      <c r="X588" t="e">
        <f>AND(#REF!,"AAAAAHU99Rc=")</f>
        <v>#REF!</v>
      </c>
      <c r="Y588" t="e">
        <f>AND(#REF!,"AAAAAHU99Rg=")</f>
        <v>#REF!</v>
      </c>
      <c r="Z588" t="e">
        <f>AND(#REF!,"AAAAAHU99Rk=")</f>
        <v>#REF!</v>
      </c>
      <c r="AA588" t="e">
        <f>AND(#REF!,"AAAAAHU99Ro=")</f>
        <v>#REF!</v>
      </c>
      <c r="AB588" t="e">
        <f>AND(#REF!,"AAAAAHU99Rs=")</f>
        <v>#REF!</v>
      </c>
      <c r="AC588" t="e">
        <f>AND(#REF!,"AAAAAHU99Rw=")</f>
        <v>#REF!</v>
      </c>
      <c r="AD588" t="e">
        <f>AND(#REF!,"AAAAAHU99R0=")</f>
        <v>#REF!</v>
      </c>
      <c r="AE588" t="e">
        <f>AND(#REF!,"AAAAAHU99R4=")</f>
        <v>#REF!</v>
      </c>
      <c r="AF588" t="e">
        <f>AND(#REF!,"AAAAAHU99R8=")</f>
        <v>#REF!</v>
      </c>
      <c r="AG588" t="e">
        <f>AND(#REF!,"AAAAAHU99SA=")</f>
        <v>#REF!</v>
      </c>
      <c r="AH588" t="e">
        <f>AND(#REF!,"AAAAAHU99SE=")</f>
        <v>#REF!</v>
      </c>
      <c r="AI588" t="e">
        <f>AND(#REF!,"AAAAAHU99SI=")</f>
        <v>#REF!</v>
      </c>
      <c r="AJ588" t="e">
        <f>AND(#REF!,"AAAAAHU99SM=")</f>
        <v>#REF!</v>
      </c>
      <c r="AK588" t="e">
        <f>AND(#REF!,"AAAAAHU99SQ=")</f>
        <v>#REF!</v>
      </c>
      <c r="AL588" t="e">
        <f>AND(#REF!,"AAAAAHU99SU=")</f>
        <v>#REF!</v>
      </c>
      <c r="AM588" t="e">
        <f>IF(#REF!,"AAAAAHU99SY=",0)</f>
        <v>#REF!</v>
      </c>
      <c r="AN588" t="e">
        <f>AND(#REF!,"AAAAAHU99Sc=")</f>
        <v>#REF!</v>
      </c>
      <c r="AO588" t="e">
        <f>AND(#REF!,"AAAAAHU99Sg=")</f>
        <v>#REF!</v>
      </c>
      <c r="AP588" t="e">
        <f>AND(#REF!,"AAAAAHU99Sk=")</f>
        <v>#REF!</v>
      </c>
      <c r="AQ588" t="e">
        <f>AND(#REF!,"AAAAAHU99So=")</f>
        <v>#REF!</v>
      </c>
      <c r="AR588" t="e">
        <f>AND(#REF!,"AAAAAHU99Ss=")</f>
        <v>#REF!</v>
      </c>
      <c r="AS588" t="e">
        <f>AND(#REF!,"AAAAAHU99Sw=")</f>
        <v>#REF!</v>
      </c>
      <c r="AT588" t="e">
        <f>AND(#REF!,"AAAAAHU99S0=")</f>
        <v>#REF!</v>
      </c>
      <c r="AU588" t="e">
        <f>AND(#REF!,"AAAAAHU99S4=")</f>
        <v>#REF!</v>
      </c>
      <c r="AV588" t="e">
        <f>AND(#REF!,"AAAAAHU99S8=")</f>
        <v>#REF!</v>
      </c>
      <c r="AW588" t="e">
        <f>AND(#REF!,"AAAAAHU99TA=")</f>
        <v>#REF!</v>
      </c>
      <c r="AX588" t="e">
        <f>AND(#REF!,"AAAAAHU99TE=")</f>
        <v>#REF!</v>
      </c>
      <c r="AY588" t="e">
        <f>AND(#REF!,"AAAAAHU99TI=")</f>
        <v>#REF!</v>
      </c>
      <c r="AZ588" t="e">
        <f>AND(#REF!,"AAAAAHU99TM=")</f>
        <v>#REF!</v>
      </c>
      <c r="BA588" t="e">
        <f>AND(#REF!,"AAAAAHU99TQ=")</f>
        <v>#REF!</v>
      </c>
      <c r="BB588" t="e">
        <f>AND(#REF!,"AAAAAHU99TU=")</f>
        <v>#REF!</v>
      </c>
      <c r="BC588" t="e">
        <f>AND(#REF!,"AAAAAHU99TY=")</f>
        <v>#REF!</v>
      </c>
      <c r="BD588" t="e">
        <f>AND(#REF!,"AAAAAHU99Tc=")</f>
        <v>#REF!</v>
      </c>
      <c r="BE588" t="e">
        <f>AND(#REF!,"AAAAAHU99Tg=")</f>
        <v>#REF!</v>
      </c>
      <c r="BF588" t="e">
        <f>AND(#REF!,"AAAAAHU99Tk=")</f>
        <v>#REF!</v>
      </c>
      <c r="BG588" t="e">
        <f>AND(#REF!,"AAAAAHU99To=")</f>
        <v>#REF!</v>
      </c>
      <c r="BH588" t="e">
        <f>AND(#REF!,"AAAAAHU99Ts=")</f>
        <v>#REF!</v>
      </c>
      <c r="BI588" t="e">
        <f>AND(#REF!,"AAAAAHU99Tw=")</f>
        <v>#REF!</v>
      </c>
      <c r="BJ588" t="e">
        <f>AND(#REF!,"AAAAAHU99T0=")</f>
        <v>#REF!</v>
      </c>
      <c r="BK588" t="e">
        <f>AND(#REF!,"AAAAAHU99T4=")</f>
        <v>#REF!</v>
      </c>
      <c r="BL588" t="e">
        <f>IF(#REF!,"AAAAAHU99T8=",0)</f>
        <v>#REF!</v>
      </c>
      <c r="BM588" t="e">
        <f>AND(#REF!,"AAAAAHU99UA=")</f>
        <v>#REF!</v>
      </c>
      <c r="BN588" t="e">
        <f>AND(#REF!,"AAAAAHU99UE=")</f>
        <v>#REF!</v>
      </c>
      <c r="BO588" t="e">
        <f>AND(#REF!,"AAAAAHU99UI=")</f>
        <v>#REF!</v>
      </c>
      <c r="BP588" t="e">
        <f>AND(#REF!,"AAAAAHU99UM=")</f>
        <v>#REF!</v>
      </c>
      <c r="BQ588" t="e">
        <f>AND(#REF!,"AAAAAHU99UQ=")</f>
        <v>#REF!</v>
      </c>
      <c r="BR588" t="e">
        <f>AND(#REF!,"AAAAAHU99UU=")</f>
        <v>#REF!</v>
      </c>
      <c r="BS588" t="e">
        <f>AND(#REF!,"AAAAAHU99UY=")</f>
        <v>#REF!</v>
      </c>
      <c r="BT588" t="e">
        <f>AND(#REF!,"AAAAAHU99Uc=")</f>
        <v>#REF!</v>
      </c>
      <c r="BU588" t="e">
        <f>AND(#REF!,"AAAAAHU99Ug=")</f>
        <v>#REF!</v>
      </c>
      <c r="BV588" t="e">
        <f>AND(#REF!,"AAAAAHU99Uk=")</f>
        <v>#REF!</v>
      </c>
      <c r="BW588" t="e">
        <f>AND(#REF!,"AAAAAHU99Uo=")</f>
        <v>#REF!</v>
      </c>
      <c r="BX588" t="e">
        <f>AND(#REF!,"AAAAAHU99Us=")</f>
        <v>#REF!</v>
      </c>
      <c r="BY588" t="e">
        <f>AND(#REF!,"AAAAAHU99Uw=")</f>
        <v>#REF!</v>
      </c>
      <c r="BZ588" t="e">
        <f>AND(#REF!,"AAAAAHU99U0=")</f>
        <v>#REF!</v>
      </c>
      <c r="CA588" t="e">
        <f>AND(#REF!,"AAAAAHU99U4=")</f>
        <v>#REF!</v>
      </c>
      <c r="CB588" t="e">
        <f>AND(#REF!,"AAAAAHU99U8=")</f>
        <v>#REF!</v>
      </c>
      <c r="CC588" t="e">
        <f>AND(#REF!,"AAAAAHU99VA=")</f>
        <v>#REF!</v>
      </c>
      <c r="CD588" t="e">
        <f>AND(#REF!,"AAAAAHU99VE=")</f>
        <v>#REF!</v>
      </c>
      <c r="CE588" t="e">
        <f>AND(#REF!,"AAAAAHU99VI=")</f>
        <v>#REF!</v>
      </c>
      <c r="CF588" t="e">
        <f>AND(#REF!,"AAAAAHU99VM=")</f>
        <v>#REF!</v>
      </c>
      <c r="CG588" t="e">
        <f>AND(#REF!,"AAAAAHU99VQ=")</f>
        <v>#REF!</v>
      </c>
      <c r="CH588" t="e">
        <f>AND(#REF!,"AAAAAHU99VU=")</f>
        <v>#REF!</v>
      </c>
      <c r="CI588" t="e">
        <f>AND(#REF!,"AAAAAHU99VY=")</f>
        <v>#REF!</v>
      </c>
      <c r="CJ588" t="e">
        <f>AND(#REF!,"AAAAAHU99Vc=")</f>
        <v>#REF!</v>
      </c>
      <c r="CK588" t="e">
        <f>IF(#REF!,"AAAAAHU99Vg=",0)</f>
        <v>#REF!</v>
      </c>
      <c r="CL588" t="e">
        <f>AND(#REF!,"AAAAAHU99Vk=")</f>
        <v>#REF!</v>
      </c>
      <c r="CM588" t="e">
        <f>AND(#REF!,"AAAAAHU99Vo=")</f>
        <v>#REF!</v>
      </c>
      <c r="CN588" t="e">
        <f>AND(#REF!,"AAAAAHU99Vs=")</f>
        <v>#REF!</v>
      </c>
      <c r="CO588" t="e">
        <f>AND(#REF!,"AAAAAHU99Vw=")</f>
        <v>#REF!</v>
      </c>
      <c r="CP588" t="e">
        <f>AND(#REF!,"AAAAAHU99V0=")</f>
        <v>#REF!</v>
      </c>
      <c r="CQ588" t="e">
        <f>AND(#REF!,"AAAAAHU99V4=")</f>
        <v>#REF!</v>
      </c>
      <c r="CR588" t="e">
        <f>AND(#REF!,"AAAAAHU99V8=")</f>
        <v>#REF!</v>
      </c>
      <c r="CS588" t="e">
        <f>AND(#REF!,"AAAAAHU99WA=")</f>
        <v>#REF!</v>
      </c>
      <c r="CT588" t="e">
        <f>AND(#REF!,"AAAAAHU99WE=")</f>
        <v>#REF!</v>
      </c>
      <c r="CU588" t="e">
        <f>AND(#REF!,"AAAAAHU99WI=")</f>
        <v>#REF!</v>
      </c>
      <c r="CV588" t="e">
        <f>AND(#REF!,"AAAAAHU99WM=")</f>
        <v>#REF!</v>
      </c>
      <c r="CW588" t="e">
        <f>AND(#REF!,"AAAAAHU99WQ=")</f>
        <v>#REF!</v>
      </c>
      <c r="CX588" t="e">
        <f>AND(#REF!,"AAAAAHU99WU=")</f>
        <v>#REF!</v>
      </c>
      <c r="CY588" t="e">
        <f>AND(#REF!,"AAAAAHU99WY=")</f>
        <v>#REF!</v>
      </c>
      <c r="CZ588" t="e">
        <f>AND(#REF!,"AAAAAHU99Wc=")</f>
        <v>#REF!</v>
      </c>
      <c r="DA588" t="e">
        <f>AND(#REF!,"AAAAAHU99Wg=")</f>
        <v>#REF!</v>
      </c>
      <c r="DB588" t="e">
        <f>AND(#REF!,"AAAAAHU99Wk=")</f>
        <v>#REF!</v>
      </c>
      <c r="DC588" t="e">
        <f>AND(#REF!,"AAAAAHU99Wo=")</f>
        <v>#REF!</v>
      </c>
      <c r="DD588" t="e">
        <f>AND(#REF!,"AAAAAHU99Ws=")</f>
        <v>#REF!</v>
      </c>
      <c r="DE588" t="e">
        <f>AND(#REF!,"AAAAAHU99Ww=")</f>
        <v>#REF!</v>
      </c>
      <c r="DF588" t="e">
        <f>AND(#REF!,"AAAAAHU99W0=")</f>
        <v>#REF!</v>
      </c>
      <c r="DG588" t="e">
        <f>AND(#REF!,"AAAAAHU99W4=")</f>
        <v>#REF!</v>
      </c>
      <c r="DH588" t="e">
        <f>AND(#REF!,"AAAAAHU99W8=")</f>
        <v>#REF!</v>
      </c>
      <c r="DI588" t="e">
        <f>AND(#REF!,"AAAAAHU99XA=")</f>
        <v>#REF!</v>
      </c>
      <c r="DJ588" t="e">
        <f>IF(#REF!,"AAAAAHU99XE=",0)</f>
        <v>#REF!</v>
      </c>
      <c r="DK588" t="e">
        <f>AND(#REF!,"AAAAAHU99XI=")</f>
        <v>#REF!</v>
      </c>
      <c r="DL588" t="e">
        <f>AND(#REF!,"AAAAAHU99XM=")</f>
        <v>#REF!</v>
      </c>
      <c r="DM588" t="e">
        <f>AND(#REF!,"AAAAAHU99XQ=")</f>
        <v>#REF!</v>
      </c>
      <c r="DN588" t="e">
        <f>AND(#REF!,"AAAAAHU99XU=")</f>
        <v>#REF!</v>
      </c>
      <c r="DO588" t="e">
        <f>AND(#REF!,"AAAAAHU99XY=")</f>
        <v>#REF!</v>
      </c>
      <c r="DP588" t="e">
        <f>AND(#REF!,"AAAAAHU99Xc=")</f>
        <v>#REF!</v>
      </c>
      <c r="DQ588" t="e">
        <f>AND(#REF!,"AAAAAHU99Xg=")</f>
        <v>#REF!</v>
      </c>
      <c r="DR588" t="e">
        <f>AND(#REF!,"AAAAAHU99Xk=")</f>
        <v>#REF!</v>
      </c>
      <c r="DS588" t="e">
        <f>AND(#REF!,"AAAAAHU99Xo=")</f>
        <v>#REF!</v>
      </c>
      <c r="DT588" t="e">
        <f>AND(#REF!,"AAAAAHU99Xs=")</f>
        <v>#REF!</v>
      </c>
      <c r="DU588" t="e">
        <f>AND(#REF!,"AAAAAHU99Xw=")</f>
        <v>#REF!</v>
      </c>
      <c r="DV588" t="e">
        <f>AND(#REF!,"AAAAAHU99X0=")</f>
        <v>#REF!</v>
      </c>
      <c r="DW588" t="e">
        <f>AND(#REF!,"AAAAAHU99X4=")</f>
        <v>#REF!</v>
      </c>
      <c r="DX588" t="e">
        <f>AND(#REF!,"AAAAAHU99X8=")</f>
        <v>#REF!</v>
      </c>
      <c r="DY588" t="e">
        <f>AND(#REF!,"AAAAAHU99YA=")</f>
        <v>#REF!</v>
      </c>
      <c r="DZ588" t="e">
        <f>AND(#REF!,"AAAAAHU99YE=")</f>
        <v>#REF!</v>
      </c>
      <c r="EA588" t="e">
        <f>AND(#REF!,"AAAAAHU99YI=")</f>
        <v>#REF!</v>
      </c>
      <c r="EB588" t="e">
        <f>AND(#REF!,"AAAAAHU99YM=")</f>
        <v>#REF!</v>
      </c>
      <c r="EC588" t="e">
        <f>AND(#REF!,"AAAAAHU99YQ=")</f>
        <v>#REF!</v>
      </c>
      <c r="ED588" t="e">
        <f>AND(#REF!,"AAAAAHU99YU=")</f>
        <v>#REF!</v>
      </c>
      <c r="EE588" t="e">
        <f>AND(#REF!,"AAAAAHU99YY=")</f>
        <v>#REF!</v>
      </c>
      <c r="EF588" t="e">
        <f>AND(#REF!,"AAAAAHU99Yc=")</f>
        <v>#REF!</v>
      </c>
      <c r="EG588" t="e">
        <f>AND(#REF!,"AAAAAHU99Yg=")</f>
        <v>#REF!</v>
      </c>
      <c r="EH588" t="e">
        <f>AND(#REF!,"AAAAAHU99Yk=")</f>
        <v>#REF!</v>
      </c>
      <c r="EI588" t="e">
        <f>IF(#REF!,"AAAAAHU99Yo=",0)</f>
        <v>#REF!</v>
      </c>
      <c r="EJ588" t="e">
        <f>AND(#REF!,"AAAAAHU99Ys=")</f>
        <v>#REF!</v>
      </c>
      <c r="EK588" t="e">
        <f>AND(#REF!,"AAAAAHU99Yw=")</f>
        <v>#REF!</v>
      </c>
      <c r="EL588" t="e">
        <f>AND(#REF!,"AAAAAHU99Y0=")</f>
        <v>#REF!</v>
      </c>
      <c r="EM588" t="e">
        <f>AND(#REF!,"AAAAAHU99Y4=")</f>
        <v>#REF!</v>
      </c>
      <c r="EN588" t="e">
        <f>AND(#REF!,"AAAAAHU99Y8=")</f>
        <v>#REF!</v>
      </c>
      <c r="EO588" t="e">
        <f>AND(#REF!,"AAAAAHU99ZA=")</f>
        <v>#REF!</v>
      </c>
      <c r="EP588" t="e">
        <f>AND(#REF!,"AAAAAHU99ZE=")</f>
        <v>#REF!</v>
      </c>
      <c r="EQ588" t="e">
        <f>AND(#REF!,"AAAAAHU99ZI=")</f>
        <v>#REF!</v>
      </c>
      <c r="ER588" t="e">
        <f>AND(#REF!,"AAAAAHU99ZM=")</f>
        <v>#REF!</v>
      </c>
      <c r="ES588" t="e">
        <f>AND(#REF!,"AAAAAHU99ZQ=")</f>
        <v>#REF!</v>
      </c>
      <c r="ET588" t="e">
        <f>AND(#REF!,"AAAAAHU99ZU=")</f>
        <v>#REF!</v>
      </c>
      <c r="EU588" t="e">
        <f>AND(#REF!,"AAAAAHU99ZY=")</f>
        <v>#REF!</v>
      </c>
      <c r="EV588" t="e">
        <f>AND(#REF!,"AAAAAHU99Zc=")</f>
        <v>#REF!</v>
      </c>
      <c r="EW588" t="e">
        <f>AND(#REF!,"AAAAAHU99Zg=")</f>
        <v>#REF!</v>
      </c>
      <c r="EX588" t="e">
        <f>AND(#REF!,"AAAAAHU99Zk=")</f>
        <v>#REF!</v>
      </c>
      <c r="EY588" t="e">
        <f>AND(#REF!,"AAAAAHU99Zo=")</f>
        <v>#REF!</v>
      </c>
      <c r="EZ588" t="e">
        <f>AND(#REF!,"AAAAAHU99Zs=")</f>
        <v>#REF!</v>
      </c>
      <c r="FA588" t="e">
        <f>AND(#REF!,"AAAAAHU99Zw=")</f>
        <v>#REF!</v>
      </c>
      <c r="FB588" t="e">
        <f>AND(#REF!,"AAAAAHU99Z0=")</f>
        <v>#REF!</v>
      </c>
      <c r="FC588" t="e">
        <f>AND(#REF!,"AAAAAHU99Z4=")</f>
        <v>#REF!</v>
      </c>
      <c r="FD588" t="e">
        <f>AND(#REF!,"AAAAAHU99Z8=")</f>
        <v>#REF!</v>
      </c>
      <c r="FE588" t="e">
        <f>AND(#REF!,"AAAAAHU99aA=")</f>
        <v>#REF!</v>
      </c>
      <c r="FF588" t="e">
        <f>AND(#REF!,"AAAAAHU99aE=")</f>
        <v>#REF!</v>
      </c>
      <c r="FG588" t="e">
        <f>AND(#REF!,"AAAAAHU99aI=")</f>
        <v>#REF!</v>
      </c>
      <c r="FH588" t="e">
        <f>IF(#REF!,"AAAAAHU99aM=",0)</f>
        <v>#REF!</v>
      </c>
      <c r="FI588" t="e">
        <f>AND(#REF!,"AAAAAHU99aQ=")</f>
        <v>#REF!</v>
      </c>
      <c r="FJ588" t="e">
        <f>AND(#REF!,"AAAAAHU99aU=")</f>
        <v>#REF!</v>
      </c>
      <c r="FK588" t="e">
        <f>AND(#REF!,"AAAAAHU99aY=")</f>
        <v>#REF!</v>
      </c>
      <c r="FL588" t="e">
        <f>AND(#REF!,"AAAAAHU99ac=")</f>
        <v>#REF!</v>
      </c>
      <c r="FM588" t="e">
        <f>AND(#REF!,"AAAAAHU99ag=")</f>
        <v>#REF!</v>
      </c>
      <c r="FN588" t="e">
        <f>AND(#REF!,"AAAAAHU99ak=")</f>
        <v>#REF!</v>
      </c>
      <c r="FO588" t="e">
        <f>AND(#REF!,"AAAAAHU99ao=")</f>
        <v>#REF!</v>
      </c>
      <c r="FP588" t="e">
        <f>AND(#REF!,"AAAAAHU99as=")</f>
        <v>#REF!</v>
      </c>
      <c r="FQ588" t="e">
        <f>AND(#REF!,"AAAAAHU99aw=")</f>
        <v>#REF!</v>
      </c>
      <c r="FR588" t="e">
        <f>AND(#REF!,"AAAAAHU99a0=")</f>
        <v>#REF!</v>
      </c>
      <c r="FS588" t="e">
        <f>AND(#REF!,"AAAAAHU99a4=")</f>
        <v>#REF!</v>
      </c>
      <c r="FT588" t="e">
        <f>AND(#REF!,"AAAAAHU99a8=")</f>
        <v>#REF!</v>
      </c>
      <c r="FU588" t="e">
        <f>AND(#REF!,"AAAAAHU99bA=")</f>
        <v>#REF!</v>
      </c>
      <c r="FV588" t="e">
        <f>AND(#REF!,"AAAAAHU99bE=")</f>
        <v>#REF!</v>
      </c>
      <c r="FW588" t="e">
        <f>AND(#REF!,"AAAAAHU99bI=")</f>
        <v>#REF!</v>
      </c>
      <c r="FX588" t="e">
        <f>AND(#REF!,"AAAAAHU99bM=")</f>
        <v>#REF!</v>
      </c>
      <c r="FY588" t="e">
        <f>AND(#REF!,"AAAAAHU99bQ=")</f>
        <v>#REF!</v>
      </c>
      <c r="FZ588" t="e">
        <f>AND(#REF!,"AAAAAHU99bU=")</f>
        <v>#REF!</v>
      </c>
      <c r="GA588" t="e">
        <f>AND(#REF!,"AAAAAHU99bY=")</f>
        <v>#REF!</v>
      </c>
      <c r="GB588" t="e">
        <f>AND(#REF!,"AAAAAHU99bc=")</f>
        <v>#REF!</v>
      </c>
      <c r="GC588" t="e">
        <f>AND(#REF!,"AAAAAHU99bg=")</f>
        <v>#REF!</v>
      </c>
      <c r="GD588" t="e">
        <f>AND(#REF!,"AAAAAHU99bk=")</f>
        <v>#REF!</v>
      </c>
      <c r="GE588" t="e">
        <f>AND(#REF!,"AAAAAHU99bo=")</f>
        <v>#REF!</v>
      </c>
      <c r="GF588" t="e">
        <f>AND(#REF!,"AAAAAHU99bs=")</f>
        <v>#REF!</v>
      </c>
      <c r="GG588" t="e">
        <f>IF(#REF!,"AAAAAHU99bw=",0)</f>
        <v>#REF!</v>
      </c>
      <c r="GH588" t="e">
        <f>AND(#REF!,"AAAAAHU99b0=")</f>
        <v>#REF!</v>
      </c>
      <c r="GI588" t="e">
        <f>AND(#REF!,"AAAAAHU99b4=")</f>
        <v>#REF!</v>
      </c>
      <c r="GJ588" t="e">
        <f>AND(#REF!,"AAAAAHU99b8=")</f>
        <v>#REF!</v>
      </c>
      <c r="GK588" t="e">
        <f>AND(#REF!,"AAAAAHU99cA=")</f>
        <v>#REF!</v>
      </c>
      <c r="GL588" t="e">
        <f>AND(#REF!,"AAAAAHU99cE=")</f>
        <v>#REF!</v>
      </c>
      <c r="GM588" t="e">
        <f>AND(#REF!,"AAAAAHU99cI=")</f>
        <v>#REF!</v>
      </c>
      <c r="GN588" t="e">
        <f>AND(#REF!,"AAAAAHU99cM=")</f>
        <v>#REF!</v>
      </c>
      <c r="GO588" t="e">
        <f>AND(#REF!,"AAAAAHU99cQ=")</f>
        <v>#REF!</v>
      </c>
      <c r="GP588" t="e">
        <f>AND(#REF!,"AAAAAHU99cU=")</f>
        <v>#REF!</v>
      </c>
      <c r="GQ588" t="e">
        <f>AND(#REF!,"AAAAAHU99cY=")</f>
        <v>#REF!</v>
      </c>
      <c r="GR588" t="e">
        <f>AND(#REF!,"AAAAAHU99cc=")</f>
        <v>#REF!</v>
      </c>
      <c r="GS588" t="e">
        <f>AND(#REF!,"AAAAAHU99cg=")</f>
        <v>#REF!</v>
      </c>
      <c r="GT588" t="e">
        <f>AND(#REF!,"AAAAAHU99ck=")</f>
        <v>#REF!</v>
      </c>
      <c r="GU588" t="e">
        <f>AND(#REF!,"AAAAAHU99co=")</f>
        <v>#REF!</v>
      </c>
      <c r="GV588" t="e">
        <f>AND(#REF!,"AAAAAHU99cs=")</f>
        <v>#REF!</v>
      </c>
      <c r="GW588" t="e">
        <f>AND(#REF!,"AAAAAHU99cw=")</f>
        <v>#REF!</v>
      </c>
      <c r="GX588" t="e">
        <f>AND(#REF!,"AAAAAHU99c0=")</f>
        <v>#REF!</v>
      </c>
      <c r="GY588" t="e">
        <f>AND(#REF!,"AAAAAHU99c4=")</f>
        <v>#REF!</v>
      </c>
      <c r="GZ588" t="e">
        <f>AND(#REF!,"AAAAAHU99c8=")</f>
        <v>#REF!</v>
      </c>
      <c r="HA588" t="e">
        <f>AND(#REF!,"AAAAAHU99dA=")</f>
        <v>#REF!</v>
      </c>
      <c r="HB588" t="e">
        <f>AND(#REF!,"AAAAAHU99dE=")</f>
        <v>#REF!</v>
      </c>
      <c r="HC588" t="e">
        <f>AND(#REF!,"AAAAAHU99dI=")</f>
        <v>#REF!</v>
      </c>
      <c r="HD588" t="e">
        <f>AND(#REF!,"AAAAAHU99dM=")</f>
        <v>#REF!</v>
      </c>
      <c r="HE588" t="e">
        <f>AND(#REF!,"AAAAAHU99dQ=")</f>
        <v>#REF!</v>
      </c>
      <c r="HF588" t="e">
        <f>IF(#REF!,"AAAAAHU99dU=",0)</f>
        <v>#REF!</v>
      </c>
      <c r="HG588" t="e">
        <f>AND(#REF!,"AAAAAHU99dY=")</f>
        <v>#REF!</v>
      </c>
      <c r="HH588" t="e">
        <f>AND(#REF!,"AAAAAHU99dc=")</f>
        <v>#REF!</v>
      </c>
      <c r="HI588" t="e">
        <f>AND(#REF!,"AAAAAHU99dg=")</f>
        <v>#REF!</v>
      </c>
      <c r="HJ588" t="e">
        <f>AND(#REF!,"AAAAAHU99dk=")</f>
        <v>#REF!</v>
      </c>
      <c r="HK588" t="e">
        <f>AND(#REF!,"AAAAAHU99do=")</f>
        <v>#REF!</v>
      </c>
      <c r="HL588" t="e">
        <f>AND(#REF!,"AAAAAHU99ds=")</f>
        <v>#REF!</v>
      </c>
      <c r="HM588" t="e">
        <f>AND(#REF!,"AAAAAHU99dw=")</f>
        <v>#REF!</v>
      </c>
      <c r="HN588" t="e">
        <f>AND(#REF!,"AAAAAHU99d0=")</f>
        <v>#REF!</v>
      </c>
      <c r="HO588" t="e">
        <f>AND(#REF!,"AAAAAHU99d4=")</f>
        <v>#REF!</v>
      </c>
      <c r="HP588" t="e">
        <f>AND(#REF!,"AAAAAHU99d8=")</f>
        <v>#REF!</v>
      </c>
      <c r="HQ588" t="e">
        <f>AND(#REF!,"AAAAAHU99eA=")</f>
        <v>#REF!</v>
      </c>
      <c r="HR588" t="e">
        <f>AND(#REF!,"AAAAAHU99eE=")</f>
        <v>#REF!</v>
      </c>
      <c r="HS588" t="e">
        <f>AND(#REF!,"AAAAAHU99eI=")</f>
        <v>#REF!</v>
      </c>
      <c r="HT588" t="e">
        <f>AND(#REF!,"AAAAAHU99eM=")</f>
        <v>#REF!</v>
      </c>
      <c r="HU588" t="e">
        <f>AND(#REF!,"AAAAAHU99eQ=")</f>
        <v>#REF!</v>
      </c>
      <c r="HV588" t="e">
        <f>AND(#REF!,"AAAAAHU99eU=")</f>
        <v>#REF!</v>
      </c>
      <c r="HW588" t="e">
        <f>AND(#REF!,"AAAAAHU99eY=")</f>
        <v>#REF!</v>
      </c>
      <c r="HX588" t="e">
        <f>AND(#REF!,"AAAAAHU99ec=")</f>
        <v>#REF!</v>
      </c>
      <c r="HY588" t="e">
        <f>AND(#REF!,"AAAAAHU99eg=")</f>
        <v>#REF!</v>
      </c>
      <c r="HZ588" t="e">
        <f>AND(#REF!,"AAAAAHU99ek=")</f>
        <v>#REF!</v>
      </c>
      <c r="IA588" t="e">
        <f>AND(#REF!,"AAAAAHU99eo=")</f>
        <v>#REF!</v>
      </c>
      <c r="IB588" t="e">
        <f>AND(#REF!,"AAAAAHU99es=")</f>
        <v>#REF!</v>
      </c>
      <c r="IC588" t="e">
        <f>AND(#REF!,"AAAAAHU99ew=")</f>
        <v>#REF!</v>
      </c>
      <c r="ID588" t="e">
        <f>AND(#REF!,"AAAAAHU99e0=")</f>
        <v>#REF!</v>
      </c>
      <c r="IE588" t="e">
        <f>IF(#REF!,"AAAAAHU99e4=",0)</f>
        <v>#REF!</v>
      </c>
      <c r="IF588" t="e">
        <f>AND(#REF!,"AAAAAHU99e8=")</f>
        <v>#REF!</v>
      </c>
      <c r="IG588" t="e">
        <f>AND(#REF!,"AAAAAHU99fA=")</f>
        <v>#REF!</v>
      </c>
      <c r="IH588" t="e">
        <f>AND(#REF!,"AAAAAHU99fE=")</f>
        <v>#REF!</v>
      </c>
      <c r="II588" t="e">
        <f>AND(#REF!,"AAAAAHU99fI=")</f>
        <v>#REF!</v>
      </c>
      <c r="IJ588" t="e">
        <f>AND(#REF!,"AAAAAHU99fM=")</f>
        <v>#REF!</v>
      </c>
      <c r="IK588" t="e">
        <f>AND(#REF!,"AAAAAHU99fQ=")</f>
        <v>#REF!</v>
      </c>
      <c r="IL588" t="e">
        <f>AND(#REF!,"AAAAAHU99fU=")</f>
        <v>#REF!</v>
      </c>
      <c r="IM588" t="e">
        <f>AND(#REF!,"AAAAAHU99fY=")</f>
        <v>#REF!</v>
      </c>
      <c r="IN588" t="e">
        <f>AND(#REF!,"AAAAAHU99fc=")</f>
        <v>#REF!</v>
      </c>
      <c r="IO588" t="e">
        <f>AND(#REF!,"AAAAAHU99fg=")</f>
        <v>#REF!</v>
      </c>
      <c r="IP588" t="e">
        <f>AND(#REF!,"AAAAAHU99fk=")</f>
        <v>#REF!</v>
      </c>
      <c r="IQ588" t="e">
        <f>AND(#REF!,"AAAAAHU99fo=")</f>
        <v>#REF!</v>
      </c>
      <c r="IR588" t="e">
        <f>AND(#REF!,"AAAAAHU99fs=")</f>
        <v>#REF!</v>
      </c>
      <c r="IS588" t="e">
        <f>AND(#REF!,"AAAAAHU99fw=")</f>
        <v>#REF!</v>
      </c>
      <c r="IT588" t="e">
        <f>AND(#REF!,"AAAAAHU99f0=")</f>
        <v>#REF!</v>
      </c>
      <c r="IU588" t="e">
        <f>AND(#REF!,"AAAAAHU99f4=")</f>
        <v>#REF!</v>
      </c>
      <c r="IV588" t="e">
        <f>AND(#REF!,"AAAAAHU99f8=")</f>
        <v>#REF!</v>
      </c>
    </row>
    <row r="589" spans="1:256">
      <c r="A589" t="e">
        <f>AND(#REF!,"AAAAAH9/2QA=")</f>
        <v>#REF!</v>
      </c>
      <c r="B589" t="e">
        <f>AND(#REF!,"AAAAAH9/2QE=")</f>
        <v>#REF!</v>
      </c>
      <c r="C589" t="e">
        <f>AND(#REF!,"AAAAAH9/2QI=")</f>
        <v>#REF!</v>
      </c>
      <c r="D589" t="e">
        <f>AND(#REF!,"AAAAAH9/2QM=")</f>
        <v>#REF!</v>
      </c>
      <c r="E589" t="e">
        <f>AND(#REF!,"AAAAAH9/2QQ=")</f>
        <v>#REF!</v>
      </c>
      <c r="F589" t="e">
        <f>AND(#REF!,"AAAAAH9/2QU=")</f>
        <v>#REF!</v>
      </c>
      <c r="G589" t="e">
        <f>AND(#REF!,"AAAAAH9/2QY=")</f>
        <v>#REF!</v>
      </c>
      <c r="H589" t="e">
        <f>IF(#REF!,"AAAAAH9/2Qc=",0)</f>
        <v>#REF!</v>
      </c>
      <c r="I589" t="e">
        <f>AND(#REF!,"AAAAAH9/2Qg=")</f>
        <v>#REF!</v>
      </c>
      <c r="J589" t="e">
        <f>AND(#REF!,"AAAAAH9/2Qk=")</f>
        <v>#REF!</v>
      </c>
      <c r="K589" t="e">
        <f>AND(#REF!,"AAAAAH9/2Qo=")</f>
        <v>#REF!</v>
      </c>
      <c r="L589" t="e">
        <f>AND(#REF!,"AAAAAH9/2Qs=")</f>
        <v>#REF!</v>
      </c>
      <c r="M589" t="e">
        <f>AND(#REF!,"AAAAAH9/2Qw=")</f>
        <v>#REF!</v>
      </c>
      <c r="N589" t="e">
        <f>AND(#REF!,"AAAAAH9/2Q0=")</f>
        <v>#REF!</v>
      </c>
      <c r="O589" t="e">
        <f>AND(#REF!,"AAAAAH9/2Q4=")</f>
        <v>#REF!</v>
      </c>
      <c r="P589" t="e">
        <f>AND(#REF!,"AAAAAH9/2Q8=")</f>
        <v>#REF!</v>
      </c>
      <c r="Q589" t="e">
        <f>AND(#REF!,"AAAAAH9/2RA=")</f>
        <v>#REF!</v>
      </c>
      <c r="R589" t="e">
        <f>AND(#REF!,"AAAAAH9/2RE=")</f>
        <v>#REF!</v>
      </c>
      <c r="S589" t="e">
        <f>AND(#REF!,"AAAAAH9/2RI=")</f>
        <v>#REF!</v>
      </c>
      <c r="T589" t="e">
        <f>AND(#REF!,"AAAAAH9/2RM=")</f>
        <v>#REF!</v>
      </c>
      <c r="U589" t="e">
        <f>AND(#REF!,"AAAAAH9/2RQ=")</f>
        <v>#REF!</v>
      </c>
      <c r="V589" t="e">
        <f>AND(#REF!,"AAAAAH9/2RU=")</f>
        <v>#REF!</v>
      </c>
      <c r="W589" t="e">
        <f>AND(#REF!,"AAAAAH9/2RY=")</f>
        <v>#REF!</v>
      </c>
      <c r="X589" t="e">
        <f>AND(#REF!,"AAAAAH9/2Rc=")</f>
        <v>#REF!</v>
      </c>
      <c r="Y589" t="e">
        <f>AND(#REF!,"AAAAAH9/2Rg=")</f>
        <v>#REF!</v>
      </c>
      <c r="Z589" t="e">
        <f>AND(#REF!,"AAAAAH9/2Rk=")</f>
        <v>#REF!</v>
      </c>
      <c r="AA589" t="e">
        <f>AND(#REF!,"AAAAAH9/2Ro=")</f>
        <v>#REF!</v>
      </c>
      <c r="AB589" t="e">
        <f>AND(#REF!,"AAAAAH9/2Rs=")</f>
        <v>#REF!</v>
      </c>
      <c r="AC589" t="e">
        <f>AND(#REF!,"AAAAAH9/2Rw=")</f>
        <v>#REF!</v>
      </c>
      <c r="AD589" t="e">
        <f>AND(#REF!,"AAAAAH9/2R0=")</f>
        <v>#REF!</v>
      </c>
      <c r="AE589" t="e">
        <f>AND(#REF!,"AAAAAH9/2R4=")</f>
        <v>#REF!</v>
      </c>
      <c r="AF589" t="e">
        <f>AND(#REF!,"AAAAAH9/2R8=")</f>
        <v>#REF!</v>
      </c>
      <c r="AG589" t="e">
        <f>IF(#REF!,"AAAAAH9/2SA=",0)</f>
        <v>#REF!</v>
      </c>
      <c r="AH589" t="e">
        <f>AND(#REF!,"AAAAAH9/2SE=")</f>
        <v>#REF!</v>
      </c>
      <c r="AI589" t="e">
        <f>AND(#REF!,"AAAAAH9/2SI=")</f>
        <v>#REF!</v>
      </c>
      <c r="AJ589" t="e">
        <f>AND(#REF!,"AAAAAH9/2SM=")</f>
        <v>#REF!</v>
      </c>
      <c r="AK589" t="e">
        <f>AND(#REF!,"AAAAAH9/2SQ=")</f>
        <v>#REF!</v>
      </c>
      <c r="AL589" t="e">
        <f>AND(#REF!,"AAAAAH9/2SU=")</f>
        <v>#REF!</v>
      </c>
      <c r="AM589" t="e">
        <f>AND(#REF!,"AAAAAH9/2SY=")</f>
        <v>#REF!</v>
      </c>
      <c r="AN589" t="e">
        <f>AND(#REF!,"AAAAAH9/2Sc=")</f>
        <v>#REF!</v>
      </c>
      <c r="AO589" t="e">
        <f>AND(#REF!,"AAAAAH9/2Sg=")</f>
        <v>#REF!</v>
      </c>
      <c r="AP589" t="e">
        <f>AND(#REF!,"AAAAAH9/2Sk=")</f>
        <v>#REF!</v>
      </c>
      <c r="AQ589" t="e">
        <f>AND(#REF!,"AAAAAH9/2So=")</f>
        <v>#REF!</v>
      </c>
      <c r="AR589" t="e">
        <f>AND(#REF!,"AAAAAH9/2Ss=")</f>
        <v>#REF!</v>
      </c>
      <c r="AS589" t="e">
        <f>AND(#REF!,"AAAAAH9/2Sw=")</f>
        <v>#REF!</v>
      </c>
      <c r="AT589" t="e">
        <f>AND(#REF!,"AAAAAH9/2S0=")</f>
        <v>#REF!</v>
      </c>
      <c r="AU589" t="e">
        <f>AND(#REF!,"AAAAAH9/2S4=")</f>
        <v>#REF!</v>
      </c>
      <c r="AV589" t="e">
        <f>AND(#REF!,"AAAAAH9/2S8=")</f>
        <v>#REF!</v>
      </c>
      <c r="AW589" t="e">
        <f>AND(#REF!,"AAAAAH9/2TA=")</f>
        <v>#REF!</v>
      </c>
      <c r="AX589" t="e">
        <f>AND(#REF!,"AAAAAH9/2TE=")</f>
        <v>#REF!</v>
      </c>
      <c r="AY589" t="e">
        <f>AND(#REF!,"AAAAAH9/2TI=")</f>
        <v>#REF!</v>
      </c>
      <c r="AZ589" t="e">
        <f>AND(#REF!,"AAAAAH9/2TM=")</f>
        <v>#REF!</v>
      </c>
      <c r="BA589" t="e">
        <f>AND(#REF!,"AAAAAH9/2TQ=")</f>
        <v>#REF!</v>
      </c>
      <c r="BB589" t="e">
        <f>AND(#REF!,"AAAAAH9/2TU=")</f>
        <v>#REF!</v>
      </c>
      <c r="BC589" t="e">
        <f>AND(#REF!,"AAAAAH9/2TY=")</f>
        <v>#REF!</v>
      </c>
      <c r="BD589" t="e">
        <f>AND(#REF!,"AAAAAH9/2Tc=")</f>
        <v>#REF!</v>
      </c>
      <c r="BE589" t="e">
        <f>AND(#REF!,"AAAAAH9/2Tg=")</f>
        <v>#REF!</v>
      </c>
      <c r="BF589" t="e">
        <f>IF(#REF!,"AAAAAH9/2Tk=",0)</f>
        <v>#REF!</v>
      </c>
      <c r="BG589" t="e">
        <f>AND(#REF!,"AAAAAH9/2To=")</f>
        <v>#REF!</v>
      </c>
      <c r="BH589" t="e">
        <f>AND(#REF!,"AAAAAH9/2Ts=")</f>
        <v>#REF!</v>
      </c>
      <c r="BI589" t="e">
        <f>AND(#REF!,"AAAAAH9/2Tw=")</f>
        <v>#REF!</v>
      </c>
      <c r="BJ589" t="e">
        <f>AND(#REF!,"AAAAAH9/2T0=")</f>
        <v>#REF!</v>
      </c>
      <c r="BK589" t="e">
        <f>AND(#REF!,"AAAAAH9/2T4=")</f>
        <v>#REF!</v>
      </c>
      <c r="BL589" t="e">
        <f>AND(#REF!,"AAAAAH9/2T8=")</f>
        <v>#REF!</v>
      </c>
      <c r="BM589" t="e">
        <f>AND(#REF!,"AAAAAH9/2UA=")</f>
        <v>#REF!</v>
      </c>
      <c r="BN589" t="e">
        <f>AND(#REF!,"AAAAAH9/2UE=")</f>
        <v>#REF!</v>
      </c>
      <c r="BO589" t="e">
        <f>AND(#REF!,"AAAAAH9/2UI=")</f>
        <v>#REF!</v>
      </c>
      <c r="BP589" t="e">
        <f>AND(#REF!,"AAAAAH9/2UM=")</f>
        <v>#REF!</v>
      </c>
      <c r="BQ589" t="e">
        <f>AND(#REF!,"AAAAAH9/2UQ=")</f>
        <v>#REF!</v>
      </c>
      <c r="BR589" t="e">
        <f>AND(#REF!,"AAAAAH9/2UU=")</f>
        <v>#REF!</v>
      </c>
      <c r="BS589" t="e">
        <f>AND(#REF!,"AAAAAH9/2UY=")</f>
        <v>#REF!</v>
      </c>
      <c r="BT589" t="e">
        <f>AND(#REF!,"AAAAAH9/2Uc=")</f>
        <v>#REF!</v>
      </c>
      <c r="BU589" t="e">
        <f>AND(#REF!,"AAAAAH9/2Ug=")</f>
        <v>#REF!</v>
      </c>
      <c r="BV589" t="e">
        <f>AND(#REF!,"AAAAAH9/2Uk=")</f>
        <v>#REF!</v>
      </c>
      <c r="BW589" t="e">
        <f>AND(#REF!,"AAAAAH9/2Uo=")</f>
        <v>#REF!</v>
      </c>
      <c r="BX589" t="e">
        <f>AND(#REF!,"AAAAAH9/2Us=")</f>
        <v>#REF!</v>
      </c>
      <c r="BY589" t="e">
        <f>AND(#REF!,"AAAAAH9/2Uw=")</f>
        <v>#REF!</v>
      </c>
      <c r="BZ589" t="e">
        <f>AND(#REF!,"AAAAAH9/2U0=")</f>
        <v>#REF!</v>
      </c>
      <c r="CA589" t="e">
        <f>AND(#REF!,"AAAAAH9/2U4=")</f>
        <v>#REF!</v>
      </c>
      <c r="CB589" t="e">
        <f>AND(#REF!,"AAAAAH9/2U8=")</f>
        <v>#REF!</v>
      </c>
      <c r="CC589" t="e">
        <f>AND(#REF!,"AAAAAH9/2VA=")</f>
        <v>#REF!</v>
      </c>
      <c r="CD589" t="e">
        <f>AND(#REF!,"AAAAAH9/2VE=")</f>
        <v>#REF!</v>
      </c>
      <c r="CE589" t="e">
        <f>IF(#REF!,"AAAAAH9/2VI=",0)</f>
        <v>#REF!</v>
      </c>
      <c r="CF589" t="e">
        <f>AND(#REF!,"AAAAAH9/2VM=")</f>
        <v>#REF!</v>
      </c>
      <c r="CG589" t="e">
        <f>AND(#REF!,"AAAAAH9/2VQ=")</f>
        <v>#REF!</v>
      </c>
      <c r="CH589" t="e">
        <f>AND(#REF!,"AAAAAH9/2VU=")</f>
        <v>#REF!</v>
      </c>
      <c r="CI589" t="e">
        <f>AND(#REF!,"AAAAAH9/2VY=")</f>
        <v>#REF!</v>
      </c>
      <c r="CJ589" t="e">
        <f>AND(#REF!,"AAAAAH9/2Vc=")</f>
        <v>#REF!</v>
      </c>
      <c r="CK589" t="e">
        <f>AND(#REF!,"AAAAAH9/2Vg=")</f>
        <v>#REF!</v>
      </c>
      <c r="CL589" t="e">
        <f>AND(#REF!,"AAAAAH9/2Vk=")</f>
        <v>#REF!</v>
      </c>
      <c r="CM589" t="e">
        <f>AND(#REF!,"AAAAAH9/2Vo=")</f>
        <v>#REF!</v>
      </c>
      <c r="CN589" t="e">
        <f>AND(#REF!,"AAAAAH9/2Vs=")</f>
        <v>#REF!</v>
      </c>
      <c r="CO589" t="e">
        <f>AND(#REF!,"AAAAAH9/2Vw=")</f>
        <v>#REF!</v>
      </c>
      <c r="CP589" t="e">
        <f>AND(#REF!,"AAAAAH9/2V0=")</f>
        <v>#REF!</v>
      </c>
      <c r="CQ589" t="e">
        <f>AND(#REF!,"AAAAAH9/2V4=")</f>
        <v>#REF!</v>
      </c>
      <c r="CR589" t="e">
        <f>AND(#REF!,"AAAAAH9/2V8=")</f>
        <v>#REF!</v>
      </c>
      <c r="CS589" t="e">
        <f>AND(#REF!,"AAAAAH9/2WA=")</f>
        <v>#REF!</v>
      </c>
      <c r="CT589" t="e">
        <f>AND(#REF!,"AAAAAH9/2WE=")</f>
        <v>#REF!</v>
      </c>
      <c r="CU589" t="e">
        <f>AND(#REF!,"AAAAAH9/2WI=")</f>
        <v>#REF!</v>
      </c>
      <c r="CV589" t="e">
        <f>AND(#REF!,"AAAAAH9/2WM=")</f>
        <v>#REF!</v>
      </c>
      <c r="CW589" t="e">
        <f>AND(#REF!,"AAAAAH9/2WQ=")</f>
        <v>#REF!</v>
      </c>
      <c r="CX589" t="e">
        <f>AND(#REF!,"AAAAAH9/2WU=")</f>
        <v>#REF!</v>
      </c>
      <c r="CY589" t="e">
        <f>AND(#REF!,"AAAAAH9/2WY=")</f>
        <v>#REF!</v>
      </c>
      <c r="CZ589" t="e">
        <f>AND(#REF!,"AAAAAH9/2Wc=")</f>
        <v>#REF!</v>
      </c>
      <c r="DA589" t="e">
        <f>AND(#REF!,"AAAAAH9/2Wg=")</f>
        <v>#REF!</v>
      </c>
      <c r="DB589" t="e">
        <f>AND(#REF!,"AAAAAH9/2Wk=")</f>
        <v>#REF!</v>
      </c>
      <c r="DC589" t="e">
        <f>AND(#REF!,"AAAAAH9/2Wo=")</f>
        <v>#REF!</v>
      </c>
      <c r="DD589" t="e">
        <f>IF(#REF!,"AAAAAH9/2Ws=",0)</f>
        <v>#REF!</v>
      </c>
      <c r="DE589" t="e">
        <f>AND(#REF!,"AAAAAH9/2Ww=")</f>
        <v>#REF!</v>
      </c>
      <c r="DF589" t="e">
        <f>AND(#REF!,"AAAAAH9/2W0=")</f>
        <v>#REF!</v>
      </c>
      <c r="DG589" t="e">
        <f>AND(#REF!,"AAAAAH9/2W4=")</f>
        <v>#REF!</v>
      </c>
      <c r="DH589" t="e">
        <f>AND(#REF!,"AAAAAH9/2W8=")</f>
        <v>#REF!</v>
      </c>
      <c r="DI589" t="e">
        <f>AND(#REF!,"AAAAAH9/2XA=")</f>
        <v>#REF!</v>
      </c>
      <c r="DJ589" t="e">
        <f>AND(#REF!,"AAAAAH9/2XE=")</f>
        <v>#REF!</v>
      </c>
      <c r="DK589" t="e">
        <f>AND(#REF!,"AAAAAH9/2XI=")</f>
        <v>#REF!</v>
      </c>
      <c r="DL589" t="e">
        <f>AND(#REF!,"AAAAAH9/2XM=")</f>
        <v>#REF!</v>
      </c>
      <c r="DM589" t="e">
        <f>AND(#REF!,"AAAAAH9/2XQ=")</f>
        <v>#REF!</v>
      </c>
      <c r="DN589" t="e">
        <f>AND(#REF!,"AAAAAH9/2XU=")</f>
        <v>#REF!</v>
      </c>
      <c r="DO589" t="e">
        <f>AND(#REF!,"AAAAAH9/2XY=")</f>
        <v>#REF!</v>
      </c>
      <c r="DP589" t="e">
        <f>AND(#REF!,"AAAAAH9/2Xc=")</f>
        <v>#REF!</v>
      </c>
      <c r="DQ589" t="e">
        <f>AND(#REF!,"AAAAAH9/2Xg=")</f>
        <v>#REF!</v>
      </c>
      <c r="DR589" t="e">
        <f>AND(#REF!,"AAAAAH9/2Xk=")</f>
        <v>#REF!</v>
      </c>
      <c r="DS589" t="e">
        <f>AND(#REF!,"AAAAAH9/2Xo=")</f>
        <v>#REF!</v>
      </c>
      <c r="DT589" t="e">
        <f>AND(#REF!,"AAAAAH9/2Xs=")</f>
        <v>#REF!</v>
      </c>
      <c r="DU589" t="e">
        <f>AND(#REF!,"AAAAAH9/2Xw=")</f>
        <v>#REF!</v>
      </c>
      <c r="DV589" t="e">
        <f>AND(#REF!,"AAAAAH9/2X0=")</f>
        <v>#REF!</v>
      </c>
      <c r="DW589" t="e">
        <f>AND(#REF!,"AAAAAH9/2X4=")</f>
        <v>#REF!</v>
      </c>
      <c r="DX589" t="e">
        <f>AND(#REF!,"AAAAAH9/2X8=")</f>
        <v>#REF!</v>
      </c>
      <c r="DY589" t="e">
        <f>AND(#REF!,"AAAAAH9/2YA=")</f>
        <v>#REF!</v>
      </c>
      <c r="DZ589" t="e">
        <f>AND(#REF!,"AAAAAH9/2YE=")</f>
        <v>#REF!</v>
      </c>
      <c r="EA589" t="e">
        <f>AND(#REF!,"AAAAAH9/2YI=")</f>
        <v>#REF!</v>
      </c>
      <c r="EB589" t="e">
        <f>AND(#REF!,"AAAAAH9/2YM=")</f>
        <v>#REF!</v>
      </c>
      <c r="EC589" t="e">
        <f>IF(#REF!,"AAAAAH9/2YQ=",0)</f>
        <v>#REF!</v>
      </c>
      <c r="ED589" t="e">
        <f>AND(#REF!,"AAAAAH9/2YU=")</f>
        <v>#REF!</v>
      </c>
      <c r="EE589" t="e">
        <f>AND(#REF!,"AAAAAH9/2YY=")</f>
        <v>#REF!</v>
      </c>
      <c r="EF589" t="e">
        <f>AND(#REF!,"AAAAAH9/2Yc=")</f>
        <v>#REF!</v>
      </c>
      <c r="EG589" t="e">
        <f>AND(#REF!,"AAAAAH9/2Yg=")</f>
        <v>#REF!</v>
      </c>
      <c r="EH589" t="e">
        <f>AND(#REF!,"AAAAAH9/2Yk=")</f>
        <v>#REF!</v>
      </c>
      <c r="EI589" t="e">
        <f>AND(#REF!,"AAAAAH9/2Yo=")</f>
        <v>#REF!</v>
      </c>
      <c r="EJ589" t="e">
        <f>AND(#REF!,"AAAAAH9/2Ys=")</f>
        <v>#REF!</v>
      </c>
      <c r="EK589" t="e">
        <f>AND(#REF!,"AAAAAH9/2Yw=")</f>
        <v>#REF!</v>
      </c>
      <c r="EL589" t="e">
        <f>AND(#REF!,"AAAAAH9/2Y0=")</f>
        <v>#REF!</v>
      </c>
      <c r="EM589" t="e">
        <f>AND(#REF!,"AAAAAH9/2Y4=")</f>
        <v>#REF!</v>
      </c>
      <c r="EN589" t="e">
        <f>AND(#REF!,"AAAAAH9/2Y8=")</f>
        <v>#REF!</v>
      </c>
      <c r="EO589" t="e">
        <f>AND(#REF!,"AAAAAH9/2ZA=")</f>
        <v>#REF!</v>
      </c>
      <c r="EP589" t="e">
        <f>AND(#REF!,"AAAAAH9/2ZE=")</f>
        <v>#REF!</v>
      </c>
      <c r="EQ589" t="e">
        <f>AND(#REF!,"AAAAAH9/2ZI=")</f>
        <v>#REF!</v>
      </c>
      <c r="ER589" t="e">
        <f>AND(#REF!,"AAAAAH9/2ZM=")</f>
        <v>#REF!</v>
      </c>
      <c r="ES589" t="e">
        <f>AND(#REF!,"AAAAAH9/2ZQ=")</f>
        <v>#REF!</v>
      </c>
      <c r="ET589" t="e">
        <f>AND(#REF!,"AAAAAH9/2ZU=")</f>
        <v>#REF!</v>
      </c>
      <c r="EU589" t="e">
        <f>AND(#REF!,"AAAAAH9/2ZY=")</f>
        <v>#REF!</v>
      </c>
      <c r="EV589" t="e">
        <f>AND(#REF!,"AAAAAH9/2Zc=")</f>
        <v>#REF!</v>
      </c>
      <c r="EW589" t="e">
        <f>AND(#REF!,"AAAAAH9/2Zg=")</f>
        <v>#REF!</v>
      </c>
      <c r="EX589" t="e">
        <f>AND(#REF!,"AAAAAH9/2Zk=")</f>
        <v>#REF!</v>
      </c>
      <c r="EY589" t="e">
        <f>AND(#REF!,"AAAAAH9/2Zo=")</f>
        <v>#REF!</v>
      </c>
      <c r="EZ589" t="e">
        <f>AND(#REF!,"AAAAAH9/2Zs=")</f>
        <v>#REF!</v>
      </c>
      <c r="FA589" t="e">
        <f>AND(#REF!,"AAAAAH9/2Zw=")</f>
        <v>#REF!</v>
      </c>
      <c r="FB589" t="e">
        <f>IF(#REF!,"AAAAAH9/2Z0=",0)</f>
        <v>#REF!</v>
      </c>
      <c r="FC589" t="e">
        <f>AND(#REF!,"AAAAAH9/2Z4=")</f>
        <v>#REF!</v>
      </c>
      <c r="FD589" t="e">
        <f>AND(#REF!,"AAAAAH9/2Z8=")</f>
        <v>#REF!</v>
      </c>
      <c r="FE589" t="e">
        <f>AND(#REF!,"AAAAAH9/2aA=")</f>
        <v>#REF!</v>
      </c>
      <c r="FF589" t="e">
        <f>AND(#REF!,"AAAAAH9/2aE=")</f>
        <v>#REF!</v>
      </c>
      <c r="FG589" t="e">
        <f>AND(#REF!,"AAAAAH9/2aI=")</f>
        <v>#REF!</v>
      </c>
      <c r="FH589" t="e">
        <f>AND(#REF!,"AAAAAH9/2aM=")</f>
        <v>#REF!</v>
      </c>
      <c r="FI589" t="e">
        <f>AND(#REF!,"AAAAAH9/2aQ=")</f>
        <v>#REF!</v>
      </c>
      <c r="FJ589" t="e">
        <f>AND(#REF!,"AAAAAH9/2aU=")</f>
        <v>#REF!</v>
      </c>
      <c r="FK589" t="e">
        <f>AND(#REF!,"AAAAAH9/2aY=")</f>
        <v>#REF!</v>
      </c>
      <c r="FL589" t="e">
        <f>AND(#REF!,"AAAAAH9/2ac=")</f>
        <v>#REF!</v>
      </c>
      <c r="FM589" t="e">
        <f>AND(#REF!,"AAAAAH9/2ag=")</f>
        <v>#REF!</v>
      </c>
      <c r="FN589" t="e">
        <f>AND(#REF!,"AAAAAH9/2ak=")</f>
        <v>#REF!</v>
      </c>
      <c r="FO589" t="e">
        <f>AND(#REF!,"AAAAAH9/2ao=")</f>
        <v>#REF!</v>
      </c>
      <c r="FP589" t="e">
        <f>AND(#REF!,"AAAAAH9/2as=")</f>
        <v>#REF!</v>
      </c>
      <c r="FQ589" t="e">
        <f>AND(#REF!,"AAAAAH9/2aw=")</f>
        <v>#REF!</v>
      </c>
      <c r="FR589" t="e">
        <f>AND(#REF!,"AAAAAH9/2a0=")</f>
        <v>#REF!</v>
      </c>
      <c r="FS589" t="e">
        <f>AND(#REF!,"AAAAAH9/2a4=")</f>
        <v>#REF!</v>
      </c>
      <c r="FT589" t="e">
        <f>AND(#REF!,"AAAAAH9/2a8=")</f>
        <v>#REF!</v>
      </c>
      <c r="FU589" t="e">
        <f>AND(#REF!,"AAAAAH9/2bA=")</f>
        <v>#REF!</v>
      </c>
      <c r="FV589" t="e">
        <f>AND(#REF!,"AAAAAH9/2bE=")</f>
        <v>#REF!</v>
      </c>
      <c r="FW589" t="e">
        <f>AND(#REF!,"AAAAAH9/2bI=")</f>
        <v>#REF!</v>
      </c>
      <c r="FX589" t="e">
        <f>AND(#REF!,"AAAAAH9/2bM=")</f>
        <v>#REF!</v>
      </c>
      <c r="FY589" t="e">
        <f>AND(#REF!,"AAAAAH9/2bQ=")</f>
        <v>#REF!</v>
      </c>
      <c r="FZ589" t="e">
        <f>AND(#REF!,"AAAAAH9/2bU=")</f>
        <v>#REF!</v>
      </c>
      <c r="GA589" t="e">
        <f>IF(#REF!,"AAAAAH9/2bY=",0)</f>
        <v>#REF!</v>
      </c>
      <c r="GB589" t="e">
        <f>AND(#REF!,"AAAAAH9/2bc=")</f>
        <v>#REF!</v>
      </c>
      <c r="GC589" t="e">
        <f>AND(#REF!,"AAAAAH9/2bg=")</f>
        <v>#REF!</v>
      </c>
      <c r="GD589" t="e">
        <f>AND(#REF!,"AAAAAH9/2bk=")</f>
        <v>#REF!</v>
      </c>
      <c r="GE589" t="e">
        <f>AND(#REF!,"AAAAAH9/2bo=")</f>
        <v>#REF!</v>
      </c>
      <c r="GF589" t="e">
        <f>AND(#REF!,"AAAAAH9/2bs=")</f>
        <v>#REF!</v>
      </c>
      <c r="GG589" t="e">
        <f>AND(#REF!,"AAAAAH9/2bw=")</f>
        <v>#REF!</v>
      </c>
      <c r="GH589" t="e">
        <f>AND(#REF!,"AAAAAH9/2b0=")</f>
        <v>#REF!</v>
      </c>
      <c r="GI589" t="e">
        <f>AND(#REF!,"AAAAAH9/2b4=")</f>
        <v>#REF!</v>
      </c>
      <c r="GJ589" t="e">
        <f>AND(#REF!,"AAAAAH9/2b8=")</f>
        <v>#REF!</v>
      </c>
      <c r="GK589" t="e">
        <f>AND(#REF!,"AAAAAH9/2cA=")</f>
        <v>#REF!</v>
      </c>
      <c r="GL589" t="e">
        <f>AND(#REF!,"AAAAAH9/2cE=")</f>
        <v>#REF!</v>
      </c>
      <c r="GM589" t="e">
        <f>AND(#REF!,"AAAAAH9/2cI=")</f>
        <v>#REF!</v>
      </c>
      <c r="GN589" t="e">
        <f>AND(#REF!,"AAAAAH9/2cM=")</f>
        <v>#REF!</v>
      </c>
      <c r="GO589" t="e">
        <f>AND(#REF!,"AAAAAH9/2cQ=")</f>
        <v>#REF!</v>
      </c>
      <c r="GP589" t="e">
        <f>AND(#REF!,"AAAAAH9/2cU=")</f>
        <v>#REF!</v>
      </c>
      <c r="GQ589" t="e">
        <f>AND(#REF!,"AAAAAH9/2cY=")</f>
        <v>#REF!</v>
      </c>
      <c r="GR589" t="e">
        <f>AND(#REF!,"AAAAAH9/2cc=")</f>
        <v>#REF!</v>
      </c>
      <c r="GS589" t="e">
        <f>AND(#REF!,"AAAAAH9/2cg=")</f>
        <v>#REF!</v>
      </c>
      <c r="GT589" t="e">
        <f>AND(#REF!,"AAAAAH9/2ck=")</f>
        <v>#REF!</v>
      </c>
      <c r="GU589" t="e">
        <f>AND(#REF!,"AAAAAH9/2co=")</f>
        <v>#REF!</v>
      </c>
      <c r="GV589" t="e">
        <f>AND(#REF!,"AAAAAH9/2cs=")</f>
        <v>#REF!</v>
      </c>
      <c r="GW589" t="e">
        <f>AND(#REF!,"AAAAAH9/2cw=")</f>
        <v>#REF!</v>
      </c>
      <c r="GX589" t="e">
        <f>AND(#REF!,"AAAAAH9/2c0=")</f>
        <v>#REF!</v>
      </c>
      <c r="GY589" t="e">
        <f>AND(#REF!,"AAAAAH9/2c4=")</f>
        <v>#REF!</v>
      </c>
      <c r="GZ589" t="e">
        <f>IF(#REF!,"AAAAAH9/2c8=",0)</f>
        <v>#REF!</v>
      </c>
      <c r="HA589" t="e">
        <f>AND(#REF!,"AAAAAH9/2dA=")</f>
        <v>#REF!</v>
      </c>
      <c r="HB589" t="e">
        <f>AND(#REF!,"AAAAAH9/2dE=")</f>
        <v>#REF!</v>
      </c>
      <c r="HC589" t="e">
        <f>AND(#REF!,"AAAAAH9/2dI=")</f>
        <v>#REF!</v>
      </c>
      <c r="HD589" t="e">
        <f>AND(#REF!,"AAAAAH9/2dM=")</f>
        <v>#REF!</v>
      </c>
      <c r="HE589" t="e">
        <f>AND(#REF!,"AAAAAH9/2dQ=")</f>
        <v>#REF!</v>
      </c>
      <c r="HF589" t="e">
        <f>AND(#REF!,"AAAAAH9/2dU=")</f>
        <v>#REF!</v>
      </c>
      <c r="HG589" t="e">
        <f>AND(#REF!,"AAAAAH9/2dY=")</f>
        <v>#REF!</v>
      </c>
      <c r="HH589" t="e">
        <f>AND(#REF!,"AAAAAH9/2dc=")</f>
        <v>#REF!</v>
      </c>
      <c r="HI589" t="e">
        <f>AND(#REF!,"AAAAAH9/2dg=")</f>
        <v>#REF!</v>
      </c>
      <c r="HJ589" t="e">
        <f>AND(#REF!,"AAAAAH9/2dk=")</f>
        <v>#REF!</v>
      </c>
      <c r="HK589" t="e">
        <f>AND(#REF!,"AAAAAH9/2do=")</f>
        <v>#REF!</v>
      </c>
      <c r="HL589" t="e">
        <f>AND(#REF!,"AAAAAH9/2ds=")</f>
        <v>#REF!</v>
      </c>
      <c r="HM589" t="e">
        <f>AND(#REF!,"AAAAAH9/2dw=")</f>
        <v>#REF!</v>
      </c>
      <c r="HN589" t="e">
        <f>AND(#REF!,"AAAAAH9/2d0=")</f>
        <v>#REF!</v>
      </c>
      <c r="HO589" t="e">
        <f>AND(#REF!,"AAAAAH9/2d4=")</f>
        <v>#REF!</v>
      </c>
      <c r="HP589" t="e">
        <f>AND(#REF!,"AAAAAH9/2d8=")</f>
        <v>#REF!</v>
      </c>
      <c r="HQ589" t="e">
        <f>AND(#REF!,"AAAAAH9/2eA=")</f>
        <v>#REF!</v>
      </c>
      <c r="HR589" t="e">
        <f>AND(#REF!,"AAAAAH9/2eE=")</f>
        <v>#REF!</v>
      </c>
      <c r="HS589" t="e">
        <f>AND(#REF!,"AAAAAH9/2eI=")</f>
        <v>#REF!</v>
      </c>
      <c r="HT589" t="e">
        <f>AND(#REF!,"AAAAAH9/2eM=")</f>
        <v>#REF!</v>
      </c>
      <c r="HU589" t="e">
        <f>AND(#REF!,"AAAAAH9/2eQ=")</f>
        <v>#REF!</v>
      </c>
      <c r="HV589" t="e">
        <f>AND(#REF!,"AAAAAH9/2eU=")</f>
        <v>#REF!</v>
      </c>
      <c r="HW589" t="e">
        <f>AND(#REF!,"AAAAAH9/2eY=")</f>
        <v>#REF!</v>
      </c>
      <c r="HX589" t="e">
        <f>AND(#REF!,"AAAAAH9/2ec=")</f>
        <v>#REF!</v>
      </c>
      <c r="HY589" t="e">
        <f>IF(#REF!,"AAAAAH9/2eg=",0)</f>
        <v>#REF!</v>
      </c>
      <c r="HZ589" t="e">
        <f>AND(#REF!,"AAAAAH9/2ek=")</f>
        <v>#REF!</v>
      </c>
      <c r="IA589" t="e">
        <f>AND(#REF!,"AAAAAH9/2eo=")</f>
        <v>#REF!</v>
      </c>
      <c r="IB589" t="e">
        <f>AND(#REF!,"AAAAAH9/2es=")</f>
        <v>#REF!</v>
      </c>
      <c r="IC589" t="e">
        <f>AND(#REF!,"AAAAAH9/2ew=")</f>
        <v>#REF!</v>
      </c>
      <c r="ID589" t="e">
        <f>AND(#REF!,"AAAAAH9/2e0=")</f>
        <v>#REF!</v>
      </c>
      <c r="IE589" t="e">
        <f>AND(#REF!,"AAAAAH9/2e4=")</f>
        <v>#REF!</v>
      </c>
      <c r="IF589" t="e">
        <f>AND(#REF!,"AAAAAH9/2e8=")</f>
        <v>#REF!</v>
      </c>
      <c r="IG589" t="e">
        <f>AND(#REF!,"AAAAAH9/2fA=")</f>
        <v>#REF!</v>
      </c>
      <c r="IH589" t="e">
        <f>AND(#REF!,"AAAAAH9/2fE=")</f>
        <v>#REF!</v>
      </c>
      <c r="II589" t="e">
        <f>AND(#REF!,"AAAAAH9/2fI=")</f>
        <v>#REF!</v>
      </c>
      <c r="IJ589" t="e">
        <f>AND(#REF!,"AAAAAH9/2fM=")</f>
        <v>#REF!</v>
      </c>
      <c r="IK589" t="e">
        <f>AND(#REF!,"AAAAAH9/2fQ=")</f>
        <v>#REF!</v>
      </c>
      <c r="IL589" t="e">
        <f>AND(#REF!,"AAAAAH9/2fU=")</f>
        <v>#REF!</v>
      </c>
      <c r="IM589" t="e">
        <f>AND(#REF!,"AAAAAH9/2fY=")</f>
        <v>#REF!</v>
      </c>
      <c r="IN589" t="e">
        <f>AND(#REF!,"AAAAAH9/2fc=")</f>
        <v>#REF!</v>
      </c>
      <c r="IO589" t="e">
        <f>AND(#REF!,"AAAAAH9/2fg=")</f>
        <v>#REF!</v>
      </c>
      <c r="IP589" t="e">
        <f>AND(#REF!,"AAAAAH9/2fk=")</f>
        <v>#REF!</v>
      </c>
      <c r="IQ589" t="e">
        <f>AND(#REF!,"AAAAAH9/2fo=")</f>
        <v>#REF!</v>
      </c>
      <c r="IR589" t="e">
        <f>AND(#REF!,"AAAAAH9/2fs=")</f>
        <v>#REF!</v>
      </c>
      <c r="IS589" t="e">
        <f>AND(#REF!,"AAAAAH9/2fw=")</f>
        <v>#REF!</v>
      </c>
      <c r="IT589" t="e">
        <f>AND(#REF!,"AAAAAH9/2f0=")</f>
        <v>#REF!</v>
      </c>
      <c r="IU589" t="e">
        <f>AND(#REF!,"AAAAAH9/2f4=")</f>
        <v>#REF!</v>
      </c>
      <c r="IV589" t="e">
        <f>AND(#REF!,"AAAAAH9/2f8=")</f>
        <v>#REF!</v>
      </c>
    </row>
    <row r="590" spans="1:256">
      <c r="A590" t="e">
        <f>AND(#REF!,"AAAAAH+r5gA=")</f>
        <v>#REF!</v>
      </c>
      <c r="B590" t="e">
        <f>IF(#REF!,"AAAAAH+r5gE=",0)</f>
        <v>#REF!</v>
      </c>
      <c r="C590" t="e">
        <f>AND(#REF!,"AAAAAH+r5gI=")</f>
        <v>#REF!</v>
      </c>
      <c r="D590" t="e">
        <f>AND(#REF!,"AAAAAH+r5gM=")</f>
        <v>#REF!</v>
      </c>
      <c r="E590" t="e">
        <f>AND(#REF!,"AAAAAH+r5gQ=")</f>
        <v>#REF!</v>
      </c>
      <c r="F590" t="e">
        <f>AND(#REF!,"AAAAAH+r5gU=")</f>
        <v>#REF!</v>
      </c>
      <c r="G590" t="e">
        <f>AND(#REF!,"AAAAAH+r5gY=")</f>
        <v>#REF!</v>
      </c>
      <c r="H590" t="e">
        <f>AND(#REF!,"AAAAAH+r5gc=")</f>
        <v>#REF!</v>
      </c>
      <c r="I590" t="e">
        <f>AND(#REF!,"AAAAAH+r5gg=")</f>
        <v>#REF!</v>
      </c>
      <c r="J590" t="e">
        <f>AND(#REF!,"AAAAAH+r5gk=")</f>
        <v>#REF!</v>
      </c>
      <c r="K590" t="e">
        <f>AND(#REF!,"AAAAAH+r5go=")</f>
        <v>#REF!</v>
      </c>
      <c r="L590" t="e">
        <f>AND(#REF!,"AAAAAH+r5gs=")</f>
        <v>#REF!</v>
      </c>
      <c r="M590" t="e">
        <f>AND(#REF!,"AAAAAH+r5gw=")</f>
        <v>#REF!</v>
      </c>
      <c r="N590" t="e">
        <f>AND(#REF!,"AAAAAH+r5g0=")</f>
        <v>#REF!</v>
      </c>
      <c r="O590" t="e">
        <f>AND(#REF!,"AAAAAH+r5g4=")</f>
        <v>#REF!</v>
      </c>
      <c r="P590" t="e">
        <f>AND(#REF!,"AAAAAH+r5g8=")</f>
        <v>#REF!</v>
      </c>
      <c r="Q590" t="e">
        <f>AND(#REF!,"AAAAAH+r5hA=")</f>
        <v>#REF!</v>
      </c>
      <c r="R590" t="e">
        <f>AND(#REF!,"AAAAAH+r5hE=")</f>
        <v>#REF!</v>
      </c>
      <c r="S590" t="e">
        <f>AND(#REF!,"AAAAAH+r5hI=")</f>
        <v>#REF!</v>
      </c>
      <c r="T590" t="e">
        <f>AND(#REF!,"AAAAAH+r5hM=")</f>
        <v>#REF!</v>
      </c>
      <c r="U590" t="e">
        <f>AND(#REF!,"AAAAAH+r5hQ=")</f>
        <v>#REF!</v>
      </c>
      <c r="V590" t="e">
        <f>AND(#REF!,"AAAAAH+r5hU=")</f>
        <v>#REF!</v>
      </c>
      <c r="W590" t="e">
        <f>AND(#REF!,"AAAAAH+r5hY=")</f>
        <v>#REF!</v>
      </c>
      <c r="X590" t="e">
        <f>AND(#REF!,"AAAAAH+r5hc=")</f>
        <v>#REF!</v>
      </c>
      <c r="Y590" t="e">
        <f>AND(#REF!,"AAAAAH+r5hg=")</f>
        <v>#REF!</v>
      </c>
      <c r="Z590" t="e">
        <f>AND(#REF!,"AAAAAH+r5hk=")</f>
        <v>#REF!</v>
      </c>
      <c r="AA590" t="e">
        <f>IF(#REF!,"AAAAAH+r5ho=",0)</f>
        <v>#REF!</v>
      </c>
      <c r="AB590" t="e">
        <f>AND(#REF!,"AAAAAH+r5hs=")</f>
        <v>#REF!</v>
      </c>
      <c r="AC590" t="e">
        <f>AND(#REF!,"AAAAAH+r5hw=")</f>
        <v>#REF!</v>
      </c>
      <c r="AD590" t="e">
        <f>AND(#REF!,"AAAAAH+r5h0=")</f>
        <v>#REF!</v>
      </c>
      <c r="AE590" t="e">
        <f>AND(#REF!,"AAAAAH+r5h4=")</f>
        <v>#REF!</v>
      </c>
      <c r="AF590" t="e">
        <f>AND(#REF!,"AAAAAH+r5h8=")</f>
        <v>#REF!</v>
      </c>
      <c r="AG590" t="e">
        <f>AND(#REF!,"AAAAAH+r5iA=")</f>
        <v>#REF!</v>
      </c>
      <c r="AH590" t="e">
        <f>AND(#REF!,"AAAAAH+r5iE=")</f>
        <v>#REF!</v>
      </c>
      <c r="AI590" t="e">
        <f>AND(#REF!,"AAAAAH+r5iI=")</f>
        <v>#REF!</v>
      </c>
      <c r="AJ590" t="e">
        <f>AND(#REF!,"AAAAAH+r5iM=")</f>
        <v>#REF!</v>
      </c>
      <c r="AK590" t="e">
        <f>AND(#REF!,"AAAAAH+r5iQ=")</f>
        <v>#REF!</v>
      </c>
      <c r="AL590" t="e">
        <f>AND(#REF!,"AAAAAH+r5iU=")</f>
        <v>#REF!</v>
      </c>
      <c r="AM590" t="e">
        <f>AND(#REF!,"AAAAAH+r5iY=")</f>
        <v>#REF!</v>
      </c>
      <c r="AN590" t="e">
        <f>AND(#REF!,"AAAAAH+r5ic=")</f>
        <v>#REF!</v>
      </c>
      <c r="AO590" t="e">
        <f>AND(#REF!,"AAAAAH+r5ig=")</f>
        <v>#REF!</v>
      </c>
      <c r="AP590" t="e">
        <f>AND(#REF!,"AAAAAH+r5ik=")</f>
        <v>#REF!</v>
      </c>
      <c r="AQ590" t="e">
        <f>AND(#REF!,"AAAAAH+r5io=")</f>
        <v>#REF!</v>
      </c>
      <c r="AR590" t="e">
        <f>AND(#REF!,"AAAAAH+r5is=")</f>
        <v>#REF!</v>
      </c>
      <c r="AS590" t="e">
        <f>AND(#REF!,"AAAAAH+r5iw=")</f>
        <v>#REF!</v>
      </c>
      <c r="AT590" t="e">
        <f>AND(#REF!,"AAAAAH+r5i0=")</f>
        <v>#REF!</v>
      </c>
      <c r="AU590" t="e">
        <f>AND(#REF!,"AAAAAH+r5i4=")</f>
        <v>#REF!</v>
      </c>
      <c r="AV590" t="e">
        <f>AND(#REF!,"AAAAAH+r5i8=")</f>
        <v>#REF!</v>
      </c>
      <c r="AW590" t="e">
        <f>AND(#REF!,"AAAAAH+r5jA=")</f>
        <v>#REF!</v>
      </c>
      <c r="AX590" t="e">
        <f>AND(#REF!,"AAAAAH+r5jE=")</f>
        <v>#REF!</v>
      </c>
      <c r="AY590" t="e">
        <f>AND(#REF!,"AAAAAH+r5jI=")</f>
        <v>#REF!</v>
      </c>
      <c r="AZ590" t="e">
        <f>IF(#REF!,"AAAAAH+r5jM=",0)</f>
        <v>#REF!</v>
      </c>
      <c r="BA590" t="e">
        <f>AND(#REF!,"AAAAAH+r5jQ=")</f>
        <v>#REF!</v>
      </c>
      <c r="BB590" t="e">
        <f>AND(#REF!,"AAAAAH+r5jU=")</f>
        <v>#REF!</v>
      </c>
      <c r="BC590" t="e">
        <f>AND(#REF!,"AAAAAH+r5jY=")</f>
        <v>#REF!</v>
      </c>
      <c r="BD590" t="e">
        <f>AND(#REF!,"AAAAAH+r5jc=")</f>
        <v>#REF!</v>
      </c>
      <c r="BE590" t="e">
        <f>AND(#REF!,"AAAAAH+r5jg=")</f>
        <v>#REF!</v>
      </c>
      <c r="BF590" t="e">
        <f>AND(#REF!,"AAAAAH+r5jk=")</f>
        <v>#REF!</v>
      </c>
      <c r="BG590" t="e">
        <f>AND(#REF!,"AAAAAH+r5jo=")</f>
        <v>#REF!</v>
      </c>
      <c r="BH590" t="e">
        <f>AND(#REF!,"AAAAAH+r5js=")</f>
        <v>#REF!</v>
      </c>
      <c r="BI590" t="e">
        <f>AND(#REF!,"AAAAAH+r5jw=")</f>
        <v>#REF!</v>
      </c>
      <c r="BJ590" t="e">
        <f>AND(#REF!,"AAAAAH+r5j0=")</f>
        <v>#REF!</v>
      </c>
      <c r="BK590" t="e">
        <f>AND(#REF!,"AAAAAH+r5j4=")</f>
        <v>#REF!</v>
      </c>
      <c r="BL590" t="e">
        <f>AND(#REF!,"AAAAAH+r5j8=")</f>
        <v>#REF!</v>
      </c>
      <c r="BM590" t="e">
        <f>AND(#REF!,"AAAAAH+r5kA=")</f>
        <v>#REF!</v>
      </c>
      <c r="BN590" t="e">
        <f>AND(#REF!,"AAAAAH+r5kE=")</f>
        <v>#REF!</v>
      </c>
      <c r="BO590" t="e">
        <f>AND(#REF!,"AAAAAH+r5kI=")</f>
        <v>#REF!</v>
      </c>
      <c r="BP590" t="e">
        <f>AND(#REF!,"AAAAAH+r5kM=")</f>
        <v>#REF!</v>
      </c>
      <c r="BQ590" t="e">
        <f>AND(#REF!,"AAAAAH+r5kQ=")</f>
        <v>#REF!</v>
      </c>
      <c r="BR590" t="e">
        <f>AND(#REF!,"AAAAAH+r5kU=")</f>
        <v>#REF!</v>
      </c>
      <c r="BS590" t="e">
        <f>AND(#REF!,"AAAAAH+r5kY=")</f>
        <v>#REF!</v>
      </c>
      <c r="BT590" t="e">
        <f>AND(#REF!,"AAAAAH+r5kc=")</f>
        <v>#REF!</v>
      </c>
      <c r="BU590" t="e">
        <f>AND(#REF!,"AAAAAH+r5kg=")</f>
        <v>#REF!</v>
      </c>
      <c r="BV590" t="e">
        <f>AND(#REF!,"AAAAAH+r5kk=")</f>
        <v>#REF!</v>
      </c>
      <c r="BW590" t="e">
        <f>AND(#REF!,"AAAAAH+r5ko=")</f>
        <v>#REF!</v>
      </c>
      <c r="BX590" t="e">
        <f>AND(#REF!,"AAAAAH+r5ks=")</f>
        <v>#REF!</v>
      </c>
      <c r="BY590" t="e">
        <f>IF(#REF!,"AAAAAH+r5kw=",0)</f>
        <v>#REF!</v>
      </c>
      <c r="BZ590" t="e">
        <f>IF(#REF!,"AAAAAH+r5k0=",0)</f>
        <v>#REF!</v>
      </c>
      <c r="CA590" t="e">
        <f>IF(#REF!,"AAAAAH+r5k4=",0)</f>
        <v>#REF!</v>
      </c>
      <c r="CB590" t="e">
        <f>IF(#REF!,"AAAAAH+r5k8=",0)</f>
        <v>#REF!</v>
      </c>
      <c r="CC590" t="e">
        <f>IF(#REF!,"AAAAAH+r5lA=",0)</f>
        <v>#REF!</v>
      </c>
      <c r="CD590" t="e">
        <f>IF(#REF!,"AAAAAH+r5lE=",0)</f>
        <v>#REF!</v>
      </c>
      <c r="CE590" t="e">
        <f>IF(#REF!,"AAAAAH+r5lI=",0)</f>
        <v>#REF!</v>
      </c>
      <c r="CF590" t="e">
        <f>IF(#REF!,"AAAAAH+r5lM=",0)</f>
        <v>#REF!</v>
      </c>
      <c r="CG590" t="e">
        <f>IF(#REF!,"AAAAAH+r5lQ=",0)</f>
        <v>#REF!</v>
      </c>
      <c r="CH590" t="e">
        <f>IF(#REF!,"AAAAAH+r5lU=",0)</f>
        <v>#REF!</v>
      </c>
      <c r="CI590" t="e">
        <f>IF(#REF!,"AAAAAH+r5lY=",0)</f>
        <v>#REF!</v>
      </c>
      <c r="CJ590" t="e">
        <f>IF(#REF!,"AAAAAH+r5lc=",0)</f>
        <v>#REF!</v>
      </c>
      <c r="CK590" t="e">
        <f>IF(#REF!,"AAAAAH+r5lg=",0)</f>
        <v>#REF!</v>
      </c>
      <c r="CL590" t="e">
        <f>IF(#REF!,"AAAAAH+r5lk=",0)</f>
        <v>#REF!</v>
      </c>
      <c r="CM590" t="e">
        <f>IF(#REF!,"AAAAAH+r5lo=",0)</f>
        <v>#REF!</v>
      </c>
      <c r="CN590" t="e">
        <f>IF(#REF!,"AAAAAH+r5ls=",0)</f>
        <v>#REF!</v>
      </c>
      <c r="CO590" t="e">
        <f>IF(#REF!,"AAAAAH+r5lw=",0)</f>
        <v>#REF!</v>
      </c>
      <c r="CP590" t="e">
        <f>IF(#REF!,"AAAAAH+r5l0=",0)</f>
        <v>#REF!</v>
      </c>
      <c r="CQ590" t="e">
        <f>IF(#REF!,"AAAAAH+r5l4=",0)</f>
        <v>#REF!</v>
      </c>
      <c r="CR590" t="e">
        <f>IF(#REF!,"AAAAAH+r5l8=",0)</f>
        <v>#REF!</v>
      </c>
      <c r="CS590" t="e">
        <f>IF(#REF!,"AAAAAH+r5mA=",0)</f>
        <v>#REF!</v>
      </c>
      <c r="CT590" t="e">
        <f>IF(#REF!,"AAAAAH+r5mE=",0)</f>
        <v>#REF!</v>
      </c>
      <c r="CU590" t="e">
        <f>IF(#REF!,"AAAAAH+r5mI=",0)</f>
        <v>#REF!</v>
      </c>
      <c r="CV590" t="e">
        <f>IF(#REF!,"AAAAAH+r5mM=",0)</f>
        <v>#REF!</v>
      </c>
      <c r="CW590" t="e">
        <f>IF(#REF!,"AAAAAH+r5mQ=",0)</f>
        <v>#REF!</v>
      </c>
      <c r="CX590" t="e">
        <f>AND(#REF!,"AAAAAH+r5mU=")</f>
        <v>#REF!</v>
      </c>
      <c r="CY590" t="e">
        <f>AND(#REF!,"AAAAAH+r5mY=")</f>
        <v>#REF!</v>
      </c>
      <c r="CZ590" t="e">
        <f>AND(#REF!,"AAAAAH+r5mc=")</f>
        <v>#REF!</v>
      </c>
      <c r="DA590" t="e">
        <f>AND(#REF!,"AAAAAH+r5mg=")</f>
        <v>#REF!</v>
      </c>
      <c r="DB590" t="e">
        <f>AND(#REF!,"AAAAAH+r5mk=")</f>
        <v>#REF!</v>
      </c>
      <c r="DC590" t="e">
        <f>AND(#REF!,"AAAAAH+r5mo=")</f>
        <v>#REF!</v>
      </c>
      <c r="DD590" t="e">
        <f>AND(#REF!,"AAAAAH+r5ms=")</f>
        <v>#REF!</v>
      </c>
      <c r="DE590" t="e">
        <f>AND(#REF!,"AAAAAH+r5mw=")</f>
        <v>#REF!</v>
      </c>
      <c r="DF590" t="e">
        <f>AND(#REF!,"AAAAAH+r5m0=")</f>
        <v>#REF!</v>
      </c>
      <c r="DG590" t="e">
        <f>AND(#REF!,"AAAAAH+r5m4=")</f>
        <v>#REF!</v>
      </c>
      <c r="DH590" t="e">
        <f>AND(#REF!,"AAAAAH+r5m8=")</f>
        <v>#REF!</v>
      </c>
      <c r="DI590" t="e">
        <f>IF(#REF!,"AAAAAH+r5nA=",0)</f>
        <v>#REF!</v>
      </c>
      <c r="DJ590" t="e">
        <f>AND(#REF!,"AAAAAH+r5nE=")</f>
        <v>#REF!</v>
      </c>
      <c r="DK590" t="e">
        <f>AND(#REF!,"AAAAAH+r5nI=")</f>
        <v>#REF!</v>
      </c>
      <c r="DL590" t="e">
        <f>AND(#REF!,"AAAAAH+r5nM=")</f>
        <v>#REF!</v>
      </c>
      <c r="DM590" t="e">
        <f>AND(#REF!,"AAAAAH+r5nQ=")</f>
        <v>#REF!</v>
      </c>
      <c r="DN590" t="e">
        <f>AND(#REF!,"AAAAAH+r5nU=")</f>
        <v>#REF!</v>
      </c>
      <c r="DO590" t="e">
        <f>AND(#REF!,"AAAAAH+r5nY=")</f>
        <v>#REF!</v>
      </c>
      <c r="DP590" t="e">
        <f>AND(#REF!,"AAAAAH+r5nc=")</f>
        <v>#REF!</v>
      </c>
      <c r="DQ590" t="e">
        <f>AND(#REF!,"AAAAAH+r5ng=")</f>
        <v>#REF!</v>
      </c>
      <c r="DR590" t="e">
        <f>AND(#REF!,"AAAAAH+r5nk=")</f>
        <v>#REF!</v>
      </c>
      <c r="DS590" t="e">
        <f>AND(#REF!,"AAAAAH+r5no=")</f>
        <v>#REF!</v>
      </c>
      <c r="DT590" t="e">
        <f>AND(#REF!,"AAAAAH+r5ns=")</f>
        <v>#REF!</v>
      </c>
      <c r="DU590" t="e">
        <f>IF(#REF!,"AAAAAH+r5nw=",0)</f>
        <v>#REF!</v>
      </c>
      <c r="DV590" t="e">
        <f>AND(#REF!,"AAAAAH+r5n0=")</f>
        <v>#REF!</v>
      </c>
      <c r="DW590" t="e">
        <f>AND(#REF!,"AAAAAH+r5n4=")</f>
        <v>#REF!</v>
      </c>
      <c r="DX590" t="e">
        <f>AND(#REF!,"AAAAAH+r5n8=")</f>
        <v>#REF!</v>
      </c>
      <c r="DY590" t="e">
        <f>AND(#REF!,"AAAAAH+r5oA=")</f>
        <v>#REF!</v>
      </c>
      <c r="DZ590" t="e">
        <f>AND(#REF!,"AAAAAH+r5oE=")</f>
        <v>#REF!</v>
      </c>
      <c r="EA590" t="e">
        <f>AND(#REF!,"AAAAAH+r5oI=")</f>
        <v>#REF!</v>
      </c>
      <c r="EB590" t="e">
        <f>AND(#REF!,"AAAAAH+r5oM=")</f>
        <v>#REF!</v>
      </c>
      <c r="EC590" t="e">
        <f>AND(#REF!,"AAAAAH+r5oQ=")</f>
        <v>#REF!</v>
      </c>
      <c r="ED590" t="e">
        <f>AND(#REF!,"AAAAAH+r5oU=")</f>
        <v>#REF!</v>
      </c>
      <c r="EE590" t="e">
        <f>AND(#REF!,"AAAAAH+r5oY=")</f>
        <v>#REF!</v>
      </c>
      <c r="EF590" t="e">
        <f>AND(#REF!,"AAAAAH+r5oc=")</f>
        <v>#REF!</v>
      </c>
      <c r="EG590" t="e">
        <f>IF(#REF!,"AAAAAH+r5og=",0)</f>
        <v>#REF!</v>
      </c>
      <c r="EH590" t="e">
        <f>AND(#REF!,"AAAAAH+r5ok=")</f>
        <v>#REF!</v>
      </c>
      <c r="EI590" t="e">
        <f>AND(#REF!,"AAAAAH+r5oo=")</f>
        <v>#REF!</v>
      </c>
      <c r="EJ590" t="e">
        <f>AND(#REF!,"AAAAAH+r5os=")</f>
        <v>#REF!</v>
      </c>
      <c r="EK590" t="e">
        <f>AND(#REF!,"AAAAAH+r5ow=")</f>
        <v>#REF!</v>
      </c>
      <c r="EL590" t="e">
        <f>AND(#REF!,"AAAAAH+r5o0=")</f>
        <v>#REF!</v>
      </c>
      <c r="EM590" t="e">
        <f>AND(#REF!,"AAAAAH+r5o4=")</f>
        <v>#REF!</v>
      </c>
      <c r="EN590" t="e">
        <f>AND(#REF!,"AAAAAH+r5o8=")</f>
        <v>#REF!</v>
      </c>
      <c r="EO590" t="e">
        <f>AND(#REF!,"AAAAAH+r5pA=")</f>
        <v>#REF!</v>
      </c>
      <c r="EP590" t="e">
        <f>AND(#REF!,"AAAAAH+r5pE=")</f>
        <v>#REF!</v>
      </c>
      <c r="EQ590" t="e">
        <f>AND(#REF!,"AAAAAH+r5pI=")</f>
        <v>#REF!</v>
      </c>
      <c r="ER590" t="e">
        <f>AND(#REF!,"AAAAAH+r5pM=")</f>
        <v>#REF!</v>
      </c>
      <c r="ES590" t="e">
        <f>IF(#REF!,"AAAAAH+r5pQ=",0)</f>
        <v>#REF!</v>
      </c>
      <c r="ET590" t="e">
        <f>AND(#REF!,"AAAAAH+r5pU=")</f>
        <v>#REF!</v>
      </c>
      <c r="EU590" t="e">
        <f>AND(#REF!,"AAAAAH+r5pY=")</f>
        <v>#REF!</v>
      </c>
      <c r="EV590" t="e">
        <f>AND(#REF!,"AAAAAH+r5pc=")</f>
        <v>#REF!</v>
      </c>
      <c r="EW590" t="e">
        <f>AND(#REF!,"AAAAAH+r5pg=")</f>
        <v>#REF!</v>
      </c>
      <c r="EX590" t="e">
        <f>AND(#REF!,"AAAAAH+r5pk=")</f>
        <v>#REF!</v>
      </c>
      <c r="EY590" t="e">
        <f>AND(#REF!,"AAAAAH+r5po=")</f>
        <v>#REF!</v>
      </c>
      <c r="EZ590" t="e">
        <f>AND(#REF!,"AAAAAH+r5ps=")</f>
        <v>#REF!</v>
      </c>
      <c r="FA590" t="e">
        <f>AND(#REF!,"AAAAAH+r5pw=")</f>
        <v>#REF!</v>
      </c>
      <c r="FB590" t="e">
        <f>AND(#REF!,"AAAAAH+r5p0=")</f>
        <v>#REF!</v>
      </c>
      <c r="FC590" t="e">
        <f>AND(#REF!,"AAAAAH+r5p4=")</f>
        <v>#REF!</v>
      </c>
      <c r="FD590" t="e">
        <f>AND(#REF!,"AAAAAH+r5p8=")</f>
        <v>#REF!</v>
      </c>
      <c r="FE590" t="e">
        <f>IF(#REF!,"AAAAAH+r5qA=",0)</f>
        <v>#REF!</v>
      </c>
      <c r="FF590" t="e">
        <f>AND(#REF!,"AAAAAH+r5qE=")</f>
        <v>#REF!</v>
      </c>
      <c r="FG590" t="e">
        <f>AND(#REF!,"AAAAAH+r5qI=")</f>
        <v>#REF!</v>
      </c>
      <c r="FH590" t="e">
        <f>AND(#REF!,"AAAAAH+r5qM=")</f>
        <v>#REF!</v>
      </c>
      <c r="FI590" t="e">
        <f>AND(#REF!,"AAAAAH+r5qQ=")</f>
        <v>#REF!</v>
      </c>
      <c r="FJ590" t="e">
        <f>AND(#REF!,"AAAAAH+r5qU=")</f>
        <v>#REF!</v>
      </c>
      <c r="FK590" t="e">
        <f>AND(#REF!,"AAAAAH+r5qY=")</f>
        <v>#REF!</v>
      </c>
      <c r="FL590" t="e">
        <f>AND(#REF!,"AAAAAH+r5qc=")</f>
        <v>#REF!</v>
      </c>
      <c r="FM590" t="e">
        <f>AND(#REF!,"AAAAAH+r5qg=")</f>
        <v>#REF!</v>
      </c>
      <c r="FN590" t="e">
        <f>AND(#REF!,"AAAAAH+r5qk=")</f>
        <v>#REF!</v>
      </c>
      <c r="FO590" t="e">
        <f>AND(#REF!,"AAAAAH+r5qo=")</f>
        <v>#REF!</v>
      </c>
      <c r="FP590" t="e">
        <f>AND(#REF!,"AAAAAH+r5qs=")</f>
        <v>#REF!</v>
      </c>
      <c r="FQ590" t="e">
        <f>IF(#REF!,"AAAAAH+r5qw=",0)</f>
        <v>#REF!</v>
      </c>
      <c r="FR590" t="e">
        <f>AND(#REF!,"AAAAAH+r5q0=")</f>
        <v>#REF!</v>
      </c>
      <c r="FS590" t="e">
        <f>AND(#REF!,"AAAAAH+r5q4=")</f>
        <v>#REF!</v>
      </c>
      <c r="FT590" t="e">
        <f>AND(#REF!,"AAAAAH+r5q8=")</f>
        <v>#REF!</v>
      </c>
      <c r="FU590" t="e">
        <f>AND(#REF!,"AAAAAH+r5rA=")</f>
        <v>#REF!</v>
      </c>
      <c r="FV590" t="e">
        <f>AND(#REF!,"AAAAAH+r5rE=")</f>
        <v>#REF!</v>
      </c>
      <c r="FW590" t="e">
        <f>AND(#REF!,"AAAAAH+r5rI=")</f>
        <v>#REF!</v>
      </c>
      <c r="FX590" t="e">
        <f>AND(#REF!,"AAAAAH+r5rM=")</f>
        <v>#REF!</v>
      </c>
      <c r="FY590" t="e">
        <f>AND(#REF!,"AAAAAH+r5rQ=")</f>
        <v>#REF!</v>
      </c>
      <c r="FZ590" t="e">
        <f>AND(#REF!,"AAAAAH+r5rU=")</f>
        <v>#REF!</v>
      </c>
      <c r="GA590" t="e">
        <f>AND(#REF!,"AAAAAH+r5rY=")</f>
        <v>#REF!</v>
      </c>
      <c r="GB590" t="e">
        <f>AND(#REF!,"AAAAAH+r5rc=")</f>
        <v>#REF!</v>
      </c>
      <c r="GC590" t="e">
        <f>IF(#REF!,"AAAAAH+r5rg=",0)</f>
        <v>#REF!</v>
      </c>
      <c r="GD590" t="e">
        <f>AND(#REF!,"AAAAAH+r5rk=")</f>
        <v>#REF!</v>
      </c>
      <c r="GE590" t="e">
        <f>AND(#REF!,"AAAAAH+r5ro=")</f>
        <v>#REF!</v>
      </c>
      <c r="GF590" t="e">
        <f>AND(#REF!,"AAAAAH+r5rs=")</f>
        <v>#REF!</v>
      </c>
      <c r="GG590" t="e">
        <f>AND(#REF!,"AAAAAH+r5rw=")</f>
        <v>#REF!</v>
      </c>
      <c r="GH590" t="e">
        <f>AND(#REF!,"AAAAAH+r5r0=")</f>
        <v>#REF!</v>
      </c>
      <c r="GI590" t="e">
        <f>AND(#REF!,"AAAAAH+r5r4=")</f>
        <v>#REF!</v>
      </c>
      <c r="GJ590" t="e">
        <f>AND(#REF!,"AAAAAH+r5r8=")</f>
        <v>#REF!</v>
      </c>
      <c r="GK590" t="e">
        <f>AND(#REF!,"AAAAAH+r5sA=")</f>
        <v>#REF!</v>
      </c>
      <c r="GL590" t="e">
        <f>AND(#REF!,"AAAAAH+r5sE=")</f>
        <v>#REF!</v>
      </c>
      <c r="GM590" t="e">
        <f>AND(#REF!,"AAAAAH+r5sI=")</f>
        <v>#REF!</v>
      </c>
      <c r="GN590" t="e">
        <f>AND(#REF!,"AAAAAH+r5sM=")</f>
        <v>#REF!</v>
      </c>
      <c r="GO590" t="e">
        <f>IF(#REF!,"AAAAAH+r5sQ=",0)</f>
        <v>#REF!</v>
      </c>
      <c r="GP590" t="e">
        <f>AND(#REF!,"AAAAAH+r5sU=")</f>
        <v>#REF!</v>
      </c>
      <c r="GQ590" t="e">
        <f>AND(#REF!,"AAAAAH+r5sY=")</f>
        <v>#REF!</v>
      </c>
      <c r="GR590" t="e">
        <f>AND(#REF!,"AAAAAH+r5sc=")</f>
        <v>#REF!</v>
      </c>
      <c r="GS590" t="e">
        <f>AND(#REF!,"AAAAAH+r5sg=")</f>
        <v>#REF!</v>
      </c>
      <c r="GT590" t="e">
        <f>AND(#REF!,"AAAAAH+r5sk=")</f>
        <v>#REF!</v>
      </c>
      <c r="GU590" t="e">
        <f>AND(#REF!,"AAAAAH+r5so=")</f>
        <v>#REF!</v>
      </c>
      <c r="GV590" t="e">
        <f>AND(#REF!,"AAAAAH+r5ss=")</f>
        <v>#REF!</v>
      </c>
      <c r="GW590" t="e">
        <f>AND(#REF!,"AAAAAH+r5sw=")</f>
        <v>#REF!</v>
      </c>
      <c r="GX590" t="e">
        <f>AND(#REF!,"AAAAAH+r5s0=")</f>
        <v>#REF!</v>
      </c>
      <c r="GY590" t="e">
        <f>AND(#REF!,"AAAAAH+r5s4=")</f>
        <v>#REF!</v>
      </c>
      <c r="GZ590" t="e">
        <f>AND(#REF!,"AAAAAH+r5s8=")</f>
        <v>#REF!</v>
      </c>
      <c r="HA590" t="e">
        <f>IF(#REF!,"AAAAAH+r5tA=",0)</f>
        <v>#REF!</v>
      </c>
      <c r="HB590" t="e">
        <f>AND(#REF!,"AAAAAH+r5tE=")</f>
        <v>#REF!</v>
      </c>
      <c r="HC590" t="e">
        <f>AND(#REF!,"AAAAAH+r5tI=")</f>
        <v>#REF!</v>
      </c>
      <c r="HD590" t="e">
        <f>AND(#REF!,"AAAAAH+r5tM=")</f>
        <v>#REF!</v>
      </c>
      <c r="HE590" t="e">
        <f>AND(#REF!,"AAAAAH+r5tQ=")</f>
        <v>#REF!</v>
      </c>
      <c r="HF590" t="e">
        <f>AND(#REF!,"AAAAAH+r5tU=")</f>
        <v>#REF!</v>
      </c>
      <c r="HG590" t="e">
        <f>AND(#REF!,"AAAAAH+r5tY=")</f>
        <v>#REF!</v>
      </c>
      <c r="HH590" t="e">
        <f>AND(#REF!,"AAAAAH+r5tc=")</f>
        <v>#REF!</v>
      </c>
      <c r="HI590" t="e">
        <f>AND(#REF!,"AAAAAH+r5tg=")</f>
        <v>#REF!</v>
      </c>
      <c r="HJ590" t="e">
        <f>AND(#REF!,"AAAAAH+r5tk=")</f>
        <v>#REF!</v>
      </c>
      <c r="HK590" t="e">
        <f>AND(#REF!,"AAAAAH+r5to=")</f>
        <v>#REF!</v>
      </c>
      <c r="HL590" t="e">
        <f>AND(#REF!,"AAAAAH+r5ts=")</f>
        <v>#REF!</v>
      </c>
      <c r="HM590" t="e">
        <f>IF(#REF!,"AAAAAH+r5tw=",0)</f>
        <v>#REF!</v>
      </c>
      <c r="HN590" t="e">
        <f>AND(#REF!,"AAAAAH+r5t0=")</f>
        <v>#REF!</v>
      </c>
      <c r="HO590" t="e">
        <f>AND(#REF!,"AAAAAH+r5t4=")</f>
        <v>#REF!</v>
      </c>
      <c r="HP590" t="e">
        <f>AND(#REF!,"AAAAAH+r5t8=")</f>
        <v>#REF!</v>
      </c>
      <c r="HQ590" t="e">
        <f>AND(#REF!,"AAAAAH+r5uA=")</f>
        <v>#REF!</v>
      </c>
      <c r="HR590" t="e">
        <f>AND(#REF!,"AAAAAH+r5uE=")</f>
        <v>#REF!</v>
      </c>
      <c r="HS590" t="e">
        <f>AND(#REF!,"AAAAAH+r5uI=")</f>
        <v>#REF!</v>
      </c>
      <c r="HT590" t="e">
        <f>AND(#REF!,"AAAAAH+r5uM=")</f>
        <v>#REF!</v>
      </c>
      <c r="HU590" t="e">
        <f>AND(#REF!,"AAAAAH+r5uQ=")</f>
        <v>#REF!</v>
      </c>
      <c r="HV590" t="e">
        <f>AND(#REF!,"AAAAAH+r5uU=")</f>
        <v>#REF!</v>
      </c>
      <c r="HW590" t="e">
        <f>AND(#REF!,"AAAAAH+r5uY=")</f>
        <v>#REF!</v>
      </c>
      <c r="HX590" t="e">
        <f>AND(#REF!,"AAAAAH+r5uc=")</f>
        <v>#REF!</v>
      </c>
      <c r="HY590" t="e">
        <f>IF(#REF!,"AAAAAH+r5ug=",0)</f>
        <v>#REF!</v>
      </c>
      <c r="HZ590" t="e">
        <f>AND(#REF!,"AAAAAH+r5uk=")</f>
        <v>#REF!</v>
      </c>
      <c r="IA590" t="e">
        <f>AND(#REF!,"AAAAAH+r5uo=")</f>
        <v>#REF!</v>
      </c>
      <c r="IB590" t="e">
        <f>AND(#REF!,"AAAAAH+r5us=")</f>
        <v>#REF!</v>
      </c>
      <c r="IC590" t="e">
        <f>AND(#REF!,"AAAAAH+r5uw=")</f>
        <v>#REF!</v>
      </c>
      <c r="ID590" t="e">
        <f>AND(#REF!,"AAAAAH+r5u0=")</f>
        <v>#REF!</v>
      </c>
      <c r="IE590" t="e">
        <f>AND(#REF!,"AAAAAH+r5u4=")</f>
        <v>#REF!</v>
      </c>
      <c r="IF590" t="e">
        <f>AND(#REF!,"AAAAAH+r5u8=")</f>
        <v>#REF!</v>
      </c>
      <c r="IG590" t="e">
        <f>AND(#REF!,"AAAAAH+r5vA=")</f>
        <v>#REF!</v>
      </c>
      <c r="IH590" t="e">
        <f>AND(#REF!,"AAAAAH+r5vE=")</f>
        <v>#REF!</v>
      </c>
      <c r="II590" t="e">
        <f>AND(#REF!,"AAAAAH+r5vI=")</f>
        <v>#REF!</v>
      </c>
      <c r="IJ590" t="e">
        <f>AND(#REF!,"AAAAAH+r5vM=")</f>
        <v>#REF!</v>
      </c>
      <c r="IK590" t="e">
        <f>IF(#REF!,"AAAAAH+r5vQ=",0)</f>
        <v>#REF!</v>
      </c>
      <c r="IL590" t="e">
        <f>AND(#REF!,"AAAAAH+r5vU=")</f>
        <v>#REF!</v>
      </c>
      <c r="IM590" t="e">
        <f>AND(#REF!,"AAAAAH+r5vY=")</f>
        <v>#REF!</v>
      </c>
      <c r="IN590" t="e">
        <f>AND(#REF!,"AAAAAH+r5vc=")</f>
        <v>#REF!</v>
      </c>
      <c r="IO590" t="e">
        <f>AND(#REF!,"AAAAAH+r5vg=")</f>
        <v>#REF!</v>
      </c>
      <c r="IP590" t="e">
        <f>AND(#REF!,"AAAAAH+r5vk=")</f>
        <v>#REF!</v>
      </c>
      <c r="IQ590" t="e">
        <f>AND(#REF!,"AAAAAH+r5vo=")</f>
        <v>#REF!</v>
      </c>
      <c r="IR590" t="e">
        <f>AND(#REF!,"AAAAAH+r5vs=")</f>
        <v>#REF!</v>
      </c>
      <c r="IS590" t="e">
        <f>AND(#REF!,"AAAAAH+r5vw=")</f>
        <v>#REF!</v>
      </c>
      <c r="IT590" t="e">
        <f>AND(#REF!,"AAAAAH+r5v0=")</f>
        <v>#REF!</v>
      </c>
      <c r="IU590" t="e">
        <f>AND(#REF!,"AAAAAH+r5v4=")</f>
        <v>#REF!</v>
      </c>
      <c r="IV590" t="e">
        <f>AND(#REF!,"AAAAAH+r5v8=")</f>
        <v>#REF!</v>
      </c>
    </row>
    <row r="591" spans="1:256">
      <c r="A591" t="e">
        <f>IF(#REF!,"AAAAAD+/2gA=",0)</f>
        <v>#REF!</v>
      </c>
      <c r="B591" t="e">
        <f>AND(#REF!,"AAAAAD+/2gE=")</f>
        <v>#REF!</v>
      </c>
      <c r="C591" t="e">
        <f>AND(#REF!,"AAAAAD+/2gI=")</f>
        <v>#REF!</v>
      </c>
      <c r="D591" t="e">
        <f>AND(#REF!,"AAAAAD+/2gM=")</f>
        <v>#REF!</v>
      </c>
      <c r="E591" t="e">
        <f>AND(#REF!,"AAAAAD+/2gQ=")</f>
        <v>#REF!</v>
      </c>
      <c r="F591" t="e">
        <f>AND(#REF!,"AAAAAD+/2gU=")</f>
        <v>#REF!</v>
      </c>
      <c r="G591" t="e">
        <f>AND(#REF!,"AAAAAD+/2gY=")</f>
        <v>#REF!</v>
      </c>
      <c r="H591" t="e">
        <f>AND(#REF!,"AAAAAD+/2gc=")</f>
        <v>#REF!</v>
      </c>
      <c r="I591" t="e">
        <f>AND(#REF!,"AAAAAD+/2gg=")</f>
        <v>#REF!</v>
      </c>
      <c r="J591" t="e">
        <f>AND(#REF!,"AAAAAD+/2gk=")</f>
        <v>#REF!</v>
      </c>
      <c r="K591" t="e">
        <f>AND(#REF!,"AAAAAD+/2go=")</f>
        <v>#REF!</v>
      </c>
      <c r="L591" t="e">
        <f>AND(#REF!,"AAAAAD+/2gs=")</f>
        <v>#REF!</v>
      </c>
      <c r="M591" t="e">
        <f>IF(#REF!,"AAAAAD+/2gw=",0)</f>
        <v>#REF!</v>
      </c>
      <c r="N591" t="e">
        <f>AND(#REF!,"AAAAAD+/2g0=")</f>
        <v>#REF!</v>
      </c>
      <c r="O591" t="e">
        <f>AND(#REF!,"AAAAAD+/2g4=")</f>
        <v>#REF!</v>
      </c>
      <c r="P591" t="e">
        <f>AND(#REF!,"AAAAAD+/2g8=")</f>
        <v>#REF!</v>
      </c>
      <c r="Q591" t="e">
        <f>AND(#REF!,"AAAAAD+/2hA=")</f>
        <v>#REF!</v>
      </c>
      <c r="R591" t="e">
        <f>AND(#REF!,"AAAAAD+/2hE=")</f>
        <v>#REF!</v>
      </c>
      <c r="S591" t="e">
        <f>AND(#REF!,"AAAAAD+/2hI=")</f>
        <v>#REF!</v>
      </c>
      <c r="T591" t="e">
        <f>AND(#REF!,"AAAAAD+/2hM=")</f>
        <v>#REF!</v>
      </c>
      <c r="U591" t="e">
        <f>AND(#REF!,"AAAAAD+/2hQ=")</f>
        <v>#REF!</v>
      </c>
      <c r="V591" t="e">
        <f>AND(#REF!,"AAAAAD+/2hU=")</f>
        <v>#REF!</v>
      </c>
      <c r="W591" t="e">
        <f>AND(#REF!,"AAAAAD+/2hY=")</f>
        <v>#REF!</v>
      </c>
      <c r="X591" t="e">
        <f>AND(#REF!,"AAAAAD+/2hc=")</f>
        <v>#REF!</v>
      </c>
      <c r="Y591" t="e">
        <f>IF(#REF!,"AAAAAD+/2hg=",0)</f>
        <v>#REF!</v>
      </c>
      <c r="Z591" t="e">
        <f>AND(#REF!,"AAAAAD+/2hk=")</f>
        <v>#REF!</v>
      </c>
      <c r="AA591" t="e">
        <f>AND(#REF!,"AAAAAD+/2ho=")</f>
        <v>#REF!</v>
      </c>
      <c r="AB591" t="e">
        <f>AND(#REF!,"AAAAAD+/2hs=")</f>
        <v>#REF!</v>
      </c>
      <c r="AC591" t="e">
        <f>AND(#REF!,"AAAAAD+/2hw=")</f>
        <v>#REF!</v>
      </c>
      <c r="AD591" t="e">
        <f>AND(#REF!,"AAAAAD+/2h0=")</f>
        <v>#REF!</v>
      </c>
      <c r="AE591" t="e">
        <f>AND(#REF!,"AAAAAD+/2h4=")</f>
        <v>#REF!</v>
      </c>
      <c r="AF591" t="e">
        <f>AND(#REF!,"AAAAAD+/2h8=")</f>
        <v>#REF!</v>
      </c>
      <c r="AG591" t="e">
        <f>AND(#REF!,"AAAAAD+/2iA=")</f>
        <v>#REF!</v>
      </c>
      <c r="AH591" t="e">
        <f>AND(#REF!,"AAAAAD+/2iE=")</f>
        <v>#REF!</v>
      </c>
      <c r="AI591" t="e">
        <f>AND(#REF!,"AAAAAD+/2iI=")</f>
        <v>#REF!</v>
      </c>
      <c r="AJ591" t="e">
        <f>AND(#REF!,"AAAAAD+/2iM=")</f>
        <v>#REF!</v>
      </c>
      <c r="AK591" t="e">
        <f>IF(#REF!,"AAAAAD+/2iQ=",0)</f>
        <v>#REF!</v>
      </c>
      <c r="AL591" t="e">
        <f>AND(#REF!,"AAAAAD+/2iU=")</f>
        <v>#REF!</v>
      </c>
      <c r="AM591" t="e">
        <f>AND(#REF!,"AAAAAD+/2iY=")</f>
        <v>#REF!</v>
      </c>
      <c r="AN591" t="e">
        <f>AND(#REF!,"AAAAAD+/2ic=")</f>
        <v>#REF!</v>
      </c>
      <c r="AO591" t="e">
        <f>AND(#REF!,"AAAAAD+/2ig=")</f>
        <v>#REF!</v>
      </c>
      <c r="AP591" t="e">
        <f>AND(#REF!,"AAAAAD+/2ik=")</f>
        <v>#REF!</v>
      </c>
      <c r="AQ591" t="e">
        <f>AND(#REF!,"AAAAAD+/2io=")</f>
        <v>#REF!</v>
      </c>
      <c r="AR591" t="e">
        <f>AND(#REF!,"AAAAAD+/2is=")</f>
        <v>#REF!</v>
      </c>
      <c r="AS591" t="e">
        <f>AND(#REF!,"AAAAAD+/2iw=")</f>
        <v>#REF!</v>
      </c>
      <c r="AT591" t="e">
        <f>AND(#REF!,"AAAAAD+/2i0=")</f>
        <v>#REF!</v>
      </c>
      <c r="AU591" t="e">
        <f>AND(#REF!,"AAAAAD+/2i4=")</f>
        <v>#REF!</v>
      </c>
      <c r="AV591" t="e">
        <f>AND(#REF!,"AAAAAD+/2i8=")</f>
        <v>#REF!</v>
      </c>
      <c r="AW591" t="e">
        <f>IF(#REF!,"AAAAAD+/2jA=",0)</f>
        <v>#REF!</v>
      </c>
      <c r="AX591" t="e">
        <f>AND(#REF!,"AAAAAD+/2jE=")</f>
        <v>#REF!</v>
      </c>
      <c r="AY591" t="e">
        <f>AND(#REF!,"AAAAAD+/2jI=")</f>
        <v>#REF!</v>
      </c>
      <c r="AZ591" t="e">
        <f>AND(#REF!,"AAAAAD+/2jM=")</f>
        <v>#REF!</v>
      </c>
      <c r="BA591" t="e">
        <f>AND(#REF!,"AAAAAD+/2jQ=")</f>
        <v>#REF!</v>
      </c>
      <c r="BB591" t="e">
        <f>AND(#REF!,"AAAAAD+/2jU=")</f>
        <v>#REF!</v>
      </c>
      <c r="BC591" t="e">
        <f>AND(#REF!,"AAAAAD+/2jY=")</f>
        <v>#REF!</v>
      </c>
      <c r="BD591" t="e">
        <f>AND(#REF!,"AAAAAD+/2jc=")</f>
        <v>#REF!</v>
      </c>
      <c r="BE591" t="e">
        <f>AND(#REF!,"AAAAAD+/2jg=")</f>
        <v>#REF!</v>
      </c>
      <c r="BF591" t="e">
        <f>AND(#REF!,"AAAAAD+/2jk=")</f>
        <v>#REF!</v>
      </c>
      <c r="BG591" t="e">
        <f>AND(#REF!,"AAAAAD+/2jo=")</f>
        <v>#REF!</v>
      </c>
      <c r="BH591" t="e">
        <f>AND(#REF!,"AAAAAD+/2js=")</f>
        <v>#REF!</v>
      </c>
      <c r="BI591" t="e">
        <f>IF(#REF!,"AAAAAD+/2jw=",0)</f>
        <v>#REF!</v>
      </c>
      <c r="BJ591" t="e">
        <f>AND(#REF!,"AAAAAD+/2j0=")</f>
        <v>#REF!</v>
      </c>
      <c r="BK591" t="e">
        <f>AND(#REF!,"AAAAAD+/2j4=")</f>
        <v>#REF!</v>
      </c>
      <c r="BL591" t="e">
        <f>AND(#REF!,"AAAAAD+/2j8=")</f>
        <v>#REF!</v>
      </c>
      <c r="BM591" t="e">
        <f>AND(#REF!,"AAAAAD+/2kA=")</f>
        <v>#REF!</v>
      </c>
      <c r="BN591" t="e">
        <f>AND(#REF!,"AAAAAD+/2kE=")</f>
        <v>#REF!</v>
      </c>
      <c r="BO591" t="e">
        <f>AND(#REF!,"AAAAAD+/2kI=")</f>
        <v>#REF!</v>
      </c>
      <c r="BP591" t="e">
        <f>AND(#REF!,"AAAAAD+/2kM=")</f>
        <v>#REF!</v>
      </c>
      <c r="BQ591" t="e">
        <f>AND(#REF!,"AAAAAD+/2kQ=")</f>
        <v>#REF!</v>
      </c>
      <c r="BR591" t="e">
        <f>AND(#REF!,"AAAAAD+/2kU=")</f>
        <v>#REF!</v>
      </c>
      <c r="BS591" t="e">
        <f>AND(#REF!,"AAAAAD+/2kY=")</f>
        <v>#REF!</v>
      </c>
      <c r="BT591" t="e">
        <f>AND(#REF!,"AAAAAD+/2kc=")</f>
        <v>#REF!</v>
      </c>
      <c r="BU591" t="e">
        <f>IF(#REF!,"AAAAAD+/2kg=",0)</f>
        <v>#REF!</v>
      </c>
      <c r="BV591" t="e">
        <f>AND(#REF!,"AAAAAD+/2kk=")</f>
        <v>#REF!</v>
      </c>
      <c r="BW591" t="e">
        <f>AND(#REF!,"AAAAAD+/2ko=")</f>
        <v>#REF!</v>
      </c>
      <c r="BX591" t="e">
        <f>AND(#REF!,"AAAAAD+/2ks=")</f>
        <v>#REF!</v>
      </c>
      <c r="BY591" t="e">
        <f>AND(#REF!,"AAAAAD+/2kw=")</f>
        <v>#REF!</v>
      </c>
      <c r="BZ591" t="e">
        <f>AND(#REF!,"AAAAAD+/2k0=")</f>
        <v>#REF!</v>
      </c>
      <c r="CA591" t="e">
        <f>AND(#REF!,"AAAAAD+/2k4=")</f>
        <v>#REF!</v>
      </c>
      <c r="CB591" t="e">
        <f>AND(#REF!,"AAAAAD+/2k8=")</f>
        <v>#REF!</v>
      </c>
      <c r="CC591" t="e">
        <f>AND(#REF!,"AAAAAD+/2lA=")</f>
        <v>#REF!</v>
      </c>
      <c r="CD591" t="e">
        <f>AND(#REF!,"AAAAAD+/2lE=")</f>
        <v>#REF!</v>
      </c>
      <c r="CE591" t="e">
        <f>AND(#REF!,"AAAAAD+/2lI=")</f>
        <v>#REF!</v>
      </c>
      <c r="CF591" t="e">
        <f>AND(#REF!,"AAAAAD+/2lM=")</f>
        <v>#REF!</v>
      </c>
      <c r="CG591" t="e">
        <f>IF(#REF!,"AAAAAD+/2lQ=",0)</f>
        <v>#REF!</v>
      </c>
      <c r="CH591" t="e">
        <f>AND(#REF!,"AAAAAD+/2lU=")</f>
        <v>#REF!</v>
      </c>
      <c r="CI591" t="e">
        <f>AND(#REF!,"AAAAAD+/2lY=")</f>
        <v>#REF!</v>
      </c>
      <c r="CJ591" t="e">
        <f>AND(#REF!,"AAAAAD+/2lc=")</f>
        <v>#REF!</v>
      </c>
      <c r="CK591" t="e">
        <f>AND(#REF!,"AAAAAD+/2lg=")</f>
        <v>#REF!</v>
      </c>
      <c r="CL591" t="e">
        <f>AND(#REF!,"AAAAAD+/2lk=")</f>
        <v>#REF!</v>
      </c>
      <c r="CM591" t="e">
        <f>AND(#REF!,"AAAAAD+/2lo=")</f>
        <v>#REF!</v>
      </c>
      <c r="CN591" t="e">
        <f>AND(#REF!,"AAAAAD+/2ls=")</f>
        <v>#REF!</v>
      </c>
      <c r="CO591" t="e">
        <f>AND(#REF!,"AAAAAD+/2lw=")</f>
        <v>#REF!</v>
      </c>
      <c r="CP591" t="e">
        <f>AND(#REF!,"AAAAAD+/2l0=")</f>
        <v>#REF!</v>
      </c>
      <c r="CQ591" t="e">
        <f>AND(#REF!,"AAAAAD+/2l4=")</f>
        <v>#REF!</v>
      </c>
      <c r="CR591" t="e">
        <f>AND(#REF!,"AAAAAD+/2l8=")</f>
        <v>#REF!</v>
      </c>
      <c r="CS591" t="e">
        <f>IF(#REF!,"AAAAAD+/2mA=",0)</f>
        <v>#REF!</v>
      </c>
      <c r="CT591" t="e">
        <f>AND(#REF!,"AAAAAD+/2mE=")</f>
        <v>#REF!</v>
      </c>
      <c r="CU591" t="e">
        <f>AND(#REF!,"AAAAAD+/2mI=")</f>
        <v>#REF!</v>
      </c>
      <c r="CV591" t="e">
        <f>AND(#REF!,"AAAAAD+/2mM=")</f>
        <v>#REF!</v>
      </c>
      <c r="CW591" t="e">
        <f>AND(#REF!,"AAAAAD+/2mQ=")</f>
        <v>#REF!</v>
      </c>
      <c r="CX591" t="e">
        <f>AND(#REF!,"AAAAAD+/2mU=")</f>
        <v>#REF!</v>
      </c>
      <c r="CY591" t="e">
        <f>AND(#REF!,"AAAAAD+/2mY=")</f>
        <v>#REF!</v>
      </c>
      <c r="CZ591" t="e">
        <f>AND(#REF!,"AAAAAD+/2mc=")</f>
        <v>#REF!</v>
      </c>
      <c r="DA591" t="e">
        <f>AND(#REF!,"AAAAAD+/2mg=")</f>
        <v>#REF!</v>
      </c>
      <c r="DB591" t="e">
        <f>AND(#REF!,"AAAAAD+/2mk=")</f>
        <v>#REF!</v>
      </c>
      <c r="DC591" t="e">
        <f>AND(#REF!,"AAAAAD+/2mo=")</f>
        <v>#REF!</v>
      </c>
      <c r="DD591" t="e">
        <f>AND(#REF!,"AAAAAD+/2ms=")</f>
        <v>#REF!</v>
      </c>
      <c r="DE591" t="e">
        <f>IF(#REF!,"AAAAAD+/2mw=",0)</f>
        <v>#REF!</v>
      </c>
      <c r="DF591" t="e">
        <f>AND(#REF!,"AAAAAD+/2m0=")</f>
        <v>#REF!</v>
      </c>
      <c r="DG591" t="e">
        <f>AND(#REF!,"AAAAAD+/2m4=")</f>
        <v>#REF!</v>
      </c>
      <c r="DH591" t="e">
        <f>AND(#REF!,"AAAAAD+/2m8=")</f>
        <v>#REF!</v>
      </c>
      <c r="DI591" t="e">
        <f>AND(#REF!,"AAAAAD+/2nA=")</f>
        <v>#REF!</v>
      </c>
      <c r="DJ591" t="e">
        <f>AND(#REF!,"AAAAAD+/2nE=")</f>
        <v>#REF!</v>
      </c>
      <c r="DK591" t="e">
        <f>AND(#REF!,"AAAAAD+/2nI=")</f>
        <v>#REF!</v>
      </c>
      <c r="DL591" t="e">
        <f>AND(#REF!,"AAAAAD+/2nM=")</f>
        <v>#REF!</v>
      </c>
      <c r="DM591" t="e">
        <f>AND(#REF!,"AAAAAD+/2nQ=")</f>
        <v>#REF!</v>
      </c>
      <c r="DN591" t="e">
        <f>AND(#REF!,"AAAAAD+/2nU=")</f>
        <v>#REF!</v>
      </c>
      <c r="DO591" t="e">
        <f>AND(#REF!,"AAAAAD+/2nY=")</f>
        <v>#REF!</v>
      </c>
      <c r="DP591" t="e">
        <f>AND(#REF!,"AAAAAD+/2nc=")</f>
        <v>#REF!</v>
      </c>
      <c r="DQ591" t="e">
        <f>IF(#REF!,"AAAAAD+/2ng=",0)</f>
        <v>#REF!</v>
      </c>
      <c r="DR591" t="e">
        <f>AND(#REF!,"AAAAAD+/2nk=")</f>
        <v>#REF!</v>
      </c>
      <c r="DS591" t="e">
        <f>AND(#REF!,"AAAAAD+/2no=")</f>
        <v>#REF!</v>
      </c>
      <c r="DT591" t="e">
        <f>AND(#REF!,"AAAAAD+/2ns=")</f>
        <v>#REF!</v>
      </c>
      <c r="DU591" t="e">
        <f>AND(#REF!,"AAAAAD+/2nw=")</f>
        <v>#REF!</v>
      </c>
      <c r="DV591" t="e">
        <f>AND(#REF!,"AAAAAD+/2n0=")</f>
        <v>#REF!</v>
      </c>
      <c r="DW591" t="e">
        <f>AND(#REF!,"AAAAAD+/2n4=")</f>
        <v>#REF!</v>
      </c>
      <c r="DX591" t="e">
        <f>AND(#REF!,"AAAAAD+/2n8=")</f>
        <v>#REF!</v>
      </c>
      <c r="DY591" t="e">
        <f>AND(#REF!,"AAAAAD+/2oA=")</f>
        <v>#REF!</v>
      </c>
      <c r="DZ591" t="e">
        <f>AND(#REF!,"AAAAAD+/2oE=")</f>
        <v>#REF!</v>
      </c>
      <c r="EA591" t="e">
        <f>AND(#REF!,"AAAAAD+/2oI=")</f>
        <v>#REF!</v>
      </c>
      <c r="EB591" t="e">
        <f>AND(#REF!,"AAAAAD+/2oM=")</f>
        <v>#REF!</v>
      </c>
      <c r="EC591" t="e">
        <f>IF(#REF!,"AAAAAD+/2oQ=",0)</f>
        <v>#REF!</v>
      </c>
      <c r="ED591" t="e">
        <f>AND(#REF!,"AAAAAD+/2oU=")</f>
        <v>#REF!</v>
      </c>
      <c r="EE591" t="e">
        <f>AND(#REF!,"AAAAAD+/2oY=")</f>
        <v>#REF!</v>
      </c>
      <c r="EF591" t="e">
        <f>AND(#REF!,"AAAAAD+/2oc=")</f>
        <v>#REF!</v>
      </c>
      <c r="EG591" t="e">
        <f>AND(#REF!,"AAAAAD+/2og=")</f>
        <v>#REF!</v>
      </c>
      <c r="EH591" t="e">
        <f>AND(#REF!,"AAAAAD+/2ok=")</f>
        <v>#REF!</v>
      </c>
      <c r="EI591" t="e">
        <f>AND(#REF!,"AAAAAD+/2oo=")</f>
        <v>#REF!</v>
      </c>
      <c r="EJ591" t="e">
        <f>AND(#REF!,"AAAAAD+/2os=")</f>
        <v>#REF!</v>
      </c>
      <c r="EK591" t="e">
        <f>AND(#REF!,"AAAAAD+/2ow=")</f>
        <v>#REF!</v>
      </c>
      <c r="EL591" t="e">
        <f>AND(#REF!,"AAAAAD+/2o0=")</f>
        <v>#REF!</v>
      </c>
      <c r="EM591" t="e">
        <f>AND(#REF!,"AAAAAD+/2o4=")</f>
        <v>#REF!</v>
      </c>
      <c r="EN591" t="e">
        <f>AND(#REF!,"AAAAAD+/2o8=")</f>
        <v>#REF!</v>
      </c>
      <c r="EO591" t="e">
        <f>IF(#REF!,"AAAAAD+/2pA=",0)</f>
        <v>#REF!</v>
      </c>
      <c r="EP591" t="e">
        <f>AND(#REF!,"AAAAAD+/2pE=")</f>
        <v>#REF!</v>
      </c>
      <c r="EQ591" t="e">
        <f>AND(#REF!,"AAAAAD+/2pI=")</f>
        <v>#REF!</v>
      </c>
      <c r="ER591" t="e">
        <f>AND(#REF!,"AAAAAD+/2pM=")</f>
        <v>#REF!</v>
      </c>
      <c r="ES591" t="e">
        <f>AND(#REF!,"AAAAAD+/2pQ=")</f>
        <v>#REF!</v>
      </c>
      <c r="ET591" t="e">
        <f>AND(#REF!,"AAAAAD+/2pU=")</f>
        <v>#REF!</v>
      </c>
      <c r="EU591" t="e">
        <f>AND(#REF!,"AAAAAD+/2pY=")</f>
        <v>#REF!</v>
      </c>
      <c r="EV591" t="e">
        <f>AND(#REF!,"AAAAAD+/2pc=")</f>
        <v>#REF!</v>
      </c>
      <c r="EW591" t="e">
        <f>AND(#REF!,"AAAAAD+/2pg=")</f>
        <v>#REF!</v>
      </c>
      <c r="EX591" t="e">
        <f>AND(#REF!,"AAAAAD+/2pk=")</f>
        <v>#REF!</v>
      </c>
      <c r="EY591" t="e">
        <f>AND(#REF!,"AAAAAD+/2po=")</f>
        <v>#REF!</v>
      </c>
      <c r="EZ591" t="e">
        <f>AND(#REF!,"AAAAAD+/2ps=")</f>
        <v>#REF!</v>
      </c>
      <c r="FA591" t="e">
        <f>IF(#REF!,"AAAAAD+/2pw=",0)</f>
        <v>#REF!</v>
      </c>
      <c r="FB591" t="e">
        <f>AND(#REF!,"AAAAAD+/2p0=")</f>
        <v>#REF!</v>
      </c>
      <c r="FC591" t="e">
        <f>AND(#REF!,"AAAAAD+/2p4=")</f>
        <v>#REF!</v>
      </c>
      <c r="FD591" t="e">
        <f>AND(#REF!,"AAAAAD+/2p8=")</f>
        <v>#REF!</v>
      </c>
      <c r="FE591" t="e">
        <f>AND(#REF!,"AAAAAD+/2qA=")</f>
        <v>#REF!</v>
      </c>
      <c r="FF591" t="e">
        <f>AND(#REF!,"AAAAAD+/2qE=")</f>
        <v>#REF!</v>
      </c>
      <c r="FG591" t="e">
        <f>AND(#REF!,"AAAAAD+/2qI=")</f>
        <v>#REF!</v>
      </c>
      <c r="FH591" t="e">
        <f>AND(#REF!,"AAAAAD+/2qM=")</f>
        <v>#REF!</v>
      </c>
      <c r="FI591" t="e">
        <f>AND(#REF!,"AAAAAD+/2qQ=")</f>
        <v>#REF!</v>
      </c>
      <c r="FJ591" t="e">
        <f>AND(#REF!,"AAAAAD+/2qU=")</f>
        <v>#REF!</v>
      </c>
      <c r="FK591" t="e">
        <f>AND(#REF!,"AAAAAD+/2qY=")</f>
        <v>#REF!</v>
      </c>
      <c r="FL591" t="e">
        <f>AND(#REF!,"AAAAAD+/2qc=")</f>
        <v>#REF!</v>
      </c>
      <c r="FM591" t="e">
        <f>IF(#REF!,"AAAAAD+/2qg=",0)</f>
        <v>#REF!</v>
      </c>
      <c r="FN591" t="e">
        <f>AND(#REF!,"AAAAAD+/2qk=")</f>
        <v>#REF!</v>
      </c>
      <c r="FO591" t="e">
        <f>AND(#REF!,"AAAAAD+/2qo=")</f>
        <v>#REF!</v>
      </c>
      <c r="FP591" t="e">
        <f>AND(#REF!,"AAAAAD+/2qs=")</f>
        <v>#REF!</v>
      </c>
      <c r="FQ591" t="e">
        <f>AND(#REF!,"AAAAAD+/2qw=")</f>
        <v>#REF!</v>
      </c>
      <c r="FR591" t="e">
        <f>AND(#REF!,"AAAAAD+/2q0=")</f>
        <v>#REF!</v>
      </c>
      <c r="FS591" t="e">
        <f>AND(#REF!,"AAAAAD+/2q4=")</f>
        <v>#REF!</v>
      </c>
      <c r="FT591" t="e">
        <f>AND(#REF!,"AAAAAD+/2q8=")</f>
        <v>#REF!</v>
      </c>
      <c r="FU591" t="e">
        <f>AND(#REF!,"AAAAAD+/2rA=")</f>
        <v>#REF!</v>
      </c>
      <c r="FV591" t="e">
        <f>AND(#REF!,"AAAAAD+/2rE=")</f>
        <v>#REF!</v>
      </c>
      <c r="FW591" t="e">
        <f>AND(#REF!,"AAAAAD+/2rI=")</f>
        <v>#REF!</v>
      </c>
      <c r="FX591" t="e">
        <f>AND(#REF!,"AAAAAD+/2rM=")</f>
        <v>#REF!</v>
      </c>
      <c r="FY591" t="e">
        <f>IF(#REF!,"AAAAAD+/2rQ=",0)</f>
        <v>#REF!</v>
      </c>
      <c r="FZ591" t="e">
        <f>AND(#REF!,"AAAAAD+/2rU=")</f>
        <v>#REF!</v>
      </c>
      <c r="GA591" t="e">
        <f>AND(#REF!,"AAAAAD+/2rY=")</f>
        <v>#REF!</v>
      </c>
      <c r="GB591" t="e">
        <f>AND(#REF!,"AAAAAD+/2rc=")</f>
        <v>#REF!</v>
      </c>
      <c r="GC591" t="e">
        <f>AND(#REF!,"AAAAAD+/2rg=")</f>
        <v>#REF!</v>
      </c>
      <c r="GD591" t="e">
        <f>AND(#REF!,"AAAAAD+/2rk=")</f>
        <v>#REF!</v>
      </c>
      <c r="GE591" t="e">
        <f>AND(#REF!,"AAAAAD+/2ro=")</f>
        <v>#REF!</v>
      </c>
      <c r="GF591" t="e">
        <f>AND(#REF!,"AAAAAD+/2rs=")</f>
        <v>#REF!</v>
      </c>
      <c r="GG591" t="e">
        <f>AND(#REF!,"AAAAAD+/2rw=")</f>
        <v>#REF!</v>
      </c>
      <c r="GH591" t="e">
        <f>AND(#REF!,"AAAAAD+/2r0=")</f>
        <v>#REF!</v>
      </c>
      <c r="GI591" t="e">
        <f>AND(#REF!,"AAAAAD+/2r4=")</f>
        <v>#REF!</v>
      </c>
      <c r="GJ591" t="e">
        <f>AND(#REF!,"AAAAAD+/2r8=")</f>
        <v>#REF!</v>
      </c>
      <c r="GK591" t="e">
        <f>IF(#REF!,"AAAAAD+/2sA=",0)</f>
        <v>#REF!</v>
      </c>
      <c r="GL591" t="e">
        <f>AND(#REF!,"AAAAAD+/2sE=")</f>
        <v>#REF!</v>
      </c>
      <c r="GM591" t="e">
        <f>AND(#REF!,"AAAAAD+/2sI=")</f>
        <v>#REF!</v>
      </c>
      <c r="GN591" t="e">
        <f>AND(#REF!,"AAAAAD+/2sM=")</f>
        <v>#REF!</v>
      </c>
      <c r="GO591" t="e">
        <f>AND(#REF!,"AAAAAD+/2sQ=")</f>
        <v>#REF!</v>
      </c>
      <c r="GP591" t="e">
        <f>AND(#REF!,"AAAAAD+/2sU=")</f>
        <v>#REF!</v>
      </c>
      <c r="GQ591" t="e">
        <f>AND(#REF!,"AAAAAD+/2sY=")</f>
        <v>#REF!</v>
      </c>
      <c r="GR591" t="e">
        <f>AND(#REF!,"AAAAAD+/2sc=")</f>
        <v>#REF!</v>
      </c>
      <c r="GS591" t="e">
        <f>AND(#REF!,"AAAAAD+/2sg=")</f>
        <v>#REF!</v>
      </c>
      <c r="GT591" t="e">
        <f>AND(#REF!,"AAAAAD+/2sk=")</f>
        <v>#REF!</v>
      </c>
      <c r="GU591" t="e">
        <f>AND(#REF!,"AAAAAD+/2so=")</f>
        <v>#REF!</v>
      </c>
      <c r="GV591" t="e">
        <f>AND(#REF!,"AAAAAD+/2ss=")</f>
        <v>#REF!</v>
      </c>
      <c r="GW591" t="e">
        <f>IF(#REF!,"AAAAAD+/2sw=",0)</f>
        <v>#REF!</v>
      </c>
      <c r="GX591" t="e">
        <f>AND(#REF!,"AAAAAD+/2s0=")</f>
        <v>#REF!</v>
      </c>
      <c r="GY591" t="e">
        <f>AND(#REF!,"AAAAAD+/2s4=")</f>
        <v>#REF!</v>
      </c>
      <c r="GZ591" t="e">
        <f>AND(#REF!,"AAAAAD+/2s8=")</f>
        <v>#REF!</v>
      </c>
      <c r="HA591" t="e">
        <f>AND(#REF!,"AAAAAD+/2tA=")</f>
        <v>#REF!</v>
      </c>
      <c r="HB591" t="e">
        <f>AND(#REF!,"AAAAAD+/2tE=")</f>
        <v>#REF!</v>
      </c>
      <c r="HC591" t="e">
        <f>AND(#REF!,"AAAAAD+/2tI=")</f>
        <v>#REF!</v>
      </c>
      <c r="HD591" t="e">
        <f>AND(#REF!,"AAAAAD+/2tM=")</f>
        <v>#REF!</v>
      </c>
      <c r="HE591" t="e">
        <f>AND(#REF!,"AAAAAD+/2tQ=")</f>
        <v>#REF!</v>
      </c>
      <c r="HF591" t="e">
        <f>AND(#REF!,"AAAAAD+/2tU=")</f>
        <v>#REF!</v>
      </c>
      <c r="HG591" t="e">
        <f>AND(#REF!,"AAAAAD+/2tY=")</f>
        <v>#REF!</v>
      </c>
      <c r="HH591" t="e">
        <f>AND(#REF!,"AAAAAD+/2tc=")</f>
        <v>#REF!</v>
      </c>
      <c r="HI591" t="e">
        <f>IF(#REF!,"AAAAAD+/2tg=",0)</f>
        <v>#REF!</v>
      </c>
      <c r="HJ591" t="e">
        <f>AND(#REF!,"AAAAAD+/2tk=")</f>
        <v>#REF!</v>
      </c>
      <c r="HK591" t="e">
        <f>AND(#REF!,"AAAAAD+/2to=")</f>
        <v>#REF!</v>
      </c>
      <c r="HL591" t="e">
        <f>AND(#REF!,"AAAAAD+/2ts=")</f>
        <v>#REF!</v>
      </c>
      <c r="HM591" t="e">
        <f>AND(#REF!,"AAAAAD+/2tw=")</f>
        <v>#REF!</v>
      </c>
      <c r="HN591" t="e">
        <f>AND(#REF!,"AAAAAD+/2t0=")</f>
        <v>#REF!</v>
      </c>
      <c r="HO591" t="e">
        <f>AND(#REF!,"AAAAAD+/2t4=")</f>
        <v>#REF!</v>
      </c>
      <c r="HP591" t="e">
        <f>AND(#REF!,"AAAAAD+/2t8=")</f>
        <v>#REF!</v>
      </c>
      <c r="HQ591" t="e">
        <f>AND(#REF!,"AAAAAD+/2uA=")</f>
        <v>#REF!</v>
      </c>
      <c r="HR591" t="e">
        <f>AND(#REF!,"AAAAAD+/2uE=")</f>
        <v>#REF!</v>
      </c>
      <c r="HS591" t="e">
        <f>AND(#REF!,"AAAAAD+/2uI=")</f>
        <v>#REF!</v>
      </c>
      <c r="HT591" t="e">
        <f>AND(#REF!,"AAAAAD+/2uM=")</f>
        <v>#REF!</v>
      </c>
      <c r="HU591" t="e">
        <f>IF(#REF!,"AAAAAD+/2uQ=",0)</f>
        <v>#REF!</v>
      </c>
      <c r="HV591" t="e">
        <f>AND(#REF!,"AAAAAD+/2uU=")</f>
        <v>#REF!</v>
      </c>
      <c r="HW591" t="e">
        <f>AND(#REF!,"AAAAAD+/2uY=")</f>
        <v>#REF!</v>
      </c>
      <c r="HX591" t="e">
        <f>AND(#REF!,"AAAAAD+/2uc=")</f>
        <v>#REF!</v>
      </c>
      <c r="HY591" t="e">
        <f>AND(#REF!,"AAAAAD+/2ug=")</f>
        <v>#REF!</v>
      </c>
      <c r="HZ591" t="e">
        <f>AND(#REF!,"AAAAAD+/2uk=")</f>
        <v>#REF!</v>
      </c>
      <c r="IA591" t="e">
        <f>AND(#REF!,"AAAAAD+/2uo=")</f>
        <v>#REF!</v>
      </c>
      <c r="IB591" t="e">
        <f>AND(#REF!,"AAAAAD+/2us=")</f>
        <v>#REF!</v>
      </c>
      <c r="IC591" t="e">
        <f>AND(#REF!,"AAAAAD+/2uw=")</f>
        <v>#REF!</v>
      </c>
      <c r="ID591" t="e">
        <f>AND(#REF!,"AAAAAD+/2u0=")</f>
        <v>#REF!</v>
      </c>
      <c r="IE591" t="e">
        <f>AND(#REF!,"AAAAAD+/2u4=")</f>
        <v>#REF!</v>
      </c>
      <c r="IF591" t="e">
        <f>AND(#REF!,"AAAAAD+/2u8=")</f>
        <v>#REF!</v>
      </c>
      <c r="IG591" t="e">
        <f>IF(#REF!,"AAAAAD+/2vA=",0)</f>
        <v>#REF!</v>
      </c>
      <c r="IH591" t="e">
        <f>AND(#REF!,"AAAAAD+/2vE=")</f>
        <v>#REF!</v>
      </c>
      <c r="II591" t="e">
        <f>AND(#REF!,"AAAAAD+/2vI=")</f>
        <v>#REF!</v>
      </c>
      <c r="IJ591" t="e">
        <f>AND(#REF!,"AAAAAD+/2vM=")</f>
        <v>#REF!</v>
      </c>
      <c r="IK591" t="e">
        <f>AND(#REF!,"AAAAAD+/2vQ=")</f>
        <v>#REF!</v>
      </c>
      <c r="IL591" t="e">
        <f>AND(#REF!,"AAAAAD+/2vU=")</f>
        <v>#REF!</v>
      </c>
      <c r="IM591" t="e">
        <f>AND(#REF!,"AAAAAD+/2vY=")</f>
        <v>#REF!</v>
      </c>
      <c r="IN591" t="e">
        <f>AND(#REF!,"AAAAAD+/2vc=")</f>
        <v>#REF!</v>
      </c>
      <c r="IO591" t="e">
        <f>AND(#REF!,"AAAAAD+/2vg=")</f>
        <v>#REF!</v>
      </c>
      <c r="IP591" t="e">
        <f>AND(#REF!,"AAAAAD+/2vk=")</f>
        <v>#REF!</v>
      </c>
      <c r="IQ591" t="e">
        <f>AND(#REF!,"AAAAAD+/2vo=")</f>
        <v>#REF!</v>
      </c>
      <c r="IR591" t="e">
        <f>AND(#REF!,"AAAAAD+/2vs=")</f>
        <v>#REF!</v>
      </c>
      <c r="IS591" t="e">
        <f>IF(#REF!,"AAAAAD+/2vw=",0)</f>
        <v>#REF!</v>
      </c>
      <c r="IT591" t="e">
        <f>AND(#REF!,"AAAAAD+/2v0=")</f>
        <v>#REF!</v>
      </c>
      <c r="IU591" t="e">
        <f>AND(#REF!,"AAAAAD+/2v4=")</f>
        <v>#REF!</v>
      </c>
      <c r="IV591" t="e">
        <f>AND(#REF!,"AAAAAD+/2v8=")</f>
        <v>#REF!</v>
      </c>
    </row>
    <row r="592" spans="1:256">
      <c r="A592" t="e">
        <f>AND(#REF!,"AAAAAHy2+gA=")</f>
        <v>#REF!</v>
      </c>
      <c r="B592" t="e">
        <f>AND(#REF!,"AAAAAHy2+gE=")</f>
        <v>#REF!</v>
      </c>
      <c r="C592" t="e">
        <f>AND(#REF!,"AAAAAHy2+gI=")</f>
        <v>#REF!</v>
      </c>
      <c r="D592" t="e">
        <f>AND(#REF!,"AAAAAHy2+gM=")</f>
        <v>#REF!</v>
      </c>
      <c r="E592" t="e">
        <f>AND(#REF!,"AAAAAHy2+gQ=")</f>
        <v>#REF!</v>
      </c>
      <c r="F592" t="e">
        <f>AND(#REF!,"AAAAAHy2+gU=")</f>
        <v>#REF!</v>
      </c>
      <c r="G592" t="e">
        <f>AND(#REF!,"AAAAAHy2+gY=")</f>
        <v>#REF!</v>
      </c>
      <c r="H592" t="e">
        <f>AND(#REF!,"AAAAAHy2+gc=")</f>
        <v>#REF!</v>
      </c>
      <c r="I592" t="e">
        <f>IF(#REF!,"AAAAAHy2+gg=",0)</f>
        <v>#REF!</v>
      </c>
      <c r="J592" t="e">
        <f>AND(#REF!,"AAAAAHy2+gk=")</f>
        <v>#REF!</v>
      </c>
      <c r="K592" t="e">
        <f>AND(#REF!,"AAAAAHy2+go=")</f>
        <v>#REF!</v>
      </c>
      <c r="L592" t="e">
        <f>AND(#REF!,"AAAAAHy2+gs=")</f>
        <v>#REF!</v>
      </c>
      <c r="M592" t="e">
        <f>AND(#REF!,"AAAAAHy2+gw=")</f>
        <v>#REF!</v>
      </c>
      <c r="N592" t="e">
        <f>AND(#REF!,"AAAAAHy2+g0=")</f>
        <v>#REF!</v>
      </c>
      <c r="O592" t="e">
        <f>AND(#REF!,"AAAAAHy2+g4=")</f>
        <v>#REF!</v>
      </c>
      <c r="P592" t="e">
        <f>AND(#REF!,"AAAAAHy2+g8=")</f>
        <v>#REF!</v>
      </c>
      <c r="Q592" t="e">
        <f>AND(#REF!,"AAAAAHy2+hA=")</f>
        <v>#REF!</v>
      </c>
      <c r="R592" t="e">
        <f>AND(#REF!,"AAAAAHy2+hE=")</f>
        <v>#REF!</v>
      </c>
      <c r="S592" t="e">
        <f>AND(#REF!,"AAAAAHy2+hI=")</f>
        <v>#REF!</v>
      </c>
      <c r="T592" t="e">
        <f>AND(#REF!,"AAAAAHy2+hM=")</f>
        <v>#REF!</v>
      </c>
      <c r="U592" t="e">
        <f>IF(#REF!,"AAAAAHy2+hQ=",0)</f>
        <v>#REF!</v>
      </c>
      <c r="V592" t="e">
        <f>AND(#REF!,"AAAAAHy2+hU=")</f>
        <v>#REF!</v>
      </c>
      <c r="W592" t="e">
        <f>AND(#REF!,"AAAAAHy2+hY=")</f>
        <v>#REF!</v>
      </c>
      <c r="X592" t="e">
        <f>AND(#REF!,"AAAAAHy2+hc=")</f>
        <v>#REF!</v>
      </c>
      <c r="Y592" t="e">
        <f>AND(#REF!,"AAAAAHy2+hg=")</f>
        <v>#REF!</v>
      </c>
      <c r="Z592" t="e">
        <f>AND(#REF!,"AAAAAHy2+hk=")</f>
        <v>#REF!</v>
      </c>
      <c r="AA592" t="e">
        <f>AND(#REF!,"AAAAAHy2+ho=")</f>
        <v>#REF!</v>
      </c>
      <c r="AB592" t="e">
        <f>AND(#REF!,"AAAAAHy2+hs=")</f>
        <v>#REF!</v>
      </c>
      <c r="AC592" t="e">
        <f>AND(#REF!,"AAAAAHy2+hw=")</f>
        <v>#REF!</v>
      </c>
      <c r="AD592" t="e">
        <f>AND(#REF!,"AAAAAHy2+h0=")</f>
        <v>#REF!</v>
      </c>
      <c r="AE592" t="e">
        <f>AND(#REF!,"AAAAAHy2+h4=")</f>
        <v>#REF!</v>
      </c>
      <c r="AF592" t="e">
        <f>AND(#REF!,"AAAAAHy2+h8=")</f>
        <v>#REF!</v>
      </c>
      <c r="AG592" t="e">
        <f>IF(#REF!,"AAAAAHy2+iA=",0)</f>
        <v>#REF!</v>
      </c>
      <c r="AH592" t="e">
        <f>AND(#REF!,"AAAAAHy2+iE=")</f>
        <v>#REF!</v>
      </c>
      <c r="AI592" t="e">
        <f>AND(#REF!,"AAAAAHy2+iI=")</f>
        <v>#REF!</v>
      </c>
      <c r="AJ592" t="e">
        <f>AND(#REF!,"AAAAAHy2+iM=")</f>
        <v>#REF!</v>
      </c>
      <c r="AK592" t="e">
        <f>AND(#REF!,"AAAAAHy2+iQ=")</f>
        <v>#REF!</v>
      </c>
      <c r="AL592" t="e">
        <f>AND(#REF!,"AAAAAHy2+iU=")</f>
        <v>#REF!</v>
      </c>
      <c r="AM592" t="e">
        <f>AND(#REF!,"AAAAAHy2+iY=")</f>
        <v>#REF!</v>
      </c>
      <c r="AN592" t="e">
        <f>AND(#REF!,"AAAAAHy2+ic=")</f>
        <v>#REF!</v>
      </c>
      <c r="AO592" t="e">
        <f>AND(#REF!,"AAAAAHy2+ig=")</f>
        <v>#REF!</v>
      </c>
      <c r="AP592" t="e">
        <f>AND(#REF!,"AAAAAHy2+ik=")</f>
        <v>#REF!</v>
      </c>
      <c r="AQ592" t="e">
        <f>AND(#REF!,"AAAAAHy2+io=")</f>
        <v>#REF!</v>
      </c>
      <c r="AR592" t="e">
        <f>AND(#REF!,"AAAAAHy2+is=")</f>
        <v>#REF!</v>
      </c>
      <c r="AS592" t="e">
        <f>IF(#REF!,"AAAAAHy2+iw=",0)</f>
        <v>#REF!</v>
      </c>
      <c r="AT592" t="e">
        <f>AND(#REF!,"AAAAAHy2+i0=")</f>
        <v>#REF!</v>
      </c>
      <c r="AU592" t="e">
        <f>AND(#REF!,"AAAAAHy2+i4=")</f>
        <v>#REF!</v>
      </c>
      <c r="AV592" t="e">
        <f>AND(#REF!,"AAAAAHy2+i8=")</f>
        <v>#REF!</v>
      </c>
      <c r="AW592" t="e">
        <f>AND(#REF!,"AAAAAHy2+jA=")</f>
        <v>#REF!</v>
      </c>
      <c r="AX592" t="e">
        <f>AND(#REF!,"AAAAAHy2+jE=")</f>
        <v>#REF!</v>
      </c>
      <c r="AY592" t="e">
        <f>AND(#REF!,"AAAAAHy2+jI=")</f>
        <v>#REF!</v>
      </c>
      <c r="AZ592" t="e">
        <f>AND(#REF!,"AAAAAHy2+jM=")</f>
        <v>#REF!</v>
      </c>
      <c r="BA592" t="e">
        <f>AND(#REF!,"AAAAAHy2+jQ=")</f>
        <v>#REF!</v>
      </c>
      <c r="BB592" t="e">
        <f>AND(#REF!,"AAAAAHy2+jU=")</f>
        <v>#REF!</v>
      </c>
      <c r="BC592" t="e">
        <f>AND(#REF!,"AAAAAHy2+jY=")</f>
        <v>#REF!</v>
      </c>
      <c r="BD592" t="e">
        <f>AND(#REF!,"AAAAAHy2+jc=")</f>
        <v>#REF!</v>
      </c>
      <c r="BE592" t="e">
        <f>IF(#REF!,"AAAAAHy2+jg=",0)</f>
        <v>#REF!</v>
      </c>
      <c r="BF592" t="e">
        <f>AND(#REF!,"AAAAAHy2+jk=")</f>
        <v>#REF!</v>
      </c>
      <c r="BG592" t="e">
        <f>AND(#REF!,"AAAAAHy2+jo=")</f>
        <v>#REF!</v>
      </c>
      <c r="BH592" t="e">
        <f>AND(#REF!,"AAAAAHy2+js=")</f>
        <v>#REF!</v>
      </c>
      <c r="BI592" t="e">
        <f>AND(#REF!,"AAAAAHy2+jw=")</f>
        <v>#REF!</v>
      </c>
      <c r="BJ592" t="e">
        <f>AND(#REF!,"AAAAAHy2+j0=")</f>
        <v>#REF!</v>
      </c>
      <c r="BK592" t="e">
        <f>AND(#REF!,"AAAAAHy2+j4=")</f>
        <v>#REF!</v>
      </c>
      <c r="BL592" t="e">
        <f>AND(#REF!,"AAAAAHy2+j8=")</f>
        <v>#REF!</v>
      </c>
      <c r="BM592" t="e">
        <f>AND(#REF!,"AAAAAHy2+kA=")</f>
        <v>#REF!</v>
      </c>
      <c r="BN592" t="e">
        <f>AND(#REF!,"AAAAAHy2+kE=")</f>
        <v>#REF!</v>
      </c>
      <c r="BO592" t="e">
        <f>AND(#REF!,"AAAAAHy2+kI=")</f>
        <v>#REF!</v>
      </c>
      <c r="BP592" t="e">
        <f>AND(#REF!,"AAAAAHy2+kM=")</f>
        <v>#REF!</v>
      </c>
      <c r="BQ592" t="e">
        <f>IF(#REF!,"AAAAAHy2+kQ=",0)</f>
        <v>#REF!</v>
      </c>
      <c r="BR592" t="e">
        <f>AND(#REF!,"AAAAAHy2+kU=")</f>
        <v>#REF!</v>
      </c>
      <c r="BS592" t="e">
        <f>AND(#REF!,"AAAAAHy2+kY=")</f>
        <v>#REF!</v>
      </c>
      <c r="BT592" t="e">
        <f>AND(#REF!,"AAAAAHy2+kc=")</f>
        <v>#REF!</v>
      </c>
      <c r="BU592" t="e">
        <f>AND(#REF!,"AAAAAHy2+kg=")</f>
        <v>#REF!</v>
      </c>
      <c r="BV592" t="e">
        <f>AND(#REF!,"AAAAAHy2+kk=")</f>
        <v>#REF!</v>
      </c>
      <c r="BW592" t="e">
        <f>AND(#REF!,"AAAAAHy2+ko=")</f>
        <v>#REF!</v>
      </c>
      <c r="BX592" t="e">
        <f>AND(#REF!,"AAAAAHy2+ks=")</f>
        <v>#REF!</v>
      </c>
      <c r="BY592" t="e">
        <f>AND(#REF!,"AAAAAHy2+kw=")</f>
        <v>#REF!</v>
      </c>
      <c r="BZ592" t="e">
        <f>AND(#REF!,"AAAAAHy2+k0=")</f>
        <v>#REF!</v>
      </c>
      <c r="CA592" t="e">
        <f>AND(#REF!,"AAAAAHy2+k4=")</f>
        <v>#REF!</v>
      </c>
      <c r="CB592" t="e">
        <f>AND(#REF!,"AAAAAHy2+k8=")</f>
        <v>#REF!</v>
      </c>
      <c r="CC592" t="e">
        <f>IF(#REF!,"AAAAAHy2+lA=",0)</f>
        <v>#REF!</v>
      </c>
      <c r="CD592" t="e">
        <f>AND(#REF!,"AAAAAHy2+lE=")</f>
        <v>#REF!</v>
      </c>
      <c r="CE592" t="e">
        <f>AND(#REF!,"AAAAAHy2+lI=")</f>
        <v>#REF!</v>
      </c>
      <c r="CF592" t="e">
        <f>AND(#REF!,"AAAAAHy2+lM=")</f>
        <v>#REF!</v>
      </c>
      <c r="CG592" t="e">
        <f>AND(#REF!,"AAAAAHy2+lQ=")</f>
        <v>#REF!</v>
      </c>
      <c r="CH592" t="e">
        <f>AND(#REF!,"AAAAAHy2+lU=")</f>
        <v>#REF!</v>
      </c>
      <c r="CI592" t="e">
        <f>AND(#REF!,"AAAAAHy2+lY=")</f>
        <v>#REF!</v>
      </c>
      <c r="CJ592" t="e">
        <f>AND(#REF!,"AAAAAHy2+lc=")</f>
        <v>#REF!</v>
      </c>
      <c r="CK592" t="e">
        <f>AND(#REF!,"AAAAAHy2+lg=")</f>
        <v>#REF!</v>
      </c>
      <c r="CL592" t="e">
        <f>AND(#REF!,"AAAAAHy2+lk=")</f>
        <v>#REF!</v>
      </c>
      <c r="CM592" t="e">
        <f>AND(#REF!,"AAAAAHy2+lo=")</f>
        <v>#REF!</v>
      </c>
      <c r="CN592" t="e">
        <f>AND(#REF!,"AAAAAHy2+ls=")</f>
        <v>#REF!</v>
      </c>
      <c r="CO592" t="e">
        <f>IF(#REF!,"AAAAAHy2+lw=",0)</f>
        <v>#REF!</v>
      </c>
      <c r="CP592" t="e">
        <f>AND(#REF!,"AAAAAHy2+l0=")</f>
        <v>#REF!</v>
      </c>
      <c r="CQ592" t="e">
        <f>AND(#REF!,"AAAAAHy2+l4=")</f>
        <v>#REF!</v>
      </c>
      <c r="CR592" t="e">
        <f>AND(#REF!,"AAAAAHy2+l8=")</f>
        <v>#REF!</v>
      </c>
      <c r="CS592" t="e">
        <f>AND(#REF!,"AAAAAHy2+mA=")</f>
        <v>#REF!</v>
      </c>
      <c r="CT592" t="e">
        <f>AND(#REF!,"AAAAAHy2+mE=")</f>
        <v>#REF!</v>
      </c>
      <c r="CU592" t="e">
        <f>AND(#REF!,"AAAAAHy2+mI=")</f>
        <v>#REF!</v>
      </c>
      <c r="CV592" t="e">
        <f>AND(#REF!,"AAAAAHy2+mM=")</f>
        <v>#REF!</v>
      </c>
      <c r="CW592" t="e">
        <f>AND(#REF!,"AAAAAHy2+mQ=")</f>
        <v>#REF!</v>
      </c>
      <c r="CX592" t="e">
        <f>AND(#REF!,"AAAAAHy2+mU=")</f>
        <v>#REF!</v>
      </c>
      <c r="CY592" t="e">
        <f>AND(#REF!,"AAAAAHy2+mY=")</f>
        <v>#REF!</v>
      </c>
      <c r="CZ592" t="e">
        <f>AND(#REF!,"AAAAAHy2+mc=")</f>
        <v>#REF!</v>
      </c>
      <c r="DA592" t="e">
        <f>IF(#REF!,"AAAAAHy2+mg=",0)</f>
        <v>#REF!</v>
      </c>
      <c r="DB592" t="e">
        <f>AND(#REF!,"AAAAAHy2+mk=")</f>
        <v>#REF!</v>
      </c>
      <c r="DC592" t="e">
        <f>AND(#REF!,"AAAAAHy2+mo=")</f>
        <v>#REF!</v>
      </c>
      <c r="DD592" t="e">
        <f>AND(#REF!,"AAAAAHy2+ms=")</f>
        <v>#REF!</v>
      </c>
      <c r="DE592" t="e">
        <f>AND(#REF!,"AAAAAHy2+mw=")</f>
        <v>#REF!</v>
      </c>
      <c r="DF592" t="e">
        <f>AND(#REF!,"AAAAAHy2+m0=")</f>
        <v>#REF!</v>
      </c>
      <c r="DG592" t="e">
        <f>AND(#REF!,"AAAAAHy2+m4=")</f>
        <v>#REF!</v>
      </c>
      <c r="DH592" t="e">
        <f>AND(#REF!,"AAAAAHy2+m8=")</f>
        <v>#REF!</v>
      </c>
      <c r="DI592" t="e">
        <f>AND(#REF!,"AAAAAHy2+nA=")</f>
        <v>#REF!</v>
      </c>
      <c r="DJ592" t="e">
        <f>AND(#REF!,"AAAAAHy2+nE=")</f>
        <v>#REF!</v>
      </c>
      <c r="DK592" t="e">
        <f>AND(#REF!,"AAAAAHy2+nI=")</f>
        <v>#REF!</v>
      </c>
      <c r="DL592" t="e">
        <f>AND(#REF!,"AAAAAHy2+nM=")</f>
        <v>#REF!</v>
      </c>
      <c r="DM592" t="e">
        <f>IF(#REF!,"AAAAAHy2+nQ=",0)</f>
        <v>#REF!</v>
      </c>
      <c r="DN592" t="e">
        <f>AND(#REF!,"AAAAAHy2+nU=")</f>
        <v>#REF!</v>
      </c>
      <c r="DO592" t="e">
        <f>AND(#REF!,"AAAAAHy2+nY=")</f>
        <v>#REF!</v>
      </c>
      <c r="DP592" t="e">
        <f>AND(#REF!,"AAAAAHy2+nc=")</f>
        <v>#REF!</v>
      </c>
      <c r="DQ592" t="e">
        <f>AND(#REF!,"AAAAAHy2+ng=")</f>
        <v>#REF!</v>
      </c>
      <c r="DR592" t="e">
        <f>AND(#REF!,"AAAAAHy2+nk=")</f>
        <v>#REF!</v>
      </c>
      <c r="DS592" t="e">
        <f>AND(#REF!,"AAAAAHy2+no=")</f>
        <v>#REF!</v>
      </c>
      <c r="DT592" t="e">
        <f>AND(#REF!,"AAAAAHy2+ns=")</f>
        <v>#REF!</v>
      </c>
      <c r="DU592" t="e">
        <f>AND(#REF!,"AAAAAHy2+nw=")</f>
        <v>#REF!</v>
      </c>
      <c r="DV592" t="e">
        <f>AND(#REF!,"AAAAAHy2+n0=")</f>
        <v>#REF!</v>
      </c>
      <c r="DW592" t="e">
        <f>AND(#REF!,"AAAAAHy2+n4=")</f>
        <v>#REF!</v>
      </c>
      <c r="DX592" t="e">
        <f>AND(#REF!,"AAAAAHy2+n8=")</f>
        <v>#REF!</v>
      </c>
      <c r="DY592" t="e">
        <f>IF(#REF!,"AAAAAHy2+oA=",0)</f>
        <v>#REF!</v>
      </c>
      <c r="DZ592" t="e">
        <f>AND(#REF!,"AAAAAHy2+oE=")</f>
        <v>#REF!</v>
      </c>
      <c r="EA592" t="e">
        <f>AND(#REF!,"AAAAAHy2+oI=")</f>
        <v>#REF!</v>
      </c>
      <c r="EB592" t="e">
        <f>AND(#REF!,"AAAAAHy2+oM=")</f>
        <v>#REF!</v>
      </c>
      <c r="EC592" t="e">
        <f>AND(#REF!,"AAAAAHy2+oQ=")</f>
        <v>#REF!</v>
      </c>
      <c r="ED592" t="e">
        <f>AND(#REF!,"AAAAAHy2+oU=")</f>
        <v>#REF!</v>
      </c>
      <c r="EE592" t="e">
        <f>AND(#REF!,"AAAAAHy2+oY=")</f>
        <v>#REF!</v>
      </c>
      <c r="EF592" t="e">
        <f>AND(#REF!,"AAAAAHy2+oc=")</f>
        <v>#REF!</v>
      </c>
      <c r="EG592" t="e">
        <f>AND(#REF!,"AAAAAHy2+og=")</f>
        <v>#REF!</v>
      </c>
      <c r="EH592" t="e">
        <f>AND(#REF!,"AAAAAHy2+ok=")</f>
        <v>#REF!</v>
      </c>
      <c r="EI592" t="e">
        <f>AND(#REF!,"AAAAAHy2+oo=")</f>
        <v>#REF!</v>
      </c>
      <c r="EJ592" t="e">
        <f>AND(#REF!,"AAAAAHy2+os=")</f>
        <v>#REF!</v>
      </c>
      <c r="EK592" t="e">
        <f>IF(#REF!,"AAAAAHy2+ow=",0)</f>
        <v>#REF!</v>
      </c>
      <c r="EL592" t="e">
        <f>AND(#REF!,"AAAAAHy2+o0=")</f>
        <v>#REF!</v>
      </c>
      <c r="EM592" t="e">
        <f>AND(#REF!,"AAAAAHy2+o4=")</f>
        <v>#REF!</v>
      </c>
      <c r="EN592" t="e">
        <f>AND(#REF!,"AAAAAHy2+o8=")</f>
        <v>#REF!</v>
      </c>
      <c r="EO592" t="e">
        <f>AND(#REF!,"AAAAAHy2+pA=")</f>
        <v>#REF!</v>
      </c>
      <c r="EP592" t="e">
        <f>AND(#REF!,"AAAAAHy2+pE=")</f>
        <v>#REF!</v>
      </c>
      <c r="EQ592" t="e">
        <f>AND(#REF!,"AAAAAHy2+pI=")</f>
        <v>#REF!</v>
      </c>
      <c r="ER592" t="e">
        <f>AND(#REF!,"AAAAAHy2+pM=")</f>
        <v>#REF!</v>
      </c>
      <c r="ES592" t="e">
        <f>AND(#REF!,"AAAAAHy2+pQ=")</f>
        <v>#REF!</v>
      </c>
      <c r="ET592" t="e">
        <f>AND(#REF!,"AAAAAHy2+pU=")</f>
        <v>#REF!</v>
      </c>
      <c r="EU592" t="e">
        <f>AND(#REF!,"AAAAAHy2+pY=")</f>
        <v>#REF!</v>
      </c>
      <c r="EV592" t="e">
        <f>AND(#REF!,"AAAAAHy2+pc=")</f>
        <v>#REF!</v>
      </c>
      <c r="EW592" t="e">
        <f>IF(#REF!,"AAAAAHy2+pg=",0)</f>
        <v>#REF!</v>
      </c>
      <c r="EX592" t="e">
        <f>AND(#REF!,"AAAAAHy2+pk=")</f>
        <v>#REF!</v>
      </c>
      <c r="EY592" t="e">
        <f>AND(#REF!,"AAAAAHy2+po=")</f>
        <v>#REF!</v>
      </c>
      <c r="EZ592" t="e">
        <f>AND(#REF!,"AAAAAHy2+ps=")</f>
        <v>#REF!</v>
      </c>
      <c r="FA592" t="e">
        <f>AND(#REF!,"AAAAAHy2+pw=")</f>
        <v>#REF!</v>
      </c>
      <c r="FB592" t="e">
        <f>AND(#REF!,"AAAAAHy2+p0=")</f>
        <v>#REF!</v>
      </c>
      <c r="FC592" t="e">
        <f>AND(#REF!,"AAAAAHy2+p4=")</f>
        <v>#REF!</v>
      </c>
      <c r="FD592" t="e">
        <f>AND(#REF!,"AAAAAHy2+p8=")</f>
        <v>#REF!</v>
      </c>
      <c r="FE592" t="e">
        <f>AND(#REF!,"AAAAAHy2+qA=")</f>
        <v>#REF!</v>
      </c>
      <c r="FF592" t="e">
        <f>AND(#REF!,"AAAAAHy2+qE=")</f>
        <v>#REF!</v>
      </c>
      <c r="FG592" t="e">
        <f>AND(#REF!,"AAAAAHy2+qI=")</f>
        <v>#REF!</v>
      </c>
      <c r="FH592" t="e">
        <f>AND(#REF!,"AAAAAHy2+qM=")</f>
        <v>#REF!</v>
      </c>
      <c r="FI592" t="e">
        <f>IF(#REF!,"AAAAAHy2+qQ=",0)</f>
        <v>#REF!</v>
      </c>
      <c r="FJ592" t="e">
        <f>AND(#REF!,"AAAAAHy2+qU=")</f>
        <v>#REF!</v>
      </c>
      <c r="FK592" t="e">
        <f>AND(#REF!,"AAAAAHy2+qY=")</f>
        <v>#REF!</v>
      </c>
      <c r="FL592" t="e">
        <f>AND(#REF!,"AAAAAHy2+qc=")</f>
        <v>#REF!</v>
      </c>
      <c r="FM592" t="e">
        <f>AND(#REF!,"AAAAAHy2+qg=")</f>
        <v>#REF!</v>
      </c>
      <c r="FN592" t="e">
        <f>AND(#REF!,"AAAAAHy2+qk=")</f>
        <v>#REF!</v>
      </c>
      <c r="FO592" t="e">
        <f>AND(#REF!,"AAAAAHy2+qo=")</f>
        <v>#REF!</v>
      </c>
      <c r="FP592" t="e">
        <f>AND(#REF!,"AAAAAHy2+qs=")</f>
        <v>#REF!</v>
      </c>
      <c r="FQ592" t="e">
        <f>AND(#REF!,"AAAAAHy2+qw=")</f>
        <v>#REF!</v>
      </c>
      <c r="FR592" t="e">
        <f>AND(#REF!,"AAAAAHy2+q0=")</f>
        <v>#REF!</v>
      </c>
      <c r="FS592" t="e">
        <f>AND(#REF!,"AAAAAHy2+q4=")</f>
        <v>#REF!</v>
      </c>
      <c r="FT592" t="e">
        <f>AND(#REF!,"AAAAAHy2+q8=")</f>
        <v>#REF!</v>
      </c>
      <c r="FU592" t="e">
        <f>IF(#REF!,"AAAAAHy2+rA=",0)</f>
        <v>#REF!</v>
      </c>
      <c r="FV592" t="e">
        <f>AND(#REF!,"AAAAAHy2+rE=")</f>
        <v>#REF!</v>
      </c>
      <c r="FW592" t="e">
        <f>AND(#REF!,"AAAAAHy2+rI=")</f>
        <v>#REF!</v>
      </c>
      <c r="FX592" t="e">
        <f>AND(#REF!,"AAAAAHy2+rM=")</f>
        <v>#REF!</v>
      </c>
      <c r="FY592" t="e">
        <f>AND(#REF!,"AAAAAHy2+rQ=")</f>
        <v>#REF!</v>
      </c>
      <c r="FZ592" t="e">
        <f>AND(#REF!,"AAAAAHy2+rU=")</f>
        <v>#REF!</v>
      </c>
      <c r="GA592" t="e">
        <f>AND(#REF!,"AAAAAHy2+rY=")</f>
        <v>#REF!</v>
      </c>
      <c r="GB592" t="e">
        <f>AND(#REF!,"AAAAAHy2+rc=")</f>
        <v>#REF!</v>
      </c>
      <c r="GC592" t="e">
        <f>AND(#REF!,"AAAAAHy2+rg=")</f>
        <v>#REF!</v>
      </c>
      <c r="GD592" t="e">
        <f>AND(#REF!,"AAAAAHy2+rk=")</f>
        <v>#REF!</v>
      </c>
      <c r="GE592" t="e">
        <f>AND(#REF!,"AAAAAHy2+ro=")</f>
        <v>#REF!</v>
      </c>
      <c r="GF592" t="e">
        <f>AND(#REF!,"AAAAAHy2+rs=")</f>
        <v>#REF!</v>
      </c>
      <c r="GG592" t="e">
        <f>IF(#REF!,"AAAAAHy2+rw=",0)</f>
        <v>#REF!</v>
      </c>
      <c r="GH592" t="e">
        <f>AND(#REF!,"AAAAAHy2+r0=")</f>
        <v>#REF!</v>
      </c>
      <c r="GI592" t="e">
        <f>AND(#REF!,"AAAAAHy2+r4=")</f>
        <v>#REF!</v>
      </c>
      <c r="GJ592" t="e">
        <f>AND(#REF!,"AAAAAHy2+r8=")</f>
        <v>#REF!</v>
      </c>
      <c r="GK592" t="e">
        <f>AND(#REF!,"AAAAAHy2+sA=")</f>
        <v>#REF!</v>
      </c>
      <c r="GL592" t="e">
        <f>AND(#REF!,"AAAAAHy2+sE=")</f>
        <v>#REF!</v>
      </c>
      <c r="GM592" t="e">
        <f>AND(#REF!,"AAAAAHy2+sI=")</f>
        <v>#REF!</v>
      </c>
      <c r="GN592" t="e">
        <f>AND(#REF!,"AAAAAHy2+sM=")</f>
        <v>#REF!</v>
      </c>
      <c r="GO592" t="e">
        <f>AND(#REF!,"AAAAAHy2+sQ=")</f>
        <v>#REF!</v>
      </c>
      <c r="GP592" t="e">
        <f>AND(#REF!,"AAAAAHy2+sU=")</f>
        <v>#REF!</v>
      </c>
      <c r="GQ592" t="e">
        <f>AND(#REF!,"AAAAAHy2+sY=")</f>
        <v>#REF!</v>
      </c>
      <c r="GR592" t="e">
        <f>AND(#REF!,"AAAAAHy2+sc=")</f>
        <v>#REF!</v>
      </c>
      <c r="GS592" t="e">
        <f>IF(#REF!,"AAAAAHy2+sg=",0)</f>
        <v>#REF!</v>
      </c>
      <c r="GT592" t="e">
        <f>AND(#REF!,"AAAAAHy2+sk=")</f>
        <v>#REF!</v>
      </c>
      <c r="GU592" t="e">
        <f>AND(#REF!,"AAAAAHy2+so=")</f>
        <v>#REF!</v>
      </c>
      <c r="GV592" t="e">
        <f>AND(#REF!,"AAAAAHy2+ss=")</f>
        <v>#REF!</v>
      </c>
      <c r="GW592" t="e">
        <f>AND(#REF!,"AAAAAHy2+sw=")</f>
        <v>#REF!</v>
      </c>
      <c r="GX592" t="e">
        <f>AND(#REF!,"AAAAAHy2+s0=")</f>
        <v>#REF!</v>
      </c>
      <c r="GY592" t="e">
        <f>AND(#REF!,"AAAAAHy2+s4=")</f>
        <v>#REF!</v>
      </c>
      <c r="GZ592" t="e">
        <f>AND(#REF!,"AAAAAHy2+s8=")</f>
        <v>#REF!</v>
      </c>
      <c r="HA592" t="e">
        <f>AND(#REF!,"AAAAAHy2+tA=")</f>
        <v>#REF!</v>
      </c>
      <c r="HB592" t="e">
        <f>AND(#REF!,"AAAAAHy2+tE=")</f>
        <v>#REF!</v>
      </c>
      <c r="HC592" t="e">
        <f>AND(#REF!,"AAAAAHy2+tI=")</f>
        <v>#REF!</v>
      </c>
      <c r="HD592" t="e">
        <f>AND(#REF!,"AAAAAHy2+tM=")</f>
        <v>#REF!</v>
      </c>
      <c r="HE592" t="e">
        <f>IF(#REF!,"AAAAAHy2+tQ=",0)</f>
        <v>#REF!</v>
      </c>
      <c r="HF592" t="e">
        <f>AND(#REF!,"AAAAAHy2+tU=")</f>
        <v>#REF!</v>
      </c>
      <c r="HG592" t="e">
        <f>AND(#REF!,"AAAAAHy2+tY=")</f>
        <v>#REF!</v>
      </c>
      <c r="HH592" t="e">
        <f>AND(#REF!,"AAAAAHy2+tc=")</f>
        <v>#REF!</v>
      </c>
      <c r="HI592" t="e">
        <f>AND(#REF!,"AAAAAHy2+tg=")</f>
        <v>#REF!</v>
      </c>
      <c r="HJ592" t="e">
        <f>AND(#REF!,"AAAAAHy2+tk=")</f>
        <v>#REF!</v>
      </c>
      <c r="HK592" t="e">
        <f>AND(#REF!,"AAAAAHy2+to=")</f>
        <v>#REF!</v>
      </c>
      <c r="HL592" t="e">
        <f>AND(#REF!,"AAAAAHy2+ts=")</f>
        <v>#REF!</v>
      </c>
      <c r="HM592" t="e">
        <f>AND(#REF!,"AAAAAHy2+tw=")</f>
        <v>#REF!</v>
      </c>
      <c r="HN592" t="e">
        <f>AND(#REF!,"AAAAAHy2+t0=")</f>
        <v>#REF!</v>
      </c>
      <c r="HO592" t="e">
        <f>AND(#REF!,"AAAAAHy2+t4=")</f>
        <v>#REF!</v>
      </c>
      <c r="HP592" t="e">
        <f>AND(#REF!,"AAAAAHy2+t8=")</f>
        <v>#REF!</v>
      </c>
      <c r="HQ592" t="e">
        <f>IF(#REF!,"AAAAAHy2+uA=",0)</f>
        <v>#REF!</v>
      </c>
      <c r="HR592" t="e">
        <f>IF(#REF!,"AAAAAHy2+uE=",0)</f>
        <v>#REF!</v>
      </c>
      <c r="HS592" t="e">
        <f>IF(#REF!,"AAAAAHy2+uI=",0)</f>
        <v>#REF!</v>
      </c>
      <c r="HT592" t="e">
        <f>IF(#REF!,"AAAAAHy2+uM=",0)</f>
        <v>#REF!</v>
      </c>
      <c r="HU592" t="e">
        <f>IF(#REF!,"AAAAAHy2+uQ=",0)</f>
        <v>#REF!</v>
      </c>
      <c r="HV592" t="e">
        <f>IF(#REF!,"AAAAAHy2+uU=",0)</f>
        <v>#REF!</v>
      </c>
      <c r="HW592" t="e">
        <f>IF(#REF!,"AAAAAHy2+uY=",0)</f>
        <v>#REF!</v>
      </c>
      <c r="HX592" t="e">
        <f>IF(#REF!,"AAAAAHy2+uc=",0)</f>
        <v>#REF!</v>
      </c>
      <c r="HY592" t="e">
        <f>IF(#REF!,"AAAAAHy2+ug=",0)</f>
        <v>#REF!</v>
      </c>
      <c r="HZ592" t="e">
        <f>IF(#REF!,"AAAAAHy2+uk=",0)</f>
        <v>#REF!</v>
      </c>
      <c r="IA592" t="e">
        <f>IF(#REF!,"AAAAAHy2+uo=",0)</f>
        <v>#REF!</v>
      </c>
      <c r="IB592" t="e">
        <f>AND(GETPIVOTDATA("",#REF!),"AAAAAHy2+us=")</f>
        <v>#REF!</v>
      </c>
      <c r="IC592" t="e">
        <f>IF(#REF!,"AAAAAHy2+uw=",0)</f>
        <v>#REF!</v>
      </c>
      <c r="ID592" t="e">
        <f>AND(#REF!,"AAAAAHy2+u0=")</f>
        <v>#REF!</v>
      </c>
      <c r="IE592" t="e">
        <f>AND(#REF!,"AAAAAHy2+u4=")</f>
        <v>#REF!</v>
      </c>
      <c r="IF592" t="e">
        <f>AND(#REF!,"AAAAAHy2+u8=")</f>
        <v>#REF!</v>
      </c>
      <c r="IG592" t="e">
        <f>AND(#REF!,"AAAAAHy2+vA=")</f>
        <v>#REF!</v>
      </c>
      <c r="IH592" t="e">
        <f>AND(#REF!,"AAAAAHy2+vE=")</f>
        <v>#REF!</v>
      </c>
      <c r="II592" t="e">
        <f>AND(#REF!,"AAAAAHy2+vI=")</f>
        <v>#REF!</v>
      </c>
      <c r="IJ592" t="e">
        <f>AND(#REF!,"AAAAAHy2+vM=")</f>
        <v>#REF!</v>
      </c>
      <c r="IK592" t="e">
        <f>AND(#REF!,"AAAAAHy2+vQ=")</f>
        <v>#REF!</v>
      </c>
      <c r="IL592" t="e">
        <f>AND(#REF!,"AAAAAHy2+vU=")</f>
        <v>#REF!</v>
      </c>
      <c r="IM592" t="e">
        <f>AND(#REF!,"AAAAAHy2+vY=")</f>
        <v>#REF!</v>
      </c>
      <c r="IN592" t="e">
        <f>AND(#REF!,"AAAAAHy2+vc=")</f>
        <v>#REF!</v>
      </c>
      <c r="IO592" t="e">
        <f>AND(#REF!,"AAAAAHy2+vg=")</f>
        <v>#REF!</v>
      </c>
      <c r="IP592" t="e">
        <f>AND(#REF!,"AAAAAHy2+vk=")</f>
        <v>#REF!</v>
      </c>
      <c r="IQ592" t="e">
        <f>AND(#REF!,"AAAAAHy2+vo=")</f>
        <v>#REF!</v>
      </c>
      <c r="IR592" t="e">
        <f>AND(#REF!,"AAAAAHy2+vs=")</f>
        <v>#REF!</v>
      </c>
      <c r="IS592" t="e">
        <f>IF(#REF!,"AAAAAHy2+vw=",0)</f>
        <v>#REF!</v>
      </c>
      <c r="IT592" t="e">
        <f>AND(#REF!,"AAAAAHy2+v0=")</f>
        <v>#REF!</v>
      </c>
      <c r="IU592" t="e">
        <f>AND(#REF!,"AAAAAHy2+v4=")</f>
        <v>#REF!</v>
      </c>
      <c r="IV592" t="e">
        <f>AND(#REF!,"AAAAAHy2+v8=")</f>
        <v>#REF!</v>
      </c>
    </row>
    <row r="593" spans="1:256">
      <c r="A593" t="e">
        <f>AND(#REF!,"AAAAAHeduwA=")</f>
        <v>#REF!</v>
      </c>
      <c r="B593" t="e">
        <f>AND(#REF!,"AAAAAHeduwE=")</f>
        <v>#REF!</v>
      </c>
      <c r="C593" t="e">
        <f>AND(#REF!,"AAAAAHeduwI=")</f>
        <v>#REF!</v>
      </c>
      <c r="D593" t="e">
        <f>AND(#REF!,"AAAAAHeduwM=")</f>
        <v>#REF!</v>
      </c>
      <c r="E593" t="e">
        <f>AND(#REF!,"AAAAAHeduwQ=")</f>
        <v>#REF!</v>
      </c>
      <c r="F593" t="e">
        <f>AND(#REF!,"AAAAAHeduwU=")</f>
        <v>#REF!</v>
      </c>
      <c r="G593" t="e">
        <f>AND(#REF!,"AAAAAHeduwY=")</f>
        <v>#REF!</v>
      </c>
      <c r="H593" t="e">
        <f>AND(#REF!,"AAAAAHeduwc=")</f>
        <v>#REF!</v>
      </c>
      <c r="I593" t="e">
        <f>AND(#REF!,"AAAAAHeduwg=")</f>
        <v>#REF!</v>
      </c>
      <c r="J593" t="e">
        <f>AND(#REF!,"AAAAAHeduwk=")</f>
        <v>#REF!</v>
      </c>
      <c r="K593" t="e">
        <f>AND(#REF!,"AAAAAHeduwo=")</f>
        <v>#REF!</v>
      </c>
      <c r="L593" t="e">
        <f>AND(#REF!,"AAAAAHeduws=")</f>
        <v>#REF!</v>
      </c>
      <c r="M593" t="e">
        <f>IF(#REF!,"AAAAAHeduww=",0)</f>
        <v>#REF!</v>
      </c>
      <c r="N593" t="e">
        <f>AND(#REF!,"AAAAAHeduw0=")</f>
        <v>#REF!</v>
      </c>
      <c r="O593" t="e">
        <f>AND(#REF!,"AAAAAHeduw4=")</f>
        <v>#REF!</v>
      </c>
      <c r="P593" t="e">
        <f>AND(#REF!,"AAAAAHeduw8=")</f>
        <v>#REF!</v>
      </c>
      <c r="Q593" t="e">
        <f>AND(#REF!,"AAAAAHeduxA=")</f>
        <v>#REF!</v>
      </c>
      <c r="R593" t="e">
        <f>AND(#REF!,"AAAAAHeduxE=")</f>
        <v>#REF!</v>
      </c>
      <c r="S593" t="e">
        <f>AND(#REF!,"AAAAAHeduxI=")</f>
        <v>#REF!</v>
      </c>
      <c r="T593" t="e">
        <f>AND(#REF!,"AAAAAHeduxM=")</f>
        <v>#REF!</v>
      </c>
      <c r="U593" t="e">
        <f>AND(#REF!,"AAAAAHeduxQ=")</f>
        <v>#REF!</v>
      </c>
      <c r="V593" t="e">
        <f>AND(#REF!,"AAAAAHeduxU=")</f>
        <v>#REF!</v>
      </c>
      <c r="W593" t="e">
        <f>AND(#REF!,"AAAAAHeduxY=")</f>
        <v>#REF!</v>
      </c>
      <c r="X593" t="e">
        <f>AND(#REF!,"AAAAAHeduxc=")</f>
        <v>#REF!</v>
      </c>
      <c r="Y593" t="e">
        <f>AND(#REF!,"AAAAAHeduxg=")</f>
        <v>#REF!</v>
      </c>
      <c r="Z593" t="e">
        <f>AND(#REF!,"AAAAAHeduxk=")</f>
        <v>#REF!</v>
      </c>
      <c r="AA593" t="e">
        <f>AND(#REF!,"AAAAAHeduxo=")</f>
        <v>#REF!</v>
      </c>
      <c r="AB593" t="e">
        <f>AND(#REF!,"AAAAAHeduxs=")</f>
        <v>#REF!</v>
      </c>
      <c r="AC593" t="e">
        <f>IF(#REF!,"AAAAAHeduxw=",0)</f>
        <v>#REF!</v>
      </c>
      <c r="AD593" t="e">
        <f>AND(#REF!,"AAAAAHedux0=")</f>
        <v>#REF!</v>
      </c>
      <c r="AE593" t="e">
        <f>AND(#REF!,"AAAAAHedux4=")</f>
        <v>#REF!</v>
      </c>
      <c r="AF593" t="e">
        <f>AND(#REF!,"AAAAAHedux8=")</f>
        <v>#REF!</v>
      </c>
      <c r="AG593" t="e">
        <f>AND(#REF!,"AAAAAHeduyA=")</f>
        <v>#REF!</v>
      </c>
      <c r="AH593" t="e">
        <f>AND(#REF!,"AAAAAHeduyE=")</f>
        <v>#REF!</v>
      </c>
      <c r="AI593" t="e">
        <f>AND(#REF!,"AAAAAHeduyI=")</f>
        <v>#REF!</v>
      </c>
      <c r="AJ593" t="e">
        <f>AND(#REF!,"AAAAAHeduyM=")</f>
        <v>#REF!</v>
      </c>
      <c r="AK593" t="e">
        <f>AND(#REF!,"AAAAAHeduyQ=")</f>
        <v>#REF!</v>
      </c>
      <c r="AL593" t="e">
        <f>AND(#REF!,"AAAAAHeduyU=")</f>
        <v>#REF!</v>
      </c>
      <c r="AM593" t="e">
        <f>AND(#REF!,"AAAAAHeduyY=")</f>
        <v>#REF!</v>
      </c>
      <c r="AN593" t="e">
        <f>AND(#REF!,"AAAAAHeduyc=")</f>
        <v>#REF!</v>
      </c>
      <c r="AO593" t="e">
        <f>AND(#REF!,"AAAAAHeduyg=")</f>
        <v>#REF!</v>
      </c>
      <c r="AP593" t="e">
        <f>AND(#REF!,"AAAAAHeduyk=")</f>
        <v>#REF!</v>
      </c>
      <c r="AQ593" t="e">
        <f>AND(#REF!,"AAAAAHeduyo=")</f>
        <v>#REF!</v>
      </c>
      <c r="AR593" t="e">
        <f>AND(#REF!,"AAAAAHeduys=")</f>
        <v>#REF!</v>
      </c>
      <c r="AS593" t="e">
        <f>IF(#REF!,"AAAAAHeduyw=",0)</f>
        <v>#REF!</v>
      </c>
      <c r="AT593" t="e">
        <f>AND(#REF!,"AAAAAHeduy0=")</f>
        <v>#REF!</v>
      </c>
      <c r="AU593" t="e">
        <f>AND(#REF!,"AAAAAHeduy4=")</f>
        <v>#REF!</v>
      </c>
      <c r="AV593" t="e">
        <f>AND(#REF!,"AAAAAHeduy8=")</f>
        <v>#REF!</v>
      </c>
      <c r="AW593" t="e">
        <f>AND(#REF!,"AAAAAHeduzA=")</f>
        <v>#REF!</v>
      </c>
      <c r="AX593" t="e">
        <f>AND(#REF!,"AAAAAHeduzE=")</f>
        <v>#REF!</v>
      </c>
      <c r="AY593" t="e">
        <f>AND(#REF!,"AAAAAHeduzI=")</f>
        <v>#REF!</v>
      </c>
      <c r="AZ593" t="e">
        <f>AND(#REF!,"AAAAAHeduzM=")</f>
        <v>#REF!</v>
      </c>
      <c r="BA593" t="e">
        <f>AND(#REF!,"AAAAAHeduzQ=")</f>
        <v>#REF!</v>
      </c>
      <c r="BB593" t="e">
        <f>AND(#REF!,"AAAAAHeduzU=")</f>
        <v>#REF!</v>
      </c>
      <c r="BC593" t="e">
        <f>AND(#REF!,"AAAAAHeduzY=")</f>
        <v>#REF!</v>
      </c>
      <c r="BD593" t="e">
        <f>AND(#REF!,"AAAAAHeduzc=")</f>
        <v>#REF!</v>
      </c>
      <c r="BE593" t="e">
        <f>AND(#REF!,"AAAAAHeduzg=")</f>
        <v>#REF!</v>
      </c>
      <c r="BF593" t="e">
        <f>AND(#REF!,"AAAAAHeduzk=")</f>
        <v>#REF!</v>
      </c>
      <c r="BG593" t="e">
        <f>AND(#REF!,"AAAAAHeduzo=")</f>
        <v>#REF!</v>
      </c>
      <c r="BH593" t="e">
        <f>AND(#REF!,"AAAAAHeduzs=")</f>
        <v>#REF!</v>
      </c>
      <c r="BI593" t="e">
        <f>IF(#REF!,"AAAAAHeduzw=",0)</f>
        <v>#REF!</v>
      </c>
      <c r="BJ593" t="e">
        <f>AND(#REF!,"AAAAAHeduz0=")</f>
        <v>#REF!</v>
      </c>
      <c r="BK593" t="e">
        <f>AND(#REF!,"AAAAAHeduz4=")</f>
        <v>#REF!</v>
      </c>
      <c r="BL593" t="e">
        <f>AND(#REF!,"AAAAAHeduz8=")</f>
        <v>#REF!</v>
      </c>
      <c r="BM593" t="e">
        <f>AND(#REF!,"AAAAAHedu0A=")</f>
        <v>#REF!</v>
      </c>
      <c r="BN593" t="e">
        <f>AND(#REF!,"AAAAAHedu0E=")</f>
        <v>#REF!</v>
      </c>
      <c r="BO593" t="e">
        <f>AND(#REF!,"AAAAAHedu0I=")</f>
        <v>#REF!</v>
      </c>
      <c r="BP593" t="e">
        <f>AND(#REF!,"AAAAAHedu0M=")</f>
        <v>#REF!</v>
      </c>
      <c r="BQ593" t="e">
        <f>AND(#REF!,"AAAAAHedu0Q=")</f>
        <v>#REF!</v>
      </c>
      <c r="BR593" t="e">
        <f>AND(#REF!,"AAAAAHedu0U=")</f>
        <v>#REF!</v>
      </c>
      <c r="BS593" t="e">
        <f>AND(#REF!,"AAAAAHedu0Y=")</f>
        <v>#REF!</v>
      </c>
      <c r="BT593" t="e">
        <f>AND(#REF!,"AAAAAHedu0c=")</f>
        <v>#REF!</v>
      </c>
      <c r="BU593" t="e">
        <f>AND(#REF!,"AAAAAHedu0g=")</f>
        <v>#REF!</v>
      </c>
      <c r="BV593" t="e">
        <f>AND(#REF!,"AAAAAHedu0k=")</f>
        <v>#REF!</v>
      </c>
      <c r="BW593" t="e">
        <f>AND(#REF!,"AAAAAHedu0o=")</f>
        <v>#REF!</v>
      </c>
      <c r="BX593" t="e">
        <f>AND(#REF!,"AAAAAHedu0s=")</f>
        <v>#REF!</v>
      </c>
      <c r="BY593" t="e">
        <f>IF(#REF!,"AAAAAHedu0w=",0)</f>
        <v>#REF!</v>
      </c>
      <c r="BZ593" t="e">
        <f>AND(#REF!,"AAAAAHedu00=")</f>
        <v>#REF!</v>
      </c>
      <c r="CA593" t="e">
        <f>AND(#REF!,"AAAAAHedu04=")</f>
        <v>#REF!</v>
      </c>
      <c r="CB593" t="e">
        <f>AND(#REF!,"AAAAAHedu08=")</f>
        <v>#REF!</v>
      </c>
      <c r="CC593" t="e">
        <f>AND(#REF!,"AAAAAHedu1A=")</f>
        <v>#REF!</v>
      </c>
      <c r="CD593" t="e">
        <f>AND(#REF!,"AAAAAHedu1E=")</f>
        <v>#REF!</v>
      </c>
      <c r="CE593" t="e">
        <f>AND(#REF!,"AAAAAHedu1I=")</f>
        <v>#REF!</v>
      </c>
      <c r="CF593" t="e">
        <f>AND(#REF!,"AAAAAHedu1M=")</f>
        <v>#REF!</v>
      </c>
      <c r="CG593" t="e">
        <f>AND(#REF!,"AAAAAHedu1Q=")</f>
        <v>#REF!</v>
      </c>
      <c r="CH593" t="e">
        <f>AND(#REF!,"AAAAAHedu1U=")</f>
        <v>#REF!</v>
      </c>
      <c r="CI593" t="e">
        <f>AND(#REF!,"AAAAAHedu1Y=")</f>
        <v>#REF!</v>
      </c>
      <c r="CJ593" t="e">
        <f>AND(#REF!,"AAAAAHedu1c=")</f>
        <v>#REF!</v>
      </c>
      <c r="CK593" t="e">
        <f>AND(#REF!,"AAAAAHedu1g=")</f>
        <v>#REF!</v>
      </c>
      <c r="CL593" t="e">
        <f>AND(#REF!,"AAAAAHedu1k=")</f>
        <v>#REF!</v>
      </c>
      <c r="CM593" t="e">
        <f>AND(#REF!,"AAAAAHedu1o=")</f>
        <v>#REF!</v>
      </c>
      <c r="CN593" t="e">
        <f>AND(#REF!,"AAAAAHedu1s=")</f>
        <v>#REF!</v>
      </c>
      <c r="CO593" t="e">
        <f>IF(#REF!,"AAAAAHedu1w=",0)</f>
        <v>#REF!</v>
      </c>
      <c r="CP593" t="e">
        <f>AND(#REF!,"AAAAAHedu10=")</f>
        <v>#REF!</v>
      </c>
      <c r="CQ593" t="e">
        <f>AND(#REF!,"AAAAAHedu14=")</f>
        <v>#REF!</v>
      </c>
      <c r="CR593" t="e">
        <f>AND(#REF!,"AAAAAHedu18=")</f>
        <v>#REF!</v>
      </c>
      <c r="CS593" t="e">
        <f>AND(#REF!,"AAAAAHedu2A=")</f>
        <v>#REF!</v>
      </c>
      <c r="CT593" t="e">
        <f>AND(#REF!,"AAAAAHedu2E=")</f>
        <v>#REF!</v>
      </c>
      <c r="CU593" t="e">
        <f>AND(#REF!,"AAAAAHedu2I=")</f>
        <v>#REF!</v>
      </c>
      <c r="CV593" t="e">
        <f>AND(#REF!,"AAAAAHedu2M=")</f>
        <v>#REF!</v>
      </c>
      <c r="CW593" t="e">
        <f>AND(#REF!,"AAAAAHedu2Q=")</f>
        <v>#REF!</v>
      </c>
      <c r="CX593" t="e">
        <f>AND(#REF!,"AAAAAHedu2U=")</f>
        <v>#REF!</v>
      </c>
      <c r="CY593" t="e">
        <f>AND(#REF!,"AAAAAHedu2Y=")</f>
        <v>#REF!</v>
      </c>
      <c r="CZ593" t="e">
        <f>AND(#REF!,"AAAAAHedu2c=")</f>
        <v>#REF!</v>
      </c>
      <c r="DA593" t="e">
        <f>AND(#REF!,"AAAAAHedu2g=")</f>
        <v>#REF!</v>
      </c>
      <c r="DB593" t="e">
        <f>AND(#REF!,"AAAAAHedu2k=")</f>
        <v>#REF!</v>
      </c>
      <c r="DC593" t="e">
        <f>AND(#REF!,"AAAAAHedu2o=")</f>
        <v>#REF!</v>
      </c>
      <c r="DD593" t="e">
        <f>AND(#REF!,"AAAAAHedu2s=")</f>
        <v>#REF!</v>
      </c>
      <c r="DE593" t="e">
        <f>IF(#REF!,"AAAAAHedu2w=",0)</f>
        <v>#REF!</v>
      </c>
      <c r="DF593" t="e">
        <f>AND(#REF!,"AAAAAHedu20=")</f>
        <v>#REF!</v>
      </c>
      <c r="DG593" t="e">
        <f>AND(#REF!,"AAAAAHedu24=")</f>
        <v>#REF!</v>
      </c>
      <c r="DH593" t="e">
        <f>AND(#REF!,"AAAAAHedu28=")</f>
        <v>#REF!</v>
      </c>
      <c r="DI593" t="e">
        <f>AND(#REF!,"AAAAAHedu3A=")</f>
        <v>#REF!</v>
      </c>
      <c r="DJ593" t="e">
        <f>AND(#REF!,"AAAAAHedu3E=")</f>
        <v>#REF!</v>
      </c>
      <c r="DK593" t="e">
        <f>AND(#REF!,"AAAAAHedu3I=")</f>
        <v>#REF!</v>
      </c>
      <c r="DL593" t="e">
        <f>AND(#REF!,"AAAAAHedu3M=")</f>
        <v>#REF!</v>
      </c>
      <c r="DM593" t="e">
        <f>AND(#REF!,"AAAAAHedu3Q=")</f>
        <v>#REF!</v>
      </c>
      <c r="DN593" t="e">
        <f>AND(#REF!,"AAAAAHedu3U=")</f>
        <v>#REF!</v>
      </c>
      <c r="DO593" t="e">
        <f>AND(#REF!,"AAAAAHedu3Y=")</f>
        <v>#REF!</v>
      </c>
      <c r="DP593" t="e">
        <f>AND(#REF!,"AAAAAHedu3c=")</f>
        <v>#REF!</v>
      </c>
      <c r="DQ593" t="e">
        <f>AND(#REF!,"AAAAAHedu3g=")</f>
        <v>#REF!</v>
      </c>
      <c r="DR593" t="e">
        <f>AND(#REF!,"AAAAAHedu3k=")</f>
        <v>#REF!</v>
      </c>
      <c r="DS593" t="e">
        <f>AND(#REF!,"AAAAAHedu3o=")</f>
        <v>#REF!</v>
      </c>
      <c r="DT593" t="e">
        <f>AND(#REF!,"AAAAAHedu3s=")</f>
        <v>#REF!</v>
      </c>
      <c r="DU593" t="e">
        <f>IF(#REF!,"AAAAAHedu3w=",0)</f>
        <v>#REF!</v>
      </c>
      <c r="DV593" t="e">
        <f>AND(#REF!,"AAAAAHedu30=")</f>
        <v>#REF!</v>
      </c>
      <c r="DW593" t="e">
        <f>AND(#REF!,"AAAAAHedu34=")</f>
        <v>#REF!</v>
      </c>
      <c r="DX593" t="e">
        <f>AND(#REF!,"AAAAAHedu38=")</f>
        <v>#REF!</v>
      </c>
      <c r="DY593" t="e">
        <f>AND(#REF!,"AAAAAHedu4A=")</f>
        <v>#REF!</v>
      </c>
      <c r="DZ593" t="e">
        <f>AND(#REF!,"AAAAAHedu4E=")</f>
        <v>#REF!</v>
      </c>
      <c r="EA593" t="e">
        <f>AND(#REF!,"AAAAAHedu4I=")</f>
        <v>#REF!</v>
      </c>
      <c r="EB593" t="e">
        <f>AND(#REF!,"AAAAAHedu4M=")</f>
        <v>#REF!</v>
      </c>
      <c r="EC593" t="e">
        <f>AND(#REF!,"AAAAAHedu4Q=")</f>
        <v>#REF!</v>
      </c>
      <c r="ED593" t="e">
        <f>AND(#REF!,"AAAAAHedu4U=")</f>
        <v>#REF!</v>
      </c>
      <c r="EE593" t="e">
        <f>AND(#REF!,"AAAAAHedu4Y=")</f>
        <v>#REF!</v>
      </c>
      <c r="EF593" t="e">
        <f>AND(#REF!,"AAAAAHedu4c=")</f>
        <v>#REF!</v>
      </c>
      <c r="EG593" t="e">
        <f>AND(#REF!,"AAAAAHedu4g=")</f>
        <v>#REF!</v>
      </c>
      <c r="EH593" t="e">
        <f>AND(#REF!,"AAAAAHedu4k=")</f>
        <v>#REF!</v>
      </c>
      <c r="EI593" t="e">
        <f>AND(#REF!,"AAAAAHedu4o=")</f>
        <v>#REF!</v>
      </c>
      <c r="EJ593" t="e">
        <f>AND(#REF!,"AAAAAHedu4s=")</f>
        <v>#REF!</v>
      </c>
      <c r="EK593" t="e">
        <f>IF(#REF!,"AAAAAHedu4w=",0)</f>
        <v>#REF!</v>
      </c>
      <c r="EL593" t="e">
        <f>AND(#REF!,"AAAAAHedu40=")</f>
        <v>#REF!</v>
      </c>
      <c r="EM593" t="e">
        <f>AND(#REF!,"AAAAAHedu44=")</f>
        <v>#REF!</v>
      </c>
      <c r="EN593" t="e">
        <f>AND(#REF!,"AAAAAHedu48=")</f>
        <v>#REF!</v>
      </c>
      <c r="EO593" t="e">
        <f>AND(#REF!,"AAAAAHedu5A=")</f>
        <v>#REF!</v>
      </c>
      <c r="EP593" t="e">
        <f>AND(#REF!,"AAAAAHedu5E=")</f>
        <v>#REF!</v>
      </c>
      <c r="EQ593" t="e">
        <f>AND(#REF!,"AAAAAHedu5I=")</f>
        <v>#REF!</v>
      </c>
      <c r="ER593" t="e">
        <f>AND(#REF!,"AAAAAHedu5M=")</f>
        <v>#REF!</v>
      </c>
      <c r="ES593" t="e">
        <f>AND(#REF!,"AAAAAHedu5Q=")</f>
        <v>#REF!</v>
      </c>
      <c r="ET593" t="e">
        <f>AND(#REF!,"AAAAAHedu5U=")</f>
        <v>#REF!</v>
      </c>
      <c r="EU593" t="e">
        <f>AND(#REF!,"AAAAAHedu5Y=")</f>
        <v>#REF!</v>
      </c>
      <c r="EV593" t="e">
        <f>AND(#REF!,"AAAAAHedu5c=")</f>
        <v>#REF!</v>
      </c>
      <c r="EW593" t="e">
        <f>AND(#REF!,"AAAAAHedu5g=")</f>
        <v>#REF!</v>
      </c>
      <c r="EX593" t="e">
        <f>AND(#REF!,"AAAAAHedu5k=")</f>
        <v>#REF!</v>
      </c>
      <c r="EY593" t="e">
        <f>AND(#REF!,"AAAAAHedu5o=")</f>
        <v>#REF!</v>
      </c>
      <c r="EZ593" t="e">
        <f>AND(#REF!,"AAAAAHedu5s=")</f>
        <v>#REF!</v>
      </c>
      <c r="FA593" t="e">
        <f>IF(#REF!,"AAAAAHedu5w=",0)</f>
        <v>#REF!</v>
      </c>
      <c r="FB593" t="e">
        <f>AND(#REF!,"AAAAAHedu50=")</f>
        <v>#REF!</v>
      </c>
      <c r="FC593" t="e">
        <f>AND(#REF!,"AAAAAHedu54=")</f>
        <v>#REF!</v>
      </c>
      <c r="FD593" t="e">
        <f>AND(#REF!,"AAAAAHedu58=")</f>
        <v>#REF!</v>
      </c>
      <c r="FE593" t="e">
        <f>AND(#REF!,"AAAAAHedu6A=")</f>
        <v>#REF!</v>
      </c>
      <c r="FF593" t="e">
        <f>AND(#REF!,"AAAAAHedu6E=")</f>
        <v>#REF!</v>
      </c>
      <c r="FG593" t="e">
        <f>AND(#REF!,"AAAAAHedu6I=")</f>
        <v>#REF!</v>
      </c>
      <c r="FH593" t="e">
        <f>AND(#REF!,"AAAAAHedu6M=")</f>
        <v>#REF!</v>
      </c>
      <c r="FI593" t="e">
        <f>AND(#REF!,"AAAAAHedu6Q=")</f>
        <v>#REF!</v>
      </c>
      <c r="FJ593" t="e">
        <f>AND(#REF!,"AAAAAHedu6U=")</f>
        <v>#REF!</v>
      </c>
      <c r="FK593" t="e">
        <f>AND(#REF!,"AAAAAHedu6Y=")</f>
        <v>#REF!</v>
      </c>
      <c r="FL593" t="e">
        <f>AND(#REF!,"AAAAAHedu6c=")</f>
        <v>#REF!</v>
      </c>
      <c r="FM593" t="e">
        <f>AND(#REF!,"AAAAAHedu6g=")</f>
        <v>#REF!</v>
      </c>
      <c r="FN593" t="e">
        <f>AND(#REF!,"AAAAAHedu6k=")</f>
        <v>#REF!</v>
      </c>
      <c r="FO593" t="e">
        <f>AND(#REF!,"AAAAAHedu6o=")</f>
        <v>#REF!</v>
      </c>
      <c r="FP593" t="e">
        <f>AND(#REF!,"AAAAAHedu6s=")</f>
        <v>#REF!</v>
      </c>
      <c r="FQ593" t="e">
        <f>IF(#REF!,"AAAAAHedu6w=",0)</f>
        <v>#REF!</v>
      </c>
      <c r="FR593" t="e">
        <f>AND(#REF!,"AAAAAHedu60=")</f>
        <v>#REF!</v>
      </c>
      <c r="FS593" t="e">
        <f>AND(#REF!,"AAAAAHedu64=")</f>
        <v>#REF!</v>
      </c>
      <c r="FT593" t="e">
        <f>AND(#REF!,"AAAAAHedu68=")</f>
        <v>#REF!</v>
      </c>
      <c r="FU593" t="e">
        <f>AND(#REF!,"AAAAAHedu7A=")</f>
        <v>#REF!</v>
      </c>
      <c r="FV593" t="e">
        <f>AND(#REF!,"AAAAAHedu7E=")</f>
        <v>#REF!</v>
      </c>
      <c r="FW593" t="e">
        <f>AND(#REF!,"AAAAAHedu7I=")</f>
        <v>#REF!</v>
      </c>
      <c r="FX593" t="e">
        <f>AND(#REF!,"AAAAAHedu7M=")</f>
        <v>#REF!</v>
      </c>
      <c r="FY593" t="e">
        <f>AND(#REF!,"AAAAAHedu7Q=")</f>
        <v>#REF!</v>
      </c>
      <c r="FZ593" t="e">
        <f>AND(#REF!,"AAAAAHedu7U=")</f>
        <v>#REF!</v>
      </c>
      <c r="GA593" t="e">
        <f>AND(#REF!,"AAAAAHedu7Y=")</f>
        <v>#REF!</v>
      </c>
      <c r="GB593" t="e">
        <f>AND(#REF!,"AAAAAHedu7c=")</f>
        <v>#REF!</v>
      </c>
      <c r="GC593" t="e">
        <f>AND(#REF!,"AAAAAHedu7g=")</f>
        <v>#REF!</v>
      </c>
      <c r="GD593" t="e">
        <f>AND(#REF!,"AAAAAHedu7k=")</f>
        <v>#REF!</v>
      </c>
      <c r="GE593" t="e">
        <f>AND(#REF!,"AAAAAHedu7o=")</f>
        <v>#REF!</v>
      </c>
      <c r="GF593" t="e">
        <f>AND(#REF!,"AAAAAHedu7s=")</f>
        <v>#REF!</v>
      </c>
      <c r="GG593" t="e">
        <f>IF(#REF!,"AAAAAHedu7w=",0)</f>
        <v>#REF!</v>
      </c>
      <c r="GH593" t="e">
        <f>AND(#REF!,"AAAAAHedu70=")</f>
        <v>#REF!</v>
      </c>
      <c r="GI593" t="e">
        <f>AND(#REF!,"AAAAAHedu74=")</f>
        <v>#REF!</v>
      </c>
      <c r="GJ593" t="e">
        <f>AND(#REF!,"AAAAAHedu78=")</f>
        <v>#REF!</v>
      </c>
      <c r="GK593" t="e">
        <f>AND(#REF!,"AAAAAHedu8A=")</f>
        <v>#REF!</v>
      </c>
      <c r="GL593" t="e">
        <f>AND(#REF!,"AAAAAHedu8E=")</f>
        <v>#REF!</v>
      </c>
      <c r="GM593" t="e">
        <f>AND(#REF!,"AAAAAHedu8I=")</f>
        <v>#REF!</v>
      </c>
      <c r="GN593" t="e">
        <f>AND(#REF!,"AAAAAHedu8M=")</f>
        <v>#REF!</v>
      </c>
      <c r="GO593" t="e">
        <f>AND(#REF!,"AAAAAHedu8Q=")</f>
        <v>#REF!</v>
      </c>
      <c r="GP593" t="e">
        <f>AND(#REF!,"AAAAAHedu8U=")</f>
        <v>#REF!</v>
      </c>
      <c r="GQ593" t="e">
        <f>AND(#REF!,"AAAAAHedu8Y=")</f>
        <v>#REF!</v>
      </c>
      <c r="GR593" t="e">
        <f>AND(#REF!,"AAAAAHedu8c=")</f>
        <v>#REF!</v>
      </c>
      <c r="GS593" t="e">
        <f>AND(#REF!,"AAAAAHedu8g=")</f>
        <v>#REF!</v>
      </c>
      <c r="GT593" t="e">
        <f>AND(#REF!,"AAAAAHedu8k=")</f>
        <v>#REF!</v>
      </c>
      <c r="GU593" t="e">
        <f>AND(#REF!,"AAAAAHedu8o=")</f>
        <v>#REF!</v>
      </c>
      <c r="GV593" t="e">
        <f>AND(#REF!,"AAAAAHedu8s=")</f>
        <v>#REF!</v>
      </c>
      <c r="GW593" t="e">
        <f>IF(#REF!,"AAAAAHedu8w=",0)</f>
        <v>#REF!</v>
      </c>
      <c r="GX593" t="e">
        <f>AND(#REF!,"AAAAAHedu80=")</f>
        <v>#REF!</v>
      </c>
      <c r="GY593" t="e">
        <f>AND(#REF!,"AAAAAHedu84=")</f>
        <v>#REF!</v>
      </c>
      <c r="GZ593" t="e">
        <f>AND(#REF!,"AAAAAHedu88=")</f>
        <v>#REF!</v>
      </c>
      <c r="HA593" t="e">
        <f>AND(#REF!,"AAAAAHedu9A=")</f>
        <v>#REF!</v>
      </c>
      <c r="HB593" t="e">
        <f>AND(#REF!,"AAAAAHedu9E=")</f>
        <v>#REF!</v>
      </c>
      <c r="HC593" t="e">
        <f>AND(#REF!,"AAAAAHedu9I=")</f>
        <v>#REF!</v>
      </c>
      <c r="HD593" t="e">
        <f>AND(#REF!,"AAAAAHedu9M=")</f>
        <v>#REF!</v>
      </c>
      <c r="HE593" t="e">
        <f>AND(#REF!,"AAAAAHedu9Q=")</f>
        <v>#REF!</v>
      </c>
      <c r="HF593" t="e">
        <f>AND(#REF!,"AAAAAHedu9U=")</f>
        <v>#REF!</v>
      </c>
      <c r="HG593" t="e">
        <f>AND(#REF!,"AAAAAHedu9Y=")</f>
        <v>#REF!</v>
      </c>
      <c r="HH593" t="e">
        <f>AND(#REF!,"AAAAAHedu9c=")</f>
        <v>#REF!</v>
      </c>
      <c r="HI593" t="e">
        <f>AND(#REF!,"AAAAAHedu9g=")</f>
        <v>#REF!</v>
      </c>
      <c r="HJ593" t="e">
        <f>AND(#REF!,"AAAAAHedu9k=")</f>
        <v>#REF!</v>
      </c>
      <c r="HK593" t="e">
        <f>AND(#REF!,"AAAAAHedu9o=")</f>
        <v>#REF!</v>
      </c>
      <c r="HL593" t="e">
        <f>AND(#REF!,"AAAAAHedu9s=")</f>
        <v>#REF!</v>
      </c>
      <c r="HM593" t="e">
        <f>IF(#REF!,"AAAAAHedu9w=",0)</f>
        <v>#REF!</v>
      </c>
      <c r="HN593" t="e">
        <f>AND(#REF!,"AAAAAHedu90=")</f>
        <v>#REF!</v>
      </c>
      <c r="HO593" t="e">
        <f>AND(#REF!,"AAAAAHedu94=")</f>
        <v>#REF!</v>
      </c>
      <c r="HP593" t="e">
        <f>AND(#REF!,"AAAAAHedu98=")</f>
        <v>#REF!</v>
      </c>
      <c r="HQ593" t="e">
        <f>AND(#REF!,"AAAAAHedu+A=")</f>
        <v>#REF!</v>
      </c>
      <c r="HR593" t="e">
        <f>AND(#REF!,"AAAAAHedu+E=")</f>
        <v>#REF!</v>
      </c>
      <c r="HS593" t="e">
        <f>AND(#REF!,"AAAAAHedu+I=")</f>
        <v>#REF!</v>
      </c>
      <c r="HT593" t="e">
        <f>AND(#REF!,"AAAAAHedu+M=")</f>
        <v>#REF!</v>
      </c>
      <c r="HU593" t="e">
        <f>AND(#REF!,"AAAAAHedu+Q=")</f>
        <v>#REF!</v>
      </c>
      <c r="HV593" t="e">
        <f>AND(#REF!,"AAAAAHedu+U=")</f>
        <v>#REF!</v>
      </c>
      <c r="HW593" t="e">
        <f>AND(#REF!,"AAAAAHedu+Y=")</f>
        <v>#REF!</v>
      </c>
      <c r="HX593" t="e">
        <f>AND(#REF!,"AAAAAHedu+c=")</f>
        <v>#REF!</v>
      </c>
      <c r="HY593" t="e">
        <f>AND(#REF!,"AAAAAHedu+g=")</f>
        <v>#REF!</v>
      </c>
      <c r="HZ593" t="e">
        <f>AND(#REF!,"AAAAAHedu+k=")</f>
        <v>#REF!</v>
      </c>
      <c r="IA593" t="e">
        <f>AND(#REF!,"AAAAAHedu+o=")</f>
        <v>#REF!</v>
      </c>
      <c r="IB593" t="e">
        <f>AND(#REF!,"AAAAAHedu+s=")</f>
        <v>#REF!</v>
      </c>
      <c r="IC593" t="e">
        <f>IF(#REF!,"AAAAAHedu+w=",0)</f>
        <v>#REF!</v>
      </c>
      <c r="ID593" t="e">
        <f>AND(#REF!,"AAAAAHedu+0=")</f>
        <v>#REF!</v>
      </c>
      <c r="IE593" t="e">
        <f>AND(#REF!,"AAAAAHedu+4=")</f>
        <v>#REF!</v>
      </c>
      <c r="IF593" t="e">
        <f>AND(#REF!,"AAAAAHedu+8=")</f>
        <v>#REF!</v>
      </c>
      <c r="IG593" t="e">
        <f>AND(#REF!,"AAAAAHedu/A=")</f>
        <v>#REF!</v>
      </c>
      <c r="IH593" t="e">
        <f>AND(#REF!,"AAAAAHedu/E=")</f>
        <v>#REF!</v>
      </c>
      <c r="II593" t="e">
        <f>AND(#REF!,"AAAAAHedu/I=")</f>
        <v>#REF!</v>
      </c>
      <c r="IJ593" t="e">
        <f>AND(#REF!,"AAAAAHedu/M=")</f>
        <v>#REF!</v>
      </c>
      <c r="IK593" t="e">
        <f>AND(#REF!,"AAAAAHedu/Q=")</f>
        <v>#REF!</v>
      </c>
      <c r="IL593" t="e">
        <f>AND(#REF!,"AAAAAHedu/U=")</f>
        <v>#REF!</v>
      </c>
      <c r="IM593" t="e">
        <f>AND(#REF!,"AAAAAHedu/Y=")</f>
        <v>#REF!</v>
      </c>
      <c r="IN593" t="e">
        <f>AND(#REF!,"AAAAAHedu/c=")</f>
        <v>#REF!</v>
      </c>
      <c r="IO593" t="e">
        <f>AND(#REF!,"AAAAAHedu/g=")</f>
        <v>#REF!</v>
      </c>
      <c r="IP593" t="e">
        <f>AND(#REF!,"AAAAAHedu/k=")</f>
        <v>#REF!</v>
      </c>
      <c r="IQ593" t="e">
        <f>AND(#REF!,"AAAAAHedu/o=")</f>
        <v>#REF!</v>
      </c>
      <c r="IR593" t="e">
        <f>AND(#REF!,"AAAAAHedu/s=")</f>
        <v>#REF!</v>
      </c>
      <c r="IS593" t="e">
        <f>IF(#REF!,"AAAAAHedu/w=",0)</f>
        <v>#REF!</v>
      </c>
      <c r="IT593" t="e">
        <f>AND(#REF!,"AAAAAHedu/0=")</f>
        <v>#REF!</v>
      </c>
      <c r="IU593" t="e">
        <f>AND(#REF!,"AAAAAHedu/4=")</f>
        <v>#REF!</v>
      </c>
      <c r="IV593" t="e">
        <f>AND(#REF!,"AAAAAHedu/8=")</f>
        <v>#REF!</v>
      </c>
    </row>
    <row r="594" spans="1:256">
      <c r="A594" t="e">
        <f>AND(#REF!,"AAAAAH2f2wA=")</f>
        <v>#REF!</v>
      </c>
      <c r="B594" t="e">
        <f>AND(#REF!,"AAAAAH2f2wE=")</f>
        <v>#REF!</v>
      </c>
      <c r="C594" t="e">
        <f>AND(#REF!,"AAAAAH2f2wI=")</f>
        <v>#REF!</v>
      </c>
      <c r="D594" t="e">
        <f>AND(#REF!,"AAAAAH2f2wM=")</f>
        <v>#REF!</v>
      </c>
      <c r="E594" t="e">
        <f>AND(#REF!,"AAAAAH2f2wQ=")</f>
        <v>#REF!</v>
      </c>
      <c r="F594" t="e">
        <f>AND(#REF!,"AAAAAH2f2wU=")</f>
        <v>#REF!</v>
      </c>
      <c r="G594" t="e">
        <f>AND(#REF!,"AAAAAH2f2wY=")</f>
        <v>#REF!</v>
      </c>
      <c r="H594" t="e">
        <f>AND(#REF!,"AAAAAH2f2wc=")</f>
        <v>#REF!</v>
      </c>
      <c r="I594" t="e">
        <f>AND(#REF!,"AAAAAH2f2wg=")</f>
        <v>#REF!</v>
      </c>
      <c r="J594" t="e">
        <f>AND(#REF!,"AAAAAH2f2wk=")</f>
        <v>#REF!</v>
      </c>
      <c r="K594" t="e">
        <f>AND(#REF!,"AAAAAH2f2wo=")</f>
        <v>#REF!</v>
      </c>
      <c r="L594" t="e">
        <f>AND(#REF!,"AAAAAH2f2ws=")</f>
        <v>#REF!</v>
      </c>
      <c r="M594" t="e">
        <f>IF(#REF!,"AAAAAH2f2ww=",0)</f>
        <v>#REF!</v>
      </c>
      <c r="N594" t="e">
        <f>AND(#REF!,"AAAAAH2f2w0=")</f>
        <v>#REF!</v>
      </c>
      <c r="O594" t="e">
        <f>AND(#REF!,"AAAAAH2f2w4=")</f>
        <v>#REF!</v>
      </c>
      <c r="P594" t="e">
        <f>AND(#REF!,"AAAAAH2f2w8=")</f>
        <v>#REF!</v>
      </c>
      <c r="Q594" t="e">
        <f>AND(#REF!,"AAAAAH2f2xA=")</f>
        <v>#REF!</v>
      </c>
      <c r="R594" t="e">
        <f>AND(#REF!,"AAAAAH2f2xE=")</f>
        <v>#REF!</v>
      </c>
      <c r="S594" t="e">
        <f>AND(#REF!,"AAAAAH2f2xI=")</f>
        <v>#REF!</v>
      </c>
      <c r="T594" t="e">
        <f>AND(#REF!,"AAAAAH2f2xM=")</f>
        <v>#REF!</v>
      </c>
      <c r="U594" t="e">
        <f>AND(#REF!,"AAAAAH2f2xQ=")</f>
        <v>#REF!</v>
      </c>
      <c r="V594" t="e">
        <f>AND(#REF!,"AAAAAH2f2xU=")</f>
        <v>#REF!</v>
      </c>
      <c r="W594" t="e">
        <f>AND(#REF!,"AAAAAH2f2xY=")</f>
        <v>#REF!</v>
      </c>
      <c r="X594" t="e">
        <f>AND(#REF!,"AAAAAH2f2xc=")</f>
        <v>#REF!</v>
      </c>
      <c r="Y594" t="e">
        <f>AND(#REF!,"AAAAAH2f2xg=")</f>
        <v>#REF!</v>
      </c>
      <c r="Z594" t="e">
        <f>AND(#REF!,"AAAAAH2f2xk=")</f>
        <v>#REF!</v>
      </c>
      <c r="AA594" t="e">
        <f>AND(#REF!,"AAAAAH2f2xo=")</f>
        <v>#REF!</v>
      </c>
      <c r="AB594" t="e">
        <f>AND(#REF!,"AAAAAH2f2xs=")</f>
        <v>#REF!</v>
      </c>
      <c r="AC594" t="e">
        <f>IF(#REF!,"AAAAAH2f2xw=",0)</f>
        <v>#REF!</v>
      </c>
      <c r="AD594" t="e">
        <f>AND(#REF!,"AAAAAH2f2x0=")</f>
        <v>#REF!</v>
      </c>
      <c r="AE594" t="e">
        <f>AND(#REF!,"AAAAAH2f2x4=")</f>
        <v>#REF!</v>
      </c>
      <c r="AF594" t="e">
        <f>AND(#REF!,"AAAAAH2f2x8=")</f>
        <v>#REF!</v>
      </c>
      <c r="AG594" t="e">
        <f>AND(#REF!,"AAAAAH2f2yA=")</f>
        <v>#REF!</v>
      </c>
      <c r="AH594" t="e">
        <f>AND(#REF!,"AAAAAH2f2yE=")</f>
        <v>#REF!</v>
      </c>
      <c r="AI594" t="e">
        <f>AND(#REF!,"AAAAAH2f2yI=")</f>
        <v>#REF!</v>
      </c>
      <c r="AJ594" t="e">
        <f>AND(#REF!,"AAAAAH2f2yM=")</f>
        <v>#REF!</v>
      </c>
      <c r="AK594" t="e">
        <f>AND(#REF!,"AAAAAH2f2yQ=")</f>
        <v>#REF!</v>
      </c>
      <c r="AL594" t="e">
        <f>AND(#REF!,"AAAAAH2f2yU=")</f>
        <v>#REF!</v>
      </c>
      <c r="AM594" t="e">
        <f>AND(#REF!,"AAAAAH2f2yY=")</f>
        <v>#REF!</v>
      </c>
      <c r="AN594" t="e">
        <f>AND(#REF!,"AAAAAH2f2yc=")</f>
        <v>#REF!</v>
      </c>
      <c r="AO594" t="e">
        <f>AND(#REF!,"AAAAAH2f2yg=")</f>
        <v>#REF!</v>
      </c>
      <c r="AP594" t="e">
        <f>AND(#REF!,"AAAAAH2f2yk=")</f>
        <v>#REF!</v>
      </c>
      <c r="AQ594" t="e">
        <f>AND(#REF!,"AAAAAH2f2yo=")</f>
        <v>#REF!</v>
      </c>
      <c r="AR594" t="e">
        <f>AND(#REF!,"AAAAAH2f2ys=")</f>
        <v>#REF!</v>
      </c>
      <c r="AS594" t="e">
        <f>IF(#REF!,"AAAAAH2f2yw=",0)</f>
        <v>#REF!</v>
      </c>
      <c r="AT594" t="e">
        <f>AND(#REF!,"AAAAAH2f2y0=")</f>
        <v>#REF!</v>
      </c>
      <c r="AU594" t="e">
        <f>AND(#REF!,"AAAAAH2f2y4=")</f>
        <v>#REF!</v>
      </c>
      <c r="AV594" t="e">
        <f>AND(#REF!,"AAAAAH2f2y8=")</f>
        <v>#REF!</v>
      </c>
      <c r="AW594" t="e">
        <f>AND(#REF!,"AAAAAH2f2zA=")</f>
        <v>#REF!</v>
      </c>
      <c r="AX594" t="e">
        <f>AND(#REF!,"AAAAAH2f2zE=")</f>
        <v>#REF!</v>
      </c>
      <c r="AY594" t="e">
        <f>AND(#REF!,"AAAAAH2f2zI=")</f>
        <v>#REF!</v>
      </c>
      <c r="AZ594" t="e">
        <f>AND(#REF!,"AAAAAH2f2zM=")</f>
        <v>#REF!</v>
      </c>
      <c r="BA594" t="e">
        <f>AND(#REF!,"AAAAAH2f2zQ=")</f>
        <v>#REF!</v>
      </c>
      <c r="BB594" t="e">
        <f>AND(#REF!,"AAAAAH2f2zU=")</f>
        <v>#REF!</v>
      </c>
      <c r="BC594" t="e">
        <f>AND(#REF!,"AAAAAH2f2zY=")</f>
        <v>#REF!</v>
      </c>
      <c r="BD594" t="e">
        <f>AND(#REF!,"AAAAAH2f2zc=")</f>
        <v>#REF!</v>
      </c>
      <c r="BE594" t="e">
        <f>AND(#REF!,"AAAAAH2f2zg=")</f>
        <v>#REF!</v>
      </c>
      <c r="BF594" t="e">
        <f>AND(#REF!,"AAAAAH2f2zk=")</f>
        <v>#REF!</v>
      </c>
      <c r="BG594" t="e">
        <f>AND(#REF!,"AAAAAH2f2zo=")</f>
        <v>#REF!</v>
      </c>
      <c r="BH594" t="e">
        <f>AND(#REF!,"AAAAAH2f2zs=")</f>
        <v>#REF!</v>
      </c>
      <c r="BI594" t="e">
        <f>IF(#REF!,"AAAAAH2f2zw=",0)</f>
        <v>#REF!</v>
      </c>
      <c r="BJ594" t="e">
        <f>AND(#REF!,"AAAAAH2f2z0=")</f>
        <v>#REF!</v>
      </c>
      <c r="BK594" t="e">
        <f>AND(#REF!,"AAAAAH2f2z4=")</f>
        <v>#REF!</v>
      </c>
      <c r="BL594" t="e">
        <f>AND(#REF!,"AAAAAH2f2z8=")</f>
        <v>#REF!</v>
      </c>
      <c r="BM594" t="e">
        <f>AND(#REF!,"AAAAAH2f20A=")</f>
        <v>#REF!</v>
      </c>
      <c r="BN594" t="e">
        <f>AND(#REF!,"AAAAAH2f20E=")</f>
        <v>#REF!</v>
      </c>
      <c r="BO594" t="e">
        <f>AND(#REF!,"AAAAAH2f20I=")</f>
        <v>#REF!</v>
      </c>
      <c r="BP594" t="e">
        <f>AND(#REF!,"AAAAAH2f20M=")</f>
        <v>#REF!</v>
      </c>
      <c r="BQ594" t="e">
        <f>AND(#REF!,"AAAAAH2f20Q=")</f>
        <v>#REF!</v>
      </c>
      <c r="BR594" t="e">
        <f>AND(#REF!,"AAAAAH2f20U=")</f>
        <v>#REF!</v>
      </c>
      <c r="BS594" t="e">
        <f>AND(#REF!,"AAAAAH2f20Y=")</f>
        <v>#REF!</v>
      </c>
      <c r="BT594" t="e">
        <f>AND(#REF!,"AAAAAH2f20c=")</f>
        <v>#REF!</v>
      </c>
      <c r="BU594" t="e">
        <f>AND(#REF!,"AAAAAH2f20g=")</f>
        <v>#REF!</v>
      </c>
      <c r="BV594" t="e">
        <f>AND(#REF!,"AAAAAH2f20k=")</f>
        <v>#REF!</v>
      </c>
      <c r="BW594" t="e">
        <f>AND(#REF!,"AAAAAH2f20o=")</f>
        <v>#REF!</v>
      </c>
      <c r="BX594" t="e">
        <f>AND(#REF!,"AAAAAH2f20s=")</f>
        <v>#REF!</v>
      </c>
      <c r="BY594" t="e">
        <f>IF(#REF!,"AAAAAH2f20w=",0)</f>
        <v>#REF!</v>
      </c>
      <c r="BZ594" t="e">
        <f>AND(#REF!,"AAAAAH2f200=")</f>
        <v>#REF!</v>
      </c>
      <c r="CA594" t="e">
        <f>AND(#REF!,"AAAAAH2f204=")</f>
        <v>#REF!</v>
      </c>
      <c r="CB594" t="e">
        <f>AND(#REF!,"AAAAAH2f208=")</f>
        <v>#REF!</v>
      </c>
      <c r="CC594" t="e">
        <f>AND(#REF!,"AAAAAH2f21A=")</f>
        <v>#REF!</v>
      </c>
      <c r="CD594" t="e">
        <f>AND(#REF!,"AAAAAH2f21E=")</f>
        <v>#REF!</v>
      </c>
      <c r="CE594" t="e">
        <f>AND(#REF!,"AAAAAH2f21I=")</f>
        <v>#REF!</v>
      </c>
      <c r="CF594" t="e">
        <f>AND(#REF!,"AAAAAH2f21M=")</f>
        <v>#REF!</v>
      </c>
      <c r="CG594" t="e">
        <f>AND(#REF!,"AAAAAH2f21Q=")</f>
        <v>#REF!</v>
      </c>
      <c r="CH594" t="e">
        <f>AND(#REF!,"AAAAAH2f21U=")</f>
        <v>#REF!</v>
      </c>
      <c r="CI594" t="e">
        <f>AND(#REF!,"AAAAAH2f21Y=")</f>
        <v>#REF!</v>
      </c>
      <c r="CJ594" t="e">
        <f>AND(#REF!,"AAAAAH2f21c=")</f>
        <v>#REF!</v>
      </c>
      <c r="CK594" t="e">
        <f>AND(#REF!,"AAAAAH2f21g=")</f>
        <v>#REF!</v>
      </c>
      <c r="CL594" t="e">
        <f>AND(#REF!,"AAAAAH2f21k=")</f>
        <v>#REF!</v>
      </c>
      <c r="CM594" t="e">
        <f>AND(#REF!,"AAAAAH2f21o=")</f>
        <v>#REF!</v>
      </c>
      <c r="CN594" t="e">
        <f>AND(#REF!,"AAAAAH2f21s=")</f>
        <v>#REF!</v>
      </c>
      <c r="CO594" t="e">
        <f>IF(#REF!,"AAAAAH2f21w=",0)</f>
        <v>#REF!</v>
      </c>
      <c r="CP594" t="e">
        <f>AND(#REF!,"AAAAAH2f210=")</f>
        <v>#REF!</v>
      </c>
      <c r="CQ594" t="e">
        <f>AND(#REF!,"AAAAAH2f214=")</f>
        <v>#REF!</v>
      </c>
      <c r="CR594" t="e">
        <f>AND(#REF!,"AAAAAH2f218=")</f>
        <v>#REF!</v>
      </c>
      <c r="CS594" t="e">
        <f>AND(#REF!,"AAAAAH2f22A=")</f>
        <v>#REF!</v>
      </c>
      <c r="CT594" t="e">
        <f>AND(#REF!,"AAAAAH2f22E=")</f>
        <v>#REF!</v>
      </c>
      <c r="CU594" t="e">
        <f>AND(#REF!,"AAAAAH2f22I=")</f>
        <v>#REF!</v>
      </c>
      <c r="CV594" t="e">
        <f>AND(#REF!,"AAAAAH2f22M=")</f>
        <v>#REF!</v>
      </c>
      <c r="CW594" t="e">
        <f>AND(#REF!,"AAAAAH2f22Q=")</f>
        <v>#REF!</v>
      </c>
      <c r="CX594" t="e">
        <f>AND(#REF!,"AAAAAH2f22U=")</f>
        <v>#REF!</v>
      </c>
      <c r="CY594" t="e">
        <f>AND(#REF!,"AAAAAH2f22Y=")</f>
        <v>#REF!</v>
      </c>
      <c r="CZ594" t="e">
        <f>AND(#REF!,"AAAAAH2f22c=")</f>
        <v>#REF!</v>
      </c>
      <c r="DA594" t="e">
        <f>AND(#REF!,"AAAAAH2f22g=")</f>
        <v>#REF!</v>
      </c>
      <c r="DB594" t="e">
        <f>AND(#REF!,"AAAAAH2f22k=")</f>
        <v>#REF!</v>
      </c>
      <c r="DC594" t="e">
        <f>AND(#REF!,"AAAAAH2f22o=")</f>
        <v>#REF!</v>
      </c>
      <c r="DD594" t="e">
        <f>AND(#REF!,"AAAAAH2f22s=")</f>
        <v>#REF!</v>
      </c>
      <c r="DE594" t="e">
        <f>IF(#REF!,"AAAAAH2f22w=",0)</f>
        <v>#REF!</v>
      </c>
      <c r="DF594" t="e">
        <f>AND(#REF!,"AAAAAH2f220=")</f>
        <v>#REF!</v>
      </c>
      <c r="DG594" t="e">
        <f>AND(#REF!,"AAAAAH2f224=")</f>
        <v>#REF!</v>
      </c>
      <c r="DH594" t="e">
        <f>AND(#REF!,"AAAAAH2f228=")</f>
        <v>#REF!</v>
      </c>
      <c r="DI594" t="e">
        <f>AND(#REF!,"AAAAAH2f23A=")</f>
        <v>#REF!</v>
      </c>
      <c r="DJ594" t="e">
        <f>AND(#REF!,"AAAAAH2f23E=")</f>
        <v>#REF!</v>
      </c>
      <c r="DK594" t="e">
        <f>AND(#REF!,"AAAAAH2f23I=")</f>
        <v>#REF!</v>
      </c>
      <c r="DL594" t="e">
        <f>AND(#REF!,"AAAAAH2f23M=")</f>
        <v>#REF!</v>
      </c>
      <c r="DM594" t="e">
        <f>AND(#REF!,"AAAAAH2f23Q=")</f>
        <v>#REF!</v>
      </c>
      <c r="DN594" t="e">
        <f>AND(#REF!,"AAAAAH2f23U=")</f>
        <v>#REF!</v>
      </c>
      <c r="DO594" t="e">
        <f>AND(#REF!,"AAAAAH2f23Y=")</f>
        <v>#REF!</v>
      </c>
      <c r="DP594" t="e">
        <f>AND(#REF!,"AAAAAH2f23c=")</f>
        <v>#REF!</v>
      </c>
      <c r="DQ594" t="e">
        <f>AND(#REF!,"AAAAAH2f23g=")</f>
        <v>#REF!</v>
      </c>
      <c r="DR594" t="e">
        <f>AND(#REF!,"AAAAAH2f23k=")</f>
        <v>#REF!</v>
      </c>
      <c r="DS594" t="e">
        <f>AND(#REF!,"AAAAAH2f23o=")</f>
        <v>#REF!</v>
      </c>
      <c r="DT594" t="e">
        <f>AND(#REF!,"AAAAAH2f23s=")</f>
        <v>#REF!</v>
      </c>
      <c r="DU594" t="e">
        <f>IF(#REF!,"AAAAAH2f23w=",0)</f>
        <v>#REF!</v>
      </c>
      <c r="DV594" t="e">
        <f>AND(#REF!,"AAAAAH2f230=")</f>
        <v>#REF!</v>
      </c>
      <c r="DW594" t="e">
        <f>AND(#REF!,"AAAAAH2f234=")</f>
        <v>#REF!</v>
      </c>
      <c r="DX594" t="e">
        <f>AND(#REF!,"AAAAAH2f238=")</f>
        <v>#REF!</v>
      </c>
      <c r="DY594" t="e">
        <f>AND(#REF!,"AAAAAH2f24A=")</f>
        <v>#REF!</v>
      </c>
      <c r="DZ594" t="e">
        <f>AND(#REF!,"AAAAAH2f24E=")</f>
        <v>#REF!</v>
      </c>
      <c r="EA594" t="e">
        <f>AND(#REF!,"AAAAAH2f24I=")</f>
        <v>#REF!</v>
      </c>
      <c r="EB594" t="e">
        <f>AND(#REF!,"AAAAAH2f24M=")</f>
        <v>#REF!</v>
      </c>
      <c r="EC594" t="e">
        <f>AND(#REF!,"AAAAAH2f24Q=")</f>
        <v>#REF!</v>
      </c>
      <c r="ED594" t="e">
        <f>AND(#REF!,"AAAAAH2f24U=")</f>
        <v>#REF!</v>
      </c>
      <c r="EE594" t="e">
        <f>AND(#REF!,"AAAAAH2f24Y=")</f>
        <v>#REF!</v>
      </c>
      <c r="EF594" t="e">
        <f>AND(#REF!,"AAAAAH2f24c=")</f>
        <v>#REF!</v>
      </c>
      <c r="EG594" t="e">
        <f>AND(#REF!,"AAAAAH2f24g=")</f>
        <v>#REF!</v>
      </c>
      <c r="EH594" t="e">
        <f>AND(#REF!,"AAAAAH2f24k=")</f>
        <v>#REF!</v>
      </c>
      <c r="EI594" t="e">
        <f>AND(#REF!,"AAAAAH2f24o=")</f>
        <v>#REF!</v>
      </c>
      <c r="EJ594" t="e">
        <f>AND(#REF!,"AAAAAH2f24s=")</f>
        <v>#REF!</v>
      </c>
      <c r="EK594" t="e">
        <f>IF(#REF!,"AAAAAH2f24w=",0)</f>
        <v>#REF!</v>
      </c>
      <c r="EL594" t="e">
        <f>AND(#REF!,"AAAAAH2f240=")</f>
        <v>#REF!</v>
      </c>
      <c r="EM594" t="e">
        <f>AND(#REF!,"AAAAAH2f244=")</f>
        <v>#REF!</v>
      </c>
      <c r="EN594" t="e">
        <f>AND(#REF!,"AAAAAH2f248=")</f>
        <v>#REF!</v>
      </c>
      <c r="EO594" t="e">
        <f>AND(#REF!,"AAAAAH2f25A=")</f>
        <v>#REF!</v>
      </c>
      <c r="EP594" t="e">
        <f>AND(#REF!,"AAAAAH2f25E=")</f>
        <v>#REF!</v>
      </c>
      <c r="EQ594" t="e">
        <f>AND(#REF!,"AAAAAH2f25I=")</f>
        <v>#REF!</v>
      </c>
      <c r="ER594" t="e">
        <f>AND(#REF!,"AAAAAH2f25M=")</f>
        <v>#REF!</v>
      </c>
      <c r="ES594" t="e">
        <f>AND(#REF!,"AAAAAH2f25Q=")</f>
        <v>#REF!</v>
      </c>
      <c r="ET594" t="e">
        <f>AND(#REF!,"AAAAAH2f25U=")</f>
        <v>#REF!</v>
      </c>
      <c r="EU594" t="e">
        <f>AND(#REF!,"AAAAAH2f25Y=")</f>
        <v>#REF!</v>
      </c>
      <c r="EV594" t="e">
        <f>AND(#REF!,"AAAAAH2f25c=")</f>
        <v>#REF!</v>
      </c>
      <c r="EW594" t="e">
        <f>AND(#REF!,"AAAAAH2f25g=")</f>
        <v>#REF!</v>
      </c>
      <c r="EX594" t="e">
        <f>AND(#REF!,"AAAAAH2f25k=")</f>
        <v>#REF!</v>
      </c>
      <c r="EY594" t="e">
        <f>AND(#REF!,"AAAAAH2f25o=")</f>
        <v>#REF!</v>
      </c>
      <c r="EZ594" t="e">
        <f>AND(#REF!,"AAAAAH2f25s=")</f>
        <v>#REF!</v>
      </c>
      <c r="FA594" t="e">
        <f>IF(#REF!,"AAAAAH2f25w=",0)</f>
        <v>#REF!</v>
      </c>
      <c r="FB594" t="e">
        <f>AND(#REF!,"AAAAAH2f250=")</f>
        <v>#REF!</v>
      </c>
      <c r="FC594" t="e">
        <f>AND(#REF!,"AAAAAH2f254=")</f>
        <v>#REF!</v>
      </c>
      <c r="FD594" t="e">
        <f>AND(#REF!,"AAAAAH2f258=")</f>
        <v>#REF!</v>
      </c>
      <c r="FE594" t="e">
        <f>AND(#REF!,"AAAAAH2f26A=")</f>
        <v>#REF!</v>
      </c>
      <c r="FF594" t="e">
        <f>AND(#REF!,"AAAAAH2f26E=")</f>
        <v>#REF!</v>
      </c>
      <c r="FG594" t="e">
        <f>AND(#REF!,"AAAAAH2f26I=")</f>
        <v>#REF!</v>
      </c>
      <c r="FH594" t="e">
        <f>AND(#REF!,"AAAAAH2f26M=")</f>
        <v>#REF!</v>
      </c>
      <c r="FI594" t="e">
        <f>AND(#REF!,"AAAAAH2f26Q=")</f>
        <v>#REF!</v>
      </c>
      <c r="FJ594" t="e">
        <f>AND(#REF!,"AAAAAH2f26U=")</f>
        <v>#REF!</v>
      </c>
      <c r="FK594" t="e">
        <f>AND(#REF!,"AAAAAH2f26Y=")</f>
        <v>#REF!</v>
      </c>
      <c r="FL594" t="e">
        <f>AND(#REF!,"AAAAAH2f26c=")</f>
        <v>#REF!</v>
      </c>
      <c r="FM594" t="e">
        <f>AND(#REF!,"AAAAAH2f26g=")</f>
        <v>#REF!</v>
      </c>
      <c r="FN594" t="e">
        <f>AND(#REF!,"AAAAAH2f26k=")</f>
        <v>#REF!</v>
      </c>
      <c r="FO594" t="e">
        <f>AND(#REF!,"AAAAAH2f26o=")</f>
        <v>#REF!</v>
      </c>
      <c r="FP594" t="e">
        <f>AND(#REF!,"AAAAAH2f26s=")</f>
        <v>#REF!</v>
      </c>
      <c r="FQ594" t="e">
        <f>IF(#REF!,"AAAAAH2f26w=",0)</f>
        <v>#REF!</v>
      </c>
      <c r="FR594" t="e">
        <f>AND(#REF!,"AAAAAH2f260=")</f>
        <v>#REF!</v>
      </c>
      <c r="FS594" t="e">
        <f>AND(#REF!,"AAAAAH2f264=")</f>
        <v>#REF!</v>
      </c>
      <c r="FT594" t="e">
        <f>AND(#REF!,"AAAAAH2f268=")</f>
        <v>#REF!</v>
      </c>
      <c r="FU594" t="e">
        <f>AND(#REF!,"AAAAAH2f27A=")</f>
        <v>#REF!</v>
      </c>
      <c r="FV594" t="e">
        <f>AND(#REF!,"AAAAAH2f27E=")</f>
        <v>#REF!</v>
      </c>
      <c r="FW594" t="e">
        <f>AND(#REF!,"AAAAAH2f27I=")</f>
        <v>#REF!</v>
      </c>
      <c r="FX594" t="e">
        <f>AND(#REF!,"AAAAAH2f27M=")</f>
        <v>#REF!</v>
      </c>
      <c r="FY594" t="e">
        <f>AND(#REF!,"AAAAAH2f27Q=")</f>
        <v>#REF!</v>
      </c>
      <c r="FZ594" t="e">
        <f>AND(#REF!,"AAAAAH2f27U=")</f>
        <v>#REF!</v>
      </c>
      <c r="GA594" t="e">
        <f>AND(#REF!,"AAAAAH2f27Y=")</f>
        <v>#REF!</v>
      </c>
      <c r="GB594" t="e">
        <f>AND(#REF!,"AAAAAH2f27c=")</f>
        <v>#REF!</v>
      </c>
      <c r="GC594" t="e">
        <f>AND(#REF!,"AAAAAH2f27g=")</f>
        <v>#REF!</v>
      </c>
      <c r="GD594" t="e">
        <f>AND(#REF!,"AAAAAH2f27k=")</f>
        <v>#REF!</v>
      </c>
      <c r="GE594" t="e">
        <f>AND(#REF!,"AAAAAH2f27o=")</f>
        <v>#REF!</v>
      </c>
      <c r="GF594" t="e">
        <f>AND(#REF!,"AAAAAH2f27s=")</f>
        <v>#REF!</v>
      </c>
      <c r="GG594" t="e">
        <f>IF(#REF!,"AAAAAH2f27w=",0)</f>
        <v>#REF!</v>
      </c>
      <c r="GH594" t="e">
        <f>AND(#REF!,"AAAAAH2f270=")</f>
        <v>#REF!</v>
      </c>
      <c r="GI594" t="e">
        <f>AND(#REF!,"AAAAAH2f274=")</f>
        <v>#REF!</v>
      </c>
      <c r="GJ594" t="e">
        <f>AND(#REF!,"AAAAAH2f278=")</f>
        <v>#REF!</v>
      </c>
      <c r="GK594" t="e">
        <f>AND(#REF!,"AAAAAH2f28A=")</f>
        <v>#REF!</v>
      </c>
      <c r="GL594" t="e">
        <f>AND(#REF!,"AAAAAH2f28E=")</f>
        <v>#REF!</v>
      </c>
      <c r="GM594" t="e">
        <f>AND(#REF!,"AAAAAH2f28I=")</f>
        <v>#REF!</v>
      </c>
      <c r="GN594" t="e">
        <f>AND(#REF!,"AAAAAH2f28M=")</f>
        <v>#REF!</v>
      </c>
      <c r="GO594" t="e">
        <f>AND(#REF!,"AAAAAH2f28Q=")</f>
        <v>#REF!</v>
      </c>
      <c r="GP594" t="e">
        <f>AND(#REF!,"AAAAAH2f28U=")</f>
        <v>#REF!</v>
      </c>
      <c r="GQ594" t="e">
        <f>AND(#REF!,"AAAAAH2f28Y=")</f>
        <v>#REF!</v>
      </c>
      <c r="GR594" t="e">
        <f>AND(#REF!,"AAAAAH2f28c=")</f>
        <v>#REF!</v>
      </c>
      <c r="GS594" t="e">
        <f>AND(#REF!,"AAAAAH2f28g=")</f>
        <v>#REF!</v>
      </c>
      <c r="GT594" t="e">
        <f>AND(#REF!,"AAAAAH2f28k=")</f>
        <v>#REF!</v>
      </c>
      <c r="GU594" t="e">
        <f>AND(#REF!,"AAAAAH2f28o=")</f>
        <v>#REF!</v>
      </c>
      <c r="GV594" t="e">
        <f>AND(#REF!,"AAAAAH2f28s=")</f>
        <v>#REF!</v>
      </c>
      <c r="GW594" t="e">
        <f>IF(#REF!,"AAAAAH2f28w=",0)</f>
        <v>#REF!</v>
      </c>
      <c r="GX594" t="e">
        <f>AND(#REF!,"AAAAAH2f280=")</f>
        <v>#REF!</v>
      </c>
      <c r="GY594" t="e">
        <f>AND(#REF!,"AAAAAH2f284=")</f>
        <v>#REF!</v>
      </c>
      <c r="GZ594" t="e">
        <f>AND(#REF!,"AAAAAH2f288=")</f>
        <v>#REF!</v>
      </c>
      <c r="HA594" t="e">
        <f>AND(#REF!,"AAAAAH2f29A=")</f>
        <v>#REF!</v>
      </c>
      <c r="HB594" t="e">
        <f>AND(#REF!,"AAAAAH2f29E=")</f>
        <v>#REF!</v>
      </c>
      <c r="HC594" t="e">
        <f>AND(#REF!,"AAAAAH2f29I=")</f>
        <v>#REF!</v>
      </c>
      <c r="HD594" t="e">
        <f>AND(#REF!,"AAAAAH2f29M=")</f>
        <v>#REF!</v>
      </c>
      <c r="HE594" t="e">
        <f>AND(#REF!,"AAAAAH2f29Q=")</f>
        <v>#REF!</v>
      </c>
      <c r="HF594" t="e">
        <f>AND(#REF!,"AAAAAH2f29U=")</f>
        <v>#REF!</v>
      </c>
      <c r="HG594" t="e">
        <f>AND(#REF!,"AAAAAH2f29Y=")</f>
        <v>#REF!</v>
      </c>
      <c r="HH594" t="e">
        <f>AND(#REF!,"AAAAAH2f29c=")</f>
        <v>#REF!</v>
      </c>
      <c r="HI594" t="e">
        <f>AND(#REF!,"AAAAAH2f29g=")</f>
        <v>#REF!</v>
      </c>
      <c r="HJ594" t="e">
        <f>AND(#REF!,"AAAAAH2f29k=")</f>
        <v>#REF!</v>
      </c>
      <c r="HK594" t="e">
        <f>AND(#REF!,"AAAAAH2f29o=")</f>
        <v>#REF!</v>
      </c>
      <c r="HL594" t="e">
        <f>AND(#REF!,"AAAAAH2f29s=")</f>
        <v>#REF!</v>
      </c>
      <c r="HM594" t="e">
        <f>IF(#REF!,"AAAAAH2f29w=",0)</f>
        <v>#REF!</v>
      </c>
      <c r="HN594" t="e">
        <f>AND(#REF!,"AAAAAH2f290=")</f>
        <v>#REF!</v>
      </c>
      <c r="HO594" t="e">
        <f>AND(#REF!,"AAAAAH2f294=")</f>
        <v>#REF!</v>
      </c>
      <c r="HP594" t="e">
        <f>AND(#REF!,"AAAAAH2f298=")</f>
        <v>#REF!</v>
      </c>
      <c r="HQ594" t="e">
        <f>AND(#REF!,"AAAAAH2f2+A=")</f>
        <v>#REF!</v>
      </c>
      <c r="HR594" t="e">
        <f>AND(#REF!,"AAAAAH2f2+E=")</f>
        <v>#REF!</v>
      </c>
      <c r="HS594" t="e">
        <f>AND(#REF!,"AAAAAH2f2+I=")</f>
        <v>#REF!</v>
      </c>
      <c r="HT594" t="e">
        <f>AND(#REF!,"AAAAAH2f2+M=")</f>
        <v>#REF!</v>
      </c>
      <c r="HU594" t="e">
        <f>AND(#REF!,"AAAAAH2f2+Q=")</f>
        <v>#REF!</v>
      </c>
      <c r="HV594" t="e">
        <f>AND(#REF!,"AAAAAH2f2+U=")</f>
        <v>#REF!</v>
      </c>
      <c r="HW594" t="e">
        <f>AND(#REF!,"AAAAAH2f2+Y=")</f>
        <v>#REF!</v>
      </c>
      <c r="HX594" t="e">
        <f>AND(#REF!,"AAAAAH2f2+c=")</f>
        <v>#REF!</v>
      </c>
      <c r="HY594" t="e">
        <f>AND(#REF!,"AAAAAH2f2+g=")</f>
        <v>#REF!</v>
      </c>
      <c r="HZ594" t="e">
        <f>AND(#REF!,"AAAAAH2f2+k=")</f>
        <v>#REF!</v>
      </c>
      <c r="IA594" t="e">
        <f>AND(#REF!,"AAAAAH2f2+o=")</f>
        <v>#REF!</v>
      </c>
      <c r="IB594" t="e">
        <f>AND(#REF!,"AAAAAH2f2+s=")</f>
        <v>#REF!</v>
      </c>
      <c r="IC594" t="e">
        <f>IF(#REF!,"AAAAAH2f2+w=",0)</f>
        <v>#REF!</v>
      </c>
      <c r="ID594" t="e">
        <f>AND(#REF!,"AAAAAH2f2+0=")</f>
        <v>#REF!</v>
      </c>
      <c r="IE594" t="e">
        <f>AND(#REF!,"AAAAAH2f2+4=")</f>
        <v>#REF!</v>
      </c>
      <c r="IF594" t="e">
        <f>AND(#REF!,"AAAAAH2f2+8=")</f>
        <v>#REF!</v>
      </c>
      <c r="IG594" t="e">
        <f>AND(#REF!,"AAAAAH2f2/A=")</f>
        <v>#REF!</v>
      </c>
      <c r="IH594" t="e">
        <f>AND(#REF!,"AAAAAH2f2/E=")</f>
        <v>#REF!</v>
      </c>
      <c r="II594" t="e">
        <f>AND(#REF!,"AAAAAH2f2/I=")</f>
        <v>#REF!</v>
      </c>
      <c r="IJ594" t="e">
        <f>AND(#REF!,"AAAAAH2f2/M=")</f>
        <v>#REF!</v>
      </c>
      <c r="IK594" t="e">
        <f>AND(#REF!,"AAAAAH2f2/Q=")</f>
        <v>#REF!</v>
      </c>
      <c r="IL594" t="e">
        <f>AND(#REF!,"AAAAAH2f2/U=")</f>
        <v>#REF!</v>
      </c>
      <c r="IM594" t="e">
        <f>AND(#REF!,"AAAAAH2f2/Y=")</f>
        <v>#REF!</v>
      </c>
      <c r="IN594" t="e">
        <f>AND(#REF!,"AAAAAH2f2/c=")</f>
        <v>#REF!</v>
      </c>
      <c r="IO594" t="e">
        <f>AND(#REF!,"AAAAAH2f2/g=")</f>
        <v>#REF!</v>
      </c>
      <c r="IP594" t="e">
        <f>AND(#REF!,"AAAAAH2f2/k=")</f>
        <v>#REF!</v>
      </c>
      <c r="IQ594" t="e">
        <f>AND(#REF!,"AAAAAH2f2/o=")</f>
        <v>#REF!</v>
      </c>
      <c r="IR594" t="e">
        <f>AND(#REF!,"AAAAAH2f2/s=")</f>
        <v>#REF!</v>
      </c>
      <c r="IS594" t="e">
        <f>IF(#REF!,"AAAAAH2f2/w=",0)</f>
        <v>#REF!</v>
      </c>
      <c r="IT594" t="e">
        <f>AND(#REF!,"AAAAAH2f2/0=")</f>
        <v>#REF!</v>
      </c>
      <c r="IU594" t="e">
        <f>AND(#REF!,"AAAAAH2f2/4=")</f>
        <v>#REF!</v>
      </c>
      <c r="IV594" t="e">
        <f>AND(#REF!,"AAAAAH2f2/8=")</f>
        <v>#REF!</v>
      </c>
    </row>
    <row r="595" spans="1:256">
      <c r="A595" t="e">
        <f>AND(#REF!,"AAAAAH/z7AA=")</f>
        <v>#REF!</v>
      </c>
      <c r="B595" t="e">
        <f>AND(#REF!,"AAAAAH/z7AE=")</f>
        <v>#REF!</v>
      </c>
      <c r="C595" t="e">
        <f>AND(#REF!,"AAAAAH/z7AI=")</f>
        <v>#REF!</v>
      </c>
      <c r="D595" t="e">
        <f>AND(#REF!,"AAAAAH/z7AM=")</f>
        <v>#REF!</v>
      </c>
      <c r="E595" t="e">
        <f>AND(#REF!,"AAAAAH/z7AQ=")</f>
        <v>#REF!</v>
      </c>
      <c r="F595" t="e">
        <f>AND(#REF!,"AAAAAH/z7AU=")</f>
        <v>#REF!</v>
      </c>
      <c r="G595" t="e">
        <f>AND(#REF!,"AAAAAH/z7AY=")</f>
        <v>#REF!</v>
      </c>
      <c r="H595" t="e">
        <f>AND(#REF!,"AAAAAH/z7Ac=")</f>
        <v>#REF!</v>
      </c>
      <c r="I595" t="e">
        <f>AND(#REF!,"AAAAAH/z7Ag=")</f>
        <v>#REF!</v>
      </c>
      <c r="J595" t="e">
        <f>AND(#REF!,"AAAAAH/z7Ak=")</f>
        <v>#REF!</v>
      </c>
      <c r="K595" t="e">
        <f>AND(#REF!,"AAAAAH/z7Ao=")</f>
        <v>#REF!</v>
      </c>
      <c r="L595" t="e">
        <f>AND(#REF!,"AAAAAH/z7As=")</f>
        <v>#REF!</v>
      </c>
      <c r="M595" t="e">
        <f>IF(#REF!,"AAAAAH/z7Aw=",0)</f>
        <v>#REF!</v>
      </c>
      <c r="N595" t="e">
        <f>AND(#REF!,"AAAAAH/z7A0=")</f>
        <v>#REF!</v>
      </c>
      <c r="O595" t="e">
        <f>AND(#REF!,"AAAAAH/z7A4=")</f>
        <v>#REF!</v>
      </c>
      <c r="P595" t="e">
        <f>AND(#REF!,"AAAAAH/z7A8=")</f>
        <v>#REF!</v>
      </c>
      <c r="Q595" t="e">
        <f>AND(#REF!,"AAAAAH/z7BA=")</f>
        <v>#REF!</v>
      </c>
      <c r="R595" t="e">
        <f>AND(#REF!,"AAAAAH/z7BE=")</f>
        <v>#REF!</v>
      </c>
      <c r="S595" t="e">
        <f>AND(#REF!,"AAAAAH/z7BI=")</f>
        <v>#REF!</v>
      </c>
      <c r="T595" t="e">
        <f>AND(#REF!,"AAAAAH/z7BM=")</f>
        <v>#REF!</v>
      </c>
      <c r="U595" t="e">
        <f>AND(#REF!,"AAAAAH/z7BQ=")</f>
        <v>#REF!</v>
      </c>
      <c r="V595" t="e">
        <f>AND(#REF!,"AAAAAH/z7BU=")</f>
        <v>#REF!</v>
      </c>
      <c r="W595" t="e">
        <f>AND(#REF!,"AAAAAH/z7BY=")</f>
        <v>#REF!</v>
      </c>
      <c r="X595" t="e">
        <f>AND(#REF!,"AAAAAH/z7Bc=")</f>
        <v>#REF!</v>
      </c>
      <c r="Y595" t="e">
        <f>AND(#REF!,"AAAAAH/z7Bg=")</f>
        <v>#REF!</v>
      </c>
      <c r="Z595" t="e">
        <f>AND(#REF!,"AAAAAH/z7Bk=")</f>
        <v>#REF!</v>
      </c>
      <c r="AA595" t="e">
        <f>AND(#REF!,"AAAAAH/z7Bo=")</f>
        <v>#REF!</v>
      </c>
      <c r="AB595" t="e">
        <f>AND(#REF!,"AAAAAH/z7Bs=")</f>
        <v>#REF!</v>
      </c>
      <c r="AC595" t="e">
        <f>IF(#REF!,"AAAAAH/z7Bw=",0)</f>
        <v>#REF!</v>
      </c>
      <c r="AD595" t="e">
        <f>AND(#REF!,"AAAAAH/z7B0=")</f>
        <v>#REF!</v>
      </c>
      <c r="AE595" t="e">
        <f>AND(#REF!,"AAAAAH/z7B4=")</f>
        <v>#REF!</v>
      </c>
      <c r="AF595" t="e">
        <f>AND(#REF!,"AAAAAH/z7B8=")</f>
        <v>#REF!</v>
      </c>
      <c r="AG595" t="e">
        <f>AND(#REF!,"AAAAAH/z7CA=")</f>
        <v>#REF!</v>
      </c>
      <c r="AH595" t="e">
        <f>AND(#REF!,"AAAAAH/z7CE=")</f>
        <v>#REF!</v>
      </c>
      <c r="AI595" t="e">
        <f>AND(#REF!,"AAAAAH/z7CI=")</f>
        <v>#REF!</v>
      </c>
      <c r="AJ595" t="e">
        <f>AND(#REF!,"AAAAAH/z7CM=")</f>
        <v>#REF!</v>
      </c>
      <c r="AK595" t="e">
        <f>AND(#REF!,"AAAAAH/z7CQ=")</f>
        <v>#REF!</v>
      </c>
      <c r="AL595" t="e">
        <f>AND(#REF!,"AAAAAH/z7CU=")</f>
        <v>#REF!</v>
      </c>
      <c r="AM595" t="e">
        <f>AND(#REF!,"AAAAAH/z7CY=")</f>
        <v>#REF!</v>
      </c>
      <c r="AN595" t="e">
        <f>AND(#REF!,"AAAAAH/z7Cc=")</f>
        <v>#REF!</v>
      </c>
      <c r="AO595" t="e">
        <f>AND(#REF!,"AAAAAH/z7Cg=")</f>
        <v>#REF!</v>
      </c>
      <c r="AP595" t="e">
        <f>AND(#REF!,"AAAAAH/z7Ck=")</f>
        <v>#REF!</v>
      </c>
      <c r="AQ595" t="e">
        <f>AND(#REF!,"AAAAAH/z7Co=")</f>
        <v>#REF!</v>
      </c>
      <c r="AR595" t="e">
        <f>AND(#REF!,"AAAAAH/z7Cs=")</f>
        <v>#REF!</v>
      </c>
      <c r="AS595" t="e">
        <f>IF(#REF!,"AAAAAH/z7Cw=",0)</f>
        <v>#REF!</v>
      </c>
      <c r="AT595" t="e">
        <f>AND(#REF!,"AAAAAH/z7C0=")</f>
        <v>#REF!</v>
      </c>
      <c r="AU595" t="e">
        <f>AND(#REF!,"AAAAAH/z7C4=")</f>
        <v>#REF!</v>
      </c>
      <c r="AV595" t="e">
        <f>AND(#REF!,"AAAAAH/z7C8=")</f>
        <v>#REF!</v>
      </c>
      <c r="AW595" t="e">
        <f>AND(#REF!,"AAAAAH/z7DA=")</f>
        <v>#REF!</v>
      </c>
      <c r="AX595" t="e">
        <f>AND(#REF!,"AAAAAH/z7DE=")</f>
        <v>#REF!</v>
      </c>
      <c r="AY595" t="e">
        <f>AND(#REF!,"AAAAAH/z7DI=")</f>
        <v>#REF!</v>
      </c>
      <c r="AZ595" t="e">
        <f>AND(#REF!,"AAAAAH/z7DM=")</f>
        <v>#REF!</v>
      </c>
      <c r="BA595" t="e">
        <f>AND(#REF!,"AAAAAH/z7DQ=")</f>
        <v>#REF!</v>
      </c>
      <c r="BB595" t="e">
        <f>AND(#REF!,"AAAAAH/z7DU=")</f>
        <v>#REF!</v>
      </c>
      <c r="BC595" t="e">
        <f>AND(#REF!,"AAAAAH/z7DY=")</f>
        <v>#REF!</v>
      </c>
      <c r="BD595" t="e">
        <f>AND(#REF!,"AAAAAH/z7Dc=")</f>
        <v>#REF!</v>
      </c>
      <c r="BE595" t="e">
        <f>AND(#REF!,"AAAAAH/z7Dg=")</f>
        <v>#REF!</v>
      </c>
      <c r="BF595" t="e">
        <f>AND(#REF!,"AAAAAH/z7Dk=")</f>
        <v>#REF!</v>
      </c>
      <c r="BG595" t="e">
        <f>AND(#REF!,"AAAAAH/z7Do=")</f>
        <v>#REF!</v>
      </c>
      <c r="BH595" t="e">
        <f>AND(#REF!,"AAAAAH/z7Ds=")</f>
        <v>#REF!</v>
      </c>
      <c r="BI595" t="e">
        <f>IF(#REF!,"AAAAAH/z7Dw=",0)</f>
        <v>#REF!</v>
      </c>
      <c r="BJ595" t="e">
        <f>AND(#REF!,"AAAAAH/z7D0=")</f>
        <v>#REF!</v>
      </c>
      <c r="BK595" t="e">
        <f>AND(#REF!,"AAAAAH/z7D4=")</f>
        <v>#REF!</v>
      </c>
      <c r="BL595" t="e">
        <f>AND(#REF!,"AAAAAH/z7D8=")</f>
        <v>#REF!</v>
      </c>
      <c r="BM595" t="e">
        <f>AND(#REF!,"AAAAAH/z7EA=")</f>
        <v>#REF!</v>
      </c>
      <c r="BN595" t="e">
        <f>AND(#REF!,"AAAAAH/z7EE=")</f>
        <v>#REF!</v>
      </c>
      <c r="BO595" t="e">
        <f>AND(#REF!,"AAAAAH/z7EI=")</f>
        <v>#REF!</v>
      </c>
      <c r="BP595" t="e">
        <f>AND(#REF!,"AAAAAH/z7EM=")</f>
        <v>#REF!</v>
      </c>
      <c r="BQ595" t="e">
        <f>AND(#REF!,"AAAAAH/z7EQ=")</f>
        <v>#REF!</v>
      </c>
      <c r="BR595" t="e">
        <f>AND(#REF!,"AAAAAH/z7EU=")</f>
        <v>#REF!</v>
      </c>
      <c r="BS595" t="e">
        <f>AND(#REF!,"AAAAAH/z7EY=")</f>
        <v>#REF!</v>
      </c>
      <c r="BT595" t="e">
        <f>AND(#REF!,"AAAAAH/z7Ec=")</f>
        <v>#REF!</v>
      </c>
      <c r="BU595" t="e">
        <f>AND(#REF!,"AAAAAH/z7Eg=")</f>
        <v>#REF!</v>
      </c>
      <c r="BV595" t="e">
        <f>AND(#REF!,"AAAAAH/z7Ek=")</f>
        <v>#REF!</v>
      </c>
      <c r="BW595" t="e">
        <f>AND(#REF!,"AAAAAH/z7Eo=")</f>
        <v>#REF!</v>
      </c>
      <c r="BX595" t="e">
        <f>AND(#REF!,"AAAAAH/z7Es=")</f>
        <v>#REF!</v>
      </c>
      <c r="BY595" t="e">
        <f>IF(#REF!,"AAAAAH/z7Ew=",0)</f>
        <v>#REF!</v>
      </c>
      <c r="BZ595" t="e">
        <f>AND(#REF!,"AAAAAH/z7E0=")</f>
        <v>#REF!</v>
      </c>
      <c r="CA595" t="e">
        <f>AND(#REF!,"AAAAAH/z7E4=")</f>
        <v>#REF!</v>
      </c>
      <c r="CB595" t="e">
        <f>AND(#REF!,"AAAAAH/z7E8=")</f>
        <v>#REF!</v>
      </c>
      <c r="CC595" t="e">
        <f>AND(#REF!,"AAAAAH/z7FA=")</f>
        <v>#REF!</v>
      </c>
      <c r="CD595" t="e">
        <f>AND(#REF!,"AAAAAH/z7FE=")</f>
        <v>#REF!</v>
      </c>
      <c r="CE595" t="e">
        <f>AND(#REF!,"AAAAAH/z7FI=")</f>
        <v>#REF!</v>
      </c>
      <c r="CF595" t="e">
        <f>AND(#REF!,"AAAAAH/z7FM=")</f>
        <v>#REF!</v>
      </c>
      <c r="CG595" t="e">
        <f>AND(#REF!,"AAAAAH/z7FQ=")</f>
        <v>#REF!</v>
      </c>
      <c r="CH595" t="e">
        <f>AND(#REF!,"AAAAAH/z7FU=")</f>
        <v>#REF!</v>
      </c>
      <c r="CI595" t="e">
        <f>AND(#REF!,"AAAAAH/z7FY=")</f>
        <v>#REF!</v>
      </c>
      <c r="CJ595" t="e">
        <f>AND(#REF!,"AAAAAH/z7Fc=")</f>
        <v>#REF!</v>
      </c>
      <c r="CK595" t="e">
        <f>AND(#REF!,"AAAAAH/z7Fg=")</f>
        <v>#REF!</v>
      </c>
      <c r="CL595" t="e">
        <f>AND(#REF!,"AAAAAH/z7Fk=")</f>
        <v>#REF!</v>
      </c>
      <c r="CM595" t="e">
        <f>AND(#REF!,"AAAAAH/z7Fo=")</f>
        <v>#REF!</v>
      </c>
      <c r="CN595" t="e">
        <f>AND(#REF!,"AAAAAH/z7Fs=")</f>
        <v>#REF!</v>
      </c>
      <c r="CO595" t="e">
        <f>IF(#REF!,"AAAAAH/z7Fw=",0)</f>
        <v>#REF!</v>
      </c>
      <c r="CP595" t="e">
        <f>AND(#REF!,"AAAAAH/z7F0=")</f>
        <v>#REF!</v>
      </c>
      <c r="CQ595" t="e">
        <f>AND(#REF!,"AAAAAH/z7F4=")</f>
        <v>#REF!</v>
      </c>
      <c r="CR595" t="e">
        <f>AND(#REF!,"AAAAAH/z7F8=")</f>
        <v>#REF!</v>
      </c>
      <c r="CS595" t="e">
        <f>AND(#REF!,"AAAAAH/z7GA=")</f>
        <v>#REF!</v>
      </c>
      <c r="CT595" t="e">
        <f>AND(#REF!,"AAAAAH/z7GE=")</f>
        <v>#REF!</v>
      </c>
      <c r="CU595" t="e">
        <f>AND(#REF!,"AAAAAH/z7GI=")</f>
        <v>#REF!</v>
      </c>
      <c r="CV595" t="e">
        <f>AND(#REF!,"AAAAAH/z7GM=")</f>
        <v>#REF!</v>
      </c>
      <c r="CW595" t="e">
        <f>AND(#REF!,"AAAAAH/z7GQ=")</f>
        <v>#REF!</v>
      </c>
      <c r="CX595" t="e">
        <f>AND(#REF!,"AAAAAH/z7GU=")</f>
        <v>#REF!</v>
      </c>
      <c r="CY595" t="e">
        <f>AND(#REF!,"AAAAAH/z7GY=")</f>
        <v>#REF!</v>
      </c>
      <c r="CZ595" t="e">
        <f>AND(#REF!,"AAAAAH/z7Gc=")</f>
        <v>#REF!</v>
      </c>
      <c r="DA595" t="e">
        <f>AND(#REF!,"AAAAAH/z7Gg=")</f>
        <v>#REF!</v>
      </c>
      <c r="DB595" t="e">
        <f>AND(#REF!,"AAAAAH/z7Gk=")</f>
        <v>#REF!</v>
      </c>
      <c r="DC595" t="e">
        <f>AND(#REF!,"AAAAAH/z7Go=")</f>
        <v>#REF!</v>
      </c>
      <c r="DD595" t="e">
        <f>AND(#REF!,"AAAAAH/z7Gs=")</f>
        <v>#REF!</v>
      </c>
      <c r="DE595" t="e">
        <f>IF(#REF!,"AAAAAH/z7Gw=",0)</f>
        <v>#REF!</v>
      </c>
      <c r="DF595" t="e">
        <f>AND(#REF!,"AAAAAH/z7G0=")</f>
        <v>#REF!</v>
      </c>
      <c r="DG595" t="e">
        <f>AND(#REF!,"AAAAAH/z7G4=")</f>
        <v>#REF!</v>
      </c>
      <c r="DH595" t="e">
        <f>AND(#REF!,"AAAAAH/z7G8=")</f>
        <v>#REF!</v>
      </c>
      <c r="DI595" t="e">
        <f>AND(#REF!,"AAAAAH/z7HA=")</f>
        <v>#REF!</v>
      </c>
      <c r="DJ595" t="e">
        <f>AND(#REF!,"AAAAAH/z7HE=")</f>
        <v>#REF!</v>
      </c>
      <c r="DK595" t="e">
        <f>AND(#REF!,"AAAAAH/z7HI=")</f>
        <v>#REF!</v>
      </c>
      <c r="DL595" t="e">
        <f>AND(#REF!,"AAAAAH/z7HM=")</f>
        <v>#REF!</v>
      </c>
      <c r="DM595" t="e">
        <f>AND(#REF!,"AAAAAH/z7HQ=")</f>
        <v>#REF!</v>
      </c>
      <c r="DN595" t="e">
        <f>AND(#REF!,"AAAAAH/z7HU=")</f>
        <v>#REF!</v>
      </c>
      <c r="DO595" t="e">
        <f>AND(#REF!,"AAAAAH/z7HY=")</f>
        <v>#REF!</v>
      </c>
      <c r="DP595" t="e">
        <f>AND(#REF!,"AAAAAH/z7Hc=")</f>
        <v>#REF!</v>
      </c>
      <c r="DQ595" t="e">
        <f>AND(#REF!,"AAAAAH/z7Hg=")</f>
        <v>#REF!</v>
      </c>
      <c r="DR595" t="e">
        <f>AND(#REF!,"AAAAAH/z7Hk=")</f>
        <v>#REF!</v>
      </c>
      <c r="DS595" t="e">
        <f>AND(#REF!,"AAAAAH/z7Ho=")</f>
        <v>#REF!</v>
      </c>
      <c r="DT595" t="e">
        <f>AND(#REF!,"AAAAAH/z7Hs=")</f>
        <v>#REF!</v>
      </c>
      <c r="DU595" t="e">
        <f>IF(#REF!,"AAAAAH/z7Hw=",0)</f>
        <v>#REF!</v>
      </c>
      <c r="DV595" t="e">
        <f>AND(#REF!,"AAAAAH/z7H0=")</f>
        <v>#REF!</v>
      </c>
      <c r="DW595" t="e">
        <f>AND(#REF!,"AAAAAH/z7H4=")</f>
        <v>#REF!</v>
      </c>
      <c r="DX595" t="e">
        <f>AND(#REF!,"AAAAAH/z7H8=")</f>
        <v>#REF!</v>
      </c>
      <c r="DY595" t="e">
        <f>AND(#REF!,"AAAAAH/z7IA=")</f>
        <v>#REF!</v>
      </c>
      <c r="DZ595" t="e">
        <f>AND(#REF!,"AAAAAH/z7IE=")</f>
        <v>#REF!</v>
      </c>
      <c r="EA595" t="e">
        <f>AND(#REF!,"AAAAAH/z7II=")</f>
        <v>#REF!</v>
      </c>
      <c r="EB595" t="e">
        <f>AND(#REF!,"AAAAAH/z7IM=")</f>
        <v>#REF!</v>
      </c>
      <c r="EC595" t="e">
        <f>AND(#REF!,"AAAAAH/z7IQ=")</f>
        <v>#REF!</v>
      </c>
      <c r="ED595" t="e">
        <f>AND(#REF!,"AAAAAH/z7IU=")</f>
        <v>#REF!</v>
      </c>
      <c r="EE595" t="e">
        <f>AND(#REF!,"AAAAAH/z7IY=")</f>
        <v>#REF!</v>
      </c>
      <c r="EF595" t="e">
        <f>AND(#REF!,"AAAAAH/z7Ic=")</f>
        <v>#REF!</v>
      </c>
      <c r="EG595" t="e">
        <f>AND(#REF!,"AAAAAH/z7Ig=")</f>
        <v>#REF!</v>
      </c>
      <c r="EH595" t="e">
        <f>AND(#REF!,"AAAAAH/z7Ik=")</f>
        <v>#REF!</v>
      </c>
      <c r="EI595" t="e">
        <f>AND(#REF!,"AAAAAH/z7Io=")</f>
        <v>#REF!</v>
      </c>
      <c r="EJ595" t="e">
        <f>AND(#REF!,"AAAAAH/z7Is=")</f>
        <v>#REF!</v>
      </c>
      <c r="EK595" t="e">
        <f>IF(#REF!,"AAAAAH/z7Iw=",0)</f>
        <v>#REF!</v>
      </c>
      <c r="EL595" t="e">
        <f>AND(#REF!,"AAAAAH/z7I0=")</f>
        <v>#REF!</v>
      </c>
      <c r="EM595" t="e">
        <f>AND(#REF!,"AAAAAH/z7I4=")</f>
        <v>#REF!</v>
      </c>
      <c r="EN595" t="e">
        <f>AND(#REF!,"AAAAAH/z7I8=")</f>
        <v>#REF!</v>
      </c>
      <c r="EO595" t="e">
        <f>AND(#REF!,"AAAAAH/z7JA=")</f>
        <v>#REF!</v>
      </c>
      <c r="EP595" t="e">
        <f>AND(#REF!,"AAAAAH/z7JE=")</f>
        <v>#REF!</v>
      </c>
      <c r="EQ595" t="e">
        <f>AND(#REF!,"AAAAAH/z7JI=")</f>
        <v>#REF!</v>
      </c>
      <c r="ER595" t="e">
        <f>AND(#REF!,"AAAAAH/z7JM=")</f>
        <v>#REF!</v>
      </c>
      <c r="ES595" t="e">
        <f>AND(#REF!,"AAAAAH/z7JQ=")</f>
        <v>#REF!</v>
      </c>
      <c r="ET595" t="e">
        <f>AND(#REF!,"AAAAAH/z7JU=")</f>
        <v>#REF!</v>
      </c>
      <c r="EU595" t="e">
        <f>AND(#REF!,"AAAAAH/z7JY=")</f>
        <v>#REF!</v>
      </c>
      <c r="EV595" t="e">
        <f>AND(#REF!,"AAAAAH/z7Jc=")</f>
        <v>#REF!</v>
      </c>
      <c r="EW595" t="e">
        <f>AND(#REF!,"AAAAAH/z7Jg=")</f>
        <v>#REF!</v>
      </c>
      <c r="EX595" t="e">
        <f>AND(#REF!,"AAAAAH/z7Jk=")</f>
        <v>#REF!</v>
      </c>
      <c r="EY595" t="e">
        <f>AND(#REF!,"AAAAAH/z7Jo=")</f>
        <v>#REF!</v>
      </c>
      <c r="EZ595" t="e">
        <f>AND(#REF!,"AAAAAH/z7Js=")</f>
        <v>#REF!</v>
      </c>
      <c r="FA595" t="e">
        <f>IF(#REF!,"AAAAAH/z7Jw=",0)</f>
        <v>#REF!</v>
      </c>
      <c r="FB595" t="e">
        <f>AND(#REF!,"AAAAAH/z7J0=")</f>
        <v>#REF!</v>
      </c>
      <c r="FC595" t="e">
        <f>AND(#REF!,"AAAAAH/z7J4=")</f>
        <v>#REF!</v>
      </c>
      <c r="FD595" t="e">
        <f>AND(#REF!,"AAAAAH/z7J8=")</f>
        <v>#REF!</v>
      </c>
      <c r="FE595" t="e">
        <f>AND(#REF!,"AAAAAH/z7KA=")</f>
        <v>#REF!</v>
      </c>
      <c r="FF595" t="e">
        <f>AND(#REF!,"AAAAAH/z7KE=")</f>
        <v>#REF!</v>
      </c>
      <c r="FG595" t="e">
        <f>AND(#REF!,"AAAAAH/z7KI=")</f>
        <v>#REF!</v>
      </c>
      <c r="FH595" t="e">
        <f>AND(#REF!,"AAAAAH/z7KM=")</f>
        <v>#REF!</v>
      </c>
      <c r="FI595" t="e">
        <f>AND(#REF!,"AAAAAH/z7KQ=")</f>
        <v>#REF!</v>
      </c>
      <c r="FJ595" t="e">
        <f>AND(#REF!,"AAAAAH/z7KU=")</f>
        <v>#REF!</v>
      </c>
      <c r="FK595" t="e">
        <f>AND(#REF!,"AAAAAH/z7KY=")</f>
        <v>#REF!</v>
      </c>
      <c r="FL595" t="e">
        <f>AND(#REF!,"AAAAAH/z7Kc=")</f>
        <v>#REF!</v>
      </c>
      <c r="FM595" t="e">
        <f>AND(#REF!,"AAAAAH/z7Kg=")</f>
        <v>#REF!</v>
      </c>
      <c r="FN595" t="e">
        <f>AND(#REF!,"AAAAAH/z7Kk=")</f>
        <v>#REF!</v>
      </c>
      <c r="FO595" t="e">
        <f>AND(#REF!,"AAAAAH/z7Ko=")</f>
        <v>#REF!</v>
      </c>
      <c r="FP595" t="e">
        <f>AND(#REF!,"AAAAAH/z7Ks=")</f>
        <v>#REF!</v>
      </c>
      <c r="FQ595" t="e">
        <f>IF(#REF!,"AAAAAH/z7Kw=",0)</f>
        <v>#REF!</v>
      </c>
      <c r="FR595" t="e">
        <f>AND(#REF!,"AAAAAH/z7K0=")</f>
        <v>#REF!</v>
      </c>
      <c r="FS595" t="e">
        <f>AND(#REF!,"AAAAAH/z7K4=")</f>
        <v>#REF!</v>
      </c>
      <c r="FT595" t="e">
        <f>AND(#REF!,"AAAAAH/z7K8=")</f>
        <v>#REF!</v>
      </c>
      <c r="FU595" t="e">
        <f>AND(#REF!,"AAAAAH/z7LA=")</f>
        <v>#REF!</v>
      </c>
      <c r="FV595" t="e">
        <f>AND(#REF!,"AAAAAH/z7LE=")</f>
        <v>#REF!</v>
      </c>
      <c r="FW595" t="e">
        <f>AND(#REF!,"AAAAAH/z7LI=")</f>
        <v>#REF!</v>
      </c>
      <c r="FX595" t="e">
        <f>AND(#REF!,"AAAAAH/z7LM=")</f>
        <v>#REF!</v>
      </c>
      <c r="FY595" t="e">
        <f>AND(#REF!,"AAAAAH/z7LQ=")</f>
        <v>#REF!</v>
      </c>
      <c r="FZ595" t="e">
        <f>AND(#REF!,"AAAAAH/z7LU=")</f>
        <v>#REF!</v>
      </c>
      <c r="GA595" t="e">
        <f>AND(#REF!,"AAAAAH/z7LY=")</f>
        <v>#REF!</v>
      </c>
      <c r="GB595" t="e">
        <f>AND(#REF!,"AAAAAH/z7Lc=")</f>
        <v>#REF!</v>
      </c>
      <c r="GC595" t="e">
        <f>AND(#REF!,"AAAAAH/z7Lg=")</f>
        <v>#REF!</v>
      </c>
      <c r="GD595" t="e">
        <f>AND(#REF!,"AAAAAH/z7Lk=")</f>
        <v>#REF!</v>
      </c>
      <c r="GE595" t="e">
        <f>AND(#REF!,"AAAAAH/z7Lo=")</f>
        <v>#REF!</v>
      </c>
      <c r="GF595" t="e">
        <f>AND(#REF!,"AAAAAH/z7Ls=")</f>
        <v>#REF!</v>
      </c>
      <c r="GG595" t="e">
        <f>IF(#REF!,"AAAAAH/z7Lw=",0)</f>
        <v>#REF!</v>
      </c>
      <c r="GH595" t="e">
        <f>AND(#REF!,"AAAAAH/z7L0=")</f>
        <v>#REF!</v>
      </c>
      <c r="GI595" t="e">
        <f>AND(#REF!,"AAAAAH/z7L4=")</f>
        <v>#REF!</v>
      </c>
      <c r="GJ595" t="e">
        <f>AND(#REF!,"AAAAAH/z7L8=")</f>
        <v>#REF!</v>
      </c>
      <c r="GK595" t="e">
        <f>AND(#REF!,"AAAAAH/z7MA=")</f>
        <v>#REF!</v>
      </c>
      <c r="GL595" t="e">
        <f>AND(#REF!,"AAAAAH/z7ME=")</f>
        <v>#REF!</v>
      </c>
      <c r="GM595" t="e">
        <f>AND(#REF!,"AAAAAH/z7MI=")</f>
        <v>#REF!</v>
      </c>
      <c r="GN595" t="e">
        <f>AND(#REF!,"AAAAAH/z7MM=")</f>
        <v>#REF!</v>
      </c>
      <c r="GO595" t="e">
        <f>AND(#REF!,"AAAAAH/z7MQ=")</f>
        <v>#REF!</v>
      </c>
      <c r="GP595" t="e">
        <f>AND(#REF!,"AAAAAH/z7MU=")</f>
        <v>#REF!</v>
      </c>
      <c r="GQ595" t="e">
        <f>AND(#REF!,"AAAAAH/z7MY=")</f>
        <v>#REF!</v>
      </c>
      <c r="GR595" t="e">
        <f>AND(#REF!,"AAAAAH/z7Mc=")</f>
        <v>#REF!</v>
      </c>
      <c r="GS595" t="e">
        <f>AND(#REF!,"AAAAAH/z7Mg=")</f>
        <v>#REF!</v>
      </c>
      <c r="GT595" t="e">
        <f>AND(#REF!,"AAAAAH/z7Mk=")</f>
        <v>#REF!</v>
      </c>
      <c r="GU595" t="e">
        <f>AND(#REF!,"AAAAAH/z7Mo=")</f>
        <v>#REF!</v>
      </c>
      <c r="GV595" t="e">
        <f>AND(#REF!,"AAAAAH/z7Ms=")</f>
        <v>#REF!</v>
      </c>
      <c r="GW595" t="e">
        <f>IF(#REF!,"AAAAAH/z7Mw=",0)</f>
        <v>#REF!</v>
      </c>
      <c r="GX595" t="e">
        <f>AND(#REF!,"AAAAAH/z7M0=")</f>
        <v>#REF!</v>
      </c>
      <c r="GY595" t="e">
        <f>AND(#REF!,"AAAAAH/z7M4=")</f>
        <v>#REF!</v>
      </c>
      <c r="GZ595" t="e">
        <f>AND(#REF!,"AAAAAH/z7M8=")</f>
        <v>#REF!</v>
      </c>
      <c r="HA595" t="e">
        <f>AND(#REF!,"AAAAAH/z7NA=")</f>
        <v>#REF!</v>
      </c>
      <c r="HB595" t="e">
        <f>AND(#REF!,"AAAAAH/z7NE=")</f>
        <v>#REF!</v>
      </c>
      <c r="HC595" t="e">
        <f>AND(#REF!,"AAAAAH/z7NI=")</f>
        <v>#REF!</v>
      </c>
      <c r="HD595" t="e">
        <f>AND(#REF!,"AAAAAH/z7NM=")</f>
        <v>#REF!</v>
      </c>
      <c r="HE595" t="e">
        <f>AND(#REF!,"AAAAAH/z7NQ=")</f>
        <v>#REF!</v>
      </c>
      <c r="HF595" t="e">
        <f>AND(#REF!,"AAAAAH/z7NU=")</f>
        <v>#REF!</v>
      </c>
      <c r="HG595" t="e">
        <f>AND(#REF!,"AAAAAH/z7NY=")</f>
        <v>#REF!</v>
      </c>
      <c r="HH595" t="e">
        <f>AND(#REF!,"AAAAAH/z7Nc=")</f>
        <v>#REF!</v>
      </c>
      <c r="HI595" t="e">
        <f>AND(#REF!,"AAAAAH/z7Ng=")</f>
        <v>#REF!</v>
      </c>
      <c r="HJ595" t="e">
        <f>AND(#REF!,"AAAAAH/z7Nk=")</f>
        <v>#REF!</v>
      </c>
      <c r="HK595" t="e">
        <f>AND(#REF!,"AAAAAH/z7No=")</f>
        <v>#REF!</v>
      </c>
      <c r="HL595" t="e">
        <f>AND(#REF!,"AAAAAH/z7Ns=")</f>
        <v>#REF!</v>
      </c>
      <c r="HM595" t="e">
        <f>IF(#REF!,"AAAAAH/z7Nw=",0)</f>
        <v>#REF!</v>
      </c>
      <c r="HN595" t="e">
        <f>AND(#REF!,"AAAAAH/z7N0=")</f>
        <v>#REF!</v>
      </c>
      <c r="HO595" t="e">
        <f>AND(#REF!,"AAAAAH/z7N4=")</f>
        <v>#REF!</v>
      </c>
      <c r="HP595" t="e">
        <f>AND(#REF!,"AAAAAH/z7N8=")</f>
        <v>#REF!</v>
      </c>
      <c r="HQ595" t="e">
        <f>AND(#REF!,"AAAAAH/z7OA=")</f>
        <v>#REF!</v>
      </c>
      <c r="HR595" t="e">
        <f>AND(#REF!,"AAAAAH/z7OE=")</f>
        <v>#REF!</v>
      </c>
      <c r="HS595" t="e">
        <f>AND(#REF!,"AAAAAH/z7OI=")</f>
        <v>#REF!</v>
      </c>
      <c r="HT595" t="e">
        <f>AND(#REF!,"AAAAAH/z7OM=")</f>
        <v>#REF!</v>
      </c>
      <c r="HU595" t="e">
        <f>AND(#REF!,"AAAAAH/z7OQ=")</f>
        <v>#REF!</v>
      </c>
      <c r="HV595" t="e">
        <f>AND(#REF!,"AAAAAH/z7OU=")</f>
        <v>#REF!</v>
      </c>
      <c r="HW595" t="e">
        <f>AND(#REF!,"AAAAAH/z7OY=")</f>
        <v>#REF!</v>
      </c>
      <c r="HX595" t="e">
        <f>AND(#REF!,"AAAAAH/z7Oc=")</f>
        <v>#REF!</v>
      </c>
      <c r="HY595" t="e">
        <f>AND(#REF!,"AAAAAH/z7Og=")</f>
        <v>#REF!</v>
      </c>
      <c r="HZ595" t="e">
        <f>AND(#REF!,"AAAAAH/z7Ok=")</f>
        <v>#REF!</v>
      </c>
      <c r="IA595" t="e">
        <f>AND(#REF!,"AAAAAH/z7Oo=")</f>
        <v>#REF!</v>
      </c>
      <c r="IB595" t="e">
        <f>AND(#REF!,"AAAAAH/z7Os=")</f>
        <v>#REF!</v>
      </c>
      <c r="IC595" t="e">
        <f>IF(#REF!,"AAAAAH/z7Ow=",0)</f>
        <v>#REF!</v>
      </c>
      <c r="ID595" t="e">
        <f>AND(#REF!,"AAAAAH/z7O0=")</f>
        <v>#REF!</v>
      </c>
      <c r="IE595" t="e">
        <f>AND(#REF!,"AAAAAH/z7O4=")</f>
        <v>#REF!</v>
      </c>
      <c r="IF595" t="e">
        <f>AND(#REF!,"AAAAAH/z7O8=")</f>
        <v>#REF!</v>
      </c>
      <c r="IG595" t="e">
        <f>AND(#REF!,"AAAAAH/z7PA=")</f>
        <v>#REF!</v>
      </c>
      <c r="IH595" t="e">
        <f>AND(#REF!,"AAAAAH/z7PE=")</f>
        <v>#REF!</v>
      </c>
      <c r="II595" t="e">
        <f>AND(#REF!,"AAAAAH/z7PI=")</f>
        <v>#REF!</v>
      </c>
      <c r="IJ595" t="e">
        <f>AND(#REF!,"AAAAAH/z7PM=")</f>
        <v>#REF!</v>
      </c>
      <c r="IK595" t="e">
        <f>AND(#REF!,"AAAAAH/z7PQ=")</f>
        <v>#REF!</v>
      </c>
      <c r="IL595" t="e">
        <f>AND(#REF!,"AAAAAH/z7PU=")</f>
        <v>#REF!</v>
      </c>
      <c r="IM595" t="e">
        <f>AND(#REF!,"AAAAAH/z7PY=")</f>
        <v>#REF!</v>
      </c>
      <c r="IN595" t="e">
        <f>AND(#REF!,"AAAAAH/z7Pc=")</f>
        <v>#REF!</v>
      </c>
      <c r="IO595" t="e">
        <f>AND(#REF!,"AAAAAH/z7Pg=")</f>
        <v>#REF!</v>
      </c>
      <c r="IP595" t="e">
        <f>AND(#REF!,"AAAAAH/z7Pk=")</f>
        <v>#REF!</v>
      </c>
      <c r="IQ595" t="e">
        <f>AND(#REF!,"AAAAAH/z7Po=")</f>
        <v>#REF!</v>
      </c>
      <c r="IR595" t="e">
        <f>AND(#REF!,"AAAAAH/z7Ps=")</f>
        <v>#REF!</v>
      </c>
      <c r="IS595" t="e">
        <f>IF(#REF!,"AAAAAH/z7Pw=",0)</f>
        <v>#REF!</v>
      </c>
      <c r="IT595" t="e">
        <f>AND(#REF!,"AAAAAH/z7P0=")</f>
        <v>#REF!</v>
      </c>
      <c r="IU595" t="e">
        <f>AND(#REF!,"AAAAAH/z7P4=")</f>
        <v>#REF!</v>
      </c>
      <c r="IV595" t="e">
        <f>AND(#REF!,"AAAAAH/z7P8=")</f>
        <v>#REF!</v>
      </c>
    </row>
    <row r="596" spans="1:256">
      <c r="A596" t="e">
        <f>AND(#REF!,"AAAAADafjwA=")</f>
        <v>#REF!</v>
      </c>
      <c r="B596" t="e">
        <f>AND(#REF!,"AAAAADafjwE=")</f>
        <v>#REF!</v>
      </c>
      <c r="C596" t="e">
        <f>AND(#REF!,"AAAAADafjwI=")</f>
        <v>#REF!</v>
      </c>
      <c r="D596" t="e">
        <f>AND(#REF!,"AAAAADafjwM=")</f>
        <v>#REF!</v>
      </c>
      <c r="E596" t="e">
        <f>AND(#REF!,"AAAAADafjwQ=")</f>
        <v>#REF!</v>
      </c>
      <c r="F596" t="e">
        <f>AND(#REF!,"AAAAADafjwU=")</f>
        <v>#REF!</v>
      </c>
      <c r="G596" t="e">
        <f>AND(#REF!,"AAAAADafjwY=")</f>
        <v>#REF!</v>
      </c>
      <c r="H596" t="e">
        <f>AND(#REF!,"AAAAADafjwc=")</f>
        <v>#REF!</v>
      </c>
      <c r="I596" t="e">
        <f>AND(#REF!,"AAAAADafjwg=")</f>
        <v>#REF!</v>
      </c>
      <c r="J596" t="e">
        <f>AND(#REF!,"AAAAADafjwk=")</f>
        <v>#REF!</v>
      </c>
      <c r="K596" t="e">
        <f>AND(#REF!,"AAAAADafjwo=")</f>
        <v>#REF!</v>
      </c>
      <c r="L596" t="e">
        <f>AND(#REF!,"AAAAADafjws=")</f>
        <v>#REF!</v>
      </c>
      <c r="M596" t="e">
        <f>IF(#REF!,"AAAAADafjww=",0)</f>
        <v>#REF!</v>
      </c>
      <c r="N596" t="e">
        <f>AND(#REF!,"AAAAADafjw0=")</f>
        <v>#REF!</v>
      </c>
      <c r="O596" t="e">
        <f>AND(#REF!,"AAAAADafjw4=")</f>
        <v>#REF!</v>
      </c>
      <c r="P596" t="e">
        <f>AND(#REF!,"AAAAADafjw8=")</f>
        <v>#REF!</v>
      </c>
      <c r="Q596" t="e">
        <f>AND(#REF!,"AAAAADafjxA=")</f>
        <v>#REF!</v>
      </c>
      <c r="R596" t="e">
        <f>AND(#REF!,"AAAAADafjxE=")</f>
        <v>#REF!</v>
      </c>
      <c r="S596" t="e">
        <f>AND(#REF!,"AAAAADafjxI=")</f>
        <v>#REF!</v>
      </c>
      <c r="T596" t="e">
        <f>AND(#REF!,"AAAAADafjxM=")</f>
        <v>#REF!</v>
      </c>
      <c r="U596" t="e">
        <f>AND(#REF!,"AAAAADafjxQ=")</f>
        <v>#REF!</v>
      </c>
      <c r="V596" t="e">
        <f>AND(#REF!,"AAAAADafjxU=")</f>
        <v>#REF!</v>
      </c>
      <c r="W596" t="e">
        <f>AND(#REF!,"AAAAADafjxY=")</f>
        <v>#REF!</v>
      </c>
      <c r="X596" t="e">
        <f>AND(#REF!,"AAAAADafjxc=")</f>
        <v>#REF!</v>
      </c>
      <c r="Y596" t="e">
        <f>AND(#REF!,"AAAAADafjxg=")</f>
        <v>#REF!</v>
      </c>
      <c r="Z596" t="e">
        <f>AND(#REF!,"AAAAADafjxk=")</f>
        <v>#REF!</v>
      </c>
      <c r="AA596" t="e">
        <f>AND(#REF!,"AAAAADafjxo=")</f>
        <v>#REF!</v>
      </c>
      <c r="AB596" t="e">
        <f>AND(#REF!,"AAAAADafjxs=")</f>
        <v>#REF!</v>
      </c>
      <c r="AC596" t="e">
        <f>IF(#REF!,"AAAAADafjxw=",0)</f>
        <v>#REF!</v>
      </c>
      <c r="AD596" t="e">
        <f>AND(#REF!,"AAAAADafjx0=")</f>
        <v>#REF!</v>
      </c>
      <c r="AE596" t="e">
        <f>AND(#REF!,"AAAAADafjx4=")</f>
        <v>#REF!</v>
      </c>
      <c r="AF596" t="e">
        <f>AND(#REF!,"AAAAADafjx8=")</f>
        <v>#REF!</v>
      </c>
      <c r="AG596" t="e">
        <f>AND(#REF!,"AAAAADafjyA=")</f>
        <v>#REF!</v>
      </c>
      <c r="AH596" t="e">
        <f>AND(#REF!,"AAAAADafjyE=")</f>
        <v>#REF!</v>
      </c>
      <c r="AI596" t="e">
        <f>AND(#REF!,"AAAAADafjyI=")</f>
        <v>#REF!</v>
      </c>
      <c r="AJ596" t="e">
        <f>AND(#REF!,"AAAAADafjyM=")</f>
        <v>#REF!</v>
      </c>
      <c r="AK596" t="e">
        <f>AND(#REF!,"AAAAADafjyQ=")</f>
        <v>#REF!</v>
      </c>
      <c r="AL596" t="e">
        <f>AND(#REF!,"AAAAADafjyU=")</f>
        <v>#REF!</v>
      </c>
      <c r="AM596" t="e">
        <f>AND(#REF!,"AAAAADafjyY=")</f>
        <v>#REF!</v>
      </c>
      <c r="AN596" t="e">
        <f>AND(#REF!,"AAAAADafjyc=")</f>
        <v>#REF!</v>
      </c>
      <c r="AO596" t="e">
        <f>AND(#REF!,"AAAAADafjyg=")</f>
        <v>#REF!</v>
      </c>
      <c r="AP596" t="e">
        <f>AND(#REF!,"AAAAADafjyk=")</f>
        <v>#REF!</v>
      </c>
      <c r="AQ596" t="e">
        <f>AND(#REF!,"AAAAADafjyo=")</f>
        <v>#REF!</v>
      </c>
      <c r="AR596" t="e">
        <f>AND(#REF!,"AAAAADafjys=")</f>
        <v>#REF!</v>
      </c>
      <c r="AS596" t="e">
        <f>IF(#REF!,"AAAAADafjyw=",0)</f>
        <v>#REF!</v>
      </c>
      <c r="AT596" t="e">
        <f>AND(#REF!,"AAAAADafjy0=")</f>
        <v>#REF!</v>
      </c>
      <c r="AU596" t="e">
        <f>AND(#REF!,"AAAAADafjy4=")</f>
        <v>#REF!</v>
      </c>
      <c r="AV596" t="e">
        <f>AND(#REF!,"AAAAADafjy8=")</f>
        <v>#REF!</v>
      </c>
      <c r="AW596" t="e">
        <f>AND(#REF!,"AAAAADafjzA=")</f>
        <v>#REF!</v>
      </c>
      <c r="AX596" t="e">
        <f>AND(#REF!,"AAAAADafjzE=")</f>
        <v>#REF!</v>
      </c>
      <c r="AY596" t="e">
        <f>AND(#REF!,"AAAAADafjzI=")</f>
        <v>#REF!</v>
      </c>
      <c r="AZ596" t="e">
        <f>AND(#REF!,"AAAAADafjzM=")</f>
        <v>#REF!</v>
      </c>
      <c r="BA596" t="e">
        <f>AND(#REF!,"AAAAADafjzQ=")</f>
        <v>#REF!</v>
      </c>
      <c r="BB596" t="e">
        <f>AND(#REF!,"AAAAADafjzU=")</f>
        <v>#REF!</v>
      </c>
      <c r="BC596" t="e">
        <f>AND(#REF!,"AAAAADafjzY=")</f>
        <v>#REF!</v>
      </c>
      <c r="BD596" t="e">
        <f>AND(#REF!,"AAAAADafjzc=")</f>
        <v>#REF!</v>
      </c>
      <c r="BE596" t="e">
        <f>AND(#REF!,"AAAAADafjzg=")</f>
        <v>#REF!</v>
      </c>
      <c r="BF596" t="e">
        <f>AND(#REF!,"AAAAADafjzk=")</f>
        <v>#REF!</v>
      </c>
      <c r="BG596" t="e">
        <f>AND(#REF!,"AAAAADafjzo=")</f>
        <v>#REF!</v>
      </c>
      <c r="BH596" t="e">
        <f>AND(#REF!,"AAAAADafjzs=")</f>
        <v>#REF!</v>
      </c>
      <c r="BI596" t="e">
        <f>IF(#REF!,"AAAAADafjzw=",0)</f>
        <v>#REF!</v>
      </c>
      <c r="BJ596" t="e">
        <f>AND(#REF!,"AAAAADafjz0=")</f>
        <v>#REF!</v>
      </c>
      <c r="BK596" t="e">
        <f>AND(#REF!,"AAAAADafjz4=")</f>
        <v>#REF!</v>
      </c>
      <c r="BL596" t="e">
        <f>AND(#REF!,"AAAAADafjz8=")</f>
        <v>#REF!</v>
      </c>
      <c r="BM596" t="e">
        <f>AND(#REF!,"AAAAADafj0A=")</f>
        <v>#REF!</v>
      </c>
      <c r="BN596" t="e">
        <f>AND(#REF!,"AAAAADafj0E=")</f>
        <v>#REF!</v>
      </c>
      <c r="BO596" t="e">
        <f>AND(#REF!,"AAAAADafj0I=")</f>
        <v>#REF!</v>
      </c>
      <c r="BP596" t="e">
        <f>AND(#REF!,"AAAAADafj0M=")</f>
        <v>#REF!</v>
      </c>
      <c r="BQ596" t="e">
        <f>AND(#REF!,"AAAAADafj0Q=")</f>
        <v>#REF!</v>
      </c>
      <c r="BR596" t="e">
        <f>AND(#REF!,"AAAAADafj0U=")</f>
        <v>#REF!</v>
      </c>
      <c r="BS596" t="e">
        <f>AND(#REF!,"AAAAADafj0Y=")</f>
        <v>#REF!</v>
      </c>
      <c r="BT596" t="e">
        <f>AND(#REF!,"AAAAADafj0c=")</f>
        <v>#REF!</v>
      </c>
      <c r="BU596" t="e">
        <f>AND(#REF!,"AAAAADafj0g=")</f>
        <v>#REF!</v>
      </c>
      <c r="BV596" t="e">
        <f>AND(#REF!,"AAAAADafj0k=")</f>
        <v>#REF!</v>
      </c>
      <c r="BW596" t="e">
        <f>AND(#REF!,"AAAAADafj0o=")</f>
        <v>#REF!</v>
      </c>
      <c r="BX596" t="e">
        <f>AND(#REF!,"AAAAADafj0s=")</f>
        <v>#REF!</v>
      </c>
      <c r="BY596" t="e">
        <f>IF(#REF!,"AAAAADafj0w=",0)</f>
        <v>#REF!</v>
      </c>
      <c r="BZ596" t="e">
        <f>AND(#REF!,"AAAAADafj00=")</f>
        <v>#REF!</v>
      </c>
      <c r="CA596" t="e">
        <f>AND(#REF!,"AAAAADafj04=")</f>
        <v>#REF!</v>
      </c>
      <c r="CB596" t="e">
        <f>AND(#REF!,"AAAAADafj08=")</f>
        <v>#REF!</v>
      </c>
      <c r="CC596" t="e">
        <f>AND(#REF!,"AAAAADafj1A=")</f>
        <v>#REF!</v>
      </c>
      <c r="CD596" t="e">
        <f>AND(#REF!,"AAAAADafj1E=")</f>
        <v>#REF!</v>
      </c>
      <c r="CE596" t="e">
        <f>AND(#REF!,"AAAAADafj1I=")</f>
        <v>#REF!</v>
      </c>
      <c r="CF596" t="e">
        <f>AND(#REF!,"AAAAADafj1M=")</f>
        <v>#REF!</v>
      </c>
      <c r="CG596" t="e">
        <f>AND(#REF!,"AAAAADafj1Q=")</f>
        <v>#REF!</v>
      </c>
      <c r="CH596" t="e">
        <f>AND(#REF!,"AAAAADafj1U=")</f>
        <v>#REF!</v>
      </c>
      <c r="CI596" t="e">
        <f>AND(#REF!,"AAAAADafj1Y=")</f>
        <v>#REF!</v>
      </c>
      <c r="CJ596" t="e">
        <f>AND(#REF!,"AAAAADafj1c=")</f>
        <v>#REF!</v>
      </c>
      <c r="CK596" t="e">
        <f>AND(#REF!,"AAAAADafj1g=")</f>
        <v>#REF!</v>
      </c>
      <c r="CL596" t="e">
        <f>AND(#REF!,"AAAAADafj1k=")</f>
        <v>#REF!</v>
      </c>
      <c r="CM596" t="e">
        <f>AND(#REF!,"AAAAADafj1o=")</f>
        <v>#REF!</v>
      </c>
      <c r="CN596" t="e">
        <f>AND(#REF!,"AAAAADafj1s=")</f>
        <v>#REF!</v>
      </c>
      <c r="CO596" t="e">
        <f>IF(#REF!,"AAAAADafj1w=",0)</f>
        <v>#REF!</v>
      </c>
      <c r="CP596" t="e">
        <f>AND(#REF!,"AAAAADafj10=")</f>
        <v>#REF!</v>
      </c>
      <c r="CQ596" t="e">
        <f>AND(#REF!,"AAAAADafj14=")</f>
        <v>#REF!</v>
      </c>
      <c r="CR596" t="e">
        <f>AND(#REF!,"AAAAADafj18=")</f>
        <v>#REF!</v>
      </c>
      <c r="CS596" t="e">
        <f>AND(#REF!,"AAAAADafj2A=")</f>
        <v>#REF!</v>
      </c>
      <c r="CT596" t="e">
        <f>AND(#REF!,"AAAAADafj2E=")</f>
        <v>#REF!</v>
      </c>
      <c r="CU596" t="e">
        <f>AND(#REF!,"AAAAADafj2I=")</f>
        <v>#REF!</v>
      </c>
      <c r="CV596" t="e">
        <f>AND(#REF!,"AAAAADafj2M=")</f>
        <v>#REF!</v>
      </c>
      <c r="CW596" t="e">
        <f>AND(#REF!,"AAAAADafj2Q=")</f>
        <v>#REF!</v>
      </c>
      <c r="CX596" t="e">
        <f>AND(#REF!,"AAAAADafj2U=")</f>
        <v>#REF!</v>
      </c>
      <c r="CY596" t="e">
        <f>AND(#REF!,"AAAAADafj2Y=")</f>
        <v>#REF!</v>
      </c>
      <c r="CZ596" t="e">
        <f>AND(#REF!,"AAAAADafj2c=")</f>
        <v>#REF!</v>
      </c>
      <c r="DA596" t="e">
        <f>AND(#REF!,"AAAAADafj2g=")</f>
        <v>#REF!</v>
      </c>
      <c r="DB596" t="e">
        <f>AND(#REF!,"AAAAADafj2k=")</f>
        <v>#REF!</v>
      </c>
      <c r="DC596" t="e">
        <f>AND(#REF!,"AAAAADafj2o=")</f>
        <v>#REF!</v>
      </c>
      <c r="DD596" t="e">
        <f>AND(#REF!,"AAAAADafj2s=")</f>
        <v>#REF!</v>
      </c>
      <c r="DE596" t="e">
        <f>IF(#REF!,"AAAAADafj2w=",0)</f>
        <v>#REF!</v>
      </c>
      <c r="DF596" t="e">
        <f>AND(#REF!,"AAAAADafj20=")</f>
        <v>#REF!</v>
      </c>
      <c r="DG596" t="e">
        <f>AND(#REF!,"AAAAADafj24=")</f>
        <v>#REF!</v>
      </c>
      <c r="DH596" t="e">
        <f>AND(#REF!,"AAAAADafj28=")</f>
        <v>#REF!</v>
      </c>
      <c r="DI596" t="e">
        <f>AND(#REF!,"AAAAADafj3A=")</f>
        <v>#REF!</v>
      </c>
      <c r="DJ596" t="e">
        <f>AND(#REF!,"AAAAADafj3E=")</f>
        <v>#REF!</v>
      </c>
      <c r="DK596" t="e">
        <f>AND(#REF!,"AAAAADafj3I=")</f>
        <v>#REF!</v>
      </c>
      <c r="DL596" t="e">
        <f>AND(#REF!,"AAAAADafj3M=")</f>
        <v>#REF!</v>
      </c>
      <c r="DM596" t="e">
        <f>AND(#REF!,"AAAAADafj3Q=")</f>
        <v>#REF!</v>
      </c>
      <c r="DN596" t="e">
        <f>AND(#REF!,"AAAAADafj3U=")</f>
        <v>#REF!</v>
      </c>
      <c r="DO596" t="e">
        <f>AND(#REF!,"AAAAADafj3Y=")</f>
        <v>#REF!</v>
      </c>
      <c r="DP596" t="e">
        <f>AND(#REF!,"AAAAADafj3c=")</f>
        <v>#REF!</v>
      </c>
      <c r="DQ596" t="e">
        <f>AND(#REF!,"AAAAADafj3g=")</f>
        <v>#REF!</v>
      </c>
      <c r="DR596" t="e">
        <f>AND(#REF!,"AAAAADafj3k=")</f>
        <v>#REF!</v>
      </c>
      <c r="DS596" t="e">
        <f>AND(#REF!,"AAAAADafj3o=")</f>
        <v>#REF!</v>
      </c>
      <c r="DT596" t="e">
        <f>AND(#REF!,"AAAAADafj3s=")</f>
        <v>#REF!</v>
      </c>
      <c r="DU596" t="e">
        <f>IF(#REF!,"AAAAADafj3w=",0)</f>
        <v>#REF!</v>
      </c>
      <c r="DV596" t="e">
        <f>AND(#REF!,"AAAAADafj30=")</f>
        <v>#REF!</v>
      </c>
      <c r="DW596" t="e">
        <f>AND(#REF!,"AAAAADafj34=")</f>
        <v>#REF!</v>
      </c>
      <c r="DX596" t="e">
        <f>AND(#REF!,"AAAAADafj38=")</f>
        <v>#REF!</v>
      </c>
      <c r="DY596" t="e">
        <f>AND(#REF!,"AAAAADafj4A=")</f>
        <v>#REF!</v>
      </c>
      <c r="DZ596" t="e">
        <f>AND(#REF!,"AAAAADafj4E=")</f>
        <v>#REF!</v>
      </c>
      <c r="EA596" t="e">
        <f>AND(#REF!,"AAAAADafj4I=")</f>
        <v>#REF!</v>
      </c>
      <c r="EB596" t="e">
        <f>AND(#REF!,"AAAAADafj4M=")</f>
        <v>#REF!</v>
      </c>
      <c r="EC596" t="e">
        <f>AND(#REF!,"AAAAADafj4Q=")</f>
        <v>#REF!</v>
      </c>
      <c r="ED596" t="e">
        <f>AND(#REF!,"AAAAADafj4U=")</f>
        <v>#REF!</v>
      </c>
      <c r="EE596" t="e">
        <f>AND(#REF!,"AAAAADafj4Y=")</f>
        <v>#REF!</v>
      </c>
      <c r="EF596" t="e">
        <f>AND(#REF!,"AAAAADafj4c=")</f>
        <v>#REF!</v>
      </c>
      <c r="EG596" t="e">
        <f>AND(#REF!,"AAAAADafj4g=")</f>
        <v>#REF!</v>
      </c>
      <c r="EH596" t="e">
        <f>AND(#REF!,"AAAAADafj4k=")</f>
        <v>#REF!</v>
      </c>
      <c r="EI596" t="e">
        <f>AND(#REF!,"AAAAADafj4o=")</f>
        <v>#REF!</v>
      </c>
      <c r="EJ596" t="e">
        <f>AND(#REF!,"AAAAADafj4s=")</f>
        <v>#REF!</v>
      </c>
      <c r="EK596" t="e">
        <f>IF(#REF!,"AAAAADafj4w=",0)</f>
        <v>#REF!</v>
      </c>
      <c r="EL596" t="e">
        <f>AND(#REF!,"AAAAADafj40=")</f>
        <v>#REF!</v>
      </c>
      <c r="EM596" t="e">
        <f>AND(#REF!,"AAAAADafj44=")</f>
        <v>#REF!</v>
      </c>
      <c r="EN596" t="e">
        <f>AND(#REF!,"AAAAADafj48=")</f>
        <v>#REF!</v>
      </c>
      <c r="EO596" t="e">
        <f>AND(#REF!,"AAAAADafj5A=")</f>
        <v>#REF!</v>
      </c>
      <c r="EP596" t="e">
        <f>AND(#REF!,"AAAAADafj5E=")</f>
        <v>#REF!</v>
      </c>
      <c r="EQ596" t="e">
        <f>AND(#REF!,"AAAAADafj5I=")</f>
        <v>#REF!</v>
      </c>
      <c r="ER596" t="e">
        <f>AND(#REF!,"AAAAADafj5M=")</f>
        <v>#REF!</v>
      </c>
      <c r="ES596" t="e">
        <f>AND(#REF!,"AAAAADafj5Q=")</f>
        <v>#REF!</v>
      </c>
      <c r="ET596" t="e">
        <f>AND(#REF!,"AAAAADafj5U=")</f>
        <v>#REF!</v>
      </c>
      <c r="EU596" t="e">
        <f>AND(#REF!,"AAAAADafj5Y=")</f>
        <v>#REF!</v>
      </c>
      <c r="EV596" t="e">
        <f>AND(#REF!,"AAAAADafj5c=")</f>
        <v>#REF!</v>
      </c>
      <c r="EW596" t="e">
        <f>AND(#REF!,"AAAAADafj5g=")</f>
        <v>#REF!</v>
      </c>
      <c r="EX596" t="e">
        <f>AND(#REF!,"AAAAADafj5k=")</f>
        <v>#REF!</v>
      </c>
      <c r="EY596" t="e">
        <f>AND(#REF!,"AAAAADafj5o=")</f>
        <v>#REF!</v>
      </c>
      <c r="EZ596" t="e">
        <f>AND(#REF!,"AAAAADafj5s=")</f>
        <v>#REF!</v>
      </c>
      <c r="FA596" t="e">
        <f>IF(#REF!,"AAAAADafj5w=",0)</f>
        <v>#REF!</v>
      </c>
      <c r="FB596" t="e">
        <f>AND(#REF!,"AAAAADafj50=")</f>
        <v>#REF!</v>
      </c>
      <c r="FC596" t="e">
        <f>AND(#REF!,"AAAAADafj54=")</f>
        <v>#REF!</v>
      </c>
      <c r="FD596" t="e">
        <f>AND(#REF!,"AAAAADafj58=")</f>
        <v>#REF!</v>
      </c>
      <c r="FE596" t="e">
        <f>AND(#REF!,"AAAAADafj6A=")</f>
        <v>#REF!</v>
      </c>
      <c r="FF596" t="e">
        <f>AND(#REF!,"AAAAADafj6E=")</f>
        <v>#REF!</v>
      </c>
      <c r="FG596" t="e">
        <f>AND(#REF!,"AAAAADafj6I=")</f>
        <v>#REF!</v>
      </c>
      <c r="FH596" t="e">
        <f>AND(#REF!,"AAAAADafj6M=")</f>
        <v>#REF!</v>
      </c>
      <c r="FI596" t="e">
        <f>AND(#REF!,"AAAAADafj6Q=")</f>
        <v>#REF!</v>
      </c>
      <c r="FJ596" t="e">
        <f>AND(#REF!,"AAAAADafj6U=")</f>
        <v>#REF!</v>
      </c>
      <c r="FK596" t="e">
        <f>AND(#REF!,"AAAAADafj6Y=")</f>
        <v>#REF!</v>
      </c>
      <c r="FL596" t="e">
        <f>AND(#REF!,"AAAAADafj6c=")</f>
        <v>#REF!</v>
      </c>
      <c r="FM596" t="e">
        <f>AND(#REF!,"AAAAADafj6g=")</f>
        <v>#REF!</v>
      </c>
      <c r="FN596" t="e">
        <f>AND(#REF!,"AAAAADafj6k=")</f>
        <v>#REF!</v>
      </c>
      <c r="FO596" t="e">
        <f>AND(#REF!,"AAAAADafj6o=")</f>
        <v>#REF!</v>
      </c>
      <c r="FP596" t="e">
        <f>AND(#REF!,"AAAAADafj6s=")</f>
        <v>#REF!</v>
      </c>
      <c r="FQ596" t="e">
        <f>IF(#REF!,"AAAAADafj6w=",0)</f>
        <v>#REF!</v>
      </c>
      <c r="FR596" t="e">
        <f>AND(#REF!,"AAAAADafj60=")</f>
        <v>#REF!</v>
      </c>
      <c r="FS596" t="e">
        <f>AND(#REF!,"AAAAADafj64=")</f>
        <v>#REF!</v>
      </c>
      <c r="FT596" t="e">
        <f>AND(#REF!,"AAAAADafj68=")</f>
        <v>#REF!</v>
      </c>
      <c r="FU596" t="e">
        <f>AND(#REF!,"AAAAADafj7A=")</f>
        <v>#REF!</v>
      </c>
      <c r="FV596" t="e">
        <f>AND(#REF!,"AAAAADafj7E=")</f>
        <v>#REF!</v>
      </c>
      <c r="FW596" t="e">
        <f>AND(#REF!,"AAAAADafj7I=")</f>
        <v>#REF!</v>
      </c>
      <c r="FX596" t="e">
        <f>AND(#REF!,"AAAAADafj7M=")</f>
        <v>#REF!</v>
      </c>
      <c r="FY596" t="e">
        <f>AND(#REF!,"AAAAADafj7Q=")</f>
        <v>#REF!</v>
      </c>
      <c r="FZ596" t="e">
        <f>AND(#REF!,"AAAAADafj7U=")</f>
        <v>#REF!</v>
      </c>
      <c r="GA596" t="e">
        <f>AND(#REF!,"AAAAADafj7Y=")</f>
        <v>#REF!</v>
      </c>
      <c r="GB596" t="e">
        <f>AND(#REF!,"AAAAADafj7c=")</f>
        <v>#REF!</v>
      </c>
      <c r="GC596" t="e">
        <f>AND(#REF!,"AAAAADafj7g=")</f>
        <v>#REF!</v>
      </c>
      <c r="GD596" t="e">
        <f>AND(#REF!,"AAAAADafj7k=")</f>
        <v>#REF!</v>
      </c>
      <c r="GE596" t="e">
        <f>AND(#REF!,"AAAAADafj7o=")</f>
        <v>#REF!</v>
      </c>
      <c r="GF596" t="e">
        <f>AND(#REF!,"AAAAADafj7s=")</f>
        <v>#REF!</v>
      </c>
      <c r="GG596" t="e">
        <f>IF(#REF!,"AAAAADafj7w=",0)</f>
        <v>#REF!</v>
      </c>
      <c r="GH596" t="e">
        <f>AND(#REF!,"AAAAADafj70=")</f>
        <v>#REF!</v>
      </c>
      <c r="GI596" t="e">
        <f>AND(#REF!,"AAAAADafj74=")</f>
        <v>#REF!</v>
      </c>
      <c r="GJ596" t="e">
        <f>AND(#REF!,"AAAAADafj78=")</f>
        <v>#REF!</v>
      </c>
      <c r="GK596" t="e">
        <f>AND(#REF!,"AAAAADafj8A=")</f>
        <v>#REF!</v>
      </c>
      <c r="GL596" t="e">
        <f>AND(#REF!,"AAAAADafj8E=")</f>
        <v>#REF!</v>
      </c>
      <c r="GM596" t="e">
        <f>AND(#REF!,"AAAAADafj8I=")</f>
        <v>#REF!</v>
      </c>
      <c r="GN596" t="e">
        <f>AND(#REF!,"AAAAADafj8M=")</f>
        <v>#REF!</v>
      </c>
      <c r="GO596" t="e">
        <f>AND(#REF!,"AAAAADafj8Q=")</f>
        <v>#REF!</v>
      </c>
      <c r="GP596" t="e">
        <f>AND(#REF!,"AAAAADafj8U=")</f>
        <v>#REF!</v>
      </c>
      <c r="GQ596" t="e">
        <f>AND(#REF!,"AAAAADafj8Y=")</f>
        <v>#REF!</v>
      </c>
      <c r="GR596" t="e">
        <f>AND(#REF!,"AAAAADafj8c=")</f>
        <v>#REF!</v>
      </c>
      <c r="GS596" t="e">
        <f>AND(#REF!,"AAAAADafj8g=")</f>
        <v>#REF!</v>
      </c>
      <c r="GT596" t="e">
        <f>AND(#REF!,"AAAAADafj8k=")</f>
        <v>#REF!</v>
      </c>
      <c r="GU596" t="e">
        <f>AND(#REF!,"AAAAADafj8o=")</f>
        <v>#REF!</v>
      </c>
      <c r="GV596" t="e">
        <f>AND(#REF!,"AAAAADafj8s=")</f>
        <v>#REF!</v>
      </c>
      <c r="GW596" t="e">
        <f>IF(#REF!,"AAAAADafj8w=",0)</f>
        <v>#REF!</v>
      </c>
      <c r="GX596" t="e">
        <f>AND(#REF!,"AAAAADafj80=")</f>
        <v>#REF!</v>
      </c>
      <c r="GY596" t="e">
        <f>AND(#REF!,"AAAAADafj84=")</f>
        <v>#REF!</v>
      </c>
      <c r="GZ596" t="e">
        <f>AND(#REF!,"AAAAADafj88=")</f>
        <v>#REF!</v>
      </c>
      <c r="HA596" t="e">
        <f>AND(#REF!,"AAAAADafj9A=")</f>
        <v>#REF!</v>
      </c>
      <c r="HB596" t="e">
        <f>AND(#REF!,"AAAAADafj9E=")</f>
        <v>#REF!</v>
      </c>
      <c r="HC596" t="e">
        <f>AND(#REF!,"AAAAADafj9I=")</f>
        <v>#REF!</v>
      </c>
      <c r="HD596" t="e">
        <f>AND(#REF!,"AAAAADafj9M=")</f>
        <v>#REF!</v>
      </c>
      <c r="HE596" t="e">
        <f>AND(#REF!,"AAAAADafj9Q=")</f>
        <v>#REF!</v>
      </c>
      <c r="HF596" t="e">
        <f>AND(#REF!,"AAAAADafj9U=")</f>
        <v>#REF!</v>
      </c>
      <c r="HG596" t="e">
        <f>AND(#REF!,"AAAAADafj9Y=")</f>
        <v>#REF!</v>
      </c>
      <c r="HH596" t="e">
        <f>AND(#REF!,"AAAAADafj9c=")</f>
        <v>#REF!</v>
      </c>
      <c r="HI596" t="e">
        <f>AND(#REF!,"AAAAADafj9g=")</f>
        <v>#REF!</v>
      </c>
      <c r="HJ596" t="e">
        <f>AND(#REF!,"AAAAADafj9k=")</f>
        <v>#REF!</v>
      </c>
      <c r="HK596" t="e">
        <f>AND(#REF!,"AAAAADafj9o=")</f>
        <v>#REF!</v>
      </c>
      <c r="HL596" t="e">
        <f>AND(#REF!,"AAAAADafj9s=")</f>
        <v>#REF!</v>
      </c>
      <c r="HM596" t="e">
        <f>IF(#REF!,"AAAAADafj9w=",0)</f>
        <v>#REF!</v>
      </c>
      <c r="HN596" t="e">
        <f>AND(#REF!,"AAAAADafj90=")</f>
        <v>#REF!</v>
      </c>
      <c r="HO596" t="e">
        <f>AND(#REF!,"AAAAADafj94=")</f>
        <v>#REF!</v>
      </c>
      <c r="HP596" t="e">
        <f>AND(#REF!,"AAAAADafj98=")</f>
        <v>#REF!</v>
      </c>
      <c r="HQ596" t="e">
        <f>AND(#REF!,"AAAAADafj+A=")</f>
        <v>#REF!</v>
      </c>
      <c r="HR596" t="e">
        <f>AND(#REF!,"AAAAADafj+E=")</f>
        <v>#REF!</v>
      </c>
      <c r="HS596" t="e">
        <f>AND(#REF!,"AAAAADafj+I=")</f>
        <v>#REF!</v>
      </c>
      <c r="HT596" t="e">
        <f>AND(#REF!,"AAAAADafj+M=")</f>
        <v>#REF!</v>
      </c>
      <c r="HU596" t="e">
        <f>AND(#REF!,"AAAAADafj+Q=")</f>
        <v>#REF!</v>
      </c>
      <c r="HV596" t="e">
        <f>AND(#REF!,"AAAAADafj+U=")</f>
        <v>#REF!</v>
      </c>
      <c r="HW596" t="e">
        <f>AND(#REF!,"AAAAADafj+Y=")</f>
        <v>#REF!</v>
      </c>
      <c r="HX596" t="e">
        <f>AND(#REF!,"AAAAADafj+c=")</f>
        <v>#REF!</v>
      </c>
      <c r="HY596" t="e">
        <f>AND(#REF!,"AAAAADafj+g=")</f>
        <v>#REF!</v>
      </c>
      <c r="HZ596" t="e">
        <f>AND(#REF!,"AAAAADafj+k=")</f>
        <v>#REF!</v>
      </c>
      <c r="IA596" t="e">
        <f>AND(#REF!,"AAAAADafj+o=")</f>
        <v>#REF!</v>
      </c>
      <c r="IB596" t="e">
        <f>AND(#REF!,"AAAAADafj+s=")</f>
        <v>#REF!</v>
      </c>
      <c r="IC596" t="e">
        <f>IF(#REF!,"AAAAADafj+w=",0)</f>
        <v>#REF!</v>
      </c>
      <c r="ID596" t="e">
        <f>AND(#REF!,"AAAAADafj+0=")</f>
        <v>#REF!</v>
      </c>
      <c r="IE596" t="e">
        <f>AND(#REF!,"AAAAADafj+4=")</f>
        <v>#REF!</v>
      </c>
      <c r="IF596" t="e">
        <f>AND(#REF!,"AAAAADafj+8=")</f>
        <v>#REF!</v>
      </c>
      <c r="IG596" t="e">
        <f>AND(#REF!,"AAAAADafj/A=")</f>
        <v>#REF!</v>
      </c>
      <c r="IH596" t="e">
        <f>AND(#REF!,"AAAAADafj/E=")</f>
        <v>#REF!</v>
      </c>
      <c r="II596" t="e">
        <f>AND(#REF!,"AAAAADafj/I=")</f>
        <v>#REF!</v>
      </c>
      <c r="IJ596" t="e">
        <f>AND(#REF!,"AAAAADafj/M=")</f>
        <v>#REF!</v>
      </c>
      <c r="IK596" t="e">
        <f>AND(#REF!,"AAAAADafj/Q=")</f>
        <v>#REF!</v>
      </c>
      <c r="IL596" t="e">
        <f>AND(#REF!,"AAAAADafj/U=")</f>
        <v>#REF!</v>
      </c>
      <c r="IM596" t="e">
        <f>AND(#REF!,"AAAAADafj/Y=")</f>
        <v>#REF!</v>
      </c>
      <c r="IN596" t="e">
        <f>AND(#REF!,"AAAAADafj/c=")</f>
        <v>#REF!</v>
      </c>
      <c r="IO596" t="e">
        <f>AND(#REF!,"AAAAADafj/g=")</f>
        <v>#REF!</v>
      </c>
      <c r="IP596" t="e">
        <f>AND(#REF!,"AAAAADafj/k=")</f>
        <v>#REF!</v>
      </c>
      <c r="IQ596" t="e">
        <f>AND(#REF!,"AAAAADafj/o=")</f>
        <v>#REF!</v>
      </c>
      <c r="IR596" t="e">
        <f>AND(#REF!,"AAAAADafj/s=")</f>
        <v>#REF!</v>
      </c>
      <c r="IS596" t="e">
        <f>IF(#REF!,"AAAAADafj/w=",0)</f>
        <v>#REF!</v>
      </c>
      <c r="IT596" t="e">
        <f>AND(#REF!,"AAAAADafj/0=")</f>
        <v>#REF!</v>
      </c>
      <c r="IU596" t="e">
        <f>AND(#REF!,"AAAAADafj/4=")</f>
        <v>#REF!</v>
      </c>
      <c r="IV596" t="e">
        <f>AND(#REF!,"AAAAADafj/8=")</f>
        <v>#REF!</v>
      </c>
    </row>
    <row r="597" spans="1:256">
      <c r="A597" t="e">
        <f>AND(#REF!,"AAAAAH+/2AA=")</f>
        <v>#REF!</v>
      </c>
      <c r="B597" t="e">
        <f>AND(#REF!,"AAAAAH+/2AE=")</f>
        <v>#REF!</v>
      </c>
      <c r="C597" t="e">
        <f>AND(#REF!,"AAAAAH+/2AI=")</f>
        <v>#REF!</v>
      </c>
      <c r="D597" t="e">
        <f>AND(#REF!,"AAAAAH+/2AM=")</f>
        <v>#REF!</v>
      </c>
      <c r="E597" t="e">
        <f>AND(#REF!,"AAAAAH+/2AQ=")</f>
        <v>#REF!</v>
      </c>
      <c r="F597" t="e">
        <f>AND(#REF!,"AAAAAH+/2AU=")</f>
        <v>#REF!</v>
      </c>
      <c r="G597" t="e">
        <f>AND(#REF!,"AAAAAH+/2AY=")</f>
        <v>#REF!</v>
      </c>
      <c r="H597" t="e">
        <f>AND(#REF!,"AAAAAH+/2Ac=")</f>
        <v>#REF!</v>
      </c>
      <c r="I597" t="e">
        <f>AND(#REF!,"AAAAAH+/2Ag=")</f>
        <v>#REF!</v>
      </c>
      <c r="J597" t="e">
        <f>AND(#REF!,"AAAAAH+/2Ak=")</f>
        <v>#REF!</v>
      </c>
      <c r="K597" t="e">
        <f>AND(#REF!,"AAAAAH+/2Ao=")</f>
        <v>#REF!</v>
      </c>
      <c r="L597" t="e">
        <f>AND(#REF!,"AAAAAH+/2As=")</f>
        <v>#REF!</v>
      </c>
      <c r="M597" t="e">
        <f>IF(#REF!,"AAAAAH+/2Aw=",0)</f>
        <v>#REF!</v>
      </c>
      <c r="N597" t="e">
        <f>AND(#REF!,"AAAAAH+/2A0=")</f>
        <v>#REF!</v>
      </c>
      <c r="O597" t="e">
        <f>AND(#REF!,"AAAAAH+/2A4=")</f>
        <v>#REF!</v>
      </c>
      <c r="P597" t="e">
        <f>AND(#REF!,"AAAAAH+/2A8=")</f>
        <v>#REF!</v>
      </c>
      <c r="Q597" t="e">
        <f>AND(#REF!,"AAAAAH+/2BA=")</f>
        <v>#REF!</v>
      </c>
      <c r="R597" t="e">
        <f>AND(#REF!,"AAAAAH+/2BE=")</f>
        <v>#REF!</v>
      </c>
      <c r="S597" t="e">
        <f>AND(#REF!,"AAAAAH+/2BI=")</f>
        <v>#REF!</v>
      </c>
      <c r="T597" t="e">
        <f>AND(#REF!,"AAAAAH+/2BM=")</f>
        <v>#REF!</v>
      </c>
      <c r="U597" t="e">
        <f>AND(#REF!,"AAAAAH+/2BQ=")</f>
        <v>#REF!</v>
      </c>
      <c r="V597" t="e">
        <f>AND(#REF!,"AAAAAH+/2BU=")</f>
        <v>#REF!</v>
      </c>
      <c r="W597" t="e">
        <f>AND(#REF!,"AAAAAH+/2BY=")</f>
        <v>#REF!</v>
      </c>
      <c r="X597" t="e">
        <f>AND(#REF!,"AAAAAH+/2Bc=")</f>
        <v>#REF!</v>
      </c>
      <c r="Y597" t="e">
        <f>AND(#REF!,"AAAAAH+/2Bg=")</f>
        <v>#REF!</v>
      </c>
      <c r="Z597" t="e">
        <f>AND(#REF!,"AAAAAH+/2Bk=")</f>
        <v>#REF!</v>
      </c>
      <c r="AA597" t="e">
        <f>AND(#REF!,"AAAAAH+/2Bo=")</f>
        <v>#REF!</v>
      </c>
      <c r="AB597" t="e">
        <f>AND(#REF!,"AAAAAH+/2Bs=")</f>
        <v>#REF!</v>
      </c>
      <c r="AC597" t="e">
        <f>IF(#REF!,"AAAAAH+/2Bw=",0)</f>
        <v>#REF!</v>
      </c>
      <c r="AD597" t="e">
        <f>AND(#REF!,"AAAAAH+/2B0=")</f>
        <v>#REF!</v>
      </c>
      <c r="AE597" t="e">
        <f>AND(#REF!,"AAAAAH+/2B4=")</f>
        <v>#REF!</v>
      </c>
      <c r="AF597" t="e">
        <f>AND(#REF!,"AAAAAH+/2B8=")</f>
        <v>#REF!</v>
      </c>
      <c r="AG597" t="e">
        <f>AND(#REF!,"AAAAAH+/2CA=")</f>
        <v>#REF!</v>
      </c>
      <c r="AH597" t="e">
        <f>AND(#REF!,"AAAAAH+/2CE=")</f>
        <v>#REF!</v>
      </c>
      <c r="AI597" t="e">
        <f>AND(#REF!,"AAAAAH+/2CI=")</f>
        <v>#REF!</v>
      </c>
      <c r="AJ597" t="e">
        <f>AND(#REF!,"AAAAAH+/2CM=")</f>
        <v>#REF!</v>
      </c>
      <c r="AK597" t="e">
        <f>AND(#REF!,"AAAAAH+/2CQ=")</f>
        <v>#REF!</v>
      </c>
      <c r="AL597" t="e">
        <f>AND(#REF!,"AAAAAH+/2CU=")</f>
        <v>#REF!</v>
      </c>
      <c r="AM597" t="e">
        <f>AND(#REF!,"AAAAAH+/2CY=")</f>
        <v>#REF!</v>
      </c>
      <c r="AN597" t="e">
        <f>AND(#REF!,"AAAAAH+/2Cc=")</f>
        <v>#REF!</v>
      </c>
      <c r="AO597" t="e">
        <f>AND(#REF!,"AAAAAH+/2Cg=")</f>
        <v>#REF!</v>
      </c>
      <c r="AP597" t="e">
        <f>AND(#REF!,"AAAAAH+/2Ck=")</f>
        <v>#REF!</v>
      </c>
      <c r="AQ597" t="e">
        <f>AND(#REF!,"AAAAAH+/2Co=")</f>
        <v>#REF!</v>
      </c>
      <c r="AR597" t="e">
        <f>AND(#REF!,"AAAAAH+/2Cs=")</f>
        <v>#REF!</v>
      </c>
      <c r="AS597" t="e">
        <f>IF(#REF!,"AAAAAH+/2Cw=",0)</f>
        <v>#REF!</v>
      </c>
      <c r="AT597" t="e">
        <f>AND(#REF!,"AAAAAH+/2C0=")</f>
        <v>#REF!</v>
      </c>
      <c r="AU597" t="e">
        <f>AND(#REF!,"AAAAAH+/2C4=")</f>
        <v>#REF!</v>
      </c>
      <c r="AV597" t="e">
        <f>AND(#REF!,"AAAAAH+/2C8=")</f>
        <v>#REF!</v>
      </c>
      <c r="AW597" t="e">
        <f>AND(#REF!,"AAAAAH+/2DA=")</f>
        <v>#REF!</v>
      </c>
      <c r="AX597" t="e">
        <f>AND(#REF!,"AAAAAH+/2DE=")</f>
        <v>#REF!</v>
      </c>
      <c r="AY597" t="e">
        <f>AND(#REF!,"AAAAAH+/2DI=")</f>
        <v>#REF!</v>
      </c>
      <c r="AZ597" t="e">
        <f>AND(#REF!,"AAAAAH+/2DM=")</f>
        <v>#REF!</v>
      </c>
      <c r="BA597" t="e">
        <f>AND(#REF!,"AAAAAH+/2DQ=")</f>
        <v>#REF!</v>
      </c>
      <c r="BB597" t="e">
        <f>AND(#REF!,"AAAAAH+/2DU=")</f>
        <v>#REF!</v>
      </c>
      <c r="BC597" t="e">
        <f>AND(#REF!,"AAAAAH+/2DY=")</f>
        <v>#REF!</v>
      </c>
      <c r="BD597" t="e">
        <f>AND(#REF!,"AAAAAH+/2Dc=")</f>
        <v>#REF!</v>
      </c>
      <c r="BE597" t="e">
        <f>AND(#REF!,"AAAAAH+/2Dg=")</f>
        <v>#REF!</v>
      </c>
      <c r="BF597" t="e">
        <f>AND(#REF!,"AAAAAH+/2Dk=")</f>
        <v>#REF!</v>
      </c>
      <c r="BG597" t="e">
        <f>AND(#REF!,"AAAAAH+/2Do=")</f>
        <v>#REF!</v>
      </c>
      <c r="BH597" t="e">
        <f>AND(#REF!,"AAAAAH+/2Ds=")</f>
        <v>#REF!</v>
      </c>
      <c r="BI597" t="e">
        <f>IF(#REF!,"AAAAAH+/2Dw=",0)</f>
        <v>#REF!</v>
      </c>
      <c r="BJ597" t="e">
        <f>AND(#REF!,"AAAAAH+/2D0=")</f>
        <v>#REF!</v>
      </c>
      <c r="BK597" t="e">
        <f>AND(#REF!,"AAAAAH+/2D4=")</f>
        <v>#REF!</v>
      </c>
      <c r="BL597" t="e">
        <f>AND(#REF!,"AAAAAH+/2D8=")</f>
        <v>#REF!</v>
      </c>
      <c r="BM597" t="e">
        <f>AND(#REF!,"AAAAAH+/2EA=")</f>
        <v>#REF!</v>
      </c>
      <c r="BN597" t="e">
        <f>AND(#REF!,"AAAAAH+/2EE=")</f>
        <v>#REF!</v>
      </c>
      <c r="BO597" t="e">
        <f>AND(#REF!,"AAAAAH+/2EI=")</f>
        <v>#REF!</v>
      </c>
      <c r="BP597" t="e">
        <f>AND(#REF!,"AAAAAH+/2EM=")</f>
        <v>#REF!</v>
      </c>
      <c r="BQ597" t="e">
        <f>AND(#REF!,"AAAAAH+/2EQ=")</f>
        <v>#REF!</v>
      </c>
      <c r="BR597" t="e">
        <f>AND(#REF!,"AAAAAH+/2EU=")</f>
        <v>#REF!</v>
      </c>
      <c r="BS597" t="e">
        <f>AND(#REF!,"AAAAAH+/2EY=")</f>
        <v>#REF!</v>
      </c>
      <c r="BT597" t="e">
        <f>AND(#REF!,"AAAAAH+/2Ec=")</f>
        <v>#REF!</v>
      </c>
      <c r="BU597" t="e">
        <f>AND(#REF!,"AAAAAH+/2Eg=")</f>
        <v>#REF!</v>
      </c>
      <c r="BV597" t="e">
        <f>AND(#REF!,"AAAAAH+/2Ek=")</f>
        <v>#REF!</v>
      </c>
      <c r="BW597" t="e">
        <f>AND(#REF!,"AAAAAH+/2Eo=")</f>
        <v>#REF!</v>
      </c>
      <c r="BX597" t="e">
        <f>AND(#REF!,"AAAAAH+/2Es=")</f>
        <v>#REF!</v>
      </c>
      <c r="BY597" t="e">
        <f>IF(#REF!,"AAAAAH+/2Ew=",0)</f>
        <v>#REF!</v>
      </c>
      <c r="BZ597" t="e">
        <f>AND(#REF!,"AAAAAH+/2E0=")</f>
        <v>#REF!</v>
      </c>
      <c r="CA597" t="e">
        <f>AND(#REF!,"AAAAAH+/2E4=")</f>
        <v>#REF!</v>
      </c>
      <c r="CB597" t="e">
        <f>AND(#REF!,"AAAAAH+/2E8=")</f>
        <v>#REF!</v>
      </c>
      <c r="CC597" t="e">
        <f>AND(#REF!,"AAAAAH+/2FA=")</f>
        <v>#REF!</v>
      </c>
      <c r="CD597" t="e">
        <f>AND(#REF!,"AAAAAH+/2FE=")</f>
        <v>#REF!</v>
      </c>
      <c r="CE597" t="e">
        <f>AND(#REF!,"AAAAAH+/2FI=")</f>
        <v>#REF!</v>
      </c>
      <c r="CF597" t="e">
        <f>AND(#REF!,"AAAAAH+/2FM=")</f>
        <v>#REF!</v>
      </c>
      <c r="CG597" t="e">
        <f>AND(#REF!,"AAAAAH+/2FQ=")</f>
        <v>#REF!</v>
      </c>
      <c r="CH597" t="e">
        <f>AND(#REF!,"AAAAAH+/2FU=")</f>
        <v>#REF!</v>
      </c>
      <c r="CI597" t="e">
        <f>AND(#REF!,"AAAAAH+/2FY=")</f>
        <v>#REF!</v>
      </c>
      <c r="CJ597" t="e">
        <f>AND(#REF!,"AAAAAH+/2Fc=")</f>
        <v>#REF!</v>
      </c>
      <c r="CK597" t="e">
        <f>AND(#REF!,"AAAAAH+/2Fg=")</f>
        <v>#REF!</v>
      </c>
      <c r="CL597" t="e">
        <f>AND(#REF!,"AAAAAH+/2Fk=")</f>
        <v>#REF!</v>
      </c>
      <c r="CM597" t="e">
        <f>AND(#REF!,"AAAAAH+/2Fo=")</f>
        <v>#REF!</v>
      </c>
      <c r="CN597" t="e">
        <f>AND(#REF!,"AAAAAH+/2Fs=")</f>
        <v>#REF!</v>
      </c>
      <c r="CO597" t="e">
        <f>IF(#REF!,"AAAAAH+/2Fw=",0)</f>
        <v>#REF!</v>
      </c>
      <c r="CP597" t="e">
        <f>AND(#REF!,"AAAAAH+/2F0=")</f>
        <v>#REF!</v>
      </c>
      <c r="CQ597" t="e">
        <f>AND(#REF!,"AAAAAH+/2F4=")</f>
        <v>#REF!</v>
      </c>
      <c r="CR597" t="e">
        <f>AND(#REF!,"AAAAAH+/2F8=")</f>
        <v>#REF!</v>
      </c>
      <c r="CS597" t="e">
        <f>AND(#REF!,"AAAAAH+/2GA=")</f>
        <v>#REF!</v>
      </c>
      <c r="CT597" t="e">
        <f>AND(#REF!,"AAAAAH+/2GE=")</f>
        <v>#REF!</v>
      </c>
      <c r="CU597" t="e">
        <f>AND(#REF!,"AAAAAH+/2GI=")</f>
        <v>#REF!</v>
      </c>
      <c r="CV597" t="e">
        <f>AND(#REF!,"AAAAAH+/2GM=")</f>
        <v>#REF!</v>
      </c>
      <c r="CW597" t="e">
        <f>AND(#REF!,"AAAAAH+/2GQ=")</f>
        <v>#REF!</v>
      </c>
      <c r="CX597" t="e">
        <f>AND(#REF!,"AAAAAH+/2GU=")</f>
        <v>#REF!</v>
      </c>
      <c r="CY597" t="e">
        <f>AND(#REF!,"AAAAAH+/2GY=")</f>
        <v>#REF!</v>
      </c>
      <c r="CZ597" t="e">
        <f>AND(#REF!,"AAAAAH+/2Gc=")</f>
        <v>#REF!</v>
      </c>
      <c r="DA597" t="e">
        <f>AND(#REF!,"AAAAAH+/2Gg=")</f>
        <v>#REF!</v>
      </c>
      <c r="DB597" t="e">
        <f>AND(#REF!,"AAAAAH+/2Gk=")</f>
        <v>#REF!</v>
      </c>
      <c r="DC597" t="e">
        <f>AND(#REF!,"AAAAAH+/2Go=")</f>
        <v>#REF!</v>
      </c>
      <c r="DD597" t="e">
        <f>AND(#REF!,"AAAAAH+/2Gs=")</f>
        <v>#REF!</v>
      </c>
      <c r="DE597" t="e">
        <f>IF(#REF!,"AAAAAH+/2Gw=",0)</f>
        <v>#REF!</v>
      </c>
      <c r="DF597" t="e">
        <f>AND(#REF!,"AAAAAH+/2G0=")</f>
        <v>#REF!</v>
      </c>
      <c r="DG597" t="e">
        <f>AND(#REF!,"AAAAAH+/2G4=")</f>
        <v>#REF!</v>
      </c>
      <c r="DH597" t="e">
        <f>AND(#REF!,"AAAAAH+/2G8=")</f>
        <v>#REF!</v>
      </c>
      <c r="DI597" t="e">
        <f>AND(#REF!,"AAAAAH+/2HA=")</f>
        <v>#REF!</v>
      </c>
      <c r="DJ597" t="e">
        <f>AND(#REF!,"AAAAAH+/2HE=")</f>
        <v>#REF!</v>
      </c>
      <c r="DK597" t="e">
        <f>AND(#REF!,"AAAAAH+/2HI=")</f>
        <v>#REF!</v>
      </c>
      <c r="DL597" t="e">
        <f>AND(#REF!,"AAAAAH+/2HM=")</f>
        <v>#REF!</v>
      </c>
      <c r="DM597" t="e">
        <f>AND(#REF!,"AAAAAH+/2HQ=")</f>
        <v>#REF!</v>
      </c>
      <c r="DN597" t="e">
        <f>AND(#REF!,"AAAAAH+/2HU=")</f>
        <v>#REF!</v>
      </c>
      <c r="DO597" t="e">
        <f>AND(#REF!,"AAAAAH+/2HY=")</f>
        <v>#REF!</v>
      </c>
      <c r="DP597" t="e">
        <f>AND(#REF!,"AAAAAH+/2Hc=")</f>
        <v>#REF!</v>
      </c>
      <c r="DQ597" t="e">
        <f>AND(#REF!,"AAAAAH+/2Hg=")</f>
        <v>#REF!</v>
      </c>
      <c r="DR597" t="e">
        <f>AND(#REF!,"AAAAAH+/2Hk=")</f>
        <v>#REF!</v>
      </c>
      <c r="DS597" t="e">
        <f>AND(#REF!,"AAAAAH+/2Ho=")</f>
        <v>#REF!</v>
      </c>
      <c r="DT597" t="e">
        <f>AND(#REF!,"AAAAAH+/2Hs=")</f>
        <v>#REF!</v>
      </c>
      <c r="DU597" t="e">
        <f>IF(#REF!,"AAAAAH+/2Hw=",0)</f>
        <v>#REF!</v>
      </c>
      <c r="DV597" t="e">
        <f>AND(#REF!,"AAAAAH+/2H0=")</f>
        <v>#REF!</v>
      </c>
      <c r="DW597" t="e">
        <f>AND(#REF!,"AAAAAH+/2H4=")</f>
        <v>#REF!</v>
      </c>
      <c r="DX597" t="e">
        <f>AND(#REF!,"AAAAAH+/2H8=")</f>
        <v>#REF!</v>
      </c>
      <c r="DY597" t="e">
        <f>AND(#REF!,"AAAAAH+/2IA=")</f>
        <v>#REF!</v>
      </c>
      <c r="DZ597" t="e">
        <f>AND(#REF!,"AAAAAH+/2IE=")</f>
        <v>#REF!</v>
      </c>
      <c r="EA597" t="e">
        <f>AND(#REF!,"AAAAAH+/2II=")</f>
        <v>#REF!</v>
      </c>
      <c r="EB597" t="e">
        <f>AND(#REF!,"AAAAAH+/2IM=")</f>
        <v>#REF!</v>
      </c>
      <c r="EC597" t="e">
        <f>AND(#REF!,"AAAAAH+/2IQ=")</f>
        <v>#REF!</v>
      </c>
      <c r="ED597" t="e">
        <f>AND(#REF!,"AAAAAH+/2IU=")</f>
        <v>#REF!</v>
      </c>
      <c r="EE597" t="e">
        <f>AND(#REF!,"AAAAAH+/2IY=")</f>
        <v>#REF!</v>
      </c>
      <c r="EF597" t="e">
        <f>AND(#REF!,"AAAAAH+/2Ic=")</f>
        <v>#REF!</v>
      </c>
      <c r="EG597" t="e">
        <f>AND(#REF!,"AAAAAH+/2Ig=")</f>
        <v>#REF!</v>
      </c>
      <c r="EH597" t="e">
        <f>AND(#REF!,"AAAAAH+/2Ik=")</f>
        <v>#REF!</v>
      </c>
      <c r="EI597" t="e">
        <f>AND(#REF!,"AAAAAH+/2Io=")</f>
        <v>#REF!</v>
      </c>
      <c r="EJ597" t="e">
        <f>AND(#REF!,"AAAAAH+/2Is=")</f>
        <v>#REF!</v>
      </c>
      <c r="EK597" t="e">
        <f>IF(#REF!,"AAAAAH+/2Iw=",0)</f>
        <v>#REF!</v>
      </c>
      <c r="EL597" t="e">
        <f>AND(#REF!,"AAAAAH+/2I0=")</f>
        <v>#REF!</v>
      </c>
      <c r="EM597" t="e">
        <f>AND(#REF!,"AAAAAH+/2I4=")</f>
        <v>#REF!</v>
      </c>
      <c r="EN597" t="e">
        <f>AND(#REF!,"AAAAAH+/2I8=")</f>
        <v>#REF!</v>
      </c>
      <c r="EO597" t="e">
        <f>AND(#REF!,"AAAAAH+/2JA=")</f>
        <v>#REF!</v>
      </c>
      <c r="EP597" t="e">
        <f>AND(#REF!,"AAAAAH+/2JE=")</f>
        <v>#REF!</v>
      </c>
      <c r="EQ597" t="e">
        <f>AND(#REF!,"AAAAAH+/2JI=")</f>
        <v>#REF!</v>
      </c>
      <c r="ER597" t="e">
        <f>AND(#REF!,"AAAAAH+/2JM=")</f>
        <v>#REF!</v>
      </c>
      <c r="ES597" t="e">
        <f>AND(#REF!,"AAAAAH+/2JQ=")</f>
        <v>#REF!</v>
      </c>
      <c r="ET597" t="e">
        <f>AND(#REF!,"AAAAAH+/2JU=")</f>
        <v>#REF!</v>
      </c>
      <c r="EU597" t="e">
        <f>AND(#REF!,"AAAAAH+/2JY=")</f>
        <v>#REF!</v>
      </c>
      <c r="EV597" t="e">
        <f>AND(#REF!,"AAAAAH+/2Jc=")</f>
        <v>#REF!</v>
      </c>
      <c r="EW597" t="e">
        <f>AND(#REF!,"AAAAAH+/2Jg=")</f>
        <v>#REF!</v>
      </c>
      <c r="EX597" t="e">
        <f>AND(#REF!,"AAAAAH+/2Jk=")</f>
        <v>#REF!</v>
      </c>
      <c r="EY597" t="e">
        <f>AND(#REF!,"AAAAAH+/2Jo=")</f>
        <v>#REF!</v>
      </c>
      <c r="EZ597" t="e">
        <f>AND(#REF!,"AAAAAH+/2Js=")</f>
        <v>#REF!</v>
      </c>
      <c r="FA597" t="e">
        <f>IF(#REF!,"AAAAAH+/2Jw=",0)</f>
        <v>#REF!</v>
      </c>
      <c r="FB597" t="e">
        <f>AND(#REF!,"AAAAAH+/2J0=")</f>
        <v>#REF!</v>
      </c>
      <c r="FC597" t="e">
        <f>AND(#REF!,"AAAAAH+/2J4=")</f>
        <v>#REF!</v>
      </c>
      <c r="FD597" t="e">
        <f>AND(#REF!,"AAAAAH+/2J8=")</f>
        <v>#REF!</v>
      </c>
      <c r="FE597" t="e">
        <f>AND(#REF!,"AAAAAH+/2KA=")</f>
        <v>#REF!</v>
      </c>
      <c r="FF597" t="e">
        <f>AND(#REF!,"AAAAAH+/2KE=")</f>
        <v>#REF!</v>
      </c>
      <c r="FG597" t="e">
        <f>AND(#REF!,"AAAAAH+/2KI=")</f>
        <v>#REF!</v>
      </c>
      <c r="FH597" t="e">
        <f>AND(#REF!,"AAAAAH+/2KM=")</f>
        <v>#REF!</v>
      </c>
      <c r="FI597" t="e">
        <f>AND(#REF!,"AAAAAH+/2KQ=")</f>
        <v>#REF!</v>
      </c>
      <c r="FJ597" t="e">
        <f>AND(#REF!,"AAAAAH+/2KU=")</f>
        <v>#REF!</v>
      </c>
      <c r="FK597" t="e">
        <f>AND(#REF!,"AAAAAH+/2KY=")</f>
        <v>#REF!</v>
      </c>
      <c r="FL597" t="e">
        <f>AND(#REF!,"AAAAAH+/2Kc=")</f>
        <v>#REF!</v>
      </c>
      <c r="FM597" t="e">
        <f>AND(#REF!,"AAAAAH+/2Kg=")</f>
        <v>#REF!</v>
      </c>
      <c r="FN597" t="e">
        <f>AND(#REF!,"AAAAAH+/2Kk=")</f>
        <v>#REF!</v>
      </c>
      <c r="FO597" t="e">
        <f>AND(#REF!,"AAAAAH+/2Ko=")</f>
        <v>#REF!</v>
      </c>
      <c r="FP597" t="e">
        <f>AND(#REF!,"AAAAAH+/2Ks=")</f>
        <v>#REF!</v>
      </c>
      <c r="FQ597" t="e">
        <f>IF(#REF!,"AAAAAH+/2Kw=",0)</f>
        <v>#REF!</v>
      </c>
      <c r="FR597" t="e">
        <f>AND(#REF!,"AAAAAH+/2K0=")</f>
        <v>#REF!</v>
      </c>
      <c r="FS597" t="e">
        <f>AND(#REF!,"AAAAAH+/2K4=")</f>
        <v>#REF!</v>
      </c>
      <c r="FT597" t="e">
        <f>AND(#REF!,"AAAAAH+/2K8=")</f>
        <v>#REF!</v>
      </c>
      <c r="FU597" t="e">
        <f>AND(#REF!,"AAAAAH+/2LA=")</f>
        <v>#REF!</v>
      </c>
      <c r="FV597" t="e">
        <f>AND(#REF!,"AAAAAH+/2LE=")</f>
        <v>#REF!</v>
      </c>
      <c r="FW597" t="e">
        <f>AND(#REF!,"AAAAAH+/2LI=")</f>
        <v>#REF!</v>
      </c>
      <c r="FX597" t="e">
        <f>AND(#REF!,"AAAAAH+/2LM=")</f>
        <v>#REF!</v>
      </c>
      <c r="FY597" t="e">
        <f>AND(#REF!,"AAAAAH+/2LQ=")</f>
        <v>#REF!</v>
      </c>
      <c r="FZ597" t="e">
        <f>AND(#REF!,"AAAAAH+/2LU=")</f>
        <v>#REF!</v>
      </c>
      <c r="GA597" t="e">
        <f>AND(#REF!,"AAAAAH+/2LY=")</f>
        <v>#REF!</v>
      </c>
      <c r="GB597" t="e">
        <f>AND(#REF!,"AAAAAH+/2Lc=")</f>
        <v>#REF!</v>
      </c>
      <c r="GC597" t="e">
        <f>AND(#REF!,"AAAAAH+/2Lg=")</f>
        <v>#REF!</v>
      </c>
      <c r="GD597" t="e">
        <f>AND(#REF!,"AAAAAH+/2Lk=")</f>
        <v>#REF!</v>
      </c>
      <c r="GE597" t="e">
        <f>AND(#REF!,"AAAAAH+/2Lo=")</f>
        <v>#REF!</v>
      </c>
      <c r="GF597" t="e">
        <f>AND(#REF!,"AAAAAH+/2Ls=")</f>
        <v>#REF!</v>
      </c>
      <c r="GG597" t="e">
        <f>IF(#REF!,"AAAAAH+/2Lw=",0)</f>
        <v>#REF!</v>
      </c>
      <c r="GH597" t="e">
        <f>AND(#REF!,"AAAAAH+/2L0=")</f>
        <v>#REF!</v>
      </c>
      <c r="GI597" t="e">
        <f>AND(#REF!,"AAAAAH+/2L4=")</f>
        <v>#REF!</v>
      </c>
      <c r="GJ597" t="e">
        <f>AND(#REF!,"AAAAAH+/2L8=")</f>
        <v>#REF!</v>
      </c>
      <c r="GK597" t="e">
        <f>AND(#REF!,"AAAAAH+/2MA=")</f>
        <v>#REF!</v>
      </c>
      <c r="GL597" t="e">
        <f>AND(#REF!,"AAAAAH+/2ME=")</f>
        <v>#REF!</v>
      </c>
      <c r="GM597" t="e">
        <f>AND(#REF!,"AAAAAH+/2MI=")</f>
        <v>#REF!</v>
      </c>
      <c r="GN597" t="e">
        <f>AND(#REF!,"AAAAAH+/2MM=")</f>
        <v>#REF!</v>
      </c>
      <c r="GO597" t="e">
        <f>AND(#REF!,"AAAAAH+/2MQ=")</f>
        <v>#REF!</v>
      </c>
      <c r="GP597" t="e">
        <f>AND(#REF!,"AAAAAH+/2MU=")</f>
        <v>#REF!</v>
      </c>
      <c r="GQ597" t="e">
        <f>AND(#REF!,"AAAAAH+/2MY=")</f>
        <v>#REF!</v>
      </c>
      <c r="GR597" t="e">
        <f>AND(#REF!,"AAAAAH+/2Mc=")</f>
        <v>#REF!</v>
      </c>
      <c r="GS597" t="e">
        <f>AND(#REF!,"AAAAAH+/2Mg=")</f>
        <v>#REF!</v>
      </c>
      <c r="GT597" t="e">
        <f>AND(#REF!,"AAAAAH+/2Mk=")</f>
        <v>#REF!</v>
      </c>
      <c r="GU597" t="e">
        <f>AND(#REF!,"AAAAAH+/2Mo=")</f>
        <v>#REF!</v>
      </c>
      <c r="GV597" t="e">
        <f>AND(#REF!,"AAAAAH+/2Ms=")</f>
        <v>#REF!</v>
      </c>
      <c r="GW597" t="e">
        <f>IF(#REF!,"AAAAAH+/2Mw=",0)</f>
        <v>#REF!</v>
      </c>
      <c r="GX597" t="e">
        <f>AND(#REF!,"AAAAAH+/2M0=")</f>
        <v>#REF!</v>
      </c>
      <c r="GY597" t="e">
        <f>AND(#REF!,"AAAAAH+/2M4=")</f>
        <v>#REF!</v>
      </c>
      <c r="GZ597" t="e">
        <f>AND(#REF!,"AAAAAH+/2M8=")</f>
        <v>#REF!</v>
      </c>
      <c r="HA597" t="e">
        <f>AND(#REF!,"AAAAAH+/2NA=")</f>
        <v>#REF!</v>
      </c>
      <c r="HB597" t="e">
        <f>AND(#REF!,"AAAAAH+/2NE=")</f>
        <v>#REF!</v>
      </c>
      <c r="HC597" t="e">
        <f>AND(#REF!,"AAAAAH+/2NI=")</f>
        <v>#REF!</v>
      </c>
      <c r="HD597" t="e">
        <f>AND(#REF!,"AAAAAH+/2NM=")</f>
        <v>#REF!</v>
      </c>
      <c r="HE597" t="e">
        <f>AND(#REF!,"AAAAAH+/2NQ=")</f>
        <v>#REF!</v>
      </c>
      <c r="HF597" t="e">
        <f>AND(#REF!,"AAAAAH+/2NU=")</f>
        <v>#REF!</v>
      </c>
      <c r="HG597" t="e">
        <f>AND(#REF!,"AAAAAH+/2NY=")</f>
        <v>#REF!</v>
      </c>
      <c r="HH597" t="e">
        <f>AND(#REF!,"AAAAAH+/2Nc=")</f>
        <v>#REF!</v>
      </c>
      <c r="HI597" t="e">
        <f>AND(#REF!,"AAAAAH+/2Ng=")</f>
        <v>#REF!</v>
      </c>
      <c r="HJ597" t="e">
        <f>AND(#REF!,"AAAAAH+/2Nk=")</f>
        <v>#REF!</v>
      </c>
      <c r="HK597" t="e">
        <f>AND(#REF!,"AAAAAH+/2No=")</f>
        <v>#REF!</v>
      </c>
      <c r="HL597" t="e">
        <f>AND(#REF!,"AAAAAH+/2Ns=")</f>
        <v>#REF!</v>
      </c>
      <c r="HM597" t="e">
        <f>IF(#REF!,"AAAAAH+/2Nw=",0)</f>
        <v>#REF!</v>
      </c>
      <c r="HN597" t="e">
        <f>AND(#REF!,"AAAAAH+/2N0=")</f>
        <v>#REF!</v>
      </c>
      <c r="HO597" t="e">
        <f>AND(#REF!,"AAAAAH+/2N4=")</f>
        <v>#REF!</v>
      </c>
      <c r="HP597" t="e">
        <f>AND(#REF!,"AAAAAH+/2N8=")</f>
        <v>#REF!</v>
      </c>
      <c r="HQ597" t="e">
        <f>AND(#REF!,"AAAAAH+/2OA=")</f>
        <v>#REF!</v>
      </c>
      <c r="HR597" t="e">
        <f>AND(#REF!,"AAAAAH+/2OE=")</f>
        <v>#REF!</v>
      </c>
      <c r="HS597" t="e">
        <f>AND(#REF!,"AAAAAH+/2OI=")</f>
        <v>#REF!</v>
      </c>
      <c r="HT597" t="e">
        <f>AND(#REF!,"AAAAAH+/2OM=")</f>
        <v>#REF!</v>
      </c>
      <c r="HU597" t="e">
        <f>AND(#REF!,"AAAAAH+/2OQ=")</f>
        <v>#REF!</v>
      </c>
      <c r="HV597" t="e">
        <f>AND(#REF!,"AAAAAH+/2OU=")</f>
        <v>#REF!</v>
      </c>
      <c r="HW597" t="e">
        <f>AND(#REF!,"AAAAAH+/2OY=")</f>
        <v>#REF!</v>
      </c>
      <c r="HX597" t="e">
        <f>AND(#REF!,"AAAAAH+/2Oc=")</f>
        <v>#REF!</v>
      </c>
      <c r="HY597" t="e">
        <f>AND(#REF!,"AAAAAH+/2Og=")</f>
        <v>#REF!</v>
      </c>
      <c r="HZ597" t="e">
        <f>AND(#REF!,"AAAAAH+/2Ok=")</f>
        <v>#REF!</v>
      </c>
      <c r="IA597" t="e">
        <f>AND(#REF!,"AAAAAH+/2Oo=")</f>
        <v>#REF!</v>
      </c>
      <c r="IB597" t="e">
        <f>AND(#REF!,"AAAAAH+/2Os=")</f>
        <v>#REF!</v>
      </c>
      <c r="IC597" t="e">
        <f>IF(#REF!,"AAAAAH+/2Ow=",0)</f>
        <v>#REF!</v>
      </c>
      <c r="ID597" t="e">
        <f>AND(#REF!,"AAAAAH+/2O0=")</f>
        <v>#REF!</v>
      </c>
      <c r="IE597" t="e">
        <f>AND(#REF!,"AAAAAH+/2O4=")</f>
        <v>#REF!</v>
      </c>
      <c r="IF597" t="e">
        <f>AND(#REF!,"AAAAAH+/2O8=")</f>
        <v>#REF!</v>
      </c>
      <c r="IG597" t="e">
        <f>AND(#REF!,"AAAAAH+/2PA=")</f>
        <v>#REF!</v>
      </c>
      <c r="IH597" t="e">
        <f>AND(#REF!,"AAAAAH+/2PE=")</f>
        <v>#REF!</v>
      </c>
      <c r="II597" t="e">
        <f>AND(#REF!,"AAAAAH+/2PI=")</f>
        <v>#REF!</v>
      </c>
      <c r="IJ597" t="e">
        <f>AND(#REF!,"AAAAAH+/2PM=")</f>
        <v>#REF!</v>
      </c>
      <c r="IK597" t="e">
        <f>AND(#REF!,"AAAAAH+/2PQ=")</f>
        <v>#REF!</v>
      </c>
      <c r="IL597" t="e">
        <f>AND(#REF!,"AAAAAH+/2PU=")</f>
        <v>#REF!</v>
      </c>
      <c r="IM597" t="e">
        <f>AND(#REF!,"AAAAAH+/2PY=")</f>
        <v>#REF!</v>
      </c>
      <c r="IN597" t="e">
        <f>AND(#REF!,"AAAAAH+/2Pc=")</f>
        <v>#REF!</v>
      </c>
      <c r="IO597" t="e">
        <f>AND(#REF!,"AAAAAH+/2Pg=")</f>
        <v>#REF!</v>
      </c>
      <c r="IP597" t="e">
        <f>AND(#REF!,"AAAAAH+/2Pk=")</f>
        <v>#REF!</v>
      </c>
      <c r="IQ597" t="e">
        <f>AND(#REF!,"AAAAAH+/2Po=")</f>
        <v>#REF!</v>
      </c>
      <c r="IR597" t="e">
        <f>AND(#REF!,"AAAAAH+/2Ps=")</f>
        <v>#REF!</v>
      </c>
      <c r="IS597" t="e">
        <f>IF(#REF!,"AAAAAH+/2Pw=",0)</f>
        <v>#REF!</v>
      </c>
      <c r="IT597" t="e">
        <f>AND(#REF!,"AAAAAH+/2P0=")</f>
        <v>#REF!</v>
      </c>
      <c r="IU597" t="e">
        <f>AND(#REF!,"AAAAAH+/2P4=")</f>
        <v>#REF!</v>
      </c>
      <c r="IV597" t="e">
        <f>AND(#REF!,"AAAAAH+/2P8=")</f>
        <v>#REF!</v>
      </c>
    </row>
    <row r="598" spans="1:256">
      <c r="A598" t="e">
        <f>AND(#REF!,"AAAAAD/vRQA=")</f>
        <v>#REF!</v>
      </c>
      <c r="B598" t="e">
        <f>AND(#REF!,"AAAAAD/vRQE=")</f>
        <v>#REF!</v>
      </c>
      <c r="C598" t="e">
        <f>AND(#REF!,"AAAAAD/vRQI=")</f>
        <v>#REF!</v>
      </c>
      <c r="D598" t="e">
        <f>AND(#REF!,"AAAAAD/vRQM=")</f>
        <v>#REF!</v>
      </c>
      <c r="E598" t="e">
        <f>AND(#REF!,"AAAAAD/vRQQ=")</f>
        <v>#REF!</v>
      </c>
      <c r="F598" t="e">
        <f>AND(#REF!,"AAAAAD/vRQU=")</f>
        <v>#REF!</v>
      </c>
      <c r="G598" t="e">
        <f>AND(#REF!,"AAAAAD/vRQY=")</f>
        <v>#REF!</v>
      </c>
      <c r="H598" t="e">
        <f>AND(#REF!,"AAAAAD/vRQc=")</f>
        <v>#REF!</v>
      </c>
      <c r="I598" t="e">
        <f>AND(#REF!,"AAAAAD/vRQg=")</f>
        <v>#REF!</v>
      </c>
      <c r="J598" t="e">
        <f>AND(#REF!,"AAAAAD/vRQk=")</f>
        <v>#REF!</v>
      </c>
      <c r="K598" t="e">
        <f>AND(#REF!,"AAAAAD/vRQo=")</f>
        <v>#REF!</v>
      </c>
      <c r="L598" t="e">
        <f>AND(#REF!,"AAAAAD/vRQs=")</f>
        <v>#REF!</v>
      </c>
      <c r="M598" t="e">
        <f>IF(#REF!,"AAAAAD/vRQw=",0)</f>
        <v>#REF!</v>
      </c>
      <c r="N598" t="e">
        <f>AND(#REF!,"AAAAAD/vRQ0=")</f>
        <v>#REF!</v>
      </c>
      <c r="O598" t="e">
        <f>AND(#REF!,"AAAAAD/vRQ4=")</f>
        <v>#REF!</v>
      </c>
      <c r="P598" t="e">
        <f>AND(#REF!,"AAAAAD/vRQ8=")</f>
        <v>#REF!</v>
      </c>
      <c r="Q598" t="e">
        <f>AND(#REF!,"AAAAAD/vRRA=")</f>
        <v>#REF!</v>
      </c>
      <c r="R598" t="e">
        <f>AND(#REF!,"AAAAAD/vRRE=")</f>
        <v>#REF!</v>
      </c>
      <c r="S598" t="e">
        <f>AND(#REF!,"AAAAAD/vRRI=")</f>
        <v>#REF!</v>
      </c>
      <c r="T598" t="e">
        <f>AND(#REF!,"AAAAAD/vRRM=")</f>
        <v>#REF!</v>
      </c>
      <c r="U598" t="e">
        <f>AND(#REF!,"AAAAAD/vRRQ=")</f>
        <v>#REF!</v>
      </c>
      <c r="V598" t="e">
        <f>AND(#REF!,"AAAAAD/vRRU=")</f>
        <v>#REF!</v>
      </c>
      <c r="W598" t="e">
        <f>AND(#REF!,"AAAAAD/vRRY=")</f>
        <v>#REF!</v>
      </c>
      <c r="X598" t="e">
        <f>AND(#REF!,"AAAAAD/vRRc=")</f>
        <v>#REF!</v>
      </c>
      <c r="Y598" t="e">
        <f>AND(#REF!,"AAAAAD/vRRg=")</f>
        <v>#REF!</v>
      </c>
      <c r="Z598" t="e">
        <f>AND(#REF!,"AAAAAD/vRRk=")</f>
        <v>#REF!</v>
      </c>
      <c r="AA598" t="e">
        <f>AND(#REF!,"AAAAAD/vRRo=")</f>
        <v>#REF!</v>
      </c>
      <c r="AB598" t="e">
        <f>AND(#REF!,"AAAAAD/vRRs=")</f>
        <v>#REF!</v>
      </c>
      <c r="AC598" t="e">
        <f>IF(#REF!,"AAAAAD/vRRw=",0)</f>
        <v>#REF!</v>
      </c>
      <c r="AD598" t="e">
        <f>IF(#REF!,"AAAAAD/vRR0=",0)</f>
        <v>#REF!</v>
      </c>
      <c r="AE598" t="e">
        <f>IF(#REF!,"AAAAAD/vRR4=",0)</f>
        <v>#REF!</v>
      </c>
      <c r="AF598" t="e">
        <f>IF(#REF!,"AAAAAD/vRR8=",0)</f>
        <v>#REF!</v>
      </c>
      <c r="AG598" t="e">
        <f>IF(#REF!,"AAAAAD/vRSA=",0)</f>
        <v>#REF!</v>
      </c>
      <c r="AH598" t="e">
        <f>IF(#REF!,"AAAAAD/vRSE=",0)</f>
        <v>#REF!</v>
      </c>
      <c r="AI598" t="e">
        <f>IF(#REF!,"AAAAAD/vRSI=",0)</f>
        <v>#REF!</v>
      </c>
      <c r="AJ598" t="e">
        <f>IF(#REF!,"AAAAAD/vRSM=",0)</f>
        <v>#REF!</v>
      </c>
      <c r="AK598" t="e">
        <f>IF(#REF!,"AAAAAD/vRSQ=",0)</f>
        <v>#REF!</v>
      </c>
      <c r="AL598" t="e">
        <f>IF(#REF!,"AAAAAD/vRSU=",0)</f>
        <v>#REF!</v>
      </c>
      <c r="AM598" t="e">
        <f>IF(#REF!,"AAAAAD/vRSY=",0)</f>
        <v>#REF!</v>
      </c>
      <c r="AN598" t="e">
        <f>IF(#REF!,"AAAAAD/vRSc=",0)</f>
        <v>#REF!</v>
      </c>
      <c r="AO598" t="e">
        <f>IF(#REF!,"AAAAAD/vRSg=",0)</f>
        <v>#REF!</v>
      </c>
      <c r="AP598" t="e">
        <f>IF(#REF!,"AAAAAD/vRSk=",0)</f>
        <v>#REF!</v>
      </c>
      <c r="AQ598" t="e">
        <f>IF(#REF!,"AAAAAD/vRSo=",0)</f>
        <v>#REF!</v>
      </c>
      <c r="AR598" t="s">
        <v>12</v>
      </c>
      <c r="AS598" t="e">
        <f>IF("N",[0]!_xlnm._FilterDatabase,"AAAAAD/vRSw=")</f>
        <v>#VALUE!</v>
      </c>
      <c r="AT598" t="e">
        <f>IF("N",[0]!_xlnm._FilterDatabase,"AAAAAD/vRS0=")</f>
        <v>#VALUE!</v>
      </c>
      <c r="AU598" t="e">
        <f>IF("N",[0]!_xlnm._FilterDatabase,"AAAAAD/vRS4=")</f>
        <v>#VALUE!</v>
      </c>
    </row>
    <row r="599" spans="1:256">
      <c r="A599" t="e">
        <f>AND(#REF!,"AAAAAHe/2gA=")</f>
        <v>#REF!</v>
      </c>
      <c r="B599" t="e">
        <f>AND(#REF!,"AAAAAHe/2gE=")</f>
        <v>#REF!</v>
      </c>
      <c r="C599" t="e">
        <f>AND(#REF!,"AAAAAHe/2gI=")</f>
        <v>#REF!</v>
      </c>
      <c r="D599" t="e">
        <f>AND(#REF!,"AAAAAHe/2gM=")</f>
        <v>#REF!</v>
      </c>
      <c r="E599" t="e">
        <f>AND(#REF!,"AAAAAHe/2gQ=")</f>
        <v>#REF!</v>
      </c>
      <c r="F599" t="e">
        <f>AND(#REF!,"AAAAAHe/2gU=")</f>
        <v>#REF!</v>
      </c>
      <c r="G599" t="e">
        <f>AND(#REF!,"AAAAAHe/2gY=")</f>
        <v>#REF!</v>
      </c>
      <c r="H599" t="e">
        <f>IF(#REF!,"AAAAAHe/2gc=",0)</f>
        <v>#REF!</v>
      </c>
      <c r="I599" t="e">
        <f>AND(#REF!,"AAAAAHe/2gg=")</f>
        <v>#REF!</v>
      </c>
      <c r="J599" t="e">
        <f>AND(#REF!,"AAAAAHe/2gk=")</f>
        <v>#REF!</v>
      </c>
      <c r="K599" t="e">
        <f>AND(#REF!,"AAAAAHe/2go=")</f>
        <v>#REF!</v>
      </c>
      <c r="L599" t="e">
        <f>AND(#REF!,"AAAAAHe/2gs=")</f>
        <v>#REF!</v>
      </c>
      <c r="M599" t="e">
        <f>AND(#REF!,"AAAAAHe/2gw=")</f>
        <v>#REF!</v>
      </c>
      <c r="N599" t="e">
        <f>AND(#REF!,"AAAAAHe/2g0=")</f>
        <v>#REF!</v>
      </c>
      <c r="O599" t="e">
        <f>AND(#REF!,"AAAAAHe/2g4=")</f>
        <v>#REF!</v>
      </c>
      <c r="P599" t="e">
        <f>AND(#REF!,"AAAAAHe/2g8=")</f>
        <v>#REF!</v>
      </c>
      <c r="Q599" t="e">
        <f>AND(#REF!,"AAAAAHe/2hA=")</f>
        <v>#REF!</v>
      </c>
      <c r="R599" t="e">
        <f>AND(#REF!,"AAAAAHe/2hE=")</f>
        <v>#REF!</v>
      </c>
      <c r="S599" t="e">
        <f>AND(#REF!,"AAAAAHe/2hI=")</f>
        <v>#REF!</v>
      </c>
      <c r="T599" t="e">
        <f>IF(#REF!,"AAAAAHe/2hM=",0)</f>
        <v>#REF!</v>
      </c>
      <c r="U599" t="e">
        <f>AND(#REF!,"AAAAAHe/2hQ=")</f>
        <v>#REF!</v>
      </c>
      <c r="V599" t="e">
        <f>AND(#REF!,"AAAAAHe/2hU=")</f>
        <v>#REF!</v>
      </c>
      <c r="W599" t="e">
        <f>AND(#REF!,"AAAAAHe/2hY=")</f>
        <v>#REF!</v>
      </c>
      <c r="X599" t="e">
        <f>AND(#REF!,"AAAAAHe/2hc=")</f>
        <v>#REF!</v>
      </c>
      <c r="Y599" t="e">
        <f>AND(#REF!,"AAAAAHe/2hg=")</f>
        <v>#REF!</v>
      </c>
      <c r="Z599" t="e">
        <f>AND(#REF!,"AAAAAHe/2hk=")</f>
        <v>#REF!</v>
      </c>
      <c r="AA599" t="e">
        <f>AND(#REF!,"AAAAAHe/2ho=")</f>
        <v>#REF!</v>
      </c>
      <c r="AB599" t="e">
        <f>AND(#REF!,"AAAAAHe/2hs=")</f>
        <v>#REF!</v>
      </c>
      <c r="AC599" t="e">
        <f>AND(#REF!,"AAAAAHe/2hw=")</f>
        <v>#REF!</v>
      </c>
      <c r="AD599" t="e">
        <f>AND(#REF!,"AAAAAHe/2h0=")</f>
        <v>#REF!</v>
      </c>
      <c r="AE599" t="e">
        <f>AND(#REF!,"AAAAAHe/2h4=")</f>
        <v>#REF!</v>
      </c>
      <c r="AF599" t="e">
        <f>IF(#REF!,"AAAAAHe/2h8=",0)</f>
        <v>#REF!</v>
      </c>
      <c r="AG599" t="e">
        <f>AND(#REF!,"AAAAAHe/2iA=")</f>
        <v>#REF!</v>
      </c>
      <c r="AH599" t="e">
        <f>AND(#REF!,"AAAAAHe/2iE=")</f>
        <v>#REF!</v>
      </c>
      <c r="AI599" t="e">
        <f>AND(#REF!,"AAAAAHe/2iI=")</f>
        <v>#REF!</v>
      </c>
      <c r="AJ599" t="e">
        <f>AND(#REF!,"AAAAAHe/2iM=")</f>
        <v>#REF!</v>
      </c>
      <c r="AK599" t="e">
        <f>AND(#REF!,"AAAAAHe/2iQ=")</f>
        <v>#REF!</v>
      </c>
      <c r="AL599" t="e">
        <f>AND(#REF!,"AAAAAHe/2iU=")</f>
        <v>#REF!</v>
      </c>
      <c r="AM599" t="e">
        <f>AND(#REF!,"AAAAAHe/2iY=")</f>
        <v>#REF!</v>
      </c>
      <c r="AN599" t="e">
        <f>AND(#REF!,"AAAAAHe/2ic=")</f>
        <v>#REF!</v>
      </c>
      <c r="AO599" t="e">
        <f>AND(#REF!,"AAAAAHe/2ig=")</f>
        <v>#REF!</v>
      </c>
      <c r="AP599" t="e">
        <f>AND(#REF!,"AAAAAHe/2ik=")</f>
        <v>#REF!</v>
      </c>
      <c r="AQ599" t="e">
        <f>AND(#REF!,"AAAAAHe/2io=")</f>
        <v>#REF!</v>
      </c>
      <c r="AR599" t="e">
        <f>IF(#REF!,"AAAAAHe/2is=",0)</f>
        <v>#REF!</v>
      </c>
      <c r="AS599" t="e">
        <f>AND(#REF!,"AAAAAHe/2iw=")</f>
        <v>#REF!</v>
      </c>
      <c r="AT599" t="e">
        <f>AND(#REF!,"AAAAAHe/2i0=")</f>
        <v>#REF!</v>
      </c>
      <c r="AU599" t="e">
        <f>AND(#REF!,"AAAAAHe/2i4=")</f>
        <v>#REF!</v>
      </c>
      <c r="AV599" t="e">
        <f>AND(#REF!,"AAAAAHe/2i8=")</f>
        <v>#REF!</v>
      </c>
      <c r="AW599" t="e">
        <f>AND(#REF!,"AAAAAHe/2jA=")</f>
        <v>#REF!</v>
      </c>
      <c r="AX599" t="e">
        <f>AND(#REF!,"AAAAAHe/2jE=")</f>
        <v>#REF!</v>
      </c>
      <c r="AY599" t="e">
        <f>AND(#REF!,"AAAAAHe/2jI=")</f>
        <v>#REF!</v>
      </c>
      <c r="AZ599" t="e">
        <f>AND(#REF!,"AAAAAHe/2jM=")</f>
        <v>#REF!</v>
      </c>
      <c r="BA599" t="e">
        <f>AND(#REF!,"AAAAAHe/2jQ=")</f>
        <v>#REF!</v>
      </c>
      <c r="BB599" t="e">
        <f>AND(#REF!,"AAAAAHe/2jU=")</f>
        <v>#REF!</v>
      </c>
      <c r="BC599" t="e">
        <f>AND(#REF!,"AAAAAHe/2jY=")</f>
        <v>#REF!</v>
      </c>
      <c r="BD599" t="e">
        <f>IF(#REF!,"AAAAAHe/2jc=",0)</f>
        <v>#REF!</v>
      </c>
      <c r="BE599" t="e">
        <f>AND(#REF!,"AAAAAHe/2jg=")</f>
        <v>#REF!</v>
      </c>
      <c r="BF599" t="e">
        <f>AND(#REF!,"AAAAAHe/2jk=")</f>
        <v>#REF!</v>
      </c>
      <c r="BG599" t="e">
        <f>AND(#REF!,"AAAAAHe/2jo=")</f>
        <v>#REF!</v>
      </c>
      <c r="BH599" t="e">
        <f>AND(#REF!,"AAAAAHe/2js=")</f>
        <v>#REF!</v>
      </c>
      <c r="BI599" t="e">
        <f>AND(#REF!,"AAAAAHe/2jw=")</f>
        <v>#REF!</v>
      </c>
      <c r="BJ599" t="e">
        <f>AND(#REF!,"AAAAAHe/2j0=")</f>
        <v>#REF!</v>
      </c>
      <c r="BK599" t="e">
        <f>AND(#REF!,"AAAAAHe/2j4=")</f>
        <v>#REF!</v>
      </c>
      <c r="BL599" t="e">
        <f>AND(#REF!,"AAAAAHe/2j8=")</f>
        <v>#REF!</v>
      </c>
      <c r="BM599" t="e">
        <f>AND(#REF!,"AAAAAHe/2kA=")</f>
        <v>#REF!</v>
      </c>
      <c r="BN599" t="e">
        <f>AND(#REF!,"AAAAAHe/2kE=")</f>
        <v>#REF!</v>
      </c>
      <c r="BO599" t="e">
        <f>AND(#REF!,"AAAAAHe/2kI=")</f>
        <v>#REF!</v>
      </c>
      <c r="BP599" t="e">
        <f>IF(#REF!,"AAAAAHe/2kM=",0)</f>
        <v>#REF!</v>
      </c>
      <c r="BQ599" t="e">
        <f>AND(#REF!,"AAAAAHe/2kQ=")</f>
        <v>#REF!</v>
      </c>
      <c r="BR599" t="e">
        <f>AND(#REF!,"AAAAAHe/2kU=")</f>
        <v>#REF!</v>
      </c>
      <c r="BS599" t="e">
        <f>AND(#REF!,"AAAAAHe/2kY=")</f>
        <v>#REF!</v>
      </c>
      <c r="BT599" t="e">
        <f>AND(#REF!,"AAAAAHe/2kc=")</f>
        <v>#REF!</v>
      </c>
      <c r="BU599" t="e">
        <f>AND(#REF!,"AAAAAHe/2kg=")</f>
        <v>#REF!</v>
      </c>
      <c r="BV599" t="e">
        <f>AND(#REF!,"AAAAAHe/2kk=")</f>
        <v>#REF!</v>
      </c>
      <c r="BW599" t="e">
        <f>AND(#REF!,"AAAAAHe/2ko=")</f>
        <v>#REF!</v>
      </c>
      <c r="BX599" t="e">
        <f>AND(#REF!,"AAAAAHe/2ks=")</f>
        <v>#REF!</v>
      </c>
      <c r="BY599" t="e">
        <f>AND(#REF!,"AAAAAHe/2kw=")</f>
        <v>#REF!</v>
      </c>
      <c r="BZ599" t="e">
        <f>AND(#REF!,"AAAAAHe/2k0=")</f>
        <v>#REF!</v>
      </c>
      <c r="CA599" t="e">
        <f>AND(#REF!,"AAAAAHe/2k4=")</f>
        <v>#REF!</v>
      </c>
      <c r="CB599" t="e">
        <f>IF(#REF!,"AAAAAHe/2k8=",0)</f>
        <v>#REF!</v>
      </c>
      <c r="CC599" t="e">
        <f>AND(#REF!,"AAAAAHe/2lA=")</f>
        <v>#REF!</v>
      </c>
      <c r="CD599" t="e">
        <f>AND(#REF!,"AAAAAHe/2lE=")</f>
        <v>#REF!</v>
      </c>
      <c r="CE599" t="e">
        <f>AND(#REF!,"AAAAAHe/2lI=")</f>
        <v>#REF!</v>
      </c>
      <c r="CF599" t="e">
        <f>AND(#REF!,"AAAAAHe/2lM=")</f>
        <v>#REF!</v>
      </c>
      <c r="CG599" t="e">
        <f>AND(#REF!,"AAAAAHe/2lQ=")</f>
        <v>#REF!</v>
      </c>
      <c r="CH599" t="e">
        <f>AND(#REF!,"AAAAAHe/2lU=")</f>
        <v>#REF!</v>
      </c>
      <c r="CI599" t="e">
        <f>AND(#REF!,"AAAAAHe/2lY=")</f>
        <v>#REF!</v>
      </c>
      <c r="CJ599" t="e">
        <f>AND(#REF!,"AAAAAHe/2lc=")</f>
        <v>#REF!</v>
      </c>
      <c r="CK599" t="e">
        <f>AND(#REF!,"AAAAAHe/2lg=")</f>
        <v>#REF!</v>
      </c>
      <c r="CL599" t="e">
        <f>AND(#REF!,"AAAAAHe/2lk=")</f>
        <v>#REF!</v>
      </c>
      <c r="CM599" t="e">
        <f>AND(#REF!,"AAAAAHe/2lo=")</f>
        <v>#REF!</v>
      </c>
      <c r="CN599" t="e">
        <f>IF(#REF!,"AAAAAHe/2ls=",0)</f>
        <v>#REF!</v>
      </c>
      <c r="CO599" t="e">
        <f>AND(#REF!,"AAAAAHe/2lw=")</f>
        <v>#REF!</v>
      </c>
      <c r="CP599" t="e">
        <f>AND(#REF!,"AAAAAHe/2l0=")</f>
        <v>#REF!</v>
      </c>
      <c r="CQ599" t="e">
        <f>AND(#REF!,"AAAAAHe/2l4=")</f>
        <v>#REF!</v>
      </c>
      <c r="CR599" t="e">
        <f>AND(#REF!,"AAAAAHe/2l8=")</f>
        <v>#REF!</v>
      </c>
      <c r="CS599" t="e">
        <f>AND(#REF!,"AAAAAHe/2mA=")</f>
        <v>#REF!</v>
      </c>
      <c r="CT599" t="e">
        <f>AND(#REF!,"AAAAAHe/2mE=")</f>
        <v>#REF!</v>
      </c>
      <c r="CU599" t="e">
        <f>AND(#REF!,"AAAAAHe/2mI=")</f>
        <v>#REF!</v>
      </c>
      <c r="CV599" t="e">
        <f>AND(#REF!,"AAAAAHe/2mM=")</f>
        <v>#REF!</v>
      </c>
      <c r="CW599" t="e">
        <f>AND(#REF!,"AAAAAHe/2mQ=")</f>
        <v>#REF!</v>
      </c>
      <c r="CX599" t="e">
        <f>AND(#REF!,"AAAAAHe/2mU=")</f>
        <v>#REF!</v>
      </c>
      <c r="CY599" t="e">
        <f>AND(#REF!,"AAAAAHe/2mY=")</f>
        <v>#REF!</v>
      </c>
      <c r="CZ599" t="e">
        <f>IF(#REF!,"AAAAAHe/2mc=",0)</f>
        <v>#REF!</v>
      </c>
      <c r="DA599" t="e">
        <f>AND(#REF!,"AAAAAHe/2mg=")</f>
        <v>#REF!</v>
      </c>
      <c r="DB599" t="e">
        <f>AND(#REF!,"AAAAAHe/2mk=")</f>
        <v>#REF!</v>
      </c>
      <c r="DC599" t="e">
        <f>AND(#REF!,"AAAAAHe/2mo=")</f>
        <v>#REF!</v>
      </c>
      <c r="DD599" t="e">
        <f>AND(#REF!,"AAAAAHe/2ms=")</f>
        <v>#REF!</v>
      </c>
      <c r="DE599" t="e">
        <f>AND(#REF!,"AAAAAHe/2mw=")</f>
        <v>#REF!</v>
      </c>
      <c r="DF599" t="e">
        <f>AND(#REF!,"AAAAAHe/2m0=")</f>
        <v>#REF!</v>
      </c>
      <c r="DG599" t="e">
        <f>AND(#REF!,"AAAAAHe/2m4=")</f>
        <v>#REF!</v>
      </c>
      <c r="DH599" t="e">
        <f>AND(#REF!,"AAAAAHe/2m8=")</f>
        <v>#REF!</v>
      </c>
      <c r="DI599" t="e">
        <f>AND(#REF!,"AAAAAHe/2nA=")</f>
        <v>#REF!</v>
      </c>
      <c r="DJ599" t="e">
        <f>AND(#REF!,"AAAAAHe/2nE=")</f>
        <v>#REF!</v>
      </c>
      <c r="DK599" t="e">
        <f>AND(#REF!,"AAAAAHe/2nI=")</f>
        <v>#REF!</v>
      </c>
      <c r="DL599" t="e">
        <f>IF(#REF!,"AAAAAHe/2nM=",0)</f>
        <v>#REF!</v>
      </c>
      <c r="DM599" t="e">
        <f>AND(#REF!,"AAAAAHe/2nQ=")</f>
        <v>#REF!</v>
      </c>
      <c r="DN599" t="e">
        <f>AND(#REF!,"AAAAAHe/2nU=")</f>
        <v>#REF!</v>
      </c>
      <c r="DO599" t="e">
        <f>AND(#REF!,"AAAAAHe/2nY=")</f>
        <v>#REF!</v>
      </c>
      <c r="DP599" t="e">
        <f>AND(#REF!,"AAAAAHe/2nc=")</f>
        <v>#REF!</v>
      </c>
      <c r="DQ599" t="e">
        <f>AND(#REF!,"AAAAAHe/2ng=")</f>
        <v>#REF!</v>
      </c>
      <c r="DR599" t="e">
        <f>AND(#REF!,"AAAAAHe/2nk=")</f>
        <v>#REF!</v>
      </c>
      <c r="DS599" t="e">
        <f>AND(#REF!,"AAAAAHe/2no=")</f>
        <v>#REF!</v>
      </c>
      <c r="DT599" t="e">
        <f>AND(#REF!,"AAAAAHe/2ns=")</f>
        <v>#REF!</v>
      </c>
      <c r="DU599" t="e">
        <f>AND(#REF!,"AAAAAHe/2nw=")</f>
        <v>#REF!</v>
      </c>
      <c r="DV599" t="e">
        <f>AND(#REF!,"AAAAAHe/2n0=")</f>
        <v>#REF!</v>
      </c>
      <c r="DW599" t="e">
        <f>AND(#REF!,"AAAAAHe/2n4=")</f>
        <v>#REF!</v>
      </c>
      <c r="DX599" t="e">
        <f>IF(#REF!,"AAAAAHe/2n8=",0)</f>
        <v>#REF!</v>
      </c>
      <c r="DY599" t="e">
        <f>AND(#REF!,"AAAAAHe/2oA=")</f>
        <v>#REF!</v>
      </c>
      <c r="DZ599" t="e">
        <f>AND(#REF!,"AAAAAHe/2oE=")</f>
        <v>#REF!</v>
      </c>
      <c r="EA599" t="e">
        <f>AND(#REF!,"AAAAAHe/2oI=")</f>
        <v>#REF!</v>
      </c>
      <c r="EB599" t="e">
        <f>AND(#REF!,"AAAAAHe/2oM=")</f>
        <v>#REF!</v>
      </c>
      <c r="EC599" t="e">
        <f>AND(#REF!,"AAAAAHe/2oQ=")</f>
        <v>#REF!</v>
      </c>
      <c r="ED599" t="e">
        <f>AND(#REF!,"AAAAAHe/2oU=")</f>
        <v>#REF!</v>
      </c>
      <c r="EE599" t="e">
        <f>AND(#REF!,"AAAAAHe/2oY=")</f>
        <v>#REF!</v>
      </c>
      <c r="EF599" t="e">
        <f>AND(#REF!,"AAAAAHe/2oc=")</f>
        <v>#REF!</v>
      </c>
      <c r="EG599" t="e">
        <f>AND(#REF!,"AAAAAHe/2og=")</f>
        <v>#REF!</v>
      </c>
      <c r="EH599" t="e">
        <f>AND(#REF!,"AAAAAHe/2ok=")</f>
        <v>#REF!</v>
      </c>
      <c r="EI599" t="e">
        <f>AND(#REF!,"AAAAAHe/2oo=")</f>
        <v>#REF!</v>
      </c>
      <c r="EJ599" t="e">
        <f>IF(#REF!,"AAAAAHe/2os=",0)</f>
        <v>#REF!</v>
      </c>
      <c r="EK599" t="e">
        <f>AND(#REF!,"AAAAAHe/2ow=")</f>
        <v>#REF!</v>
      </c>
      <c r="EL599" t="e">
        <f>AND(#REF!,"AAAAAHe/2o0=")</f>
        <v>#REF!</v>
      </c>
      <c r="EM599" t="e">
        <f>AND(#REF!,"AAAAAHe/2o4=")</f>
        <v>#REF!</v>
      </c>
      <c r="EN599" t="e">
        <f>AND(#REF!,"AAAAAHe/2o8=")</f>
        <v>#REF!</v>
      </c>
      <c r="EO599" t="e">
        <f>AND(#REF!,"AAAAAHe/2pA=")</f>
        <v>#REF!</v>
      </c>
      <c r="EP599" t="e">
        <f>AND(#REF!,"AAAAAHe/2pE=")</f>
        <v>#REF!</v>
      </c>
      <c r="EQ599" t="e">
        <f>AND(#REF!,"AAAAAHe/2pI=")</f>
        <v>#REF!</v>
      </c>
      <c r="ER599" t="e">
        <f>AND(#REF!,"AAAAAHe/2pM=")</f>
        <v>#REF!</v>
      </c>
      <c r="ES599" t="e">
        <f>AND(#REF!,"AAAAAHe/2pQ=")</f>
        <v>#REF!</v>
      </c>
      <c r="ET599" t="e">
        <f>AND(#REF!,"AAAAAHe/2pU=")</f>
        <v>#REF!</v>
      </c>
      <c r="EU599" t="e">
        <f>AND(#REF!,"AAAAAHe/2pY=")</f>
        <v>#REF!</v>
      </c>
      <c r="EV599" t="e">
        <f>IF(#REF!,"AAAAAHe/2pc=",0)</f>
        <v>#REF!</v>
      </c>
      <c r="EW599" t="e">
        <f>AND(#REF!,"AAAAAHe/2pg=")</f>
        <v>#REF!</v>
      </c>
      <c r="EX599" t="e">
        <f>AND(#REF!,"AAAAAHe/2pk=")</f>
        <v>#REF!</v>
      </c>
      <c r="EY599" t="e">
        <f>AND(#REF!,"AAAAAHe/2po=")</f>
        <v>#REF!</v>
      </c>
      <c r="EZ599" t="e">
        <f>AND(#REF!,"AAAAAHe/2ps=")</f>
        <v>#REF!</v>
      </c>
      <c r="FA599" t="e">
        <f>AND(#REF!,"AAAAAHe/2pw=")</f>
        <v>#REF!</v>
      </c>
      <c r="FB599" t="e">
        <f>AND(#REF!,"AAAAAHe/2p0=")</f>
        <v>#REF!</v>
      </c>
      <c r="FC599" t="e">
        <f>AND(#REF!,"AAAAAHe/2p4=")</f>
        <v>#REF!</v>
      </c>
      <c r="FD599" t="e">
        <f>AND(#REF!,"AAAAAHe/2p8=")</f>
        <v>#REF!</v>
      </c>
      <c r="FE599" t="e">
        <f>AND(#REF!,"AAAAAHe/2qA=")</f>
        <v>#REF!</v>
      </c>
      <c r="FF599" t="e">
        <f>IF(#REF!,"AAAAAHe/2qE=",0)</f>
        <v>#REF!</v>
      </c>
      <c r="FG599" t="e">
        <f>AND(#REF!,"AAAAAHe/2qI=")</f>
        <v>#REF!</v>
      </c>
      <c r="FH599" t="e">
        <f>AND(#REF!,"AAAAAHe/2qM=")</f>
        <v>#REF!</v>
      </c>
      <c r="FI599" t="e">
        <f>AND(#REF!,"AAAAAHe/2qQ=")</f>
        <v>#REF!</v>
      </c>
      <c r="FJ599" t="e">
        <f>AND(#REF!,"AAAAAHe/2qU=")</f>
        <v>#REF!</v>
      </c>
      <c r="FK599" t="e">
        <f>AND(#REF!,"AAAAAHe/2qY=")</f>
        <v>#REF!</v>
      </c>
      <c r="FL599" t="e">
        <f>AND(#REF!,"AAAAAHe/2qc=")</f>
        <v>#REF!</v>
      </c>
      <c r="FM599" t="e">
        <f>AND(#REF!,"AAAAAHe/2qg=")</f>
        <v>#REF!</v>
      </c>
      <c r="FN599" t="e">
        <f>AND(#REF!,"AAAAAHe/2qk=")</f>
        <v>#REF!</v>
      </c>
      <c r="FO599" t="e">
        <f>AND(#REF!,"AAAAAHe/2qo=")</f>
        <v>#REF!</v>
      </c>
      <c r="FP599" t="e">
        <f>IF(#REF!,"AAAAAHe/2qs=",0)</f>
        <v>#REF!</v>
      </c>
      <c r="FQ599" t="e">
        <f>AND(#REF!,"AAAAAHe/2qw=")</f>
        <v>#REF!</v>
      </c>
      <c r="FR599" t="e">
        <f>AND(#REF!,"AAAAAHe/2q0=")</f>
        <v>#REF!</v>
      </c>
      <c r="FS599" t="e">
        <f>AND(#REF!,"AAAAAHe/2q4=")</f>
        <v>#REF!</v>
      </c>
      <c r="FT599" t="e">
        <f>AND(#REF!,"AAAAAHe/2q8=")</f>
        <v>#REF!</v>
      </c>
      <c r="FU599" t="e">
        <f>AND(#REF!,"AAAAAHe/2rA=")</f>
        <v>#REF!</v>
      </c>
      <c r="FV599" t="e">
        <f>AND(#REF!,"AAAAAHe/2rE=")</f>
        <v>#REF!</v>
      </c>
      <c r="FW599" t="e">
        <f>AND(#REF!,"AAAAAHe/2rI=")</f>
        <v>#REF!</v>
      </c>
      <c r="FX599" t="e">
        <f>AND(#REF!,"AAAAAHe/2rM=")</f>
        <v>#REF!</v>
      </c>
      <c r="FY599" t="e">
        <f>AND(#REF!,"AAAAAHe/2rQ=")</f>
        <v>#REF!</v>
      </c>
      <c r="FZ599" t="e">
        <f>IF(#REF!,"AAAAAHe/2rU=",0)</f>
        <v>#REF!</v>
      </c>
      <c r="GA599" t="e">
        <f>AND(#REF!,"AAAAAHe/2rY=")</f>
        <v>#REF!</v>
      </c>
      <c r="GB599" t="e">
        <f>AND(#REF!,"AAAAAHe/2rc=")</f>
        <v>#REF!</v>
      </c>
      <c r="GC599" t="e">
        <f>AND(#REF!,"AAAAAHe/2rg=")</f>
        <v>#REF!</v>
      </c>
      <c r="GD599" t="e">
        <f>AND(#REF!,"AAAAAHe/2rk=")</f>
        <v>#REF!</v>
      </c>
      <c r="GE599" t="e">
        <f>AND(#REF!,"AAAAAHe/2ro=")</f>
        <v>#REF!</v>
      </c>
      <c r="GF599" t="e">
        <f>AND(#REF!,"AAAAAHe/2rs=")</f>
        <v>#REF!</v>
      </c>
      <c r="GG599" t="e">
        <f>AND(#REF!,"AAAAAHe/2rw=")</f>
        <v>#REF!</v>
      </c>
      <c r="GH599" t="e">
        <f>AND(#REF!,"AAAAAHe/2r0=")</f>
        <v>#REF!</v>
      </c>
      <c r="GI599" t="e">
        <f>AND(#REF!,"AAAAAHe/2r4=")</f>
        <v>#REF!</v>
      </c>
      <c r="GJ599" t="e">
        <f>IF(#REF!,"AAAAAHe/2r8=",0)</f>
        <v>#REF!</v>
      </c>
      <c r="GK599" t="e">
        <f>AND(#REF!,"AAAAAHe/2sA=")</f>
        <v>#REF!</v>
      </c>
      <c r="GL599" t="e">
        <f>AND(#REF!,"AAAAAHe/2sE=")</f>
        <v>#REF!</v>
      </c>
      <c r="GM599" t="e">
        <f>AND(#REF!,"AAAAAHe/2sI=")</f>
        <v>#REF!</v>
      </c>
      <c r="GN599" t="e">
        <f>AND(#REF!,"AAAAAHe/2sM=")</f>
        <v>#REF!</v>
      </c>
      <c r="GO599" t="e">
        <f>AND(#REF!,"AAAAAHe/2sQ=")</f>
        <v>#REF!</v>
      </c>
      <c r="GP599" t="e">
        <f>AND(#REF!,"AAAAAHe/2sU=")</f>
        <v>#REF!</v>
      </c>
      <c r="GQ599" t="e">
        <f>AND(#REF!,"AAAAAHe/2sY=")</f>
        <v>#REF!</v>
      </c>
      <c r="GR599" t="e">
        <f>AND(#REF!,"AAAAAHe/2sc=")</f>
        <v>#REF!</v>
      </c>
      <c r="GS599" t="e">
        <f>AND(#REF!,"AAAAAHe/2sg=")</f>
        <v>#REF!</v>
      </c>
      <c r="GT599" t="e">
        <f>IF(#REF!,"AAAAAHe/2sk=",0)</f>
        <v>#REF!</v>
      </c>
      <c r="GU599" t="e">
        <f>AND(#REF!,"AAAAAHe/2so=")</f>
        <v>#REF!</v>
      </c>
      <c r="GV599" t="e">
        <f>AND(#REF!,"AAAAAHe/2ss=")</f>
        <v>#REF!</v>
      </c>
      <c r="GW599" t="e">
        <f>AND(#REF!,"AAAAAHe/2sw=")</f>
        <v>#REF!</v>
      </c>
      <c r="GX599" t="e">
        <f>AND(#REF!,"AAAAAHe/2s0=")</f>
        <v>#REF!</v>
      </c>
      <c r="GY599" t="e">
        <f>AND(#REF!,"AAAAAHe/2s4=")</f>
        <v>#REF!</v>
      </c>
      <c r="GZ599" t="e">
        <f>AND(#REF!,"AAAAAHe/2s8=")</f>
        <v>#REF!</v>
      </c>
      <c r="HA599" t="e">
        <f>AND(#REF!,"AAAAAHe/2tA=")</f>
        <v>#REF!</v>
      </c>
      <c r="HB599" t="e">
        <f>AND(#REF!,"AAAAAHe/2tE=")</f>
        <v>#REF!</v>
      </c>
      <c r="HC599" t="e">
        <f>AND(#REF!,"AAAAAHe/2tI=")</f>
        <v>#REF!</v>
      </c>
      <c r="HD599" t="e">
        <f>IF(#REF!,"AAAAAHe/2tM=",0)</f>
        <v>#REF!</v>
      </c>
      <c r="HE599" t="e">
        <f>AND(#REF!,"AAAAAHe/2tQ=")</f>
        <v>#REF!</v>
      </c>
      <c r="HF599" t="e">
        <f>AND(#REF!,"AAAAAHe/2tU=")</f>
        <v>#REF!</v>
      </c>
      <c r="HG599" t="e">
        <f>AND(#REF!,"AAAAAHe/2tY=")</f>
        <v>#REF!</v>
      </c>
      <c r="HH599" t="e">
        <f>AND(#REF!,"AAAAAHe/2tc=")</f>
        <v>#REF!</v>
      </c>
      <c r="HI599" t="e">
        <f>AND(#REF!,"AAAAAHe/2tg=")</f>
        <v>#REF!</v>
      </c>
      <c r="HJ599" t="e">
        <f>AND(#REF!,"AAAAAHe/2tk=")</f>
        <v>#REF!</v>
      </c>
      <c r="HK599" t="e">
        <f>AND(#REF!,"AAAAAHe/2to=")</f>
        <v>#REF!</v>
      </c>
      <c r="HL599" t="e">
        <f>AND(#REF!,"AAAAAHe/2ts=")</f>
        <v>#REF!</v>
      </c>
      <c r="HM599" t="e">
        <f>AND(#REF!,"AAAAAHe/2tw=")</f>
        <v>#REF!</v>
      </c>
      <c r="HN599" t="e">
        <f>IF(#REF!,"AAAAAHe/2t0=",0)</f>
        <v>#REF!</v>
      </c>
      <c r="HO599" t="e">
        <f>AND(#REF!,"AAAAAHe/2t4=")</f>
        <v>#REF!</v>
      </c>
      <c r="HP599" t="e">
        <f>AND(#REF!,"AAAAAHe/2t8=")</f>
        <v>#REF!</v>
      </c>
      <c r="HQ599" t="e">
        <f>AND(#REF!,"AAAAAHe/2uA=")</f>
        <v>#REF!</v>
      </c>
      <c r="HR599" t="e">
        <f>AND(#REF!,"AAAAAHe/2uE=")</f>
        <v>#REF!</v>
      </c>
      <c r="HS599" t="e">
        <f>AND(#REF!,"AAAAAHe/2uI=")</f>
        <v>#REF!</v>
      </c>
      <c r="HT599" t="e">
        <f>AND(#REF!,"AAAAAHe/2uM=")</f>
        <v>#REF!</v>
      </c>
      <c r="HU599" t="e">
        <f>AND(#REF!,"AAAAAHe/2uQ=")</f>
        <v>#REF!</v>
      </c>
      <c r="HV599" t="e">
        <f>AND(#REF!,"AAAAAHe/2uU=")</f>
        <v>#REF!</v>
      </c>
      <c r="HW599" t="e">
        <f>AND(#REF!,"AAAAAHe/2uY=")</f>
        <v>#REF!</v>
      </c>
      <c r="HX599" t="e">
        <f>IF(#REF!,"AAAAAHe/2uc=",0)</f>
        <v>#REF!</v>
      </c>
      <c r="HY599" t="e">
        <f>AND(#REF!,"AAAAAHe/2ug=")</f>
        <v>#REF!</v>
      </c>
      <c r="HZ599" t="e">
        <f>AND(#REF!,"AAAAAHe/2uk=")</f>
        <v>#REF!</v>
      </c>
      <c r="IA599" t="e">
        <f>AND(#REF!,"AAAAAHe/2uo=")</f>
        <v>#REF!</v>
      </c>
      <c r="IB599" t="s">
        <v>13</v>
      </c>
    </row>
  </sheetData>
  <pageMargins left="0.7" right="0.7" top="0.75" bottom="0.75" header="0.3" footer="0.3"/>
  <customProperties>
    <customPr name="DVSECTION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13"/>
  <dimension ref="A1:S506"/>
  <sheetViews>
    <sheetView tabSelected="1" workbookViewId="0">
      <pane ySplit="5" topLeftCell="A6" activePane="bottomLeft" state="frozenSplit"/>
      <selection pane="bottomLeft" activeCell="B1" sqref="B1"/>
    </sheetView>
  </sheetViews>
  <sheetFormatPr baseColWidth="10" defaultRowHeight="14.4"/>
  <cols>
    <col min="1" max="1" width="12.77734375" style="51" customWidth="1"/>
    <col min="2" max="2" width="45.33203125" customWidth="1"/>
    <col min="3" max="4" width="15.44140625" bestFit="1" customWidth="1"/>
    <col min="5" max="5" width="14" bestFit="1" customWidth="1"/>
    <col min="6" max="6" width="11.5546875" style="51" customWidth="1"/>
    <col min="7" max="7" width="15.109375" style="2" customWidth="1"/>
    <col min="8" max="8" width="11.5546875" style="51"/>
    <col min="9" max="9" width="38.77734375" bestFit="1" customWidth="1"/>
    <col min="10" max="10" width="93.6640625" customWidth="1"/>
    <col min="12" max="19" width="11.5546875" hidden="1" customWidth="1"/>
  </cols>
  <sheetData>
    <row r="1" spans="1:19" s="10" customFormat="1" ht="43.2">
      <c r="A1" s="7" t="s">
        <v>468</v>
      </c>
      <c r="B1" s="69" t="s">
        <v>469</v>
      </c>
      <c r="G1" s="9"/>
    </row>
    <row r="2" spans="1:19">
      <c r="A2" s="8" t="s">
        <v>464</v>
      </c>
      <c r="B2" s="70" t="s">
        <v>472</v>
      </c>
      <c r="C2" s="71" t="s">
        <v>470</v>
      </c>
      <c r="D2" s="71" t="s">
        <v>471</v>
      </c>
      <c r="E2" s="71"/>
      <c r="F2" s="71"/>
      <c r="G2" s="72"/>
      <c r="H2" s="71"/>
      <c r="I2" s="71"/>
      <c r="J2" s="73"/>
      <c r="K2" s="10"/>
      <c r="L2" s="97" t="s">
        <v>477</v>
      </c>
      <c r="M2" s="97"/>
      <c r="N2" s="97"/>
      <c r="O2" s="97"/>
      <c r="P2" s="97"/>
      <c r="Q2" s="97"/>
      <c r="R2" s="97"/>
      <c r="S2" s="97"/>
    </row>
    <row r="3" spans="1:19">
      <c r="G3" s="62"/>
      <c r="H3" s="11"/>
      <c r="I3" s="68"/>
      <c r="R3" s="68"/>
      <c r="S3" s="68"/>
    </row>
    <row r="4" spans="1:19" ht="28.8">
      <c r="B4" s="5"/>
      <c r="C4" s="4"/>
      <c r="D4" s="4"/>
      <c r="E4" s="4"/>
      <c r="F4" s="50"/>
      <c r="G4" s="52"/>
      <c r="H4" s="50"/>
      <c r="I4" s="4"/>
      <c r="J4" s="78" t="s">
        <v>482</v>
      </c>
      <c r="L4" s="4"/>
      <c r="N4" s="4"/>
      <c r="O4" s="4"/>
      <c r="P4" s="4"/>
      <c r="Q4" s="4"/>
      <c r="R4" s="4"/>
      <c r="S4" s="4"/>
    </row>
    <row r="5" spans="1:19" ht="49.2" customHeight="1">
      <c r="A5" s="63" t="s">
        <v>24</v>
      </c>
      <c r="B5" s="82" t="s">
        <v>23</v>
      </c>
      <c r="C5" s="82" t="s">
        <v>7</v>
      </c>
      <c r="D5" s="82" t="s">
        <v>25</v>
      </c>
      <c r="E5" s="82" t="s">
        <v>460</v>
      </c>
      <c r="F5" s="82" t="s">
        <v>465</v>
      </c>
      <c r="G5" s="83" t="s">
        <v>461</v>
      </c>
      <c r="H5" s="82" t="s">
        <v>462</v>
      </c>
      <c r="I5" s="82" t="s">
        <v>463</v>
      </c>
      <c r="J5" s="61" t="str">
        <f ca="1">"Adrena - descriptif des concurrents;1.3;"&amp;TEXT(TODAY(), "dd/mm/yyyy")&amp;";"&amp;B1&amp;";0;POSADRENA;"</f>
        <v>Adrena - descriptif des concurrents;1.3;30/06/2017;RaceName;0;POSADRENA;</v>
      </c>
      <c r="L5" s="63" t="s">
        <v>11</v>
      </c>
      <c r="N5" s="63" t="s">
        <v>8</v>
      </c>
      <c r="O5" s="63" t="s">
        <v>9</v>
      </c>
      <c r="P5" s="63" t="s">
        <v>10</v>
      </c>
      <c r="Q5" s="63" t="s">
        <v>20</v>
      </c>
      <c r="R5" s="6" t="s">
        <v>21</v>
      </c>
      <c r="S5" s="6" t="s">
        <v>22</v>
      </c>
    </row>
    <row r="6" spans="1:19">
      <c r="A6" s="80" t="s">
        <v>472</v>
      </c>
      <c r="B6" s="65" t="s">
        <v>473</v>
      </c>
      <c r="C6" s="65" t="s">
        <v>1</v>
      </c>
      <c r="D6" s="81" t="s">
        <v>31</v>
      </c>
      <c r="E6" s="81" t="s">
        <v>39</v>
      </c>
      <c r="F6" s="67">
        <v>2</v>
      </c>
      <c r="G6" s="66">
        <v>1.03</v>
      </c>
      <c r="H6" s="81">
        <v>1</v>
      </c>
      <c r="I6" s="65" t="s">
        <v>478</v>
      </c>
      <c r="J6" s="35" t="str">
        <f t="shared" ref="J6:J37" si="0">IF(LEN(B6)&gt;0,SUBSTITUTE(B6, "'", " ")&amp;" - "&amp;SUBSTITUTE(C6, "'"," ")&amp;";"&amp;A6&amp;";"&amp;N6&amp;";"&amp;O6&amp;";"&amp;P6&amp;";"&amp;L6&amp;";"&amp;E6&amp;";"&amp;F6&amp;";"&amp;Q6&amp;";"&amp;IF(LEN(G6)=0,"1.000",IFERROR(REPLACE(FIXED(G6,3,1),2,1,"."),))&amp;";"&amp;H6&amp;";"&amp;I6&amp;";"&amp;R6&amp;";"&amp;S6&amp;";","")</f>
        <v>Boat 1 - A35;Class_1;1;;;767;a35.pol;2;;1.030;1;Skipper_1;0;1;</v>
      </c>
      <c r="L6" s="64">
        <f t="shared" ref="L6:L37" si="1">IFERROR(VLOOKUP(D6,ColorsTable,2,FALSE),16711935)</f>
        <v>767</v>
      </c>
      <c r="N6" s="64">
        <v>1</v>
      </c>
      <c r="O6" s="64"/>
      <c r="P6" s="64"/>
      <c r="Q6" s="64"/>
      <c r="R6">
        <v>0</v>
      </c>
      <c r="S6">
        <v>1</v>
      </c>
    </row>
    <row r="7" spans="1:19">
      <c r="A7" s="80" t="s">
        <v>472</v>
      </c>
      <c r="B7" s="65" t="s">
        <v>474</v>
      </c>
      <c r="C7" s="65" t="s">
        <v>5</v>
      </c>
      <c r="D7" s="81" t="s">
        <v>27</v>
      </c>
      <c r="E7" s="81" t="s">
        <v>273</v>
      </c>
      <c r="F7" s="67">
        <v>3</v>
      </c>
      <c r="G7" s="66">
        <v>1.006</v>
      </c>
      <c r="H7" s="81">
        <v>1</v>
      </c>
      <c r="I7" s="65" t="s">
        <v>479</v>
      </c>
      <c r="J7" s="13" t="str">
        <f t="shared" si="0"/>
        <v>Boat 2 - JPK 10.10;Class_1;1;;;16711680;jpk1010.pol;3;;1.006;1;Skipper_2;0;1;</v>
      </c>
      <c r="L7" s="65">
        <f t="shared" si="1"/>
        <v>16711680</v>
      </c>
      <c r="N7" s="65">
        <v>1</v>
      </c>
      <c r="O7" s="65"/>
      <c r="P7" s="65"/>
      <c r="Q7" s="65"/>
      <c r="R7">
        <v>0</v>
      </c>
      <c r="S7">
        <v>1</v>
      </c>
    </row>
    <row r="8" spans="1:19">
      <c r="A8" s="80" t="s">
        <v>470</v>
      </c>
      <c r="B8" s="65" t="s">
        <v>475</v>
      </c>
      <c r="C8" s="65" t="s">
        <v>6</v>
      </c>
      <c r="D8" s="81" t="s">
        <v>28</v>
      </c>
      <c r="E8" s="81" t="s">
        <v>346</v>
      </c>
      <c r="F8" s="67">
        <v>4</v>
      </c>
      <c r="G8" s="66">
        <v>0.96899999999999997</v>
      </c>
      <c r="H8" s="81">
        <v>1</v>
      </c>
      <c r="I8" s="65" t="s">
        <v>480</v>
      </c>
      <c r="J8" s="13" t="str">
        <f t="shared" si="0"/>
        <v>Boat 3 - POGO 8.50;Class_2;1;;;16776960;pogo850.pol;4;;0.969;1;Skipper_3;0;1;</v>
      </c>
      <c r="L8" s="65">
        <f t="shared" si="1"/>
        <v>16776960</v>
      </c>
      <c r="N8" s="65">
        <v>1</v>
      </c>
      <c r="O8" s="65"/>
      <c r="P8" s="65"/>
      <c r="Q8" s="65"/>
      <c r="R8">
        <v>0</v>
      </c>
      <c r="S8">
        <v>1</v>
      </c>
    </row>
    <row r="9" spans="1:19">
      <c r="A9" s="80" t="s">
        <v>471</v>
      </c>
      <c r="B9" s="65" t="s">
        <v>476</v>
      </c>
      <c r="C9" s="65" t="s">
        <v>0</v>
      </c>
      <c r="D9" s="81" t="s">
        <v>29</v>
      </c>
      <c r="E9" s="81" t="s">
        <v>372</v>
      </c>
      <c r="F9" s="67">
        <v>5</v>
      </c>
      <c r="G9" s="66">
        <v>1.002</v>
      </c>
      <c r="H9" s="81">
        <v>0</v>
      </c>
      <c r="I9" s="65" t="s">
        <v>481</v>
      </c>
      <c r="J9" s="13" t="str">
        <f t="shared" si="0"/>
        <v>Boat 4 - SUN FAST 3200;Class_3;1;;;65280;sunfast3200.pol;5;;1.002;0;Skipper_4;0;1;</v>
      </c>
      <c r="L9" s="65">
        <f t="shared" si="1"/>
        <v>65280</v>
      </c>
      <c r="N9" s="65">
        <v>1</v>
      </c>
      <c r="O9" s="65"/>
      <c r="P9" s="65"/>
      <c r="Q9" s="65"/>
      <c r="R9">
        <v>0</v>
      </c>
      <c r="S9">
        <v>1</v>
      </c>
    </row>
    <row r="10" spans="1:19">
      <c r="A10" s="80"/>
      <c r="B10" s="65"/>
      <c r="C10" s="65"/>
      <c r="D10" s="81"/>
      <c r="E10" s="81"/>
      <c r="F10" s="67"/>
      <c r="G10" s="66"/>
      <c r="H10" s="81"/>
      <c r="I10" s="65"/>
      <c r="J10" s="13" t="str">
        <f t="shared" si="0"/>
        <v/>
      </c>
      <c r="L10" s="65">
        <f t="shared" si="1"/>
        <v>16711935</v>
      </c>
      <c r="N10" s="65">
        <v>1</v>
      </c>
      <c r="O10" s="65"/>
      <c r="P10" s="65"/>
      <c r="Q10" s="65"/>
      <c r="R10">
        <v>0</v>
      </c>
      <c r="S10">
        <v>1</v>
      </c>
    </row>
    <row r="11" spans="1:19">
      <c r="A11" s="80"/>
      <c r="B11" s="65"/>
      <c r="C11" s="65"/>
      <c r="D11" s="81"/>
      <c r="E11" s="81"/>
      <c r="F11" s="67"/>
      <c r="G11" s="66"/>
      <c r="H11" s="81"/>
      <c r="I11" s="65"/>
      <c r="J11" s="13" t="str">
        <f t="shared" si="0"/>
        <v/>
      </c>
      <c r="L11" s="65">
        <f t="shared" si="1"/>
        <v>16711935</v>
      </c>
      <c r="N11" s="65">
        <v>1</v>
      </c>
      <c r="O11" s="65"/>
      <c r="P11" s="65"/>
      <c r="Q11" s="65"/>
      <c r="R11">
        <v>0</v>
      </c>
      <c r="S11">
        <v>1</v>
      </c>
    </row>
    <row r="12" spans="1:19">
      <c r="A12" s="80"/>
      <c r="B12" s="65"/>
      <c r="C12" s="65"/>
      <c r="D12" s="81"/>
      <c r="E12" s="81"/>
      <c r="F12" s="67"/>
      <c r="G12" s="66"/>
      <c r="H12" s="81"/>
      <c r="I12" s="65"/>
      <c r="J12" s="13" t="str">
        <f t="shared" si="0"/>
        <v/>
      </c>
      <c r="L12" s="65">
        <f t="shared" si="1"/>
        <v>16711935</v>
      </c>
      <c r="N12" s="65">
        <v>1</v>
      </c>
      <c r="O12" s="65"/>
      <c r="P12" s="65"/>
      <c r="Q12" s="65"/>
      <c r="R12">
        <v>0</v>
      </c>
      <c r="S12">
        <v>1</v>
      </c>
    </row>
    <row r="13" spans="1:19">
      <c r="A13" s="80"/>
      <c r="B13" s="65"/>
      <c r="C13" s="65"/>
      <c r="D13" s="81"/>
      <c r="E13" s="81"/>
      <c r="F13" s="67"/>
      <c r="G13" s="66"/>
      <c r="H13" s="81"/>
      <c r="I13" s="65"/>
      <c r="J13" s="13" t="str">
        <f t="shared" si="0"/>
        <v/>
      </c>
      <c r="L13" s="65">
        <f t="shared" si="1"/>
        <v>16711935</v>
      </c>
      <c r="N13" s="65">
        <v>1</v>
      </c>
      <c r="O13" s="65"/>
      <c r="P13" s="65"/>
      <c r="Q13" s="65"/>
      <c r="R13">
        <v>0</v>
      </c>
      <c r="S13">
        <v>1</v>
      </c>
    </row>
    <row r="14" spans="1:19">
      <c r="A14" s="80"/>
      <c r="B14" s="65"/>
      <c r="C14" s="65"/>
      <c r="D14" s="81"/>
      <c r="E14" s="81"/>
      <c r="F14" s="67"/>
      <c r="G14" s="66"/>
      <c r="H14" s="81"/>
      <c r="I14" s="65"/>
      <c r="J14" s="13" t="str">
        <f t="shared" si="0"/>
        <v/>
      </c>
      <c r="L14" s="65">
        <f t="shared" si="1"/>
        <v>16711935</v>
      </c>
      <c r="N14" s="65">
        <v>1</v>
      </c>
      <c r="O14" s="65"/>
      <c r="P14" s="65"/>
      <c r="Q14" s="65"/>
      <c r="R14">
        <v>0</v>
      </c>
      <c r="S14">
        <v>1</v>
      </c>
    </row>
    <row r="15" spans="1:19">
      <c r="A15" s="80"/>
      <c r="B15" s="65"/>
      <c r="C15" s="65"/>
      <c r="D15" s="81"/>
      <c r="E15" s="81"/>
      <c r="F15" s="67"/>
      <c r="G15" s="66"/>
      <c r="H15" s="81"/>
      <c r="I15" s="65"/>
      <c r="J15" s="13" t="str">
        <f t="shared" si="0"/>
        <v/>
      </c>
      <c r="L15" s="65">
        <f t="shared" si="1"/>
        <v>16711935</v>
      </c>
      <c r="N15" s="65">
        <v>1</v>
      </c>
      <c r="O15" s="65"/>
      <c r="P15" s="65"/>
      <c r="Q15" s="65"/>
      <c r="R15">
        <v>0</v>
      </c>
      <c r="S15">
        <v>1</v>
      </c>
    </row>
    <row r="16" spans="1:19">
      <c r="A16" s="80"/>
      <c r="B16" s="65"/>
      <c r="C16" s="65"/>
      <c r="D16" s="81"/>
      <c r="E16" s="81"/>
      <c r="F16" s="67"/>
      <c r="G16" s="66"/>
      <c r="H16" s="81"/>
      <c r="I16" s="65"/>
      <c r="J16" s="13" t="str">
        <f t="shared" si="0"/>
        <v/>
      </c>
      <c r="L16" s="65">
        <f t="shared" si="1"/>
        <v>16711935</v>
      </c>
      <c r="N16" s="65">
        <v>1</v>
      </c>
      <c r="O16" s="65"/>
      <c r="P16" s="65"/>
      <c r="Q16" s="65"/>
      <c r="R16">
        <v>0</v>
      </c>
      <c r="S16">
        <v>1</v>
      </c>
    </row>
    <row r="17" spans="1:19">
      <c r="A17" s="80"/>
      <c r="B17" s="65"/>
      <c r="C17" s="65"/>
      <c r="D17" s="81"/>
      <c r="E17" s="81"/>
      <c r="F17" s="67"/>
      <c r="G17" s="66"/>
      <c r="H17" s="81"/>
      <c r="I17" s="65"/>
      <c r="J17" s="13" t="str">
        <f t="shared" si="0"/>
        <v/>
      </c>
      <c r="L17" s="65">
        <f t="shared" si="1"/>
        <v>16711935</v>
      </c>
      <c r="N17" s="65">
        <v>1</v>
      </c>
      <c r="O17" s="65"/>
      <c r="P17" s="65"/>
      <c r="Q17" s="65"/>
      <c r="R17">
        <v>0</v>
      </c>
      <c r="S17">
        <v>1</v>
      </c>
    </row>
    <row r="18" spans="1:19">
      <c r="A18" s="80"/>
      <c r="B18" s="65"/>
      <c r="C18" s="65"/>
      <c r="D18" s="81"/>
      <c r="E18" s="81"/>
      <c r="F18" s="67"/>
      <c r="G18" s="66"/>
      <c r="H18" s="81"/>
      <c r="I18" s="65"/>
      <c r="J18" s="13" t="str">
        <f t="shared" si="0"/>
        <v/>
      </c>
      <c r="L18" s="65">
        <f t="shared" si="1"/>
        <v>16711935</v>
      </c>
      <c r="N18" s="65">
        <v>1</v>
      </c>
      <c r="O18" s="65"/>
      <c r="P18" s="65"/>
      <c r="Q18" s="65"/>
      <c r="R18">
        <v>0</v>
      </c>
      <c r="S18">
        <v>1</v>
      </c>
    </row>
    <row r="19" spans="1:19">
      <c r="A19" s="80"/>
      <c r="B19" s="65"/>
      <c r="C19" s="65"/>
      <c r="D19" s="81"/>
      <c r="E19" s="81"/>
      <c r="F19" s="67"/>
      <c r="G19" s="66"/>
      <c r="H19" s="81"/>
      <c r="I19" s="65"/>
      <c r="J19" s="13" t="str">
        <f t="shared" si="0"/>
        <v/>
      </c>
      <c r="L19" s="65">
        <f t="shared" si="1"/>
        <v>16711935</v>
      </c>
      <c r="N19" s="65">
        <v>1</v>
      </c>
      <c r="O19" s="65"/>
      <c r="P19" s="65"/>
      <c r="Q19" s="65"/>
      <c r="R19">
        <v>0</v>
      </c>
      <c r="S19">
        <v>1</v>
      </c>
    </row>
    <row r="20" spans="1:19">
      <c r="A20" s="80"/>
      <c r="B20" s="65"/>
      <c r="C20" s="65"/>
      <c r="D20" s="81"/>
      <c r="E20" s="81"/>
      <c r="F20" s="67"/>
      <c r="G20" s="66"/>
      <c r="H20" s="81"/>
      <c r="I20" s="65"/>
      <c r="J20" s="13" t="str">
        <f t="shared" si="0"/>
        <v/>
      </c>
      <c r="L20" s="65">
        <f t="shared" si="1"/>
        <v>16711935</v>
      </c>
      <c r="N20" s="65">
        <v>1</v>
      </c>
      <c r="O20" s="65"/>
      <c r="P20" s="65"/>
      <c r="Q20" s="65"/>
      <c r="R20">
        <v>0</v>
      </c>
      <c r="S20">
        <v>1</v>
      </c>
    </row>
    <row r="21" spans="1:19">
      <c r="A21" s="80"/>
      <c r="B21" s="65"/>
      <c r="C21" s="65"/>
      <c r="D21" s="81"/>
      <c r="E21" s="81"/>
      <c r="F21" s="67"/>
      <c r="G21" s="66"/>
      <c r="H21" s="81"/>
      <c r="I21" s="65"/>
      <c r="J21" s="13" t="str">
        <f t="shared" si="0"/>
        <v/>
      </c>
      <c r="L21" s="65">
        <f t="shared" si="1"/>
        <v>16711935</v>
      </c>
      <c r="N21" s="65">
        <v>1</v>
      </c>
      <c r="O21" s="65"/>
      <c r="P21" s="65"/>
      <c r="Q21" s="65"/>
      <c r="R21">
        <v>0</v>
      </c>
      <c r="S21">
        <v>1</v>
      </c>
    </row>
    <row r="22" spans="1:19">
      <c r="A22" s="80"/>
      <c r="B22" s="65"/>
      <c r="C22" s="65"/>
      <c r="D22" s="81"/>
      <c r="E22" s="81"/>
      <c r="F22" s="67"/>
      <c r="G22" s="66"/>
      <c r="H22" s="81"/>
      <c r="I22" s="65"/>
      <c r="J22" s="13" t="str">
        <f t="shared" si="0"/>
        <v/>
      </c>
      <c r="L22" s="65">
        <f t="shared" si="1"/>
        <v>16711935</v>
      </c>
      <c r="N22" s="65">
        <v>1</v>
      </c>
      <c r="O22" s="65"/>
      <c r="P22" s="65"/>
      <c r="Q22" s="65"/>
      <c r="R22">
        <v>0</v>
      </c>
      <c r="S22">
        <v>1</v>
      </c>
    </row>
    <row r="23" spans="1:19">
      <c r="A23" s="80"/>
      <c r="B23" s="65"/>
      <c r="C23" s="65"/>
      <c r="D23" s="81"/>
      <c r="E23" s="81"/>
      <c r="F23" s="67"/>
      <c r="G23" s="66"/>
      <c r="H23" s="81"/>
      <c r="I23" s="65"/>
      <c r="J23" s="13" t="str">
        <f t="shared" si="0"/>
        <v/>
      </c>
      <c r="L23" s="65">
        <f t="shared" si="1"/>
        <v>16711935</v>
      </c>
      <c r="N23" s="65">
        <v>1</v>
      </c>
      <c r="O23" s="65"/>
      <c r="P23" s="65"/>
      <c r="Q23" s="65"/>
      <c r="R23">
        <v>0</v>
      </c>
      <c r="S23">
        <v>1</v>
      </c>
    </row>
    <row r="24" spans="1:19">
      <c r="A24" s="80"/>
      <c r="B24" s="65"/>
      <c r="C24" s="65"/>
      <c r="D24" s="81"/>
      <c r="E24" s="81"/>
      <c r="F24" s="67"/>
      <c r="G24" s="66"/>
      <c r="H24" s="81"/>
      <c r="I24" s="65"/>
      <c r="J24" s="13" t="str">
        <f t="shared" si="0"/>
        <v/>
      </c>
      <c r="L24" s="65">
        <f t="shared" si="1"/>
        <v>16711935</v>
      </c>
      <c r="N24" s="65">
        <v>1</v>
      </c>
      <c r="O24" s="65"/>
      <c r="P24" s="65"/>
      <c r="Q24" s="65"/>
      <c r="R24">
        <v>0</v>
      </c>
      <c r="S24">
        <v>1</v>
      </c>
    </row>
    <row r="25" spans="1:19">
      <c r="A25" s="80"/>
      <c r="B25" s="65"/>
      <c r="C25" s="65"/>
      <c r="D25" s="81"/>
      <c r="E25" s="81"/>
      <c r="F25" s="67"/>
      <c r="G25" s="66"/>
      <c r="H25" s="81"/>
      <c r="I25" s="65"/>
      <c r="J25" s="13" t="str">
        <f t="shared" si="0"/>
        <v/>
      </c>
      <c r="L25" s="65">
        <f t="shared" si="1"/>
        <v>16711935</v>
      </c>
      <c r="N25" s="65">
        <v>1</v>
      </c>
      <c r="O25" s="65"/>
      <c r="P25" s="65"/>
      <c r="Q25" s="65"/>
      <c r="R25">
        <v>0</v>
      </c>
      <c r="S25">
        <v>1</v>
      </c>
    </row>
    <row r="26" spans="1:19">
      <c r="A26" s="80"/>
      <c r="B26" s="65"/>
      <c r="C26" s="65"/>
      <c r="D26" s="81"/>
      <c r="E26" s="81"/>
      <c r="F26" s="67"/>
      <c r="G26" s="66"/>
      <c r="H26" s="81"/>
      <c r="I26" s="65"/>
      <c r="J26" s="13" t="str">
        <f t="shared" si="0"/>
        <v/>
      </c>
      <c r="L26" s="65">
        <f t="shared" si="1"/>
        <v>16711935</v>
      </c>
      <c r="N26" s="65">
        <v>1</v>
      </c>
      <c r="O26" s="65"/>
      <c r="P26" s="65"/>
      <c r="Q26" s="65"/>
      <c r="R26">
        <v>0</v>
      </c>
      <c r="S26">
        <v>1</v>
      </c>
    </row>
    <row r="27" spans="1:19">
      <c r="A27" s="80"/>
      <c r="B27" s="65"/>
      <c r="C27" s="65"/>
      <c r="D27" s="81"/>
      <c r="E27" s="81"/>
      <c r="F27" s="67"/>
      <c r="G27" s="66"/>
      <c r="H27" s="81"/>
      <c r="I27" s="65"/>
      <c r="J27" s="13" t="str">
        <f t="shared" si="0"/>
        <v/>
      </c>
      <c r="L27" s="65">
        <f t="shared" si="1"/>
        <v>16711935</v>
      </c>
      <c r="N27" s="65">
        <v>1</v>
      </c>
      <c r="O27" s="65"/>
      <c r="P27" s="65"/>
      <c r="Q27" s="65"/>
      <c r="R27">
        <v>0</v>
      </c>
      <c r="S27">
        <v>1</v>
      </c>
    </row>
    <row r="28" spans="1:19">
      <c r="A28" s="80"/>
      <c r="B28" s="65"/>
      <c r="C28" s="65"/>
      <c r="D28" s="81"/>
      <c r="E28" s="81"/>
      <c r="F28" s="67"/>
      <c r="G28" s="66"/>
      <c r="H28" s="81"/>
      <c r="I28" s="65"/>
      <c r="J28" s="13" t="str">
        <f t="shared" si="0"/>
        <v/>
      </c>
      <c r="L28" s="65">
        <f t="shared" si="1"/>
        <v>16711935</v>
      </c>
      <c r="N28" s="65">
        <v>1</v>
      </c>
      <c r="O28" s="65"/>
      <c r="P28" s="65"/>
      <c r="Q28" s="65"/>
      <c r="R28">
        <v>0</v>
      </c>
      <c r="S28">
        <v>1</v>
      </c>
    </row>
    <row r="29" spans="1:19">
      <c r="A29" s="80"/>
      <c r="B29" s="65"/>
      <c r="C29" s="65"/>
      <c r="D29" s="81"/>
      <c r="E29" s="81"/>
      <c r="F29" s="67"/>
      <c r="G29" s="66"/>
      <c r="H29" s="81"/>
      <c r="I29" s="65"/>
      <c r="J29" s="13" t="str">
        <f t="shared" si="0"/>
        <v/>
      </c>
      <c r="L29" s="65">
        <f t="shared" si="1"/>
        <v>16711935</v>
      </c>
      <c r="N29" s="65">
        <v>1</v>
      </c>
      <c r="O29" s="65"/>
      <c r="P29" s="65"/>
      <c r="Q29" s="65"/>
      <c r="R29">
        <v>0</v>
      </c>
      <c r="S29">
        <v>1</v>
      </c>
    </row>
    <row r="30" spans="1:19">
      <c r="A30" s="80"/>
      <c r="B30" s="65"/>
      <c r="C30" s="65"/>
      <c r="D30" s="81"/>
      <c r="E30" s="81"/>
      <c r="F30" s="67"/>
      <c r="G30" s="66"/>
      <c r="H30" s="81"/>
      <c r="I30" s="65"/>
      <c r="J30" s="13" t="str">
        <f t="shared" si="0"/>
        <v/>
      </c>
      <c r="L30" s="65">
        <f t="shared" si="1"/>
        <v>16711935</v>
      </c>
      <c r="N30" s="65">
        <v>1</v>
      </c>
      <c r="O30" s="65"/>
      <c r="P30" s="65"/>
      <c r="Q30" s="65"/>
      <c r="R30">
        <v>0</v>
      </c>
      <c r="S30">
        <v>1</v>
      </c>
    </row>
    <row r="31" spans="1:19">
      <c r="A31" s="80"/>
      <c r="B31" s="65"/>
      <c r="C31" s="65"/>
      <c r="D31" s="81"/>
      <c r="E31" s="81"/>
      <c r="F31" s="67"/>
      <c r="G31" s="66"/>
      <c r="H31" s="81"/>
      <c r="I31" s="65"/>
      <c r="J31" s="13" t="str">
        <f t="shared" si="0"/>
        <v/>
      </c>
      <c r="L31" s="65">
        <f t="shared" si="1"/>
        <v>16711935</v>
      </c>
      <c r="N31" s="65">
        <v>1</v>
      </c>
      <c r="O31" s="65"/>
      <c r="P31" s="65"/>
      <c r="Q31" s="65"/>
      <c r="R31">
        <v>0</v>
      </c>
      <c r="S31">
        <v>1</v>
      </c>
    </row>
    <row r="32" spans="1:19">
      <c r="A32" s="80"/>
      <c r="B32" s="65"/>
      <c r="C32" s="65"/>
      <c r="D32" s="81"/>
      <c r="E32" s="81"/>
      <c r="F32" s="67"/>
      <c r="G32" s="66"/>
      <c r="H32" s="81"/>
      <c r="I32" s="65"/>
      <c r="J32" s="13" t="str">
        <f t="shared" si="0"/>
        <v/>
      </c>
      <c r="L32" s="65">
        <f t="shared" si="1"/>
        <v>16711935</v>
      </c>
      <c r="N32" s="65">
        <v>1</v>
      </c>
      <c r="O32" s="65"/>
      <c r="P32" s="65"/>
      <c r="Q32" s="65"/>
      <c r="R32">
        <v>0</v>
      </c>
      <c r="S32">
        <v>1</v>
      </c>
    </row>
    <row r="33" spans="1:19">
      <c r="A33" s="80"/>
      <c r="B33" s="65"/>
      <c r="C33" s="65"/>
      <c r="D33" s="81"/>
      <c r="E33" s="81"/>
      <c r="F33" s="67"/>
      <c r="G33" s="66"/>
      <c r="H33" s="81"/>
      <c r="I33" s="65"/>
      <c r="J33" s="13" t="str">
        <f t="shared" si="0"/>
        <v/>
      </c>
      <c r="L33" s="65">
        <f t="shared" si="1"/>
        <v>16711935</v>
      </c>
      <c r="N33" s="65">
        <v>1</v>
      </c>
      <c r="O33" s="65"/>
      <c r="P33" s="65"/>
      <c r="Q33" s="65"/>
      <c r="R33">
        <v>0</v>
      </c>
      <c r="S33">
        <v>1</v>
      </c>
    </row>
    <row r="34" spans="1:19">
      <c r="A34" s="80"/>
      <c r="B34" s="65"/>
      <c r="C34" s="65"/>
      <c r="D34" s="81"/>
      <c r="E34" s="81"/>
      <c r="F34" s="67"/>
      <c r="G34" s="66"/>
      <c r="H34" s="81"/>
      <c r="I34" s="65"/>
      <c r="J34" s="13" t="str">
        <f t="shared" si="0"/>
        <v/>
      </c>
      <c r="L34" s="65">
        <f t="shared" si="1"/>
        <v>16711935</v>
      </c>
      <c r="N34" s="65">
        <v>1</v>
      </c>
      <c r="O34" s="65"/>
      <c r="P34" s="65"/>
      <c r="Q34" s="65"/>
      <c r="R34">
        <v>0</v>
      </c>
      <c r="S34">
        <v>1</v>
      </c>
    </row>
    <row r="35" spans="1:19">
      <c r="A35" s="80"/>
      <c r="B35" s="65"/>
      <c r="C35" s="65"/>
      <c r="D35" s="81"/>
      <c r="E35" s="81"/>
      <c r="F35" s="67"/>
      <c r="G35" s="66"/>
      <c r="H35" s="81"/>
      <c r="I35" s="65"/>
      <c r="J35" s="13" t="str">
        <f t="shared" si="0"/>
        <v/>
      </c>
      <c r="L35" s="65">
        <f t="shared" si="1"/>
        <v>16711935</v>
      </c>
      <c r="N35" s="65">
        <v>1</v>
      </c>
      <c r="O35" s="65"/>
      <c r="P35" s="65"/>
      <c r="Q35" s="65"/>
      <c r="R35">
        <v>0</v>
      </c>
      <c r="S35">
        <v>1</v>
      </c>
    </row>
    <row r="36" spans="1:19">
      <c r="A36" s="80"/>
      <c r="B36" s="65"/>
      <c r="C36" s="65"/>
      <c r="D36" s="81"/>
      <c r="E36" s="81"/>
      <c r="F36" s="67"/>
      <c r="G36" s="66"/>
      <c r="H36" s="81"/>
      <c r="I36" s="65"/>
      <c r="J36" s="13" t="str">
        <f t="shared" si="0"/>
        <v/>
      </c>
      <c r="L36" s="65">
        <f t="shared" si="1"/>
        <v>16711935</v>
      </c>
      <c r="N36" s="65">
        <v>1</v>
      </c>
      <c r="O36" s="65"/>
      <c r="P36" s="65"/>
      <c r="Q36" s="65"/>
      <c r="R36">
        <v>0</v>
      </c>
      <c r="S36">
        <v>1</v>
      </c>
    </row>
    <row r="37" spans="1:19">
      <c r="A37" s="80"/>
      <c r="B37" s="65"/>
      <c r="C37" s="65"/>
      <c r="D37" s="81"/>
      <c r="E37" s="81"/>
      <c r="F37" s="67"/>
      <c r="G37" s="66"/>
      <c r="H37" s="81"/>
      <c r="I37" s="65"/>
      <c r="J37" s="13" t="str">
        <f t="shared" si="0"/>
        <v/>
      </c>
      <c r="L37" s="65">
        <f t="shared" si="1"/>
        <v>16711935</v>
      </c>
      <c r="N37" s="65">
        <v>1</v>
      </c>
      <c r="O37" s="65"/>
      <c r="P37" s="65"/>
      <c r="Q37" s="65"/>
      <c r="R37">
        <v>0</v>
      </c>
      <c r="S37">
        <v>1</v>
      </c>
    </row>
    <row r="38" spans="1:19">
      <c r="A38" s="80"/>
      <c r="B38" s="65"/>
      <c r="C38" s="65"/>
      <c r="D38" s="81"/>
      <c r="E38" s="81"/>
      <c r="F38" s="67"/>
      <c r="G38" s="66"/>
      <c r="H38" s="81"/>
      <c r="I38" s="65"/>
      <c r="J38" s="13" t="str">
        <f t="shared" ref="J38:J69" si="2">IF(LEN(B38)&gt;0,SUBSTITUTE(B38, "'", " ")&amp;" - "&amp;SUBSTITUTE(C38, "'"," ")&amp;";"&amp;A38&amp;";"&amp;N38&amp;";"&amp;O38&amp;";"&amp;P38&amp;";"&amp;L38&amp;";"&amp;E38&amp;";"&amp;F38&amp;";"&amp;Q38&amp;";"&amp;IF(LEN(G38)=0,"1.000",IFERROR(REPLACE(FIXED(G38,3,1),2,1,"."),))&amp;";"&amp;H38&amp;";"&amp;I38&amp;";"&amp;R38&amp;";"&amp;S38&amp;";","")</f>
        <v/>
      </c>
      <c r="L38" s="65">
        <f t="shared" ref="L38:L69" si="3">IFERROR(VLOOKUP(D38,ColorsTable,2,FALSE),16711935)</f>
        <v>16711935</v>
      </c>
      <c r="N38" s="65">
        <v>1</v>
      </c>
      <c r="O38" s="65"/>
      <c r="P38" s="65"/>
      <c r="Q38" s="65"/>
      <c r="R38">
        <v>0</v>
      </c>
      <c r="S38">
        <v>1</v>
      </c>
    </row>
    <row r="39" spans="1:19">
      <c r="A39" s="80"/>
      <c r="B39" s="65"/>
      <c r="C39" s="65"/>
      <c r="D39" s="81"/>
      <c r="E39" s="81"/>
      <c r="F39" s="67"/>
      <c r="G39" s="66"/>
      <c r="H39" s="81"/>
      <c r="I39" s="65"/>
      <c r="J39" s="13" t="str">
        <f t="shared" si="2"/>
        <v/>
      </c>
      <c r="L39" s="65">
        <f t="shared" si="3"/>
        <v>16711935</v>
      </c>
      <c r="N39" s="65">
        <v>1</v>
      </c>
      <c r="O39" s="65"/>
      <c r="P39" s="65"/>
      <c r="Q39" s="65"/>
      <c r="R39">
        <v>0</v>
      </c>
      <c r="S39">
        <v>1</v>
      </c>
    </row>
    <row r="40" spans="1:19">
      <c r="A40" s="80"/>
      <c r="B40" s="65"/>
      <c r="C40" s="65"/>
      <c r="D40" s="81"/>
      <c r="E40" s="81"/>
      <c r="F40" s="67"/>
      <c r="G40" s="66"/>
      <c r="H40" s="81"/>
      <c r="I40" s="65"/>
      <c r="J40" s="13" t="str">
        <f t="shared" si="2"/>
        <v/>
      </c>
      <c r="L40" s="65">
        <f t="shared" si="3"/>
        <v>16711935</v>
      </c>
      <c r="N40" s="65">
        <v>1</v>
      </c>
      <c r="O40" s="65"/>
      <c r="P40" s="65"/>
      <c r="Q40" s="65"/>
      <c r="R40">
        <v>0</v>
      </c>
      <c r="S40">
        <v>1</v>
      </c>
    </row>
    <row r="41" spans="1:19">
      <c r="A41" s="80"/>
      <c r="B41" s="65"/>
      <c r="C41" s="65"/>
      <c r="D41" s="81"/>
      <c r="E41" s="81"/>
      <c r="F41" s="67"/>
      <c r="G41" s="66"/>
      <c r="H41" s="81"/>
      <c r="I41" s="65"/>
      <c r="J41" s="13" t="str">
        <f t="shared" si="2"/>
        <v/>
      </c>
      <c r="L41" s="65">
        <f t="shared" si="3"/>
        <v>16711935</v>
      </c>
      <c r="N41" s="65">
        <v>1</v>
      </c>
      <c r="O41" s="65"/>
      <c r="P41" s="65"/>
      <c r="Q41" s="65"/>
      <c r="R41">
        <v>0</v>
      </c>
      <c r="S41">
        <v>1</v>
      </c>
    </row>
    <row r="42" spans="1:19">
      <c r="A42" s="80"/>
      <c r="B42" s="65"/>
      <c r="C42" s="65"/>
      <c r="D42" s="81"/>
      <c r="E42" s="81"/>
      <c r="F42" s="67"/>
      <c r="G42" s="66"/>
      <c r="H42" s="81"/>
      <c r="I42" s="65"/>
      <c r="J42" s="13" t="str">
        <f t="shared" si="2"/>
        <v/>
      </c>
      <c r="L42" s="65">
        <f t="shared" si="3"/>
        <v>16711935</v>
      </c>
      <c r="N42" s="65">
        <v>1</v>
      </c>
      <c r="O42" s="65"/>
      <c r="P42" s="65"/>
      <c r="Q42" s="65"/>
      <c r="R42">
        <v>0</v>
      </c>
      <c r="S42">
        <v>1</v>
      </c>
    </row>
    <row r="43" spans="1:19">
      <c r="A43" s="80"/>
      <c r="B43" s="65"/>
      <c r="C43" s="65"/>
      <c r="D43" s="81"/>
      <c r="E43" s="81"/>
      <c r="F43" s="67"/>
      <c r="G43" s="66"/>
      <c r="H43" s="81"/>
      <c r="I43" s="65"/>
      <c r="J43" s="13" t="str">
        <f t="shared" si="2"/>
        <v/>
      </c>
      <c r="L43" s="65">
        <f t="shared" si="3"/>
        <v>16711935</v>
      </c>
      <c r="N43" s="65">
        <v>1</v>
      </c>
      <c r="O43" s="65"/>
      <c r="P43" s="65"/>
      <c r="Q43" s="65"/>
      <c r="R43">
        <v>0</v>
      </c>
      <c r="S43">
        <v>1</v>
      </c>
    </row>
    <row r="44" spans="1:19">
      <c r="A44" s="80"/>
      <c r="B44" s="65"/>
      <c r="C44" s="65"/>
      <c r="D44" s="81"/>
      <c r="E44" s="81"/>
      <c r="F44" s="67"/>
      <c r="G44" s="66"/>
      <c r="H44" s="81"/>
      <c r="I44" s="65"/>
      <c r="J44" s="13" t="str">
        <f t="shared" si="2"/>
        <v/>
      </c>
      <c r="L44" s="65">
        <f t="shared" si="3"/>
        <v>16711935</v>
      </c>
      <c r="N44" s="65">
        <v>1</v>
      </c>
      <c r="O44" s="65"/>
      <c r="P44" s="65"/>
      <c r="Q44" s="65"/>
      <c r="R44">
        <v>0</v>
      </c>
      <c r="S44">
        <v>1</v>
      </c>
    </row>
    <row r="45" spans="1:19">
      <c r="A45" s="80"/>
      <c r="B45" s="65"/>
      <c r="C45" s="65"/>
      <c r="D45" s="81"/>
      <c r="E45" s="81"/>
      <c r="F45" s="67"/>
      <c r="G45" s="66"/>
      <c r="H45" s="81"/>
      <c r="I45" s="65"/>
      <c r="J45" s="13" t="str">
        <f t="shared" si="2"/>
        <v/>
      </c>
      <c r="L45" s="65">
        <f t="shared" si="3"/>
        <v>16711935</v>
      </c>
      <c r="N45" s="65">
        <v>1</v>
      </c>
      <c r="O45" s="65"/>
      <c r="P45" s="65"/>
      <c r="Q45" s="65"/>
      <c r="R45">
        <v>0</v>
      </c>
      <c r="S45">
        <v>1</v>
      </c>
    </row>
    <row r="46" spans="1:19">
      <c r="A46" s="80"/>
      <c r="B46" s="65"/>
      <c r="C46" s="65"/>
      <c r="D46" s="81"/>
      <c r="E46" s="81"/>
      <c r="F46" s="67"/>
      <c r="G46" s="66"/>
      <c r="H46" s="81"/>
      <c r="I46" s="65"/>
      <c r="J46" s="13" t="str">
        <f t="shared" si="2"/>
        <v/>
      </c>
      <c r="L46" s="65">
        <f t="shared" si="3"/>
        <v>16711935</v>
      </c>
      <c r="N46" s="65">
        <v>1</v>
      </c>
      <c r="O46" s="65"/>
      <c r="P46" s="65"/>
      <c r="Q46" s="65"/>
      <c r="R46">
        <v>0</v>
      </c>
      <c r="S46">
        <v>1</v>
      </c>
    </row>
    <row r="47" spans="1:19">
      <c r="A47" s="80"/>
      <c r="B47" s="65"/>
      <c r="C47" s="65"/>
      <c r="D47" s="81"/>
      <c r="E47" s="81"/>
      <c r="F47" s="67"/>
      <c r="G47" s="66"/>
      <c r="H47" s="81"/>
      <c r="I47" s="65"/>
      <c r="J47" s="13" t="str">
        <f t="shared" si="2"/>
        <v/>
      </c>
      <c r="L47" s="65">
        <f t="shared" si="3"/>
        <v>16711935</v>
      </c>
      <c r="N47" s="65">
        <v>1</v>
      </c>
      <c r="O47" s="65"/>
      <c r="P47" s="65"/>
      <c r="Q47" s="65"/>
      <c r="R47">
        <v>0</v>
      </c>
      <c r="S47">
        <v>1</v>
      </c>
    </row>
    <row r="48" spans="1:19">
      <c r="A48" s="80"/>
      <c r="B48" s="65"/>
      <c r="C48" s="65"/>
      <c r="D48" s="81"/>
      <c r="E48" s="81"/>
      <c r="F48" s="67"/>
      <c r="G48" s="66"/>
      <c r="H48" s="81"/>
      <c r="I48" s="65"/>
      <c r="J48" s="13" t="str">
        <f t="shared" si="2"/>
        <v/>
      </c>
      <c r="L48" s="65">
        <f t="shared" si="3"/>
        <v>16711935</v>
      </c>
      <c r="N48" s="65">
        <v>1</v>
      </c>
      <c r="O48" s="65"/>
      <c r="P48" s="65"/>
      <c r="Q48" s="65"/>
      <c r="R48">
        <v>0</v>
      </c>
      <c r="S48">
        <v>1</v>
      </c>
    </row>
    <row r="49" spans="1:19">
      <c r="A49" s="80"/>
      <c r="B49" s="65"/>
      <c r="C49" s="65"/>
      <c r="D49" s="81"/>
      <c r="E49" s="81"/>
      <c r="F49" s="67"/>
      <c r="G49" s="66"/>
      <c r="H49" s="81"/>
      <c r="I49" s="65"/>
      <c r="J49" s="13" t="str">
        <f t="shared" si="2"/>
        <v/>
      </c>
      <c r="L49" s="65">
        <f t="shared" si="3"/>
        <v>16711935</v>
      </c>
      <c r="N49" s="65">
        <v>1</v>
      </c>
      <c r="O49" s="65"/>
      <c r="P49" s="65"/>
      <c r="Q49" s="65"/>
      <c r="R49">
        <v>0</v>
      </c>
      <c r="S49">
        <v>1</v>
      </c>
    </row>
    <row r="50" spans="1:19">
      <c r="A50" s="80"/>
      <c r="B50" s="65"/>
      <c r="C50" s="65"/>
      <c r="D50" s="81"/>
      <c r="E50" s="81"/>
      <c r="F50" s="67"/>
      <c r="G50" s="66"/>
      <c r="H50" s="81"/>
      <c r="I50" s="65"/>
      <c r="J50" s="13" t="str">
        <f t="shared" si="2"/>
        <v/>
      </c>
      <c r="L50" s="65">
        <f t="shared" si="3"/>
        <v>16711935</v>
      </c>
      <c r="N50" s="65">
        <v>1</v>
      </c>
      <c r="O50" s="65"/>
      <c r="P50" s="65"/>
      <c r="Q50" s="65"/>
      <c r="R50">
        <v>0</v>
      </c>
      <c r="S50">
        <v>1</v>
      </c>
    </row>
    <row r="51" spans="1:19">
      <c r="A51" s="80"/>
      <c r="B51" s="65"/>
      <c r="C51" s="65"/>
      <c r="D51" s="81"/>
      <c r="E51" s="81"/>
      <c r="F51" s="67"/>
      <c r="G51" s="66"/>
      <c r="H51" s="81"/>
      <c r="I51" s="65"/>
      <c r="J51" s="13" t="str">
        <f t="shared" si="2"/>
        <v/>
      </c>
      <c r="L51" s="65">
        <f t="shared" si="3"/>
        <v>16711935</v>
      </c>
      <c r="N51" s="65">
        <v>1</v>
      </c>
      <c r="O51" s="65"/>
      <c r="P51" s="65"/>
      <c r="Q51" s="65"/>
      <c r="R51">
        <v>0</v>
      </c>
      <c r="S51">
        <v>1</v>
      </c>
    </row>
    <row r="52" spans="1:19">
      <c r="A52" s="80"/>
      <c r="B52" s="65"/>
      <c r="C52" s="65"/>
      <c r="D52" s="81"/>
      <c r="E52" s="81"/>
      <c r="F52" s="67"/>
      <c r="G52" s="66"/>
      <c r="H52" s="81"/>
      <c r="I52" s="65"/>
      <c r="J52" s="13" t="str">
        <f t="shared" si="2"/>
        <v/>
      </c>
      <c r="L52" s="65">
        <f t="shared" si="3"/>
        <v>16711935</v>
      </c>
      <c r="N52" s="65">
        <v>1</v>
      </c>
      <c r="O52" s="65"/>
      <c r="P52" s="65"/>
      <c r="Q52" s="65"/>
      <c r="R52">
        <v>0</v>
      </c>
      <c r="S52">
        <v>1</v>
      </c>
    </row>
    <row r="53" spans="1:19">
      <c r="A53" s="80"/>
      <c r="B53" s="65"/>
      <c r="C53" s="65"/>
      <c r="D53" s="81"/>
      <c r="E53" s="81"/>
      <c r="F53" s="67"/>
      <c r="G53" s="66"/>
      <c r="H53" s="81"/>
      <c r="I53" s="65"/>
      <c r="J53" s="13" t="str">
        <f t="shared" si="2"/>
        <v/>
      </c>
      <c r="L53" s="65">
        <f t="shared" si="3"/>
        <v>16711935</v>
      </c>
      <c r="N53" s="65">
        <v>1</v>
      </c>
      <c r="O53" s="65"/>
      <c r="P53" s="65"/>
      <c r="Q53" s="65"/>
      <c r="R53">
        <v>0</v>
      </c>
      <c r="S53">
        <v>1</v>
      </c>
    </row>
    <row r="54" spans="1:19">
      <c r="A54" s="80"/>
      <c r="B54" s="65"/>
      <c r="C54" s="65"/>
      <c r="D54" s="81"/>
      <c r="E54" s="81"/>
      <c r="F54" s="67"/>
      <c r="G54" s="66"/>
      <c r="H54" s="81"/>
      <c r="I54" s="65"/>
      <c r="J54" s="13" t="str">
        <f t="shared" si="2"/>
        <v/>
      </c>
      <c r="L54" s="65">
        <f t="shared" si="3"/>
        <v>16711935</v>
      </c>
      <c r="N54" s="65">
        <v>1</v>
      </c>
      <c r="O54" s="65"/>
      <c r="P54" s="65"/>
      <c r="Q54" s="65"/>
      <c r="R54">
        <v>0</v>
      </c>
      <c r="S54">
        <v>1</v>
      </c>
    </row>
    <row r="55" spans="1:19">
      <c r="A55" s="80"/>
      <c r="B55" s="65"/>
      <c r="C55" s="65"/>
      <c r="D55" s="81"/>
      <c r="E55" s="81"/>
      <c r="F55" s="67"/>
      <c r="G55" s="66"/>
      <c r="H55" s="81"/>
      <c r="I55" s="65"/>
      <c r="J55" s="13" t="str">
        <f t="shared" si="2"/>
        <v/>
      </c>
      <c r="L55" s="65">
        <f t="shared" si="3"/>
        <v>16711935</v>
      </c>
      <c r="N55" s="65">
        <v>1</v>
      </c>
      <c r="O55" s="65"/>
      <c r="P55" s="65"/>
      <c r="Q55" s="65"/>
      <c r="R55">
        <v>0</v>
      </c>
      <c r="S55">
        <v>1</v>
      </c>
    </row>
    <row r="56" spans="1:19">
      <c r="A56" s="80"/>
      <c r="B56" s="65"/>
      <c r="C56" s="65"/>
      <c r="D56" s="81"/>
      <c r="E56" s="81"/>
      <c r="F56" s="67"/>
      <c r="G56" s="66"/>
      <c r="H56" s="81"/>
      <c r="I56" s="65"/>
      <c r="J56" s="13" t="str">
        <f t="shared" si="2"/>
        <v/>
      </c>
      <c r="L56" s="65">
        <f t="shared" si="3"/>
        <v>16711935</v>
      </c>
      <c r="N56" s="65">
        <v>1</v>
      </c>
      <c r="O56" s="65"/>
      <c r="P56" s="65"/>
      <c r="Q56" s="65"/>
      <c r="R56">
        <v>0</v>
      </c>
      <c r="S56">
        <v>1</v>
      </c>
    </row>
    <row r="57" spans="1:19">
      <c r="A57" s="80"/>
      <c r="B57" s="65"/>
      <c r="C57" s="65"/>
      <c r="D57" s="81"/>
      <c r="E57" s="81"/>
      <c r="F57" s="67"/>
      <c r="G57" s="66"/>
      <c r="H57" s="81"/>
      <c r="I57" s="65"/>
      <c r="J57" s="13" t="str">
        <f t="shared" si="2"/>
        <v/>
      </c>
      <c r="L57" s="65">
        <f t="shared" si="3"/>
        <v>16711935</v>
      </c>
      <c r="N57" s="65">
        <v>1</v>
      </c>
      <c r="O57" s="65"/>
      <c r="P57" s="65"/>
      <c r="Q57" s="65"/>
      <c r="R57">
        <v>0</v>
      </c>
      <c r="S57">
        <v>1</v>
      </c>
    </row>
    <row r="58" spans="1:19">
      <c r="A58" s="80"/>
      <c r="B58" s="65"/>
      <c r="C58" s="65"/>
      <c r="D58" s="81"/>
      <c r="E58" s="81"/>
      <c r="F58" s="67"/>
      <c r="G58" s="66"/>
      <c r="H58" s="81"/>
      <c r="I58" s="65"/>
      <c r="J58" s="13" t="str">
        <f t="shared" si="2"/>
        <v/>
      </c>
      <c r="L58" s="65">
        <f t="shared" si="3"/>
        <v>16711935</v>
      </c>
      <c r="N58" s="65">
        <v>1</v>
      </c>
      <c r="O58" s="65"/>
      <c r="P58" s="65"/>
      <c r="Q58" s="65"/>
      <c r="R58">
        <v>0</v>
      </c>
      <c r="S58">
        <v>1</v>
      </c>
    </row>
    <row r="59" spans="1:19">
      <c r="A59" s="80"/>
      <c r="B59" s="65"/>
      <c r="C59" s="65"/>
      <c r="D59" s="81"/>
      <c r="E59" s="81"/>
      <c r="F59" s="67"/>
      <c r="G59" s="66"/>
      <c r="H59" s="81"/>
      <c r="I59" s="65"/>
      <c r="J59" s="13" t="str">
        <f t="shared" si="2"/>
        <v/>
      </c>
      <c r="L59" s="65">
        <f t="shared" si="3"/>
        <v>16711935</v>
      </c>
      <c r="N59" s="65">
        <v>1</v>
      </c>
      <c r="O59" s="65"/>
      <c r="P59" s="65"/>
      <c r="Q59" s="65"/>
      <c r="R59">
        <v>0</v>
      </c>
      <c r="S59">
        <v>1</v>
      </c>
    </row>
    <row r="60" spans="1:19">
      <c r="A60" s="80"/>
      <c r="B60" s="65"/>
      <c r="C60" s="65"/>
      <c r="D60" s="81"/>
      <c r="E60" s="81"/>
      <c r="F60" s="67"/>
      <c r="G60" s="66"/>
      <c r="H60" s="81"/>
      <c r="I60" s="65"/>
      <c r="J60" s="13" t="str">
        <f t="shared" si="2"/>
        <v/>
      </c>
      <c r="L60" s="65">
        <f t="shared" si="3"/>
        <v>16711935</v>
      </c>
      <c r="N60" s="65">
        <v>1</v>
      </c>
      <c r="O60" s="65"/>
      <c r="P60" s="65"/>
      <c r="Q60" s="65"/>
      <c r="R60">
        <v>0</v>
      </c>
      <c r="S60">
        <v>1</v>
      </c>
    </row>
    <row r="61" spans="1:19">
      <c r="A61" s="80"/>
      <c r="B61" s="65"/>
      <c r="C61" s="65"/>
      <c r="D61" s="81"/>
      <c r="E61" s="81"/>
      <c r="F61" s="67"/>
      <c r="G61" s="66"/>
      <c r="H61" s="81"/>
      <c r="I61" s="65"/>
      <c r="J61" s="13" t="str">
        <f t="shared" si="2"/>
        <v/>
      </c>
      <c r="L61" s="65">
        <f t="shared" si="3"/>
        <v>16711935</v>
      </c>
      <c r="N61" s="65">
        <v>1</v>
      </c>
      <c r="O61" s="65"/>
      <c r="P61" s="65"/>
      <c r="Q61" s="65"/>
      <c r="R61">
        <v>0</v>
      </c>
      <c r="S61">
        <v>1</v>
      </c>
    </row>
    <row r="62" spans="1:19">
      <c r="A62" s="80"/>
      <c r="B62" s="65"/>
      <c r="C62" s="65"/>
      <c r="D62" s="81"/>
      <c r="E62" s="81"/>
      <c r="F62" s="67"/>
      <c r="G62" s="66"/>
      <c r="H62" s="81"/>
      <c r="I62" s="65"/>
      <c r="J62" s="13" t="str">
        <f t="shared" si="2"/>
        <v/>
      </c>
      <c r="L62" s="65">
        <f t="shared" si="3"/>
        <v>16711935</v>
      </c>
      <c r="N62" s="65">
        <v>1</v>
      </c>
      <c r="O62" s="65"/>
      <c r="P62" s="65"/>
      <c r="Q62" s="65"/>
      <c r="R62">
        <v>0</v>
      </c>
      <c r="S62">
        <v>1</v>
      </c>
    </row>
    <row r="63" spans="1:19">
      <c r="A63" s="80"/>
      <c r="B63" s="65"/>
      <c r="C63" s="65"/>
      <c r="D63" s="81"/>
      <c r="E63" s="81"/>
      <c r="F63" s="67"/>
      <c r="G63" s="66"/>
      <c r="H63" s="81"/>
      <c r="I63" s="65"/>
      <c r="J63" s="13" t="str">
        <f t="shared" si="2"/>
        <v/>
      </c>
      <c r="L63" s="65">
        <f t="shared" si="3"/>
        <v>16711935</v>
      </c>
      <c r="N63" s="65">
        <v>1</v>
      </c>
      <c r="O63" s="65"/>
      <c r="P63" s="65"/>
      <c r="Q63" s="65"/>
      <c r="R63">
        <v>0</v>
      </c>
      <c r="S63">
        <v>1</v>
      </c>
    </row>
    <row r="64" spans="1:19">
      <c r="A64" s="80"/>
      <c r="B64" s="65"/>
      <c r="C64" s="65"/>
      <c r="D64" s="81"/>
      <c r="E64" s="81"/>
      <c r="F64" s="67"/>
      <c r="G64" s="66"/>
      <c r="H64" s="81"/>
      <c r="I64" s="65"/>
      <c r="J64" s="13" t="str">
        <f t="shared" si="2"/>
        <v/>
      </c>
      <c r="L64" s="65">
        <f t="shared" si="3"/>
        <v>16711935</v>
      </c>
      <c r="N64" s="65">
        <v>1</v>
      </c>
      <c r="O64" s="65"/>
      <c r="P64" s="65"/>
      <c r="Q64" s="65"/>
      <c r="R64">
        <v>0</v>
      </c>
      <c r="S64">
        <v>1</v>
      </c>
    </row>
    <row r="65" spans="1:19">
      <c r="A65" s="80"/>
      <c r="B65" s="65"/>
      <c r="C65" s="65"/>
      <c r="D65" s="81"/>
      <c r="E65" s="81"/>
      <c r="F65" s="67"/>
      <c r="G65" s="66"/>
      <c r="H65" s="81"/>
      <c r="I65" s="65"/>
      <c r="J65" s="13" t="str">
        <f t="shared" si="2"/>
        <v/>
      </c>
      <c r="L65" s="65">
        <f t="shared" si="3"/>
        <v>16711935</v>
      </c>
      <c r="N65" s="65">
        <v>1</v>
      </c>
      <c r="O65" s="65"/>
      <c r="P65" s="65"/>
      <c r="Q65" s="65"/>
      <c r="R65">
        <v>0</v>
      </c>
      <c r="S65">
        <v>1</v>
      </c>
    </row>
    <row r="66" spans="1:19">
      <c r="A66" s="80"/>
      <c r="B66" s="65"/>
      <c r="C66" s="65"/>
      <c r="D66" s="81"/>
      <c r="E66" s="81"/>
      <c r="F66" s="67"/>
      <c r="G66" s="66"/>
      <c r="H66" s="81"/>
      <c r="I66" s="65"/>
      <c r="J66" s="13" t="str">
        <f t="shared" si="2"/>
        <v/>
      </c>
      <c r="L66" s="65">
        <f t="shared" si="3"/>
        <v>16711935</v>
      </c>
      <c r="N66" s="65">
        <v>1</v>
      </c>
      <c r="O66" s="65"/>
      <c r="P66" s="65"/>
      <c r="Q66" s="65"/>
      <c r="R66">
        <v>0</v>
      </c>
      <c r="S66">
        <v>1</v>
      </c>
    </row>
    <row r="67" spans="1:19">
      <c r="A67" s="80"/>
      <c r="B67" s="65"/>
      <c r="C67" s="65"/>
      <c r="D67" s="81"/>
      <c r="E67" s="81"/>
      <c r="F67" s="67"/>
      <c r="G67" s="66"/>
      <c r="H67" s="81"/>
      <c r="I67" s="65"/>
      <c r="J67" s="13" t="str">
        <f t="shared" si="2"/>
        <v/>
      </c>
      <c r="L67" s="65">
        <f t="shared" si="3"/>
        <v>16711935</v>
      </c>
      <c r="N67" s="65">
        <v>1</v>
      </c>
      <c r="O67" s="65"/>
      <c r="P67" s="65"/>
      <c r="Q67" s="65"/>
      <c r="R67">
        <v>0</v>
      </c>
      <c r="S67">
        <v>1</v>
      </c>
    </row>
    <row r="68" spans="1:19">
      <c r="A68" s="80"/>
      <c r="B68" s="65"/>
      <c r="C68" s="65"/>
      <c r="D68" s="81"/>
      <c r="E68" s="81"/>
      <c r="F68" s="67"/>
      <c r="G68" s="66"/>
      <c r="H68" s="81"/>
      <c r="I68" s="65"/>
      <c r="J68" s="13" t="str">
        <f t="shared" si="2"/>
        <v/>
      </c>
      <c r="L68" s="65">
        <f t="shared" si="3"/>
        <v>16711935</v>
      </c>
      <c r="N68" s="65">
        <v>1</v>
      </c>
      <c r="O68" s="65"/>
      <c r="P68" s="65"/>
      <c r="Q68" s="65"/>
      <c r="R68">
        <v>0</v>
      </c>
      <c r="S68">
        <v>1</v>
      </c>
    </row>
    <row r="69" spans="1:19">
      <c r="A69" s="80"/>
      <c r="B69" s="65"/>
      <c r="C69" s="65"/>
      <c r="D69" s="81"/>
      <c r="E69" s="81"/>
      <c r="F69" s="67"/>
      <c r="G69" s="66"/>
      <c r="H69" s="81"/>
      <c r="I69" s="65"/>
      <c r="J69" s="13" t="str">
        <f t="shared" si="2"/>
        <v/>
      </c>
      <c r="L69" s="65">
        <f t="shared" si="3"/>
        <v>16711935</v>
      </c>
      <c r="N69" s="65">
        <v>1</v>
      </c>
      <c r="O69" s="65"/>
      <c r="P69" s="65"/>
      <c r="Q69" s="65"/>
      <c r="R69">
        <v>0</v>
      </c>
      <c r="S69">
        <v>1</v>
      </c>
    </row>
    <row r="70" spans="1:19">
      <c r="A70" s="80"/>
      <c r="B70" s="65"/>
      <c r="C70" s="65"/>
      <c r="D70" s="81"/>
      <c r="E70" s="81"/>
      <c r="F70" s="67"/>
      <c r="G70" s="66"/>
      <c r="H70" s="81"/>
      <c r="I70" s="65"/>
      <c r="J70" s="13" t="str">
        <f t="shared" ref="J70:J101" si="4">IF(LEN(B70)&gt;0,SUBSTITUTE(B70, "'", " ")&amp;" - "&amp;SUBSTITUTE(C70, "'"," ")&amp;";"&amp;A70&amp;";"&amp;N70&amp;";"&amp;O70&amp;";"&amp;P70&amp;";"&amp;L70&amp;";"&amp;E70&amp;";"&amp;F70&amp;";"&amp;Q70&amp;";"&amp;IF(LEN(G70)=0,"1.000",IFERROR(REPLACE(FIXED(G70,3,1),2,1,"."),))&amp;";"&amp;H70&amp;";"&amp;I70&amp;";"&amp;R70&amp;";"&amp;S70&amp;";","")</f>
        <v/>
      </c>
      <c r="L70" s="65">
        <f t="shared" ref="L70:L101" si="5">IFERROR(VLOOKUP(D70,ColorsTable,2,FALSE),16711935)</f>
        <v>16711935</v>
      </c>
      <c r="N70" s="65">
        <v>1</v>
      </c>
      <c r="O70" s="65"/>
      <c r="P70" s="65"/>
      <c r="Q70" s="65"/>
      <c r="R70">
        <v>0</v>
      </c>
      <c r="S70">
        <v>1</v>
      </c>
    </row>
    <row r="71" spans="1:19">
      <c r="A71" s="80"/>
      <c r="B71" s="65"/>
      <c r="C71" s="65"/>
      <c r="D71" s="81"/>
      <c r="E71" s="81"/>
      <c r="F71" s="67"/>
      <c r="G71" s="66"/>
      <c r="H71" s="81"/>
      <c r="I71" s="65"/>
      <c r="J71" s="13" t="str">
        <f t="shared" si="4"/>
        <v/>
      </c>
      <c r="L71" s="65">
        <f t="shared" si="5"/>
        <v>16711935</v>
      </c>
      <c r="N71" s="65">
        <v>1</v>
      </c>
      <c r="O71" s="65"/>
      <c r="P71" s="65"/>
      <c r="Q71" s="65"/>
      <c r="R71">
        <v>0</v>
      </c>
      <c r="S71">
        <v>1</v>
      </c>
    </row>
    <row r="72" spans="1:19">
      <c r="A72" s="80"/>
      <c r="B72" s="65"/>
      <c r="C72" s="65"/>
      <c r="D72" s="81"/>
      <c r="E72" s="81"/>
      <c r="F72" s="67"/>
      <c r="G72" s="66"/>
      <c r="H72" s="81"/>
      <c r="I72" s="65"/>
      <c r="J72" s="13" t="str">
        <f t="shared" si="4"/>
        <v/>
      </c>
      <c r="L72" s="65">
        <f t="shared" si="5"/>
        <v>16711935</v>
      </c>
      <c r="N72" s="65">
        <v>1</v>
      </c>
      <c r="O72" s="65"/>
      <c r="P72" s="65"/>
      <c r="Q72" s="65"/>
      <c r="R72">
        <v>0</v>
      </c>
      <c r="S72">
        <v>1</v>
      </c>
    </row>
    <row r="73" spans="1:19">
      <c r="A73" s="80"/>
      <c r="B73" s="65"/>
      <c r="C73" s="65"/>
      <c r="D73" s="81"/>
      <c r="E73" s="81"/>
      <c r="F73" s="67"/>
      <c r="G73" s="66"/>
      <c r="H73" s="81"/>
      <c r="I73" s="65"/>
      <c r="J73" s="13" t="str">
        <f t="shared" si="4"/>
        <v/>
      </c>
      <c r="L73" s="65">
        <f t="shared" si="5"/>
        <v>16711935</v>
      </c>
      <c r="N73" s="65">
        <v>1</v>
      </c>
      <c r="O73" s="65"/>
      <c r="P73" s="65"/>
      <c r="Q73" s="65"/>
      <c r="R73">
        <v>0</v>
      </c>
      <c r="S73">
        <v>1</v>
      </c>
    </row>
    <row r="74" spans="1:19">
      <c r="A74" s="80"/>
      <c r="B74" s="65"/>
      <c r="C74" s="65"/>
      <c r="D74" s="81"/>
      <c r="E74" s="81"/>
      <c r="F74" s="67"/>
      <c r="G74" s="66"/>
      <c r="H74" s="81"/>
      <c r="I74" s="65"/>
      <c r="J74" s="13" t="str">
        <f t="shared" si="4"/>
        <v/>
      </c>
      <c r="L74" s="65">
        <f t="shared" si="5"/>
        <v>16711935</v>
      </c>
      <c r="N74" s="65">
        <v>1</v>
      </c>
      <c r="O74" s="65"/>
      <c r="P74" s="65"/>
      <c r="Q74" s="65"/>
      <c r="R74">
        <v>0</v>
      </c>
      <c r="S74">
        <v>1</v>
      </c>
    </row>
    <row r="75" spans="1:19">
      <c r="A75" s="80"/>
      <c r="B75" s="65"/>
      <c r="C75" s="65"/>
      <c r="D75" s="81"/>
      <c r="E75" s="81"/>
      <c r="F75" s="67"/>
      <c r="G75" s="66"/>
      <c r="H75" s="81"/>
      <c r="I75" s="65"/>
      <c r="J75" s="13" t="str">
        <f t="shared" si="4"/>
        <v/>
      </c>
      <c r="L75" s="65">
        <f t="shared" si="5"/>
        <v>16711935</v>
      </c>
      <c r="N75" s="65">
        <v>1</v>
      </c>
      <c r="O75" s="65"/>
      <c r="P75" s="65"/>
      <c r="Q75" s="65"/>
      <c r="R75">
        <v>0</v>
      </c>
      <c r="S75">
        <v>1</v>
      </c>
    </row>
    <row r="76" spans="1:19">
      <c r="A76" s="80"/>
      <c r="B76" s="65"/>
      <c r="C76" s="65"/>
      <c r="D76" s="81"/>
      <c r="E76" s="81"/>
      <c r="F76" s="67"/>
      <c r="G76" s="66"/>
      <c r="H76" s="81"/>
      <c r="I76" s="65"/>
      <c r="J76" s="13" t="str">
        <f t="shared" si="4"/>
        <v/>
      </c>
      <c r="L76" s="65">
        <f t="shared" si="5"/>
        <v>16711935</v>
      </c>
      <c r="N76" s="65">
        <v>1</v>
      </c>
      <c r="O76" s="65"/>
      <c r="P76" s="65"/>
      <c r="Q76" s="65"/>
      <c r="R76">
        <v>0</v>
      </c>
      <c r="S76">
        <v>1</v>
      </c>
    </row>
    <row r="77" spans="1:19">
      <c r="A77" s="80"/>
      <c r="B77" s="65"/>
      <c r="C77" s="65"/>
      <c r="D77" s="81"/>
      <c r="E77" s="81"/>
      <c r="F77" s="67"/>
      <c r="G77" s="66"/>
      <c r="H77" s="81"/>
      <c r="I77" s="65"/>
      <c r="J77" s="13" t="str">
        <f t="shared" si="4"/>
        <v/>
      </c>
      <c r="L77" s="65">
        <f t="shared" si="5"/>
        <v>16711935</v>
      </c>
      <c r="N77" s="65">
        <v>1</v>
      </c>
      <c r="O77" s="65"/>
      <c r="P77" s="65"/>
      <c r="Q77" s="65"/>
      <c r="R77">
        <v>0</v>
      </c>
      <c r="S77">
        <v>1</v>
      </c>
    </row>
    <row r="78" spans="1:19">
      <c r="A78" s="80"/>
      <c r="B78" s="65"/>
      <c r="C78" s="65"/>
      <c r="D78" s="81"/>
      <c r="E78" s="81"/>
      <c r="F78" s="67"/>
      <c r="G78" s="66"/>
      <c r="H78" s="81"/>
      <c r="I78" s="65"/>
      <c r="J78" s="13" t="str">
        <f t="shared" si="4"/>
        <v/>
      </c>
      <c r="L78" s="65">
        <f t="shared" si="5"/>
        <v>16711935</v>
      </c>
      <c r="N78" s="65">
        <v>1</v>
      </c>
      <c r="O78" s="65"/>
      <c r="P78" s="65"/>
      <c r="Q78" s="65"/>
      <c r="R78">
        <v>0</v>
      </c>
      <c r="S78">
        <v>1</v>
      </c>
    </row>
    <row r="79" spans="1:19">
      <c r="A79" s="80"/>
      <c r="B79" s="65"/>
      <c r="C79" s="65"/>
      <c r="D79" s="81"/>
      <c r="E79" s="81"/>
      <c r="F79" s="67"/>
      <c r="G79" s="66"/>
      <c r="H79" s="81"/>
      <c r="I79" s="65"/>
      <c r="J79" s="13" t="str">
        <f t="shared" si="4"/>
        <v/>
      </c>
      <c r="L79" s="65">
        <f t="shared" si="5"/>
        <v>16711935</v>
      </c>
      <c r="N79" s="65">
        <v>1</v>
      </c>
      <c r="O79" s="65"/>
      <c r="P79" s="65"/>
      <c r="Q79" s="65"/>
      <c r="R79">
        <v>0</v>
      </c>
      <c r="S79">
        <v>1</v>
      </c>
    </row>
    <row r="80" spans="1:19">
      <c r="A80" s="80"/>
      <c r="B80" s="65"/>
      <c r="C80" s="65"/>
      <c r="D80" s="81"/>
      <c r="E80" s="81"/>
      <c r="F80" s="67"/>
      <c r="G80" s="66"/>
      <c r="H80" s="81"/>
      <c r="I80" s="65"/>
      <c r="J80" s="13" t="str">
        <f t="shared" si="4"/>
        <v/>
      </c>
      <c r="L80" s="65">
        <f t="shared" si="5"/>
        <v>16711935</v>
      </c>
      <c r="N80" s="65">
        <v>1</v>
      </c>
      <c r="O80" s="65"/>
      <c r="P80" s="65"/>
      <c r="Q80" s="65"/>
      <c r="R80">
        <v>0</v>
      </c>
      <c r="S80">
        <v>1</v>
      </c>
    </row>
    <row r="81" spans="1:19">
      <c r="A81" s="80"/>
      <c r="B81" s="65"/>
      <c r="C81" s="65"/>
      <c r="D81" s="81"/>
      <c r="E81" s="81"/>
      <c r="F81" s="67"/>
      <c r="G81" s="66"/>
      <c r="H81" s="81"/>
      <c r="I81" s="65"/>
      <c r="J81" s="13" t="str">
        <f t="shared" si="4"/>
        <v/>
      </c>
      <c r="L81" s="65">
        <f t="shared" si="5"/>
        <v>16711935</v>
      </c>
      <c r="N81" s="65">
        <v>1</v>
      </c>
      <c r="O81" s="65"/>
      <c r="P81" s="65"/>
      <c r="Q81" s="65"/>
      <c r="R81">
        <v>0</v>
      </c>
      <c r="S81">
        <v>1</v>
      </c>
    </row>
    <row r="82" spans="1:19">
      <c r="A82" s="80"/>
      <c r="B82" s="65"/>
      <c r="C82" s="65"/>
      <c r="D82" s="81"/>
      <c r="E82" s="81"/>
      <c r="F82" s="67"/>
      <c r="G82" s="66"/>
      <c r="H82" s="81"/>
      <c r="I82" s="65"/>
      <c r="J82" s="13" t="str">
        <f t="shared" si="4"/>
        <v/>
      </c>
      <c r="L82" s="65">
        <f t="shared" si="5"/>
        <v>16711935</v>
      </c>
      <c r="N82" s="65">
        <v>1</v>
      </c>
      <c r="O82" s="65"/>
      <c r="P82" s="65"/>
      <c r="Q82" s="65"/>
      <c r="R82">
        <v>0</v>
      </c>
      <c r="S82">
        <v>1</v>
      </c>
    </row>
    <row r="83" spans="1:19">
      <c r="A83" s="80"/>
      <c r="B83" s="65"/>
      <c r="C83" s="65"/>
      <c r="D83" s="81"/>
      <c r="E83" s="81"/>
      <c r="F83" s="67"/>
      <c r="G83" s="66"/>
      <c r="H83" s="81"/>
      <c r="I83" s="65"/>
      <c r="J83" s="13" t="str">
        <f t="shared" si="4"/>
        <v/>
      </c>
      <c r="L83" s="65">
        <f t="shared" si="5"/>
        <v>16711935</v>
      </c>
      <c r="N83" s="65">
        <v>1</v>
      </c>
      <c r="O83" s="65"/>
      <c r="P83" s="65"/>
      <c r="Q83" s="65"/>
      <c r="R83">
        <v>0</v>
      </c>
      <c r="S83">
        <v>1</v>
      </c>
    </row>
    <row r="84" spans="1:19">
      <c r="A84" s="80"/>
      <c r="B84" s="65"/>
      <c r="C84" s="65"/>
      <c r="D84" s="81"/>
      <c r="E84" s="81"/>
      <c r="F84" s="67"/>
      <c r="G84" s="66"/>
      <c r="H84" s="81"/>
      <c r="I84" s="65"/>
      <c r="J84" s="13" t="str">
        <f t="shared" si="4"/>
        <v/>
      </c>
      <c r="L84" s="65">
        <f t="shared" si="5"/>
        <v>16711935</v>
      </c>
      <c r="N84" s="65">
        <v>1</v>
      </c>
      <c r="O84" s="65"/>
      <c r="P84" s="65"/>
      <c r="Q84" s="65"/>
      <c r="R84">
        <v>0</v>
      </c>
      <c r="S84">
        <v>1</v>
      </c>
    </row>
    <row r="85" spans="1:19">
      <c r="A85" s="80"/>
      <c r="B85" s="65"/>
      <c r="C85" s="65"/>
      <c r="D85" s="81"/>
      <c r="E85" s="81"/>
      <c r="F85" s="67"/>
      <c r="G85" s="66"/>
      <c r="H85" s="81"/>
      <c r="I85" s="65"/>
      <c r="J85" s="13" t="str">
        <f t="shared" si="4"/>
        <v/>
      </c>
      <c r="L85" s="65">
        <f t="shared" si="5"/>
        <v>16711935</v>
      </c>
      <c r="N85" s="65">
        <v>1</v>
      </c>
      <c r="O85" s="65"/>
      <c r="P85" s="65"/>
      <c r="Q85" s="65"/>
      <c r="R85">
        <v>0</v>
      </c>
      <c r="S85">
        <v>1</v>
      </c>
    </row>
    <row r="86" spans="1:19">
      <c r="A86" s="80"/>
      <c r="B86" s="65"/>
      <c r="C86" s="65"/>
      <c r="D86" s="81"/>
      <c r="E86" s="81"/>
      <c r="F86" s="67"/>
      <c r="G86" s="66"/>
      <c r="H86" s="81"/>
      <c r="I86" s="65"/>
      <c r="J86" s="13" t="str">
        <f t="shared" si="4"/>
        <v/>
      </c>
      <c r="L86" s="65">
        <f t="shared" si="5"/>
        <v>16711935</v>
      </c>
      <c r="N86" s="65">
        <v>1</v>
      </c>
      <c r="O86" s="65"/>
      <c r="P86" s="65"/>
      <c r="Q86" s="65"/>
      <c r="R86">
        <v>0</v>
      </c>
      <c r="S86">
        <v>1</v>
      </c>
    </row>
    <row r="87" spans="1:19">
      <c r="A87" s="80"/>
      <c r="B87" s="65"/>
      <c r="C87" s="65"/>
      <c r="D87" s="81"/>
      <c r="E87" s="81"/>
      <c r="F87" s="67"/>
      <c r="G87" s="66"/>
      <c r="H87" s="81"/>
      <c r="I87" s="65"/>
      <c r="J87" s="17" t="str">
        <f t="shared" si="4"/>
        <v/>
      </c>
      <c r="L87" s="65">
        <f t="shared" si="5"/>
        <v>16711935</v>
      </c>
      <c r="N87" s="65">
        <v>1</v>
      </c>
      <c r="O87" s="65"/>
      <c r="P87" s="65"/>
      <c r="Q87" s="65"/>
      <c r="R87">
        <v>0</v>
      </c>
      <c r="S87">
        <v>1</v>
      </c>
    </row>
    <row r="88" spans="1:19">
      <c r="A88" s="80"/>
      <c r="B88" s="65"/>
      <c r="C88" s="65"/>
      <c r="D88" s="81"/>
      <c r="E88" s="81"/>
      <c r="F88" s="67"/>
      <c r="G88" s="66"/>
      <c r="H88" s="81"/>
      <c r="I88" s="65"/>
      <c r="J88" s="17" t="str">
        <f t="shared" si="4"/>
        <v/>
      </c>
      <c r="L88" s="65">
        <f t="shared" si="5"/>
        <v>16711935</v>
      </c>
      <c r="N88" s="65">
        <v>1</v>
      </c>
      <c r="O88" s="65"/>
      <c r="P88" s="65"/>
      <c r="Q88" s="65"/>
      <c r="R88">
        <v>0</v>
      </c>
      <c r="S88">
        <v>1</v>
      </c>
    </row>
    <row r="89" spans="1:19">
      <c r="A89" s="80"/>
      <c r="B89" s="65"/>
      <c r="C89" s="65"/>
      <c r="D89" s="81"/>
      <c r="E89" s="81"/>
      <c r="F89" s="67"/>
      <c r="G89" s="66"/>
      <c r="H89" s="81"/>
      <c r="I89" s="65"/>
      <c r="J89" s="17" t="str">
        <f t="shared" si="4"/>
        <v/>
      </c>
      <c r="L89" s="65">
        <f t="shared" si="5"/>
        <v>16711935</v>
      </c>
      <c r="N89" s="65">
        <v>1</v>
      </c>
      <c r="O89" s="65"/>
      <c r="P89" s="65"/>
      <c r="Q89" s="65"/>
      <c r="R89">
        <v>0</v>
      </c>
      <c r="S89">
        <v>1</v>
      </c>
    </row>
    <row r="90" spans="1:19">
      <c r="A90" s="80"/>
      <c r="B90" s="65"/>
      <c r="C90" s="65"/>
      <c r="D90" s="81"/>
      <c r="E90" s="81"/>
      <c r="F90" s="67"/>
      <c r="G90" s="66"/>
      <c r="H90" s="81"/>
      <c r="I90" s="65"/>
      <c r="J90" s="17" t="str">
        <f t="shared" si="4"/>
        <v/>
      </c>
      <c r="L90" s="65">
        <f t="shared" si="5"/>
        <v>16711935</v>
      </c>
      <c r="N90" s="65">
        <v>1</v>
      </c>
      <c r="O90" s="65"/>
      <c r="P90" s="65"/>
      <c r="Q90" s="65"/>
      <c r="R90">
        <v>0</v>
      </c>
      <c r="S90">
        <v>1</v>
      </c>
    </row>
    <row r="91" spans="1:19">
      <c r="A91" s="80"/>
      <c r="B91" s="65"/>
      <c r="C91" s="65"/>
      <c r="D91" s="81"/>
      <c r="E91" s="81"/>
      <c r="F91" s="67"/>
      <c r="G91" s="66"/>
      <c r="H91" s="81"/>
      <c r="I91" s="65"/>
      <c r="J91" s="17" t="str">
        <f t="shared" si="4"/>
        <v/>
      </c>
      <c r="L91" s="65">
        <f t="shared" si="5"/>
        <v>16711935</v>
      </c>
      <c r="N91" s="65">
        <v>1</v>
      </c>
      <c r="O91" s="65"/>
      <c r="P91" s="65"/>
      <c r="Q91" s="65"/>
      <c r="R91">
        <v>0</v>
      </c>
      <c r="S91">
        <v>1</v>
      </c>
    </row>
    <row r="92" spans="1:19">
      <c r="A92" s="80"/>
      <c r="B92" s="65"/>
      <c r="C92" s="65"/>
      <c r="D92" s="81"/>
      <c r="E92" s="81"/>
      <c r="F92" s="67"/>
      <c r="G92" s="66"/>
      <c r="H92" s="81"/>
      <c r="I92" s="65"/>
      <c r="J92" s="17" t="str">
        <f t="shared" si="4"/>
        <v/>
      </c>
      <c r="L92" s="65">
        <f t="shared" si="5"/>
        <v>16711935</v>
      </c>
      <c r="N92" s="65">
        <v>1</v>
      </c>
      <c r="O92" s="65"/>
      <c r="P92" s="65"/>
      <c r="Q92" s="65"/>
      <c r="R92">
        <v>0</v>
      </c>
      <c r="S92">
        <v>1</v>
      </c>
    </row>
    <row r="93" spans="1:19">
      <c r="A93" s="80"/>
      <c r="B93" s="65"/>
      <c r="C93" s="65"/>
      <c r="D93" s="81"/>
      <c r="E93" s="81"/>
      <c r="F93" s="67"/>
      <c r="G93" s="66"/>
      <c r="H93" s="81"/>
      <c r="I93" s="65"/>
      <c r="J93" s="17" t="str">
        <f t="shared" si="4"/>
        <v/>
      </c>
      <c r="L93" s="65">
        <f t="shared" si="5"/>
        <v>16711935</v>
      </c>
      <c r="N93" s="65">
        <v>1</v>
      </c>
      <c r="O93" s="65"/>
      <c r="P93" s="65"/>
      <c r="Q93" s="65"/>
      <c r="R93">
        <v>0</v>
      </c>
      <c r="S93">
        <v>1</v>
      </c>
    </row>
    <row r="94" spans="1:19">
      <c r="A94" s="80"/>
      <c r="B94" s="65"/>
      <c r="C94" s="65"/>
      <c r="D94" s="81"/>
      <c r="E94" s="81"/>
      <c r="F94" s="67"/>
      <c r="G94" s="66"/>
      <c r="H94" s="81"/>
      <c r="I94" s="65"/>
      <c r="J94" s="17" t="str">
        <f t="shared" si="4"/>
        <v/>
      </c>
      <c r="L94" s="65">
        <f t="shared" si="5"/>
        <v>16711935</v>
      </c>
      <c r="N94" s="65">
        <v>1</v>
      </c>
      <c r="O94" s="65"/>
      <c r="P94" s="65"/>
      <c r="Q94" s="65"/>
      <c r="R94">
        <v>0</v>
      </c>
      <c r="S94">
        <v>1</v>
      </c>
    </row>
    <row r="95" spans="1:19">
      <c r="A95" s="80"/>
      <c r="B95" s="65"/>
      <c r="C95" s="65"/>
      <c r="D95" s="81"/>
      <c r="E95" s="81"/>
      <c r="F95" s="67"/>
      <c r="G95" s="66"/>
      <c r="H95" s="81"/>
      <c r="I95" s="65"/>
      <c r="J95" s="17" t="str">
        <f t="shared" si="4"/>
        <v/>
      </c>
      <c r="L95" s="65">
        <f t="shared" si="5"/>
        <v>16711935</v>
      </c>
      <c r="N95" s="65">
        <v>1</v>
      </c>
      <c r="O95" s="65"/>
      <c r="P95" s="65"/>
      <c r="Q95" s="65"/>
      <c r="R95">
        <v>0</v>
      </c>
      <c r="S95">
        <v>1</v>
      </c>
    </row>
    <row r="96" spans="1:19">
      <c r="A96" s="80"/>
      <c r="B96" s="65"/>
      <c r="C96" s="65"/>
      <c r="D96" s="81"/>
      <c r="E96" s="81"/>
      <c r="F96" s="67"/>
      <c r="G96" s="66"/>
      <c r="H96" s="81"/>
      <c r="I96" s="65"/>
      <c r="J96" s="17" t="str">
        <f t="shared" si="4"/>
        <v/>
      </c>
      <c r="L96" s="65">
        <f t="shared" si="5"/>
        <v>16711935</v>
      </c>
      <c r="N96" s="65">
        <v>1</v>
      </c>
      <c r="O96" s="65"/>
      <c r="P96" s="65"/>
      <c r="Q96" s="65"/>
      <c r="R96">
        <v>0</v>
      </c>
      <c r="S96">
        <v>1</v>
      </c>
    </row>
    <row r="97" spans="1:19">
      <c r="A97" s="80"/>
      <c r="B97" s="65"/>
      <c r="C97" s="65"/>
      <c r="D97" s="81"/>
      <c r="E97" s="81"/>
      <c r="F97" s="67"/>
      <c r="G97" s="66"/>
      <c r="H97" s="81"/>
      <c r="I97" s="65"/>
      <c r="J97" s="17" t="str">
        <f t="shared" si="4"/>
        <v/>
      </c>
      <c r="L97" s="65">
        <f t="shared" si="5"/>
        <v>16711935</v>
      </c>
      <c r="N97" s="65">
        <v>1</v>
      </c>
      <c r="O97" s="65"/>
      <c r="P97" s="65"/>
      <c r="Q97" s="65"/>
      <c r="R97">
        <v>0</v>
      </c>
      <c r="S97">
        <v>1</v>
      </c>
    </row>
    <row r="98" spans="1:19">
      <c r="A98" s="80"/>
      <c r="B98" s="65"/>
      <c r="C98" s="65"/>
      <c r="D98" s="81"/>
      <c r="E98" s="81"/>
      <c r="F98" s="67"/>
      <c r="G98" s="66"/>
      <c r="H98" s="81"/>
      <c r="I98" s="65"/>
      <c r="J98" s="17" t="str">
        <f t="shared" si="4"/>
        <v/>
      </c>
      <c r="L98" s="65">
        <f t="shared" si="5"/>
        <v>16711935</v>
      </c>
      <c r="N98" s="65">
        <v>1</v>
      </c>
      <c r="O98" s="65"/>
      <c r="P98" s="65"/>
      <c r="Q98" s="65"/>
      <c r="R98">
        <v>0</v>
      </c>
      <c r="S98">
        <v>1</v>
      </c>
    </row>
    <row r="99" spans="1:19">
      <c r="A99" s="80"/>
      <c r="B99" s="65"/>
      <c r="C99" s="65"/>
      <c r="D99" s="81"/>
      <c r="E99" s="81"/>
      <c r="F99" s="67"/>
      <c r="G99" s="66"/>
      <c r="H99" s="81"/>
      <c r="I99" s="65"/>
      <c r="J99" s="17" t="str">
        <f t="shared" si="4"/>
        <v/>
      </c>
      <c r="L99" s="65">
        <f t="shared" si="5"/>
        <v>16711935</v>
      </c>
      <c r="N99" s="65">
        <v>1</v>
      </c>
      <c r="O99" s="65"/>
      <c r="P99" s="65"/>
      <c r="Q99" s="65"/>
      <c r="R99">
        <v>0</v>
      </c>
      <c r="S99">
        <v>1</v>
      </c>
    </row>
    <row r="100" spans="1:19">
      <c r="A100" s="80"/>
      <c r="B100" s="65"/>
      <c r="C100" s="65"/>
      <c r="D100" s="81"/>
      <c r="E100" s="81"/>
      <c r="F100" s="67"/>
      <c r="G100" s="66"/>
      <c r="H100" s="81"/>
      <c r="I100" s="65"/>
      <c r="J100" s="17" t="str">
        <f t="shared" si="4"/>
        <v/>
      </c>
      <c r="L100" s="65">
        <f t="shared" si="5"/>
        <v>16711935</v>
      </c>
      <c r="N100" s="65">
        <v>1</v>
      </c>
      <c r="O100" s="65"/>
      <c r="P100" s="65"/>
      <c r="Q100" s="65"/>
      <c r="R100">
        <v>0</v>
      </c>
      <c r="S100">
        <v>1</v>
      </c>
    </row>
    <row r="101" spans="1:19">
      <c r="A101" s="80"/>
      <c r="B101" s="65"/>
      <c r="C101" s="65"/>
      <c r="D101" s="81"/>
      <c r="E101" s="81"/>
      <c r="F101" s="67"/>
      <c r="G101" s="66"/>
      <c r="H101" s="81"/>
      <c r="I101" s="65"/>
      <c r="J101" s="17" t="str">
        <f t="shared" si="4"/>
        <v/>
      </c>
      <c r="L101" s="65">
        <f t="shared" si="5"/>
        <v>16711935</v>
      </c>
      <c r="N101" s="65">
        <v>1</v>
      </c>
      <c r="O101" s="65"/>
      <c r="P101" s="65"/>
      <c r="Q101" s="65"/>
      <c r="R101">
        <v>0</v>
      </c>
      <c r="S101">
        <v>1</v>
      </c>
    </row>
    <row r="102" spans="1:19">
      <c r="A102" s="80"/>
      <c r="B102" s="65"/>
      <c r="C102" s="65"/>
      <c r="D102" s="81"/>
      <c r="E102" s="81"/>
      <c r="F102" s="67"/>
      <c r="G102" s="66"/>
      <c r="H102" s="81"/>
      <c r="I102" s="65"/>
      <c r="J102" s="17" t="str">
        <f t="shared" ref="J102:J133" si="6">IF(LEN(B102)&gt;0,SUBSTITUTE(B102, "'", " ")&amp;" - "&amp;SUBSTITUTE(C102, "'"," ")&amp;";"&amp;A102&amp;";"&amp;N102&amp;";"&amp;O102&amp;";"&amp;P102&amp;";"&amp;L102&amp;";"&amp;E102&amp;";"&amp;F102&amp;";"&amp;Q102&amp;";"&amp;IF(LEN(G102)=0,"1.000",IFERROR(REPLACE(FIXED(G102,3,1),2,1,"."),))&amp;";"&amp;H102&amp;";"&amp;I102&amp;";"&amp;R102&amp;";"&amp;S102&amp;";","")</f>
        <v/>
      </c>
      <c r="L102" s="65">
        <f t="shared" ref="L102:L133" si="7">IFERROR(VLOOKUP(D102,ColorsTable,2,FALSE),16711935)</f>
        <v>16711935</v>
      </c>
      <c r="N102" s="65">
        <v>1</v>
      </c>
      <c r="O102" s="65"/>
      <c r="P102" s="65"/>
      <c r="Q102" s="65"/>
      <c r="R102">
        <v>0</v>
      </c>
      <c r="S102">
        <v>1</v>
      </c>
    </row>
    <row r="103" spans="1:19">
      <c r="A103" s="80"/>
      <c r="B103" s="65"/>
      <c r="C103" s="65"/>
      <c r="D103" s="81"/>
      <c r="E103" s="81"/>
      <c r="F103" s="67"/>
      <c r="G103" s="66"/>
      <c r="H103" s="81"/>
      <c r="I103" s="65"/>
      <c r="J103" s="17" t="str">
        <f t="shared" si="6"/>
        <v/>
      </c>
      <c r="L103" s="65">
        <f t="shared" si="7"/>
        <v>16711935</v>
      </c>
      <c r="N103" s="65">
        <v>1</v>
      </c>
      <c r="O103" s="65"/>
      <c r="P103" s="65"/>
      <c r="Q103" s="65"/>
      <c r="R103">
        <v>0</v>
      </c>
      <c r="S103">
        <v>1</v>
      </c>
    </row>
    <row r="104" spans="1:19">
      <c r="A104" s="80"/>
      <c r="B104" s="65"/>
      <c r="C104" s="65"/>
      <c r="D104" s="81"/>
      <c r="E104" s="81"/>
      <c r="F104" s="67"/>
      <c r="G104" s="66"/>
      <c r="H104" s="81"/>
      <c r="I104" s="65"/>
      <c r="J104" s="17" t="str">
        <f t="shared" si="6"/>
        <v/>
      </c>
      <c r="L104" s="65">
        <f t="shared" si="7"/>
        <v>16711935</v>
      </c>
      <c r="N104" s="65">
        <v>1</v>
      </c>
      <c r="O104" s="65"/>
      <c r="P104" s="65"/>
      <c r="Q104" s="65"/>
      <c r="R104">
        <v>0</v>
      </c>
      <c r="S104">
        <v>1</v>
      </c>
    </row>
    <row r="105" spans="1:19">
      <c r="A105" s="80"/>
      <c r="B105" s="65"/>
      <c r="C105" s="65"/>
      <c r="D105" s="81"/>
      <c r="E105" s="81"/>
      <c r="F105" s="67"/>
      <c r="G105" s="66"/>
      <c r="H105" s="81"/>
      <c r="I105" s="65"/>
      <c r="J105" s="17" t="str">
        <f t="shared" si="6"/>
        <v/>
      </c>
      <c r="L105" s="65">
        <f t="shared" si="7"/>
        <v>16711935</v>
      </c>
      <c r="N105" s="65">
        <v>1</v>
      </c>
      <c r="O105" s="65"/>
      <c r="P105" s="65"/>
      <c r="Q105" s="65"/>
      <c r="R105">
        <v>0</v>
      </c>
      <c r="S105">
        <v>1</v>
      </c>
    </row>
    <row r="106" spans="1:19">
      <c r="A106" s="80"/>
      <c r="B106" s="65"/>
      <c r="C106" s="65"/>
      <c r="D106" s="81"/>
      <c r="E106" s="81"/>
      <c r="F106" s="67"/>
      <c r="G106" s="66"/>
      <c r="H106" s="81"/>
      <c r="I106" s="65"/>
      <c r="J106" s="17" t="str">
        <f t="shared" si="6"/>
        <v/>
      </c>
      <c r="L106" s="65">
        <f t="shared" si="7"/>
        <v>16711935</v>
      </c>
      <c r="N106" s="65">
        <v>1</v>
      </c>
      <c r="O106" s="65"/>
      <c r="P106" s="65"/>
      <c r="Q106" s="65"/>
      <c r="R106">
        <v>0</v>
      </c>
      <c r="S106">
        <v>1</v>
      </c>
    </row>
    <row r="107" spans="1:19">
      <c r="A107" s="80"/>
      <c r="B107" s="65"/>
      <c r="C107" s="65"/>
      <c r="D107" s="81"/>
      <c r="E107" s="81"/>
      <c r="F107" s="67"/>
      <c r="G107" s="66"/>
      <c r="H107" s="81"/>
      <c r="I107" s="65"/>
      <c r="J107" s="17" t="str">
        <f t="shared" si="6"/>
        <v/>
      </c>
      <c r="L107" s="65">
        <f t="shared" si="7"/>
        <v>16711935</v>
      </c>
      <c r="N107" s="65">
        <v>1</v>
      </c>
      <c r="O107" s="65"/>
      <c r="P107" s="65"/>
      <c r="Q107" s="65"/>
      <c r="R107">
        <v>0</v>
      </c>
      <c r="S107">
        <v>1</v>
      </c>
    </row>
    <row r="108" spans="1:19">
      <c r="A108" s="80"/>
      <c r="B108" s="65"/>
      <c r="C108" s="65"/>
      <c r="D108" s="81"/>
      <c r="E108" s="81"/>
      <c r="F108" s="67"/>
      <c r="G108" s="66"/>
      <c r="H108" s="81"/>
      <c r="I108" s="65"/>
      <c r="J108" s="17" t="str">
        <f t="shared" si="6"/>
        <v/>
      </c>
      <c r="L108" s="65">
        <f t="shared" si="7"/>
        <v>16711935</v>
      </c>
      <c r="N108" s="65">
        <v>1</v>
      </c>
      <c r="O108" s="65"/>
      <c r="P108" s="65"/>
      <c r="Q108" s="65"/>
      <c r="R108">
        <v>0</v>
      </c>
      <c r="S108">
        <v>1</v>
      </c>
    </row>
    <row r="109" spans="1:19">
      <c r="A109" s="80"/>
      <c r="B109" s="65"/>
      <c r="C109" s="65"/>
      <c r="D109" s="81"/>
      <c r="E109" s="81"/>
      <c r="F109" s="67"/>
      <c r="G109" s="66"/>
      <c r="H109" s="81"/>
      <c r="I109" s="65"/>
      <c r="J109" s="17" t="str">
        <f t="shared" si="6"/>
        <v/>
      </c>
      <c r="L109" s="65">
        <f t="shared" si="7"/>
        <v>16711935</v>
      </c>
      <c r="N109" s="65">
        <v>1</v>
      </c>
      <c r="O109" s="65"/>
      <c r="P109" s="65"/>
      <c r="Q109" s="65"/>
      <c r="R109">
        <v>0</v>
      </c>
      <c r="S109">
        <v>1</v>
      </c>
    </row>
    <row r="110" spans="1:19">
      <c r="A110" s="80"/>
      <c r="B110" s="65"/>
      <c r="C110" s="65"/>
      <c r="D110" s="81"/>
      <c r="E110" s="81"/>
      <c r="F110" s="67"/>
      <c r="G110" s="66"/>
      <c r="H110" s="81"/>
      <c r="I110" s="65"/>
      <c r="J110" s="17" t="str">
        <f t="shared" si="6"/>
        <v/>
      </c>
      <c r="L110" s="65">
        <f t="shared" si="7"/>
        <v>16711935</v>
      </c>
      <c r="N110" s="65">
        <v>1</v>
      </c>
      <c r="O110" s="65"/>
      <c r="P110" s="65"/>
      <c r="Q110" s="65"/>
      <c r="R110">
        <v>0</v>
      </c>
      <c r="S110">
        <v>1</v>
      </c>
    </row>
    <row r="111" spans="1:19">
      <c r="A111" s="80"/>
      <c r="B111" s="65"/>
      <c r="C111" s="65"/>
      <c r="D111" s="81"/>
      <c r="E111" s="81"/>
      <c r="F111" s="67"/>
      <c r="G111" s="66"/>
      <c r="H111" s="81"/>
      <c r="I111" s="65"/>
      <c r="J111" s="17" t="str">
        <f t="shared" si="6"/>
        <v/>
      </c>
      <c r="L111" s="65">
        <f t="shared" si="7"/>
        <v>16711935</v>
      </c>
      <c r="N111" s="65">
        <v>1</v>
      </c>
      <c r="O111" s="65"/>
      <c r="P111" s="65"/>
      <c r="Q111" s="65"/>
      <c r="R111">
        <v>0</v>
      </c>
      <c r="S111">
        <v>1</v>
      </c>
    </row>
    <row r="112" spans="1:19">
      <c r="A112" s="80"/>
      <c r="B112" s="65"/>
      <c r="C112" s="65"/>
      <c r="D112" s="81"/>
      <c r="E112" s="81"/>
      <c r="F112" s="67"/>
      <c r="G112" s="66"/>
      <c r="H112" s="81"/>
      <c r="I112" s="65"/>
      <c r="J112" s="17" t="str">
        <f t="shared" si="6"/>
        <v/>
      </c>
      <c r="L112" s="65">
        <f t="shared" si="7"/>
        <v>16711935</v>
      </c>
      <c r="N112" s="65">
        <v>1</v>
      </c>
      <c r="O112" s="65"/>
      <c r="P112" s="65"/>
      <c r="Q112" s="65"/>
      <c r="R112">
        <v>0</v>
      </c>
      <c r="S112">
        <v>1</v>
      </c>
    </row>
    <row r="113" spans="1:19">
      <c r="A113" s="80"/>
      <c r="B113" s="65"/>
      <c r="C113" s="65"/>
      <c r="D113" s="81"/>
      <c r="E113" s="81"/>
      <c r="F113" s="67"/>
      <c r="G113" s="66"/>
      <c r="H113" s="81"/>
      <c r="I113" s="65"/>
      <c r="J113" s="17" t="str">
        <f t="shared" si="6"/>
        <v/>
      </c>
      <c r="L113" s="65">
        <f t="shared" si="7"/>
        <v>16711935</v>
      </c>
      <c r="N113" s="65">
        <v>1</v>
      </c>
      <c r="O113" s="65"/>
      <c r="P113" s="65"/>
      <c r="Q113" s="65"/>
      <c r="R113">
        <v>0</v>
      </c>
      <c r="S113">
        <v>1</v>
      </c>
    </row>
    <row r="114" spans="1:19">
      <c r="A114" s="80"/>
      <c r="B114" s="65"/>
      <c r="C114" s="65"/>
      <c r="D114" s="81"/>
      <c r="E114" s="81"/>
      <c r="F114" s="67"/>
      <c r="G114" s="66"/>
      <c r="H114" s="81"/>
      <c r="I114" s="65"/>
      <c r="J114" s="17" t="str">
        <f t="shared" si="6"/>
        <v/>
      </c>
      <c r="L114" s="65">
        <f t="shared" si="7"/>
        <v>16711935</v>
      </c>
      <c r="N114" s="65">
        <v>1</v>
      </c>
      <c r="O114" s="65"/>
      <c r="P114" s="65"/>
      <c r="Q114" s="65"/>
      <c r="R114">
        <v>0</v>
      </c>
      <c r="S114">
        <v>1</v>
      </c>
    </row>
    <row r="115" spans="1:19">
      <c r="A115" s="80"/>
      <c r="B115" s="65"/>
      <c r="C115" s="65"/>
      <c r="D115" s="81"/>
      <c r="E115" s="81"/>
      <c r="F115" s="67"/>
      <c r="G115" s="66"/>
      <c r="H115" s="81"/>
      <c r="I115" s="65"/>
      <c r="J115" s="17" t="str">
        <f t="shared" si="6"/>
        <v/>
      </c>
      <c r="L115" s="65">
        <f t="shared" si="7"/>
        <v>16711935</v>
      </c>
      <c r="N115" s="65">
        <v>1</v>
      </c>
      <c r="O115" s="65"/>
      <c r="P115" s="65"/>
      <c r="Q115" s="65"/>
      <c r="R115">
        <v>0</v>
      </c>
      <c r="S115">
        <v>1</v>
      </c>
    </row>
    <row r="116" spans="1:19">
      <c r="A116" s="80"/>
      <c r="B116" s="65"/>
      <c r="C116" s="65"/>
      <c r="D116" s="81"/>
      <c r="E116" s="81"/>
      <c r="F116" s="67"/>
      <c r="G116" s="66"/>
      <c r="H116" s="81"/>
      <c r="I116" s="65"/>
      <c r="J116" s="17" t="str">
        <f t="shared" si="6"/>
        <v/>
      </c>
      <c r="L116" s="65">
        <f t="shared" si="7"/>
        <v>16711935</v>
      </c>
      <c r="N116" s="65">
        <v>1</v>
      </c>
      <c r="O116" s="65"/>
      <c r="P116" s="65"/>
      <c r="Q116" s="65"/>
      <c r="R116">
        <v>0</v>
      </c>
      <c r="S116">
        <v>1</v>
      </c>
    </row>
    <row r="117" spans="1:19">
      <c r="A117" s="80"/>
      <c r="B117" s="65"/>
      <c r="C117" s="65"/>
      <c r="D117" s="81"/>
      <c r="E117" s="81"/>
      <c r="F117" s="67"/>
      <c r="G117" s="66"/>
      <c r="H117" s="81"/>
      <c r="I117" s="65"/>
      <c r="J117" s="17" t="str">
        <f t="shared" si="6"/>
        <v/>
      </c>
      <c r="L117" s="65">
        <f t="shared" si="7"/>
        <v>16711935</v>
      </c>
      <c r="N117" s="65">
        <v>1</v>
      </c>
      <c r="O117" s="65"/>
      <c r="P117" s="65"/>
      <c r="Q117" s="65"/>
      <c r="R117">
        <v>0</v>
      </c>
      <c r="S117">
        <v>1</v>
      </c>
    </row>
    <row r="118" spans="1:19">
      <c r="A118" s="80"/>
      <c r="B118" s="65"/>
      <c r="C118" s="65"/>
      <c r="D118" s="81"/>
      <c r="E118" s="81"/>
      <c r="F118" s="67"/>
      <c r="G118" s="66"/>
      <c r="H118" s="81"/>
      <c r="I118" s="65"/>
      <c r="J118" s="17" t="str">
        <f t="shared" si="6"/>
        <v/>
      </c>
      <c r="L118" s="65">
        <f t="shared" si="7"/>
        <v>16711935</v>
      </c>
      <c r="N118" s="65">
        <v>1</v>
      </c>
      <c r="O118" s="65"/>
      <c r="P118" s="65"/>
      <c r="Q118" s="65"/>
      <c r="R118">
        <v>0</v>
      </c>
      <c r="S118">
        <v>1</v>
      </c>
    </row>
    <row r="119" spans="1:19">
      <c r="A119" s="80"/>
      <c r="B119" s="65"/>
      <c r="C119" s="65"/>
      <c r="D119" s="81"/>
      <c r="E119" s="81"/>
      <c r="F119" s="67"/>
      <c r="G119" s="66"/>
      <c r="H119" s="81"/>
      <c r="I119" s="65"/>
      <c r="J119" s="17" t="str">
        <f t="shared" si="6"/>
        <v/>
      </c>
      <c r="L119" s="65">
        <f t="shared" si="7"/>
        <v>16711935</v>
      </c>
      <c r="N119" s="65">
        <v>1</v>
      </c>
      <c r="O119" s="65"/>
      <c r="P119" s="65"/>
      <c r="Q119" s="65"/>
      <c r="R119">
        <v>0</v>
      </c>
      <c r="S119">
        <v>1</v>
      </c>
    </row>
    <row r="120" spans="1:19">
      <c r="A120" s="80"/>
      <c r="B120" s="65"/>
      <c r="C120" s="65"/>
      <c r="D120" s="81"/>
      <c r="E120" s="81"/>
      <c r="F120" s="67"/>
      <c r="G120" s="66"/>
      <c r="H120" s="81"/>
      <c r="I120" s="65"/>
      <c r="J120" s="17" t="str">
        <f t="shared" si="6"/>
        <v/>
      </c>
      <c r="L120" s="65">
        <f t="shared" si="7"/>
        <v>16711935</v>
      </c>
      <c r="N120" s="65">
        <v>1</v>
      </c>
      <c r="O120" s="65"/>
      <c r="P120" s="65"/>
      <c r="Q120" s="65"/>
      <c r="R120">
        <v>0</v>
      </c>
      <c r="S120">
        <v>1</v>
      </c>
    </row>
    <row r="121" spans="1:19">
      <c r="A121" s="80"/>
      <c r="B121" s="65"/>
      <c r="C121" s="65"/>
      <c r="D121" s="81"/>
      <c r="E121" s="81"/>
      <c r="F121" s="67"/>
      <c r="G121" s="66"/>
      <c r="H121" s="81"/>
      <c r="I121" s="65"/>
      <c r="J121" s="17" t="str">
        <f t="shared" si="6"/>
        <v/>
      </c>
      <c r="L121" s="65">
        <f t="shared" si="7"/>
        <v>16711935</v>
      </c>
      <c r="N121" s="65">
        <v>1</v>
      </c>
      <c r="O121" s="65"/>
      <c r="P121" s="65"/>
      <c r="Q121" s="65"/>
      <c r="R121">
        <v>0</v>
      </c>
      <c r="S121">
        <v>1</v>
      </c>
    </row>
    <row r="122" spans="1:19">
      <c r="A122" s="80"/>
      <c r="B122" s="65"/>
      <c r="C122" s="65"/>
      <c r="D122" s="81"/>
      <c r="E122" s="81"/>
      <c r="F122" s="67"/>
      <c r="G122" s="66"/>
      <c r="H122" s="81"/>
      <c r="I122" s="65"/>
      <c r="J122" s="17" t="str">
        <f t="shared" si="6"/>
        <v/>
      </c>
      <c r="L122" s="65">
        <f t="shared" si="7"/>
        <v>16711935</v>
      </c>
      <c r="N122" s="65">
        <v>1</v>
      </c>
      <c r="O122" s="65"/>
      <c r="P122" s="65"/>
      <c r="Q122" s="65"/>
      <c r="R122">
        <v>0</v>
      </c>
      <c r="S122">
        <v>1</v>
      </c>
    </row>
    <row r="123" spans="1:19">
      <c r="A123" s="80"/>
      <c r="B123" s="65"/>
      <c r="C123" s="65"/>
      <c r="D123" s="81"/>
      <c r="E123" s="81"/>
      <c r="F123" s="67"/>
      <c r="G123" s="66"/>
      <c r="H123" s="81"/>
      <c r="I123" s="65"/>
      <c r="J123" s="17" t="str">
        <f t="shared" si="6"/>
        <v/>
      </c>
      <c r="L123" s="65">
        <f t="shared" si="7"/>
        <v>16711935</v>
      </c>
      <c r="N123" s="65">
        <v>1</v>
      </c>
      <c r="O123" s="65"/>
      <c r="P123" s="65"/>
      <c r="Q123" s="65"/>
      <c r="R123">
        <v>0</v>
      </c>
      <c r="S123">
        <v>1</v>
      </c>
    </row>
    <row r="124" spans="1:19">
      <c r="A124" s="80"/>
      <c r="B124" s="65"/>
      <c r="C124" s="65"/>
      <c r="D124" s="81"/>
      <c r="E124" s="81"/>
      <c r="F124" s="67"/>
      <c r="G124" s="66"/>
      <c r="H124" s="81"/>
      <c r="I124" s="65"/>
      <c r="J124" s="17" t="str">
        <f t="shared" si="6"/>
        <v/>
      </c>
      <c r="L124" s="65">
        <f t="shared" si="7"/>
        <v>16711935</v>
      </c>
      <c r="N124" s="65">
        <v>1</v>
      </c>
      <c r="O124" s="65"/>
      <c r="P124" s="65"/>
      <c r="Q124" s="65"/>
      <c r="R124">
        <v>0</v>
      </c>
      <c r="S124">
        <v>1</v>
      </c>
    </row>
    <row r="125" spans="1:19">
      <c r="A125" s="80"/>
      <c r="B125" s="65"/>
      <c r="C125" s="65"/>
      <c r="D125" s="81"/>
      <c r="E125" s="81"/>
      <c r="F125" s="67"/>
      <c r="G125" s="66"/>
      <c r="H125" s="81"/>
      <c r="I125" s="65"/>
      <c r="J125" s="17" t="str">
        <f t="shared" si="6"/>
        <v/>
      </c>
      <c r="L125" s="65">
        <f t="shared" si="7"/>
        <v>16711935</v>
      </c>
      <c r="N125" s="65">
        <v>1</v>
      </c>
      <c r="O125" s="65"/>
      <c r="P125" s="65"/>
      <c r="Q125" s="65"/>
      <c r="R125">
        <v>0</v>
      </c>
      <c r="S125">
        <v>1</v>
      </c>
    </row>
    <row r="126" spans="1:19">
      <c r="A126" s="80"/>
      <c r="B126" s="65"/>
      <c r="C126" s="65"/>
      <c r="D126" s="81"/>
      <c r="E126" s="81"/>
      <c r="F126" s="67"/>
      <c r="G126" s="66"/>
      <c r="H126" s="81"/>
      <c r="I126" s="65"/>
      <c r="J126" s="17" t="str">
        <f t="shared" si="6"/>
        <v/>
      </c>
      <c r="L126" s="65">
        <f t="shared" si="7"/>
        <v>16711935</v>
      </c>
      <c r="N126" s="65">
        <v>1</v>
      </c>
      <c r="O126" s="65"/>
      <c r="P126" s="65"/>
      <c r="Q126" s="65"/>
      <c r="R126">
        <v>0</v>
      </c>
      <c r="S126">
        <v>1</v>
      </c>
    </row>
    <row r="127" spans="1:19">
      <c r="A127" s="80"/>
      <c r="B127" s="65"/>
      <c r="C127" s="65"/>
      <c r="D127" s="81"/>
      <c r="E127" s="81"/>
      <c r="F127" s="67"/>
      <c r="G127" s="66"/>
      <c r="H127" s="81"/>
      <c r="I127" s="65"/>
      <c r="J127" s="17" t="str">
        <f t="shared" si="6"/>
        <v/>
      </c>
      <c r="L127" s="65">
        <f t="shared" si="7"/>
        <v>16711935</v>
      </c>
      <c r="N127" s="65">
        <v>1</v>
      </c>
      <c r="O127" s="65"/>
      <c r="P127" s="65"/>
      <c r="Q127" s="65"/>
      <c r="R127">
        <v>0</v>
      </c>
      <c r="S127">
        <v>1</v>
      </c>
    </row>
    <row r="128" spans="1:19">
      <c r="A128" s="80"/>
      <c r="B128" s="65"/>
      <c r="C128" s="65"/>
      <c r="D128" s="81"/>
      <c r="E128" s="81"/>
      <c r="F128" s="67"/>
      <c r="G128" s="66"/>
      <c r="H128" s="81"/>
      <c r="I128" s="65"/>
      <c r="J128" s="17" t="str">
        <f t="shared" si="6"/>
        <v/>
      </c>
      <c r="L128" s="65">
        <f t="shared" si="7"/>
        <v>16711935</v>
      </c>
      <c r="N128" s="65">
        <v>1</v>
      </c>
      <c r="O128" s="65"/>
      <c r="P128" s="65"/>
      <c r="Q128" s="65"/>
      <c r="R128">
        <v>0</v>
      </c>
      <c r="S128">
        <v>1</v>
      </c>
    </row>
    <row r="129" spans="1:19">
      <c r="A129" s="80"/>
      <c r="B129" s="65"/>
      <c r="C129" s="65"/>
      <c r="D129" s="81"/>
      <c r="E129" s="81"/>
      <c r="F129" s="67"/>
      <c r="G129" s="66"/>
      <c r="H129" s="81"/>
      <c r="I129" s="65"/>
      <c r="J129" s="17" t="str">
        <f t="shared" si="6"/>
        <v/>
      </c>
      <c r="L129" s="65">
        <f t="shared" si="7"/>
        <v>16711935</v>
      </c>
      <c r="N129" s="65">
        <v>1</v>
      </c>
      <c r="O129" s="65"/>
      <c r="P129" s="65"/>
      <c r="Q129" s="65"/>
      <c r="R129">
        <v>0</v>
      </c>
      <c r="S129">
        <v>1</v>
      </c>
    </row>
    <row r="130" spans="1:19">
      <c r="A130" s="80"/>
      <c r="B130" s="65"/>
      <c r="C130" s="65"/>
      <c r="D130" s="81"/>
      <c r="E130" s="81"/>
      <c r="F130" s="67"/>
      <c r="G130" s="66"/>
      <c r="H130" s="81"/>
      <c r="I130" s="65"/>
      <c r="J130" s="17" t="str">
        <f t="shared" si="6"/>
        <v/>
      </c>
      <c r="L130" s="65">
        <f t="shared" si="7"/>
        <v>16711935</v>
      </c>
      <c r="N130" s="65">
        <v>1</v>
      </c>
      <c r="O130" s="65"/>
      <c r="P130" s="65"/>
      <c r="Q130" s="65"/>
      <c r="R130">
        <v>0</v>
      </c>
      <c r="S130">
        <v>1</v>
      </c>
    </row>
    <row r="131" spans="1:19">
      <c r="A131" s="80"/>
      <c r="B131" s="65"/>
      <c r="C131" s="65"/>
      <c r="D131" s="81"/>
      <c r="E131" s="81"/>
      <c r="F131" s="67"/>
      <c r="G131" s="66"/>
      <c r="H131" s="81"/>
      <c r="I131" s="65"/>
      <c r="J131" s="17" t="str">
        <f t="shared" si="6"/>
        <v/>
      </c>
      <c r="L131" s="65">
        <f t="shared" si="7"/>
        <v>16711935</v>
      </c>
      <c r="N131" s="65">
        <v>1</v>
      </c>
      <c r="O131" s="65"/>
      <c r="P131" s="65"/>
      <c r="Q131" s="65"/>
      <c r="R131">
        <v>0</v>
      </c>
      <c r="S131">
        <v>1</v>
      </c>
    </row>
    <row r="132" spans="1:19">
      <c r="A132" s="80"/>
      <c r="B132" s="65"/>
      <c r="C132" s="65"/>
      <c r="D132" s="81"/>
      <c r="E132" s="81"/>
      <c r="F132" s="67"/>
      <c r="G132" s="66"/>
      <c r="H132" s="81"/>
      <c r="I132" s="65"/>
      <c r="J132" s="17" t="str">
        <f t="shared" si="6"/>
        <v/>
      </c>
      <c r="L132" s="65">
        <f t="shared" si="7"/>
        <v>16711935</v>
      </c>
      <c r="N132" s="65">
        <v>1</v>
      </c>
      <c r="O132" s="65"/>
      <c r="P132" s="65"/>
      <c r="Q132" s="65"/>
      <c r="R132">
        <v>0</v>
      </c>
      <c r="S132">
        <v>1</v>
      </c>
    </row>
    <row r="133" spans="1:19">
      <c r="A133" s="80"/>
      <c r="B133" s="65"/>
      <c r="C133" s="65"/>
      <c r="D133" s="81"/>
      <c r="E133" s="81"/>
      <c r="F133" s="67"/>
      <c r="G133" s="66"/>
      <c r="H133" s="81"/>
      <c r="I133" s="65"/>
      <c r="J133" s="17" t="str">
        <f t="shared" si="6"/>
        <v/>
      </c>
      <c r="L133" s="65">
        <f t="shared" si="7"/>
        <v>16711935</v>
      </c>
      <c r="N133" s="65">
        <v>1</v>
      </c>
      <c r="O133" s="65"/>
      <c r="P133" s="65"/>
      <c r="Q133" s="65"/>
      <c r="R133">
        <v>0</v>
      </c>
      <c r="S133">
        <v>1</v>
      </c>
    </row>
    <row r="134" spans="1:19">
      <c r="A134" s="80"/>
      <c r="B134" s="65"/>
      <c r="C134" s="65"/>
      <c r="D134" s="81"/>
      <c r="E134" s="81"/>
      <c r="F134" s="67"/>
      <c r="G134" s="66"/>
      <c r="H134" s="81"/>
      <c r="I134" s="65"/>
      <c r="J134" s="17" t="str">
        <f t="shared" ref="J134:J165" si="8">IF(LEN(B134)&gt;0,SUBSTITUTE(B134, "'", " ")&amp;" - "&amp;SUBSTITUTE(C134, "'"," ")&amp;";"&amp;A134&amp;";"&amp;N134&amp;";"&amp;O134&amp;";"&amp;P134&amp;";"&amp;L134&amp;";"&amp;E134&amp;";"&amp;F134&amp;";"&amp;Q134&amp;";"&amp;IF(LEN(G134)=0,"1.000",IFERROR(REPLACE(FIXED(G134,3,1),2,1,"."),))&amp;";"&amp;H134&amp;";"&amp;I134&amp;";"&amp;R134&amp;";"&amp;S134&amp;";","")</f>
        <v/>
      </c>
      <c r="L134" s="65">
        <f t="shared" ref="L134:L165" si="9">IFERROR(VLOOKUP(D134,ColorsTable,2,FALSE),16711935)</f>
        <v>16711935</v>
      </c>
      <c r="N134" s="65">
        <v>1</v>
      </c>
      <c r="O134" s="65"/>
      <c r="P134" s="65"/>
      <c r="Q134" s="65"/>
      <c r="R134">
        <v>0</v>
      </c>
      <c r="S134">
        <v>1</v>
      </c>
    </row>
    <row r="135" spans="1:19">
      <c r="A135" s="80"/>
      <c r="B135" s="65"/>
      <c r="C135" s="65"/>
      <c r="D135" s="81"/>
      <c r="E135" s="81"/>
      <c r="F135" s="67"/>
      <c r="G135" s="66"/>
      <c r="H135" s="81"/>
      <c r="I135" s="65"/>
      <c r="J135" s="17" t="str">
        <f t="shared" si="8"/>
        <v/>
      </c>
      <c r="L135" s="65">
        <f t="shared" si="9"/>
        <v>16711935</v>
      </c>
      <c r="N135" s="65">
        <v>1</v>
      </c>
      <c r="O135" s="65"/>
      <c r="P135" s="65"/>
      <c r="Q135" s="65"/>
      <c r="R135">
        <v>0</v>
      </c>
      <c r="S135">
        <v>1</v>
      </c>
    </row>
    <row r="136" spans="1:19">
      <c r="A136" s="80"/>
      <c r="B136" s="65"/>
      <c r="C136" s="65"/>
      <c r="D136" s="81"/>
      <c r="E136" s="81"/>
      <c r="F136" s="67"/>
      <c r="G136" s="66"/>
      <c r="H136" s="81"/>
      <c r="I136" s="65"/>
      <c r="J136" s="17" t="str">
        <f t="shared" si="8"/>
        <v/>
      </c>
      <c r="L136" s="65">
        <f t="shared" si="9"/>
        <v>16711935</v>
      </c>
      <c r="N136" s="65">
        <v>1</v>
      </c>
      <c r="O136" s="65"/>
      <c r="P136" s="65"/>
      <c r="Q136" s="65"/>
      <c r="R136">
        <v>0</v>
      </c>
      <c r="S136">
        <v>1</v>
      </c>
    </row>
    <row r="137" spans="1:19">
      <c r="A137" s="80"/>
      <c r="B137" s="65"/>
      <c r="C137" s="65"/>
      <c r="D137" s="81"/>
      <c r="E137" s="81"/>
      <c r="F137" s="67"/>
      <c r="G137" s="66"/>
      <c r="H137" s="81"/>
      <c r="I137" s="65"/>
      <c r="J137" s="17" t="str">
        <f t="shared" si="8"/>
        <v/>
      </c>
      <c r="L137" s="65">
        <f t="shared" si="9"/>
        <v>16711935</v>
      </c>
      <c r="N137" s="65">
        <v>1</v>
      </c>
      <c r="O137" s="65"/>
      <c r="P137" s="65"/>
      <c r="Q137" s="65"/>
      <c r="R137">
        <v>0</v>
      </c>
      <c r="S137">
        <v>1</v>
      </c>
    </row>
    <row r="138" spans="1:19">
      <c r="A138" s="80"/>
      <c r="B138" s="65"/>
      <c r="C138" s="65"/>
      <c r="D138" s="81"/>
      <c r="E138" s="81"/>
      <c r="F138" s="67"/>
      <c r="G138" s="66"/>
      <c r="H138" s="81"/>
      <c r="I138" s="65"/>
      <c r="J138" s="17" t="str">
        <f t="shared" si="8"/>
        <v/>
      </c>
      <c r="L138" s="65">
        <f t="shared" si="9"/>
        <v>16711935</v>
      </c>
      <c r="N138" s="65">
        <v>1</v>
      </c>
      <c r="O138" s="65"/>
      <c r="P138" s="65"/>
      <c r="Q138" s="65"/>
      <c r="R138">
        <v>0</v>
      </c>
      <c r="S138">
        <v>1</v>
      </c>
    </row>
    <row r="139" spans="1:19">
      <c r="A139" s="80"/>
      <c r="B139" s="65"/>
      <c r="C139" s="65"/>
      <c r="D139" s="81"/>
      <c r="E139" s="81"/>
      <c r="F139" s="67"/>
      <c r="G139" s="66"/>
      <c r="H139" s="81"/>
      <c r="I139" s="65"/>
      <c r="J139" s="17" t="str">
        <f t="shared" si="8"/>
        <v/>
      </c>
      <c r="L139" s="65">
        <f t="shared" si="9"/>
        <v>16711935</v>
      </c>
      <c r="N139" s="65">
        <v>1</v>
      </c>
      <c r="O139" s="65"/>
      <c r="P139" s="65"/>
      <c r="Q139" s="65"/>
      <c r="R139">
        <v>0</v>
      </c>
      <c r="S139">
        <v>1</v>
      </c>
    </row>
    <row r="140" spans="1:19">
      <c r="A140" s="80"/>
      <c r="B140" s="65"/>
      <c r="C140" s="65"/>
      <c r="D140" s="81"/>
      <c r="E140" s="81"/>
      <c r="F140" s="67"/>
      <c r="G140" s="66"/>
      <c r="H140" s="81"/>
      <c r="I140" s="65"/>
      <c r="J140" s="17" t="str">
        <f t="shared" si="8"/>
        <v/>
      </c>
      <c r="L140" s="65">
        <f t="shared" si="9"/>
        <v>16711935</v>
      </c>
      <c r="N140" s="65">
        <v>1</v>
      </c>
      <c r="O140" s="65"/>
      <c r="P140" s="65"/>
      <c r="Q140" s="65"/>
      <c r="R140">
        <v>0</v>
      </c>
      <c r="S140">
        <v>1</v>
      </c>
    </row>
    <row r="141" spans="1:19">
      <c r="A141" s="80"/>
      <c r="B141" s="65"/>
      <c r="C141" s="65"/>
      <c r="D141" s="81"/>
      <c r="E141" s="81"/>
      <c r="F141" s="67"/>
      <c r="G141" s="66"/>
      <c r="H141" s="81"/>
      <c r="I141" s="65"/>
      <c r="J141" s="17" t="str">
        <f t="shared" si="8"/>
        <v/>
      </c>
      <c r="L141" s="65">
        <f t="shared" si="9"/>
        <v>16711935</v>
      </c>
      <c r="N141" s="65">
        <v>1</v>
      </c>
      <c r="O141" s="65"/>
      <c r="P141" s="65"/>
      <c r="Q141" s="65"/>
      <c r="R141">
        <v>0</v>
      </c>
      <c r="S141">
        <v>1</v>
      </c>
    </row>
    <row r="142" spans="1:19">
      <c r="A142" s="80"/>
      <c r="B142" s="65"/>
      <c r="C142" s="65"/>
      <c r="D142" s="81"/>
      <c r="E142" s="81"/>
      <c r="F142" s="67"/>
      <c r="G142" s="66"/>
      <c r="H142" s="81"/>
      <c r="I142" s="65"/>
      <c r="J142" s="17" t="str">
        <f t="shared" si="8"/>
        <v/>
      </c>
      <c r="L142" s="65">
        <f t="shared" si="9"/>
        <v>16711935</v>
      </c>
      <c r="N142" s="65">
        <v>1</v>
      </c>
      <c r="O142" s="65"/>
      <c r="P142" s="65"/>
      <c r="Q142" s="65"/>
      <c r="R142">
        <v>0</v>
      </c>
      <c r="S142">
        <v>1</v>
      </c>
    </row>
    <row r="143" spans="1:19">
      <c r="A143" s="80"/>
      <c r="B143" s="65"/>
      <c r="C143" s="65"/>
      <c r="D143" s="81"/>
      <c r="E143" s="81"/>
      <c r="F143" s="67"/>
      <c r="G143" s="66"/>
      <c r="H143" s="81"/>
      <c r="I143" s="65"/>
      <c r="J143" s="17" t="str">
        <f t="shared" si="8"/>
        <v/>
      </c>
      <c r="L143" s="65">
        <f t="shared" si="9"/>
        <v>16711935</v>
      </c>
      <c r="N143" s="65">
        <v>1</v>
      </c>
      <c r="O143" s="65"/>
      <c r="P143" s="65"/>
      <c r="Q143" s="65"/>
      <c r="R143">
        <v>0</v>
      </c>
      <c r="S143">
        <v>1</v>
      </c>
    </row>
    <row r="144" spans="1:19">
      <c r="A144" s="80"/>
      <c r="B144" s="65"/>
      <c r="C144" s="65"/>
      <c r="D144" s="81"/>
      <c r="E144" s="81"/>
      <c r="F144" s="67"/>
      <c r="G144" s="66"/>
      <c r="H144" s="81"/>
      <c r="I144" s="65"/>
      <c r="J144" s="17" t="str">
        <f t="shared" si="8"/>
        <v/>
      </c>
      <c r="L144" s="65">
        <f t="shared" si="9"/>
        <v>16711935</v>
      </c>
      <c r="N144" s="65">
        <v>1</v>
      </c>
      <c r="O144" s="65"/>
      <c r="P144" s="65"/>
      <c r="Q144" s="65"/>
      <c r="R144">
        <v>0</v>
      </c>
      <c r="S144">
        <v>1</v>
      </c>
    </row>
    <row r="145" spans="1:19">
      <c r="A145" s="80"/>
      <c r="B145" s="65"/>
      <c r="C145" s="65"/>
      <c r="D145" s="81"/>
      <c r="E145" s="81"/>
      <c r="F145" s="67"/>
      <c r="G145" s="66"/>
      <c r="H145" s="81"/>
      <c r="I145" s="65"/>
      <c r="J145" s="17" t="str">
        <f t="shared" si="8"/>
        <v/>
      </c>
      <c r="L145" s="65">
        <f t="shared" si="9"/>
        <v>16711935</v>
      </c>
      <c r="N145" s="65">
        <v>1</v>
      </c>
      <c r="O145" s="65"/>
      <c r="P145" s="65"/>
      <c r="Q145" s="65"/>
      <c r="R145">
        <v>0</v>
      </c>
      <c r="S145">
        <v>1</v>
      </c>
    </row>
    <row r="146" spans="1:19">
      <c r="A146" s="80"/>
      <c r="B146" s="65"/>
      <c r="C146" s="65"/>
      <c r="D146" s="81"/>
      <c r="E146" s="81"/>
      <c r="F146" s="67"/>
      <c r="G146" s="66"/>
      <c r="H146" s="81"/>
      <c r="I146" s="65"/>
      <c r="J146" s="17" t="str">
        <f t="shared" si="8"/>
        <v/>
      </c>
      <c r="L146" s="65">
        <f t="shared" si="9"/>
        <v>16711935</v>
      </c>
      <c r="N146" s="65">
        <v>1</v>
      </c>
      <c r="O146" s="65"/>
      <c r="P146" s="65"/>
      <c r="Q146" s="65"/>
      <c r="R146">
        <v>0</v>
      </c>
      <c r="S146">
        <v>1</v>
      </c>
    </row>
    <row r="147" spans="1:19">
      <c r="A147" s="80"/>
      <c r="B147" s="65"/>
      <c r="C147" s="65"/>
      <c r="D147" s="81"/>
      <c r="E147" s="81"/>
      <c r="F147" s="67"/>
      <c r="G147" s="66"/>
      <c r="H147" s="81"/>
      <c r="I147" s="65"/>
      <c r="J147" s="17" t="str">
        <f t="shared" si="8"/>
        <v/>
      </c>
      <c r="L147" s="65">
        <f t="shared" si="9"/>
        <v>16711935</v>
      </c>
      <c r="N147" s="65">
        <v>1</v>
      </c>
      <c r="O147" s="65"/>
      <c r="P147" s="65"/>
      <c r="Q147" s="65"/>
      <c r="R147">
        <v>0</v>
      </c>
      <c r="S147">
        <v>1</v>
      </c>
    </row>
    <row r="148" spans="1:19">
      <c r="A148" s="80"/>
      <c r="B148" s="65"/>
      <c r="C148" s="65"/>
      <c r="D148" s="81"/>
      <c r="E148" s="81"/>
      <c r="F148" s="67"/>
      <c r="G148" s="66"/>
      <c r="H148" s="81"/>
      <c r="I148" s="65"/>
      <c r="J148" s="17" t="str">
        <f t="shared" si="8"/>
        <v/>
      </c>
      <c r="L148" s="65">
        <f t="shared" si="9"/>
        <v>16711935</v>
      </c>
      <c r="N148" s="65">
        <v>1</v>
      </c>
      <c r="O148" s="65"/>
      <c r="P148" s="65"/>
      <c r="Q148" s="65"/>
      <c r="R148">
        <v>0</v>
      </c>
      <c r="S148">
        <v>1</v>
      </c>
    </row>
    <row r="149" spans="1:19">
      <c r="A149" s="80"/>
      <c r="B149" s="65"/>
      <c r="C149" s="65"/>
      <c r="D149" s="81"/>
      <c r="E149" s="81"/>
      <c r="F149" s="67"/>
      <c r="G149" s="66"/>
      <c r="H149" s="81"/>
      <c r="I149" s="65"/>
      <c r="J149" s="17" t="str">
        <f t="shared" si="8"/>
        <v/>
      </c>
      <c r="L149" s="65">
        <f t="shared" si="9"/>
        <v>16711935</v>
      </c>
      <c r="N149" s="65">
        <v>1</v>
      </c>
      <c r="O149" s="65"/>
      <c r="P149" s="65"/>
      <c r="Q149" s="65"/>
      <c r="R149">
        <v>0</v>
      </c>
      <c r="S149">
        <v>1</v>
      </c>
    </row>
    <row r="150" spans="1:19">
      <c r="A150" s="80"/>
      <c r="B150" s="65"/>
      <c r="C150" s="65"/>
      <c r="D150" s="81"/>
      <c r="E150" s="81"/>
      <c r="F150" s="67"/>
      <c r="G150" s="66"/>
      <c r="H150" s="81"/>
      <c r="I150" s="65"/>
      <c r="J150" s="17" t="str">
        <f t="shared" si="8"/>
        <v/>
      </c>
      <c r="L150" s="65">
        <f t="shared" si="9"/>
        <v>16711935</v>
      </c>
      <c r="N150" s="65">
        <v>1</v>
      </c>
      <c r="O150" s="65"/>
      <c r="P150" s="65"/>
      <c r="Q150" s="65"/>
      <c r="R150">
        <v>0</v>
      </c>
      <c r="S150">
        <v>1</v>
      </c>
    </row>
    <row r="151" spans="1:19">
      <c r="A151" s="80"/>
      <c r="B151" s="65"/>
      <c r="C151" s="65"/>
      <c r="D151" s="81"/>
      <c r="E151" s="81"/>
      <c r="F151" s="67"/>
      <c r="G151" s="66"/>
      <c r="H151" s="81"/>
      <c r="I151" s="65"/>
      <c r="J151" s="17" t="str">
        <f t="shared" si="8"/>
        <v/>
      </c>
      <c r="L151" s="65">
        <f t="shared" si="9"/>
        <v>16711935</v>
      </c>
      <c r="N151" s="65">
        <v>1</v>
      </c>
      <c r="O151" s="65"/>
      <c r="P151" s="65"/>
      <c r="Q151" s="65"/>
      <c r="R151">
        <v>0</v>
      </c>
      <c r="S151">
        <v>1</v>
      </c>
    </row>
    <row r="152" spans="1:19">
      <c r="A152" s="80"/>
      <c r="B152" s="65"/>
      <c r="C152" s="65"/>
      <c r="D152" s="81"/>
      <c r="E152" s="81"/>
      <c r="F152" s="67"/>
      <c r="G152" s="66"/>
      <c r="H152" s="81"/>
      <c r="I152" s="65"/>
      <c r="J152" s="17" t="str">
        <f t="shared" si="8"/>
        <v/>
      </c>
      <c r="L152" s="65">
        <f t="shared" si="9"/>
        <v>16711935</v>
      </c>
      <c r="N152" s="65">
        <v>1</v>
      </c>
      <c r="O152" s="65"/>
      <c r="P152" s="65"/>
      <c r="Q152" s="65"/>
      <c r="R152">
        <v>0</v>
      </c>
      <c r="S152">
        <v>1</v>
      </c>
    </row>
    <row r="153" spans="1:19">
      <c r="A153" s="80"/>
      <c r="B153" s="65"/>
      <c r="C153" s="65"/>
      <c r="D153" s="81"/>
      <c r="E153" s="81"/>
      <c r="F153" s="67"/>
      <c r="G153" s="66"/>
      <c r="H153" s="81"/>
      <c r="I153" s="65"/>
      <c r="J153" s="17" t="str">
        <f t="shared" si="8"/>
        <v/>
      </c>
      <c r="L153" s="65">
        <f t="shared" si="9"/>
        <v>16711935</v>
      </c>
      <c r="N153" s="65">
        <v>1</v>
      </c>
      <c r="O153" s="65"/>
      <c r="P153" s="65"/>
      <c r="Q153" s="65"/>
      <c r="R153">
        <v>0</v>
      </c>
      <c r="S153">
        <v>1</v>
      </c>
    </row>
    <row r="154" spans="1:19">
      <c r="A154" s="80"/>
      <c r="B154" s="65"/>
      <c r="C154" s="65"/>
      <c r="D154" s="81"/>
      <c r="E154" s="81"/>
      <c r="F154" s="67"/>
      <c r="G154" s="66"/>
      <c r="H154" s="81"/>
      <c r="I154" s="65"/>
      <c r="J154" s="17" t="str">
        <f t="shared" si="8"/>
        <v/>
      </c>
      <c r="L154" s="65">
        <f t="shared" si="9"/>
        <v>16711935</v>
      </c>
      <c r="N154" s="65">
        <v>1</v>
      </c>
      <c r="O154" s="65"/>
      <c r="P154" s="65"/>
      <c r="Q154" s="65"/>
      <c r="R154">
        <v>0</v>
      </c>
      <c r="S154">
        <v>1</v>
      </c>
    </row>
    <row r="155" spans="1:19">
      <c r="A155" s="80"/>
      <c r="B155" s="65"/>
      <c r="C155" s="65"/>
      <c r="D155" s="81"/>
      <c r="E155" s="81"/>
      <c r="F155" s="67"/>
      <c r="G155" s="66"/>
      <c r="H155" s="81"/>
      <c r="I155" s="65"/>
      <c r="J155" s="17" t="str">
        <f t="shared" si="8"/>
        <v/>
      </c>
      <c r="L155" s="65">
        <f t="shared" si="9"/>
        <v>16711935</v>
      </c>
      <c r="N155" s="65">
        <v>1</v>
      </c>
      <c r="O155" s="65"/>
      <c r="P155" s="65"/>
      <c r="Q155" s="65"/>
      <c r="R155">
        <v>0</v>
      </c>
      <c r="S155">
        <v>1</v>
      </c>
    </row>
    <row r="156" spans="1:19">
      <c r="A156" s="80"/>
      <c r="B156" s="65"/>
      <c r="C156" s="65"/>
      <c r="D156" s="81"/>
      <c r="E156" s="81"/>
      <c r="F156" s="67"/>
      <c r="G156" s="66"/>
      <c r="H156" s="81"/>
      <c r="I156" s="65"/>
      <c r="J156" s="17" t="str">
        <f t="shared" si="8"/>
        <v/>
      </c>
      <c r="L156" s="65">
        <f t="shared" si="9"/>
        <v>16711935</v>
      </c>
      <c r="N156" s="65">
        <v>1</v>
      </c>
      <c r="O156" s="65"/>
      <c r="P156" s="65"/>
      <c r="Q156" s="65"/>
      <c r="R156">
        <v>0</v>
      </c>
      <c r="S156">
        <v>1</v>
      </c>
    </row>
    <row r="157" spans="1:19">
      <c r="A157" s="80"/>
      <c r="B157" s="65"/>
      <c r="C157" s="65"/>
      <c r="D157" s="81"/>
      <c r="E157" s="81"/>
      <c r="F157" s="67"/>
      <c r="G157" s="66"/>
      <c r="H157" s="81"/>
      <c r="I157" s="65"/>
      <c r="J157" s="17" t="str">
        <f t="shared" si="8"/>
        <v/>
      </c>
      <c r="L157" s="65">
        <f t="shared" si="9"/>
        <v>16711935</v>
      </c>
      <c r="N157" s="65">
        <v>1</v>
      </c>
      <c r="O157" s="65"/>
      <c r="P157" s="65"/>
      <c r="Q157" s="65"/>
      <c r="R157">
        <v>0</v>
      </c>
      <c r="S157">
        <v>1</v>
      </c>
    </row>
    <row r="158" spans="1:19">
      <c r="A158" s="80"/>
      <c r="B158" s="65"/>
      <c r="C158" s="65"/>
      <c r="D158" s="81"/>
      <c r="E158" s="81"/>
      <c r="F158" s="67"/>
      <c r="G158" s="66"/>
      <c r="H158" s="81"/>
      <c r="I158" s="65"/>
      <c r="J158" s="17" t="str">
        <f t="shared" si="8"/>
        <v/>
      </c>
      <c r="L158" s="65">
        <f t="shared" si="9"/>
        <v>16711935</v>
      </c>
      <c r="N158" s="65">
        <v>1</v>
      </c>
      <c r="O158" s="65"/>
      <c r="P158" s="65"/>
      <c r="Q158" s="65"/>
      <c r="R158">
        <v>0</v>
      </c>
      <c r="S158">
        <v>1</v>
      </c>
    </row>
    <row r="159" spans="1:19">
      <c r="A159" s="80"/>
      <c r="B159" s="65"/>
      <c r="C159" s="65"/>
      <c r="D159" s="81"/>
      <c r="E159" s="81"/>
      <c r="F159" s="67"/>
      <c r="G159" s="66"/>
      <c r="H159" s="81"/>
      <c r="I159" s="65"/>
      <c r="J159" s="17" t="str">
        <f t="shared" si="8"/>
        <v/>
      </c>
      <c r="L159" s="65">
        <f t="shared" si="9"/>
        <v>16711935</v>
      </c>
      <c r="N159" s="65">
        <v>1</v>
      </c>
      <c r="O159" s="65"/>
      <c r="P159" s="65"/>
      <c r="Q159" s="65"/>
      <c r="R159">
        <v>0</v>
      </c>
      <c r="S159">
        <v>1</v>
      </c>
    </row>
    <row r="160" spans="1:19">
      <c r="A160" s="80"/>
      <c r="B160" s="65"/>
      <c r="C160" s="65"/>
      <c r="D160" s="81"/>
      <c r="E160" s="81"/>
      <c r="F160" s="67"/>
      <c r="G160" s="66"/>
      <c r="H160" s="81"/>
      <c r="I160" s="65"/>
      <c r="J160" s="17" t="str">
        <f t="shared" si="8"/>
        <v/>
      </c>
      <c r="L160" s="65">
        <f t="shared" si="9"/>
        <v>16711935</v>
      </c>
      <c r="N160" s="65">
        <v>1</v>
      </c>
      <c r="O160" s="65"/>
      <c r="P160" s="65"/>
      <c r="Q160" s="65"/>
      <c r="R160">
        <v>0</v>
      </c>
      <c r="S160">
        <v>1</v>
      </c>
    </row>
    <row r="161" spans="1:19">
      <c r="A161" s="80"/>
      <c r="B161" s="65"/>
      <c r="C161" s="65"/>
      <c r="D161" s="81"/>
      <c r="E161" s="81"/>
      <c r="F161" s="67"/>
      <c r="G161" s="66"/>
      <c r="H161" s="81"/>
      <c r="I161" s="65"/>
      <c r="J161" s="17" t="str">
        <f t="shared" si="8"/>
        <v/>
      </c>
      <c r="L161" s="65">
        <f t="shared" si="9"/>
        <v>16711935</v>
      </c>
      <c r="N161" s="65">
        <v>1</v>
      </c>
      <c r="O161" s="65"/>
      <c r="P161" s="65"/>
      <c r="Q161" s="65"/>
      <c r="R161">
        <v>0</v>
      </c>
      <c r="S161">
        <v>1</v>
      </c>
    </row>
    <row r="162" spans="1:19">
      <c r="A162" s="80"/>
      <c r="B162" s="65"/>
      <c r="C162" s="65"/>
      <c r="D162" s="81"/>
      <c r="E162" s="81"/>
      <c r="F162" s="67"/>
      <c r="G162" s="66"/>
      <c r="H162" s="81"/>
      <c r="I162" s="65"/>
      <c r="J162" s="17" t="str">
        <f t="shared" si="8"/>
        <v/>
      </c>
      <c r="L162" s="65">
        <f t="shared" si="9"/>
        <v>16711935</v>
      </c>
      <c r="N162" s="65">
        <v>1</v>
      </c>
      <c r="O162" s="65"/>
      <c r="P162" s="65"/>
      <c r="Q162" s="65"/>
      <c r="R162">
        <v>0</v>
      </c>
      <c r="S162">
        <v>1</v>
      </c>
    </row>
    <row r="163" spans="1:19">
      <c r="A163" s="80"/>
      <c r="B163" s="65"/>
      <c r="C163" s="65"/>
      <c r="D163" s="81"/>
      <c r="E163" s="81"/>
      <c r="F163" s="67"/>
      <c r="G163" s="66"/>
      <c r="H163" s="81"/>
      <c r="I163" s="65"/>
      <c r="J163" s="17" t="str">
        <f t="shared" si="8"/>
        <v/>
      </c>
      <c r="L163" s="65">
        <f t="shared" si="9"/>
        <v>16711935</v>
      </c>
      <c r="N163" s="65">
        <v>1</v>
      </c>
      <c r="O163" s="65"/>
      <c r="P163" s="65"/>
      <c r="Q163" s="65"/>
      <c r="R163">
        <v>0</v>
      </c>
      <c r="S163">
        <v>1</v>
      </c>
    </row>
    <row r="164" spans="1:19">
      <c r="A164" s="80"/>
      <c r="B164" s="65"/>
      <c r="C164" s="65"/>
      <c r="D164" s="81"/>
      <c r="E164" s="81"/>
      <c r="F164" s="67"/>
      <c r="G164" s="66"/>
      <c r="H164" s="81"/>
      <c r="I164" s="65"/>
      <c r="J164" s="17" t="str">
        <f t="shared" si="8"/>
        <v/>
      </c>
      <c r="L164" s="65">
        <f t="shared" si="9"/>
        <v>16711935</v>
      </c>
      <c r="N164" s="65">
        <v>1</v>
      </c>
      <c r="O164" s="65"/>
      <c r="P164" s="65"/>
      <c r="Q164" s="65"/>
      <c r="R164">
        <v>0</v>
      </c>
      <c r="S164">
        <v>1</v>
      </c>
    </row>
    <row r="165" spans="1:19">
      <c r="A165" s="80"/>
      <c r="B165" s="65"/>
      <c r="C165" s="65"/>
      <c r="D165" s="81"/>
      <c r="E165" s="81"/>
      <c r="F165" s="67"/>
      <c r="G165" s="66"/>
      <c r="H165" s="81"/>
      <c r="I165" s="65"/>
      <c r="J165" s="17" t="str">
        <f t="shared" si="8"/>
        <v/>
      </c>
      <c r="L165" s="65">
        <f t="shared" si="9"/>
        <v>16711935</v>
      </c>
      <c r="N165" s="65">
        <v>1</v>
      </c>
      <c r="O165" s="65"/>
      <c r="P165" s="65"/>
      <c r="Q165" s="65"/>
      <c r="R165">
        <v>0</v>
      </c>
      <c r="S165">
        <v>1</v>
      </c>
    </row>
    <row r="166" spans="1:19">
      <c r="A166" s="80"/>
      <c r="B166" s="65"/>
      <c r="C166" s="65"/>
      <c r="D166" s="81"/>
      <c r="E166" s="81"/>
      <c r="F166" s="67"/>
      <c r="G166" s="66"/>
      <c r="H166" s="81"/>
      <c r="I166" s="65"/>
      <c r="J166" s="17" t="str">
        <f t="shared" ref="J166:J197" si="10">IF(LEN(B166)&gt;0,SUBSTITUTE(B166, "'", " ")&amp;" - "&amp;SUBSTITUTE(C166, "'"," ")&amp;";"&amp;A166&amp;";"&amp;N166&amp;";"&amp;O166&amp;";"&amp;P166&amp;";"&amp;L166&amp;";"&amp;E166&amp;";"&amp;F166&amp;";"&amp;Q166&amp;";"&amp;IF(LEN(G166)=0,"1.000",IFERROR(REPLACE(FIXED(G166,3,1),2,1,"."),))&amp;";"&amp;H166&amp;";"&amp;I166&amp;";"&amp;R166&amp;";"&amp;S166&amp;";","")</f>
        <v/>
      </c>
      <c r="L166" s="65">
        <f t="shared" ref="L166:L199" si="11">IFERROR(VLOOKUP(D166,ColorsTable,2,FALSE),16711935)</f>
        <v>16711935</v>
      </c>
      <c r="N166" s="65">
        <v>1</v>
      </c>
      <c r="O166" s="65"/>
      <c r="P166" s="65"/>
      <c r="Q166" s="65"/>
      <c r="R166">
        <v>0</v>
      </c>
      <c r="S166">
        <v>1</v>
      </c>
    </row>
    <row r="167" spans="1:19">
      <c r="A167" s="80"/>
      <c r="B167" s="65"/>
      <c r="C167" s="65"/>
      <c r="D167" s="81"/>
      <c r="E167" s="81"/>
      <c r="F167" s="67"/>
      <c r="G167" s="66"/>
      <c r="H167" s="81"/>
      <c r="I167" s="65"/>
      <c r="J167" s="17" t="str">
        <f t="shared" si="10"/>
        <v/>
      </c>
      <c r="L167" s="65">
        <f t="shared" si="11"/>
        <v>16711935</v>
      </c>
      <c r="N167" s="65">
        <v>1</v>
      </c>
      <c r="O167" s="65"/>
      <c r="P167" s="65"/>
      <c r="Q167" s="65"/>
      <c r="R167">
        <v>0</v>
      </c>
      <c r="S167">
        <v>1</v>
      </c>
    </row>
    <row r="168" spans="1:19">
      <c r="A168" s="80"/>
      <c r="B168" s="65"/>
      <c r="C168" s="65"/>
      <c r="D168" s="81"/>
      <c r="E168" s="81"/>
      <c r="F168" s="67"/>
      <c r="G168" s="66"/>
      <c r="H168" s="81"/>
      <c r="I168" s="65"/>
      <c r="J168" s="17" t="str">
        <f t="shared" si="10"/>
        <v/>
      </c>
      <c r="L168" s="65">
        <f t="shared" si="11"/>
        <v>16711935</v>
      </c>
      <c r="N168" s="65">
        <v>1</v>
      </c>
      <c r="O168" s="65"/>
      <c r="P168" s="65"/>
      <c r="Q168" s="65"/>
      <c r="R168">
        <v>0</v>
      </c>
      <c r="S168">
        <v>1</v>
      </c>
    </row>
    <row r="169" spans="1:19">
      <c r="A169" s="80"/>
      <c r="B169" s="65"/>
      <c r="C169" s="65"/>
      <c r="D169" s="81"/>
      <c r="E169" s="81"/>
      <c r="F169" s="67"/>
      <c r="G169" s="66"/>
      <c r="H169" s="81"/>
      <c r="I169" s="65"/>
      <c r="J169" s="17" t="str">
        <f t="shared" si="10"/>
        <v/>
      </c>
      <c r="L169" s="65">
        <f t="shared" si="11"/>
        <v>16711935</v>
      </c>
      <c r="N169" s="65">
        <v>1</v>
      </c>
      <c r="O169" s="65"/>
      <c r="P169" s="65"/>
      <c r="Q169" s="65"/>
      <c r="R169">
        <v>0</v>
      </c>
      <c r="S169">
        <v>1</v>
      </c>
    </row>
    <row r="170" spans="1:19">
      <c r="A170" s="80"/>
      <c r="B170" s="65"/>
      <c r="C170" s="65"/>
      <c r="D170" s="81"/>
      <c r="E170" s="81"/>
      <c r="F170" s="67"/>
      <c r="G170" s="66"/>
      <c r="H170" s="81"/>
      <c r="I170" s="65"/>
      <c r="J170" s="17" t="str">
        <f t="shared" si="10"/>
        <v/>
      </c>
      <c r="L170" s="65">
        <f t="shared" si="11"/>
        <v>16711935</v>
      </c>
      <c r="N170" s="65">
        <v>1</v>
      </c>
      <c r="O170" s="65"/>
      <c r="P170" s="65"/>
      <c r="Q170" s="65"/>
      <c r="R170">
        <v>0</v>
      </c>
      <c r="S170">
        <v>1</v>
      </c>
    </row>
    <row r="171" spans="1:19">
      <c r="A171" s="80"/>
      <c r="B171" s="65"/>
      <c r="C171" s="65"/>
      <c r="D171" s="81"/>
      <c r="E171" s="81"/>
      <c r="F171" s="67"/>
      <c r="G171" s="66"/>
      <c r="H171" s="81"/>
      <c r="I171" s="65"/>
      <c r="J171" s="17" t="str">
        <f t="shared" si="10"/>
        <v/>
      </c>
      <c r="L171" s="65">
        <f t="shared" si="11"/>
        <v>16711935</v>
      </c>
      <c r="N171" s="65">
        <v>1</v>
      </c>
      <c r="O171" s="65"/>
      <c r="P171" s="65"/>
      <c r="Q171" s="65"/>
      <c r="R171">
        <v>0</v>
      </c>
      <c r="S171">
        <v>1</v>
      </c>
    </row>
    <row r="172" spans="1:19">
      <c r="A172" s="80"/>
      <c r="B172" s="65"/>
      <c r="C172" s="65"/>
      <c r="D172" s="81"/>
      <c r="E172" s="81"/>
      <c r="F172" s="67"/>
      <c r="G172" s="66"/>
      <c r="H172" s="81"/>
      <c r="I172" s="65"/>
      <c r="J172" s="17" t="str">
        <f t="shared" si="10"/>
        <v/>
      </c>
      <c r="L172" s="65">
        <f t="shared" si="11"/>
        <v>16711935</v>
      </c>
      <c r="N172" s="65">
        <v>1</v>
      </c>
      <c r="O172" s="65"/>
      <c r="P172" s="65"/>
      <c r="Q172" s="65"/>
      <c r="R172">
        <v>0</v>
      </c>
      <c r="S172">
        <v>1</v>
      </c>
    </row>
    <row r="173" spans="1:19">
      <c r="A173" s="80"/>
      <c r="B173" s="65"/>
      <c r="C173" s="65"/>
      <c r="D173" s="81"/>
      <c r="E173" s="81"/>
      <c r="F173" s="67"/>
      <c r="G173" s="66"/>
      <c r="H173" s="81"/>
      <c r="I173" s="65"/>
      <c r="J173" s="17" t="str">
        <f t="shared" si="10"/>
        <v/>
      </c>
      <c r="L173" s="65">
        <f t="shared" si="11"/>
        <v>16711935</v>
      </c>
      <c r="N173" s="65">
        <v>1</v>
      </c>
      <c r="O173" s="65"/>
      <c r="P173" s="65"/>
      <c r="Q173" s="65"/>
      <c r="R173">
        <v>0</v>
      </c>
      <c r="S173">
        <v>1</v>
      </c>
    </row>
    <row r="174" spans="1:19">
      <c r="A174" s="80"/>
      <c r="B174" s="65"/>
      <c r="C174" s="65"/>
      <c r="D174" s="81"/>
      <c r="E174" s="81"/>
      <c r="F174" s="67"/>
      <c r="G174" s="66"/>
      <c r="H174" s="81"/>
      <c r="I174" s="65"/>
      <c r="J174" s="17" t="str">
        <f t="shared" si="10"/>
        <v/>
      </c>
      <c r="L174" s="65">
        <f t="shared" si="11"/>
        <v>16711935</v>
      </c>
      <c r="N174" s="65">
        <v>1</v>
      </c>
      <c r="O174" s="65"/>
      <c r="P174" s="65"/>
      <c r="Q174" s="65"/>
      <c r="R174">
        <v>0</v>
      </c>
      <c r="S174">
        <v>1</v>
      </c>
    </row>
    <row r="175" spans="1:19">
      <c r="A175" s="80"/>
      <c r="B175" s="65"/>
      <c r="C175" s="65"/>
      <c r="D175" s="81"/>
      <c r="E175" s="81"/>
      <c r="F175" s="67"/>
      <c r="G175" s="66"/>
      <c r="H175" s="81"/>
      <c r="I175" s="65"/>
      <c r="J175" s="17" t="str">
        <f t="shared" si="10"/>
        <v/>
      </c>
      <c r="L175" s="65">
        <f t="shared" si="11"/>
        <v>16711935</v>
      </c>
      <c r="N175" s="65">
        <v>1</v>
      </c>
      <c r="O175" s="65"/>
      <c r="P175" s="65"/>
      <c r="Q175" s="65"/>
      <c r="R175">
        <v>0</v>
      </c>
      <c r="S175">
        <v>1</v>
      </c>
    </row>
    <row r="176" spans="1:19">
      <c r="A176" s="80"/>
      <c r="B176" s="65"/>
      <c r="C176" s="65"/>
      <c r="D176" s="81"/>
      <c r="E176" s="81"/>
      <c r="F176" s="67"/>
      <c r="G176" s="66"/>
      <c r="H176" s="81"/>
      <c r="I176" s="65"/>
      <c r="J176" s="17" t="str">
        <f t="shared" si="10"/>
        <v/>
      </c>
      <c r="L176" s="65">
        <f t="shared" si="11"/>
        <v>16711935</v>
      </c>
      <c r="N176" s="65">
        <v>1</v>
      </c>
      <c r="O176" s="65"/>
      <c r="P176" s="65"/>
      <c r="Q176" s="65"/>
      <c r="R176">
        <v>0</v>
      </c>
      <c r="S176">
        <v>1</v>
      </c>
    </row>
    <row r="177" spans="1:19">
      <c r="A177" s="80"/>
      <c r="B177" s="65"/>
      <c r="C177" s="65"/>
      <c r="D177" s="81"/>
      <c r="E177" s="81"/>
      <c r="F177" s="67"/>
      <c r="G177" s="66"/>
      <c r="H177" s="81"/>
      <c r="I177" s="65"/>
      <c r="J177" s="17" t="str">
        <f t="shared" si="10"/>
        <v/>
      </c>
      <c r="L177" s="65">
        <f t="shared" si="11"/>
        <v>16711935</v>
      </c>
      <c r="N177" s="65">
        <v>1</v>
      </c>
      <c r="O177" s="65"/>
      <c r="P177" s="65"/>
      <c r="Q177" s="65"/>
      <c r="R177">
        <v>0</v>
      </c>
      <c r="S177">
        <v>1</v>
      </c>
    </row>
    <row r="178" spans="1:19">
      <c r="A178" s="80"/>
      <c r="B178" s="65"/>
      <c r="C178" s="65"/>
      <c r="D178" s="81"/>
      <c r="E178" s="81"/>
      <c r="F178" s="67"/>
      <c r="G178" s="66"/>
      <c r="H178" s="81"/>
      <c r="I178" s="65"/>
      <c r="J178" s="17" t="str">
        <f t="shared" si="10"/>
        <v/>
      </c>
      <c r="L178" s="65">
        <f t="shared" si="11"/>
        <v>16711935</v>
      </c>
      <c r="N178" s="65">
        <v>1</v>
      </c>
      <c r="O178" s="65"/>
      <c r="P178" s="65"/>
      <c r="Q178" s="65"/>
      <c r="R178">
        <v>0</v>
      </c>
      <c r="S178">
        <v>1</v>
      </c>
    </row>
    <row r="179" spans="1:19">
      <c r="A179" s="80"/>
      <c r="B179" s="65"/>
      <c r="C179" s="65"/>
      <c r="D179" s="81"/>
      <c r="E179" s="81"/>
      <c r="F179" s="67"/>
      <c r="G179" s="66"/>
      <c r="H179" s="81"/>
      <c r="I179" s="65"/>
      <c r="J179" s="17" t="str">
        <f t="shared" si="10"/>
        <v/>
      </c>
      <c r="L179" s="65">
        <f t="shared" si="11"/>
        <v>16711935</v>
      </c>
      <c r="N179" s="65">
        <v>1</v>
      </c>
      <c r="O179" s="65"/>
      <c r="P179" s="65"/>
      <c r="Q179" s="65"/>
      <c r="R179">
        <v>0</v>
      </c>
      <c r="S179">
        <v>1</v>
      </c>
    </row>
    <row r="180" spans="1:19">
      <c r="A180" s="80"/>
      <c r="B180" s="65"/>
      <c r="C180" s="65"/>
      <c r="D180" s="81"/>
      <c r="E180" s="81"/>
      <c r="F180" s="67"/>
      <c r="G180" s="66"/>
      <c r="H180" s="81"/>
      <c r="I180" s="65"/>
      <c r="J180" s="17" t="str">
        <f t="shared" si="10"/>
        <v/>
      </c>
      <c r="L180" s="65">
        <f t="shared" si="11"/>
        <v>16711935</v>
      </c>
      <c r="N180" s="65">
        <v>1</v>
      </c>
      <c r="O180" s="65"/>
      <c r="P180" s="65"/>
      <c r="Q180" s="65"/>
      <c r="R180">
        <v>0</v>
      </c>
      <c r="S180">
        <v>1</v>
      </c>
    </row>
    <row r="181" spans="1:19">
      <c r="A181" s="80"/>
      <c r="B181" s="65"/>
      <c r="C181" s="65"/>
      <c r="D181" s="81"/>
      <c r="E181" s="81"/>
      <c r="F181" s="67"/>
      <c r="G181" s="66"/>
      <c r="H181" s="81"/>
      <c r="I181" s="65"/>
      <c r="J181" s="17" t="str">
        <f t="shared" si="10"/>
        <v/>
      </c>
      <c r="L181" s="65">
        <f t="shared" si="11"/>
        <v>16711935</v>
      </c>
      <c r="N181" s="65">
        <v>1</v>
      </c>
      <c r="O181" s="65"/>
      <c r="P181" s="65"/>
      <c r="Q181" s="65"/>
      <c r="R181">
        <v>0</v>
      </c>
      <c r="S181">
        <v>1</v>
      </c>
    </row>
    <row r="182" spans="1:19">
      <c r="A182" s="80"/>
      <c r="B182" s="65"/>
      <c r="C182" s="65"/>
      <c r="D182" s="81"/>
      <c r="E182" s="81"/>
      <c r="F182" s="67"/>
      <c r="G182" s="66"/>
      <c r="H182" s="81"/>
      <c r="I182" s="65"/>
      <c r="J182" s="17" t="str">
        <f t="shared" si="10"/>
        <v/>
      </c>
      <c r="L182" s="65">
        <f t="shared" si="11"/>
        <v>16711935</v>
      </c>
      <c r="N182" s="65">
        <v>1</v>
      </c>
      <c r="O182" s="65"/>
      <c r="P182" s="65"/>
      <c r="Q182" s="65"/>
      <c r="R182">
        <v>0</v>
      </c>
      <c r="S182">
        <v>1</v>
      </c>
    </row>
    <row r="183" spans="1:19">
      <c r="A183" s="80"/>
      <c r="B183" s="65"/>
      <c r="C183" s="65"/>
      <c r="D183" s="81"/>
      <c r="E183" s="81"/>
      <c r="F183" s="67"/>
      <c r="G183" s="66"/>
      <c r="H183" s="81"/>
      <c r="I183" s="65"/>
      <c r="J183" s="17" t="str">
        <f t="shared" si="10"/>
        <v/>
      </c>
      <c r="L183" s="65">
        <f t="shared" si="11"/>
        <v>16711935</v>
      </c>
      <c r="N183" s="65">
        <v>1</v>
      </c>
      <c r="O183" s="65"/>
      <c r="P183" s="65"/>
      <c r="Q183" s="65"/>
      <c r="R183">
        <v>0</v>
      </c>
      <c r="S183">
        <v>1</v>
      </c>
    </row>
    <row r="184" spans="1:19">
      <c r="A184" s="80"/>
      <c r="B184" s="65"/>
      <c r="C184" s="65"/>
      <c r="D184" s="81"/>
      <c r="E184" s="81"/>
      <c r="F184" s="67"/>
      <c r="G184" s="66"/>
      <c r="H184" s="81"/>
      <c r="I184" s="65"/>
      <c r="J184" s="17" t="str">
        <f t="shared" si="10"/>
        <v/>
      </c>
      <c r="L184" s="65">
        <f t="shared" si="11"/>
        <v>16711935</v>
      </c>
      <c r="N184" s="65">
        <v>1</v>
      </c>
      <c r="O184" s="65"/>
      <c r="P184" s="65"/>
      <c r="Q184" s="65"/>
      <c r="R184">
        <v>0</v>
      </c>
      <c r="S184">
        <v>1</v>
      </c>
    </row>
    <row r="185" spans="1:19">
      <c r="A185" s="80"/>
      <c r="B185" s="65"/>
      <c r="C185" s="65"/>
      <c r="D185" s="81"/>
      <c r="E185" s="81"/>
      <c r="F185" s="67"/>
      <c r="G185" s="66"/>
      <c r="H185" s="81"/>
      <c r="I185" s="65"/>
      <c r="J185" s="17" t="str">
        <f t="shared" si="10"/>
        <v/>
      </c>
      <c r="L185" s="65">
        <f t="shared" si="11"/>
        <v>16711935</v>
      </c>
      <c r="N185" s="65">
        <v>1</v>
      </c>
      <c r="O185" s="65"/>
      <c r="P185" s="65"/>
      <c r="Q185" s="65"/>
      <c r="R185">
        <v>0</v>
      </c>
      <c r="S185">
        <v>1</v>
      </c>
    </row>
    <row r="186" spans="1:19">
      <c r="A186" s="80"/>
      <c r="B186" s="65"/>
      <c r="C186" s="65"/>
      <c r="D186" s="81"/>
      <c r="E186" s="81"/>
      <c r="F186" s="67"/>
      <c r="G186" s="66"/>
      <c r="H186" s="81"/>
      <c r="I186" s="65"/>
      <c r="J186" s="17" t="str">
        <f t="shared" si="10"/>
        <v/>
      </c>
      <c r="L186" s="65">
        <f t="shared" si="11"/>
        <v>16711935</v>
      </c>
      <c r="N186" s="65">
        <v>1</v>
      </c>
      <c r="O186" s="65"/>
      <c r="P186" s="65"/>
      <c r="Q186" s="65"/>
      <c r="R186">
        <v>0</v>
      </c>
      <c r="S186">
        <v>1</v>
      </c>
    </row>
    <row r="187" spans="1:19">
      <c r="A187" s="80"/>
      <c r="B187" s="65"/>
      <c r="C187" s="65"/>
      <c r="D187" s="81"/>
      <c r="E187" s="81"/>
      <c r="F187" s="67"/>
      <c r="G187" s="66"/>
      <c r="H187" s="81"/>
      <c r="I187" s="65"/>
      <c r="J187" s="17" t="str">
        <f t="shared" si="10"/>
        <v/>
      </c>
      <c r="L187" s="65">
        <f t="shared" si="11"/>
        <v>16711935</v>
      </c>
      <c r="N187" s="65">
        <v>1</v>
      </c>
      <c r="O187" s="65"/>
      <c r="P187" s="65"/>
      <c r="Q187" s="65"/>
      <c r="R187">
        <v>0</v>
      </c>
      <c r="S187">
        <v>1</v>
      </c>
    </row>
    <row r="188" spans="1:19">
      <c r="A188" s="80"/>
      <c r="B188" s="65"/>
      <c r="C188" s="65"/>
      <c r="D188" s="81"/>
      <c r="E188" s="81"/>
      <c r="F188" s="67"/>
      <c r="G188" s="66"/>
      <c r="H188" s="81"/>
      <c r="I188" s="65"/>
      <c r="J188" s="17" t="str">
        <f t="shared" si="10"/>
        <v/>
      </c>
      <c r="L188" s="65">
        <f t="shared" si="11"/>
        <v>16711935</v>
      </c>
      <c r="N188" s="65">
        <v>1</v>
      </c>
      <c r="O188" s="65"/>
      <c r="P188" s="65"/>
      <c r="Q188" s="65"/>
      <c r="R188">
        <v>0</v>
      </c>
      <c r="S188">
        <v>1</v>
      </c>
    </row>
    <row r="189" spans="1:19">
      <c r="A189" s="80"/>
      <c r="B189" s="65"/>
      <c r="C189" s="65"/>
      <c r="D189" s="81"/>
      <c r="E189" s="81"/>
      <c r="F189" s="67"/>
      <c r="G189" s="66"/>
      <c r="H189" s="81"/>
      <c r="I189" s="65"/>
      <c r="J189" s="17" t="str">
        <f t="shared" si="10"/>
        <v/>
      </c>
      <c r="L189" s="65">
        <f t="shared" si="11"/>
        <v>16711935</v>
      </c>
      <c r="N189" s="65">
        <v>1</v>
      </c>
      <c r="O189" s="65"/>
      <c r="P189" s="65"/>
      <c r="Q189" s="65"/>
      <c r="R189">
        <v>0</v>
      </c>
      <c r="S189">
        <v>1</v>
      </c>
    </row>
    <row r="190" spans="1:19">
      <c r="A190" s="80"/>
      <c r="B190" s="65"/>
      <c r="C190" s="65"/>
      <c r="D190" s="81"/>
      <c r="E190" s="81"/>
      <c r="F190" s="67"/>
      <c r="G190" s="66"/>
      <c r="H190" s="81"/>
      <c r="I190" s="65"/>
      <c r="J190" s="17" t="str">
        <f t="shared" si="10"/>
        <v/>
      </c>
      <c r="L190" s="65">
        <f t="shared" si="11"/>
        <v>16711935</v>
      </c>
      <c r="N190" s="65">
        <v>1</v>
      </c>
      <c r="O190" s="65"/>
      <c r="P190" s="65"/>
      <c r="Q190" s="65"/>
      <c r="R190">
        <v>0</v>
      </c>
      <c r="S190">
        <v>1</v>
      </c>
    </row>
    <row r="191" spans="1:19">
      <c r="A191" s="80"/>
      <c r="B191" s="65"/>
      <c r="C191" s="65"/>
      <c r="D191" s="81"/>
      <c r="E191" s="81"/>
      <c r="F191" s="67"/>
      <c r="G191" s="66"/>
      <c r="H191" s="81"/>
      <c r="I191" s="65"/>
      <c r="J191" s="17" t="str">
        <f t="shared" si="10"/>
        <v/>
      </c>
      <c r="L191" s="65">
        <f t="shared" si="11"/>
        <v>16711935</v>
      </c>
      <c r="N191" s="65">
        <v>1</v>
      </c>
      <c r="O191" s="65"/>
      <c r="P191" s="65"/>
      <c r="Q191" s="65"/>
      <c r="R191">
        <v>0</v>
      </c>
      <c r="S191">
        <v>1</v>
      </c>
    </row>
    <row r="192" spans="1:19">
      <c r="A192" s="80"/>
      <c r="B192" s="65"/>
      <c r="C192" s="65"/>
      <c r="D192" s="81"/>
      <c r="E192" s="81"/>
      <c r="F192" s="67"/>
      <c r="G192" s="66"/>
      <c r="H192" s="81"/>
      <c r="I192" s="65"/>
      <c r="J192" s="17" t="str">
        <f t="shared" si="10"/>
        <v/>
      </c>
      <c r="L192" s="65">
        <f t="shared" si="11"/>
        <v>16711935</v>
      </c>
      <c r="N192" s="65">
        <v>1</v>
      </c>
      <c r="O192" s="65"/>
      <c r="P192" s="65"/>
      <c r="Q192" s="65"/>
      <c r="R192">
        <v>0</v>
      </c>
      <c r="S192">
        <v>1</v>
      </c>
    </row>
    <row r="193" spans="1:19">
      <c r="A193" s="80"/>
      <c r="B193" s="65"/>
      <c r="C193" s="65"/>
      <c r="D193" s="81"/>
      <c r="E193" s="81"/>
      <c r="F193" s="67"/>
      <c r="G193" s="66"/>
      <c r="H193" s="81"/>
      <c r="I193" s="65"/>
      <c r="J193" s="17" t="str">
        <f t="shared" si="10"/>
        <v/>
      </c>
      <c r="L193" s="65">
        <f t="shared" si="11"/>
        <v>16711935</v>
      </c>
      <c r="N193" s="65">
        <v>1</v>
      </c>
      <c r="O193" s="65"/>
      <c r="P193" s="65"/>
      <c r="Q193" s="65"/>
      <c r="R193">
        <v>0</v>
      </c>
      <c r="S193">
        <v>1</v>
      </c>
    </row>
    <row r="194" spans="1:19">
      <c r="A194" s="80"/>
      <c r="B194" s="65"/>
      <c r="C194" s="65"/>
      <c r="D194" s="81"/>
      <c r="E194" s="81"/>
      <c r="F194" s="67"/>
      <c r="G194" s="66"/>
      <c r="H194" s="81"/>
      <c r="I194" s="65"/>
      <c r="J194" s="17" t="str">
        <f t="shared" si="10"/>
        <v/>
      </c>
      <c r="L194" s="65">
        <f t="shared" si="11"/>
        <v>16711935</v>
      </c>
      <c r="N194" s="65">
        <v>1</v>
      </c>
      <c r="O194" s="65"/>
      <c r="P194" s="65"/>
      <c r="Q194" s="65"/>
      <c r="R194">
        <v>0</v>
      </c>
      <c r="S194">
        <v>1</v>
      </c>
    </row>
    <row r="195" spans="1:19">
      <c r="A195" s="80"/>
      <c r="B195" s="65"/>
      <c r="C195" s="65"/>
      <c r="D195" s="81"/>
      <c r="E195" s="81"/>
      <c r="F195" s="67"/>
      <c r="G195" s="66"/>
      <c r="H195" s="81"/>
      <c r="I195" s="65"/>
      <c r="J195" s="17" t="str">
        <f t="shared" si="10"/>
        <v/>
      </c>
      <c r="L195" s="65">
        <f t="shared" si="11"/>
        <v>16711935</v>
      </c>
      <c r="N195" s="65">
        <v>1</v>
      </c>
      <c r="O195" s="65"/>
      <c r="P195" s="65"/>
      <c r="Q195" s="65"/>
      <c r="R195">
        <v>0</v>
      </c>
      <c r="S195">
        <v>1</v>
      </c>
    </row>
    <row r="196" spans="1:19">
      <c r="A196" s="80"/>
      <c r="B196" s="65"/>
      <c r="C196" s="65"/>
      <c r="D196" s="81"/>
      <c r="E196" s="81"/>
      <c r="F196" s="67"/>
      <c r="G196" s="66"/>
      <c r="H196" s="81"/>
      <c r="I196" s="65"/>
      <c r="J196" s="17" t="str">
        <f t="shared" si="10"/>
        <v/>
      </c>
      <c r="L196" s="65">
        <f t="shared" si="11"/>
        <v>16711935</v>
      </c>
      <c r="N196" s="65">
        <v>1</v>
      </c>
      <c r="O196" s="65"/>
      <c r="P196" s="65"/>
      <c r="Q196" s="65"/>
      <c r="R196">
        <v>0</v>
      </c>
      <c r="S196">
        <v>1</v>
      </c>
    </row>
    <row r="197" spans="1:19">
      <c r="A197" s="80"/>
      <c r="B197" s="65"/>
      <c r="C197" s="65"/>
      <c r="D197" s="81"/>
      <c r="E197" s="81"/>
      <c r="F197" s="67"/>
      <c r="G197" s="66"/>
      <c r="H197" s="81"/>
      <c r="I197" s="65"/>
      <c r="J197" s="17" t="str">
        <f t="shared" si="10"/>
        <v/>
      </c>
      <c r="L197" s="65">
        <f t="shared" si="11"/>
        <v>16711935</v>
      </c>
      <c r="N197" s="65">
        <v>1</v>
      </c>
      <c r="O197" s="65"/>
      <c r="P197" s="65"/>
      <c r="Q197" s="65"/>
      <c r="R197">
        <v>0</v>
      </c>
      <c r="S197">
        <v>1</v>
      </c>
    </row>
    <row r="198" spans="1:19">
      <c r="A198" s="80"/>
      <c r="B198" s="65"/>
      <c r="C198" s="65"/>
      <c r="D198" s="81"/>
      <c r="E198" s="81"/>
      <c r="F198" s="67"/>
      <c r="G198" s="66"/>
      <c r="H198" s="81"/>
      <c r="I198" s="65"/>
      <c r="J198" s="17" t="str">
        <f t="shared" ref="J198:J261" si="12">IF(LEN(B198)&gt;0,SUBSTITUTE(B198, "'", " ")&amp;" - "&amp;SUBSTITUTE(C198, "'"," ")&amp;";"&amp;A198&amp;";"&amp;N198&amp;";"&amp;O198&amp;";"&amp;P198&amp;";"&amp;L198&amp;";"&amp;E198&amp;";"&amp;F198&amp;";"&amp;Q198&amp;";"&amp;IF(LEN(G198)=0,"1.000",IFERROR(REPLACE(FIXED(G198,3,1),2,1,"."),))&amp;";"&amp;H198&amp;";"&amp;I198&amp;";"&amp;R198&amp;";"&amp;S198&amp;";","")</f>
        <v/>
      </c>
      <c r="L198" s="65">
        <f t="shared" si="11"/>
        <v>16711935</v>
      </c>
      <c r="N198" s="65">
        <v>1</v>
      </c>
      <c r="O198" s="65"/>
      <c r="P198" s="65"/>
      <c r="Q198" s="65"/>
      <c r="R198">
        <v>0</v>
      </c>
      <c r="S198">
        <v>1</v>
      </c>
    </row>
    <row r="199" spans="1:19">
      <c r="A199" s="80"/>
      <c r="B199" s="65"/>
      <c r="C199" s="65"/>
      <c r="D199" s="81"/>
      <c r="E199" s="81"/>
      <c r="F199" s="67"/>
      <c r="G199" s="66"/>
      <c r="H199" s="81"/>
      <c r="I199" s="65"/>
      <c r="J199" s="17" t="str">
        <f t="shared" si="12"/>
        <v/>
      </c>
      <c r="L199" s="65">
        <f t="shared" si="11"/>
        <v>16711935</v>
      </c>
      <c r="N199" s="65">
        <v>1</v>
      </c>
      <c r="O199" s="65"/>
      <c r="P199" s="65"/>
      <c r="Q199" s="65"/>
      <c r="R199">
        <v>0</v>
      </c>
      <c r="S199">
        <v>1</v>
      </c>
    </row>
    <row r="200" spans="1:19">
      <c r="A200" s="80"/>
      <c r="B200" s="65"/>
      <c r="C200" s="65"/>
      <c r="D200" s="81"/>
      <c r="E200" s="81"/>
      <c r="F200" s="67"/>
      <c r="G200" s="66"/>
      <c r="H200" s="81"/>
      <c r="I200" s="65"/>
      <c r="J200" s="17" t="str">
        <f t="shared" si="12"/>
        <v/>
      </c>
      <c r="L200" s="65">
        <f t="shared" ref="L200:L263" si="13">IFERROR(VLOOKUP(D200,ColorsTable,2,FALSE),16711935)</f>
        <v>16711935</v>
      </c>
      <c r="N200" s="65">
        <v>1</v>
      </c>
      <c r="O200" s="65"/>
      <c r="P200" s="65"/>
      <c r="Q200" s="65"/>
      <c r="R200">
        <v>0</v>
      </c>
      <c r="S200">
        <v>1</v>
      </c>
    </row>
    <row r="201" spans="1:19">
      <c r="A201" s="80"/>
      <c r="B201" s="65"/>
      <c r="C201" s="65"/>
      <c r="D201" s="81"/>
      <c r="E201" s="81"/>
      <c r="F201" s="67"/>
      <c r="G201" s="66"/>
      <c r="H201" s="81"/>
      <c r="I201" s="65"/>
      <c r="J201" s="17" t="str">
        <f t="shared" si="12"/>
        <v/>
      </c>
      <c r="L201" s="65">
        <f t="shared" si="13"/>
        <v>16711935</v>
      </c>
      <c r="N201" s="65">
        <v>1</v>
      </c>
      <c r="O201" s="65"/>
      <c r="P201" s="65"/>
      <c r="Q201" s="65"/>
      <c r="R201">
        <v>0</v>
      </c>
      <c r="S201">
        <v>1</v>
      </c>
    </row>
    <row r="202" spans="1:19">
      <c r="A202" s="80"/>
      <c r="B202" s="65"/>
      <c r="C202" s="65"/>
      <c r="D202" s="81"/>
      <c r="E202" s="81"/>
      <c r="F202" s="67"/>
      <c r="G202" s="66"/>
      <c r="H202" s="81"/>
      <c r="I202" s="65"/>
      <c r="J202" s="17" t="str">
        <f t="shared" si="12"/>
        <v/>
      </c>
      <c r="L202" s="65">
        <f t="shared" si="13"/>
        <v>16711935</v>
      </c>
      <c r="N202" s="65">
        <v>1</v>
      </c>
      <c r="O202" s="65"/>
      <c r="P202" s="65"/>
      <c r="Q202" s="65"/>
      <c r="R202">
        <v>0</v>
      </c>
      <c r="S202">
        <v>1</v>
      </c>
    </row>
    <row r="203" spans="1:19">
      <c r="A203" s="80"/>
      <c r="B203" s="65"/>
      <c r="C203" s="65"/>
      <c r="D203" s="81"/>
      <c r="E203" s="81"/>
      <c r="F203" s="67"/>
      <c r="G203" s="66"/>
      <c r="H203" s="81"/>
      <c r="I203" s="65"/>
      <c r="J203" s="17" t="str">
        <f t="shared" si="12"/>
        <v/>
      </c>
      <c r="L203" s="65">
        <f t="shared" si="13"/>
        <v>16711935</v>
      </c>
      <c r="N203" s="65">
        <v>1</v>
      </c>
      <c r="O203" s="65"/>
      <c r="P203" s="65"/>
      <c r="Q203" s="65"/>
      <c r="R203">
        <v>0</v>
      </c>
      <c r="S203">
        <v>1</v>
      </c>
    </row>
    <row r="204" spans="1:19">
      <c r="A204" s="80"/>
      <c r="B204" s="65"/>
      <c r="C204" s="65"/>
      <c r="D204" s="81"/>
      <c r="E204" s="81"/>
      <c r="F204" s="67"/>
      <c r="G204" s="66"/>
      <c r="H204" s="81"/>
      <c r="I204" s="65"/>
      <c r="J204" s="17" t="str">
        <f t="shared" si="12"/>
        <v/>
      </c>
      <c r="L204" s="65">
        <f t="shared" si="13"/>
        <v>16711935</v>
      </c>
      <c r="N204" s="65">
        <v>1</v>
      </c>
      <c r="O204" s="65"/>
      <c r="P204" s="65"/>
      <c r="Q204" s="65"/>
      <c r="R204">
        <v>0</v>
      </c>
      <c r="S204">
        <v>1</v>
      </c>
    </row>
    <row r="205" spans="1:19">
      <c r="A205" s="80"/>
      <c r="B205" s="65"/>
      <c r="C205" s="65"/>
      <c r="D205" s="81"/>
      <c r="E205" s="81"/>
      <c r="F205" s="67"/>
      <c r="G205" s="66"/>
      <c r="H205" s="81"/>
      <c r="I205" s="65"/>
      <c r="J205" s="17" t="str">
        <f t="shared" si="12"/>
        <v/>
      </c>
      <c r="L205" s="65">
        <f t="shared" si="13"/>
        <v>16711935</v>
      </c>
      <c r="N205" s="65">
        <v>1</v>
      </c>
      <c r="O205" s="65"/>
      <c r="P205" s="65"/>
      <c r="Q205" s="65"/>
      <c r="R205">
        <v>0</v>
      </c>
      <c r="S205">
        <v>1</v>
      </c>
    </row>
    <row r="206" spans="1:19">
      <c r="A206" s="80"/>
      <c r="B206" s="65"/>
      <c r="C206" s="65"/>
      <c r="D206" s="81"/>
      <c r="E206" s="81"/>
      <c r="F206" s="67"/>
      <c r="G206" s="66"/>
      <c r="H206" s="81"/>
      <c r="I206" s="65"/>
      <c r="J206" s="17" t="str">
        <f t="shared" si="12"/>
        <v/>
      </c>
      <c r="L206" s="65">
        <f t="shared" si="13"/>
        <v>16711935</v>
      </c>
      <c r="N206" s="65">
        <v>1</v>
      </c>
      <c r="O206" s="65"/>
      <c r="P206" s="65"/>
      <c r="Q206" s="65"/>
      <c r="R206">
        <v>0</v>
      </c>
      <c r="S206">
        <v>1</v>
      </c>
    </row>
    <row r="207" spans="1:19">
      <c r="A207" s="80"/>
      <c r="B207" s="65"/>
      <c r="C207" s="65"/>
      <c r="D207" s="81"/>
      <c r="E207" s="81"/>
      <c r="F207" s="67"/>
      <c r="G207" s="66"/>
      <c r="H207" s="81"/>
      <c r="I207" s="65"/>
      <c r="J207" s="17" t="str">
        <f t="shared" si="12"/>
        <v/>
      </c>
      <c r="L207" s="65">
        <f t="shared" si="13"/>
        <v>16711935</v>
      </c>
      <c r="N207" s="65">
        <v>1</v>
      </c>
      <c r="O207" s="65"/>
      <c r="P207" s="65"/>
      <c r="Q207" s="65"/>
      <c r="R207">
        <v>0</v>
      </c>
      <c r="S207">
        <v>1</v>
      </c>
    </row>
    <row r="208" spans="1:19">
      <c r="A208" s="80"/>
      <c r="B208" s="65"/>
      <c r="C208" s="65"/>
      <c r="D208" s="81"/>
      <c r="E208" s="81"/>
      <c r="F208" s="67"/>
      <c r="G208" s="66"/>
      <c r="H208" s="81"/>
      <c r="I208" s="65"/>
      <c r="J208" s="17" t="str">
        <f t="shared" si="12"/>
        <v/>
      </c>
      <c r="L208" s="65">
        <f t="shared" si="13"/>
        <v>16711935</v>
      </c>
      <c r="N208" s="65">
        <v>1</v>
      </c>
      <c r="O208" s="65"/>
      <c r="P208" s="65"/>
      <c r="Q208" s="65"/>
      <c r="R208">
        <v>0</v>
      </c>
      <c r="S208">
        <v>1</v>
      </c>
    </row>
    <row r="209" spans="1:19">
      <c r="A209" s="80"/>
      <c r="B209" s="65"/>
      <c r="C209" s="65"/>
      <c r="D209" s="81"/>
      <c r="E209" s="81"/>
      <c r="F209" s="67"/>
      <c r="G209" s="66"/>
      <c r="H209" s="81"/>
      <c r="I209" s="65"/>
      <c r="J209" s="17" t="str">
        <f t="shared" si="12"/>
        <v/>
      </c>
      <c r="L209" s="65">
        <f t="shared" si="13"/>
        <v>16711935</v>
      </c>
      <c r="N209" s="65">
        <v>1</v>
      </c>
      <c r="O209" s="65"/>
      <c r="P209" s="65"/>
      <c r="Q209" s="65"/>
      <c r="R209">
        <v>0</v>
      </c>
      <c r="S209">
        <v>1</v>
      </c>
    </row>
    <row r="210" spans="1:19">
      <c r="A210" s="80"/>
      <c r="B210" s="65"/>
      <c r="C210" s="65"/>
      <c r="D210" s="81"/>
      <c r="E210" s="81"/>
      <c r="F210" s="67"/>
      <c r="G210" s="66"/>
      <c r="H210" s="81"/>
      <c r="I210" s="65"/>
      <c r="J210" s="17" t="str">
        <f t="shared" si="12"/>
        <v/>
      </c>
      <c r="L210" s="65">
        <f t="shared" si="13"/>
        <v>16711935</v>
      </c>
      <c r="N210" s="65">
        <v>1</v>
      </c>
      <c r="O210" s="65"/>
      <c r="P210" s="65"/>
      <c r="Q210" s="65"/>
      <c r="R210">
        <v>0</v>
      </c>
      <c r="S210">
        <v>1</v>
      </c>
    </row>
    <row r="211" spans="1:19">
      <c r="A211" s="80"/>
      <c r="B211" s="65"/>
      <c r="C211" s="65"/>
      <c r="D211" s="81"/>
      <c r="E211" s="81"/>
      <c r="F211" s="67"/>
      <c r="G211" s="66"/>
      <c r="H211" s="81"/>
      <c r="I211" s="65"/>
      <c r="J211" s="17" t="str">
        <f t="shared" si="12"/>
        <v/>
      </c>
      <c r="L211" s="65">
        <f t="shared" si="13"/>
        <v>16711935</v>
      </c>
      <c r="N211" s="65">
        <v>1</v>
      </c>
      <c r="O211" s="65"/>
      <c r="P211" s="65"/>
      <c r="Q211" s="65"/>
      <c r="R211">
        <v>0</v>
      </c>
      <c r="S211">
        <v>1</v>
      </c>
    </row>
    <row r="212" spans="1:19">
      <c r="A212" s="80"/>
      <c r="B212" s="65"/>
      <c r="C212" s="65"/>
      <c r="D212" s="81"/>
      <c r="E212" s="81"/>
      <c r="F212" s="67"/>
      <c r="G212" s="66"/>
      <c r="H212" s="81"/>
      <c r="I212" s="65"/>
      <c r="J212" s="17" t="str">
        <f t="shared" si="12"/>
        <v/>
      </c>
      <c r="L212" s="65">
        <f t="shared" si="13"/>
        <v>16711935</v>
      </c>
      <c r="N212" s="65">
        <v>1</v>
      </c>
      <c r="O212" s="65"/>
      <c r="P212" s="65"/>
      <c r="Q212" s="65"/>
      <c r="R212">
        <v>0</v>
      </c>
      <c r="S212">
        <v>1</v>
      </c>
    </row>
    <row r="213" spans="1:19">
      <c r="A213" s="80"/>
      <c r="B213" s="65"/>
      <c r="C213" s="65"/>
      <c r="D213" s="81"/>
      <c r="E213" s="81"/>
      <c r="F213" s="67"/>
      <c r="G213" s="66"/>
      <c r="H213" s="81"/>
      <c r="I213" s="65"/>
      <c r="J213" s="17" t="str">
        <f t="shared" si="12"/>
        <v/>
      </c>
      <c r="L213" s="65">
        <f t="shared" si="13"/>
        <v>16711935</v>
      </c>
      <c r="N213" s="65">
        <v>1</v>
      </c>
      <c r="O213" s="65"/>
      <c r="P213" s="65"/>
      <c r="Q213" s="65"/>
      <c r="R213">
        <v>0</v>
      </c>
      <c r="S213">
        <v>1</v>
      </c>
    </row>
    <row r="214" spans="1:19">
      <c r="A214" s="80"/>
      <c r="B214" s="65"/>
      <c r="C214" s="65"/>
      <c r="D214" s="81"/>
      <c r="E214" s="81"/>
      <c r="F214" s="67"/>
      <c r="G214" s="66"/>
      <c r="H214" s="81"/>
      <c r="I214" s="65"/>
      <c r="J214" s="17" t="str">
        <f t="shared" si="12"/>
        <v/>
      </c>
      <c r="L214" s="65">
        <f t="shared" si="13"/>
        <v>16711935</v>
      </c>
      <c r="N214" s="65">
        <v>1</v>
      </c>
      <c r="O214" s="65"/>
      <c r="P214" s="65"/>
      <c r="Q214" s="65"/>
      <c r="R214">
        <v>0</v>
      </c>
      <c r="S214">
        <v>1</v>
      </c>
    </row>
    <row r="215" spans="1:19">
      <c r="A215" s="80"/>
      <c r="B215" s="65"/>
      <c r="C215" s="65"/>
      <c r="D215" s="81"/>
      <c r="E215" s="81"/>
      <c r="F215" s="67"/>
      <c r="G215" s="66"/>
      <c r="H215" s="81"/>
      <c r="I215" s="65"/>
      <c r="J215" s="17" t="str">
        <f t="shared" si="12"/>
        <v/>
      </c>
      <c r="L215" s="65">
        <f t="shared" si="13"/>
        <v>16711935</v>
      </c>
      <c r="N215" s="65">
        <v>1</v>
      </c>
      <c r="O215" s="65"/>
      <c r="P215" s="65"/>
      <c r="Q215" s="65"/>
      <c r="R215">
        <v>0</v>
      </c>
      <c r="S215">
        <v>1</v>
      </c>
    </row>
    <row r="216" spans="1:19">
      <c r="A216" s="80"/>
      <c r="B216" s="65"/>
      <c r="C216" s="65"/>
      <c r="D216" s="81"/>
      <c r="E216" s="81"/>
      <c r="F216" s="67"/>
      <c r="G216" s="66"/>
      <c r="H216" s="81"/>
      <c r="I216" s="65"/>
      <c r="J216" s="17" t="str">
        <f t="shared" si="12"/>
        <v/>
      </c>
      <c r="L216" s="65">
        <f t="shared" si="13"/>
        <v>16711935</v>
      </c>
      <c r="N216" s="65">
        <v>1</v>
      </c>
      <c r="O216" s="65"/>
      <c r="P216" s="65"/>
      <c r="Q216" s="65"/>
      <c r="R216">
        <v>0</v>
      </c>
      <c r="S216">
        <v>1</v>
      </c>
    </row>
    <row r="217" spans="1:19">
      <c r="A217" s="80"/>
      <c r="B217" s="65"/>
      <c r="C217" s="65"/>
      <c r="D217" s="81"/>
      <c r="E217" s="81"/>
      <c r="F217" s="67"/>
      <c r="G217" s="66"/>
      <c r="H217" s="81"/>
      <c r="I217" s="65"/>
      <c r="J217" s="17" t="str">
        <f t="shared" si="12"/>
        <v/>
      </c>
      <c r="L217" s="65">
        <f t="shared" si="13"/>
        <v>16711935</v>
      </c>
      <c r="N217" s="65">
        <v>1</v>
      </c>
      <c r="O217" s="65"/>
      <c r="P217" s="65"/>
      <c r="Q217" s="65"/>
      <c r="R217">
        <v>0</v>
      </c>
      <c r="S217">
        <v>1</v>
      </c>
    </row>
    <row r="218" spans="1:19">
      <c r="A218" s="80"/>
      <c r="B218" s="65"/>
      <c r="C218" s="65"/>
      <c r="D218" s="81"/>
      <c r="E218" s="81"/>
      <c r="F218" s="67"/>
      <c r="G218" s="66"/>
      <c r="H218" s="81"/>
      <c r="I218" s="65"/>
      <c r="J218" s="17" t="str">
        <f t="shared" si="12"/>
        <v/>
      </c>
      <c r="L218" s="65">
        <f t="shared" si="13"/>
        <v>16711935</v>
      </c>
      <c r="N218" s="65">
        <v>1</v>
      </c>
      <c r="O218" s="65"/>
      <c r="P218" s="65"/>
      <c r="Q218" s="65"/>
      <c r="R218">
        <v>0</v>
      </c>
      <c r="S218">
        <v>1</v>
      </c>
    </row>
    <row r="219" spans="1:19">
      <c r="A219" s="80"/>
      <c r="B219" s="65"/>
      <c r="C219" s="65"/>
      <c r="D219" s="81"/>
      <c r="E219" s="81"/>
      <c r="F219" s="67"/>
      <c r="G219" s="66"/>
      <c r="H219" s="81"/>
      <c r="I219" s="65"/>
      <c r="J219" s="17" t="str">
        <f t="shared" si="12"/>
        <v/>
      </c>
      <c r="L219" s="65">
        <f t="shared" si="13"/>
        <v>16711935</v>
      </c>
      <c r="N219" s="65">
        <v>1</v>
      </c>
      <c r="O219" s="65"/>
      <c r="P219" s="65"/>
      <c r="Q219" s="65"/>
      <c r="R219">
        <v>0</v>
      </c>
      <c r="S219">
        <v>1</v>
      </c>
    </row>
    <row r="220" spans="1:19">
      <c r="A220" s="80"/>
      <c r="B220" s="65"/>
      <c r="C220" s="65"/>
      <c r="D220" s="81"/>
      <c r="E220" s="81"/>
      <c r="F220" s="67"/>
      <c r="G220" s="66"/>
      <c r="H220" s="81"/>
      <c r="I220" s="65"/>
      <c r="J220" s="17" t="str">
        <f t="shared" si="12"/>
        <v/>
      </c>
      <c r="L220" s="65">
        <f t="shared" si="13"/>
        <v>16711935</v>
      </c>
      <c r="N220" s="65">
        <v>1</v>
      </c>
      <c r="O220" s="65"/>
      <c r="P220" s="65"/>
      <c r="Q220" s="65"/>
      <c r="R220">
        <v>0</v>
      </c>
      <c r="S220">
        <v>1</v>
      </c>
    </row>
    <row r="221" spans="1:19">
      <c r="A221" s="80"/>
      <c r="B221" s="65"/>
      <c r="C221" s="65"/>
      <c r="D221" s="81"/>
      <c r="E221" s="81"/>
      <c r="F221" s="67"/>
      <c r="G221" s="66"/>
      <c r="H221" s="81"/>
      <c r="I221" s="65"/>
      <c r="J221" s="17" t="str">
        <f t="shared" si="12"/>
        <v/>
      </c>
      <c r="L221" s="65">
        <f t="shared" si="13"/>
        <v>16711935</v>
      </c>
      <c r="N221" s="65">
        <v>1</v>
      </c>
      <c r="O221" s="65"/>
      <c r="P221" s="65"/>
      <c r="Q221" s="65"/>
      <c r="R221">
        <v>0</v>
      </c>
      <c r="S221">
        <v>1</v>
      </c>
    </row>
    <row r="222" spans="1:19">
      <c r="A222" s="80"/>
      <c r="B222" s="65"/>
      <c r="C222" s="65"/>
      <c r="D222" s="81"/>
      <c r="E222" s="81"/>
      <c r="F222" s="67"/>
      <c r="G222" s="66"/>
      <c r="H222" s="81"/>
      <c r="I222" s="65"/>
      <c r="J222" s="17" t="str">
        <f t="shared" si="12"/>
        <v/>
      </c>
      <c r="L222" s="65">
        <f t="shared" si="13"/>
        <v>16711935</v>
      </c>
      <c r="N222" s="65">
        <v>1</v>
      </c>
      <c r="O222" s="65"/>
      <c r="P222" s="65"/>
      <c r="Q222" s="65"/>
      <c r="R222">
        <v>0</v>
      </c>
      <c r="S222">
        <v>1</v>
      </c>
    </row>
    <row r="223" spans="1:19">
      <c r="A223" s="80"/>
      <c r="B223" s="65"/>
      <c r="C223" s="65"/>
      <c r="D223" s="81"/>
      <c r="E223" s="81"/>
      <c r="F223" s="67"/>
      <c r="G223" s="66"/>
      <c r="H223" s="81"/>
      <c r="I223" s="65"/>
      <c r="J223" s="17" t="str">
        <f t="shared" si="12"/>
        <v/>
      </c>
      <c r="L223" s="65">
        <f t="shared" si="13"/>
        <v>16711935</v>
      </c>
      <c r="N223" s="65">
        <v>1</v>
      </c>
      <c r="O223" s="65"/>
      <c r="P223" s="65"/>
      <c r="Q223" s="65"/>
      <c r="R223">
        <v>0</v>
      </c>
      <c r="S223">
        <v>1</v>
      </c>
    </row>
    <row r="224" spans="1:19">
      <c r="A224" s="80"/>
      <c r="B224" s="65"/>
      <c r="C224" s="65"/>
      <c r="D224" s="81"/>
      <c r="E224" s="81"/>
      <c r="F224" s="67"/>
      <c r="G224" s="66"/>
      <c r="H224" s="81"/>
      <c r="I224" s="65"/>
      <c r="J224" s="17" t="str">
        <f t="shared" si="12"/>
        <v/>
      </c>
      <c r="L224" s="65">
        <f t="shared" si="13"/>
        <v>16711935</v>
      </c>
      <c r="N224" s="65">
        <v>1</v>
      </c>
      <c r="O224" s="65"/>
      <c r="P224" s="65"/>
      <c r="Q224" s="65"/>
      <c r="R224">
        <v>0</v>
      </c>
      <c r="S224">
        <v>1</v>
      </c>
    </row>
    <row r="225" spans="1:19">
      <c r="A225" s="80"/>
      <c r="B225" s="65"/>
      <c r="C225" s="65"/>
      <c r="D225" s="81"/>
      <c r="E225" s="81"/>
      <c r="F225" s="67"/>
      <c r="G225" s="66"/>
      <c r="H225" s="81"/>
      <c r="I225" s="65"/>
      <c r="J225" s="17" t="str">
        <f t="shared" si="12"/>
        <v/>
      </c>
      <c r="L225" s="65">
        <f t="shared" si="13"/>
        <v>16711935</v>
      </c>
      <c r="N225" s="65">
        <v>1</v>
      </c>
      <c r="O225" s="65"/>
      <c r="P225" s="65"/>
      <c r="Q225" s="65"/>
      <c r="R225">
        <v>0</v>
      </c>
      <c r="S225">
        <v>1</v>
      </c>
    </row>
    <row r="226" spans="1:19">
      <c r="A226" s="80"/>
      <c r="B226" s="65"/>
      <c r="C226" s="65"/>
      <c r="D226" s="81"/>
      <c r="E226" s="81"/>
      <c r="F226" s="67"/>
      <c r="G226" s="66"/>
      <c r="H226" s="81"/>
      <c r="I226" s="65"/>
      <c r="J226" s="17" t="str">
        <f t="shared" si="12"/>
        <v/>
      </c>
      <c r="L226" s="65">
        <f t="shared" si="13"/>
        <v>16711935</v>
      </c>
      <c r="N226" s="65">
        <v>1</v>
      </c>
      <c r="O226" s="65"/>
      <c r="P226" s="65"/>
      <c r="Q226" s="65"/>
      <c r="R226">
        <v>0</v>
      </c>
      <c r="S226">
        <v>1</v>
      </c>
    </row>
    <row r="227" spans="1:19">
      <c r="A227" s="80"/>
      <c r="B227" s="65"/>
      <c r="C227" s="65"/>
      <c r="D227" s="81"/>
      <c r="E227" s="81"/>
      <c r="F227" s="67"/>
      <c r="G227" s="66"/>
      <c r="H227" s="81"/>
      <c r="I227" s="65"/>
      <c r="J227" s="17" t="str">
        <f t="shared" si="12"/>
        <v/>
      </c>
      <c r="L227" s="65">
        <f t="shared" si="13"/>
        <v>16711935</v>
      </c>
      <c r="N227" s="65">
        <v>1</v>
      </c>
      <c r="O227" s="65"/>
      <c r="P227" s="65"/>
      <c r="Q227" s="65"/>
      <c r="R227">
        <v>0</v>
      </c>
      <c r="S227">
        <v>1</v>
      </c>
    </row>
    <row r="228" spans="1:19">
      <c r="A228" s="80"/>
      <c r="B228" s="65"/>
      <c r="C228" s="65"/>
      <c r="D228" s="81"/>
      <c r="E228" s="81"/>
      <c r="F228" s="67"/>
      <c r="G228" s="66"/>
      <c r="H228" s="81"/>
      <c r="I228" s="65"/>
      <c r="J228" s="17" t="str">
        <f t="shared" si="12"/>
        <v/>
      </c>
      <c r="L228" s="65">
        <f t="shared" si="13"/>
        <v>16711935</v>
      </c>
      <c r="N228" s="65">
        <v>1</v>
      </c>
      <c r="O228" s="65"/>
      <c r="P228" s="65"/>
      <c r="Q228" s="65"/>
      <c r="R228">
        <v>0</v>
      </c>
      <c r="S228">
        <v>1</v>
      </c>
    </row>
    <row r="229" spans="1:19">
      <c r="A229" s="80"/>
      <c r="B229" s="65"/>
      <c r="C229" s="65"/>
      <c r="D229" s="81"/>
      <c r="E229" s="81"/>
      <c r="F229" s="67"/>
      <c r="G229" s="66"/>
      <c r="H229" s="81"/>
      <c r="I229" s="65"/>
      <c r="J229" s="17" t="str">
        <f t="shared" si="12"/>
        <v/>
      </c>
      <c r="L229" s="65">
        <f t="shared" si="13"/>
        <v>16711935</v>
      </c>
      <c r="N229" s="65">
        <v>1</v>
      </c>
      <c r="O229" s="65"/>
      <c r="P229" s="65"/>
      <c r="Q229" s="65"/>
      <c r="R229">
        <v>0</v>
      </c>
      <c r="S229">
        <v>1</v>
      </c>
    </row>
    <row r="230" spans="1:19">
      <c r="A230" s="80"/>
      <c r="B230" s="65"/>
      <c r="C230" s="65"/>
      <c r="D230" s="81"/>
      <c r="E230" s="81"/>
      <c r="F230" s="67"/>
      <c r="G230" s="66"/>
      <c r="H230" s="81"/>
      <c r="I230" s="65"/>
      <c r="J230" s="17" t="str">
        <f t="shared" si="12"/>
        <v/>
      </c>
      <c r="L230" s="65">
        <f t="shared" si="13"/>
        <v>16711935</v>
      </c>
      <c r="N230" s="65">
        <v>1</v>
      </c>
      <c r="O230" s="65"/>
      <c r="P230" s="65"/>
      <c r="Q230" s="65"/>
      <c r="R230">
        <v>0</v>
      </c>
      <c r="S230">
        <v>1</v>
      </c>
    </row>
    <row r="231" spans="1:19">
      <c r="A231" s="80"/>
      <c r="B231" s="65"/>
      <c r="C231" s="65"/>
      <c r="D231" s="81"/>
      <c r="E231" s="81"/>
      <c r="F231" s="67"/>
      <c r="G231" s="66"/>
      <c r="H231" s="81"/>
      <c r="I231" s="65"/>
      <c r="J231" s="17" t="str">
        <f t="shared" si="12"/>
        <v/>
      </c>
      <c r="L231" s="65">
        <f t="shared" si="13"/>
        <v>16711935</v>
      </c>
      <c r="N231" s="65">
        <v>1</v>
      </c>
      <c r="O231" s="65"/>
      <c r="P231" s="65"/>
      <c r="Q231" s="65"/>
      <c r="R231">
        <v>0</v>
      </c>
      <c r="S231">
        <v>1</v>
      </c>
    </row>
    <row r="232" spans="1:19">
      <c r="A232" s="80"/>
      <c r="B232" s="65"/>
      <c r="C232" s="65"/>
      <c r="D232" s="81"/>
      <c r="E232" s="81"/>
      <c r="F232" s="67"/>
      <c r="G232" s="66"/>
      <c r="H232" s="81"/>
      <c r="I232" s="65"/>
      <c r="J232" s="17" t="str">
        <f t="shared" si="12"/>
        <v/>
      </c>
      <c r="L232" s="65">
        <f t="shared" si="13"/>
        <v>16711935</v>
      </c>
      <c r="N232" s="65">
        <v>1</v>
      </c>
      <c r="O232" s="65"/>
      <c r="P232" s="65"/>
      <c r="Q232" s="65"/>
      <c r="R232">
        <v>0</v>
      </c>
      <c r="S232">
        <v>1</v>
      </c>
    </row>
    <row r="233" spans="1:19">
      <c r="A233" s="80"/>
      <c r="B233" s="65"/>
      <c r="C233" s="65"/>
      <c r="D233" s="81"/>
      <c r="E233" s="81"/>
      <c r="F233" s="67"/>
      <c r="G233" s="66"/>
      <c r="H233" s="81"/>
      <c r="I233" s="65"/>
      <c r="J233" s="17" t="str">
        <f t="shared" si="12"/>
        <v/>
      </c>
      <c r="L233" s="65">
        <f t="shared" si="13"/>
        <v>16711935</v>
      </c>
      <c r="N233" s="65">
        <v>1</v>
      </c>
      <c r="O233" s="65"/>
      <c r="P233" s="65"/>
      <c r="Q233" s="65"/>
      <c r="R233">
        <v>0</v>
      </c>
      <c r="S233">
        <v>1</v>
      </c>
    </row>
    <row r="234" spans="1:19">
      <c r="A234" s="80"/>
      <c r="B234" s="65"/>
      <c r="C234" s="65"/>
      <c r="D234" s="81"/>
      <c r="E234" s="81"/>
      <c r="F234" s="67"/>
      <c r="G234" s="66"/>
      <c r="H234" s="81"/>
      <c r="I234" s="65"/>
      <c r="J234" s="17" t="str">
        <f t="shared" si="12"/>
        <v/>
      </c>
      <c r="L234" s="65">
        <f t="shared" si="13"/>
        <v>16711935</v>
      </c>
      <c r="N234" s="65">
        <v>1</v>
      </c>
      <c r="O234" s="65"/>
      <c r="P234" s="65"/>
      <c r="Q234" s="65"/>
      <c r="R234">
        <v>0</v>
      </c>
      <c r="S234">
        <v>1</v>
      </c>
    </row>
    <row r="235" spans="1:19">
      <c r="A235" s="80"/>
      <c r="B235" s="65"/>
      <c r="C235" s="65"/>
      <c r="D235" s="81"/>
      <c r="E235" s="81"/>
      <c r="F235" s="67"/>
      <c r="G235" s="66"/>
      <c r="H235" s="81"/>
      <c r="I235" s="65"/>
      <c r="J235" s="17" t="str">
        <f t="shared" si="12"/>
        <v/>
      </c>
      <c r="L235" s="65">
        <f t="shared" si="13"/>
        <v>16711935</v>
      </c>
      <c r="N235" s="65">
        <v>1</v>
      </c>
      <c r="O235" s="65"/>
      <c r="P235" s="65"/>
      <c r="Q235" s="65"/>
      <c r="R235">
        <v>0</v>
      </c>
      <c r="S235">
        <v>1</v>
      </c>
    </row>
    <row r="236" spans="1:19">
      <c r="A236" s="80"/>
      <c r="B236" s="65"/>
      <c r="C236" s="65"/>
      <c r="D236" s="81"/>
      <c r="E236" s="81"/>
      <c r="F236" s="67"/>
      <c r="G236" s="66"/>
      <c r="H236" s="81"/>
      <c r="I236" s="65"/>
      <c r="J236" s="17" t="str">
        <f t="shared" si="12"/>
        <v/>
      </c>
      <c r="L236" s="65">
        <f t="shared" si="13"/>
        <v>16711935</v>
      </c>
      <c r="N236" s="65">
        <v>1</v>
      </c>
      <c r="O236" s="65"/>
      <c r="P236" s="65"/>
      <c r="Q236" s="65"/>
      <c r="R236">
        <v>0</v>
      </c>
      <c r="S236">
        <v>1</v>
      </c>
    </row>
    <row r="237" spans="1:19">
      <c r="A237" s="80"/>
      <c r="B237" s="65"/>
      <c r="C237" s="65"/>
      <c r="D237" s="81"/>
      <c r="E237" s="81"/>
      <c r="F237" s="67"/>
      <c r="G237" s="66"/>
      <c r="H237" s="81"/>
      <c r="I237" s="65"/>
      <c r="J237" s="17" t="str">
        <f t="shared" si="12"/>
        <v/>
      </c>
      <c r="L237" s="65">
        <f t="shared" si="13"/>
        <v>16711935</v>
      </c>
      <c r="N237" s="65">
        <v>1</v>
      </c>
      <c r="O237" s="65"/>
      <c r="P237" s="65"/>
      <c r="Q237" s="65"/>
      <c r="R237">
        <v>0</v>
      </c>
      <c r="S237">
        <v>1</v>
      </c>
    </row>
    <row r="238" spans="1:19">
      <c r="A238" s="80"/>
      <c r="B238" s="65"/>
      <c r="C238" s="65"/>
      <c r="D238" s="81"/>
      <c r="E238" s="81"/>
      <c r="F238" s="67"/>
      <c r="G238" s="66"/>
      <c r="H238" s="81"/>
      <c r="I238" s="65"/>
      <c r="J238" s="17" t="str">
        <f t="shared" si="12"/>
        <v/>
      </c>
      <c r="L238" s="65">
        <f t="shared" si="13"/>
        <v>16711935</v>
      </c>
      <c r="N238" s="65">
        <v>1</v>
      </c>
      <c r="O238" s="65"/>
      <c r="P238" s="65"/>
      <c r="Q238" s="65"/>
      <c r="R238">
        <v>0</v>
      </c>
      <c r="S238">
        <v>1</v>
      </c>
    </row>
    <row r="239" spans="1:19">
      <c r="A239" s="80"/>
      <c r="B239" s="65"/>
      <c r="C239" s="65"/>
      <c r="D239" s="81"/>
      <c r="E239" s="81"/>
      <c r="F239" s="67"/>
      <c r="G239" s="66"/>
      <c r="H239" s="81"/>
      <c r="I239" s="65"/>
      <c r="J239" s="17" t="str">
        <f t="shared" si="12"/>
        <v/>
      </c>
      <c r="L239" s="65">
        <f t="shared" si="13"/>
        <v>16711935</v>
      </c>
      <c r="N239" s="65">
        <v>1</v>
      </c>
      <c r="O239" s="65"/>
      <c r="P239" s="65"/>
      <c r="Q239" s="65"/>
      <c r="R239">
        <v>0</v>
      </c>
      <c r="S239">
        <v>1</v>
      </c>
    </row>
    <row r="240" spans="1:19">
      <c r="A240" s="80"/>
      <c r="B240" s="65"/>
      <c r="C240" s="65"/>
      <c r="D240" s="81"/>
      <c r="E240" s="81"/>
      <c r="F240" s="67"/>
      <c r="G240" s="66"/>
      <c r="H240" s="81"/>
      <c r="I240" s="65"/>
      <c r="J240" s="17" t="str">
        <f t="shared" si="12"/>
        <v/>
      </c>
      <c r="L240" s="65">
        <f t="shared" si="13"/>
        <v>16711935</v>
      </c>
      <c r="N240" s="65">
        <v>1</v>
      </c>
      <c r="O240" s="65"/>
      <c r="P240" s="65"/>
      <c r="Q240" s="65"/>
      <c r="R240">
        <v>0</v>
      </c>
      <c r="S240">
        <v>1</v>
      </c>
    </row>
    <row r="241" spans="1:19">
      <c r="A241" s="80"/>
      <c r="B241" s="65"/>
      <c r="C241" s="65"/>
      <c r="D241" s="81"/>
      <c r="E241" s="81"/>
      <c r="F241" s="67"/>
      <c r="G241" s="66"/>
      <c r="H241" s="81"/>
      <c r="I241" s="65"/>
      <c r="J241" s="17" t="str">
        <f t="shared" si="12"/>
        <v/>
      </c>
      <c r="L241" s="65">
        <f t="shared" si="13"/>
        <v>16711935</v>
      </c>
      <c r="N241" s="65">
        <v>1</v>
      </c>
      <c r="O241" s="65"/>
      <c r="P241" s="65"/>
      <c r="Q241" s="65"/>
      <c r="R241">
        <v>0</v>
      </c>
      <c r="S241">
        <v>1</v>
      </c>
    </row>
    <row r="242" spans="1:19">
      <c r="A242" s="80"/>
      <c r="B242" s="65"/>
      <c r="C242" s="65"/>
      <c r="D242" s="81"/>
      <c r="E242" s="81"/>
      <c r="F242" s="67"/>
      <c r="G242" s="66"/>
      <c r="H242" s="81"/>
      <c r="I242" s="65"/>
      <c r="J242" s="17" t="str">
        <f t="shared" si="12"/>
        <v/>
      </c>
      <c r="L242" s="65">
        <f t="shared" si="13"/>
        <v>16711935</v>
      </c>
      <c r="N242" s="65">
        <v>1</v>
      </c>
      <c r="O242" s="65"/>
      <c r="P242" s="65"/>
      <c r="Q242" s="65"/>
      <c r="R242">
        <v>0</v>
      </c>
      <c r="S242">
        <v>1</v>
      </c>
    </row>
    <row r="243" spans="1:19">
      <c r="A243" s="80"/>
      <c r="B243" s="65"/>
      <c r="C243" s="65"/>
      <c r="D243" s="81"/>
      <c r="E243" s="81"/>
      <c r="F243" s="67"/>
      <c r="G243" s="66"/>
      <c r="H243" s="81"/>
      <c r="I243" s="65"/>
      <c r="J243" s="17" t="str">
        <f t="shared" si="12"/>
        <v/>
      </c>
      <c r="L243" s="65">
        <f t="shared" si="13"/>
        <v>16711935</v>
      </c>
      <c r="N243" s="65">
        <v>1</v>
      </c>
      <c r="O243" s="65"/>
      <c r="P243" s="65"/>
      <c r="Q243" s="65"/>
      <c r="R243">
        <v>0</v>
      </c>
      <c r="S243">
        <v>1</v>
      </c>
    </row>
    <row r="244" spans="1:19">
      <c r="A244" s="80"/>
      <c r="B244" s="65"/>
      <c r="C244" s="65"/>
      <c r="D244" s="81"/>
      <c r="E244" s="81"/>
      <c r="F244" s="67"/>
      <c r="G244" s="66"/>
      <c r="H244" s="81"/>
      <c r="I244" s="65"/>
      <c r="J244" s="17" t="str">
        <f t="shared" si="12"/>
        <v/>
      </c>
      <c r="L244" s="65">
        <f t="shared" si="13"/>
        <v>16711935</v>
      </c>
      <c r="N244" s="65">
        <v>1</v>
      </c>
      <c r="O244" s="65"/>
      <c r="P244" s="65"/>
      <c r="Q244" s="65"/>
      <c r="R244">
        <v>0</v>
      </c>
      <c r="S244">
        <v>1</v>
      </c>
    </row>
    <row r="245" spans="1:19">
      <c r="A245" s="80"/>
      <c r="B245" s="65"/>
      <c r="C245" s="65"/>
      <c r="D245" s="81"/>
      <c r="E245" s="81"/>
      <c r="F245" s="67"/>
      <c r="G245" s="66"/>
      <c r="H245" s="81"/>
      <c r="I245" s="65"/>
      <c r="J245" s="17" t="str">
        <f t="shared" si="12"/>
        <v/>
      </c>
      <c r="L245" s="65">
        <f t="shared" si="13"/>
        <v>16711935</v>
      </c>
      <c r="N245" s="65">
        <v>1</v>
      </c>
      <c r="O245" s="65"/>
      <c r="P245" s="65"/>
      <c r="Q245" s="65"/>
      <c r="R245">
        <v>0</v>
      </c>
      <c r="S245">
        <v>1</v>
      </c>
    </row>
    <row r="246" spans="1:19">
      <c r="A246" s="80"/>
      <c r="B246" s="65"/>
      <c r="C246" s="65"/>
      <c r="D246" s="81"/>
      <c r="E246" s="81"/>
      <c r="F246" s="67"/>
      <c r="G246" s="66"/>
      <c r="H246" s="81"/>
      <c r="I246" s="65"/>
      <c r="J246" s="17" t="str">
        <f t="shared" si="12"/>
        <v/>
      </c>
      <c r="L246" s="65">
        <f t="shared" si="13"/>
        <v>16711935</v>
      </c>
      <c r="N246" s="65">
        <v>1</v>
      </c>
      <c r="O246" s="65"/>
      <c r="P246" s="65"/>
      <c r="Q246" s="65"/>
      <c r="R246">
        <v>0</v>
      </c>
      <c r="S246">
        <v>1</v>
      </c>
    </row>
    <row r="247" spans="1:19">
      <c r="A247" s="80"/>
      <c r="B247" s="65"/>
      <c r="C247" s="65"/>
      <c r="D247" s="81"/>
      <c r="E247" s="81"/>
      <c r="F247" s="67"/>
      <c r="G247" s="66"/>
      <c r="H247" s="81"/>
      <c r="I247" s="65"/>
      <c r="J247" s="17" t="str">
        <f t="shared" si="12"/>
        <v/>
      </c>
      <c r="L247" s="65">
        <f t="shared" si="13"/>
        <v>16711935</v>
      </c>
      <c r="N247" s="65">
        <v>1</v>
      </c>
      <c r="O247" s="65"/>
      <c r="P247" s="65"/>
      <c r="Q247" s="65"/>
      <c r="R247">
        <v>0</v>
      </c>
      <c r="S247">
        <v>1</v>
      </c>
    </row>
    <row r="248" spans="1:19">
      <c r="A248" s="80"/>
      <c r="B248" s="65"/>
      <c r="C248" s="65"/>
      <c r="D248" s="81"/>
      <c r="E248" s="81"/>
      <c r="F248" s="67"/>
      <c r="G248" s="66"/>
      <c r="H248" s="81"/>
      <c r="I248" s="65"/>
      <c r="J248" s="17" t="str">
        <f t="shared" si="12"/>
        <v/>
      </c>
      <c r="L248" s="65">
        <f t="shared" si="13"/>
        <v>16711935</v>
      </c>
      <c r="N248" s="65">
        <v>1</v>
      </c>
      <c r="O248" s="65"/>
      <c r="P248" s="65"/>
      <c r="Q248" s="65"/>
      <c r="R248">
        <v>0</v>
      </c>
      <c r="S248">
        <v>1</v>
      </c>
    </row>
    <row r="249" spans="1:19">
      <c r="A249" s="80"/>
      <c r="B249" s="65"/>
      <c r="C249" s="65"/>
      <c r="D249" s="81"/>
      <c r="E249" s="81"/>
      <c r="F249" s="67"/>
      <c r="G249" s="66"/>
      <c r="H249" s="81"/>
      <c r="I249" s="65"/>
      <c r="J249" s="17" t="str">
        <f t="shared" si="12"/>
        <v/>
      </c>
      <c r="L249" s="65">
        <f t="shared" si="13"/>
        <v>16711935</v>
      </c>
      <c r="N249" s="65">
        <v>1</v>
      </c>
      <c r="O249" s="65"/>
      <c r="P249" s="65"/>
      <c r="Q249" s="65"/>
      <c r="R249">
        <v>0</v>
      </c>
      <c r="S249">
        <v>1</v>
      </c>
    </row>
    <row r="250" spans="1:19">
      <c r="A250" s="80"/>
      <c r="B250" s="65"/>
      <c r="C250" s="65"/>
      <c r="D250" s="81"/>
      <c r="E250" s="81"/>
      <c r="F250" s="67"/>
      <c r="G250" s="66"/>
      <c r="H250" s="81"/>
      <c r="I250" s="65"/>
      <c r="J250" s="17" t="str">
        <f t="shared" si="12"/>
        <v/>
      </c>
      <c r="L250" s="65">
        <f t="shared" si="13"/>
        <v>16711935</v>
      </c>
      <c r="N250" s="65">
        <v>1</v>
      </c>
      <c r="O250" s="65"/>
      <c r="P250" s="65"/>
      <c r="Q250" s="65"/>
      <c r="R250">
        <v>0</v>
      </c>
      <c r="S250">
        <v>1</v>
      </c>
    </row>
    <row r="251" spans="1:19">
      <c r="A251" s="80"/>
      <c r="B251" s="65"/>
      <c r="C251" s="65"/>
      <c r="D251" s="81"/>
      <c r="E251" s="81"/>
      <c r="F251" s="67"/>
      <c r="G251" s="66"/>
      <c r="H251" s="81"/>
      <c r="I251" s="65"/>
      <c r="J251" s="17" t="str">
        <f t="shared" si="12"/>
        <v/>
      </c>
      <c r="L251" s="65">
        <f t="shared" si="13"/>
        <v>16711935</v>
      </c>
      <c r="N251" s="65">
        <v>1</v>
      </c>
      <c r="O251" s="65"/>
      <c r="P251" s="65"/>
      <c r="Q251" s="65"/>
      <c r="R251">
        <v>0</v>
      </c>
      <c r="S251">
        <v>1</v>
      </c>
    </row>
    <row r="252" spans="1:19">
      <c r="A252" s="80"/>
      <c r="B252" s="65"/>
      <c r="C252" s="65"/>
      <c r="D252" s="81"/>
      <c r="E252" s="81"/>
      <c r="F252" s="67"/>
      <c r="G252" s="66"/>
      <c r="H252" s="81"/>
      <c r="I252" s="65"/>
      <c r="J252" s="17" t="str">
        <f t="shared" si="12"/>
        <v/>
      </c>
      <c r="L252" s="65">
        <f t="shared" si="13"/>
        <v>16711935</v>
      </c>
      <c r="N252" s="65">
        <v>1</v>
      </c>
      <c r="O252" s="65"/>
      <c r="P252" s="65"/>
      <c r="Q252" s="65"/>
      <c r="R252">
        <v>0</v>
      </c>
      <c r="S252">
        <v>1</v>
      </c>
    </row>
    <row r="253" spans="1:19">
      <c r="A253" s="80"/>
      <c r="B253" s="65"/>
      <c r="C253" s="65"/>
      <c r="D253" s="81"/>
      <c r="E253" s="81"/>
      <c r="F253" s="67"/>
      <c r="G253" s="66"/>
      <c r="H253" s="81"/>
      <c r="I253" s="65"/>
      <c r="J253" s="17" t="str">
        <f t="shared" si="12"/>
        <v/>
      </c>
      <c r="L253" s="65">
        <f t="shared" si="13"/>
        <v>16711935</v>
      </c>
      <c r="N253" s="65">
        <v>1</v>
      </c>
      <c r="O253" s="65"/>
      <c r="P253" s="65"/>
      <c r="Q253" s="65"/>
      <c r="R253">
        <v>0</v>
      </c>
      <c r="S253">
        <v>1</v>
      </c>
    </row>
    <row r="254" spans="1:19">
      <c r="A254" s="80"/>
      <c r="B254" s="65"/>
      <c r="C254" s="65"/>
      <c r="D254" s="81"/>
      <c r="E254" s="81"/>
      <c r="F254" s="67"/>
      <c r="G254" s="66"/>
      <c r="H254" s="81"/>
      <c r="I254" s="65"/>
      <c r="J254" s="17" t="str">
        <f t="shared" si="12"/>
        <v/>
      </c>
      <c r="L254" s="65">
        <f t="shared" si="13"/>
        <v>16711935</v>
      </c>
      <c r="N254" s="65">
        <v>1</v>
      </c>
      <c r="O254" s="65"/>
      <c r="P254" s="65"/>
      <c r="Q254" s="65"/>
      <c r="R254">
        <v>0</v>
      </c>
      <c r="S254">
        <v>1</v>
      </c>
    </row>
    <row r="255" spans="1:19">
      <c r="A255" s="80"/>
      <c r="B255" s="65"/>
      <c r="C255" s="65"/>
      <c r="D255" s="81"/>
      <c r="E255" s="81"/>
      <c r="F255" s="67"/>
      <c r="G255" s="66"/>
      <c r="H255" s="81"/>
      <c r="I255" s="65"/>
      <c r="J255" s="17" t="str">
        <f t="shared" si="12"/>
        <v/>
      </c>
      <c r="L255" s="65">
        <f t="shared" si="13"/>
        <v>16711935</v>
      </c>
      <c r="N255" s="65">
        <v>1</v>
      </c>
      <c r="O255" s="65"/>
      <c r="P255" s="65"/>
      <c r="Q255" s="65"/>
      <c r="R255">
        <v>0</v>
      </c>
      <c r="S255">
        <v>1</v>
      </c>
    </row>
    <row r="256" spans="1:19">
      <c r="A256" s="80"/>
      <c r="B256" s="65"/>
      <c r="C256" s="65"/>
      <c r="D256" s="81"/>
      <c r="E256" s="81"/>
      <c r="F256" s="67"/>
      <c r="G256" s="66"/>
      <c r="H256" s="81"/>
      <c r="I256" s="65"/>
      <c r="J256" s="17" t="str">
        <f t="shared" si="12"/>
        <v/>
      </c>
      <c r="L256" s="65">
        <f t="shared" si="13"/>
        <v>16711935</v>
      </c>
      <c r="N256" s="65">
        <v>1</v>
      </c>
      <c r="O256" s="65"/>
      <c r="P256" s="65"/>
      <c r="Q256" s="65"/>
      <c r="R256">
        <v>0</v>
      </c>
      <c r="S256">
        <v>1</v>
      </c>
    </row>
    <row r="257" spans="1:19">
      <c r="A257" s="80"/>
      <c r="B257" s="65"/>
      <c r="C257" s="65"/>
      <c r="D257" s="81"/>
      <c r="E257" s="81"/>
      <c r="F257" s="67"/>
      <c r="G257" s="66"/>
      <c r="H257" s="81"/>
      <c r="I257" s="65"/>
      <c r="J257" s="17" t="str">
        <f t="shared" si="12"/>
        <v/>
      </c>
      <c r="L257" s="65">
        <f t="shared" si="13"/>
        <v>16711935</v>
      </c>
      <c r="N257" s="65">
        <v>1</v>
      </c>
      <c r="O257" s="65"/>
      <c r="P257" s="65"/>
      <c r="Q257" s="65"/>
      <c r="R257">
        <v>0</v>
      </c>
      <c r="S257">
        <v>1</v>
      </c>
    </row>
    <row r="258" spans="1:19">
      <c r="A258" s="80"/>
      <c r="B258" s="65"/>
      <c r="C258" s="65"/>
      <c r="D258" s="81"/>
      <c r="E258" s="81"/>
      <c r="F258" s="67"/>
      <c r="G258" s="66"/>
      <c r="H258" s="81"/>
      <c r="I258" s="65"/>
      <c r="J258" s="17" t="str">
        <f t="shared" si="12"/>
        <v/>
      </c>
      <c r="L258" s="65">
        <f t="shared" si="13"/>
        <v>16711935</v>
      </c>
      <c r="N258" s="65">
        <v>1</v>
      </c>
      <c r="O258" s="65"/>
      <c r="P258" s="65"/>
      <c r="Q258" s="65"/>
      <c r="R258">
        <v>0</v>
      </c>
      <c r="S258">
        <v>1</v>
      </c>
    </row>
    <row r="259" spans="1:19">
      <c r="A259" s="80"/>
      <c r="B259" s="65"/>
      <c r="C259" s="65"/>
      <c r="D259" s="81"/>
      <c r="E259" s="81"/>
      <c r="F259" s="67"/>
      <c r="G259" s="66"/>
      <c r="H259" s="81"/>
      <c r="I259" s="65"/>
      <c r="J259" s="17" t="str">
        <f t="shared" si="12"/>
        <v/>
      </c>
      <c r="L259" s="65">
        <f t="shared" si="13"/>
        <v>16711935</v>
      </c>
      <c r="N259" s="65">
        <v>1</v>
      </c>
      <c r="O259" s="65"/>
      <c r="P259" s="65"/>
      <c r="Q259" s="65"/>
      <c r="R259">
        <v>0</v>
      </c>
      <c r="S259">
        <v>1</v>
      </c>
    </row>
    <row r="260" spans="1:19">
      <c r="A260" s="80"/>
      <c r="B260" s="65"/>
      <c r="C260" s="65"/>
      <c r="D260" s="81"/>
      <c r="E260" s="81"/>
      <c r="F260" s="67"/>
      <c r="G260" s="66"/>
      <c r="H260" s="81"/>
      <c r="I260" s="65"/>
      <c r="J260" s="17" t="str">
        <f t="shared" si="12"/>
        <v/>
      </c>
      <c r="L260" s="65">
        <f t="shared" si="13"/>
        <v>16711935</v>
      </c>
      <c r="N260" s="65">
        <v>1</v>
      </c>
      <c r="O260" s="65"/>
      <c r="P260" s="65"/>
      <c r="Q260" s="65"/>
      <c r="R260">
        <v>0</v>
      </c>
      <c r="S260">
        <v>1</v>
      </c>
    </row>
    <row r="261" spans="1:19">
      <c r="A261" s="80"/>
      <c r="B261" s="65"/>
      <c r="C261" s="65"/>
      <c r="D261" s="81"/>
      <c r="E261" s="81"/>
      <c r="F261" s="67"/>
      <c r="G261" s="66"/>
      <c r="H261" s="81"/>
      <c r="I261" s="65"/>
      <c r="J261" s="17" t="str">
        <f t="shared" si="12"/>
        <v/>
      </c>
      <c r="L261" s="65">
        <f t="shared" si="13"/>
        <v>16711935</v>
      </c>
      <c r="N261" s="65">
        <v>1</v>
      </c>
      <c r="O261" s="65"/>
      <c r="P261" s="65"/>
      <c r="Q261" s="65"/>
      <c r="R261">
        <v>0</v>
      </c>
      <c r="S261">
        <v>1</v>
      </c>
    </row>
    <row r="262" spans="1:19">
      <c r="A262" s="80"/>
      <c r="B262" s="65"/>
      <c r="C262" s="65"/>
      <c r="D262" s="81"/>
      <c r="E262" s="81"/>
      <c r="F262" s="67"/>
      <c r="G262" s="66"/>
      <c r="H262" s="81"/>
      <c r="I262" s="65"/>
      <c r="J262" s="17" t="str">
        <f t="shared" ref="J262:J325" si="14">IF(LEN(B262)&gt;0,SUBSTITUTE(B262, "'", " ")&amp;" - "&amp;SUBSTITUTE(C262, "'"," ")&amp;";"&amp;A262&amp;";"&amp;N262&amp;";"&amp;O262&amp;";"&amp;P262&amp;";"&amp;L262&amp;";"&amp;E262&amp;";"&amp;F262&amp;";"&amp;Q262&amp;";"&amp;IF(LEN(G262)=0,"1.000",IFERROR(REPLACE(FIXED(G262,3,1),2,1,"."),))&amp;";"&amp;H262&amp;";"&amp;I262&amp;";"&amp;R262&amp;";"&amp;S262&amp;";","")</f>
        <v/>
      </c>
      <c r="L262" s="65">
        <f t="shared" si="13"/>
        <v>16711935</v>
      </c>
      <c r="N262" s="65">
        <v>1</v>
      </c>
      <c r="O262" s="65"/>
      <c r="P262" s="65"/>
      <c r="Q262" s="65"/>
      <c r="R262">
        <v>0</v>
      </c>
      <c r="S262">
        <v>1</v>
      </c>
    </row>
    <row r="263" spans="1:19">
      <c r="A263" s="80"/>
      <c r="B263" s="65"/>
      <c r="C263" s="65"/>
      <c r="D263" s="81"/>
      <c r="E263" s="81"/>
      <c r="F263" s="67"/>
      <c r="G263" s="66"/>
      <c r="H263" s="81"/>
      <c r="I263" s="65"/>
      <c r="J263" s="17" t="str">
        <f t="shared" si="14"/>
        <v/>
      </c>
      <c r="L263" s="65">
        <f t="shared" si="13"/>
        <v>16711935</v>
      </c>
      <c r="N263" s="65">
        <v>1</v>
      </c>
      <c r="O263" s="65"/>
      <c r="P263" s="65"/>
      <c r="Q263" s="65"/>
      <c r="R263">
        <v>0</v>
      </c>
      <c r="S263">
        <v>1</v>
      </c>
    </row>
    <row r="264" spans="1:19">
      <c r="A264" s="80"/>
      <c r="B264" s="65"/>
      <c r="C264" s="65"/>
      <c r="D264" s="81"/>
      <c r="E264" s="81"/>
      <c r="F264" s="67"/>
      <c r="G264" s="66"/>
      <c r="H264" s="81"/>
      <c r="I264" s="65"/>
      <c r="J264" s="17" t="str">
        <f t="shared" si="14"/>
        <v/>
      </c>
      <c r="L264" s="65">
        <f t="shared" ref="L264:L327" si="15">IFERROR(VLOOKUP(D264,ColorsTable,2,FALSE),16711935)</f>
        <v>16711935</v>
      </c>
      <c r="N264" s="65">
        <v>1</v>
      </c>
      <c r="O264" s="65"/>
      <c r="P264" s="65"/>
      <c r="Q264" s="65"/>
      <c r="R264">
        <v>0</v>
      </c>
      <c r="S264">
        <v>1</v>
      </c>
    </row>
    <row r="265" spans="1:19">
      <c r="A265" s="80"/>
      <c r="B265" s="65"/>
      <c r="C265" s="65"/>
      <c r="D265" s="81"/>
      <c r="E265" s="81"/>
      <c r="F265" s="67"/>
      <c r="G265" s="66"/>
      <c r="H265" s="81"/>
      <c r="I265" s="65"/>
      <c r="J265" s="17" t="str">
        <f t="shared" si="14"/>
        <v/>
      </c>
      <c r="L265" s="65">
        <f t="shared" si="15"/>
        <v>16711935</v>
      </c>
      <c r="N265" s="65">
        <v>1</v>
      </c>
      <c r="O265" s="65"/>
      <c r="P265" s="65"/>
      <c r="Q265" s="65"/>
      <c r="R265">
        <v>0</v>
      </c>
      <c r="S265">
        <v>1</v>
      </c>
    </row>
    <row r="266" spans="1:19">
      <c r="A266" s="80"/>
      <c r="B266" s="65"/>
      <c r="C266" s="65"/>
      <c r="D266" s="81"/>
      <c r="E266" s="81"/>
      <c r="F266" s="67"/>
      <c r="G266" s="66"/>
      <c r="H266" s="81"/>
      <c r="I266" s="65"/>
      <c r="J266" s="17" t="str">
        <f t="shared" si="14"/>
        <v/>
      </c>
      <c r="L266" s="65">
        <f t="shared" si="15"/>
        <v>16711935</v>
      </c>
      <c r="N266" s="65">
        <v>1</v>
      </c>
      <c r="O266" s="65"/>
      <c r="P266" s="65"/>
      <c r="Q266" s="65"/>
      <c r="R266">
        <v>0</v>
      </c>
      <c r="S266">
        <v>1</v>
      </c>
    </row>
    <row r="267" spans="1:19">
      <c r="A267" s="80"/>
      <c r="B267" s="65"/>
      <c r="C267" s="65"/>
      <c r="D267" s="81"/>
      <c r="E267" s="81"/>
      <c r="F267" s="67"/>
      <c r="G267" s="66"/>
      <c r="H267" s="81"/>
      <c r="I267" s="65"/>
      <c r="J267" s="17" t="str">
        <f t="shared" si="14"/>
        <v/>
      </c>
      <c r="L267" s="65">
        <f t="shared" si="15"/>
        <v>16711935</v>
      </c>
      <c r="N267" s="65">
        <v>1</v>
      </c>
      <c r="O267" s="65"/>
      <c r="P267" s="65"/>
      <c r="Q267" s="65"/>
      <c r="R267">
        <v>0</v>
      </c>
      <c r="S267">
        <v>1</v>
      </c>
    </row>
    <row r="268" spans="1:19">
      <c r="A268" s="80"/>
      <c r="B268" s="65"/>
      <c r="C268" s="65"/>
      <c r="D268" s="81"/>
      <c r="E268" s="81"/>
      <c r="F268" s="67"/>
      <c r="G268" s="66"/>
      <c r="H268" s="81"/>
      <c r="I268" s="65"/>
      <c r="J268" s="17" t="str">
        <f t="shared" si="14"/>
        <v/>
      </c>
      <c r="L268" s="65">
        <f t="shared" si="15"/>
        <v>16711935</v>
      </c>
      <c r="N268" s="65">
        <v>1</v>
      </c>
      <c r="O268" s="65"/>
      <c r="P268" s="65"/>
      <c r="Q268" s="65"/>
      <c r="R268">
        <v>0</v>
      </c>
      <c r="S268">
        <v>1</v>
      </c>
    </row>
    <row r="269" spans="1:19">
      <c r="A269" s="80"/>
      <c r="B269" s="65"/>
      <c r="C269" s="65"/>
      <c r="D269" s="81"/>
      <c r="E269" s="81"/>
      <c r="F269" s="67"/>
      <c r="G269" s="66"/>
      <c r="H269" s="81"/>
      <c r="I269" s="65"/>
      <c r="J269" s="17" t="str">
        <f t="shared" si="14"/>
        <v/>
      </c>
      <c r="L269" s="65">
        <f t="shared" si="15"/>
        <v>16711935</v>
      </c>
      <c r="N269" s="65">
        <v>1</v>
      </c>
      <c r="O269" s="65"/>
      <c r="P269" s="65"/>
      <c r="Q269" s="65"/>
      <c r="R269">
        <v>0</v>
      </c>
      <c r="S269">
        <v>1</v>
      </c>
    </row>
    <row r="270" spans="1:19">
      <c r="A270" s="80"/>
      <c r="B270" s="65"/>
      <c r="C270" s="65"/>
      <c r="D270" s="81"/>
      <c r="E270" s="81"/>
      <c r="F270" s="67"/>
      <c r="G270" s="66"/>
      <c r="H270" s="81"/>
      <c r="I270" s="65"/>
      <c r="J270" s="17" t="str">
        <f t="shared" si="14"/>
        <v/>
      </c>
      <c r="L270" s="65">
        <f t="shared" si="15"/>
        <v>16711935</v>
      </c>
      <c r="N270" s="65">
        <v>1</v>
      </c>
      <c r="O270" s="65"/>
      <c r="P270" s="65"/>
      <c r="Q270" s="65"/>
      <c r="R270">
        <v>0</v>
      </c>
      <c r="S270">
        <v>1</v>
      </c>
    </row>
    <row r="271" spans="1:19">
      <c r="A271" s="80"/>
      <c r="B271" s="65"/>
      <c r="C271" s="65"/>
      <c r="D271" s="81"/>
      <c r="E271" s="81"/>
      <c r="F271" s="67"/>
      <c r="G271" s="66"/>
      <c r="H271" s="81"/>
      <c r="I271" s="65"/>
      <c r="J271" s="17" t="str">
        <f t="shared" si="14"/>
        <v/>
      </c>
      <c r="L271" s="65">
        <f t="shared" si="15"/>
        <v>16711935</v>
      </c>
      <c r="N271" s="65">
        <v>1</v>
      </c>
      <c r="O271" s="65"/>
      <c r="P271" s="65"/>
      <c r="Q271" s="65"/>
      <c r="R271">
        <v>0</v>
      </c>
      <c r="S271">
        <v>1</v>
      </c>
    </row>
    <row r="272" spans="1:19">
      <c r="A272" s="80"/>
      <c r="B272" s="65"/>
      <c r="C272" s="65"/>
      <c r="D272" s="81"/>
      <c r="E272" s="81"/>
      <c r="F272" s="67"/>
      <c r="G272" s="66"/>
      <c r="H272" s="81"/>
      <c r="I272" s="65"/>
      <c r="J272" s="17" t="str">
        <f t="shared" si="14"/>
        <v/>
      </c>
      <c r="L272" s="65">
        <f t="shared" si="15"/>
        <v>16711935</v>
      </c>
      <c r="N272" s="65">
        <v>1</v>
      </c>
      <c r="O272" s="65"/>
      <c r="P272" s="65"/>
      <c r="Q272" s="65"/>
      <c r="R272">
        <v>0</v>
      </c>
      <c r="S272">
        <v>1</v>
      </c>
    </row>
    <row r="273" spans="1:19">
      <c r="A273" s="80"/>
      <c r="B273" s="65"/>
      <c r="C273" s="65"/>
      <c r="D273" s="81"/>
      <c r="E273" s="81"/>
      <c r="F273" s="67"/>
      <c r="G273" s="66"/>
      <c r="H273" s="81"/>
      <c r="I273" s="65"/>
      <c r="J273" s="17" t="str">
        <f t="shared" si="14"/>
        <v/>
      </c>
      <c r="L273" s="65">
        <f t="shared" si="15"/>
        <v>16711935</v>
      </c>
      <c r="N273" s="65">
        <v>1</v>
      </c>
      <c r="O273" s="65"/>
      <c r="P273" s="65"/>
      <c r="Q273" s="65"/>
      <c r="R273">
        <v>0</v>
      </c>
      <c r="S273">
        <v>1</v>
      </c>
    </row>
    <row r="274" spans="1:19">
      <c r="A274" s="80"/>
      <c r="B274" s="65"/>
      <c r="C274" s="65"/>
      <c r="D274" s="81"/>
      <c r="E274" s="81"/>
      <c r="F274" s="67"/>
      <c r="G274" s="66"/>
      <c r="H274" s="81"/>
      <c r="I274" s="65"/>
      <c r="J274" s="17" t="str">
        <f t="shared" si="14"/>
        <v/>
      </c>
      <c r="L274" s="65">
        <f t="shared" si="15"/>
        <v>16711935</v>
      </c>
      <c r="N274" s="65">
        <v>1</v>
      </c>
      <c r="O274" s="65"/>
      <c r="P274" s="65"/>
      <c r="Q274" s="65"/>
      <c r="R274">
        <v>0</v>
      </c>
      <c r="S274">
        <v>1</v>
      </c>
    </row>
    <row r="275" spans="1:19">
      <c r="A275" s="80"/>
      <c r="B275" s="65"/>
      <c r="C275" s="65"/>
      <c r="D275" s="81"/>
      <c r="E275" s="81"/>
      <c r="F275" s="67"/>
      <c r="G275" s="66"/>
      <c r="H275" s="81"/>
      <c r="I275" s="65"/>
      <c r="J275" s="17" t="str">
        <f t="shared" si="14"/>
        <v/>
      </c>
      <c r="L275" s="65">
        <f t="shared" si="15"/>
        <v>16711935</v>
      </c>
      <c r="N275" s="65">
        <v>1</v>
      </c>
      <c r="O275" s="65"/>
      <c r="P275" s="65"/>
      <c r="Q275" s="65"/>
      <c r="R275">
        <v>0</v>
      </c>
      <c r="S275">
        <v>1</v>
      </c>
    </row>
    <row r="276" spans="1:19">
      <c r="A276" s="80"/>
      <c r="B276" s="65"/>
      <c r="C276" s="65"/>
      <c r="D276" s="81"/>
      <c r="E276" s="81"/>
      <c r="F276" s="67"/>
      <c r="G276" s="66"/>
      <c r="H276" s="81"/>
      <c r="I276" s="65"/>
      <c r="J276" s="17" t="str">
        <f t="shared" si="14"/>
        <v/>
      </c>
      <c r="L276" s="65">
        <f t="shared" si="15"/>
        <v>16711935</v>
      </c>
      <c r="N276" s="65">
        <v>1</v>
      </c>
      <c r="O276" s="65"/>
      <c r="P276" s="65"/>
      <c r="Q276" s="65"/>
      <c r="R276">
        <v>0</v>
      </c>
      <c r="S276">
        <v>1</v>
      </c>
    </row>
    <row r="277" spans="1:19">
      <c r="A277" s="80"/>
      <c r="B277" s="65"/>
      <c r="C277" s="65"/>
      <c r="D277" s="81"/>
      <c r="E277" s="81"/>
      <c r="F277" s="67"/>
      <c r="G277" s="66"/>
      <c r="H277" s="81"/>
      <c r="I277" s="65"/>
      <c r="J277" s="17" t="str">
        <f t="shared" si="14"/>
        <v/>
      </c>
      <c r="L277" s="65">
        <f t="shared" si="15"/>
        <v>16711935</v>
      </c>
      <c r="N277" s="65">
        <v>1</v>
      </c>
      <c r="O277" s="65"/>
      <c r="P277" s="65"/>
      <c r="Q277" s="65"/>
      <c r="R277">
        <v>0</v>
      </c>
      <c r="S277">
        <v>1</v>
      </c>
    </row>
    <row r="278" spans="1:19">
      <c r="A278" s="80"/>
      <c r="B278" s="65"/>
      <c r="C278" s="65"/>
      <c r="D278" s="81"/>
      <c r="E278" s="81"/>
      <c r="F278" s="67"/>
      <c r="G278" s="66"/>
      <c r="H278" s="81"/>
      <c r="I278" s="65"/>
      <c r="J278" s="17" t="str">
        <f t="shared" si="14"/>
        <v/>
      </c>
      <c r="L278" s="65">
        <f t="shared" si="15"/>
        <v>16711935</v>
      </c>
      <c r="N278" s="65">
        <v>1</v>
      </c>
      <c r="O278" s="65"/>
      <c r="P278" s="65"/>
      <c r="Q278" s="65"/>
      <c r="R278">
        <v>0</v>
      </c>
      <c r="S278">
        <v>1</v>
      </c>
    </row>
    <row r="279" spans="1:19">
      <c r="A279" s="80"/>
      <c r="B279" s="65"/>
      <c r="C279" s="65"/>
      <c r="D279" s="81"/>
      <c r="E279" s="81"/>
      <c r="F279" s="67"/>
      <c r="G279" s="66"/>
      <c r="H279" s="81"/>
      <c r="I279" s="65"/>
      <c r="J279" s="17" t="str">
        <f t="shared" si="14"/>
        <v/>
      </c>
      <c r="L279" s="65">
        <f t="shared" si="15"/>
        <v>16711935</v>
      </c>
      <c r="N279" s="65">
        <v>1</v>
      </c>
      <c r="O279" s="65"/>
      <c r="P279" s="65"/>
      <c r="Q279" s="65"/>
      <c r="R279">
        <v>0</v>
      </c>
      <c r="S279">
        <v>1</v>
      </c>
    </row>
    <row r="280" spans="1:19">
      <c r="A280" s="80"/>
      <c r="B280" s="65"/>
      <c r="C280" s="65"/>
      <c r="D280" s="81"/>
      <c r="E280" s="81"/>
      <c r="F280" s="67"/>
      <c r="G280" s="66"/>
      <c r="H280" s="81"/>
      <c r="I280" s="65"/>
      <c r="J280" s="17" t="str">
        <f t="shared" si="14"/>
        <v/>
      </c>
      <c r="L280" s="65">
        <f t="shared" si="15"/>
        <v>16711935</v>
      </c>
      <c r="N280" s="65">
        <v>1</v>
      </c>
      <c r="O280" s="65"/>
      <c r="P280" s="65"/>
      <c r="Q280" s="65"/>
      <c r="R280">
        <v>0</v>
      </c>
      <c r="S280">
        <v>1</v>
      </c>
    </row>
    <row r="281" spans="1:19">
      <c r="A281" s="80"/>
      <c r="B281" s="65"/>
      <c r="C281" s="65"/>
      <c r="D281" s="81"/>
      <c r="E281" s="81"/>
      <c r="F281" s="67"/>
      <c r="G281" s="66"/>
      <c r="H281" s="81"/>
      <c r="I281" s="65"/>
      <c r="J281" s="17" t="str">
        <f t="shared" si="14"/>
        <v/>
      </c>
      <c r="L281" s="65">
        <f t="shared" si="15"/>
        <v>16711935</v>
      </c>
      <c r="N281" s="65">
        <v>1</v>
      </c>
      <c r="O281" s="65"/>
      <c r="P281" s="65"/>
      <c r="Q281" s="65"/>
      <c r="R281">
        <v>0</v>
      </c>
      <c r="S281">
        <v>1</v>
      </c>
    </row>
    <row r="282" spans="1:19">
      <c r="A282" s="80"/>
      <c r="B282" s="65"/>
      <c r="C282" s="65"/>
      <c r="D282" s="81"/>
      <c r="E282" s="81"/>
      <c r="F282" s="67"/>
      <c r="G282" s="66"/>
      <c r="H282" s="81"/>
      <c r="I282" s="65"/>
      <c r="J282" s="17" t="str">
        <f t="shared" si="14"/>
        <v/>
      </c>
      <c r="L282" s="65">
        <f t="shared" si="15"/>
        <v>16711935</v>
      </c>
      <c r="N282" s="65">
        <v>1</v>
      </c>
      <c r="O282" s="65"/>
      <c r="P282" s="65"/>
      <c r="Q282" s="65"/>
      <c r="R282">
        <v>0</v>
      </c>
      <c r="S282">
        <v>1</v>
      </c>
    </row>
    <row r="283" spans="1:19">
      <c r="A283" s="80"/>
      <c r="B283" s="65"/>
      <c r="C283" s="65"/>
      <c r="D283" s="81"/>
      <c r="E283" s="81"/>
      <c r="F283" s="67"/>
      <c r="G283" s="66"/>
      <c r="H283" s="81"/>
      <c r="I283" s="65"/>
      <c r="J283" s="17" t="str">
        <f t="shared" si="14"/>
        <v/>
      </c>
      <c r="L283" s="65">
        <f t="shared" si="15"/>
        <v>16711935</v>
      </c>
      <c r="N283" s="65">
        <v>1</v>
      </c>
      <c r="O283" s="65"/>
      <c r="P283" s="65"/>
      <c r="Q283" s="65"/>
      <c r="R283">
        <v>0</v>
      </c>
      <c r="S283">
        <v>1</v>
      </c>
    </row>
    <row r="284" spans="1:19">
      <c r="A284" s="80"/>
      <c r="B284" s="65"/>
      <c r="C284" s="65"/>
      <c r="D284" s="81"/>
      <c r="E284" s="81"/>
      <c r="F284" s="67"/>
      <c r="G284" s="66"/>
      <c r="H284" s="81"/>
      <c r="I284" s="65"/>
      <c r="J284" s="17" t="str">
        <f t="shared" si="14"/>
        <v/>
      </c>
      <c r="L284" s="65">
        <f t="shared" si="15"/>
        <v>16711935</v>
      </c>
      <c r="N284" s="65">
        <v>1</v>
      </c>
      <c r="O284" s="65"/>
      <c r="P284" s="65"/>
      <c r="Q284" s="65"/>
      <c r="R284">
        <v>0</v>
      </c>
      <c r="S284">
        <v>1</v>
      </c>
    </row>
    <row r="285" spans="1:19">
      <c r="A285" s="80"/>
      <c r="B285" s="65"/>
      <c r="C285" s="65"/>
      <c r="D285" s="81"/>
      <c r="E285" s="81"/>
      <c r="F285" s="67"/>
      <c r="G285" s="66"/>
      <c r="H285" s="81"/>
      <c r="I285" s="65"/>
      <c r="J285" s="17" t="str">
        <f t="shared" si="14"/>
        <v/>
      </c>
      <c r="L285" s="65">
        <f t="shared" si="15"/>
        <v>16711935</v>
      </c>
      <c r="N285" s="65">
        <v>1</v>
      </c>
      <c r="O285" s="65"/>
      <c r="P285" s="65"/>
      <c r="Q285" s="65"/>
      <c r="R285">
        <v>0</v>
      </c>
      <c r="S285">
        <v>1</v>
      </c>
    </row>
    <row r="286" spans="1:19">
      <c r="A286" s="80"/>
      <c r="B286" s="65"/>
      <c r="C286" s="65"/>
      <c r="D286" s="81"/>
      <c r="E286" s="81"/>
      <c r="F286" s="67"/>
      <c r="G286" s="66"/>
      <c r="H286" s="81"/>
      <c r="I286" s="65"/>
      <c r="J286" s="17" t="str">
        <f t="shared" si="14"/>
        <v/>
      </c>
      <c r="L286" s="65">
        <f t="shared" si="15"/>
        <v>16711935</v>
      </c>
      <c r="N286" s="65">
        <v>1</v>
      </c>
      <c r="O286" s="65"/>
      <c r="P286" s="65"/>
      <c r="Q286" s="65"/>
      <c r="R286">
        <v>0</v>
      </c>
      <c r="S286">
        <v>1</v>
      </c>
    </row>
    <row r="287" spans="1:19">
      <c r="A287" s="80"/>
      <c r="B287" s="65"/>
      <c r="C287" s="65"/>
      <c r="D287" s="81"/>
      <c r="E287" s="81"/>
      <c r="F287" s="67"/>
      <c r="G287" s="66"/>
      <c r="H287" s="81"/>
      <c r="I287" s="65"/>
      <c r="J287" s="17" t="str">
        <f t="shared" si="14"/>
        <v/>
      </c>
      <c r="L287" s="65">
        <f t="shared" si="15"/>
        <v>16711935</v>
      </c>
      <c r="N287" s="65">
        <v>1</v>
      </c>
      <c r="O287" s="65"/>
      <c r="P287" s="65"/>
      <c r="Q287" s="65"/>
      <c r="R287">
        <v>0</v>
      </c>
      <c r="S287">
        <v>1</v>
      </c>
    </row>
    <row r="288" spans="1:19">
      <c r="A288" s="80"/>
      <c r="B288" s="65"/>
      <c r="C288" s="65"/>
      <c r="D288" s="81"/>
      <c r="E288" s="81"/>
      <c r="F288" s="67"/>
      <c r="G288" s="66"/>
      <c r="H288" s="81"/>
      <c r="I288" s="65"/>
      <c r="J288" s="17" t="str">
        <f t="shared" si="14"/>
        <v/>
      </c>
      <c r="L288" s="65">
        <f t="shared" si="15"/>
        <v>16711935</v>
      </c>
      <c r="N288" s="65">
        <v>1</v>
      </c>
      <c r="O288" s="65"/>
      <c r="P288" s="65"/>
      <c r="Q288" s="65"/>
      <c r="R288">
        <v>0</v>
      </c>
      <c r="S288">
        <v>1</v>
      </c>
    </row>
    <row r="289" spans="1:19">
      <c r="A289" s="80"/>
      <c r="B289" s="65"/>
      <c r="C289" s="65"/>
      <c r="D289" s="81"/>
      <c r="E289" s="81"/>
      <c r="F289" s="67"/>
      <c r="G289" s="66"/>
      <c r="H289" s="81"/>
      <c r="I289" s="65"/>
      <c r="J289" s="17" t="str">
        <f t="shared" si="14"/>
        <v/>
      </c>
      <c r="L289" s="65">
        <f t="shared" si="15"/>
        <v>16711935</v>
      </c>
      <c r="N289" s="65">
        <v>1</v>
      </c>
      <c r="O289" s="65"/>
      <c r="P289" s="65"/>
      <c r="Q289" s="65"/>
      <c r="R289">
        <v>0</v>
      </c>
      <c r="S289">
        <v>1</v>
      </c>
    </row>
    <row r="290" spans="1:19">
      <c r="A290" s="80"/>
      <c r="B290" s="65"/>
      <c r="C290" s="65"/>
      <c r="D290" s="81"/>
      <c r="E290" s="81"/>
      <c r="F290" s="67"/>
      <c r="G290" s="66"/>
      <c r="H290" s="81"/>
      <c r="I290" s="65"/>
      <c r="J290" s="17" t="str">
        <f t="shared" si="14"/>
        <v/>
      </c>
      <c r="L290" s="65">
        <f t="shared" si="15"/>
        <v>16711935</v>
      </c>
      <c r="N290" s="65">
        <v>1</v>
      </c>
      <c r="O290" s="65"/>
      <c r="P290" s="65"/>
      <c r="Q290" s="65"/>
      <c r="R290">
        <v>0</v>
      </c>
      <c r="S290">
        <v>1</v>
      </c>
    </row>
    <row r="291" spans="1:19">
      <c r="A291" s="80"/>
      <c r="B291" s="65"/>
      <c r="C291" s="65"/>
      <c r="D291" s="81"/>
      <c r="E291" s="81"/>
      <c r="F291" s="67"/>
      <c r="G291" s="66"/>
      <c r="H291" s="81"/>
      <c r="I291" s="65"/>
      <c r="J291" s="17" t="str">
        <f t="shared" si="14"/>
        <v/>
      </c>
      <c r="L291" s="65">
        <f t="shared" si="15"/>
        <v>16711935</v>
      </c>
      <c r="N291" s="65">
        <v>1</v>
      </c>
      <c r="O291" s="65"/>
      <c r="P291" s="65"/>
      <c r="Q291" s="65"/>
      <c r="R291">
        <v>0</v>
      </c>
      <c r="S291">
        <v>1</v>
      </c>
    </row>
    <row r="292" spans="1:19">
      <c r="A292" s="80"/>
      <c r="B292" s="65"/>
      <c r="C292" s="65"/>
      <c r="D292" s="81"/>
      <c r="E292" s="81"/>
      <c r="F292" s="67"/>
      <c r="G292" s="66"/>
      <c r="H292" s="81"/>
      <c r="I292" s="65"/>
      <c r="J292" s="17" t="str">
        <f t="shared" si="14"/>
        <v/>
      </c>
      <c r="L292" s="65">
        <f t="shared" si="15"/>
        <v>16711935</v>
      </c>
      <c r="N292" s="65">
        <v>1</v>
      </c>
      <c r="O292" s="65"/>
      <c r="P292" s="65"/>
      <c r="Q292" s="65"/>
      <c r="R292">
        <v>0</v>
      </c>
      <c r="S292">
        <v>1</v>
      </c>
    </row>
    <row r="293" spans="1:19">
      <c r="A293" s="80"/>
      <c r="B293" s="65"/>
      <c r="C293" s="65"/>
      <c r="D293" s="81"/>
      <c r="E293" s="81"/>
      <c r="F293" s="67"/>
      <c r="G293" s="66"/>
      <c r="H293" s="81"/>
      <c r="I293" s="65"/>
      <c r="J293" s="17" t="str">
        <f t="shared" si="14"/>
        <v/>
      </c>
      <c r="L293" s="65">
        <f t="shared" si="15"/>
        <v>16711935</v>
      </c>
      <c r="N293" s="65">
        <v>1</v>
      </c>
      <c r="O293" s="65"/>
      <c r="P293" s="65"/>
      <c r="Q293" s="65"/>
      <c r="R293">
        <v>0</v>
      </c>
      <c r="S293">
        <v>1</v>
      </c>
    </row>
    <row r="294" spans="1:19">
      <c r="A294" s="80"/>
      <c r="B294" s="65"/>
      <c r="C294" s="65"/>
      <c r="D294" s="81"/>
      <c r="E294" s="81"/>
      <c r="F294" s="67"/>
      <c r="G294" s="66"/>
      <c r="H294" s="81"/>
      <c r="I294" s="65"/>
      <c r="J294" s="17" t="str">
        <f t="shared" si="14"/>
        <v/>
      </c>
      <c r="L294" s="65">
        <f t="shared" si="15"/>
        <v>16711935</v>
      </c>
      <c r="N294" s="65">
        <v>1</v>
      </c>
      <c r="O294" s="65"/>
      <c r="P294" s="65"/>
      <c r="Q294" s="65"/>
      <c r="R294">
        <v>0</v>
      </c>
      <c r="S294">
        <v>1</v>
      </c>
    </row>
    <row r="295" spans="1:19">
      <c r="A295" s="80"/>
      <c r="B295" s="65"/>
      <c r="C295" s="65"/>
      <c r="D295" s="81"/>
      <c r="E295" s="81"/>
      <c r="F295" s="67"/>
      <c r="G295" s="66"/>
      <c r="H295" s="81"/>
      <c r="I295" s="65"/>
      <c r="J295" s="17" t="str">
        <f t="shared" si="14"/>
        <v/>
      </c>
      <c r="L295" s="65">
        <f t="shared" si="15"/>
        <v>16711935</v>
      </c>
      <c r="N295" s="65">
        <v>1</v>
      </c>
      <c r="O295" s="65"/>
      <c r="P295" s="65"/>
      <c r="Q295" s="65"/>
      <c r="R295">
        <v>0</v>
      </c>
      <c r="S295">
        <v>1</v>
      </c>
    </row>
    <row r="296" spans="1:19">
      <c r="A296" s="80"/>
      <c r="B296" s="65"/>
      <c r="C296" s="65"/>
      <c r="D296" s="81"/>
      <c r="E296" s="81"/>
      <c r="F296" s="67"/>
      <c r="G296" s="66"/>
      <c r="H296" s="81"/>
      <c r="I296" s="65"/>
      <c r="J296" s="17" t="str">
        <f t="shared" si="14"/>
        <v/>
      </c>
      <c r="L296" s="65">
        <f t="shared" si="15"/>
        <v>16711935</v>
      </c>
      <c r="N296" s="65">
        <v>1</v>
      </c>
      <c r="O296" s="65"/>
      <c r="P296" s="65"/>
      <c r="Q296" s="65"/>
      <c r="R296">
        <v>0</v>
      </c>
      <c r="S296">
        <v>1</v>
      </c>
    </row>
    <row r="297" spans="1:19">
      <c r="A297" s="80"/>
      <c r="B297" s="65"/>
      <c r="C297" s="65"/>
      <c r="D297" s="81"/>
      <c r="E297" s="81"/>
      <c r="F297" s="67"/>
      <c r="G297" s="66"/>
      <c r="H297" s="81"/>
      <c r="I297" s="65"/>
      <c r="J297" s="17" t="str">
        <f t="shared" si="14"/>
        <v/>
      </c>
      <c r="L297" s="65">
        <f t="shared" si="15"/>
        <v>16711935</v>
      </c>
      <c r="N297" s="65">
        <v>1</v>
      </c>
      <c r="O297" s="65"/>
      <c r="P297" s="65"/>
      <c r="Q297" s="65"/>
      <c r="R297">
        <v>0</v>
      </c>
      <c r="S297">
        <v>1</v>
      </c>
    </row>
    <row r="298" spans="1:19">
      <c r="A298" s="80"/>
      <c r="B298" s="65"/>
      <c r="C298" s="65"/>
      <c r="D298" s="81"/>
      <c r="E298" s="81"/>
      <c r="F298" s="67"/>
      <c r="G298" s="66"/>
      <c r="H298" s="81"/>
      <c r="I298" s="65"/>
      <c r="J298" s="17" t="str">
        <f t="shared" si="14"/>
        <v/>
      </c>
      <c r="L298" s="65">
        <f t="shared" si="15"/>
        <v>16711935</v>
      </c>
      <c r="N298" s="65">
        <v>1</v>
      </c>
      <c r="O298" s="65"/>
      <c r="P298" s="65"/>
      <c r="Q298" s="65"/>
      <c r="R298">
        <v>0</v>
      </c>
      <c r="S298">
        <v>1</v>
      </c>
    </row>
    <row r="299" spans="1:19">
      <c r="A299" s="80"/>
      <c r="B299" s="65"/>
      <c r="C299" s="65"/>
      <c r="D299" s="81"/>
      <c r="E299" s="81"/>
      <c r="F299" s="67"/>
      <c r="G299" s="66"/>
      <c r="H299" s="81"/>
      <c r="I299" s="65"/>
      <c r="J299" s="17" t="str">
        <f t="shared" si="14"/>
        <v/>
      </c>
      <c r="L299" s="65">
        <f t="shared" si="15"/>
        <v>16711935</v>
      </c>
      <c r="N299" s="65">
        <v>1</v>
      </c>
      <c r="O299" s="65"/>
      <c r="P299" s="65"/>
      <c r="Q299" s="65"/>
      <c r="R299">
        <v>0</v>
      </c>
      <c r="S299">
        <v>1</v>
      </c>
    </row>
    <row r="300" spans="1:19">
      <c r="A300" s="80"/>
      <c r="B300" s="65"/>
      <c r="C300" s="65"/>
      <c r="D300" s="81"/>
      <c r="E300" s="81"/>
      <c r="F300" s="67"/>
      <c r="G300" s="66"/>
      <c r="H300" s="81"/>
      <c r="I300" s="65"/>
      <c r="J300" s="17" t="str">
        <f t="shared" si="14"/>
        <v/>
      </c>
      <c r="L300" s="65">
        <f t="shared" si="15"/>
        <v>16711935</v>
      </c>
      <c r="N300" s="65">
        <v>1</v>
      </c>
      <c r="O300" s="65"/>
      <c r="P300" s="65"/>
      <c r="Q300" s="65"/>
      <c r="R300">
        <v>0</v>
      </c>
      <c r="S300">
        <v>1</v>
      </c>
    </row>
    <row r="301" spans="1:19">
      <c r="A301" s="80"/>
      <c r="B301" s="65"/>
      <c r="C301" s="65"/>
      <c r="D301" s="81"/>
      <c r="E301" s="81"/>
      <c r="F301" s="67"/>
      <c r="G301" s="66"/>
      <c r="H301" s="81"/>
      <c r="I301" s="65"/>
      <c r="J301" s="17" t="str">
        <f t="shared" si="14"/>
        <v/>
      </c>
      <c r="L301" s="65">
        <f t="shared" si="15"/>
        <v>16711935</v>
      </c>
      <c r="N301" s="65">
        <v>1</v>
      </c>
      <c r="O301" s="65"/>
      <c r="P301" s="65"/>
      <c r="Q301" s="65"/>
      <c r="R301">
        <v>0</v>
      </c>
      <c r="S301">
        <v>1</v>
      </c>
    </row>
    <row r="302" spans="1:19">
      <c r="A302" s="80"/>
      <c r="B302" s="65"/>
      <c r="C302" s="65"/>
      <c r="D302" s="81"/>
      <c r="E302" s="81"/>
      <c r="F302" s="67"/>
      <c r="G302" s="66"/>
      <c r="H302" s="81"/>
      <c r="I302" s="65"/>
      <c r="J302" s="17" t="str">
        <f t="shared" si="14"/>
        <v/>
      </c>
      <c r="L302" s="65">
        <f t="shared" si="15"/>
        <v>16711935</v>
      </c>
      <c r="N302" s="65">
        <v>1</v>
      </c>
      <c r="O302" s="65"/>
      <c r="P302" s="65"/>
      <c r="Q302" s="65"/>
      <c r="R302">
        <v>0</v>
      </c>
      <c r="S302">
        <v>1</v>
      </c>
    </row>
    <row r="303" spans="1:19">
      <c r="A303" s="80"/>
      <c r="B303" s="65"/>
      <c r="C303" s="65"/>
      <c r="D303" s="81"/>
      <c r="E303" s="81"/>
      <c r="F303" s="67"/>
      <c r="G303" s="66"/>
      <c r="H303" s="81"/>
      <c r="I303" s="65"/>
      <c r="J303" s="17" t="str">
        <f t="shared" si="14"/>
        <v/>
      </c>
      <c r="L303" s="65">
        <f t="shared" si="15"/>
        <v>16711935</v>
      </c>
      <c r="N303" s="65">
        <v>1</v>
      </c>
      <c r="O303" s="65"/>
      <c r="P303" s="65"/>
      <c r="Q303" s="65"/>
      <c r="R303">
        <v>0</v>
      </c>
      <c r="S303">
        <v>1</v>
      </c>
    </row>
    <row r="304" spans="1:19">
      <c r="A304" s="80"/>
      <c r="B304" s="65"/>
      <c r="C304" s="65"/>
      <c r="D304" s="81"/>
      <c r="E304" s="81"/>
      <c r="F304" s="67"/>
      <c r="G304" s="66"/>
      <c r="H304" s="81"/>
      <c r="I304" s="65"/>
      <c r="J304" s="17" t="str">
        <f t="shared" si="14"/>
        <v/>
      </c>
      <c r="L304" s="65">
        <f t="shared" si="15"/>
        <v>16711935</v>
      </c>
      <c r="N304" s="65">
        <v>1</v>
      </c>
      <c r="O304" s="65"/>
      <c r="P304" s="65"/>
      <c r="Q304" s="65"/>
      <c r="R304">
        <v>0</v>
      </c>
      <c r="S304">
        <v>1</v>
      </c>
    </row>
    <row r="305" spans="1:19">
      <c r="A305" s="80"/>
      <c r="B305" s="65"/>
      <c r="C305" s="65"/>
      <c r="D305" s="81"/>
      <c r="E305" s="81"/>
      <c r="F305" s="67"/>
      <c r="G305" s="66"/>
      <c r="H305" s="81"/>
      <c r="I305" s="65"/>
      <c r="J305" s="17" t="str">
        <f t="shared" si="14"/>
        <v/>
      </c>
      <c r="L305" s="65">
        <f t="shared" si="15"/>
        <v>16711935</v>
      </c>
      <c r="N305" s="65">
        <v>1</v>
      </c>
      <c r="O305" s="65"/>
      <c r="P305" s="65"/>
      <c r="Q305" s="65"/>
      <c r="R305">
        <v>0</v>
      </c>
      <c r="S305">
        <v>1</v>
      </c>
    </row>
    <row r="306" spans="1:19">
      <c r="A306" s="80"/>
      <c r="B306" s="65"/>
      <c r="C306" s="65"/>
      <c r="D306" s="81"/>
      <c r="E306" s="81"/>
      <c r="F306" s="67"/>
      <c r="G306" s="66"/>
      <c r="H306" s="81"/>
      <c r="I306" s="65"/>
      <c r="J306" s="17" t="str">
        <f t="shared" si="14"/>
        <v/>
      </c>
      <c r="L306" s="65">
        <f t="shared" si="15"/>
        <v>16711935</v>
      </c>
      <c r="N306" s="65">
        <v>1</v>
      </c>
      <c r="O306" s="65"/>
      <c r="P306" s="65"/>
      <c r="Q306" s="65"/>
      <c r="R306">
        <v>0</v>
      </c>
      <c r="S306">
        <v>1</v>
      </c>
    </row>
    <row r="307" spans="1:19">
      <c r="A307" s="80"/>
      <c r="B307" s="65"/>
      <c r="C307" s="65"/>
      <c r="D307" s="81"/>
      <c r="E307" s="81"/>
      <c r="F307" s="67"/>
      <c r="G307" s="66"/>
      <c r="H307" s="81"/>
      <c r="I307" s="65"/>
      <c r="J307" s="17" t="str">
        <f t="shared" si="14"/>
        <v/>
      </c>
      <c r="L307" s="65">
        <f t="shared" si="15"/>
        <v>16711935</v>
      </c>
      <c r="N307" s="65">
        <v>1</v>
      </c>
      <c r="O307" s="65"/>
      <c r="P307" s="65"/>
      <c r="Q307" s="65"/>
      <c r="R307">
        <v>0</v>
      </c>
      <c r="S307">
        <v>1</v>
      </c>
    </row>
    <row r="308" spans="1:19">
      <c r="A308" s="80"/>
      <c r="B308" s="65"/>
      <c r="C308" s="65"/>
      <c r="D308" s="81"/>
      <c r="E308" s="81"/>
      <c r="F308" s="67"/>
      <c r="G308" s="66"/>
      <c r="H308" s="81"/>
      <c r="I308" s="65"/>
      <c r="J308" s="17" t="str">
        <f t="shared" si="14"/>
        <v/>
      </c>
      <c r="L308" s="65">
        <f t="shared" si="15"/>
        <v>16711935</v>
      </c>
      <c r="N308" s="65">
        <v>1</v>
      </c>
      <c r="O308" s="65"/>
      <c r="P308" s="65"/>
      <c r="Q308" s="65"/>
      <c r="R308">
        <v>0</v>
      </c>
      <c r="S308">
        <v>1</v>
      </c>
    </row>
    <row r="309" spans="1:19">
      <c r="A309" s="80"/>
      <c r="B309" s="65"/>
      <c r="C309" s="65"/>
      <c r="D309" s="81"/>
      <c r="E309" s="81"/>
      <c r="F309" s="67"/>
      <c r="G309" s="66"/>
      <c r="H309" s="81"/>
      <c r="I309" s="65"/>
      <c r="J309" s="17" t="str">
        <f t="shared" si="14"/>
        <v/>
      </c>
      <c r="L309" s="65">
        <f t="shared" si="15"/>
        <v>16711935</v>
      </c>
      <c r="N309" s="65">
        <v>1</v>
      </c>
      <c r="O309" s="65"/>
      <c r="P309" s="65"/>
      <c r="Q309" s="65"/>
      <c r="R309">
        <v>0</v>
      </c>
      <c r="S309">
        <v>1</v>
      </c>
    </row>
    <row r="310" spans="1:19">
      <c r="A310" s="80"/>
      <c r="B310" s="65"/>
      <c r="C310" s="65"/>
      <c r="D310" s="81"/>
      <c r="E310" s="81"/>
      <c r="F310" s="67"/>
      <c r="G310" s="66"/>
      <c r="H310" s="81"/>
      <c r="I310" s="65"/>
      <c r="J310" s="17" t="str">
        <f t="shared" si="14"/>
        <v/>
      </c>
      <c r="L310" s="65">
        <f t="shared" si="15"/>
        <v>16711935</v>
      </c>
      <c r="N310" s="65">
        <v>1</v>
      </c>
      <c r="O310" s="65"/>
      <c r="P310" s="65"/>
      <c r="Q310" s="65"/>
      <c r="R310">
        <v>0</v>
      </c>
      <c r="S310">
        <v>1</v>
      </c>
    </row>
    <row r="311" spans="1:19">
      <c r="A311" s="80"/>
      <c r="B311" s="65"/>
      <c r="C311" s="65"/>
      <c r="D311" s="81"/>
      <c r="E311" s="81"/>
      <c r="F311" s="67"/>
      <c r="G311" s="66"/>
      <c r="H311" s="81"/>
      <c r="I311" s="65"/>
      <c r="J311" s="17" t="str">
        <f t="shared" si="14"/>
        <v/>
      </c>
      <c r="L311" s="65">
        <f t="shared" si="15"/>
        <v>16711935</v>
      </c>
      <c r="N311" s="65">
        <v>1</v>
      </c>
      <c r="O311" s="65"/>
      <c r="P311" s="65"/>
      <c r="Q311" s="65"/>
      <c r="R311">
        <v>0</v>
      </c>
      <c r="S311">
        <v>1</v>
      </c>
    </row>
    <row r="312" spans="1:19">
      <c r="A312" s="80"/>
      <c r="B312" s="65"/>
      <c r="C312" s="65"/>
      <c r="D312" s="81"/>
      <c r="E312" s="81"/>
      <c r="F312" s="67"/>
      <c r="G312" s="66"/>
      <c r="H312" s="81"/>
      <c r="I312" s="65"/>
      <c r="J312" s="17" t="str">
        <f t="shared" si="14"/>
        <v/>
      </c>
      <c r="L312" s="65">
        <f t="shared" si="15"/>
        <v>16711935</v>
      </c>
      <c r="N312" s="65">
        <v>1</v>
      </c>
      <c r="O312" s="65"/>
      <c r="P312" s="65"/>
      <c r="Q312" s="65"/>
      <c r="R312">
        <v>0</v>
      </c>
      <c r="S312">
        <v>1</v>
      </c>
    </row>
    <row r="313" spans="1:19">
      <c r="A313" s="80"/>
      <c r="B313" s="65"/>
      <c r="C313" s="65"/>
      <c r="D313" s="81"/>
      <c r="E313" s="81"/>
      <c r="F313" s="67"/>
      <c r="G313" s="66"/>
      <c r="H313" s="81"/>
      <c r="I313" s="65"/>
      <c r="J313" s="17" t="str">
        <f t="shared" si="14"/>
        <v/>
      </c>
      <c r="L313" s="65">
        <f t="shared" si="15"/>
        <v>16711935</v>
      </c>
      <c r="N313" s="65">
        <v>1</v>
      </c>
      <c r="O313" s="65"/>
      <c r="P313" s="65"/>
      <c r="Q313" s="65"/>
      <c r="R313">
        <v>0</v>
      </c>
      <c r="S313">
        <v>1</v>
      </c>
    </row>
    <row r="314" spans="1:19">
      <c r="A314" s="80"/>
      <c r="B314" s="65"/>
      <c r="C314" s="65"/>
      <c r="D314" s="81"/>
      <c r="E314" s="81"/>
      <c r="F314" s="67"/>
      <c r="G314" s="66"/>
      <c r="H314" s="81"/>
      <c r="I314" s="65"/>
      <c r="J314" s="17" t="str">
        <f t="shared" si="14"/>
        <v/>
      </c>
      <c r="L314" s="65">
        <f t="shared" si="15"/>
        <v>16711935</v>
      </c>
      <c r="N314" s="65">
        <v>1</v>
      </c>
      <c r="O314" s="65"/>
      <c r="P314" s="65"/>
      <c r="Q314" s="65"/>
      <c r="R314">
        <v>0</v>
      </c>
      <c r="S314">
        <v>1</v>
      </c>
    </row>
    <row r="315" spans="1:19">
      <c r="A315" s="80"/>
      <c r="B315" s="65"/>
      <c r="C315" s="65"/>
      <c r="D315" s="81"/>
      <c r="E315" s="81"/>
      <c r="F315" s="67"/>
      <c r="G315" s="66"/>
      <c r="H315" s="81"/>
      <c r="I315" s="65"/>
      <c r="J315" s="17" t="str">
        <f t="shared" si="14"/>
        <v/>
      </c>
      <c r="L315" s="65">
        <f t="shared" si="15"/>
        <v>16711935</v>
      </c>
      <c r="N315" s="65">
        <v>1</v>
      </c>
      <c r="O315" s="65"/>
      <c r="P315" s="65"/>
      <c r="Q315" s="65"/>
      <c r="R315">
        <v>0</v>
      </c>
      <c r="S315">
        <v>1</v>
      </c>
    </row>
    <row r="316" spans="1:19">
      <c r="A316" s="80"/>
      <c r="B316" s="65"/>
      <c r="C316" s="65"/>
      <c r="D316" s="81"/>
      <c r="E316" s="81"/>
      <c r="F316" s="67"/>
      <c r="G316" s="66"/>
      <c r="H316" s="81"/>
      <c r="I316" s="65"/>
      <c r="J316" s="17" t="str">
        <f t="shared" si="14"/>
        <v/>
      </c>
      <c r="L316" s="65">
        <f t="shared" si="15"/>
        <v>16711935</v>
      </c>
      <c r="N316" s="65">
        <v>1</v>
      </c>
      <c r="O316" s="65"/>
      <c r="P316" s="65"/>
      <c r="Q316" s="65"/>
      <c r="R316">
        <v>0</v>
      </c>
      <c r="S316">
        <v>1</v>
      </c>
    </row>
    <row r="317" spans="1:19">
      <c r="A317" s="80"/>
      <c r="B317" s="65"/>
      <c r="C317" s="65"/>
      <c r="D317" s="81"/>
      <c r="E317" s="81"/>
      <c r="F317" s="67"/>
      <c r="G317" s="66"/>
      <c r="H317" s="81"/>
      <c r="I317" s="65"/>
      <c r="J317" s="17" t="str">
        <f t="shared" si="14"/>
        <v/>
      </c>
      <c r="L317" s="65">
        <f t="shared" si="15"/>
        <v>16711935</v>
      </c>
      <c r="N317" s="65">
        <v>1</v>
      </c>
      <c r="O317" s="65"/>
      <c r="P317" s="65"/>
      <c r="Q317" s="65"/>
      <c r="R317">
        <v>0</v>
      </c>
      <c r="S317">
        <v>1</v>
      </c>
    </row>
    <row r="318" spans="1:19">
      <c r="A318" s="80"/>
      <c r="B318" s="65"/>
      <c r="C318" s="65"/>
      <c r="D318" s="81"/>
      <c r="E318" s="81"/>
      <c r="F318" s="67"/>
      <c r="G318" s="66"/>
      <c r="H318" s="81"/>
      <c r="I318" s="65"/>
      <c r="J318" s="17" t="str">
        <f t="shared" si="14"/>
        <v/>
      </c>
      <c r="L318" s="65">
        <f t="shared" si="15"/>
        <v>16711935</v>
      </c>
      <c r="N318" s="65">
        <v>1</v>
      </c>
      <c r="O318" s="65"/>
      <c r="P318" s="65"/>
      <c r="Q318" s="65"/>
      <c r="R318">
        <v>0</v>
      </c>
      <c r="S318">
        <v>1</v>
      </c>
    </row>
    <row r="319" spans="1:19">
      <c r="A319" s="80"/>
      <c r="B319" s="65"/>
      <c r="C319" s="65"/>
      <c r="D319" s="81"/>
      <c r="E319" s="81"/>
      <c r="F319" s="67"/>
      <c r="G319" s="66"/>
      <c r="H319" s="81"/>
      <c r="I319" s="65"/>
      <c r="J319" s="17" t="str">
        <f t="shared" si="14"/>
        <v/>
      </c>
      <c r="L319" s="65">
        <f t="shared" si="15"/>
        <v>16711935</v>
      </c>
      <c r="N319" s="65">
        <v>1</v>
      </c>
      <c r="O319" s="65"/>
      <c r="P319" s="65"/>
      <c r="Q319" s="65"/>
      <c r="R319">
        <v>0</v>
      </c>
      <c r="S319">
        <v>1</v>
      </c>
    </row>
    <row r="320" spans="1:19">
      <c r="A320" s="80"/>
      <c r="B320" s="65"/>
      <c r="C320" s="65"/>
      <c r="D320" s="81"/>
      <c r="E320" s="81"/>
      <c r="F320" s="67"/>
      <c r="G320" s="66"/>
      <c r="H320" s="81"/>
      <c r="I320" s="65"/>
      <c r="J320" s="17" t="str">
        <f t="shared" si="14"/>
        <v/>
      </c>
      <c r="L320" s="65">
        <f t="shared" si="15"/>
        <v>16711935</v>
      </c>
      <c r="N320" s="65">
        <v>1</v>
      </c>
      <c r="O320" s="65"/>
      <c r="P320" s="65"/>
      <c r="Q320" s="65"/>
      <c r="R320">
        <v>0</v>
      </c>
      <c r="S320">
        <v>1</v>
      </c>
    </row>
    <row r="321" spans="1:19">
      <c r="A321" s="80"/>
      <c r="B321" s="65"/>
      <c r="C321" s="65"/>
      <c r="D321" s="81"/>
      <c r="E321" s="81"/>
      <c r="F321" s="67"/>
      <c r="G321" s="66"/>
      <c r="H321" s="81"/>
      <c r="I321" s="65"/>
      <c r="J321" s="17" t="str">
        <f t="shared" si="14"/>
        <v/>
      </c>
      <c r="L321" s="65">
        <f t="shared" si="15"/>
        <v>16711935</v>
      </c>
      <c r="N321" s="65">
        <v>1</v>
      </c>
      <c r="O321" s="65"/>
      <c r="P321" s="65"/>
      <c r="Q321" s="65"/>
      <c r="R321">
        <v>0</v>
      </c>
      <c r="S321">
        <v>1</v>
      </c>
    </row>
    <row r="322" spans="1:19">
      <c r="A322" s="80"/>
      <c r="B322" s="65"/>
      <c r="C322" s="65"/>
      <c r="D322" s="81"/>
      <c r="E322" s="81"/>
      <c r="F322" s="67"/>
      <c r="G322" s="66"/>
      <c r="H322" s="81"/>
      <c r="I322" s="65"/>
      <c r="J322" s="17" t="str">
        <f t="shared" si="14"/>
        <v/>
      </c>
      <c r="L322" s="65">
        <f t="shared" si="15"/>
        <v>16711935</v>
      </c>
      <c r="N322" s="65">
        <v>1</v>
      </c>
      <c r="O322" s="65"/>
      <c r="P322" s="65"/>
      <c r="Q322" s="65"/>
      <c r="R322">
        <v>0</v>
      </c>
      <c r="S322">
        <v>1</v>
      </c>
    </row>
    <row r="323" spans="1:19">
      <c r="A323" s="80"/>
      <c r="B323" s="65"/>
      <c r="C323" s="65"/>
      <c r="D323" s="81"/>
      <c r="E323" s="81"/>
      <c r="F323" s="67"/>
      <c r="G323" s="66"/>
      <c r="H323" s="81"/>
      <c r="I323" s="65"/>
      <c r="J323" s="17" t="str">
        <f t="shared" si="14"/>
        <v/>
      </c>
      <c r="L323" s="65">
        <f t="shared" si="15"/>
        <v>16711935</v>
      </c>
      <c r="N323" s="65">
        <v>1</v>
      </c>
      <c r="O323" s="65"/>
      <c r="P323" s="65"/>
      <c r="Q323" s="65"/>
      <c r="R323">
        <v>0</v>
      </c>
      <c r="S323">
        <v>1</v>
      </c>
    </row>
    <row r="324" spans="1:19">
      <c r="A324" s="80"/>
      <c r="B324" s="65"/>
      <c r="C324" s="65"/>
      <c r="D324" s="81"/>
      <c r="E324" s="81"/>
      <c r="F324" s="67"/>
      <c r="G324" s="66"/>
      <c r="H324" s="81"/>
      <c r="I324" s="65"/>
      <c r="J324" s="17" t="str">
        <f t="shared" si="14"/>
        <v/>
      </c>
      <c r="L324" s="65">
        <f t="shared" si="15"/>
        <v>16711935</v>
      </c>
      <c r="N324" s="65">
        <v>1</v>
      </c>
      <c r="O324" s="65"/>
      <c r="P324" s="65"/>
      <c r="Q324" s="65"/>
      <c r="R324">
        <v>0</v>
      </c>
      <c r="S324">
        <v>1</v>
      </c>
    </row>
    <row r="325" spans="1:19">
      <c r="A325" s="80"/>
      <c r="B325" s="65"/>
      <c r="C325" s="65"/>
      <c r="D325" s="81"/>
      <c r="E325" s="81"/>
      <c r="F325" s="67"/>
      <c r="G325" s="66"/>
      <c r="H325" s="81"/>
      <c r="I325" s="65"/>
      <c r="J325" s="17" t="str">
        <f t="shared" si="14"/>
        <v/>
      </c>
      <c r="L325" s="65">
        <f t="shared" si="15"/>
        <v>16711935</v>
      </c>
      <c r="N325" s="65">
        <v>1</v>
      </c>
      <c r="O325" s="65"/>
      <c r="P325" s="65"/>
      <c r="Q325" s="65"/>
      <c r="R325">
        <v>0</v>
      </c>
      <c r="S325">
        <v>1</v>
      </c>
    </row>
    <row r="326" spans="1:19">
      <c r="A326" s="80"/>
      <c r="B326" s="65"/>
      <c r="C326" s="65"/>
      <c r="D326" s="81"/>
      <c r="E326" s="81"/>
      <c r="F326" s="67"/>
      <c r="G326" s="66"/>
      <c r="H326" s="81"/>
      <c r="I326" s="65"/>
      <c r="J326" s="17" t="str">
        <f t="shared" ref="J326:J389" si="16">IF(LEN(B326)&gt;0,SUBSTITUTE(B326, "'", " ")&amp;" - "&amp;SUBSTITUTE(C326, "'"," ")&amp;";"&amp;A326&amp;";"&amp;N326&amp;";"&amp;O326&amp;";"&amp;P326&amp;";"&amp;L326&amp;";"&amp;E326&amp;";"&amp;F326&amp;";"&amp;Q326&amp;";"&amp;IF(LEN(G326)=0,"1.000",IFERROR(REPLACE(FIXED(G326,3,1),2,1,"."),))&amp;";"&amp;H326&amp;";"&amp;I326&amp;";"&amp;R326&amp;";"&amp;S326&amp;";","")</f>
        <v/>
      </c>
      <c r="L326" s="65">
        <f t="shared" si="15"/>
        <v>16711935</v>
      </c>
      <c r="N326" s="65">
        <v>1</v>
      </c>
      <c r="O326" s="65"/>
      <c r="P326" s="65"/>
      <c r="Q326" s="65"/>
      <c r="R326">
        <v>0</v>
      </c>
      <c r="S326">
        <v>1</v>
      </c>
    </row>
    <row r="327" spans="1:19">
      <c r="A327" s="80"/>
      <c r="B327" s="65"/>
      <c r="C327" s="65"/>
      <c r="D327" s="81"/>
      <c r="E327" s="81"/>
      <c r="F327" s="67"/>
      <c r="G327" s="66"/>
      <c r="H327" s="81"/>
      <c r="I327" s="65"/>
      <c r="J327" s="17" t="str">
        <f t="shared" si="16"/>
        <v/>
      </c>
      <c r="L327" s="65">
        <f t="shared" si="15"/>
        <v>16711935</v>
      </c>
      <c r="N327" s="65">
        <v>1</v>
      </c>
      <c r="O327" s="65"/>
      <c r="P327" s="65"/>
      <c r="Q327" s="65"/>
      <c r="R327">
        <v>0</v>
      </c>
      <c r="S327">
        <v>1</v>
      </c>
    </row>
    <row r="328" spans="1:19">
      <c r="A328" s="80"/>
      <c r="B328" s="65"/>
      <c r="C328" s="65"/>
      <c r="D328" s="81"/>
      <c r="E328" s="81"/>
      <c r="F328" s="67"/>
      <c r="G328" s="66"/>
      <c r="H328" s="81"/>
      <c r="I328" s="65"/>
      <c r="J328" s="17" t="str">
        <f t="shared" si="16"/>
        <v/>
      </c>
      <c r="L328" s="65">
        <f t="shared" ref="L328:L391" si="17">IFERROR(VLOOKUP(D328,ColorsTable,2,FALSE),16711935)</f>
        <v>16711935</v>
      </c>
      <c r="N328" s="65">
        <v>1</v>
      </c>
      <c r="O328" s="65"/>
      <c r="P328" s="65"/>
      <c r="Q328" s="65"/>
      <c r="R328">
        <v>0</v>
      </c>
      <c r="S328">
        <v>1</v>
      </c>
    </row>
    <row r="329" spans="1:19">
      <c r="A329" s="80"/>
      <c r="B329" s="65"/>
      <c r="C329" s="65"/>
      <c r="D329" s="81"/>
      <c r="E329" s="81"/>
      <c r="F329" s="67"/>
      <c r="G329" s="66"/>
      <c r="H329" s="81"/>
      <c r="I329" s="65"/>
      <c r="J329" s="17" t="str">
        <f t="shared" si="16"/>
        <v/>
      </c>
      <c r="L329" s="65">
        <f t="shared" si="17"/>
        <v>16711935</v>
      </c>
      <c r="N329" s="65">
        <v>1</v>
      </c>
      <c r="O329" s="65"/>
      <c r="P329" s="65"/>
      <c r="Q329" s="65"/>
      <c r="R329">
        <v>0</v>
      </c>
      <c r="S329">
        <v>1</v>
      </c>
    </row>
    <row r="330" spans="1:19">
      <c r="A330" s="80"/>
      <c r="B330" s="65"/>
      <c r="C330" s="65"/>
      <c r="D330" s="81"/>
      <c r="E330" s="81"/>
      <c r="F330" s="67"/>
      <c r="G330" s="66"/>
      <c r="H330" s="81"/>
      <c r="I330" s="65"/>
      <c r="J330" s="17" t="str">
        <f t="shared" si="16"/>
        <v/>
      </c>
      <c r="L330" s="65">
        <f t="shared" si="17"/>
        <v>16711935</v>
      </c>
      <c r="N330" s="65">
        <v>1</v>
      </c>
      <c r="O330" s="65"/>
      <c r="P330" s="65"/>
      <c r="Q330" s="65"/>
      <c r="R330">
        <v>0</v>
      </c>
      <c r="S330">
        <v>1</v>
      </c>
    </row>
    <row r="331" spans="1:19">
      <c r="A331" s="80"/>
      <c r="B331" s="65"/>
      <c r="C331" s="65"/>
      <c r="D331" s="81"/>
      <c r="E331" s="81"/>
      <c r="F331" s="67"/>
      <c r="G331" s="66"/>
      <c r="H331" s="81"/>
      <c r="I331" s="65"/>
      <c r="J331" s="17" t="str">
        <f t="shared" si="16"/>
        <v/>
      </c>
      <c r="L331" s="65">
        <f t="shared" si="17"/>
        <v>16711935</v>
      </c>
      <c r="N331" s="65">
        <v>1</v>
      </c>
      <c r="O331" s="65"/>
      <c r="P331" s="65"/>
      <c r="Q331" s="65"/>
      <c r="R331">
        <v>0</v>
      </c>
      <c r="S331">
        <v>1</v>
      </c>
    </row>
    <row r="332" spans="1:19">
      <c r="A332" s="80"/>
      <c r="B332" s="65"/>
      <c r="C332" s="65"/>
      <c r="D332" s="81"/>
      <c r="E332" s="81"/>
      <c r="F332" s="67"/>
      <c r="G332" s="66"/>
      <c r="H332" s="81"/>
      <c r="I332" s="65"/>
      <c r="J332" s="17" t="str">
        <f t="shared" si="16"/>
        <v/>
      </c>
      <c r="L332" s="65">
        <f t="shared" si="17"/>
        <v>16711935</v>
      </c>
      <c r="N332" s="65">
        <v>1</v>
      </c>
      <c r="O332" s="65"/>
      <c r="P332" s="65"/>
      <c r="Q332" s="65"/>
      <c r="R332">
        <v>0</v>
      </c>
      <c r="S332">
        <v>1</v>
      </c>
    </row>
    <row r="333" spans="1:19">
      <c r="A333" s="80"/>
      <c r="B333" s="65"/>
      <c r="C333" s="65"/>
      <c r="D333" s="81"/>
      <c r="E333" s="81"/>
      <c r="F333" s="67"/>
      <c r="G333" s="66"/>
      <c r="H333" s="81"/>
      <c r="I333" s="65"/>
      <c r="J333" s="17" t="str">
        <f t="shared" si="16"/>
        <v/>
      </c>
      <c r="L333" s="65">
        <f t="shared" si="17"/>
        <v>16711935</v>
      </c>
      <c r="N333" s="65">
        <v>1</v>
      </c>
      <c r="O333" s="65"/>
      <c r="P333" s="65"/>
      <c r="Q333" s="65"/>
      <c r="R333">
        <v>0</v>
      </c>
      <c r="S333">
        <v>1</v>
      </c>
    </row>
    <row r="334" spans="1:19">
      <c r="A334" s="80"/>
      <c r="B334" s="65"/>
      <c r="C334" s="65"/>
      <c r="D334" s="81"/>
      <c r="E334" s="81"/>
      <c r="F334" s="67"/>
      <c r="G334" s="66"/>
      <c r="H334" s="81"/>
      <c r="I334" s="65"/>
      <c r="J334" s="17" t="str">
        <f t="shared" si="16"/>
        <v/>
      </c>
      <c r="L334" s="65">
        <f t="shared" si="17"/>
        <v>16711935</v>
      </c>
      <c r="N334" s="65">
        <v>1</v>
      </c>
      <c r="O334" s="65"/>
      <c r="P334" s="65"/>
      <c r="Q334" s="65"/>
      <c r="R334">
        <v>0</v>
      </c>
      <c r="S334">
        <v>1</v>
      </c>
    </row>
    <row r="335" spans="1:19">
      <c r="A335" s="80"/>
      <c r="B335" s="65"/>
      <c r="C335" s="65"/>
      <c r="D335" s="81"/>
      <c r="E335" s="81"/>
      <c r="F335" s="67"/>
      <c r="G335" s="66"/>
      <c r="H335" s="81"/>
      <c r="I335" s="65"/>
      <c r="J335" s="17" t="str">
        <f t="shared" si="16"/>
        <v/>
      </c>
      <c r="L335" s="65">
        <f t="shared" si="17"/>
        <v>16711935</v>
      </c>
      <c r="N335" s="65">
        <v>1</v>
      </c>
      <c r="O335" s="65"/>
      <c r="P335" s="65"/>
      <c r="Q335" s="65"/>
      <c r="R335">
        <v>0</v>
      </c>
      <c r="S335">
        <v>1</v>
      </c>
    </row>
    <row r="336" spans="1:19">
      <c r="A336" s="80"/>
      <c r="B336" s="65"/>
      <c r="C336" s="65"/>
      <c r="D336" s="81"/>
      <c r="E336" s="81"/>
      <c r="F336" s="67"/>
      <c r="G336" s="66"/>
      <c r="H336" s="81"/>
      <c r="I336" s="65"/>
      <c r="J336" s="17" t="str">
        <f t="shared" si="16"/>
        <v/>
      </c>
      <c r="L336" s="65">
        <f t="shared" si="17"/>
        <v>16711935</v>
      </c>
      <c r="N336" s="65">
        <v>1</v>
      </c>
      <c r="O336" s="65"/>
      <c r="P336" s="65"/>
      <c r="Q336" s="65"/>
      <c r="R336">
        <v>0</v>
      </c>
      <c r="S336">
        <v>1</v>
      </c>
    </row>
    <row r="337" spans="1:19">
      <c r="A337" s="80"/>
      <c r="B337" s="65"/>
      <c r="C337" s="65"/>
      <c r="D337" s="81"/>
      <c r="E337" s="81"/>
      <c r="F337" s="67"/>
      <c r="G337" s="66"/>
      <c r="H337" s="81"/>
      <c r="I337" s="65"/>
      <c r="J337" s="17" t="str">
        <f t="shared" si="16"/>
        <v/>
      </c>
      <c r="L337" s="65">
        <f t="shared" si="17"/>
        <v>16711935</v>
      </c>
      <c r="N337" s="65">
        <v>1</v>
      </c>
      <c r="O337" s="65"/>
      <c r="P337" s="65"/>
      <c r="Q337" s="65"/>
      <c r="R337">
        <v>0</v>
      </c>
      <c r="S337">
        <v>1</v>
      </c>
    </row>
    <row r="338" spans="1:19">
      <c r="A338" s="80"/>
      <c r="B338" s="65"/>
      <c r="C338" s="65"/>
      <c r="D338" s="81"/>
      <c r="E338" s="81"/>
      <c r="F338" s="67"/>
      <c r="G338" s="66"/>
      <c r="H338" s="81"/>
      <c r="I338" s="65"/>
      <c r="J338" s="17" t="str">
        <f t="shared" si="16"/>
        <v/>
      </c>
      <c r="L338" s="65">
        <f t="shared" si="17"/>
        <v>16711935</v>
      </c>
      <c r="N338" s="65">
        <v>1</v>
      </c>
      <c r="O338" s="65"/>
      <c r="P338" s="65"/>
      <c r="Q338" s="65"/>
      <c r="R338">
        <v>0</v>
      </c>
      <c r="S338">
        <v>1</v>
      </c>
    </row>
    <row r="339" spans="1:19">
      <c r="A339" s="80"/>
      <c r="B339" s="65"/>
      <c r="C339" s="65"/>
      <c r="D339" s="81"/>
      <c r="E339" s="81"/>
      <c r="F339" s="67"/>
      <c r="G339" s="66"/>
      <c r="H339" s="81"/>
      <c r="I339" s="65"/>
      <c r="J339" s="17" t="str">
        <f t="shared" si="16"/>
        <v/>
      </c>
      <c r="L339" s="65">
        <f t="shared" si="17"/>
        <v>16711935</v>
      </c>
      <c r="N339" s="65">
        <v>1</v>
      </c>
      <c r="O339" s="65"/>
      <c r="P339" s="65"/>
      <c r="Q339" s="65"/>
      <c r="R339">
        <v>0</v>
      </c>
      <c r="S339">
        <v>1</v>
      </c>
    </row>
    <row r="340" spans="1:19">
      <c r="A340" s="80"/>
      <c r="B340" s="65"/>
      <c r="C340" s="65"/>
      <c r="D340" s="81"/>
      <c r="E340" s="81"/>
      <c r="F340" s="67"/>
      <c r="G340" s="66"/>
      <c r="H340" s="81"/>
      <c r="I340" s="65"/>
      <c r="J340" s="17" t="str">
        <f t="shared" si="16"/>
        <v/>
      </c>
      <c r="L340" s="65">
        <f t="shared" si="17"/>
        <v>16711935</v>
      </c>
      <c r="N340" s="65">
        <v>1</v>
      </c>
      <c r="O340" s="65"/>
      <c r="P340" s="65"/>
      <c r="Q340" s="65"/>
      <c r="R340">
        <v>0</v>
      </c>
      <c r="S340">
        <v>1</v>
      </c>
    </row>
    <row r="341" spans="1:19">
      <c r="A341" s="80"/>
      <c r="B341" s="65"/>
      <c r="C341" s="65"/>
      <c r="D341" s="81"/>
      <c r="E341" s="81"/>
      <c r="F341" s="67"/>
      <c r="G341" s="66"/>
      <c r="H341" s="81"/>
      <c r="I341" s="65"/>
      <c r="J341" s="17" t="str">
        <f t="shared" si="16"/>
        <v/>
      </c>
      <c r="L341" s="65">
        <f t="shared" si="17"/>
        <v>16711935</v>
      </c>
      <c r="N341" s="65">
        <v>1</v>
      </c>
      <c r="O341" s="65"/>
      <c r="P341" s="65"/>
      <c r="Q341" s="65"/>
      <c r="R341">
        <v>0</v>
      </c>
      <c r="S341">
        <v>1</v>
      </c>
    </row>
    <row r="342" spans="1:19">
      <c r="A342" s="80"/>
      <c r="B342" s="65"/>
      <c r="C342" s="65"/>
      <c r="D342" s="81"/>
      <c r="E342" s="81"/>
      <c r="F342" s="67"/>
      <c r="G342" s="66"/>
      <c r="H342" s="81"/>
      <c r="I342" s="65"/>
      <c r="J342" s="17" t="str">
        <f t="shared" si="16"/>
        <v/>
      </c>
      <c r="L342" s="65">
        <f t="shared" si="17"/>
        <v>16711935</v>
      </c>
      <c r="N342" s="65">
        <v>1</v>
      </c>
      <c r="O342" s="65"/>
      <c r="P342" s="65"/>
      <c r="Q342" s="65"/>
      <c r="R342">
        <v>0</v>
      </c>
      <c r="S342">
        <v>1</v>
      </c>
    </row>
    <row r="343" spans="1:19">
      <c r="A343" s="80"/>
      <c r="B343" s="65"/>
      <c r="C343" s="65"/>
      <c r="D343" s="81"/>
      <c r="E343" s="81"/>
      <c r="F343" s="67"/>
      <c r="G343" s="66"/>
      <c r="H343" s="81"/>
      <c r="I343" s="65"/>
      <c r="J343" s="17" t="str">
        <f t="shared" si="16"/>
        <v/>
      </c>
      <c r="L343" s="65">
        <f t="shared" si="17"/>
        <v>16711935</v>
      </c>
      <c r="N343" s="65">
        <v>1</v>
      </c>
      <c r="O343" s="65"/>
      <c r="P343" s="65"/>
      <c r="Q343" s="65"/>
      <c r="R343">
        <v>0</v>
      </c>
      <c r="S343">
        <v>1</v>
      </c>
    </row>
    <row r="344" spans="1:19">
      <c r="A344" s="80"/>
      <c r="B344" s="65"/>
      <c r="C344" s="65"/>
      <c r="D344" s="81"/>
      <c r="E344" s="81"/>
      <c r="F344" s="67"/>
      <c r="G344" s="66"/>
      <c r="H344" s="81"/>
      <c r="I344" s="65"/>
      <c r="J344" s="17" t="str">
        <f t="shared" si="16"/>
        <v/>
      </c>
      <c r="L344" s="65">
        <f t="shared" si="17"/>
        <v>16711935</v>
      </c>
      <c r="N344" s="65">
        <v>1</v>
      </c>
      <c r="O344" s="65"/>
      <c r="P344" s="65"/>
      <c r="Q344" s="65"/>
      <c r="R344">
        <v>0</v>
      </c>
      <c r="S344">
        <v>1</v>
      </c>
    </row>
    <row r="345" spans="1:19">
      <c r="A345" s="80"/>
      <c r="B345" s="65"/>
      <c r="C345" s="65"/>
      <c r="D345" s="81"/>
      <c r="E345" s="81"/>
      <c r="F345" s="67"/>
      <c r="G345" s="66"/>
      <c r="H345" s="81"/>
      <c r="I345" s="65"/>
      <c r="J345" s="17" t="str">
        <f t="shared" si="16"/>
        <v/>
      </c>
      <c r="L345" s="65">
        <f t="shared" si="17"/>
        <v>16711935</v>
      </c>
      <c r="N345" s="65">
        <v>1</v>
      </c>
      <c r="O345" s="65"/>
      <c r="P345" s="65"/>
      <c r="Q345" s="65"/>
      <c r="R345">
        <v>0</v>
      </c>
      <c r="S345">
        <v>1</v>
      </c>
    </row>
    <row r="346" spans="1:19">
      <c r="A346" s="80"/>
      <c r="B346" s="65"/>
      <c r="C346" s="65"/>
      <c r="D346" s="81"/>
      <c r="E346" s="81"/>
      <c r="F346" s="67"/>
      <c r="G346" s="66"/>
      <c r="H346" s="81"/>
      <c r="I346" s="65"/>
      <c r="J346" s="17" t="str">
        <f t="shared" si="16"/>
        <v/>
      </c>
      <c r="L346" s="65">
        <f t="shared" si="17"/>
        <v>16711935</v>
      </c>
      <c r="N346" s="65">
        <v>1</v>
      </c>
      <c r="O346" s="65"/>
      <c r="P346" s="65"/>
      <c r="Q346" s="65"/>
      <c r="R346">
        <v>0</v>
      </c>
      <c r="S346">
        <v>1</v>
      </c>
    </row>
    <row r="347" spans="1:19">
      <c r="A347" s="80"/>
      <c r="B347" s="65"/>
      <c r="C347" s="65"/>
      <c r="D347" s="81"/>
      <c r="E347" s="81"/>
      <c r="F347" s="67"/>
      <c r="G347" s="66"/>
      <c r="H347" s="81"/>
      <c r="I347" s="65"/>
      <c r="J347" s="17" t="str">
        <f t="shared" si="16"/>
        <v/>
      </c>
      <c r="L347" s="65">
        <f t="shared" si="17"/>
        <v>16711935</v>
      </c>
      <c r="N347" s="65">
        <v>1</v>
      </c>
      <c r="O347" s="65"/>
      <c r="P347" s="65"/>
      <c r="Q347" s="65"/>
      <c r="R347">
        <v>0</v>
      </c>
      <c r="S347">
        <v>1</v>
      </c>
    </row>
    <row r="348" spans="1:19">
      <c r="A348" s="80"/>
      <c r="B348" s="65"/>
      <c r="C348" s="65"/>
      <c r="D348" s="81"/>
      <c r="E348" s="81"/>
      <c r="F348" s="67"/>
      <c r="G348" s="66"/>
      <c r="H348" s="81"/>
      <c r="I348" s="65"/>
      <c r="J348" s="17" t="str">
        <f t="shared" si="16"/>
        <v/>
      </c>
      <c r="L348" s="65">
        <f t="shared" si="17"/>
        <v>16711935</v>
      </c>
      <c r="N348" s="65">
        <v>1</v>
      </c>
      <c r="O348" s="65"/>
      <c r="P348" s="65"/>
      <c r="Q348" s="65"/>
      <c r="R348">
        <v>0</v>
      </c>
      <c r="S348">
        <v>1</v>
      </c>
    </row>
    <row r="349" spans="1:19">
      <c r="A349" s="80"/>
      <c r="B349" s="65"/>
      <c r="C349" s="65"/>
      <c r="D349" s="81"/>
      <c r="E349" s="81"/>
      <c r="F349" s="67"/>
      <c r="G349" s="66"/>
      <c r="H349" s="81"/>
      <c r="I349" s="65"/>
      <c r="J349" s="17" t="str">
        <f t="shared" si="16"/>
        <v/>
      </c>
      <c r="L349" s="65">
        <f t="shared" si="17"/>
        <v>16711935</v>
      </c>
      <c r="N349" s="65">
        <v>1</v>
      </c>
      <c r="O349" s="65"/>
      <c r="P349" s="65"/>
      <c r="Q349" s="65"/>
      <c r="R349">
        <v>0</v>
      </c>
      <c r="S349">
        <v>1</v>
      </c>
    </row>
    <row r="350" spans="1:19">
      <c r="A350" s="80"/>
      <c r="B350" s="65"/>
      <c r="C350" s="65"/>
      <c r="D350" s="81"/>
      <c r="E350" s="81"/>
      <c r="F350" s="67"/>
      <c r="G350" s="66"/>
      <c r="H350" s="81"/>
      <c r="I350" s="65"/>
      <c r="J350" s="17" t="str">
        <f t="shared" si="16"/>
        <v/>
      </c>
      <c r="L350" s="65">
        <f t="shared" si="17"/>
        <v>16711935</v>
      </c>
      <c r="N350" s="65">
        <v>1</v>
      </c>
      <c r="O350" s="65"/>
      <c r="P350" s="65"/>
      <c r="Q350" s="65"/>
      <c r="R350">
        <v>0</v>
      </c>
      <c r="S350">
        <v>1</v>
      </c>
    </row>
    <row r="351" spans="1:19">
      <c r="A351" s="80"/>
      <c r="B351" s="65"/>
      <c r="C351" s="65"/>
      <c r="D351" s="81"/>
      <c r="E351" s="81"/>
      <c r="F351" s="67"/>
      <c r="G351" s="66"/>
      <c r="H351" s="81"/>
      <c r="I351" s="65"/>
      <c r="J351" s="17" t="str">
        <f t="shared" si="16"/>
        <v/>
      </c>
      <c r="L351" s="65">
        <f t="shared" si="17"/>
        <v>16711935</v>
      </c>
      <c r="N351" s="65">
        <v>1</v>
      </c>
      <c r="O351" s="65"/>
      <c r="P351" s="65"/>
      <c r="Q351" s="65"/>
      <c r="R351">
        <v>0</v>
      </c>
      <c r="S351">
        <v>1</v>
      </c>
    </row>
    <row r="352" spans="1:19">
      <c r="A352" s="80"/>
      <c r="B352" s="65"/>
      <c r="C352" s="65"/>
      <c r="D352" s="81"/>
      <c r="E352" s="81"/>
      <c r="F352" s="67"/>
      <c r="G352" s="66"/>
      <c r="H352" s="81"/>
      <c r="I352" s="65"/>
      <c r="J352" s="17" t="str">
        <f t="shared" si="16"/>
        <v/>
      </c>
      <c r="L352" s="65">
        <f t="shared" si="17"/>
        <v>16711935</v>
      </c>
      <c r="N352" s="65">
        <v>1</v>
      </c>
      <c r="O352" s="65"/>
      <c r="P352" s="65"/>
      <c r="Q352" s="65"/>
      <c r="R352">
        <v>0</v>
      </c>
      <c r="S352">
        <v>1</v>
      </c>
    </row>
    <row r="353" spans="1:19">
      <c r="A353" s="80"/>
      <c r="B353" s="65"/>
      <c r="C353" s="65"/>
      <c r="D353" s="81"/>
      <c r="E353" s="81"/>
      <c r="F353" s="67"/>
      <c r="G353" s="66"/>
      <c r="H353" s="81"/>
      <c r="I353" s="65"/>
      <c r="J353" s="17" t="str">
        <f t="shared" si="16"/>
        <v/>
      </c>
      <c r="L353" s="65">
        <f t="shared" si="17"/>
        <v>16711935</v>
      </c>
      <c r="N353" s="65">
        <v>1</v>
      </c>
      <c r="O353" s="65"/>
      <c r="P353" s="65"/>
      <c r="Q353" s="65"/>
      <c r="R353">
        <v>0</v>
      </c>
      <c r="S353">
        <v>1</v>
      </c>
    </row>
    <row r="354" spans="1:19">
      <c r="A354" s="80"/>
      <c r="B354" s="65"/>
      <c r="C354" s="65"/>
      <c r="D354" s="81"/>
      <c r="E354" s="81"/>
      <c r="F354" s="67"/>
      <c r="G354" s="66"/>
      <c r="H354" s="81"/>
      <c r="I354" s="65"/>
      <c r="J354" s="17" t="str">
        <f t="shared" si="16"/>
        <v/>
      </c>
      <c r="L354" s="65">
        <f t="shared" si="17"/>
        <v>16711935</v>
      </c>
      <c r="N354" s="65">
        <v>1</v>
      </c>
      <c r="O354" s="65"/>
      <c r="P354" s="65"/>
      <c r="Q354" s="65"/>
      <c r="R354">
        <v>0</v>
      </c>
      <c r="S354">
        <v>1</v>
      </c>
    </row>
    <row r="355" spans="1:19">
      <c r="A355" s="80"/>
      <c r="B355" s="65"/>
      <c r="C355" s="65"/>
      <c r="D355" s="81"/>
      <c r="E355" s="81"/>
      <c r="F355" s="67"/>
      <c r="G355" s="66"/>
      <c r="H355" s="81"/>
      <c r="I355" s="65"/>
      <c r="J355" s="17" t="str">
        <f t="shared" si="16"/>
        <v/>
      </c>
      <c r="L355" s="65">
        <f t="shared" si="17"/>
        <v>16711935</v>
      </c>
      <c r="N355" s="65">
        <v>1</v>
      </c>
      <c r="O355" s="65"/>
      <c r="P355" s="65"/>
      <c r="Q355" s="65"/>
      <c r="R355">
        <v>0</v>
      </c>
      <c r="S355">
        <v>1</v>
      </c>
    </row>
    <row r="356" spans="1:19">
      <c r="A356" s="80"/>
      <c r="B356" s="65"/>
      <c r="C356" s="65"/>
      <c r="D356" s="81"/>
      <c r="E356" s="81"/>
      <c r="F356" s="67"/>
      <c r="G356" s="66"/>
      <c r="H356" s="81"/>
      <c r="I356" s="65"/>
      <c r="J356" s="17" t="str">
        <f t="shared" si="16"/>
        <v/>
      </c>
      <c r="L356" s="65">
        <f t="shared" si="17"/>
        <v>16711935</v>
      </c>
      <c r="N356" s="65">
        <v>1</v>
      </c>
      <c r="O356" s="65"/>
      <c r="P356" s="65"/>
      <c r="Q356" s="65"/>
      <c r="R356">
        <v>0</v>
      </c>
      <c r="S356">
        <v>1</v>
      </c>
    </row>
    <row r="357" spans="1:19">
      <c r="A357" s="80"/>
      <c r="B357" s="65"/>
      <c r="C357" s="65"/>
      <c r="D357" s="81"/>
      <c r="E357" s="81"/>
      <c r="F357" s="67"/>
      <c r="G357" s="66"/>
      <c r="H357" s="81"/>
      <c r="I357" s="65"/>
      <c r="J357" s="17" t="str">
        <f t="shared" si="16"/>
        <v/>
      </c>
      <c r="L357" s="65">
        <f t="shared" si="17"/>
        <v>16711935</v>
      </c>
      <c r="N357" s="65">
        <v>1</v>
      </c>
      <c r="O357" s="65"/>
      <c r="P357" s="65"/>
      <c r="Q357" s="65"/>
      <c r="R357">
        <v>0</v>
      </c>
      <c r="S357">
        <v>1</v>
      </c>
    </row>
    <row r="358" spans="1:19">
      <c r="A358" s="80"/>
      <c r="B358" s="65"/>
      <c r="C358" s="65"/>
      <c r="D358" s="81"/>
      <c r="E358" s="81"/>
      <c r="F358" s="67"/>
      <c r="G358" s="66"/>
      <c r="H358" s="81"/>
      <c r="I358" s="65"/>
      <c r="J358" s="17" t="str">
        <f t="shared" si="16"/>
        <v/>
      </c>
      <c r="L358" s="65">
        <f t="shared" si="17"/>
        <v>16711935</v>
      </c>
      <c r="N358" s="65">
        <v>1</v>
      </c>
      <c r="O358" s="65"/>
      <c r="P358" s="65"/>
      <c r="Q358" s="65"/>
      <c r="R358">
        <v>0</v>
      </c>
      <c r="S358">
        <v>1</v>
      </c>
    </row>
    <row r="359" spans="1:19">
      <c r="A359" s="80"/>
      <c r="B359" s="65"/>
      <c r="C359" s="65"/>
      <c r="D359" s="81"/>
      <c r="E359" s="81"/>
      <c r="F359" s="67"/>
      <c r="G359" s="66"/>
      <c r="H359" s="81"/>
      <c r="I359" s="65"/>
      <c r="J359" s="17" t="str">
        <f t="shared" si="16"/>
        <v/>
      </c>
      <c r="L359" s="65">
        <f t="shared" si="17"/>
        <v>16711935</v>
      </c>
      <c r="N359" s="65">
        <v>1</v>
      </c>
      <c r="O359" s="65"/>
      <c r="P359" s="65"/>
      <c r="Q359" s="65"/>
      <c r="R359">
        <v>0</v>
      </c>
      <c r="S359">
        <v>1</v>
      </c>
    </row>
    <row r="360" spans="1:19">
      <c r="A360" s="80"/>
      <c r="B360" s="65"/>
      <c r="C360" s="65"/>
      <c r="D360" s="81"/>
      <c r="E360" s="81"/>
      <c r="F360" s="67"/>
      <c r="G360" s="66"/>
      <c r="H360" s="81"/>
      <c r="I360" s="65"/>
      <c r="J360" s="17" t="str">
        <f t="shared" si="16"/>
        <v/>
      </c>
      <c r="L360" s="65">
        <f t="shared" si="17"/>
        <v>16711935</v>
      </c>
      <c r="N360" s="65">
        <v>1</v>
      </c>
      <c r="O360" s="65"/>
      <c r="P360" s="65"/>
      <c r="Q360" s="65"/>
      <c r="R360">
        <v>0</v>
      </c>
      <c r="S360">
        <v>1</v>
      </c>
    </row>
    <row r="361" spans="1:19">
      <c r="A361" s="80"/>
      <c r="B361" s="65"/>
      <c r="C361" s="65"/>
      <c r="D361" s="81"/>
      <c r="E361" s="81"/>
      <c r="F361" s="67"/>
      <c r="G361" s="66"/>
      <c r="H361" s="81"/>
      <c r="I361" s="65"/>
      <c r="J361" s="17" t="str">
        <f t="shared" si="16"/>
        <v/>
      </c>
      <c r="L361" s="65">
        <f t="shared" si="17"/>
        <v>16711935</v>
      </c>
      <c r="N361" s="65">
        <v>1</v>
      </c>
      <c r="O361" s="65"/>
      <c r="P361" s="65"/>
      <c r="Q361" s="65"/>
      <c r="R361">
        <v>0</v>
      </c>
      <c r="S361">
        <v>1</v>
      </c>
    </row>
    <row r="362" spans="1:19">
      <c r="A362" s="80"/>
      <c r="B362" s="65"/>
      <c r="C362" s="65"/>
      <c r="D362" s="81"/>
      <c r="E362" s="81"/>
      <c r="F362" s="67"/>
      <c r="G362" s="66"/>
      <c r="H362" s="81"/>
      <c r="I362" s="65"/>
      <c r="J362" s="17" t="str">
        <f t="shared" si="16"/>
        <v/>
      </c>
      <c r="L362" s="65">
        <f t="shared" si="17"/>
        <v>16711935</v>
      </c>
      <c r="N362" s="65">
        <v>1</v>
      </c>
      <c r="O362" s="65"/>
      <c r="P362" s="65"/>
      <c r="Q362" s="65"/>
      <c r="R362">
        <v>0</v>
      </c>
      <c r="S362">
        <v>1</v>
      </c>
    </row>
    <row r="363" spans="1:19">
      <c r="A363" s="80"/>
      <c r="B363" s="65"/>
      <c r="C363" s="65"/>
      <c r="D363" s="81"/>
      <c r="E363" s="81"/>
      <c r="F363" s="67"/>
      <c r="G363" s="66"/>
      <c r="H363" s="81"/>
      <c r="I363" s="65"/>
      <c r="J363" s="17" t="str">
        <f t="shared" si="16"/>
        <v/>
      </c>
      <c r="L363" s="65">
        <f t="shared" si="17"/>
        <v>16711935</v>
      </c>
      <c r="N363" s="65">
        <v>1</v>
      </c>
      <c r="O363" s="65"/>
      <c r="P363" s="65"/>
      <c r="Q363" s="65"/>
      <c r="R363">
        <v>0</v>
      </c>
      <c r="S363">
        <v>1</v>
      </c>
    </row>
    <row r="364" spans="1:19">
      <c r="A364" s="80"/>
      <c r="B364" s="65"/>
      <c r="C364" s="65"/>
      <c r="D364" s="81"/>
      <c r="E364" s="81"/>
      <c r="F364" s="67"/>
      <c r="G364" s="66"/>
      <c r="H364" s="81"/>
      <c r="I364" s="65"/>
      <c r="J364" s="17" t="str">
        <f t="shared" si="16"/>
        <v/>
      </c>
      <c r="L364" s="65">
        <f t="shared" si="17"/>
        <v>16711935</v>
      </c>
      <c r="N364" s="65">
        <v>1</v>
      </c>
      <c r="O364" s="65"/>
      <c r="P364" s="65"/>
      <c r="Q364" s="65"/>
      <c r="R364">
        <v>0</v>
      </c>
      <c r="S364">
        <v>1</v>
      </c>
    </row>
    <row r="365" spans="1:19">
      <c r="A365" s="80"/>
      <c r="B365" s="65"/>
      <c r="C365" s="65"/>
      <c r="D365" s="81"/>
      <c r="E365" s="81"/>
      <c r="F365" s="67"/>
      <c r="G365" s="66"/>
      <c r="H365" s="81"/>
      <c r="I365" s="65"/>
      <c r="J365" s="17" t="str">
        <f t="shared" si="16"/>
        <v/>
      </c>
      <c r="L365" s="65">
        <f t="shared" si="17"/>
        <v>16711935</v>
      </c>
      <c r="N365" s="65">
        <v>1</v>
      </c>
      <c r="O365" s="65"/>
      <c r="P365" s="65"/>
      <c r="Q365" s="65"/>
      <c r="R365">
        <v>0</v>
      </c>
      <c r="S365">
        <v>1</v>
      </c>
    </row>
    <row r="366" spans="1:19">
      <c r="A366" s="80"/>
      <c r="B366" s="65"/>
      <c r="C366" s="65"/>
      <c r="D366" s="81"/>
      <c r="E366" s="81"/>
      <c r="F366" s="67"/>
      <c r="G366" s="66"/>
      <c r="H366" s="81"/>
      <c r="I366" s="65"/>
      <c r="J366" s="17" t="str">
        <f t="shared" si="16"/>
        <v/>
      </c>
      <c r="L366" s="65">
        <f t="shared" si="17"/>
        <v>16711935</v>
      </c>
      <c r="N366" s="65">
        <v>1</v>
      </c>
      <c r="O366" s="65"/>
      <c r="P366" s="65"/>
      <c r="Q366" s="65"/>
      <c r="R366">
        <v>0</v>
      </c>
      <c r="S366">
        <v>1</v>
      </c>
    </row>
    <row r="367" spans="1:19">
      <c r="A367" s="80"/>
      <c r="B367" s="65"/>
      <c r="C367" s="65"/>
      <c r="D367" s="81"/>
      <c r="E367" s="81"/>
      <c r="F367" s="67"/>
      <c r="G367" s="66"/>
      <c r="H367" s="81"/>
      <c r="I367" s="65"/>
      <c r="J367" s="17" t="str">
        <f t="shared" si="16"/>
        <v/>
      </c>
      <c r="L367" s="65">
        <f t="shared" si="17"/>
        <v>16711935</v>
      </c>
      <c r="N367" s="65">
        <v>1</v>
      </c>
      <c r="O367" s="65"/>
      <c r="P367" s="65"/>
      <c r="Q367" s="65"/>
      <c r="R367">
        <v>0</v>
      </c>
      <c r="S367">
        <v>1</v>
      </c>
    </row>
    <row r="368" spans="1:19">
      <c r="A368" s="80"/>
      <c r="B368" s="65"/>
      <c r="C368" s="65"/>
      <c r="D368" s="81"/>
      <c r="E368" s="81"/>
      <c r="F368" s="67"/>
      <c r="G368" s="66"/>
      <c r="H368" s="81"/>
      <c r="I368" s="65"/>
      <c r="J368" s="17" t="str">
        <f t="shared" si="16"/>
        <v/>
      </c>
      <c r="L368" s="65">
        <f t="shared" si="17"/>
        <v>16711935</v>
      </c>
      <c r="N368" s="65">
        <v>1</v>
      </c>
      <c r="O368" s="65"/>
      <c r="P368" s="65"/>
      <c r="Q368" s="65"/>
      <c r="R368">
        <v>0</v>
      </c>
      <c r="S368">
        <v>1</v>
      </c>
    </row>
    <row r="369" spans="1:19">
      <c r="A369" s="80"/>
      <c r="B369" s="65"/>
      <c r="C369" s="65"/>
      <c r="D369" s="81"/>
      <c r="E369" s="81"/>
      <c r="F369" s="67"/>
      <c r="G369" s="66"/>
      <c r="H369" s="81"/>
      <c r="I369" s="65"/>
      <c r="J369" s="17" t="str">
        <f t="shared" si="16"/>
        <v/>
      </c>
      <c r="L369" s="65">
        <f t="shared" si="17"/>
        <v>16711935</v>
      </c>
      <c r="N369" s="65">
        <v>1</v>
      </c>
      <c r="O369" s="65"/>
      <c r="P369" s="65"/>
      <c r="Q369" s="65"/>
      <c r="R369">
        <v>0</v>
      </c>
      <c r="S369">
        <v>1</v>
      </c>
    </row>
    <row r="370" spans="1:19">
      <c r="A370" s="80"/>
      <c r="B370" s="65"/>
      <c r="C370" s="65"/>
      <c r="D370" s="81"/>
      <c r="E370" s="81"/>
      <c r="F370" s="67"/>
      <c r="G370" s="66"/>
      <c r="H370" s="81"/>
      <c r="I370" s="65"/>
      <c r="J370" s="17" t="str">
        <f t="shared" si="16"/>
        <v/>
      </c>
      <c r="L370" s="65">
        <f t="shared" si="17"/>
        <v>16711935</v>
      </c>
      <c r="N370" s="65">
        <v>1</v>
      </c>
      <c r="O370" s="65"/>
      <c r="P370" s="65"/>
      <c r="Q370" s="65"/>
      <c r="R370">
        <v>0</v>
      </c>
      <c r="S370">
        <v>1</v>
      </c>
    </row>
    <row r="371" spans="1:19">
      <c r="A371" s="80"/>
      <c r="B371" s="65"/>
      <c r="C371" s="65"/>
      <c r="D371" s="81"/>
      <c r="E371" s="81"/>
      <c r="F371" s="67"/>
      <c r="G371" s="66"/>
      <c r="H371" s="81"/>
      <c r="I371" s="65"/>
      <c r="J371" s="17" t="str">
        <f t="shared" si="16"/>
        <v/>
      </c>
      <c r="L371" s="65">
        <f t="shared" si="17"/>
        <v>16711935</v>
      </c>
      <c r="N371" s="65">
        <v>1</v>
      </c>
      <c r="O371" s="65"/>
      <c r="P371" s="65"/>
      <c r="Q371" s="65"/>
      <c r="R371">
        <v>0</v>
      </c>
      <c r="S371">
        <v>1</v>
      </c>
    </row>
    <row r="372" spans="1:19">
      <c r="A372" s="80"/>
      <c r="B372" s="65"/>
      <c r="C372" s="65"/>
      <c r="D372" s="81"/>
      <c r="E372" s="81"/>
      <c r="F372" s="67"/>
      <c r="G372" s="66"/>
      <c r="H372" s="81"/>
      <c r="I372" s="65"/>
      <c r="J372" s="17" t="str">
        <f t="shared" si="16"/>
        <v/>
      </c>
      <c r="L372" s="65">
        <f t="shared" si="17"/>
        <v>16711935</v>
      </c>
      <c r="N372" s="65">
        <v>1</v>
      </c>
      <c r="O372" s="65"/>
      <c r="P372" s="65"/>
      <c r="Q372" s="65"/>
      <c r="R372">
        <v>0</v>
      </c>
      <c r="S372">
        <v>1</v>
      </c>
    </row>
    <row r="373" spans="1:19">
      <c r="A373" s="80"/>
      <c r="B373" s="65"/>
      <c r="C373" s="65"/>
      <c r="D373" s="81"/>
      <c r="E373" s="81"/>
      <c r="F373" s="67"/>
      <c r="G373" s="66"/>
      <c r="H373" s="81"/>
      <c r="I373" s="65"/>
      <c r="J373" s="17" t="str">
        <f t="shared" si="16"/>
        <v/>
      </c>
      <c r="L373" s="65">
        <f t="shared" si="17"/>
        <v>16711935</v>
      </c>
      <c r="N373" s="65">
        <v>1</v>
      </c>
      <c r="O373" s="65"/>
      <c r="P373" s="65"/>
      <c r="Q373" s="65"/>
      <c r="R373">
        <v>0</v>
      </c>
      <c r="S373">
        <v>1</v>
      </c>
    </row>
    <row r="374" spans="1:19">
      <c r="A374" s="80"/>
      <c r="B374" s="65"/>
      <c r="C374" s="65"/>
      <c r="D374" s="81"/>
      <c r="E374" s="81"/>
      <c r="F374" s="67"/>
      <c r="G374" s="66"/>
      <c r="H374" s="81"/>
      <c r="I374" s="65"/>
      <c r="J374" s="17" t="str">
        <f t="shared" si="16"/>
        <v/>
      </c>
      <c r="L374" s="65">
        <f t="shared" si="17"/>
        <v>16711935</v>
      </c>
      <c r="N374" s="65">
        <v>1</v>
      </c>
      <c r="O374" s="65"/>
      <c r="P374" s="65"/>
      <c r="Q374" s="65"/>
      <c r="R374">
        <v>0</v>
      </c>
      <c r="S374">
        <v>1</v>
      </c>
    </row>
    <row r="375" spans="1:19">
      <c r="A375" s="80"/>
      <c r="B375" s="65"/>
      <c r="C375" s="65"/>
      <c r="D375" s="81"/>
      <c r="E375" s="81"/>
      <c r="F375" s="67"/>
      <c r="G375" s="66"/>
      <c r="H375" s="81"/>
      <c r="I375" s="65"/>
      <c r="J375" s="17" t="str">
        <f t="shared" si="16"/>
        <v/>
      </c>
      <c r="L375" s="65">
        <f t="shared" si="17"/>
        <v>16711935</v>
      </c>
      <c r="N375" s="65">
        <v>1</v>
      </c>
      <c r="O375" s="65"/>
      <c r="P375" s="65"/>
      <c r="Q375" s="65"/>
      <c r="R375">
        <v>0</v>
      </c>
      <c r="S375">
        <v>1</v>
      </c>
    </row>
    <row r="376" spans="1:19">
      <c r="A376" s="80"/>
      <c r="B376" s="65"/>
      <c r="C376" s="65"/>
      <c r="D376" s="81"/>
      <c r="E376" s="81"/>
      <c r="F376" s="67"/>
      <c r="G376" s="66"/>
      <c r="H376" s="81"/>
      <c r="I376" s="65"/>
      <c r="J376" s="17" t="str">
        <f t="shared" si="16"/>
        <v/>
      </c>
      <c r="L376" s="65">
        <f t="shared" si="17"/>
        <v>16711935</v>
      </c>
      <c r="N376" s="65">
        <v>1</v>
      </c>
      <c r="O376" s="65"/>
      <c r="P376" s="65"/>
      <c r="Q376" s="65"/>
      <c r="R376">
        <v>0</v>
      </c>
      <c r="S376">
        <v>1</v>
      </c>
    </row>
    <row r="377" spans="1:19">
      <c r="A377" s="80"/>
      <c r="B377" s="65"/>
      <c r="C377" s="65"/>
      <c r="D377" s="81"/>
      <c r="E377" s="81"/>
      <c r="F377" s="67"/>
      <c r="G377" s="66"/>
      <c r="H377" s="81"/>
      <c r="I377" s="65"/>
      <c r="J377" s="17" t="str">
        <f t="shared" si="16"/>
        <v/>
      </c>
      <c r="L377" s="65">
        <f t="shared" si="17"/>
        <v>16711935</v>
      </c>
      <c r="N377" s="65">
        <v>1</v>
      </c>
      <c r="O377" s="65"/>
      <c r="P377" s="65"/>
      <c r="Q377" s="65"/>
      <c r="R377">
        <v>0</v>
      </c>
      <c r="S377">
        <v>1</v>
      </c>
    </row>
    <row r="378" spans="1:19">
      <c r="A378" s="80"/>
      <c r="B378" s="65"/>
      <c r="C378" s="65"/>
      <c r="D378" s="81"/>
      <c r="E378" s="81"/>
      <c r="F378" s="67"/>
      <c r="G378" s="66"/>
      <c r="H378" s="81"/>
      <c r="I378" s="65"/>
      <c r="J378" s="17" t="str">
        <f t="shared" si="16"/>
        <v/>
      </c>
      <c r="L378" s="65">
        <f t="shared" si="17"/>
        <v>16711935</v>
      </c>
      <c r="N378" s="65">
        <v>1</v>
      </c>
      <c r="O378" s="65"/>
      <c r="P378" s="65"/>
      <c r="Q378" s="65"/>
      <c r="R378">
        <v>0</v>
      </c>
      <c r="S378">
        <v>1</v>
      </c>
    </row>
    <row r="379" spans="1:19">
      <c r="A379" s="80"/>
      <c r="B379" s="65"/>
      <c r="C379" s="65"/>
      <c r="D379" s="81"/>
      <c r="E379" s="81"/>
      <c r="F379" s="67"/>
      <c r="G379" s="66"/>
      <c r="H379" s="81"/>
      <c r="I379" s="65"/>
      <c r="J379" s="17" t="str">
        <f t="shared" si="16"/>
        <v/>
      </c>
      <c r="L379" s="65">
        <f t="shared" si="17"/>
        <v>16711935</v>
      </c>
      <c r="N379" s="65">
        <v>1</v>
      </c>
      <c r="O379" s="65"/>
      <c r="P379" s="65"/>
      <c r="Q379" s="65"/>
      <c r="R379">
        <v>0</v>
      </c>
      <c r="S379">
        <v>1</v>
      </c>
    </row>
    <row r="380" spans="1:19">
      <c r="A380" s="80"/>
      <c r="B380" s="65"/>
      <c r="C380" s="65"/>
      <c r="D380" s="81"/>
      <c r="E380" s="81"/>
      <c r="F380" s="67"/>
      <c r="G380" s="66"/>
      <c r="H380" s="81"/>
      <c r="I380" s="65"/>
      <c r="J380" s="17" t="str">
        <f t="shared" si="16"/>
        <v/>
      </c>
      <c r="L380" s="65">
        <f t="shared" si="17"/>
        <v>16711935</v>
      </c>
      <c r="N380" s="65">
        <v>1</v>
      </c>
      <c r="O380" s="65"/>
      <c r="P380" s="65"/>
      <c r="Q380" s="65"/>
      <c r="R380">
        <v>0</v>
      </c>
      <c r="S380">
        <v>1</v>
      </c>
    </row>
    <row r="381" spans="1:19">
      <c r="A381" s="80"/>
      <c r="B381" s="65"/>
      <c r="C381" s="65"/>
      <c r="D381" s="81"/>
      <c r="E381" s="81"/>
      <c r="F381" s="67"/>
      <c r="G381" s="66"/>
      <c r="H381" s="81"/>
      <c r="I381" s="65"/>
      <c r="J381" s="17" t="str">
        <f t="shared" si="16"/>
        <v/>
      </c>
      <c r="L381" s="65">
        <f t="shared" si="17"/>
        <v>16711935</v>
      </c>
      <c r="N381" s="65">
        <v>1</v>
      </c>
      <c r="O381" s="65"/>
      <c r="P381" s="65"/>
      <c r="Q381" s="65"/>
      <c r="R381">
        <v>0</v>
      </c>
      <c r="S381">
        <v>1</v>
      </c>
    </row>
    <row r="382" spans="1:19">
      <c r="A382" s="80"/>
      <c r="B382" s="65"/>
      <c r="C382" s="65"/>
      <c r="D382" s="81"/>
      <c r="E382" s="81"/>
      <c r="F382" s="67"/>
      <c r="G382" s="66"/>
      <c r="H382" s="81"/>
      <c r="I382" s="65"/>
      <c r="J382" s="17" t="str">
        <f t="shared" si="16"/>
        <v/>
      </c>
      <c r="L382" s="65">
        <f t="shared" si="17"/>
        <v>16711935</v>
      </c>
      <c r="N382" s="65">
        <v>1</v>
      </c>
      <c r="O382" s="65"/>
      <c r="P382" s="65"/>
      <c r="Q382" s="65"/>
      <c r="R382">
        <v>0</v>
      </c>
      <c r="S382">
        <v>1</v>
      </c>
    </row>
    <row r="383" spans="1:19">
      <c r="A383" s="80"/>
      <c r="B383" s="65"/>
      <c r="C383" s="65"/>
      <c r="D383" s="81"/>
      <c r="E383" s="81"/>
      <c r="F383" s="67"/>
      <c r="G383" s="66"/>
      <c r="H383" s="81"/>
      <c r="I383" s="65"/>
      <c r="J383" s="17" t="str">
        <f t="shared" si="16"/>
        <v/>
      </c>
      <c r="L383" s="65">
        <f t="shared" si="17"/>
        <v>16711935</v>
      </c>
      <c r="N383" s="65">
        <v>1</v>
      </c>
      <c r="O383" s="65"/>
      <c r="P383" s="65"/>
      <c r="Q383" s="65"/>
      <c r="R383">
        <v>0</v>
      </c>
      <c r="S383">
        <v>1</v>
      </c>
    </row>
    <row r="384" spans="1:19">
      <c r="A384" s="80"/>
      <c r="B384" s="65"/>
      <c r="C384" s="65"/>
      <c r="D384" s="81"/>
      <c r="E384" s="81"/>
      <c r="F384" s="67"/>
      <c r="G384" s="66"/>
      <c r="H384" s="81"/>
      <c r="I384" s="65"/>
      <c r="J384" s="17" t="str">
        <f t="shared" si="16"/>
        <v/>
      </c>
      <c r="L384" s="65">
        <f t="shared" si="17"/>
        <v>16711935</v>
      </c>
      <c r="N384" s="65">
        <v>1</v>
      </c>
      <c r="O384" s="65"/>
      <c r="P384" s="65"/>
      <c r="Q384" s="65"/>
      <c r="R384">
        <v>0</v>
      </c>
      <c r="S384">
        <v>1</v>
      </c>
    </row>
    <row r="385" spans="1:19">
      <c r="A385" s="80"/>
      <c r="B385" s="65"/>
      <c r="C385" s="65"/>
      <c r="D385" s="81"/>
      <c r="E385" s="81"/>
      <c r="F385" s="67"/>
      <c r="G385" s="66"/>
      <c r="H385" s="81"/>
      <c r="I385" s="65"/>
      <c r="J385" s="17" t="str">
        <f t="shared" si="16"/>
        <v/>
      </c>
      <c r="L385" s="65">
        <f t="shared" si="17"/>
        <v>16711935</v>
      </c>
      <c r="N385" s="65">
        <v>1</v>
      </c>
      <c r="O385" s="65"/>
      <c r="P385" s="65"/>
      <c r="Q385" s="65"/>
      <c r="R385">
        <v>0</v>
      </c>
      <c r="S385">
        <v>1</v>
      </c>
    </row>
    <row r="386" spans="1:19">
      <c r="A386" s="80"/>
      <c r="B386" s="65"/>
      <c r="C386" s="65"/>
      <c r="D386" s="81"/>
      <c r="E386" s="81"/>
      <c r="F386" s="67"/>
      <c r="G386" s="66"/>
      <c r="H386" s="81"/>
      <c r="I386" s="65"/>
      <c r="J386" s="17" t="str">
        <f t="shared" si="16"/>
        <v/>
      </c>
      <c r="L386" s="65">
        <f t="shared" si="17"/>
        <v>16711935</v>
      </c>
      <c r="N386" s="65">
        <v>1</v>
      </c>
      <c r="O386" s="65"/>
      <c r="P386" s="65"/>
      <c r="Q386" s="65"/>
      <c r="R386">
        <v>0</v>
      </c>
      <c r="S386">
        <v>1</v>
      </c>
    </row>
    <row r="387" spans="1:19">
      <c r="A387" s="80"/>
      <c r="B387" s="65"/>
      <c r="C387" s="65"/>
      <c r="D387" s="81"/>
      <c r="E387" s="81"/>
      <c r="F387" s="67"/>
      <c r="G387" s="66"/>
      <c r="H387" s="81"/>
      <c r="I387" s="65"/>
      <c r="J387" s="17" t="str">
        <f t="shared" si="16"/>
        <v/>
      </c>
      <c r="L387" s="65">
        <f t="shared" si="17"/>
        <v>16711935</v>
      </c>
      <c r="N387" s="65">
        <v>1</v>
      </c>
      <c r="O387" s="65"/>
      <c r="P387" s="65"/>
      <c r="Q387" s="65"/>
      <c r="R387">
        <v>0</v>
      </c>
      <c r="S387">
        <v>1</v>
      </c>
    </row>
    <row r="388" spans="1:19">
      <c r="A388" s="80"/>
      <c r="B388" s="65"/>
      <c r="C388" s="65"/>
      <c r="D388" s="81"/>
      <c r="E388" s="81"/>
      <c r="F388" s="67"/>
      <c r="G388" s="66"/>
      <c r="H388" s="81"/>
      <c r="I388" s="65"/>
      <c r="J388" s="17" t="str">
        <f t="shared" si="16"/>
        <v/>
      </c>
      <c r="L388" s="65">
        <f t="shared" si="17"/>
        <v>16711935</v>
      </c>
      <c r="N388" s="65">
        <v>1</v>
      </c>
      <c r="O388" s="65"/>
      <c r="P388" s="65"/>
      <c r="Q388" s="65"/>
      <c r="R388">
        <v>0</v>
      </c>
      <c r="S388">
        <v>1</v>
      </c>
    </row>
    <row r="389" spans="1:19">
      <c r="A389" s="80"/>
      <c r="B389" s="65"/>
      <c r="C389" s="65"/>
      <c r="D389" s="81"/>
      <c r="E389" s="81"/>
      <c r="F389" s="67"/>
      <c r="G389" s="66"/>
      <c r="H389" s="81"/>
      <c r="I389" s="65"/>
      <c r="J389" s="17" t="str">
        <f t="shared" si="16"/>
        <v/>
      </c>
      <c r="L389" s="65">
        <f t="shared" si="17"/>
        <v>16711935</v>
      </c>
      <c r="N389" s="65">
        <v>1</v>
      </c>
      <c r="O389" s="65"/>
      <c r="P389" s="65"/>
      <c r="Q389" s="65"/>
      <c r="R389">
        <v>0</v>
      </c>
      <c r="S389">
        <v>1</v>
      </c>
    </row>
    <row r="390" spans="1:19">
      <c r="A390" s="80"/>
      <c r="B390" s="65"/>
      <c r="C390" s="65"/>
      <c r="D390" s="81"/>
      <c r="E390" s="81"/>
      <c r="F390" s="67"/>
      <c r="G390" s="66"/>
      <c r="H390" s="81"/>
      <c r="I390" s="65"/>
      <c r="J390" s="17" t="str">
        <f t="shared" ref="J390:J453" si="18">IF(LEN(B390)&gt;0,SUBSTITUTE(B390, "'", " ")&amp;" - "&amp;SUBSTITUTE(C390, "'"," ")&amp;";"&amp;A390&amp;";"&amp;N390&amp;";"&amp;O390&amp;";"&amp;P390&amp;";"&amp;L390&amp;";"&amp;E390&amp;";"&amp;F390&amp;";"&amp;Q390&amp;";"&amp;IF(LEN(G390)=0,"1.000",IFERROR(REPLACE(FIXED(G390,3,1),2,1,"."),))&amp;";"&amp;H390&amp;";"&amp;I390&amp;";"&amp;R390&amp;";"&amp;S390&amp;";","")</f>
        <v/>
      </c>
      <c r="L390" s="65">
        <f t="shared" si="17"/>
        <v>16711935</v>
      </c>
      <c r="N390" s="65">
        <v>1</v>
      </c>
      <c r="O390" s="65"/>
      <c r="P390" s="65"/>
      <c r="Q390" s="65"/>
      <c r="R390">
        <v>0</v>
      </c>
      <c r="S390">
        <v>1</v>
      </c>
    </row>
    <row r="391" spans="1:19">
      <c r="A391" s="80"/>
      <c r="B391" s="65"/>
      <c r="C391" s="65"/>
      <c r="D391" s="81"/>
      <c r="E391" s="81"/>
      <c r="F391" s="67"/>
      <c r="G391" s="66"/>
      <c r="H391" s="81"/>
      <c r="I391" s="65"/>
      <c r="J391" s="17" t="str">
        <f t="shared" si="18"/>
        <v/>
      </c>
      <c r="L391" s="65">
        <f t="shared" si="17"/>
        <v>16711935</v>
      </c>
      <c r="N391" s="65">
        <v>1</v>
      </c>
      <c r="O391" s="65"/>
      <c r="P391" s="65"/>
      <c r="Q391" s="65"/>
      <c r="R391">
        <v>0</v>
      </c>
      <c r="S391">
        <v>1</v>
      </c>
    </row>
    <row r="392" spans="1:19">
      <c r="A392" s="80"/>
      <c r="B392" s="65"/>
      <c r="C392" s="65"/>
      <c r="D392" s="81"/>
      <c r="E392" s="81"/>
      <c r="F392" s="67"/>
      <c r="G392" s="66"/>
      <c r="H392" s="81"/>
      <c r="I392" s="65"/>
      <c r="J392" s="17" t="str">
        <f t="shared" si="18"/>
        <v/>
      </c>
      <c r="L392" s="65">
        <f t="shared" ref="L392:L455" si="19">IFERROR(VLOOKUP(D392,ColorsTable,2,FALSE),16711935)</f>
        <v>16711935</v>
      </c>
      <c r="N392" s="65">
        <v>1</v>
      </c>
      <c r="O392" s="65"/>
      <c r="P392" s="65"/>
      <c r="Q392" s="65"/>
      <c r="R392">
        <v>0</v>
      </c>
      <c r="S392">
        <v>1</v>
      </c>
    </row>
    <row r="393" spans="1:19">
      <c r="A393" s="80"/>
      <c r="B393" s="65"/>
      <c r="C393" s="65"/>
      <c r="D393" s="81"/>
      <c r="E393" s="81"/>
      <c r="F393" s="67"/>
      <c r="G393" s="66"/>
      <c r="H393" s="81"/>
      <c r="I393" s="65"/>
      <c r="J393" s="17" t="str">
        <f t="shared" si="18"/>
        <v/>
      </c>
      <c r="L393" s="65">
        <f t="shared" si="19"/>
        <v>16711935</v>
      </c>
      <c r="N393" s="65">
        <v>1</v>
      </c>
      <c r="O393" s="65"/>
      <c r="P393" s="65"/>
      <c r="Q393" s="65"/>
      <c r="R393">
        <v>0</v>
      </c>
      <c r="S393">
        <v>1</v>
      </c>
    </row>
    <row r="394" spans="1:19">
      <c r="A394" s="80"/>
      <c r="B394" s="65"/>
      <c r="C394" s="65"/>
      <c r="D394" s="81"/>
      <c r="E394" s="81"/>
      <c r="F394" s="67"/>
      <c r="G394" s="66"/>
      <c r="H394" s="81"/>
      <c r="I394" s="65"/>
      <c r="J394" s="17" t="str">
        <f t="shared" si="18"/>
        <v/>
      </c>
      <c r="L394" s="65">
        <f t="shared" si="19"/>
        <v>16711935</v>
      </c>
      <c r="N394" s="65">
        <v>1</v>
      </c>
      <c r="O394" s="65"/>
      <c r="P394" s="65"/>
      <c r="Q394" s="65"/>
      <c r="R394">
        <v>0</v>
      </c>
      <c r="S394">
        <v>1</v>
      </c>
    </row>
    <row r="395" spans="1:19">
      <c r="A395" s="80"/>
      <c r="B395" s="65"/>
      <c r="C395" s="65"/>
      <c r="D395" s="81"/>
      <c r="E395" s="81"/>
      <c r="F395" s="67"/>
      <c r="G395" s="66"/>
      <c r="H395" s="81"/>
      <c r="I395" s="65"/>
      <c r="J395" s="17" t="str">
        <f t="shared" si="18"/>
        <v/>
      </c>
      <c r="L395" s="65">
        <f t="shared" si="19"/>
        <v>16711935</v>
      </c>
      <c r="N395" s="65">
        <v>1</v>
      </c>
      <c r="O395" s="65"/>
      <c r="P395" s="65"/>
      <c r="Q395" s="65"/>
      <c r="R395">
        <v>0</v>
      </c>
      <c r="S395">
        <v>1</v>
      </c>
    </row>
    <row r="396" spans="1:19">
      <c r="A396" s="80"/>
      <c r="B396" s="65"/>
      <c r="C396" s="65"/>
      <c r="D396" s="81"/>
      <c r="E396" s="81"/>
      <c r="F396" s="67"/>
      <c r="G396" s="66"/>
      <c r="H396" s="81"/>
      <c r="I396" s="65"/>
      <c r="J396" s="17" t="str">
        <f t="shared" si="18"/>
        <v/>
      </c>
      <c r="L396" s="65">
        <f t="shared" si="19"/>
        <v>16711935</v>
      </c>
      <c r="N396" s="65">
        <v>1</v>
      </c>
      <c r="O396" s="65"/>
      <c r="P396" s="65"/>
      <c r="Q396" s="65"/>
      <c r="R396">
        <v>0</v>
      </c>
      <c r="S396">
        <v>1</v>
      </c>
    </row>
    <row r="397" spans="1:19">
      <c r="A397" s="80"/>
      <c r="B397" s="65"/>
      <c r="C397" s="65"/>
      <c r="D397" s="81"/>
      <c r="E397" s="81"/>
      <c r="F397" s="67"/>
      <c r="G397" s="66"/>
      <c r="H397" s="81"/>
      <c r="I397" s="65"/>
      <c r="J397" s="17" t="str">
        <f t="shared" si="18"/>
        <v/>
      </c>
      <c r="L397" s="65">
        <f t="shared" si="19"/>
        <v>16711935</v>
      </c>
      <c r="N397" s="65">
        <v>1</v>
      </c>
      <c r="O397" s="65"/>
      <c r="P397" s="65"/>
      <c r="Q397" s="65"/>
      <c r="R397">
        <v>0</v>
      </c>
      <c r="S397">
        <v>1</v>
      </c>
    </row>
    <row r="398" spans="1:19">
      <c r="A398" s="80"/>
      <c r="B398" s="65"/>
      <c r="C398" s="65"/>
      <c r="D398" s="81"/>
      <c r="E398" s="81"/>
      <c r="F398" s="67"/>
      <c r="G398" s="66"/>
      <c r="H398" s="81"/>
      <c r="I398" s="65"/>
      <c r="J398" s="17" t="str">
        <f t="shared" si="18"/>
        <v/>
      </c>
      <c r="L398" s="65">
        <f t="shared" si="19"/>
        <v>16711935</v>
      </c>
      <c r="N398" s="65">
        <v>1</v>
      </c>
      <c r="O398" s="65"/>
      <c r="P398" s="65"/>
      <c r="Q398" s="65"/>
      <c r="R398">
        <v>0</v>
      </c>
      <c r="S398">
        <v>1</v>
      </c>
    </row>
    <row r="399" spans="1:19">
      <c r="A399" s="80"/>
      <c r="B399" s="65"/>
      <c r="C399" s="65"/>
      <c r="D399" s="81"/>
      <c r="E399" s="81"/>
      <c r="F399" s="67"/>
      <c r="G399" s="66"/>
      <c r="H399" s="81"/>
      <c r="I399" s="65"/>
      <c r="J399" s="17" t="str">
        <f t="shared" si="18"/>
        <v/>
      </c>
      <c r="L399" s="65">
        <f t="shared" si="19"/>
        <v>16711935</v>
      </c>
      <c r="N399" s="65">
        <v>1</v>
      </c>
      <c r="O399" s="65"/>
      <c r="P399" s="65"/>
      <c r="Q399" s="65"/>
      <c r="R399">
        <v>0</v>
      </c>
      <c r="S399">
        <v>1</v>
      </c>
    </row>
    <row r="400" spans="1:19">
      <c r="A400" s="80"/>
      <c r="B400" s="65"/>
      <c r="C400" s="65"/>
      <c r="D400" s="81"/>
      <c r="E400" s="81"/>
      <c r="F400" s="67"/>
      <c r="G400" s="66"/>
      <c r="H400" s="81"/>
      <c r="I400" s="65"/>
      <c r="J400" s="17" t="str">
        <f t="shared" si="18"/>
        <v/>
      </c>
      <c r="L400" s="65">
        <f t="shared" si="19"/>
        <v>16711935</v>
      </c>
      <c r="N400" s="65">
        <v>1</v>
      </c>
      <c r="O400" s="65"/>
      <c r="P400" s="65"/>
      <c r="Q400" s="65"/>
      <c r="R400">
        <v>0</v>
      </c>
      <c r="S400">
        <v>1</v>
      </c>
    </row>
    <row r="401" spans="1:19">
      <c r="A401" s="80"/>
      <c r="B401" s="65"/>
      <c r="C401" s="65"/>
      <c r="D401" s="81"/>
      <c r="E401" s="81"/>
      <c r="F401" s="67"/>
      <c r="G401" s="66"/>
      <c r="H401" s="81"/>
      <c r="I401" s="65"/>
      <c r="J401" s="17" t="str">
        <f t="shared" si="18"/>
        <v/>
      </c>
      <c r="L401" s="65">
        <f t="shared" si="19"/>
        <v>16711935</v>
      </c>
      <c r="N401" s="65">
        <v>1</v>
      </c>
      <c r="O401" s="65"/>
      <c r="P401" s="65"/>
      <c r="Q401" s="65"/>
      <c r="R401">
        <v>0</v>
      </c>
      <c r="S401">
        <v>1</v>
      </c>
    </row>
    <row r="402" spans="1:19">
      <c r="A402" s="80"/>
      <c r="B402" s="65"/>
      <c r="C402" s="65"/>
      <c r="D402" s="81"/>
      <c r="E402" s="81"/>
      <c r="F402" s="67"/>
      <c r="G402" s="66"/>
      <c r="H402" s="81"/>
      <c r="I402" s="65"/>
      <c r="J402" s="17" t="str">
        <f t="shared" si="18"/>
        <v/>
      </c>
      <c r="L402" s="65">
        <f t="shared" si="19"/>
        <v>16711935</v>
      </c>
      <c r="N402" s="65">
        <v>1</v>
      </c>
      <c r="O402" s="65"/>
      <c r="P402" s="65"/>
      <c r="Q402" s="65"/>
      <c r="R402">
        <v>0</v>
      </c>
      <c r="S402">
        <v>1</v>
      </c>
    </row>
    <row r="403" spans="1:19">
      <c r="A403" s="80"/>
      <c r="B403" s="65"/>
      <c r="C403" s="65"/>
      <c r="D403" s="81"/>
      <c r="E403" s="81"/>
      <c r="F403" s="67"/>
      <c r="G403" s="66"/>
      <c r="H403" s="81"/>
      <c r="I403" s="65"/>
      <c r="J403" s="17" t="str">
        <f t="shared" si="18"/>
        <v/>
      </c>
      <c r="L403" s="65">
        <f t="shared" si="19"/>
        <v>16711935</v>
      </c>
      <c r="N403" s="65">
        <v>1</v>
      </c>
      <c r="O403" s="65"/>
      <c r="P403" s="65"/>
      <c r="Q403" s="65"/>
      <c r="R403">
        <v>0</v>
      </c>
      <c r="S403">
        <v>1</v>
      </c>
    </row>
    <row r="404" spans="1:19">
      <c r="A404" s="80"/>
      <c r="B404" s="65"/>
      <c r="C404" s="65"/>
      <c r="D404" s="81"/>
      <c r="E404" s="81"/>
      <c r="F404" s="67"/>
      <c r="G404" s="66"/>
      <c r="H404" s="81"/>
      <c r="I404" s="65"/>
      <c r="J404" s="17" t="str">
        <f t="shared" si="18"/>
        <v/>
      </c>
      <c r="L404" s="65">
        <f t="shared" si="19"/>
        <v>16711935</v>
      </c>
      <c r="N404" s="65">
        <v>1</v>
      </c>
      <c r="O404" s="65"/>
      <c r="P404" s="65"/>
      <c r="Q404" s="65"/>
      <c r="R404">
        <v>0</v>
      </c>
      <c r="S404">
        <v>1</v>
      </c>
    </row>
    <row r="405" spans="1:19">
      <c r="A405" s="80"/>
      <c r="B405" s="65"/>
      <c r="C405" s="65"/>
      <c r="D405" s="81"/>
      <c r="E405" s="81"/>
      <c r="F405" s="67"/>
      <c r="G405" s="66"/>
      <c r="H405" s="81"/>
      <c r="I405" s="65"/>
      <c r="J405" s="17" t="str">
        <f t="shared" si="18"/>
        <v/>
      </c>
      <c r="L405" s="65">
        <f t="shared" si="19"/>
        <v>16711935</v>
      </c>
      <c r="N405" s="65">
        <v>1</v>
      </c>
      <c r="O405" s="65"/>
      <c r="P405" s="65"/>
      <c r="Q405" s="65"/>
      <c r="R405">
        <v>0</v>
      </c>
      <c r="S405">
        <v>1</v>
      </c>
    </row>
    <row r="406" spans="1:19">
      <c r="A406" s="80"/>
      <c r="B406" s="65"/>
      <c r="C406" s="65"/>
      <c r="D406" s="81"/>
      <c r="E406" s="81"/>
      <c r="F406" s="67"/>
      <c r="G406" s="66"/>
      <c r="H406" s="81"/>
      <c r="I406" s="65"/>
      <c r="J406" s="17" t="str">
        <f t="shared" si="18"/>
        <v/>
      </c>
      <c r="L406" s="65">
        <f t="shared" si="19"/>
        <v>16711935</v>
      </c>
      <c r="N406" s="65">
        <v>1</v>
      </c>
      <c r="O406" s="65"/>
      <c r="P406" s="65"/>
      <c r="Q406" s="65"/>
      <c r="R406">
        <v>0</v>
      </c>
      <c r="S406">
        <v>1</v>
      </c>
    </row>
    <row r="407" spans="1:19">
      <c r="A407" s="80"/>
      <c r="B407" s="65"/>
      <c r="C407" s="65"/>
      <c r="D407" s="81"/>
      <c r="E407" s="81"/>
      <c r="F407" s="67"/>
      <c r="G407" s="66"/>
      <c r="H407" s="81"/>
      <c r="I407" s="65"/>
      <c r="J407" s="17" t="str">
        <f t="shared" si="18"/>
        <v/>
      </c>
      <c r="L407" s="65">
        <f t="shared" si="19"/>
        <v>16711935</v>
      </c>
      <c r="N407" s="65">
        <v>1</v>
      </c>
      <c r="O407" s="65"/>
      <c r="P407" s="65"/>
      <c r="Q407" s="65"/>
      <c r="R407">
        <v>0</v>
      </c>
      <c r="S407">
        <v>1</v>
      </c>
    </row>
    <row r="408" spans="1:19">
      <c r="A408" s="80"/>
      <c r="B408" s="65"/>
      <c r="C408" s="65"/>
      <c r="D408" s="81"/>
      <c r="E408" s="81"/>
      <c r="F408" s="67"/>
      <c r="G408" s="66"/>
      <c r="H408" s="81"/>
      <c r="I408" s="65"/>
      <c r="J408" s="17" t="str">
        <f t="shared" si="18"/>
        <v/>
      </c>
      <c r="L408" s="65">
        <f t="shared" si="19"/>
        <v>16711935</v>
      </c>
      <c r="N408" s="65">
        <v>1</v>
      </c>
      <c r="O408" s="65"/>
      <c r="P408" s="65"/>
      <c r="Q408" s="65"/>
      <c r="R408">
        <v>0</v>
      </c>
      <c r="S408">
        <v>1</v>
      </c>
    </row>
    <row r="409" spans="1:19">
      <c r="A409" s="80"/>
      <c r="B409" s="65"/>
      <c r="C409" s="65"/>
      <c r="D409" s="81"/>
      <c r="E409" s="81"/>
      <c r="F409" s="67"/>
      <c r="G409" s="66"/>
      <c r="H409" s="81"/>
      <c r="I409" s="65"/>
      <c r="J409" s="17" t="str">
        <f t="shared" si="18"/>
        <v/>
      </c>
      <c r="L409" s="65">
        <f t="shared" si="19"/>
        <v>16711935</v>
      </c>
      <c r="N409" s="65">
        <v>1</v>
      </c>
      <c r="O409" s="65"/>
      <c r="P409" s="65"/>
      <c r="Q409" s="65"/>
      <c r="R409">
        <v>0</v>
      </c>
      <c r="S409">
        <v>1</v>
      </c>
    </row>
    <row r="410" spans="1:19">
      <c r="A410" s="80"/>
      <c r="B410" s="65"/>
      <c r="C410" s="65"/>
      <c r="D410" s="81"/>
      <c r="E410" s="81"/>
      <c r="F410" s="67"/>
      <c r="G410" s="66"/>
      <c r="H410" s="81"/>
      <c r="I410" s="65"/>
      <c r="J410" s="17" t="str">
        <f t="shared" si="18"/>
        <v/>
      </c>
      <c r="L410" s="65">
        <f t="shared" si="19"/>
        <v>16711935</v>
      </c>
      <c r="N410" s="65">
        <v>1</v>
      </c>
      <c r="O410" s="65"/>
      <c r="P410" s="65"/>
      <c r="Q410" s="65"/>
      <c r="R410">
        <v>0</v>
      </c>
      <c r="S410">
        <v>1</v>
      </c>
    </row>
    <row r="411" spans="1:19">
      <c r="A411" s="80"/>
      <c r="B411" s="65"/>
      <c r="C411" s="65"/>
      <c r="D411" s="81"/>
      <c r="E411" s="81"/>
      <c r="F411" s="67"/>
      <c r="G411" s="66"/>
      <c r="H411" s="81"/>
      <c r="I411" s="65"/>
      <c r="J411" s="17" t="str">
        <f t="shared" si="18"/>
        <v/>
      </c>
      <c r="L411" s="65">
        <f t="shared" si="19"/>
        <v>16711935</v>
      </c>
      <c r="N411" s="65">
        <v>1</v>
      </c>
      <c r="O411" s="65"/>
      <c r="P411" s="65"/>
      <c r="Q411" s="65"/>
      <c r="R411">
        <v>0</v>
      </c>
      <c r="S411">
        <v>1</v>
      </c>
    </row>
    <row r="412" spans="1:19">
      <c r="A412" s="80"/>
      <c r="B412" s="65"/>
      <c r="C412" s="65"/>
      <c r="D412" s="81"/>
      <c r="E412" s="81"/>
      <c r="F412" s="67"/>
      <c r="G412" s="66"/>
      <c r="H412" s="81"/>
      <c r="I412" s="65"/>
      <c r="J412" s="17" t="str">
        <f t="shared" si="18"/>
        <v/>
      </c>
      <c r="L412" s="65">
        <f t="shared" si="19"/>
        <v>16711935</v>
      </c>
      <c r="N412" s="65">
        <v>1</v>
      </c>
      <c r="O412" s="65"/>
      <c r="P412" s="65"/>
      <c r="Q412" s="65"/>
      <c r="R412">
        <v>0</v>
      </c>
      <c r="S412">
        <v>1</v>
      </c>
    </row>
    <row r="413" spans="1:19">
      <c r="A413" s="80"/>
      <c r="B413" s="65"/>
      <c r="C413" s="65"/>
      <c r="D413" s="81"/>
      <c r="E413" s="81"/>
      <c r="F413" s="67"/>
      <c r="G413" s="66"/>
      <c r="H413" s="81"/>
      <c r="I413" s="65"/>
      <c r="J413" s="17" t="str">
        <f t="shared" si="18"/>
        <v/>
      </c>
      <c r="L413" s="65">
        <f t="shared" si="19"/>
        <v>16711935</v>
      </c>
      <c r="N413" s="65">
        <v>1</v>
      </c>
      <c r="O413" s="65"/>
      <c r="P413" s="65"/>
      <c r="Q413" s="65"/>
      <c r="R413">
        <v>0</v>
      </c>
      <c r="S413">
        <v>1</v>
      </c>
    </row>
    <row r="414" spans="1:19">
      <c r="A414" s="80"/>
      <c r="B414" s="65"/>
      <c r="C414" s="65"/>
      <c r="D414" s="81"/>
      <c r="E414" s="81"/>
      <c r="F414" s="67"/>
      <c r="G414" s="66"/>
      <c r="H414" s="81"/>
      <c r="I414" s="65"/>
      <c r="J414" s="17" t="str">
        <f t="shared" si="18"/>
        <v/>
      </c>
      <c r="L414" s="65">
        <f t="shared" si="19"/>
        <v>16711935</v>
      </c>
      <c r="N414" s="65">
        <v>1</v>
      </c>
      <c r="O414" s="65"/>
      <c r="P414" s="65"/>
      <c r="Q414" s="65"/>
      <c r="R414">
        <v>0</v>
      </c>
      <c r="S414">
        <v>1</v>
      </c>
    </row>
    <row r="415" spans="1:19">
      <c r="A415" s="80"/>
      <c r="B415" s="65"/>
      <c r="C415" s="65"/>
      <c r="D415" s="81"/>
      <c r="E415" s="81"/>
      <c r="F415" s="67"/>
      <c r="G415" s="66"/>
      <c r="H415" s="81"/>
      <c r="I415" s="65"/>
      <c r="J415" s="17" t="str">
        <f t="shared" si="18"/>
        <v/>
      </c>
      <c r="L415" s="65">
        <f t="shared" si="19"/>
        <v>16711935</v>
      </c>
      <c r="N415" s="65">
        <v>1</v>
      </c>
      <c r="O415" s="65"/>
      <c r="P415" s="65"/>
      <c r="Q415" s="65"/>
      <c r="R415">
        <v>0</v>
      </c>
      <c r="S415">
        <v>1</v>
      </c>
    </row>
    <row r="416" spans="1:19">
      <c r="A416" s="80"/>
      <c r="B416" s="65"/>
      <c r="C416" s="65"/>
      <c r="D416" s="81"/>
      <c r="E416" s="81"/>
      <c r="F416" s="67"/>
      <c r="G416" s="66"/>
      <c r="H416" s="81"/>
      <c r="I416" s="65"/>
      <c r="J416" s="17" t="str">
        <f t="shared" si="18"/>
        <v/>
      </c>
      <c r="L416" s="65">
        <f t="shared" si="19"/>
        <v>16711935</v>
      </c>
      <c r="N416" s="65">
        <v>1</v>
      </c>
      <c r="O416" s="65"/>
      <c r="P416" s="65"/>
      <c r="Q416" s="65"/>
      <c r="R416">
        <v>0</v>
      </c>
      <c r="S416">
        <v>1</v>
      </c>
    </row>
    <row r="417" spans="1:19">
      <c r="A417" s="80"/>
      <c r="B417" s="65"/>
      <c r="C417" s="65"/>
      <c r="D417" s="81"/>
      <c r="E417" s="81"/>
      <c r="F417" s="67"/>
      <c r="G417" s="66"/>
      <c r="H417" s="81"/>
      <c r="I417" s="65"/>
      <c r="J417" s="17" t="str">
        <f t="shared" si="18"/>
        <v/>
      </c>
      <c r="L417" s="65">
        <f t="shared" si="19"/>
        <v>16711935</v>
      </c>
      <c r="N417" s="65">
        <v>1</v>
      </c>
      <c r="O417" s="65"/>
      <c r="P417" s="65"/>
      <c r="Q417" s="65"/>
      <c r="R417">
        <v>0</v>
      </c>
      <c r="S417">
        <v>1</v>
      </c>
    </row>
    <row r="418" spans="1:19">
      <c r="A418" s="80"/>
      <c r="B418" s="65"/>
      <c r="C418" s="65"/>
      <c r="D418" s="81"/>
      <c r="E418" s="81"/>
      <c r="F418" s="67"/>
      <c r="G418" s="66"/>
      <c r="H418" s="81"/>
      <c r="I418" s="65"/>
      <c r="J418" s="17" t="str">
        <f t="shared" si="18"/>
        <v/>
      </c>
      <c r="L418" s="65">
        <f t="shared" si="19"/>
        <v>16711935</v>
      </c>
      <c r="N418" s="65">
        <v>1</v>
      </c>
      <c r="O418" s="65"/>
      <c r="P418" s="65"/>
      <c r="Q418" s="65"/>
      <c r="R418">
        <v>0</v>
      </c>
      <c r="S418">
        <v>1</v>
      </c>
    </row>
    <row r="419" spans="1:19">
      <c r="A419" s="80"/>
      <c r="B419" s="65"/>
      <c r="C419" s="65"/>
      <c r="D419" s="81"/>
      <c r="E419" s="81"/>
      <c r="F419" s="67"/>
      <c r="G419" s="66"/>
      <c r="H419" s="81"/>
      <c r="I419" s="65"/>
      <c r="J419" s="17" t="str">
        <f t="shared" si="18"/>
        <v/>
      </c>
      <c r="L419" s="65">
        <f t="shared" si="19"/>
        <v>16711935</v>
      </c>
      <c r="N419" s="65">
        <v>1</v>
      </c>
      <c r="O419" s="65"/>
      <c r="P419" s="65"/>
      <c r="Q419" s="65"/>
      <c r="R419">
        <v>0</v>
      </c>
      <c r="S419">
        <v>1</v>
      </c>
    </row>
    <row r="420" spans="1:19">
      <c r="A420" s="80"/>
      <c r="B420" s="65"/>
      <c r="C420" s="65"/>
      <c r="D420" s="81"/>
      <c r="E420" s="81"/>
      <c r="F420" s="67"/>
      <c r="G420" s="66"/>
      <c r="H420" s="81"/>
      <c r="I420" s="65"/>
      <c r="J420" s="17" t="str">
        <f t="shared" si="18"/>
        <v/>
      </c>
      <c r="L420" s="65">
        <f t="shared" si="19"/>
        <v>16711935</v>
      </c>
      <c r="N420" s="65">
        <v>1</v>
      </c>
      <c r="O420" s="65"/>
      <c r="P420" s="65"/>
      <c r="Q420" s="65"/>
      <c r="R420">
        <v>0</v>
      </c>
      <c r="S420">
        <v>1</v>
      </c>
    </row>
    <row r="421" spans="1:19">
      <c r="A421" s="80"/>
      <c r="B421" s="65"/>
      <c r="C421" s="65"/>
      <c r="D421" s="81"/>
      <c r="E421" s="81"/>
      <c r="F421" s="67"/>
      <c r="G421" s="66"/>
      <c r="H421" s="81"/>
      <c r="I421" s="65"/>
      <c r="J421" s="17" t="str">
        <f t="shared" si="18"/>
        <v/>
      </c>
      <c r="L421" s="65">
        <f t="shared" si="19"/>
        <v>16711935</v>
      </c>
      <c r="N421" s="65">
        <v>1</v>
      </c>
      <c r="O421" s="65"/>
      <c r="P421" s="65"/>
      <c r="Q421" s="65"/>
      <c r="R421">
        <v>0</v>
      </c>
      <c r="S421">
        <v>1</v>
      </c>
    </row>
    <row r="422" spans="1:19">
      <c r="A422" s="80"/>
      <c r="B422" s="65"/>
      <c r="C422" s="65"/>
      <c r="D422" s="81"/>
      <c r="E422" s="81"/>
      <c r="F422" s="67"/>
      <c r="G422" s="66"/>
      <c r="H422" s="81"/>
      <c r="I422" s="65"/>
      <c r="J422" s="17" t="str">
        <f t="shared" si="18"/>
        <v/>
      </c>
      <c r="L422" s="65">
        <f t="shared" si="19"/>
        <v>16711935</v>
      </c>
      <c r="N422" s="65">
        <v>1</v>
      </c>
      <c r="O422" s="65"/>
      <c r="P422" s="65"/>
      <c r="Q422" s="65"/>
      <c r="R422">
        <v>0</v>
      </c>
      <c r="S422">
        <v>1</v>
      </c>
    </row>
    <row r="423" spans="1:19">
      <c r="A423" s="80"/>
      <c r="B423" s="65"/>
      <c r="C423" s="65"/>
      <c r="D423" s="81"/>
      <c r="E423" s="81"/>
      <c r="F423" s="67"/>
      <c r="G423" s="66"/>
      <c r="H423" s="81"/>
      <c r="I423" s="65"/>
      <c r="J423" s="17" t="str">
        <f t="shared" si="18"/>
        <v/>
      </c>
      <c r="L423" s="65">
        <f t="shared" si="19"/>
        <v>16711935</v>
      </c>
      <c r="N423" s="65">
        <v>1</v>
      </c>
      <c r="O423" s="65"/>
      <c r="P423" s="65"/>
      <c r="Q423" s="65"/>
      <c r="R423">
        <v>0</v>
      </c>
      <c r="S423">
        <v>1</v>
      </c>
    </row>
    <row r="424" spans="1:19">
      <c r="A424" s="80"/>
      <c r="B424" s="65"/>
      <c r="C424" s="65"/>
      <c r="D424" s="81"/>
      <c r="E424" s="81"/>
      <c r="F424" s="67"/>
      <c r="G424" s="66"/>
      <c r="H424" s="81"/>
      <c r="I424" s="65"/>
      <c r="J424" s="17" t="str">
        <f t="shared" si="18"/>
        <v/>
      </c>
      <c r="L424" s="65">
        <f t="shared" si="19"/>
        <v>16711935</v>
      </c>
      <c r="N424" s="65">
        <v>1</v>
      </c>
      <c r="O424" s="65"/>
      <c r="P424" s="65"/>
      <c r="Q424" s="65"/>
      <c r="R424">
        <v>0</v>
      </c>
      <c r="S424">
        <v>1</v>
      </c>
    </row>
    <row r="425" spans="1:19">
      <c r="A425" s="80"/>
      <c r="B425" s="65"/>
      <c r="C425" s="65"/>
      <c r="D425" s="81"/>
      <c r="E425" s="81"/>
      <c r="F425" s="67"/>
      <c r="G425" s="66"/>
      <c r="H425" s="81"/>
      <c r="I425" s="65"/>
      <c r="J425" s="17" t="str">
        <f t="shared" si="18"/>
        <v/>
      </c>
      <c r="L425" s="65">
        <f t="shared" si="19"/>
        <v>16711935</v>
      </c>
      <c r="N425" s="65">
        <v>1</v>
      </c>
      <c r="O425" s="65"/>
      <c r="P425" s="65"/>
      <c r="Q425" s="65"/>
      <c r="R425">
        <v>0</v>
      </c>
      <c r="S425">
        <v>1</v>
      </c>
    </row>
    <row r="426" spans="1:19">
      <c r="A426" s="80"/>
      <c r="B426" s="65"/>
      <c r="C426" s="65"/>
      <c r="D426" s="81"/>
      <c r="E426" s="81"/>
      <c r="F426" s="67"/>
      <c r="G426" s="66"/>
      <c r="H426" s="81"/>
      <c r="I426" s="65"/>
      <c r="J426" s="17" t="str">
        <f t="shared" si="18"/>
        <v/>
      </c>
      <c r="L426" s="65">
        <f t="shared" si="19"/>
        <v>16711935</v>
      </c>
      <c r="N426" s="65">
        <v>1</v>
      </c>
      <c r="O426" s="65"/>
      <c r="P426" s="65"/>
      <c r="Q426" s="65"/>
      <c r="R426">
        <v>0</v>
      </c>
      <c r="S426">
        <v>1</v>
      </c>
    </row>
    <row r="427" spans="1:19">
      <c r="A427" s="80"/>
      <c r="B427" s="65"/>
      <c r="C427" s="65"/>
      <c r="D427" s="81"/>
      <c r="E427" s="81"/>
      <c r="F427" s="67"/>
      <c r="G427" s="66"/>
      <c r="H427" s="81"/>
      <c r="I427" s="65"/>
      <c r="J427" s="17" t="str">
        <f t="shared" si="18"/>
        <v/>
      </c>
      <c r="L427" s="65">
        <f t="shared" si="19"/>
        <v>16711935</v>
      </c>
      <c r="N427" s="65">
        <v>1</v>
      </c>
      <c r="O427" s="65"/>
      <c r="P427" s="65"/>
      <c r="Q427" s="65"/>
      <c r="R427">
        <v>0</v>
      </c>
      <c r="S427">
        <v>1</v>
      </c>
    </row>
    <row r="428" spans="1:19">
      <c r="A428" s="80"/>
      <c r="B428" s="65"/>
      <c r="C428" s="65"/>
      <c r="D428" s="81"/>
      <c r="E428" s="81"/>
      <c r="F428" s="67"/>
      <c r="G428" s="66"/>
      <c r="H428" s="81"/>
      <c r="I428" s="65"/>
      <c r="J428" s="17" t="str">
        <f t="shared" si="18"/>
        <v/>
      </c>
      <c r="L428" s="65">
        <f t="shared" si="19"/>
        <v>16711935</v>
      </c>
      <c r="N428" s="65">
        <v>1</v>
      </c>
      <c r="O428" s="65"/>
      <c r="P428" s="65"/>
      <c r="Q428" s="65"/>
      <c r="R428">
        <v>0</v>
      </c>
      <c r="S428">
        <v>1</v>
      </c>
    </row>
    <row r="429" spans="1:19">
      <c r="A429" s="80"/>
      <c r="B429" s="65"/>
      <c r="C429" s="65"/>
      <c r="D429" s="81"/>
      <c r="E429" s="81"/>
      <c r="F429" s="67"/>
      <c r="G429" s="66"/>
      <c r="H429" s="81"/>
      <c r="I429" s="65"/>
      <c r="J429" s="17" t="str">
        <f t="shared" si="18"/>
        <v/>
      </c>
      <c r="L429" s="65">
        <f t="shared" si="19"/>
        <v>16711935</v>
      </c>
      <c r="N429" s="65">
        <v>1</v>
      </c>
      <c r="O429" s="65"/>
      <c r="P429" s="65"/>
      <c r="Q429" s="65"/>
      <c r="R429">
        <v>0</v>
      </c>
      <c r="S429">
        <v>1</v>
      </c>
    </row>
    <row r="430" spans="1:19">
      <c r="A430" s="80"/>
      <c r="B430" s="65"/>
      <c r="C430" s="65"/>
      <c r="D430" s="81"/>
      <c r="E430" s="81"/>
      <c r="F430" s="67"/>
      <c r="G430" s="66"/>
      <c r="H430" s="81"/>
      <c r="I430" s="65"/>
      <c r="J430" s="17" t="str">
        <f t="shared" si="18"/>
        <v/>
      </c>
      <c r="L430" s="65">
        <f t="shared" si="19"/>
        <v>16711935</v>
      </c>
      <c r="N430" s="65">
        <v>1</v>
      </c>
      <c r="O430" s="65"/>
      <c r="P430" s="65"/>
      <c r="Q430" s="65"/>
      <c r="R430">
        <v>0</v>
      </c>
      <c r="S430">
        <v>1</v>
      </c>
    </row>
    <row r="431" spans="1:19">
      <c r="A431" s="80"/>
      <c r="B431" s="65"/>
      <c r="C431" s="65"/>
      <c r="D431" s="81"/>
      <c r="E431" s="81"/>
      <c r="F431" s="67"/>
      <c r="G431" s="66"/>
      <c r="H431" s="81"/>
      <c r="I431" s="65"/>
      <c r="J431" s="17" t="str">
        <f t="shared" si="18"/>
        <v/>
      </c>
      <c r="L431" s="65">
        <f t="shared" si="19"/>
        <v>16711935</v>
      </c>
      <c r="N431" s="65">
        <v>1</v>
      </c>
      <c r="O431" s="65"/>
      <c r="P431" s="65"/>
      <c r="Q431" s="65"/>
      <c r="R431">
        <v>0</v>
      </c>
      <c r="S431">
        <v>1</v>
      </c>
    </row>
    <row r="432" spans="1:19">
      <c r="A432" s="80"/>
      <c r="B432" s="65"/>
      <c r="C432" s="65"/>
      <c r="D432" s="81"/>
      <c r="E432" s="81"/>
      <c r="F432" s="67"/>
      <c r="G432" s="66"/>
      <c r="H432" s="81"/>
      <c r="I432" s="65"/>
      <c r="J432" s="17" t="str">
        <f t="shared" si="18"/>
        <v/>
      </c>
      <c r="L432" s="65">
        <f t="shared" si="19"/>
        <v>16711935</v>
      </c>
      <c r="N432" s="65">
        <v>1</v>
      </c>
      <c r="O432" s="65"/>
      <c r="P432" s="65"/>
      <c r="Q432" s="65"/>
      <c r="R432">
        <v>0</v>
      </c>
      <c r="S432">
        <v>1</v>
      </c>
    </row>
    <row r="433" spans="1:19">
      <c r="A433" s="80"/>
      <c r="B433" s="65"/>
      <c r="C433" s="65"/>
      <c r="D433" s="81"/>
      <c r="E433" s="81"/>
      <c r="F433" s="67"/>
      <c r="G433" s="66"/>
      <c r="H433" s="81"/>
      <c r="I433" s="65"/>
      <c r="J433" s="17" t="str">
        <f t="shared" si="18"/>
        <v/>
      </c>
      <c r="L433" s="65">
        <f t="shared" si="19"/>
        <v>16711935</v>
      </c>
      <c r="N433" s="65">
        <v>1</v>
      </c>
      <c r="O433" s="65"/>
      <c r="P433" s="65"/>
      <c r="Q433" s="65"/>
      <c r="R433">
        <v>0</v>
      </c>
      <c r="S433">
        <v>1</v>
      </c>
    </row>
    <row r="434" spans="1:19">
      <c r="A434" s="80"/>
      <c r="B434" s="65"/>
      <c r="C434" s="65"/>
      <c r="D434" s="81"/>
      <c r="E434" s="81"/>
      <c r="F434" s="67"/>
      <c r="G434" s="66"/>
      <c r="H434" s="81"/>
      <c r="I434" s="65"/>
      <c r="J434" s="17" t="str">
        <f t="shared" si="18"/>
        <v/>
      </c>
      <c r="L434" s="65">
        <f t="shared" si="19"/>
        <v>16711935</v>
      </c>
      <c r="N434" s="65">
        <v>1</v>
      </c>
      <c r="O434" s="65"/>
      <c r="P434" s="65"/>
      <c r="Q434" s="65"/>
      <c r="R434">
        <v>0</v>
      </c>
      <c r="S434">
        <v>1</v>
      </c>
    </row>
    <row r="435" spans="1:19">
      <c r="A435" s="80"/>
      <c r="B435" s="65"/>
      <c r="C435" s="65"/>
      <c r="D435" s="81"/>
      <c r="E435" s="81"/>
      <c r="F435" s="67"/>
      <c r="G435" s="66"/>
      <c r="H435" s="81"/>
      <c r="I435" s="65"/>
      <c r="J435" s="17" t="str">
        <f t="shared" si="18"/>
        <v/>
      </c>
      <c r="L435" s="65">
        <f t="shared" si="19"/>
        <v>16711935</v>
      </c>
      <c r="N435" s="65">
        <v>1</v>
      </c>
      <c r="O435" s="65"/>
      <c r="P435" s="65"/>
      <c r="Q435" s="65"/>
      <c r="R435">
        <v>0</v>
      </c>
      <c r="S435">
        <v>1</v>
      </c>
    </row>
    <row r="436" spans="1:19">
      <c r="A436" s="80"/>
      <c r="B436" s="65"/>
      <c r="C436" s="65"/>
      <c r="D436" s="81"/>
      <c r="E436" s="81"/>
      <c r="F436" s="67"/>
      <c r="G436" s="66"/>
      <c r="H436" s="81"/>
      <c r="I436" s="65"/>
      <c r="J436" s="17" t="str">
        <f t="shared" si="18"/>
        <v/>
      </c>
      <c r="L436" s="65">
        <f t="shared" si="19"/>
        <v>16711935</v>
      </c>
      <c r="N436" s="65">
        <v>1</v>
      </c>
      <c r="O436" s="65"/>
      <c r="P436" s="65"/>
      <c r="Q436" s="65"/>
      <c r="R436">
        <v>0</v>
      </c>
      <c r="S436">
        <v>1</v>
      </c>
    </row>
    <row r="437" spans="1:19">
      <c r="A437" s="80"/>
      <c r="B437" s="65"/>
      <c r="C437" s="65"/>
      <c r="D437" s="81"/>
      <c r="E437" s="81"/>
      <c r="F437" s="67"/>
      <c r="G437" s="66"/>
      <c r="H437" s="81"/>
      <c r="I437" s="65"/>
      <c r="J437" s="17" t="str">
        <f t="shared" si="18"/>
        <v/>
      </c>
      <c r="L437" s="65">
        <f t="shared" si="19"/>
        <v>16711935</v>
      </c>
      <c r="N437" s="65">
        <v>1</v>
      </c>
      <c r="O437" s="65"/>
      <c r="P437" s="65"/>
      <c r="Q437" s="65"/>
      <c r="R437">
        <v>0</v>
      </c>
      <c r="S437">
        <v>1</v>
      </c>
    </row>
    <row r="438" spans="1:19">
      <c r="A438" s="80"/>
      <c r="B438" s="65"/>
      <c r="C438" s="65"/>
      <c r="D438" s="81"/>
      <c r="E438" s="81"/>
      <c r="F438" s="67"/>
      <c r="G438" s="66"/>
      <c r="H438" s="81"/>
      <c r="I438" s="65"/>
      <c r="J438" s="17" t="str">
        <f t="shared" si="18"/>
        <v/>
      </c>
      <c r="L438" s="65">
        <f t="shared" si="19"/>
        <v>16711935</v>
      </c>
      <c r="N438" s="65">
        <v>1</v>
      </c>
      <c r="O438" s="65"/>
      <c r="P438" s="65"/>
      <c r="Q438" s="65"/>
      <c r="R438">
        <v>0</v>
      </c>
      <c r="S438">
        <v>1</v>
      </c>
    </row>
    <row r="439" spans="1:19">
      <c r="A439" s="80"/>
      <c r="B439" s="65"/>
      <c r="C439" s="65"/>
      <c r="D439" s="81"/>
      <c r="E439" s="81"/>
      <c r="F439" s="67"/>
      <c r="G439" s="66"/>
      <c r="H439" s="81"/>
      <c r="I439" s="65"/>
      <c r="J439" s="17" t="str">
        <f t="shared" si="18"/>
        <v/>
      </c>
      <c r="L439" s="65">
        <f t="shared" si="19"/>
        <v>16711935</v>
      </c>
      <c r="N439" s="65">
        <v>1</v>
      </c>
      <c r="O439" s="65"/>
      <c r="P439" s="65"/>
      <c r="Q439" s="65"/>
      <c r="R439">
        <v>0</v>
      </c>
      <c r="S439">
        <v>1</v>
      </c>
    </row>
    <row r="440" spans="1:19">
      <c r="A440" s="80"/>
      <c r="B440" s="65"/>
      <c r="C440" s="65"/>
      <c r="D440" s="81"/>
      <c r="E440" s="81"/>
      <c r="F440" s="67"/>
      <c r="G440" s="66"/>
      <c r="H440" s="81"/>
      <c r="I440" s="65"/>
      <c r="J440" s="17" t="str">
        <f t="shared" si="18"/>
        <v/>
      </c>
      <c r="L440" s="65">
        <f t="shared" si="19"/>
        <v>16711935</v>
      </c>
      <c r="N440" s="65">
        <v>1</v>
      </c>
      <c r="O440" s="65"/>
      <c r="P440" s="65"/>
      <c r="Q440" s="65"/>
      <c r="R440">
        <v>0</v>
      </c>
      <c r="S440">
        <v>1</v>
      </c>
    </row>
    <row r="441" spans="1:19">
      <c r="A441" s="80"/>
      <c r="B441" s="65"/>
      <c r="C441" s="65"/>
      <c r="D441" s="81"/>
      <c r="E441" s="81"/>
      <c r="F441" s="67"/>
      <c r="G441" s="66"/>
      <c r="H441" s="81"/>
      <c r="I441" s="65"/>
      <c r="J441" s="17" t="str">
        <f t="shared" si="18"/>
        <v/>
      </c>
      <c r="L441" s="65">
        <f t="shared" si="19"/>
        <v>16711935</v>
      </c>
      <c r="N441" s="65">
        <v>1</v>
      </c>
      <c r="O441" s="65"/>
      <c r="P441" s="65"/>
      <c r="Q441" s="65"/>
      <c r="R441">
        <v>0</v>
      </c>
      <c r="S441">
        <v>1</v>
      </c>
    </row>
    <row r="442" spans="1:19">
      <c r="A442" s="80"/>
      <c r="B442" s="65"/>
      <c r="C442" s="65"/>
      <c r="D442" s="81"/>
      <c r="E442" s="81"/>
      <c r="F442" s="67"/>
      <c r="G442" s="66"/>
      <c r="H442" s="81"/>
      <c r="I442" s="65"/>
      <c r="J442" s="17" t="str">
        <f t="shared" si="18"/>
        <v/>
      </c>
      <c r="L442" s="65">
        <f t="shared" si="19"/>
        <v>16711935</v>
      </c>
      <c r="N442" s="65">
        <v>1</v>
      </c>
      <c r="O442" s="65"/>
      <c r="P442" s="65"/>
      <c r="Q442" s="65"/>
      <c r="R442">
        <v>0</v>
      </c>
      <c r="S442">
        <v>1</v>
      </c>
    </row>
    <row r="443" spans="1:19">
      <c r="A443" s="80"/>
      <c r="B443" s="65"/>
      <c r="C443" s="65"/>
      <c r="D443" s="81"/>
      <c r="E443" s="81"/>
      <c r="F443" s="67"/>
      <c r="G443" s="66"/>
      <c r="H443" s="81"/>
      <c r="I443" s="65"/>
      <c r="J443" s="17" t="str">
        <f t="shared" si="18"/>
        <v/>
      </c>
      <c r="L443" s="65">
        <f t="shared" si="19"/>
        <v>16711935</v>
      </c>
      <c r="N443" s="65">
        <v>1</v>
      </c>
      <c r="O443" s="65"/>
      <c r="P443" s="65"/>
      <c r="Q443" s="65"/>
      <c r="R443">
        <v>0</v>
      </c>
      <c r="S443">
        <v>1</v>
      </c>
    </row>
    <row r="444" spans="1:19">
      <c r="A444" s="80"/>
      <c r="B444" s="65"/>
      <c r="C444" s="65"/>
      <c r="D444" s="81"/>
      <c r="E444" s="81"/>
      <c r="F444" s="67"/>
      <c r="G444" s="66"/>
      <c r="H444" s="81"/>
      <c r="I444" s="65"/>
      <c r="J444" s="17" t="str">
        <f t="shared" si="18"/>
        <v/>
      </c>
      <c r="L444" s="65">
        <f t="shared" si="19"/>
        <v>16711935</v>
      </c>
      <c r="N444" s="65">
        <v>1</v>
      </c>
      <c r="O444" s="65"/>
      <c r="P444" s="65"/>
      <c r="Q444" s="65"/>
      <c r="R444">
        <v>0</v>
      </c>
      <c r="S444">
        <v>1</v>
      </c>
    </row>
    <row r="445" spans="1:19">
      <c r="A445" s="80"/>
      <c r="B445" s="65"/>
      <c r="C445" s="65"/>
      <c r="D445" s="81"/>
      <c r="E445" s="81"/>
      <c r="F445" s="67"/>
      <c r="G445" s="66"/>
      <c r="H445" s="81"/>
      <c r="I445" s="65"/>
      <c r="J445" s="17" t="str">
        <f t="shared" si="18"/>
        <v/>
      </c>
      <c r="L445" s="65">
        <f t="shared" si="19"/>
        <v>16711935</v>
      </c>
      <c r="N445" s="65">
        <v>1</v>
      </c>
      <c r="O445" s="65"/>
      <c r="P445" s="65"/>
      <c r="Q445" s="65"/>
      <c r="R445">
        <v>0</v>
      </c>
      <c r="S445">
        <v>1</v>
      </c>
    </row>
    <row r="446" spans="1:19">
      <c r="A446" s="80"/>
      <c r="B446" s="65"/>
      <c r="C446" s="65"/>
      <c r="D446" s="81"/>
      <c r="E446" s="81"/>
      <c r="F446" s="67"/>
      <c r="G446" s="66"/>
      <c r="H446" s="81"/>
      <c r="I446" s="65"/>
      <c r="J446" s="17" t="str">
        <f t="shared" si="18"/>
        <v/>
      </c>
      <c r="L446" s="65">
        <f t="shared" si="19"/>
        <v>16711935</v>
      </c>
      <c r="N446" s="65">
        <v>1</v>
      </c>
      <c r="O446" s="65"/>
      <c r="P446" s="65"/>
      <c r="Q446" s="65"/>
      <c r="R446">
        <v>0</v>
      </c>
      <c r="S446">
        <v>1</v>
      </c>
    </row>
    <row r="447" spans="1:19">
      <c r="A447" s="80"/>
      <c r="B447" s="65"/>
      <c r="C447" s="65"/>
      <c r="D447" s="81"/>
      <c r="E447" s="81"/>
      <c r="F447" s="67"/>
      <c r="G447" s="66"/>
      <c r="H447" s="81"/>
      <c r="I447" s="65"/>
      <c r="J447" s="17" t="str">
        <f t="shared" si="18"/>
        <v/>
      </c>
      <c r="L447" s="65">
        <f t="shared" si="19"/>
        <v>16711935</v>
      </c>
      <c r="N447" s="65">
        <v>1</v>
      </c>
      <c r="O447" s="65"/>
      <c r="P447" s="65"/>
      <c r="Q447" s="65"/>
      <c r="R447">
        <v>0</v>
      </c>
      <c r="S447">
        <v>1</v>
      </c>
    </row>
    <row r="448" spans="1:19">
      <c r="A448" s="80"/>
      <c r="B448" s="65"/>
      <c r="C448" s="65"/>
      <c r="D448" s="81"/>
      <c r="E448" s="81"/>
      <c r="F448" s="67"/>
      <c r="G448" s="66"/>
      <c r="H448" s="81"/>
      <c r="I448" s="65"/>
      <c r="J448" s="17" t="str">
        <f t="shared" si="18"/>
        <v/>
      </c>
      <c r="L448" s="65">
        <f t="shared" si="19"/>
        <v>16711935</v>
      </c>
      <c r="N448" s="65">
        <v>1</v>
      </c>
      <c r="O448" s="65"/>
      <c r="P448" s="65"/>
      <c r="Q448" s="65"/>
      <c r="R448">
        <v>0</v>
      </c>
      <c r="S448">
        <v>1</v>
      </c>
    </row>
    <row r="449" spans="1:19">
      <c r="A449" s="80"/>
      <c r="B449" s="65"/>
      <c r="C449" s="65"/>
      <c r="D449" s="81"/>
      <c r="E449" s="81"/>
      <c r="F449" s="67"/>
      <c r="G449" s="66"/>
      <c r="H449" s="81"/>
      <c r="I449" s="65"/>
      <c r="J449" s="17" t="str">
        <f t="shared" si="18"/>
        <v/>
      </c>
      <c r="L449" s="65">
        <f t="shared" si="19"/>
        <v>16711935</v>
      </c>
      <c r="N449" s="65">
        <v>1</v>
      </c>
      <c r="O449" s="65"/>
      <c r="P449" s="65"/>
      <c r="Q449" s="65"/>
      <c r="R449">
        <v>0</v>
      </c>
      <c r="S449">
        <v>1</v>
      </c>
    </row>
    <row r="450" spans="1:19">
      <c r="A450" s="80"/>
      <c r="B450" s="65"/>
      <c r="C450" s="65"/>
      <c r="D450" s="81"/>
      <c r="E450" s="81"/>
      <c r="F450" s="67"/>
      <c r="G450" s="66"/>
      <c r="H450" s="81"/>
      <c r="I450" s="65"/>
      <c r="J450" s="17" t="str">
        <f t="shared" si="18"/>
        <v/>
      </c>
      <c r="L450" s="65">
        <f t="shared" si="19"/>
        <v>16711935</v>
      </c>
      <c r="N450" s="65">
        <v>1</v>
      </c>
      <c r="O450" s="65"/>
      <c r="P450" s="65"/>
      <c r="Q450" s="65"/>
      <c r="R450">
        <v>0</v>
      </c>
      <c r="S450">
        <v>1</v>
      </c>
    </row>
    <row r="451" spans="1:19">
      <c r="A451" s="80"/>
      <c r="B451" s="65"/>
      <c r="C451" s="65"/>
      <c r="D451" s="81"/>
      <c r="E451" s="81"/>
      <c r="F451" s="67"/>
      <c r="G451" s="66"/>
      <c r="H451" s="81"/>
      <c r="I451" s="65"/>
      <c r="J451" s="17" t="str">
        <f t="shared" si="18"/>
        <v/>
      </c>
      <c r="L451" s="65">
        <f t="shared" si="19"/>
        <v>16711935</v>
      </c>
      <c r="N451" s="65">
        <v>1</v>
      </c>
      <c r="O451" s="65"/>
      <c r="P451" s="65"/>
      <c r="Q451" s="65"/>
      <c r="R451">
        <v>0</v>
      </c>
      <c r="S451">
        <v>1</v>
      </c>
    </row>
    <row r="452" spans="1:19">
      <c r="A452" s="80"/>
      <c r="B452" s="65"/>
      <c r="C452" s="65"/>
      <c r="D452" s="81"/>
      <c r="E452" s="81"/>
      <c r="F452" s="67"/>
      <c r="G452" s="66"/>
      <c r="H452" s="81"/>
      <c r="I452" s="65"/>
      <c r="J452" s="17" t="str">
        <f t="shared" si="18"/>
        <v/>
      </c>
      <c r="L452" s="65">
        <f t="shared" si="19"/>
        <v>16711935</v>
      </c>
      <c r="N452" s="65">
        <v>1</v>
      </c>
      <c r="O452" s="65"/>
      <c r="P452" s="65"/>
      <c r="Q452" s="65"/>
      <c r="R452">
        <v>0</v>
      </c>
      <c r="S452">
        <v>1</v>
      </c>
    </row>
    <row r="453" spans="1:19">
      <c r="A453" s="80"/>
      <c r="B453" s="65"/>
      <c r="C453" s="65"/>
      <c r="D453" s="81"/>
      <c r="E453" s="81"/>
      <c r="F453" s="67"/>
      <c r="G453" s="66"/>
      <c r="H453" s="81"/>
      <c r="I453" s="65"/>
      <c r="J453" s="17" t="str">
        <f t="shared" si="18"/>
        <v/>
      </c>
      <c r="L453" s="65">
        <f t="shared" si="19"/>
        <v>16711935</v>
      </c>
      <c r="N453" s="65">
        <v>1</v>
      </c>
      <c r="O453" s="65"/>
      <c r="P453" s="65"/>
      <c r="Q453" s="65"/>
      <c r="R453">
        <v>0</v>
      </c>
      <c r="S453">
        <v>1</v>
      </c>
    </row>
    <row r="454" spans="1:19">
      <c r="A454" s="80"/>
      <c r="B454" s="65"/>
      <c r="C454" s="65"/>
      <c r="D454" s="81"/>
      <c r="E454" s="81"/>
      <c r="F454" s="67"/>
      <c r="G454" s="66"/>
      <c r="H454" s="81"/>
      <c r="I454" s="65"/>
      <c r="J454" s="17" t="str">
        <f t="shared" ref="J454:J505" si="20">IF(LEN(B454)&gt;0,SUBSTITUTE(B454, "'", " ")&amp;" - "&amp;SUBSTITUTE(C454, "'"," ")&amp;";"&amp;A454&amp;";"&amp;N454&amp;";"&amp;O454&amp;";"&amp;P454&amp;";"&amp;L454&amp;";"&amp;E454&amp;";"&amp;F454&amp;";"&amp;Q454&amp;";"&amp;IF(LEN(G454)=0,"1.000",IFERROR(REPLACE(FIXED(G454,3,1),2,1,"."),))&amp;";"&amp;H454&amp;";"&amp;I454&amp;";"&amp;R454&amp;";"&amp;S454&amp;";","")</f>
        <v/>
      </c>
      <c r="L454" s="65">
        <f t="shared" si="19"/>
        <v>16711935</v>
      </c>
      <c r="N454" s="65">
        <v>1</v>
      </c>
      <c r="O454" s="65"/>
      <c r="P454" s="65"/>
      <c r="Q454" s="65"/>
      <c r="R454">
        <v>0</v>
      </c>
      <c r="S454">
        <v>1</v>
      </c>
    </row>
    <row r="455" spans="1:19">
      <c r="A455" s="80"/>
      <c r="B455" s="65"/>
      <c r="C455" s="65"/>
      <c r="D455" s="81"/>
      <c r="E455" s="81"/>
      <c r="F455" s="67"/>
      <c r="G455" s="66"/>
      <c r="H455" s="81"/>
      <c r="I455" s="65"/>
      <c r="J455" s="17" t="str">
        <f t="shared" si="20"/>
        <v/>
      </c>
      <c r="L455" s="65">
        <f t="shared" si="19"/>
        <v>16711935</v>
      </c>
      <c r="N455" s="65">
        <v>1</v>
      </c>
      <c r="O455" s="65"/>
      <c r="P455" s="65"/>
      <c r="Q455" s="65"/>
      <c r="R455">
        <v>0</v>
      </c>
      <c r="S455">
        <v>1</v>
      </c>
    </row>
    <row r="456" spans="1:19">
      <c r="A456" s="80"/>
      <c r="B456" s="65"/>
      <c r="C456" s="65"/>
      <c r="D456" s="81"/>
      <c r="E456" s="81"/>
      <c r="F456" s="67"/>
      <c r="G456" s="66"/>
      <c r="H456" s="81"/>
      <c r="I456" s="65"/>
      <c r="J456" s="17" t="str">
        <f t="shared" si="20"/>
        <v/>
      </c>
      <c r="L456" s="65">
        <f t="shared" ref="L456:L505" si="21">IFERROR(VLOOKUP(D456,ColorsTable,2,FALSE),16711935)</f>
        <v>16711935</v>
      </c>
      <c r="N456" s="65">
        <v>1</v>
      </c>
      <c r="O456" s="65"/>
      <c r="P456" s="65"/>
      <c r="Q456" s="65"/>
      <c r="R456">
        <v>0</v>
      </c>
      <c r="S456">
        <v>1</v>
      </c>
    </row>
    <row r="457" spans="1:19">
      <c r="A457" s="80"/>
      <c r="B457" s="65"/>
      <c r="C457" s="65"/>
      <c r="D457" s="81"/>
      <c r="E457" s="81"/>
      <c r="F457" s="67"/>
      <c r="G457" s="66"/>
      <c r="H457" s="81"/>
      <c r="I457" s="65"/>
      <c r="J457" s="17" t="str">
        <f t="shared" si="20"/>
        <v/>
      </c>
      <c r="L457" s="65">
        <f t="shared" si="21"/>
        <v>16711935</v>
      </c>
      <c r="N457" s="65">
        <v>1</v>
      </c>
      <c r="O457" s="65"/>
      <c r="P457" s="65"/>
      <c r="Q457" s="65"/>
      <c r="R457">
        <v>0</v>
      </c>
      <c r="S457">
        <v>1</v>
      </c>
    </row>
    <row r="458" spans="1:19">
      <c r="A458" s="80"/>
      <c r="B458" s="65"/>
      <c r="C458" s="65"/>
      <c r="D458" s="81"/>
      <c r="E458" s="81"/>
      <c r="F458" s="67"/>
      <c r="G458" s="66"/>
      <c r="H458" s="81"/>
      <c r="I458" s="65"/>
      <c r="J458" s="17" t="str">
        <f t="shared" si="20"/>
        <v/>
      </c>
      <c r="L458" s="65">
        <f t="shared" si="21"/>
        <v>16711935</v>
      </c>
      <c r="N458" s="65">
        <v>1</v>
      </c>
      <c r="O458" s="65"/>
      <c r="P458" s="65"/>
      <c r="Q458" s="65"/>
      <c r="R458">
        <v>0</v>
      </c>
      <c r="S458">
        <v>1</v>
      </c>
    </row>
    <row r="459" spans="1:19">
      <c r="A459" s="80"/>
      <c r="B459" s="65"/>
      <c r="C459" s="65"/>
      <c r="D459" s="81"/>
      <c r="E459" s="81"/>
      <c r="F459" s="67"/>
      <c r="G459" s="66"/>
      <c r="H459" s="81"/>
      <c r="I459" s="65"/>
      <c r="J459" s="17" t="str">
        <f t="shared" si="20"/>
        <v/>
      </c>
      <c r="L459" s="65">
        <f t="shared" si="21"/>
        <v>16711935</v>
      </c>
      <c r="N459" s="65">
        <v>1</v>
      </c>
      <c r="O459" s="65"/>
      <c r="P459" s="65"/>
      <c r="Q459" s="65"/>
      <c r="R459">
        <v>0</v>
      </c>
      <c r="S459">
        <v>1</v>
      </c>
    </row>
    <row r="460" spans="1:19">
      <c r="A460" s="80"/>
      <c r="B460" s="65"/>
      <c r="C460" s="65"/>
      <c r="D460" s="81"/>
      <c r="E460" s="81"/>
      <c r="F460" s="67"/>
      <c r="G460" s="66"/>
      <c r="H460" s="81"/>
      <c r="I460" s="65"/>
      <c r="J460" s="17" t="str">
        <f t="shared" si="20"/>
        <v/>
      </c>
      <c r="L460" s="65">
        <f t="shared" si="21"/>
        <v>16711935</v>
      </c>
      <c r="N460" s="65">
        <v>1</v>
      </c>
      <c r="O460" s="65"/>
      <c r="P460" s="65"/>
      <c r="Q460" s="65"/>
      <c r="R460">
        <v>0</v>
      </c>
      <c r="S460">
        <v>1</v>
      </c>
    </row>
    <row r="461" spans="1:19">
      <c r="A461" s="80"/>
      <c r="B461" s="65"/>
      <c r="C461" s="65"/>
      <c r="D461" s="81"/>
      <c r="E461" s="81"/>
      <c r="F461" s="67"/>
      <c r="G461" s="66"/>
      <c r="H461" s="81"/>
      <c r="I461" s="65"/>
      <c r="J461" s="17" t="str">
        <f t="shared" si="20"/>
        <v/>
      </c>
      <c r="L461" s="65">
        <f t="shared" si="21"/>
        <v>16711935</v>
      </c>
      <c r="N461" s="65">
        <v>1</v>
      </c>
      <c r="O461" s="65"/>
      <c r="P461" s="65"/>
      <c r="Q461" s="65"/>
      <c r="R461">
        <v>0</v>
      </c>
      <c r="S461">
        <v>1</v>
      </c>
    </row>
    <row r="462" spans="1:19">
      <c r="A462" s="80"/>
      <c r="B462" s="65"/>
      <c r="C462" s="65"/>
      <c r="D462" s="81"/>
      <c r="E462" s="81"/>
      <c r="F462" s="67"/>
      <c r="G462" s="66"/>
      <c r="H462" s="81"/>
      <c r="I462" s="65"/>
      <c r="J462" s="17" t="str">
        <f t="shared" si="20"/>
        <v/>
      </c>
      <c r="L462" s="65">
        <f t="shared" si="21"/>
        <v>16711935</v>
      </c>
      <c r="N462" s="65">
        <v>1</v>
      </c>
      <c r="O462" s="65"/>
      <c r="P462" s="65"/>
      <c r="Q462" s="65"/>
      <c r="R462">
        <v>0</v>
      </c>
      <c r="S462">
        <v>1</v>
      </c>
    </row>
    <row r="463" spans="1:19">
      <c r="A463" s="80"/>
      <c r="B463" s="65"/>
      <c r="C463" s="65"/>
      <c r="D463" s="81"/>
      <c r="E463" s="81"/>
      <c r="F463" s="67"/>
      <c r="G463" s="66"/>
      <c r="H463" s="81"/>
      <c r="I463" s="65"/>
      <c r="J463" s="17" t="str">
        <f t="shared" si="20"/>
        <v/>
      </c>
      <c r="L463" s="65">
        <f t="shared" si="21"/>
        <v>16711935</v>
      </c>
      <c r="N463" s="65">
        <v>1</v>
      </c>
      <c r="O463" s="65"/>
      <c r="P463" s="65"/>
      <c r="Q463" s="65"/>
      <c r="R463">
        <v>0</v>
      </c>
      <c r="S463">
        <v>1</v>
      </c>
    </row>
    <row r="464" spans="1:19">
      <c r="A464" s="80"/>
      <c r="B464" s="65"/>
      <c r="C464" s="65"/>
      <c r="D464" s="81"/>
      <c r="E464" s="81"/>
      <c r="F464" s="67"/>
      <c r="G464" s="66"/>
      <c r="H464" s="81"/>
      <c r="I464" s="65"/>
      <c r="J464" s="17" t="str">
        <f t="shared" si="20"/>
        <v/>
      </c>
      <c r="L464" s="65">
        <f t="shared" si="21"/>
        <v>16711935</v>
      </c>
      <c r="N464" s="65">
        <v>1</v>
      </c>
      <c r="O464" s="65"/>
      <c r="P464" s="65"/>
      <c r="Q464" s="65"/>
      <c r="R464">
        <v>0</v>
      </c>
      <c r="S464">
        <v>1</v>
      </c>
    </row>
    <row r="465" spans="1:19">
      <c r="A465" s="80"/>
      <c r="B465" s="65"/>
      <c r="C465" s="65"/>
      <c r="D465" s="81"/>
      <c r="E465" s="81"/>
      <c r="F465" s="67"/>
      <c r="G465" s="66"/>
      <c r="H465" s="81"/>
      <c r="I465" s="65"/>
      <c r="J465" s="17" t="str">
        <f t="shared" si="20"/>
        <v/>
      </c>
      <c r="L465" s="65">
        <f t="shared" si="21"/>
        <v>16711935</v>
      </c>
      <c r="N465" s="65">
        <v>1</v>
      </c>
      <c r="O465" s="65"/>
      <c r="P465" s="65"/>
      <c r="Q465" s="65"/>
      <c r="R465">
        <v>0</v>
      </c>
      <c r="S465">
        <v>1</v>
      </c>
    </row>
    <row r="466" spans="1:19">
      <c r="A466" s="80"/>
      <c r="B466" s="65"/>
      <c r="C466" s="65"/>
      <c r="D466" s="81"/>
      <c r="E466" s="81"/>
      <c r="F466" s="67"/>
      <c r="G466" s="66"/>
      <c r="H466" s="81"/>
      <c r="I466" s="65"/>
      <c r="J466" s="17" t="str">
        <f t="shared" si="20"/>
        <v/>
      </c>
      <c r="L466" s="65">
        <f t="shared" si="21"/>
        <v>16711935</v>
      </c>
      <c r="N466" s="65">
        <v>1</v>
      </c>
      <c r="O466" s="65"/>
      <c r="P466" s="65"/>
      <c r="Q466" s="65"/>
      <c r="R466">
        <v>0</v>
      </c>
      <c r="S466">
        <v>1</v>
      </c>
    </row>
    <row r="467" spans="1:19">
      <c r="A467" s="80"/>
      <c r="B467" s="65"/>
      <c r="C467" s="65"/>
      <c r="D467" s="81"/>
      <c r="E467" s="81"/>
      <c r="F467" s="67"/>
      <c r="G467" s="66"/>
      <c r="H467" s="81"/>
      <c r="I467" s="65"/>
      <c r="J467" s="17" t="str">
        <f t="shared" si="20"/>
        <v/>
      </c>
      <c r="L467" s="65">
        <f t="shared" si="21"/>
        <v>16711935</v>
      </c>
      <c r="N467" s="65">
        <v>1</v>
      </c>
      <c r="O467" s="65"/>
      <c r="P467" s="65"/>
      <c r="Q467" s="65"/>
      <c r="R467">
        <v>0</v>
      </c>
      <c r="S467">
        <v>1</v>
      </c>
    </row>
    <row r="468" spans="1:19">
      <c r="A468" s="80"/>
      <c r="B468" s="65"/>
      <c r="C468" s="65"/>
      <c r="D468" s="81"/>
      <c r="E468" s="81"/>
      <c r="F468" s="67"/>
      <c r="G468" s="66"/>
      <c r="H468" s="81"/>
      <c r="I468" s="65"/>
      <c r="J468" s="17" t="str">
        <f t="shared" si="20"/>
        <v/>
      </c>
      <c r="L468" s="65">
        <f t="shared" si="21"/>
        <v>16711935</v>
      </c>
      <c r="N468" s="65">
        <v>1</v>
      </c>
      <c r="O468" s="65"/>
      <c r="P468" s="65"/>
      <c r="Q468" s="65"/>
      <c r="R468">
        <v>0</v>
      </c>
      <c r="S468">
        <v>1</v>
      </c>
    </row>
    <row r="469" spans="1:19">
      <c r="A469" s="80"/>
      <c r="B469" s="65"/>
      <c r="C469" s="65"/>
      <c r="D469" s="81"/>
      <c r="E469" s="81"/>
      <c r="F469" s="67"/>
      <c r="G469" s="66"/>
      <c r="H469" s="81"/>
      <c r="I469" s="65"/>
      <c r="J469" s="17" t="str">
        <f t="shared" si="20"/>
        <v/>
      </c>
      <c r="L469" s="65">
        <f t="shared" si="21"/>
        <v>16711935</v>
      </c>
      <c r="N469" s="65">
        <v>1</v>
      </c>
      <c r="O469" s="65"/>
      <c r="P469" s="65"/>
      <c r="Q469" s="65"/>
      <c r="R469">
        <v>0</v>
      </c>
      <c r="S469">
        <v>1</v>
      </c>
    </row>
    <row r="470" spans="1:19">
      <c r="A470" s="80"/>
      <c r="B470" s="65"/>
      <c r="C470" s="65"/>
      <c r="D470" s="81"/>
      <c r="E470" s="81"/>
      <c r="F470" s="67"/>
      <c r="G470" s="66"/>
      <c r="H470" s="81"/>
      <c r="I470" s="65"/>
      <c r="J470" s="17" t="str">
        <f t="shared" si="20"/>
        <v/>
      </c>
      <c r="L470" s="65">
        <f t="shared" si="21"/>
        <v>16711935</v>
      </c>
      <c r="N470" s="65">
        <v>1</v>
      </c>
      <c r="O470" s="65"/>
      <c r="P470" s="65"/>
      <c r="Q470" s="65"/>
      <c r="R470">
        <v>0</v>
      </c>
      <c r="S470">
        <v>1</v>
      </c>
    </row>
    <row r="471" spans="1:19">
      <c r="A471" s="80"/>
      <c r="B471" s="65"/>
      <c r="C471" s="65"/>
      <c r="D471" s="81"/>
      <c r="E471" s="81"/>
      <c r="F471" s="67"/>
      <c r="G471" s="66"/>
      <c r="H471" s="81"/>
      <c r="I471" s="65"/>
      <c r="J471" s="17" t="str">
        <f t="shared" si="20"/>
        <v/>
      </c>
      <c r="L471" s="65">
        <f t="shared" si="21"/>
        <v>16711935</v>
      </c>
      <c r="N471" s="65">
        <v>1</v>
      </c>
      <c r="O471" s="65"/>
      <c r="P471" s="65"/>
      <c r="Q471" s="65"/>
      <c r="R471">
        <v>0</v>
      </c>
      <c r="S471">
        <v>1</v>
      </c>
    </row>
    <row r="472" spans="1:19">
      <c r="A472" s="80"/>
      <c r="B472" s="65"/>
      <c r="C472" s="65"/>
      <c r="D472" s="81"/>
      <c r="E472" s="81"/>
      <c r="F472" s="67"/>
      <c r="G472" s="66"/>
      <c r="H472" s="81"/>
      <c r="I472" s="65"/>
      <c r="J472" s="17" t="str">
        <f t="shared" si="20"/>
        <v/>
      </c>
      <c r="L472" s="65">
        <f t="shared" si="21"/>
        <v>16711935</v>
      </c>
      <c r="N472" s="65">
        <v>1</v>
      </c>
      <c r="O472" s="65"/>
      <c r="P472" s="65"/>
      <c r="Q472" s="65"/>
      <c r="R472">
        <v>0</v>
      </c>
      <c r="S472">
        <v>1</v>
      </c>
    </row>
    <row r="473" spans="1:19">
      <c r="A473" s="80"/>
      <c r="B473" s="65"/>
      <c r="C473" s="65"/>
      <c r="D473" s="81"/>
      <c r="E473" s="81"/>
      <c r="F473" s="67"/>
      <c r="G473" s="66"/>
      <c r="H473" s="81"/>
      <c r="I473" s="65"/>
      <c r="J473" s="17" t="str">
        <f t="shared" si="20"/>
        <v/>
      </c>
      <c r="L473" s="65">
        <f t="shared" si="21"/>
        <v>16711935</v>
      </c>
      <c r="N473" s="65">
        <v>1</v>
      </c>
      <c r="O473" s="65"/>
      <c r="P473" s="65"/>
      <c r="Q473" s="65"/>
      <c r="R473">
        <v>0</v>
      </c>
      <c r="S473">
        <v>1</v>
      </c>
    </row>
    <row r="474" spans="1:19">
      <c r="A474" s="80"/>
      <c r="B474" s="65"/>
      <c r="C474" s="65"/>
      <c r="D474" s="81"/>
      <c r="E474" s="81"/>
      <c r="F474" s="67"/>
      <c r="G474" s="66"/>
      <c r="H474" s="81"/>
      <c r="I474" s="65"/>
      <c r="J474" s="17" t="str">
        <f t="shared" si="20"/>
        <v/>
      </c>
      <c r="L474" s="65">
        <f t="shared" si="21"/>
        <v>16711935</v>
      </c>
      <c r="N474" s="65">
        <v>1</v>
      </c>
      <c r="O474" s="65"/>
      <c r="P474" s="65"/>
      <c r="Q474" s="65"/>
      <c r="R474">
        <v>0</v>
      </c>
      <c r="S474">
        <v>1</v>
      </c>
    </row>
    <row r="475" spans="1:19">
      <c r="A475" s="80"/>
      <c r="B475" s="65"/>
      <c r="C475" s="65"/>
      <c r="D475" s="81"/>
      <c r="E475" s="81"/>
      <c r="F475" s="67"/>
      <c r="G475" s="66"/>
      <c r="H475" s="81"/>
      <c r="I475" s="65"/>
      <c r="J475" s="17" t="str">
        <f t="shared" si="20"/>
        <v/>
      </c>
      <c r="L475" s="65">
        <f t="shared" si="21"/>
        <v>16711935</v>
      </c>
      <c r="N475" s="65">
        <v>1</v>
      </c>
      <c r="O475" s="65"/>
      <c r="P475" s="65"/>
      <c r="Q475" s="65"/>
      <c r="R475">
        <v>0</v>
      </c>
      <c r="S475">
        <v>1</v>
      </c>
    </row>
    <row r="476" spans="1:19">
      <c r="A476" s="80"/>
      <c r="B476" s="65"/>
      <c r="C476" s="65"/>
      <c r="D476" s="81"/>
      <c r="E476" s="81"/>
      <c r="F476" s="67"/>
      <c r="G476" s="66"/>
      <c r="H476" s="81"/>
      <c r="I476" s="65"/>
      <c r="J476" s="17" t="str">
        <f t="shared" si="20"/>
        <v/>
      </c>
      <c r="L476" s="65">
        <f t="shared" si="21"/>
        <v>16711935</v>
      </c>
      <c r="N476" s="65">
        <v>1</v>
      </c>
      <c r="O476" s="65"/>
      <c r="P476" s="65"/>
      <c r="Q476" s="65"/>
      <c r="R476">
        <v>0</v>
      </c>
      <c r="S476">
        <v>1</v>
      </c>
    </row>
    <row r="477" spans="1:19">
      <c r="A477" s="80"/>
      <c r="B477" s="65"/>
      <c r="C477" s="65"/>
      <c r="D477" s="81"/>
      <c r="E477" s="81"/>
      <c r="F477" s="67"/>
      <c r="G477" s="66"/>
      <c r="H477" s="81"/>
      <c r="I477" s="65"/>
      <c r="J477" s="17" t="str">
        <f t="shared" si="20"/>
        <v/>
      </c>
      <c r="L477" s="65">
        <f t="shared" si="21"/>
        <v>16711935</v>
      </c>
      <c r="N477" s="65">
        <v>1</v>
      </c>
      <c r="O477" s="65"/>
      <c r="P477" s="65"/>
      <c r="Q477" s="65"/>
      <c r="R477">
        <v>0</v>
      </c>
      <c r="S477">
        <v>1</v>
      </c>
    </row>
    <row r="478" spans="1:19">
      <c r="A478" s="80"/>
      <c r="B478" s="65"/>
      <c r="C478" s="65"/>
      <c r="D478" s="81"/>
      <c r="E478" s="81"/>
      <c r="F478" s="67"/>
      <c r="G478" s="66"/>
      <c r="H478" s="81"/>
      <c r="I478" s="65"/>
      <c r="J478" s="17" t="str">
        <f t="shared" si="20"/>
        <v/>
      </c>
      <c r="L478" s="65">
        <f t="shared" si="21"/>
        <v>16711935</v>
      </c>
      <c r="N478" s="65">
        <v>1</v>
      </c>
      <c r="O478" s="65"/>
      <c r="P478" s="65"/>
      <c r="Q478" s="65"/>
      <c r="R478">
        <v>0</v>
      </c>
      <c r="S478">
        <v>1</v>
      </c>
    </row>
    <row r="479" spans="1:19">
      <c r="A479" s="80"/>
      <c r="B479" s="65"/>
      <c r="C479" s="65"/>
      <c r="D479" s="81"/>
      <c r="E479" s="81"/>
      <c r="F479" s="67"/>
      <c r="G479" s="66"/>
      <c r="H479" s="81"/>
      <c r="I479" s="65"/>
      <c r="J479" s="17" t="str">
        <f t="shared" si="20"/>
        <v/>
      </c>
      <c r="L479" s="65">
        <f t="shared" si="21"/>
        <v>16711935</v>
      </c>
      <c r="N479" s="65">
        <v>1</v>
      </c>
      <c r="O479" s="65"/>
      <c r="P479" s="65"/>
      <c r="Q479" s="65"/>
      <c r="R479">
        <v>0</v>
      </c>
      <c r="S479">
        <v>1</v>
      </c>
    </row>
    <row r="480" spans="1:19">
      <c r="A480" s="80"/>
      <c r="B480" s="65"/>
      <c r="C480" s="65"/>
      <c r="D480" s="81"/>
      <c r="E480" s="81"/>
      <c r="F480" s="67"/>
      <c r="G480" s="66"/>
      <c r="H480" s="81"/>
      <c r="I480" s="65"/>
      <c r="J480" s="17" t="str">
        <f t="shared" si="20"/>
        <v/>
      </c>
      <c r="L480" s="65">
        <f t="shared" si="21"/>
        <v>16711935</v>
      </c>
      <c r="N480" s="65">
        <v>1</v>
      </c>
      <c r="O480" s="65"/>
      <c r="P480" s="65"/>
      <c r="Q480" s="65"/>
      <c r="R480">
        <v>0</v>
      </c>
      <c r="S480">
        <v>1</v>
      </c>
    </row>
    <row r="481" spans="1:19">
      <c r="A481" s="80"/>
      <c r="B481" s="65"/>
      <c r="C481" s="65"/>
      <c r="D481" s="81"/>
      <c r="E481" s="81"/>
      <c r="F481" s="67"/>
      <c r="G481" s="66"/>
      <c r="H481" s="81"/>
      <c r="I481" s="65"/>
      <c r="J481" s="17" t="str">
        <f t="shared" si="20"/>
        <v/>
      </c>
      <c r="L481" s="65">
        <f t="shared" si="21"/>
        <v>16711935</v>
      </c>
      <c r="N481" s="65">
        <v>1</v>
      </c>
      <c r="O481" s="65"/>
      <c r="P481" s="65"/>
      <c r="Q481" s="65"/>
      <c r="R481">
        <v>0</v>
      </c>
      <c r="S481">
        <v>1</v>
      </c>
    </row>
    <row r="482" spans="1:19">
      <c r="A482" s="80"/>
      <c r="B482" s="65"/>
      <c r="C482" s="65"/>
      <c r="D482" s="81"/>
      <c r="E482" s="81"/>
      <c r="F482" s="67"/>
      <c r="G482" s="66"/>
      <c r="H482" s="81"/>
      <c r="I482" s="65"/>
      <c r="J482" s="17" t="str">
        <f t="shared" si="20"/>
        <v/>
      </c>
      <c r="L482" s="65">
        <f t="shared" si="21"/>
        <v>16711935</v>
      </c>
      <c r="N482" s="65">
        <v>1</v>
      </c>
      <c r="O482" s="65"/>
      <c r="P482" s="65"/>
      <c r="Q482" s="65"/>
      <c r="R482">
        <v>0</v>
      </c>
      <c r="S482">
        <v>1</v>
      </c>
    </row>
    <row r="483" spans="1:19">
      <c r="A483" s="80"/>
      <c r="B483" s="65"/>
      <c r="C483" s="65"/>
      <c r="D483" s="81"/>
      <c r="E483" s="81"/>
      <c r="F483" s="67"/>
      <c r="G483" s="66"/>
      <c r="H483" s="81"/>
      <c r="I483" s="65"/>
      <c r="J483" s="17" t="str">
        <f t="shared" si="20"/>
        <v/>
      </c>
      <c r="L483" s="65">
        <f t="shared" si="21"/>
        <v>16711935</v>
      </c>
      <c r="N483" s="65">
        <v>1</v>
      </c>
      <c r="O483" s="65"/>
      <c r="P483" s="65"/>
      <c r="Q483" s="65"/>
      <c r="R483">
        <v>0</v>
      </c>
      <c r="S483">
        <v>1</v>
      </c>
    </row>
    <row r="484" spans="1:19">
      <c r="A484" s="80"/>
      <c r="B484" s="65"/>
      <c r="C484" s="65"/>
      <c r="D484" s="81"/>
      <c r="E484" s="81"/>
      <c r="F484" s="67"/>
      <c r="G484" s="66"/>
      <c r="H484" s="81"/>
      <c r="I484" s="65"/>
      <c r="J484" s="17" t="str">
        <f t="shared" si="20"/>
        <v/>
      </c>
      <c r="L484" s="65">
        <f t="shared" si="21"/>
        <v>16711935</v>
      </c>
      <c r="N484" s="65">
        <v>1</v>
      </c>
      <c r="O484" s="65"/>
      <c r="P484" s="65"/>
      <c r="Q484" s="65"/>
      <c r="R484">
        <v>0</v>
      </c>
      <c r="S484">
        <v>1</v>
      </c>
    </row>
    <row r="485" spans="1:19">
      <c r="A485" s="80"/>
      <c r="B485" s="65"/>
      <c r="C485" s="65"/>
      <c r="D485" s="81"/>
      <c r="E485" s="81"/>
      <c r="F485" s="67"/>
      <c r="G485" s="66"/>
      <c r="H485" s="81"/>
      <c r="I485" s="65"/>
      <c r="J485" s="17" t="str">
        <f t="shared" si="20"/>
        <v/>
      </c>
      <c r="L485" s="65">
        <f t="shared" si="21"/>
        <v>16711935</v>
      </c>
      <c r="N485" s="65">
        <v>1</v>
      </c>
      <c r="O485" s="65"/>
      <c r="P485" s="65"/>
      <c r="Q485" s="65"/>
      <c r="R485">
        <v>0</v>
      </c>
      <c r="S485">
        <v>1</v>
      </c>
    </row>
    <row r="486" spans="1:19">
      <c r="A486" s="80"/>
      <c r="B486" s="65"/>
      <c r="C486" s="65"/>
      <c r="D486" s="81"/>
      <c r="E486" s="81"/>
      <c r="F486" s="67"/>
      <c r="G486" s="66"/>
      <c r="H486" s="81"/>
      <c r="I486" s="65"/>
      <c r="J486" s="17" t="str">
        <f t="shared" si="20"/>
        <v/>
      </c>
      <c r="L486" s="65">
        <f t="shared" si="21"/>
        <v>16711935</v>
      </c>
      <c r="N486" s="65">
        <v>1</v>
      </c>
      <c r="O486" s="65"/>
      <c r="P486" s="65"/>
      <c r="Q486" s="65"/>
      <c r="R486">
        <v>0</v>
      </c>
      <c r="S486">
        <v>1</v>
      </c>
    </row>
    <row r="487" spans="1:19">
      <c r="A487" s="80"/>
      <c r="B487" s="65"/>
      <c r="C487" s="65"/>
      <c r="D487" s="81"/>
      <c r="E487" s="81"/>
      <c r="F487" s="67"/>
      <c r="G487" s="66"/>
      <c r="H487" s="81"/>
      <c r="I487" s="65"/>
      <c r="J487" s="17" t="str">
        <f t="shared" si="20"/>
        <v/>
      </c>
      <c r="L487" s="65">
        <f t="shared" si="21"/>
        <v>16711935</v>
      </c>
      <c r="N487" s="65">
        <v>1</v>
      </c>
      <c r="O487" s="65"/>
      <c r="P487" s="65"/>
      <c r="Q487" s="65"/>
      <c r="R487">
        <v>0</v>
      </c>
      <c r="S487">
        <v>1</v>
      </c>
    </row>
    <row r="488" spans="1:19">
      <c r="A488" s="80"/>
      <c r="B488" s="65"/>
      <c r="C488" s="65"/>
      <c r="D488" s="81"/>
      <c r="E488" s="81"/>
      <c r="F488" s="67"/>
      <c r="G488" s="66"/>
      <c r="H488" s="81"/>
      <c r="I488" s="65"/>
      <c r="J488" s="17" t="str">
        <f t="shared" si="20"/>
        <v/>
      </c>
      <c r="L488" s="65">
        <f t="shared" si="21"/>
        <v>16711935</v>
      </c>
      <c r="N488" s="65">
        <v>1</v>
      </c>
      <c r="O488" s="65"/>
      <c r="P488" s="65"/>
      <c r="Q488" s="65"/>
      <c r="R488">
        <v>0</v>
      </c>
      <c r="S488">
        <v>1</v>
      </c>
    </row>
    <row r="489" spans="1:19">
      <c r="A489" s="80"/>
      <c r="B489" s="65"/>
      <c r="C489" s="65"/>
      <c r="D489" s="81"/>
      <c r="E489" s="81"/>
      <c r="F489" s="67"/>
      <c r="G489" s="66"/>
      <c r="H489" s="81"/>
      <c r="I489" s="65"/>
      <c r="J489" s="17" t="str">
        <f t="shared" si="20"/>
        <v/>
      </c>
      <c r="L489" s="65">
        <f t="shared" si="21"/>
        <v>16711935</v>
      </c>
      <c r="N489" s="65">
        <v>1</v>
      </c>
      <c r="O489" s="65"/>
      <c r="P489" s="65"/>
      <c r="Q489" s="65"/>
      <c r="R489">
        <v>0</v>
      </c>
      <c r="S489">
        <v>1</v>
      </c>
    </row>
    <row r="490" spans="1:19">
      <c r="A490" s="80"/>
      <c r="B490" s="65"/>
      <c r="C490" s="65"/>
      <c r="D490" s="81"/>
      <c r="E490" s="81"/>
      <c r="F490" s="67"/>
      <c r="G490" s="66"/>
      <c r="H490" s="81"/>
      <c r="I490" s="65"/>
      <c r="J490" s="17" t="str">
        <f t="shared" si="20"/>
        <v/>
      </c>
      <c r="L490" s="65">
        <f t="shared" si="21"/>
        <v>16711935</v>
      </c>
      <c r="N490" s="65">
        <v>1</v>
      </c>
      <c r="O490" s="65"/>
      <c r="P490" s="65"/>
      <c r="Q490" s="65"/>
      <c r="R490">
        <v>0</v>
      </c>
      <c r="S490">
        <v>1</v>
      </c>
    </row>
    <row r="491" spans="1:19">
      <c r="A491" s="80"/>
      <c r="B491" s="65"/>
      <c r="C491" s="65"/>
      <c r="D491" s="81"/>
      <c r="E491" s="81"/>
      <c r="F491" s="67"/>
      <c r="G491" s="66"/>
      <c r="H491" s="81"/>
      <c r="I491" s="65"/>
      <c r="J491" s="17" t="str">
        <f t="shared" si="20"/>
        <v/>
      </c>
      <c r="L491" s="65">
        <f t="shared" si="21"/>
        <v>16711935</v>
      </c>
      <c r="N491" s="65">
        <v>1</v>
      </c>
      <c r="O491" s="65"/>
      <c r="P491" s="65"/>
      <c r="Q491" s="65"/>
      <c r="R491">
        <v>0</v>
      </c>
      <c r="S491">
        <v>1</v>
      </c>
    </row>
    <row r="492" spans="1:19">
      <c r="A492" s="80"/>
      <c r="B492" s="65"/>
      <c r="C492" s="65"/>
      <c r="D492" s="81"/>
      <c r="E492" s="81"/>
      <c r="F492" s="67"/>
      <c r="G492" s="66"/>
      <c r="H492" s="81"/>
      <c r="I492" s="65"/>
      <c r="J492" s="17" t="str">
        <f t="shared" si="20"/>
        <v/>
      </c>
      <c r="L492" s="65">
        <f t="shared" si="21"/>
        <v>16711935</v>
      </c>
      <c r="N492" s="65">
        <v>1</v>
      </c>
      <c r="O492" s="65"/>
      <c r="P492" s="65"/>
      <c r="Q492" s="65"/>
      <c r="R492">
        <v>0</v>
      </c>
      <c r="S492">
        <v>1</v>
      </c>
    </row>
    <row r="493" spans="1:19">
      <c r="A493" s="80"/>
      <c r="B493" s="65"/>
      <c r="C493" s="65"/>
      <c r="D493" s="81"/>
      <c r="E493" s="81"/>
      <c r="F493" s="67"/>
      <c r="G493" s="66"/>
      <c r="H493" s="81"/>
      <c r="I493" s="65"/>
      <c r="J493" s="17" t="str">
        <f t="shared" si="20"/>
        <v/>
      </c>
      <c r="L493" s="65">
        <f t="shared" si="21"/>
        <v>16711935</v>
      </c>
      <c r="N493" s="65">
        <v>1</v>
      </c>
      <c r="O493" s="65"/>
      <c r="P493" s="65"/>
      <c r="Q493" s="65"/>
      <c r="R493">
        <v>0</v>
      </c>
      <c r="S493">
        <v>1</v>
      </c>
    </row>
    <row r="494" spans="1:19">
      <c r="A494" s="80"/>
      <c r="B494" s="65"/>
      <c r="C494" s="65"/>
      <c r="D494" s="81"/>
      <c r="E494" s="81"/>
      <c r="F494" s="67"/>
      <c r="G494" s="66"/>
      <c r="H494" s="81"/>
      <c r="I494" s="65"/>
      <c r="J494" s="17" t="str">
        <f t="shared" si="20"/>
        <v/>
      </c>
      <c r="L494" s="65">
        <f t="shared" si="21"/>
        <v>16711935</v>
      </c>
      <c r="N494" s="65">
        <v>1</v>
      </c>
      <c r="O494" s="65"/>
      <c r="P494" s="65"/>
      <c r="Q494" s="65"/>
      <c r="R494">
        <v>0</v>
      </c>
      <c r="S494">
        <v>1</v>
      </c>
    </row>
    <row r="495" spans="1:19">
      <c r="A495" s="80"/>
      <c r="B495" s="65"/>
      <c r="C495" s="65"/>
      <c r="D495" s="81"/>
      <c r="E495" s="81"/>
      <c r="F495" s="67"/>
      <c r="G495" s="66"/>
      <c r="H495" s="81"/>
      <c r="I495" s="65"/>
      <c r="J495" s="17" t="str">
        <f t="shared" si="20"/>
        <v/>
      </c>
      <c r="L495" s="65">
        <f t="shared" si="21"/>
        <v>16711935</v>
      </c>
      <c r="N495" s="65">
        <v>1</v>
      </c>
      <c r="O495" s="65"/>
      <c r="P495" s="65"/>
      <c r="Q495" s="65"/>
      <c r="R495">
        <v>0</v>
      </c>
      <c r="S495">
        <v>1</v>
      </c>
    </row>
    <row r="496" spans="1:19">
      <c r="A496" s="80"/>
      <c r="B496" s="65"/>
      <c r="C496" s="65"/>
      <c r="D496" s="81"/>
      <c r="E496" s="81"/>
      <c r="F496" s="67"/>
      <c r="G496" s="66"/>
      <c r="H496" s="81"/>
      <c r="I496" s="65"/>
      <c r="J496" s="17" t="str">
        <f t="shared" si="20"/>
        <v/>
      </c>
      <c r="L496" s="65">
        <f t="shared" si="21"/>
        <v>16711935</v>
      </c>
      <c r="N496" s="65">
        <v>1</v>
      </c>
      <c r="O496" s="65"/>
      <c r="P496" s="65"/>
      <c r="Q496" s="65"/>
      <c r="R496">
        <v>0</v>
      </c>
      <c r="S496">
        <v>1</v>
      </c>
    </row>
    <row r="497" spans="1:19">
      <c r="A497" s="80"/>
      <c r="B497" s="65"/>
      <c r="C497" s="65"/>
      <c r="D497" s="81"/>
      <c r="E497" s="81"/>
      <c r="F497" s="67"/>
      <c r="G497" s="66"/>
      <c r="H497" s="81"/>
      <c r="I497" s="65"/>
      <c r="J497" s="17" t="str">
        <f t="shared" si="20"/>
        <v/>
      </c>
      <c r="L497" s="65">
        <f t="shared" si="21"/>
        <v>16711935</v>
      </c>
      <c r="N497" s="65">
        <v>1</v>
      </c>
      <c r="O497" s="65"/>
      <c r="P497" s="65"/>
      <c r="Q497" s="65"/>
      <c r="R497">
        <v>0</v>
      </c>
      <c r="S497">
        <v>1</v>
      </c>
    </row>
    <row r="498" spans="1:19">
      <c r="A498" s="80"/>
      <c r="B498" s="65"/>
      <c r="C498" s="65"/>
      <c r="D498" s="81"/>
      <c r="E498" s="81"/>
      <c r="F498" s="67"/>
      <c r="G498" s="66"/>
      <c r="H498" s="81"/>
      <c r="I498" s="65"/>
      <c r="J498" s="17" t="str">
        <f t="shared" si="20"/>
        <v/>
      </c>
      <c r="L498" s="65">
        <f t="shared" si="21"/>
        <v>16711935</v>
      </c>
      <c r="N498" s="65">
        <v>1</v>
      </c>
      <c r="O498" s="65"/>
      <c r="P498" s="65"/>
      <c r="Q498" s="65"/>
      <c r="R498">
        <v>0</v>
      </c>
      <c r="S498">
        <v>1</v>
      </c>
    </row>
    <row r="499" spans="1:19">
      <c r="A499" s="80"/>
      <c r="B499" s="65"/>
      <c r="C499" s="65"/>
      <c r="D499" s="81"/>
      <c r="E499" s="81"/>
      <c r="F499" s="67"/>
      <c r="G499" s="66"/>
      <c r="H499" s="81"/>
      <c r="I499" s="65"/>
      <c r="J499" s="17" t="str">
        <f t="shared" si="20"/>
        <v/>
      </c>
      <c r="L499" s="65">
        <f t="shared" si="21"/>
        <v>16711935</v>
      </c>
      <c r="N499" s="65">
        <v>1</v>
      </c>
      <c r="O499" s="65"/>
      <c r="P499" s="65"/>
      <c r="Q499" s="65"/>
      <c r="R499">
        <v>0</v>
      </c>
      <c r="S499">
        <v>1</v>
      </c>
    </row>
    <row r="500" spans="1:19">
      <c r="A500" s="80"/>
      <c r="B500" s="65"/>
      <c r="C500" s="65"/>
      <c r="D500" s="81"/>
      <c r="E500" s="81"/>
      <c r="F500" s="67"/>
      <c r="G500" s="66"/>
      <c r="H500" s="81"/>
      <c r="I500" s="65"/>
      <c r="J500" s="17" t="str">
        <f t="shared" si="20"/>
        <v/>
      </c>
      <c r="L500" s="65">
        <f t="shared" si="21"/>
        <v>16711935</v>
      </c>
      <c r="N500" s="65">
        <v>1</v>
      </c>
      <c r="O500" s="65"/>
      <c r="P500" s="65"/>
      <c r="Q500" s="65"/>
      <c r="R500">
        <v>0</v>
      </c>
      <c r="S500">
        <v>1</v>
      </c>
    </row>
    <row r="501" spans="1:19">
      <c r="A501" s="80"/>
      <c r="B501" s="65"/>
      <c r="C501" s="65"/>
      <c r="D501" s="81"/>
      <c r="E501" s="81"/>
      <c r="F501" s="67"/>
      <c r="G501" s="66"/>
      <c r="H501" s="81"/>
      <c r="I501" s="65"/>
      <c r="J501" s="17" t="str">
        <f t="shared" si="20"/>
        <v/>
      </c>
      <c r="L501" s="65">
        <f t="shared" si="21"/>
        <v>16711935</v>
      </c>
      <c r="N501" s="65">
        <v>1</v>
      </c>
      <c r="O501" s="65"/>
      <c r="P501" s="65"/>
      <c r="Q501" s="65"/>
      <c r="R501">
        <v>0</v>
      </c>
      <c r="S501">
        <v>1</v>
      </c>
    </row>
    <row r="502" spans="1:19">
      <c r="A502" s="80"/>
      <c r="B502" s="65"/>
      <c r="C502" s="65"/>
      <c r="D502" s="81"/>
      <c r="E502" s="81"/>
      <c r="F502" s="67"/>
      <c r="G502" s="66"/>
      <c r="H502" s="81"/>
      <c r="I502" s="65"/>
      <c r="J502" s="17" t="str">
        <f t="shared" si="20"/>
        <v/>
      </c>
      <c r="L502" s="65">
        <f t="shared" si="21"/>
        <v>16711935</v>
      </c>
      <c r="N502" s="65">
        <v>1</v>
      </c>
      <c r="O502" s="65"/>
      <c r="P502" s="65"/>
      <c r="Q502" s="65"/>
      <c r="R502">
        <v>0</v>
      </c>
      <c r="S502">
        <v>1</v>
      </c>
    </row>
    <row r="503" spans="1:19">
      <c r="A503" s="80"/>
      <c r="B503" s="65"/>
      <c r="C503" s="65"/>
      <c r="D503" s="81"/>
      <c r="E503" s="81"/>
      <c r="F503" s="67"/>
      <c r="G503" s="66"/>
      <c r="H503" s="81"/>
      <c r="I503" s="65"/>
      <c r="J503" s="17" t="str">
        <f t="shared" si="20"/>
        <v/>
      </c>
      <c r="L503" s="65">
        <f t="shared" si="21"/>
        <v>16711935</v>
      </c>
      <c r="N503" s="65">
        <v>1</v>
      </c>
      <c r="O503" s="65"/>
      <c r="P503" s="65"/>
      <c r="Q503" s="65"/>
      <c r="R503">
        <v>0</v>
      </c>
      <c r="S503">
        <v>1</v>
      </c>
    </row>
    <row r="504" spans="1:19">
      <c r="A504" s="80"/>
      <c r="B504" s="65"/>
      <c r="C504" s="65"/>
      <c r="D504" s="81"/>
      <c r="E504" s="81"/>
      <c r="F504" s="67"/>
      <c r="G504" s="66"/>
      <c r="H504" s="81"/>
      <c r="I504" s="65"/>
      <c r="J504" s="17" t="str">
        <f t="shared" si="20"/>
        <v/>
      </c>
      <c r="L504" s="65">
        <f t="shared" si="21"/>
        <v>16711935</v>
      </c>
      <c r="N504" s="65">
        <v>1</v>
      </c>
      <c r="O504" s="65"/>
      <c r="P504" s="65"/>
      <c r="Q504" s="65"/>
      <c r="R504">
        <v>0</v>
      </c>
      <c r="S504">
        <v>1</v>
      </c>
    </row>
    <row r="505" spans="1:19">
      <c r="A505" s="92"/>
      <c r="B505" s="79"/>
      <c r="C505" s="79"/>
      <c r="D505" s="93"/>
      <c r="E505" s="93"/>
      <c r="F505" s="94"/>
      <c r="G505" s="95"/>
      <c r="H505" s="93"/>
      <c r="I505" s="96"/>
      <c r="J505" s="18" t="str">
        <f t="shared" si="20"/>
        <v/>
      </c>
      <c r="L505" s="79">
        <f t="shared" si="21"/>
        <v>16711935</v>
      </c>
      <c r="M505" s="15"/>
      <c r="N505" s="79">
        <v>1</v>
      </c>
      <c r="O505" s="79"/>
      <c r="P505" s="79"/>
      <c r="Q505" s="79"/>
      <c r="R505" s="15">
        <v>0</v>
      </c>
      <c r="S505" s="15">
        <v>1</v>
      </c>
    </row>
    <row r="506" spans="1:19" s="90" customFormat="1">
      <c r="A506" s="89"/>
      <c r="F506" s="89"/>
      <c r="G506" s="91"/>
      <c r="H506" s="89"/>
    </row>
  </sheetData>
  <sheetProtection sheet="1" objects="1" scenarios="1"/>
  <autoFilter ref="A5:J85">
    <filterColumn colId="3"/>
  </autoFilter>
  <mergeCells count="1">
    <mergeCell ref="L2:S2"/>
  </mergeCells>
  <conditionalFormatting sqref="F10">
    <cfRule type="duplicateValues" dxfId="7" priority="11"/>
  </conditionalFormatting>
  <conditionalFormatting sqref="F8:F10">
    <cfRule type="duplicateValues" dxfId="6" priority="10"/>
  </conditionalFormatting>
  <conditionalFormatting sqref="F6:F505">
    <cfRule type="duplicateValues" dxfId="5" priority="9"/>
  </conditionalFormatting>
  <conditionalFormatting sqref="B2:J2">
    <cfRule type="duplicateValues" dxfId="4" priority="8"/>
  </conditionalFormatting>
  <conditionalFormatting sqref="B6:B505">
    <cfRule type="duplicateValues" dxfId="3" priority="7"/>
  </conditionalFormatting>
  <conditionalFormatting sqref="F8:F9">
    <cfRule type="duplicateValues" dxfId="2" priority="6"/>
  </conditionalFormatting>
  <conditionalFormatting sqref="F6:F9">
    <cfRule type="duplicateValues" dxfId="1" priority="5"/>
  </conditionalFormatting>
  <conditionalFormatting sqref="B6:B9">
    <cfRule type="duplicateValues" dxfId="0" priority="4"/>
  </conditionalFormatting>
  <dataValidations count="4">
    <dataValidation type="list" allowBlank="1" showInputMessage="1" showErrorMessage="1" sqref="H6:H505">
      <formula1>"0,1"</formula1>
    </dataValidation>
    <dataValidation type="list" allowBlank="1" showInputMessage="1" showErrorMessage="1" sqref="D6:D505">
      <formula1>Colors</formula1>
    </dataValidation>
    <dataValidation type="list" allowBlank="1" showInputMessage="1" showErrorMessage="1" sqref="A6:A505">
      <formula1>Classes</formula1>
    </dataValidation>
    <dataValidation type="list" allowBlank="1" showInputMessage="1" showErrorMessage="1" sqref="E6:E505">
      <formula1>Polars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Feuil14"/>
  <dimension ref="A1:B498"/>
  <sheetViews>
    <sheetView workbookViewId="0">
      <pane ySplit="1" topLeftCell="A2" activePane="bottomLeft" state="frozenSplit"/>
      <selection pane="bottomLeft" activeCell="A2" sqref="A2"/>
    </sheetView>
  </sheetViews>
  <sheetFormatPr baseColWidth="10" defaultRowHeight="14.4"/>
  <cols>
    <col min="1" max="1" width="22" bestFit="1" customWidth="1"/>
  </cols>
  <sheetData>
    <row r="1" spans="1:2">
      <c r="A1" s="3" t="s">
        <v>34</v>
      </c>
      <c r="B1" t="s">
        <v>36</v>
      </c>
    </row>
    <row r="2" spans="1:2">
      <c r="A2" s="74" t="s">
        <v>38</v>
      </c>
      <c r="B2" t="s">
        <v>37</v>
      </c>
    </row>
    <row r="3" spans="1:2">
      <c r="A3" s="75" t="s">
        <v>39</v>
      </c>
    </row>
    <row r="4" spans="1:2">
      <c r="A4" s="75" t="s">
        <v>40</v>
      </c>
    </row>
    <row r="5" spans="1:2">
      <c r="A5" s="75" t="s">
        <v>41</v>
      </c>
    </row>
    <row r="6" spans="1:2">
      <c r="A6" s="75" t="s">
        <v>42</v>
      </c>
    </row>
    <row r="7" spans="1:2">
      <c r="A7" s="75" t="s">
        <v>43</v>
      </c>
    </row>
    <row r="8" spans="1:2">
      <c r="A8" s="75" t="s">
        <v>44</v>
      </c>
    </row>
    <row r="9" spans="1:2">
      <c r="A9" s="75" t="s">
        <v>45</v>
      </c>
    </row>
    <row r="10" spans="1:2">
      <c r="A10" s="75" t="s">
        <v>46</v>
      </c>
    </row>
    <row r="11" spans="1:2">
      <c r="A11" s="75" t="s">
        <v>47</v>
      </c>
    </row>
    <row r="12" spans="1:2">
      <c r="A12" s="75" t="s">
        <v>48</v>
      </c>
    </row>
    <row r="13" spans="1:2">
      <c r="A13" s="75" t="s">
        <v>49</v>
      </c>
    </row>
    <row r="14" spans="1:2">
      <c r="A14" s="75" t="s">
        <v>50</v>
      </c>
    </row>
    <row r="15" spans="1:2">
      <c r="A15" s="75" t="s">
        <v>51</v>
      </c>
    </row>
    <row r="16" spans="1:2">
      <c r="A16" s="75" t="s">
        <v>52</v>
      </c>
    </row>
    <row r="17" spans="1:1">
      <c r="A17" s="75" t="s">
        <v>53</v>
      </c>
    </row>
    <row r="18" spans="1:1">
      <c r="A18" s="75" t="s">
        <v>54</v>
      </c>
    </row>
    <row r="19" spans="1:1">
      <c r="A19" s="75" t="s">
        <v>55</v>
      </c>
    </row>
    <row r="20" spans="1:1">
      <c r="A20" s="75" t="s">
        <v>56</v>
      </c>
    </row>
    <row r="21" spans="1:1">
      <c r="A21" s="75" t="s">
        <v>57</v>
      </c>
    </row>
    <row r="22" spans="1:1">
      <c r="A22" s="75" t="s">
        <v>58</v>
      </c>
    </row>
    <row r="23" spans="1:1">
      <c r="A23" s="75" t="s">
        <v>59</v>
      </c>
    </row>
    <row r="24" spans="1:1">
      <c r="A24" s="75" t="s">
        <v>60</v>
      </c>
    </row>
    <row r="25" spans="1:1">
      <c r="A25" s="75" t="s">
        <v>61</v>
      </c>
    </row>
    <row r="26" spans="1:1">
      <c r="A26" s="75" t="s">
        <v>62</v>
      </c>
    </row>
    <row r="27" spans="1:1">
      <c r="A27" s="75" t="s">
        <v>63</v>
      </c>
    </row>
    <row r="28" spans="1:1">
      <c r="A28" s="75" t="s">
        <v>64</v>
      </c>
    </row>
    <row r="29" spans="1:1">
      <c r="A29" s="75" t="s">
        <v>65</v>
      </c>
    </row>
    <row r="30" spans="1:1">
      <c r="A30" s="75" t="s">
        <v>66</v>
      </c>
    </row>
    <row r="31" spans="1:1">
      <c r="A31" s="75" t="s">
        <v>67</v>
      </c>
    </row>
    <row r="32" spans="1:1">
      <c r="A32" s="75" t="s">
        <v>68</v>
      </c>
    </row>
    <row r="33" spans="1:1">
      <c r="A33" s="75" t="s">
        <v>69</v>
      </c>
    </row>
    <row r="34" spans="1:1">
      <c r="A34" s="75" t="s">
        <v>70</v>
      </c>
    </row>
    <row r="35" spans="1:1">
      <c r="A35" s="75" t="s">
        <v>71</v>
      </c>
    </row>
    <row r="36" spans="1:1">
      <c r="A36" s="75" t="s">
        <v>72</v>
      </c>
    </row>
    <row r="37" spans="1:1">
      <c r="A37" s="75" t="s">
        <v>73</v>
      </c>
    </row>
    <row r="38" spans="1:1">
      <c r="A38" s="75" t="s">
        <v>74</v>
      </c>
    </row>
    <row r="39" spans="1:1">
      <c r="A39" s="75" t="s">
        <v>75</v>
      </c>
    </row>
    <row r="40" spans="1:1">
      <c r="A40" s="75" t="s">
        <v>76</v>
      </c>
    </row>
    <row r="41" spans="1:1">
      <c r="A41" s="75" t="s">
        <v>77</v>
      </c>
    </row>
    <row r="42" spans="1:1">
      <c r="A42" s="75" t="s">
        <v>78</v>
      </c>
    </row>
    <row r="43" spans="1:1">
      <c r="A43" s="75" t="s">
        <v>79</v>
      </c>
    </row>
    <row r="44" spans="1:1">
      <c r="A44" s="75" t="s">
        <v>80</v>
      </c>
    </row>
    <row r="45" spans="1:1">
      <c r="A45" s="75" t="s">
        <v>81</v>
      </c>
    </row>
    <row r="46" spans="1:1">
      <c r="A46" s="75" t="s">
        <v>82</v>
      </c>
    </row>
    <row r="47" spans="1:1">
      <c r="A47" s="75" t="s">
        <v>83</v>
      </c>
    </row>
    <row r="48" spans="1:1">
      <c r="A48" s="75" t="s">
        <v>84</v>
      </c>
    </row>
    <row r="49" spans="1:1">
      <c r="A49" s="75" t="s">
        <v>85</v>
      </c>
    </row>
    <row r="50" spans="1:1">
      <c r="A50" s="75" t="s">
        <v>86</v>
      </c>
    </row>
    <row r="51" spans="1:1">
      <c r="A51" s="75" t="s">
        <v>87</v>
      </c>
    </row>
    <row r="52" spans="1:1">
      <c r="A52" s="75" t="s">
        <v>88</v>
      </c>
    </row>
    <row r="53" spans="1:1">
      <c r="A53" s="75" t="s">
        <v>89</v>
      </c>
    </row>
    <row r="54" spans="1:1">
      <c r="A54" s="75" t="s">
        <v>90</v>
      </c>
    </row>
    <row r="55" spans="1:1">
      <c r="A55" s="75" t="s">
        <v>91</v>
      </c>
    </row>
    <row r="56" spans="1:1">
      <c r="A56" s="75" t="s">
        <v>92</v>
      </c>
    </row>
    <row r="57" spans="1:1">
      <c r="A57" s="75" t="s">
        <v>93</v>
      </c>
    </row>
    <row r="58" spans="1:1">
      <c r="A58" s="75" t="s">
        <v>94</v>
      </c>
    </row>
    <row r="59" spans="1:1">
      <c r="A59" s="75" t="s">
        <v>95</v>
      </c>
    </row>
    <row r="60" spans="1:1">
      <c r="A60" s="75" t="s">
        <v>96</v>
      </c>
    </row>
    <row r="61" spans="1:1">
      <c r="A61" s="75" t="s">
        <v>97</v>
      </c>
    </row>
    <row r="62" spans="1:1">
      <c r="A62" s="75" t="s">
        <v>98</v>
      </c>
    </row>
    <row r="63" spans="1:1">
      <c r="A63" s="75" t="s">
        <v>99</v>
      </c>
    </row>
    <row r="64" spans="1:1">
      <c r="A64" s="75" t="s">
        <v>100</v>
      </c>
    </row>
    <row r="65" spans="1:1">
      <c r="A65" s="75" t="s">
        <v>101</v>
      </c>
    </row>
    <row r="66" spans="1:1">
      <c r="A66" s="75" t="s">
        <v>102</v>
      </c>
    </row>
    <row r="67" spans="1:1">
      <c r="A67" s="75" t="s">
        <v>103</v>
      </c>
    </row>
    <row r="68" spans="1:1">
      <c r="A68" s="75" t="s">
        <v>104</v>
      </c>
    </row>
    <row r="69" spans="1:1">
      <c r="A69" s="75" t="s">
        <v>105</v>
      </c>
    </row>
    <row r="70" spans="1:1">
      <c r="A70" s="75" t="s">
        <v>106</v>
      </c>
    </row>
    <row r="71" spans="1:1">
      <c r="A71" s="75" t="s">
        <v>107</v>
      </c>
    </row>
    <row r="72" spans="1:1">
      <c r="A72" s="75" t="s">
        <v>108</v>
      </c>
    </row>
    <row r="73" spans="1:1">
      <c r="A73" s="75" t="s">
        <v>109</v>
      </c>
    </row>
    <row r="74" spans="1:1">
      <c r="A74" s="75" t="s">
        <v>110</v>
      </c>
    </row>
    <row r="75" spans="1:1">
      <c r="A75" s="75" t="s">
        <v>111</v>
      </c>
    </row>
    <row r="76" spans="1:1">
      <c r="A76" s="75" t="s">
        <v>112</v>
      </c>
    </row>
    <row r="77" spans="1:1">
      <c r="A77" s="75" t="s">
        <v>113</v>
      </c>
    </row>
    <row r="78" spans="1:1">
      <c r="A78" s="75" t="s">
        <v>114</v>
      </c>
    </row>
    <row r="79" spans="1:1">
      <c r="A79" s="75" t="s">
        <v>115</v>
      </c>
    </row>
    <row r="80" spans="1:1">
      <c r="A80" s="75" t="s">
        <v>116</v>
      </c>
    </row>
    <row r="81" spans="1:1">
      <c r="A81" s="75" t="s">
        <v>117</v>
      </c>
    </row>
    <row r="82" spans="1:1">
      <c r="A82" s="75" t="s">
        <v>118</v>
      </c>
    </row>
    <row r="83" spans="1:1">
      <c r="A83" s="75" t="s">
        <v>119</v>
      </c>
    </row>
    <row r="84" spans="1:1">
      <c r="A84" s="75" t="s">
        <v>120</v>
      </c>
    </row>
    <row r="85" spans="1:1">
      <c r="A85" s="75" t="s">
        <v>121</v>
      </c>
    </row>
    <row r="86" spans="1:1">
      <c r="A86" s="75" t="s">
        <v>122</v>
      </c>
    </row>
    <row r="87" spans="1:1">
      <c r="A87" s="75" t="s">
        <v>123</v>
      </c>
    </row>
    <row r="88" spans="1:1">
      <c r="A88" s="75" t="s">
        <v>124</v>
      </c>
    </row>
    <row r="89" spans="1:1">
      <c r="A89" s="75" t="s">
        <v>125</v>
      </c>
    </row>
    <row r="90" spans="1:1">
      <c r="A90" s="75" t="s">
        <v>126</v>
      </c>
    </row>
    <row r="91" spans="1:1">
      <c r="A91" s="75" t="s">
        <v>127</v>
      </c>
    </row>
    <row r="92" spans="1:1">
      <c r="A92" s="75" t="s">
        <v>128</v>
      </c>
    </row>
    <row r="93" spans="1:1">
      <c r="A93" s="75" t="s">
        <v>129</v>
      </c>
    </row>
    <row r="94" spans="1:1">
      <c r="A94" s="75" t="s">
        <v>130</v>
      </c>
    </row>
    <row r="95" spans="1:1">
      <c r="A95" s="75" t="s">
        <v>131</v>
      </c>
    </row>
    <row r="96" spans="1:1">
      <c r="A96" s="75" t="s">
        <v>132</v>
      </c>
    </row>
    <row r="97" spans="1:1">
      <c r="A97" s="75" t="s">
        <v>133</v>
      </c>
    </row>
    <row r="98" spans="1:1">
      <c r="A98" s="75" t="s">
        <v>134</v>
      </c>
    </row>
    <row r="99" spans="1:1">
      <c r="A99" s="75" t="s">
        <v>135</v>
      </c>
    </row>
    <row r="100" spans="1:1">
      <c r="A100" s="75" t="s">
        <v>136</v>
      </c>
    </row>
    <row r="101" spans="1:1">
      <c r="A101" s="75" t="s">
        <v>137</v>
      </c>
    </row>
    <row r="102" spans="1:1">
      <c r="A102" s="75" t="s">
        <v>138</v>
      </c>
    </row>
    <row r="103" spans="1:1">
      <c r="A103" s="75" t="s">
        <v>139</v>
      </c>
    </row>
    <row r="104" spans="1:1">
      <c r="A104" s="75" t="s">
        <v>140</v>
      </c>
    </row>
    <row r="105" spans="1:1">
      <c r="A105" s="75" t="s">
        <v>141</v>
      </c>
    </row>
    <row r="106" spans="1:1">
      <c r="A106" s="75" t="s">
        <v>142</v>
      </c>
    </row>
    <row r="107" spans="1:1">
      <c r="A107" s="75" t="s">
        <v>143</v>
      </c>
    </row>
    <row r="108" spans="1:1">
      <c r="A108" s="75" t="s">
        <v>144</v>
      </c>
    </row>
    <row r="109" spans="1:1">
      <c r="A109" s="75" t="s">
        <v>145</v>
      </c>
    </row>
    <row r="110" spans="1:1">
      <c r="A110" s="75" t="s">
        <v>146</v>
      </c>
    </row>
    <row r="111" spans="1:1">
      <c r="A111" s="75" t="s">
        <v>147</v>
      </c>
    </row>
    <row r="112" spans="1:1">
      <c r="A112" s="75" t="s">
        <v>148</v>
      </c>
    </row>
    <row r="113" spans="1:1">
      <c r="A113" s="75" t="s">
        <v>149</v>
      </c>
    </row>
    <row r="114" spans="1:1">
      <c r="A114" s="75" t="s">
        <v>150</v>
      </c>
    </row>
    <row r="115" spans="1:1">
      <c r="A115" s="75" t="s">
        <v>151</v>
      </c>
    </row>
    <row r="116" spans="1:1">
      <c r="A116" s="75" t="s">
        <v>152</v>
      </c>
    </row>
    <row r="117" spans="1:1">
      <c r="A117" s="75" t="s">
        <v>153</v>
      </c>
    </row>
    <row r="118" spans="1:1">
      <c r="A118" s="75" t="s">
        <v>154</v>
      </c>
    </row>
    <row r="119" spans="1:1">
      <c r="A119" s="75" t="s">
        <v>155</v>
      </c>
    </row>
    <row r="120" spans="1:1">
      <c r="A120" s="75" t="s">
        <v>156</v>
      </c>
    </row>
    <row r="121" spans="1:1">
      <c r="A121" s="75" t="s">
        <v>157</v>
      </c>
    </row>
    <row r="122" spans="1:1">
      <c r="A122" s="75" t="s">
        <v>158</v>
      </c>
    </row>
    <row r="123" spans="1:1">
      <c r="A123" s="75" t="s">
        <v>159</v>
      </c>
    </row>
    <row r="124" spans="1:1">
      <c r="A124" s="75" t="s">
        <v>160</v>
      </c>
    </row>
    <row r="125" spans="1:1">
      <c r="A125" s="75" t="s">
        <v>161</v>
      </c>
    </row>
    <row r="126" spans="1:1">
      <c r="A126" s="75" t="s">
        <v>162</v>
      </c>
    </row>
    <row r="127" spans="1:1">
      <c r="A127" s="75" t="s">
        <v>163</v>
      </c>
    </row>
    <row r="128" spans="1:1">
      <c r="A128" s="75" t="s">
        <v>164</v>
      </c>
    </row>
    <row r="129" spans="1:1">
      <c r="A129" s="75" t="s">
        <v>165</v>
      </c>
    </row>
    <row r="130" spans="1:1">
      <c r="A130" s="75" t="s">
        <v>166</v>
      </c>
    </row>
    <row r="131" spans="1:1">
      <c r="A131" s="75" t="s">
        <v>167</v>
      </c>
    </row>
    <row r="132" spans="1:1">
      <c r="A132" s="75" t="s">
        <v>168</v>
      </c>
    </row>
    <row r="133" spans="1:1">
      <c r="A133" s="75" t="s">
        <v>169</v>
      </c>
    </row>
    <row r="134" spans="1:1">
      <c r="A134" s="75" t="s">
        <v>170</v>
      </c>
    </row>
    <row r="135" spans="1:1">
      <c r="A135" s="75" t="s">
        <v>171</v>
      </c>
    </row>
    <row r="136" spans="1:1">
      <c r="A136" s="75" t="s">
        <v>172</v>
      </c>
    </row>
    <row r="137" spans="1:1">
      <c r="A137" s="75" t="s">
        <v>173</v>
      </c>
    </row>
    <row r="138" spans="1:1">
      <c r="A138" s="75" t="s">
        <v>174</v>
      </c>
    </row>
    <row r="139" spans="1:1">
      <c r="A139" s="75" t="s">
        <v>175</v>
      </c>
    </row>
    <row r="140" spans="1:1">
      <c r="A140" s="75" t="s">
        <v>176</v>
      </c>
    </row>
    <row r="141" spans="1:1">
      <c r="A141" s="75" t="s">
        <v>177</v>
      </c>
    </row>
    <row r="142" spans="1:1">
      <c r="A142" s="75" t="s">
        <v>178</v>
      </c>
    </row>
    <row r="143" spans="1:1">
      <c r="A143" s="75" t="s">
        <v>179</v>
      </c>
    </row>
    <row r="144" spans="1:1">
      <c r="A144" s="75" t="s">
        <v>180</v>
      </c>
    </row>
    <row r="145" spans="1:1">
      <c r="A145" s="75" t="s">
        <v>181</v>
      </c>
    </row>
    <row r="146" spans="1:1">
      <c r="A146" s="75" t="s">
        <v>182</v>
      </c>
    </row>
    <row r="147" spans="1:1">
      <c r="A147" s="75" t="s">
        <v>183</v>
      </c>
    </row>
    <row r="148" spans="1:1">
      <c r="A148" s="75" t="s">
        <v>184</v>
      </c>
    </row>
    <row r="149" spans="1:1">
      <c r="A149" s="75" t="s">
        <v>185</v>
      </c>
    </row>
    <row r="150" spans="1:1">
      <c r="A150" s="75" t="s">
        <v>186</v>
      </c>
    </row>
    <row r="151" spans="1:1">
      <c r="A151" s="75" t="s">
        <v>187</v>
      </c>
    </row>
    <row r="152" spans="1:1">
      <c r="A152" s="75" t="s">
        <v>188</v>
      </c>
    </row>
    <row r="153" spans="1:1">
      <c r="A153" s="75" t="s">
        <v>189</v>
      </c>
    </row>
    <row r="154" spans="1:1">
      <c r="A154" s="75" t="s">
        <v>190</v>
      </c>
    </row>
    <row r="155" spans="1:1">
      <c r="A155" s="75" t="s">
        <v>191</v>
      </c>
    </row>
    <row r="156" spans="1:1">
      <c r="A156" s="75" t="s">
        <v>192</v>
      </c>
    </row>
    <row r="157" spans="1:1">
      <c r="A157" s="75" t="s">
        <v>193</v>
      </c>
    </row>
    <row r="158" spans="1:1">
      <c r="A158" s="75" t="s">
        <v>194</v>
      </c>
    </row>
    <row r="159" spans="1:1">
      <c r="A159" s="75" t="s">
        <v>195</v>
      </c>
    </row>
    <row r="160" spans="1:1">
      <c r="A160" s="75" t="s">
        <v>196</v>
      </c>
    </row>
    <row r="161" spans="1:1">
      <c r="A161" s="75" t="s">
        <v>197</v>
      </c>
    </row>
    <row r="162" spans="1:1">
      <c r="A162" s="75" t="s">
        <v>198</v>
      </c>
    </row>
    <row r="163" spans="1:1">
      <c r="A163" s="75" t="s">
        <v>199</v>
      </c>
    </row>
    <row r="164" spans="1:1">
      <c r="A164" s="75" t="s">
        <v>200</v>
      </c>
    </row>
    <row r="165" spans="1:1">
      <c r="A165" s="75" t="s">
        <v>201</v>
      </c>
    </row>
    <row r="166" spans="1:1">
      <c r="A166" s="75" t="s">
        <v>202</v>
      </c>
    </row>
    <row r="167" spans="1:1">
      <c r="A167" s="75" t="s">
        <v>203</v>
      </c>
    </row>
    <row r="168" spans="1:1">
      <c r="A168" s="75" t="s">
        <v>204</v>
      </c>
    </row>
    <row r="169" spans="1:1">
      <c r="A169" s="75" t="s">
        <v>205</v>
      </c>
    </row>
    <row r="170" spans="1:1">
      <c r="A170" s="75" t="s">
        <v>206</v>
      </c>
    </row>
    <row r="171" spans="1:1">
      <c r="A171" s="75" t="s">
        <v>207</v>
      </c>
    </row>
    <row r="172" spans="1:1">
      <c r="A172" s="75" t="s">
        <v>208</v>
      </c>
    </row>
    <row r="173" spans="1:1">
      <c r="A173" s="75" t="s">
        <v>209</v>
      </c>
    </row>
    <row r="174" spans="1:1">
      <c r="A174" s="75" t="s">
        <v>210</v>
      </c>
    </row>
    <row r="175" spans="1:1">
      <c r="A175" s="75" t="s">
        <v>211</v>
      </c>
    </row>
    <row r="176" spans="1:1">
      <c r="A176" s="75" t="s">
        <v>212</v>
      </c>
    </row>
    <row r="177" spans="1:1">
      <c r="A177" s="75" t="s">
        <v>213</v>
      </c>
    </row>
    <row r="178" spans="1:1">
      <c r="A178" s="75" t="s">
        <v>214</v>
      </c>
    </row>
    <row r="179" spans="1:1">
      <c r="A179" s="75" t="s">
        <v>215</v>
      </c>
    </row>
    <row r="180" spans="1:1">
      <c r="A180" s="75" t="s">
        <v>216</v>
      </c>
    </row>
    <row r="181" spans="1:1">
      <c r="A181" s="75" t="s">
        <v>217</v>
      </c>
    </row>
    <row r="182" spans="1:1">
      <c r="A182" s="75" t="s">
        <v>218</v>
      </c>
    </row>
    <row r="183" spans="1:1">
      <c r="A183" s="75" t="s">
        <v>219</v>
      </c>
    </row>
    <row r="184" spans="1:1">
      <c r="A184" s="75" t="s">
        <v>220</v>
      </c>
    </row>
    <row r="185" spans="1:1">
      <c r="A185" s="75" t="s">
        <v>221</v>
      </c>
    </row>
    <row r="186" spans="1:1">
      <c r="A186" s="75" t="s">
        <v>222</v>
      </c>
    </row>
    <row r="187" spans="1:1">
      <c r="A187" s="75" t="s">
        <v>223</v>
      </c>
    </row>
    <row r="188" spans="1:1">
      <c r="A188" s="75" t="s">
        <v>224</v>
      </c>
    </row>
    <row r="189" spans="1:1">
      <c r="A189" s="75" t="s">
        <v>225</v>
      </c>
    </row>
    <row r="190" spans="1:1">
      <c r="A190" s="75" t="s">
        <v>226</v>
      </c>
    </row>
    <row r="191" spans="1:1">
      <c r="A191" s="75" t="s">
        <v>227</v>
      </c>
    </row>
    <row r="192" spans="1:1">
      <c r="A192" s="75" t="s">
        <v>228</v>
      </c>
    </row>
    <row r="193" spans="1:1">
      <c r="A193" s="75" t="s">
        <v>229</v>
      </c>
    </row>
    <row r="194" spans="1:1">
      <c r="A194" s="75" t="s">
        <v>230</v>
      </c>
    </row>
    <row r="195" spans="1:1">
      <c r="A195" s="75" t="s">
        <v>231</v>
      </c>
    </row>
    <row r="196" spans="1:1">
      <c r="A196" s="75" t="s">
        <v>232</v>
      </c>
    </row>
    <row r="197" spans="1:1">
      <c r="A197" s="75" t="s">
        <v>233</v>
      </c>
    </row>
    <row r="198" spans="1:1">
      <c r="A198" s="75" t="s">
        <v>234</v>
      </c>
    </row>
    <row r="199" spans="1:1">
      <c r="A199" s="75" t="s">
        <v>235</v>
      </c>
    </row>
    <row r="200" spans="1:1">
      <c r="A200" s="75" t="s">
        <v>236</v>
      </c>
    </row>
    <row r="201" spans="1:1">
      <c r="A201" s="75" t="s">
        <v>237</v>
      </c>
    </row>
    <row r="202" spans="1:1">
      <c r="A202" s="75" t="s">
        <v>238</v>
      </c>
    </row>
    <row r="203" spans="1:1">
      <c r="A203" s="75" t="s">
        <v>239</v>
      </c>
    </row>
    <row r="204" spans="1:1">
      <c r="A204" s="75" t="s">
        <v>240</v>
      </c>
    </row>
    <row r="205" spans="1:1">
      <c r="A205" s="75" t="s">
        <v>241</v>
      </c>
    </row>
    <row r="206" spans="1:1">
      <c r="A206" s="75" t="s">
        <v>242</v>
      </c>
    </row>
    <row r="207" spans="1:1">
      <c r="A207" s="75" t="s">
        <v>243</v>
      </c>
    </row>
    <row r="208" spans="1:1">
      <c r="A208" s="75" t="s">
        <v>244</v>
      </c>
    </row>
    <row r="209" spans="1:1">
      <c r="A209" s="75" t="s">
        <v>245</v>
      </c>
    </row>
    <row r="210" spans="1:1">
      <c r="A210" s="75" t="s">
        <v>246</v>
      </c>
    </row>
    <row r="211" spans="1:1">
      <c r="A211" s="75" t="s">
        <v>247</v>
      </c>
    </row>
    <row r="212" spans="1:1">
      <c r="A212" s="75" t="s">
        <v>248</v>
      </c>
    </row>
    <row r="213" spans="1:1">
      <c r="A213" s="75" t="s">
        <v>249</v>
      </c>
    </row>
    <row r="214" spans="1:1">
      <c r="A214" s="75" t="s">
        <v>250</v>
      </c>
    </row>
    <row r="215" spans="1:1">
      <c r="A215" s="75" t="s">
        <v>251</v>
      </c>
    </row>
    <row r="216" spans="1:1">
      <c r="A216" s="75" t="s">
        <v>252</v>
      </c>
    </row>
    <row r="217" spans="1:1">
      <c r="A217" s="75" t="s">
        <v>253</v>
      </c>
    </row>
    <row r="218" spans="1:1">
      <c r="A218" s="75" t="s">
        <v>254</v>
      </c>
    </row>
    <row r="219" spans="1:1">
      <c r="A219" s="75" t="s">
        <v>255</v>
      </c>
    </row>
    <row r="220" spans="1:1">
      <c r="A220" s="75" t="s">
        <v>256</v>
      </c>
    </row>
    <row r="221" spans="1:1">
      <c r="A221" s="75" t="s">
        <v>257</v>
      </c>
    </row>
    <row r="222" spans="1:1">
      <c r="A222" s="75" t="s">
        <v>258</v>
      </c>
    </row>
    <row r="223" spans="1:1">
      <c r="A223" s="75" t="s">
        <v>259</v>
      </c>
    </row>
    <row r="224" spans="1:1">
      <c r="A224" s="75" t="s">
        <v>260</v>
      </c>
    </row>
    <row r="225" spans="1:1">
      <c r="A225" s="75" t="s">
        <v>261</v>
      </c>
    </row>
    <row r="226" spans="1:1">
      <c r="A226" s="75" t="s">
        <v>262</v>
      </c>
    </row>
    <row r="227" spans="1:1">
      <c r="A227" s="75" t="s">
        <v>263</v>
      </c>
    </row>
    <row r="228" spans="1:1">
      <c r="A228" s="75" t="s">
        <v>264</v>
      </c>
    </row>
    <row r="229" spans="1:1">
      <c r="A229" s="75" t="s">
        <v>265</v>
      </c>
    </row>
    <row r="230" spans="1:1">
      <c r="A230" s="75" t="s">
        <v>266</v>
      </c>
    </row>
    <row r="231" spans="1:1">
      <c r="A231" s="75" t="s">
        <v>267</v>
      </c>
    </row>
    <row r="232" spans="1:1">
      <c r="A232" s="75" t="s">
        <v>268</v>
      </c>
    </row>
    <row r="233" spans="1:1">
      <c r="A233" s="75" t="s">
        <v>269</v>
      </c>
    </row>
    <row r="234" spans="1:1">
      <c r="A234" s="75" t="s">
        <v>270</v>
      </c>
    </row>
    <row r="235" spans="1:1">
      <c r="A235" s="75" t="s">
        <v>271</v>
      </c>
    </row>
    <row r="236" spans="1:1">
      <c r="A236" s="75" t="s">
        <v>272</v>
      </c>
    </row>
    <row r="237" spans="1:1">
      <c r="A237" s="75" t="s">
        <v>273</v>
      </c>
    </row>
    <row r="238" spans="1:1">
      <c r="A238" s="75" t="s">
        <v>274</v>
      </c>
    </row>
    <row r="239" spans="1:1">
      <c r="A239" s="75" t="s">
        <v>275</v>
      </c>
    </row>
    <row r="240" spans="1:1">
      <c r="A240" s="75" t="s">
        <v>276</v>
      </c>
    </row>
    <row r="241" spans="1:1">
      <c r="A241" s="75" t="s">
        <v>277</v>
      </c>
    </row>
    <row r="242" spans="1:1">
      <c r="A242" s="75" t="s">
        <v>278</v>
      </c>
    </row>
    <row r="243" spans="1:1">
      <c r="A243" s="75" t="s">
        <v>279</v>
      </c>
    </row>
    <row r="244" spans="1:1">
      <c r="A244" s="75" t="s">
        <v>280</v>
      </c>
    </row>
    <row r="245" spans="1:1">
      <c r="A245" s="75" t="s">
        <v>281</v>
      </c>
    </row>
    <row r="246" spans="1:1">
      <c r="A246" s="75" t="s">
        <v>282</v>
      </c>
    </row>
    <row r="247" spans="1:1">
      <c r="A247" s="75" t="s">
        <v>283</v>
      </c>
    </row>
    <row r="248" spans="1:1">
      <c r="A248" s="75" t="s">
        <v>284</v>
      </c>
    </row>
    <row r="249" spans="1:1">
      <c r="A249" s="75" t="s">
        <v>285</v>
      </c>
    </row>
    <row r="250" spans="1:1">
      <c r="A250" s="75" t="s">
        <v>286</v>
      </c>
    </row>
    <row r="251" spans="1:1">
      <c r="A251" s="75" t="s">
        <v>287</v>
      </c>
    </row>
    <row r="252" spans="1:1">
      <c r="A252" s="75" t="s">
        <v>288</v>
      </c>
    </row>
    <row r="253" spans="1:1">
      <c r="A253" s="75" t="s">
        <v>289</v>
      </c>
    </row>
    <row r="254" spans="1:1">
      <c r="A254" s="75" t="s">
        <v>290</v>
      </c>
    </row>
    <row r="255" spans="1:1">
      <c r="A255" s="75" t="s">
        <v>291</v>
      </c>
    </row>
    <row r="256" spans="1:1">
      <c r="A256" s="75" t="s">
        <v>292</v>
      </c>
    </row>
    <row r="257" spans="1:1">
      <c r="A257" s="75" t="s">
        <v>293</v>
      </c>
    </row>
    <row r="258" spans="1:1">
      <c r="A258" s="75" t="s">
        <v>294</v>
      </c>
    </row>
    <row r="259" spans="1:1">
      <c r="A259" s="75" t="s">
        <v>295</v>
      </c>
    </row>
    <row r="260" spans="1:1">
      <c r="A260" s="75" t="s">
        <v>296</v>
      </c>
    </row>
    <row r="261" spans="1:1">
      <c r="A261" s="75" t="s">
        <v>297</v>
      </c>
    </row>
    <row r="262" spans="1:1">
      <c r="A262" s="75" t="s">
        <v>298</v>
      </c>
    </row>
    <row r="263" spans="1:1">
      <c r="A263" s="75" t="s">
        <v>299</v>
      </c>
    </row>
    <row r="264" spans="1:1">
      <c r="A264" s="75" t="s">
        <v>300</v>
      </c>
    </row>
    <row r="265" spans="1:1">
      <c r="A265" s="75" t="s">
        <v>301</v>
      </c>
    </row>
    <row r="266" spans="1:1">
      <c r="A266" s="75" t="s">
        <v>302</v>
      </c>
    </row>
    <row r="267" spans="1:1">
      <c r="A267" s="75" t="s">
        <v>303</v>
      </c>
    </row>
    <row r="268" spans="1:1">
      <c r="A268" s="75" t="s">
        <v>304</v>
      </c>
    </row>
    <row r="269" spans="1:1">
      <c r="A269" s="75" t="s">
        <v>305</v>
      </c>
    </row>
    <row r="270" spans="1:1">
      <c r="A270" s="75" t="s">
        <v>306</v>
      </c>
    </row>
    <row r="271" spans="1:1">
      <c r="A271" s="75" t="s">
        <v>307</v>
      </c>
    </row>
    <row r="272" spans="1:1">
      <c r="A272" s="75" t="s">
        <v>308</v>
      </c>
    </row>
    <row r="273" spans="1:1">
      <c r="A273" s="75" t="s">
        <v>309</v>
      </c>
    </row>
    <row r="274" spans="1:1">
      <c r="A274" s="75" t="s">
        <v>310</v>
      </c>
    </row>
    <row r="275" spans="1:1">
      <c r="A275" s="75" t="s">
        <v>311</v>
      </c>
    </row>
    <row r="276" spans="1:1">
      <c r="A276" s="75" t="s">
        <v>312</v>
      </c>
    </row>
    <row r="277" spans="1:1">
      <c r="A277" s="75" t="s">
        <v>313</v>
      </c>
    </row>
    <row r="278" spans="1:1">
      <c r="A278" s="75" t="s">
        <v>314</v>
      </c>
    </row>
    <row r="279" spans="1:1">
      <c r="A279" s="75" t="s">
        <v>315</v>
      </c>
    </row>
    <row r="280" spans="1:1">
      <c r="A280" s="75" t="s">
        <v>316</v>
      </c>
    </row>
    <row r="281" spans="1:1">
      <c r="A281" s="75" t="s">
        <v>317</v>
      </c>
    </row>
    <row r="282" spans="1:1">
      <c r="A282" s="75" t="s">
        <v>318</v>
      </c>
    </row>
    <row r="283" spans="1:1">
      <c r="A283" s="75" t="s">
        <v>319</v>
      </c>
    </row>
    <row r="284" spans="1:1">
      <c r="A284" s="75" t="s">
        <v>320</v>
      </c>
    </row>
    <row r="285" spans="1:1">
      <c r="A285" s="75" t="s">
        <v>321</v>
      </c>
    </row>
    <row r="286" spans="1:1">
      <c r="A286" s="75" t="s">
        <v>322</v>
      </c>
    </row>
    <row r="287" spans="1:1">
      <c r="A287" s="75" t="s">
        <v>323</v>
      </c>
    </row>
    <row r="288" spans="1:1">
      <c r="A288" s="75" t="s">
        <v>324</v>
      </c>
    </row>
    <row r="289" spans="1:1">
      <c r="A289" s="75" t="s">
        <v>325</v>
      </c>
    </row>
    <row r="290" spans="1:1">
      <c r="A290" s="75" t="s">
        <v>326</v>
      </c>
    </row>
    <row r="291" spans="1:1">
      <c r="A291" s="75" t="s">
        <v>327</v>
      </c>
    </row>
    <row r="292" spans="1:1">
      <c r="A292" s="75" t="s">
        <v>328</v>
      </c>
    </row>
    <row r="293" spans="1:1">
      <c r="A293" s="75" t="s">
        <v>329</v>
      </c>
    </row>
    <row r="294" spans="1:1">
      <c r="A294" s="75" t="s">
        <v>330</v>
      </c>
    </row>
    <row r="295" spans="1:1">
      <c r="A295" s="75" t="s">
        <v>331</v>
      </c>
    </row>
    <row r="296" spans="1:1">
      <c r="A296" s="75" t="s">
        <v>332</v>
      </c>
    </row>
    <row r="297" spans="1:1">
      <c r="A297" s="75" t="s">
        <v>333</v>
      </c>
    </row>
    <row r="298" spans="1:1">
      <c r="A298" s="75" t="s">
        <v>334</v>
      </c>
    </row>
    <row r="299" spans="1:1">
      <c r="A299" s="75" t="s">
        <v>335</v>
      </c>
    </row>
    <row r="300" spans="1:1">
      <c r="A300" s="75" t="s">
        <v>336</v>
      </c>
    </row>
    <row r="301" spans="1:1">
      <c r="A301" s="75" t="s">
        <v>337</v>
      </c>
    </row>
    <row r="302" spans="1:1">
      <c r="A302" s="75" t="s">
        <v>338</v>
      </c>
    </row>
    <row r="303" spans="1:1">
      <c r="A303" s="75" t="s">
        <v>339</v>
      </c>
    </row>
    <row r="304" spans="1:1">
      <c r="A304" s="75" t="s">
        <v>340</v>
      </c>
    </row>
    <row r="305" spans="1:1">
      <c r="A305" s="75" t="s">
        <v>341</v>
      </c>
    </row>
    <row r="306" spans="1:1">
      <c r="A306" s="75" t="s">
        <v>342</v>
      </c>
    </row>
    <row r="307" spans="1:1">
      <c r="A307" s="75" t="s">
        <v>343</v>
      </c>
    </row>
    <row r="308" spans="1:1">
      <c r="A308" s="75" t="s">
        <v>344</v>
      </c>
    </row>
    <row r="309" spans="1:1">
      <c r="A309" s="75" t="s">
        <v>345</v>
      </c>
    </row>
    <row r="310" spans="1:1">
      <c r="A310" s="75" t="s">
        <v>346</v>
      </c>
    </row>
    <row r="311" spans="1:1">
      <c r="A311" s="75" t="s">
        <v>347</v>
      </c>
    </row>
    <row r="312" spans="1:1">
      <c r="A312" s="75" t="s">
        <v>348</v>
      </c>
    </row>
    <row r="313" spans="1:1">
      <c r="A313" s="75" t="s">
        <v>349</v>
      </c>
    </row>
    <row r="314" spans="1:1">
      <c r="A314" s="75" t="s">
        <v>350</v>
      </c>
    </row>
    <row r="315" spans="1:1">
      <c r="A315" s="75" t="s">
        <v>351</v>
      </c>
    </row>
    <row r="316" spans="1:1">
      <c r="A316" s="75" t="s">
        <v>352</v>
      </c>
    </row>
    <row r="317" spans="1:1">
      <c r="A317" s="75" t="s">
        <v>353</v>
      </c>
    </row>
    <row r="318" spans="1:1">
      <c r="A318" s="75" t="s">
        <v>354</v>
      </c>
    </row>
    <row r="319" spans="1:1">
      <c r="A319" s="75" t="s">
        <v>355</v>
      </c>
    </row>
    <row r="320" spans="1:1">
      <c r="A320" s="75" t="s">
        <v>356</v>
      </c>
    </row>
    <row r="321" spans="1:1">
      <c r="A321" s="75" t="s">
        <v>357</v>
      </c>
    </row>
    <row r="322" spans="1:1">
      <c r="A322" s="75" t="s">
        <v>358</v>
      </c>
    </row>
    <row r="323" spans="1:1">
      <c r="A323" s="75" t="s">
        <v>359</v>
      </c>
    </row>
    <row r="324" spans="1:1">
      <c r="A324" s="75" t="s">
        <v>360</v>
      </c>
    </row>
    <row r="325" spans="1:1">
      <c r="A325" s="75" t="s">
        <v>361</v>
      </c>
    </row>
    <row r="326" spans="1:1">
      <c r="A326" s="75" t="s">
        <v>362</v>
      </c>
    </row>
    <row r="327" spans="1:1">
      <c r="A327" s="75" t="s">
        <v>363</v>
      </c>
    </row>
    <row r="328" spans="1:1">
      <c r="A328" s="75" t="s">
        <v>364</v>
      </c>
    </row>
    <row r="329" spans="1:1">
      <c r="A329" s="75" t="s">
        <v>365</v>
      </c>
    </row>
    <row r="330" spans="1:1">
      <c r="A330" s="75" t="s">
        <v>366</v>
      </c>
    </row>
    <row r="331" spans="1:1">
      <c r="A331" s="75" t="s">
        <v>367</v>
      </c>
    </row>
    <row r="332" spans="1:1">
      <c r="A332" s="75" t="s">
        <v>368</v>
      </c>
    </row>
    <row r="333" spans="1:1">
      <c r="A333" s="75" t="s">
        <v>369</v>
      </c>
    </row>
    <row r="334" spans="1:1">
      <c r="A334" s="75" t="s">
        <v>370</v>
      </c>
    </row>
    <row r="335" spans="1:1">
      <c r="A335" s="75" t="s">
        <v>371</v>
      </c>
    </row>
    <row r="336" spans="1:1">
      <c r="A336" s="75" t="s">
        <v>372</v>
      </c>
    </row>
    <row r="337" spans="1:1">
      <c r="A337" s="75" t="s">
        <v>373</v>
      </c>
    </row>
    <row r="338" spans="1:1">
      <c r="A338" s="75" t="s">
        <v>374</v>
      </c>
    </row>
    <row r="339" spans="1:1">
      <c r="A339" s="75" t="s">
        <v>375</v>
      </c>
    </row>
    <row r="340" spans="1:1">
      <c r="A340" s="75" t="s">
        <v>376</v>
      </c>
    </row>
    <row r="341" spans="1:1">
      <c r="A341" s="75" t="s">
        <v>377</v>
      </c>
    </row>
    <row r="342" spans="1:1">
      <c r="A342" s="75" t="s">
        <v>378</v>
      </c>
    </row>
    <row r="343" spans="1:1">
      <c r="A343" s="75" t="s">
        <v>379</v>
      </c>
    </row>
    <row r="344" spans="1:1">
      <c r="A344" s="75" t="s">
        <v>380</v>
      </c>
    </row>
    <row r="345" spans="1:1">
      <c r="A345" s="75" t="s">
        <v>381</v>
      </c>
    </row>
    <row r="346" spans="1:1">
      <c r="A346" s="75" t="s">
        <v>382</v>
      </c>
    </row>
    <row r="347" spans="1:1">
      <c r="A347" s="75" t="s">
        <v>383</v>
      </c>
    </row>
    <row r="348" spans="1:1">
      <c r="A348" s="75" t="s">
        <v>384</v>
      </c>
    </row>
    <row r="349" spans="1:1">
      <c r="A349" s="75" t="s">
        <v>385</v>
      </c>
    </row>
    <row r="350" spans="1:1">
      <c r="A350" s="75" t="s">
        <v>386</v>
      </c>
    </row>
    <row r="351" spans="1:1">
      <c r="A351" s="75" t="s">
        <v>387</v>
      </c>
    </row>
    <row r="352" spans="1:1">
      <c r="A352" s="75" t="s">
        <v>388</v>
      </c>
    </row>
    <row r="353" spans="1:1">
      <c r="A353" s="75" t="s">
        <v>389</v>
      </c>
    </row>
    <row r="354" spans="1:1">
      <c r="A354" s="75" t="s">
        <v>390</v>
      </c>
    </row>
    <row r="355" spans="1:1">
      <c r="A355" s="75" t="s">
        <v>391</v>
      </c>
    </row>
    <row r="356" spans="1:1">
      <c r="A356" s="75" t="s">
        <v>392</v>
      </c>
    </row>
    <row r="357" spans="1:1">
      <c r="A357" s="75" t="s">
        <v>393</v>
      </c>
    </row>
    <row r="358" spans="1:1">
      <c r="A358" s="75" t="s">
        <v>394</v>
      </c>
    </row>
    <row r="359" spans="1:1">
      <c r="A359" s="75" t="s">
        <v>395</v>
      </c>
    </row>
    <row r="360" spans="1:1">
      <c r="A360" s="75" t="s">
        <v>396</v>
      </c>
    </row>
    <row r="361" spans="1:1">
      <c r="A361" s="75" t="s">
        <v>397</v>
      </c>
    </row>
    <row r="362" spans="1:1">
      <c r="A362" s="75" t="s">
        <v>398</v>
      </c>
    </row>
    <row r="363" spans="1:1">
      <c r="A363" s="75" t="s">
        <v>399</v>
      </c>
    </row>
    <row r="364" spans="1:1">
      <c r="A364" s="75" t="s">
        <v>400</v>
      </c>
    </row>
    <row r="365" spans="1:1">
      <c r="A365" s="75" t="s">
        <v>401</v>
      </c>
    </row>
    <row r="366" spans="1:1">
      <c r="A366" s="75" t="s">
        <v>402</v>
      </c>
    </row>
    <row r="367" spans="1:1">
      <c r="A367" s="75" t="s">
        <v>403</v>
      </c>
    </row>
    <row r="368" spans="1:1">
      <c r="A368" s="75" t="s">
        <v>404</v>
      </c>
    </row>
    <row r="369" spans="1:1">
      <c r="A369" s="75" t="s">
        <v>405</v>
      </c>
    </row>
    <row r="370" spans="1:1">
      <c r="A370" s="75" t="s">
        <v>406</v>
      </c>
    </row>
    <row r="371" spans="1:1">
      <c r="A371" s="75" t="s">
        <v>407</v>
      </c>
    </row>
    <row r="372" spans="1:1">
      <c r="A372" s="75" t="s">
        <v>408</v>
      </c>
    </row>
    <row r="373" spans="1:1">
      <c r="A373" s="75" t="s">
        <v>409</v>
      </c>
    </row>
    <row r="374" spans="1:1">
      <c r="A374" s="75" t="s">
        <v>410</v>
      </c>
    </row>
    <row r="375" spans="1:1">
      <c r="A375" s="75" t="s">
        <v>411</v>
      </c>
    </row>
    <row r="376" spans="1:1">
      <c r="A376" s="75" t="s">
        <v>412</v>
      </c>
    </row>
    <row r="377" spans="1:1">
      <c r="A377" s="75" t="s">
        <v>413</v>
      </c>
    </row>
    <row r="378" spans="1:1">
      <c r="A378" s="75" t="s">
        <v>414</v>
      </c>
    </row>
    <row r="379" spans="1:1">
      <c r="A379" s="75" t="s">
        <v>415</v>
      </c>
    </row>
    <row r="380" spans="1:1">
      <c r="A380" s="75" t="s">
        <v>416</v>
      </c>
    </row>
    <row r="381" spans="1:1">
      <c r="A381" s="75" t="s">
        <v>417</v>
      </c>
    </row>
    <row r="382" spans="1:1">
      <c r="A382" s="75" t="s">
        <v>418</v>
      </c>
    </row>
    <row r="383" spans="1:1">
      <c r="A383" s="75" t="s">
        <v>419</v>
      </c>
    </row>
    <row r="384" spans="1:1">
      <c r="A384" s="75" t="s">
        <v>420</v>
      </c>
    </row>
    <row r="385" spans="1:1">
      <c r="A385" s="75" t="s">
        <v>421</v>
      </c>
    </row>
    <row r="386" spans="1:1">
      <c r="A386" s="75" t="s">
        <v>422</v>
      </c>
    </row>
    <row r="387" spans="1:1">
      <c r="A387" s="75" t="s">
        <v>423</v>
      </c>
    </row>
    <row r="388" spans="1:1">
      <c r="A388" s="75" t="s">
        <v>424</v>
      </c>
    </row>
    <row r="389" spans="1:1">
      <c r="A389" s="75" t="s">
        <v>425</v>
      </c>
    </row>
    <row r="390" spans="1:1">
      <c r="A390" s="75" t="s">
        <v>426</v>
      </c>
    </row>
    <row r="391" spans="1:1">
      <c r="A391" s="75" t="s">
        <v>427</v>
      </c>
    </row>
    <row r="392" spans="1:1">
      <c r="A392" s="75" t="s">
        <v>428</v>
      </c>
    </row>
    <row r="393" spans="1:1">
      <c r="A393" s="75" t="s">
        <v>429</v>
      </c>
    </row>
    <row r="394" spans="1:1">
      <c r="A394" s="75" t="s">
        <v>430</v>
      </c>
    </row>
    <row r="395" spans="1:1">
      <c r="A395" s="75" t="s">
        <v>431</v>
      </c>
    </row>
    <row r="396" spans="1:1">
      <c r="A396" s="75" t="s">
        <v>432</v>
      </c>
    </row>
    <row r="397" spans="1:1">
      <c r="A397" s="75" t="s">
        <v>433</v>
      </c>
    </row>
    <row r="398" spans="1:1">
      <c r="A398" s="75" t="s">
        <v>434</v>
      </c>
    </row>
    <row r="399" spans="1:1">
      <c r="A399" s="75" t="s">
        <v>435</v>
      </c>
    </row>
    <row r="400" spans="1:1">
      <c r="A400" s="75" t="s">
        <v>436</v>
      </c>
    </row>
    <row r="401" spans="1:1">
      <c r="A401" s="75" t="s">
        <v>437</v>
      </c>
    </row>
    <row r="402" spans="1:1">
      <c r="A402" s="75" t="s">
        <v>438</v>
      </c>
    </row>
    <row r="403" spans="1:1">
      <c r="A403" s="75" t="s">
        <v>439</v>
      </c>
    </row>
    <row r="404" spans="1:1">
      <c r="A404" s="75" t="s">
        <v>440</v>
      </c>
    </row>
    <row r="405" spans="1:1">
      <c r="A405" s="75" t="s">
        <v>441</v>
      </c>
    </row>
    <row r="406" spans="1:1">
      <c r="A406" s="75" t="s">
        <v>442</v>
      </c>
    </row>
    <row r="407" spans="1:1">
      <c r="A407" s="75" t="s">
        <v>443</v>
      </c>
    </row>
    <row r="408" spans="1:1">
      <c r="A408" s="75" t="s">
        <v>444</v>
      </c>
    </row>
    <row r="409" spans="1:1">
      <c r="A409" s="75" t="s">
        <v>445</v>
      </c>
    </row>
    <row r="410" spans="1:1">
      <c r="A410" s="75" t="s">
        <v>446</v>
      </c>
    </row>
    <row r="411" spans="1:1">
      <c r="A411" s="75" t="s">
        <v>447</v>
      </c>
    </row>
    <row r="412" spans="1:1">
      <c r="A412" s="75" t="s">
        <v>448</v>
      </c>
    </row>
    <row r="413" spans="1:1">
      <c r="A413" s="75" t="s">
        <v>449</v>
      </c>
    </row>
    <row r="414" spans="1:1">
      <c r="A414" s="75" t="s">
        <v>450</v>
      </c>
    </row>
    <row r="415" spans="1:1">
      <c r="A415" s="75" t="s">
        <v>451</v>
      </c>
    </row>
    <row r="416" spans="1:1">
      <c r="A416" s="75" t="s">
        <v>452</v>
      </c>
    </row>
    <row r="417" spans="1:1">
      <c r="A417" s="75" t="s">
        <v>453</v>
      </c>
    </row>
    <row r="418" spans="1:1">
      <c r="A418" s="75" t="s">
        <v>454</v>
      </c>
    </row>
    <row r="419" spans="1:1">
      <c r="A419" s="75" t="s">
        <v>455</v>
      </c>
    </row>
    <row r="420" spans="1:1">
      <c r="A420" s="75" t="s">
        <v>456</v>
      </c>
    </row>
    <row r="421" spans="1:1">
      <c r="A421" s="75" t="s">
        <v>457</v>
      </c>
    </row>
    <row r="422" spans="1:1">
      <c r="A422" s="75" t="s">
        <v>458</v>
      </c>
    </row>
    <row r="423" spans="1:1">
      <c r="A423" s="75" t="s">
        <v>459</v>
      </c>
    </row>
    <row r="424" spans="1:1">
      <c r="A424" s="75"/>
    </row>
    <row r="425" spans="1:1">
      <c r="A425" s="75"/>
    </row>
    <row r="426" spans="1:1">
      <c r="A426" s="75"/>
    </row>
    <row r="427" spans="1:1">
      <c r="A427" s="75"/>
    </row>
    <row r="428" spans="1:1">
      <c r="A428" s="75"/>
    </row>
    <row r="429" spans="1:1">
      <c r="A429" s="75"/>
    </row>
    <row r="430" spans="1:1">
      <c r="A430" s="75"/>
    </row>
    <row r="431" spans="1:1">
      <c r="A431" s="75"/>
    </row>
    <row r="432" spans="1:1">
      <c r="A432" s="75"/>
    </row>
    <row r="433" spans="1:1">
      <c r="A433" s="75"/>
    </row>
    <row r="434" spans="1:1">
      <c r="A434" s="75"/>
    </row>
    <row r="435" spans="1:1">
      <c r="A435" s="75"/>
    </row>
    <row r="436" spans="1:1">
      <c r="A436" s="75"/>
    </row>
    <row r="437" spans="1:1">
      <c r="A437" s="75"/>
    </row>
    <row r="438" spans="1:1">
      <c r="A438" s="75"/>
    </row>
    <row r="439" spans="1:1">
      <c r="A439" s="75"/>
    </row>
    <row r="440" spans="1:1">
      <c r="A440" s="75"/>
    </row>
    <row r="441" spans="1:1">
      <c r="A441" s="75"/>
    </row>
    <row r="442" spans="1:1">
      <c r="A442" s="75"/>
    </row>
    <row r="443" spans="1:1">
      <c r="A443" s="75"/>
    </row>
    <row r="444" spans="1:1">
      <c r="A444" s="75"/>
    </row>
    <row r="445" spans="1:1">
      <c r="A445" s="75"/>
    </row>
    <row r="446" spans="1:1">
      <c r="A446" s="75"/>
    </row>
    <row r="447" spans="1:1">
      <c r="A447" s="75"/>
    </row>
    <row r="448" spans="1:1">
      <c r="A448" s="75"/>
    </row>
    <row r="449" spans="1:1">
      <c r="A449" s="75"/>
    </row>
    <row r="450" spans="1:1">
      <c r="A450" s="75"/>
    </row>
    <row r="451" spans="1:1">
      <c r="A451" s="75"/>
    </row>
    <row r="452" spans="1:1">
      <c r="A452" s="75"/>
    </row>
    <row r="453" spans="1:1">
      <c r="A453" s="75"/>
    </row>
    <row r="454" spans="1:1">
      <c r="A454" s="75"/>
    </row>
    <row r="455" spans="1:1">
      <c r="A455" s="75"/>
    </row>
    <row r="456" spans="1:1">
      <c r="A456" s="75"/>
    </row>
    <row r="457" spans="1:1">
      <c r="A457" s="75"/>
    </row>
    <row r="458" spans="1:1">
      <c r="A458" s="75"/>
    </row>
    <row r="459" spans="1:1">
      <c r="A459" s="75"/>
    </row>
    <row r="460" spans="1:1">
      <c r="A460" s="75"/>
    </row>
    <row r="461" spans="1:1">
      <c r="A461" s="75"/>
    </row>
    <row r="462" spans="1:1">
      <c r="A462" s="75"/>
    </row>
    <row r="463" spans="1:1">
      <c r="A463" s="75"/>
    </row>
    <row r="464" spans="1:1">
      <c r="A464" s="75"/>
    </row>
    <row r="465" spans="1:1">
      <c r="A465" s="75"/>
    </row>
    <row r="466" spans="1:1">
      <c r="A466" s="75"/>
    </row>
    <row r="467" spans="1:1">
      <c r="A467" s="75"/>
    </row>
    <row r="468" spans="1:1">
      <c r="A468" s="75"/>
    </row>
    <row r="469" spans="1:1">
      <c r="A469" s="75"/>
    </row>
    <row r="470" spans="1:1">
      <c r="A470" s="75"/>
    </row>
    <row r="471" spans="1:1">
      <c r="A471" s="75"/>
    </row>
    <row r="472" spans="1:1">
      <c r="A472" s="75"/>
    </row>
    <row r="473" spans="1:1">
      <c r="A473" s="75"/>
    </row>
    <row r="474" spans="1:1">
      <c r="A474" s="75"/>
    </row>
    <row r="475" spans="1:1">
      <c r="A475" s="75"/>
    </row>
    <row r="476" spans="1:1">
      <c r="A476" s="75"/>
    </row>
    <row r="477" spans="1:1">
      <c r="A477" s="75"/>
    </row>
    <row r="478" spans="1:1">
      <c r="A478" s="75"/>
    </row>
    <row r="479" spans="1:1">
      <c r="A479" s="75"/>
    </row>
    <row r="480" spans="1:1">
      <c r="A480" s="75"/>
    </row>
    <row r="481" spans="1:1">
      <c r="A481" s="75"/>
    </row>
    <row r="482" spans="1:1">
      <c r="A482" s="75"/>
    </row>
    <row r="483" spans="1:1">
      <c r="A483" s="75"/>
    </row>
    <row r="484" spans="1:1">
      <c r="A484" s="75"/>
    </row>
    <row r="485" spans="1:1">
      <c r="A485" s="75"/>
    </row>
    <row r="486" spans="1:1">
      <c r="A486" s="75"/>
    </row>
    <row r="487" spans="1:1">
      <c r="A487" s="75"/>
    </row>
    <row r="488" spans="1:1">
      <c r="A488" s="75"/>
    </row>
    <row r="489" spans="1:1">
      <c r="A489" s="75"/>
    </row>
    <row r="490" spans="1:1">
      <c r="A490" s="75"/>
    </row>
    <row r="491" spans="1:1">
      <c r="A491" s="75"/>
    </row>
    <row r="492" spans="1:1">
      <c r="A492" s="75"/>
    </row>
    <row r="493" spans="1:1">
      <c r="A493" s="75"/>
    </row>
    <row r="494" spans="1:1">
      <c r="A494" s="75"/>
    </row>
    <row r="495" spans="1:1">
      <c r="A495" s="75"/>
    </row>
    <row r="496" spans="1:1">
      <c r="A496" s="75"/>
    </row>
    <row r="497" spans="1:1">
      <c r="A497" s="76"/>
    </row>
    <row r="498" spans="1:1">
      <c r="A498" s="3" t="s">
        <v>35</v>
      </c>
    </row>
  </sheetData>
  <sheetProtection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Feuil1"/>
  <dimension ref="A1:D22"/>
  <sheetViews>
    <sheetView workbookViewId="0">
      <selection activeCell="B1" sqref="B1"/>
    </sheetView>
  </sheetViews>
  <sheetFormatPr baseColWidth="10" defaultRowHeight="14.4"/>
  <cols>
    <col min="1" max="1" width="24.44140625" bestFit="1" customWidth="1"/>
    <col min="2" max="2" width="28" customWidth="1"/>
    <col min="4" max="4" width="74.109375" bestFit="1" customWidth="1"/>
  </cols>
  <sheetData>
    <row r="1" spans="1:4">
      <c r="A1" s="87" t="s">
        <v>483</v>
      </c>
      <c r="B1" s="88" t="s">
        <v>484</v>
      </c>
      <c r="D1" s="39" t="s">
        <v>488</v>
      </c>
    </row>
    <row r="2" spans="1:4">
      <c r="A2" t="s">
        <v>487</v>
      </c>
      <c r="B2" s="81" t="s">
        <v>29</v>
      </c>
      <c r="D2" s="18" t="s">
        <v>497</v>
      </c>
    </row>
    <row r="3" spans="1:4">
      <c r="D3" t="s">
        <v>498</v>
      </c>
    </row>
    <row r="4" spans="1:4">
      <c r="D4" t="s">
        <v>499</v>
      </c>
    </row>
    <row r="9" spans="1:4">
      <c r="A9" t="s">
        <v>485</v>
      </c>
      <c r="B9" s="85" t="str">
        <f>HYPERLINK("http://yb.tl/links/"&amp;YB_Race_Id)</f>
        <v>http://yb.tl/links/minifastnet2017</v>
      </c>
    </row>
    <row r="10" spans="1:4">
      <c r="A10" t="s">
        <v>486</v>
      </c>
      <c r="B10" s="85" t="str">
        <f>HYPERLINK("http://yb.tl/"&amp;YB_Race_Id&amp;"-adrenacompetitors.dcc")</f>
        <v>http://yb.tl/minifastnet2017-adrenacompetitors.dcc</v>
      </c>
    </row>
    <row r="11" spans="1:4">
      <c r="B11" s="86"/>
    </row>
    <row r="12" spans="1:4">
      <c r="A12" t="s">
        <v>490</v>
      </c>
      <c r="B12" s="85" t="str">
        <f>HYPERLINK("http://yb.tl/"&amp;YB_Race_Id&amp;"-adrena.txt")</f>
        <v>http://yb.tl/minifastnet2017-adrena.txt</v>
      </c>
    </row>
    <row r="14" spans="1:4" ht="57.6" customHeight="1">
      <c r="A14" s="98" t="s">
        <v>495</v>
      </c>
      <c r="B14" s="99"/>
      <c r="C14" s="100"/>
    </row>
    <row r="15" spans="1:4">
      <c r="A15" s="13" t="s">
        <v>491</v>
      </c>
      <c r="B15" s="11" t="str">
        <f>YB_Race_Id&amp;"@race.yb.tl"</f>
        <v>minifastnet2017@race.yb.tl</v>
      </c>
      <c r="C15" s="14"/>
    </row>
    <row r="16" spans="1:4">
      <c r="A16" s="12" t="s">
        <v>492</v>
      </c>
      <c r="B16" s="15" t="s">
        <v>493</v>
      </c>
      <c r="C16" s="16"/>
    </row>
    <row r="19" spans="1:3" ht="33.6" customHeight="1">
      <c r="A19" s="98" t="s">
        <v>496</v>
      </c>
      <c r="B19" s="99"/>
      <c r="C19" s="100"/>
    </row>
    <row r="20" spans="1:3">
      <c r="A20" s="35" t="s">
        <v>494</v>
      </c>
      <c r="B20" s="84">
        <v>12</v>
      </c>
      <c r="C20" s="59"/>
    </row>
    <row r="21" spans="1:3">
      <c r="A21" s="13" t="s">
        <v>491</v>
      </c>
      <c r="B21" s="11" t="str">
        <f>YB_Race_Id&amp;"@race.yb.tl"</f>
        <v>minifastnet2017@race.yb.tl</v>
      </c>
      <c r="C21" s="14"/>
    </row>
    <row r="22" spans="1:3">
      <c r="A22" s="12" t="s">
        <v>492</v>
      </c>
      <c r="B22" s="15" t="str">
        <f>"adrena "&amp;B20</f>
        <v>adrena 12</v>
      </c>
      <c r="C22" s="16"/>
    </row>
  </sheetData>
  <mergeCells count="2">
    <mergeCell ref="A14:C14"/>
    <mergeCell ref="A19:C19"/>
  </mergeCells>
  <dataValidations count="2">
    <dataValidation type="list" allowBlank="1" showInputMessage="1" showErrorMessage="1" sqref="B2">
      <formula1>Colors</formula1>
    </dataValidation>
    <dataValidation type="list" allowBlank="1" showInputMessage="1" showErrorMessage="1" sqref="B20">
      <formula1>"3,6,12,24"</formula1>
    </dataValidation>
  </dataValidations>
  <hyperlinks>
    <hyperlink ref="B12" r:id="rId1" display="http://yb.tl/minifastnet2017-adrena.txt"/>
  </hyperlinks>
  <pageMargins left="0.7" right="0.7" top="0.75" bottom="0.75" header="0.3" footer="0.3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Feuil15"/>
  <dimension ref="A1:B2"/>
  <sheetViews>
    <sheetView workbookViewId="0">
      <selection activeCell="B1" sqref="B1"/>
    </sheetView>
  </sheetViews>
  <sheetFormatPr baseColWidth="10" defaultRowHeight="14.4"/>
  <cols>
    <col min="1" max="1" width="13.5546875" bestFit="1" customWidth="1"/>
    <col min="2" max="2" width="12.6640625" bestFit="1" customWidth="1"/>
  </cols>
  <sheetData>
    <row r="1" spans="1:2">
      <c r="A1" t="s">
        <v>466</v>
      </c>
      <c r="B1" s="77" t="s">
        <v>489</v>
      </c>
    </row>
    <row r="2" spans="1:2">
      <c r="A2" t="s">
        <v>467</v>
      </c>
      <c r="B2" t="str">
        <f>SUBSTITUTE(LOWER(TRIM(SUBSTITUTE(Race!B1,".","_")))&amp;".dcc"," ","")</f>
        <v>racename.dcc</v>
      </c>
    </row>
  </sheetData>
  <sheetProtection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Feuil12"/>
  <dimension ref="B1:I23"/>
  <sheetViews>
    <sheetView workbookViewId="0">
      <selection activeCell="C21" sqref="C21"/>
    </sheetView>
  </sheetViews>
  <sheetFormatPr baseColWidth="10" defaultRowHeight="14.4"/>
  <cols>
    <col min="8" max="8" width="14.109375" bestFit="1" customWidth="1"/>
  </cols>
  <sheetData>
    <row r="1" spans="2:9">
      <c r="B1" s="29" t="s">
        <v>19</v>
      </c>
      <c r="C1" s="19" t="s">
        <v>14</v>
      </c>
      <c r="D1" s="20" t="s">
        <v>15</v>
      </c>
      <c r="E1" s="21" t="s">
        <v>16</v>
      </c>
      <c r="F1" s="28" t="s">
        <v>17</v>
      </c>
      <c r="G1" s="28" t="s">
        <v>18</v>
      </c>
    </row>
    <row r="2" spans="2:9" hidden="1">
      <c r="B2" s="30">
        <v>8388863</v>
      </c>
      <c r="C2" s="13">
        <f>MOD(B2,256)</f>
        <v>255</v>
      </c>
      <c r="D2" s="11">
        <f>MOD(QUOTIENT(B2,256),256)</f>
        <v>0</v>
      </c>
      <c r="E2" s="14">
        <f>MOD(QUOTIENT(B2,65636),256)</f>
        <v>127</v>
      </c>
      <c r="F2" s="17" t="str">
        <f>IF(ISODD(LEN(DEC2HEX(C2))),"0","")&amp;DEC2HEX(C2)&amp;IF(ISODD(LEN(DEC2HEX(D2))),"0","")&amp;DEC2HEX(D2)&amp;IF(ISODD(LEN(DEC2HEX(E2))),"0","")&amp;DEC2HEX(E2)</f>
        <v>FF007F</v>
      </c>
      <c r="G2" s="22"/>
    </row>
    <row r="3" spans="2:9" hidden="1">
      <c r="B3" s="30">
        <v>33023</v>
      </c>
      <c r="C3" s="13">
        <f t="shared" ref="C3:C7" si="0">MOD(B3,256)</f>
        <v>255</v>
      </c>
      <c r="D3" s="11">
        <f t="shared" ref="D3:D7" si="1">MOD(QUOTIENT(B3,256),256)</f>
        <v>128</v>
      </c>
      <c r="E3" s="14">
        <f t="shared" ref="E3:E7" si="2">MOD(QUOTIENT(B3,65636),256)</f>
        <v>0</v>
      </c>
      <c r="F3" s="17" t="str">
        <f>IF(ISODD(LEN(DEC2HEX(C3))),"0","")&amp;DEC2HEX(C3)&amp;IF(ISODD(LEN(DEC2HEX(D3))),"0","")&amp;DEC2HEX(D3)&amp;IF(ISODD(LEN(DEC2HEX(E3))),"0","")&amp;DEC2HEX(E3)</f>
        <v>FF8000</v>
      </c>
      <c r="G3" s="23"/>
    </row>
    <row r="4" spans="2:9" hidden="1">
      <c r="B4" s="30">
        <v>255</v>
      </c>
      <c r="C4" s="13">
        <f t="shared" si="0"/>
        <v>255</v>
      </c>
      <c r="D4" s="11">
        <f t="shared" si="1"/>
        <v>0</v>
      </c>
      <c r="E4" s="14">
        <f t="shared" si="2"/>
        <v>0</v>
      </c>
      <c r="F4" s="17" t="str">
        <f t="shared" ref="F4:F6" si="3">IF(ISODD(LEN(DEC2HEX(C4))),"0","")&amp;DEC2HEX(C4)&amp;IF(ISODD(LEN(DEC2HEX(D4))),"0","")&amp;DEC2HEX(D4)&amp;IF(ISODD(LEN(DEC2HEX(E4))),"0","")&amp;DEC2HEX(E4)</f>
        <v>FF0000</v>
      </c>
      <c r="G4" s="24"/>
    </row>
    <row r="5" spans="2:9" hidden="1">
      <c r="B5" s="30">
        <v>16384</v>
      </c>
      <c r="C5" s="13">
        <f t="shared" si="0"/>
        <v>0</v>
      </c>
      <c r="D5" s="11">
        <f t="shared" si="1"/>
        <v>64</v>
      </c>
      <c r="E5" s="14">
        <f t="shared" si="2"/>
        <v>0</v>
      </c>
      <c r="F5" s="17" t="str">
        <f t="shared" si="3"/>
        <v>004000</v>
      </c>
      <c r="G5" s="25"/>
    </row>
    <row r="6" spans="2:9" hidden="1">
      <c r="B6" s="30">
        <v>16711680</v>
      </c>
      <c r="C6" s="13">
        <f t="shared" si="0"/>
        <v>0</v>
      </c>
      <c r="D6" s="11">
        <f t="shared" si="1"/>
        <v>0</v>
      </c>
      <c r="E6" s="14">
        <f t="shared" si="2"/>
        <v>254</v>
      </c>
      <c r="F6" s="17" t="str">
        <f t="shared" si="3"/>
        <v>0000FE</v>
      </c>
      <c r="G6" s="26"/>
    </row>
    <row r="7" spans="2:9" hidden="1">
      <c r="B7" s="31">
        <v>128</v>
      </c>
      <c r="C7" s="12">
        <f t="shared" si="0"/>
        <v>128</v>
      </c>
      <c r="D7" s="15">
        <f t="shared" si="1"/>
        <v>0</v>
      </c>
      <c r="E7" s="16">
        <f t="shared" si="2"/>
        <v>0</v>
      </c>
      <c r="F7" s="18" t="str">
        <f>IF(ISODD(LEN(DEC2HEX(C7))),"0","")&amp;DEC2HEX(C7)&amp;IF(ISODD(LEN(DEC2HEX(D7))),"0","")&amp;DEC2HEX(D7)&amp;IF(ISODD(LEN(DEC2HEX(E7))),"0","")&amp;DEC2HEX(E7)</f>
        <v>800000</v>
      </c>
      <c r="G7" s="27"/>
    </row>
    <row r="8" spans="2:9" hidden="1">
      <c r="B8" s="35">
        <f>C8+D8*256+E8*256*256</f>
        <v>255</v>
      </c>
      <c r="C8" s="36">
        <v>255</v>
      </c>
      <c r="D8" s="37">
        <v>0</v>
      </c>
      <c r="E8" s="38">
        <v>0</v>
      </c>
      <c r="F8" s="39" t="str">
        <f t="shared" ref="F8" si="4">IF(ISODD(LEN(DEC2HEX(C8))),"0","")&amp;DEC2HEX(C8)&amp;IF(ISODD(LEN(DEC2HEX(D8))),"0","")&amp;DEC2HEX(D8)&amp;IF(ISODD(LEN(DEC2HEX(E8))),"0","")&amp;DEC2HEX(E8)</f>
        <v>FF0000</v>
      </c>
      <c r="G8" s="43"/>
    </row>
    <row r="9" spans="2:9" hidden="1">
      <c r="B9" s="13">
        <f t="shared" ref="B9:B15" si="5">C9+D9*256+E9*256*256</f>
        <v>35327</v>
      </c>
      <c r="C9" s="32">
        <v>255</v>
      </c>
      <c r="D9" s="33">
        <v>137</v>
      </c>
      <c r="E9" s="34">
        <v>0</v>
      </c>
      <c r="F9" s="17" t="str">
        <f t="shared" ref="F9:F15" si="6">IF(ISODD(LEN(DEC2HEX(C9))),"0","")&amp;DEC2HEX(C9)&amp;IF(ISODD(LEN(DEC2HEX(D9))),"0","")&amp;DEC2HEX(D9)&amp;IF(ISODD(LEN(DEC2HEX(E9))),"0","")&amp;DEC2HEX(E9)</f>
        <v>FF8900</v>
      </c>
      <c r="G9" s="44"/>
    </row>
    <row r="10" spans="2:9" hidden="1">
      <c r="B10" s="13">
        <f t="shared" si="5"/>
        <v>65535</v>
      </c>
      <c r="C10" s="32">
        <v>255</v>
      </c>
      <c r="D10" s="33">
        <v>255</v>
      </c>
      <c r="E10" s="34">
        <v>0</v>
      </c>
      <c r="F10" s="17" t="str">
        <f t="shared" si="6"/>
        <v>FFFF00</v>
      </c>
      <c r="G10" s="45"/>
    </row>
    <row r="11" spans="2:9" hidden="1">
      <c r="B11" s="13">
        <f t="shared" si="5"/>
        <v>65280</v>
      </c>
      <c r="C11" s="32">
        <v>0</v>
      </c>
      <c r="D11" s="33">
        <v>255</v>
      </c>
      <c r="E11" s="34">
        <v>0</v>
      </c>
      <c r="F11" s="17" t="str">
        <f t="shared" ref="F11:F14" si="7">IF(ISODD(LEN(DEC2HEX(C11))),"0","")&amp;DEC2HEX(C11)&amp;IF(ISODD(LEN(DEC2HEX(D11))),"0","")&amp;DEC2HEX(D11)&amp;IF(ISODD(LEN(DEC2HEX(E11))),"0","")&amp;DEC2HEX(E11)</f>
        <v>00FF00</v>
      </c>
      <c r="G11" s="46"/>
    </row>
    <row r="12" spans="2:9" hidden="1">
      <c r="B12" s="13">
        <f t="shared" si="5"/>
        <v>16776960</v>
      </c>
      <c r="C12" s="32">
        <v>0</v>
      </c>
      <c r="D12" s="33">
        <v>255</v>
      </c>
      <c r="E12" s="34">
        <v>255</v>
      </c>
      <c r="F12" s="17" t="str">
        <f t="shared" si="7"/>
        <v>00FFFF</v>
      </c>
      <c r="G12" s="47"/>
    </row>
    <row r="13" spans="2:9" hidden="1">
      <c r="B13" s="13">
        <f t="shared" si="5"/>
        <v>16711680</v>
      </c>
      <c r="C13" s="32">
        <v>0</v>
      </c>
      <c r="D13" s="33">
        <v>0</v>
      </c>
      <c r="E13" s="34">
        <v>255</v>
      </c>
      <c r="F13" s="17" t="str">
        <f t="shared" si="7"/>
        <v>0000FF</v>
      </c>
      <c r="G13" s="48"/>
    </row>
    <row r="14" spans="2:9" hidden="1">
      <c r="B14" s="13">
        <f t="shared" si="5"/>
        <v>65535</v>
      </c>
      <c r="C14" s="32">
        <v>255</v>
      </c>
      <c r="D14" s="33">
        <v>255</v>
      </c>
      <c r="E14" s="34">
        <v>0</v>
      </c>
      <c r="F14" s="17" t="str">
        <f t="shared" si="7"/>
        <v>FFFF00</v>
      </c>
      <c r="G14" s="45"/>
    </row>
    <row r="15" spans="2:9" hidden="1">
      <c r="B15" s="12">
        <f t="shared" si="5"/>
        <v>16711935</v>
      </c>
      <c r="C15" s="40">
        <v>255</v>
      </c>
      <c r="D15" s="41">
        <v>0</v>
      </c>
      <c r="E15" s="42">
        <v>255</v>
      </c>
      <c r="F15" s="18" t="str">
        <f t="shared" si="6"/>
        <v>FF00FF</v>
      </c>
      <c r="G15" s="49"/>
    </row>
    <row r="16" spans="2:9">
      <c r="B16" s="30">
        <v>0</v>
      </c>
      <c r="C16" s="13">
        <f>MOD(B16,256)</f>
        <v>0</v>
      </c>
      <c r="D16" s="11">
        <f>MOD(QUOTIENT(B16,256),256)</f>
        <v>0</v>
      </c>
      <c r="E16" s="14">
        <f>MOD(QUOTIENT(B16,65636),256)</f>
        <v>0</v>
      </c>
      <c r="F16" s="17" t="str">
        <f>IF(ISODD(LEN(DEC2HEX(C16))),"0","")&amp;DEC2HEX(C16)&amp;IF(ISODD(LEN(DEC2HEX(D16))),"0","")&amp;DEC2HEX(D16)&amp;IF(ISODD(LEN(DEC2HEX(E16))),"0","")&amp;DEC2HEX(E16)</f>
        <v>000000</v>
      </c>
      <c r="G16" s="53"/>
      <c r="H16" s="60" t="s">
        <v>26</v>
      </c>
      <c r="I16" s="59">
        <f>B16</f>
        <v>0</v>
      </c>
    </row>
    <row r="17" spans="2:9">
      <c r="B17" s="30">
        <v>16711680</v>
      </c>
      <c r="C17" s="13">
        <f t="shared" ref="C17:C20" si="8">MOD(B17,256)</f>
        <v>0</v>
      </c>
      <c r="D17" s="11">
        <f t="shared" ref="D17:D20" si="9">MOD(QUOTIENT(B17,256),256)</f>
        <v>0</v>
      </c>
      <c r="E17" s="14">
        <f t="shared" ref="E17:E20" si="10">MOD(QUOTIENT(B17,65636),256)</f>
        <v>254</v>
      </c>
      <c r="F17" s="17" t="str">
        <f>IF(ISODD(LEN(DEC2HEX(C17))),"0","")&amp;DEC2HEX(C17)&amp;IF(ISODD(LEN(DEC2HEX(D17))),"0","")&amp;DEC2HEX(D17)&amp;IF(ISODD(LEN(DEC2HEX(E17))),"0","")&amp;DEC2HEX(E17)</f>
        <v>0000FE</v>
      </c>
      <c r="G17" s="26"/>
      <c r="H17" s="13" t="s">
        <v>27</v>
      </c>
      <c r="I17" s="14">
        <f t="shared" ref="I17:I23" si="11">B17</f>
        <v>16711680</v>
      </c>
    </row>
    <row r="18" spans="2:9">
      <c r="B18" s="30">
        <v>16776960</v>
      </c>
      <c r="C18" s="13">
        <f t="shared" si="8"/>
        <v>0</v>
      </c>
      <c r="D18" s="11">
        <f t="shared" si="9"/>
        <v>255</v>
      </c>
      <c r="E18" s="14">
        <f t="shared" si="10"/>
        <v>255</v>
      </c>
      <c r="F18" s="17" t="str">
        <f t="shared" ref="F18:F20" si="12">IF(ISODD(LEN(DEC2HEX(C18))),"0","")&amp;DEC2HEX(C18)&amp;IF(ISODD(LEN(DEC2HEX(D18))),"0","")&amp;DEC2HEX(D18)&amp;IF(ISODD(LEN(DEC2HEX(E18))),"0","")&amp;DEC2HEX(E18)</f>
        <v>00FFFF</v>
      </c>
      <c r="G18" s="54"/>
      <c r="H18" s="13" t="s">
        <v>28</v>
      </c>
      <c r="I18" s="14">
        <f t="shared" si="11"/>
        <v>16776960</v>
      </c>
    </row>
    <row r="19" spans="2:9">
      <c r="B19" s="30">
        <v>65280</v>
      </c>
      <c r="C19" s="13">
        <f t="shared" si="8"/>
        <v>0</v>
      </c>
      <c r="D19" s="11">
        <f t="shared" si="9"/>
        <v>255</v>
      </c>
      <c r="E19" s="14">
        <f t="shared" si="10"/>
        <v>0</v>
      </c>
      <c r="F19" s="17" t="str">
        <f t="shared" si="12"/>
        <v>00FF00</v>
      </c>
      <c r="G19" s="55"/>
      <c r="H19" s="13" t="s">
        <v>29</v>
      </c>
      <c r="I19" s="14">
        <f t="shared" si="11"/>
        <v>65280</v>
      </c>
    </row>
    <row r="20" spans="2:9">
      <c r="B20" s="30">
        <v>16711935</v>
      </c>
      <c r="C20" s="13">
        <f t="shared" si="8"/>
        <v>255</v>
      </c>
      <c r="D20" s="11">
        <f t="shared" si="9"/>
        <v>0</v>
      </c>
      <c r="E20" s="14">
        <f t="shared" si="10"/>
        <v>254</v>
      </c>
      <c r="F20" s="17" t="str">
        <f t="shared" si="12"/>
        <v>FF00FE</v>
      </c>
      <c r="G20" s="56"/>
      <c r="H20" s="13" t="s">
        <v>30</v>
      </c>
      <c r="I20" s="14">
        <f t="shared" si="11"/>
        <v>16711935</v>
      </c>
    </row>
    <row r="21" spans="2:9">
      <c r="B21" s="30">
        <v>767</v>
      </c>
      <c r="C21" s="13">
        <f t="shared" ref="C21" si="13">MOD(B21,256)</f>
        <v>255</v>
      </c>
      <c r="D21" s="11">
        <f t="shared" ref="D21" si="14">MOD(QUOTIENT(B21,256),256)</f>
        <v>2</v>
      </c>
      <c r="E21" s="14">
        <f t="shared" ref="E21" si="15">MOD(QUOTIENT(B21,65636),256)</f>
        <v>0</v>
      </c>
      <c r="F21" s="17" t="str">
        <f t="shared" ref="F21:F22" si="16">IF(ISODD(LEN(DEC2HEX(C21))),"0","")&amp;DEC2HEX(C21)&amp;IF(ISODD(LEN(DEC2HEX(D21))),"0","")&amp;DEC2HEX(D21)&amp;IF(ISODD(LEN(DEC2HEX(E21))),"0","")&amp;DEC2HEX(E21)</f>
        <v>FF0200</v>
      </c>
      <c r="G21" s="24"/>
      <c r="H21" s="13" t="s">
        <v>31</v>
      </c>
      <c r="I21" s="14">
        <f t="shared" si="11"/>
        <v>767</v>
      </c>
    </row>
    <row r="22" spans="2:9">
      <c r="B22" s="30">
        <v>16777215</v>
      </c>
      <c r="C22" s="13">
        <f t="shared" ref="C22" si="17">MOD(B22,256)</f>
        <v>255</v>
      </c>
      <c r="D22" s="11">
        <f t="shared" ref="D22" si="18">MOD(QUOTIENT(B22,256),256)</f>
        <v>255</v>
      </c>
      <c r="E22" s="14">
        <f t="shared" ref="E22" si="19">MOD(QUOTIENT(B22,65636),256)</f>
        <v>255</v>
      </c>
      <c r="F22" s="17" t="str">
        <f t="shared" si="16"/>
        <v>FFFFFF</v>
      </c>
      <c r="G22" s="57"/>
      <c r="H22" s="13" t="s">
        <v>32</v>
      </c>
      <c r="I22" s="14">
        <f t="shared" si="11"/>
        <v>16777215</v>
      </c>
    </row>
    <row r="23" spans="2:9">
      <c r="B23" s="31">
        <v>65535</v>
      </c>
      <c r="C23" s="12">
        <f>MOD(B23,256)</f>
        <v>255</v>
      </c>
      <c r="D23" s="15">
        <f>MOD(QUOTIENT(B23,256),256)</f>
        <v>255</v>
      </c>
      <c r="E23" s="16">
        <f>MOD(QUOTIENT(B23,65636),256)</f>
        <v>0</v>
      </c>
      <c r="F23" s="18" t="str">
        <f>IF(ISODD(LEN(DEC2HEX(C23))),"0","")&amp;DEC2HEX(C23)&amp;IF(ISODD(LEN(DEC2HEX(D23))),"0","")&amp;DEC2HEX(D23)&amp;IF(ISODD(LEN(DEC2HEX(E23))),"0","")&amp;DEC2HEX(E23)</f>
        <v>FFFF00</v>
      </c>
      <c r="G23" s="58"/>
      <c r="H23" s="12" t="s">
        <v>33</v>
      </c>
      <c r="I23" s="16">
        <f t="shared" si="11"/>
        <v>65535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10</vt:i4>
      </vt:variant>
    </vt:vector>
  </HeadingPairs>
  <TitlesOfParts>
    <vt:vector size="15" baseType="lpstr">
      <vt:lpstr>Race</vt:lpstr>
      <vt:lpstr>PolarList</vt:lpstr>
      <vt:lpstr>YellowBrick</vt:lpstr>
      <vt:lpstr>Setup</vt:lpstr>
      <vt:lpstr>ColorConverter</vt:lpstr>
      <vt:lpstr>Adrena_race_file</vt:lpstr>
      <vt:lpstr>Anchor</vt:lpstr>
      <vt:lpstr>Classes</vt:lpstr>
      <vt:lpstr>Colors</vt:lpstr>
      <vt:lpstr>ColorsTable</vt:lpstr>
      <vt:lpstr>Default_Boat_Color</vt:lpstr>
      <vt:lpstr>FileName</vt:lpstr>
      <vt:lpstr>Polars</vt:lpstr>
      <vt:lpstr>RaceFilePath</vt:lpstr>
      <vt:lpstr>YB_Race_Id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Henri</dc:creator>
  <cp:lastModifiedBy>Henri Laurent</cp:lastModifiedBy>
  <cp:lastPrinted>2011-07-01T18:00:31Z</cp:lastPrinted>
  <dcterms:created xsi:type="dcterms:W3CDTF">2011-05-24T17:10:39Z</dcterms:created>
  <dcterms:modified xsi:type="dcterms:W3CDTF">2017-06-30T16:05:23Z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oogle.Documents.Tracking">
    <vt:lpwstr>false</vt:lpwstr>
  </property>
  <property fmtid="{D5CDD505-2E9C-101B-9397-08002B2CF9AE}" pid="3" name="Google.Documents.DocumentId">
    <vt:lpwstr>1SWWq5PrJW92-W9OdOrM57o3ydfaGn8eRviZ73b7n-tc</vt:lpwstr>
  </property>
  <property fmtid="{D5CDD505-2E9C-101B-9397-08002B2CF9AE}" pid="4" name="Google.Documents.RevisionId">
    <vt:lpwstr>16935461553197150880</vt:lpwstr>
  </property>
  <property fmtid="{D5CDD505-2E9C-101B-9397-08002B2CF9AE}" pid="5" name="Google.Documents.PreviousRevisionId">
    <vt:lpwstr>05508342224348490031</vt:lpwstr>
  </property>
  <property fmtid="{D5CDD505-2E9C-101B-9397-08002B2CF9AE}" pid="6" name="Google.Documents.PluginVersion">
    <vt:lpwstr>2.0.2026.3768</vt:lpwstr>
  </property>
  <property fmtid="{D5CDD505-2E9C-101B-9397-08002B2CF9AE}" pid="7" name="Google.Documents.MergeIncapabilityFlags">
    <vt:i4>0</vt:i4>
  </property>
</Properties>
</file>